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omments1.xml" ContentType="application/vnd.openxmlformats-officedocument.spreadsheetml.comments+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Z:\DIEGO NELSON TAVAREZ\CONTRATOS 2026\LICITACIÓN TESALIA - IDOLOS - BRUSELAS\"/>
    </mc:Choice>
  </mc:AlternateContent>
  <xr:revisionPtr revIDLastSave="0" documentId="13_ncr:1_{D827878B-C79C-40E5-9F9E-7C6FEB76E735}" xr6:coauthVersionLast="47" xr6:coauthVersionMax="47" xr10:uidLastSave="{00000000-0000-0000-0000-000000000000}"/>
  <bookViews>
    <workbookView xWindow="-120" yWindow="-120" windowWidth="24240" windowHeight="13140" tabRatio="933" firstSheet="7" activeTab="7" xr2:uid="{00000000-000D-0000-FFFF-FFFF00000000}"/>
  </bookViews>
  <sheets>
    <sheet name="PRESUP. OBRA PEÑO REDONDO" sheetId="20" state="hidden" r:id="rId1"/>
    <sheet name="RESUMEN ELECTRICO CUBIERTA" sheetId="24" state="hidden" r:id="rId2"/>
    <sheet name="PRESUPUESTO ELECTRICO BIBLIO" sheetId="25" state="hidden" r:id="rId3"/>
    <sheet name="APUS  FASE 1" sheetId="26" state="hidden" r:id="rId4"/>
    <sheet name="5 - ESTRUCTURA - INDER " sheetId="23" state="hidden" r:id="rId5"/>
    <sheet name="PRES.GENERAL" sheetId="62" state="hidden" r:id="rId6"/>
    <sheet name="PRES.FASE 1-ADUCCION" sheetId="28" state="hidden" r:id="rId7"/>
    <sheet name="01" sheetId="58" r:id="rId8"/>
    <sheet name="07" sheetId="73" r:id="rId9"/>
    <sheet name="AIU" sheetId="69" r:id="rId10"/>
    <sheet name="Hoja1" sheetId="79" state="hidden" r:id="rId11"/>
    <sheet name="Hoja2" sheetId="80" state="hidden" r:id="rId12"/>
    <sheet name="PRES.FASE 3-DISTRIBUCCION" sheetId="59" state="hidden" r:id="rId13"/>
    <sheet name="M.CANTID.GENERAL" sheetId="63" state="hidden" r:id="rId14"/>
    <sheet name="M.CANTID.FASE 1-ADUCCION" sheetId="60" state="hidden" r:id="rId15"/>
    <sheet name="HOJA MODELO" sheetId="6" state="hidden" r:id="rId16"/>
    <sheet name="03" sheetId="70" r:id="rId17"/>
    <sheet name="04" sheetId="71" state="hidden" r:id="rId18"/>
    <sheet name="05" sheetId="72" state="hidden" r:id="rId19"/>
    <sheet name="06" sheetId="74" state="hidden" r:id="rId20"/>
    <sheet name="Hoja3" sheetId="82" r:id="rId21"/>
    <sheet name="08" sheetId="68" state="hidden" r:id="rId22"/>
    <sheet name="09" sheetId="75" state="hidden" r:id="rId23"/>
    <sheet name="M.CANTID.FASE 3-DISTRIBUCCION" sheetId="29" state="hidden" r:id="rId24"/>
    <sheet name="10" sheetId="5" state="hidden" r:id="rId25"/>
    <sheet name="11" sheetId="7" state="hidden" r:id="rId26"/>
    <sheet name="12" sheetId="55" state="hidden" r:id="rId27"/>
    <sheet name="13" sheetId="66" state="hidden" r:id="rId28"/>
    <sheet name="14" sheetId="76" state="hidden" r:id="rId29"/>
    <sheet name="15" sheetId="77" state="hidden" r:id="rId30"/>
    <sheet name="16" sheetId="78" state="hidden" r:id="rId31"/>
    <sheet name="7 - ESTRUCTURA CUBIERTA" sheetId="22" state="hidden" r:id="rId32"/>
    <sheet name="10 - VIAS - ESPECIALES " sheetId="19" state="hidden" r:id="rId33"/>
    <sheet name="11- DEPORTES - ESPECIALES" sheetId="27" state="hidden" r:id="rId34"/>
    <sheet name="CERRAMIENTO" sheetId="21" state="hidden" r:id="rId35"/>
    <sheet name="FACTOR MULTIPLICADOR" sheetId="43" state="hidden" r:id="rId36"/>
    <sheet name="OTROS" sheetId="30" state="hidden" r:id="rId37"/>
  </sheets>
  <externalReferences>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s>
  <definedNames>
    <definedName name="______PR1">[1]PRECIOS!$A:$E</definedName>
    <definedName name="_____PR1">[2]PRECIOS!$A$1:$E$65536</definedName>
    <definedName name="_____TS20">[3]APU!$J$2245</definedName>
    <definedName name="_____TS24">[3]APU!$J$2609</definedName>
    <definedName name="_____TS27">[3]APU!$J$2661</definedName>
    <definedName name="____PR1" localSheetId="33">[4]PRECIOS!$A$1:$E$65536</definedName>
    <definedName name="____PR1">[5]PRECIOS!$A$1:$E$65536</definedName>
    <definedName name="____TS30">[3]APU!$J$2713</definedName>
    <definedName name="___PR1" localSheetId="33">[6]PRECIOS!$A$1:$E$65536</definedName>
    <definedName name="___PR1">[7]PRECIOS!$A$1:$E$65536</definedName>
    <definedName name="___TS20">[8]APU!$J$2245</definedName>
    <definedName name="___TS24">[8]APU!$J$2609</definedName>
    <definedName name="___TS27">[8]APU!$J$2661</definedName>
    <definedName name="__PR1">[9]PRECIOS!$A$1:$E$65536</definedName>
    <definedName name="__TS30">[8]APU!$J$2713</definedName>
    <definedName name="_a1" hidden="1">{"TAB1",#N/A,TRUE,"GENERAL";"TAB2",#N/A,TRUE,"GENERAL";"TAB3",#N/A,TRUE,"GENERAL";"TAB4",#N/A,TRUE,"GENERAL";"TAB5",#N/A,TRUE,"GENERAL"}</definedName>
    <definedName name="_a1_1" hidden="1">{"TAB1",#N/A,TRUE,"GENERAL";"TAB2",#N/A,TRUE,"GENERAL";"TAB3",#N/A,TRUE,"GENERAL";"TAB4",#N/A,TRUE,"GENERAL";"TAB5",#N/A,TRUE,"GENERAL"}</definedName>
    <definedName name="_a3" hidden="1">{"TAB1",#N/A,TRUE,"GENERAL";"TAB2",#N/A,TRUE,"GENERAL";"TAB3",#N/A,TRUE,"GENERAL";"TAB4",#N/A,TRUE,"GENERAL";"TAB5",#N/A,TRUE,"GENERAL"}</definedName>
    <definedName name="_a3_1" hidden="1">{"TAB1",#N/A,TRUE,"GENERAL";"TAB2",#N/A,TRUE,"GENERAL";"TAB3",#N/A,TRUE,"GENERAL";"TAB4",#N/A,TRUE,"GENERAL";"TAB5",#N/A,TRUE,"GENERAL"}</definedName>
    <definedName name="_a4" hidden="1">{"via1",#N/A,TRUE,"general";"via2",#N/A,TRUE,"general";"via3",#N/A,TRUE,"general"}</definedName>
    <definedName name="_a4_1" hidden="1">{"via1",#N/A,TRUE,"general";"via2",#N/A,TRUE,"general";"via3",#N/A,TRUE,"general"}</definedName>
    <definedName name="_a5" hidden="1">{"TAB1",#N/A,TRUE,"GENERAL";"TAB2",#N/A,TRUE,"GENERAL";"TAB3",#N/A,TRUE,"GENERAL";"TAB4",#N/A,TRUE,"GENERAL";"TAB5",#N/A,TRUE,"GENERAL"}</definedName>
    <definedName name="_a5_1" hidden="1">{"TAB1",#N/A,TRUE,"GENERAL";"TAB2",#N/A,TRUE,"GENERAL";"TAB3",#N/A,TRUE,"GENERAL";"TAB4",#N/A,TRUE,"GENERAL";"TAB5",#N/A,TRUE,"GENERAL"}</definedName>
    <definedName name="_a6" hidden="1">{"TAB1",#N/A,TRUE,"GENERAL";"TAB2",#N/A,TRUE,"GENERAL";"TAB3",#N/A,TRUE,"GENERAL";"TAB4",#N/A,TRUE,"GENERAL";"TAB5",#N/A,TRUE,"GENERAL"}</definedName>
    <definedName name="_a6_1" hidden="1">{"TAB1",#N/A,TRUE,"GENERAL";"TAB2",#N/A,TRUE,"GENERAL";"TAB3",#N/A,TRUE,"GENERAL";"TAB4",#N/A,TRUE,"GENERAL";"TAB5",#N/A,TRUE,"GENERAL"}</definedName>
    <definedName name="_b2" hidden="1">{"TAB1",#N/A,TRUE,"GENERAL";"TAB2",#N/A,TRUE,"GENERAL";"TAB3",#N/A,TRUE,"GENERAL";"TAB4",#N/A,TRUE,"GENERAL";"TAB5",#N/A,TRUE,"GENERAL"}</definedName>
    <definedName name="_b2_1" hidden="1">{"TAB1",#N/A,TRUE,"GENERAL";"TAB2",#N/A,TRUE,"GENERAL";"TAB3",#N/A,TRUE,"GENERAL";"TAB4",#N/A,TRUE,"GENERAL";"TAB5",#N/A,TRUE,"GENERAL"}</definedName>
    <definedName name="_b3" hidden="1">{"TAB1",#N/A,TRUE,"GENERAL";"TAB2",#N/A,TRUE,"GENERAL";"TAB3",#N/A,TRUE,"GENERAL";"TAB4",#N/A,TRUE,"GENERAL";"TAB5",#N/A,TRUE,"GENERAL"}</definedName>
    <definedName name="_b3_1" hidden="1">{"TAB1",#N/A,TRUE,"GENERAL";"TAB2",#N/A,TRUE,"GENERAL";"TAB3",#N/A,TRUE,"GENERAL";"TAB4",#N/A,TRUE,"GENERAL";"TAB5",#N/A,TRUE,"GENERAL"}</definedName>
    <definedName name="_b4" hidden="1">{"TAB1",#N/A,TRUE,"GENERAL";"TAB2",#N/A,TRUE,"GENERAL";"TAB3",#N/A,TRUE,"GENERAL";"TAB4",#N/A,TRUE,"GENERAL";"TAB5",#N/A,TRUE,"GENERAL"}</definedName>
    <definedName name="_b4_1" hidden="1">{"TAB1",#N/A,TRUE,"GENERAL";"TAB2",#N/A,TRUE,"GENERAL";"TAB3",#N/A,TRUE,"GENERAL";"TAB4",#N/A,TRUE,"GENERAL";"TAB5",#N/A,TRUE,"GENERAL"}</definedName>
    <definedName name="_b5" hidden="1">{"TAB1",#N/A,TRUE,"GENERAL";"TAB2",#N/A,TRUE,"GENERAL";"TAB3",#N/A,TRUE,"GENERAL";"TAB4",#N/A,TRUE,"GENERAL";"TAB5",#N/A,TRUE,"GENERAL"}</definedName>
    <definedName name="_b5_1" hidden="1">{"TAB1",#N/A,TRUE,"GENERAL";"TAB2",#N/A,TRUE,"GENERAL";"TAB3",#N/A,TRUE,"GENERAL";"TAB4",#N/A,TRUE,"GENERAL";"TAB5",#N/A,TRUE,"GENERAL"}</definedName>
    <definedName name="_b6" hidden="1">{"TAB1",#N/A,TRUE,"GENERAL";"TAB2",#N/A,TRUE,"GENERAL";"TAB3",#N/A,TRUE,"GENERAL";"TAB4",#N/A,TRUE,"GENERAL";"TAB5",#N/A,TRUE,"GENERAL"}</definedName>
    <definedName name="_b6_1" hidden="1">{"TAB1",#N/A,TRUE,"GENERAL";"TAB2",#N/A,TRUE,"GENERAL";"TAB3",#N/A,TRUE,"GENERAL";"TAB4",#N/A,TRUE,"GENERAL";"TAB5",#N/A,TRUE,"GENERAL"}</definedName>
    <definedName name="_b7" hidden="1">{"via1",#N/A,TRUE,"general";"via2",#N/A,TRUE,"general";"via3",#N/A,TRUE,"general"}</definedName>
    <definedName name="_b7_1" hidden="1">{"via1",#N/A,TRUE,"general";"via2",#N/A,TRUE,"general";"via3",#N/A,TRUE,"general"}</definedName>
    <definedName name="_b8" hidden="1">{"via1",#N/A,TRUE,"general";"via2",#N/A,TRUE,"general";"via3",#N/A,TRUE,"general"}</definedName>
    <definedName name="_b8_1" hidden="1">{"via1",#N/A,TRUE,"general";"via2",#N/A,TRUE,"general";"via3",#N/A,TRUE,"general"}</definedName>
    <definedName name="_bb9" hidden="1">{"TAB1",#N/A,TRUE,"GENERAL";"TAB2",#N/A,TRUE,"GENERAL";"TAB3",#N/A,TRUE,"GENERAL";"TAB4",#N/A,TRUE,"GENERAL";"TAB5",#N/A,TRUE,"GENERAL"}</definedName>
    <definedName name="_bb9_1" hidden="1">{"TAB1",#N/A,TRUE,"GENERAL";"TAB2",#N/A,TRUE,"GENERAL";"TAB3",#N/A,TRUE,"GENERAL";"TAB4",#N/A,TRUE,"GENERAL";"TAB5",#N/A,TRUE,"GENERAL"}</definedName>
    <definedName name="_bgb5" hidden="1">{"TAB1",#N/A,TRUE,"GENERAL";"TAB2",#N/A,TRUE,"GENERAL";"TAB3",#N/A,TRUE,"GENERAL";"TAB4",#N/A,TRUE,"GENERAL";"TAB5",#N/A,TRUE,"GENERAL"}</definedName>
    <definedName name="_bgb5_1" hidden="1">{"TAB1",#N/A,TRUE,"GENERAL";"TAB2",#N/A,TRUE,"GENERAL";"TAB3",#N/A,TRUE,"GENERAL";"TAB4",#N/A,TRUE,"GENERAL";"TAB5",#N/A,TRUE,"GENERAL"}</definedName>
    <definedName name="_EMC2">[10]APU!$J$1594</definedName>
    <definedName name="_EMC4">[10]APU!$J$1646</definedName>
    <definedName name="_Fill" hidden="1">#REF!</definedName>
    <definedName name="_xlnm._FilterDatabase" localSheetId="6" hidden="1">'PRES.FASE 1-ADUCCION'!$B$6:$G$114</definedName>
    <definedName name="_xlnm._FilterDatabase" localSheetId="12" hidden="1">'PRES.FASE 3-DISTRIBUCCION'!$B$6:$G$63</definedName>
    <definedName name="_xlnm._FilterDatabase" localSheetId="5" hidden="1">PRES.GENERAL!$B$6:$G$414</definedName>
    <definedName name="_g2" hidden="1">{"TAB1",#N/A,TRUE,"GENERAL";"TAB2",#N/A,TRUE,"GENERAL";"TAB3",#N/A,TRUE,"GENERAL";"TAB4",#N/A,TRUE,"GENERAL";"TAB5",#N/A,TRUE,"GENERAL"}</definedName>
    <definedName name="_g2_1" hidden="1">{"TAB1",#N/A,TRUE,"GENERAL";"TAB2",#N/A,TRUE,"GENERAL";"TAB3",#N/A,TRUE,"GENERAL";"TAB4",#N/A,TRUE,"GENERAL";"TAB5",#N/A,TRUE,"GENERAL"}</definedName>
    <definedName name="_g3" hidden="1">{"via1",#N/A,TRUE,"general";"via2",#N/A,TRUE,"general";"via3",#N/A,TRUE,"general"}</definedName>
    <definedName name="_g3_1" hidden="1">{"via1",#N/A,TRUE,"general";"via2",#N/A,TRUE,"general";"via3",#N/A,TRUE,"general"}</definedName>
    <definedName name="_g4" hidden="1">{"via1",#N/A,TRUE,"general";"via2",#N/A,TRUE,"general";"via3",#N/A,TRUE,"general"}</definedName>
    <definedName name="_g4_1" hidden="1">{"via1",#N/A,TRUE,"general";"via2",#N/A,TRUE,"general";"via3",#N/A,TRUE,"general"}</definedName>
    <definedName name="_g5" hidden="1">{"via1",#N/A,TRUE,"general";"via2",#N/A,TRUE,"general";"via3",#N/A,TRUE,"general"}</definedName>
    <definedName name="_g5_1" hidden="1">{"via1",#N/A,TRUE,"general";"via2",#N/A,TRUE,"general";"via3",#N/A,TRUE,"general"}</definedName>
    <definedName name="_g6" hidden="1">{"via1",#N/A,TRUE,"general";"via2",#N/A,TRUE,"general";"via3",#N/A,TRUE,"general"}</definedName>
    <definedName name="_g6_1" hidden="1">{"via1",#N/A,TRUE,"general";"via2",#N/A,TRUE,"general";"via3",#N/A,TRUE,"general"}</definedName>
    <definedName name="_g7" hidden="1">{"TAB1",#N/A,TRUE,"GENERAL";"TAB2",#N/A,TRUE,"GENERAL";"TAB3",#N/A,TRUE,"GENERAL";"TAB4",#N/A,TRUE,"GENERAL";"TAB5",#N/A,TRUE,"GENERAL"}</definedName>
    <definedName name="_g7_1" hidden="1">{"TAB1",#N/A,TRUE,"GENERAL";"TAB2",#N/A,TRUE,"GENERAL";"TAB3",#N/A,TRUE,"GENERAL";"TAB4",#N/A,TRUE,"GENERAL";"TAB5",#N/A,TRUE,"GENERAL"}</definedName>
    <definedName name="_GR1" hidden="1">{"TAB1",#N/A,TRUE,"GENERAL";"TAB2",#N/A,TRUE,"GENERAL";"TAB3",#N/A,TRUE,"GENERAL";"TAB4",#N/A,TRUE,"GENERAL";"TAB5",#N/A,TRUE,"GENERAL"}</definedName>
    <definedName name="_GR1_1" hidden="1">{"TAB1",#N/A,TRUE,"GENERAL";"TAB2",#N/A,TRUE,"GENERAL";"TAB3",#N/A,TRUE,"GENERAL";"TAB4",#N/A,TRUE,"GENERAL";"TAB5",#N/A,TRUE,"GENERAL"}</definedName>
    <definedName name="_gtr4" hidden="1">{"via1",#N/A,TRUE,"general";"via2",#N/A,TRUE,"general";"via3",#N/A,TRUE,"general"}</definedName>
    <definedName name="_gtr4_1" hidden="1">{"via1",#N/A,TRUE,"general";"via2",#N/A,TRUE,"general";"via3",#N/A,TRUE,"general"}</definedName>
    <definedName name="_h2" hidden="1">{"via1",#N/A,TRUE,"general";"via2",#N/A,TRUE,"general";"via3",#N/A,TRUE,"general"}</definedName>
    <definedName name="_h2_1" hidden="1">{"via1",#N/A,TRUE,"general";"via2",#N/A,TRUE,"general";"via3",#N/A,TRUE,"general"}</definedName>
    <definedName name="_h3" hidden="1">{"via1",#N/A,TRUE,"general";"via2",#N/A,TRUE,"general";"via3",#N/A,TRUE,"general"}</definedName>
    <definedName name="_h3_1" hidden="1">{"via1",#N/A,TRUE,"general";"via2",#N/A,TRUE,"general";"via3",#N/A,TRUE,"general"}</definedName>
    <definedName name="_h4" hidden="1">{"TAB1",#N/A,TRUE,"GENERAL";"TAB2",#N/A,TRUE,"GENERAL";"TAB3",#N/A,TRUE,"GENERAL";"TAB4",#N/A,TRUE,"GENERAL";"TAB5",#N/A,TRUE,"GENERAL"}</definedName>
    <definedName name="_h4_1" hidden="1">{"TAB1",#N/A,TRUE,"GENERAL";"TAB2",#N/A,TRUE,"GENERAL";"TAB3",#N/A,TRUE,"GENERAL";"TAB4",#N/A,TRUE,"GENERAL";"TAB5",#N/A,TRUE,"GENERAL"}</definedName>
    <definedName name="_h5" hidden="1">{"TAB1",#N/A,TRUE,"GENERAL";"TAB2",#N/A,TRUE,"GENERAL";"TAB3",#N/A,TRUE,"GENERAL";"TAB4",#N/A,TRUE,"GENERAL";"TAB5",#N/A,TRUE,"GENERAL"}</definedName>
    <definedName name="_h5_1" hidden="1">{"TAB1",#N/A,TRUE,"GENERAL";"TAB2",#N/A,TRUE,"GENERAL";"TAB3",#N/A,TRUE,"GENERAL";"TAB4",#N/A,TRUE,"GENERAL";"TAB5",#N/A,TRUE,"GENERAL"}</definedName>
    <definedName name="_h6" hidden="1">{"via1",#N/A,TRUE,"general";"via2",#N/A,TRUE,"general";"via3",#N/A,TRUE,"general"}</definedName>
    <definedName name="_h6_1" hidden="1">{"via1",#N/A,TRUE,"general";"via2",#N/A,TRUE,"general";"via3",#N/A,TRUE,"general"}</definedName>
    <definedName name="_h7" hidden="1">{"TAB1",#N/A,TRUE,"GENERAL";"TAB2",#N/A,TRUE,"GENERAL";"TAB3",#N/A,TRUE,"GENERAL";"TAB4",#N/A,TRUE,"GENERAL";"TAB5",#N/A,TRUE,"GENERAL"}</definedName>
    <definedName name="_h7_1" hidden="1">{"TAB1",#N/A,TRUE,"GENERAL";"TAB2",#N/A,TRUE,"GENERAL";"TAB3",#N/A,TRUE,"GENERAL";"TAB4",#N/A,TRUE,"GENERAL";"TAB5",#N/A,TRUE,"GENERAL"}</definedName>
    <definedName name="_h8" hidden="1">{"via1",#N/A,TRUE,"general";"via2",#N/A,TRUE,"general";"via3",#N/A,TRUE,"general"}</definedName>
    <definedName name="_h8_1" hidden="1">{"via1",#N/A,TRUE,"general";"via2",#N/A,TRUE,"general";"via3",#N/A,TRUE,"general"}</definedName>
    <definedName name="_hfh7" hidden="1">{"via1",#N/A,TRUE,"general";"via2",#N/A,TRUE,"general";"via3",#N/A,TRUE,"general"}</definedName>
    <definedName name="_hfh7_1" hidden="1">{"via1",#N/A,TRUE,"general";"via2",#N/A,TRUE,"general";"via3",#N/A,TRUE,"general"}</definedName>
    <definedName name="_i4" hidden="1">{"via1",#N/A,TRUE,"general";"via2",#N/A,TRUE,"general";"via3",#N/A,TRUE,"general"}</definedName>
    <definedName name="_i4_1" hidden="1">{"via1",#N/A,TRUE,"general";"via2",#N/A,TRUE,"general";"via3",#N/A,TRUE,"general"}</definedName>
    <definedName name="_i5" hidden="1">{"TAB1",#N/A,TRUE,"GENERAL";"TAB2",#N/A,TRUE,"GENERAL";"TAB3",#N/A,TRUE,"GENERAL";"TAB4",#N/A,TRUE,"GENERAL";"TAB5",#N/A,TRUE,"GENERAL"}</definedName>
    <definedName name="_i5_1" hidden="1">{"TAB1",#N/A,TRUE,"GENERAL";"TAB2",#N/A,TRUE,"GENERAL";"TAB3",#N/A,TRUE,"GENERAL";"TAB4",#N/A,TRUE,"GENERAL";"TAB5",#N/A,TRUE,"GENERAL"}</definedName>
    <definedName name="_i6" hidden="1">{"TAB1",#N/A,TRUE,"GENERAL";"TAB2",#N/A,TRUE,"GENERAL";"TAB3",#N/A,TRUE,"GENERAL";"TAB4",#N/A,TRUE,"GENERAL";"TAB5",#N/A,TRUE,"GENERAL"}</definedName>
    <definedName name="_i6_1" hidden="1">{"TAB1",#N/A,TRUE,"GENERAL";"TAB2",#N/A,TRUE,"GENERAL";"TAB3",#N/A,TRUE,"GENERAL";"TAB4",#N/A,TRUE,"GENERAL";"TAB5",#N/A,TRUE,"GENERAL"}</definedName>
    <definedName name="_i7" hidden="1">{"via1",#N/A,TRUE,"general";"via2",#N/A,TRUE,"general";"via3",#N/A,TRUE,"general"}</definedName>
    <definedName name="_i7_1" hidden="1">{"via1",#N/A,TRUE,"general";"via2",#N/A,TRUE,"general";"via3",#N/A,TRUE,"general"}</definedName>
    <definedName name="_i77" hidden="1">{"TAB1",#N/A,TRUE,"GENERAL";"TAB2",#N/A,TRUE,"GENERAL";"TAB3",#N/A,TRUE,"GENERAL";"TAB4",#N/A,TRUE,"GENERAL";"TAB5",#N/A,TRUE,"GENERAL"}</definedName>
    <definedName name="_i77_1" hidden="1">{"TAB1",#N/A,TRUE,"GENERAL";"TAB2",#N/A,TRUE,"GENERAL";"TAB3",#N/A,TRUE,"GENERAL";"TAB4",#N/A,TRUE,"GENERAL";"TAB5",#N/A,TRUE,"GENERAL"}</definedName>
    <definedName name="_i8" hidden="1">{"via1",#N/A,TRUE,"general";"via2",#N/A,TRUE,"general";"via3",#N/A,TRUE,"general"}</definedName>
    <definedName name="_i8_1" hidden="1">{"via1",#N/A,TRUE,"general";"via2",#N/A,TRUE,"general";"via3",#N/A,TRUE,"general"}</definedName>
    <definedName name="_i9" hidden="1">{"TAB1",#N/A,TRUE,"GENERAL";"TAB2",#N/A,TRUE,"GENERAL";"TAB3",#N/A,TRUE,"GENERAL";"TAB4",#N/A,TRUE,"GENERAL";"TAB5",#N/A,TRUE,"GENERAL"}</definedName>
    <definedName name="_i9_1" hidden="1">{"TAB1",#N/A,TRUE,"GENERAL";"TAB2",#N/A,TRUE,"GENERAL";"TAB3",#N/A,TRUE,"GENERAL";"TAB4",#N/A,TRUE,"GENERAL";"TAB5",#N/A,TRUE,"GENERAL"}</definedName>
    <definedName name="_k3" hidden="1">{"TAB1",#N/A,TRUE,"GENERAL";"TAB2",#N/A,TRUE,"GENERAL";"TAB3",#N/A,TRUE,"GENERAL";"TAB4",#N/A,TRUE,"GENERAL";"TAB5",#N/A,TRUE,"GENERAL"}</definedName>
    <definedName name="_k3_1" hidden="1">{"TAB1",#N/A,TRUE,"GENERAL";"TAB2",#N/A,TRUE,"GENERAL";"TAB3",#N/A,TRUE,"GENERAL";"TAB4",#N/A,TRUE,"GENERAL";"TAB5",#N/A,TRUE,"GENERAL"}</definedName>
    <definedName name="_k4" hidden="1">{"via1",#N/A,TRUE,"general";"via2",#N/A,TRUE,"general";"via3",#N/A,TRUE,"general"}</definedName>
    <definedName name="_k4_1" hidden="1">{"via1",#N/A,TRUE,"general";"via2",#N/A,TRUE,"general";"via3",#N/A,TRUE,"general"}</definedName>
    <definedName name="_k5" hidden="1">{"via1",#N/A,TRUE,"general";"via2",#N/A,TRUE,"general";"via3",#N/A,TRUE,"general"}</definedName>
    <definedName name="_k5_1" hidden="1">{"via1",#N/A,TRUE,"general";"via2",#N/A,TRUE,"general";"via3",#N/A,TRUE,"general"}</definedName>
    <definedName name="_k6" hidden="1">{"TAB1",#N/A,TRUE,"GENERAL";"TAB2",#N/A,TRUE,"GENERAL";"TAB3",#N/A,TRUE,"GENERAL";"TAB4",#N/A,TRUE,"GENERAL";"TAB5",#N/A,TRUE,"GENERAL"}</definedName>
    <definedName name="_k6_1" hidden="1">{"TAB1",#N/A,TRUE,"GENERAL";"TAB2",#N/A,TRUE,"GENERAL";"TAB3",#N/A,TRUE,"GENERAL";"TAB4",#N/A,TRUE,"GENERAL";"TAB5",#N/A,TRUE,"GENERAL"}</definedName>
    <definedName name="_k7" hidden="1">{"via1",#N/A,TRUE,"general";"via2",#N/A,TRUE,"general";"via3",#N/A,TRUE,"general"}</definedName>
    <definedName name="_k7_1" hidden="1">{"via1",#N/A,TRUE,"general";"via2",#N/A,TRUE,"general";"via3",#N/A,TRUE,"general"}</definedName>
    <definedName name="_k8" hidden="1">{"via1",#N/A,TRUE,"general";"via2",#N/A,TRUE,"general";"via3",#N/A,TRUE,"general"}</definedName>
    <definedName name="_k8_1" hidden="1">{"via1",#N/A,TRUE,"general";"via2",#N/A,TRUE,"general";"via3",#N/A,TRUE,"general"}</definedName>
    <definedName name="_k9" hidden="1">{"TAB1",#N/A,TRUE,"GENERAL";"TAB2",#N/A,TRUE,"GENERAL";"TAB3",#N/A,TRUE,"GENERAL";"TAB4",#N/A,TRUE,"GENERAL";"TAB5",#N/A,TRUE,"GENERAL"}</definedName>
    <definedName name="_k9_1" hidden="1">{"TAB1",#N/A,TRUE,"GENERAL";"TAB2",#N/A,TRUE,"GENERAL";"TAB3",#N/A,TRUE,"GENERAL";"TAB4",#N/A,TRUE,"GENERAL";"TAB5",#N/A,TRUE,"GENERAL"}</definedName>
    <definedName name="_Key1" hidden="1">[11]INSUMOS!#REF!</definedName>
    <definedName name="_kjk6" hidden="1">{"TAB1",#N/A,TRUE,"GENERAL";"TAB2",#N/A,TRUE,"GENERAL";"TAB3",#N/A,TRUE,"GENERAL";"TAB4",#N/A,TRUE,"GENERAL";"TAB5",#N/A,TRUE,"GENERAL"}</definedName>
    <definedName name="_kjk6_1" hidden="1">{"TAB1",#N/A,TRUE,"GENERAL";"TAB2",#N/A,TRUE,"GENERAL";"TAB3",#N/A,TRUE,"GENERAL";"TAB4",#N/A,TRUE,"GENERAL";"TAB5",#N/A,TRUE,"GENERAL"}</definedName>
    <definedName name="_m3" hidden="1">{"via1",#N/A,TRUE,"general";"via2",#N/A,TRUE,"general";"via3",#N/A,TRUE,"general"}</definedName>
    <definedName name="_m3_1" hidden="1">{"via1",#N/A,TRUE,"general";"via2",#N/A,TRUE,"general";"via3",#N/A,TRUE,"general"}</definedName>
    <definedName name="_m4" hidden="1">{"TAB1",#N/A,TRUE,"GENERAL";"TAB2",#N/A,TRUE,"GENERAL";"TAB3",#N/A,TRUE,"GENERAL";"TAB4",#N/A,TRUE,"GENERAL";"TAB5",#N/A,TRUE,"GENERAL"}</definedName>
    <definedName name="_m4_1" hidden="1">{"TAB1",#N/A,TRUE,"GENERAL";"TAB2",#N/A,TRUE,"GENERAL";"TAB3",#N/A,TRUE,"GENERAL";"TAB4",#N/A,TRUE,"GENERAL";"TAB5",#N/A,TRUE,"GENERAL"}</definedName>
    <definedName name="_m5" hidden="1">{"via1",#N/A,TRUE,"general";"via2",#N/A,TRUE,"general";"via3",#N/A,TRUE,"general"}</definedName>
    <definedName name="_m5_1" hidden="1">{"via1",#N/A,TRUE,"general";"via2",#N/A,TRUE,"general";"via3",#N/A,TRUE,"general"}</definedName>
    <definedName name="_m6" hidden="1">{"TAB1",#N/A,TRUE,"GENERAL";"TAB2",#N/A,TRUE,"GENERAL";"TAB3",#N/A,TRUE,"GENERAL";"TAB4",#N/A,TRUE,"GENERAL";"TAB5",#N/A,TRUE,"GENERAL"}</definedName>
    <definedName name="_m6_1" hidden="1">{"TAB1",#N/A,TRUE,"GENERAL";"TAB2",#N/A,TRUE,"GENERAL";"TAB3",#N/A,TRUE,"GENERAL";"TAB4",#N/A,TRUE,"GENERAL";"TAB5",#N/A,TRUE,"GENERAL"}</definedName>
    <definedName name="_m7" hidden="1">{"TAB1",#N/A,TRUE,"GENERAL";"TAB2",#N/A,TRUE,"GENERAL";"TAB3",#N/A,TRUE,"GENERAL";"TAB4",#N/A,TRUE,"GENERAL";"TAB5",#N/A,TRUE,"GENERAL"}</definedName>
    <definedName name="_m7_1" hidden="1">{"TAB1",#N/A,TRUE,"GENERAL";"TAB2",#N/A,TRUE,"GENERAL";"TAB3",#N/A,TRUE,"GENERAL";"TAB4",#N/A,TRUE,"GENERAL";"TAB5",#N/A,TRUE,"GENERAL"}</definedName>
    <definedName name="_m8" hidden="1">{"via1",#N/A,TRUE,"general";"via2",#N/A,TRUE,"general";"via3",#N/A,TRUE,"general"}</definedName>
    <definedName name="_m8_1" hidden="1">{"via1",#N/A,TRUE,"general";"via2",#N/A,TRUE,"general";"via3",#N/A,TRUE,"general"}</definedName>
    <definedName name="_m9" hidden="1">{"via1",#N/A,TRUE,"general";"via2",#N/A,TRUE,"general";"via3",#N/A,TRUE,"general"}</definedName>
    <definedName name="_m9_1" hidden="1">{"via1",#N/A,TRUE,"general";"via2",#N/A,TRUE,"general";"via3",#N/A,TRUE,"general"}</definedName>
    <definedName name="_n3" hidden="1">{"TAB1",#N/A,TRUE,"GENERAL";"TAB2",#N/A,TRUE,"GENERAL";"TAB3",#N/A,TRUE,"GENERAL";"TAB4",#N/A,TRUE,"GENERAL";"TAB5",#N/A,TRUE,"GENERAL"}</definedName>
    <definedName name="_n3_1" hidden="1">{"TAB1",#N/A,TRUE,"GENERAL";"TAB2",#N/A,TRUE,"GENERAL";"TAB3",#N/A,TRUE,"GENERAL";"TAB4",#N/A,TRUE,"GENERAL";"TAB5",#N/A,TRUE,"GENERAL"}</definedName>
    <definedName name="_n4" hidden="1">{"via1",#N/A,TRUE,"general";"via2",#N/A,TRUE,"general";"via3",#N/A,TRUE,"general"}</definedName>
    <definedName name="_n4_1" hidden="1">{"via1",#N/A,TRUE,"general";"via2",#N/A,TRUE,"general";"via3",#N/A,TRUE,"general"}</definedName>
    <definedName name="_n5" hidden="1">{"TAB1",#N/A,TRUE,"GENERAL";"TAB2",#N/A,TRUE,"GENERAL";"TAB3",#N/A,TRUE,"GENERAL";"TAB4",#N/A,TRUE,"GENERAL";"TAB5",#N/A,TRUE,"GENERAL"}</definedName>
    <definedName name="_n5_1" hidden="1">{"TAB1",#N/A,TRUE,"GENERAL";"TAB2",#N/A,TRUE,"GENERAL";"TAB3",#N/A,TRUE,"GENERAL";"TAB4",#N/A,TRUE,"GENERAL";"TAB5",#N/A,TRUE,"GENERAL"}</definedName>
    <definedName name="_nyn7" hidden="1">{"via1",#N/A,TRUE,"general";"via2",#N/A,TRUE,"general";"via3",#N/A,TRUE,"general"}</definedName>
    <definedName name="_nyn7_1" hidden="1">{"via1",#N/A,TRUE,"general";"via2",#N/A,TRUE,"general";"via3",#N/A,TRUE,"general"}</definedName>
    <definedName name="_o4" hidden="1">{"via1",#N/A,TRUE,"general";"via2",#N/A,TRUE,"general";"via3",#N/A,TRUE,"general"}</definedName>
    <definedName name="_o4_1" hidden="1">{"via1",#N/A,TRUE,"general";"via2",#N/A,TRUE,"general";"via3",#N/A,TRUE,"general"}</definedName>
    <definedName name="_o5" hidden="1">{"TAB1",#N/A,TRUE,"GENERAL";"TAB2",#N/A,TRUE,"GENERAL";"TAB3",#N/A,TRUE,"GENERAL";"TAB4",#N/A,TRUE,"GENERAL";"TAB5",#N/A,TRUE,"GENERAL"}</definedName>
    <definedName name="_o5_1" hidden="1">{"TAB1",#N/A,TRUE,"GENERAL";"TAB2",#N/A,TRUE,"GENERAL";"TAB3",#N/A,TRUE,"GENERAL";"TAB4",#N/A,TRUE,"GENERAL";"TAB5",#N/A,TRUE,"GENERAL"}</definedName>
    <definedName name="_o6" hidden="1">{"TAB1",#N/A,TRUE,"GENERAL";"TAB2",#N/A,TRUE,"GENERAL";"TAB3",#N/A,TRUE,"GENERAL";"TAB4",#N/A,TRUE,"GENERAL";"TAB5",#N/A,TRUE,"GENERAL"}</definedName>
    <definedName name="_o6_1" hidden="1">{"TAB1",#N/A,TRUE,"GENERAL";"TAB2",#N/A,TRUE,"GENERAL";"TAB3",#N/A,TRUE,"GENERAL";"TAB4",#N/A,TRUE,"GENERAL";"TAB5",#N/A,TRUE,"GENERAL"}</definedName>
    <definedName name="_o7" hidden="1">{"TAB1",#N/A,TRUE,"GENERAL";"TAB2",#N/A,TRUE,"GENERAL";"TAB3",#N/A,TRUE,"GENERAL";"TAB4",#N/A,TRUE,"GENERAL";"TAB5",#N/A,TRUE,"GENERAL"}</definedName>
    <definedName name="_o7_1" hidden="1">{"TAB1",#N/A,TRUE,"GENERAL";"TAB2",#N/A,TRUE,"GENERAL";"TAB3",#N/A,TRUE,"GENERAL";"TAB4",#N/A,TRUE,"GENERAL";"TAB5",#N/A,TRUE,"GENERAL"}</definedName>
    <definedName name="_o8" hidden="1">{"via1",#N/A,TRUE,"general";"via2",#N/A,TRUE,"general";"via3",#N/A,TRUE,"general"}</definedName>
    <definedName name="_o8_1" hidden="1">{"via1",#N/A,TRUE,"general";"via2",#N/A,TRUE,"general";"via3",#N/A,TRUE,"general"}</definedName>
    <definedName name="_o9" hidden="1">{"TAB1",#N/A,TRUE,"GENERAL";"TAB2",#N/A,TRUE,"GENERAL";"TAB3",#N/A,TRUE,"GENERAL";"TAB4",#N/A,TRUE,"GENERAL";"TAB5",#N/A,TRUE,"GENERAL"}</definedName>
    <definedName name="_o9_1" hidden="1">{"TAB1",#N/A,TRUE,"GENERAL";"TAB2",#N/A,TRUE,"GENERAL";"TAB3",#N/A,TRUE,"GENERAL";"TAB4",#N/A,TRUE,"GENERAL";"TAB5",#N/A,TRUE,"GENERAL"}</definedName>
    <definedName name="_Order1" hidden="1">255</definedName>
    <definedName name="_p6" hidden="1">{"via1",#N/A,TRUE,"general";"via2",#N/A,TRUE,"general";"via3",#N/A,TRUE,"general"}</definedName>
    <definedName name="_p6_1" hidden="1">{"via1",#N/A,TRUE,"general";"via2",#N/A,TRUE,"general";"via3",#N/A,TRUE,"general"}</definedName>
    <definedName name="_p7" hidden="1">{"via1",#N/A,TRUE,"general";"via2",#N/A,TRUE,"general";"via3",#N/A,TRUE,"general"}</definedName>
    <definedName name="_p7_1" hidden="1">{"via1",#N/A,TRUE,"general";"via2",#N/A,TRUE,"general";"via3",#N/A,TRUE,"general"}</definedName>
    <definedName name="_p8" hidden="1">{"TAB1",#N/A,TRUE,"GENERAL";"TAB2",#N/A,TRUE,"GENERAL";"TAB3",#N/A,TRUE,"GENERAL";"TAB4",#N/A,TRUE,"GENERAL";"TAB5",#N/A,TRUE,"GENERAL"}</definedName>
    <definedName name="_p8_1" hidden="1">{"TAB1",#N/A,TRUE,"GENERAL";"TAB2",#N/A,TRUE,"GENERAL";"TAB3",#N/A,TRUE,"GENERAL";"TAB4",#N/A,TRUE,"GENERAL";"TAB5",#N/A,TRUE,"GENERAL"}</definedName>
    <definedName name="_PR1">[12]PRECIOS!$A$1:$E$65536</definedName>
    <definedName name="_PR2">[13]PRECIOS!$A:$E</definedName>
    <definedName name="_PZ20">[10]APU!$J$3326</definedName>
    <definedName name="_PZ30">[10]APU!$J$3378</definedName>
    <definedName name="_PZ40">[10]APU!$J$3430</definedName>
    <definedName name="_PZ50">[10]APU!$J$3482</definedName>
    <definedName name="_r_1" hidden="1">{"TAB1",#N/A,TRUE,"GENERAL";"TAB2",#N/A,TRUE,"GENERAL";"TAB3",#N/A,TRUE,"GENERAL";"TAB4",#N/A,TRUE,"GENERAL";"TAB5",#N/A,TRUE,"GENERAL"}</definedName>
    <definedName name="_r4r" hidden="1">{"via1",#N/A,TRUE,"general";"via2",#N/A,TRUE,"general";"via3",#N/A,TRUE,"general"}</definedName>
    <definedName name="_r4r_1" hidden="1">{"via1",#N/A,TRUE,"general";"via2",#N/A,TRUE,"general";"via3",#N/A,TRUE,"general"}</definedName>
    <definedName name="_rtu6" hidden="1">{"via1",#N/A,TRUE,"general";"via2",#N/A,TRUE,"general";"via3",#N/A,TRUE,"general"}</definedName>
    <definedName name="_rtu6_1" hidden="1">{"via1",#N/A,TRUE,"general";"via2",#N/A,TRUE,"general";"via3",#N/A,TRUE,"general"}</definedName>
    <definedName name="_s1" hidden="1">{"via1",#N/A,TRUE,"general";"via2",#N/A,TRUE,"general";"via3",#N/A,TRUE,"general"}</definedName>
    <definedName name="_s1_1" hidden="1">{"via1",#N/A,TRUE,"general";"via2",#N/A,TRUE,"general";"via3",#N/A,TRUE,"general"}</definedName>
    <definedName name="_s2" hidden="1">{"TAB1",#N/A,TRUE,"GENERAL";"TAB2",#N/A,TRUE,"GENERAL";"TAB3",#N/A,TRUE,"GENERAL";"TAB4",#N/A,TRUE,"GENERAL";"TAB5",#N/A,TRUE,"GENERAL"}</definedName>
    <definedName name="_s2_1" hidden="1">{"TAB1",#N/A,TRUE,"GENERAL";"TAB2",#N/A,TRUE,"GENERAL";"TAB3",#N/A,TRUE,"GENERAL";"TAB4",#N/A,TRUE,"GENERAL";"TAB5",#N/A,TRUE,"GENERAL"}</definedName>
    <definedName name="_s3" hidden="1">{"TAB1",#N/A,TRUE,"GENERAL";"TAB2",#N/A,TRUE,"GENERAL";"TAB3",#N/A,TRUE,"GENERAL";"TAB4",#N/A,TRUE,"GENERAL";"TAB5",#N/A,TRUE,"GENERAL"}</definedName>
    <definedName name="_s3_1" hidden="1">{"TAB1",#N/A,TRUE,"GENERAL";"TAB2",#N/A,TRUE,"GENERAL";"TAB3",#N/A,TRUE,"GENERAL";"TAB4",#N/A,TRUE,"GENERAL";"TAB5",#N/A,TRUE,"GENERAL"}</definedName>
    <definedName name="_s4" hidden="1">{"via1",#N/A,TRUE,"general";"via2",#N/A,TRUE,"general";"via3",#N/A,TRUE,"general"}</definedName>
    <definedName name="_s4_1" hidden="1">{"via1",#N/A,TRUE,"general";"via2",#N/A,TRUE,"general";"via3",#N/A,TRUE,"general"}</definedName>
    <definedName name="_s5" hidden="1">{"via1",#N/A,TRUE,"general";"via2",#N/A,TRUE,"general";"via3",#N/A,TRUE,"general"}</definedName>
    <definedName name="_s5_1" hidden="1">{"via1",#N/A,TRUE,"general";"via2",#N/A,TRUE,"general";"via3",#N/A,TRUE,"general"}</definedName>
    <definedName name="_s6" hidden="1">{"TAB1",#N/A,TRUE,"GENERAL";"TAB2",#N/A,TRUE,"GENERAL";"TAB3",#N/A,TRUE,"GENERAL";"TAB4",#N/A,TRUE,"GENERAL";"TAB5",#N/A,TRUE,"GENERAL"}</definedName>
    <definedName name="_s6_1" hidden="1">{"TAB1",#N/A,TRUE,"GENERAL";"TAB2",#N/A,TRUE,"GENERAL";"TAB3",#N/A,TRUE,"GENERAL";"TAB4",#N/A,TRUE,"GENERAL";"TAB5",#N/A,TRUE,"GENERAL"}</definedName>
    <definedName name="_s7" hidden="1">{"via1",#N/A,TRUE,"general";"via2",#N/A,TRUE,"general";"via3",#N/A,TRUE,"general"}</definedName>
    <definedName name="_s7_1" hidden="1">{"via1",#N/A,TRUE,"general";"via2",#N/A,TRUE,"general";"via3",#N/A,TRUE,"general"}</definedName>
    <definedName name="_Sort" hidden="1">[11]INSUMOS!#REF!</definedName>
    <definedName name="_SY106">[10]APU!$J$2338</definedName>
    <definedName name="_SY126">[10]APU!$J$2390</definedName>
    <definedName name="_SY166">[10]APU!$J$2442</definedName>
    <definedName name="_SY186">[10]APU!$J$2494</definedName>
    <definedName name="_SY206">[10]APU!$J$2546</definedName>
    <definedName name="_SY86">[10]APU!$J$2286</definedName>
    <definedName name="_t3" hidden="1">{"TAB1",#N/A,TRUE,"GENERAL";"TAB2",#N/A,TRUE,"GENERAL";"TAB3",#N/A,TRUE,"GENERAL";"TAB4",#N/A,TRUE,"GENERAL";"TAB5",#N/A,TRUE,"GENERAL"}</definedName>
    <definedName name="_t3_1" hidden="1">{"TAB1",#N/A,TRUE,"GENERAL";"TAB2",#N/A,TRUE,"GENERAL";"TAB3",#N/A,TRUE,"GENERAL";"TAB4",#N/A,TRUE,"GENERAL";"TAB5",#N/A,TRUE,"GENERAL"}</definedName>
    <definedName name="_t4" hidden="1">{"via1",#N/A,TRUE,"general";"via2",#N/A,TRUE,"general";"via3",#N/A,TRUE,"general"}</definedName>
    <definedName name="_t4_1" hidden="1">{"via1",#N/A,TRUE,"general";"via2",#N/A,TRUE,"general";"via3",#N/A,TRUE,"general"}</definedName>
    <definedName name="_t5" hidden="1">{"TAB1",#N/A,TRUE,"GENERAL";"TAB2",#N/A,TRUE,"GENERAL";"TAB3",#N/A,TRUE,"GENERAL";"TAB4",#N/A,TRUE,"GENERAL";"TAB5",#N/A,TRUE,"GENERAL"}</definedName>
    <definedName name="_t5_1" hidden="1">{"TAB1",#N/A,TRUE,"GENERAL";"TAB2",#N/A,TRUE,"GENERAL";"TAB3",#N/A,TRUE,"GENERAL";"TAB4",#N/A,TRUE,"GENERAL";"TAB5",#N/A,TRUE,"GENERAL"}</definedName>
    <definedName name="_t6" hidden="1">{"via1",#N/A,TRUE,"general";"via2",#N/A,TRUE,"general";"via3",#N/A,TRUE,"general"}</definedName>
    <definedName name="_t6_1" hidden="1">{"via1",#N/A,TRUE,"general";"via2",#N/A,TRUE,"general";"via3",#N/A,TRUE,"general"}</definedName>
    <definedName name="_t66" hidden="1">{"TAB1",#N/A,TRUE,"GENERAL";"TAB2",#N/A,TRUE,"GENERAL";"TAB3",#N/A,TRUE,"GENERAL";"TAB4",#N/A,TRUE,"GENERAL";"TAB5",#N/A,TRUE,"GENERAL"}</definedName>
    <definedName name="_t66_1" hidden="1">{"TAB1",#N/A,TRUE,"GENERAL";"TAB2",#N/A,TRUE,"GENERAL";"TAB3",#N/A,TRUE,"GENERAL";"TAB4",#N/A,TRUE,"GENERAL";"TAB5",#N/A,TRUE,"GENERAL"}</definedName>
    <definedName name="_t7" hidden="1">{"via1",#N/A,TRUE,"general";"via2",#N/A,TRUE,"general";"via3",#N/A,TRUE,"general"}</definedName>
    <definedName name="_t7_1" hidden="1">{"via1",#N/A,TRUE,"general";"via2",#N/A,TRUE,"general";"via3",#N/A,TRUE,"general"}</definedName>
    <definedName name="_t77" hidden="1">{"TAB1",#N/A,TRUE,"GENERAL";"TAB2",#N/A,TRUE,"GENERAL";"TAB3",#N/A,TRUE,"GENERAL";"TAB4",#N/A,TRUE,"GENERAL";"TAB5",#N/A,TRUE,"GENERAL"}</definedName>
    <definedName name="_t77_1" hidden="1">{"TAB1",#N/A,TRUE,"GENERAL";"TAB2",#N/A,TRUE,"GENERAL";"TAB3",#N/A,TRUE,"GENERAL";"TAB4",#N/A,TRUE,"GENERAL";"TAB5",#N/A,TRUE,"GENERAL"}</definedName>
    <definedName name="_t8" hidden="1">{"TAB1",#N/A,TRUE,"GENERAL";"TAB2",#N/A,TRUE,"GENERAL";"TAB3",#N/A,TRUE,"GENERAL";"TAB4",#N/A,TRUE,"GENERAL";"TAB5",#N/A,TRUE,"GENERAL"}</definedName>
    <definedName name="_t8_1" hidden="1">{"TAB1",#N/A,TRUE,"GENERAL";"TAB2",#N/A,TRUE,"GENERAL";"TAB3",#N/A,TRUE,"GENERAL";"TAB4",#N/A,TRUE,"GENERAL";"TAB5",#N/A,TRUE,"GENERAL"}</definedName>
    <definedName name="_t88" hidden="1">{"via1",#N/A,TRUE,"general";"via2",#N/A,TRUE,"general";"via3",#N/A,TRUE,"general"}</definedName>
    <definedName name="_t88_1" hidden="1">{"via1",#N/A,TRUE,"general";"via2",#N/A,TRUE,"general";"via3",#N/A,TRUE,"general"}</definedName>
    <definedName name="_t9" hidden="1">{"TAB1",#N/A,TRUE,"GENERAL";"TAB2",#N/A,TRUE,"GENERAL";"TAB3",#N/A,TRUE,"GENERAL";"TAB4",#N/A,TRUE,"GENERAL";"TAB5",#N/A,TRUE,"GENERAL"}</definedName>
    <definedName name="_t9_1" hidden="1">{"TAB1",#N/A,TRUE,"GENERAL";"TAB2",#N/A,TRUE,"GENERAL";"TAB3",#N/A,TRUE,"GENERAL";"TAB4",#N/A,TRUE,"GENERAL";"TAB5",#N/A,TRUE,"GENERAL"}</definedName>
    <definedName name="_t99" hidden="1">{"via1",#N/A,TRUE,"general";"via2",#N/A,TRUE,"general";"via3",#N/A,TRUE,"general"}</definedName>
    <definedName name="_t99_1" hidden="1">{"via1",#N/A,TRUE,"general";"via2",#N/A,TRUE,"general";"via3",#N/A,TRUE,"general"}</definedName>
    <definedName name="_TS10">[10]APU!$J$2014</definedName>
    <definedName name="_TS12">[10]APU!$J$1018</definedName>
    <definedName name="_TS16">[10]APU!$J$2128</definedName>
    <definedName name="_TS18">[10]APU!$J$2181</definedName>
    <definedName name="_TS20">[10]APU!$J$2234</definedName>
    <definedName name="_TS24">[10]APU!$J$2598</definedName>
    <definedName name="_TS27">[10]APU!$J$2650</definedName>
    <definedName name="_TS30">[10]APU!$J$2702</definedName>
    <definedName name="_TS33">[10]APU!$J$2754</definedName>
    <definedName name="_TS36">[10]APU!$J$2806</definedName>
    <definedName name="_TS39">[10]APU!$J$2858</definedName>
    <definedName name="_TS42">[10]APU!$J$2910</definedName>
    <definedName name="_TS45">[10]APU!$J$2962</definedName>
    <definedName name="_TS6">[10]APU!$J$1908</definedName>
    <definedName name="_TS8">[10]APU!$J$1961</definedName>
    <definedName name="_u4" hidden="1">{"TAB1",#N/A,TRUE,"GENERAL";"TAB2",#N/A,TRUE,"GENERAL";"TAB3",#N/A,TRUE,"GENERAL";"TAB4",#N/A,TRUE,"GENERAL";"TAB5",#N/A,TRUE,"GENERAL"}</definedName>
    <definedName name="_u4_1" hidden="1">{"TAB1",#N/A,TRUE,"GENERAL";"TAB2",#N/A,TRUE,"GENERAL";"TAB3",#N/A,TRUE,"GENERAL";"TAB4",#N/A,TRUE,"GENERAL";"TAB5",#N/A,TRUE,"GENERAL"}</definedName>
    <definedName name="_u5" hidden="1">{"TAB1",#N/A,TRUE,"GENERAL";"TAB2",#N/A,TRUE,"GENERAL";"TAB3",#N/A,TRUE,"GENERAL";"TAB4",#N/A,TRUE,"GENERAL";"TAB5",#N/A,TRUE,"GENERAL"}</definedName>
    <definedName name="_u5_1" hidden="1">{"TAB1",#N/A,TRUE,"GENERAL";"TAB2",#N/A,TRUE,"GENERAL";"TAB3",#N/A,TRUE,"GENERAL";"TAB4",#N/A,TRUE,"GENERAL";"TAB5",#N/A,TRUE,"GENERAL"}</definedName>
    <definedName name="_u6" hidden="1">{"TAB1",#N/A,TRUE,"GENERAL";"TAB2",#N/A,TRUE,"GENERAL";"TAB3",#N/A,TRUE,"GENERAL";"TAB4",#N/A,TRUE,"GENERAL";"TAB5",#N/A,TRUE,"GENERAL"}</definedName>
    <definedName name="_u6_1" hidden="1">{"TAB1",#N/A,TRUE,"GENERAL";"TAB2",#N/A,TRUE,"GENERAL";"TAB3",#N/A,TRUE,"GENERAL";"TAB4",#N/A,TRUE,"GENERAL";"TAB5",#N/A,TRUE,"GENERAL"}</definedName>
    <definedName name="_u7" hidden="1">{"via1",#N/A,TRUE,"general";"via2",#N/A,TRUE,"general";"via3",#N/A,TRUE,"general"}</definedName>
    <definedName name="_u7_1" hidden="1">{"via1",#N/A,TRUE,"general";"via2",#N/A,TRUE,"general";"via3",#N/A,TRUE,"general"}</definedName>
    <definedName name="_u8" hidden="1">{"TAB1",#N/A,TRUE,"GENERAL";"TAB2",#N/A,TRUE,"GENERAL";"TAB3",#N/A,TRUE,"GENERAL";"TAB4",#N/A,TRUE,"GENERAL";"TAB5",#N/A,TRUE,"GENERAL"}</definedName>
    <definedName name="_u8_1" hidden="1">{"TAB1",#N/A,TRUE,"GENERAL";"TAB2",#N/A,TRUE,"GENERAL";"TAB3",#N/A,TRUE,"GENERAL";"TAB4",#N/A,TRUE,"GENERAL";"TAB5",#N/A,TRUE,"GENERAL"}</definedName>
    <definedName name="_u9" hidden="1">{"TAB1",#N/A,TRUE,"GENERAL";"TAB2",#N/A,TRUE,"GENERAL";"TAB3",#N/A,TRUE,"GENERAL";"TAB4",#N/A,TRUE,"GENERAL";"TAB5",#N/A,TRUE,"GENERAL"}</definedName>
    <definedName name="_u9_1" hidden="1">{"TAB1",#N/A,TRUE,"GENERAL";"TAB2",#N/A,TRUE,"GENERAL";"TAB3",#N/A,TRUE,"GENERAL";"TAB4",#N/A,TRUE,"GENERAL";"TAB5",#N/A,TRUE,"GENERAL"}</definedName>
    <definedName name="_ur7" hidden="1">{"TAB1",#N/A,TRUE,"GENERAL";"TAB2",#N/A,TRUE,"GENERAL";"TAB3",#N/A,TRUE,"GENERAL";"TAB4",#N/A,TRUE,"GENERAL";"TAB5",#N/A,TRUE,"GENERAL"}</definedName>
    <definedName name="_ur7_1" hidden="1">{"TAB1",#N/A,TRUE,"GENERAL";"TAB2",#N/A,TRUE,"GENERAL";"TAB3",#N/A,TRUE,"GENERAL";"TAB4",#N/A,TRUE,"GENERAL";"TAB5",#N/A,TRUE,"GENERAL"}</definedName>
    <definedName name="_v2" hidden="1">{"via1",#N/A,TRUE,"general";"via2",#N/A,TRUE,"general";"via3",#N/A,TRUE,"general"}</definedName>
    <definedName name="_v2_1" hidden="1">{"via1",#N/A,TRUE,"general";"via2",#N/A,TRUE,"general";"via3",#N/A,TRUE,"general"}</definedName>
    <definedName name="_v3" hidden="1">{"TAB1",#N/A,TRUE,"GENERAL";"TAB2",#N/A,TRUE,"GENERAL";"TAB3",#N/A,TRUE,"GENERAL";"TAB4",#N/A,TRUE,"GENERAL";"TAB5",#N/A,TRUE,"GENERAL"}</definedName>
    <definedName name="_v3_1" hidden="1">{"TAB1",#N/A,TRUE,"GENERAL";"TAB2",#N/A,TRUE,"GENERAL";"TAB3",#N/A,TRUE,"GENERAL";"TAB4",#N/A,TRUE,"GENERAL";"TAB5",#N/A,TRUE,"GENERAL"}</definedName>
    <definedName name="_v4" hidden="1">{"TAB1",#N/A,TRUE,"GENERAL";"TAB2",#N/A,TRUE,"GENERAL";"TAB3",#N/A,TRUE,"GENERAL";"TAB4",#N/A,TRUE,"GENERAL";"TAB5",#N/A,TRUE,"GENERAL"}</definedName>
    <definedName name="_v4_1" hidden="1">{"TAB1",#N/A,TRUE,"GENERAL";"TAB2",#N/A,TRUE,"GENERAL";"TAB3",#N/A,TRUE,"GENERAL";"TAB4",#N/A,TRUE,"GENERAL";"TAB5",#N/A,TRUE,"GENERAL"}</definedName>
    <definedName name="_v5" hidden="1">{"TAB1",#N/A,TRUE,"GENERAL";"TAB2",#N/A,TRUE,"GENERAL";"TAB3",#N/A,TRUE,"GENERAL";"TAB4",#N/A,TRUE,"GENERAL";"TAB5",#N/A,TRUE,"GENERAL"}</definedName>
    <definedName name="_v5_1" hidden="1">{"TAB1",#N/A,TRUE,"GENERAL";"TAB2",#N/A,TRUE,"GENERAL";"TAB3",#N/A,TRUE,"GENERAL";"TAB4",#N/A,TRUE,"GENERAL";"TAB5",#N/A,TRUE,"GENERAL"}</definedName>
    <definedName name="_v6" hidden="1">{"TAB1",#N/A,TRUE,"GENERAL";"TAB2",#N/A,TRUE,"GENERAL";"TAB3",#N/A,TRUE,"GENERAL";"TAB4",#N/A,TRUE,"GENERAL";"TAB5",#N/A,TRUE,"GENERAL"}</definedName>
    <definedName name="_v6_1" hidden="1">{"TAB1",#N/A,TRUE,"GENERAL";"TAB2",#N/A,TRUE,"GENERAL";"TAB3",#N/A,TRUE,"GENERAL";"TAB4",#N/A,TRUE,"GENERAL";"TAB5",#N/A,TRUE,"GENERAL"}</definedName>
    <definedName name="_v7" hidden="1">{"via1",#N/A,TRUE,"general";"via2",#N/A,TRUE,"general";"via3",#N/A,TRUE,"general"}</definedName>
    <definedName name="_v7_1" hidden="1">{"via1",#N/A,TRUE,"general";"via2",#N/A,TRUE,"general";"via3",#N/A,TRUE,"general"}</definedName>
    <definedName name="_v8" hidden="1">{"TAB1",#N/A,TRUE,"GENERAL";"TAB2",#N/A,TRUE,"GENERAL";"TAB3",#N/A,TRUE,"GENERAL";"TAB4",#N/A,TRUE,"GENERAL";"TAB5",#N/A,TRUE,"GENERAL"}</definedName>
    <definedName name="_v8_1" hidden="1">{"TAB1",#N/A,TRUE,"GENERAL";"TAB2",#N/A,TRUE,"GENERAL";"TAB3",#N/A,TRUE,"GENERAL";"TAB4",#N/A,TRUE,"GENERAL";"TAB5",#N/A,TRUE,"GENERAL"}</definedName>
    <definedName name="_v9" hidden="1">{"TAB1",#N/A,TRUE,"GENERAL";"TAB2",#N/A,TRUE,"GENERAL";"TAB3",#N/A,TRUE,"GENERAL";"TAB4",#N/A,TRUE,"GENERAL";"TAB5",#N/A,TRUE,"GENERAL"}</definedName>
    <definedName name="_v9_1" hidden="1">{"TAB1",#N/A,TRUE,"GENERAL";"TAB2",#N/A,TRUE,"GENERAL";"TAB3",#N/A,TRUE,"GENERAL";"TAB4",#N/A,TRUE,"GENERAL";"TAB5",#N/A,TRUE,"GENERAL"}</definedName>
    <definedName name="_vfv4" hidden="1">{"via1",#N/A,TRUE,"general";"via2",#N/A,TRUE,"general";"via3",#N/A,TRUE,"general"}</definedName>
    <definedName name="_vfv4_1" hidden="1">{"via1",#N/A,TRUE,"general";"via2",#N/A,TRUE,"general";"via3",#N/A,TRUE,"general"}</definedName>
    <definedName name="_x1" hidden="1">{"TAB1",#N/A,TRUE,"GENERAL";"TAB2",#N/A,TRUE,"GENERAL";"TAB3",#N/A,TRUE,"GENERAL";"TAB4",#N/A,TRUE,"GENERAL";"TAB5",#N/A,TRUE,"GENERAL"}</definedName>
    <definedName name="_x1_1" hidden="1">{"TAB1",#N/A,TRUE,"GENERAL";"TAB2",#N/A,TRUE,"GENERAL";"TAB3",#N/A,TRUE,"GENERAL";"TAB4",#N/A,TRUE,"GENERAL";"TAB5",#N/A,TRUE,"GENERAL"}</definedName>
    <definedName name="_x2" hidden="1">{"via1",#N/A,TRUE,"general";"via2",#N/A,TRUE,"general";"via3",#N/A,TRUE,"general"}</definedName>
    <definedName name="_x2_1" hidden="1">{"via1",#N/A,TRUE,"general";"via2",#N/A,TRUE,"general";"via3",#N/A,TRUE,"general"}</definedName>
    <definedName name="_x3" hidden="1">{"via1",#N/A,TRUE,"general";"via2",#N/A,TRUE,"general";"via3",#N/A,TRUE,"general"}</definedName>
    <definedName name="_x3_1" hidden="1">{"via1",#N/A,TRUE,"general";"via2",#N/A,TRUE,"general";"via3",#N/A,TRUE,"general"}</definedName>
    <definedName name="_x4" hidden="1">{"via1",#N/A,TRUE,"general";"via2",#N/A,TRUE,"general";"via3",#N/A,TRUE,"general"}</definedName>
    <definedName name="_x4_1" hidden="1">{"via1",#N/A,TRUE,"general";"via2",#N/A,TRUE,"general";"via3",#N/A,TRUE,"general"}</definedName>
    <definedName name="_x5" hidden="1">{"TAB1",#N/A,TRUE,"GENERAL";"TAB2",#N/A,TRUE,"GENERAL";"TAB3",#N/A,TRUE,"GENERAL";"TAB4",#N/A,TRUE,"GENERAL";"TAB5",#N/A,TRUE,"GENERAL"}</definedName>
    <definedName name="_x5_1" hidden="1">{"TAB1",#N/A,TRUE,"GENERAL";"TAB2",#N/A,TRUE,"GENERAL";"TAB3",#N/A,TRUE,"GENERAL";"TAB4",#N/A,TRUE,"GENERAL";"TAB5",#N/A,TRUE,"GENERAL"}</definedName>
    <definedName name="_x6" hidden="1">{"TAB1",#N/A,TRUE,"GENERAL";"TAB2",#N/A,TRUE,"GENERAL";"TAB3",#N/A,TRUE,"GENERAL";"TAB4",#N/A,TRUE,"GENERAL";"TAB5",#N/A,TRUE,"GENERAL"}</definedName>
    <definedName name="_x6_1" hidden="1">{"TAB1",#N/A,TRUE,"GENERAL";"TAB2",#N/A,TRUE,"GENERAL";"TAB3",#N/A,TRUE,"GENERAL";"TAB4",#N/A,TRUE,"GENERAL";"TAB5",#N/A,TRUE,"GENERAL"}</definedName>
    <definedName name="_x7" hidden="1">{"TAB1",#N/A,TRUE,"GENERAL";"TAB2",#N/A,TRUE,"GENERAL";"TAB3",#N/A,TRUE,"GENERAL";"TAB4",#N/A,TRUE,"GENERAL";"TAB5",#N/A,TRUE,"GENERAL"}</definedName>
    <definedName name="_x7_1" hidden="1">{"TAB1",#N/A,TRUE,"GENERAL";"TAB2",#N/A,TRUE,"GENERAL";"TAB3",#N/A,TRUE,"GENERAL";"TAB4",#N/A,TRUE,"GENERAL";"TAB5",#N/A,TRUE,"GENERAL"}</definedName>
    <definedName name="_x8" hidden="1">{"via1",#N/A,TRUE,"general";"via2",#N/A,TRUE,"general";"via3",#N/A,TRUE,"general"}</definedName>
    <definedName name="_x8_1" hidden="1">{"via1",#N/A,TRUE,"general";"via2",#N/A,TRUE,"general";"via3",#N/A,TRUE,"general"}</definedName>
    <definedName name="_x9" hidden="1">{"TAB1",#N/A,TRUE,"GENERAL";"TAB2",#N/A,TRUE,"GENERAL";"TAB3",#N/A,TRUE,"GENERAL";"TAB4",#N/A,TRUE,"GENERAL";"TAB5",#N/A,TRUE,"GENERAL"}</definedName>
    <definedName name="_x9_1" hidden="1">{"TAB1",#N/A,TRUE,"GENERAL";"TAB2",#N/A,TRUE,"GENERAL";"TAB3",#N/A,TRUE,"GENERAL";"TAB4",#N/A,TRUE,"GENERAL";"TAB5",#N/A,TRUE,"GENERAL"}</definedName>
    <definedName name="_y2" hidden="1">{"TAB1",#N/A,TRUE,"GENERAL";"TAB2",#N/A,TRUE,"GENERAL";"TAB3",#N/A,TRUE,"GENERAL";"TAB4",#N/A,TRUE,"GENERAL";"TAB5",#N/A,TRUE,"GENERAL"}</definedName>
    <definedName name="_y2_1" hidden="1">{"TAB1",#N/A,TRUE,"GENERAL";"TAB2",#N/A,TRUE,"GENERAL";"TAB3",#N/A,TRUE,"GENERAL";"TAB4",#N/A,TRUE,"GENERAL";"TAB5",#N/A,TRUE,"GENERAL"}</definedName>
    <definedName name="_y3" hidden="1">{"via1",#N/A,TRUE,"general";"via2",#N/A,TRUE,"general";"via3",#N/A,TRUE,"general"}</definedName>
    <definedName name="_y3_1" hidden="1">{"via1",#N/A,TRUE,"general";"via2",#N/A,TRUE,"general";"via3",#N/A,TRUE,"general"}</definedName>
    <definedName name="_y4" hidden="1">{"via1",#N/A,TRUE,"general";"via2",#N/A,TRUE,"general";"via3",#N/A,TRUE,"general"}</definedName>
    <definedName name="_y4_1" hidden="1">{"via1",#N/A,TRUE,"general";"via2",#N/A,TRUE,"general";"via3",#N/A,TRUE,"general"}</definedName>
    <definedName name="_y5" hidden="1">{"TAB1",#N/A,TRUE,"GENERAL";"TAB2",#N/A,TRUE,"GENERAL";"TAB3",#N/A,TRUE,"GENERAL";"TAB4",#N/A,TRUE,"GENERAL";"TAB5",#N/A,TRUE,"GENERAL"}</definedName>
    <definedName name="_y5_1" hidden="1">{"TAB1",#N/A,TRUE,"GENERAL";"TAB2",#N/A,TRUE,"GENERAL";"TAB3",#N/A,TRUE,"GENERAL";"TAB4",#N/A,TRUE,"GENERAL";"TAB5",#N/A,TRUE,"GENERAL"}</definedName>
    <definedName name="_y6" hidden="1">{"via1",#N/A,TRUE,"general";"via2",#N/A,TRUE,"general";"via3",#N/A,TRUE,"general"}</definedName>
    <definedName name="_y6_1" hidden="1">{"via1",#N/A,TRUE,"general";"via2",#N/A,TRUE,"general";"via3",#N/A,TRUE,"general"}</definedName>
    <definedName name="_y7" hidden="1">{"via1",#N/A,TRUE,"general";"via2",#N/A,TRUE,"general";"via3",#N/A,TRUE,"general"}</definedName>
    <definedName name="_y7_1" hidden="1">{"via1",#N/A,TRUE,"general";"via2",#N/A,TRUE,"general";"via3",#N/A,TRUE,"general"}</definedName>
    <definedName name="_y8" hidden="1">{"via1",#N/A,TRUE,"general";"via2",#N/A,TRUE,"general";"via3",#N/A,TRUE,"general"}</definedName>
    <definedName name="_y8_1" hidden="1">{"via1",#N/A,TRUE,"general";"via2",#N/A,TRUE,"general";"via3",#N/A,TRUE,"general"}</definedName>
    <definedName name="_y9" hidden="1">{"TAB1",#N/A,TRUE,"GENERAL";"TAB2",#N/A,TRUE,"GENERAL";"TAB3",#N/A,TRUE,"GENERAL";"TAB4",#N/A,TRUE,"GENERAL";"TAB5",#N/A,TRUE,"GENERAL"}</definedName>
    <definedName name="_y9_1" hidden="1">{"TAB1",#N/A,TRUE,"GENERAL";"TAB2",#N/A,TRUE,"GENERAL";"TAB3",#N/A,TRUE,"GENERAL";"TAB4",#N/A,TRUE,"GENERAL";"TAB5",#N/A,TRUE,"GENERAL"}</definedName>
    <definedName name="_z1" hidden="1">{"TAB1",#N/A,TRUE,"GENERAL";"TAB2",#N/A,TRUE,"GENERAL";"TAB3",#N/A,TRUE,"GENERAL";"TAB4",#N/A,TRUE,"GENERAL";"TAB5",#N/A,TRUE,"GENERAL"}</definedName>
    <definedName name="_z1_1" hidden="1">{"TAB1",#N/A,TRUE,"GENERAL";"TAB2",#N/A,TRUE,"GENERAL";"TAB3",#N/A,TRUE,"GENERAL";"TAB4",#N/A,TRUE,"GENERAL";"TAB5",#N/A,TRUE,"GENERAL"}</definedName>
    <definedName name="_z2" hidden="1">{"via1",#N/A,TRUE,"general";"via2",#N/A,TRUE,"general";"via3",#N/A,TRUE,"general"}</definedName>
    <definedName name="_z2_1" hidden="1">{"via1",#N/A,TRUE,"general";"via2",#N/A,TRUE,"general";"via3",#N/A,TRUE,"general"}</definedName>
    <definedName name="_z3" hidden="1">{"via1",#N/A,TRUE,"general";"via2",#N/A,TRUE,"general";"via3",#N/A,TRUE,"general"}</definedName>
    <definedName name="_z3_1" hidden="1">{"via1",#N/A,TRUE,"general";"via2",#N/A,TRUE,"general";"via3",#N/A,TRUE,"general"}</definedName>
    <definedName name="_z4" hidden="1">{"TAB1",#N/A,TRUE,"GENERAL";"TAB2",#N/A,TRUE,"GENERAL";"TAB3",#N/A,TRUE,"GENERAL";"TAB4",#N/A,TRUE,"GENERAL";"TAB5",#N/A,TRUE,"GENERAL"}</definedName>
    <definedName name="_z4_1" hidden="1">{"TAB1",#N/A,TRUE,"GENERAL";"TAB2",#N/A,TRUE,"GENERAL";"TAB3",#N/A,TRUE,"GENERAL";"TAB4",#N/A,TRUE,"GENERAL";"TAB5",#N/A,TRUE,"GENERAL"}</definedName>
    <definedName name="_z5" hidden="1">{"via1",#N/A,TRUE,"general";"via2",#N/A,TRUE,"general";"via3",#N/A,TRUE,"general"}</definedName>
    <definedName name="_z5_1" hidden="1">{"via1",#N/A,TRUE,"general";"via2",#N/A,TRUE,"general";"via3",#N/A,TRUE,"general"}</definedName>
    <definedName name="_z6" hidden="1">{"TAB1",#N/A,TRUE,"GENERAL";"TAB2",#N/A,TRUE,"GENERAL";"TAB3",#N/A,TRUE,"GENERAL";"TAB4",#N/A,TRUE,"GENERAL";"TAB5",#N/A,TRUE,"GENERAL"}</definedName>
    <definedName name="_z6_1" hidden="1">{"TAB1",#N/A,TRUE,"GENERAL";"TAB2",#N/A,TRUE,"GENERAL";"TAB3",#N/A,TRUE,"GENERAL";"TAB4",#N/A,TRUE,"GENERAL";"TAB5",#N/A,TRUE,"GENERAL"}</definedName>
    <definedName name="A">[12]PRECIOS!$J$62</definedName>
    <definedName name="a2a" hidden="1">{"TAB1",#N/A,TRUE,"GENERAL";"TAB2",#N/A,TRUE,"GENERAL";"TAB3",#N/A,TRUE,"GENERAL";"TAB4",#N/A,TRUE,"GENERAL";"TAB5",#N/A,TRUE,"GENERAL"}</definedName>
    <definedName name="a2a_1" hidden="1">{"TAB1",#N/A,TRUE,"GENERAL";"TAB2",#N/A,TRUE,"GENERAL";"TAB3",#N/A,TRUE,"GENERAL";"TAB4",#N/A,TRUE,"GENERAL";"TAB5",#N/A,TRUE,"GENERAL"}</definedName>
    <definedName name="AA">[14]PRECIOS!$G$1</definedName>
    <definedName name="AA_APUS">'[15]09'!$A:$N</definedName>
    <definedName name="AA_Cuadrillas">'[15]10'!$A$22:$O$68</definedName>
    <definedName name="AA_Equipos">'[15]12'!$C$5:$M$45</definedName>
    <definedName name="AA_Materiales">'[15]11'!$C:$N</definedName>
    <definedName name="AA_Unitarios">'[15]08'!$B:$M</definedName>
    <definedName name="AAA">[16]PRECIOS!$G$8</definedName>
    <definedName name="aaaaas" hidden="1">{"TAB1",#N/A,TRUE,"GENERAL";"TAB2",#N/A,TRUE,"GENERAL";"TAB3",#N/A,TRUE,"GENERAL";"TAB4",#N/A,TRUE,"GENERAL";"TAB5",#N/A,TRUE,"GENERAL"}</definedName>
    <definedName name="aaaaas_1" hidden="1">{"TAB1",#N/A,TRUE,"GENERAL";"TAB2",#N/A,TRUE,"GENERAL";"TAB3",#N/A,TRUE,"GENERAL";"TAB4",#N/A,TRUE,"GENERAL";"TAB5",#N/A,TRUE,"GENERAL"}</definedName>
    <definedName name="aas" hidden="1">{"TAB1",#N/A,TRUE,"GENERAL";"TAB2",#N/A,TRUE,"GENERAL";"TAB3",#N/A,TRUE,"GENERAL";"TAB4",#N/A,TRUE,"GENERAL";"TAB5",#N/A,TRUE,"GENERAL"}</definedName>
    <definedName name="aas_1" hidden="1">{"TAB1",#N/A,TRUE,"GENERAL";"TAB2",#N/A,TRUE,"GENERAL";"TAB3",#N/A,TRUE,"GENERAL";"TAB4",#N/A,TRUE,"GENERAL";"TAB5",#N/A,TRUE,"GENERAL"}</definedName>
    <definedName name="AccessDatabase" hidden="1">"C:\C-314\VOLUMENES\volfin4.mdb"</definedName>
    <definedName name="ad">[17]MATERIALES!$H$4</definedName>
    <definedName name="ADFGSDB" hidden="1">{"via1",#N/A,TRUE,"general";"via2",#N/A,TRUE,"general";"via3",#N/A,TRUE,"general"}</definedName>
    <definedName name="ADFGSDB_1" hidden="1">{"via1",#N/A,TRUE,"general";"via2",#N/A,TRUE,"general";"via3",#N/A,TRUE,"general"}</definedName>
    <definedName name="ADSAD" hidden="1">{"TAB1",#N/A,TRUE,"GENERAL";"TAB2",#N/A,TRUE,"GENERAL";"TAB3",#N/A,TRUE,"GENERAL";"TAB4",#N/A,TRUE,"GENERAL";"TAB5",#N/A,TRUE,"GENERAL"}</definedName>
    <definedName name="ADSAD_1" hidden="1">{"TAB1",#N/A,TRUE,"GENERAL";"TAB2",#N/A,TRUE,"GENERAL";"TAB3",#N/A,TRUE,"GENERAL";"TAB4",#N/A,TRUE,"GENERAL";"TAB5",#N/A,TRUE,"GENERAL"}</definedName>
    <definedName name="aefa" hidden="1">{"via1",#N/A,TRUE,"general";"via2",#N/A,TRUE,"general";"via3",#N/A,TRUE,"general"}</definedName>
    <definedName name="aefa_1" hidden="1">{"via1",#N/A,TRUE,"general";"via2",#N/A,TRUE,"general";"via3",#N/A,TRUE,"general"}</definedName>
    <definedName name="afdsw" hidden="1">{"TAB1",#N/A,TRUE,"GENERAL";"TAB2",#N/A,TRUE,"GENERAL";"TAB3",#N/A,TRUE,"GENERAL";"TAB4",#N/A,TRUE,"GENERAL";"TAB5",#N/A,TRUE,"GENERAL"}</definedName>
    <definedName name="afdsw_1" hidden="1">{"TAB1",#N/A,TRUE,"GENERAL";"TAB2",#N/A,TRUE,"GENERAL";"TAB3",#N/A,TRUE,"GENERAL";"TAB4",#N/A,TRUE,"GENERAL";"TAB5",#N/A,TRUE,"GENERAL"}</definedName>
    <definedName name="agdsgg" hidden="1">{"via1",#N/A,TRUE,"general";"via2",#N/A,TRUE,"general";"via3",#N/A,TRUE,"general"}</definedName>
    <definedName name="agdsgg_1" hidden="1">{"via1",#N/A,TRUE,"general";"via2",#N/A,TRUE,"general";"via3",#N/A,TRUE,"general"}</definedName>
    <definedName name="AHER">[18]HER!$A:$C</definedName>
    <definedName name="AIU">[19]PRECIOS!$B$2</definedName>
    <definedName name="AMAT">[18]MAT!$A:$C</definedName>
    <definedName name="ap">[20]Planilla!$D$58</definedName>
    <definedName name="APB">[12]PRECIOS!$G$71:$J$153</definedName>
    <definedName name="APER">[18]PER!$A:$C</definedName>
    <definedName name="aqaq" hidden="1">{"TAB1",#N/A,TRUE,"GENERAL";"TAB2",#N/A,TRUE,"GENERAL";"TAB3",#N/A,TRUE,"GENERAL";"TAB4",#N/A,TRUE,"GENERAL";"TAB5",#N/A,TRUE,"GENERAL"}</definedName>
    <definedName name="aqaq_1" hidden="1">{"TAB1",#N/A,TRUE,"GENERAL";"TAB2",#N/A,TRUE,"GENERAL";"TAB3",#N/A,TRUE,"GENERAL";"TAB4",#N/A,TRUE,"GENERAL";"TAB5",#N/A,TRUE,"GENERAL"}</definedName>
    <definedName name="_xlnm.Print_Area" localSheetId="7">'01'!$A$1:$N$285</definedName>
    <definedName name="_xlnm.Print_Area" localSheetId="18">'05'!$A$1:$O$40</definedName>
    <definedName name="_xlnm.Print_Area" localSheetId="19">'06'!$A$1:$M$71</definedName>
    <definedName name="_xlnm.Print_Area" localSheetId="8">'07'!$A$1:$N$3004</definedName>
    <definedName name="_xlnm.Print_Area" localSheetId="21">'08'!$A$1:$AF$6351</definedName>
    <definedName name="_xlnm.Print_Area" localSheetId="32">'10 - VIAS - ESPECIALES '!$A$5:$G$228</definedName>
    <definedName name="_xlnm.Print_Area" localSheetId="33">'11- DEPORTES - ESPECIALES'!$A$1:$G$625</definedName>
    <definedName name="_xlnm.Print_Area" localSheetId="4">'5 - ESTRUCTURA - INDER '!$A$11:$G$1411</definedName>
    <definedName name="_xlnm.Print_Area" localSheetId="31">'7 - ESTRUCTURA CUBIERTA'!$A$18:$G$538</definedName>
    <definedName name="_xlnm.Print_Area" localSheetId="9">AIU!$A$1:$O$61</definedName>
    <definedName name="_xlnm.Print_Area" localSheetId="3">'APUS  FASE 1'!$A$1:$H$1270</definedName>
    <definedName name="_xlnm.Print_Area" localSheetId="34">CERRAMIENTO!$A$1:$G$124</definedName>
    <definedName name="_xlnm.Print_Area" localSheetId="20">Hoja3!$A$1:$H$22</definedName>
    <definedName name="_xlnm.Print_Area" localSheetId="14">'M.CANTID.FASE 1-ADUCCION'!$A$1:$P$313</definedName>
    <definedName name="_xlnm.Print_Area" localSheetId="23">'M.CANTID.FASE 3-DISTRIBUCCION'!$A$1:$P$174</definedName>
    <definedName name="_xlnm.Print_Area" localSheetId="13">'M.CANTID.GENERAL'!$A$1:$P$1750</definedName>
    <definedName name="_xlnm.Print_Area" localSheetId="36">OTROS!$A$1:$G$736</definedName>
    <definedName name="_xlnm.Print_Area" localSheetId="6">'PRES.FASE 1-ADUCCION'!$A$1:$G$123</definedName>
    <definedName name="_xlnm.Print_Area" localSheetId="12">'PRES.FASE 3-DISTRIBUCCION'!$A$1:$G$72</definedName>
    <definedName name="_xlnm.Print_Area" localSheetId="5">PRES.GENERAL!$A$1:$G$423</definedName>
    <definedName name="_xlnm.Print_Area" localSheetId="0">'PRESUP. OBRA PEÑO REDONDO'!$A$1:$G$261</definedName>
    <definedName name="_xlnm.Print_Area" localSheetId="1">'RESUMEN ELECTRICO CUBIERTA'!$A$1:$F$114</definedName>
    <definedName name="ART">#REF!,#REF!,#REF!,#REF!,#REF!,#REF!,#REF!</definedName>
    <definedName name="ASD_1" hidden="1">{"via1",#N/A,TRUE,"general";"via2",#N/A,TRUE,"general";"via3",#N/A,TRUE,"general"}</definedName>
    <definedName name="ASDA" hidden="1">{"via1",#N/A,TRUE,"general";"via2",#N/A,TRUE,"general";"via3",#N/A,TRUE,"general"}</definedName>
    <definedName name="ASDA_1" hidden="1">{"via1",#N/A,TRUE,"general";"via2",#N/A,TRUE,"general";"via3",#N/A,TRUE,"general"}</definedName>
    <definedName name="asdasd" hidden="1">{"TAB1",#N/A,TRUE,"GENERAL";"TAB2",#N/A,TRUE,"GENERAL";"TAB3",#N/A,TRUE,"GENERAL";"TAB4",#N/A,TRUE,"GENERAL";"TAB5",#N/A,TRUE,"GENERAL"}</definedName>
    <definedName name="asdasd_1" hidden="1">{"TAB1",#N/A,TRUE,"GENERAL";"TAB2",#N/A,TRUE,"GENERAL";"TAB3",#N/A,TRUE,"GENERAL";"TAB4",#N/A,TRUE,"GENERAL";"TAB5",#N/A,TRUE,"GENERAL"}</definedName>
    <definedName name="asdf" hidden="1">{"via1",#N/A,TRUE,"general";"via2",#N/A,TRUE,"general";"via3",#N/A,TRUE,"general"}</definedName>
    <definedName name="asdf_1" hidden="1">{"via1",#N/A,TRUE,"general";"via2",#N/A,TRUE,"general";"via3",#N/A,TRUE,"general"}</definedName>
    <definedName name="asdfa" hidden="1">{"via1",#N/A,TRUE,"general";"via2",#N/A,TRUE,"general";"via3",#N/A,TRUE,"general"}</definedName>
    <definedName name="asdfa_1" hidden="1">{"via1",#N/A,TRUE,"general";"via2",#N/A,TRUE,"general";"via3",#N/A,TRUE,"general"}</definedName>
    <definedName name="asfasd" hidden="1">{"via1",#N/A,TRUE,"general";"via2",#N/A,TRUE,"general";"via3",#N/A,TRUE,"general"}</definedName>
    <definedName name="asfasd_1" hidden="1">{"via1",#N/A,TRUE,"general";"via2",#N/A,TRUE,"general";"via3",#N/A,TRUE,"general"}</definedName>
    <definedName name="asfasdl" hidden="1">{"via1",#N/A,TRUE,"general";"via2",#N/A,TRUE,"general";"via3",#N/A,TRUE,"general"}</definedName>
    <definedName name="asfasdl_1" hidden="1">{"via1",#N/A,TRUE,"general";"via2",#N/A,TRUE,"general";"via3",#N/A,TRUE,"general"}</definedName>
    <definedName name="asff" hidden="1">{"TAB1",#N/A,TRUE,"GENERAL";"TAB2",#N/A,TRUE,"GENERAL";"TAB3",#N/A,TRUE,"GENERAL";"TAB4",#N/A,TRUE,"GENERAL";"TAB5",#N/A,TRUE,"GENERAL"}</definedName>
    <definedName name="asff_1" hidden="1">{"TAB1",#N/A,TRUE,"GENERAL";"TAB2",#N/A,TRUE,"GENERAL";"TAB3",#N/A,TRUE,"GENERAL";"TAB4",#N/A,TRUE,"GENERAL";"TAB5",#N/A,TRUE,"GENERAL"}</definedName>
    <definedName name="asfghjoi" hidden="1">{"via1",#N/A,TRUE,"general";"via2",#N/A,TRUE,"general";"via3",#N/A,TRUE,"general"}</definedName>
    <definedName name="asfghjoi_1" hidden="1">{"via1",#N/A,TRUE,"general";"via2",#N/A,TRUE,"general";"via3",#N/A,TRUE,"general"}</definedName>
    <definedName name="asojkdr" hidden="1">{"TAB1",#N/A,TRUE,"GENERAL";"TAB2",#N/A,TRUE,"GENERAL";"TAB3",#N/A,TRUE,"GENERAL";"TAB4",#N/A,TRUE,"GENERAL";"TAB5",#N/A,TRUE,"GENERAL"}</definedName>
    <definedName name="asojkdr_1" hidden="1">{"TAB1",#N/A,TRUE,"GENERAL";"TAB2",#N/A,TRUE,"GENERAL";"TAB3",#N/A,TRUE,"GENERAL";"TAB4",#N/A,TRUE,"GENERAL";"TAB5",#N/A,TRUE,"GENERAL"}</definedName>
    <definedName name="ATRS">[18]TRANS!$A:$D</definedName>
    <definedName name="AY">[21]Hoja1!$G$6</definedName>
    <definedName name="AYU">[21]Hoja1!$F$6</definedName>
    <definedName name="azaz" hidden="1">{"TAB1",#N/A,TRUE,"GENERAL";"TAB2",#N/A,TRUE,"GENERAL";"TAB3",#N/A,TRUE,"GENERAL";"TAB4",#N/A,TRUE,"GENERAL";"TAB5",#N/A,TRUE,"GENERAL"}</definedName>
    <definedName name="azaz_1" hidden="1">{"TAB1",#N/A,TRUE,"GENERAL";"TAB2",#N/A,TRUE,"GENERAL";"TAB3",#N/A,TRUE,"GENERAL";"TAB4",#N/A,TRUE,"GENERAL";"TAB5",#N/A,TRUE,"GENERAL"}</definedName>
    <definedName name="B_1" hidden="1">{"via1",#N/A,TRUE,"general";"via2",#N/A,TRUE,"general";"via3",#N/A,TRUE,"general"}</definedName>
    <definedName name="BAT">[19]PROYECTO!$C$17</definedName>
    <definedName name="BB">[16]PRECIOS!$G$1</definedName>
    <definedName name="bbbbbb" hidden="1">{"via1",#N/A,TRUE,"general";"via2",#N/A,TRUE,"general";"via3",#N/A,TRUE,"general"}</definedName>
    <definedName name="bbbbbb_1" hidden="1">{"via1",#N/A,TRUE,"general";"via2",#N/A,TRUE,"general";"via3",#N/A,TRUE,"general"}</definedName>
    <definedName name="bbbbbh" hidden="1">{"TAB1",#N/A,TRUE,"GENERAL";"TAB2",#N/A,TRUE,"GENERAL";"TAB3",#N/A,TRUE,"GENERAL";"TAB4",#N/A,TRUE,"GENERAL";"TAB5",#N/A,TRUE,"GENERAL"}</definedName>
    <definedName name="bbbbbh_1" hidden="1">{"TAB1",#N/A,TRUE,"GENERAL";"TAB2",#N/A,TRUE,"GENERAL";"TAB3",#N/A,TRUE,"GENERAL";"TAB4",#N/A,TRUE,"GENERAL";"TAB5",#N/A,TRUE,"GENERAL"}</definedName>
    <definedName name="bbd" hidden="1">{"TAB1",#N/A,TRUE,"GENERAL";"TAB2",#N/A,TRUE,"GENERAL";"TAB3",#N/A,TRUE,"GENERAL";"TAB4",#N/A,TRUE,"GENERAL";"TAB5",#N/A,TRUE,"GENERAL"}</definedName>
    <definedName name="bbd_1" hidden="1">{"TAB1",#N/A,TRUE,"GENERAL";"TAB2",#N/A,TRUE,"GENERAL";"TAB3",#N/A,TRUE,"GENERAL";"TAB4",#N/A,TRUE,"GENERAL";"TAB5",#N/A,TRUE,"GENERAL"}</definedName>
    <definedName name="BCXBDFG" hidden="1">{"TAB1",#N/A,TRUE,"GENERAL";"TAB2",#N/A,TRUE,"GENERAL";"TAB3",#N/A,TRUE,"GENERAL";"TAB4",#N/A,TRUE,"GENERAL";"TAB5",#N/A,TRUE,"GENERAL"}</definedName>
    <definedName name="BCXBDFG_1" hidden="1">{"TAB1",#N/A,TRUE,"GENERAL";"TAB2",#N/A,TRUE,"GENERAL";"TAB3",#N/A,TRUE,"GENERAL";"TAB4",#N/A,TRUE,"GENERAL";"TAB5",#N/A,TRUE,"GENERAL"}</definedName>
    <definedName name="BDFB" hidden="1">{"via1",#N/A,TRUE,"general";"via2",#N/A,TRUE,"general";"via3",#N/A,TRUE,"general"}</definedName>
    <definedName name="BDFB_1" hidden="1">{"via1",#N/A,TRUE,"general";"via2",#N/A,TRUE,"general";"via3",#N/A,TRUE,"general"}</definedName>
    <definedName name="BDFGDG" hidden="1">{"TAB1",#N/A,TRUE,"GENERAL";"TAB2",#N/A,TRUE,"GENERAL";"TAB3",#N/A,TRUE,"GENERAL";"TAB4",#N/A,TRUE,"GENERAL";"TAB5",#N/A,TRUE,"GENERAL"}</definedName>
    <definedName name="BDFGDG_1" hidden="1">{"TAB1",#N/A,TRUE,"GENERAL";"TAB2",#N/A,TRUE,"GENERAL";"TAB3",#N/A,TRUE,"GENERAL";"TAB4",#N/A,TRUE,"GENERAL";"TAB5",#N/A,TRUE,"GENERAL"}</definedName>
    <definedName name="BDLICITACION">[22]BD!$1:$1048576</definedName>
    <definedName name="be" hidden="1">{"TAB1",#N/A,TRUE,"GENERAL";"TAB2",#N/A,TRUE,"GENERAL";"TAB3",#N/A,TRUE,"GENERAL";"TAB4",#N/A,TRUE,"GENERAL";"TAB5",#N/A,TRUE,"GENERAL"}</definedName>
    <definedName name="be_1" hidden="1">{"TAB1",#N/A,TRUE,"GENERAL";"TAB2",#N/A,TRUE,"GENERAL";"TAB3",#N/A,TRUE,"GENERAL";"TAB4",#N/A,TRUE,"GENERAL";"TAB5",#N/A,TRUE,"GENERAL"}</definedName>
    <definedName name="bfnfv" hidden="1">{"TAB1",#N/A,TRUE,"GENERAL";"TAB2",#N/A,TRUE,"GENERAL";"TAB3",#N/A,TRUE,"GENERAL";"TAB4",#N/A,TRUE,"GENERAL";"TAB5",#N/A,TRUE,"GENERAL"}</definedName>
    <definedName name="bfnfv_1" hidden="1">{"TAB1",#N/A,TRUE,"GENERAL";"TAB2",#N/A,TRUE,"GENERAL";"TAB3",#N/A,TRUE,"GENERAL";"TAB4",#N/A,TRUE,"GENERAL";"TAB5",#N/A,TRUE,"GENERAL"}</definedName>
    <definedName name="bgb" hidden="1">{"TAB1",#N/A,TRUE,"GENERAL";"TAB2",#N/A,TRUE,"GENERAL";"TAB3",#N/A,TRUE,"GENERAL";"TAB4",#N/A,TRUE,"GENERAL";"TAB5",#N/A,TRUE,"GENERAL"}</definedName>
    <definedName name="bgb_1" hidden="1">{"TAB1",#N/A,TRUE,"GENERAL";"TAB2",#N/A,TRUE,"GENERAL";"TAB3",#N/A,TRUE,"GENERAL";"TAB4",#N/A,TRUE,"GENERAL";"TAB5",#N/A,TRUE,"GENERAL"}</definedName>
    <definedName name="BGDGFRT" hidden="1">{"via1",#N/A,TRUE,"general";"via2",#N/A,TRUE,"general";"via3",#N/A,TRUE,"general"}</definedName>
    <definedName name="BGDGFRT_1" hidden="1">{"via1",#N/A,TRUE,"general";"via2",#N/A,TRUE,"general";"via3",#N/A,TRUE,"general"}</definedName>
    <definedName name="BGFBFH" hidden="1">{"via1",#N/A,TRUE,"general";"via2",#N/A,TRUE,"general";"via3",#N/A,TRUE,"general"}</definedName>
    <definedName name="BGFBFH_1" hidden="1">{"via1",#N/A,TRUE,"general";"via2",#N/A,TRUE,"general";"via3",#N/A,TRUE,"general"}</definedName>
    <definedName name="bgvfcdx" hidden="1">{"via1",#N/A,TRUE,"general";"via2",#N/A,TRUE,"general";"via3",#N/A,TRUE,"general"}</definedName>
    <definedName name="bgvfcdx_1" hidden="1">{"via1",#N/A,TRUE,"general";"via2",#N/A,TRUE,"general";"via3",#N/A,TRUE,"general"}</definedName>
    <definedName name="br" hidden="1">{"TAB1",#N/A,TRUE,"GENERAL";"TAB2",#N/A,TRUE,"GENERAL";"TAB3",#N/A,TRUE,"GENERAL";"TAB4",#N/A,TRUE,"GENERAL";"TAB5",#N/A,TRUE,"GENERAL"}</definedName>
    <definedName name="br_1" hidden="1">{"TAB1",#N/A,TRUE,"GENERAL";"TAB2",#N/A,TRUE,"GENERAL";"TAB3",#N/A,TRUE,"GENERAL";"TAB4",#N/A,TRUE,"GENERAL";"TAB5",#N/A,TRUE,"GENERAL"}</definedName>
    <definedName name="bsb" hidden="1">{"via1",#N/A,TRUE,"general";"via2",#N/A,TRUE,"general";"via3",#N/A,TRUE,"general"}</definedName>
    <definedName name="bsb_1" hidden="1">{"via1",#N/A,TRUE,"general";"via2",#N/A,TRUE,"general";"via3",#N/A,TRUE,"general"}</definedName>
    <definedName name="bspoi" hidden="1">{"TAB1",#N/A,TRUE,"GENERAL";"TAB2",#N/A,TRUE,"GENERAL";"TAB3",#N/A,TRUE,"GENERAL";"TAB4",#N/A,TRUE,"GENERAL";"TAB5",#N/A,TRUE,"GENERAL"}</definedName>
    <definedName name="bspoi_1" hidden="1">{"TAB1",#N/A,TRUE,"GENERAL";"TAB2",#N/A,TRUE,"GENERAL";"TAB3",#N/A,TRUE,"GENERAL";"TAB4",#N/A,TRUE,"GENERAL";"TAB5",#N/A,TRUE,"GENERAL"}</definedName>
    <definedName name="bt" hidden="1">{"via1",#N/A,TRUE,"general";"via2",#N/A,TRUE,"general";"via3",#N/A,TRUE,"general"}</definedName>
    <definedName name="bt_1" hidden="1">{"via1",#N/A,TRUE,"general";"via2",#N/A,TRUE,"general";"via3",#N/A,TRUE,"general"}</definedName>
    <definedName name="BTYJHTR" hidden="1">{"TAB1",#N/A,TRUE,"GENERAL";"TAB2",#N/A,TRUE,"GENERAL";"TAB3",#N/A,TRUE,"GENERAL";"TAB4",#N/A,TRUE,"GENERAL";"TAB5",#N/A,TRUE,"GENERAL"}</definedName>
    <definedName name="BTYJHTR_1" hidden="1">{"TAB1",#N/A,TRUE,"GENERAL";"TAB2",#N/A,TRUE,"GENERAL";"TAB3",#N/A,TRUE,"GENERAL";"TAB4",#N/A,TRUE,"GENERAL";"TAB5",#N/A,TRUE,"GENERAL"}</definedName>
    <definedName name="bustos">[21]Hoja1!$G$10</definedName>
    <definedName name="bvbc" hidden="1">{"TAB1",#N/A,TRUE,"GENERAL";"TAB2",#N/A,TRUE,"GENERAL";"TAB3",#N/A,TRUE,"GENERAL";"TAB4",#N/A,TRUE,"GENERAL";"TAB5",#N/A,TRUE,"GENERAL"}</definedName>
    <definedName name="bvbc_1" hidden="1">{"TAB1",#N/A,TRUE,"GENERAL";"TAB2",#N/A,TRUE,"GENERAL";"TAB3",#N/A,TRUE,"GENERAL";"TAB4",#N/A,TRUE,"GENERAL";"TAB5",#N/A,TRUE,"GENERAL"}</definedName>
    <definedName name="bvcb" hidden="1">{"via1",#N/A,TRUE,"general";"via2",#N/A,TRUE,"general";"via3",#N/A,TRUE,"general"}</definedName>
    <definedName name="bvcb_1" hidden="1">{"via1",#N/A,TRUE,"general";"via2",#N/A,TRUE,"general";"via3",#N/A,TRUE,"general"}</definedName>
    <definedName name="bvn" hidden="1">{"via1",#N/A,TRUE,"general";"via2",#N/A,TRUE,"general";"via3",#N/A,TRUE,"general"}</definedName>
    <definedName name="bvn_1" hidden="1">{"via1",#N/A,TRUE,"general";"via2",#N/A,TRUE,"general";"via3",#N/A,TRUE,"general"}</definedName>
    <definedName name="by" hidden="1">{"via1",#N/A,TRUE,"general";"via2",#N/A,TRUE,"general";"via3",#N/A,TRUE,"general"}</definedName>
    <definedName name="by_1" hidden="1">{"via1",#N/A,TRUE,"general";"via2",#N/A,TRUE,"general";"via3",#N/A,TRUE,"general"}</definedName>
    <definedName name="CA">[12]PRECIOS!$J$64</definedName>
    <definedName name="caja">[23]APU!$J$251</definedName>
    <definedName name="CANTDS">[24]Modelo!$J$7:$J$10,[24]Modelo!$J$13:$J$27,[24]Modelo!$J$30:$J$33,[24]Modelo!$J$36:$J$40</definedName>
    <definedName name="CANTIDADES">'[22]CANTIDADES DE OBRA'!$D$9:$G$33</definedName>
    <definedName name="ccccc" hidden="1">{"TAB1",#N/A,TRUE,"GENERAL";"TAB2",#N/A,TRUE,"GENERAL";"TAB3",#N/A,TRUE,"GENERAL";"TAB4",#N/A,TRUE,"GENERAL";"TAB5",#N/A,TRUE,"GENERAL"}</definedName>
    <definedName name="ccccc_1" hidden="1">{"TAB1",#N/A,TRUE,"GENERAL";"TAB2",#N/A,TRUE,"GENERAL";"TAB3",#N/A,TRUE,"GENERAL";"TAB4",#N/A,TRUE,"GENERAL";"TAB5",#N/A,TRUE,"GENERAL"}</definedName>
    <definedName name="cdcdc" hidden="1">{"via1",#N/A,TRUE,"general";"via2",#N/A,TRUE,"general";"via3",#N/A,TRUE,"general"}</definedName>
    <definedName name="cdcdc_1" hidden="1">{"via1",#N/A,TRUE,"general";"via2",#N/A,TRUE,"general";"via3",#N/A,TRUE,"general"}</definedName>
    <definedName name="ceerf" hidden="1">{"TAB1",#N/A,TRUE,"GENERAL";"TAB2",#N/A,TRUE,"GENERAL";"TAB3",#N/A,TRUE,"GENERAL";"TAB4",#N/A,TRUE,"GENERAL";"TAB5",#N/A,TRUE,"GENERAL"}</definedName>
    <definedName name="ceerf_1" hidden="1">{"TAB1",#N/A,TRUE,"GENERAL";"TAB2",#N/A,TRUE,"GENERAL";"TAB3",#N/A,TRUE,"GENERAL";"TAB4",#N/A,TRUE,"GENERAL";"TAB5",#N/A,TRUE,"GENERAL"}</definedName>
    <definedName name="CH">[25]RRRRRRRRRR!$A$2:$E$104</definedName>
    <definedName name="CJPZ">[10]APU!$J$3586</definedName>
    <definedName name="CNT_M">[24]Modelo!$H$13:$H$27</definedName>
    <definedName name="CO" localSheetId="33">[6]PRECIOS!$J$61</definedName>
    <definedName name="CO">[7]PRECIOS!$J$61</definedName>
    <definedName name="CUNET" hidden="1">{"via1",#N/A,TRUE,"general";"via2",#N/A,TRUE,"general";"via3",#N/A,TRUE,"general"}</definedName>
    <definedName name="CUNET_1" hidden="1">{"via1",#N/A,TRUE,"general";"via2",#N/A,TRUE,"general";"via3",#N/A,TRUE,"general"}</definedName>
    <definedName name="cv_1" hidden="1">{"TAB1",#N/A,TRUE,"GENERAL";"TAB2",#N/A,TRUE,"GENERAL";"TAB3",#N/A,TRUE,"GENERAL";"TAB4",#N/A,TRUE,"GENERAL";"TAB5",#N/A,TRUE,"GENERAL"}</definedName>
    <definedName name="cvfvd" hidden="1">{"via1",#N/A,TRUE,"general";"via2",#N/A,TRUE,"general";"via3",#N/A,TRUE,"general"}</definedName>
    <definedName name="cvfvd_1" hidden="1">{"via1",#N/A,TRUE,"general";"via2",#N/A,TRUE,"general";"via3",#N/A,TRUE,"general"}</definedName>
    <definedName name="cvn" hidden="1">{"TAB1",#N/A,TRUE,"GENERAL";"TAB2",#N/A,TRUE,"GENERAL";"TAB3",#N/A,TRUE,"GENERAL";"TAB4",#N/A,TRUE,"GENERAL";"TAB5",#N/A,TRUE,"GENERAL"}</definedName>
    <definedName name="cvn_1" hidden="1">{"TAB1",#N/A,TRUE,"GENERAL";"TAB2",#N/A,TRUE,"GENERAL";"TAB3",#N/A,TRUE,"GENERAL";"TAB4",#N/A,TRUE,"GENERAL";"TAB5",#N/A,TRUE,"GENERAL"}</definedName>
    <definedName name="CVXC" hidden="1">{"via1",#N/A,TRUE,"general";"via2",#N/A,TRUE,"general";"via3",#N/A,TRUE,"general"}</definedName>
    <definedName name="CVXC_1" hidden="1">{"via1",#N/A,TRUE,"general";"via2",#N/A,TRUE,"general";"via3",#N/A,TRUE,"general"}</definedName>
    <definedName name="d_1" hidden="1">{"TAB1",#N/A,TRUE,"GENERAL";"TAB2",#N/A,TRUE,"GENERAL";"TAB3",#N/A,TRUE,"GENERAL";"TAB4",#N/A,TRUE,"GENERAL";"TAB5",#N/A,TRUE,"GENERAL"}</definedName>
    <definedName name="DASD" hidden="1">{"TAB1",#N/A,TRUE,"GENERAL";"TAB2",#N/A,TRUE,"GENERAL";"TAB3",#N/A,TRUE,"GENERAL";"TAB4",#N/A,TRUE,"GENERAL";"TAB5",#N/A,TRUE,"GENERAL"}</definedName>
    <definedName name="DASD_1" hidden="1">{"TAB1",#N/A,TRUE,"GENERAL";"TAB2",#N/A,TRUE,"GENERAL";"TAB3",#N/A,TRUE,"GENERAL";"TAB4",#N/A,TRUE,"GENERAL";"TAB5",#N/A,TRUE,"GENERAL"}</definedName>
    <definedName name="dbfdfbi" hidden="1">{"TAB1",#N/A,TRUE,"GENERAL";"TAB2",#N/A,TRUE,"GENERAL";"TAB3",#N/A,TRUE,"GENERAL";"TAB4",#N/A,TRUE,"GENERAL";"TAB5",#N/A,TRUE,"GENERAL"}</definedName>
    <definedName name="dbfdfbi_1" hidden="1">{"TAB1",#N/A,TRUE,"GENERAL";"TAB2",#N/A,TRUE,"GENERAL";"TAB3",#N/A,TRUE,"GENERAL";"TAB4",#N/A,TRUE,"GENERAL";"TAB5",#N/A,TRUE,"GENERAL"}</definedName>
    <definedName name="DCSDCTV" hidden="1">{"via1",#N/A,TRUE,"general";"via2",#N/A,TRUE,"general";"via3",#N/A,TRUE,"general"}</definedName>
    <definedName name="DCSDCTV_1" hidden="1">{"via1",#N/A,TRUE,"general";"via2",#N/A,TRUE,"general";"via3",#N/A,TRUE,"general"}</definedName>
    <definedName name="ddd" hidden="1">{"via1",#N/A,TRUE,"general";"via2",#N/A,TRUE,"general";"via3",#N/A,TRUE,"general"}</definedName>
    <definedName name="ddd_1" hidden="1">{"via1",#N/A,TRUE,"general";"via2",#N/A,TRUE,"general";"via3",#N/A,TRUE,"general"}</definedName>
    <definedName name="ddddt" hidden="1">{"via1",#N/A,TRUE,"general";"via2",#N/A,TRUE,"general";"via3",#N/A,TRUE,"general"}</definedName>
    <definedName name="ddddt_1" hidden="1">{"via1",#N/A,TRUE,"general";"via2",#N/A,TRUE,"general";"via3",#N/A,TRUE,"general"}</definedName>
    <definedName name="ddewdw" hidden="1">{"TAB1",#N/A,TRUE,"GENERAL";"TAB2",#N/A,TRUE,"GENERAL";"TAB3",#N/A,TRUE,"GENERAL";"TAB4",#N/A,TRUE,"GENERAL";"TAB5",#N/A,TRUE,"GENERAL"}</definedName>
    <definedName name="ddewdw_1" hidden="1">{"TAB1",#N/A,TRUE,"GENERAL";"TAB2",#N/A,TRUE,"GENERAL";"TAB3",#N/A,TRUE,"GENERAL";"TAB4",#N/A,TRUE,"GENERAL";"TAB5",#N/A,TRUE,"GENERAL"}</definedName>
    <definedName name="ddfdh" hidden="1">{"TAB1",#N/A,TRUE,"GENERAL";"TAB2",#N/A,TRUE,"GENERAL";"TAB3",#N/A,TRUE,"GENERAL";"TAB4",#N/A,TRUE,"GENERAL";"TAB5",#N/A,TRUE,"GENERAL"}</definedName>
    <definedName name="ddfdh_1" hidden="1">{"TAB1",#N/A,TRUE,"GENERAL";"TAB2",#N/A,TRUE,"GENERAL";"TAB3",#N/A,TRUE,"GENERAL";"TAB4",#N/A,TRUE,"GENERAL";"TAB5",#N/A,TRUE,"GENERAL"}</definedName>
    <definedName name="DDGSDP" hidden="1">{"TAB1",#N/A,TRUE,"GENERAL";"TAB2",#N/A,TRUE,"GENERAL";"TAB3",#N/A,TRUE,"GENERAL";"TAB4",#N/A,TRUE,"GENERAL";"TAB5",#N/A,TRUE,"GENERAL"}</definedName>
    <definedName name="DDGSDP_1" hidden="1">{"TAB1",#N/A,TRUE,"GENERAL";"TAB2",#N/A,TRUE,"GENERAL";"TAB3",#N/A,TRUE,"GENERAL";"TAB4",#N/A,TRUE,"GENERAL";"TAB5",#N/A,TRUE,"GENERAL"}</definedName>
    <definedName name="deded" hidden="1">{"TAB1",#N/A,TRUE,"GENERAL";"TAB2",#N/A,TRUE,"GENERAL";"TAB3",#N/A,TRUE,"GENERAL";"TAB4",#N/A,TRUE,"GENERAL";"TAB5",#N/A,TRUE,"GENERAL"}</definedName>
    <definedName name="deded_1" hidden="1">{"TAB1",#N/A,TRUE,"GENERAL";"TAB2",#N/A,TRUE,"GENERAL";"TAB3",#N/A,TRUE,"GENERAL";"TAB4",#N/A,TRUE,"GENERAL";"TAB5",#N/A,TRUE,"GENERAL"}</definedName>
    <definedName name="defd" hidden="1">{"via1",#N/A,TRUE,"general";"via2",#N/A,TRUE,"general";"via3",#N/A,TRUE,"general"}</definedName>
    <definedName name="defd_1" hidden="1">{"via1",#N/A,TRUE,"general";"via2",#N/A,TRUE,"general";"via3",#N/A,TRUE,"general"}</definedName>
    <definedName name="dfa" hidden="1">{"TAB1",#N/A,TRUE,"GENERAL";"TAB2",#N/A,TRUE,"GENERAL";"TAB3",#N/A,TRUE,"GENERAL";"TAB4",#N/A,TRUE,"GENERAL";"TAB5",#N/A,TRUE,"GENERAL"}</definedName>
    <definedName name="dfa_1" hidden="1">{"TAB1",#N/A,TRUE,"GENERAL";"TAB2",#N/A,TRUE,"GENERAL";"TAB3",#N/A,TRUE,"GENERAL";"TAB4",#N/A,TRUE,"GENERAL";"TAB5",#N/A,TRUE,"GENERAL"}</definedName>
    <definedName name="dfasd" hidden="1">{"TAB1",#N/A,TRUE,"GENERAL";"TAB2",#N/A,TRUE,"GENERAL";"TAB3",#N/A,TRUE,"GENERAL";"TAB4",#N/A,TRUE,"GENERAL";"TAB5",#N/A,TRUE,"GENERAL"}</definedName>
    <definedName name="dfasd_1" hidden="1">{"TAB1",#N/A,TRUE,"GENERAL";"TAB2",#N/A,TRUE,"GENERAL";"TAB3",#N/A,TRUE,"GENERAL";"TAB4",#N/A,TRUE,"GENERAL";"TAB5",#N/A,TRUE,"GENERAL"}</definedName>
    <definedName name="DFBNJ" hidden="1">{"via1",#N/A,TRUE,"general";"via2",#N/A,TRUE,"general";"via3",#N/A,TRUE,"general"}</definedName>
    <definedName name="DFBNJ_1" hidden="1">{"via1",#N/A,TRUE,"general";"via2",#N/A,TRUE,"general";"via3",#N/A,TRUE,"general"}</definedName>
    <definedName name="dfds" hidden="1">{"TAB1",#N/A,TRUE,"GENERAL";"TAB2",#N/A,TRUE,"GENERAL";"TAB3",#N/A,TRUE,"GENERAL";"TAB4",#N/A,TRUE,"GENERAL";"TAB5",#N/A,TRUE,"GENERAL"}</definedName>
    <definedName name="dfds_1" hidden="1">{"TAB1",#N/A,TRUE,"GENERAL";"TAB2",#N/A,TRUE,"GENERAL";"TAB3",#N/A,TRUE,"GENERAL";"TAB4",#N/A,TRUE,"GENERAL";"TAB5",#N/A,TRUE,"GENERAL"}</definedName>
    <definedName name="dfdsfi" hidden="1">{"via1",#N/A,TRUE,"general";"via2",#N/A,TRUE,"general";"via3",#N/A,TRUE,"general"}</definedName>
    <definedName name="dfdsfi_1" hidden="1">{"via1",#N/A,TRUE,"general";"via2",#N/A,TRUE,"general";"via3",#N/A,TRUE,"general"}</definedName>
    <definedName name="dffffe" hidden="1">{"TAB1",#N/A,TRUE,"GENERAL";"TAB2",#N/A,TRUE,"GENERAL";"TAB3",#N/A,TRUE,"GENERAL";"TAB4",#N/A,TRUE,"GENERAL";"TAB5",#N/A,TRUE,"GENERAL"}</definedName>
    <definedName name="dffffe_1" hidden="1">{"TAB1",#N/A,TRUE,"GENERAL";"TAB2",#N/A,TRUE,"GENERAL";"TAB3",#N/A,TRUE,"GENERAL";"TAB4",#N/A,TRUE,"GENERAL";"TAB5",#N/A,TRUE,"GENERAL"}</definedName>
    <definedName name="DFG" hidden="1">{"via1",#N/A,TRUE,"general";"via2",#N/A,TRUE,"general";"via3",#N/A,TRUE,"general"}</definedName>
    <definedName name="DFG_1" hidden="1">{"via1",#N/A,TRUE,"general";"via2",#N/A,TRUE,"general";"via3",#N/A,TRUE,"general"}</definedName>
    <definedName name="DFGBHJ" hidden="1">{"via1",#N/A,TRUE,"general";"via2",#N/A,TRUE,"general";"via3",#N/A,TRUE,"general"}</definedName>
    <definedName name="DFGBHJ_1" hidden="1">{"via1",#N/A,TRUE,"general";"via2",#N/A,TRUE,"general";"via3",#N/A,TRUE,"general"}</definedName>
    <definedName name="DFGDFG" hidden="1">{"via1",#N/A,TRUE,"general";"via2",#N/A,TRUE,"general";"via3",#N/A,TRUE,"general"}</definedName>
    <definedName name="DFGDFG_1" hidden="1">{"via1",#N/A,TRUE,"general";"via2",#N/A,TRUE,"general";"via3",#N/A,TRUE,"general"}</definedName>
    <definedName name="DFGDYYB" hidden="1">{"TAB1",#N/A,TRUE,"GENERAL";"TAB2",#N/A,TRUE,"GENERAL";"TAB3",#N/A,TRUE,"GENERAL";"TAB4",#N/A,TRUE,"GENERAL";"TAB5",#N/A,TRUE,"GENERAL"}</definedName>
    <definedName name="DFGDYYB_1" hidden="1">{"TAB1",#N/A,TRUE,"GENERAL";"TAB2",#N/A,TRUE,"GENERAL";"TAB3",#N/A,TRUE,"GENERAL";"TAB4",#N/A,TRUE,"GENERAL";"TAB5",#N/A,TRUE,"GENERAL"}</definedName>
    <definedName name="dfgf" hidden="1">{"via1",#N/A,TRUE,"general";"via2",#N/A,TRUE,"general";"via3",#N/A,TRUE,"general"}</definedName>
    <definedName name="dfgf_1" hidden="1">{"via1",#N/A,TRUE,"general";"via2",#N/A,TRUE,"general";"via3",#N/A,TRUE,"general"}</definedName>
    <definedName name="DFGFBOP" hidden="1">{"TAB1",#N/A,TRUE,"GENERAL";"TAB2",#N/A,TRUE,"GENERAL";"TAB3",#N/A,TRUE,"GENERAL";"TAB4",#N/A,TRUE,"GENERAL";"TAB5",#N/A,TRUE,"GENERAL"}</definedName>
    <definedName name="DFGFBOP_1" hidden="1">{"TAB1",#N/A,TRUE,"GENERAL";"TAB2",#N/A,TRUE,"GENERAL";"TAB3",#N/A,TRUE,"GENERAL";"TAB4",#N/A,TRUE,"GENERAL";"TAB5",#N/A,TRUE,"GENERAL"}</definedName>
    <definedName name="DFGFDG" hidden="1">{"TAB1",#N/A,TRUE,"GENERAL";"TAB2",#N/A,TRUE,"GENERAL";"TAB3",#N/A,TRUE,"GENERAL";"TAB4",#N/A,TRUE,"GENERAL";"TAB5",#N/A,TRUE,"GENERAL"}</definedName>
    <definedName name="DFGFDG_1" hidden="1">{"TAB1",#N/A,TRUE,"GENERAL";"TAB2",#N/A,TRUE,"GENERAL";"TAB3",#N/A,TRUE,"GENERAL";"TAB4",#N/A,TRUE,"GENERAL";"TAB5",#N/A,TRUE,"GENERAL"}</definedName>
    <definedName name="DFGV" hidden="1">{"TAB1",#N/A,TRUE,"GENERAL";"TAB2",#N/A,TRUE,"GENERAL";"TAB3",#N/A,TRUE,"GENERAL";"TAB4",#N/A,TRUE,"GENERAL";"TAB5",#N/A,TRUE,"GENERAL"}</definedName>
    <definedName name="DFGV_1" hidden="1">{"TAB1",#N/A,TRUE,"GENERAL";"TAB2",#N/A,TRUE,"GENERAL";"TAB3",#N/A,TRUE,"GENERAL";"TAB4",#N/A,TRUE,"GENERAL";"TAB5",#N/A,TRUE,"GENERAL"}</definedName>
    <definedName name="dfgypuj" hidden="1">{"TAB1",#N/A,TRUE,"GENERAL";"TAB2",#N/A,TRUE,"GENERAL";"TAB3",#N/A,TRUE,"GENERAL";"TAB4",#N/A,TRUE,"GENERAL";"TAB5",#N/A,TRUE,"GENERAL"}</definedName>
    <definedName name="dfgypuj_1" hidden="1">{"TAB1",#N/A,TRUE,"GENERAL";"TAB2",#N/A,TRUE,"GENERAL";"TAB3",#N/A,TRUE,"GENERAL";"TAB4",#N/A,TRUE,"GENERAL";"TAB5",#N/A,TRUE,"GENERAL"}</definedName>
    <definedName name="dfh" hidden="1">{"TAB1",#N/A,TRUE,"GENERAL";"TAB2",#N/A,TRUE,"GENERAL";"TAB3",#N/A,TRUE,"GENERAL";"TAB4",#N/A,TRUE,"GENERAL";"TAB5",#N/A,TRUE,"GENERAL"}</definedName>
    <definedName name="dfh_1" hidden="1">{"TAB1",#N/A,TRUE,"GENERAL";"TAB2",#N/A,TRUE,"GENERAL";"TAB3",#N/A,TRUE,"GENERAL";"TAB4",#N/A,TRUE,"GENERAL";"TAB5",#N/A,TRUE,"GENERAL"}</definedName>
    <definedName name="dfhdr" hidden="1">{"via1",#N/A,TRUE,"general";"via2",#N/A,TRUE,"general";"via3",#N/A,TRUE,"general"}</definedName>
    <definedName name="dfhdr_1" hidden="1">{"via1",#N/A,TRUE,"general";"via2",#N/A,TRUE,"general";"via3",#N/A,TRUE,"general"}</definedName>
    <definedName name="dfhgh" hidden="1">{"via1",#N/A,TRUE,"general";"via2",#N/A,TRUE,"general";"via3",#N/A,TRUE,"general"}</definedName>
    <definedName name="dfhgh_1" hidden="1">{"via1",#N/A,TRUE,"general";"via2",#N/A,TRUE,"general";"via3",#N/A,TRUE,"general"}</definedName>
    <definedName name="dfj" hidden="1">{"via1",#N/A,TRUE,"general";"via2",#N/A,TRUE,"general";"via3",#N/A,TRUE,"general"}</definedName>
    <definedName name="dfj_1" hidden="1">{"via1",#N/A,TRUE,"general";"via2",#N/A,TRUE,"general";"via3",#N/A,TRUE,"general"}</definedName>
    <definedName name="DFRFRF" hidden="1">{"via1",#N/A,TRUE,"general";"via2",#N/A,TRUE,"general";"via3",#N/A,TRUE,"general"}</definedName>
    <definedName name="DFRFRF_1" hidden="1">{"via1",#N/A,TRUE,"general";"via2",#N/A,TRUE,"general";"via3",#N/A,TRUE,"general"}</definedName>
    <definedName name="DFVUI" hidden="1">{"via1",#N/A,TRUE,"general";"via2",#N/A,TRUE,"general";"via3",#N/A,TRUE,"general"}</definedName>
    <definedName name="DFVUI_1" hidden="1">{"via1",#N/A,TRUE,"general";"via2",#N/A,TRUE,"general";"via3",#N/A,TRUE,"general"}</definedName>
    <definedName name="dg" hidden="1">{"via1",#N/A,TRUE,"general";"via2",#N/A,TRUE,"general";"via3",#N/A,TRUE,"general"}</definedName>
    <definedName name="dg_1" hidden="1">{"via1",#N/A,TRUE,"general";"via2",#N/A,TRUE,"general";"via3",#N/A,TRUE,"general"}</definedName>
    <definedName name="dgdgr" hidden="1">{"via1",#N/A,TRUE,"general";"via2",#N/A,TRUE,"general";"via3",#N/A,TRUE,"general"}</definedName>
    <definedName name="dgdgr_1" hidden="1">{"via1",#N/A,TRUE,"general";"via2",#N/A,TRUE,"general";"via3",#N/A,TRUE,"general"}</definedName>
    <definedName name="dgfd" hidden="1">{"TAB1",#N/A,TRUE,"GENERAL";"TAB2",#N/A,TRUE,"GENERAL";"TAB3",#N/A,TRUE,"GENERAL";"TAB4",#N/A,TRUE,"GENERAL";"TAB5",#N/A,TRUE,"GENERAL"}</definedName>
    <definedName name="dgfd_1" hidden="1">{"TAB1",#N/A,TRUE,"GENERAL";"TAB2",#N/A,TRUE,"GENERAL";"TAB3",#N/A,TRUE,"GENERAL";"TAB4",#N/A,TRUE,"GENERAL";"TAB5",#N/A,TRUE,"GENERAL"}</definedName>
    <definedName name="DGFDFVSDF" hidden="1">{"via1",#N/A,TRUE,"general";"via2",#N/A,TRUE,"general";"via3",#N/A,TRUE,"general"}</definedName>
    <definedName name="DGFDFVSDF_1" hidden="1">{"via1",#N/A,TRUE,"general";"via2",#N/A,TRUE,"general";"via3",#N/A,TRUE,"general"}</definedName>
    <definedName name="dgfdg" hidden="1">{"via1",#N/A,TRUE,"general";"via2",#N/A,TRUE,"general";"via3",#N/A,TRUE,"general"}</definedName>
    <definedName name="dgfdg_1" hidden="1">{"via1",#N/A,TRUE,"general";"via2",#N/A,TRUE,"general";"via3",#N/A,TRUE,"general"}</definedName>
    <definedName name="DGFG" hidden="1">{"via1",#N/A,TRUE,"general";"via2",#N/A,TRUE,"general";"via3",#N/A,TRUE,"general"}</definedName>
    <definedName name="DGFG_1" hidden="1">{"via1",#N/A,TRUE,"general";"via2",#N/A,TRUE,"general";"via3",#N/A,TRUE,"general"}</definedName>
    <definedName name="dgfsado" hidden="1">{"TAB1",#N/A,TRUE,"GENERAL";"TAB2",#N/A,TRUE,"GENERAL";"TAB3",#N/A,TRUE,"GENERAL";"TAB4",#N/A,TRUE,"GENERAL";"TAB5",#N/A,TRUE,"GENERAL"}</definedName>
    <definedName name="dgfsado_1" hidden="1">{"TAB1",#N/A,TRUE,"GENERAL";"TAB2",#N/A,TRUE,"GENERAL";"TAB3",#N/A,TRUE,"GENERAL";"TAB4",#N/A,TRUE,"GENERAL";"TAB5",#N/A,TRUE,"GENERAL"}</definedName>
    <definedName name="dgrdeb" hidden="1">{"TAB1",#N/A,TRUE,"GENERAL";"TAB2",#N/A,TRUE,"GENERAL";"TAB3",#N/A,TRUE,"GENERAL";"TAB4",#N/A,TRUE,"GENERAL";"TAB5",#N/A,TRUE,"GENERAL"}</definedName>
    <definedName name="dgrdeb_1" hidden="1">{"TAB1",#N/A,TRUE,"GENERAL";"TAB2",#N/A,TRUE,"GENERAL";"TAB3",#N/A,TRUE,"GENERAL";"TAB4",#N/A,TRUE,"GENERAL";"TAB5",#N/A,TRUE,"GENERAL"}</definedName>
    <definedName name="dgreg" hidden="1">{"via1",#N/A,TRUE,"general";"via2",#N/A,TRUE,"general";"via3",#N/A,TRUE,"general"}</definedName>
    <definedName name="dgreg_1" hidden="1">{"via1",#N/A,TRUE,"general";"via2",#N/A,TRUE,"general";"via3",#N/A,TRUE,"general"}</definedName>
    <definedName name="DH" hidden="1">{"via1",#N/A,TRUE,"general";"via2",#N/A,TRUE,"general";"via3",#N/A,TRUE,"general"}</definedName>
    <definedName name="DH_1" hidden="1">{"via1",#N/A,TRUE,"general";"via2",#N/A,TRUE,"general";"via3",#N/A,TRUE,"general"}</definedName>
    <definedName name="dhdth" hidden="1">{"TAB1",#N/A,TRUE,"GENERAL";"TAB2",#N/A,TRUE,"GENERAL";"TAB3",#N/A,TRUE,"GENERAL";"TAB4",#N/A,TRUE,"GENERAL";"TAB5",#N/A,TRUE,"GENERAL"}</definedName>
    <definedName name="dhdth_1" hidden="1">{"TAB1",#N/A,TRUE,"GENERAL";"TAB2",#N/A,TRUE,"GENERAL";"TAB3",#N/A,TRUE,"GENERAL";"TAB4",#N/A,TRUE,"GENERAL";"TAB5",#N/A,TRUE,"GENERAL"}</definedName>
    <definedName name="dhgh" hidden="1">{"via1",#N/A,TRUE,"general";"via2",#N/A,TRUE,"general";"via3",#N/A,TRUE,"general"}</definedName>
    <definedName name="dhgh_1" hidden="1">{"via1",#N/A,TRUE,"general";"via2",#N/A,TRUE,"general";"via3",#N/A,TRUE,"general"}</definedName>
    <definedName name="diego">[21]Hoja1!$G$5</definedName>
    <definedName name="djdytj" hidden="1">{"TAB1",#N/A,TRUE,"GENERAL";"TAB2",#N/A,TRUE,"GENERAL";"TAB3",#N/A,TRUE,"GENERAL";"TAB4",#N/A,TRUE,"GENERAL";"TAB5",#N/A,TRUE,"GENERAL"}</definedName>
    <definedName name="djdytj_1" hidden="1">{"TAB1",#N/A,TRUE,"GENERAL";"TAB2",#N/A,TRUE,"GENERAL";"TAB3",#N/A,TRUE,"GENERAL";"TAB4",#N/A,TRUE,"GENERAL";"TAB5",#N/A,TRUE,"GENERAL"}</definedName>
    <definedName name="DJFH">[26]MATERIALES!$H$4</definedName>
    <definedName name="dry" hidden="1">{"via1",#N/A,TRUE,"general";"via2",#N/A,TRUE,"general";"via3",#N/A,TRUE,"general"}</definedName>
    <definedName name="dry_1" hidden="1">{"via1",#N/A,TRUE,"general";"via2",#N/A,TRUE,"general";"via3",#N/A,TRUE,"general"}</definedName>
    <definedName name="DSAD" hidden="1">{"via1",#N/A,TRUE,"general";"via2",#N/A,TRUE,"general";"via3",#N/A,TRUE,"general"}</definedName>
    <definedName name="DSAD_1" hidden="1">{"via1",#N/A,TRUE,"general";"via2",#N/A,TRUE,"general";"via3",#N/A,TRUE,"general"}</definedName>
    <definedName name="dsadfp" hidden="1">{"TAB1",#N/A,TRUE,"GENERAL";"TAB2",#N/A,TRUE,"GENERAL";"TAB3",#N/A,TRUE,"GENERAL";"TAB4",#N/A,TRUE,"GENERAL";"TAB5",#N/A,TRUE,"GENERAL"}</definedName>
    <definedName name="dsadfp_1" hidden="1">{"TAB1",#N/A,TRUE,"GENERAL";"TAB2",#N/A,TRUE,"GENERAL";"TAB3",#N/A,TRUE,"GENERAL";"TAB4",#N/A,TRUE,"GENERAL";"TAB5",#N/A,TRUE,"GENERAL"}</definedName>
    <definedName name="DSAGASG" localSheetId="6">#REF!</definedName>
    <definedName name="DSAGASG" localSheetId="12">#REF!</definedName>
    <definedName name="DSAGASG" localSheetId="5">#REF!</definedName>
    <definedName name="DSD" hidden="1">{"via1",#N/A,TRUE,"general";"via2",#N/A,TRUE,"general";"via3",#N/A,TRUE,"general"}</definedName>
    <definedName name="DSD_1" hidden="1">{"via1",#N/A,TRUE,"general";"via2",#N/A,TRUE,"general";"via3",#N/A,TRUE,"general"}</definedName>
    <definedName name="dsdads4" hidden="1">{"TAB1",#N/A,TRUE,"GENERAL";"TAB2",#N/A,TRUE,"GENERAL";"TAB3",#N/A,TRUE,"GENERAL";"TAB4",#N/A,TRUE,"GENERAL";"TAB5",#N/A,TRUE,"GENERAL"}</definedName>
    <definedName name="dsdads4_1" hidden="1">{"TAB1",#N/A,TRUE,"GENERAL";"TAB2",#N/A,TRUE,"GENERAL";"TAB3",#N/A,TRUE,"GENERAL";"TAB4",#N/A,TRUE,"GENERAL";"TAB5",#N/A,TRUE,"GENERAL"}</definedName>
    <definedName name="DSF" hidden="1">{"via1",#N/A,TRUE,"general";"via2",#N/A,TRUE,"general";"via3",#N/A,TRUE,"general"}</definedName>
    <definedName name="DSF_1" hidden="1">{"via1",#N/A,TRUE,"general";"via2",#N/A,TRUE,"general";"via3",#N/A,TRUE,"general"}</definedName>
    <definedName name="DSFCVTY" hidden="1">{"TAB1",#N/A,TRUE,"GENERAL";"TAB2",#N/A,TRUE,"GENERAL";"TAB3",#N/A,TRUE,"GENERAL";"TAB4",#N/A,TRUE,"GENERAL";"TAB5",#N/A,TRUE,"GENERAL"}</definedName>
    <definedName name="DSFCVTY_1" hidden="1">{"TAB1",#N/A,TRUE,"GENERAL";"TAB2",#N/A,TRUE,"GENERAL";"TAB3",#N/A,TRUE,"GENERAL";"TAB4",#N/A,TRUE,"GENERAL";"TAB5",#N/A,TRUE,"GENERAL"}</definedName>
    <definedName name="dsfg" hidden="1">{"via1",#N/A,TRUE,"general";"via2",#N/A,TRUE,"general";"via3",#N/A,TRUE,"general"}</definedName>
    <definedName name="dsfg_1" hidden="1">{"via1",#N/A,TRUE,"general";"via2",#N/A,TRUE,"general";"via3",#N/A,TRUE,"general"}</definedName>
    <definedName name="dsfhgfdh" hidden="1">{"TAB1",#N/A,TRUE,"GENERAL";"TAB2",#N/A,TRUE,"GENERAL";"TAB3",#N/A,TRUE,"GENERAL";"TAB4",#N/A,TRUE,"GENERAL";"TAB5",#N/A,TRUE,"GENERAL"}</definedName>
    <definedName name="dsfhgfdh_1" hidden="1">{"TAB1",#N/A,TRUE,"GENERAL";"TAB2",#N/A,TRUE,"GENERAL";"TAB3",#N/A,TRUE,"GENERAL";"TAB4",#N/A,TRUE,"GENERAL";"TAB5",#N/A,TRUE,"GENERAL"}</definedName>
    <definedName name="dsfsdf" hidden="1">{"via1",#N/A,TRUE,"general";"via2",#N/A,TRUE,"general";"via3",#N/A,TRUE,"general"}</definedName>
    <definedName name="dsfsdf_1" hidden="1">{"via1",#N/A,TRUE,"general";"via2",#N/A,TRUE,"general";"via3",#N/A,TRUE,"general"}</definedName>
    <definedName name="DSFSDFCXV" hidden="1">{"TAB1",#N/A,TRUE,"GENERAL";"TAB2",#N/A,TRUE,"GENERAL";"TAB3",#N/A,TRUE,"GENERAL";"TAB4",#N/A,TRUE,"GENERAL";"TAB5",#N/A,TRUE,"GENERAL"}</definedName>
    <definedName name="DSFSDFCXV_1" hidden="1">{"TAB1",#N/A,TRUE,"GENERAL";"TAB2",#N/A,TRUE,"GENERAL";"TAB3",#N/A,TRUE,"GENERAL";"TAB4",#N/A,TRUE,"GENERAL";"TAB5",#N/A,TRUE,"GENERAL"}</definedName>
    <definedName name="dsfsvm" hidden="1">{"TAB1",#N/A,TRUE,"GENERAL";"TAB2",#N/A,TRUE,"GENERAL";"TAB3",#N/A,TRUE,"GENERAL";"TAB4",#N/A,TRUE,"GENERAL";"TAB5",#N/A,TRUE,"GENERAL"}</definedName>
    <definedName name="dsfsvm_1" hidden="1">{"TAB1",#N/A,TRUE,"GENERAL";"TAB2",#N/A,TRUE,"GENERAL";"TAB3",#N/A,TRUE,"GENERAL";"TAB4",#N/A,TRUE,"GENERAL";"TAB5",#N/A,TRUE,"GENERAL"}</definedName>
    <definedName name="dsftbv" hidden="1">{"via1",#N/A,TRUE,"general";"via2",#N/A,TRUE,"general";"via3",#N/A,TRUE,"general"}</definedName>
    <definedName name="dsftbv_1" hidden="1">{"via1",#N/A,TRUE,"general";"via2",#N/A,TRUE,"general";"via3",#N/A,TRUE,"general"}</definedName>
    <definedName name="dtrhj" hidden="1">{"via1",#N/A,TRUE,"general";"via2",#N/A,TRUE,"general";"via3",#N/A,TRUE,"general"}</definedName>
    <definedName name="dtrhj_1" hidden="1">{"via1",#N/A,TRUE,"general";"via2",#N/A,TRUE,"general";"via3",#N/A,TRUE,"general"}</definedName>
    <definedName name="dxfgg" hidden="1">{"via1",#N/A,TRUE,"general";"via2",#N/A,TRUE,"general";"via3",#N/A,TRUE,"general"}</definedName>
    <definedName name="dxfgg_1" hidden="1">{"via1",#N/A,TRUE,"general";"via2",#N/A,TRUE,"general";"via3",#N/A,TRUE,"general"}</definedName>
    <definedName name="e3e33" hidden="1">{"via1",#N/A,TRUE,"general";"via2",#N/A,TRUE,"general";"via3",#N/A,TRUE,"general"}</definedName>
    <definedName name="e3e33_1" hidden="1">{"via1",#N/A,TRUE,"general";"via2",#N/A,TRUE,"general";"via3",#N/A,TRUE,"general"}</definedName>
    <definedName name="ed" localSheetId="6">#REF!</definedName>
    <definedName name="ed" localSheetId="12">#REF!</definedName>
    <definedName name="ed" localSheetId="5">#REF!</definedName>
    <definedName name="EDEDWSWQA" hidden="1">{"TAB1",#N/A,TRUE,"GENERAL";"TAB2",#N/A,TRUE,"GENERAL";"TAB3",#N/A,TRUE,"GENERAL";"TAB4",#N/A,TRUE,"GENERAL";"TAB5",#N/A,TRUE,"GENERAL"}</definedName>
    <definedName name="EDEDWSWQA_1" hidden="1">{"TAB1",#N/A,TRUE,"GENERAL";"TAB2",#N/A,TRUE,"GENERAL";"TAB3",#N/A,TRUE,"GENERAL";"TAB4",#N/A,TRUE,"GENERAL";"TAB5",#N/A,TRUE,"GENERAL"}</definedName>
    <definedName name="edgfhmn" hidden="1">{"via1",#N/A,TRUE,"general";"via2",#N/A,TRUE,"general";"via3",#N/A,TRUE,"general"}</definedName>
    <definedName name="edgfhmn_1" hidden="1">{"via1",#N/A,TRUE,"general";"via2",#N/A,TRUE,"general";"via3",#N/A,TRUE,"general"}</definedName>
    <definedName name="eeedfr" hidden="1">{"TAB1",#N/A,TRUE,"GENERAL";"TAB2",#N/A,TRUE,"GENERAL";"TAB3",#N/A,TRUE,"GENERAL";"TAB4",#N/A,TRUE,"GENERAL";"TAB5",#N/A,TRUE,"GENERAL"}</definedName>
    <definedName name="eeedfr_1" hidden="1">{"TAB1",#N/A,TRUE,"GENERAL";"TAB2",#N/A,TRUE,"GENERAL";"TAB3",#N/A,TRUE,"GENERAL";"TAB4",#N/A,TRUE,"GENERAL";"TAB5",#N/A,TRUE,"GENERAL"}</definedName>
    <definedName name="eeeeer" hidden="1">{"TAB1",#N/A,TRUE,"GENERAL";"TAB2",#N/A,TRUE,"GENERAL";"TAB3",#N/A,TRUE,"GENERAL";"TAB4",#N/A,TRUE,"GENERAL";"TAB5",#N/A,TRUE,"GENERAL"}</definedName>
    <definedName name="eeeeer_1" hidden="1">{"TAB1",#N/A,TRUE,"GENERAL";"TAB2",#N/A,TRUE,"GENERAL";"TAB3",#N/A,TRUE,"GENERAL";"TAB4",#N/A,TRUE,"GENERAL";"TAB5",#N/A,TRUE,"GENERAL"}</definedName>
    <definedName name="eeerfd" hidden="1">{"via1",#N/A,TRUE,"general";"via2",#N/A,TRUE,"general";"via3",#N/A,TRUE,"general"}</definedName>
    <definedName name="eeerfd_1" hidden="1">{"via1",#N/A,TRUE,"general";"via2",#N/A,TRUE,"general";"via3",#N/A,TRUE,"general"}</definedName>
    <definedName name="efef" hidden="1">{"TAB1",#N/A,TRUE,"GENERAL";"TAB2",#N/A,TRUE,"GENERAL";"TAB3",#N/A,TRUE,"GENERAL";"TAB4",#N/A,TRUE,"GENERAL";"TAB5",#N/A,TRUE,"GENERAL"}</definedName>
    <definedName name="efef_1" hidden="1">{"TAB1",#N/A,TRUE,"GENERAL";"TAB2",#N/A,TRUE,"GENERAL";"TAB3",#N/A,TRUE,"GENERAL";"TAB4",#N/A,TRUE,"GENERAL";"TAB5",#N/A,TRUE,"GENERAL"}</definedName>
    <definedName name="efer" hidden="1">{"via1",#N/A,TRUE,"general";"via2",#N/A,TRUE,"general";"via3",#N/A,TRUE,"general"}</definedName>
    <definedName name="efer_1" hidden="1">{"via1",#N/A,TRUE,"general";"via2",#N/A,TRUE,"general";"via3",#N/A,TRUE,"general"}</definedName>
    <definedName name="egeg" hidden="1">{"TAB1",#N/A,TRUE,"GENERAL";"TAB2",#N/A,TRUE,"GENERAL";"TAB3",#N/A,TRUE,"GENERAL";"TAB4",#N/A,TRUE,"GENERAL";"TAB5",#N/A,TRUE,"GENERAL"}</definedName>
    <definedName name="egeg_1" hidden="1">{"TAB1",#N/A,TRUE,"GENERAL";"TAB2",#N/A,TRUE,"GENERAL";"TAB3",#N/A,TRUE,"GENERAL";"TAB4",#N/A,TRUE,"GENERAL";"TAB5",#N/A,TRUE,"GENERAL"}</definedName>
    <definedName name="egtrgthrt" hidden="1">{"TAB1",#N/A,TRUE,"GENERAL";"TAB2",#N/A,TRUE,"GENERAL";"TAB3",#N/A,TRUE,"GENERAL";"TAB4",#N/A,TRUE,"GENERAL";"TAB5",#N/A,TRUE,"GENERAL"}</definedName>
    <definedName name="egtrgthrt_1" hidden="1">{"TAB1",#N/A,TRUE,"GENERAL";"TAB2",#N/A,TRUE,"GENERAL";"TAB3",#N/A,TRUE,"GENERAL";"TAB4",#N/A,TRUE,"GENERAL";"TAB5",#N/A,TRUE,"GENERAL"}</definedName>
    <definedName name="eh">[27]Ins_EH!$B$2:$D$42</definedName>
    <definedName name="EM.2">[10]APU!$J$859</definedName>
    <definedName name="EM.5">[10]APU!$J$1386</definedName>
    <definedName name="ENT">[10]APU!$J$1854</definedName>
    <definedName name="EQUI">[28]EQUIPO!$B$2:$B$36</definedName>
    <definedName name="EQUIPO_1">[28]EQUIPO!$B$2:$D$36</definedName>
    <definedName name="eqw" hidden="1">{"via1",#N/A,TRUE,"general";"via2",#N/A,TRUE,"general";"via3",#N/A,TRUE,"general"}</definedName>
    <definedName name="eqw_1" hidden="1">{"via1",#N/A,TRUE,"general";"via2",#N/A,TRUE,"general";"via3",#N/A,TRUE,"general"}</definedName>
    <definedName name="erg" hidden="1">{"TAB1",#N/A,TRUE,"GENERAL";"TAB2",#N/A,TRUE,"GENERAL";"TAB3",#N/A,TRUE,"GENERAL";"TAB4",#N/A,TRUE,"GENERAL";"TAB5",#N/A,TRUE,"GENERAL"}</definedName>
    <definedName name="erg_1" hidden="1">{"TAB1",#N/A,TRUE,"GENERAL";"TAB2",#N/A,TRUE,"GENERAL";"TAB3",#N/A,TRUE,"GENERAL";"TAB4",#N/A,TRUE,"GENERAL";"TAB5",#N/A,TRUE,"GENERAL"}</definedName>
    <definedName name="erger" hidden="1">{"via1",#N/A,TRUE,"general";"via2",#N/A,TRUE,"general";"via3",#N/A,TRUE,"general"}</definedName>
    <definedName name="erger_1" hidden="1">{"via1",#N/A,TRUE,"general";"via2",#N/A,TRUE,"general";"via3",#N/A,TRUE,"general"}</definedName>
    <definedName name="ergerg" hidden="1">{"via1",#N/A,TRUE,"general";"via2",#N/A,TRUE,"general";"via3",#N/A,TRUE,"general"}</definedName>
    <definedName name="ergerg_1" hidden="1">{"via1",#N/A,TRUE,"general";"via2",#N/A,TRUE,"general";"via3",#N/A,TRUE,"general"}</definedName>
    <definedName name="ergfegr" hidden="1">{"via1",#N/A,TRUE,"general";"via2",#N/A,TRUE,"general";"via3",#N/A,TRUE,"general"}</definedName>
    <definedName name="ergfegr_1" hidden="1">{"via1",#N/A,TRUE,"general";"via2",#N/A,TRUE,"general";"via3",#N/A,TRUE,"general"}</definedName>
    <definedName name="ergge" hidden="1">{"TAB1",#N/A,TRUE,"GENERAL";"TAB2",#N/A,TRUE,"GENERAL";"TAB3",#N/A,TRUE,"GENERAL";"TAB4",#N/A,TRUE,"GENERAL";"TAB5",#N/A,TRUE,"GENERAL"}</definedName>
    <definedName name="ergge_1" hidden="1">{"TAB1",#N/A,TRUE,"GENERAL";"TAB2",#N/A,TRUE,"GENERAL";"TAB3",#N/A,TRUE,"GENERAL";"TAB4",#N/A,TRUE,"GENERAL";"TAB5",#N/A,TRUE,"GENERAL"}</definedName>
    <definedName name="erggewg" hidden="1">{"via1",#N/A,TRUE,"general";"via2",#N/A,TRUE,"general";"via3",#N/A,TRUE,"general"}</definedName>
    <definedName name="erggewg_1" hidden="1">{"via1",#N/A,TRUE,"general";"via2",#N/A,TRUE,"general";"via3",#N/A,TRUE,"general"}</definedName>
    <definedName name="ergreg" hidden="1">{"TAB1",#N/A,TRUE,"GENERAL";"TAB2",#N/A,TRUE,"GENERAL";"TAB3",#N/A,TRUE,"GENERAL";"TAB4",#N/A,TRUE,"GENERAL";"TAB5",#N/A,TRUE,"GENERAL"}</definedName>
    <definedName name="ergreg_1" hidden="1">{"TAB1",#N/A,TRUE,"GENERAL";"TAB2",#N/A,TRUE,"GENERAL";"TAB3",#N/A,TRUE,"GENERAL";"TAB4",#N/A,TRUE,"GENERAL";"TAB5",#N/A,TRUE,"GENERAL"}</definedName>
    <definedName name="ergregerg" hidden="1">{"via1",#N/A,TRUE,"general";"via2",#N/A,TRUE,"general";"via3",#N/A,TRUE,"general"}</definedName>
    <definedName name="ergregerg_1" hidden="1">{"via1",#N/A,TRUE,"general";"via2",#N/A,TRUE,"general";"via3",#N/A,TRUE,"general"}</definedName>
    <definedName name="ergrg" hidden="1">{"TAB1",#N/A,TRUE,"GENERAL";"TAB2",#N/A,TRUE,"GENERAL";"TAB3",#N/A,TRUE,"GENERAL";"TAB4",#N/A,TRUE,"GENERAL";"TAB5",#N/A,TRUE,"GENERAL"}</definedName>
    <definedName name="ergrg_1" hidden="1">{"TAB1",#N/A,TRUE,"GENERAL";"TAB2",#N/A,TRUE,"GENERAL";"TAB3",#N/A,TRUE,"GENERAL";"TAB4",#N/A,TRUE,"GENERAL";"TAB5",#N/A,TRUE,"GENERAL"}</definedName>
    <definedName name="ergweg" hidden="1">{"TAB1",#N/A,TRUE,"GENERAL";"TAB2",#N/A,TRUE,"GENERAL";"TAB3",#N/A,TRUE,"GENERAL";"TAB4",#N/A,TRUE,"GENERAL";"TAB5",#N/A,TRUE,"GENERAL"}</definedName>
    <definedName name="ergweg_1" hidden="1">{"TAB1",#N/A,TRUE,"GENERAL";"TAB2",#N/A,TRUE,"GENERAL";"TAB3",#N/A,TRUE,"GENERAL";"TAB4",#N/A,TRUE,"GENERAL";"TAB5",#N/A,TRUE,"GENERAL"}</definedName>
    <definedName name="ergwreg" hidden="1">{"via1",#N/A,TRUE,"general";"via2",#N/A,TRUE,"general";"via3",#N/A,TRUE,"general"}</definedName>
    <definedName name="ergwreg_1" hidden="1">{"via1",#N/A,TRUE,"general";"via2",#N/A,TRUE,"general";"via3",#N/A,TRUE,"general"}</definedName>
    <definedName name="erheyh" hidden="1">{"TAB1",#N/A,TRUE,"GENERAL";"TAB2",#N/A,TRUE,"GENERAL";"TAB3",#N/A,TRUE,"GENERAL";"TAB4",#N/A,TRUE,"GENERAL";"TAB5",#N/A,TRUE,"GENERAL"}</definedName>
    <definedName name="erheyh_1" hidden="1">{"TAB1",#N/A,TRUE,"GENERAL";"TAB2",#N/A,TRUE,"GENERAL";"TAB3",#N/A,TRUE,"GENERAL";"TAB4",#N/A,TRUE,"GENERAL";"TAB5",#N/A,TRUE,"GENERAL"}</definedName>
    <definedName name="err" hidden="1">{"TAB1",#N/A,TRUE,"GENERAL";"TAB2",#N/A,TRUE,"GENERAL";"TAB3",#N/A,TRUE,"GENERAL";"TAB4",#N/A,TRUE,"GENERAL";"TAB5",#N/A,TRUE,"GENERAL"}</definedName>
    <definedName name="err_1" hidden="1">{"TAB1",#N/A,TRUE,"GENERAL";"TAB2",#N/A,TRUE,"GENERAL";"TAB3",#N/A,TRUE,"GENERAL";"TAB4",#N/A,TRUE,"GENERAL";"TAB5",#N/A,TRUE,"GENERAL"}</definedName>
    <definedName name="ert" hidden="1">{"via1",#N/A,TRUE,"general";"via2",#N/A,TRUE,"general";"via3",#N/A,TRUE,"general"}</definedName>
    <definedName name="ert_1" hidden="1">{"via1",#N/A,TRUE,"general";"via2",#N/A,TRUE,"general";"via3",#N/A,TRUE,"general"}</definedName>
    <definedName name="erte" hidden="1">{"via1",#N/A,TRUE,"general";"via2",#N/A,TRUE,"general";"via3",#N/A,TRUE,"general"}</definedName>
    <definedName name="erte_1" hidden="1">{"via1",#N/A,TRUE,"general";"via2",#N/A,TRUE,"general";"via3",#N/A,TRUE,"general"}</definedName>
    <definedName name="erter" hidden="1">{"TAB1",#N/A,TRUE,"GENERAL";"TAB2",#N/A,TRUE,"GENERAL";"TAB3",#N/A,TRUE,"GENERAL";"TAB4",#N/A,TRUE,"GENERAL";"TAB5",#N/A,TRUE,"GENERAL"}</definedName>
    <definedName name="erter_1" hidden="1">{"TAB1",#N/A,TRUE,"GENERAL";"TAB2",#N/A,TRUE,"GENERAL";"TAB3",#N/A,TRUE,"GENERAL";"TAB4",#N/A,TRUE,"GENERAL";"TAB5",#N/A,TRUE,"GENERAL"}</definedName>
    <definedName name="ertert" hidden="1">{"via1",#N/A,TRUE,"general";"via2",#N/A,TRUE,"general";"via3",#N/A,TRUE,"general"}</definedName>
    <definedName name="ertert_1" hidden="1">{"via1",#N/A,TRUE,"general";"via2",#N/A,TRUE,"general";"via3",#N/A,TRUE,"general"}</definedName>
    <definedName name="ertgyhik" hidden="1">{"TAB1",#N/A,TRUE,"GENERAL";"TAB2",#N/A,TRUE,"GENERAL";"TAB3",#N/A,TRUE,"GENERAL";"TAB4",#N/A,TRUE,"GENERAL";"TAB5",#N/A,TRUE,"GENERAL"}</definedName>
    <definedName name="ertgyhik_1" hidden="1">{"TAB1",#N/A,TRUE,"GENERAL";"TAB2",#N/A,TRUE,"GENERAL";"TAB3",#N/A,TRUE,"GENERAL";"TAB4",#N/A,TRUE,"GENERAL";"TAB5",#N/A,TRUE,"GENERAL"}</definedName>
    <definedName name="ertreb" hidden="1">{"via1",#N/A,TRUE,"general";"via2",#N/A,TRUE,"general";"via3",#N/A,TRUE,"general"}</definedName>
    <definedName name="ertreb_1" hidden="1">{"via1",#N/A,TRUE,"general";"via2",#N/A,TRUE,"general";"via3",#N/A,TRUE,"general"}</definedName>
    <definedName name="ertret" hidden="1">{"TAB1",#N/A,TRUE,"GENERAL";"TAB2",#N/A,TRUE,"GENERAL";"TAB3",#N/A,TRUE,"GENERAL";"TAB4",#N/A,TRUE,"GENERAL";"TAB5",#N/A,TRUE,"GENERAL"}</definedName>
    <definedName name="ertret_1" hidden="1">{"TAB1",#N/A,TRUE,"GENERAL";"TAB2",#N/A,TRUE,"GENERAL";"TAB3",#N/A,TRUE,"GENERAL";"TAB4",#N/A,TRUE,"GENERAL";"TAB5",#N/A,TRUE,"GENERAL"}</definedName>
    <definedName name="erttret" hidden="1">{"via1",#N/A,TRUE,"general";"via2",#N/A,TRUE,"general";"via3",#N/A,TRUE,"general"}</definedName>
    <definedName name="erttret_1" hidden="1">{"via1",#N/A,TRUE,"general";"via2",#N/A,TRUE,"general";"via3",#N/A,TRUE,"general"}</definedName>
    <definedName name="ertuiy" hidden="1">{"via1",#N/A,TRUE,"general";"via2",#N/A,TRUE,"general";"via3",#N/A,TRUE,"general"}</definedName>
    <definedName name="ertuiy_1" hidden="1">{"via1",#N/A,TRUE,"general";"via2",#N/A,TRUE,"general";"via3",#N/A,TRUE,"general"}</definedName>
    <definedName name="ertwert" hidden="1">{"TAB1",#N/A,TRUE,"GENERAL";"TAB2",#N/A,TRUE,"GENERAL";"TAB3",#N/A,TRUE,"GENERAL";"TAB4",#N/A,TRUE,"GENERAL";"TAB5",#N/A,TRUE,"GENERAL"}</definedName>
    <definedName name="ertwert_1" hidden="1">{"TAB1",#N/A,TRUE,"GENERAL";"TAB2",#N/A,TRUE,"GENERAL";"TAB3",#N/A,TRUE,"GENERAL";"TAB4",#N/A,TRUE,"GENERAL";"TAB5",#N/A,TRUE,"GENERAL"}</definedName>
    <definedName name="eru" hidden="1">{"TAB1",#N/A,TRUE,"GENERAL";"TAB2",#N/A,TRUE,"GENERAL";"TAB3",#N/A,TRUE,"GENERAL";"TAB4",#N/A,TRUE,"GENERAL";"TAB5",#N/A,TRUE,"GENERAL"}</definedName>
    <definedName name="eru_1" hidden="1">{"TAB1",#N/A,TRUE,"GENERAL";"TAB2",#N/A,TRUE,"GENERAL";"TAB3",#N/A,TRUE,"GENERAL";"TAB4",#N/A,TRUE,"GENERAL";"TAB5",#N/A,TRUE,"GENERAL"}</definedName>
    <definedName name="ERV" hidden="1">{"via1",#N/A,TRUE,"general";"via2",#N/A,TRUE,"general";"via3",#N/A,TRUE,"general"}</definedName>
    <definedName name="ERV_1" hidden="1">{"via1",#N/A,TRUE,"general";"via2",#N/A,TRUE,"general";"via3",#N/A,TRUE,"general"}</definedName>
    <definedName name="erware" hidden="1">{"via1",#N/A,TRUE,"general";"via2",#N/A,TRUE,"general";"via3",#N/A,TRUE,"general"}</definedName>
    <definedName name="erware_1" hidden="1">{"via1",#N/A,TRUE,"general";"via2",#N/A,TRUE,"general";"via3",#N/A,TRUE,"general"}</definedName>
    <definedName name="ERWER" hidden="1">{"via1",#N/A,TRUE,"general";"via2",#N/A,TRUE,"general";"via3",#N/A,TRUE,"general"}</definedName>
    <definedName name="ERWER_1" hidden="1">{"via1",#N/A,TRUE,"general";"via2",#N/A,TRUE,"general";"via3",#N/A,TRUE,"general"}</definedName>
    <definedName name="erwertd" hidden="1">{"TAB1",#N/A,TRUE,"GENERAL";"TAB2",#N/A,TRUE,"GENERAL";"TAB3",#N/A,TRUE,"GENERAL";"TAB4",#N/A,TRUE,"GENERAL";"TAB5",#N/A,TRUE,"GENERAL"}</definedName>
    <definedName name="erwertd_1" hidden="1">{"TAB1",#N/A,TRUE,"GENERAL";"TAB2",#N/A,TRUE,"GENERAL";"TAB3",#N/A,TRUE,"GENERAL";"TAB4",#N/A,TRUE,"GENERAL";"TAB5",#N/A,TRUE,"GENERAL"}</definedName>
    <definedName name="erwr" hidden="1">{"TAB1",#N/A,TRUE,"GENERAL";"TAB2",#N/A,TRUE,"GENERAL";"TAB3",#N/A,TRUE,"GENERAL";"TAB4",#N/A,TRUE,"GENERAL";"TAB5",#N/A,TRUE,"GENERAL"}</definedName>
    <definedName name="erwr_1" hidden="1">{"TAB1",#N/A,TRUE,"GENERAL";"TAB2",#N/A,TRUE,"GENERAL";"TAB3",#N/A,TRUE,"GENERAL";"TAB4",#N/A,TRUE,"GENERAL";"TAB5",#N/A,TRUE,"GENERAL"}</definedName>
    <definedName name="ERWRL" hidden="1">{"via1",#N/A,TRUE,"general";"via2",#N/A,TRUE,"general";"via3",#N/A,TRUE,"general"}</definedName>
    <definedName name="ERWRL_1" hidden="1">{"via1",#N/A,TRUE,"general";"via2",#N/A,TRUE,"general";"via3",#N/A,TRUE,"general"}</definedName>
    <definedName name="ery" hidden="1">{"via1",#N/A,TRUE,"general";"via2",#N/A,TRUE,"general";"via3",#N/A,TRUE,"general"}</definedName>
    <definedName name="ery_1" hidden="1">{"via1",#N/A,TRUE,"general";"via2",#N/A,TRUE,"general";"via3",#N/A,TRUE,"general"}</definedName>
    <definedName name="eryhd" hidden="1">{"via1",#N/A,TRUE,"general";"via2",#N/A,TRUE,"general";"via3",#N/A,TRUE,"general"}</definedName>
    <definedName name="eryhd_1" hidden="1">{"via1",#N/A,TRUE,"general";"via2",#N/A,TRUE,"general";"via3",#N/A,TRUE,"general"}</definedName>
    <definedName name="eryhdf" hidden="1">{"TAB1",#N/A,TRUE,"GENERAL";"TAB2",#N/A,TRUE,"GENERAL";"TAB3",#N/A,TRUE,"GENERAL";"TAB4",#N/A,TRUE,"GENERAL";"TAB5",#N/A,TRUE,"GENERAL"}</definedName>
    <definedName name="eryhdf_1" hidden="1">{"TAB1",#N/A,TRUE,"GENERAL";"TAB2",#N/A,TRUE,"GENERAL";"TAB3",#N/A,TRUE,"GENERAL";"TAB4",#N/A,TRUE,"GENERAL";"TAB5",#N/A,TRUE,"GENERAL"}</definedName>
    <definedName name="eryhk" hidden="1">{"TAB1",#N/A,TRUE,"GENERAL";"TAB2",#N/A,TRUE,"GENERAL";"TAB3",#N/A,TRUE,"GENERAL";"TAB4",#N/A,TRUE,"GENERAL";"TAB5",#N/A,TRUE,"GENERAL"}</definedName>
    <definedName name="eryhk_1" hidden="1">{"TAB1",#N/A,TRUE,"GENERAL";"TAB2",#N/A,TRUE,"GENERAL";"TAB3",#N/A,TRUE,"GENERAL";"TAB4",#N/A,TRUE,"GENERAL";"TAB5",#N/A,TRUE,"GENERAL"}</definedName>
    <definedName name="eryhrf" hidden="1">{"TAB1",#N/A,TRUE,"GENERAL";"TAB2",#N/A,TRUE,"GENERAL";"TAB3",#N/A,TRUE,"GENERAL";"TAB4",#N/A,TRUE,"GENERAL";"TAB5",#N/A,TRUE,"GENERAL"}</definedName>
    <definedName name="eryhrf_1" hidden="1">{"TAB1",#N/A,TRUE,"GENERAL";"TAB2",#N/A,TRUE,"GENERAL";"TAB3",#N/A,TRUE,"GENERAL";"TAB4",#N/A,TRUE,"GENERAL";"TAB5",#N/A,TRUE,"GENERAL"}</definedName>
    <definedName name="eryre" hidden="1">{"TAB1",#N/A,TRUE,"GENERAL";"TAB2",#N/A,TRUE,"GENERAL";"TAB3",#N/A,TRUE,"GENERAL";"TAB4",#N/A,TRUE,"GENERAL";"TAB5",#N/A,TRUE,"GENERAL"}</definedName>
    <definedName name="eryre_1" hidden="1">{"TAB1",#N/A,TRUE,"GENERAL";"TAB2",#N/A,TRUE,"GENERAL";"TAB3",#N/A,TRUE,"GENERAL";"TAB4",#N/A,TRUE,"GENERAL";"TAB5",#N/A,TRUE,"GENERAL"}</definedName>
    <definedName name="erytd" hidden="1">{"via1",#N/A,TRUE,"general";"via2",#N/A,TRUE,"general";"via3",#N/A,TRUE,"general"}</definedName>
    <definedName name="erytd_1" hidden="1">{"via1",#N/A,TRUE,"general";"via2",#N/A,TRUE,"general";"via3",#N/A,TRUE,"general"}</definedName>
    <definedName name="eryty" hidden="1">{"via1",#N/A,TRUE,"general";"via2",#N/A,TRUE,"general";"via3",#N/A,TRUE,"general"}</definedName>
    <definedName name="eryty_1" hidden="1">{"via1",#N/A,TRUE,"general";"via2",#N/A,TRUE,"general";"via3",#N/A,TRUE,"general"}</definedName>
    <definedName name="eryy" hidden="1">{"via1",#N/A,TRUE,"general";"via2",#N/A,TRUE,"general";"via3",#N/A,TRUE,"general"}</definedName>
    <definedName name="eryy_1" hidden="1">{"via1",#N/A,TRUE,"general";"via2",#N/A,TRUE,"general";"via3",#N/A,TRUE,"general"}</definedName>
    <definedName name="ET_DSC">[24]Modelo!$P$2</definedName>
    <definedName name="ET_IMO">[24]Modelo!$O$44</definedName>
    <definedName name="ET_IND">[24]Modelo!$O$42</definedName>
    <definedName name="ETAPA1" localSheetId="32">#REF!</definedName>
    <definedName name="ETAPA1" localSheetId="33">#REF!</definedName>
    <definedName name="ETAPA1" localSheetId="4">#REF!</definedName>
    <definedName name="ETAPA1" localSheetId="31">#REF!</definedName>
    <definedName name="ETAPA1" localSheetId="34">#REF!</definedName>
    <definedName name="ETAPA1" localSheetId="6">#REF!</definedName>
    <definedName name="ETAPA1" localSheetId="12">#REF!</definedName>
    <definedName name="ETAPA1" localSheetId="5">#REF!</definedName>
    <definedName name="ETAPA1" localSheetId="0">#REF!</definedName>
    <definedName name="ETAPA1" localSheetId="1">#REF!</definedName>
    <definedName name="ETAPA2" localSheetId="32">#REF!</definedName>
    <definedName name="ETAPA2" localSheetId="33">#REF!</definedName>
    <definedName name="ETAPA2" localSheetId="4">#REF!</definedName>
    <definedName name="ETAPA2" localSheetId="31">#REF!</definedName>
    <definedName name="ETAPA2" localSheetId="34">#REF!</definedName>
    <definedName name="ETAPA2" localSheetId="6">#REF!</definedName>
    <definedName name="ETAPA2" localSheetId="12">#REF!</definedName>
    <definedName name="ETAPA2" localSheetId="5">#REF!</definedName>
    <definedName name="ETAPA2" localSheetId="0">#REF!</definedName>
    <definedName name="ETAPA2" localSheetId="1">#REF!</definedName>
    <definedName name="ETAPA3" localSheetId="32">#REF!</definedName>
    <definedName name="ETAPA3" localSheetId="33">#REF!</definedName>
    <definedName name="ETAPA3" localSheetId="4">#REF!</definedName>
    <definedName name="ETAPA3" localSheetId="31">#REF!</definedName>
    <definedName name="ETAPA3" localSheetId="34">#REF!</definedName>
    <definedName name="ETAPA3" localSheetId="6">#REF!</definedName>
    <definedName name="ETAPA3" localSheetId="12">#REF!</definedName>
    <definedName name="ETAPA3" localSheetId="5">#REF!</definedName>
    <definedName name="ETAPA3" localSheetId="0">#REF!</definedName>
    <definedName name="ETAPA3" localSheetId="1">#REF!</definedName>
    <definedName name="ETAPA4" localSheetId="6">#REF!</definedName>
    <definedName name="ETAPA4" localSheetId="12">#REF!</definedName>
    <definedName name="ETAPA4" localSheetId="5">#REF!</definedName>
    <definedName name="etertgg" hidden="1">{"via1",#N/A,TRUE,"general";"via2",#N/A,TRUE,"general";"via3",#N/A,TRUE,"general"}</definedName>
    <definedName name="etertgg_1" hidden="1">{"via1",#N/A,TRUE,"general";"via2",#N/A,TRUE,"general";"via3",#N/A,TRUE,"general"}</definedName>
    <definedName name="etewt" hidden="1">{"TAB1",#N/A,TRUE,"GENERAL";"TAB2",#N/A,TRUE,"GENERAL";"TAB3",#N/A,TRUE,"GENERAL";"TAB4",#N/A,TRUE,"GENERAL";"TAB5",#N/A,TRUE,"GENERAL"}</definedName>
    <definedName name="etewt_1" hidden="1">{"TAB1",#N/A,TRUE,"GENERAL";"TAB2",#N/A,TRUE,"GENERAL";"TAB3",#N/A,TRUE,"GENERAL";"TAB4",#N/A,TRUE,"GENERAL";"TAB5",#N/A,TRUE,"GENERAL"}</definedName>
    <definedName name="etu" hidden="1">{"via1",#N/A,TRUE,"general";"via2",#N/A,TRUE,"general";"via3",#N/A,TRUE,"general"}</definedName>
    <definedName name="etu_1" hidden="1">{"via1",#N/A,TRUE,"general";"via2",#N/A,TRUE,"general";"via3",#N/A,TRUE,"general"}</definedName>
    <definedName name="etueh" hidden="1">{"via1",#N/A,TRUE,"general";"via2",#N/A,TRUE,"general";"via3",#N/A,TRUE,"general"}</definedName>
    <definedName name="etueh_1" hidden="1">{"via1",#N/A,TRUE,"general";"via2",#N/A,TRUE,"general";"via3",#N/A,TRUE,"general"}</definedName>
    <definedName name="etyty" hidden="1">{"via1",#N/A,TRUE,"general";"via2",#N/A,TRUE,"general";"via3",#N/A,TRUE,"general"}</definedName>
    <definedName name="etyty_1" hidden="1">{"via1",#N/A,TRUE,"general";"via2",#N/A,TRUE,"general";"via3",#N/A,TRUE,"general"}</definedName>
    <definedName name="etyu" hidden="1">{"TAB1",#N/A,TRUE,"GENERAL";"TAB2",#N/A,TRUE,"GENERAL";"TAB3",#N/A,TRUE,"GENERAL";"TAB4",#N/A,TRUE,"GENERAL";"TAB5",#N/A,TRUE,"GENERAL"}</definedName>
    <definedName name="etyu_1" hidden="1">{"TAB1",#N/A,TRUE,"GENERAL";"TAB2",#N/A,TRUE,"GENERAL";"TAB3",#N/A,TRUE,"GENERAL";"TAB4",#N/A,TRUE,"GENERAL";"TAB5",#N/A,TRUE,"GENERAL"}</definedName>
    <definedName name="eu" hidden="1">{"via1",#N/A,TRUE,"general";"via2",#N/A,TRUE,"general";"via3",#N/A,TRUE,"general"}</definedName>
    <definedName name="eu_1" hidden="1">{"via1",#N/A,TRUE,"general";"via2",#N/A,TRUE,"general";"via3",#N/A,TRUE,"general"}</definedName>
    <definedName name="eut" hidden="1">{"via1",#N/A,TRUE,"general";"via2",#N/A,TRUE,"general";"via3",#N/A,TRUE,"general"}</definedName>
    <definedName name="eut_1" hidden="1">{"via1",#N/A,TRUE,"general";"via2",#N/A,TRUE,"general";"via3",#N/A,TRUE,"general"}</definedName>
    <definedName name="euyt" hidden="1">{"TAB1",#N/A,TRUE,"GENERAL";"TAB2",#N/A,TRUE,"GENERAL";"TAB3",#N/A,TRUE,"GENERAL";"TAB4",#N/A,TRUE,"GENERAL";"TAB5",#N/A,TRUE,"GENERAL"}</definedName>
    <definedName name="euyt_1" hidden="1">{"TAB1",#N/A,TRUE,"GENERAL";"TAB2",#N/A,TRUE,"GENERAL";"TAB3",#N/A,TRUE,"GENERAL";"TAB4",#N/A,TRUE,"GENERAL";"TAB5",#N/A,TRUE,"GENERAL"}</definedName>
    <definedName name="ewegt" hidden="1">{"TAB1",#N/A,TRUE,"GENERAL";"TAB2",#N/A,TRUE,"GENERAL";"TAB3",#N/A,TRUE,"GENERAL";"TAB4",#N/A,TRUE,"GENERAL";"TAB5",#N/A,TRUE,"GENERAL"}</definedName>
    <definedName name="ewegt_1" hidden="1">{"TAB1",#N/A,TRUE,"GENERAL";"TAB2",#N/A,TRUE,"GENERAL";"TAB3",#N/A,TRUE,"GENERAL";"TAB4",#N/A,TRUE,"GENERAL";"TAB5",#N/A,TRUE,"GENERAL"}</definedName>
    <definedName name="ewfewfg" hidden="1">{"TAB1",#N/A,TRUE,"GENERAL";"TAB2",#N/A,TRUE,"GENERAL";"TAB3",#N/A,TRUE,"GENERAL";"TAB4",#N/A,TRUE,"GENERAL";"TAB5",#N/A,TRUE,"GENERAL"}</definedName>
    <definedName name="ewfewfg_1" hidden="1">{"TAB1",#N/A,TRUE,"GENERAL";"TAB2",#N/A,TRUE,"GENERAL";"TAB3",#N/A,TRUE,"GENERAL";"TAB4",#N/A,TRUE,"GENERAL";"TAB5",#N/A,TRUE,"GENERAL"}</definedName>
    <definedName name="ewre" hidden="1">{"TAB1",#N/A,TRUE,"GENERAL";"TAB2",#N/A,TRUE,"GENERAL";"TAB3",#N/A,TRUE,"GENERAL";"TAB4",#N/A,TRUE,"GENERAL";"TAB5",#N/A,TRUE,"GENERAL"}</definedName>
    <definedName name="ewre_1" hidden="1">{"TAB1",#N/A,TRUE,"GENERAL";"TAB2",#N/A,TRUE,"GENERAL";"TAB3",#N/A,TRUE,"GENERAL";"TAB4",#N/A,TRUE,"GENERAL";"TAB5",#N/A,TRUE,"GENERAL"}</definedName>
    <definedName name="ewrewf" hidden="1">{"TAB1",#N/A,TRUE,"GENERAL";"TAB2",#N/A,TRUE,"GENERAL";"TAB3",#N/A,TRUE,"GENERAL";"TAB4",#N/A,TRUE,"GENERAL";"TAB5",#N/A,TRUE,"GENERAL"}</definedName>
    <definedName name="ewrewf_1" hidden="1">{"TAB1",#N/A,TRUE,"GENERAL";"TAB2",#N/A,TRUE,"GENERAL";"TAB3",#N/A,TRUE,"GENERAL";"TAB4",#N/A,TRUE,"GENERAL";"TAB5",#N/A,TRUE,"GENERAL"}</definedName>
    <definedName name="ewrr" hidden="1">{"TAB1",#N/A,TRUE,"GENERAL";"TAB2",#N/A,TRUE,"GENERAL";"TAB3",#N/A,TRUE,"GENERAL";"TAB4",#N/A,TRUE,"GENERAL";"TAB5",#N/A,TRUE,"GENERAL"}</definedName>
    <definedName name="ewrr_1" hidden="1">{"TAB1",#N/A,TRUE,"GENERAL";"TAB2",#N/A,TRUE,"GENERAL";"TAB3",#N/A,TRUE,"GENERAL";"TAB4",#N/A,TRUE,"GENERAL";"TAB5",#N/A,TRUE,"GENERAL"}</definedName>
    <definedName name="ewrt" hidden="1">{"TAB1",#N/A,TRUE,"GENERAL";"TAB2",#N/A,TRUE,"GENERAL";"TAB3",#N/A,TRUE,"GENERAL";"TAB4",#N/A,TRUE,"GENERAL";"TAB5",#N/A,TRUE,"GENERAL"}</definedName>
    <definedName name="ewrt_1" hidden="1">{"TAB1",#N/A,TRUE,"GENERAL";"TAB2",#N/A,TRUE,"GENERAL";"TAB3",#N/A,TRUE,"GENERAL";"TAB4",#N/A,TRUE,"GENERAL";"TAB5",#N/A,TRUE,"GENERAL"}</definedName>
    <definedName name="ewrwer" hidden="1">{"TAB1",#N/A,TRUE,"GENERAL";"TAB2",#N/A,TRUE,"GENERAL";"TAB3",#N/A,TRUE,"GENERAL";"TAB4",#N/A,TRUE,"GENERAL";"TAB5",#N/A,TRUE,"GENERAL"}</definedName>
    <definedName name="ewrwer_1" hidden="1">{"TAB1",#N/A,TRUE,"GENERAL";"TAB2",#N/A,TRUE,"GENERAL";"TAB3",#N/A,TRUE,"GENERAL";"TAB4",#N/A,TRUE,"GENERAL";"TAB5",#N/A,TRUE,"GENERAL"}</definedName>
    <definedName name="fda" hidden="1">{"TAB1",#N/A,TRUE,"GENERAL";"TAB2",#N/A,TRUE,"GENERAL";"TAB3",#N/A,TRUE,"GENERAL";"TAB4",#N/A,TRUE,"GENERAL";"TAB5",#N/A,TRUE,"GENERAL"}</definedName>
    <definedName name="fda_1" hidden="1">{"TAB1",#N/A,TRUE,"GENERAL";"TAB2",#N/A,TRUE,"GENERAL";"TAB3",#N/A,TRUE,"GENERAL";"TAB4",#N/A,TRUE,"GENERAL";"TAB5",#N/A,TRUE,"GENERAL"}</definedName>
    <definedName name="fdbjp" hidden="1">{"TAB1",#N/A,TRUE,"GENERAL";"TAB2",#N/A,TRUE,"GENERAL";"TAB3",#N/A,TRUE,"GENERAL";"TAB4",#N/A,TRUE,"GENERAL";"TAB5",#N/A,TRUE,"GENERAL"}</definedName>
    <definedName name="fdbjp_1" hidden="1">{"TAB1",#N/A,TRUE,"GENERAL";"TAB2",#N/A,TRUE,"GENERAL";"TAB3",#N/A,TRUE,"GENERAL";"TAB4",#N/A,TRUE,"GENERAL";"TAB5",#N/A,TRUE,"GENERAL"}</definedName>
    <definedName name="fdf" hidden="1">{"TAB1",#N/A,TRUE,"GENERAL";"TAB2",#N/A,TRUE,"GENERAL";"TAB3",#N/A,TRUE,"GENERAL";"TAB4",#N/A,TRUE,"GENERAL";"TAB5",#N/A,TRUE,"GENERAL"}</definedName>
    <definedName name="fdf_1" hidden="1">{"TAB1",#N/A,TRUE,"GENERAL";"TAB2",#N/A,TRUE,"GENERAL";"TAB3",#N/A,TRUE,"GENERAL";"TAB4",#N/A,TRUE,"GENERAL";"TAB5",#N/A,TRUE,"GENERAL"}</definedName>
    <definedName name="fdg" hidden="1">{"via1",#N/A,TRUE,"general";"via2",#N/A,TRUE,"general";"via3",#N/A,TRUE,"general"}</definedName>
    <definedName name="fdg_1" hidden="1">{"via1",#N/A,TRUE,"general";"via2",#N/A,TRUE,"general";"via3",#N/A,TRUE,"general"}</definedName>
    <definedName name="FDGD" hidden="1">{"TAB1",#N/A,TRUE,"GENERAL";"TAB2",#N/A,TRUE,"GENERAL";"TAB3",#N/A,TRUE,"GENERAL";"TAB4",#N/A,TRUE,"GENERAL";"TAB5",#N/A,TRUE,"GENERAL"}</definedName>
    <definedName name="FDGD_1" hidden="1">{"TAB1",#N/A,TRUE,"GENERAL";"TAB2",#N/A,TRUE,"GENERAL";"TAB3",#N/A,TRUE,"GENERAL";"TAB4",#N/A,TRUE,"GENERAL";"TAB5",#N/A,TRUE,"GENERAL"}</definedName>
    <definedName name="FDGDDFG">[16]PRECIOS!$G$5</definedName>
    <definedName name="FDGFDBBP" hidden="1">{"TAB1",#N/A,TRUE,"GENERAL";"TAB2",#N/A,TRUE,"GENERAL";"TAB3",#N/A,TRUE,"GENERAL";"TAB4",#N/A,TRUE,"GENERAL";"TAB5",#N/A,TRUE,"GENERAL"}</definedName>
    <definedName name="FDGFDBBP_1" hidden="1">{"TAB1",#N/A,TRUE,"GENERAL";"TAB2",#N/A,TRUE,"GENERAL";"TAB3",#N/A,TRUE,"GENERAL";"TAB4",#N/A,TRUE,"GENERAL";"TAB5",#N/A,TRUE,"GENERAL"}</definedName>
    <definedName name="fdh" hidden="1">{"TAB1",#N/A,TRUE,"GENERAL";"TAB2",#N/A,TRUE,"GENERAL";"TAB3",#N/A,TRUE,"GENERAL";"TAB4",#N/A,TRUE,"GENERAL";"TAB5",#N/A,TRUE,"GENERAL"}</definedName>
    <definedName name="fdh_1" hidden="1">{"TAB1",#N/A,TRUE,"GENERAL";"TAB2",#N/A,TRUE,"GENERAL";"TAB3",#N/A,TRUE,"GENERAL";"TAB4",#N/A,TRUE,"GENERAL";"TAB5",#N/A,TRUE,"GENERAL"}</definedName>
    <definedName name="fdsf" hidden="1">{"TAB1",#N/A,TRUE,"GENERAL";"TAB2",#N/A,TRUE,"GENERAL";"TAB3",#N/A,TRUE,"GENERAL";"TAB4",#N/A,TRUE,"GENERAL";"TAB5",#N/A,TRUE,"GENERAL"}</definedName>
    <definedName name="fdsf_1" hidden="1">{"TAB1",#N/A,TRUE,"GENERAL";"TAB2",#N/A,TRUE,"GENERAL";"TAB3",#N/A,TRUE,"GENERAL";"TAB4",#N/A,TRUE,"GENERAL";"TAB5",#N/A,TRUE,"GENERAL"}</definedName>
    <definedName name="fdsfds" hidden="1">{"TAB1",#N/A,TRUE,"GENERAL";"TAB2",#N/A,TRUE,"GENERAL";"TAB3",#N/A,TRUE,"GENERAL";"TAB4",#N/A,TRUE,"GENERAL";"TAB5",#N/A,TRUE,"GENERAL"}</definedName>
    <definedName name="fdsfds_1" hidden="1">{"TAB1",#N/A,TRUE,"GENERAL";"TAB2",#N/A,TRUE,"GENERAL";"TAB3",#N/A,TRUE,"GENERAL";"TAB4",#N/A,TRUE,"GENERAL";"TAB5",#N/A,TRUE,"GENERAL"}</definedName>
    <definedName name="fdsfdsf" hidden="1">{"via1",#N/A,TRUE,"general";"via2",#N/A,TRUE,"general";"via3",#N/A,TRUE,"general"}</definedName>
    <definedName name="fdsfdsf_1" hidden="1">{"via1",#N/A,TRUE,"general";"via2",#N/A,TRUE,"general";"via3",#N/A,TRUE,"general"}</definedName>
    <definedName name="fdsgfds" hidden="1">{"via1",#N/A,TRUE,"general";"via2",#N/A,TRUE,"general";"via3",#N/A,TRUE,"general"}</definedName>
    <definedName name="fdsgfds_1" hidden="1">{"via1",#N/A,TRUE,"general";"via2",#N/A,TRUE,"general";"via3",#N/A,TRUE,"general"}</definedName>
    <definedName name="fdsgsdfu" hidden="1">{"TAB1",#N/A,TRUE,"GENERAL";"TAB2",#N/A,TRUE,"GENERAL";"TAB3",#N/A,TRUE,"GENERAL";"TAB4",#N/A,TRUE,"GENERAL";"TAB5",#N/A,TRUE,"GENERAL"}</definedName>
    <definedName name="fdsgsdfu_1" hidden="1">{"TAB1",#N/A,TRUE,"GENERAL";"TAB2",#N/A,TRUE,"GENERAL";"TAB3",#N/A,TRUE,"GENERAL";"TAB4",#N/A,TRUE,"GENERAL";"TAB5",#N/A,TRUE,"GENERAL"}</definedName>
    <definedName name="FDSIO" hidden="1">{"TAB1",#N/A,TRUE,"GENERAL";"TAB2",#N/A,TRUE,"GENERAL";"TAB3",#N/A,TRUE,"GENERAL";"TAB4",#N/A,TRUE,"GENERAL";"TAB5",#N/A,TRUE,"GENERAL"}</definedName>
    <definedName name="FDSIO_1" hidden="1">{"TAB1",#N/A,TRUE,"GENERAL";"TAB2",#N/A,TRUE,"GENERAL";"TAB3",#N/A,TRUE,"GENERAL";"TAB4",#N/A,TRUE,"GENERAL";"TAB5",#N/A,TRUE,"GENERAL"}</definedName>
    <definedName name="ferfer" hidden="1">{"via1",#N/A,TRUE,"general";"via2",#N/A,TRUE,"general";"via3",#N/A,TRUE,"general"}</definedName>
    <definedName name="ferfer_1" hidden="1">{"via1",#N/A,TRUE,"general";"via2",#N/A,TRUE,"general";"via3",#N/A,TRUE,"general"}</definedName>
    <definedName name="fff" hidden="1">{"via1",#N/A,TRUE,"general";"via2",#N/A,TRUE,"general";"via3",#N/A,TRUE,"general"}</definedName>
    <definedName name="fff_1" hidden="1">{"via1",#N/A,TRUE,"general";"via2",#N/A,TRUE,"general";"via3",#N/A,TRUE,"general"}</definedName>
    <definedName name="ffffd" hidden="1">{"via1",#N/A,TRUE,"general";"via2",#N/A,TRUE,"general";"via3",#N/A,TRUE,"general"}</definedName>
    <definedName name="ffffd_1" hidden="1">{"via1",#N/A,TRUE,"general";"via2",#N/A,TRUE,"general";"via3",#N/A,TRUE,"general"}</definedName>
    <definedName name="fffffft" hidden="1">{"TAB1",#N/A,TRUE,"GENERAL";"TAB2",#N/A,TRUE,"GENERAL";"TAB3",#N/A,TRUE,"GENERAL";"TAB4",#N/A,TRUE,"GENERAL";"TAB5",#N/A,TRUE,"GENERAL"}</definedName>
    <definedName name="fffffft_1" hidden="1">{"TAB1",#N/A,TRUE,"GENERAL";"TAB2",#N/A,TRUE,"GENERAL";"TAB3",#N/A,TRUE,"GENERAL";"TAB4",#N/A,TRUE,"GENERAL";"TAB5",#N/A,TRUE,"GENERAL"}</definedName>
    <definedName name="fffffik" hidden="1">{"TAB1",#N/A,TRUE,"GENERAL";"TAB2",#N/A,TRUE,"GENERAL";"TAB3",#N/A,TRUE,"GENERAL";"TAB4",#N/A,TRUE,"GENERAL";"TAB5",#N/A,TRUE,"GENERAL"}</definedName>
    <definedName name="fffffik_1" hidden="1">{"TAB1",#N/A,TRUE,"GENERAL";"TAB2",#N/A,TRUE,"GENERAL";"TAB3",#N/A,TRUE,"GENERAL";"TAB4",#N/A,TRUE,"GENERAL";"TAB5",#N/A,TRUE,"GENERAL"}</definedName>
    <definedName name="fffffj" hidden="1">{"TAB1",#N/A,TRUE,"GENERAL";"TAB2",#N/A,TRUE,"GENERAL";"TAB3",#N/A,TRUE,"GENERAL";"TAB4",#N/A,TRUE,"GENERAL";"TAB5",#N/A,TRUE,"GENERAL"}</definedName>
    <definedName name="fffffj_1" hidden="1">{"TAB1",#N/A,TRUE,"GENERAL";"TAB2",#N/A,TRUE,"GENERAL";"TAB3",#N/A,TRUE,"GENERAL";"TAB4",#N/A,TRUE,"GENERAL";"TAB5",#N/A,TRUE,"GENERAL"}</definedName>
    <definedName name="ffffrd" hidden="1">{"via1",#N/A,TRUE,"general";"via2",#N/A,TRUE,"general";"via3",#N/A,TRUE,"general"}</definedName>
    <definedName name="ffffrd_1" hidden="1">{"via1",#N/A,TRUE,"general";"via2",#N/A,TRUE,"general";"via3",#N/A,TRUE,"general"}</definedName>
    <definedName name="ffffy" hidden="1">{"TAB1",#N/A,TRUE,"GENERAL";"TAB2",#N/A,TRUE,"GENERAL";"TAB3",#N/A,TRUE,"GENERAL";"TAB4",#N/A,TRUE,"GENERAL";"TAB5",#N/A,TRUE,"GENERAL"}</definedName>
    <definedName name="ffffy_1" hidden="1">{"TAB1",#N/A,TRUE,"GENERAL";"TAB2",#N/A,TRUE,"GENERAL";"TAB3",#N/A,TRUE,"GENERAL";"TAB4",#N/A,TRUE,"GENERAL";"TAB5",#N/A,TRUE,"GENERAL"}</definedName>
    <definedName name="fffrfr" hidden="1">{"TAB1",#N/A,TRUE,"GENERAL";"TAB2",#N/A,TRUE,"GENERAL";"TAB3",#N/A,TRUE,"GENERAL";"TAB4",#N/A,TRUE,"GENERAL";"TAB5",#N/A,TRUE,"GENERAL"}</definedName>
    <definedName name="fffrfr_1" hidden="1">{"TAB1",#N/A,TRUE,"GENERAL";"TAB2",#N/A,TRUE,"GENERAL";"TAB3",#N/A,TRUE,"GENERAL";"TAB4",#N/A,TRUE,"GENERAL";"TAB5",#N/A,TRUE,"GENERAL"}</definedName>
    <definedName name="fffs" hidden="1">{"TAB1",#N/A,TRUE,"GENERAL";"TAB2",#N/A,TRUE,"GENERAL";"TAB3",#N/A,TRUE,"GENERAL";"TAB4",#N/A,TRUE,"GENERAL";"TAB5",#N/A,TRUE,"GENERAL"}</definedName>
    <definedName name="fffs_1" hidden="1">{"TAB1",#N/A,TRUE,"GENERAL";"TAB2",#N/A,TRUE,"GENERAL";"TAB3",#N/A,TRUE,"GENERAL";"TAB4",#N/A,TRUE,"GENERAL";"TAB5",#N/A,TRUE,"GENERAL"}</definedName>
    <definedName name="fgdfg" hidden="1">{"TAB1",#N/A,TRUE,"GENERAL";"TAB2",#N/A,TRUE,"GENERAL";"TAB3",#N/A,TRUE,"GENERAL";"TAB4",#N/A,TRUE,"GENERAL";"TAB5",#N/A,TRUE,"GENERAL"}</definedName>
    <definedName name="fgdfg_1" hidden="1">{"TAB1",#N/A,TRUE,"GENERAL";"TAB2",#N/A,TRUE,"GENERAL";"TAB3",#N/A,TRUE,"GENERAL";"TAB4",#N/A,TRUE,"GENERAL";"TAB5",#N/A,TRUE,"GENERAL"}</definedName>
    <definedName name="fgdfsgr" hidden="1">{"via1",#N/A,TRUE,"general";"via2",#N/A,TRUE,"general";"via3",#N/A,TRUE,"general"}</definedName>
    <definedName name="fgdfsgr_1" hidden="1">{"via1",#N/A,TRUE,"general";"via2",#N/A,TRUE,"general";"via3",#N/A,TRUE,"general"}</definedName>
    <definedName name="fgdsfg" hidden="1">{"TAB1",#N/A,TRUE,"GENERAL";"TAB2",#N/A,TRUE,"GENERAL";"TAB3",#N/A,TRUE,"GENERAL";"TAB4",#N/A,TRUE,"GENERAL";"TAB5",#N/A,TRUE,"GENERAL"}</definedName>
    <definedName name="fgdsfg_1" hidden="1">{"TAB1",#N/A,TRUE,"GENERAL";"TAB2",#N/A,TRUE,"GENERAL";"TAB3",#N/A,TRUE,"GENERAL";"TAB4",#N/A,TRUE,"GENERAL";"TAB5",#N/A,TRUE,"GENERAL"}</definedName>
    <definedName name="FGFDH" hidden="1">{"via1",#N/A,TRUE,"general";"via2",#N/A,TRUE,"general";"via3",#N/A,TRUE,"general"}</definedName>
    <definedName name="FGFDH_1" hidden="1">{"via1",#N/A,TRUE,"general";"via2",#N/A,TRUE,"general";"via3",#N/A,TRUE,"general"}</definedName>
    <definedName name="fgghhj" hidden="1">{"via1",#N/A,TRUE,"general";"via2",#N/A,TRUE,"general";"via3",#N/A,TRUE,"general"}</definedName>
    <definedName name="fgghhj_1" hidden="1">{"via1",#N/A,TRUE,"general";"via2",#N/A,TRUE,"general";"via3",#N/A,TRUE,"general"}</definedName>
    <definedName name="FGHFBC" hidden="1">{"via1",#N/A,TRUE,"general";"via2",#N/A,TRUE,"general";"via3",#N/A,TRUE,"general"}</definedName>
    <definedName name="FGHFBC_1" hidden="1">{"via1",#N/A,TRUE,"general";"via2",#N/A,TRUE,"general";"via3",#N/A,TRUE,"general"}</definedName>
    <definedName name="fghfg" hidden="1">{"TAB1",#N/A,TRUE,"GENERAL";"TAB2",#N/A,TRUE,"GENERAL";"TAB3",#N/A,TRUE,"GENERAL";"TAB4",#N/A,TRUE,"GENERAL";"TAB5",#N/A,TRUE,"GENERAL"}</definedName>
    <definedName name="fghfg_1" hidden="1">{"TAB1",#N/A,TRUE,"GENERAL";"TAB2",#N/A,TRUE,"GENERAL";"TAB3",#N/A,TRUE,"GENERAL";"TAB4",#N/A,TRUE,"GENERAL";"TAB5",#N/A,TRUE,"GENERAL"}</definedName>
    <definedName name="fghfgh" hidden="1">{"via1",#N/A,TRUE,"general";"via2",#N/A,TRUE,"general";"via3",#N/A,TRUE,"general"}</definedName>
    <definedName name="fghfgh_1" hidden="1">{"via1",#N/A,TRUE,"general";"via2",#N/A,TRUE,"general";"via3",#N/A,TRUE,"general"}</definedName>
    <definedName name="FGHFW" hidden="1">{"via1",#N/A,TRUE,"general";"via2",#N/A,TRUE,"general";"via3",#N/A,TRUE,"general"}</definedName>
    <definedName name="FGHFW_1" hidden="1">{"via1",#N/A,TRUE,"general";"via2",#N/A,TRUE,"general";"via3",#N/A,TRUE,"general"}</definedName>
    <definedName name="fghhh" hidden="1">{"TAB1",#N/A,TRUE,"GENERAL";"TAB2",#N/A,TRUE,"GENERAL";"TAB3",#N/A,TRUE,"GENERAL";"TAB4",#N/A,TRUE,"GENERAL";"TAB5",#N/A,TRUE,"GENERAL"}</definedName>
    <definedName name="fghhh_1" hidden="1">{"TAB1",#N/A,TRUE,"GENERAL";"TAB2",#N/A,TRUE,"GENERAL";"TAB3",#N/A,TRUE,"GENERAL";"TAB4",#N/A,TRUE,"GENERAL";"TAB5",#N/A,TRUE,"GENERAL"}</definedName>
    <definedName name="fghsfgh" hidden="1">{"via1",#N/A,TRUE,"general";"via2",#N/A,TRUE,"general";"via3",#N/A,TRUE,"general"}</definedName>
    <definedName name="fghsfgh_1" hidden="1">{"via1",#N/A,TRUE,"general";"via2",#N/A,TRUE,"general";"via3",#N/A,TRUE,"general"}</definedName>
    <definedName name="fght" hidden="1">{"TAB1",#N/A,TRUE,"GENERAL";"TAB2",#N/A,TRUE,"GENERAL";"TAB3",#N/A,TRUE,"GENERAL";"TAB4",#N/A,TRUE,"GENERAL";"TAB5",#N/A,TRUE,"GENERAL"}</definedName>
    <definedName name="fght_1" hidden="1">{"TAB1",#N/A,TRUE,"GENERAL";"TAB2",#N/A,TRUE,"GENERAL";"TAB3",#N/A,TRUE,"GENERAL";"TAB4",#N/A,TRUE,"GENERAL";"TAB5",#N/A,TRUE,"GENERAL"}</definedName>
    <definedName name="fgjgryi" hidden="1">{"TAB1",#N/A,TRUE,"GENERAL";"TAB2",#N/A,TRUE,"GENERAL";"TAB3",#N/A,TRUE,"GENERAL";"TAB4",#N/A,TRUE,"GENERAL";"TAB5",#N/A,TRUE,"GENERAL"}</definedName>
    <definedName name="fgjgryi_1" hidden="1">{"TAB1",#N/A,TRUE,"GENERAL";"TAB2",#N/A,TRUE,"GENERAL";"TAB3",#N/A,TRUE,"GENERAL";"TAB4",#N/A,TRUE,"GENERAL";"TAB5",#N/A,TRUE,"GENERAL"}</definedName>
    <definedName name="FGXL">[26]MATERIALES!$A$1:$D$50</definedName>
    <definedName name="fhfg" hidden="1">{"TAB1",#N/A,TRUE,"GENERAL";"TAB2",#N/A,TRUE,"GENERAL";"TAB3",#N/A,TRUE,"GENERAL";"TAB4",#N/A,TRUE,"GENERAL";"TAB5",#N/A,TRUE,"GENERAL"}</definedName>
    <definedName name="fhfg_1" hidden="1">{"TAB1",#N/A,TRUE,"GENERAL";"TAB2",#N/A,TRUE,"GENERAL";"TAB3",#N/A,TRUE,"GENERAL";"TAB4",#N/A,TRUE,"GENERAL";"TAB5",#N/A,TRUE,"GENERAL"}</definedName>
    <definedName name="fhfgh" hidden="1">{"via1",#N/A,TRUE,"general";"via2",#N/A,TRUE,"general";"via3",#N/A,TRUE,"general"}</definedName>
    <definedName name="fhfgh_1" hidden="1">{"via1",#N/A,TRUE,"general";"via2",#N/A,TRUE,"general";"via3",#N/A,TRUE,"general"}</definedName>
    <definedName name="fhgh" hidden="1">{"via1",#N/A,TRUE,"general";"via2",#N/A,TRUE,"general";"via3",#N/A,TRUE,"general"}</definedName>
    <definedName name="fhgh_1" hidden="1">{"via1",#N/A,TRUE,"general";"via2",#N/A,TRUE,"general";"via3",#N/A,TRUE,"general"}</definedName>
    <definedName name="fhpltyunh" hidden="1">{"via1",#N/A,TRUE,"general";"via2",#N/A,TRUE,"general";"via3",#N/A,TRUE,"general"}</definedName>
    <definedName name="fhpltyunh_1" hidden="1">{"via1",#N/A,TRUE,"general";"via2",#N/A,TRUE,"general";"via3",#N/A,TRUE,"general"}</definedName>
    <definedName name="frbgsd" hidden="1">{"TAB1",#N/A,TRUE,"GENERAL";"TAB2",#N/A,TRUE,"GENERAL";"TAB3",#N/A,TRUE,"GENERAL";"TAB4",#N/A,TRUE,"GENERAL";"TAB5",#N/A,TRUE,"GENERAL"}</definedName>
    <definedName name="frbgsd_1" hidden="1">{"TAB1",#N/A,TRUE,"GENERAL";"TAB2",#N/A,TRUE,"GENERAL";"TAB3",#N/A,TRUE,"GENERAL";"TAB4",#N/A,TRUE,"GENERAL";"TAB5",#N/A,TRUE,"GENERAL"}</definedName>
    <definedName name="frefr" hidden="1">{"via1",#N/A,TRUE,"general";"via2",#N/A,TRUE,"general";"via3",#N/A,TRUE,"general"}</definedName>
    <definedName name="frefr_1" hidden="1">{"via1",#N/A,TRUE,"general";"via2",#N/A,TRUE,"general";"via3",#N/A,TRUE,"general"}</definedName>
    <definedName name="frfa" hidden="1">{"via1",#N/A,TRUE,"general";"via2",#N/A,TRUE,"general";"via3",#N/A,TRUE,"general"}</definedName>
    <definedName name="frfa_1" hidden="1">{"via1",#N/A,TRUE,"general";"via2",#N/A,TRUE,"general";"via3",#N/A,TRUE,"general"}</definedName>
    <definedName name="frfr" hidden="1">{"TAB1",#N/A,TRUE,"GENERAL";"TAB2",#N/A,TRUE,"GENERAL";"TAB3",#N/A,TRUE,"GENERAL";"TAB4",#N/A,TRUE,"GENERAL";"TAB5",#N/A,TRUE,"GENERAL"}</definedName>
    <definedName name="frfr_1" hidden="1">{"TAB1",#N/A,TRUE,"GENERAL";"TAB2",#N/A,TRUE,"GENERAL";"TAB3",#N/A,TRUE,"GENERAL";"TAB4",#N/A,TRUE,"GENERAL";"TAB5",#N/A,TRUE,"GENERAL"}</definedName>
    <definedName name="fwff" hidden="1">{"via1",#N/A,TRUE,"general";"via2",#N/A,TRUE,"general";"via3",#N/A,TRUE,"general"}</definedName>
    <definedName name="fwff_1" hidden="1">{"via1",#N/A,TRUE,"general";"via2",#N/A,TRUE,"general";"via3",#N/A,TRUE,"general"}</definedName>
    <definedName name="fwwe" hidden="1">{"via1",#N/A,TRUE,"general";"via2",#N/A,TRUE,"general";"via3",#N/A,TRUE,"general"}</definedName>
    <definedName name="fwwe_1" hidden="1">{"via1",#N/A,TRUE,"general";"via2",#N/A,TRUE,"general";"via3",#N/A,TRUE,"general"}</definedName>
    <definedName name="gbbfghghj" hidden="1">{"TAB1",#N/A,TRUE,"GENERAL";"TAB2",#N/A,TRUE,"GENERAL";"TAB3",#N/A,TRUE,"GENERAL";"TAB4",#N/A,TRUE,"GENERAL";"TAB5",#N/A,TRUE,"GENERAL"}</definedName>
    <definedName name="gbbfghghj_1" hidden="1">{"TAB1",#N/A,TRUE,"GENERAL";"TAB2",#N/A,TRUE,"GENERAL";"TAB3",#N/A,TRUE,"GENERAL";"TAB4",#N/A,TRUE,"GENERAL";"TAB5",#N/A,TRUE,"GENERAL"}</definedName>
    <definedName name="gdt" hidden="1">{"TAB1",#N/A,TRUE,"GENERAL";"TAB2",#N/A,TRUE,"GENERAL";"TAB3",#N/A,TRUE,"GENERAL";"TAB4",#N/A,TRUE,"GENERAL";"TAB5",#N/A,TRUE,"GENERAL"}</definedName>
    <definedName name="gdt_1" hidden="1">{"TAB1",#N/A,TRUE,"GENERAL";"TAB2",#N/A,TRUE,"GENERAL";"TAB3",#N/A,TRUE,"GENERAL";"TAB4",#N/A,TRUE,"GENERAL";"TAB5",#N/A,TRUE,"GENERAL"}</definedName>
    <definedName name="geg" hidden="1">{"via1",#N/A,TRUE,"general";"via2",#N/A,TRUE,"general";"via3",#N/A,TRUE,"general"}</definedName>
    <definedName name="geg_1" hidden="1">{"via1",#N/A,TRUE,"general";"via2",#N/A,TRUE,"general";"via3",#N/A,TRUE,"general"}</definedName>
    <definedName name="gerg" hidden="1">{"TAB1",#N/A,TRUE,"GENERAL";"TAB2",#N/A,TRUE,"GENERAL";"TAB3",#N/A,TRUE,"GENERAL";"TAB4",#N/A,TRUE,"GENERAL";"TAB5",#N/A,TRUE,"GENERAL"}</definedName>
    <definedName name="gerg_1" hidden="1">{"TAB1",#N/A,TRUE,"GENERAL";"TAB2",#N/A,TRUE,"GENERAL";"TAB3",#N/A,TRUE,"GENERAL";"TAB4",#N/A,TRUE,"GENERAL";"TAB5",#N/A,TRUE,"GENERAL"}</definedName>
    <definedName name="gerg54" hidden="1">{"via1",#N/A,TRUE,"general";"via2",#N/A,TRUE,"general";"via3",#N/A,TRUE,"general"}</definedName>
    <definedName name="gerg54_1" hidden="1">{"via1",#N/A,TRUE,"general";"via2",#N/A,TRUE,"general";"via3",#N/A,TRUE,"general"}</definedName>
    <definedName name="gergew" hidden="1">{"TAB1",#N/A,TRUE,"GENERAL";"TAB2",#N/A,TRUE,"GENERAL";"TAB3",#N/A,TRUE,"GENERAL";"TAB4",#N/A,TRUE,"GENERAL";"TAB5",#N/A,TRUE,"GENERAL"}</definedName>
    <definedName name="gergew_1" hidden="1">{"TAB1",#N/A,TRUE,"GENERAL";"TAB2",#N/A,TRUE,"GENERAL";"TAB3",#N/A,TRUE,"GENERAL";"TAB4",#N/A,TRUE,"GENERAL";"TAB5",#N/A,TRUE,"GENERAL"}</definedName>
    <definedName name="gergw" hidden="1">{"TAB1",#N/A,TRUE,"GENERAL";"TAB2",#N/A,TRUE,"GENERAL";"TAB3",#N/A,TRUE,"GENERAL";"TAB4",#N/A,TRUE,"GENERAL";"TAB5",#N/A,TRUE,"GENERAL"}</definedName>
    <definedName name="gergw_1" hidden="1">{"TAB1",#N/A,TRUE,"GENERAL";"TAB2",#N/A,TRUE,"GENERAL";"TAB3",#N/A,TRUE,"GENERAL";"TAB4",#N/A,TRUE,"GENERAL";"TAB5",#N/A,TRUE,"GENERAL"}</definedName>
    <definedName name="gfd" hidden="1">{"TAB1",#N/A,TRUE,"GENERAL";"TAB2",#N/A,TRUE,"GENERAL";"TAB3",#N/A,TRUE,"GENERAL";"TAB4",#N/A,TRUE,"GENERAL";"TAB5",#N/A,TRUE,"GENERAL"}</definedName>
    <definedName name="gfd_1" hidden="1">{"TAB1",#N/A,TRUE,"GENERAL";"TAB2",#N/A,TRUE,"GENERAL";"TAB3",#N/A,TRUE,"GENERAL";"TAB4",#N/A,TRUE,"GENERAL";"TAB5",#N/A,TRUE,"GENERAL"}</definedName>
    <definedName name="gfdg" hidden="1">{"via1",#N/A,TRUE,"general";"via2",#N/A,TRUE,"general";"via3",#N/A,TRUE,"general"}</definedName>
    <definedName name="gfdg_1" hidden="1">{"via1",#N/A,TRUE,"general";"via2",#N/A,TRUE,"general";"via3",#N/A,TRUE,"general"}</definedName>
    <definedName name="gfgfgr" hidden="1">{"via1",#N/A,TRUE,"general";"via2",#N/A,TRUE,"general";"via3",#N/A,TRUE,"general"}</definedName>
    <definedName name="gfgfgr_1" hidden="1">{"via1",#N/A,TRUE,"general";"via2",#N/A,TRUE,"general";"via3",#N/A,TRUE,"general"}</definedName>
    <definedName name="gfhf" hidden="1">{"via1",#N/A,TRUE,"general";"via2",#N/A,TRUE,"general";"via3",#N/A,TRUE,"general"}</definedName>
    <definedName name="gfhf_1" hidden="1">{"via1",#N/A,TRUE,"general";"via2",#N/A,TRUE,"general";"via3",#N/A,TRUE,"general"}</definedName>
    <definedName name="gfhfdh" hidden="1">{"TAB1",#N/A,TRUE,"GENERAL";"TAB2",#N/A,TRUE,"GENERAL";"TAB3",#N/A,TRUE,"GENERAL";"TAB4",#N/A,TRUE,"GENERAL";"TAB5",#N/A,TRUE,"GENERAL"}</definedName>
    <definedName name="gfhfdh_1" hidden="1">{"TAB1",#N/A,TRUE,"GENERAL";"TAB2",#N/A,TRUE,"GENERAL";"TAB3",#N/A,TRUE,"GENERAL";"TAB4",#N/A,TRUE,"GENERAL";"TAB5",#N/A,TRUE,"GENERAL"}</definedName>
    <definedName name="gfhgfh" hidden="1">{"TAB1",#N/A,TRUE,"GENERAL";"TAB2",#N/A,TRUE,"GENERAL";"TAB3",#N/A,TRUE,"GENERAL";"TAB4",#N/A,TRUE,"GENERAL";"TAB5",#N/A,TRUE,"GENERAL"}</definedName>
    <definedName name="gfhgfh_1" hidden="1">{"TAB1",#N/A,TRUE,"GENERAL";"TAB2",#N/A,TRUE,"GENERAL";"TAB3",#N/A,TRUE,"GENERAL";"TAB4",#N/A,TRUE,"GENERAL";"TAB5",#N/A,TRUE,"GENERAL"}</definedName>
    <definedName name="GFJHGJ" hidden="1">{"TAB1",#N/A,TRUE,"GENERAL";"TAB2",#N/A,TRUE,"GENERAL";"TAB3",#N/A,TRUE,"GENERAL";"TAB4",#N/A,TRUE,"GENERAL";"TAB5",#N/A,TRUE,"GENERAL"}</definedName>
    <definedName name="GFJHGJ_1" hidden="1">{"TAB1",#N/A,TRUE,"GENERAL";"TAB2",#N/A,TRUE,"GENERAL";"TAB3",#N/A,TRUE,"GENERAL";"TAB4",#N/A,TRUE,"GENERAL";"TAB5",#N/A,TRUE,"GENERAL"}</definedName>
    <definedName name="gfjjh" hidden="1">{"via1",#N/A,TRUE,"general";"via2",#N/A,TRUE,"general";"via3",#N/A,TRUE,"general"}</definedName>
    <definedName name="gfjjh_1" hidden="1">{"via1",#N/A,TRUE,"general";"via2",#N/A,TRUE,"general";"via3",#N/A,TRUE,"general"}</definedName>
    <definedName name="gfutyj6" hidden="1">{"via1",#N/A,TRUE,"general";"via2",#N/A,TRUE,"general";"via3",#N/A,TRUE,"general"}</definedName>
    <definedName name="gfutyj6_1" hidden="1">{"via1",#N/A,TRUE,"general";"via2",#N/A,TRUE,"general";"via3",#N/A,TRUE,"general"}</definedName>
    <definedName name="gg" hidden="1">{"TAB1",#N/A,TRUE,"GENERAL";"TAB2",#N/A,TRUE,"GENERAL";"TAB3",#N/A,TRUE,"GENERAL";"TAB4",#N/A,TRUE,"GENERAL";"TAB5",#N/A,TRUE,"GENERAL"}</definedName>
    <definedName name="gg_1" hidden="1">{"TAB1",#N/A,TRUE,"GENERAL";"TAB2",#N/A,TRUE,"GENERAL";"TAB3",#N/A,TRUE,"GENERAL";"TAB4",#N/A,TRUE,"GENERAL";"TAB5",#N/A,TRUE,"GENERAL"}</definedName>
    <definedName name="ggdr" hidden="1">{"via1",#N/A,TRUE,"general";"via2",#N/A,TRUE,"general";"via3",#N/A,TRUE,"general"}</definedName>
    <definedName name="ggdr_1" hidden="1">{"via1",#N/A,TRUE,"general";"via2",#N/A,TRUE,"general";"via3",#N/A,TRUE,"general"}</definedName>
    <definedName name="ggerg" hidden="1">{"TAB1",#N/A,TRUE,"GENERAL";"TAB2",#N/A,TRUE,"GENERAL";"TAB3",#N/A,TRUE,"GENERAL";"TAB4",#N/A,TRUE,"GENERAL";"TAB5",#N/A,TRUE,"GENERAL"}</definedName>
    <definedName name="ggerg_1" hidden="1">{"TAB1",#N/A,TRUE,"GENERAL";"TAB2",#N/A,TRUE,"GENERAL";"TAB3",#N/A,TRUE,"GENERAL";"TAB4",#N/A,TRUE,"GENERAL";"TAB5",#N/A,TRUE,"GENERAL"}</definedName>
    <definedName name="GGG">[16]PRECIOS!$A$1:$D$221</definedName>
    <definedName name="gggb" hidden="1">{"TAB1",#N/A,TRUE,"GENERAL";"TAB2",#N/A,TRUE,"GENERAL";"TAB3",#N/A,TRUE,"GENERAL";"TAB4",#N/A,TRUE,"GENERAL";"TAB5",#N/A,TRUE,"GENERAL"}</definedName>
    <definedName name="gggb_1" hidden="1">{"TAB1",#N/A,TRUE,"GENERAL";"TAB2",#N/A,TRUE,"GENERAL";"TAB3",#N/A,TRUE,"GENERAL";"TAB4",#N/A,TRUE,"GENERAL";"TAB5",#N/A,TRUE,"GENERAL"}</definedName>
    <definedName name="gggg" hidden="1">{"via1",#N/A,TRUE,"general";"via2",#N/A,TRUE,"general";"via3",#N/A,TRUE,"general"}</definedName>
    <definedName name="gggg_1" hidden="1">{"via1",#N/A,TRUE,"general";"via2",#N/A,TRUE,"general";"via3",#N/A,TRUE,"general"}</definedName>
    <definedName name="ggggd" hidden="1">{"TAB1",#N/A,TRUE,"GENERAL";"TAB2",#N/A,TRUE,"GENERAL";"TAB3",#N/A,TRUE,"GENERAL";"TAB4",#N/A,TRUE,"GENERAL";"TAB5",#N/A,TRUE,"GENERAL"}</definedName>
    <definedName name="ggggd_1" hidden="1">{"TAB1",#N/A,TRUE,"GENERAL";"TAB2",#N/A,TRUE,"GENERAL";"TAB3",#N/A,TRUE,"GENERAL";"TAB4",#N/A,TRUE,"GENERAL";"TAB5",#N/A,TRUE,"GENERAL"}</definedName>
    <definedName name="gggggt" hidden="1">{"via1",#N/A,TRUE,"general";"via2",#N/A,TRUE,"general";"via3",#N/A,TRUE,"general"}</definedName>
    <definedName name="gggggt_1" hidden="1">{"via1",#N/A,TRUE,"general";"via2",#N/A,TRUE,"general";"via3",#N/A,TRUE,"general"}</definedName>
    <definedName name="gggghn" hidden="1">{"TAB1",#N/A,TRUE,"GENERAL";"TAB2",#N/A,TRUE,"GENERAL";"TAB3",#N/A,TRUE,"GENERAL";"TAB4",#N/A,TRUE,"GENERAL";"TAB5",#N/A,TRUE,"GENERAL"}</definedName>
    <definedName name="gggghn_1" hidden="1">{"TAB1",#N/A,TRUE,"GENERAL";"TAB2",#N/A,TRUE,"GENERAL";"TAB3",#N/A,TRUE,"GENERAL";"TAB4",#N/A,TRUE,"GENERAL";"TAB5",#N/A,TRUE,"GENERAL"}</definedName>
    <definedName name="ggggt" hidden="1">{"TAB1",#N/A,TRUE,"GENERAL";"TAB2",#N/A,TRUE,"GENERAL";"TAB3",#N/A,TRUE,"GENERAL";"TAB4",#N/A,TRUE,"GENERAL";"TAB5",#N/A,TRUE,"GENERAL"}</definedName>
    <definedName name="ggggt_1" hidden="1">{"TAB1",#N/A,TRUE,"GENERAL";"TAB2",#N/A,TRUE,"GENERAL";"TAB3",#N/A,TRUE,"GENERAL";"TAB4",#N/A,TRUE,"GENERAL";"TAB5",#N/A,TRUE,"GENERAL"}</definedName>
    <definedName name="ggggy" hidden="1">{"TAB1",#N/A,TRUE,"GENERAL";"TAB2",#N/A,TRUE,"GENERAL";"TAB3",#N/A,TRUE,"GENERAL";"TAB4",#N/A,TRUE,"GENERAL";"TAB5",#N/A,TRUE,"GENERAL"}</definedName>
    <definedName name="ggggy_1" hidden="1">{"TAB1",#N/A,TRUE,"GENERAL";"TAB2",#N/A,TRUE,"GENERAL";"TAB3",#N/A,TRUE,"GENERAL";"TAB4",#N/A,TRUE,"GENERAL";"TAB5",#N/A,TRUE,"GENERAL"}</definedName>
    <definedName name="gggtgd" hidden="1">{"via1",#N/A,TRUE,"general";"via2",#N/A,TRUE,"general";"via3",#N/A,TRUE,"general"}</definedName>
    <definedName name="gggtgd_1" hidden="1">{"via1",#N/A,TRUE,"general";"via2",#N/A,TRUE,"general";"via3",#N/A,TRUE,"general"}</definedName>
    <definedName name="ggtgt" hidden="1">{"via1",#N/A,TRUE,"general";"via2",#N/A,TRUE,"general";"via3",#N/A,TRUE,"general"}</definedName>
    <definedName name="ggtgt_1" hidden="1">{"via1",#N/A,TRUE,"general";"via2",#N/A,TRUE,"general";"via3",#N/A,TRUE,"general"}</definedName>
    <definedName name="ghdghuy" hidden="1">{"via1",#N/A,TRUE,"general";"via2",#N/A,TRUE,"general";"via3",#N/A,TRUE,"general"}</definedName>
    <definedName name="ghdghuy_1" hidden="1">{"via1",#N/A,TRUE,"general";"via2",#N/A,TRUE,"general";"via3",#N/A,TRUE,"general"}</definedName>
    <definedName name="GHDP" hidden="1">{"via1",#N/A,TRUE,"general";"via2",#N/A,TRUE,"general";"via3",#N/A,TRUE,"general"}</definedName>
    <definedName name="GHDP_1" hidden="1">{"via1",#N/A,TRUE,"general";"via2",#N/A,TRUE,"general";"via3",#N/A,TRUE,"general"}</definedName>
    <definedName name="ghfg" hidden="1">{"via1",#N/A,TRUE,"general";"via2",#N/A,TRUE,"general";"via3",#N/A,TRUE,"general"}</definedName>
    <definedName name="ghfg_1" hidden="1">{"via1",#N/A,TRUE,"general";"via2",#N/A,TRUE,"general";"via3",#N/A,TRUE,"general"}</definedName>
    <definedName name="ghjghj" hidden="1">{"TAB1",#N/A,TRUE,"GENERAL";"TAB2",#N/A,TRUE,"GENERAL";"TAB3",#N/A,TRUE,"GENERAL";"TAB4",#N/A,TRUE,"GENERAL";"TAB5",#N/A,TRUE,"GENERAL"}</definedName>
    <definedName name="ghjghj_1" hidden="1">{"TAB1",#N/A,TRUE,"GENERAL";"TAB2",#N/A,TRUE,"GENERAL";"TAB3",#N/A,TRUE,"GENERAL";"TAB4",#N/A,TRUE,"GENERAL";"TAB5",#N/A,TRUE,"GENERAL"}</definedName>
    <definedName name="GHKJHK" hidden="1">{"TAB1",#N/A,TRUE,"GENERAL";"TAB2",#N/A,TRUE,"GENERAL";"TAB3",#N/A,TRUE,"GENERAL";"TAB4",#N/A,TRUE,"GENERAL";"TAB5",#N/A,TRUE,"GENERAL"}</definedName>
    <definedName name="GHKJHK_1" hidden="1">{"TAB1",#N/A,TRUE,"GENERAL";"TAB2",#N/A,TRUE,"GENERAL";"TAB3",#N/A,TRUE,"GENERAL";"TAB4",#N/A,TRUE,"GENERAL";"TAB5",#N/A,TRUE,"GENERAL"}</definedName>
    <definedName name="GJHVCB" hidden="1">{"TAB1",#N/A,TRUE,"GENERAL";"TAB2",#N/A,TRUE,"GENERAL";"TAB3",#N/A,TRUE,"GENERAL";"TAB4",#N/A,TRUE,"GENERAL";"TAB5",#N/A,TRUE,"GENERAL"}</definedName>
    <definedName name="GJHVCB_1" hidden="1">{"TAB1",#N/A,TRUE,"GENERAL";"TAB2",#N/A,TRUE,"GENERAL";"TAB3",#N/A,TRUE,"GENERAL";"TAB4",#N/A,TRUE,"GENERAL";"TAB5",#N/A,TRUE,"GENERAL"}</definedName>
    <definedName name="gk" hidden="1">{"via1",#N/A,TRUE,"general";"via2",#N/A,TRUE,"general";"via3",#N/A,TRUE,"general"}</definedName>
    <definedName name="gk_1" hidden="1">{"via1",#N/A,TRUE,"general";"via2",#N/A,TRUE,"general";"via3",#N/A,TRUE,"general"}</definedName>
    <definedName name="GNK">[16]PRECIOS!$G$5</definedName>
    <definedName name="GRAF1ANO" hidden="1">{"via1",#N/A,TRUE,"general";"via2",#N/A,TRUE,"general";"via3",#N/A,TRUE,"general"}</definedName>
    <definedName name="GRAF1ANO_1" hidden="1">{"via1",#N/A,TRUE,"general";"via2",#N/A,TRUE,"general";"via3",#N/A,TRUE,"general"}</definedName>
    <definedName name="GRAF1AÑO" hidden="1">{"TAB1",#N/A,TRUE,"GENERAL";"TAB2",#N/A,TRUE,"GENERAL";"TAB3",#N/A,TRUE,"GENERAL";"TAB4",#N/A,TRUE,"GENERAL";"TAB5",#N/A,TRUE,"GENERAL"}</definedName>
    <definedName name="GRAF1AÑO_1" hidden="1">{"TAB1",#N/A,TRUE,"GENERAL";"TAB2",#N/A,TRUE,"GENERAL";"TAB3",#N/A,TRUE,"GENERAL";"TAB4",#N/A,TRUE,"GENERAL";"TAB5",#N/A,TRUE,"GENERAL"}</definedName>
    <definedName name="gregds" hidden="1">{"TAB1",#N/A,TRUE,"GENERAL";"TAB2",#N/A,TRUE,"GENERAL";"TAB3",#N/A,TRUE,"GENERAL";"TAB4",#N/A,TRUE,"GENERAL";"TAB5",#N/A,TRUE,"GENERAL"}</definedName>
    <definedName name="gregds_1" hidden="1">{"TAB1",#N/A,TRUE,"GENERAL";"TAB2",#N/A,TRUE,"GENERAL";"TAB3",#N/A,TRUE,"GENERAL";"TAB4",#N/A,TRUE,"GENERAL";"TAB5",#N/A,TRUE,"GENERAL"}</definedName>
    <definedName name="grehrtyh" hidden="1">{"TAB1",#N/A,TRUE,"GENERAL";"TAB2",#N/A,TRUE,"GENERAL";"TAB3",#N/A,TRUE,"GENERAL";"TAB4",#N/A,TRUE,"GENERAL";"TAB5",#N/A,TRUE,"GENERAL"}</definedName>
    <definedName name="grehrtyh_1" hidden="1">{"TAB1",#N/A,TRUE,"GENERAL";"TAB2",#N/A,TRUE,"GENERAL";"TAB3",#N/A,TRUE,"GENERAL";"TAB4",#N/A,TRUE,"GENERAL";"TAB5",#N/A,TRUE,"GENERAL"}</definedName>
    <definedName name="grggwero" hidden="1">{"via1",#N/A,TRUE,"general";"via2",#N/A,TRUE,"general";"via3",#N/A,TRUE,"general"}</definedName>
    <definedName name="grggwero_1" hidden="1">{"via1",#N/A,TRUE,"general";"via2",#N/A,TRUE,"general";"via3",#N/A,TRUE,"general"}</definedName>
    <definedName name="grtyerh" hidden="1">{"TAB1",#N/A,TRUE,"GENERAL";"TAB2",#N/A,TRUE,"GENERAL";"TAB3",#N/A,TRUE,"GENERAL";"TAB4",#N/A,TRUE,"GENERAL";"TAB5",#N/A,TRUE,"GENERAL"}</definedName>
    <definedName name="grtyerh_1" hidden="1">{"TAB1",#N/A,TRUE,"GENERAL";"TAB2",#N/A,TRUE,"GENERAL";"TAB3",#N/A,TRUE,"GENERAL";"TAB4",#N/A,TRUE,"GENERAL";"TAB5",#N/A,TRUE,"GENERAL"}</definedName>
    <definedName name="GSDG" hidden="1">{"TAB1",#N/A,TRUE,"GENERAL";"TAB2",#N/A,TRUE,"GENERAL";"TAB3",#N/A,TRUE,"GENERAL";"TAB4",#N/A,TRUE,"GENERAL";"TAB5",#N/A,TRUE,"GENERAL"}</definedName>
    <definedName name="GSDG_1" hidden="1">{"TAB1",#N/A,TRUE,"GENERAL";"TAB2",#N/A,TRUE,"GENERAL";"TAB3",#N/A,TRUE,"GENERAL";"TAB4",#N/A,TRUE,"GENERAL";"TAB5",#N/A,TRUE,"GENERAL"}</definedName>
    <definedName name="gsfsf" hidden="1">{"via1",#N/A,TRUE,"general";"via2",#N/A,TRUE,"general";"via3",#N/A,TRUE,"general"}</definedName>
    <definedName name="gsfsf_1" hidden="1">{"via1",#N/A,TRUE,"general";"via2",#N/A,TRUE,"general";"via3",#N/A,TRUE,"general"}</definedName>
    <definedName name="gtgt" hidden="1">{"via1",#N/A,TRUE,"general";"via2",#N/A,TRUE,"general";"via3",#N/A,TRUE,"general"}</definedName>
    <definedName name="gtgt_1" hidden="1">{"via1",#N/A,TRUE,"general";"via2",#N/A,TRUE,"general";"via3",#N/A,TRUE,"general"}</definedName>
    <definedName name="gtgtg" hidden="1">{"via1",#N/A,TRUE,"general";"via2",#N/A,TRUE,"general";"via3",#N/A,TRUE,"general"}</definedName>
    <definedName name="gtgtg_1" hidden="1">{"via1",#N/A,TRUE,"general";"via2",#N/A,TRUE,"general";"via3",#N/A,TRUE,"general"}</definedName>
    <definedName name="gtgtgff" hidden="1">{"via1",#N/A,TRUE,"general";"via2",#N/A,TRUE,"general";"via3",#N/A,TRUE,"general"}</definedName>
    <definedName name="gtgtgff_1" hidden="1">{"via1",#N/A,TRUE,"general";"via2",#N/A,TRUE,"general";"via3",#N/A,TRUE,"general"}</definedName>
    <definedName name="gtgtgyh" hidden="1">{"TAB1",#N/A,TRUE,"GENERAL";"TAB2",#N/A,TRUE,"GENERAL";"TAB3",#N/A,TRUE,"GENERAL";"TAB4",#N/A,TRUE,"GENERAL";"TAB5",#N/A,TRUE,"GENERAL"}</definedName>
    <definedName name="gtgtgyh_1" hidden="1">{"TAB1",#N/A,TRUE,"GENERAL";"TAB2",#N/A,TRUE,"GENERAL";"TAB3",#N/A,TRUE,"GENERAL";"TAB4",#N/A,TRUE,"GENERAL";"TAB5",#N/A,TRUE,"GENERAL"}</definedName>
    <definedName name="gtgth" hidden="1">{"TAB1",#N/A,TRUE,"GENERAL";"TAB2",#N/A,TRUE,"GENERAL";"TAB3",#N/A,TRUE,"GENERAL";"TAB4",#N/A,TRUE,"GENERAL";"TAB5",#N/A,TRUE,"GENERAL"}</definedName>
    <definedName name="gtgth_1" hidden="1">{"TAB1",#N/A,TRUE,"GENERAL";"TAB2",#N/A,TRUE,"GENERAL";"TAB3",#N/A,TRUE,"GENERAL";"TAB4",#N/A,TRUE,"GENERAL";"TAB5",#N/A,TRUE,"GENERAL"}</definedName>
    <definedName name="h9h" hidden="1">{"via1",#N/A,TRUE,"general";"via2",#N/A,TRUE,"general";"via3",#N/A,TRUE,"general"}</definedName>
    <definedName name="h9h_1" hidden="1">{"via1",#N/A,TRUE,"general";"via2",#N/A,TRUE,"general";"via3",#N/A,TRUE,"general"}</definedName>
    <definedName name="hbfdhrw" hidden="1">{"TAB1",#N/A,TRUE,"GENERAL";"TAB2",#N/A,TRUE,"GENERAL";"TAB3",#N/A,TRUE,"GENERAL";"TAB4",#N/A,TRUE,"GENERAL";"TAB5",#N/A,TRUE,"GENERAL"}</definedName>
    <definedName name="hbfdhrw_1" hidden="1">{"TAB1",#N/A,TRUE,"GENERAL";"TAB2",#N/A,TRUE,"GENERAL";"TAB3",#N/A,TRUE,"GENERAL";"TAB4",#N/A,TRUE,"GENERAL";"TAB5",#N/A,TRUE,"GENERAL"}</definedName>
    <definedName name="hdfh" hidden="1">{"via1",#N/A,TRUE,"general";"via2",#N/A,TRUE,"general";"via3",#N/A,TRUE,"general"}</definedName>
    <definedName name="hdfh_1" hidden="1">{"via1",#N/A,TRUE,"general";"via2",#N/A,TRUE,"general";"via3",#N/A,TRUE,"general"}</definedName>
    <definedName name="hdfh4" hidden="1">{"TAB1",#N/A,TRUE,"GENERAL";"TAB2",#N/A,TRUE,"GENERAL";"TAB3",#N/A,TRUE,"GENERAL";"TAB4",#N/A,TRUE,"GENERAL";"TAB5",#N/A,TRUE,"GENERAL"}</definedName>
    <definedName name="hdfh4_1" hidden="1">{"TAB1",#N/A,TRUE,"GENERAL";"TAB2",#N/A,TRUE,"GENERAL";"TAB3",#N/A,TRUE,"GENERAL";"TAB4",#N/A,TRUE,"GENERAL";"TAB5",#N/A,TRUE,"GENERAL"}</definedName>
    <definedName name="hdfhwq" hidden="1">{"TAB1",#N/A,TRUE,"GENERAL";"TAB2",#N/A,TRUE,"GENERAL";"TAB3",#N/A,TRUE,"GENERAL";"TAB4",#N/A,TRUE,"GENERAL";"TAB5",#N/A,TRUE,"GENERAL"}</definedName>
    <definedName name="hdfhwq_1" hidden="1">{"TAB1",#N/A,TRUE,"GENERAL";"TAB2",#N/A,TRUE,"GENERAL";"TAB3",#N/A,TRUE,"GENERAL";"TAB4",#N/A,TRUE,"GENERAL";"TAB5",#N/A,TRUE,"GENERAL"}</definedName>
    <definedName name="hdgh" hidden="1">{"via1",#N/A,TRUE,"general";"via2",#N/A,TRUE,"general";"via3",#N/A,TRUE,"general"}</definedName>
    <definedName name="hdgh_1" hidden="1">{"via1",#N/A,TRUE,"general";"via2",#N/A,TRUE,"general";"via3",#N/A,TRUE,"general"}</definedName>
    <definedName name="hdhf" hidden="1">{"TAB1",#N/A,TRUE,"GENERAL";"TAB2",#N/A,TRUE,"GENERAL";"TAB3",#N/A,TRUE,"GENERAL";"TAB4",#N/A,TRUE,"GENERAL";"TAB5",#N/A,TRUE,"GENERAL"}</definedName>
    <definedName name="hdhf_1" hidden="1">{"TAB1",#N/A,TRUE,"GENERAL";"TAB2",#N/A,TRUE,"GENERAL";"TAB3",#N/A,TRUE,"GENERAL";"TAB4",#N/A,TRUE,"GENERAL";"TAB5",#N/A,TRUE,"GENERAL"}</definedName>
    <definedName name="hfgh" hidden="1">{"via1",#N/A,TRUE,"general";"via2",#N/A,TRUE,"general";"via3",#N/A,TRUE,"general"}</definedName>
    <definedName name="hfgh_1" hidden="1">{"via1",#N/A,TRUE,"general";"via2",#N/A,TRUE,"general";"via3",#N/A,TRUE,"general"}</definedName>
    <definedName name="hfh" hidden="1">{"TAB1",#N/A,TRUE,"GENERAL";"TAB2",#N/A,TRUE,"GENERAL";"TAB3",#N/A,TRUE,"GENERAL";"TAB4",#N/A,TRUE,"GENERAL";"TAB5",#N/A,TRUE,"GENERAL"}</definedName>
    <definedName name="hfh_1" hidden="1">{"TAB1",#N/A,TRUE,"GENERAL";"TAB2",#N/A,TRUE,"GENERAL";"TAB3",#N/A,TRUE,"GENERAL";"TAB4",#N/A,TRUE,"GENERAL";"TAB5",#N/A,TRUE,"GENERAL"}</definedName>
    <definedName name="hfhg" hidden="1">{"TAB1",#N/A,TRUE,"GENERAL";"TAB2",#N/A,TRUE,"GENERAL";"TAB3",#N/A,TRUE,"GENERAL";"TAB4",#N/A,TRUE,"GENERAL";"TAB5",#N/A,TRUE,"GENERAL"}</definedName>
    <definedName name="hfhg_1" hidden="1">{"TAB1",#N/A,TRUE,"GENERAL";"TAB2",#N/A,TRUE,"GENERAL";"TAB3",#N/A,TRUE,"GENERAL";"TAB4",#N/A,TRUE,"GENERAL";"TAB5",#N/A,TRUE,"GENERAL"}</definedName>
    <definedName name="hfthr" hidden="1">{"via1",#N/A,TRUE,"general";"via2",#N/A,TRUE,"general";"via3",#N/A,TRUE,"general"}</definedName>
    <definedName name="hfthr_1" hidden="1">{"via1",#N/A,TRUE,"general";"via2",#N/A,TRUE,"general";"via3",#N/A,TRUE,"general"}</definedName>
    <definedName name="hg" hidden="1">{"via1",#N/A,TRUE,"general";"via2",#N/A,TRUE,"general";"via3",#N/A,TRUE,"general"}</definedName>
    <definedName name="hg_1" hidden="1">{"via1",#N/A,TRUE,"general";"via2",#N/A,TRUE,"general";"via3",#N/A,TRUE,"general"}</definedName>
    <definedName name="HGFH" hidden="1">{"via1",#N/A,TRUE,"general";"via2",#N/A,TRUE,"general";"via3",#N/A,TRUE,"general"}</definedName>
    <definedName name="HGFH_1" hidden="1">{"via1",#N/A,TRUE,"general";"via2",#N/A,TRUE,"general";"via3",#N/A,TRUE,"general"}</definedName>
    <definedName name="hgfhty" hidden="1">{"via1",#N/A,TRUE,"general";"via2",#N/A,TRUE,"general";"via3",#N/A,TRUE,"general"}</definedName>
    <definedName name="hgfhty_1" hidden="1">{"via1",#N/A,TRUE,"general";"via2",#N/A,TRUE,"general";"via3",#N/A,TRUE,"general"}</definedName>
    <definedName name="HGHFH7" hidden="1">{"TAB1",#N/A,TRUE,"GENERAL";"TAB2",#N/A,TRUE,"GENERAL";"TAB3",#N/A,TRUE,"GENERAL";"TAB4",#N/A,TRUE,"GENERAL";"TAB5",#N/A,TRUE,"GENERAL"}</definedName>
    <definedName name="HGHFH7_1" hidden="1">{"TAB1",#N/A,TRUE,"GENERAL";"TAB2",#N/A,TRUE,"GENERAL";"TAB3",#N/A,TRUE,"GENERAL";"TAB4",#N/A,TRUE,"GENERAL";"TAB5",#N/A,TRUE,"GENERAL"}</definedName>
    <definedName name="hghhj" hidden="1">{"TAB1",#N/A,TRUE,"GENERAL";"TAB2",#N/A,TRUE,"GENERAL";"TAB3",#N/A,TRUE,"GENERAL";"TAB4",#N/A,TRUE,"GENERAL";"TAB5",#N/A,TRUE,"GENERAL"}</definedName>
    <definedName name="hghhj_1" hidden="1">{"TAB1",#N/A,TRUE,"GENERAL";"TAB2",#N/A,TRUE,"GENERAL";"TAB3",#N/A,TRUE,"GENERAL";"TAB4",#N/A,TRUE,"GENERAL";"TAB5",#N/A,TRUE,"GENERAL"}</definedName>
    <definedName name="hghydj" hidden="1">{"via1",#N/A,TRUE,"general";"via2",#N/A,TRUE,"general";"via3",#N/A,TRUE,"general"}</definedName>
    <definedName name="hghydj_1" hidden="1">{"via1",#N/A,TRUE,"general";"via2",#N/A,TRUE,"general";"via3",#N/A,TRUE,"general"}</definedName>
    <definedName name="hgjfjw" hidden="1">{"via1",#N/A,TRUE,"general";"via2",#N/A,TRUE,"general";"via3",#N/A,TRUE,"general"}</definedName>
    <definedName name="hgjfjw_1" hidden="1">{"via1",#N/A,TRUE,"general";"via2",#N/A,TRUE,"general";"via3",#N/A,TRUE,"general"}</definedName>
    <definedName name="HGJG" hidden="1">{"TAB1",#N/A,TRUE,"GENERAL";"TAB2",#N/A,TRUE,"GENERAL";"TAB3",#N/A,TRUE,"GENERAL";"TAB4",#N/A,TRUE,"GENERAL";"TAB5",#N/A,TRUE,"GENERAL"}</definedName>
    <definedName name="HGJG_1" hidden="1">{"TAB1",#N/A,TRUE,"GENERAL";"TAB2",#N/A,TRUE,"GENERAL";"TAB3",#N/A,TRUE,"GENERAL";"TAB4",#N/A,TRUE,"GENERAL";"TAB5",#N/A,TRUE,"GENERAL"}</definedName>
    <definedName name="hhh" hidden="1">{"TAB1",#N/A,TRUE,"GENERAL";"TAB2",#N/A,TRUE,"GENERAL";"TAB3",#N/A,TRUE,"GENERAL";"TAB4",#N/A,TRUE,"GENERAL";"TAB5",#N/A,TRUE,"GENERAL"}</definedName>
    <definedName name="hhh_1" hidden="1">{"TAB1",#N/A,TRUE,"GENERAL";"TAB2",#N/A,TRUE,"GENERAL";"TAB3",#N/A,TRUE,"GENERAL";"TAB4",#N/A,TRUE,"GENERAL";"TAB5",#N/A,TRUE,"GENERAL"}</definedName>
    <definedName name="hhhhhh" hidden="1">{"via1",#N/A,TRUE,"general";"via2",#N/A,TRUE,"general";"via3",#N/A,TRUE,"general"}</definedName>
    <definedName name="hhhhhh_1" hidden="1">{"via1",#N/A,TRUE,"general";"via2",#N/A,TRUE,"general";"via3",#N/A,TRUE,"general"}</definedName>
    <definedName name="hhhhhho" hidden="1">{"TAB1",#N/A,TRUE,"GENERAL";"TAB2",#N/A,TRUE,"GENERAL";"TAB3",#N/A,TRUE,"GENERAL";"TAB4",#N/A,TRUE,"GENERAL";"TAB5",#N/A,TRUE,"GENERAL"}</definedName>
    <definedName name="hhhhhho_1" hidden="1">{"TAB1",#N/A,TRUE,"GENERAL";"TAB2",#N/A,TRUE,"GENERAL";"TAB3",#N/A,TRUE,"GENERAL";"TAB4",#N/A,TRUE,"GENERAL";"TAB5",#N/A,TRUE,"GENERAL"}</definedName>
    <definedName name="hhhhhpy" hidden="1">{"TAB1",#N/A,TRUE,"GENERAL";"TAB2",#N/A,TRUE,"GENERAL";"TAB3",#N/A,TRUE,"GENERAL";"TAB4",#N/A,TRUE,"GENERAL";"TAB5",#N/A,TRUE,"GENERAL"}</definedName>
    <definedName name="hhhhhpy_1" hidden="1">{"TAB1",#N/A,TRUE,"GENERAL";"TAB2",#N/A,TRUE,"GENERAL";"TAB3",#N/A,TRUE,"GENERAL";"TAB4",#N/A,TRUE,"GENERAL";"TAB5",#N/A,TRUE,"GENERAL"}</definedName>
    <definedName name="hhhhth" hidden="1">{"via1",#N/A,TRUE,"general";"via2",#N/A,TRUE,"general";"via3",#N/A,TRUE,"general"}</definedName>
    <definedName name="hhhhth_1" hidden="1">{"via1",#N/A,TRUE,"general";"via2",#N/A,TRUE,"general";"via3",#N/A,TRUE,"general"}</definedName>
    <definedName name="hhhyhyh" hidden="1">{"TAB1",#N/A,TRUE,"GENERAL";"TAB2",#N/A,TRUE,"GENERAL";"TAB3",#N/A,TRUE,"GENERAL";"TAB4",#N/A,TRUE,"GENERAL";"TAB5",#N/A,TRUE,"GENERAL"}</definedName>
    <definedName name="hhhyhyh_1" hidden="1">{"TAB1",#N/A,TRUE,"GENERAL";"TAB2",#N/A,TRUE,"GENERAL";"TAB3",#N/A,TRUE,"GENERAL";"TAB4",#N/A,TRUE,"GENERAL";"TAB5",#N/A,TRUE,"GENERAL"}</definedName>
    <definedName name="hhtrhreh" hidden="1">{"via1",#N/A,TRUE,"general";"via2",#N/A,TRUE,"general";"via3",#N/A,TRUE,"general"}</definedName>
    <definedName name="hhtrhreh_1" hidden="1">{"via1",#N/A,TRUE,"general";"via2",#N/A,TRUE,"general";"via3",#N/A,TRUE,"general"}</definedName>
    <definedName name="hjfg" hidden="1">{"via1",#N/A,TRUE,"general";"via2",#N/A,TRUE,"general";"via3",#N/A,TRUE,"general"}</definedName>
    <definedName name="hjfg_1" hidden="1">{"via1",#N/A,TRUE,"general";"via2",#N/A,TRUE,"general";"via3",#N/A,TRUE,"general"}</definedName>
    <definedName name="hjgh" hidden="1">{"TAB1",#N/A,TRUE,"GENERAL";"TAB2",#N/A,TRUE,"GENERAL";"TAB3",#N/A,TRUE,"GENERAL";"TAB4",#N/A,TRUE,"GENERAL";"TAB5",#N/A,TRUE,"GENERAL"}</definedName>
    <definedName name="hjgh_1" hidden="1">{"TAB1",#N/A,TRUE,"GENERAL";"TAB2",#N/A,TRUE,"GENERAL";"TAB3",#N/A,TRUE,"GENERAL";"TAB4",#N/A,TRUE,"GENERAL";"TAB5",#N/A,TRUE,"GENERAL"}</definedName>
    <definedName name="hjghj" hidden="1">{"TAB1",#N/A,TRUE,"GENERAL";"TAB2",#N/A,TRUE,"GENERAL";"TAB3",#N/A,TRUE,"GENERAL";"TAB4",#N/A,TRUE,"GENERAL";"TAB5",#N/A,TRUE,"GENERAL"}</definedName>
    <definedName name="hjghj_1" hidden="1">{"TAB1",#N/A,TRUE,"GENERAL";"TAB2",#N/A,TRUE,"GENERAL";"TAB3",#N/A,TRUE,"GENERAL";"TAB4",#N/A,TRUE,"GENERAL";"TAB5",#N/A,TRUE,"GENERAL"}</definedName>
    <definedName name="hjhjhg" hidden="1">{"TAB1",#N/A,TRUE,"GENERAL";"TAB2",#N/A,TRUE,"GENERAL";"TAB3",#N/A,TRUE,"GENERAL";"TAB4",#N/A,TRUE,"GENERAL";"TAB5",#N/A,TRUE,"GENERAL"}</definedName>
    <definedName name="hjhjhg_1" hidden="1">{"TAB1",#N/A,TRUE,"GENERAL";"TAB2",#N/A,TRUE,"GENERAL";"TAB3",#N/A,TRUE,"GENERAL";"TAB4",#N/A,TRUE,"GENERAL";"TAB5",#N/A,TRUE,"GENERAL"}</definedName>
    <definedName name="HJKH" hidden="1">{"via1",#N/A,TRUE,"general";"via2",#N/A,TRUE,"general";"via3",#N/A,TRUE,"general"}</definedName>
    <definedName name="HJKH_1" hidden="1">{"via1",#N/A,TRUE,"general";"via2",#N/A,TRUE,"general";"via3",#N/A,TRUE,"general"}</definedName>
    <definedName name="hjkjk" hidden="1">{"via1",#N/A,TRUE,"general";"via2",#N/A,TRUE,"general";"via3",#N/A,TRUE,"general"}</definedName>
    <definedName name="hjkjk_1" hidden="1">{"via1",#N/A,TRUE,"general";"via2",#N/A,TRUE,"general";"via3",#N/A,TRUE,"general"}</definedName>
    <definedName name="HM">[21]Hoja1!$G$8</definedName>
    <definedName name="hn">[19]PRECIOS!$B$8</definedName>
    <definedName name="hn_1" hidden="1">{"TAB1",#N/A,TRUE,"GENERAL";"TAB2",#N/A,TRUE,"GENERAL";"TAB3",#N/A,TRUE,"GENERAL";"TAB4",#N/A,TRUE,"GENERAL";"TAB5",#N/A,TRUE,"GENERAL"}</definedName>
    <definedName name="hreer" hidden="1">{"TAB1",#N/A,TRUE,"GENERAL";"TAB2",#N/A,TRUE,"GENERAL";"TAB3",#N/A,TRUE,"GENERAL";"TAB4",#N/A,TRUE,"GENERAL";"TAB5",#N/A,TRUE,"GENERAL"}</definedName>
    <definedName name="hreer_1" hidden="1">{"TAB1",#N/A,TRUE,"GENERAL";"TAB2",#N/A,TRUE,"GENERAL";"TAB3",#N/A,TRUE,"GENERAL";"TAB4",#N/A,TRUE,"GENERAL";"TAB5",#N/A,TRUE,"GENERAL"}</definedName>
    <definedName name="hrhth" hidden="1">{"TAB1",#N/A,TRUE,"GENERAL";"TAB2",#N/A,TRUE,"GENERAL";"TAB3",#N/A,TRUE,"GENERAL";"TAB4",#N/A,TRUE,"GENERAL";"TAB5",#N/A,TRUE,"GENERAL"}</definedName>
    <definedName name="hrhth_1" hidden="1">{"TAB1",#N/A,TRUE,"GENERAL";"TAB2",#N/A,TRUE,"GENERAL";"TAB3",#N/A,TRUE,"GENERAL";"TAB4",#N/A,TRUE,"GENERAL";"TAB5",#N/A,TRUE,"GENERAL"}</definedName>
    <definedName name="hrthtrh" hidden="1">{"TAB1",#N/A,TRUE,"GENERAL";"TAB2",#N/A,TRUE,"GENERAL";"TAB3",#N/A,TRUE,"GENERAL";"TAB4",#N/A,TRUE,"GENERAL";"TAB5",#N/A,TRUE,"GENERAL"}</definedName>
    <definedName name="hrthtrh_1" hidden="1">{"TAB1",#N/A,TRUE,"GENERAL";"TAB2",#N/A,TRUE,"GENERAL";"TAB3",#N/A,TRUE,"GENERAL";"TAB4",#N/A,TRUE,"GENERAL";"TAB5",#N/A,TRUE,"GENERAL"}</definedName>
    <definedName name="hsfg" hidden="1">{"via1",#N/A,TRUE,"general";"via2",#N/A,TRUE,"general";"via3",#N/A,TRUE,"general"}</definedName>
    <definedName name="hsfg_1" hidden="1">{"via1",#N/A,TRUE,"general";"via2",#N/A,TRUE,"general";"via3",#N/A,TRUE,"general"}</definedName>
    <definedName name="hthdrf" hidden="1">{"TAB1",#N/A,TRUE,"GENERAL";"TAB2",#N/A,TRUE,"GENERAL";"TAB3",#N/A,TRUE,"GENERAL";"TAB4",#N/A,TRUE,"GENERAL";"TAB5",#N/A,TRUE,"GENERAL"}</definedName>
    <definedName name="hthdrf_1" hidden="1">{"TAB1",#N/A,TRUE,"GENERAL";"TAB2",#N/A,TRUE,"GENERAL";"TAB3",#N/A,TRUE,"GENERAL";"TAB4",#N/A,TRUE,"GENERAL";"TAB5",#N/A,TRUE,"GENERAL"}</definedName>
    <definedName name="htryrt7" hidden="1">{"via1",#N/A,TRUE,"general";"via2",#N/A,TRUE,"general";"via3",#N/A,TRUE,"general"}</definedName>
    <definedName name="htryrt7_1" hidden="1">{"via1",#N/A,TRUE,"general";"via2",#N/A,TRUE,"general";"via3",#N/A,TRUE,"general"}</definedName>
    <definedName name="hyhjop" hidden="1">{"TAB1",#N/A,TRUE,"GENERAL";"TAB2",#N/A,TRUE,"GENERAL";"TAB3",#N/A,TRUE,"GENERAL";"TAB4",#N/A,TRUE,"GENERAL";"TAB5",#N/A,TRUE,"GENERAL"}</definedName>
    <definedName name="hyhjop_1" hidden="1">{"TAB1",#N/A,TRUE,"GENERAL";"TAB2",#N/A,TRUE,"GENERAL";"TAB3",#N/A,TRUE,"GENERAL";"TAB4",#N/A,TRUE,"GENERAL";"TAB5",#N/A,TRUE,"GENERAL"}</definedName>
    <definedName name="hyhyh" hidden="1">{"TAB1",#N/A,TRUE,"GENERAL";"TAB2",#N/A,TRUE,"GENERAL";"TAB3",#N/A,TRUE,"GENERAL";"TAB4",#N/A,TRUE,"GENERAL";"TAB5",#N/A,TRUE,"GENERAL"}</definedName>
    <definedName name="hyhyh_1" hidden="1">{"TAB1",#N/A,TRUE,"GENERAL";"TAB2",#N/A,TRUE,"GENERAL";"TAB3",#N/A,TRUE,"GENERAL";"TAB4",#N/A,TRUE,"GENERAL";"TAB5",#N/A,TRUE,"GENERAL"}</definedName>
    <definedName name="hytirs" hidden="1">{"via1",#N/A,TRUE,"general";"via2",#N/A,TRUE,"general";"via3",#N/A,TRUE,"general"}</definedName>
    <definedName name="hytirs_1" hidden="1">{"via1",#N/A,TRUE,"general";"via2",#N/A,TRUE,"general";"via3",#N/A,TRUE,"general"}</definedName>
    <definedName name="I">[21]Hoja1!$G$2</definedName>
    <definedName name="i8i" hidden="1">{"TAB1",#N/A,TRUE,"GENERAL";"TAB2",#N/A,TRUE,"GENERAL";"TAB3",#N/A,TRUE,"GENERAL";"TAB4",#N/A,TRUE,"GENERAL";"TAB5",#N/A,TRUE,"GENERAL"}</definedName>
    <definedName name="i8i_1" hidden="1">{"TAB1",#N/A,TRUE,"GENERAL";"TAB2",#N/A,TRUE,"GENERAL";"TAB3",#N/A,TRUE,"GENERAL";"TAB4",#N/A,TRUE,"GENERAL";"TAB5",#N/A,TRUE,"GENERAL"}</definedName>
    <definedName name="ii" hidden="1">{"TAB1",#N/A,TRUE,"GENERAL";"TAB2",#N/A,TRUE,"GENERAL";"TAB3",#N/A,TRUE,"GENERAL";"TAB4",#N/A,TRUE,"GENERAL";"TAB5",#N/A,TRUE,"GENERAL"}</definedName>
    <definedName name="ii_1" hidden="1">{"TAB1",#N/A,TRUE,"GENERAL";"TAB2",#N/A,TRUE,"GENERAL";"TAB3",#N/A,TRUE,"GENERAL";"TAB4",#N/A,TRUE,"GENERAL";"TAB5",#N/A,TRUE,"GENERAL"}</definedName>
    <definedName name="iii" hidden="1">{"via1",#N/A,TRUE,"general";"via2",#N/A,TRUE,"general";"via3",#N/A,TRUE,"general"}</definedName>
    <definedName name="iii_1" hidden="1">{"via1",#N/A,TRUE,"general";"via2",#N/A,TRUE,"general";"via3",#N/A,TRUE,"general"}</definedName>
    <definedName name="iiii" hidden="1">{"via1",#N/A,TRUE,"general";"via2",#N/A,TRUE,"general";"via3",#N/A,TRUE,"general"}</definedName>
    <definedName name="iiii_1" hidden="1">{"via1",#N/A,TRUE,"general";"via2",#N/A,TRUE,"general";"via3",#N/A,TRUE,"general"}</definedName>
    <definedName name="iiiiiiik" hidden="1">{"via1",#N/A,TRUE,"general";"via2",#N/A,TRUE,"general";"via3",#N/A,TRUE,"general"}</definedName>
    <definedName name="iiiiiiik_1" hidden="1">{"via1",#N/A,TRUE,"general";"via2",#N/A,TRUE,"general";"via3",#N/A,TRUE,"general"}</definedName>
    <definedName name="iiiiuh" hidden="1">{"TAB1",#N/A,TRUE,"GENERAL";"TAB2",#N/A,TRUE,"GENERAL";"TAB3",#N/A,TRUE,"GENERAL";"TAB4",#N/A,TRUE,"GENERAL";"TAB5",#N/A,TRUE,"GENERAL"}</definedName>
    <definedName name="iiiiuh_1" hidden="1">{"TAB1",#N/A,TRUE,"GENERAL";"TAB2",#N/A,TRUE,"GENERAL";"TAB3",#N/A,TRUE,"GENERAL";"TAB4",#N/A,TRUE,"GENERAL";"TAB5",#N/A,TRUE,"GENERAL"}</definedName>
    <definedName name="iktgvfmu" hidden="1">{"TAB1",#N/A,TRUE,"GENERAL";"TAB2",#N/A,TRUE,"GENERAL";"TAB3",#N/A,TRUE,"GENERAL";"TAB4",#N/A,TRUE,"GENERAL";"TAB5",#N/A,TRUE,"GENERAL"}</definedName>
    <definedName name="iktgvfmu_1" hidden="1">{"TAB1",#N/A,TRUE,"GENERAL";"TAB2",#N/A,TRUE,"GENERAL";"TAB3",#N/A,TRUE,"GENERAL";"TAB4",#N/A,TRUE,"GENERAL";"TAB5",#N/A,TRUE,"GENERAL"}</definedName>
    <definedName name="im">[17]MATERIALES!$H$5</definedName>
    <definedName name="inf" localSheetId="34">#REF!</definedName>
    <definedName name="inf" localSheetId="6">#REF!</definedName>
    <definedName name="inf" localSheetId="12">#REF!</definedName>
    <definedName name="inf" localSheetId="5">#REF!</definedName>
    <definedName name="IOUYU">[29]PRECIOS!$A$1:$D$221</definedName>
    <definedName name="IUI" hidden="1">{"TAB1",#N/A,TRUE,"GENERAL";"TAB2",#N/A,TRUE,"GENERAL";"TAB3",#N/A,TRUE,"GENERAL";"TAB4",#N/A,TRUE,"GENERAL";"TAB5",#N/A,TRUE,"GENERAL"}</definedName>
    <definedName name="IUI_1" hidden="1">{"TAB1",#N/A,TRUE,"GENERAL";"TAB2",#N/A,TRUE,"GENERAL";"TAB3",#N/A,TRUE,"GENERAL";"TAB4",#N/A,TRUE,"GENERAL";"TAB5",#N/A,TRUE,"GENERAL"}</definedName>
    <definedName name="iuit7" hidden="1">{"TAB1",#N/A,TRUE,"GENERAL";"TAB2",#N/A,TRUE,"GENERAL";"TAB3",#N/A,TRUE,"GENERAL";"TAB4",#N/A,TRUE,"GENERAL";"TAB5",#N/A,TRUE,"GENERAL"}</definedName>
    <definedName name="iuit7_1" hidden="1">{"TAB1",#N/A,TRUE,"GENERAL";"TAB2",#N/A,TRUE,"GENERAL";"TAB3",#N/A,TRUE,"GENERAL";"TAB4",#N/A,TRUE,"GENERAL";"TAB5",#N/A,TRUE,"GENERAL"}</definedName>
    <definedName name="iul" hidden="1">{"via1",#N/A,TRUE,"general";"via2",#N/A,TRUE,"general";"via3",#N/A,TRUE,"general"}</definedName>
    <definedName name="iul_1" hidden="1">{"via1",#N/A,TRUE,"general";"via2",#N/A,TRUE,"general";"via3",#N/A,TRUE,"general"}</definedName>
    <definedName name="iuouio" hidden="1">{"via1",#N/A,TRUE,"general";"via2",#N/A,TRUE,"general";"via3",#N/A,TRUE,"general"}</definedName>
    <definedName name="iuouio_1" hidden="1">{"via1",#N/A,TRUE,"general";"via2",#N/A,TRUE,"general";"via3",#N/A,TRUE,"general"}</definedName>
    <definedName name="IUU">[16]PRECIOS!$G$3</definedName>
    <definedName name="iuyi9" hidden="1">{"TAB1",#N/A,TRUE,"GENERAL";"TAB2",#N/A,TRUE,"GENERAL";"TAB3",#N/A,TRUE,"GENERAL";"TAB4",#N/A,TRUE,"GENERAL";"TAB5",#N/A,TRUE,"GENERAL"}</definedName>
    <definedName name="iuyi9_1" hidden="1">{"TAB1",#N/A,TRUE,"GENERAL";"TAB2",#N/A,TRUE,"GENERAL";"TAB3",#N/A,TRUE,"GENERAL";"TAB4",#N/A,TRUE,"GENERAL";"TAB5",#N/A,TRUE,"GENERAL"}</definedName>
    <definedName name="iyuiuyi" hidden="1">{"via1",#N/A,TRUE,"general";"via2",#N/A,TRUE,"general";"via3",#N/A,TRUE,"general"}</definedName>
    <definedName name="iyuiuyi_1" hidden="1">{"via1",#N/A,TRUE,"general";"via2",#N/A,TRUE,"general";"via3",#N/A,TRUE,"general"}</definedName>
    <definedName name="j" hidden="1">{"TAB1",#N/A,TRUE,"GENERAL";"TAB2",#N/A,TRUE,"GENERAL";"TAB3",#N/A,TRUE,"GENERAL";"TAB4",#N/A,TRUE,"GENERAL";"TAB5",#N/A,TRUE,"GENERAL"}</definedName>
    <definedName name="j_1" hidden="1">{"TAB1",#N/A,TRUE,"GENERAL";"TAB2",#N/A,TRUE,"GENERAL";"TAB3",#N/A,TRUE,"GENERAL";"TAB4",#N/A,TRUE,"GENERAL";"TAB5",#N/A,TRUE,"GENERAL"}</definedName>
    <definedName name="jd" hidden="1">{"via1",#N/A,TRUE,"general";"via2",#N/A,TRUE,"general";"via3",#N/A,TRUE,"general"}</definedName>
    <definedName name="jd_1" hidden="1">{"via1",#N/A,TRUE,"general";"via2",#N/A,TRUE,"general";"via3",#N/A,TRUE,"general"}</definedName>
    <definedName name="jdh" hidden="1">{"TAB1",#N/A,TRUE,"GENERAL";"TAB2",#N/A,TRUE,"GENERAL";"TAB3",#N/A,TRUE,"GENERAL";"TAB4",#N/A,TRUE,"GENERAL";"TAB5",#N/A,TRUE,"GENERAL"}</definedName>
    <definedName name="jdh_1" hidden="1">{"TAB1",#N/A,TRUE,"GENERAL";"TAB2",#N/A,TRUE,"GENERAL";"TAB3",#N/A,TRUE,"GENERAL";"TAB4",#N/A,TRUE,"GENERAL";"TAB5",#N/A,TRUE,"GENERAL"}</definedName>
    <definedName name="jeytj" hidden="1">{"TAB1",#N/A,TRUE,"GENERAL";"TAB2",#N/A,TRUE,"GENERAL";"TAB3",#N/A,TRUE,"GENERAL";"TAB4",#N/A,TRUE,"GENERAL";"TAB5",#N/A,TRUE,"GENERAL"}</definedName>
    <definedName name="jeytj_1" hidden="1">{"TAB1",#N/A,TRUE,"GENERAL";"TAB2",#N/A,TRUE,"GENERAL";"TAB3",#N/A,TRUE,"GENERAL";"TAB4",#N/A,TRUE,"GENERAL";"TAB5",#N/A,TRUE,"GENERAL"}</definedName>
    <definedName name="jfhjfrt" hidden="1">{"TAB1",#N/A,TRUE,"GENERAL";"TAB2",#N/A,TRUE,"GENERAL";"TAB3",#N/A,TRUE,"GENERAL";"TAB4",#N/A,TRUE,"GENERAL";"TAB5",#N/A,TRUE,"GENERAL"}</definedName>
    <definedName name="jfhjfrt_1" hidden="1">{"TAB1",#N/A,TRUE,"GENERAL";"TAB2",#N/A,TRUE,"GENERAL";"TAB3",#N/A,TRUE,"GENERAL";"TAB4",#N/A,TRUE,"GENERAL";"TAB5",#N/A,TRUE,"GENERAL"}</definedName>
    <definedName name="jgfj" hidden="1">{"via1",#N/A,TRUE,"general";"via2",#N/A,TRUE,"general";"via3",#N/A,TRUE,"general"}</definedName>
    <definedName name="jgfj_1" hidden="1">{"via1",#N/A,TRUE,"general";"via2",#N/A,TRUE,"general";"via3",#N/A,TRUE,"general"}</definedName>
    <definedName name="jghj" hidden="1">{"TAB1",#N/A,TRUE,"GENERAL";"TAB2",#N/A,TRUE,"GENERAL";"TAB3",#N/A,TRUE,"GENERAL";"TAB4",#N/A,TRUE,"GENERAL";"TAB5",#N/A,TRUE,"GENERAL"}</definedName>
    <definedName name="jghj_1" hidden="1">{"TAB1",#N/A,TRUE,"GENERAL";"TAB2",#N/A,TRUE,"GENERAL";"TAB3",#N/A,TRUE,"GENERAL";"TAB4",#N/A,TRUE,"GENERAL";"TAB5",#N/A,TRUE,"GENERAL"}</definedName>
    <definedName name="jgj" hidden="1">{"TAB1",#N/A,TRUE,"GENERAL";"TAB2",#N/A,TRUE,"GENERAL";"TAB3",#N/A,TRUE,"GENERAL";"TAB4",#N/A,TRUE,"GENERAL";"TAB5",#N/A,TRUE,"GENERAL"}</definedName>
    <definedName name="jgj_1" hidden="1">{"TAB1",#N/A,TRUE,"GENERAL";"TAB2",#N/A,TRUE,"GENERAL";"TAB3",#N/A,TRUE,"GENERAL";"TAB4",#N/A,TRUE,"GENERAL";"TAB5",#N/A,TRUE,"GENERAL"}</definedName>
    <definedName name="jhg" hidden="1">{"TAB1",#N/A,TRUE,"GENERAL";"TAB2",#N/A,TRUE,"GENERAL";"TAB3",#N/A,TRUE,"GENERAL";"TAB4",#N/A,TRUE,"GENERAL";"TAB5",#N/A,TRUE,"GENERAL"}</definedName>
    <definedName name="jhg_1" hidden="1">{"TAB1",#N/A,TRUE,"GENERAL";"TAB2",#N/A,TRUE,"GENERAL";"TAB3",#N/A,TRUE,"GENERAL";"TAB4",#N/A,TRUE,"GENERAL";"TAB5",#N/A,TRUE,"GENERAL"}</definedName>
    <definedName name="jhjyj" hidden="1">{"via1",#N/A,TRUE,"general";"via2",#N/A,TRUE,"general";"via3",#N/A,TRUE,"general"}</definedName>
    <definedName name="jhjyj_1" hidden="1">{"via1",#N/A,TRUE,"general";"via2",#N/A,TRUE,"general";"via3",#N/A,TRUE,"general"}</definedName>
    <definedName name="JHK" hidden="1">{"TAB1",#N/A,TRUE,"GENERAL";"TAB2",#N/A,TRUE,"GENERAL";"TAB3",#N/A,TRUE,"GENERAL";"TAB4",#N/A,TRUE,"GENERAL";"TAB5",#N/A,TRUE,"GENERAL"}</definedName>
    <definedName name="JHK_1" hidden="1">{"TAB1",#N/A,TRUE,"GENERAL";"TAB2",#N/A,TRUE,"GENERAL";"TAB3",#N/A,TRUE,"GENERAL";"TAB4",#N/A,TRUE,"GENERAL";"TAB5",#N/A,TRUE,"GENERAL"}</definedName>
    <definedName name="jhkgjkvf" hidden="1">{"TAB1",#N/A,TRUE,"GENERAL";"TAB2",#N/A,TRUE,"GENERAL";"TAB3",#N/A,TRUE,"GENERAL";"TAB4",#N/A,TRUE,"GENERAL";"TAB5",#N/A,TRUE,"GENERAL"}</definedName>
    <definedName name="jhkgjkvf_1" hidden="1">{"TAB1",#N/A,TRUE,"GENERAL";"TAB2",#N/A,TRUE,"GENERAL";"TAB3",#N/A,TRUE,"GENERAL";"TAB4",#N/A,TRUE,"GENERAL";"TAB5",#N/A,TRUE,"GENERAL"}</definedName>
    <definedName name="jj_1" hidden="1">{"via1",#N/A,TRUE,"general";"via2",#N/A,TRUE,"general";"via3",#N/A,TRUE,"general"}</definedName>
    <definedName name="jjfq" hidden="1">{"via1",#N/A,TRUE,"general";"via2",#N/A,TRUE,"general";"via3",#N/A,TRUE,"general"}</definedName>
    <definedName name="jjfq_1" hidden="1">{"via1",#N/A,TRUE,"general";"via2",#N/A,TRUE,"general";"via3",#N/A,TRUE,"general"}</definedName>
    <definedName name="jjjhjddfg" hidden="1">{"via1",#N/A,TRUE,"general";"via2",#N/A,TRUE,"general";"via3",#N/A,TRUE,"general"}</definedName>
    <definedName name="jjjhjddfg_1" hidden="1">{"via1",#N/A,TRUE,"general";"via2",#N/A,TRUE,"general";"via3",#N/A,TRUE,"general"}</definedName>
    <definedName name="jjjjju" hidden="1">{"via1",#N/A,TRUE,"general";"via2",#N/A,TRUE,"general";"via3",#N/A,TRUE,"general"}</definedName>
    <definedName name="jjjjju_1" hidden="1">{"via1",#N/A,TRUE,"general";"via2",#N/A,TRUE,"general";"via3",#N/A,TRUE,"general"}</definedName>
    <definedName name="jjujujty" hidden="1">{"TAB1",#N/A,TRUE,"GENERAL";"TAB2",#N/A,TRUE,"GENERAL";"TAB3",#N/A,TRUE,"GENERAL";"TAB4",#N/A,TRUE,"GENERAL";"TAB5",#N/A,TRUE,"GENERAL"}</definedName>
    <definedName name="jjujujty_1" hidden="1">{"TAB1",#N/A,TRUE,"GENERAL";"TAB2",#N/A,TRUE,"GENERAL";"TAB3",#N/A,TRUE,"GENERAL";"TAB4",#N/A,TRUE,"GENERAL";"TAB5",#N/A,TRUE,"GENERAL"}</definedName>
    <definedName name="jjyjy" hidden="1">{"via1",#N/A,TRUE,"general";"via2",#N/A,TRUE,"general";"via3",#N/A,TRUE,"general"}</definedName>
    <definedName name="jjyjy_1" hidden="1">{"via1",#N/A,TRUE,"general";"via2",#N/A,TRUE,"general";"via3",#N/A,TRUE,"general"}</definedName>
    <definedName name="jkk" hidden="1">{"TAB1",#N/A,TRUE,"GENERAL";"TAB2",#N/A,TRUE,"GENERAL";"TAB3",#N/A,TRUE,"GENERAL";"TAB4",#N/A,TRUE,"GENERAL";"TAB5",#N/A,TRUE,"GENERAL"}</definedName>
    <definedName name="jkk_1" hidden="1">{"TAB1",#N/A,TRUE,"GENERAL";"TAB2",#N/A,TRUE,"GENERAL";"TAB3",#N/A,TRUE,"GENERAL";"TAB4",#N/A,TRUE,"GENERAL";"TAB5",#N/A,TRUE,"GENERAL"}</definedName>
    <definedName name="jkl" hidden="1">{"TAB1",#N/A,TRUE,"GENERAL";"TAB2",#N/A,TRUE,"GENERAL";"TAB3",#N/A,TRUE,"GENERAL";"TAB4",#N/A,TRUE,"GENERAL";"TAB5",#N/A,TRUE,"GENERAL"}</definedName>
    <definedName name="jkl_1" hidden="1">{"TAB1",#N/A,TRUE,"GENERAL";"TAB2",#N/A,TRUE,"GENERAL";"TAB3",#N/A,TRUE,"GENERAL";"TAB4",#N/A,TRUE,"GENERAL";"TAB5",#N/A,TRUE,"GENERAL"}</definedName>
    <definedName name="JRYJ" hidden="1">{"via1",#N/A,TRUE,"general";"via2",#N/A,TRUE,"general";"via3",#N/A,TRUE,"general"}</definedName>
    <definedName name="JRYJ_1" hidden="1">{"via1",#N/A,TRUE,"general";"via2",#N/A,TRUE,"general";"via3",#N/A,TRUE,"general"}</definedName>
    <definedName name="jtyj" hidden="1">{"TAB1",#N/A,TRUE,"GENERAL";"TAB2",#N/A,TRUE,"GENERAL";"TAB3",#N/A,TRUE,"GENERAL";"TAB4",#N/A,TRUE,"GENERAL";"TAB5",#N/A,TRUE,"GENERAL"}</definedName>
    <definedName name="jtyj_1" hidden="1">{"TAB1",#N/A,TRUE,"GENERAL";"TAB2",#N/A,TRUE,"GENERAL";"TAB3",#N/A,TRUE,"GENERAL";"TAB4",#N/A,TRUE,"GENERAL";"TAB5",#N/A,TRUE,"GENERAL"}</definedName>
    <definedName name="jtyry" hidden="1">{"TAB1",#N/A,TRUE,"GENERAL";"TAB2",#N/A,TRUE,"GENERAL";"TAB3",#N/A,TRUE,"GENERAL";"TAB4",#N/A,TRUE,"GENERAL";"TAB5",#N/A,TRUE,"GENERAL"}</definedName>
    <definedName name="jtyry_1" hidden="1">{"TAB1",#N/A,TRUE,"GENERAL";"TAB2",#N/A,TRUE,"GENERAL";"TAB3",#N/A,TRUE,"GENERAL";"TAB4",#N/A,TRUE,"GENERAL";"TAB5",#N/A,TRUE,"GENERAL"}</definedName>
    <definedName name="juj" hidden="1">{"via1",#N/A,TRUE,"general";"via2",#N/A,TRUE,"general";"via3",#N/A,TRUE,"general"}</definedName>
    <definedName name="juj_1" hidden="1">{"via1",#N/A,TRUE,"general";"via2",#N/A,TRUE,"general";"via3",#N/A,TRUE,"general"}</definedName>
    <definedName name="jujcx" hidden="1">{"via1",#N/A,TRUE,"general";"via2",#N/A,TRUE,"general";"via3",#N/A,TRUE,"general"}</definedName>
    <definedName name="jujcx_1" hidden="1">{"via1",#N/A,TRUE,"general";"via2",#N/A,TRUE,"general";"via3",#N/A,TRUE,"general"}</definedName>
    <definedName name="jujuj" hidden="1">{"via1",#N/A,TRUE,"general";"via2",#N/A,TRUE,"general";"via3",#N/A,TRUE,"general"}</definedName>
    <definedName name="jujuj_1" hidden="1">{"via1",#N/A,TRUE,"general";"via2",#N/A,TRUE,"general";"via3",#N/A,TRUE,"general"}</definedName>
    <definedName name="jujujuju" hidden="1">{"TAB1",#N/A,TRUE,"GENERAL";"TAB2",#N/A,TRUE,"GENERAL";"TAB3",#N/A,TRUE,"GENERAL";"TAB4",#N/A,TRUE,"GENERAL";"TAB5",#N/A,TRUE,"GENERAL"}</definedName>
    <definedName name="jujujuju_1" hidden="1">{"TAB1",#N/A,TRUE,"GENERAL";"TAB2",#N/A,TRUE,"GENERAL";"TAB3",#N/A,TRUE,"GENERAL";"TAB4",#N/A,TRUE,"GENERAL";"TAB5",#N/A,TRUE,"GENERAL"}</definedName>
    <definedName name="juuuhb" hidden="1">{"TAB1",#N/A,TRUE,"GENERAL";"TAB2",#N/A,TRUE,"GENERAL";"TAB3",#N/A,TRUE,"GENERAL";"TAB4",#N/A,TRUE,"GENERAL";"TAB5",#N/A,TRUE,"GENERAL"}</definedName>
    <definedName name="juuuhb_1" hidden="1">{"TAB1",#N/A,TRUE,"GENERAL";"TAB2",#N/A,TRUE,"GENERAL";"TAB3",#N/A,TRUE,"GENERAL";"TAB4",#N/A,TRUE,"GENERAL";"TAB5",#N/A,TRUE,"GENERAL"}</definedName>
    <definedName name="jyjt7" hidden="1">{"via1",#N/A,TRUE,"general";"via2",#N/A,TRUE,"general";"via3",#N/A,TRUE,"general"}</definedName>
    <definedName name="jyjt7_1" hidden="1">{"via1",#N/A,TRUE,"general";"via2",#N/A,TRUE,"general";"via3",#N/A,TRUE,"general"}</definedName>
    <definedName name="jyt" hidden="1">{"via1",#N/A,TRUE,"general";"via2",#N/A,TRUE,"general";"via3",#N/A,TRUE,"general"}</definedName>
    <definedName name="jyt_1" hidden="1">{"via1",#N/A,TRUE,"general";"via2",#N/A,TRUE,"general";"via3",#N/A,TRUE,"general"}</definedName>
    <definedName name="jytj" hidden="1">{"via1",#N/A,TRUE,"general";"via2",#N/A,TRUE,"general";"via3",#N/A,TRUE,"general"}</definedName>
    <definedName name="jytj_1" hidden="1">{"via1",#N/A,TRUE,"general";"via2",#N/A,TRUE,"general";"via3",#N/A,TRUE,"general"}</definedName>
    <definedName name="jyuju" hidden="1">{"via1",#N/A,TRUE,"general";"via2",#N/A,TRUE,"general";"via3",#N/A,TRUE,"general"}</definedName>
    <definedName name="jyuju_1" hidden="1">{"via1",#N/A,TRUE,"general";"via2",#N/A,TRUE,"general";"via3",#N/A,TRUE,"general"}</definedName>
    <definedName name="jyujyuj" hidden="1">{"via1",#N/A,TRUE,"general";"via2",#N/A,TRUE,"general";"via3",#N/A,TRUE,"general"}</definedName>
    <definedName name="jyujyuj_1" hidden="1">{"via1",#N/A,TRUE,"general";"via2",#N/A,TRUE,"general";"via3",#N/A,TRUE,"general"}</definedName>
    <definedName name="KDHJKVBDF">#REF!,#REF!,#REF!,#REF!,#REF!,#REF!,#REF!</definedName>
    <definedName name="KHGGH" hidden="1">{"via1",#N/A,TRUE,"general";"via2",#N/A,TRUE,"general";"via3",#N/A,TRUE,"general"}</definedName>
    <definedName name="KHGGH_1" hidden="1">{"via1",#N/A,TRUE,"general";"via2",#N/A,TRUE,"general";"via3",#N/A,TRUE,"general"}</definedName>
    <definedName name="khjk7" hidden="1">{"TAB1",#N/A,TRUE,"GENERAL";"TAB2",#N/A,TRUE,"GENERAL";"TAB3",#N/A,TRUE,"GENERAL";"TAB4",#N/A,TRUE,"GENERAL";"TAB5",#N/A,TRUE,"GENERAL"}</definedName>
    <definedName name="khjk7_1" hidden="1">{"TAB1",#N/A,TRUE,"GENERAL";"TAB2",#N/A,TRUE,"GENERAL";"TAB3",#N/A,TRUE,"GENERAL";"TAB4",#N/A,TRUE,"GENERAL";"TAB5",#N/A,TRUE,"GENERAL"}</definedName>
    <definedName name="kikik" hidden="1">{"via1",#N/A,TRUE,"general";"via2",#N/A,TRUE,"general";"via3",#N/A,TRUE,"general"}</definedName>
    <definedName name="kikik_1" hidden="1">{"via1",#N/A,TRUE,"general";"via2",#N/A,TRUE,"general";"via3",#N/A,TRUE,"general"}</definedName>
    <definedName name="kjhkd" hidden="1">{"via1",#N/A,TRUE,"general";"via2",#N/A,TRUE,"general";"via3",#N/A,TRUE,"general"}</definedName>
    <definedName name="kjhkd_1" hidden="1">{"via1",#N/A,TRUE,"general";"via2",#N/A,TRUE,"general";"via3",#N/A,TRUE,"general"}</definedName>
    <definedName name="kjk" hidden="1">{"via1",#N/A,TRUE,"general";"via2",#N/A,TRUE,"general";"via3",#N/A,TRUE,"general"}</definedName>
    <definedName name="kjk_1" hidden="1">{"via1",#N/A,TRUE,"general";"via2",#N/A,TRUE,"general";"via3",#N/A,TRUE,"general"}</definedName>
    <definedName name="kjtrkjr" hidden="1">{"via1",#N/A,TRUE,"general";"via2",#N/A,TRUE,"general";"via3",#N/A,TRUE,"general"}</definedName>
    <definedName name="kjtrkjr_1" hidden="1">{"via1",#N/A,TRUE,"general";"via2",#N/A,TRUE,"general";"via3",#N/A,TRUE,"general"}</definedName>
    <definedName name="kkkki" hidden="1">{"via1",#N/A,TRUE,"general";"via2",#N/A,TRUE,"general";"via3",#N/A,TRUE,"general"}</definedName>
    <definedName name="kkkki_1" hidden="1">{"via1",#N/A,TRUE,"general";"via2",#N/A,TRUE,"general";"via3",#N/A,TRUE,"general"}</definedName>
    <definedName name="kkkkkki" hidden="1">{"TAB1",#N/A,TRUE,"GENERAL";"TAB2",#N/A,TRUE,"GENERAL";"TAB3",#N/A,TRUE,"GENERAL";"TAB4",#N/A,TRUE,"GENERAL";"TAB5",#N/A,TRUE,"GENERAL"}</definedName>
    <definedName name="kkkkkki_1" hidden="1">{"TAB1",#N/A,TRUE,"GENERAL";"TAB2",#N/A,TRUE,"GENERAL";"TAB3",#N/A,TRUE,"GENERAL";"TAB4",#N/A,TRUE,"GENERAL";"TAB5",#N/A,TRUE,"GENERAL"}</definedName>
    <definedName name="krtrk" hidden="1">{"via1",#N/A,TRUE,"general";"via2",#N/A,TRUE,"general";"via3",#N/A,TRUE,"general"}</definedName>
    <definedName name="krtrk_1" hidden="1">{"via1",#N/A,TRUE,"general";"via2",#N/A,TRUE,"general";"via3",#N/A,TRUE,"general"}</definedName>
    <definedName name="kyr" hidden="1">{"TAB1",#N/A,TRUE,"GENERAL";"TAB2",#N/A,TRUE,"GENERAL";"TAB3",#N/A,TRUE,"GENERAL";"TAB4",#N/A,TRUE,"GENERAL";"TAB5",#N/A,TRUE,"GENERAL"}</definedName>
    <definedName name="kyr_1" hidden="1">{"TAB1",#N/A,TRUE,"GENERAL";"TAB2",#N/A,TRUE,"GENERAL";"TAB3",#N/A,TRUE,"GENERAL";"TAB4",#N/A,TRUE,"GENERAL";"TAB5",#N/A,TRUE,"GENERAL"}</definedName>
    <definedName name="Leh">[27]Ins_EH!$B$2:$B$42</definedName>
    <definedName name="liuoo" hidden="1">{"TAB1",#N/A,TRUE,"GENERAL";"TAB2",#N/A,TRUE,"GENERAL";"TAB3",#N/A,TRUE,"GENERAL";"TAB4",#N/A,TRUE,"GENERAL";"TAB5",#N/A,TRUE,"GENERAL"}</definedName>
    <definedName name="liuoo_1" hidden="1">{"TAB1",#N/A,TRUE,"GENERAL";"TAB2",#N/A,TRUE,"GENERAL";"TAB3",#N/A,TRUE,"GENERAL";"TAB4",#N/A,TRUE,"GENERAL";"TAB5",#N/A,TRUE,"GENERAL"}</definedName>
    <definedName name="LJJ">[16]PRECIOS!$I$1:$L$51</definedName>
    <definedName name="lkj" hidden="1">{"via1",#N/A,TRUE,"general";"via2",#N/A,TRUE,"general";"via3",#N/A,TRUE,"general"}</definedName>
    <definedName name="lkj_1" hidden="1">{"via1",#N/A,TRUE,"general";"via2",#N/A,TRUE,"general";"via3",#N/A,TRUE,"general"}</definedName>
    <definedName name="LKJLJK" hidden="1">{"TAB1",#N/A,TRUE,"GENERAL";"TAB2",#N/A,TRUE,"GENERAL";"TAB3",#N/A,TRUE,"GENERAL";"TAB4",#N/A,TRUE,"GENERAL";"TAB5",#N/A,TRUE,"GENERAL"}</definedName>
    <definedName name="LKJLJK_1" hidden="1">{"TAB1",#N/A,TRUE,"GENERAL";"TAB2",#N/A,TRUE,"GENERAL";"TAB3",#N/A,TRUE,"GENERAL";"TAB4",#N/A,TRUE,"GENERAL";"TAB5",#N/A,TRUE,"GENERAL"}</definedName>
    <definedName name="LLL">[16]PRECIOS!$G$10</definedName>
    <definedName name="lllllh" hidden="1">{"via1",#N/A,TRUE,"general";"via2",#N/A,TRUE,"general";"via3",#N/A,TRUE,"general"}</definedName>
    <definedName name="lllllh_1" hidden="1">{"via1",#N/A,TRUE,"general";"via2",#N/A,TRUE,"general";"via3",#N/A,TRUE,"general"}</definedName>
    <definedName name="lllllllo" hidden="1">{"via1",#N/A,TRUE,"general";"via2",#N/A,TRUE,"general";"via3",#N/A,TRUE,"general"}</definedName>
    <definedName name="lllllllo_1" hidden="1">{"via1",#N/A,TRUE,"general";"via2",#N/A,TRUE,"general";"via3",#N/A,TRUE,"general"}</definedName>
    <definedName name="lolol" hidden="1">{"TAB1",#N/A,TRUE,"GENERAL";"TAB2",#N/A,TRUE,"GENERAL";"TAB3",#N/A,TRUE,"GENERAL";"TAB4",#N/A,TRUE,"GENERAL";"TAB5",#N/A,TRUE,"GENERAL"}</definedName>
    <definedName name="lolol_1" hidden="1">{"TAB1",#N/A,TRUE,"GENERAL";"TAB2",#N/A,TRUE,"GENERAL";"TAB3",#N/A,TRUE,"GENERAL";"TAB4",#N/A,TRUE,"GENERAL";"TAB5",#N/A,TRUE,"GENERAL"}</definedName>
    <definedName name="lplpl" hidden="1">{"via1",#N/A,TRUE,"general";"via2",#N/A,TRUE,"general";"via3",#N/A,TRUE,"general"}</definedName>
    <definedName name="lplpl_1" hidden="1">{"via1",#N/A,TRUE,"general";"via2",#N/A,TRUE,"general";"via3",#N/A,TRUE,"general"}</definedName>
    <definedName name="LPZ">[10]APU!$J$3638</definedName>
    <definedName name="M.O." localSheetId="6">#REF!</definedName>
    <definedName name="M.O." localSheetId="12">#REF!</definedName>
    <definedName name="M.O." localSheetId="5">#REF!</definedName>
    <definedName name="mafdsf" hidden="1">{"via1",#N/A,TRUE,"general";"via2",#N/A,TRUE,"general";"via3",#N/A,TRUE,"general"}</definedName>
    <definedName name="mafdsf_1" hidden="1">{"via1",#N/A,TRUE,"general";"via2",#N/A,TRUE,"general";"via3",#N/A,TRUE,"general"}</definedName>
    <definedName name="mao" hidden="1">{"TAB1",#N/A,TRUE,"GENERAL";"TAB2",#N/A,TRUE,"GENERAL";"TAB3",#N/A,TRUE,"GENERAL";"TAB4",#N/A,TRUE,"GENERAL";"TAB5",#N/A,TRUE,"GENERAL"}</definedName>
    <definedName name="mao_1" hidden="1">{"TAB1",#N/A,TRUE,"GENERAL";"TAB2",#N/A,TRUE,"GENERAL";"TAB3",#N/A,TRUE,"GENERAL";"TAB4",#N/A,TRUE,"GENERAL";"TAB5",#N/A,TRUE,"GENERAL"}</definedName>
    <definedName name="maow" hidden="1">{"via1",#N/A,TRUE,"general";"via2",#N/A,TRUE,"general";"via3",#N/A,TRUE,"general"}</definedName>
    <definedName name="maow_1" hidden="1">{"via1",#N/A,TRUE,"general";"via2",#N/A,TRUE,"general";"via3",#N/A,TRUE,"general"}</definedName>
    <definedName name="MAQ">[12]PRECIOS!$G$2:$J$54</definedName>
    <definedName name="masor" hidden="1">{"via1",#N/A,TRUE,"general";"via2",#N/A,TRUE,"general";"via3",#N/A,TRUE,"general"}</definedName>
    <definedName name="masor_1" hidden="1">{"via1",#N/A,TRUE,"general";"via2",#N/A,TRUE,"general";"via3",#N/A,TRUE,"general"}</definedName>
    <definedName name="MAT">[21]Hoja1!$A$1:$D$221</definedName>
    <definedName name="MATER">[28]MATERIAL!$B$3:$B$580</definedName>
    <definedName name="materiales">[17]MATERIALES!$A$1:$D$50</definedName>
    <definedName name="mdd" hidden="1">{"via1",#N/A,TRUE,"general";"via2",#N/A,TRUE,"general";"via3",#N/A,TRUE,"general"}</definedName>
    <definedName name="mdd_1" hidden="1">{"via1",#N/A,TRUE,"general";"via2",#N/A,TRUE,"general";"via3",#N/A,TRUE,"general"}</definedName>
    <definedName name="meg" hidden="1">{"TAB1",#N/A,TRUE,"GENERAL";"TAB2",#N/A,TRUE,"GENERAL";"TAB3",#N/A,TRUE,"GENERAL";"TAB4",#N/A,TRUE,"GENERAL";"TAB5",#N/A,TRUE,"GENERAL"}</definedName>
    <definedName name="meg_1" hidden="1">{"TAB1",#N/A,TRUE,"GENERAL";"TAB2",#N/A,TRUE,"GENERAL";"TAB3",#N/A,TRUE,"GENERAL";"TAB4",#N/A,TRUE,"GENERAL";"TAB5",#N/A,TRUE,"GENERAL"}</definedName>
    <definedName name="MEMO">'[30]L PRECIOS'!$A$5:$D$267</definedName>
    <definedName name="mfgjrdt" hidden="1">{"TAB1",#N/A,TRUE,"GENERAL";"TAB2",#N/A,TRUE,"GENERAL";"TAB3",#N/A,TRUE,"GENERAL";"TAB4",#N/A,TRUE,"GENERAL";"TAB5",#N/A,TRUE,"GENERAL"}</definedName>
    <definedName name="mfgjrdt_1" hidden="1">{"TAB1",#N/A,TRUE,"GENERAL";"TAB2",#N/A,TRUE,"GENERAL";"TAB3",#N/A,TRUE,"GENERAL";"TAB4",#N/A,TRUE,"GENERAL";"TAB5",#N/A,TRUE,"GENERAL"}</definedName>
    <definedName name="mghm" hidden="1">{"via1",#N/A,TRUE,"general";"via2",#N/A,TRUE,"general";"via3",#N/A,TRUE,"general"}</definedName>
    <definedName name="mghm_1" hidden="1">{"via1",#N/A,TRUE,"general";"via2",#N/A,TRUE,"general";"via3",#N/A,TRUE,"general"}</definedName>
    <definedName name="MI" localSheetId="33">'[31]ANALISIS RESUMIDOS'!$C$183,'[31]ANALISIS RESUMIDOS'!$C$186,'[31]ANALISIS RESUMIDOS'!$C$181,'[31]ANALISIS RESUMIDOS'!$C$179,'[31]ANALISIS RESUMIDOS'!$C$178,'[31]ANALISIS RESUMIDOS'!$C$39,'[31]ANALISIS RESUMIDOS'!$C$40</definedName>
    <definedName name="MI" localSheetId="4">'[31]ANALISIS RESUMIDOS'!$C$183,'[31]ANALISIS RESUMIDOS'!$C$186,'[31]ANALISIS RESUMIDOS'!$C$181,'[31]ANALISIS RESUMIDOS'!$C$179,'[31]ANALISIS RESUMIDOS'!$C$178,'[31]ANALISIS RESUMIDOS'!$C$39,'[31]ANALISIS RESUMIDOS'!$C$40</definedName>
    <definedName name="MI">'[32]ANALISIS RESUMIDOS'!$C$183,'[32]ANALISIS RESUMIDOS'!$C$186,'[32]ANALISIS RESUMIDOS'!$C$181,'[32]ANALISIS RESUMIDOS'!$C$179,'[32]ANALISIS RESUMIDOS'!$C$178,'[32]ANALISIS RESUMIDOS'!$C$39,'[32]ANALISIS RESUMIDOS'!$C$40</definedName>
    <definedName name="mjmj" hidden="1">{"via1",#N/A,TRUE,"general";"via2",#N/A,TRUE,"general";"via3",#N/A,TRUE,"general"}</definedName>
    <definedName name="mjmj_1" hidden="1">{"via1",#N/A,TRUE,"general";"via2",#N/A,TRUE,"general";"via3",#N/A,TRUE,"general"}</definedName>
    <definedName name="mjmjmn" hidden="1">{"via1",#N/A,TRUE,"general";"via2",#N/A,TRUE,"general";"via3",#N/A,TRUE,"general"}</definedName>
    <definedName name="mjmjmn_1" hidden="1">{"via1",#N/A,TRUE,"general";"via2",#N/A,TRUE,"general";"via3",#N/A,TRUE,"general"}</definedName>
    <definedName name="mjnhgkio" hidden="1">{"via1",#N/A,TRUE,"general";"via2",#N/A,TRUE,"general";"via3",#N/A,TRUE,"general"}</definedName>
    <definedName name="mjnhgkio_1" hidden="1">{"via1",#N/A,TRUE,"general";"via2",#N/A,TRUE,"general";"via3",#N/A,TRUE,"general"}</definedName>
    <definedName name="ML" localSheetId="33">'[31]ANALISIS RESUMIDOS'!$C$183,'[31]ANALISIS RESUMIDOS'!$C$186,'[31]ANALISIS RESUMIDOS'!$C$181,'[31]ANALISIS RESUMIDOS'!$C$179,'[31]ANALISIS RESUMIDOS'!$C$178,'[31]ANALISIS RESUMIDOS'!$C$39,'[31]ANALISIS RESUMIDOS'!$C$40</definedName>
    <definedName name="ML" localSheetId="4">'[31]ANALISIS RESUMIDOS'!$C$183,'[31]ANALISIS RESUMIDOS'!$C$186,'[31]ANALISIS RESUMIDOS'!$C$181,'[31]ANALISIS RESUMIDOS'!$C$179,'[31]ANALISIS RESUMIDOS'!$C$178,'[31]ANALISIS RESUMIDOS'!$C$39,'[31]ANALISIS RESUMIDOS'!$C$40</definedName>
    <definedName name="ML">'[32]ANALISIS RESUMIDOS'!$C$183,'[32]ANALISIS RESUMIDOS'!$C$186,'[32]ANALISIS RESUMIDOS'!$C$181,'[32]ANALISIS RESUMIDOS'!$C$179,'[32]ANALISIS RESUMIDOS'!$C$178,'[32]ANALISIS RESUMIDOS'!$C$39,'[32]ANALISIS RESUMIDOS'!$C$40</definedName>
    <definedName name="mmjmjh" hidden="1">{"TAB1",#N/A,TRUE,"GENERAL";"TAB2",#N/A,TRUE,"GENERAL";"TAB3",#N/A,TRUE,"GENERAL";"TAB4",#N/A,TRUE,"GENERAL";"TAB5",#N/A,TRUE,"GENERAL"}</definedName>
    <definedName name="mmjmjh_1" hidden="1">{"TAB1",#N/A,TRUE,"GENERAL";"TAB2",#N/A,TRUE,"GENERAL";"TAB3",#N/A,TRUE,"GENERAL";"TAB4",#N/A,TRUE,"GENERAL";"TAB5",#N/A,TRUE,"GENERAL"}</definedName>
    <definedName name="mmm" hidden="1">{"TAB1",#N/A,TRUE,"GENERAL";"TAB2",#N/A,TRUE,"GENERAL";"TAB3",#N/A,TRUE,"GENERAL";"TAB4",#N/A,TRUE,"GENERAL";"TAB5",#N/A,TRUE,"GENERAL"}</definedName>
    <definedName name="mmm_1" hidden="1">{"TAB1",#N/A,TRUE,"GENERAL";"TAB2",#N/A,TRUE,"GENERAL";"TAB3",#N/A,TRUE,"GENERAL";"TAB4",#N/A,TRUE,"GENERAL";"TAB5",#N/A,TRUE,"GENERAL"}</definedName>
    <definedName name="mmmh" hidden="1">{"via1",#N/A,TRUE,"general";"via2",#N/A,TRUE,"general";"via3",#N/A,TRUE,"general"}</definedName>
    <definedName name="mmmh_1" hidden="1">{"via1",#N/A,TRUE,"general";"via2",#N/A,TRUE,"general";"via3",#N/A,TRUE,"general"}</definedName>
    <definedName name="mmmmmjyt" hidden="1">{"TAB1",#N/A,TRUE,"GENERAL";"TAB2",#N/A,TRUE,"GENERAL";"TAB3",#N/A,TRUE,"GENERAL";"TAB4",#N/A,TRUE,"GENERAL";"TAB5",#N/A,TRUE,"GENERAL"}</definedName>
    <definedName name="mmmmmjyt_1" hidden="1">{"TAB1",#N/A,TRUE,"GENERAL";"TAB2",#N/A,TRUE,"GENERAL";"TAB3",#N/A,TRUE,"GENERAL";"TAB4",#N/A,TRUE,"GENERAL";"TAB5",#N/A,TRUE,"GENERAL"}</definedName>
    <definedName name="mmmmmmg" hidden="1">{"via1",#N/A,TRUE,"general";"via2",#N/A,TRUE,"general";"via3",#N/A,TRUE,"general"}</definedName>
    <definedName name="mmmmmmg_1" hidden="1">{"via1",#N/A,TRUE,"general";"via2",#N/A,TRUE,"general";"via3",#N/A,TRUE,"general"}</definedName>
    <definedName name="MN" hidden="1">{"via1",#N/A,TRUE,"general";"via2",#N/A,TRUE,"general";"via3",#N/A,TRUE,"general"}</definedName>
    <definedName name="MN_1" hidden="1">{"via1",#N/A,TRUE,"general";"via2",#N/A,TRUE,"general";"via3",#N/A,TRUE,"general"}</definedName>
    <definedName name="n" hidden="1">{"via1",#N/A,TRUE,"general";"via2",#N/A,TRUE,"general";"via3",#N/A,TRUE,"general"}</definedName>
    <definedName name="n_1" hidden="1">{"via1",#N/A,TRUE,"general";"via2",#N/A,TRUE,"general";"via3",#N/A,TRUE,"general"}</definedName>
    <definedName name="nbvnv" hidden="1">{"via1",#N/A,TRUE,"general";"via2",#N/A,TRUE,"general";"via3",#N/A,TRUE,"general"}</definedName>
    <definedName name="nbvnv_1" hidden="1">{"via1",#N/A,TRUE,"general";"via2",#N/A,TRUE,"general";"via3",#N/A,TRUE,"general"}</definedName>
    <definedName name="NDHS" hidden="1">{"TAB1",#N/A,TRUE,"GENERAL";"TAB2",#N/A,TRUE,"GENERAL";"TAB3",#N/A,TRUE,"GENERAL";"TAB4",#N/A,TRUE,"GENERAL";"TAB5",#N/A,TRUE,"GENERAL"}</definedName>
    <definedName name="NDHS_1" hidden="1">{"TAB1",#N/A,TRUE,"GENERAL";"TAB2",#N/A,TRUE,"GENERAL";"TAB3",#N/A,TRUE,"GENERAL";"TAB4",#N/A,TRUE,"GENERAL";"TAB5",#N/A,TRUE,"GENERAL"}</definedName>
    <definedName name="nf" hidden="1">{"TAB1",#N/A,TRUE,"GENERAL";"TAB2",#N/A,TRUE,"GENERAL";"TAB3",#N/A,TRUE,"GENERAL";"TAB4",#N/A,TRUE,"GENERAL";"TAB5",#N/A,TRUE,"GENERAL"}</definedName>
    <definedName name="nf_1" hidden="1">{"TAB1",#N/A,TRUE,"GENERAL";"TAB2",#N/A,TRUE,"GENERAL";"TAB3",#N/A,TRUE,"GENERAL";"TAB4",#N/A,TRUE,"GENERAL";"TAB5",#N/A,TRUE,"GENERAL"}</definedName>
    <definedName name="nfg" hidden="1">{"via1",#N/A,TRUE,"general";"via2",#N/A,TRUE,"general";"via3",#N/A,TRUE,"general"}</definedName>
    <definedName name="nfg_1" hidden="1">{"via1",#N/A,TRUE,"general";"via2",#N/A,TRUE,"general";"via3",#N/A,TRUE,"general"}</definedName>
    <definedName name="nfgn" hidden="1">{"via1",#N/A,TRUE,"general";"via2",#N/A,TRUE,"general";"via3",#N/A,TRUE,"general"}</definedName>
    <definedName name="nfgn_1" hidden="1">{"via1",#N/A,TRUE,"general";"via2",#N/A,TRUE,"general";"via3",#N/A,TRUE,"general"}</definedName>
    <definedName name="ngdn" hidden="1">{"TAB1",#N/A,TRUE,"GENERAL";"TAB2",#N/A,TRUE,"GENERAL";"TAB3",#N/A,TRUE,"GENERAL";"TAB4",#N/A,TRUE,"GENERAL";"TAB5",#N/A,TRUE,"GENERAL"}</definedName>
    <definedName name="ngdn_1" hidden="1">{"TAB1",#N/A,TRUE,"GENERAL";"TAB2",#N/A,TRUE,"GENERAL";"TAB3",#N/A,TRUE,"GENERAL";"TAB4",#N/A,TRUE,"GENERAL";"TAB5",#N/A,TRUE,"GENERAL"}</definedName>
    <definedName name="ngfh" hidden="1">{"via1",#N/A,TRUE,"general";"via2",#N/A,TRUE,"general";"via3",#N/A,TRUE,"general"}</definedName>
    <definedName name="ngfh_1" hidden="1">{"via1",#N/A,TRUE,"general";"via2",#N/A,TRUE,"general";"via3",#N/A,TRUE,"general"}</definedName>
    <definedName name="nhn" hidden="1">{"via1",#N/A,TRUE,"general";"via2",#N/A,TRUE,"general";"via3",#N/A,TRUE,"general"}</definedName>
    <definedName name="nhn_1" hidden="1">{"via1",#N/A,TRUE,"general";"via2",#N/A,TRUE,"general";"via3",#N/A,TRUE,"general"}</definedName>
    <definedName name="nhncfgn" hidden="1">{"TAB1",#N/A,TRUE,"GENERAL";"TAB2",#N/A,TRUE,"GENERAL";"TAB3",#N/A,TRUE,"GENERAL";"TAB4",#N/A,TRUE,"GENERAL";"TAB5",#N/A,TRUE,"GENERAL"}</definedName>
    <definedName name="nhncfgn_1" hidden="1">{"TAB1",#N/A,TRUE,"GENERAL";"TAB2",#N/A,TRUE,"GENERAL";"TAB3",#N/A,TRUE,"GENERAL";"TAB4",#N/A,TRUE,"GENERAL";"TAB5",#N/A,TRUE,"GENERAL"}</definedName>
    <definedName name="nhndr" hidden="1">{"via1",#N/A,TRUE,"general";"via2",#N/A,TRUE,"general";"via3",#N/A,TRUE,"general"}</definedName>
    <definedName name="nhndr_1" hidden="1">{"via1",#N/A,TRUE,"general";"via2",#N/A,TRUE,"general";"via3",#N/A,TRUE,"general"}</definedName>
    <definedName name="nmmmm" hidden="1">{"via1",#N/A,TRUE,"general";"via2",#N/A,TRUE,"general";"via3",#N/A,TRUE,"general"}</definedName>
    <definedName name="nmmmm_1" hidden="1">{"via1",#N/A,TRUE,"general";"via2",#N/A,TRUE,"general";"via3",#N/A,TRUE,"general"}</definedName>
    <definedName name="NN" hidden="1">{"TAB1",#N/A,TRUE,"GENERAL";"TAB2",#N/A,TRUE,"GENERAL";"TAB3",#N/A,TRUE,"GENERAL";"TAB4",#N/A,TRUE,"GENERAL";"TAB5",#N/A,TRUE,"GENERAL"}</definedName>
    <definedName name="NN_1" hidden="1">{"TAB1",#N/A,TRUE,"GENERAL";"TAB2",#N/A,TRUE,"GENERAL";"TAB3",#N/A,TRUE,"GENERAL";"TAB4",#N/A,TRUE,"GENERAL";"TAB5",#N/A,TRUE,"GENERAL"}</definedName>
    <definedName name="nndng" hidden="1">{"TAB1",#N/A,TRUE,"GENERAL";"TAB2",#N/A,TRUE,"GENERAL";"TAB3",#N/A,TRUE,"GENERAL";"TAB4",#N/A,TRUE,"GENERAL";"TAB5",#N/A,TRUE,"GENERAL"}</definedName>
    <definedName name="nndng_1" hidden="1">{"TAB1",#N/A,TRUE,"GENERAL";"TAB2",#N/A,TRUE,"GENERAL";"TAB3",#N/A,TRUE,"GENERAL";"TAB4",#N/A,TRUE,"GENERAL";"TAB5",#N/A,TRUE,"GENERAL"}</definedName>
    <definedName name="nnnhd" hidden="1">{"via1",#N/A,TRUE,"general";"via2",#N/A,TRUE,"general";"via3",#N/A,TRUE,"general"}</definedName>
    <definedName name="nnnhd_1" hidden="1">{"via1",#N/A,TRUE,"general";"via2",#N/A,TRUE,"general";"via3",#N/A,TRUE,"general"}</definedName>
    <definedName name="nnnnn" hidden="1">{"via1",#N/A,TRUE,"general";"via2",#N/A,TRUE,"general";"via3",#N/A,TRUE,"general"}</definedName>
    <definedName name="nnnnn_1" hidden="1">{"via1",#N/A,TRUE,"general";"via2",#N/A,TRUE,"general";"via3",#N/A,TRUE,"general"}</definedName>
    <definedName name="nnnnnd" hidden="1">{"TAB1",#N/A,TRUE,"GENERAL";"TAB2",#N/A,TRUE,"GENERAL";"TAB3",#N/A,TRUE,"GENERAL";"TAB4",#N/A,TRUE,"GENERAL";"TAB5",#N/A,TRUE,"GENERAL"}</definedName>
    <definedName name="nnnnnd_1" hidden="1">{"TAB1",#N/A,TRUE,"GENERAL";"TAB2",#N/A,TRUE,"GENERAL";"TAB3",#N/A,TRUE,"GENERAL";"TAB4",#N/A,TRUE,"GENERAL";"TAB5",#N/A,TRUE,"GENERAL"}</definedName>
    <definedName name="nnnnnf" hidden="1">{"TAB1",#N/A,TRUE,"GENERAL";"TAB2",#N/A,TRUE,"GENERAL";"TAB3",#N/A,TRUE,"GENERAL";"TAB4",#N/A,TRUE,"GENERAL";"TAB5",#N/A,TRUE,"GENERAL"}</definedName>
    <definedName name="nnnnnf_1" hidden="1">{"TAB1",#N/A,TRUE,"GENERAL";"TAB2",#N/A,TRUE,"GENERAL";"TAB3",#N/A,TRUE,"GENERAL";"TAB4",#N/A,TRUE,"GENERAL";"TAB5",#N/A,TRUE,"GENERAL"}</definedName>
    <definedName name="nnnnnh" hidden="1">{"via1",#N/A,TRUE,"general";"via2",#N/A,TRUE,"general";"via3",#N/A,TRUE,"general"}</definedName>
    <definedName name="nnnnnh_1" hidden="1">{"via1",#N/A,TRUE,"general";"via2",#N/A,TRUE,"general";"via3",#N/A,TRUE,"general"}</definedName>
    <definedName name="NOMBRE">[19]PROYECTO!$A$16:$C$17</definedName>
    <definedName name="NOMBRES">[33]PROYECTO!$A$16:$C$17</definedName>
    <definedName name="nxn" hidden="1">{"via1",#N/A,TRUE,"general";"via2",#N/A,TRUE,"general";"via3",#N/A,TRUE,"general"}</definedName>
    <definedName name="nxn_1" hidden="1">{"via1",#N/A,TRUE,"general";"via2",#N/A,TRUE,"general";"via3",#N/A,TRUE,"general"}</definedName>
    <definedName name="ÑLK">[29]PRECIOS!$G$6</definedName>
    <definedName name="ÑÑ">[16]PRECIOS!$G$1</definedName>
    <definedName name="ñpñpñ" hidden="1">{"via1",#N/A,TRUE,"general";"via2",#N/A,TRUE,"general";"via3",#N/A,TRUE,"general"}</definedName>
    <definedName name="ñpñpñ_1" hidden="1">{"via1",#N/A,TRUE,"general";"via2",#N/A,TRUE,"general";"via3",#N/A,TRUE,"general"}</definedName>
    <definedName name="O">[12]PRECIOS!$J$61</definedName>
    <definedName name="o9o9" hidden="1">{"via1",#N/A,TRUE,"general";"via2",#N/A,TRUE,"general";"via3",#N/A,TRUE,"general"}</definedName>
    <definedName name="o9o9_1" hidden="1">{"via1",#N/A,TRUE,"general";"via2",#N/A,TRUE,"general";"via3",#N/A,TRUE,"general"}</definedName>
    <definedName name="OF">[21]Hoja1!$F$5</definedName>
    <definedName name="oiret" hidden="1">{"TAB1",#N/A,TRUE,"GENERAL";"TAB2",#N/A,TRUE,"GENERAL";"TAB3",#N/A,TRUE,"GENERAL";"TAB4",#N/A,TRUE,"GENERAL";"TAB5",#N/A,TRUE,"GENERAL"}</definedName>
    <definedName name="oiret_1" hidden="1">{"TAB1",#N/A,TRUE,"GENERAL";"TAB2",#N/A,TRUE,"GENERAL";"TAB3",#N/A,TRUE,"GENERAL";"TAB4",#N/A,TRUE,"GENERAL";"TAB5",#N/A,TRUE,"GENERAL"}</definedName>
    <definedName name="oirgrth" hidden="1">{"TAB1",#N/A,TRUE,"GENERAL";"TAB2",#N/A,TRUE,"GENERAL";"TAB3",#N/A,TRUE,"GENERAL";"TAB4",#N/A,TRUE,"GENERAL";"TAB5",#N/A,TRUE,"GENERAL"}</definedName>
    <definedName name="oirgrth_1" hidden="1">{"TAB1",#N/A,TRUE,"GENERAL";"TAB2",#N/A,TRUE,"GENERAL";"TAB3",#N/A,TRUE,"GENERAL";"TAB4",#N/A,TRUE,"GENERAL";"TAB5",#N/A,TRUE,"GENERAL"}</definedName>
    <definedName name="OIUOIU" hidden="1">{"via1",#N/A,TRUE,"general";"via2",#N/A,TRUE,"general";"via3",#N/A,TRUE,"general"}</definedName>
    <definedName name="OIUOIU_1" hidden="1">{"via1",#N/A,TRUE,"general";"via2",#N/A,TRUE,"general";"via3",#N/A,TRUE,"general"}</definedName>
    <definedName name="ooooiii" hidden="1">{"TAB1",#N/A,TRUE,"GENERAL";"TAB2",#N/A,TRUE,"GENERAL";"TAB3",#N/A,TRUE,"GENERAL";"TAB4",#N/A,TRUE,"GENERAL";"TAB5",#N/A,TRUE,"GENERAL"}</definedName>
    <definedName name="ooooiii_1" hidden="1">{"TAB1",#N/A,TRUE,"GENERAL";"TAB2",#N/A,TRUE,"GENERAL";"TAB3",#N/A,TRUE,"GENERAL";"TAB4",#N/A,TRUE,"GENERAL";"TAB5",#N/A,TRUE,"GENERAL"}</definedName>
    <definedName name="oooos" hidden="1">{"via1",#N/A,TRUE,"general";"via2",#N/A,TRUE,"general";"via3",#N/A,TRUE,"general"}</definedName>
    <definedName name="oooos_1" hidden="1">{"via1",#N/A,TRUE,"general";"via2",#N/A,TRUE,"general";"via3",#N/A,TRUE,"general"}</definedName>
    <definedName name="P">[12]PRECIOS!$I$56</definedName>
    <definedName name="p0p0" hidden="1">{"via1",#N/A,TRUE,"general";"via2",#N/A,TRUE,"general";"via3",#N/A,TRUE,"general"}</definedName>
    <definedName name="p0p0_1" hidden="1">{"via1",#N/A,TRUE,"general";"via2",#N/A,TRUE,"general";"via3",#N/A,TRUE,"general"}</definedName>
    <definedName name="PAZ">[16]PRECIOS!$F$6</definedName>
    <definedName name="PKHK" hidden="1">{"TAB1",#N/A,TRUE,"GENERAL";"TAB2",#N/A,TRUE,"GENERAL";"TAB3",#N/A,TRUE,"GENERAL";"TAB4",#N/A,TRUE,"GENERAL";"TAB5",#N/A,TRUE,"GENERAL"}</definedName>
    <definedName name="PKHK_1" hidden="1">{"TAB1",#N/A,TRUE,"GENERAL";"TAB2",#N/A,TRUE,"GENERAL";"TAB3",#N/A,TRUE,"GENERAL";"TAB4",#N/A,TRUE,"GENERAL";"TAB5",#N/A,TRUE,"GENERAL"}</definedName>
    <definedName name="pkj" hidden="1">{"TAB1",#N/A,TRUE,"GENERAL";"TAB2",#N/A,TRUE,"GENERAL";"TAB3",#N/A,TRUE,"GENERAL";"TAB4",#N/A,TRUE,"GENERAL";"TAB5",#N/A,TRUE,"GENERAL"}</definedName>
    <definedName name="pkj_1" hidden="1">{"TAB1",#N/A,TRUE,"GENERAL";"TAB2",#N/A,TRUE,"GENERAL";"TAB3",#N/A,TRUE,"GENERAL";"TAB4",#N/A,TRUE,"GENERAL";"TAB5",#N/A,TRUE,"GENERAL"}</definedName>
    <definedName name="PLAD" hidden="1">{"TAB1",#N/A,TRUE,"GENERAL";"TAB2",#N/A,TRUE,"GENERAL";"TAB3",#N/A,TRUE,"GENERAL";"TAB4",#N/A,TRUE,"GENERAL";"TAB5",#N/A,TRUE,"GENERAL"}</definedName>
    <definedName name="PLAD_1" hidden="1">{"TAB1",#N/A,TRUE,"GENERAL";"TAB2",#N/A,TRUE,"GENERAL";"TAB3",#N/A,TRUE,"GENERAL";"TAB4",#N/A,TRUE,"GENERAL";"TAB5",#N/A,TRUE,"GENERAL"}</definedName>
    <definedName name="PLPLUNN" hidden="1">{"TAB1",#N/A,TRUE,"GENERAL";"TAB2",#N/A,TRUE,"GENERAL";"TAB3",#N/A,TRUE,"GENERAL";"TAB4",#N/A,TRUE,"GENERAL";"TAB5",#N/A,TRUE,"GENERAL"}</definedName>
    <definedName name="PLPLUNN_1" hidden="1">{"TAB1",#N/A,TRUE,"GENERAL";"TAB2",#N/A,TRUE,"GENERAL";"TAB3",#N/A,TRUE,"GENERAL";"TAB4",#N/A,TRUE,"GENERAL";"TAB5",#N/A,TRUE,"GENERAL"}</definedName>
    <definedName name="POIUP" hidden="1">{"via1",#N/A,TRUE,"general";"via2",#N/A,TRUE,"general";"via3",#N/A,TRUE,"general"}</definedName>
    <definedName name="POIUP_1" hidden="1">{"via1",#N/A,TRUE,"general";"via2",#N/A,TRUE,"general";"via3",#N/A,TRUE,"general"}</definedName>
    <definedName name="popop" hidden="1">{"via1",#N/A,TRUE,"general";"via2",#N/A,TRUE,"general";"via3",#N/A,TRUE,"general"}</definedName>
    <definedName name="popop_1" hidden="1">{"via1",#N/A,TRUE,"general";"via2",#N/A,TRUE,"general";"via3",#N/A,TRUE,"general"}</definedName>
    <definedName name="popp" hidden="1">{"via1",#N/A,TRUE,"general";"via2",#N/A,TRUE,"general";"via3",#N/A,TRUE,"general"}</definedName>
    <definedName name="popp_1" hidden="1">{"via1",#N/A,TRUE,"general";"via2",#N/A,TRUE,"general";"via3",#N/A,TRUE,"general"}</definedName>
    <definedName name="popvds" hidden="1">{"TAB1",#N/A,TRUE,"GENERAL";"TAB2",#N/A,TRUE,"GENERAL";"TAB3",#N/A,TRUE,"GENERAL";"TAB4",#N/A,TRUE,"GENERAL";"TAB5",#N/A,TRUE,"GENERAL"}</definedName>
    <definedName name="popvds_1" hidden="1">{"TAB1",#N/A,TRUE,"GENERAL";"TAB2",#N/A,TRUE,"GENERAL";"TAB3",#N/A,TRUE,"GENERAL";"TAB4",#N/A,TRUE,"GENERAL";"TAB5",#N/A,TRUE,"GENERAL"}</definedName>
    <definedName name="pouig" hidden="1">{"via1",#N/A,TRUE,"general";"via2",#N/A,TRUE,"general";"via3",#N/A,TRUE,"general"}</definedName>
    <definedName name="pouig_1" hidden="1">{"via1",#N/A,TRUE,"general";"via2",#N/A,TRUE,"general";"via3",#N/A,TRUE,"general"}</definedName>
    <definedName name="POZ">[29]PRECIOS!$G$10</definedName>
    <definedName name="PP">[29]PRECIOS!$G$10</definedName>
    <definedName name="PPP">[16]PRECIOS!$G$7</definedName>
    <definedName name="ppppp9" hidden="1">{"via1",#N/A,TRUE,"general";"via2",#N/A,TRUE,"general";"via3",#N/A,TRUE,"general"}</definedName>
    <definedName name="ppppp9_1" hidden="1">{"via1",#N/A,TRUE,"general";"via2",#N/A,TRUE,"general";"via3",#N/A,TRUE,"general"}</definedName>
    <definedName name="pppppd" hidden="1">{"TAB1",#N/A,TRUE,"GENERAL";"TAB2",#N/A,TRUE,"GENERAL";"TAB3",#N/A,TRUE,"GENERAL";"TAB4",#N/A,TRUE,"GENERAL";"TAB5",#N/A,TRUE,"GENERAL"}</definedName>
    <definedName name="pppppd_1" hidden="1">{"TAB1",#N/A,TRUE,"GENERAL";"TAB2",#N/A,TRUE,"GENERAL";"TAB3",#N/A,TRUE,"GENERAL";"TAB4",#N/A,TRUE,"GENERAL";"TAB5",#N/A,TRUE,"GENERAL"}</definedName>
    <definedName name="pqroj" hidden="1">{"via1",#N/A,TRUE,"general";"via2",#N/A,TRUE,"general";"via3",#N/A,TRUE,"general"}</definedName>
    <definedName name="pqroj_1" hidden="1">{"via1",#N/A,TRUE,"general";"via2",#N/A,TRUE,"general";"via3",#N/A,TRUE,"general"}</definedName>
    <definedName name="PRIMER" hidden="1">{"via1",#N/A,TRUE,"general";"via2",#N/A,TRUE,"general";"via3",#N/A,TRUE,"general"}</definedName>
    <definedName name="PRIMER_1" hidden="1">{"via1",#N/A,TRUE,"general";"via2",#N/A,TRUE,"general";"via3",#N/A,TRUE,"general"}</definedName>
    <definedName name="PRIMET" hidden="1">{"TAB1",#N/A,TRUE,"GENERAL";"TAB2",#N/A,TRUE,"GENERAL";"TAB3",#N/A,TRUE,"GENERAL";"TAB4",#N/A,TRUE,"GENERAL";"TAB5",#N/A,TRUE,"GENERAL"}</definedName>
    <definedName name="PRIMET_1" hidden="1">{"TAB1",#N/A,TRUE,"GENERAL";"TAB2",#N/A,TRUE,"GENERAL";"TAB3",#N/A,TRUE,"GENERAL";"TAB4",#N/A,TRUE,"GENERAL";"TAB5",#N/A,TRUE,"GENERAL"}</definedName>
    <definedName name="ptope" hidden="1">{"TAB1",#N/A,TRUE,"GENERAL";"TAB2",#N/A,TRUE,"GENERAL";"TAB3",#N/A,TRUE,"GENERAL";"TAB4",#N/A,TRUE,"GENERAL";"TAB5",#N/A,TRUE,"GENERAL"}</definedName>
    <definedName name="ptope_1" hidden="1">{"TAB1",#N/A,TRUE,"GENERAL";"TAB2",#N/A,TRUE,"GENERAL";"TAB3",#N/A,TRUE,"GENERAL";"TAB4",#N/A,TRUE,"GENERAL";"TAB5",#N/A,TRUE,"GENERAL"}</definedName>
    <definedName name="ptopes" hidden="1">{"via1",#N/A,TRUE,"general";"via2",#N/A,TRUE,"general";"via3",#N/A,TRUE,"general"}</definedName>
    <definedName name="ptopes_1" hidden="1">{"via1",#N/A,TRUE,"general";"via2",#N/A,TRUE,"general";"via3",#N/A,TRUE,"general"}</definedName>
    <definedName name="q" hidden="1">{"via1",#N/A,TRUE,"general";"via2",#N/A,TRUE,"general";"via3",#N/A,TRUE,"general"}</definedName>
    <definedName name="q_1" hidden="1">{"via1",#N/A,TRUE,"general";"via2",#N/A,TRUE,"general";"via3",#N/A,TRUE,"general"}</definedName>
    <definedName name="q1q1q" hidden="1">{"via1",#N/A,TRUE,"general";"via2",#N/A,TRUE,"general";"via3",#N/A,TRUE,"general"}</definedName>
    <definedName name="q1q1q_1" hidden="1">{"via1",#N/A,TRUE,"general";"via2",#N/A,TRUE,"general";"via3",#N/A,TRUE,"general"}</definedName>
    <definedName name="qaedtguj" hidden="1">{"via1",#N/A,TRUE,"general";"via2",#N/A,TRUE,"general";"via3",#N/A,TRUE,"general"}</definedName>
    <definedName name="qaedtguj_1" hidden="1">{"via1",#N/A,TRUE,"general";"via2",#N/A,TRUE,"general";"via3",#N/A,TRUE,"general"}</definedName>
    <definedName name="QAQSWS" hidden="1">{"via1",#N/A,TRUE,"general";"via2",#N/A,TRUE,"general";"via3",#N/A,TRUE,"general"}</definedName>
    <definedName name="QAQSWS_1" hidden="1">{"via1",#N/A,TRUE,"general";"via2",#N/A,TRUE,"general";"via3",#N/A,TRUE,"general"}</definedName>
    <definedName name="qaqwwxcr" hidden="1">{"via1",#N/A,TRUE,"general";"via2",#N/A,TRUE,"general";"via3",#N/A,TRUE,"general"}</definedName>
    <definedName name="qaqwwxcr_1" hidden="1">{"via1",#N/A,TRUE,"general";"via2",#N/A,TRUE,"general";"via3",#N/A,TRUE,"general"}</definedName>
    <definedName name="qedcd" hidden="1">{"via1",#N/A,TRUE,"general";"via2",#N/A,TRUE,"general";"via3",#N/A,TRUE,"general"}</definedName>
    <definedName name="qedcd_1" hidden="1">{"via1",#N/A,TRUE,"general";"via2",#N/A,TRUE,"general";"via3",#N/A,TRUE,"general"}</definedName>
    <definedName name="qeqewe" hidden="1">{"TAB1",#N/A,TRUE,"GENERAL";"TAB2",#N/A,TRUE,"GENERAL";"TAB3",#N/A,TRUE,"GENERAL";"TAB4",#N/A,TRUE,"GENERAL";"TAB5",#N/A,TRUE,"GENERAL"}</definedName>
    <definedName name="qeqewe_1" hidden="1">{"TAB1",#N/A,TRUE,"GENERAL";"TAB2",#N/A,TRUE,"GENERAL";"TAB3",#N/A,TRUE,"GENERAL";"TAB4",#N/A,TRUE,"GENERAL";"TAB5",#N/A,TRUE,"GENERAL"}</definedName>
    <definedName name="qewj" hidden="1">{"via1",#N/A,TRUE,"general";"via2",#N/A,TRUE,"general";"via3",#N/A,TRUE,"general"}</definedName>
    <definedName name="qewj_1" hidden="1">{"via1",#N/A,TRUE,"general";"via2",#N/A,TRUE,"general";"via3",#N/A,TRUE,"general"}</definedName>
    <definedName name="qqqqqw" hidden="1">{"via1",#N/A,TRUE,"general";"via2",#N/A,TRUE,"general";"via3",#N/A,TRUE,"general"}</definedName>
    <definedName name="qqqqqw_1" hidden="1">{"via1",#N/A,TRUE,"general";"via2",#N/A,TRUE,"general";"via3",#N/A,TRUE,"general"}</definedName>
    <definedName name="qw" hidden="1">{"via1",#N/A,TRUE,"general";"via2",#N/A,TRUE,"general";"via3",#N/A,TRUE,"general"}</definedName>
    <definedName name="qw_1" hidden="1">{"via1",#N/A,TRUE,"general";"via2",#N/A,TRUE,"general";"via3",#N/A,TRUE,"general"}</definedName>
    <definedName name="qwdas2" hidden="1">{"via1",#N/A,TRUE,"general";"via2",#N/A,TRUE,"general";"via3",#N/A,TRUE,"general"}</definedName>
    <definedName name="qwdas2_1" hidden="1">{"via1",#N/A,TRUE,"general";"via2",#N/A,TRUE,"general";"via3",#N/A,TRUE,"general"}</definedName>
    <definedName name="qweqe" hidden="1">{"TAB1",#N/A,TRUE,"GENERAL";"TAB2",#N/A,TRUE,"GENERAL";"TAB3",#N/A,TRUE,"GENERAL";"TAB4",#N/A,TRUE,"GENERAL";"TAB5",#N/A,TRUE,"GENERAL"}</definedName>
    <definedName name="qweqe_1" hidden="1">{"TAB1",#N/A,TRUE,"GENERAL";"TAB2",#N/A,TRUE,"GENERAL";"TAB3",#N/A,TRUE,"GENERAL";"TAB4",#N/A,TRUE,"GENERAL";"TAB5",#N/A,TRUE,"GENERAL"}</definedName>
    <definedName name="qwqwqwj" hidden="1">{"TAB1",#N/A,TRUE,"GENERAL";"TAB2",#N/A,TRUE,"GENERAL";"TAB3",#N/A,TRUE,"GENERAL";"TAB4",#N/A,TRUE,"GENERAL";"TAB5",#N/A,TRUE,"GENERAL"}</definedName>
    <definedName name="qwqwqwj_1" hidden="1">{"TAB1",#N/A,TRUE,"GENERAL";"TAB2",#N/A,TRUE,"GENERAL";"TAB3",#N/A,TRUE,"GENERAL";"TAB4",#N/A,TRUE,"GENERAL";"TAB5",#N/A,TRUE,"GENERAL"}</definedName>
    <definedName name="RDN">[21]Hoja1!$G$7</definedName>
    <definedName name="rege" hidden="1">{"TAB1",#N/A,TRUE,"GENERAL";"TAB2",#N/A,TRUE,"GENERAL";"TAB3",#N/A,TRUE,"GENERAL";"TAB4",#N/A,TRUE,"GENERAL";"TAB5",#N/A,TRUE,"GENERAL"}</definedName>
    <definedName name="rege_1" hidden="1">{"TAB1",#N/A,TRUE,"GENERAL";"TAB2",#N/A,TRUE,"GENERAL";"TAB3",#N/A,TRUE,"GENERAL";"TAB4",#N/A,TRUE,"GENERAL";"TAB5",#N/A,TRUE,"GENERAL"}</definedName>
    <definedName name="regresd" hidden="1">{"TAB1",#N/A,TRUE,"GENERAL";"TAB2",#N/A,TRUE,"GENERAL";"TAB3",#N/A,TRUE,"GENERAL";"TAB4",#N/A,TRUE,"GENERAL";"TAB5",#N/A,TRUE,"GENERAL"}</definedName>
    <definedName name="regresd_1" hidden="1">{"TAB1",#N/A,TRUE,"GENERAL";"TAB2",#N/A,TRUE,"GENERAL";"TAB3",#N/A,TRUE,"GENERAL";"TAB4",#N/A,TRUE,"GENERAL";"TAB5",#N/A,TRUE,"GENERAL"}</definedName>
    <definedName name="regthio" hidden="1">{"TAB1",#N/A,TRUE,"GENERAL";"TAB2",#N/A,TRUE,"GENERAL";"TAB3",#N/A,TRUE,"GENERAL";"TAB4",#N/A,TRUE,"GENERAL";"TAB5",#N/A,TRUE,"GENERAL"}</definedName>
    <definedName name="regthio_1" hidden="1">{"TAB1",#N/A,TRUE,"GENERAL";"TAB2",#N/A,TRUE,"GENERAL";"TAB3",#N/A,TRUE,"GENERAL";"TAB4",#N/A,TRUE,"GENERAL";"TAB5",#N/A,TRUE,"GENERAL"}</definedName>
    <definedName name="REJHE" hidden="1">{"via1",#N/A,TRUE,"general";"via2",#N/A,TRUE,"general";"via3",#N/A,TRUE,"general"}</definedName>
    <definedName name="REJHE_1" hidden="1">{"via1",#N/A,TRUE,"general";"via2",#N/A,TRUE,"general";"via3",#N/A,TRUE,"general"}</definedName>
    <definedName name="rer" hidden="1">{"via1",#N/A,TRUE,"general";"via2",#N/A,TRUE,"general";"via3",#N/A,TRUE,"general"}</definedName>
    <definedName name="rer_1" hidden="1">{"via1",#N/A,TRUE,"general";"via2",#N/A,TRUE,"general";"via3",#N/A,TRUE,"general"}</definedName>
    <definedName name="rererw" hidden="1">{"TAB1",#N/A,TRUE,"GENERAL";"TAB2",#N/A,TRUE,"GENERAL";"TAB3",#N/A,TRUE,"GENERAL";"TAB4",#N/A,TRUE,"GENERAL";"TAB5",#N/A,TRUE,"GENERAL"}</definedName>
    <definedName name="rererw_1" hidden="1">{"TAB1",#N/A,TRUE,"GENERAL";"TAB2",#N/A,TRUE,"GENERAL";"TAB3",#N/A,TRUE,"GENERAL";"TAB4",#N/A,TRUE,"GENERAL";"TAB5",#N/A,TRUE,"GENERAL"}</definedName>
    <definedName name="rerg" hidden="1">{"TAB1",#N/A,TRUE,"GENERAL";"TAB2",#N/A,TRUE,"GENERAL";"TAB3",#N/A,TRUE,"GENERAL";"TAB4",#N/A,TRUE,"GENERAL";"TAB5",#N/A,TRUE,"GENERAL"}</definedName>
    <definedName name="rerg_1" hidden="1">{"TAB1",#N/A,TRUE,"GENERAL";"TAB2",#N/A,TRUE,"GENERAL";"TAB3",#N/A,TRUE,"GENERAL";"TAB4",#N/A,TRUE,"GENERAL";"TAB5",#N/A,TRUE,"GENERAL"}</definedName>
    <definedName name="rerrrrw" hidden="1">{"TAB1",#N/A,TRUE,"GENERAL";"TAB2",#N/A,TRUE,"GENERAL";"TAB3",#N/A,TRUE,"GENERAL";"TAB4",#N/A,TRUE,"GENERAL";"TAB5",#N/A,TRUE,"GENERAL"}</definedName>
    <definedName name="rerrrrw_1" hidden="1">{"TAB1",#N/A,TRUE,"GENERAL";"TAB2",#N/A,TRUE,"GENERAL";"TAB3",#N/A,TRUE,"GENERAL";"TAB4",#N/A,TRUE,"GENERAL";"TAB5",#N/A,TRUE,"GENERAL"}</definedName>
    <definedName name="RETTRE" hidden="1">{"via1",#N/A,TRUE,"general";"via2",#N/A,TRUE,"general";"via3",#N/A,TRUE,"general"}</definedName>
    <definedName name="RETTRE_1" hidden="1">{"via1",#N/A,TRUE,"general";"via2",#N/A,TRUE,"general";"via3",#N/A,TRUE,"general"}</definedName>
    <definedName name="rety" hidden="1">{"TAB1",#N/A,TRUE,"GENERAL";"TAB2",#N/A,TRUE,"GENERAL";"TAB3",#N/A,TRUE,"GENERAL";"TAB4",#N/A,TRUE,"GENERAL";"TAB5",#N/A,TRUE,"GENERAL"}</definedName>
    <definedName name="rety_1" hidden="1">{"TAB1",#N/A,TRUE,"GENERAL";"TAB2",#N/A,TRUE,"GENERAL";"TAB3",#N/A,TRUE,"GENERAL";"TAB4",#N/A,TRUE,"GENERAL";"TAB5",#N/A,TRUE,"GENERAL"}</definedName>
    <definedName name="rewfreg" hidden="1">{"via1",#N/A,TRUE,"general";"via2",#N/A,TRUE,"general";"via3",#N/A,TRUE,"general"}</definedName>
    <definedName name="rewfreg_1" hidden="1">{"via1",#N/A,TRUE,"general";"via2",#N/A,TRUE,"general";"via3",#N/A,TRUE,"general"}</definedName>
    <definedName name="rewr" hidden="1">{"via1",#N/A,TRUE,"general";"via2",#N/A,TRUE,"general";"via3",#N/A,TRUE,"general"}</definedName>
    <definedName name="rewr_1" hidden="1">{"via1",#N/A,TRUE,"general";"via2",#N/A,TRUE,"general";"via3",#N/A,TRUE,"general"}</definedName>
    <definedName name="REWWER" hidden="1">{"TAB1",#N/A,TRUE,"GENERAL";"TAB2",#N/A,TRUE,"GENERAL";"TAB3",#N/A,TRUE,"GENERAL";"TAB4",#N/A,TRUE,"GENERAL";"TAB5",#N/A,TRUE,"GENERAL"}</definedName>
    <definedName name="REWWER_1" hidden="1">{"TAB1",#N/A,TRUE,"GENERAL";"TAB2",#N/A,TRUE,"GENERAL";"TAB3",#N/A,TRUE,"GENERAL";"TAB4",#N/A,TRUE,"GENERAL";"TAB5",#N/A,TRUE,"GENERAL"}</definedName>
    <definedName name="reyepoi" hidden="1">{"TAB1",#N/A,TRUE,"GENERAL";"TAB2",#N/A,TRUE,"GENERAL";"TAB3",#N/A,TRUE,"GENERAL";"TAB4",#N/A,TRUE,"GENERAL";"TAB5",#N/A,TRUE,"GENERAL"}</definedName>
    <definedName name="reyepoi_1" hidden="1">{"TAB1",#N/A,TRUE,"GENERAL";"TAB2",#N/A,TRUE,"GENERAL";"TAB3",#N/A,TRUE,"GENERAL";"TAB4",#N/A,TRUE,"GENERAL";"TAB5",#N/A,TRUE,"GENERAL"}</definedName>
    <definedName name="reyety" hidden="1">{"via1",#N/A,TRUE,"general";"via2",#N/A,TRUE,"general";"via3",#N/A,TRUE,"general"}</definedName>
    <definedName name="reyety_1" hidden="1">{"via1",#N/A,TRUE,"general";"via2",#N/A,TRUE,"general";"via3",#N/A,TRUE,"general"}</definedName>
    <definedName name="reyty" hidden="1">{"via1",#N/A,TRUE,"general";"via2",#N/A,TRUE,"general";"via3",#N/A,TRUE,"general"}</definedName>
    <definedName name="reyty_1" hidden="1">{"via1",#N/A,TRUE,"general";"via2",#N/A,TRUE,"general";"via3",#N/A,TRUE,"general"}</definedName>
    <definedName name="reyyt" hidden="1">{"via1",#N/A,TRUE,"general";"via2",#N/A,TRUE,"general";"via3",#N/A,TRUE,"general"}</definedName>
    <definedName name="reyyt_1" hidden="1">{"via1",#N/A,TRUE,"general";"via2",#N/A,TRUE,"general";"via3",#N/A,TRUE,"general"}</definedName>
    <definedName name="rfhnhjyu" hidden="1">{"TAB1",#N/A,TRUE,"GENERAL";"TAB2",#N/A,TRUE,"GENERAL";"TAB3",#N/A,TRUE,"GENERAL";"TAB4",#N/A,TRUE,"GENERAL";"TAB5",#N/A,TRUE,"GENERAL"}</definedName>
    <definedName name="rfhnhjyu_1" hidden="1">{"TAB1",#N/A,TRUE,"GENERAL";"TAB2",#N/A,TRUE,"GENERAL";"TAB3",#N/A,TRUE,"GENERAL";"TAB4",#N/A,TRUE,"GENERAL";"TAB5",#N/A,TRUE,"GENERAL"}</definedName>
    <definedName name="rfrf" hidden="1">{"via1",#N/A,TRUE,"general";"via2",#N/A,TRUE,"general";"via3",#N/A,TRUE,"general"}</definedName>
    <definedName name="rfrf_1" hidden="1">{"via1",#N/A,TRUE,"general";"via2",#N/A,TRUE,"general";"via3",#N/A,TRUE,"general"}</definedName>
    <definedName name="rge" hidden="1">{"via1",#N/A,TRUE,"general";"via2",#N/A,TRUE,"general";"via3",#N/A,TRUE,"general"}</definedName>
    <definedName name="rge_1" hidden="1">{"via1",#N/A,TRUE,"general";"via2",#N/A,TRUE,"general";"via3",#N/A,TRUE,"general"}</definedName>
    <definedName name="rgegg" hidden="1">{"via1",#N/A,TRUE,"general";"via2",#N/A,TRUE,"general";"via3",#N/A,TRUE,"general"}</definedName>
    <definedName name="rgegg_1" hidden="1">{"via1",#N/A,TRUE,"general";"via2",#N/A,TRUE,"general";"via3",#N/A,TRUE,"general"}</definedName>
    <definedName name="RH">[34]RH!$A:$E</definedName>
    <definedName name="rhh" hidden="1">{"TAB1",#N/A,TRUE,"GENERAL";"TAB2",#N/A,TRUE,"GENERAL";"TAB3",#N/A,TRUE,"GENERAL";"TAB4",#N/A,TRUE,"GENERAL";"TAB5",#N/A,TRUE,"GENERAL"}</definedName>
    <definedName name="rhh_1" hidden="1">{"TAB1",#N/A,TRUE,"GENERAL";"TAB2",#N/A,TRUE,"GENERAL";"TAB3",#N/A,TRUE,"GENERAL";"TAB4",#N/A,TRUE,"GENERAL";"TAB5",#N/A,TRUE,"GENERAL"}</definedName>
    <definedName name="rhrtd" hidden="1">{"TAB1",#N/A,TRUE,"GENERAL";"TAB2",#N/A,TRUE,"GENERAL";"TAB3",#N/A,TRUE,"GENERAL";"TAB4",#N/A,TRUE,"GENERAL";"TAB5",#N/A,TRUE,"GENERAL"}</definedName>
    <definedName name="rhrtd_1" hidden="1">{"TAB1",#N/A,TRUE,"GENERAL";"TAB2",#N/A,TRUE,"GENERAL";"TAB3",#N/A,TRUE,"GENERAL";"TAB4",#N/A,TRUE,"GENERAL";"TAB5",#N/A,TRUE,"GENERAL"}</definedName>
    <definedName name="rhtry" hidden="1">{"TAB1",#N/A,TRUE,"GENERAL";"TAB2",#N/A,TRUE,"GENERAL";"TAB3",#N/A,TRUE,"GENERAL";"TAB4",#N/A,TRUE,"GENERAL";"TAB5",#N/A,TRUE,"GENERAL"}</definedName>
    <definedName name="rhtry_1" hidden="1">{"TAB1",#N/A,TRUE,"GENERAL";"TAB2",#N/A,TRUE,"GENERAL";"TAB3",#N/A,TRUE,"GENERAL";"TAB4",#N/A,TRUE,"GENERAL";"TAB5",#N/A,TRUE,"GENERAL"}</definedName>
    <definedName name="rj" hidden="1">{"TAB1",#N/A,TRUE,"GENERAL";"TAB2",#N/A,TRUE,"GENERAL";"TAB3",#N/A,TRUE,"GENERAL";"TAB4",#N/A,TRUE,"GENERAL";"TAB5",#N/A,TRUE,"GENERAL"}</definedName>
    <definedName name="rj_1" hidden="1">{"TAB1",#N/A,TRUE,"GENERAL";"TAB2",#N/A,TRUE,"GENERAL";"TAB3",#N/A,TRUE,"GENERAL";"TAB4",#N/A,TRUE,"GENERAL";"TAB5",#N/A,TRUE,"GENERAL"}</definedName>
    <definedName name="rjjth" hidden="1">{"TAB1",#N/A,TRUE,"GENERAL";"TAB2",#N/A,TRUE,"GENERAL";"TAB3",#N/A,TRUE,"GENERAL";"TAB4",#N/A,TRUE,"GENERAL";"TAB5",#N/A,TRUE,"GENERAL"}</definedName>
    <definedName name="rjjth_1" hidden="1">{"TAB1",#N/A,TRUE,"GENERAL";"TAB2",#N/A,TRUE,"GENERAL";"TAB3",#N/A,TRUE,"GENERAL";"TAB4",#N/A,TRUE,"GENERAL";"TAB5",#N/A,TRUE,"GENERAL"}</definedName>
    <definedName name="rjy" hidden="1">{"via1",#N/A,TRUE,"general";"via2",#N/A,TRUE,"general";"via3",#N/A,TRUE,"general"}</definedName>
    <definedName name="rjy_1" hidden="1">{"via1",#N/A,TRUE,"general";"via2",#N/A,TRUE,"general";"via3",#N/A,TRUE,"general"}</definedName>
    <definedName name="rkjyk" hidden="1">{"TAB1",#N/A,TRUE,"GENERAL";"TAB2",#N/A,TRUE,"GENERAL";"TAB3",#N/A,TRUE,"GENERAL";"TAB4",#N/A,TRUE,"GENERAL";"TAB5",#N/A,TRUE,"GENERAL"}</definedName>
    <definedName name="rkjyk_1" hidden="1">{"TAB1",#N/A,TRUE,"GENERAL";"TAB2",#N/A,TRUE,"GENERAL";"TAB3",#N/A,TRUE,"GENERAL";"TAB4",#N/A,TRUE,"GENERAL";"TAB5",#N/A,TRUE,"GENERAL"}</definedName>
    <definedName name="rkru" hidden="1">{"via1",#N/A,TRUE,"general";"via2",#N/A,TRUE,"general";"via3",#N/A,TRUE,"general"}</definedName>
    <definedName name="rkru_1" hidden="1">{"via1",#N/A,TRUE,"general";"via2",#N/A,TRUE,"general";"via3",#N/A,TRUE,"general"}</definedName>
    <definedName name="rky" hidden="1">{"TAB1",#N/A,TRUE,"GENERAL";"TAB2",#N/A,TRUE,"GENERAL";"TAB3",#N/A,TRUE,"GENERAL";"TAB4",#N/A,TRUE,"GENERAL";"TAB5",#N/A,TRUE,"GENERAL"}</definedName>
    <definedName name="rky_1" hidden="1">{"TAB1",#N/A,TRUE,"GENERAL";"TAB2",#N/A,TRUE,"GENERAL";"TAB3",#N/A,TRUE,"GENERAL";"TAB4",#N/A,TRUE,"GENERAL";"TAB5",#N/A,TRUE,"GENERAL"}</definedName>
    <definedName name="rrr" hidden="1">{"via1",#N/A,TRUE,"general";"via2",#N/A,TRUE,"general";"via3",#N/A,TRUE,"general"}</definedName>
    <definedName name="rrr_1" hidden="1">{"via1",#N/A,TRUE,"general";"via2",#N/A,TRUE,"general";"via3",#N/A,TRUE,"general"}</definedName>
    <definedName name="rrrrrb" hidden="1">{"via1",#N/A,TRUE,"general";"via2",#N/A,TRUE,"general";"via3",#N/A,TRUE,"general"}</definedName>
    <definedName name="rrrrrb_1" hidden="1">{"via1",#N/A,TRUE,"general";"via2",#N/A,TRUE,"general";"via3",#N/A,TRUE,"general"}</definedName>
    <definedName name="rrrrrrre" hidden="1">{"TAB1",#N/A,TRUE,"GENERAL";"TAB2",#N/A,TRUE,"GENERAL";"TAB3",#N/A,TRUE,"GENERAL";"TAB4",#N/A,TRUE,"GENERAL";"TAB5",#N/A,TRUE,"GENERAL"}</definedName>
    <definedName name="rrrrrrre_1" hidden="1">{"TAB1",#N/A,TRUE,"GENERAL";"TAB2",#N/A,TRUE,"GENERAL";"TAB3",#N/A,TRUE,"GENERAL";"TAB4",#N/A,TRUE,"GENERAL";"TAB5",#N/A,TRUE,"GENERAL"}</definedName>
    <definedName name="rrrrt" hidden="1">{"via1",#N/A,TRUE,"general";"via2",#N/A,TRUE,"general";"via3",#N/A,TRUE,"general"}</definedName>
    <definedName name="rrrrt_1" hidden="1">{"via1",#N/A,TRUE,"general";"via2",#N/A,TRUE,"general";"via3",#N/A,TRUE,"general"}</definedName>
    <definedName name="rrtewtr" localSheetId="6">#REF!</definedName>
    <definedName name="rrtewtr" localSheetId="12">#REF!</definedName>
    <definedName name="rrtewtr" localSheetId="5">#REF!</definedName>
    <definedName name="rsdgsd5" hidden="1">{"TAB1",#N/A,TRUE,"GENERAL";"TAB2",#N/A,TRUE,"GENERAL";"TAB3",#N/A,TRUE,"GENERAL";"TAB4",#N/A,TRUE,"GENERAL";"TAB5",#N/A,TRUE,"GENERAL"}</definedName>
    <definedName name="rsdgsd5_1" hidden="1">{"TAB1",#N/A,TRUE,"GENERAL";"TAB2",#N/A,TRUE,"GENERAL";"TAB3",#N/A,TRUE,"GENERAL";"TAB4",#N/A,TRUE,"GENERAL";"TAB5",#N/A,TRUE,"GENERAL"}</definedName>
    <definedName name="rt" hidden="1">{"TAB1",#N/A,TRUE,"GENERAL";"TAB2",#N/A,TRUE,"GENERAL";"TAB3",#N/A,TRUE,"GENERAL";"TAB4",#N/A,TRUE,"GENERAL";"TAB5",#N/A,TRUE,"GENERAL"}</definedName>
    <definedName name="rt_1" hidden="1">{"TAB1",#N/A,TRUE,"GENERAL";"TAB2",#N/A,TRUE,"GENERAL";"TAB3",#N/A,TRUE,"GENERAL";"TAB4",#N/A,TRUE,"GENERAL";"TAB5",#N/A,TRUE,"GENERAL"}</definedName>
    <definedName name="rte" hidden="1">{"TAB1",#N/A,TRUE,"GENERAL";"TAB2",#N/A,TRUE,"GENERAL";"TAB3",#N/A,TRUE,"GENERAL";"TAB4",#N/A,TRUE,"GENERAL";"TAB5",#N/A,TRUE,"GENERAL"}</definedName>
    <definedName name="rte_1" hidden="1">{"TAB1",#N/A,TRUE,"GENERAL";"TAB2",#N/A,TRUE,"GENERAL";"TAB3",#N/A,TRUE,"GENERAL";"TAB4",#N/A,TRUE,"GENERAL";"TAB5",#N/A,TRUE,"GENERAL"}</definedName>
    <definedName name="rteg" hidden="1">{"via1",#N/A,TRUE,"general";"via2",#N/A,TRUE,"general";"via3",#N/A,TRUE,"general"}</definedName>
    <definedName name="rteg_1" hidden="1">{"via1",#N/A,TRUE,"general";"via2",#N/A,TRUE,"general";"via3",#N/A,TRUE,"general"}</definedName>
    <definedName name="rtert" hidden="1">{"TAB1",#N/A,TRUE,"GENERAL";"TAB2",#N/A,TRUE,"GENERAL";"TAB3",#N/A,TRUE,"GENERAL";"TAB4",#N/A,TRUE,"GENERAL";"TAB5",#N/A,TRUE,"GENERAL"}</definedName>
    <definedName name="rtert_1" hidden="1">{"TAB1",#N/A,TRUE,"GENERAL";"TAB2",#N/A,TRUE,"GENERAL";"TAB3",#N/A,TRUE,"GENERAL";"TAB4",#N/A,TRUE,"GENERAL";"TAB5",#N/A,TRUE,"GENERAL"}</definedName>
    <definedName name="rtes" hidden="1">{"via1",#N/A,TRUE,"general";"via2",#N/A,TRUE,"general";"via3",#N/A,TRUE,"general"}</definedName>
    <definedName name="rtes_1" hidden="1">{"via1",#N/A,TRUE,"general";"via2",#N/A,TRUE,"general";"via3",#N/A,TRUE,"general"}</definedName>
    <definedName name="rtewth" hidden="1">{"TAB1",#N/A,TRUE,"GENERAL";"TAB2",#N/A,TRUE,"GENERAL";"TAB3",#N/A,TRUE,"GENERAL";"TAB4",#N/A,TRUE,"GENERAL";"TAB5",#N/A,TRUE,"GENERAL"}</definedName>
    <definedName name="rtewth_1" hidden="1">{"TAB1",#N/A,TRUE,"GENERAL";"TAB2",#N/A,TRUE,"GENERAL";"TAB3",#N/A,TRUE,"GENERAL";"TAB4",#N/A,TRUE,"GENERAL";"TAB5",#N/A,TRUE,"GENERAL"}</definedName>
    <definedName name="rthjtj" hidden="1">{"TAB1",#N/A,TRUE,"GENERAL";"TAB2",#N/A,TRUE,"GENERAL";"TAB3",#N/A,TRUE,"GENERAL";"TAB4",#N/A,TRUE,"GENERAL";"TAB5",#N/A,TRUE,"GENERAL"}</definedName>
    <definedName name="rthjtj_1" hidden="1">{"TAB1",#N/A,TRUE,"GENERAL";"TAB2",#N/A,TRUE,"GENERAL";"TAB3",#N/A,TRUE,"GENERAL";"TAB4",#N/A,TRUE,"GENERAL";"TAB5",#N/A,TRUE,"GENERAL"}</definedName>
    <definedName name="rthrthg" hidden="1">{"via1",#N/A,TRUE,"general";"via2",#N/A,TRUE,"general";"via3",#N/A,TRUE,"general"}</definedName>
    <definedName name="rthrthg_1" hidden="1">{"via1",#N/A,TRUE,"general";"via2",#N/A,TRUE,"general";"via3",#N/A,TRUE,"general"}</definedName>
    <definedName name="rthtrh" hidden="1">{"via1",#N/A,TRUE,"general";"via2",#N/A,TRUE,"general";"via3",#N/A,TRUE,"general"}</definedName>
    <definedName name="rthtrh_1" hidden="1">{"via1",#N/A,TRUE,"general";"via2",#N/A,TRUE,"general";"via3",#N/A,TRUE,"general"}</definedName>
    <definedName name="rtkk" hidden="1">{"via1",#N/A,TRUE,"general";"via2",#N/A,TRUE,"general";"via3",#N/A,TRUE,"general"}</definedName>
    <definedName name="rtkk_1" hidden="1">{"via1",#N/A,TRUE,"general";"via2",#N/A,TRUE,"general";"via3",#N/A,TRUE,"general"}</definedName>
    <definedName name="rttthy" hidden="1">{"via1",#N/A,TRUE,"general";"via2",#N/A,TRUE,"general";"via3",#N/A,TRUE,"general"}</definedName>
    <definedName name="rttthy_1" hidden="1">{"via1",#N/A,TRUE,"general";"via2",#N/A,TRUE,"general";"via3",#N/A,TRUE,"general"}</definedName>
    <definedName name="rtu" hidden="1">{"via1",#N/A,TRUE,"general";"via2",#N/A,TRUE,"general";"via3",#N/A,TRUE,"general"}</definedName>
    <definedName name="rtu_1" hidden="1">{"via1",#N/A,TRUE,"general";"via2",#N/A,TRUE,"general";"via3",#N/A,TRUE,"general"}</definedName>
    <definedName name="rtug" hidden="1">{"TAB1",#N/A,TRUE,"GENERAL";"TAB2",#N/A,TRUE,"GENERAL";"TAB3",#N/A,TRUE,"GENERAL";"TAB4",#N/A,TRUE,"GENERAL";"TAB5",#N/A,TRUE,"GENERAL"}</definedName>
    <definedName name="rtug_1" hidden="1">{"TAB1",#N/A,TRUE,"GENERAL";"TAB2",#N/A,TRUE,"GENERAL";"TAB3",#N/A,TRUE,"GENERAL";"TAB4",#N/A,TRUE,"GENERAL";"TAB5",#N/A,TRUE,"GENERAL"}</definedName>
    <definedName name="rtugsd" hidden="1">{"TAB1",#N/A,TRUE,"GENERAL";"TAB2",#N/A,TRUE,"GENERAL";"TAB3",#N/A,TRUE,"GENERAL";"TAB4",#N/A,TRUE,"GENERAL";"TAB5",#N/A,TRUE,"GENERAL"}</definedName>
    <definedName name="rtugsd_1" hidden="1">{"TAB1",#N/A,TRUE,"GENERAL";"TAB2",#N/A,TRUE,"GENERAL";"TAB3",#N/A,TRUE,"GENERAL";"TAB4",#N/A,TRUE,"GENERAL";"TAB5",#N/A,TRUE,"GENERAL"}</definedName>
    <definedName name="rturtu" hidden="1">{"via1",#N/A,TRUE,"general";"via2",#N/A,TRUE,"general";"via3",#N/A,TRUE,"general"}</definedName>
    <definedName name="rturtu_1" hidden="1">{"via1",#N/A,TRUE,"general";"via2",#N/A,TRUE,"general";"via3",#N/A,TRUE,"general"}</definedName>
    <definedName name="rturu" hidden="1">{"via1",#N/A,TRUE,"general";"via2",#N/A,TRUE,"general";"via3",#N/A,TRUE,"general"}</definedName>
    <definedName name="rturu_1" hidden="1">{"via1",#N/A,TRUE,"general";"via2",#N/A,TRUE,"general";"via3",#N/A,TRUE,"general"}</definedName>
    <definedName name="rtut" hidden="1">{"via1",#N/A,TRUE,"general";"via2",#N/A,TRUE,"general";"via3",#N/A,TRUE,"general"}</definedName>
    <definedName name="rtut_1" hidden="1">{"via1",#N/A,TRUE,"general";"via2",#N/A,TRUE,"general";"via3",#N/A,TRUE,"general"}</definedName>
    <definedName name="rtutru" hidden="1">{"via1",#N/A,TRUE,"general";"via2",#N/A,TRUE,"general";"via3",#N/A,TRUE,"general"}</definedName>
    <definedName name="rtutru_1" hidden="1">{"via1",#N/A,TRUE,"general";"via2",#N/A,TRUE,"general";"via3",#N/A,TRUE,"general"}</definedName>
    <definedName name="rtuy" hidden="1">{"via1",#N/A,TRUE,"general";"via2",#N/A,TRUE,"general";"via3",#N/A,TRUE,"general"}</definedName>
    <definedName name="rtuy_1" hidden="1">{"via1",#N/A,TRUE,"general";"via2",#N/A,TRUE,"general";"via3",#N/A,TRUE,"general"}</definedName>
    <definedName name="rtyhr" hidden="1">{"TAB1",#N/A,TRUE,"GENERAL";"TAB2",#N/A,TRUE,"GENERAL";"TAB3",#N/A,TRUE,"GENERAL";"TAB4",#N/A,TRUE,"GENERAL";"TAB5",#N/A,TRUE,"GENERAL"}</definedName>
    <definedName name="rtyhr_1" hidden="1">{"TAB1",#N/A,TRUE,"GENERAL";"TAB2",#N/A,TRUE,"GENERAL";"TAB3",#N/A,TRUE,"GENERAL";"TAB4",#N/A,TRUE,"GENERAL";"TAB5",#N/A,TRUE,"GENERAL"}</definedName>
    <definedName name="rtym" hidden="1">{"via1",#N/A,TRUE,"general";"via2",#N/A,TRUE,"general";"via3",#N/A,TRUE,"general"}</definedName>
    <definedName name="rtym_1" hidden="1">{"via1",#N/A,TRUE,"general";"via2",#N/A,TRUE,"general";"via3",#N/A,TRUE,"general"}</definedName>
    <definedName name="rtyrey" hidden="1">{"TAB1",#N/A,TRUE,"GENERAL";"TAB2",#N/A,TRUE,"GENERAL";"TAB3",#N/A,TRUE,"GENERAL";"TAB4",#N/A,TRUE,"GENERAL";"TAB5",#N/A,TRUE,"GENERAL"}</definedName>
    <definedName name="rtyrey_1" hidden="1">{"TAB1",#N/A,TRUE,"GENERAL";"TAB2",#N/A,TRUE,"GENERAL";"TAB3",#N/A,TRUE,"GENERAL";"TAB4",#N/A,TRUE,"GENERAL";"TAB5",#N/A,TRUE,"GENERAL"}</definedName>
    <definedName name="rtyrh" hidden="1">{"via1",#N/A,TRUE,"general";"via2",#N/A,TRUE,"general";"via3",#N/A,TRUE,"general"}</definedName>
    <definedName name="rtyrh_1" hidden="1">{"via1",#N/A,TRUE,"general";"via2",#N/A,TRUE,"general";"via3",#N/A,TRUE,"general"}</definedName>
    <definedName name="RTYRTY" hidden="1">{"via1",#N/A,TRUE,"general";"via2",#N/A,TRUE,"general";"via3",#N/A,TRUE,"general"}</definedName>
    <definedName name="RTYRTY_1" hidden="1">{"via1",#N/A,TRUE,"general";"via2",#N/A,TRUE,"general";"via3",#N/A,TRUE,"general"}</definedName>
    <definedName name="rtyt" hidden="1">{"TAB1",#N/A,TRUE,"GENERAL";"TAB2",#N/A,TRUE,"GENERAL";"TAB3",#N/A,TRUE,"GENERAL";"TAB4",#N/A,TRUE,"GENERAL";"TAB5",#N/A,TRUE,"GENERAL"}</definedName>
    <definedName name="rtyt_1" hidden="1">{"TAB1",#N/A,TRUE,"GENERAL";"TAB2",#N/A,TRUE,"GENERAL";"TAB3",#N/A,TRUE,"GENERAL";"TAB4",#N/A,TRUE,"GENERAL";"TAB5",#N/A,TRUE,"GENERAL"}</definedName>
    <definedName name="rtytry" hidden="1">{"via1",#N/A,TRUE,"general";"via2",#N/A,TRUE,"general";"via3",#N/A,TRUE,"general"}</definedName>
    <definedName name="rtytry_1" hidden="1">{"via1",#N/A,TRUE,"general";"via2",#N/A,TRUE,"general";"via3",#N/A,TRUE,"general"}</definedName>
    <definedName name="ruru" hidden="1">{"TAB1",#N/A,TRUE,"GENERAL";"TAB2",#N/A,TRUE,"GENERAL";"TAB3",#N/A,TRUE,"GENERAL";"TAB4",#N/A,TRUE,"GENERAL";"TAB5",#N/A,TRUE,"GENERAL"}</definedName>
    <definedName name="ruru_1" hidden="1">{"TAB1",#N/A,TRUE,"GENERAL";"TAB2",#N/A,TRUE,"GENERAL";"TAB3",#N/A,TRUE,"GENERAL";"TAB4",#N/A,TRUE,"GENERAL";"TAB5",#N/A,TRUE,"GENERAL"}</definedName>
    <definedName name="rutu" hidden="1">{"via1",#N/A,TRUE,"general";"via2",#N/A,TRUE,"general";"via3",#N/A,TRUE,"general"}</definedName>
    <definedName name="rutu_1" hidden="1">{"via1",#N/A,TRUE,"general";"via2",#N/A,TRUE,"general";"via3",#N/A,TRUE,"general"}</definedName>
    <definedName name="rwt" hidden="1">{"via1",#N/A,TRUE,"general";"via2",#N/A,TRUE,"general";"via3",#N/A,TRUE,"general"}</definedName>
    <definedName name="rwt_1" hidden="1">{"via1",#N/A,TRUE,"general";"via2",#N/A,TRUE,"general";"via3",#N/A,TRUE,"general"}</definedName>
    <definedName name="ry" hidden="1">{"via1",#N/A,TRUE,"general";"via2",#N/A,TRUE,"general";"via3",#N/A,TRUE,"general"}</definedName>
    <definedName name="ry_1" hidden="1">{"via1",#N/A,TRUE,"general";"via2",#N/A,TRUE,"general";"via3",#N/A,TRUE,"general"}</definedName>
    <definedName name="ryeryb" hidden="1">{"TAB1",#N/A,TRUE,"GENERAL";"TAB2",#N/A,TRUE,"GENERAL";"TAB3",#N/A,TRUE,"GENERAL";"TAB4",#N/A,TRUE,"GENERAL";"TAB5",#N/A,TRUE,"GENERAL"}</definedName>
    <definedName name="ryeryb_1" hidden="1">{"TAB1",#N/A,TRUE,"GENERAL";"TAB2",#N/A,TRUE,"GENERAL";"TAB3",#N/A,TRUE,"GENERAL";"TAB4",#N/A,TRUE,"GENERAL";"TAB5",#N/A,TRUE,"GENERAL"}</definedName>
    <definedName name="rytrsdg" hidden="1">{"via1",#N/A,TRUE,"general";"via2",#N/A,TRUE,"general";"via3",#N/A,TRUE,"general"}</definedName>
    <definedName name="rytrsdg_1" hidden="1">{"via1",#N/A,TRUE,"general";"via2",#N/A,TRUE,"general";"via3",#N/A,TRUE,"general"}</definedName>
    <definedName name="saa" hidden="1">{"via1",#N/A,TRUE,"general";"via2",#N/A,TRUE,"general";"via3",#N/A,TRUE,"general"}</definedName>
    <definedName name="saa_1" hidden="1">{"via1",#N/A,TRUE,"general";"via2",#N/A,TRUE,"general";"via3",#N/A,TRUE,"general"}</definedName>
    <definedName name="SAD" hidden="1">{"via1",#N/A,TRUE,"general";"via2",#N/A,TRUE,"general";"via3",#N/A,TRUE,"general"}</definedName>
    <definedName name="SAD_1" hidden="1">{"via1",#N/A,TRUE,"general";"via2",#N/A,TRUE,"general";"via3",#N/A,TRUE,"general"}</definedName>
    <definedName name="SADF" hidden="1">{"via1",#N/A,TRUE,"general";"via2",#N/A,TRUE,"general";"via3",#N/A,TRUE,"general"}</definedName>
    <definedName name="SADF_1" hidden="1">{"via1",#N/A,TRUE,"general";"via2",#N/A,TRUE,"general";"via3",#N/A,TRUE,"general"}</definedName>
    <definedName name="sadff" hidden="1">{"TAB1",#N/A,TRUE,"GENERAL";"TAB2",#N/A,TRUE,"GENERAL";"TAB3",#N/A,TRUE,"GENERAL";"TAB4",#N/A,TRUE,"GENERAL";"TAB5",#N/A,TRUE,"GENERAL"}</definedName>
    <definedName name="sadff_1" hidden="1">{"TAB1",#N/A,TRUE,"GENERAL";"TAB2",#N/A,TRUE,"GENERAL";"TAB3",#N/A,TRUE,"GENERAL";"TAB4",#N/A,TRUE,"GENERAL";"TAB5",#N/A,TRUE,"GENERAL"}</definedName>
    <definedName name="sadfo" hidden="1">{"via1",#N/A,TRUE,"general";"via2",#N/A,TRUE,"general";"via3",#N/A,TRUE,"general"}</definedName>
    <definedName name="sadfo_1" hidden="1">{"via1",#N/A,TRUE,"general";"via2",#N/A,TRUE,"general";"via3",#N/A,TRUE,"general"}</definedName>
    <definedName name="safdp" hidden="1">{"TAB1",#N/A,TRUE,"GENERAL";"TAB2",#N/A,TRUE,"GENERAL";"TAB3",#N/A,TRUE,"GENERAL";"TAB4",#N/A,TRUE,"GENERAL";"TAB5",#N/A,TRUE,"GENERAL"}</definedName>
    <definedName name="safdp_1" hidden="1">{"TAB1",#N/A,TRUE,"GENERAL";"TAB2",#N/A,TRUE,"GENERAL";"TAB3",#N/A,TRUE,"GENERAL";"TAB4",#N/A,TRUE,"GENERAL";"TAB5",#N/A,TRUE,"GENERAL"}</definedName>
    <definedName name="SALL1">[10]APU!$J$3688</definedName>
    <definedName name="SALL2">[10]APU!$J$3740</definedName>
    <definedName name="sbgfbgdr" hidden="1">{"via1",#N/A,TRUE,"general";"via2",#N/A,TRUE,"general";"via3",#N/A,TRUE,"general"}</definedName>
    <definedName name="sbgfbgdr_1" hidden="1">{"via1",#N/A,TRUE,"general";"via2",#N/A,TRUE,"general";"via3",#N/A,TRUE,"general"}</definedName>
    <definedName name="sd_1" hidden="1">{"TAB1",#N/A,TRUE,"GENERAL";"TAB2",#N/A,TRUE,"GENERAL";"TAB3",#N/A,TRUE,"GENERAL";"TAB4",#N/A,TRUE,"GENERAL";"TAB5",#N/A,TRUE,"GENERAL"}</definedName>
    <definedName name="sdaf" hidden="1">{"via1",#N/A,TRUE,"general";"via2",#N/A,TRUE,"general";"via3",#N/A,TRUE,"general"}</definedName>
    <definedName name="sdaf_1" hidden="1">{"via1",#N/A,TRUE,"general";"via2",#N/A,TRUE,"general";"via3",#N/A,TRUE,"general"}</definedName>
    <definedName name="sdas" hidden="1">{"via1",#N/A,TRUE,"general";"via2",#N/A,TRUE,"general";"via3",#N/A,TRUE,"general"}</definedName>
    <definedName name="sdas_1" hidden="1">{"via1",#N/A,TRUE,"general";"via2",#N/A,TRUE,"general";"via3",#N/A,TRUE,"general"}</definedName>
    <definedName name="sdasdf" hidden="1">{"via1",#N/A,TRUE,"general";"via2",#N/A,TRUE,"general";"via3",#N/A,TRUE,"general"}</definedName>
    <definedName name="sdasdf_1" hidden="1">{"via1",#N/A,TRUE,"general";"via2",#N/A,TRUE,"general";"via3",#N/A,TRUE,"general"}</definedName>
    <definedName name="SDCDSCT" hidden="1">{"TAB1",#N/A,TRUE,"GENERAL";"TAB2",#N/A,TRUE,"GENERAL";"TAB3",#N/A,TRUE,"GENERAL";"TAB4",#N/A,TRUE,"GENERAL";"TAB5",#N/A,TRUE,"GENERAL"}</definedName>
    <definedName name="SDCDSCT_1" hidden="1">{"TAB1",#N/A,TRUE,"GENERAL";"TAB2",#N/A,TRUE,"GENERAL";"TAB3",#N/A,TRUE,"GENERAL";"TAB4",#N/A,TRUE,"GENERAL";"TAB5",#N/A,TRUE,"GENERAL"}</definedName>
    <definedName name="SDF">[29]PRECIOS!$G$6</definedName>
    <definedName name="SDFCE" hidden="1">{"TAB1",#N/A,TRUE,"GENERAL";"TAB2",#N/A,TRUE,"GENERAL";"TAB3",#N/A,TRUE,"GENERAL";"TAB4",#N/A,TRUE,"GENERAL";"TAB5",#N/A,TRUE,"GENERAL"}</definedName>
    <definedName name="SDFCE_1" hidden="1">{"TAB1",#N/A,TRUE,"GENERAL";"TAB2",#N/A,TRUE,"GENERAL";"TAB3",#N/A,TRUE,"GENERAL";"TAB4",#N/A,TRUE,"GENERAL";"TAB5",#N/A,TRUE,"GENERAL"}</definedName>
    <definedName name="sdfd" hidden="1">{"via1",#N/A,TRUE,"general";"via2",#N/A,TRUE,"general";"via3",#N/A,TRUE,"general"}</definedName>
    <definedName name="sdfd_1" hidden="1">{"via1",#N/A,TRUE,"general";"via2",#N/A,TRUE,"general";"via3",#N/A,TRUE,"general"}</definedName>
    <definedName name="sdfds" hidden="1">{"via1",#N/A,TRUE,"general";"via2",#N/A,TRUE,"general";"via3",#N/A,TRUE,"general"}</definedName>
    <definedName name="sdfds_1" hidden="1">{"via1",#N/A,TRUE,"general";"via2",#N/A,TRUE,"general";"via3",#N/A,TRUE,"general"}</definedName>
    <definedName name="SDFDSO" hidden="1">{"via1",#N/A,TRUE,"general";"via2",#N/A,TRUE,"general";"via3",#N/A,TRUE,"general"}</definedName>
    <definedName name="SDFDSO_1" hidden="1">{"via1",#N/A,TRUE,"general";"via2",#N/A,TRUE,"general";"via3",#N/A,TRUE,"general"}</definedName>
    <definedName name="sdfdstp" hidden="1">{"TAB1",#N/A,TRUE,"GENERAL";"TAB2",#N/A,TRUE,"GENERAL";"TAB3",#N/A,TRUE,"GENERAL";"TAB4",#N/A,TRUE,"GENERAL";"TAB5",#N/A,TRUE,"GENERAL"}</definedName>
    <definedName name="sdfdstp_1" hidden="1">{"TAB1",#N/A,TRUE,"GENERAL";"TAB2",#N/A,TRUE,"GENERAL";"TAB3",#N/A,TRUE,"GENERAL";"TAB4",#N/A,TRUE,"GENERAL";"TAB5",#N/A,TRUE,"GENERAL"}</definedName>
    <definedName name="SDFEO" hidden="1">{"via1",#N/A,TRUE,"general";"via2",#N/A,TRUE,"general";"via3",#N/A,TRUE,"general"}</definedName>
    <definedName name="SDFEO_1" hidden="1">{"via1",#N/A,TRUE,"general";"via2",#N/A,TRUE,"general";"via3",#N/A,TRUE,"general"}</definedName>
    <definedName name="sdfg" hidden="1">{"TAB1",#N/A,TRUE,"GENERAL";"TAB2",#N/A,TRUE,"GENERAL";"TAB3",#N/A,TRUE,"GENERAL";"TAB4",#N/A,TRUE,"GENERAL";"TAB5",#N/A,TRUE,"GENERAL"}</definedName>
    <definedName name="sdfg_1" hidden="1">{"TAB1",#N/A,TRUE,"GENERAL";"TAB2",#N/A,TRUE,"GENERAL";"TAB3",#N/A,TRUE,"GENERAL";"TAB4",#N/A,TRUE,"GENERAL";"TAB5",#N/A,TRUE,"GENERAL"}</definedName>
    <definedName name="sdfgdsfk" hidden="1">{"via1",#N/A,TRUE,"general";"via2",#N/A,TRUE,"general";"via3",#N/A,TRUE,"general"}</definedName>
    <definedName name="sdfgdsfk_1" hidden="1">{"via1",#N/A,TRUE,"general";"via2",#N/A,TRUE,"general";"via3",#N/A,TRUE,"general"}</definedName>
    <definedName name="sdfgsg" hidden="1">{"via1",#N/A,TRUE,"general";"via2",#N/A,TRUE,"general";"via3",#N/A,TRUE,"general"}</definedName>
    <definedName name="sdfgsg_1" hidden="1">{"via1",#N/A,TRUE,"general";"via2",#N/A,TRUE,"general";"via3",#N/A,TRUE,"general"}</definedName>
    <definedName name="SDFLJK" hidden="1">{"TAB1",#N/A,TRUE,"GENERAL";"TAB2",#N/A,TRUE,"GENERAL";"TAB3",#N/A,TRUE,"GENERAL";"TAB4",#N/A,TRUE,"GENERAL";"TAB5",#N/A,TRUE,"GENERAL"}</definedName>
    <definedName name="SDFLJK_1" hidden="1">{"TAB1",#N/A,TRUE,"GENERAL";"TAB2",#N/A,TRUE,"GENERAL";"TAB3",#N/A,TRUE,"GENERAL";"TAB4",#N/A,TRUE,"GENERAL";"TAB5",#N/A,TRUE,"GENERAL"}</definedName>
    <definedName name="sdfsd4" hidden="1">{"via1",#N/A,TRUE,"general";"via2",#N/A,TRUE,"general";"via3",#N/A,TRUE,"general"}</definedName>
    <definedName name="sdfsd4_1" hidden="1">{"via1",#N/A,TRUE,"general";"via2",#N/A,TRUE,"general";"via3",#N/A,TRUE,"general"}</definedName>
    <definedName name="SDFSDF" hidden="1">{"TAB1",#N/A,TRUE,"GENERAL";"TAB2",#N/A,TRUE,"GENERAL";"TAB3",#N/A,TRUE,"GENERAL";"TAB4",#N/A,TRUE,"GENERAL";"TAB5",#N/A,TRUE,"GENERAL"}</definedName>
    <definedName name="SDFSDF_1" hidden="1">{"TAB1",#N/A,TRUE,"GENERAL";"TAB2",#N/A,TRUE,"GENERAL";"TAB3",#N/A,TRUE,"GENERAL";"TAB4",#N/A,TRUE,"GENERAL";"TAB5",#N/A,TRUE,"GENERAL"}</definedName>
    <definedName name="sdfsdfb" hidden="1">{"via1",#N/A,TRUE,"general";"via2",#N/A,TRUE,"general";"via3",#N/A,TRUE,"general"}</definedName>
    <definedName name="sdfsdfb_1" hidden="1">{"via1",#N/A,TRUE,"general";"via2",#N/A,TRUE,"general";"via3",#N/A,TRUE,"general"}</definedName>
    <definedName name="SDFSF" hidden="1">{"TAB1",#N/A,TRUE,"GENERAL";"TAB2",#N/A,TRUE,"GENERAL";"TAB3",#N/A,TRUE,"GENERAL";"TAB4",#N/A,TRUE,"GENERAL";"TAB5",#N/A,TRUE,"GENERAL"}</definedName>
    <definedName name="SDFSF_1" hidden="1">{"TAB1",#N/A,TRUE,"GENERAL";"TAB2",#N/A,TRUE,"GENERAL";"TAB3",#N/A,TRUE,"GENERAL";"TAB4",#N/A,TRUE,"GENERAL";"TAB5",#N/A,TRUE,"GENERAL"}</definedName>
    <definedName name="sdfsv" hidden="1">{"TAB1",#N/A,TRUE,"GENERAL";"TAB2",#N/A,TRUE,"GENERAL";"TAB3",#N/A,TRUE,"GENERAL";"TAB4",#N/A,TRUE,"GENERAL";"TAB5",#N/A,TRUE,"GENERAL"}</definedName>
    <definedName name="sdfsv_1" hidden="1">{"TAB1",#N/A,TRUE,"GENERAL";"TAB2",#N/A,TRUE,"GENERAL";"TAB3",#N/A,TRUE,"GENERAL";"TAB4",#N/A,TRUE,"GENERAL";"TAB5",#N/A,TRUE,"GENERAL"}</definedName>
    <definedName name="sdgfd" hidden="1">{"TAB1",#N/A,TRUE,"GENERAL";"TAB2",#N/A,TRUE,"GENERAL";"TAB3",#N/A,TRUE,"GENERAL";"TAB4",#N/A,TRUE,"GENERAL";"TAB5",#N/A,TRUE,"GENERAL"}</definedName>
    <definedName name="sdgfd_1" hidden="1">{"TAB1",#N/A,TRUE,"GENERAL";"TAB2",#N/A,TRUE,"GENERAL";"TAB3",#N/A,TRUE,"GENERAL";"TAB4",#N/A,TRUE,"GENERAL";"TAB5",#N/A,TRUE,"GENERAL"}</definedName>
    <definedName name="sdgfgp" hidden="1">{"via1",#N/A,TRUE,"general";"via2",#N/A,TRUE,"general";"via3",#N/A,TRUE,"general"}</definedName>
    <definedName name="sdgfgp_1" hidden="1">{"via1",#N/A,TRUE,"general";"via2",#N/A,TRUE,"general";"via3",#N/A,TRUE,"general"}</definedName>
    <definedName name="sdgfiu" hidden="1">{"via1",#N/A,TRUE,"general";"via2",#N/A,TRUE,"general";"via3",#N/A,TRUE,"general"}</definedName>
    <definedName name="sdgfiu_1" hidden="1">{"via1",#N/A,TRUE,"general";"via2",#N/A,TRUE,"general";"via3",#N/A,TRUE,"general"}</definedName>
    <definedName name="sdgsd" hidden="1">{"TAB1",#N/A,TRUE,"GENERAL";"TAB2",#N/A,TRUE,"GENERAL";"TAB3",#N/A,TRUE,"GENERAL";"TAB4",#N/A,TRUE,"GENERAL";"TAB5",#N/A,TRUE,"GENERAL"}</definedName>
    <definedName name="sdgsd_1" hidden="1">{"TAB1",#N/A,TRUE,"GENERAL";"TAB2",#N/A,TRUE,"GENERAL";"TAB3",#N/A,TRUE,"GENERAL";"TAB4",#N/A,TRUE,"GENERAL";"TAB5",#N/A,TRUE,"GENERAL"}</definedName>
    <definedName name="sdgsg" hidden="1">{"via1",#N/A,TRUE,"general";"via2",#N/A,TRUE,"general";"via3",#N/A,TRUE,"general"}</definedName>
    <definedName name="sdgsg_1" hidden="1">{"via1",#N/A,TRUE,"general";"via2",#N/A,TRUE,"general";"via3",#N/A,TRUE,"general"}</definedName>
    <definedName name="SDIKOM" hidden="1">{"TAB1",#N/A,TRUE,"GENERAL";"TAB2",#N/A,TRUE,"GENERAL";"TAB3",#N/A,TRUE,"GENERAL";"TAB4",#N/A,TRUE,"GENERAL";"TAB5",#N/A,TRUE,"GENERAL"}</definedName>
    <definedName name="SDIKOM_1" hidden="1">{"TAB1",#N/A,TRUE,"GENERAL";"TAB2",#N/A,TRUE,"GENERAL";"TAB3",#N/A,TRUE,"GENERAL";"TAB4",#N/A,TRUE,"GENERAL";"TAB5",#N/A,TRUE,"GENERAL"}</definedName>
    <definedName name="sdsdfh" hidden="1">{"via1",#N/A,TRUE,"general";"via2",#N/A,TRUE,"general";"via3",#N/A,TRUE,"general"}</definedName>
    <definedName name="sdsdfh_1" hidden="1">{"via1",#N/A,TRUE,"general";"via2",#N/A,TRUE,"general";"via3",#N/A,TRUE,"general"}</definedName>
    <definedName name="setrj" hidden="1">{"via1",#N/A,TRUE,"general";"via2",#N/A,TRUE,"general";"via3",#N/A,TRUE,"general"}</definedName>
    <definedName name="setrj_1" hidden="1">{"via1",#N/A,TRUE,"general";"via2",#N/A,TRUE,"general";"via3",#N/A,TRUE,"general"}</definedName>
    <definedName name="sett" hidden="1">{"via1",#N/A,TRUE,"general";"via2",#N/A,TRUE,"general";"via3",#N/A,TRUE,"general"}</definedName>
    <definedName name="sett_1" hidden="1">{"via1",#N/A,TRUE,"general";"via2",#N/A,TRUE,"general";"via3",#N/A,TRUE,"general"}</definedName>
    <definedName name="sfasf" hidden="1">{"TAB1",#N/A,TRUE,"GENERAL";"TAB2",#N/A,TRUE,"GENERAL";"TAB3",#N/A,TRUE,"GENERAL";"TAB4",#N/A,TRUE,"GENERAL";"TAB5",#N/A,TRUE,"GENERAL"}</definedName>
    <definedName name="sfasf_1" hidden="1">{"TAB1",#N/A,TRUE,"GENERAL";"TAB2",#N/A,TRUE,"GENERAL";"TAB3",#N/A,TRUE,"GENERAL";"TAB4",#N/A,TRUE,"GENERAL";"TAB5",#N/A,TRUE,"GENERAL"}</definedName>
    <definedName name="SFHSGFH" hidden="1">{"TAB1",#N/A,TRUE,"GENERAL";"TAB2",#N/A,TRUE,"GENERAL";"TAB3",#N/A,TRUE,"GENERAL";"TAB4",#N/A,TRUE,"GENERAL";"TAB5",#N/A,TRUE,"GENERAL"}</definedName>
    <definedName name="SFHSGFH_1" hidden="1">{"TAB1",#N/A,TRUE,"GENERAL";"TAB2",#N/A,TRUE,"GENERAL";"TAB3",#N/A,TRUE,"GENERAL";"TAB4",#N/A,TRUE,"GENERAL";"TAB5",#N/A,TRUE,"GENERAL"}</definedName>
    <definedName name="sfsd" hidden="1">{"via1",#N/A,TRUE,"general";"via2",#N/A,TRUE,"general";"via3",#N/A,TRUE,"general"}</definedName>
    <definedName name="sfsd_1" hidden="1">{"via1",#N/A,TRUE,"general";"via2",#N/A,TRUE,"general";"via3",#N/A,TRUE,"general"}</definedName>
    <definedName name="sfsdf" hidden="1">{"TAB1",#N/A,TRUE,"GENERAL";"TAB2",#N/A,TRUE,"GENERAL";"TAB3",#N/A,TRUE,"GENERAL";"TAB4",#N/A,TRUE,"GENERAL";"TAB5",#N/A,TRUE,"GENERAL"}</definedName>
    <definedName name="sfsdf_1" hidden="1">{"TAB1",#N/A,TRUE,"GENERAL";"TAB2",#N/A,TRUE,"GENERAL";"TAB3",#N/A,TRUE,"GENERAL";"TAB4",#N/A,TRUE,"GENERAL";"TAB5",#N/A,TRUE,"GENERAL"}</definedName>
    <definedName name="sfsdferg" hidden="1">{"TAB1",#N/A,TRUE,"GENERAL";"TAB2",#N/A,TRUE,"GENERAL";"TAB3",#N/A,TRUE,"GENERAL";"TAB4",#N/A,TRUE,"GENERAL";"TAB5",#N/A,TRUE,"GENERAL"}</definedName>
    <definedName name="sfsdferg_1" hidden="1">{"TAB1",#N/A,TRUE,"GENERAL";"TAB2",#N/A,TRUE,"GENERAL";"TAB3",#N/A,TRUE,"GENERAL";"TAB4",#N/A,TRUE,"GENERAL";"TAB5",#N/A,TRUE,"GENERAL"}</definedName>
    <definedName name="sfsdfs" hidden="1">{"TAB1",#N/A,TRUE,"GENERAL";"TAB2",#N/A,TRUE,"GENERAL";"TAB3",#N/A,TRUE,"GENERAL";"TAB4",#N/A,TRUE,"GENERAL";"TAB5",#N/A,TRUE,"GENERAL"}</definedName>
    <definedName name="sfsdfs_1" hidden="1">{"TAB1",#N/A,TRUE,"GENERAL";"TAB2",#N/A,TRUE,"GENERAL";"TAB3",#N/A,TRUE,"GENERAL";"TAB4",#N/A,TRUE,"GENERAL";"TAB5",#N/A,TRUE,"GENERAL"}</definedName>
    <definedName name="SHIL">[16]PRECIOS!$A$1:$D$221</definedName>
    <definedName name="srwrwr" hidden="1">{"TAB1",#N/A,TRUE,"GENERAL";"TAB2",#N/A,TRUE,"GENERAL";"TAB3",#N/A,TRUE,"GENERAL";"TAB4",#N/A,TRUE,"GENERAL";"TAB5",#N/A,TRUE,"GENERAL"}</definedName>
    <definedName name="srwrwr_1" hidden="1">{"TAB1",#N/A,TRUE,"GENERAL";"TAB2",#N/A,TRUE,"GENERAL";"TAB3",#N/A,TRUE,"GENERAL";"TAB4",#N/A,TRUE,"GENERAL";"TAB5",#N/A,TRUE,"GENERAL"}</definedName>
    <definedName name="sssss7" hidden="1">{"via1",#N/A,TRUE,"general";"via2",#N/A,TRUE,"general";"via3",#N/A,TRUE,"general"}</definedName>
    <definedName name="sssss7_1" hidden="1">{"via1",#N/A,TRUE,"general";"via2",#N/A,TRUE,"general";"via3",#N/A,TRUE,"general"}</definedName>
    <definedName name="sssssa" hidden="1">{"TAB1",#N/A,TRUE,"GENERAL";"TAB2",#N/A,TRUE,"GENERAL";"TAB3",#N/A,TRUE,"GENERAL";"TAB4",#N/A,TRUE,"GENERAL";"TAB5",#N/A,TRUE,"GENERAL"}</definedName>
    <definedName name="sssssa_1" hidden="1">{"TAB1",#N/A,TRUE,"GENERAL";"TAB2",#N/A,TRUE,"GENERAL";"TAB3",#N/A,TRUE,"GENERAL";"TAB4",#N/A,TRUE,"GENERAL";"TAB5",#N/A,TRUE,"GENERAL"}</definedName>
    <definedName name="sssssy" hidden="1">{"via1",#N/A,TRUE,"general";"via2",#N/A,TRUE,"general";"via3",#N/A,TRUE,"general"}</definedName>
    <definedName name="sssssy_1" hidden="1">{"via1",#N/A,TRUE,"general";"via2",#N/A,TRUE,"general";"via3",#N/A,TRUE,"general"}</definedName>
    <definedName name="stt" hidden="1">{"via1",#N/A,TRUE,"general";"via2",#N/A,TRUE,"general";"via3",#N/A,TRUE,"general"}</definedName>
    <definedName name="stt_1" hidden="1">{"via1",#N/A,TRUE,"general";"via2",#N/A,TRUE,"general";"via3",#N/A,TRUE,"general"}</definedName>
    <definedName name="swsw" hidden="1">{"via1",#N/A,TRUE,"general";"via2",#N/A,TRUE,"general";"via3",#N/A,TRUE,"general"}</definedName>
    <definedName name="swsw_1" hidden="1">{"via1",#N/A,TRUE,"general";"via2",#N/A,TRUE,"general";"via3",#N/A,TRUE,"general"}</definedName>
    <definedName name="swsw3" hidden="1">{"TAB1",#N/A,TRUE,"GENERAL";"TAB2",#N/A,TRUE,"GENERAL";"TAB3",#N/A,TRUE,"GENERAL";"TAB4",#N/A,TRUE,"GENERAL";"TAB5",#N/A,TRUE,"GENERAL"}</definedName>
    <definedName name="swsw3_1" hidden="1">{"TAB1",#N/A,TRUE,"GENERAL";"TAB2",#N/A,TRUE,"GENERAL";"TAB3",#N/A,TRUE,"GENERAL";"TAB4",#N/A,TRUE,"GENERAL";"TAB5",#N/A,TRUE,"GENERAL"}</definedName>
    <definedName name="T">[21]Hoja1!$G$9</definedName>
    <definedName name="t5t5" hidden="1">{"TAB1",#N/A,TRUE,"GENERAL";"TAB2",#N/A,TRUE,"GENERAL";"TAB3",#N/A,TRUE,"GENERAL";"TAB4",#N/A,TRUE,"GENERAL";"TAB5",#N/A,TRUE,"GENERAL"}</definedName>
    <definedName name="t5t5_1" hidden="1">{"TAB1",#N/A,TRUE,"GENERAL";"TAB2",#N/A,TRUE,"GENERAL";"TAB3",#N/A,TRUE,"GENERAL";"TAB4",#N/A,TRUE,"GENERAL";"TAB5",#N/A,TRUE,"GENERAL"}</definedName>
    <definedName name="tdy" hidden="1">{"TAB1",#N/A,TRUE,"GENERAL";"TAB2",#N/A,TRUE,"GENERAL";"TAB3",#N/A,TRUE,"GENERAL";"TAB4",#N/A,TRUE,"GENERAL";"TAB5",#N/A,TRUE,"GENERAL"}</definedName>
    <definedName name="tdy_1" hidden="1">{"TAB1",#N/A,TRUE,"GENERAL";"TAB2",#N/A,TRUE,"GENERAL";"TAB3",#N/A,TRUE,"GENERAL";"TAB4",#N/A,TRUE,"GENERAL";"TAB5",#N/A,TRUE,"GENERAL"}</definedName>
    <definedName name="TEMÁTICA">'[35]A. GENERALES'!$A$116:$A$126</definedName>
    <definedName name="tewst" hidden="1">{"TAB1",#N/A,TRUE,"GENERAL";"TAB2",#N/A,TRUE,"GENERAL";"TAB3",#N/A,TRUE,"GENERAL";"TAB4",#N/A,TRUE,"GENERAL";"TAB5",#N/A,TRUE,"GENERAL"}</definedName>
    <definedName name="tewst_1" hidden="1">{"TAB1",#N/A,TRUE,"GENERAL";"TAB2",#N/A,TRUE,"GENERAL";"TAB3",#N/A,TRUE,"GENERAL";"TAB4",#N/A,TRUE,"GENERAL";"TAB5",#N/A,TRUE,"GENERAL"}</definedName>
    <definedName name="teytrh" hidden="1">{"via1",#N/A,TRUE,"general";"via2",#N/A,TRUE,"general";"via3",#N/A,TRUE,"general"}</definedName>
    <definedName name="teytrh_1" hidden="1">{"via1",#N/A,TRUE,"general";"via2",#N/A,TRUE,"general";"via3",#N/A,TRUE,"general"}</definedName>
    <definedName name="thdh" hidden="1">{"TAB1",#N/A,TRUE,"GENERAL";"TAB2",#N/A,TRUE,"GENERAL";"TAB3",#N/A,TRUE,"GENERAL";"TAB4",#N/A,TRUE,"GENERAL";"TAB5",#N/A,TRUE,"GENERAL"}</definedName>
    <definedName name="thdh_1" hidden="1">{"TAB1",#N/A,TRUE,"GENERAL";"TAB2",#N/A,TRUE,"GENERAL";"TAB3",#N/A,TRUE,"GENERAL";"TAB4",#N/A,TRUE,"GENERAL";"TAB5",#N/A,TRUE,"GENERAL"}</definedName>
    <definedName name="thtj" hidden="1">{"via1",#N/A,TRUE,"general";"via2",#N/A,TRUE,"general";"via3",#N/A,TRUE,"general"}</definedName>
    <definedName name="thtj_1" hidden="1">{"via1",#N/A,TRUE,"general";"via2",#N/A,TRUE,"general";"via3",#N/A,TRUE,"general"}</definedName>
    <definedName name="_xlnm.Print_Titles" localSheetId="14">'M.CANTID.FASE 1-ADUCCION'!$1:$3</definedName>
    <definedName name="_xlnm.Print_Titles" localSheetId="23">'M.CANTID.FASE 3-DISTRIBUCCION'!$1:$3</definedName>
    <definedName name="_xlnm.Print_Titles" localSheetId="13">'M.CANTID.GENERAL'!$1:$3</definedName>
    <definedName name="_xlnm.Print_Titles" localSheetId="6">'PRES.FASE 1-ADUCCION'!$1:$6</definedName>
    <definedName name="_xlnm.Print_Titles" localSheetId="12">'PRES.FASE 3-DISTRIBUCCION'!$1:$6</definedName>
    <definedName name="_xlnm.Print_Titles" localSheetId="5">PRES.GENERAL!$1:$6</definedName>
    <definedName name="_xlnm.Print_Titles" localSheetId="0">'PRESUP. OBRA PEÑO REDONDO'!$1:$7</definedName>
    <definedName name="_xlnm.Print_Titles" localSheetId="2">'PRESUPUESTO ELECTRICO BIBLIO'!$1:$4</definedName>
    <definedName name="TOP">[12]PRECIOS!$J$63</definedName>
    <definedName name="tortas" hidden="1">{"TAB1",#N/A,TRUE,"GENERAL";"TAB2",#N/A,TRUE,"GENERAL";"TAB3",#N/A,TRUE,"GENERAL";"TAB4",#N/A,TRUE,"GENERAL";"TAB5",#N/A,TRUE,"GENERAL"}</definedName>
    <definedName name="tortas_1" hidden="1">{"TAB1",#N/A,TRUE,"GENERAL";"TAB2",#N/A,TRUE,"GENERAL";"TAB3",#N/A,TRUE,"GENERAL";"TAB4",#N/A,TRUE,"GENERAL";"TAB5",#N/A,TRUE,"GENERAL"}</definedName>
    <definedName name="tortas2" hidden="1">{"via1",#N/A,TRUE,"general";"via2",#N/A,TRUE,"general";"via3",#N/A,TRUE,"general"}</definedName>
    <definedName name="tortas2_1" hidden="1">{"via1",#N/A,TRUE,"general";"via2",#N/A,TRUE,"general";"via3",#N/A,TRUE,"general"}</definedName>
    <definedName name="tr" hidden="1">{"TAB1",#N/A,TRUE,"GENERAL";"TAB2",#N/A,TRUE,"GENERAL";"TAB3",#N/A,TRUE,"GENERAL";"TAB4",#N/A,TRUE,"GENERAL";"TAB5",#N/A,TRUE,"GENERAL"}</definedName>
    <definedName name="tr_1" hidden="1">{"TAB1",#N/A,TRUE,"GENERAL";"TAB2",#N/A,TRUE,"GENERAL";"TAB3",#N/A,TRUE,"GENERAL";"TAB4",#N/A,TRUE,"GENERAL";"TAB5",#N/A,TRUE,"GENERAL"}</definedName>
    <definedName name="transtub">[17]MATERIALES!$A$66:$D$114</definedName>
    <definedName name="trest" hidden="1">{"TAB1",#N/A,TRUE,"GENERAL";"TAB2",#N/A,TRUE,"GENERAL";"TAB3",#N/A,TRUE,"GENERAL";"TAB4",#N/A,TRUE,"GENERAL";"TAB5",#N/A,TRUE,"GENERAL"}</definedName>
    <definedName name="trest_1" hidden="1">{"TAB1",#N/A,TRUE,"GENERAL";"TAB2",#N/A,TRUE,"GENERAL";"TAB3",#N/A,TRUE,"GENERAL";"TAB4",#N/A,TRUE,"GENERAL";"TAB5",#N/A,TRUE,"GENERAL"}</definedName>
    <definedName name="tret" hidden="1">{"TAB1",#N/A,TRUE,"GENERAL";"TAB2",#N/A,TRUE,"GENERAL";"TAB3",#N/A,TRUE,"GENERAL";"TAB4",#N/A,TRUE,"GENERAL";"TAB5",#N/A,TRUE,"GENERAL"}</definedName>
    <definedName name="tret_1" hidden="1">{"TAB1",#N/A,TRUE,"GENERAL";"TAB2",#N/A,TRUE,"GENERAL";"TAB3",#N/A,TRUE,"GENERAL";"TAB4",#N/A,TRUE,"GENERAL";"TAB5",#N/A,TRUE,"GENERAL"}</definedName>
    <definedName name="trh" hidden="1">{"via1",#N/A,TRUE,"general";"via2",#N/A,TRUE,"general";"via3",#N/A,TRUE,"general"}</definedName>
    <definedName name="trh_1" hidden="1">{"via1",#N/A,TRUE,"general";"via2",#N/A,TRUE,"general";"via3",#N/A,TRUE,"general"}</definedName>
    <definedName name="trhfh" hidden="1">{"via1",#N/A,TRUE,"general";"via2",#N/A,TRUE,"general";"via3",#N/A,TRUE,"general"}</definedName>
    <definedName name="trhfh_1" hidden="1">{"via1",#N/A,TRUE,"general";"via2",#N/A,TRUE,"general";"via3",#N/A,TRUE,"general"}</definedName>
    <definedName name="trjfgjh" hidden="1">{"via1",#N/A,TRUE,"general";"via2",#N/A,TRUE,"general";"via3",#N/A,TRUE,"general"}</definedName>
    <definedName name="trjfgjh_1" hidden="1">{"via1",#N/A,TRUE,"general";"via2",#N/A,TRUE,"general";"via3",#N/A,TRUE,"general"}</definedName>
    <definedName name="tru" hidden="1">{"via1",#N/A,TRUE,"general";"via2",#N/A,TRUE,"general";"via3",#N/A,TRUE,"general"}</definedName>
    <definedName name="tru_1" hidden="1">{"via1",#N/A,TRUE,"general";"via2",#N/A,TRUE,"general";"via3",#N/A,TRUE,"general"}</definedName>
    <definedName name="truds" hidden="1">{"via1",#N/A,TRUE,"general";"via2",#N/A,TRUE,"general";"via3",#N/A,TRUE,"general"}</definedName>
    <definedName name="truds_1" hidden="1">{"via1",#N/A,TRUE,"general";"via2",#N/A,TRUE,"general";"via3",#N/A,TRUE,"general"}</definedName>
    <definedName name="trutu" hidden="1">{"via1",#N/A,TRUE,"general";"via2",#N/A,TRUE,"general";"via3",#N/A,TRUE,"general"}</definedName>
    <definedName name="trutu_1" hidden="1">{"via1",#N/A,TRUE,"general";"via2",#N/A,TRUE,"general";"via3",#N/A,TRUE,"general"}</definedName>
    <definedName name="trydfg" hidden="1">{"via1",#N/A,TRUE,"general";"via2",#N/A,TRUE,"general";"via3",#N/A,TRUE,"general"}</definedName>
    <definedName name="trydfg_1" hidden="1">{"via1",#N/A,TRUE,"general";"via2",#N/A,TRUE,"general";"via3",#N/A,TRUE,"general"}</definedName>
    <definedName name="trydtrygf" hidden="1">{"via1",#N/A,TRUE,"general";"via2",#N/A,TRUE,"general";"via3",#N/A,TRUE,"general"}</definedName>
    <definedName name="trydtrygf_1" hidden="1">{"via1",#N/A,TRUE,"general";"via2",#N/A,TRUE,"general";"via3",#N/A,TRUE,"general"}</definedName>
    <definedName name="tryery" hidden="1">{"TAB1",#N/A,TRUE,"GENERAL";"TAB2",#N/A,TRUE,"GENERAL";"TAB3",#N/A,TRUE,"GENERAL";"TAB4",#N/A,TRUE,"GENERAL";"TAB5",#N/A,TRUE,"GENERAL"}</definedName>
    <definedName name="tryery_1" hidden="1">{"TAB1",#N/A,TRUE,"GENERAL";"TAB2",#N/A,TRUE,"GENERAL";"TAB3",#N/A,TRUE,"GENERAL";"TAB4",#N/A,TRUE,"GENERAL";"TAB5",#N/A,TRUE,"GENERAL"}</definedName>
    <definedName name="tryi6" hidden="1">{"TAB1",#N/A,TRUE,"GENERAL";"TAB2",#N/A,TRUE,"GENERAL";"TAB3",#N/A,TRUE,"GENERAL";"TAB4",#N/A,TRUE,"GENERAL";"TAB5",#N/A,TRUE,"GENERAL"}</definedName>
    <definedName name="tryi6_1" hidden="1">{"TAB1",#N/A,TRUE,"GENERAL";"TAB2",#N/A,TRUE,"GENERAL";"TAB3",#N/A,TRUE,"GENERAL";"TAB4",#N/A,TRUE,"GENERAL";"TAB5",#N/A,TRUE,"GENERAL"}</definedName>
    <definedName name="tryrth" hidden="1">{"via1",#N/A,TRUE,"general";"via2",#N/A,TRUE,"general";"via3",#N/A,TRUE,"general"}</definedName>
    <definedName name="tryrth_1" hidden="1">{"via1",#N/A,TRUE,"general";"via2",#N/A,TRUE,"general";"via3",#N/A,TRUE,"general"}</definedName>
    <definedName name="tsert" hidden="1">{"TAB1",#N/A,TRUE,"GENERAL";"TAB2",#N/A,TRUE,"GENERAL";"TAB3",#N/A,TRUE,"GENERAL";"TAB4",#N/A,TRUE,"GENERAL";"TAB5",#N/A,TRUE,"GENERAL"}</definedName>
    <definedName name="tsert_1" hidden="1">{"TAB1",#N/A,TRUE,"GENERAL";"TAB2",#N/A,TRUE,"GENERAL";"TAB3",#N/A,TRUE,"GENERAL";"TAB4",#N/A,TRUE,"GENERAL";"TAB5",#N/A,TRUE,"GENERAL"}</definedName>
    <definedName name="TTR" hidden="1">{"via1",#N/A,TRUE,"general";"via2",#N/A,TRUE,"general";"via3",#N/A,TRUE,"general"}</definedName>
    <definedName name="TTR_1" hidden="1">{"via1",#N/A,TRUE,"general";"via2",#N/A,TRUE,"general";"via3",#N/A,TRUE,"general"}</definedName>
    <definedName name="ttrff" hidden="1">{"via1",#N/A,TRUE,"general";"via2",#N/A,TRUE,"general";"via3",#N/A,TRUE,"general"}</definedName>
    <definedName name="ttrff_1" hidden="1">{"via1",#N/A,TRUE,"general";"via2",#N/A,TRUE,"general";"via3",#N/A,TRUE,"general"}</definedName>
    <definedName name="ttt" hidden="1">{"TAB1",#N/A,TRUE,"GENERAL";"TAB2",#N/A,TRUE,"GENERAL";"TAB3",#N/A,TRUE,"GENERAL";"TAB4",#N/A,TRUE,"GENERAL";"TAB5",#N/A,TRUE,"GENERAL"}</definedName>
    <definedName name="ttt_1" hidden="1">{"TAB1",#N/A,TRUE,"GENERAL";"TAB2",#N/A,TRUE,"GENERAL";"TAB3",#N/A,TRUE,"GENERAL";"TAB4",#N/A,TRUE,"GENERAL";"TAB5",#N/A,TRUE,"GENERAL"}</definedName>
    <definedName name="tttt7" hidden="1">{"via1",#N/A,TRUE,"general";"via2",#N/A,TRUE,"general";"via3",#N/A,TRUE,"general"}</definedName>
    <definedName name="tttt7_1" hidden="1">{"via1",#N/A,TRUE,"general";"via2",#N/A,TRUE,"general";"via3",#N/A,TRUE,"general"}</definedName>
    <definedName name="tttthy" hidden="1">{"TAB1",#N/A,TRUE,"GENERAL";"TAB2",#N/A,TRUE,"GENERAL";"TAB3",#N/A,TRUE,"GENERAL";"TAB4",#N/A,TRUE,"GENERAL";"TAB5",#N/A,TRUE,"GENERAL"}</definedName>
    <definedName name="tttthy_1" hidden="1">{"TAB1",#N/A,TRUE,"GENERAL";"TAB2",#N/A,TRUE,"GENERAL";"TAB3",#N/A,TRUE,"GENERAL";"TAB4",#N/A,TRUE,"GENERAL";"TAB5",#N/A,TRUE,"GENERAL"}</definedName>
    <definedName name="ttttr" hidden="1">{"via1",#N/A,TRUE,"general";"via2",#N/A,TRUE,"general";"via3",#N/A,TRUE,"general"}</definedName>
    <definedName name="ttttr_1" hidden="1">{"via1",#N/A,TRUE,"general";"via2",#N/A,TRUE,"general";"via3",#N/A,TRUE,"general"}</definedName>
    <definedName name="ttttt" hidden="1">{"TAB1",#N/A,TRUE,"GENERAL";"TAB2",#N/A,TRUE,"GENERAL";"TAB3",#N/A,TRUE,"GENERAL";"TAB4",#N/A,TRUE,"GENERAL";"TAB5",#N/A,TRUE,"GENERAL"}</definedName>
    <definedName name="ttttt_1" hidden="1">{"TAB1",#N/A,TRUE,"GENERAL";"TAB2",#N/A,TRUE,"GENERAL";"TAB3",#N/A,TRUE,"GENERAL";"TAB4",#N/A,TRUE,"GENERAL";"TAB5",#N/A,TRUE,"GENERAL"}</definedName>
    <definedName name="tu" hidden="1">{"via1",#N/A,TRUE,"general";"via2",#N/A,TRUE,"general";"via3",#N/A,TRUE,"general"}</definedName>
    <definedName name="tu_1" hidden="1">{"via1",#N/A,TRUE,"general";"via2",#N/A,TRUE,"general";"via3",#N/A,TRUE,"general"}</definedName>
    <definedName name="tur" hidden="1">{"TAB1",#N/A,TRUE,"GENERAL";"TAB2",#N/A,TRUE,"GENERAL";"TAB3",#N/A,TRUE,"GENERAL";"TAB4",#N/A,TRUE,"GENERAL";"TAB5",#N/A,TRUE,"GENERAL"}</definedName>
    <definedName name="tur_1" hidden="1">{"TAB1",#N/A,TRUE,"GENERAL";"TAB2",#N/A,TRUE,"GENERAL";"TAB3",#N/A,TRUE,"GENERAL";"TAB4",#N/A,TRUE,"GENERAL";"TAB5",#N/A,TRUE,"GENERAL"}</definedName>
    <definedName name="turu" hidden="1">{"TAB1",#N/A,TRUE,"GENERAL";"TAB2",#N/A,TRUE,"GENERAL";"TAB3",#N/A,TRUE,"GENERAL";"TAB4",#N/A,TRUE,"GENERAL";"TAB5",#N/A,TRUE,"GENERAL"}</definedName>
    <definedName name="turu_1" hidden="1">{"TAB1",#N/A,TRUE,"GENERAL";"TAB2",#N/A,TRUE,"GENERAL";"TAB3",#N/A,TRUE,"GENERAL";"TAB4",#N/A,TRUE,"GENERAL";"TAB5",#N/A,TRUE,"GENERAL"}</definedName>
    <definedName name="twer" hidden="1">{"TAB1",#N/A,TRUE,"GENERAL";"TAB2",#N/A,TRUE,"GENERAL";"TAB3",#N/A,TRUE,"GENERAL";"TAB4",#N/A,TRUE,"GENERAL";"TAB5",#N/A,TRUE,"GENERAL"}</definedName>
    <definedName name="twer_1" hidden="1">{"TAB1",#N/A,TRUE,"GENERAL";"TAB2",#N/A,TRUE,"GENERAL";"TAB3",#N/A,TRUE,"GENERAL";"TAB4",#N/A,TRUE,"GENERAL";"TAB5",#N/A,TRUE,"GENERAL"}</definedName>
    <definedName name="twet" hidden="1">{"TAB1",#N/A,TRUE,"GENERAL";"TAB2",#N/A,TRUE,"GENERAL";"TAB3",#N/A,TRUE,"GENERAL";"TAB4",#N/A,TRUE,"GENERAL";"TAB5",#N/A,TRUE,"GENERAL"}</definedName>
    <definedName name="twet_1" hidden="1">{"TAB1",#N/A,TRUE,"GENERAL";"TAB2",#N/A,TRUE,"GENERAL";"TAB3",#N/A,TRUE,"GENERAL";"TAB4",#N/A,TRUE,"GENERAL";"TAB5",#N/A,TRUE,"GENERAL"}</definedName>
    <definedName name="ty" hidden="1">{"via1",#N/A,TRUE,"general";"via2",#N/A,TRUE,"general";"via3",#N/A,TRUE,"general"}</definedName>
    <definedName name="ty_1" hidden="1">{"via1",#N/A,TRUE,"general";"via2",#N/A,TRUE,"general";"via3",#N/A,TRUE,"general"}</definedName>
    <definedName name="tyery" hidden="1">{"via1",#N/A,TRUE,"general";"via2",#N/A,TRUE,"general";"via3",#N/A,TRUE,"general"}</definedName>
    <definedName name="tyery_1" hidden="1">{"via1",#N/A,TRUE,"general";"via2",#N/A,TRUE,"general";"via3",#N/A,TRUE,"general"}</definedName>
    <definedName name="tyj" hidden="1">{"TAB1",#N/A,TRUE,"GENERAL";"TAB2",#N/A,TRUE,"GENERAL";"TAB3",#N/A,TRUE,"GENERAL";"TAB4",#N/A,TRUE,"GENERAL";"TAB5",#N/A,TRUE,"GENERAL"}</definedName>
    <definedName name="tyj_1" hidden="1">{"TAB1",#N/A,TRUE,"GENERAL";"TAB2",#N/A,TRUE,"GENERAL";"TAB3",#N/A,TRUE,"GENERAL";"TAB4",#N/A,TRUE,"GENERAL";"TAB5",#N/A,TRUE,"GENERAL"}</definedName>
    <definedName name="tyjtyj" hidden="1">{"TAB1",#N/A,TRUE,"GENERAL";"TAB2",#N/A,TRUE,"GENERAL";"TAB3",#N/A,TRUE,"GENERAL";"TAB4",#N/A,TRUE,"GENERAL";"TAB5",#N/A,TRUE,"GENERAL"}</definedName>
    <definedName name="tyjtyj_1" hidden="1">{"TAB1",#N/A,TRUE,"GENERAL";"TAB2",#N/A,TRUE,"GENERAL";"TAB3",#N/A,TRUE,"GENERAL";"TAB4",#N/A,TRUE,"GENERAL";"TAB5",#N/A,TRUE,"GENERAL"}</definedName>
    <definedName name="tyjytjuyjuy" hidden="1">{"TAB1",#N/A,TRUE,"GENERAL";"TAB2",#N/A,TRUE,"GENERAL";"TAB3",#N/A,TRUE,"GENERAL";"TAB4",#N/A,TRUE,"GENERAL";"TAB5",#N/A,TRUE,"GENERAL"}</definedName>
    <definedName name="tyjytjuyjuy_1" hidden="1">{"TAB1",#N/A,TRUE,"GENERAL";"TAB2",#N/A,TRUE,"GENERAL";"TAB3",#N/A,TRUE,"GENERAL";"TAB4",#N/A,TRUE,"GENERAL";"TAB5",#N/A,TRUE,"GENERAL"}</definedName>
    <definedName name="tyk" hidden="1">{"via1",#N/A,TRUE,"general";"via2",#N/A,TRUE,"general";"via3",#N/A,TRUE,"general"}</definedName>
    <definedName name="tyk_1" hidden="1">{"via1",#N/A,TRUE,"general";"via2",#N/A,TRUE,"general";"via3",#N/A,TRUE,"general"}</definedName>
    <definedName name="tym" hidden="1">{"via1",#N/A,TRUE,"general";"via2",#N/A,TRUE,"general";"via3",#N/A,TRUE,"general"}</definedName>
    <definedName name="tym_1" hidden="1">{"via1",#N/A,TRUE,"general";"via2",#N/A,TRUE,"general";"via3",#N/A,TRUE,"general"}</definedName>
    <definedName name="tyr" hidden="1">{"via1",#N/A,TRUE,"general";"via2",#N/A,TRUE,"general";"via3",#N/A,TRUE,"general"}</definedName>
    <definedName name="tyr_1" hidden="1">{"via1",#N/A,TRUE,"general";"via2",#N/A,TRUE,"general";"via3",#N/A,TRUE,"general"}</definedName>
    <definedName name="tytgfhgfh" hidden="1">{"TAB1",#N/A,TRUE,"GENERAL";"TAB2",#N/A,TRUE,"GENERAL";"TAB3",#N/A,TRUE,"GENERAL";"TAB4",#N/A,TRUE,"GENERAL";"TAB5",#N/A,TRUE,"GENERAL"}</definedName>
    <definedName name="tytgfhgfh_1" hidden="1">{"TAB1",#N/A,TRUE,"GENERAL";"TAB2",#N/A,TRUE,"GENERAL";"TAB3",#N/A,TRUE,"GENERAL";"TAB4",#N/A,TRUE,"GENERAL";"TAB5",#N/A,TRUE,"GENERAL"}</definedName>
    <definedName name="tyty" hidden="1">{"TAB1",#N/A,TRUE,"GENERAL";"TAB2",#N/A,TRUE,"GENERAL";"TAB3",#N/A,TRUE,"GENERAL";"TAB4",#N/A,TRUE,"GENERAL";"TAB5",#N/A,TRUE,"GENERAL"}</definedName>
    <definedName name="tyty_1" hidden="1">{"TAB1",#N/A,TRUE,"GENERAL";"TAB2",#N/A,TRUE,"GENERAL";"TAB3",#N/A,TRUE,"GENERAL";"TAB4",#N/A,TRUE,"GENERAL";"TAB5",#N/A,TRUE,"GENERAL"}</definedName>
    <definedName name="TYUIYI" hidden="1">{"TAB1",#N/A,TRUE,"GENERAL";"TAB2",#N/A,TRUE,"GENERAL";"TAB3",#N/A,TRUE,"GENERAL";"TAB4",#N/A,TRUE,"GENERAL";"TAB5",#N/A,TRUE,"GENERAL"}</definedName>
    <definedName name="TYUIYI_1" hidden="1">{"TAB1",#N/A,TRUE,"GENERAL";"TAB2",#N/A,TRUE,"GENERAL";"TAB3",#N/A,TRUE,"GENERAL";"TAB4",#N/A,TRUE,"GENERAL";"TAB5",#N/A,TRUE,"GENERAL"}</definedName>
    <definedName name="tyujh" hidden="1">{"TAB1",#N/A,TRUE,"GENERAL";"TAB2",#N/A,TRUE,"GENERAL";"TAB3",#N/A,TRUE,"GENERAL";"TAB4",#N/A,TRUE,"GENERAL";"TAB5",#N/A,TRUE,"GENERAL"}</definedName>
    <definedName name="tyujh_1" hidden="1">{"TAB1",#N/A,TRUE,"GENERAL";"TAB2",#N/A,TRUE,"GENERAL";"TAB3",#N/A,TRUE,"GENERAL";"TAB4",#N/A,TRUE,"GENERAL";"TAB5",#N/A,TRUE,"GENERAL"}</definedName>
    <definedName name="TYUK">[29]PRECIOS!$F$5</definedName>
    <definedName name="tyuty" hidden="1">{"TAB1",#N/A,TRUE,"GENERAL";"TAB2",#N/A,TRUE,"GENERAL";"TAB3",#N/A,TRUE,"GENERAL";"TAB4",#N/A,TRUE,"GENERAL";"TAB5",#N/A,TRUE,"GENERAL"}</definedName>
    <definedName name="tyuty_1" hidden="1">{"TAB1",#N/A,TRUE,"GENERAL";"TAB2",#N/A,TRUE,"GENERAL";"TAB3",#N/A,TRUE,"GENERAL";"TAB4",#N/A,TRUE,"GENERAL";"TAB5",#N/A,TRUE,"GENERAL"}</definedName>
    <definedName name="tyutyu" hidden="1">{"via1",#N/A,TRUE,"general";"via2",#N/A,TRUE,"general";"via3",#N/A,TRUE,"general"}</definedName>
    <definedName name="tyutyu_1" hidden="1">{"via1",#N/A,TRUE,"general";"via2",#N/A,TRUE,"general";"via3",#N/A,TRUE,"general"}</definedName>
    <definedName name="tyxg" hidden="1">{"via1",#N/A,TRUE,"general";"via2",#N/A,TRUE,"general";"via3",#N/A,TRUE,"general"}</definedName>
    <definedName name="tyxg_1" hidden="1">{"via1",#N/A,TRUE,"general";"via2",#N/A,TRUE,"general";"via3",#N/A,TRUE,"general"}</definedName>
    <definedName name="U">[21]Hoja1!$G$3</definedName>
    <definedName name="u3u" hidden="1">{"TAB1",#N/A,TRUE,"GENERAL";"TAB2",#N/A,TRUE,"GENERAL";"TAB3",#N/A,TRUE,"GENERAL";"TAB4",#N/A,TRUE,"GENERAL";"TAB5",#N/A,TRUE,"GENERAL"}</definedName>
    <definedName name="u3u_1" hidden="1">{"TAB1",#N/A,TRUE,"GENERAL";"TAB2",#N/A,TRUE,"GENERAL";"TAB3",#N/A,TRUE,"GENERAL";"TAB4",#N/A,TRUE,"GENERAL";"TAB5",#N/A,TRUE,"GENERAL"}</definedName>
    <definedName name="u7u7" hidden="1">{"TAB1",#N/A,TRUE,"GENERAL";"TAB2",#N/A,TRUE,"GENERAL";"TAB3",#N/A,TRUE,"GENERAL";"TAB4",#N/A,TRUE,"GENERAL";"TAB5",#N/A,TRUE,"GENERAL"}</definedName>
    <definedName name="u7u7_1" hidden="1">{"TAB1",#N/A,TRUE,"GENERAL";"TAB2",#N/A,TRUE,"GENERAL";"TAB3",#N/A,TRUE,"GENERAL";"TAB4",#N/A,TRUE,"GENERAL";"TAB5",#N/A,TRUE,"GENERAL"}</definedName>
    <definedName name="UI" hidden="1">{"via1",#N/A,TRUE,"general";"via2",#N/A,TRUE,"general";"via3",#N/A,TRUE,"general"}</definedName>
    <definedName name="UI_1" hidden="1">{"via1",#N/A,TRUE,"general";"via2",#N/A,TRUE,"general";"via3",#N/A,TRUE,"general"}</definedName>
    <definedName name="UII">[29]PRECIOS!$F$5</definedName>
    <definedName name="uijhj" hidden="1">{"via1",#N/A,TRUE,"general";"via2",#N/A,TRUE,"general";"via3",#N/A,TRUE,"general"}</definedName>
    <definedName name="uijhj_1" hidden="1">{"via1",#N/A,TRUE,"general";"via2",#N/A,TRUE,"general";"via3",#N/A,TRUE,"general"}</definedName>
    <definedName name="uio" hidden="1">{"TAB1",#N/A,TRUE,"GENERAL";"TAB2",#N/A,TRUE,"GENERAL";"TAB3",#N/A,TRUE,"GENERAL";"TAB4",#N/A,TRUE,"GENERAL";"TAB5",#N/A,TRUE,"GENERAL"}</definedName>
    <definedName name="uio_1" hidden="1">{"TAB1",#N/A,TRUE,"GENERAL";"TAB2",#N/A,TRUE,"GENERAL";"TAB3",#N/A,TRUE,"GENERAL";"TAB4",#N/A,TRUE,"GENERAL";"TAB5",#N/A,TRUE,"GENERAL"}</definedName>
    <definedName name="uiou" hidden="1">{"TAB1",#N/A,TRUE,"GENERAL";"TAB2",#N/A,TRUE,"GENERAL";"TAB3",#N/A,TRUE,"GENERAL";"TAB4",#N/A,TRUE,"GENERAL";"TAB5",#N/A,TRUE,"GENERAL"}</definedName>
    <definedName name="uiou_1" hidden="1">{"TAB1",#N/A,TRUE,"GENERAL";"TAB2",#N/A,TRUE,"GENERAL";"TAB3",#N/A,TRUE,"GENERAL";"TAB4",#N/A,TRUE,"GENERAL";"TAB5",#N/A,TRUE,"GENERAL"}</definedName>
    <definedName name="uir" hidden="1">{"via1",#N/A,TRUE,"general";"via2",#N/A,TRUE,"general";"via3",#N/A,TRUE,"general"}</definedName>
    <definedName name="uir_1" hidden="1">{"via1",#N/A,TRUE,"general";"via2",#N/A,TRUE,"general";"via3",#N/A,TRUE,"general"}</definedName>
    <definedName name="uituii" hidden="1">{"TAB1",#N/A,TRUE,"GENERAL";"TAB2",#N/A,TRUE,"GENERAL";"TAB3",#N/A,TRUE,"GENERAL";"TAB4",#N/A,TRUE,"GENERAL";"TAB5",#N/A,TRUE,"GENERAL"}</definedName>
    <definedName name="uituii_1" hidden="1">{"TAB1",#N/A,TRUE,"GENERAL";"TAB2",#N/A,TRUE,"GENERAL";"TAB3",#N/A,TRUE,"GENERAL";"TAB4",#N/A,TRUE,"GENERAL";"TAB5",#N/A,TRUE,"GENERAL"}</definedName>
    <definedName name="uityjj" hidden="1">{"via1",#N/A,TRUE,"general";"via2",#N/A,TRUE,"general";"via3",#N/A,TRUE,"general"}</definedName>
    <definedName name="uityjj_1" hidden="1">{"via1",#N/A,TRUE,"general";"via2",#N/A,TRUE,"general";"via3",#N/A,TRUE,"general"}</definedName>
    <definedName name="UIU">[26]MATERIALES!$A$66:$D$114</definedName>
    <definedName name="uiufgj" hidden="1">{"TAB1",#N/A,TRUE,"GENERAL";"TAB2",#N/A,TRUE,"GENERAL";"TAB3",#N/A,TRUE,"GENERAL";"TAB4",#N/A,TRUE,"GENERAL";"TAB5",#N/A,TRUE,"GENERAL"}</definedName>
    <definedName name="uiufgj_1" hidden="1">{"TAB1",#N/A,TRUE,"GENERAL";"TAB2",#N/A,TRUE,"GENERAL";"TAB3",#N/A,TRUE,"GENERAL";"TAB4",#N/A,TRUE,"GENERAL";"TAB5",#N/A,TRUE,"GENERAL"}</definedName>
    <definedName name="UIUYI" hidden="1">{"TAB1",#N/A,TRUE,"GENERAL";"TAB2",#N/A,TRUE,"GENERAL";"TAB3",#N/A,TRUE,"GENERAL";"TAB4",#N/A,TRUE,"GENERAL";"TAB5",#N/A,TRUE,"GENERAL"}</definedName>
    <definedName name="UIUYI_1" hidden="1">{"TAB1",#N/A,TRUE,"GENERAL";"TAB2",#N/A,TRUE,"GENERAL";"TAB3",#N/A,TRUE,"GENERAL";"TAB4",#N/A,TRUE,"GENERAL";"TAB5",#N/A,TRUE,"GENERAL"}</definedName>
    <definedName name="UNDS">[24]UNDS!$A:$B</definedName>
    <definedName name="Unidades">[36]Presup_Cancha!$J$13:$J$17</definedName>
    <definedName name="UOUIV" hidden="1">{"TAB1",#N/A,TRUE,"GENERAL";"TAB2",#N/A,TRUE,"GENERAL";"TAB3",#N/A,TRUE,"GENERAL";"TAB4",#N/A,TRUE,"GENERAL";"TAB5",#N/A,TRUE,"GENERAL"}</definedName>
    <definedName name="UOUIV_1" hidden="1">{"TAB1",#N/A,TRUE,"GENERAL";"TAB2",#N/A,TRUE,"GENERAL";"TAB3",#N/A,TRUE,"GENERAL";"TAB4",#N/A,TRUE,"GENERAL";"TAB5",#N/A,TRUE,"GENERAL"}</definedName>
    <definedName name="uryur" hidden="1">{"TAB1",#N/A,TRUE,"GENERAL";"TAB2",#N/A,TRUE,"GENERAL";"TAB3",#N/A,TRUE,"GENERAL";"TAB4",#N/A,TRUE,"GENERAL";"TAB5",#N/A,TRUE,"GENERAL"}</definedName>
    <definedName name="uryur_1" hidden="1">{"TAB1",#N/A,TRUE,"GENERAL";"TAB2",#N/A,TRUE,"GENERAL";"TAB3",#N/A,TRUE,"GENERAL";"TAB4",#N/A,TRUE,"GENERAL";"TAB5",#N/A,TRUE,"GENERAL"}</definedName>
    <definedName name="ut">[17]MATERIALES!$H$6</definedName>
    <definedName name="UTILIOY">[26]MATERIALES!$H$5</definedName>
    <definedName name="uu" hidden="1">{"TAB1",#N/A,TRUE,"GENERAL";"TAB2",#N/A,TRUE,"GENERAL";"TAB3",#N/A,TRUE,"GENERAL";"TAB4",#N/A,TRUE,"GENERAL";"TAB5",#N/A,TRUE,"GENERAL"}</definedName>
    <definedName name="uu_1" hidden="1">{"TAB1",#N/A,TRUE,"GENERAL";"TAB2",#N/A,TRUE,"GENERAL";"TAB3",#N/A,TRUE,"GENERAL";"TAB4",#N/A,TRUE,"GENERAL";"TAB5",#N/A,TRUE,"GENERAL"}</definedName>
    <definedName name="uuu" hidden="1">{"TAB1",#N/A,TRUE,"GENERAL";"TAB2",#N/A,TRUE,"GENERAL";"TAB3",#N/A,TRUE,"GENERAL";"TAB4",#N/A,TRUE,"GENERAL";"TAB5",#N/A,TRUE,"GENERAL"}</definedName>
    <definedName name="uuu_1" hidden="1">{"TAB1",#N/A,TRUE,"GENERAL";"TAB2",#N/A,TRUE,"GENERAL";"TAB3",#N/A,TRUE,"GENERAL";"TAB4",#N/A,TRUE,"GENERAL";"TAB5",#N/A,TRUE,"GENERAL"}</definedName>
    <definedName name="uuuuo" hidden="1">{"TAB1",#N/A,TRUE,"GENERAL";"TAB2",#N/A,TRUE,"GENERAL";"TAB3",#N/A,TRUE,"GENERAL";"TAB4",#N/A,TRUE,"GENERAL";"TAB5",#N/A,TRUE,"GENERAL"}</definedName>
    <definedName name="uuuuo_1" hidden="1">{"TAB1",#N/A,TRUE,"GENERAL";"TAB2",#N/A,TRUE,"GENERAL";"TAB3",#N/A,TRUE,"GENERAL";"TAB4",#N/A,TRUE,"GENERAL";"TAB5",#N/A,TRUE,"GENERAL"}</definedName>
    <definedName name="uuuuuj" hidden="1">{"via1",#N/A,TRUE,"general";"via2",#N/A,TRUE,"general";"via3",#N/A,TRUE,"general"}</definedName>
    <definedName name="uuuuuj_1" hidden="1">{"via1",#N/A,TRUE,"general";"via2",#N/A,TRUE,"general";"via3",#N/A,TRUE,"general"}</definedName>
    <definedName name="uwkap" hidden="1">{"TAB1",#N/A,TRUE,"GENERAL";"TAB2",#N/A,TRUE,"GENERAL";"TAB3",#N/A,TRUE,"GENERAL";"TAB4",#N/A,TRUE,"GENERAL";"TAB5",#N/A,TRUE,"GENERAL"}</definedName>
    <definedName name="uwkap_1" hidden="1">{"TAB1",#N/A,TRUE,"GENERAL";"TAB2",#N/A,TRUE,"GENERAL";"TAB3",#N/A,TRUE,"GENERAL";"TAB4",#N/A,TRUE,"GENERAL";"TAB5",#N/A,TRUE,"GENERAL"}</definedName>
    <definedName name="uyiyiy" hidden="1">{"TAB1",#N/A,TRUE,"GENERAL";"TAB2",#N/A,TRUE,"GENERAL";"TAB3",#N/A,TRUE,"GENERAL";"TAB4",#N/A,TRUE,"GENERAL";"TAB5",#N/A,TRUE,"GENERAL"}</definedName>
    <definedName name="uyiyiy_1" hidden="1">{"TAB1",#N/A,TRUE,"GENERAL";"TAB2",#N/A,TRUE,"GENERAL";"TAB3",#N/A,TRUE,"GENERAL";"TAB4",#N/A,TRUE,"GENERAL";"TAB5",#N/A,TRUE,"GENERAL"}</definedName>
    <definedName name="UYJ">[16]PRECIOS!$F$6</definedName>
    <definedName name="uytu" hidden="1">{"TAB1",#N/A,TRUE,"GENERAL";"TAB2",#N/A,TRUE,"GENERAL";"TAB3",#N/A,TRUE,"GENERAL";"TAB4",#N/A,TRUE,"GENERAL";"TAB5",#N/A,TRUE,"GENERAL"}</definedName>
    <definedName name="uytu_1" hidden="1">{"TAB1",#N/A,TRUE,"GENERAL";"TAB2",#N/A,TRUE,"GENERAL";"TAB3",#N/A,TRUE,"GENERAL";"TAB4",#N/A,TRUE,"GENERAL";"TAB5",#N/A,TRUE,"GENERAL"}</definedName>
    <definedName name="uyur" hidden="1">{"via1",#N/A,TRUE,"general";"via2",#N/A,TRUE,"general";"via3",#N/A,TRUE,"general"}</definedName>
    <definedName name="uyur_1" hidden="1">{"via1",#N/A,TRUE,"general";"via2",#N/A,TRUE,"general";"via3",#N/A,TRUE,"general"}</definedName>
    <definedName name="v" hidden="1">{"TAB1",#N/A,TRUE,"GENERAL";"TAB2",#N/A,TRUE,"GENERAL";"TAB3",#N/A,TRUE,"GENERAL";"TAB4",#N/A,TRUE,"GENERAL";"TAB5",#N/A,TRUE,"GENERAL"}</definedName>
    <definedName name="v_1" hidden="1">{"TAB1",#N/A,TRUE,"GENERAL";"TAB2",#N/A,TRUE,"GENERAL";"TAB3",#N/A,TRUE,"GENERAL";"TAB4",#N/A,TRUE,"GENERAL";"TAB5",#N/A,TRUE,"GENERAL"}</definedName>
    <definedName name="vbvbvbvb" hidden="1">{"TAB1",#N/A,TRUE,"GENERAL";"TAB2",#N/A,TRUE,"GENERAL";"TAB3",#N/A,TRUE,"GENERAL";"TAB4",#N/A,TRUE,"GENERAL";"TAB5",#N/A,TRUE,"GENERAL"}</definedName>
    <definedName name="vbvbvbvb_1" hidden="1">{"TAB1",#N/A,TRUE,"GENERAL";"TAB2",#N/A,TRUE,"GENERAL";"TAB3",#N/A,TRUE,"GENERAL";"TAB4",#N/A,TRUE,"GENERAL";"TAB5",#N/A,TRUE,"GENERAL"}</definedName>
    <definedName name="vdfvuio" hidden="1">{"via1",#N/A,TRUE,"general";"via2",#N/A,TRUE,"general";"via3",#N/A,TRUE,"general"}</definedName>
    <definedName name="vdfvuio_1" hidden="1">{"via1",#N/A,TRUE,"general";"via2",#N/A,TRUE,"general";"via3",#N/A,TRUE,"general"}</definedName>
    <definedName name="vdsvnj" hidden="1">{"via1",#N/A,TRUE,"general";"via2",#N/A,TRUE,"general";"via3",#N/A,TRUE,"general"}</definedName>
    <definedName name="vdsvnj_1" hidden="1">{"via1",#N/A,TRUE,"general";"via2",#N/A,TRUE,"general";"via3",#N/A,TRUE,"general"}</definedName>
    <definedName name="vfbgnhyt" hidden="1">{"via1",#N/A,TRUE,"general";"via2",#N/A,TRUE,"general";"via3",#N/A,TRUE,"general"}</definedName>
    <definedName name="vfbgnhyt_1" hidden="1">{"via1",#N/A,TRUE,"general";"via2",#N/A,TRUE,"general";"via3",#N/A,TRUE,"general"}</definedName>
    <definedName name="vfvdv" hidden="1">{"TAB1",#N/A,TRUE,"GENERAL";"TAB2",#N/A,TRUE,"GENERAL";"TAB3",#N/A,TRUE,"GENERAL";"TAB4",#N/A,TRUE,"GENERAL";"TAB5",#N/A,TRUE,"GENERAL"}</definedName>
    <definedName name="vfvdv_1" hidden="1">{"TAB1",#N/A,TRUE,"GENERAL";"TAB2",#N/A,TRUE,"GENERAL";"TAB3",#N/A,TRUE,"GENERAL";"TAB4",#N/A,TRUE,"GENERAL";"TAB5",#N/A,TRUE,"GENERAL"}</definedName>
    <definedName name="vfvf" hidden="1">{"TAB1",#N/A,TRUE,"GENERAL";"TAB2",#N/A,TRUE,"GENERAL";"TAB3",#N/A,TRUE,"GENERAL";"TAB4",#N/A,TRUE,"GENERAL";"TAB5",#N/A,TRUE,"GENERAL"}</definedName>
    <definedName name="vfvf_1" hidden="1">{"TAB1",#N/A,TRUE,"GENERAL";"TAB2",#N/A,TRUE,"GENERAL";"TAB3",#N/A,TRUE,"GENERAL";"TAB4",#N/A,TRUE,"GENERAL";"TAB5",#N/A,TRUE,"GENERAL"}</definedName>
    <definedName name="vk" hidden="1">{"via1",#N/A,TRUE,"general";"via2",#N/A,TRUE,"general";"via3",#N/A,TRUE,"general"}</definedName>
    <definedName name="vk_1" hidden="1">{"via1",#N/A,TRUE,"general";"via2",#N/A,TRUE,"general";"via3",#N/A,TRUE,"general"}</definedName>
    <definedName name="vnbvxb" hidden="1">{"via1",#N/A,TRUE,"general";"via2",#N/A,TRUE,"general";"via3",#N/A,TRUE,"general"}</definedName>
    <definedName name="vnbvxb_1" hidden="1">{"via1",#N/A,TRUE,"general";"via2",#N/A,TRUE,"general";"via3",#N/A,TRUE,"general"}</definedName>
    <definedName name="VNVBN" hidden="1">{"TAB1",#N/A,TRUE,"GENERAL";"TAB2",#N/A,TRUE,"GENERAL";"TAB3",#N/A,TRUE,"GENERAL";"TAB4",#N/A,TRUE,"GENERAL";"TAB5",#N/A,TRUE,"GENERAL"}</definedName>
    <definedName name="VNVBN_1" hidden="1">{"TAB1",#N/A,TRUE,"GENERAL";"TAB2",#N/A,TRUE,"GENERAL";"TAB3",#N/A,TRUE,"GENERAL";"TAB4",#N/A,TRUE,"GENERAL";"TAB5",#N/A,TRUE,"GENERAL"}</definedName>
    <definedName name="vsdfj" hidden="1">{"via1",#N/A,TRUE,"general";"via2",#N/A,TRUE,"general";"via3",#N/A,TRUE,"general"}</definedName>
    <definedName name="vsdfj_1" hidden="1">{"via1",#N/A,TRUE,"general";"via2",#N/A,TRUE,"general";"via3",#N/A,TRUE,"general"}</definedName>
    <definedName name="vt" hidden="1">{"via1",#N/A,TRUE,"general";"via2",#N/A,TRUE,"general";"via3",#N/A,TRUE,"general"}</definedName>
    <definedName name="vt_1" hidden="1">{"via1",#N/A,TRUE,"general";"via2",#N/A,TRUE,"general";"via3",#N/A,TRUE,"general"}</definedName>
    <definedName name="vvcxv" hidden="1">{"TAB1",#N/A,TRUE,"GENERAL";"TAB2",#N/A,TRUE,"GENERAL";"TAB3",#N/A,TRUE,"GENERAL";"TAB4",#N/A,TRUE,"GENERAL";"TAB5",#N/A,TRUE,"GENERAL"}</definedName>
    <definedName name="vvcxv_1" hidden="1">{"TAB1",#N/A,TRUE,"GENERAL";"TAB2",#N/A,TRUE,"GENERAL";"TAB3",#N/A,TRUE,"GENERAL";"TAB4",#N/A,TRUE,"GENERAL";"TAB5",#N/A,TRUE,"GENERAL"}</definedName>
    <definedName name="vvvvt" hidden="1">{"via1",#N/A,TRUE,"general";"via2",#N/A,TRUE,"general";"via3",#N/A,TRUE,"general"}</definedName>
    <definedName name="vvvvt_1" hidden="1">{"via1",#N/A,TRUE,"general";"via2",#N/A,TRUE,"general";"via3",#N/A,TRUE,"general"}</definedName>
    <definedName name="vvvvvvf" hidden="1">{"via1",#N/A,TRUE,"general";"via2",#N/A,TRUE,"general";"via3",#N/A,TRUE,"general"}</definedName>
    <definedName name="vvvvvvf_1" hidden="1">{"via1",#N/A,TRUE,"general";"via2",#N/A,TRUE,"general";"via3",#N/A,TRUE,"general"}</definedName>
    <definedName name="vy" hidden="1">{"TAB1",#N/A,TRUE,"GENERAL";"TAB2",#N/A,TRUE,"GENERAL";"TAB3",#N/A,TRUE,"GENERAL";"TAB4",#N/A,TRUE,"GENERAL";"TAB5",#N/A,TRUE,"GENERAL"}</definedName>
    <definedName name="vy_1" hidden="1">{"TAB1",#N/A,TRUE,"GENERAL";"TAB2",#N/A,TRUE,"GENERAL";"TAB3",#N/A,TRUE,"GENERAL";"TAB4",#N/A,TRUE,"GENERAL";"TAB5",#N/A,TRUE,"GENERAL"}</definedName>
    <definedName name="w2w2w" hidden="1">{"via1",#N/A,TRUE,"general";"via2",#N/A,TRUE,"general";"via3",#N/A,TRUE,"general"}</definedName>
    <definedName name="w2w2w_1" hidden="1">{"via1",#N/A,TRUE,"general";"via2",#N/A,TRUE,"general";"via3",#N/A,TRUE,"general"}</definedName>
    <definedName name="werew" hidden="1">{"TAB1",#N/A,TRUE,"GENERAL";"TAB2",#N/A,TRUE,"GENERAL";"TAB3",#N/A,TRUE,"GENERAL";"TAB4",#N/A,TRUE,"GENERAL";"TAB5",#N/A,TRUE,"GENERAL"}</definedName>
    <definedName name="werew_1" hidden="1">{"TAB1",#N/A,TRUE,"GENERAL";"TAB2",#N/A,TRUE,"GENERAL";"TAB3",#N/A,TRUE,"GENERAL";"TAB4",#N/A,TRUE,"GENERAL";"TAB5",#N/A,TRUE,"GENERAL"}</definedName>
    <definedName name="WEREWR" hidden="1">{"via1",#N/A,TRUE,"general";"via2",#N/A,TRUE,"general";"via3",#N/A,TRUE,"general"}</definedName>
    <definedName name="WEREWR_1" hidden="1">{"via1",#N/A,TRUE,"general";"via2",#N/A,TRUE,"general";"via3",#N/A,TRUE,"general"}</definedName>
    <definedName name="werfdsf" hidden="1">{"TAB1",#N/A,TRUE,"GENERAL";"TAB2",#N/A,TRUE,"GENERAL";"TAB3",#N/A,TRUE,"GENERAL";"TAB4",#N/A,TRUE,"GENERAL";"TAB5",#N/A,TRUE,"GENERAL"}</definedName>
    <definedName name="werfdsf_1" hidden="1">{"TAB1",#N/A,TRUE,"GENERAL";"TAB2",#N/A,TRUE,"GENERAL";"TAB3",#N/A,TRUE,"GENERAL";"TAB4",#N/A,TRUE,"GENERAL";"TAB5",#N/A,TRUE,"GENERAL"}</definedName>
    <definedName name="werh" hidden="1">{"via1",#N/A,TRUE,"general";"via2",#N/A,TRUE,"general";"via3",#N/A,TRUE,"general"}</definedName>
    <definedName name="werh_1" hidden="1">{"via1",#N/A,TRUE,"general";"via2",#N/A,TRUE,"general";"via3",#N/A,TRUE,"general"}</definedName>
    <definedName name="wersfdfrguyo" hidden="1">{"via1",#N/A,TRUE,"general";"via2",#N/A,TRUE,"general";"via3",#N/A,TRUE,"general"}</definedName>
    <definedName name="wersfdfrguyo_1" hidden="1">{"via1",#N/A,TRUE,"general";"via2",#N/A,TRUE,"general";"via3",#N/A,TRUE,"general"}</definedName>
    <definedName name="werwr" hidden="1">{"via1",#N/A,TRUE,"general";"via2",#N/A,TRUE,"general";"via3",#N/A,TRUE,"general"}</definedName>
    <definedName name="werwr_1" hidden="1">{"via1",#N/A,TRUE,"general";"via2",#N/A,TRUE,"general";"via3",#N/A,TRUE,"general"}</definedName>
    <definedName name="WERWVN" hidden="1">{"TAB1",#N/A,TRUE,"GENERAL";"TAB2",#N/A,TRUE,"GENERAL";"TAB3",#N/A,TRUE,"GENERAL";"TAB4",#N/A,TRUE,"GENERAL";"TAB5",#N/A,TRUE,"GENERAL"}</definedName>
    <definedName name="WERWVN_1" hidden="1">{"TAB1",#N/A,TRUE,"GENERAL";"TAB2",#N/A,TRUE,"GENERAL";"TAB3",#N/A,TRUE,"GENERAL";"TAB4",#N/A,TRUE,"GENERAL";"TAB5",#N/A,TRUE,"GENERAL"}</definedName>
    <definedName name="wetrew" hidden="1">{"via1",#N/A,TRUE,"general";"via2",#N/A,TRUE,"general";"via3",#N/A,TRUE,"general"}</definedName>
    <definedName name="wetrew_1" hidden="1">{"via1",#N/A,TRUE,"general";"via2",#N/A,TRUE,"general";"via3",#N/A,TRUE,"general"}</definedName>
    <definedName name="wettt" hidden="1">{"via1",#N/A,TRUE,"general";"via2",#N/A,TRUE,"general";"via3",#N/A,TRUE,"general"}</definedName>
    <definedName name="wettt_1" hidden="1">{"via1",#N/A,TRUE,"general";"via2",#N/A,TRUE,"general";"via3",#N/A,TRUE,"general"}</definedName>
    <definedName name="wetwretd" hidden="1">{"via1",#N/A,TRUE,"general";"via2",#N/A,TRUE,"general";"via3",#N/A,TRUE,"general"}</definedName>
    <definedName name="wetwretd_1" hidden="1">{"via1",#N/A,TRUE,"general";"via2",#N/A,TRUE,"general";"via3",#N/A,TRUE,"general"}</definedName>
    <definedName name="wew" hidden="1">{"via1",#N/A,TRUE,"general";"via2",#N/A,TRUE,"general";"via3",#N/A,TRUE,"general"}</definedName>
    <definedName name="wew_1" hidden="1">{"via1",#N/A,TRUE,"general";"via2",#N/A,TRUE,"general";"via3",#N/A,TRUE,"general"}</definedName>
    <definedName name="wffag" hidden="1">{"via1",#N/A,TRUE,"general";"via2",#N/A,TRUE,"general";"via3",#N/A,TRUE,"general"}</definedName>
    <definedName name="wffag_1" hidden="1">{"via1",#N/A,TRUE,"general";"via2",#N/A,TRUE,"general";"via3",#N/A,TRUE,"general"}</definedName>
    <definedName name="WQEEWQ" hidden="1">{"TAB1",#N/A,TRUE,"GENERAL";"TAB2",#N/A,TRUE,"GENERAL";"TAB3",#N/A,TRUE,"GENERAL";"TAB4",#N/A,TRUE,"GENERAL";"TAB5",#N/A,TRUE,"GENERAL"}</definedName>
    <definedName name="WQEEWQ_1"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via." hidden="1">{"via1",#N/A,TRUE,"general";"via2",#N/A,TRUE,"general";"via3",#N/A,TRUE,"general"}</definedName>
    <definedName name="wrn.via._1" hidden="1">{"via1",#N/A,TRUE,"general";"via2",#N/A,TRUE,"general";"via3",#N/A,TRUE,"general"}</definedName>
    <definedName name="wsnhed" hidden="1">{"via1",#N/A,TRUE,"general";"via2",#N/A,TRUE,"general";"via3",#N/A,TRUE,"general"}</definedName>
    <definedName name="wsnhed_1" hidden="1">{"via1",#N/A,TRUE,"general";"via2",#N/A,TRUE,"general";"via3",#N/A,TRUE,"general"}</definedName>
    <definedName name="wswswsqa" hidden="1">{"via1",#N/A,TRUE,"general";"via2",#N/A,TRUE,"general";"via3",#N/A,TRUE,"general"}</definedName>
    <definedName name="wswswsqa_1" hidden="1">{"via1",#N/A,TRUE,"general";"via2",#N/A,TRUE,"general";"via3",#N/A,TRUE,"general"}</definedName>
    <definedName name="wtt" hidden="1">{"TAB1",#N/A,TRUE,"GENERAL";"TAB2",#N/A,TRUE,"GENERAL";"TAB3",#N/A,TRUE,"GENERAL";"TAB4",#N/A,TRUE,"GENERAL";"TAB5",#N/A,TRUE,"GENERAL"}</definedName>
    <definedName name="wtt_1" hidden="1">{"TAB1",#N/A,TRUE,"GENERAL";"TAB2",#N/A,TRUE,"GENERAL";"TAB3",#N/A,TRUE,"GENERAL";"TAB4",#N/A,TRUE,"GENERAL";"TAB5",#N/A,TRUE,"GENERAL"}</definedName>
    <definedName name="wwded3" hidden="1">{"via1",#N/A,TRUE,"general";"via2",#N/A,TRUE,"general";"via3",#N/A,TRUE,"general"}</definedName>
    <definedName name="wwded3_1" hidden="1">{"via1",#N/A,TRUE,"general";"via2",#N/A,TRUE,"general";"via3",#N/A,TRUE,"general"}</definedName>
    <definedName name="wwwwe" hidden="1">{"TAB1",#N/A,TRUE,"GENERAL";"TAB2",#N/A,TRUE,"GENERAL";"TAB3",#N/A,TRUE,"GENERAL";"TAB4",#N/A,TRUE,"GENERAL";"TAB5",#N/A,TRUE,"GENERAL"}</definedName>
    <definedName name="wwwwe_1" hidden="1">{"TAB1",#N/A,TRUE,"GENERAL";"TAB2",#N/A,TRUE,"GENERAL";"TAB3",#N/A,TRUE,"GENERAL";"TAB4",#N/A,TRUE,"GENERAL";"TAB5",#N/A,TRUE,"GENERAL"}</definedName>
    <definedName name="wyty" hidden="1">{"via1",#N/A,TRUE,"general";"via2",#N/A,TRUE,"general";"via3",#N/A,TRUE,"general"}</definedName>
    <definedName name="wyty_1" hidden="1">{"via1",#N/A,TRUE,"general";"via2",#N/A,TRUE,"general";"via3",#N/A,TRUE,"general"}</definedName>
    <definedName name="xcbvbs" hidden="1">{"TAB1",#N/A,TRUE,"GENERAL";"TAB2",#N/A,TRUE,"GENERAL";"TAB3",#N/A,TRUE,"GENERAL";"TAB4",#N/A,TRUE,"GENERAL";"TAB5",#N/A,TRUE,"GENERAL"}</definedName>
    <definedName name="xcbvbs_1" hidden="1">{"TAB1",#N/A,TRUE,"GENERAL";"TAB2",#N/A,TRUE,"GENERAL";"TAB3",#N/A,TRUE,"GENERAL";"TAB4",#N/A,TRUE,"GENERAL";"TAB5",#N/A,TRUE,"GENERAL"}</definedName>
    <definedName name="xsxs" hidden="1">{"TAB1",#N/A,TRUE,"GENERAL";"TAB2",#N/A,TRUE,"GENERAL";"TAB3",#N/A,TRUE,"GENERAL";"TAB4",#N/A,TRUE,"GENERAL";"TAB5",#N/A,TRUE,"GENERAL"}</definedName>
    <definedName name="xsxs_1" hidden="1">{"TAB1",#N/A,TRUE,"GENERAL";"TAB2",#N/A,TRUE,"GENERAL";"TAB3",#N/A,TRUE,"GENERAL";"TAB4",#N/A,TRUE,"GENERAL";"TAB5",#N/A,TRUE,"GENERAL"}</definedName>
    <definedName name="xxfg" hidden="1">{"via1",#N/A,TRUE,"general";"via2",#N/A,TRUE,"general";"via3",#N/A,TRUE,"general"}</definedName>
    <definedName name="xxfg_1" hidden="1">{"via1",#N/A,TRUE,"general";"via2",#N/A,TRUE,"general";"via3",#N/A,TRUE,"general"}</definedName>
    <definedName name="xxxxxds" hidden="1">{"via1",#N/A,TRUE,"general";"via2",#N/A,TRUE,"general";"via3",#N/A,TRUE,"general"}</definedName>
    <definedName name="xxxxxds_1" hidden="1">{"via1",#N/A,TRUE,"general";"via2",#N/A,TRUE,"general";"via3",#N/A,TRUE,"general"}</definedName>
    <definedName name="xxxxxxxxxx29" hidden="1">{"via1",#N/A,TRUE,"general";"via2",#N/A,TRUE,"general";"via3",#N/A,TRUE,"general"}</definedName>
    <definedName name="xxxxxxxxxx29_1" hidden="1">{"via1",#N/A,TRUE,"general";"via2",#N/A,TRUE,"general";"via3",#N/A,TRUE,"general"}</definedName>
    <definedName name="XZXZV" hidden="1">{"via1",#N/A,TRUE,"general";"via2",#N/A,TRUE,"general";"via3",#N/A,TRUE,"general"}</definedName>
    <definedName name="XZXZV_1" hidden="1">{"via1",#N/A,TRUE,"general";"via2",#N/A,TRUE,"general";"via3",#N/A,TRUE,"general"}</definedName>
    <definedName name="y6y6" hidden="1">{"via1",#N/A,TRUE,"general";"via2",#N/A,TRUE,"general";"via3",#N/A,TRUE,"general"}</definedName>
    <definedName name="y6y6_1" hidden="1">{"via1",#N/A,TRUE,"general";"via2",#N/A,TRUE,"general";"via3",#N/A,TRUE,"general"}</definedName>
    <definedName name="yery" hidden="1">{"via1",#N/A,TRUE,"general";"via2",#N/A,TRUE,"general";"via3",#N/A,TRUE,"general"}</definedName>
    <definedName name="yery_1" hidden="1">{"via1",#N/A,TRUE,"general";"via2",#N/A,TRUE,"general";"via3",#N/A,TRUE,"general"}</definedName>
    <definedName name="yhy" hidden="1">{"TAB1",#N/A,TRUE,"GENERAL";"TAB2",#N/A,TRUE,"GENERAL";"TAB3",#N/A,TRUE,"GENERAL";"TAB4",#N/A,TRUE,"GENERAL";"TAB5",#N/A,TRUE,"GENERAL"}</definedName>
    <definedName name="yhy_1" hidden="1">{"TAB1",#N/A,TRUE,"GENERAL";"TAB2",#N/A,TRUE,"GENERAL";"TAB3",#N/A,TRUE,"GENERAL";"TAB4",#N/A,TRUE,"GENERAL";"TAB5",#N/A,TRUE,"GENERAL"}</definedName>
    <definedName name="yjyj" hidden="1">{"TAB1",#N/A,TRUE,"GENERAL";"TAB2",#N/A,TRUE,"GENERAL";"TAB3",#N/A,TRUE,"GENERAL";"TAB4",#N/A,TRUE,"GENERAL";"TAB5",#N/A,TRUE,"GENERAL"}</definedName>
    <definedName name="yjyj_1" hidden="1">{"TAB1",#N/A,TRUE,"GENERAL";"TAB2",#N/A,TRUE,"GENERAL";"TAB3",#N/A,TRUE,"GENERAL";"TAB4",#N/A,TRUE,"GENERAL";"TAB5",#N/A,TRUE,"GENERAL"}</definedName>
    <definedName name="yrey" hidden="1">{"via1",#N/A,TRUE,"general";"via2",#N/A,TRUE,"general";"via3",#N/A,TRUE,"general"}</definedName>
    <definedName name="yrey_1" hidden="1">{"via1",#N/A,TRUE,"general";"via2",#N/A,TRUE,"general";"via3",#N/A,TRUE,"general"}</definedName>
    <definedName name="yry" hidden="1">{"via1",#N/A,TRUE,"general";"via2",#N/A,TRUE,"general";"via3",#N/A,TRUE,"general"}</definedName>
    <definedName name="yry_1" hidden="1">{"via1",#N/A,TRUE,"general";"via2",#N/A,TRUE,"general";"via3",#N/A,TRUE,"general"}</definedName>
    <definedName name="ytj" hidden="1">{"TAB1",#N/A,TRUE,"GENERAL";"TAB2",#N/A,TRUE,"GENERAL";"TAB3",#N/A,TRUE,"GENERAL";"TAB4",#N/A,TRUE,"GENERAL";"TAB5",#N/A,TRUE,"GENERAL"}</definedName>
    <definedName name="ytj_1" hidden="1">{"TAB1",#N/A,TRUE,"GENERAL";"TAB2",#N/A,TRUE,"GENERAL";"TAB3",#N/A,TRUE,"GENERAL";"TAB4",#N/A,TRUE,"GENERAL";"TAB5",#N/A,TRUE,"GENERAL"}</definedName>
    <definedName name="ytjt6" hidden="1">{"via1",#N/A,TRUE,"general";"via2",#N/A,TRUE,"general";"via3",#N/A,TRUE,"general"}</definedName>
    <definedName name="ytjt6_1" hidden="1">{"via1",#N/A,TRUE,"general";"via2",#N/A,TRUE,"general";"via3",#N/A,TRUE,"general"}</definedName>
    <definedName name="ytrwyr" hidden="1">{"TAB1",#N/A,TRUE,"GENERAL";"TAB2",#N/A,TRUE,"GENERAL";"TAB3",#N/A,TRUE,"GENERAL";"TAB4",#N/A,TRUE,"GENERAL";"TAB5",#N/A,TRUE,"GENERAL"}</definedName>
    <definedName name="ytrwyr_1" hidden="1">{"TAB1",#N/A,TRUE,"GENERAL";"TAB2",#N/A,TRUE,"GENERAL";"TAB3",#N/A,TRUE,"GENERAL";"TAB4",#N/A,TRUE,"GENERAL";"TAB5",#N/A,TRUE,"GENERAL"}</definedName>
    <definedName name="ytry" hidden="1">{"via1",#N/A,TRUE,"general";"via2",#N/A,TRUE,"general";"via3",#N/A,TRUE,"general"}</definedName>
    <definedName name="ytry_1" hidden="1">{"via1",#N/A,TRUE,"general";"via2",#N/A,TRUE,"general";"via3",#N/A,TRUE,"general"}</definedName>
    <definedName name="ytryrty" hidden="1">{"via1",#N/A,TRUE,"general";"via2",#N/A,TRUE,"general";"via3",#N/A,TRUE,"general"}</definedName>
    <definedName name="ytryrty_1" hidden="1">{"via1",#N/A,TRUE,"general";"via2",#N/A,TRUE,"general";"via3",#N/A,TRUE,"general"}</definedName>
    <definedName name="YTRYUYT" hidden="1">{"TAB1",#N/A,TRUE,"GENERAL";"TAB2",#N/A,TRUE,"GENERAL";"TAB3",#N/A,TRUE,"GENERAL";"TAB4",#N/A,TRUE,"GENERAL";"TAB5",#N/A,TRUE,"GENERAL"}</definedName>
    <definedName name="YTRYUYT_1" hidden="1">{"TAB1",#N/A,TRUE,"GENERAL";"TAB2",#N/A,TRUE,"GENERAL";"TAB3",#N/A,TRUE,"GENERAL";"TAB4",#N/A,TRUE,"GENERAL";"TAB5",#N/A,TRUE,"GENERAL"}</definedName>
    <definedName name="ytudfgd" hidden="1">{"TAB1",#N/A,TRUE,"GENERAL";"TAB2",#N/A,TRUE,"GENERAL";"TAB3",#N/A,TRUE,"GENERAL";"TAB4",#N/A,TRUE,"GENERAL";"TAB5",#N/A,TRUE,"GENERAL"}</definedName>
    <definedName name="ytudfgd_1" hidden="1">{"TAB1",#N/A,TRUE,"GENERAL";"TAB2",#N/A,TRUE,"GENERAL";"TAB3",#N/A,TRUE,"GENERAL";"TAB4",#N/A,TRUE,"GENERAL";"TAB5",#N/A,TRUE,"GENERAL"}</definedName>
    <definedName name="yturtu7" hidden="1">{"TAB1",#N/A,TRUE,"GENERAL";"TAB2",#N/A,TRUE,"GENERAL";"TAB3",#N/A,TRUE,"GENERAL";"TAB4",#N/A,TRUE,"GENERAL";"TAB5",#N/A,TRUE,"GENERAL"}</definedName>
    <definedName name="yturtu7_1" hidden="1">{"TAB1",#N/A,TRUE,"GENERAL";"TAB2",#N/A,TRUE,"GENERAL";"TAB3",#N/A,TRUE,"GENERAL";"TAB4",#N/A,TRUE,"GENERAL";"TAB5",#N/A,TRUE,"GENERAL"}</definedName>
    <definedName name="yturu" hidden="1">{"TAB1",#N/A,TRUE,"GENERAL";"TAB2",#N/A,TRUE,"GENERAL";"TAB3",#N/A,TRUE,"GENERAL";"TAB4",#N/A,TRUE,"GENERAL";"TAB5",#N/A,TRUE,"GENERAL"}</definedName>
    <definedName name="yturu_1" hidden="1">{"TAB1",#N/A,TRUE,"GENERAL";"TAB2",#N/A,TRUE,"GENERAL";"TAB3",#N/A,TRUE,"GENERAL";"TAB4",#N/A,TRUE,"GENERAL";"TAB5",#N/A,TRUE,"GENERAL"}</definedName>
    <definedName name="ytuytfgh" hidden="1">{"via1",#N/A,TRUE,"general";"via2",#N/A,TRUE,"general";"via3",#N/A,TRUE,"general"}</definedName>
    <definedName name="ytuytfgh_1" hidden="1">{"via1",#N/A,TRUE,"general";"via2",#N/A,TRUE,"general";"via3",#N/A,TRUE,"general"}</definedName>
    <definedName name="yty" hidden="1">{"TAB1",#N/A,TRUE,"GENERAL";"TAB2",#N/A,TRUE,"GENERAL";"TAB3",#N/A,TRUE,"GENERAL";"TAB4",#N/A,TRUE,"GENERAL";"TAB5",#N/A,TRUE,"GENERAL"}</definedName>
    <definedName name="yty_1" hidden="1">{"TAB1",#N/A,TRUE,"GENERAL";"TAB2",#N/A,TRUE,"GENERAL";"TAB3",#N/A,TRUE,"GENERAL";"TAB4",#N/A,TRUE,"GENERAL";"TAB5",#N/A,TRUE,"GENERAL"}</definedName>
    <definedName name="ytyyh" hidden="1">{"via1",#N/A,TRUE,"general";"via2",#N/A,TRUE,"general";"via3",#N/A,TRUE,"general"}</definedName>
    <definedName name="ytyyh_1" hidden="1">{"via1",#N/A,TRUE,"general";"via2",#N/A,TRUE,"general";"via3",#N/A,TRUE,"general"}</definedName>
    <definedName name="ytzacdfg" hidden="1">{"TAB1",#N/A,TRUE,"GENERAL";"TAB2",#N/A,TRUE,"GENERAL";"TAB3",#N/A,TRUE,"GENERAL";"TAB4",#N/A,TRUE,"GENERAL";"TAB5",#N/A,TRUE,"GENERAL"}</definedName>
    <definedName name="ytzacdfg_1" hidden="1">{"TAB1",#N/A,TRUE,"GENERAL";"TAB2",#N/A,TRUE,"GENERAL";"TAB3",#N/A,TRUE,"GENERAL";"TAB4",#N/A,TRUE,"GENERAL";"TAB5",#N/A,TRUE,"GENERAL"}</definedName>
    <definedName name="yu" hidden="1">{"TAB1",#N/A,TRUE,"GENERAL";"TAB2",#N/A,TRUE,"GENERAL";"TAB3",#N/A,TRUE,"GENERAL";"TAB4",#N/A,TRUE,"GENERAL";"TAB5",#N/A,TRUE,"GENERAL"}</definedName>
    <definedName name="yu_1" hidden="1">{"TAB1",#N/A,TRUE,"GENERAL";"TAB2",#N/A,TRUE,"GENERAL";"TAB3",#N/A,TRUE,"GENERAL";"TAB4",#N/A,TRUE,"GENERAL";"TAB5",#N/A,TRUE,"GENERAL"}</definedName>
    <definedName name="yudre54" hidden="1">{"TAB1",#N/A,TRUE,"GENERAL";"TAB2",#N/A,TRUE,"GENERAL";"TAB3",#N/A,TRUE,"GENERAL";"TAB4",#N/A,TRUE,"GENERAL";"TAB5",#N/A,TRUE,"GENERAL"}</definedName>
    <definedName name="yudre54_1" hidden="1">{"TAB1",#N/A,TRUE,"GENERAL";"TAB2",#N/A,TRUE,"GENERAL";"TAB3",#N/A,TRUE,"GENERAL";"TAB4",#N/A,TRUE,"GENERAL";"TAB5",#N/A,TRUE,"GENERAL"}</definedName>
    <definedName name="yuhgh" hidden="1">{"TAB1",#N/A,TRUE,"GENERAL";"TAB2",#N/A,TRUE,"GENERAL";"TAB3",#N/A,TRUE,"GENERAL";"TAB4",#N/A,TRUE,"GENERAL";"TAB5",#N/A,TRUE,"GENERAL"}</definedName>
    <definedName name="yuhgh_1" hidden="1">{"TAB1",#N/A,TRUE,"GENERAL";"TAB2",#N/A,TRUE,"GENERAL";"TAB3",#N/A,TRUE,"GENERAL";"TAB4",#N/A,TRUE,"GENERAL";"TAB5",#N/A,TRUE,"GENERAL"}</definedName>
    <definedName name="yutu" hidden="1">{"via1",#N/A,TRUE,"general";"via2",#N/A,TRUE,"general";"via3",#N/A,TRUE,"general"}</definedName>
    <definedName name="yutu_1" hidden="1">{"via1",#N/A,TRUE,"general";"via2",#N/A,TRUE,"general";"via3",#N/A,TRUE,"general"}</definedName>
    <definedName name="yuuiiy" hidden="1">{"via1",#N/A,TRUE,"general";"via2",#N/A,TRUE,"general";"via3",#N/A,TRUE,"general"}</definedName>
    <definedName name="yuuiiy_1" hidden="1">{"via1",#N/A,TRUE,"general";"via2",#N/A,TRUE,"general";"via3",#N/A,TRUE,"general"}</definedName>
    <definedName name="yuuuuuu" hidden="1">{"via1",#N/A,TRUE,"general";"via2",#N/A,TRUE,"general";"via3",#N/A,TRUE,"general"}</definedName>
    <definedName name="yuuuuuu_1" hidden="1">{"via1",#N/A,TRUE,"general";"via2",#N/A,TRUE,"general";"via3",#N/A,TRUE,"general"}</definedName>
    <definedName name="YUUY">[29]PRECIOS!$A$1:$D$221</definedName>
    <definedName name="yy" hidden="1">{"via1",#N/A,TRUE,"general";"via2",#N/A,TRUE,"general";"via3",#N/A,TRUE,"general"}</definedName>
    <definedName name="yy_1" hidden="1">{"via1",#N/A,TRUE,"general";"via2",#N/A,TRUE,"general";"via3",#N/A,TRUE,"general"}</definedName>
    <definedName name="yyy" hidden="1">{"TAB1",#N/A,TRUE,"GENERAL";"TAB2",#N/A,TRUE,"GENERAL";"TAB3",#N/A,TRUE,"GENERAL";"TAB4",#N/A,TRUE,"GENERAL";"TAB5",#N/A,TRUE,"GENERAL"}</definedName>
    <definedName name="yyy_1" hidden="1">{"TAB1",#N/A,TRUE,"GENERAL";"TAB2",#N/A,TRUE,"GENERAL";"TAB3",#N/A,TRUE,"GENERAL";"TAB4",#N/A,TRUE,"GENERAL";"TAB5",#N/A,TRUE,"GENERAL"}</definedName>
    <definedName name="yyyuh" hidden="1">{"TAB1",#N/A,TRUE,"GENERAL";"TAB2",#N/A,TRUE,"GENERAL";"TAB3",#N/A,TRUE,"GENERAL";"TAB4",#N/A,TRUE,"GENERAL";"TAB5",#N/A,TRUE,"GENERAL"}</definedName>
    <definedName name="yyyuh_1" hidden="1">{"TAB1",#N/A,TRUE,"GENERAL";"TAB2",#N/A,TRUE,"GENERAL";"TAB3",#N/A,TRUE,"GENERAL";"TAB4",#N/A,TRUE,"GENERAL";"TAB5",#N/A,TRUE,"GENERAL"}</definedName>
    <definedName name="yyyyhhh" hidden="1">{"TAB1",#N/A,TRUE,"GENERAL";"TAB2",#N/A,TRUE,"GENERAL";"TAB3",#N/A,TRUE,"GENERAL";"TAB4",#N/A,TRUE,"GENERAL";"TAB5",#N/A,TRUE,"GENERAL"}</definedName>
    <definedName name="yyyyhhh_1" hidden="1">{"TAB1",#N/A,TRUE,"GENERAL";"TAB2",#N/A,TRUE,"GENERAL";"TAB3",#N/A,TRUE,"GENERAL";"TAB4",#N/A,TRUE,"GENERAL";"TAB5",#N/A,TRUE,"GENERAL"}</definedName>
    <definedName name="yyyyyf" hidden="1">{"via1",#N/A,TRUE,"general";"via2",#N/A,TRUE,"general";"via3",#N/A,TRUE,"general"}</definedName>
    <definedName name="yyyyyf_1" hidden="1">{"via1",#N/A,TRUE,"general";"via2",#N/A,TRUE,"general";"via3",#N/A,TRUE,"general"}</definedName>
    <definedName name="zdervr" hidden="1">{"via1",#N/A,TRUE,"general";"via2",#N/A,TRUE,"general";"via3",#N/A,TRUE,"general"}</definedName>
    <definedName name="zdervr_1" hidden="1">{"via1",#N/A,TRUE,"general";"via2",#N/A,TRUE,"general";"via3",#N/A,TRUE,"general"}</definedName>
    <definedName name="zxczds" hidden="1">{"TAB1",#N/A,TRUE,"GENERAL";"TAB2",#N/A,TRUE,"GENERAL";"TAB3",#N/A,TRUE,"GENERAL";"TAB4",#N/A,TRUE,"GENERAL";"TAB5",#N/A,TRUE,"GENERAL"}</definedName>
    <definedName name="zxczds_1" hidden="1">{"TAB1",#N/A,TRUE,"GENERAL";"TAB2",#N/A,TRUE,"GENERAL";"TAB3",#N/A,TRUE,"GENERAL";"TAB4",#N/A,TRUE,"GENERAL";"TAB5",#N/A,TRUE,"GENERAL"}</definedName>
    <definedName name="zxsdftyu" hidden="1">{"via1",#N/A,TRUE,"general";"via2",#N/A,TRUE,"general";"via3",#N/A,TRUE,"general"}</definedName>
    <definedName name="zxsdftyu_1" hidden="1">{"via1",#N/A,TRUE,"general";"via2",#N/A,TRUE,"general";"via3",#N/A,TRUE,"general"}</definedName>
    <definedName name="zxvxczv" hidden="1">{"via1",#N/A,TRUE,"general";"via2",#N/A,TRUE,"general";"via3",#N/A,TRUE,"general"}</definedName>
    <definedName name="zxvxczv_1"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23" i="69" l="1"/>
  <c r="C9" i="70"/>
  <c r="H9" i="70"/>
  <c r="F9" i="70"/>
  <c r="N18" i="69"/>
  <c r="N21" i="69"/>
  <c r="N35" i="69"/>
  <c r="F1" i="82"/>
  <c r="E1" i="82"/>
  <c r="F21" i="82"/>
  <c r="E21" i="82"/>
  <c r="D21" i="82"/>
  <c r="F10" i="82"/>
  <c r="D10" i="82" l="1"/>
  <c r="E10" i="82"/>
  <c r="E12" i="82" s="1"/>
  <c r="H9" i="82"/>
  <c r="H6" i="82"/>
  <c r="H5" i="82"/>
  <c r="M282" i="58" l="1"/>
  <c r="M285" i="58" l="1"/>
  <c r="L271" i="58"/>
  <c r="L270" i="58"/>
  <c r="L269" i="58"/>
  <c r="M264" i="58"/>
  <c r="M275" i="58" s="1"/>
  <c r="L655" i="73" l="1"/>
  <c r="L350" i="73"/>
  <c r="K62" i="73"/>
  <c r="D2" i="80" l="1"/>
  <c r="U5" i="80"/>
  <c r="R32" i="80"/>
  <c r="R31" i="80"/>
  <c r="R28" i="80"/>
  <c r="R27" i="80"/>
  <c r="R24" i="80"/>
  <c r="R23" i="80"/>
  <c r="R20" i="80"/>
  <c r="R19" i="80"/>
  <c r="R16" i="80"/>
  <c r="R15" i="80"/>
  <c r="Q32" i="80"/>
  <c r="U32" i="80" s="1"/>
  <c r="Q31" i="80"/>
  <c r="Q28" i="80"/>
  <c r="Q27" i="80"/>
  <c r="Q24" i="80"/>
  <c r="Q23" i="80"/>
  <c r="Q20" i="80"/>
  <c r="Q19" i="80"/>
  <c r="Q16" i="80"/>
  <c r="Q15" i="80"/>
  <c r="U23" i="80"/>
  <c r="R12" i="80"/>
  <c r="Q12" i="80"/>
  <c r="U11" i="80"/>
  <c r="R11" i="80"/>
  <c r="Q11" i="80"/>
  <c r="U8" i="80"/>
  <c r="U7" i="80"/>
  <c r="R8" i="80"/>
  <c r="Q8" i="80"/>
  <c r="R7" i="80"/>
  <c r="Q7" i="80"/>
  <c r="L1" i="80" a="1"/>
  <c r="P2" i="79"/>
  <c r="J3" i="80" l="1"/>
  <c r="U19" i="79" s="1"/>
  <c r="U31" i="80"/>
  <c r="U28" i="80"/>
  <c r="U27" i="80"/>
  <c r="U24" i="80"/>
  <c r="U20" i="80"/>
  <c r="U19" i="80"/>
  <c r="U16" i="80"/>
  <c r="U15" i="80"/>
  <c r="U12" i="80"/>
  <c r="C2" i="79" l="1"/>
  <c r="I1" i="79" a="1"/>
  <c r="I3" i="79" s="1"/>
  <c r="U20" i="79" s="1"/>
  <c r="V20" i="79" s="1"/>
  <c r="N4" i="79"/>
  <c r="M4" i="79"/>
  <c r="V19" i="79" l="1"/>
  <c r="K517" i="73"/>
  <c r="M517" i="73" s="1"/>
  <c r="M508" i="73"/>
  <c r="K928" i="73"/>
  <c r="K919" i="73"/>
  <c r="K871" i="73"/>
  <c r="K592" i="73"/>
  <c r="I458" i="73"/>
  <c r="L171" i="73"/>
  <c r="L126" i="73"/>
  <c r="Q12" i="58" l="1"/>
  <c r="O289" i="58"/>
  <c r="O290" i="58"/>
  <c r="A2" i="55"/>
  <c r="F17" i="78"/>
  <c r="F16" i="78"/>
  <c r="F15" i="78"/>
  <c r="F14" i="78"/>
  <c r="F13" i="78"/>
  <c r="F12" i="78"/>
  <c r="F11" i="78"/>
  <c r="E2" i="78"/>
  <c r="F11" i="77"/>
  <c r="F17" i="77"/>
  <c r="F16" i="77"/>
  <c r="F15" i="77"/>
  <c r="E12" i="77"/>
  <c r="F13" i="77"/>
  <c r="F10" i="77"/>
  <c r="F2" i="77"/>
  <c r="N28" i="76"/>
  <c r="N19" i="76"/>
  <c r="N18" i="76"/>
  <c r="N17" i="76"/>
  <c r="N16" i="76"/>
  <c r="N15" i="76"/>
  <c r="N14" i="76"/>
  <c r="M13" i="76"/>
  <c r="N13" i="76" s="1"/>
  <c r="N12" i="76"/>
  <c r="N11" i="76"/>
  <c r="K2" i="76"/>
  <c r="F12" i="77" l="1"/>
  <c r="N20" i="76"/>
  <c r="A4" i="5" l="1"/>
  <c r="C1" i="66"/>
  <c r="AC3038" i="68"/>
  <c r="L262" i="58"/>
  <c r="A6321" i="68"/>
  <c r="AF6347" i="68"/>
  <c r="AF6349" i="68" s="1"/>
  <c r="F6320" i="68"/>
  <c r="AE6318" i="68"/>
  <c r="AF6314" i="68"/>
  <c r="E6314" i="68"/>
  <c r="A6280" i="68"/>
  <c r="AF6306" i="68"/>
  <c r="AF6308" i="68" s="1"/>
  <c r="F6279" i="68"/>
  <c r="AE6277" i="68"/>
  <c r="AF6273" i="68"/>
  <c r="E6273" i="68"/>
  <c r="A6239" i="68"/>
  <c r="D6239" i="68" s="1"/>
  <c r="AF6265" i="68"/>
  <c r="AF6267" i="68" s="1"/>
  <c r="F6238" i="68"/>
  <c r="AE6236" i="68"/>
  <c r="AF6232" i="68"/>
  <c r="E6232" i="68"/>
  <c r="A6198" i="68"/>
  <c r="AF6224" i="68"/>
  <c r="AF6226" i="68" s="1"/>
  <c r="F6197" i="68"/>
  <c r="AE6195" i="68"/>
  <c r="AF6191" i="68"/>
  <c r="E6191" i="68"/>
  <c r="A6157" i="68"/>
  <c r="AF6183" i="68"/>
  <c r="AF6185" i="68" s="1"/>
  <c r="F6156" i="68"/>
  <c r="AE6154" i="68"/>
  <c r="AF6150" i="68"/>
  <c r="E6150" i="68"/>
  <c r="A6116" i="68"/>
  <c r="D6116" i="68" s="1"/>
  <c r="AF6142" i="68"/>
  <c r="AF6144" i="68" s="1"/>
  <c r="F6115" i="68"/>
  <c r="AE6113" i="68"/>
  <c r="AF6109" i="68"/>
  <c r="E6109" i="68"/>
  <c r="A6075" i="68"/>
  <c r="D6075" i="68" s="1"/>
  <c r="AF6101" i="68"/>
  <c r="AF6103" i="68" s="1"/>
  <c r="F6074" i="68"/>
  <c r="AE6072" i="68"/>
  <c r="AF6068" i="68"/>
  <c r="E6068" i="68"/>
  <c r="A6034" i="68"/>
  <c r="D6034" i="68" s="1"/>
  <c r="AF6060" i="68"/>
  <c r="AF6062" i="68" s="1"/>
  <c r="F6033" i="68"/>
  <c r="AE6031" i="68"/>
  <c r="AF6027" i="68"/>
  <c r="E6027" i="68"/>
  <c r="AF5995" i="68"/>
  <c r="D6321" i="68" l="1"/>
  <c r="D6280" i="68"/>
  <c r="D6198" i="68"/>
  <c r="D6157" i="68"/>
  <c r="F5992" i="68" l="1"/>
  <c r="A5993" i="68"/>
  <c r="F5951" i="68"/>
  <c r="F5910" i="68"/>
  <c r="F5869" i="68"/>
  <c r="F5831" i="68"/>
  <c r="F5793" i="68"/>
  <c r="F5752" i="68"/>
  <c r="F5711" i="68"/>
  <c r="F5670" i="68"/>
  <c r="F5629" i="68"/>
  <c r="F5588" i="68"/>
  <c r="AF6019" i="68"/>
  <c r="AF6021" i="68" s="1"/>
  <c r="L249" i="58" s="1"/>
  <c r="L251" i="58" s="1"/>
  <c r="AE5990" i="68"/>
  <c r="AF5986" i="68"/>
  <c r="E5986" i="68"/>
  <c r="L259" i="58" l="1"/>
  <c r="L254" i="58"/>
  <c r="L253" i="58"/>
  <c r="D5993" i="68"/>
  <c r="K2909" i="73"/>
  <c r="K2907" i="73"/>
  <c r="K2906" i="73"/>
  <c r="K2905" i="73"/>
  <c r="K216" i="73"/>
  <c r="K217" i="73"/>
  <c r="K218" i="73"/>
  <c r="K219" i="73"/>
  <c r="L257" i="58" l="1"/>
  <c r="L256" i="58"/>
  <c r="E3" i="5" l="1"/>
  <c r="E3" i="7"/>
  <c r="B23" i="7"/>
  <c r="B24" i="7" s="1"/>
  <c r="E15" i="7"/>
  <c r="H2995" i="73" l="1"/>
  <c r="I2986" i="73"/>
  <c r="M2986" i="73" s="1"/>
  <c r="M2991" i="73" s="1"/>
  <c r="L2958" i="73" s="1"/>
  <c r="H2986" i="73"/>
  <c r="I2979" i="73"/>
  <c r="H2979" i="73"/>
  <c r="I2978" i="73"/>
  <c r="H2978" i="73"/>
  <c r="H2977" i="73"/>
  <c r="I2969" i="73"/>
  <c r="M2969" i="73" s="1"/>
  <c r="H2969" i="73"/>
  <c r="B2958" i="73"/>
  <c r="K2922" i="73"/>
  <c r="K2921" i="73"/>
  <c r="E130" i="5"/>
  <c r="E129" i="5"/>
  <c r="I2920" i="73"/>
  <c r="M2920" i="73" s="1"/>
  <c r="I2918" i="73"/>
  <c r="M2918" i="73" s="1"/>
  <c r="I2916" i="73"/>
  <c r="M2916" i="73" s="1"/>
  <c r="H2915" i="73"/>
  <c r="I2914" i="73"/>
  <c r="M2914" i="73" s="1"/>
  <c r="I2913" i="73"/>
  <c r="M2913" i="73" s="1"/>
  <c r="H2913" i="73"/>
  <c r="E128" i="5"/>
  <c r="I2912" i="73"/>
  <c r="M2912" i="73" s="1"/>
  <c r="H2912" i="73"/>
  <c r="I2911" i="73"/>
  <c r="M2911" i="73" s="1"/>
  <c r="H2910" i="73"/>
  <c r="C123" i="5"/>
  <c r="I2917" i="73" s="1"/>
  <c r="M2917" i="73" s="1"/>
  <c r="B2900" i="73"/>
  <c r="H2945" i="73"/>
  <c r="I2936" i="73"/>
  <c r="M2936" i="73" s="1"/>
  <c r="M2941" i="73" s="1"/>
  <c r="L2900" i="73" s="1"/>
  <c r="H2936" i="73"/>
  <c r="I2929" i="73"/>
  <c r="H2929" i="73"/>
  <c r="I2928" i="73"/>
  <c r="H2928" i="73"/>
  <c r="H2927" i="73"/>
  <c r="H2970" i="73" l="1"/>
  <c r="I2970" i="73"/>
  <c r="M2970" i="73" s="1"/>
  <c r="I2968" i="73"/>
  <c r="M2968" i="73" s="1"/>
  <c r="H2968" i="73"/>
  <c r="I2919" i="73"/>
  <c r="M2919" i="73" s="1"/>
  <c r="K2972" i="73"/>
  <c r="K2971" i="73" s="1"/>
  <c r="H2917" i="73"/>
  <c r="H2919" i="73"/>
  <c r="I2910" i="73"/>
  <c r="M2910" i="73" s="1"/>
  <c r="I2915" i="73"/>
  <c r="M2915" i="73" s="1"/>
  <c r="H2916" i="73"/>
  <c r="H2918" i="73"/>
  <c r="H2920" i="73"/>
  <c r="H2911" i="73"/>
  <c r="H2914" i="73"/>
  <c r="A5952" i="68" l="1"/>
  <c r="AF5961" i="68"/>
  <c r="AF5960" i="68"/>
  <c r="AF5959" i="68"/>
  <c r="AF5958" i="68"/>
  <c r="AF5957" i="68"/>
  <c r="AF5956" i="68"/>
  <c r="AF5955" i="68"/>
  <c r="AF5954" i="68"/>
  <c r="AE5949" i="68"/>
  <c r="AF5945" i="68"/>
  <c r="E5945" i="68"/>
  <c r="A5911" i="68"/>
  <c r="D5911" i="68" s="1"/>
  <c r="AF5920" i="68"/>
  <c r="AF5919" i="68"/>
  <c r="AF5918" i="68"/>
  <c r="AF5917" i="68"/>
  <c r="AF5916" i="68"/>
  <c r="AF5915" i="68"/>
  <c r="AF5914" i="68"/>
  <c r="AF5913" i="68"/>
  <c r="AE5908" i="68"/>
  <c r="AF5904" i="68"/>
  <c r="E5904" i="68"/>
  <c r="A5870" i="68"/>
  <c r="AF5879" i="68"/>
  <c r="AF5878" i="68"/>
  <c r="AF5877" i="68"/>
  <c r="AF5876" i="68"/>
  <c r="AF5875" i="68"/>
  <c r="AF5874" i="68"/>
  <c r="AF5873" i="68"/>
  <c r="AF5872" i="68"/>
  <c r="AE5867" i="68"/>
  <c r="AF5863" i="68"/>
  <c r="E5863" i="68"/>
  <c r="AE5834" i="68"/>
  <c r="A5832" i="68"/>
  <c r="D5832" i="68" s="1"/>
  <c r="AE5796" i="68"/>
  <c r="A5794" i="68"/>
  <c r="AD5834" i="68"/>
  <c r="AE5829" i="68"/>
  <c r="AF5825" i="68"/>
  <c r="E5825" i="68"/>
  <c r="AE5791" i="68"/>
  <c r="AF5787" i="68"/>
  <c r="E5787" i="68"/>
  <c r="A5753" i="68"/>
  <c r="AE5750" i="68"/>
  <c r="AF5746" i="68"/>
  <c r="E5746" i="68"/>
  <c r="AF5714" i="68"/>
  <c r="AF5715" i="68"/>
  <c r="AF5716" i="68"/>
  <c r="AF5717" i="68"/>
  <c r="AF5718" i="68"/>
  <c r="AF5719" i="68"/>
  <c r="AF5720" i="68"/>
  <c r="AF5721" i="68"/>
  <c r="A5712" i="68"/>
  <c r="AE5709" i="68"/>
  <c r="AF5705" i="68"/>
  <c r="E5705" i="68"/>
  <c r="A5671" i="68"/>
  <c r="AF5680" i="68"/>
  <c r="AF5679" i="68"/>
  <c r="AF5678" i="68"/>
  <c r="AF5677" i="68"/>
  <c r="AF5676" i="68"/>
  <c r="AF5675" i="68"/>
  <c r="AC5757" i="68" s="1"/>
  <c r="AF5674" i="68"/>
  <c r="AF5673" i="68"/>
  <c r="AE5668" i="68"/>
  <c r="AF5664" i="68"/>
  <c r="E5664" i="68"/>
  <c r="AF5633" i="68"/>
  <c r="AB5756" i="68" s="1"/>
  <c r="AF5634" i="68"/>
  <c r="AB5757" i="68" s="1"/>
  <c r="AF5635" i="68"/>
  <c r="AB5758" i="68" s="1"/>
  <c r="AF5636" i="68"/>
  <c r="AB5759" i="68" s="1"/>
  <c r="AF5637" i="68"/>
  <c r="AB5760" i="68" s="1"/>
  <c r="AF5638" i="68"/>
  <c r="AB5761" i="68" s="1"/>
  <c r="AF5639" i="68"/>
  <c r="AB5762" i="68" s="1"/>
  <c r="AF5632" i="68"/>
  <c r="AB5755" i="68" s="1"/>
  <c r="AF5591" i="68"/>
  <c r="AD5755" i="68" s="1"/>
  <c r="AF5592" i="68"/>
  <c r="AD5756" i="68" s="1"/>
  <c r="AF5593" i="68"/>
  <c r="AD5757" i="68" s="1"/>
  <c r="AF5594" i="68"/>
  <c r="AD5758" i="68" s="1"/>
  <c r="AF5595" i="68"/>
  <c r="AD5759" i="68" s="1"/>
  <c r="AF5596" i="68"/>
  <c r="AD5760" i="68" s="1"/>
  <c r="AF5597" i="68"/>
  <c r="AD5761" i="68" s="1"/>
  <c r="AF5598" i="68"/>
  <c r="AD5762" i="68" s="1"/>
  <c r="A5630" i="68"/>
  <c r="AE5627" i="68"/>
  <c r="AF5623" i="68"/>
  <c r="E5623" i="68"/>
  <c r="A5589" i="68"/>
  <c r="D5589" i="68" s="1"/>
  <c r="AE5586" i="68"/>
  <c r="AF5582" i="68"/>
  <c r="E5582" i="68"/>
  <c r="AE5551" i="68"/>
  <c r="AF5551" i="68" s="1"/>
  <c r="AE5552" i="68"/>
  <c r="AF5552" i="68" s="1"/>
  <c r="AE5553" i="68"/>
  <c r="AF5553" i="68" s="1"/>
  <c r="AF5554" i="68"/>
  <c r="AF5550" i="68"/>
  <c r="A5548" i="68"/>
  <c r="F5547" i="68"/>
  <c r="AE5545" i="68"/>
  <c r="AF5541" i="68"/>
  <c r="E5541" i="68"/>
  <c r="H2871" i="73"/>
  <c r="I2870" i="73"/>
  <c r="M2870" i="73" s="1"/>
  <c r="H2870" i="73"/>
  <c r="H2887" i="73"/>
  <c r="K2878" i="73"/>
  <c r="I2878" i="73"/>
  <c r="H2878" i="73"/>
  <c r="H2869" i="73"/>
  <c r="I2862" i="73"/>
  <c r="H2862" i="73"/>
  <c r="I2861" i="73"/>
  <c r="H2861" i="73"/>
  <c r="I2860" i="73"/>
  <c r="H2860" i="73"/>
  <c r="I2859" i="73"/>
  <c r="H2859" i="73"/>
  <c r="I2858" i="73"/>
  <c r="H2858" i="73"/>
  <c r="I2857" i="73"/>
  <c r="M2857" i="73" s="1"/>
  <c r="H2857" i="73"/>
  <c r="B2853" i="73"/>
  <c r="A5507" i="68"/>
  <c r="D5507" i="68" s="1"/>
  <c r="AF5513" i="68"/>
  <c r="AF5512" i="68"/>
  <c r="AF5511" i="68"/>
  <c r="AF5510" i="68"/>
  <c r="AF5509" i="68"/>
  <c r="F5506" i="68"/>
  <c r="AE5504" i="68"/>
  <c r="AF5500" i="68"/>
  <c r="E5500" i="68"/>
  <c r="I2815" i="73"/>
  <c r="M2815" i="73" s="1"/>
  <c r="H2815" i="73"/>
  <c r="H2840" i="73"/>
  <c r="K2831" i="73"/>
  <c r="I2831" i="73"/>
  <c r="H2831" i="73"/>
  <c r="H2822" i="73"/>
  <c r="I2814" i="73"/>
  <c r="M2814" i="73" s="1"/>
  <c r="H2814" i="73"/>
  <c r="I2813" i="73"/>
  <c r="M2813" i="73" s="1"/>
  <c r="H2813" i="73"/>
  <c r="I2812" i="73"/>
  <c r="M2812" i="73" s="1"/>
  <c r="H2812" i="73"/>
  <c r="I2811" i="73"/>
  <c r="M2811" i="73" s="1"/>
  <c r="H2811" i="73"/>
  <c r="I2810" i="73"/>
  <c r="M2810" i="73" s="1"/>
  <c r="H2810" i="73"/>
  <c r="B2806" i="73"/>
  <c r="A5466" i="68"/>
  <c r="D5466" i="68" s="1"/>
  <c r="AF5472" i="68"/>
  <c r="AF5471" i="68"/>
  <c r="AF5470" i="68"/>
  <c r="AF5469" i="68"/>
  <c r="AF5468" i="68"/>
  <c r="F5465" i="68"/>
  <c r="AE5463" i="68"/>
  <c r="AF5459" i="68"/>
  <c r="E5459" i="68"/>
  <c r="AF5431" i="68"/>
  <c r="A5425" i="68"/>
  <c r="D5425" i="68" s="1"/>
  <c r="AF5430" i="68"/>
  <c r="AF5429" i="68"/>
  <c r="AF5428" i="68"/>
  <c r="AF5427" i="68"/>
  <c r="F5424" i="68"/>
  <c r="AE5422" i="68"/>
  <c r="AF5418" i="68"/>
  <c r="E5418" i="68"/>
  <c r="A5384" i="68"/>
  <c r="AF5389" i="68"/>
  <c r="AF5388" i="68"/>
  <c r="AF5387" i="68"/>
  <c r="AF5386" i="68"/>
  <c r="F5383" i="68"/>
  <c r="AE5381" i="68"/>
  <c r="AF5377" i="68"/>
  <c r="E5377" i="68"/>
  <c r="A5343" i="68"/>
  <c r="AF5348" i="68"/>
  <c r="AF5347" i="68"/>
  <c r="AF5346" i="68"/>
  <c r="AF5345" i="68"/>
  <c r="F5342" i="68"/>
  <c r="AE5340" i="68"/>
  <c r="AF5336" i="68"/>
  <c r="E5336" i="68"/>
  <c r="AF5305" i="68"/>
  <c r="AF5306" i="68"/>
  <c r="AF5307" i="68"/>
  <c r="AF5304" i="68"/>
  <c r="A5302" i="68"/>
  <c r="F5301" i="68"/>
  <c r="AE5299" i="68"/>
  <c r="AF5295" i="68"/>
  <c r="E5295" i="68"/>
  <c r="AB5266" i="68"/>
  <c r="AF5266" i="68" s="1"/>
  <c r="AB5265" i="68"/>
  <c r="AF5265" i="68" s="1"/>
  <c r="AB5264" i="68"/>
  <c r="AF5264" i="68" s="1"/>
  <c r="AB5263" i="68"/>
  <c r="AF5263" i="68" s="1"/>
  <c r="A5261" i="68"/>
  <c r="F5260" i="68"/>
  <c r="AE5258" i="68"/>
  <c r="AF5254" i="68"/>
  <c r="E5254" i="68"/>
  <c r="AB5224" i="68"/>
  <c r="AF5224" i="68" s="1"/>
  <c r="AB5223" i="68"/>
  <c r="AF5223" i="68" s="1"/>
  <c r="AB5222" i="68"/>
  <c r="AF5222" i="68" s="1"/>
  <c r="A5220" i="68"/>
  <c r="F5219" i="68"/>
  <c r="AE5217" i="68"/>
  <c r="AF5213" i="68"/>
  <c r="E5213" i="68"/>
  <c r="A5179" i="68"/>
  <c r="F5178" i="68"/>
  <c r="AE5176" i="68"/>
  <c r="AF5172" i="68"/>
  <c r="E5172" i="68"/>
  <c r="AC5154" i="68"/>
  <c r="AB5154" i="68"/>
  <c r="AE5153" i="68"/>
  <c r="AB5153" i="68"/>
  <c r="AB5152" i="68"/>
  <c r="AF5152" i="68" s="1"/>
  <c r="AF5151" i="68"/>
  <c r="AE5150" i="68"/>
  <c r="AC5150" i="68"/>
  <c r="AB5150" i="68"/>
  <c r="AE5149" i="68"/>
  <c r="AB5149" i="68"/>
  <c r="AE5148" i="68"/>
  <c r="AB5148" i="68"/>
  <c r="AF5147" i="68"/>
  <c r="AE5146" i="68"/>
  <c r="AC5146" i="68"/>
  <c r="AB5146" i="68"/>
  <c r="AE5145" i="68"/>
  <c r="AF5145" i="68" s="1"/>
  <c r="AF5144" i="68"/>
  <c r="AC5143" i="68"/>
  <c r="AB5143" i="68"/>
  <c r="AB5142" i="68"/>
  <c r="AF5142" i="68" s="1"/>
  <c r="AB5141" i="68"/>
  <c r="AF5141" i="68" s="1"/>
  <c r="A5138" i="68"/>
  <c r="AF5140" i="68"/>
  <c r="F5137" i="68"/>
  <c r="AE5135" i="68"/>
  <c r="AF5131" i="68"/>
  <c r="E5131" i="68"/>
  <c r="A5097" i="68"/>
  <c r="AF5102" i="68"/>
  <c r="AF5101" i="68"/>
  <c r="AF5100" i="68"/>
  <c r="AF5099" i="68"/>
  <c r="F5096" i="68"/>
  <c r="AE5094" i="68"/>
  <c r="AF5090" i="68"/>
  <c r="E5090" i="68"/>
  <c r="AE5061" i="68"/>
  <c r="F4983" i="68"/>
  <c r="A5059" i="68"/>
  <c r="D5059" i="68" s="1"/>
  <c r="F5058" i="68"/>
  <c r="F5020" i="68"/>
  <c r="AE5023" i="68"/>
  <c r="A5021" i="68"/>
  <c r="AD5061" i="68"/>
  <c r="AE5056" i="68"/>
  <c r="AF5052" i="68"/>
  <c r="E5052" i="68"/>
  <c r="AE5018" i="68"/>
  <c r="AF5014" i="68"/>
  <c r="E5014" i="68"/>
  <c r="AD4986" i="68"/>
  <c r="AD4989" i="68"/>
  <c r="AD4988" i="68"/>
  <c r="AD4987" i="68"/>
  <c r="A4984" i="68"/>
  <c r="D4984" i="68" s="1"/>
  <c r="AE4981" i="68"/>
  <c r="AF4977" i="68"/>
  <c r="E4977" i="68"/>
  <c r="A4943" i="68"/>
  <c r="AF4948" i="68"/>
  <c r="AC4989" i="68" s="1"/>
  <c r="AF4947" i="68"/>
  <c r="AC4988" i="68" s="1"/>
  <c r="AF4946" i="68"/>
  <c r="AC4987" i="68" s="1"/>
  <c r="AF4945" i="68"/>
  <c r="AC4986" i="68" s="1"/>
  <c r="F4942" i="68"/>
  <c r="AE4940" i="68"/>
  <c r="AF4936" i="68"/>
  <c r="E4936" i="68"/>
  <c r="AF4906" i="68"/>
  <c r="AB4988" i="68" s="1"/>
  <c r="AF4907" i="68"/>
  <c r="AB4989" i="68" s="1"/>
  <c r="AF4905" i="68"/>
  <c r="AB4987" i="68" s="1"/>
  <c r="AF4904" i="68"/>
  <c r="A4902" i="68"/>
  <c r="F4901" i="68"/>
  <c r="AE4899" i="68"/>
  <c r="AF4895" i="68"/>
  <c r="E4895" i="68"/>
  <c r="AF4866" i="68"/>
  <c r="AF4865" i="68"/>
  <c r="AF4864" i="68"/>
  <c r="AF4863" i="68"/>
  <c r="AC5760" i="68" l="1"/>
  <c r="AF5149" i="68"/>
  <c r="AF5154" i="68"/>
  <c r="AF5146" i="68"/>
  <c r="AF5150" i="68"/>
  <c r="AF5760" i="68"/>
  <c r="AC5762" i="68"/>
  <c r="AF5762" i="68" s="1"/>
  <c r="AC5755" i="68"/>
  <c r="AF5755" i="68" s="1"/>
  <c r="AF5148" i="68"/>
  <c r="AC5756" i="68"/>
  <c r="AF5756" i="68" s="1"/>
  <c r="AC5759" i="68"/>
  <c r="AF5759" i="68" s="1"/>
  <c r="AF5153" i="68"/>
  <c r="AC5758" i="68"/>
  <c r="AF5656" i="68"/>
  <c r="AF5658" i="68" s="1"/>
  <c r="AB5796" i="68" s="1"/>
  <c r="AB5834" i="68" s="1"/>
  <c r="AC5761" i="68"/>
  <c r="AF5761" i="68" s="1"/>
  <c r="AF5758" i="68"/>
  <c r="AF4928" i="68"/>
  <c r="AF4930" i="68" s="1"/>
  <c r="AB4986" i="68"/>
  <c r="AF5757" i="68"/>
  <c r="AF5492" i="68"/>
  <c r="AF5494" i="68" s="1"/>
  <c r="L226" i="58" s="1"/>
  <c r="AF5410" i="68"/>
  <c r="AF5412" i="68" s="1"/>
  <c r="L224" i="58" s="1"/>
  <c r="M2831" i="73"/>
  <c r="M2836" i="73" s="1"/>
  <c r="L2806" i="73" s="1"/>
  <c r="AF5978" i="68"/>
  <c r="AF5980" i="68" s="1"/>
  <c r="L245" i="58" s="1"/>
  <c r="AF5937" i="68"/>
  <c r="AF5939" i="68" s="1"/>
  <c r="L244" i="58" s="1"/>
  <c r="AF5896" i="68"/>
  <c r="AF5898" i="68" s="1"/>
  <c r="L243" i="58" s="1"/>
  <c r="D5952" i="68"/>
  <c r="D5870" i="68"/>
  <c r="D5671" i="68"/>
  <c r="D5794" i="68"/>
  <c r="D5753" i="68"/>
  <c r="AF5738" i="68"/>
  <c r="AF5740" i="68" s="1"/>
  <c r="L237" i="58" s="1"/>
  <c r="D5712" i="68"/>
  <c r="AF5697" i="68"/>
  <c r="AF5699" i="68" s="1"/>
  <c r="L236" i="58" s="1"/>
  <c r="D5630" i="68"/>
  <c r="AF5615" i="68"/>
  <c r="AF5617" i="68" s="1"/>
  <c r="L232" i="58" s="1"/>
  <c r="AF5574" i="68"/>
  <c r="AF5576" i="68" s="1"/>
  <c r="L228" i="58" s="1"/>
  <c r="D5548" i="68"/>
  <c r="M2878" i="73"/>
  <c r="M2883" i="73" s="1"/>
  <c r="L2853" i="73" s="1"/>
  <c r="M2865" i="73"/>
  <c r="J2853" i="73" s="1"/>
  <c r="AF5533" i="68"/>
  <c r="AF5535" i="68" s="1"/>
  <c r="L227" i="58" s="1"/>
  <c r="M2818" i="73"/>
  <c r="J2806" i="73" s="1"/>
  <c r="D5384" i="68"/>
  <c r="AF5451" i="68"/>
  <c r="AF5453" i="68" s="1"/>
  <c r="L225" i="58" s="1"/>
  <c r="AF5369" i="68"/>
  <c r="AF5371" i="68" s="1"/>
  <c r="L223" i="58" s="1"/>
  <c r="D5343" i="68"/>
  <c r="AF5328" i="68"/>
  <c r="AF5330" i="68" s="1"/>
  <c r="L222" i="58" s="1"/>
  <c r="D5302" i="68"/>
  <c r="AF5287" i="68"/>
  <c r="AF5289" i="68" s="1"/>
  <c r="L221" i="58" s="1"/>
  <c r="D5261" i="68"/>
  <c r="AF5246" i="68"/>
  <c r="AF5248" i="68" s="1"/>
  <c r="L219" i="58" s="1"/>
  <c r="D5220" i="68"/>
  <c r="D5179" i="68"/>
  <c r="AF5205" i="68"/>
  <c r="AF5207" i="68" s="1"/>
  <c r="L217" i="58" s="1"/>
  <c r="AF5143" i="68"/>
  <c r="AF5164" i="68" s="1"/>
  <c r="D5138" i="68"/>
  <c r="AF5123" i="68"/>
  <c r="AF5125" i="68" s="1"/>
  <c r="L214" i="58" s="1"/>
  <c r="D5097" i="68"/>
  <c r="D5021" i="68"/>
  <c r="AF4988" i="68"/>
  <c r="AF4989" i="68"/>
  <c r="AF4987" i="68"/>
  <c r="AF4986" i="68"/>
  <c r="AF4969" i="68"/>
  <c r="AF4971" i="68" s="1"/>
  <c r="L208" i="58" s="1"/>
  <c r="D4943" i="68"/>
  <c r="D4902" i="68"/>
  <c r="F4860" i="68"/>
  <c r="A4861" i="68"/>
  <c r="AF4887" i="68"/>
  <c r="AF4889" i="68" s="1"/>
  <c r="L204" i="58" s="1"/>
  <c r="AE4858" i="68"/>
  <c r="AF4854" i="68"/>
  <c r="E4854" i="68"/>
  <c r="AF4822" i="68"/>
  <c r="AF4846" i="68" s="1"/>
  <c r="AF4848" i="68" s="1"/>
  <c r="L199" i="58" s="1"/>
  <c r="A4820" i="68"/>
  <c r="F4819" i="68"/>
  <c r="AE4817" i="68"/>
  <c r="AF4813" i="68"/>
  <c r="E4813" i="68"/>
  <c r="A4779" i="68"/>
  <c r="AF4781" i="68"/>
  <c r="AF4805" i="68" s="1"/>
  <c r="AF4807" i="68" s="1"/>
  <c r="F4778" i="68"/>
  <c r="AE4776" i="68"/>
  <c r="AF4772" i="68"/>
  <c r="E4772" i="68"/>
  <c r="AF4740" i="68"/>
  <c r="AF4764" i="68" s="1"/>
  <c r="AF4766" i="68" s="1"/>
  <c r="L198" i="58" s="1"/>
  <c r="F4737" i="68"/>
  <c r="A4738" i="68"/>
  <c r="AE4735" i="68"/>
  <c r="AF4731" i="68"/>
  <c r="E4731" i="68"/>
  <c r="L193" i="58"/>
  <c r="A4697" i="68"/>
  <c r="AF4699" i="68"/>
  <c r="AF4723" i="68" s="1"/>
  <c r="AF4725" i="68" s="1"/>
  <c r="F4696" i="68"/>
  <c r="AE4694" i="68"/>
  <c r="AF4690" i="68"/>
  <c r="E4690" i="68"/>
  <c r="H2793" i="73"/>
  <c r="I2784" i="73"/>
  <c r="M2784" i="73" s="1"/>
  <c r="M2789" i="73" s="1"/>
  <c r="L2752" i="73" s="1"/>
  <c r="H2784" i="73"/>
  <c r="H2770" i="73"/>
  <c r="I2759" i="73"/>
  <c r="M2759" i="73" s="1"/>
  <c r="H2759" i="73"/>
  <c r="I2758" i="73"/>
  <c r="M2758" i="73" s="1"/>
  <c r="H2758" i="73"/>
  <c r="I2757" i="73"/>
  <c r="M2757" i="73" s="1"/>
  <c r="H2757" i="73"/>
  <c r="I2756" i="73"/>
  <c r="M2756" i="73" s="1"/>
  <c r="H2756" i="73"/>
  <c r="B2752" i="73"/>
  <c r="A4656" i="68"/>
  <c r="AF4658" i="68"/>
  <c r="AF4682" i="68" s="1"/>
  <c r="AF4684" i="68" s="1"/>
  <c r="L192" i="58" s="1"/>
  <c r="F4655" i="68"/>
  <c r="AE4653" i="68"/>
  <c r="AF4649" i="68"/>
  <c r="E4649" i="68"/>
  <c r="H2739" i="73"/>
  <c r="I2730" i="73"/>
  <c r="M2730" i="73" s="1"/>
  <c r="M2735" i="73" s="1"/>
  <c r="L2698" i="73" s="1"/>
  <c r="H2730" i="73"/>
  <c r="H2716" i="73"/>
  <c r="I2705" i="73"/>
  <c r="M2705" i="73" s="1"/>
  <c r="H2705" i="73"/>
  <c r="I2704" i="73"/>
  <c r="M2704" i="73" s="1"/>
  <c r="H2704" i="73"/>
  <c r="I2703" i="73"/>
  <c r="M2703" i="73" s="1"/>
  <c r="H2703" i="73"/>
  <c r="I2702" i="73"/>
  <c r="M2702" i="73" s="1"/>
  <c r="H2702" i="73"/>
  <c r="B2698" i="73"/>
  <c r="A4615" i="68"/>
  <c r="AF4617" i="68"/>
  <c r="AF4641" i="68" s="1"/>
  <c r="AF4643" i="68" s="1"/>
  <c r="L191" i="58" s="1"/>
  <c r="F4614" i="68"/>
  <c r="AE4612" i="68"/>
  <c r="AF4608" i="68"/>
  <c r="E4608" i="68"/>
  <c r="AF4332" i="68"/>
  <c r="A4088" i="68"/>
  <c r="AF4090" i="68"/>
  <c r="F4087" i="68"/>
  <c r="AE4085" i="68"/>
  <c r="AF4081" i="68"/>
  <c r="E4081" i="68"/>
  <c r="AF3975" i="68"/>
  <c r="H2685" i="73"/>
  <c r="I2676" i="73"/>
  <c r="M2676" i="73" s="1"/>
  <c r="M2681" i="73" s="1"/>
  <c r="L2649" i="73" s="1"/>
  <c r="H2676" i="73"/>
  <c r="I2670" i="73"/>
  <c r="H2670" i="73"/>
  <c r="I2669" i="73"/>
  <c r="H2669" i="73"/>
  <c r="I2668" i="73"/>
  <c r="H2668" i="73"/>
  <c r="H2667" i="73"/>
  <c r="I2659" i="73"/>
  <c r="H2659" i="73"/>
  <c r="I2653" i="73"/>
  <c r="M2653" i="73" s="1"/>
  <c r="M2663" i="73" s="1"/>
  <c r="J2649" i="73" s="1"/>
  <c r="H2653" i="73"/>
  <c r="B2649" i="73"/>
  <c r="AF4576" i="68"/>
  <c r="AF4600" i="68" s="1"/>
  <c r="AF4602" i="68" s="1"/>
  <c r="L190" i="58" s="1"/>
  <c r="A4574" i="68"/>
  <c r="F4573" i="68"/>
  <c r="AE4571" i="68"/>
  <c r="AF4567" i="68"/>
  <c r="E4567" i="68"/>
  <c r="AF4497" i="68"/>
  <c r="AF4535" i="68"/>
  <c r="A4533" i="68"/>
  <c r="F4532" i="68"/>
  <c r="AE4530" i="68"/>
  <c r="AF4526" i="68"/>
  <c r="E4526" i="68"/>
  <c r="AC4498" i="68"/>
  <c r="AF4498" i="68" s="1"/>
  <c r="AC4496" i="68"/>
  <c r="AC4495" i="68"/>
  <c r="AF4495" i="68" s="1"/>
  <c r="AC4494" i="68"/>
  <c r="AF4494" i="68" s="1"/>
  <c r="AB4496" i="68"/>
  <c r="A4492" i="68"/>
  <c r="F4491" i="68"/>
  <c r="AE4489" i="68"/>
  <c r="AF4485" i="68"/>
  <c r="E4485" i="68"/>
  <c r="AF4453" i="68"/>
  <c r="AF4477" i="68" s="1"/>
  <c r="AF4479" i="68" s="1"/>
  <c r="L187" i="58" s="1"/>
  <c r="A4451" i="68"/>
  <c r="F4450" i="68"/>
  <c r="AE4448" i="68"/>
  <c r="AF4444" i="68"/>
  <c r="E4444" i="68"/>
  <c r="AF4414" i="68"/>
  <c r="AF4413" i="68"/>
  <c r="A4410" i="68"/>
  <c r="AF4412" i="68"/>
  <c r="F4409" i="68"/>
  <c r="AE4407" i="68"/>
  <c r="AF4403" i="68"/>
  <c r="E4403" i="68"/>
  <c r="L234" i="58" l="1"/>
  <c r="AF5779" i="68"/>
  <c r="AF5781" i="68" s="1"/>
  <c r="AC5796" i="68" s="1"/>
  <c r="AB5023" i="68"/>
  <c r="AB5061" i="68" s="1"/>
  <c r="L206" i="58"/>
  <c r="AF4496" i="68"/>
  <c r="AF4518" i="68" s="1"/>
  <c r="AF4520" i="68" s="1"/>
  <c r="L188" i="58" s="1"/>
  <c r="AF5166" i="68"/>
  <c r="L215" i="58" s="1"/>
  <c r="AF5006" i="68"/>
  <c r="AF5008" i="68" s="1"/>
  <c r="D4861" i="68"/>
  <c r="D4820" i="68"/>
  <c r="D4779" i="68"/>
  <c r="D4738" i="68"/>
  <c r="D4697" i="68"/>
  <c r="M2766" i="73"/>
  <c r="J2752" i="73" s="1"/>
  <c r="D4656" i="68"/>
  <c r="M2712" i="73"/>
  <c r="J2698" i="73" s="1"/>
  <c r="D4615" i="68"/>
  <c r="AF4114" i="68"/>
  <c r="AF4116" i="68" s="1"/>
  <c r="L173" i="58" s="1"/>
  <c r="D4088" i="68"/>
  <c r="D4574" i="68"/>
  <c r="AF4559" i="68"/>
  <c r="AF4561" i="68" s="1"/>
  <c r="L189" i="58" s="1"/>
  <c r="D4533" i="68"/>
  <c r="D4492" i="68"/>
  <c r="D4451" i="68"/>
  <c r="AF4436" i="68"/>
  <c r="AF4438" i="68" s="1"/>
  <c r="L186" i="58" s="1"/>
  <c r="D4410" i="68"/>
  <c r="AB4371" i="68"/>
  <c r="AF4371" i="68" s="1"/>
  <c r="A4369" i="68"/>
  <c r="F4368" i="68"/>
  <c r="AE4366" i="68"/>
  <c r="AF4362" i="68"/>
  <c r="E4362" i="68"/>
  <c r="AF4331" i="68"/>
  <c r="AB4330" i="68"/>
  <c r="AF4330" i="68" s="1"/>
  <c r="A4328" i="68"/>
  <c r="D4328" i="68" s="1"/>
  <c r="F4327" i="68"/>
  <c r="AE4325" i="68"/>
  <c r="AF4321" i="68"/>
  <c r="E4321" i="68"/>
  <c r="A4287" i="68"/>
  <c r="F4286" i="68"/>
  <c r="AE4284" i="68"/>
  <c r="AF4280" i="68"/>
  <c r="E4280" i="68"/>
  <c r="AF4255" i="68"/>
  <c r="AC4254" i="68"/>
  <c r="AB4254" i="68"/>
  <c r="AB4253" i="68"/>
  <c r="AF4253" i="68" s="1"/>
  <c r="AF4252" i="68"/>
  <c r="AD4251" i="68"/>
  <c r="AF4251" i="68" s="1"/>
  <c r="A4246" i="68"/>
  <c r="F4245" i="68"/>
  <c r="AE4243" i="68"/>
  <c r="AF4239" i="68"/>
  <c r="E4239" i="68"/>
  <c r="AF4209" i="68"/>
  <c r="AF4210" i="68"/>
  <c r="AE4207" i="68"/>
  <c r="A4205" i="68"/>
  <c r="F4204" i="68"/>
  <c r="AE4202" i="68"/>
  <c r="AF4198" i="68"/>
  <c r="E4198" i="68"/>
  <c r="F4166" i="68"/>
  <c r="AE4169" i="68"/>
  <c r="A4167" i="68"/>
  <c r="AE4131" i="68"/>
  <c r="A4129" i="68"/>
  <c r="AD4169" i="68"/>
  <c r="AE4164" i="68"/>
  <c r="AF4160" i="68"/>
  <c r="E4160" i="68"/>
  <c r="F4128" i="68"/>
  <c r="AE4126" i="68"/>
  <c r="AF4122" i="68"/>
  <c r="E4122" i="68"/>
  <c r="AD4056" i="68"/>
  <c r="AD4055" i="68"/>
  <c r="A4051" i="68"/>
  <c r="D4051" i="68" s="1"/>
  <c r="F4050" i="68"/>
  <c r="AE4048" i="68"/>
  <c r="AF4044" i="68"/>
  <c r="E4044" i="68"/>
  <c r="AE4013" i="68"/>
  <c r="AE4208" i="68" s="1"/>
  <c r="AE4012" i="68"/>
  <c r="AC3931" i="68"/>
  <c r="AC4013" i="68" s="1"/>
  <c r="AC4208" i="68" s="1"/>
  <c r="AC3930" i="68"/>
  <c r="AC4012" i="68" s="1"/>
  <c r="AC4207" i="68" s="1"/>
  <c r="AC4248" i="68" s="1"/>
  <c r="AB4250" i="68" s="1"/>
  <c r="AF4250" i="68" s="1"/>
  <c r="AB3931" i="68"/>
  <c r="AB4013" i="68" s="1"/>
  <c r="AB3930" i="68"/>
  <c r="AB4012" i="68" s="1"/>
  <c r="A4010" i="68"/>
  <c r="AF4015" i="68"/>
  <c r="AF4014" i="68"/>
  <c r="F4009" i="68"/>
  <c r="AE4007" i="68"/>
  <c r="AF4003" i="68"/>
  <c r="E4003" i="68"/>
  <c r="AB3974" i="68"/>
  <c r="AF3974" i="68" s="1"/>
  <c r="AC4056" i="68" s="1"/>
  <c r="AB3973" i="68"/>
  <c r="AF3973" i="68" s="1"/>
  <c r="AC4055" i="68" s="1"/>
  <c r="A3969" i="68"/>
  <c r="D3969" i="68" s="1"/>
  <c r="AF3972" i="68"/>
  <c r="AF3971" i="68"/>
  <c r="F3968" i="68"/>
  <c r="AE3966" i="68"/>
  <c r="AF3962" i="68"/>
  <c r="E3962" i="68"/>
  <c r="AF3933" i="68"/>
  <c r="AB4056" i="68" s="1"/>
  <c r="AF3932" i="68"/>
  <c r="AB4055" i="68" s="1"/>
  <c r="A3928" i="68"/>
  <c r="D3928" i="68" s="1"/>
  <c r="F3927" i="68"/>
  <c r="AE3925" i="68"/>
  <c r="AF3921" i="68"/>
  <c r="E3921" i="68"/>
  <c r="AF3890" i="68"/>
  <c r="AF3889" i="68"/>
  <c r="F3886" i="68"/>
  <c r="A3887" i="68"/>
  <c r="D3887" i="68" s="1"/>
  <c r="AE3884" i="68"/>
  <c r="AF3880" i="68"/>
  <c r="E3880" i="68"/>
  <c r="A3846" i="68"/>
  <c r="AF3848" i="68"/>
  <c r="AF3872" i="68" s="1"/>
  <c r="AF3874" i="68" s="1"/>
  <c r="L161" i="58" s="1"/>
  <c r="F3845" i="68"/>
  <c r="AE3843" i="68"/>
  <c r="AF3839" i="68"/>
  <c r="E3839" i="68"/>
  <c r="H2636" i="73"/>
  <c r="I2627" i="73"/>
  <c r="M2627" i="73" s="1"/>
  <c r="M2632" i="73" s="1"/>
  <c r="L2596" i="73" s="1"/>
  <c r="H2627" i="73"/>
  <c r="H2613" i="73"/>
  <c r="I2604" i="73"/>
  <c r="M2604" i="73" s="1"/>
  <c r="H2604" i="73"/>
  <c r="I2603" i="73"/>
  <c r="M2603" i="73" s="1"/>
  <c r="H2603" i="73"/>
  <c r="I2602" i="73"/>
  <c r="M2602" i="73" s="1"/>
  <c r="H2602" i="73"/>
  <c r="I2601" i="73"/>
  <c r="M2601" i="73" s="1"/>
  <c r="H2601" i="73"/>
  <c r="I2600" i="73"/>
  <c r="M2600" i="73" s="1"/>
  <c r="H2600" i="73"/>
  <c r="B2596" i="73"/>
  <c r="H2582" i="73"/>
  <c r="I2573" i="73"/>
  <c r="M2573" i="73" s="1"/>
  <c r="M2578" i="73" s="1"/>
  <c r="L2541" i="73" s="1"/>
  <c r="H2573" i="73"/>
  <c r="H2559" i="73"/>
  <c r="I2550" i="73"/>
  <c r="M2550" i="73" s="1"/>
  <c r="H2550" i="73"/>
  <c r="I2549" i="73"/>
  <c r="M2549" i="73" s="1"/>
  <c r="H2549" i="73"/>
  <c r="I2548" i="73"/>
  <c r="M2548" i="73" s="1"/>
  <c r="H2548" i="73"/>
  <c r="I2547" i="73"/>
  <c r="M2547" i="73" s="1"/>
  <c r="H2547" i="73"/>
  <c r="I2546" i="73"/>
  <c r="M2546" i="73" s="1"/>
  <c r="H2546" i="73"/>
  <c r="I2545" i="73"/>
  <c r="M2545" i="73" s="1"/>
  <c r="H2545" i="73"/>
  <c r="B2541" i="73"/>
  <c r="A3805" i="68"/>
  <c r="AF3807" i="68"/>
  <c r="AF3831" i="68" s="1"/>
  <c r="AF3833" i="68" s="1"/>
  <c r="L160" i="58" s="1"/>
  <c r="F3804" i="68"/>
  <c r="AE3802" i="68"/>
  <c r="AF3798" i="68"/>
  <c r="E3798" i="68"/>
  <c r="L159" i="58"/>
  <c r="H2527" i="73"/>
  <c r="I2518" i="73"/>
  <c r="M2518" i="73" s="1"/>
  <c r="M2523" i="73" s="1"/>
  <c r="L2486" i="73" s="1"/>
  <c r="H2518" i="73"/>
  <c r="H2504" i="73"/>
  <c r="I2493" i="73"/>
  <c r="M2493" i="73" s="1"/>
  <c r="H2493" i="73"/>
  <c r="I2492" i="73"/>
  <c r="M2492" i="73" s="1"/>
  <c r="H2492" i="73"/>
  <c r="I2491" i="73"/>
  <c r="M2491" i="73" s="1"/>
  <c r="H2491" i="73"/>
  <c r="I2490" i="73"/>
  <c r="M2490" i="73" s="1"/>
  <c r="H2490" i="73"/>
  <c r="B2486" i="73"/>
  <c r="A3764" i="68"/>
  <c r="AF3766" i="68"/>
  <c r="AF3790" i="68" s="1"/>
  <c r="AF3792" i="68" s="1"/>
  <c r="F3763" i="68"/>
  <c r="AE3761" i="68"/>
  <c r="AF3757" i="68"/>
  <c r="E3757" i="68"/>
  <c r="A3723" i="68"/>
  <c r="AF3725" i="68"/>
  <c r="AF3749" i="68" s="1"/>
  <c r="AF3751" i="68" s="1"/>
  <c r="L158" i="58" s="1"/>
  <c r="F3722" i="68"/>
  <c r="AE3720" i="68"/>
  <c r="AF3716" i="68"/>
  <c r="E3716" i="68"/>
  <c r="A3682" i="68"/>
  <c r="AF3684" i="68"/>
  <c r="AF3708" i="68" s="1"/>
  <c r="AF3710" i="68" s="1"/>
  <c r="L157" i="58" s="1"/>
  <c r="F3681" i="68"/>
  <c r="AE3679" i="68"/>
  <c r="AF3675" i="68"/>
  <c r="E3675" i="68"/>
  <c r="A3641" i="68"/>
  <c r="AF3643" i="68"/>
  <c r="AF3667" i="68" s="1"/>
  <c r="AF3669" i="68" s="1"/>
  <c r="L156" i="58" s="1"/>
  <c r="F3640" i="68"/>
  <c r="AE3638" i="68"/>
  <c r="AF3634" i="68"/>
  <c r="E3634" i="68"/>
  <c r="AF3603" i="68"/>
  <c r="AF3604" i="68"/>
  <c r="AF3562" i="68"/>
  <c r="AF3563" i="68"/>
  <c r="A3600" i="68"/>
  <c r="AF3602" i="68"/>
  <c r="F3599" i="68"/>
  <c r="AE3597" i="68"/>
  <c r="AF3593" i="68"/>
  <c r="E3593" i="68"/>
  <c r="AF3561" i="68"/>
  <c r="AF3398" i="68"/>
  <c r="A3559" i="68"/>
  <c r="F3558" i="68"/>
  <c r="AE3556" i="68"/>
  <c r="AF3552" i="68"/>
  <c r="E3552" i="68"/>
  <c r="AB3522" i="68"/>
  <c r="AF3522" i="68" s="1"/>
  <c r="AB3521" i="68"/>
  <c r="AF3521" i="68" s="1"/>
  <c r="A3518" i="68"/>
  <c r="AF3520" i="68"/>
  <c r="F3517" i="68"/>
  <c r="AE3515" i="68"/>
  <c r="AF3511" i="68"/>
  <c r="E3511" i="68"/>
  <c r="AF3479" i="68"/>
  <c r="AF3503" i="68" s="1"/>
  <c r="AF3505" i="68" s="1"/>
  <c r="L151" i="58" s="1"/>
  <c r="A3477" i="68"/>
  <c r="F3476" i="68"/>
  <c r="AE3474" i="68"/>
  <c r="AF3470" i="68"/>
  <c r="E3470" i="68"/>
  <c r="AF3439" i="68"/>
  <c r="AF3438" i="68"/>
  <c r="A3436" i="68"/>
  <c r="F3435" i="68"/>
  <c r="AE3433" i="68"/>
  <c r="AF3429" i="68"/>
  <c r="E3429" i="68"/>
  <c r="A3395" i="68"/>
  <c r="D3395" i="68" s="1"/>
  <c r="F3394" i="68"/>
  <c r="AE3392" i="68"/>
  <c r="AF3388" i="68"/>
  <c r="E3388" i="68"/>
  <c r="A3354" i="68"/>
  <c r="F3353" i="68"/>
  <c r="AE3351" i="68"/>
  <c r="AF3347" i="68"/>
  <c r="E3347" i="68"/>
  <c r="A3313" i="68"/>
  <c r="F3312" i="68"/>
  <c r="AE3310" i="68"/>
  <c r="AF3306" i="68"/>
  <c r="E3306" i="68"/>
  <c r="AF3277" i="68"/>
  <c r="A3272" i="68"/>
  <c r="F3271" i="68"/>
  <c r="AE3269" i="68"/>
  <c r="AF3265" i="68"/>
  <c r="E3265" i="68"/>
  <c r="AE3236" i="68"/>
  <c r="A3234" i="68"/>
  <c r="F3233" i="68"/>
  <c r="AE3198" i="68"/>
  <c r="A3196" i="68"/>
  <c r="F3195" i="68"/>
  <c r="AD3236" i="68"/>
  <c r="AE3231" i="68"/>
  <c r="AF3227" i="68"/>
  <c r="E3227" i="68"/>
  <c r="AE3193" i="68"/>
  <c r="AF3189" i="68"/>
  <c r="E3189" i="68"/>
  <c r="A3159" i="68"/>
  <c r="F3158" i="68"/>
  <c r="AE3156" i="68"/>
  <c r="AF3152" i="68"/>
  <c r="E3152" i="68"/>
  <c r="AC3039" i="68"/>
  <c r="AC3121" i="68" s="1"/>
  <c r="AC3275" i="68" s="1"/>
  <c r="AC3317" i="68" s="1"/>
  <c r="AB3319" i="68" s="1"/>
  <c r="AF3319" i="68" s="1"/>
  <c r="AC3040" i="68"/>
  <c r="AC3122" i="68" s="1"/>
  <c r="AC3276" i="68" s="1"/>
  <c r="AC3321" i="68" s="1"/>
  <c r="AB3039" i="68"/>
  <c r="AB3040" i="68"/>
  <c r="AB3038" i="68"/>
  <c r="AB3120" i="68" s="1"/>
  <c r="AB3274" i="68" s="1"/>
  <c r="A3118" i="68"/>
  <c r="AF3123" i="68"/>
  <c r="F3117" i="68"/>
  <c r="AE3115" i="68"/>
  <c r="AF3111" i="68"/>
  <c r="E3111" i="68"/>
  <c r="A3077" i="68"/>
  <c r="D3077" i="68" s="1"/>
  <c r="AF3082" i="68"/>
  <c r="AC3164" i="68" s="1"/>
  <c r="AF3081" i="68"/>
  <c r="AF3080" i="68"/>
  <c r="AF3079" i="68"/>
  <c r="F3076" i="68"/>
  <c r="AE3074" i="68"/>
  <c r="AF3070" i="68"/>
  <c r="E3070" i="68"/>
  <c r="AF3041" i="68"/>
  <c r="AB3164" i="68" s="1"/>
  <c r="AD3164" i="68" s="1"/>
  <c r="A3036" i="68"/>
  <c r="D3036" i="68" s="1"/>
  <c r="F3035" i="68"/>
  <c r="AE3033" i="68"/>
  <c r="AF3029" i="68"/>
  <c r="E3029" i="68"/>
  <c r="AF2998" i="68"/>
  <c r="AF2999" i="68"/>
  <c r="AF2997" i="68"/>
  <c r="F2994" i="68"/>
  <c r="A2995" i="68"/>
  <c r="D2995" i="68" s="1"/>
  <c r="AE2992" i="68"/>
  <c r="AF2988" i="68"/>
  <c r="E2988" i="68"/>
  <c r="L238" i="58" l="1"/>
  <c r="AD4053" i="68"/>
  <c r="AF4254" i="68"/>
  <c r="AF5796" i="68"/>
  <c r="AF5817" i="68" s="1"/>
  <c r="AF5819" i="68" s="1"/>
  <c r="L240" i="58" s="1"/>
  <c r="AC5834" i="68"/>
  <c r="AF5834" i="68" s="1"/>
  <c r="AF5855" i="68" s="1"/>
  <c r="AF5857" i="68" s="1"/>
  <c r="L241" i="58" s="1"/>
  <c r="L209" i="58"/>
  <c r="AC5023" i="68"/>
  <c r="AF3931" i="68"/>
  <c r="AB4054" i="68" s="1"/>
  <c r="AF3038" i="68"/>
  <c r="AB3161" i="68" s="1"/>
  <c r="AD4054" i="68"/>
  <c r="AB3315" i="68"/>
  <c r="AC3120" i="68"/>
  <c r="AF3120" i="68" s="1"/>
  <c r="AB4207" i="68"/>
  <c r="AB4208" i="68"/>
  <c r="AF4208" i="68" s="1"/>
  <c r="AF3930" i="68"/>
  <c r="AB4053" i="68" s="1"/>
  <c r="AC3324" i="68"/>
  <c r="AB3323" i="68"/>
  <c r="AF3323" i="68" s="1"/>
  <c r="AF3164" i="68"/>
  <c r="AF3040" i="68"/>
  <c r="AB3163" i="68" s="1"/>
  <c r="AF4395" i="68"/>
  <c r="AF4397" i="68" s="1"/>
  <c r="L184" i="58" s="1"/>
  <c r="D4369" i="68"/>
  <c r="AF4354" i="68"/>
  <c r="AF4356" i="68" s="1"/>
  <c r="L183" i="58" s="1"/>
  <c r="D4287" i="68"/>
  <c r="AF4313" i="68"/>
  <c r="AF4315" i="68" s="1"/>
  <c r="L181" i="58" s="1"/>
  <c r="D4246" i="68"/>
  <c r="D4205" i="68"/>
  <c r="D4167" i="68"/>
  <c r="D4129" i="68"/>
  <c r="AF4056" i="68"/>
  <c r="AF4055" i="68"/>
  <c r="AF4013" i="68"/>
  <c r="AC4054" i="68" s="1"/>
  <c r="AF4012" i="68"/>
  <c r="AC4053" i="68" s="1"/>
  <c r="D4010" i="68"/>
  <c r="AF3995" i="68"/>
  <c r="AF3997" i="68" s="1"/>
  <c r="L170" i="58" s="1"/>
  <c r="AF3913" i="68"/>
  <c r="AF3915" i="68" s="1"/>
  <c r="L166" i="58" s="1"/>
  <c r="D3846" i="68"/>
  <c r="M2609" i="73"/>
  <c r="J2596" i="73" s="1"/>
  <c r="M2555" i="73"/>
  <c r="J2541" i="73" s="1"/>
  <c r="D3805" i="68"/>
  <c r="M2500" i="73"/>
  <c r="J2486" i="73" s="1"/>
  <c r="D3764" i="68"/>
  <c r="D3723" i="68"/>
  <c r="D3682" i="68"/>
  <c r="D3641" i="68"/>
  <c r="AF3626" i="68"/>
  <c r="AF3628" i="68" s="1"/>
  <c r="L155" i="58" s="1"/>
  <c r="D3600" i="68"/>
  <c r="AF3585" i="68"/>
  <c r="AF3587" i="68" s="1"/>
  <c r="L154" i="58" s="1"/>
  <c r="D3559" i="68"/>
  <c r="AF3544" i="68"/>
  <c r="AF3546" i="68" s="1"/>
  <c r="L153" i="58" s="1"/>
  <c r="D3518" i="68"/>
  <c r="D3477" i="68"/>
  <c r="AF3462" i="68"/>
  <c r="AF3464" i="68" s="1"/>
  <c r="L150" i="58" s="1"/>
  <c r="D3436" i="68"/>
  <c r="AF3380" i="68"/>
  <c r="AF3382" i="68" s="1"/>
  <c r="L147" i="58" s="1"/>
  <c r="D3354" i="68"/>
  <c r="D3313" i="68"/>
  <c r="D3272" i="68"/>
  <c r="D3234" i="68"/>
  <c r="D3196" i="68"/>
  <c r="D3159" i="68"/>
  <c r="AF3039" i="68"/>
  <c r="AB3162" i="68" s="1"/>
  <c r="AB3122" i="68"/>
  <c r="AB3121" i="68"/>
  <c r="AF3121" i="68" s="1"/>
  <c r="D3118" i="68"/>
  <c r="AF3103" i="68"/>
  <c r="AF3105" i="68" s="1"/>
  <c r="L137" i="58" s="1"/>
  <c r="AF3021" i="68"/>
  <c r="AF3023" i="68" s="1"/>
  <c r="L133" i="58" s="1"/>
  <c r="A2954" i="68"/>
  <c r="AF2956" i="68"/>
  <c r="AF2980" i="68" s="1"/>
  <c r="AF2982" i="68" s="1"/>
  <c r="L128" i="58" s="1"/>
  <c r="F2953" i="68"/>
  <c r="AE2951" i="68"/>
  <c r="AF2947" i="68"/>
  <c r="E2947" i="68"/>
  <c r="AF2915" i="68"/>
  <c r="AF2939" i="68" s="1"/>
  <c r="AF2941" i="68" s="1"/>
  <c r="L127" i="58" s="1"/>
  <c r="A2913" i="68"/>
  <c r="D2913" i="68" s="1"/>
  <c r="F2912" i="68"/>
  <c r="AE2910" i="68"/>
  <c r="AF2906" i="68"/>
  <c r="E2906" i="68"/>
  <c r="A2872" i="68"/>
  <c r="F2871" i="68"/>
  <c r="AE2869" i="68"/>
  <c r="AF2865" i="68"/>
  <c r="E2865" i="68"/>
  <c r="AB2833" i="68"/>
  <c r="AF2833" i="68" s="1"/>
  <c r="AF2857" i="68" s="1"/>
  <c r="AF2859" i="68" s="1"/>
  <c r="L124" i="58" s="1"/>
  <c r="A2831" i="68"/>
  <c r="F2830" i="68"/>
  <c r="AE2828" i="68"/>
  <c r="AF2824" i="68"/>
  <c r="E2824" i="68"/>
  <c r="A2790" i="68"/>
  <c r="F2789" i="68"/>
  <c r="AE2787" i="68"/>
  <c r="AF2783" i="68"/>
  <c r="E2783" i="68"/>
  <c r="AF2752" i="68"/>
  <c r="AF2753" i="68"/>
  <c r="AF2754" i="68"/>
  <c r="AF2757" i="68"/>
  <c r="AC2756" i="68"/>
  <c r="AC2758" i="68" s="1"/>
  <c r="AB2756" i="68"/>
  <c r="AB2758" i="68" s="1"/>
  <c r="AC2751" i="68"/>
  <c r="AC2755" i="68" s="1"/>
  <c r="AB2751" i="68"/>
  <c r="A2749" i="68"/>
  <c r="F2748" i="68"/>
  <c r="AE2746" i="68"/>
  <c r="AF2742" i="68"/>
  <c r="E2742" i="68"/>
  <c r="A2708" i="68"/>
  <c r="AF2711" i="68"/>
  <c r="AF2710" i="68"/>
  <c r="F2707" i="68"/>
  <c r="AE2705" i="68"/>
  <c r="AF2701" i="68"/>
  <c r="E2701" i="68"/>
  <c r="AE2672" i="68"/>
  <c r="AD2672" i="68"/>
  <c r="A2670" i="68"/>
  <c r="F2669" i="68"/>
  <c r="AE2634" i="68"/>
  <c r="AD2598" i="68"/>
  <c r="AD2597" i="68"/>
  <c r="A2595" i="68"/>
  <c r="D2595" i="68" s="1"/>
  <c r="F2594" i="68"/>
  <c r="AE2592" i="68"/>
  <c r="AF2588" i="68"/>
  <c r="E2588" i="68"/>
  <c r="A2632" i="68"/>
  <c r="D2632" i="68" s="1"/>
  <c r="F2631" i="68"/>
  <c r="AE2667" i="68"/>
  <c r="AF2663" i="68"/>
  <c r="E2663" i="68"/>
  <c r="AE2629" i="68"/>
  <c r="AF2625" i="68"/>
  <c r="E2625" i="68"/>
  <c r="AF2557" i="68"/>
  <c r="AC2433" i="68"/>
  <c r="AC2474" i="68" s="1"/>
  <c r="AB2433" i="68"/>
  <c r="AB2434" i="68"/>
  <c r="AB2475" i="68" s="1"/>
  <c r="AC2434" i="68"/>
  <c r="AC2475" i="68" s="1"/>
  <c r="AF2556" i="68"/>
  <c r="AC2597" i="68" s="1"/>
  <c r="A2554" i="68"/>
  <c r="F2553" i="68"/>
  <c r="AE2551" i="68"/>
  <c r="AF2547" i="68"/>
  <c r="E2547" i="68"/>
  <c r="AC2515" i="68"/>
  <c r="AB2515" i="68"/>
  <c r="AD2599" i="68" s="1"/>
  <c r="A2513" i="68"/>
  <c r="F2512" i="68"/>
  <c r="AE2510" i="68"/>
  <c r="AF2506" i="68"/>
  <c r="E2506" i="68"/>
  <c r="AF2476" i="68"/>
  <c r="AB2599" i="68" s="1"/>
  <c r="A2472" i="68"/>
  <c r="F2471" i="68"/>
  <c r="AE2469" i="68"/>
  <c r="AF2465" i="68"/>
  <c r="E2465" i="68"/>
  <c r="A2431" i="68"/>
  <c r="F2430" i="68"/>
  <c r="AE2428" i="68"/>
  <c r="AF2424" i="68"/>
  <c r="E2424" i="68"/>
  <c r="AF2751" i="68" l="1"/>
  <c r="AF4054" i="68"/>
  <c r="AF3954" i="68"/>
  <c r="AF3956" i="68" s="1"/>
  <c r="L168" i="58" s="1"/>
  <c r="AF4053" i="68"/>
  <c r="AF2758" i="68"/>
  <c r="AF2433" i="68"/>
  <c r="AC5061" i="68"/>
  <c r="AF5061" i="68" s="1"/>
  <c r="AF5082" i="68" s="1"/>
  <c r="AF5084" i="68" s="1"/>
  <c r="L212" i="58" s="1"/>
  <c r="AF5023" i="68"/>
  <c r="AF5044" i="68" s="1"/>
  <c r="AF5046" i="68" s="1"/>
  <c r="L211" i="58" s="1"/>
  <c r="AF2580" i="68"/>
  <c r="AF2582" i="68" s="1"/>
  <c r="AB2755" i="68"/>
  <c r="AF2755" i="68" s="1"/>
  <c r="AF2515" i="68"/>
  <c r="AC2599" i="68" s="1"/>
  <c r="AF2756" i="68"/>
  <c r="AB2875" i="68"/>
  <c r="AF2875" i="68" s="1"/>
  <c r="AF4207" i="68"/>
  <c r="AF4231" i="68" s="1"/>
  <c r="AF4233" i="68" s="1"/>
  <c r="L178" i="58" s="1"/>
  <c r="AB4248" i="68"/>
  <c r="AC3274" i="68"/>
  <c r="AD3161" i="68"/>
  <c r="AB2874" i="68"/>
  <c r="AF2874" i="68" s="1"/>
  <c r="AB3316" i="68"/>
  <c r="AF3316" i="68" s="1"/>
  <c r="AB3325" i="68"/>
  <c r="AF3325" i="68" s="1"/>
  <c r="AB3320" i="68"/>
  <c r="AF3062" i="68"/>
  <c r="AF3064" i="68" s="1"/>
  <c r="AF3122" i="68"/>
  <c r="AF3144" i="68" s="1"/>
  <c r="AF3146" i="68" s="1"/>
  <c r="L138" i="58" s="1"/>
  <c r="AD3163" i="68"/>
  <c r="AB3276" i="68"/>
  <c r="AD3162" i="68"/>
  <c r="AB3275" i="68"/>
  <c r="AF4036" i="68"/>
  <c r="AF4038" i="68" s="1"/>
  <c r="L171" i="58" s="1"/>
  <c r="D2954" i="68"/>
  <c r="D2872" i="68"/>
  <c r="D2831" i="68"/>
  <c r="D2790" i="68"/>
  <c r="D2749" i="68"/>
  <c r="AF2734" i="68"/>
  <c r="AF2736" i="68" s="1"/>
  <c r="L119" i="58" s="1"/>
  <c r="D2708" i="68"/>
  <c r="AC2598" i="68"/>
  <c r="L113" i="58"/>
  <c r="D2670" i="68"/>
  <c r="AB2474" i="68"/>
  <c r="AF2474" i="68" s="1"/>
  <c r="AB2597" i="68" s="1"/>
  <c r="AF2597" i="68" s="1"/>
  <c r="AF2475" i="68"/>
  <c r="AB2598" i="68" s="1"/>
  <c r="AF2434" i="68"/>
  <c r="D2554" i="68"/>
  <c r="D2513" i="68"/>
  <c r="D2472" i="68"/>
  <c r="D2431" i="68"/>
  <c r="AF1203" i="68"/>
  <c r="AF1204" i="68"/>
  <c r="AF1205" i="68"/>
  <c r="Z1204" i="68"/>
  <c r="Z1205" i="68"/>
  <c r="Z1203" i="68"/>
  <c r="AE1237" i="68"/>
  <c r="AF1237" i="68" s="1"/>
  <c r="AE1236" i="68"/>
  <c r="AF1236" i="68" s="1"/>
  <c r="AF1656" i="68"/>
  <c r="AF2392" i="68"/>
  <c r="AF2416" i="68" s="1"/>
  <c r="AF2418" i="68" s="1"/>
  <c r="L103" i="58" s="1"/>
  <c r="A2390" i="68"/>
  <c r="D2390" i="68" s="1"/>
  <c r="F2389" i="68"/>
  <c r="AE2387" i="68"/>
  <c r="AF2383" i="68"/>
  <c r="E2383" i="68"/>
  <c r="A2349" i="68"/>
  <c r="F2348" i="68"/>
  <c r="AE2346" i="68"/>
  <c r="AF2342" i="68"/>
  <c r="E2342" i="68"/>
  <c r="A2308" i="68"/>
  <c r="F2307" i="68"/>
  <c r="AE2305" i="68"/>
  <c r="AF2301" i="68"/>
  <c r="E2301" i="68"/>
  <c r="AC2269" i="68"/>
  <c r="AB2269" i="68"/>
  <c r="AB2310" i="68" s="1"/>
  <c r="AB2351" i="68" s="1"/>
  <c r="A2267" i="68"/>
  <c r="F2266" i="68"/>
  <c r="AE2264" i="68"/>
  <c r="AF2260" i="68"/>
  <c r="E2260" i="68"/>
  <c r="A2226" i="68"/>
  <c r="AF2228" i="68"/>
  <c r="AF2252" i="68" s="1"/>
  <c r="AF2254" i="68" s="1"/>
  <c r="L99" i="58" s="1"/>
  <c r="F2225" i="68"/>
  <c r="AE2223" i="68"/>
  <c r="AF2219" i="68"/>
  <c r="E2219" i="68"/>
  <c r="AF2187" i="68"/>
  <c r="A2185" i="68"/>
  <c r="F2184" i="68"/>
  <c r="AE2182" i="68"/>
  <c r="AF2178" i="68"/>
  <c r="E2178" i="68"/>
  <c r="A2144" i="68"/>
  <c r="D2144" i="68" s="1"/>
  <c r="AF2147" i="68"/>
  <c r="AF2146" i="68"/>
  <c r="F2143" i="68"/>
  <c r="AE2141" i="68"/>
  <c r="AF2137" i="68"/>
  <c r="E2137" i="68"/>
  <c r="A2103" i="68"/>
  <c r="AF2106" i="68"/>
  <c r="AF2105" i="68"/>
  <c r="F2102" i="68"/>
  <c r="AE2100" i="68"/>
  <c r="AF2096" i="68"/>
  <c r="E2096" i="68"/>
  <c r="A2062" i="68"/>
  <c r="AF2065" i="68"/>
  <c r="AF2064" i="68"/>
  <c r="F2061" i="68"/>
  <c r="AE2059" i="68"/>
  <c r="AF2055" i="68"/>
  <c r="E2055" i="68"/>
  <c r="AF2024" i="68"/>
  <c r="AF2025" i="68"/>
  <c r="A2021" i="68"/>
  <c r="AF2023" i="68"/>
  <c r="F2020" i="68"/>
  <c r="AE2018" i="68"/>
  <c r="AF2014" i="68"/>
  <c r="E2014" i="68"/>
  <c r="AE1824" i="68"/>
  <c r="A1980" i="68"/>
  <c r="AF1982" i="68"/>
  <c r="AF2006" i="68" s="1"/>
  <c r="AF2008" i="68" s="1"/>
  <c r="L93" i="58" s="1"/>
  <c r="F1979" i="68"/>
  <c r="AE1977" i="68"/>
  <c r="AF1973" i="68"/>
  <c r="E1973" i="68"/>
  <c r="A1939" i="68"/>
  <c r="AF1941" i="68"/>
  <c r="AF1965" i="68" s="1"/>
  <c r="AF1967" i="68" s="1"/>
  <c r="L92" i="58" s="1"/>
  <c r="F1938" i="68"/>
  <c r="AE1936" i="68"/>
  <c r="AF1932" i="68"/>
  <c r="E1932" i="68"/>
  <c r="AB4131" i="68" l="1"/>
  <c r="AF4073" i="68"/>
  <c r="AF4075" i="68" s="1"/>
  <c r="AC4131" i="68" s="1"/>
  <c r="AC4169" i="68" s="1"/>
  <c r="AF2088" i="68"/>
  <c r="AF2090" i="68" s="1"/>
  <c r="L95" i="58" s="1"/>
  <c r="AF2898" i="68"/>
  <c r="AF2900" i="68" s="1"/>
  <c r="L126" i="58" s="1"/>
  <c r="AF2775" i="68"/>
  <c r="AF2777" i="68" s="1"/>
  <c r="L120" i="58" s="1"/>
  <c r="AF2457" i="68"/>
  <c r="AF2459" i="68" s="1"/>
  <c r="L108" i="58" s="1"/>
  <c r="AF2170" i="68"/>
  <c r="AF2172" i="68" s="1"/>
  <c r="L97" i="58" s="1"/>
  <c r="AF2269" i="68"/>
  <c r="AF2293" i="68" s="1"/>
  <c r="AF2295" i="68" s="1"/>
  <c r="L100" i="58" s="1"/>
  <c r="AF2598" i="68"/>
  <c r="AB1313" i="68"/>
  <c r="AC3315" i="68"/>
  <c r="AF3274" i="68"/>
  <c r="AC3161" i="68" s="1"/>
  <c r="AF3161" i="68" s="1"/>
  <c r="AF4248" i="68"/>
  <c r="AB4249" i="68"/>
  <c r="AF4249" i="68" s="1"/>
  <c r="AB3317" i="68"/>
  <c r="AF3275" i="68"/>
  <c r="AF3276" i="68"/>
  <c r="AC3163" i="68" s="1"/>
  <c r="AF3163" i="68" s="1"/>
  <c r="AB3321" i="68"/>
  <c r="L135" i="58"/>
  <c r="AB3198" i="68"/>
  <c r="AB3236" i="68"/>
  <c r="AB4169" i="68"/>
  <c r="AF2816" i="68"/>
  <c r="AF2818" i="68" s="1"/>
  <c r="L122" i="58" s="1"/>
  <c r="AC2310" i="68"/>
  <c r="AC2351" i="68" s="1"/>
  <c r="AF2351" i="68" s="1"/>
  <c r="AF2375" i="68" s="1"/>
  <c r="AF2377" i="68" s="1"/>
  <c r="L102" i="58" s="1"/>
  <c r="AF2129" i="68"/>
  <c r="AF2131" i="68" s="1"/>
  <c r="L96" i="58" s="1"/>
  <c r="AF2539" i="68"/>
  <c r="AF2541" i="68" s="1"/>
  <c r="L112" i="58" s="1"/>
  <c r="AF2599" i="68"/>
  <c r="AF2498" i="68"/>
  <c r="AF2500" i="68" s="1"/>
  <c r="AE1238" i="68"/>
  <c r="D2349" i="68"/>
  <c r="D2308" i="68"/>
  <c r="D2267" i="68"/>
  <c r="D2226" i="68"/>
  <c r="AF2211" i="68"/>
  <c r="AF2213" i="68" s="1"/>
  <c r="L98" i="58" s="1"/>
  <c r="D2185" i="68"/>
  <c r="D2103" i="68"/>
  <c r="D2062" i="68"/>
  <c r="AF2047" i="68"/>
  <c r="AF2049" i="68" s="1"/>
  <c r="L94" i="58" s="1"/>
  <c r="D2021" i="68"/>
  <c r="D1980" i="68"/>
  <c r="D1939" i="68"/>
  <c r="A1898" i="68"/>
  <c r="AF1900" i="68"/>
  <c r="AF1924" i="68" s="1"/>
  <c r="AF1926" i="68" s="1"/>
  <c r="L91" i="58" s="1"/>
  <c r="F1897" i="68"/>
  <c r="AE1895" i="68"/>
  <c r="AF1891" i="68"/>
  <c r="E1891" i="68"/>
  <c r="AF4272" i="68" l="1"/>
  <c r="AF4274" i="68" s="1"/>
  <c r="L179" i="58" s="1"/>
  <c r="L172" i="58"/>
  <c r="AF2310" i="68"/>
  <c r="AF2334" i="68" s="1"/>
  <c r="AF2336" i="68" s="1"/>
  <c r="L101" i="58" s="1"/>
  <c r="L110" i="58"/>
  <c r="AB2634" i="68"/>
  <c r="AB2672" i="68" s="1"/>
  <c r="AF2617" i="68"/>
  <c r="AF2619" i="68" s="1"/>
  <c r="L114" i="58" s="1"/>
  <c r="AC3320" i="68"/>
  <c r="AF3320" i="68" s="1"/>
  <c r="AF3315" i="68"/>
  <c r="AB3318" i="68"/>
  <c r="AF3318" i="68" s="1"/>
  <c r="AF3317" i="68"/>
  <c r="AF4131" i="68"/>
  <c r="AF4152" i="68" s="1"/>
  <c r="AF4154" i="68" s="1"/>
  <c r="L175" i="58" s="1"/>
  <c r="AB3324" i="68"/>
  <c r="AF3324" i="68" s="1"/>
  <c r="AF3321" i="68"/>
  <c r="AB3322" i="68"/>
  <c r="AF3322" i="68" s="1"/>
  <c r="AF4169" i="68"/>
  <c r="AF4190" i="68" s="1"/>
  <c r="AF4192" i="68" s="1"/>
  <c r="L176" i="58" s="1"/>
  <c r="AF3298" i="68"/>
  <c r="AF3300" i="68" s="1"/>
  <c r="L144" i="58" s="1"/>
  <c r="AC3162" i="68"/>
  <c r="AF3162" i="68" s="1"/>
  <c r="AF3181" i="68" s="1"/>
  <c r="AF3183" i="68" s="1"/>
  <c r="AF1238" i="68"/>
  <c r="AD1313" i="68"/>
  <c r="D1898" i="68"/>
  <c r="A1857" i="68"/>
  <c r="AF1859" i="68"/>
  <c r="F1856" i="68"/>
  <c r="AE1854" i="68"/>
  <c r="AF1850" i="68"/>
  <c r="E1850" i="68"/>
  <c r="H2473" i="73"/>
  <c r="M2469" i="73"/>
  <c r="L2442" i="73" s="1"/>
  <c r="H2455" i="73"/>
  <c r="I2446" i="73"/>
  <c r="M2446" i="73" s="1"/>
  <c r="M2451" i="73" s="1"/>
  <c r="J2442" i="73" s="1"/>
  <c r="H2446" i="73"/>
  <c r="B2442" i="73"/>
  <c r="A1816" i="68"/>
  <c r="AF1824" i="68"/>
  <c r="AF1823" i="68"/>
  <c r="AF1822" i="68"/>
  <c r="AF1821" i="68"/>
  <c r="AF1820" i="68"/>
  <c r="AF1819" i="68"/>
  <c r="AF1818" i="68"/>
  <c r="F1815" i="68"/>
  <c r="AE1813" i="68"/>
  <c r="AF1809" i="68"/>
  <c r="E1809" i="68"/>
  <c r="A1775" i="68"/>
  <c r="AF1783" i="68"/>
  <c r="AF1782" i="68"/>
  <c r="AF1781" i="68"/>
  <c r="AF1780" i="68"/>
  <c r="AF1779" i="68"/>
  <c r="AF1778" i="68"/>
  <c r="AF1777" i="68"/>
  <c r="F1774" i="68"/>
  <c r="AE1772" i="68"/>
  <c r="AF1768" i="68"/>
  <c r="E1768" i="68"/>
  <c r="AC2634" i="68" l="1"/>
  <c r="AC2672" i="68" s="1"/>
  <c r="AF2672" i="68" s="1"/>
  <c r="AF2693" i="68" s="1"/>
  <c r="AF2695" i="68" s="1"/>
  <c r="L117" i="58" s="1"/>
  <c r="AF3339" i="68"/>
  <c r="AF3341" i="68" s="1"/>
  <c r="L145" i="58" s="1"/>
  <c r="AC3236" i="68"/>
  <c r="AF3236" i="68" s="1"/>
  <c r="AF3257" i="68" s="1"/>
  <c r="AF3259" i="68" s="1"/>
  <c r="L142" i="58" s="1"/>
  <c r="L139" i="58"/>
  <c r="AC3198" i="68"/>
  <c r="AF3198" i="68" s="1"/>
  <c r="AF3219" i="68" s="1"/>
  <c r="AF3221" i="68" s="1"/>
  <c r="L141" i="58" s="1"/>
  <c r="AF1883" i="68"/>
  <c r="AF1885" i="68" s="1"/>
  <c r="L90" i="58" s="1"/>
  <c r="D1857" i="68"/>
  <c r="AF1842" i="68"/>
  <c r="AF1844" i="68" s="1"/>
  <c r="L89" i="58" s="1"/>
  <c r="D1816" i="68"/>
  <c r="AF1801" i="68"/>
  <c r="AF1803" i="68" s="1"/>
  <c r="L88" i="58" s="1"/>
  <c r="D1775" i="68"/>
  <c r="AF1737" i="68"/>
  <c r="AF1738" i="68"/>
  <c r="AF1739" i="68"/>
  <c r="AF1740" i="68"/>
  <c r="AF1741" i="68"/>
  <c r="AF1742" i="68"/>
  <c r="AF1736" i="68"/>
  <c r="A1734" i="68"/>
  <c r="F1733" i="68"/>
  <c r="AE1731" i="68"/>
  <c r="AF1727" i="68"/>
  <c r="E1727" i="68"/>
  <c r="AF1701" i="68"/>
  <c r="AF1700" i="68"/>
  <c r="AF1699" i="68"/>
  <c r="AF1697" i="68"/>
  <c r="AF1698" i="68"/>
  <c r="AF1695" i="68"/>
  <c r="A1693" i="68"/>
  <c r="D1693" i="68" s="1"/>
  <c r="AF1696" i="68"/>
  <c r="F1692" i="68"/>
  <c r="AE1690" i="68"/>
  <c r="AF1686" i="68"/>
  <c r="E1686" i="68"/>
  <c r="A1652" i="68"/>
  <c r="AF1655" i="68"/>
  <c r="AF1654" i="68"/>
  <c r="F1651" i="68"/>
  <c r="AE1649" i="68"/>
  <c r="AF1645" i="68"/>
  <c r="E1645" i="68"/>
  <c r="F1569" i="68"/>
  <c r="F1610" i="68"/>
  <c r="A1611" i="68"/>
  <c r="D1611" i="68" s="1"/>
  <c r="AF1614" i="68"/>
  <c r="AF1613" i="68"/>
  <c r="AE1608" i="68"/>
  <c r="AF1604" i="68"/>
  <c r="E1604" i="68"/>
  <c r="A1570" i="68"/>
  <c r="AF1573" i="68"/>
  <c r="AF1572" i="68"/>
  <c r="AE1567" i="68"/>
  <c r="AF1563" i="68"/>
  <c r="E1563" i="68"/>
  <c r="A1502" i="68"/>
  <c r="F1501" i="68"/>
  <c r="AE1499" i="68"/>
  <c r="AF1495" i="68"/>
  <c r="E1495" i="68"/>
  <c r="AF1486" i="68"/>
  <c r="AD1484" i="68"/>
  <c r="AF1484" i="68" s="1"/>
  <c r="AD1483" i="68"/>
  <c r="AF1483" i="68" s="1"/>
  <c r="AD1482" i="68"/>
  <c r="AF1482" i="68" s="1"/>
  <c r="AC1480" i="68"/>
  <c r="AC1481" i="68" s="1"/>
  <c r="AB1480" i="68"/>
  <c r="AB1481" i="68" s="1"/>
  <c r="AD1474" i="68"/>
  <c r="AF1474" i="68" s="1"/>
  <c r="AB1472" i="68"/>
  <c r="AF1472" i="68" s="1"/>
  <c r="AD1469" i="68"/>
  <c r="F1457" i="68"/>
  <c r="A1458" i="68"/>
  <c r="AF1479" i="68"/>
  <c r="AF1471" i="68"/>
  <c r="AF1467" i="68"/>
  <c r="AF1464" i="68"/>
  <c r="AF1463" i="68"/>
  <c r="AF1462" i="68"/>
  <c r="AF1461" i="68"/>
  <c r="AE1455" i="68"/>
  <c r="AF1451" i="68"/>
  <c r="E1451" i="68"/>
  <c r="AC1424" i="68"/>
  <c r="AC1470" i="68" s="1"/>
  <c r="AC1425" i="68"/>
  <c r="AC1478" i="68" s="1"/>
  <c r="AC1485" i="68" s="1"/>
  <c r="AC1423" i="68"/>
  <c r="AC1460" i="68" s="1"/>
  <c r="AB1424" i="68"/>
  <c r="AB1470" i="68" s="1"/>
  <c r="AB1477" i="68" s="1"/>
  <c r="AB1425" i="68"/>
  <c r="AB1478" i="68" s="1"/>
  <c r="AB1423" i="68"/>
  <c r="AB1460" i="68" s="1"/>
  <c r="AB1468" i="68" s="1"/>
  <c r="A1421" i="68"/>
  <c r="F1420" i="68"/>
  <c r="AE1418" i="68"/>
  <c r="AF1414" i="68"/>
  <c r="E1414" i="68"/>
  <c r="A1383" i="68"/>
  <c r="AE1385" i="68"/>
  <c r="F1382" i="68"/>
  <c r="AE1380" i="68"/>
  <c r="AF1376" i="68"/>
  <c r="E1376" i="68"/>
  <c r="AE1347" i="68"/>
  <c r="A1345" i="68"/>
  <c r="D1345" i="68" s="1"/>
  <c r="F1344" i="68"/>
  <c r="AE1305" i="68"/>
  <c r="AF1301" i="68"/>
  <c r="E1301" i="68"/>
  <c r="AE1342" i="68"/>
  <c r="AF1338" i="68"/>
  <c r="E1338" i="68"/>
  <c r="AD1312" i="68"/>
  <c r="AD1311" i="68"/>
  <c r="AD1310" i="68"/>
  <c r="A1308" i="68"/>
  <c r="F1307" i="68"/>
  <c r="AF2634" i="68" l="1"/>
  <c r="AF2655" i="68" s="1"/>
  <c r="AF2657" i="68" s="1"/>
  <c r="L116" i="58" s="1"/>
  <c r="AF1637" i="68"/>
  <c r="AF1639" i="68" s="1"/>
  <c r="L83" i="58" s="1"/>
  <c r="AF1678" i="68"/>
  <c r="AF1680" i="68" s="1"/>
  <c r="L84" i="58" s="1"/>
  <c r="AF1760" i="68"/>
  <c r="AF1762" i="68" s="1"/>
  <c r="L87" i="58" s="1"/>
  <c r="D1734" i="68"/>
  <c r="AF1719" i="68"/>
  <c r="AF1721" i="68" s="1"/>
  <c r="L86" i="58" s="1"/>
  <c r="D1652" i="68"/>
  <c r="AF1596" i="68"/>
  <c r="AF1598" i="68" s="1"/>
  <c r="L82" i="58" s="1"/>
  <c r="D1570" i="68"/>
  <c r="AF1555" i="68"/>
  <c r="AF1557" i="68" s="1"/>
  <c r="L80" i="58" s="1"/>
  <c r="D1502" i="68"/>
  <c r="AB1473" i="68"/>
  <c r="AF1473" i="68" s="1"/>
  <c r="AB1475" i="68"/>
  <c r="AF1475" i="68" s="1"/>
  <c r="AC1477" i="68"/>
  <c r="AF1477" i="68" s="1"/>
  <c r="AF1478" i="68"/>
  <c r="AB1485" i="68"/>
  <c r="AF1485" i="68" s="1"/>
  <c r="AF1481" i="68"/>
  <c r="AF1460" i="68"/>
  <c r="AB1465" i="68"/>
  <c r="AF1465" i="68" s="1"/>
  <c r="AB1466" i="68"/>
  <c r="AC1468" i="68"/>
  <c r="AF1468" i="68" s="1"/>
  <c r="AF1480" i="68"/>
  <c r="AF1470" i="68"/>
  <c r="D1458" i="68"/>
  <c r="AF1425" i="68"/>
  <c r="AF1424" i="68"/>
  <c r="AF1423" i="68"/>
  <c r="D1421" i="68"/>
  <c r="D1383" i="68"/>
  <c r="D1308" i="68"/>
  <c r="AF1274" i="68"/>
  <c r="AF1275" i="68"/>
  <c r="A1271" i="68"/>
  <c r="D1271" i="68" s="1"/>
  <c r="AF1273" i="68"/>
  <c r="F1270" i="68"/>
  <c r="AE1268" i="68"/>
  <c r="AF1264" i="68"/>
  <c r="E1264" i="68"/>
  <c r="A1234" i="68"/>
  <c r="F1233" i="68"/>
  <c r="AE1231" i="68"/>
  <c r="AF1227" i="68"/>
  <c r="E1227" i="68"/>
  <c r="AC1200" i="68"/>
  <c r="AC1201" i="68" s="1"/>
  <c r="AC1202" i="68"/>
  <c r="AB1200" i="68"/>
  <c r="AB1201" i="68" s="1"/>
  <c r="AB1202" i="68"/>
  <c r="AC1199" i="68"/>
  <c r="AB1199" i="68"/>
  <c r="AC1310" i="68" l="1"/>
  <c r="AC1312" i="68"/>
  <c r="AB1476" i="68"/>
  <c r="AF1476" i="68" s="1"/>
  <c r="AC1311" i="68"/>
  <c r="AF1200" i="68"/>
  <c r="AF1201" i="68"/>
  <c r="AF1202" i="68"/>
  <c r="AB1312" i="68" s="1"/>
  <c r="AF1199" i="68"/>
  <c r="AB1310" i="68" s="1"/>
  <c r="AF1466" i="68"/>
  <c r="AB1469" i="68"/>
  <c r="AF1469" i="68" s="1"/>
  <c r="AF1443" i="68"/>
  <c r="AF1445" i="68" s="1"/>
  <c r="L77" i="58" s="1"/>
  <c r="AF1293" i="68"/>
  <c r="AF1295" i="68" s="1"/>
  <c r="L71" i="58" s="1"/>
  <c r="AF1256" i="68"/>
  <c r="AF1258" i="68" s="1"/>
  <c r="D1234" i="68"/>
  <c r="AB838" i="68"/>
  <c r="AB837" i="68"/>
  <c r="AB836" i="68"/>
  <c r="A531" i="68"/>
  <c r="D531" i="68" s="1"/>
  <c r="F530" i="68"/>
  <c r="AE528" i="68"/>
  <c r="AF524" i="68"/>
  <c r="E524" i="68"/>
  <c r="AD533" i="68"/>
  <c r="AF1312" i="68" l="1"/>
  <c r="AF1310" i="68"/>
  <c r="AB1311" i="68"/>
  <c r="AF1311" i="68" s="1"/>
  <c r="AF1487" i="68"/>
  <c r="AF1489" i="68" s="1"/>
  <c r="L78" i="58" s="1"/>
  <c r="AC1313" i="68"/>
  <c r="AF1313" i="68" s="1"/>
  <c r="L70" i="58"/>
  <c r="AD501" i="68"/>
  <c r="AD496" i="68"/>
  <c r="AD497" i="68" s="1"/>
  <c r="AD498" i="68" s="1"/>
  <c r="AD499" i="68" s="1"/>
  <c r="AB458" i="68"/>
  <c r="AB457" i="68"/>
  <c r="AE457" i="68" s="1"/>
  <c r="AD458" i="68"/>
  <c r="AC424" i="68"/>
  <c r="AC425" i="68" s="1"/>
  <c r="AC458" i="68" s="1"/>
  <c r="AE197" i="68"/>
  <c r="AC86" i="68"/>
  <c r="AC123" i="68" s="1"/>
  <c r="AC160" i="68" s="1"/>
  <c r="AF1330" i="68" l="1"/>
  <c r="AF1332" i="68" s="1"/>
  <c r="L72" i="58" s="1"/>
  <c r="AD534" i="68"/>
  <c r="AC457" i="68"/>
  <c r="I2393" i="73"/>
  <c r="M2393" i="73" s="1"/>
  <c r="I2394" i="73"/>
  <c r="M2394" i="73" s="1"/>
  <c r="I2395" i="73"/>
  <c r="M2395" i="73" s="1"/>
  <c r="I2396" i="73"/>
  <c r="M2396" i="73" s="1"/>
  <c r="I2397" i="73"/>
  <c r="M2397" i="73" s="1"/>
  <c r="H2393" i="73"/>
  <c r="H2394" i="73"/>
  <c r="H2395" i="73"/>
  <c r="H2396" i="73"/>
  <c r="H2397" i="73"/>
  <c r="I2392" i="73"/>
  <c r="M2392" i="73" s="1"/>
  <c r="B2388" i="73"/>
  <c r="H2429" i="73"/>
  <c r="I2420" i="73"/>
  <c r="M2420" i="73" s="1"/>
  <c r="M2425" i="73" s="1"/>
  <c r="L2388" i="73" s="1"/>
  <c r="H2420" i="73"/>
  <c r="H2406" i="73"/>
  <c r="H2392" i="73"/>
  <c r="H2339" i="73"/>
  <c r="I2341" i="73"/>
  <c r="M2341" i="73" s="1"/>
  <c r="H2375" i="73"/>
  <c r="I2366" i="73"/>
  <c r="M2366" i="73" s="1"/>
  <c r="M2371" i="73" s="1"/>
  <c r="L2334" i="73" s="1"/>
  <c r="H2366" i="73"/>
  <c r="H2352" i="73"/>
  <c r="H2341" i="73"/>
  <c r="I2340" i="73"/>
  <c r="M2340" i="73" s="1"/>
  <c r="H2340" i="73"/>
  <c r="I2339" i="73"/>
  <c r="M2339" i="73" s="1"/>
  <c r="I2338" i="73"/>
  <c r="M2338" i="73" s="1"/>
  <c r="H2338" i="73"/>
  <c r="B2334" i="73"/>
  <c r="I2285" i="73"/>
  <c r="M2285" i="73" s="1"/>
  <c r="I2286" i="73"/>
  <c r="M2286" i="73" s="1"/>
  <c r="I2287" i="73"/>
  <c r="M2287" i="73" s="1"/>
  <c r="I2288" i="73"/>
  <c r="M2288" i="73" s="1"/>
  <c r="H2285" i="73"/>
  <c r="H2286" i="73"/>
  <c r="H2287" i="73"/>
  <c r="H2288" i="73"/>
  <c r="I2284" i="73"/>
  <c r="M2284" i="73" s="1"/>
  <c r="B2280" i="73"/>
  <c r="H2321" i="73"/>
  <c r="I2312" i="73"/>
  <c r="M2312" i="73" s="1"/>
  <c r="M2317" i="73" s="1"/>
  <c r="L2280" i="73" s="1"/>
  <c r="H2312" i="73"/>
  <c r="H2298" i="73"/>
  <c r="B2226" i="73"/>
  <c r="H2267" i="73"/>
  <c r="I2258" i="73"/>
  <c r="M2258" i="73" s="1"/>
  <c r="M2263" i="73" s="1"/>
  <c r="L2226" i="73" s="1"/>
  <c r="H2258" i="73"/>
  <c r="H2244" i="73"/>
  <c r="I2230" i="73"/>
  <c r="M2230" i="73" s="1"/>
  <c r="M2240" i="73" s="1"/>
  <c r="J2226" i="73" s="1"/>
  <c r="H2230" i="73"/>
  <c r="H2213" i="73"/>
  <c r="I2204" i="73"/>
  <c r="M2204" i="73" s="1"/>
  <c r="M2209" i="73" s="1"/>
  <c r="L2172" i="73" s="1"/>
  <c r="H2204" i="73"/>
  <c r="H2190" i="73"/>
  <c r="I2176" i="73"/>
  <c r="M2176" i="73" s="1"/>
  <c r="H2176" i="73"/>
  <c r="B2172" i="73"/>
  <c r="H2159" i="73"/>
  <c r="K2150" i="73"/>
  <c r="I2150" i="73"/>
  <c r="H2150" i="73"/>
  <c r="H2136" i="73"/>
  <c r="I2129" i="73"/>
  <c r="M2129" i="73" s="1"/>
  <c r="H2129" i="73"/>
  <c r="I2128" i="73"/>
  <c r="M2128" i="73" s="1"/>
  <c r="H2128" i="73"/>
  <c r="I2127" i="73"/>
  <c r="M2127" i="73" s="1"/>
  <c r="H2127" i="73"/>
  <c r="H2126" i="73"/>
  <c r="I2125" i="73"/>
  <c r="M2125" i="73" s="1"/>
  <c r="H2125" i="73"/>
  <c r="I2124" i="73"/>
  <c r="M2124" i="73" s="1"/>
  <c r="H2124" i="73"/>
  <c r="I2123" i="73"/>
  <c r="M2123" i="73" s="1"/>
  <c r="H2123" i="73"/>
  <c r="I2122" i="73"/>
  <c r="M2122" i="73" s="1"/>
  <c r="H2122" i="73"/>
  <c r="B2118" i="73"/>
  <c r="K2098" i="73"/>
  <c r="M2109" i="73"/>
  <c r="K2109" i="73"/>
  <c r="I2109" i="73"/>
  <c r="H2109" i="73"/>
  <c r="M2108" i="73"/>
  <c r="K2108" i="73"/>
  <c r="I2108" i="73"/>
  <c r="H2108" i="73"/>
  <c r="M2107" i="73"/>
  <c r="K2107" i="73"/>
  <c r="I2107" i="73"/>
  <c r="H2107" i="73"/>
  <c r="M2106" i="73"/>
  <c r="K2106" i="73"/>
  <c r="I2106" i="73"/>
  <c r="H2106" i="73"/>
  <c r="H2105" i="73"/>
  <c r="M2100" i="73"/>
  <c r="M2099" i="73"/>
  <c r="I2098" i="73"/>
  <c r="H2098" i="73"/>
  <c r="H2090" i="73"/>
  <c r="I2089" i="73"/>
  <c r="M2089" i="73" s="1"/>
  <c r="H2089" i="73"/>
  <c r="I2083" i="73"/>
  <c r="M2083" i="73" s="1"/>
  <c r="H2083" i="73"/>
  <c r="I2082" i="73"/>
  <c r="M2082" i="73" s="1"/>
  <c r="H2082" i="73"/>
  <c r="I2081" i="73"/>
  <c r="M2081" i="73" s="1"/>
  <c r="H2081" i="73"/>
  <c r="I2080" i="73"/>
  <c r="M2080" i="73" s="1"/>
  <c r="H2080" i="73"/>
  <c r="B2076" i="73"/>
  <c r="K2054" i="73"/>
  <c r="I2027" i="73"/>
  <c r="M2027" i="73" s="1"/>
  <c r="I2028" i="73"/>
  <c r="M2028" i="73" s="1"/>
  <c r="I2029" i="73"/>
  <c r="M2029" i="73" s="1"/>
  <c r="I2031" i="73"/>
  <c r="M2031" i="73" s="1"/>
  <c r="I2032" i="73"/>
  <c r="M2032" i="73" s="1"/>
  <c r="I2033" i="73"/>
  <c r="M2033" i="73" s="1"/>
  <c r="H2027" i="73"/>
  <c r="H2028" i="73"/>
  <c r="H2029" i="73"/>
  <c r="H2030" i="73"/>
  <c r="H2031" i="73"/>
  <c r="H2032" i="73"/>
  <c r="H2033" i="73"/>
  <c r="I2026" i="73"/>
  <c r="B2022" i="73"/>
  <c r="H2063" i="73"/>
  <c r="I2054" i="73"/>
  <c r="H2054" i="73"/>
  <c r="H2040" i="73"/>
  <c r="B1968" i="73"/>
  <c r="I1975" i="73"/>
  <c r="M1975" i="73" s="1"/>
  <c r="I1972" i="73"/>
  <c r="H2009" i="73"/>
  <c r="I2000" i="73"/>
  <c r="M2000" i="73" s="1"/>
  <c r="M2005" i="73" s="1"/>
  <c r="L1968" i="73" s="1"/>
  <c r="H2000" i="73"/>
  <c r="H1986" i="73"/>
  <c r="I1977" i="73"/>
  <c r="H1977" i="73"/>
  <c r="I1976" i="73"/>
  <c r="H1976" i="73"/>
  <c r="I1974" i="73"/>
  <c r="M1974" i="73" s="1"/>
  <c r="H1974" i="73"/>
  <c r="I1973" i="73"/>
  <c r="M1973" i="73" s="1"/>
  <c r="H1973" i="73"/>
  <c r="AC1347" i="68" l="1"/>
  <c r="AC1385" i="68" s="1"/>
  <c r="M2402" i="73"/>
  <c r="J2388" i="73" s="1"/>
  <c r="M2348" i="73"/>
  <c r="J2334" i="73" s="1"/>
  <c r="M2294" i="73"/>
  <c r="J2280" i="73" s="1"/>
  <c r="H2284" i="73"/>
  <c r="M2098" i="73"/>
  <c r="M2101" i="73" s="1"/>
  <c r="L2076" i="73" s="1"/>
  <c r="M2150" i="73"/>
  <c r="M2155" i="73" s="1"/>
  <c r="L2118" i="73" s="1"/>
  <c r="M2085" i="73"/>
  <c r="J2076" i="73" s="1"/>
  <c r="M2054" i="73"/>
  <c r="M2059" i="73" s="1"/>
  <c r="L2022" i="73" s="1"/>
  <c r="M2026" i="73"/>
  <c r="H2026" i="73"/>
  <c r="M1976" i="73"/>
  <c r="M1977" i="73"/>
  <c r="M1972" i="73"/>
  <c r="H1975" i="73"/>
  <c r="H1972" i="73"/>
  <c r="I1936" i="73"/>
  <c r="M1936" i="73" s="1"/>
  <c r="I1937" i="73"/>
  <c r="M1937" i="73" s="1"/>
  <c r="H1936" i="73"/>
  <c r="H1937" i="73"/>
  <c r="H1932" i="73"/>
  <c r="H1920" i="73"/>
  <c r="I1922" i="73"/>
  <c r="M1922" i="73" s="1"/>
  <c r="I1923" i="73"/>
  <c r="M1923" i="73" s="1"/>
  <c r="M1924" i="73"/>
  <c r="I1918" i="73"/>
  <c r="B1914" i="73"/>
  <c r="H1955" i="73"/>
  <c r="I1946" i="73"/>
  <c r="M1946" i="73" s="1"/>
  <c r="M1951" i="73" s="1"/>
  <c r="L1914" i="73" s="1"/>
  <c r="H1946" i="73"/>
  <c r="I1935" i="73"/>
  <c r="H1935" i="73"/>
  <c r="H1934" i="73"/>
  <c r="I1933" i="73"/>
  <c r="H1933" i="73"/>
  <c r="H1922" i="73"/>
  <c r="I1921" i="73"/>
  <c r="M1921" i="73" s="1"/>
  <c r="H1921" i="73"/>
  <c r="I1920" i="73"/>
  <c r="M1920" i="73" s="1"/>
  <c r="I1919" i="73"/>
  <c r="M1919" i="73" s="1"/>
  <c r="H1919" i="73"/>
  <c r="H1865" i="73"/>
  <c r="I1866" i="73"/>
  <c r="B1860" i="73"/>
  <c r="H1901" i="73"/>
  <c r="I1892" i="73"/>
  <c r="M1892" i="73" s="1"/>
  <c r="M1897" i="73" s="1"/>
  <c r="L1860" i="73" s="1"/>
  <c r="H1892" i="73"/>
  <c r="H1881" i="73"/>
  <c r="H1880" i="73"/>
  <c r="I1879" i="73"/>
  <c r="M1879" i="73" s="1"/>
  <c r="H1879" i="73"/>
  <c r="I1870" i="73"/>
  <c r="H1870" i="73"/>
  <c r="I1869" i="73"/>
  <c r="H1869" i="73"/>
  <c r="I1868" i="73"/>
  <c r="H1868" i="73"/>
  <c r="I1867" i="73"/>
  <c r="H1867" i="73"/>
  <c r="I1864" i="73"/>
  <c r="H1864" i="73"/>
  <c r="I1828" i="73"/>
  <c r="I1829" i="73"/>
  <c r="I1830" i="73"/>
  <c r="M1830" i="73" s="1"/>
  <c r="H1828" i="73"/>
  <c r="H1829" i="73"/>
  <c r="H1830" i="73"/>
  <c r="I1825" i="73"/>
  <c r="M1825" i="73" s="1"/>
  <c r="I1826" i="73"/>
  <c r="M1826" i="73" s="1"/>
  <c r="I1811" i="73"/>
  <c r="M1811" i="73" s="1"/>
  <c r="I1812" i="73"/>
  <c r="M1812" i="73" s="1"/>
  <c r="I1813" i="73"/>
  <c r="M1813" i="73" s="1"/>
  <c r="I1814" i="73"/>
  <c r="M1814" i="73" s="1"/>
  <c r="M1815" i="73"/>
  <c r="H1811" i="73"/>
  <c r="H1812" i="73"/>
  <c r="H1813" i="73"/>
  <c r="H1814" i="73"/>
  <c r="I1810" i="73"/>
  <c r="M1810" i="73" s="1"/>
  <c r="B1806" i="73"/>
  <c r="H1847" i="73"/>
  <c r="I1838" i="73"/>
  <c r="M1838" i="73" s="1"/>
  <c r="M1843" i="73" s="1"/>
  <c r="L1806" i="73" s="1"/>
  <c r="H1838" i="73"/>
  <c r="H1827" i="73"/>
  <c r="H1824" i="73"/>
  <c r="I1816" i="73"/>
  <c r="H1816" i="73"/>
  <c r="M1982" i="73" l="1"/>
  <c r="J1968" i="73" s="1"/>
  <c r="M1935" i="73"/>
  <c r="M1933" i="73"/>
  <c r="M1918" i="73"/>
  <c r="M1928" i="73" s="1"/>
  <c r="J1914" i="73" s="1"/>
  <c r="H1923" i="73"/>
  <c r="H1918" i="73"/>
  <c r="M1866" i="73"/>
  <c r="M1864" i="73"/>
  <c r="H1878" i="73"/>
  <c r="I1865" i="73"/>
  <c r="M1865" i="73" s="1"/>
  <c r="H1866" i="73"/>
  <c r="M1829" i="73"/>
  <c r="M1828" i="73"/>
  <c r="H1825" i="73"/>
  <c r="H1826" i="73"/>
  <c r="H1810" i="73"/>
  <c r="M1820" i="73"/>
  <c r="J1806" i="73" s="1"/>
  <c r="I1762" i="73"/>
  <c r="M1762" i="73" s="1"/>
  <c r="I1763" i="73"/>
  <c r="M1763" i="73" s="1"/>
  <c r="H1762" i="73"/>
  <c r="H1763" i="73"/>
  <c r="I1761" i="73"/>
  <c r="M1761" i="73" s="1"/>
  <c r="B1757" i="73"/>
  <c r="H1793" i="73"/>
  <c r="I1784" i="73"/>
  <c r="M1784" i="73" s="1"/>
  <c r="M1789" i="73" s="1"/>
  <c r="L1757" i="73" s="1"/>
  <c r="H1784" i="73"/>
  <c r="I1778" i="73"/>
  <c r="H1778" i="73"/>
  <c r="I1777" i="73"/>
  <c r="H1777" i="73"/>
  <c r="I1776" i="73"/>
  <c r="H1776" i="73"/>
  <c r="H1775" i="73"/>
  <c r="I1767" i="73"/>
  <c r="H1767" i="73"/>
  <c r="B1708" i="73"/>
  <c r="H1744" i="73"/>
  <c r="I1735" i="73"/>
  <c r="M1735" i="73" s="1"/>
  <c r="M1740" i="73" s="1"/>
  <c r="L1708" i="73" s="1"/>
  <c r="H1735" i="73"/>
  <c r="I1729" i="73"/>
  <c r="H1729" i="73"/>
  <c r="I1728" i="73"/>
  <c r="H1728" i="73"/>
  <c r="I1727" i="73"/>
  <c r="H1727" i="73"/>
  <c r="H1726" i="73"/>
  <c r="I1718" i="73"/>
  <c r="H1718" i="73"/>
  <c r="I1712" i="73"/>
  <c r="M1712" i="73" s="1"/>
  <c r="M1722" i="73" s="1"/>
  <c r="J1708" i="73" s="1"/>
  <c r="H1712" i="73"/>
  <c r="M1874" i="73" l="1"/>
  <c r="J1860" i="73" s="1"/>
  <c r="M1771" i="73"/>
  <c r="J1757" i="73" s="1"/>
  <c r="H1761" i="73"/>
  <c r="B1659" i="73"/>
  <c r="H1695" i="73"/>
  <c r="I1686" i="73"/>
  <c r="M1686" i="73" s="1"/>
  <c r="M1691" i="73" s="1"/>
  <c r="L1659" i="73" s="1"/>
  <c r="H1686" i="73"/>
  <c r="I1680" i="73"/>
  <c r="H1680" i="73"/>
  <c r="I1679" i="73"/>
  <c r="H1679" i="73"/>
  <c r="I1678" i="73"/>
  <c r="H1678" i="73"/>
  <c r="H1677" i="73"/>
  <c r="I1669" i="73"/>
  <c r="H1669" i="73"/>
  <c r="I1663" i="73"/>
  <c r="M1663" i="73" s="1"/>
  <c r="H1663" i="73"/>
  <c r="A1607" i="73"/>
  <c r="H1646" i="73"/>
  <c r="I1637" i="73"/>
  <c r="M1637" i="73" s="1"/>
  <c r="M1642" i="73" s="1"/>
  <c r="L1610" i="73" s="1"/>
  <c r="H1637" i="73"/>
  <c r="I1631" i="73"/>
  <c r="H1631" i="73"/>
  <c r="I1630" i="73"/>
  <c r="H1630" i="73"/>
  <c r="I1629" i="73"/>
  <c r="H1629" i="73"/>
  <c r="H1628" i="73"/>
  <c r="I1620" i="73"/>
  <c r="H1620" i="73"/>
  <c r="I1617" i="73"/>
  <c r="H1617" i="73"/>
  <c r="I1616" i="73"/>
  <c r="H1616" i="73"/>
  <c r="I1615" i="73"/>
  <c r="H1615" i="73"/>
  <c r="I1614" i="73"/>
  <c r="H1614" i="73"/>
  <c r="I1566" i="73"/>
  <c r="M1566" i="73" s="1"/>
  <c r="I1567" i="73"/>
  <c r="M1567" i="73" s="1"/>
  <c r="I1568" i="73"/>
  <c r="M1568" i="73" s="1"/>
  <c r="H1566" i="73"/>
  <c r="H1567" i="73"/>
  <c r="H1568" i="73"/>
  <c r="H1565" i="73"/>
  <c r="B1561" i="73"/>
  <c r="H1597" i="73"/>
  <c r="I1588" i="73"/>
  <c r="M1588" i="73" s="1"/>
  <c r="M1593" i="73" s="1"/>
  <c r="L1561" i="73" s="1"/>
  <c r="H1588" i="73"/>
  <c r="I1582" i="73"/>
  <c r="H1582" i="73"/>
  <c r="I1581" i="73"/>
  <c r="H1581" i="73"/>
  <c r="I1580" i="73"/>
  <c r="H1580" i="73"/>
  <c r="H1579" i="73"/>
  <c r="I1571" i="73"/>
  <c r="H1571" i="73"/>
  <c r="M1570" i="73"/>
  <c r="M1569" i="73"/>
  <c r="B1512" i="73"/>
  <c r="H1548" i="73"/>
  <c r="I1539" i="73"/>
  <c r="M1539" i="73" s="1"/>
  <c r="M1544" i="73" s="1"/>
  <c r="L1512" i="73" s="1"/>
  <c r="H1539" i="73"/>
  <c r="I1533" i="73"/>
  <c r="M1533" i="73" s="1"/>
  <c r="H1533" i="73"/>
  <c r="I1532" i="73"/>
  <c r="M1532" i="73" s="1"/>
  <c r="H1532" i="73"/>
  <c r="I1531" i="73"/>
  <c r="M1531" i="73" s="1"/>
  <c r="H1531" i="73"/>
  <c r="H1530" i="73"/>
  <c r="I1522" i="73"/>
  <c r="H1522" i="73"/>
  <c r="M1521" i="73"/>
  <c r="M1520" i="73"/>
  <c r="M1519" i="73"/>
  <c r="M1518" i="73"/>
  <c r="M1517" i="73"/>
  <c r="I1516" i="73"/>
  <c r="M1516" i="73" s="1"/>
  <c r="H1516" i="73"/>
  <c r="B1463" i="73"/>
  <c r="H1499" i="73"/>
  <c r="I1490" i="73"/>
  <c r="M1490" i="73" s="1"/>
  <c r="M1495" i="73" s="1"/>
  <c r="L1463" i="73" s="1"/>
  <c r="H1490" i="73"/>
  <c r="I1484" i="73"/>
  <c r="M1484" i="73" s="1"/>
  <c r="H1484" i="73"/>
  <c r="I1483" i="73"/>
  <c r="M1483" i="73" s="1"/>
  <c r="H1483" i="73"/>
  <c r="I1482" i="73"/>
  <c r="M1482" i="73" s="1"/>
  <c r="H1482" i="73"/>
  <c r="H1481" i="73"/>
  <c r="I1473" i="73"/>
  <c r="H1473" i="73"/>
  <c r="M1472" i="73"/>
  <c r="M1471" i="73"/>
  <c r="M1470" i="73"/>
  <c r="M1469" i="73"/>
  <c r="M1468" i="73"/>
  <c r="I1467" i="73"/>
  <c r="M1467" i="73" s="1"/>
  <c r="H1467" i="73"/>
  <c r="I1433" i="73"/>
  <c r="M1433" i="73" s="1"/>
  <c r="I1434" i="73"/>
  <c r="M1434" i="73" s="1"/>
  <c r="I1435" i="73"/>
  <c r="M1435" i="73" s="1"/>
  <c r="H1433" i="73"/>
  <c r="H1434" i="73"/>
  <c r="H1435" i="73"/>
  <c r="B1414" i="73"/>
  <c r="H1450" i="73"/>
  <c r="I1441" i="73"/>
  <c r="M1441" i="73" s="1"/>
  <c r="M1446" i="73" s="1"/>
  <c r="L1414" i="73" s="1"/>
  <c r="H1441" i="73"/>
  <c r="I1424" i="73"/>
  <c r="H1424" i="73"/>
  <c r="M1423" i="73"/>
  <c r="M1422" i="73"/>
  <c r="M1421" i="73"/>
  <c r="M1420" i="73"/>
  <c r="M1419" i="73"/>
  <c r="I1418" i="73"/>
  <c r="M1418" i="73" s="1"/>
  <c r="H1418" i="73"/>
  <c r="B1365" i="73"/>
  <c r="H1401" i="73"/>
  <c r="I1392" i="73"/>
  <c r="M1392" i="73" s="1"/>
  <c r="M1397" i="73" s="1"/>
  <c r="L1365" i="73" s="1"/>
  <c r="H1392" i="73"/>
  <c r="H1383" i="73"/>
  <c r="I1375" i="73"/>
  <c r="H1375" i="73"/>
  <c r="M1374" i="73"/>
  <c r="M1373" i="73"/>
  <c r="M1372" i="73"/>
  <c r="M1371" i="73"/>
  <c r="M1370" i="73"/>
  <c r="I1369" i="73"/>
  <c r="M1369" i="73" s="1"/>
  <c r="H1369" i="73"/>
  <c r="B1316" i="73"/>
  <c r="H1352" i="73"/>
  <c r="I1343" i="73"/>
  <c r="M1343" i="73" s="1"/>
  <c r="M1348" i="73" s="1"/>
  <c r="L1316" i="73" s="1"/>
  <c r="H1343" i="73"/>
  <c r="H1334" i="73"/>
  <c r="I1326" i="73"/>
  <c r="H1326" i="73"/>
  <c r="M1325" i="73"/>
  <c r="M1324" i="73"/>
  <c r="M1323" i="73"/>
  <c r="M1322" i="73"/>
  <c r="M1321" i="73"/>
  <c r="I1320" i="73"/>
  <c r="M1320" i="73" s="1"/>
  <c r="H1320" i="73"/>
  <c r="I1273" i="73"/>
  <c r="I1276" i="73"/>
  <c r="M1276" i="73" s="1"/>
  <c r="I1271" i="73"/>
  <c r="B1267" i="73"/>
  <c r="H1303" i="73"/>
  <c r="I1294" i="73"/>
  <c r="M1294" i="73" s="1"/>
  <c r="M1299" i="73" s="1"/>
  <c r="L1267" i="73" s="1"/>
  <c r="H1294" i="73"/>
  <c r="H1285" i="73"/>
  <c r="I1277" i="73"/>
  <c r="H1277" i="73"/>
  <c r="H1276" i="73"/>
  <c r="I1275" i="73"/>
  <c r="M1275" i="73" s="1"/>
  <c r="H1275" i="73"/>
  <c r="I1274" i="73"/>
  <c r="M1274" i="73" s="1"/>
  <c r="H1274" i="73"/>
  <c r="I1272" i="73"/>
  <c r="H1272" i="73"/>
  <c r="M1428" i="73" l="1"/>
  <c r="J1414" i="73" s="1"/>
  <c r="M1379" i="73"/>
  <c r="J1365" i="73" s="1"/>
  <c r="M1477" i="73"/>
  <c r="J1463" i="73" s="1"/>
  <c r="M1526" i="73"/>
  <c r="J1512" i="73" s="1"/>
  <c r="B1610" i="73"/>
  <c r="M1673" i="73"/>
  <c r="J1659" i="73" s="1"/>
  <c r="M1624" i="73"/>
  <c r="J1610" i="73" s="1"/>
  <c r="M1580" i="73"/>
  <c r="I1565" i="73"/>
  <c r="M1565" i="73" s="1"/>
  <c r="M1575" i="73" s="1"/>
  <c r="J1561" i="73" s="1"/>
  <c r="H1432" i="73"/>
  <c r="M1330" i="73"/>
  <c r="J1316" i="73" s="1"/>
  <c r="M1272" i="73"/>
  <c r="M1273" i="73"/>
  <c r="M1271" i="73"/>
  <c r="H1273" i="73"/>
  <c r="H1271" i="73"/>
  <c r="I1227" i="73"/>
  <c r="M1227" i="73" s="1"/>
  <c r="I1228" i="73"/>
  <c r="H1227" i="73"/>
  <c r="H1228" i="73"/>
  <c r="I1223" i="73"/>
  <c r="M1223" i="73" s="1"/>
  <c r="H1222" i="73"/>
  <c r="B1218" i="73"/>
  <c r="H1254" i="73"/>
  <c r="I1245" i="73"/>
  <c r="M1245" i="73" s="1"/>
  <c r="M1250" i="73" s="1"/>
  <c r="L1218" i="73" s="1"/>
  <c r="H1245" i="73"/>
  <c r="H1236" i="73"/>
  <c r="I1226" i="73"/>
  <c r="M1226" i="73" s="1"/>
  <c r="H1226" i="73"/>
  <c r="I1225" i="73"/>
  <c r="H1225" i="73"/>
  <c r="I1224" i="73"/>
  <c r="M1224" i="73" s="1"/>
  <c r="H1224" i="73"/>
  <c r="H1223" i="73"/>
  <c r="I1222" i="73"/>
  <c r="H1179" i="73"/>
  <c r="I1181" i="73"/>
  <c r="M1181" i="73" s="1"/>
  <c r="I1182" i="73"/>
  <c r="M1182" i="73" s="1"/>
  <c r="H1178" i="73"/>
  <c r="B1174" i="73"/>
  <c r="H1205" i="73"/>
  <c r="I1196" i="73"/>
  <c r="M1196" i="73" s="1"/>
  <c r="M1201" i="73" s="1"/>
  <c r="L1174" i="73" s="1"/>
  <c r="H1196" i="73"/>
  <c r="H1187" i="73"/>
  <c r="H1181" i="73"/>
  <c r="I1180" i="73"/>
  <c r="H1180" i="73"/>
  <c r="I1179" i="73"/>
  <c r="H1135" i="73"/>
  <c r="H1136" i="73"/>
  <c r="I1134" i="73"/>
  <c r="M1134" i="73" s="1"/>
  <c r="B1130" i="73"/>
  <c r="H1161" i="73"/>
  <c r="I1152" i="73"/>
  <c r="M1152" i="73" s="1"/>
  <c r="M1157" i="73" s="1"/>
  <c r="L1130" i="73" s="1"/>
  <c r="H1152" i="73"/>
  <c r="H1143" i="73"/>
  <c r="I1138" i="73"/>
  <c r="H1138" i="73"/>
  <c r="I1137" i="73"/>
  <c r="H1137" i="73"/>
  <c r="I1135" i="73"/>
  <c r="M1135" i="73" s="1"/>
  <c r="B1086" i="73"/>
  <c r="H1117" i="73"/>
  <c r="I1108" i="73"/>
  <c r="M1108" i="73" s="1"/>
  <c r="M1113" i="73" s="1"/>
  <c r="L1086" i="73" s="1"/>
  <c r="H1108" i="73"/>
  <c r="H1099" i="73"/>
  <c r="I1094" i="73"/>
  <c r="H1094" i="73"/>
  <c r="I1093" i="73"/>
  <c r="H1093" i="73"/>
  <c r="I1092" i="73"/>
  <c r="H1092" i="73"/>
  <c r="I1091" i="73"/>
  <c r="H1091" i="73"/>
  <c r="I1090" i="73"/>
  <c r="M1090" i="73" s="1"/>
  <c r="H1090" i="73"/>
  <c r="H1073" i="73"/>
  <c r="I1064" i="73"/>
  <c r="M1064" i="73" s="1"/>
  <c r="M1069" i="73" s="1"/>
  <c r="L1042" i="73" s="1"/>
  <c r="H1064" i="73"/>
  <c r="H1055" i="73"/>
  <c r="I1050" i="73"/>
  <c r="H1050" i="73"/>
  <c r="I1049" i="73"/>
  <c r="H1049" i="73"/>
  <c r="I1048" i="73"/>
  <c r="M1048" i="73" s="1"/>
  <c r="H1048" i="73"/>
  <c r="I1047" i="73"/>
  <c r="M1047" i="73" s="1"/>
  <c r="H1047" i="73"/>
  <c r="I1046" i="73"/>
  <c r="M1046" i="73" s="1"/>
  <c r="H1046" i="73"/>
  <c r="B1042" i="73"/>
  <c r="B998" i="73"/>
  <c r="H1029" i="73"/>
  <c r="I1020" i="73"/>
  <c r="M1020" i="73" s="1"/>
  <c r="M1025" i="73" s="1"/>
  <c r="L998" i="73" s="1"/>
  <c r="H1020" i="73"/>
  <c r="H1011" i="73"/>
  <c r="I1006" i="73"/>
  <c r="H1006" i="73"/>
  <c r="I1005" i="73"/>
  <c r="H1005" i="73"/>
  <c r="I1004" i="73"/>
  <c r="M1004" i="73" s="1"/>
  <c r="H1004" i="73"/>
  <c r="I1003" i="73"/>
  <c r="M1003" i="73" s="1"/>
  <c r="H1003" i="73"/>
  <c r="I1002" i="73"/>
  <c r="M1002" i="73" s="1"/>
  <c r="H1002" i="73"/>
  <c r="M1281" i="73" l="1"/>
  <c r="J1267" i="73" s="1"/>
  <c r="M1228" i="73"/>
  <c r="M1225" i="73"/>
  <c r="M1222" i="73"/>
  <c r="M1179" i="73"/>
  <c r="M1180" i="73"/>
  <c r="H1182" i="73"/>
  <c r="I1178" i="73"/>
  <c r="M1178" i="73" s="1"/>
  <c r="I1136" i="73"/>
  <c r="M1136" i="73" s="1"/>
  <c r="M1139" i="73" s="1"/>
  <c r="J1130" i="73" s="1"/>
  <c r="H1134" i="73"/>
  <c r="M1095" i="73"/>
  <c r="J1086" i="73" s="1"/>
  <c r="M1051" i="73"/>
  <c r="J1042" i="73" s="1"/>
  <c r="M1007" i="73"/>
  <c r="J998" i="73" s="1"/>
  <c r="H985" i="73"/>
  <c r="I976" i="73"/>
  <c r="H976" i="73"/>
  <c r="H967" i="73"/>
  <c r="I956" i="73"/>
  <c r="I957" i="73"/>
  <c r="I958" i="73"/>
  <c r="I959" i="73"/>
  <c r="H956" i="73"/>
  <c r="H957" i="73"/>
  <c r="H958" i="73"/>
  <c r="H959" i="73"/>
  <c r="I955" i="73"/>
  <c r="H955" i="73"/>
  <c r="H937" i="73"/>
  <c r="I928" i="73"/>
  <c r="H928" i="73"/>
  <c r="H919" i="73"/>
  <c r="I907" i="73"/>
  <c r="H907" i="73"/>
  <c r="H889" i="73"/>
  <c r="I880" i="73"/>
  <c r="H880" i="73"/>
  <c r="H871" i="73"/>
  <c r="I859" i="73"/>
  <c r="H859" i="73"/>
  <c r="I812" i="73"/>
  <c r="I813" i="73"/>
  <c r="I814" i="73"/>
  <c r="I815" i="73"/>
  <c r="I816" i="73"/>
  <c r="H812" i="73"/>
  <c r="H813" i="73"/>
  <c r="H814" i="73"/>
  <c r="H815" i="73"/>
  <c r="H816" i="73"/>
  <c r="I811" i="73"/>
  <c r="H811" i="73"/>
  <c r="H823" i="73"/>
  <c r="I832" i="73"/>
  <c r="H832" i="73"/>
  <c r="H841" i="73"/>
  <c r="H28" i="74"/>
  <c r="I784" i="73"/>
  <c r="H784" i="73"/>
  <c r="H793" i="73"/>
  <c r="H775" i="73"/>
  <c r="H27" i="74"/>
  <c r="I718" i="73"/>
  <c r="H718" i="73"/>
  <c r="H727" i="73"/>
  <c r="H745" i="73"/>
  <c r="H26" i="74"/>
  <c r="H700" i="73"/>
  <c r="H682" i="73"/>
  <c r="I673" i="73"/>
  <c r="H673" i="73"/>
  <c r="H25" i="74"/>
  <c r="H655" i="73"/>
  <c r="I646" i="73"/>
  <c r="H646" i="73"/>
  <c r="H637" i="73"/>
  <c r="I628" i="73"/>
  <c r="H628" i="73"/>
  <c r="H24" i="74"/>
  <c r="I601" i="73"/>
  <c r="M601" i="73" s="1"/>
  <c r="H601" i="73"/>
  <c r="I585" i="73"/>
  <c r="M585" i="73" s="1"/>
  <c r="I586" i="73"/>
  <c r="I587" i="73"/>
  <c r="H585" i="73"/>
  <c r="H586" i="73"/>
  <c r="H587" i="73"/>
  <c r="H610" i="73"/>
  <c r="H592" i="73"/>
  <c r="I584" i="73"/>
  <c r="H584" i="73"/>
  <c r="I583" i="73"/>
  <c r="H583" i="73"/>
  <c r="H23" i="74"/>
  <c r="D127" i="5" s="1"/>
  <c r="H542" i="73"/>
  <c r="I543" i="73"/>
  <c r="M543" i="73" s="1"/>
  <c r="I541" i="73"/>
  <c r="M541" i="73" s="1"/>
  <c r="B537" i="73"/>
  <c r="B23" i="74" s="1"/>
  <c r="M569" i="73"/>
  <c r="K569" i="73"/>
  <c r="I569" i="73"/>
  <c r="H569" i="73"/>
  <c r="M568" i="73"/>
  <c r="K568" i="73"/>
  <c r="I568" i="73"/>
  <c r="H568" i="73"/>
  <c r="M567" i="73"/>
  <c r="K567" i="73"/>
  <c r="I567" i="73"/>
  <c r="H567" i="73"/>
  <c r="M566" i="73"/>
  <c r="K566" i="73"/>
  <c r="I566" i="73"/>
  <c r="H566" i="73"/>
  <c r="H565" i="73"/>
  <c r="M560" i="73"/>
  <c r="M559" i="73"/>
  <c r="I558" i="73"/>
  <c r="M558" i="73" s="1"/>
  <c r="H558" i="73"/>
  <c r="M553" i="73"/>
  <c r="I553" i="73"/>
  <c r="H553" i="73"/>
  <c r="I552" i="73"/>
  <c r="M552" i="73" s="1"/>
  <c r="H552" i="73"/>
  <c r="I551" i="73"/>
  <c r="M551" i="73" s="1"/>
  <c r="H551" i="73"/>
  <c r="H550" i="73"/>
  <c r="I545" i="73"/>
  <c r="M545" i="73" s="1"/>
  <c r="H545" i="73"/>
  <c r="I544" i="73"/>
  <c r="M544" i="73" s="1"/>
  <c r="H544" i="73"/>
  <c r="H543" i="73"/>
  <c r="I542" i="73"/>
  <c r="M542" i="73" s="1"/>
  <c r="H22" i="74"/>
  <c r="D126" i="5" s="1"/>
  <c r="B495" i="73"/>
  <c r="B22" i="74" s="1"/>
  <c r="M528" i="73"/>
  <c r="K528" i="73"/>
  <c r="I528" i="73"/>
  <c r="H528" i="73"/>
  <c r="M527" i="73"/>
  <c r="K527" i="73"/>
  <c r="I527" i="73"/>
  <c r="H527" i="73"/>
  <c r="M526" i="73"/>
  <c r="K526" i="73"/>
  <c r="I526" i="73"/>
  <c r="H526" i="73"/>
  <c r="M525" i="73"/>
  <c r="K525" i="73"/>
  <c r="I525" i="73"/>
  <c r="H525" i="73"/>
  <c r="H524" i="73"/>
  <c r="M519" i="73"/>
  <c r="M518" i="73"/>
  <c r="H517" i="73"/>
  <c r="H512" i="73"/>
  <c r="I511" i="73"/>
  <c r="M511" i="73" s="1"/>
  <c r="H511" i="73"/>
  <c r="I510" i="73"/>
  <c r="M510" i="73" s="1"/>
  <c r="H510" i="73"/>
  <c r="H509" i="73"/>
  <c r="I508" i="73"/>
  <c r="H508" i="73"/>
  <c r="I503" i="73"/>
  <c r="M503" i="73" s="1"/>
  <c r="H503" i="73"/>
  <c r="I502" i="73"/>
  <c r="M502" i="73" s="1"/>
  <c r="H502" i="73"/>
  <c r="I501" i="73"/>
  <c r="M501" i="73" s="1"/>
  <c r="H501" i="73"/>
  <c r="I500" i="73"/>
  <c r="M500" i="73" s="1"/>
  <c r="H500" i="73"/>
  <c r="I499" i="73"/>
  <c r="M499" i="73" s="1"/>
  <c r="H499" i="73"/>
  <c r="H21" i="74"/>
  <c r="L482" i="73"/>
  <c r="H468" i="73"/>
  <c r="H461" i="73"/>
  <c r="K483" i="73"/>
  <c r="K484" i="73"/>
  <c r="K485" i="73"/>
  <c r="K486" i="73"/>
  <c r="I483" i="73"/>
  <c r="I484" i="73"/>
  <c r="I485" i="73"/>
  <c r="I486" i="73"/>
  <c r="H483" i="73"/>
  <c r="H484" i="73"/>
  <c r="H485" i="73"/>
  <c r="H486" i="73"/>
  <c r="H482" i="73"/>
  <c r="K475" i="73"/>
  <c r="H475" i="73"/>
  <c r="I466" i="73"/>
  <c r="I468" i="73"/>
  <c r="I469" i="73"/>
  <c r="I470" i="73"/>
  <c r="H467" i="73"/>
  <c r="H469" i="73"/>
  <c r="H470" i="73"/>
  <c r="I459" i="73"/>
  <c r="I460" i="73"/>
  <c r="H458" i="73"/>
  <c r="H459" i="73"/>
  <c r="H460" i="73"/>
  <c r="I457" i="73"/>
  <c r="H457" i="73"/>
  <c r="H20" i="74"/>
  <c r="D124" i="5" s="1"/>
  <c r="H19" i="74"/>
  <c r="K431" i="73"/>
  <c r="H431" i="73"/>
  <c r="I423" i="73"/>
  <c r="M423" i="73" s="1"/>
  <c r="H412" i="73"/>
  <c r="B408" i="73"/>
  <c r="B20" i="74" s="1"/>
  <c r="H440" i="73"/>
  <c r="I415" i="73"/>
  <c r="M415" i="73" s="1"/>
  <c r="H415" i="73"/>
  <c r="I414" i="73"/>
  <c r="M414" i="73" s="1"/>
  <c r="H414" i="73"/>
  <c r="I413" i="73"/>
  <c r="M413" i="73" s="1"/>
  <c r="H413" i="73"/>
  <c r="I412" i="73"/>
  <c r="M412" i="73" s="1"/>
  <c r="M405" i="73"/>
  <c r="H10" i="74"/>
  <c r="H11" i="74"/>
  <c r="H12" i="74"/>
  <c r="H13" i="74"/>
  <c r="H14" i="74"/>
  <c r="D131" i="5" s="1"/>
  <c r="H15" i="74"/>
  <c r="D132" i="5" s="1"/>
  <c r="H16" i="74"/>
  <c r="H9" i="74"/>
  <c r="H2922" i="73" l="1"/>
  <c r="H2972" i="73"/>
  <c r="H2909" i="73"/>
  <c r="H2967" i="73"/>
  <c r="H2908" i="73"/>
  <c r="H2966" i="73"/>
  <c r="H2906" i="73"/>
  <c r="H2964" i="73"/>
  <c r="H2921" i="73"/>
  <c r="H2971" i="73"/>
  <c r="D125" i="5"/>
  <c r="M1232" i="73"/>
  <c r="J1218" i="73" s="1"/>
  <c r="M1183" i="73"/>
  <c r="J1174" i="73" s="1"/>
  <c r="M520" i="73"/>
  <c r="L495" i="73" s="1"/>
  <c r="K22" i="74" s="1"/>
  <c r="M504" i="73"/>
  <c r="J495" i="73" s="1"/>
  <c r="J22" i="74" s="1"/>
  <c r="M561" i="73"/>
  <c r="L537" i="73" s="1"/>
  <c r="K23" i="74" s="1"/>
  <c r="H541" i="73"/>
  <c r="M546" i="73"/>
  <c r="J537" i="73" s="1"/>
  <c r="J23" i="74" s="1"/>
  <c r="I461" i="73"/>
  <c r="H466" i="73"/>
  <c r="M431" i="73"/>
  <c r="M436" i="73" s="1"/>
  <c r="L408" i="73" s="1"/>
  <c r="K20" i="74" s="1"/>
  <c r="H423" i="73"/>
  <c r="H422" i="73"/>
  <c r="M418" i="73"/>
  <c r="H408" i="73" s="1"/>
  <c r="I20" i="74" s="1"/>
  <c r="H395" i="73"/>
  <c r="M360" i="73"/>
  <c r="H277" i="73"/>
  <c r="H2907" i="73" l="1"/>
  <c r="H2965" i="73"/>
  <c r="M310" i="73"/>
  <c r="N273" i="73" s="1"/>
  <c r="M301" i="73"/>
  <c r="L273" i="73" s="1"/>
  <c r="M292" i="73"/>
  <c r="J273" i="73" s="1"/>
  <c r="M277" i="73"/>
  <c r="M283" i="73" s="1"/>
  <c r="H273" i="73" s="1"/>
  <c r="B273" i="73"/>
  <c r="B15" i="74" s="1"/>
  <c r="M270" i="73"/>
  <c r="I324" i="73"/>
  <c r="M324" i="73" s="1"/>
  <c r="H324" i="73"/>
  <c r="H350" i="73"/>
  <c r="H332" i="73"/>
  <c r="F273" i="73" l="1"/>
  <c r="N274" i="73" s="1"/>
  <c r="M232" i="73"/>
  <c r="I323" i="73"/>
  <c r="M323" i="73" s="1"/>
  <c r="H323" i="73"/>
  <c r="I322" i="73"/>
  <c r="M322" i="73" s="1"/>
  <c r="H322" i="73"/>
  <c r="M341" i="73"/>
  <c r="M346" i="73" s="1"/>
  <c r="L318" i="73" s="1"/>
  <c r="K16" i="74" s="1"/>
  <c r="B318" i="73"/>
  <c r="B16" i="74" s="1"/>
  <c r="M315" i="73"/>
  <c r="H162" i="73"/>
  <c r="H251" i="73"/>
  <c r="I251" i="73"/>
  <c r="I242" i="73"/>
  <c r="H242" i="73"/>
  <c r="M225" i="73"/>
  <c r="H215" i="73"/>
  <c r="I198" i="73"/>
  <c r="H198" i="73"/>
  <c r="I62" i="73"/>
  <c r="H197" i="73"/>
  <c r="M181" i="73"/>
  <c r="H171" i="73"/>
  <c r="K162" i="73"/>
  <c r="I162" i="73"/>
  <c r="H153" i="73"/>
  <c r="I143" i="73"/>
  <c r="H143" i="73"/>
  <c r="H10" i="73"/>
  <c r="M136" i="73"/>
  <c r="H126" i="73"/>
  <c r="K117" i="73"/>
  <c r="H117" i="73"/>
  <c r="H108" i="73"/>
  <c r="I98" i="73"/>
  <c r="H98" i="73"/>
  <c r="M91" i="73"/>
  <c r="M45" i="73"/>
  <c r="M1" i="73"/>
  <c r="K36" i="73"/>
  <c r="K37" i="73"/>
  <c r="K38" i="73"/>
  <c r="K39" i="73"/>
  <c r="I36" i="73"/>
  <c r="I37" i="73"/>
  <c r="I38" i="73"/>
  <c r="I39" i="73"/>
  <c r="H36" i="73"/>
  <c r="H37" i="73"/>
  <c r="H38" i="73"/>
  <c r="H39" i="73"/>
  <c r="H18" i="73"/>
  <c r="H19" i="73"/>
  <c r="H20" i="73"/>
  <c r="H21" i="73"/>
  <c r="I12" i="73"/>
  <c r="H12" i="73"/>
  <c r="H35" i="73"/>
  <c r="H17" i="73"/>
  <c r="I9" i="73"/>
  <c r="I10" i="73"/>
  <c r="I11" i="73"/>
  <c r="H9" i="73"/>
  <c r="H11" i="73"/>
  <c r="J117" i="58" l="1"/>
  <c r="J257" i="58"/>
  <c r="J212" i="58"/>
  <c r="J142" i="58"/>
  <c r="J45" i="58"/>
  <c r="J241" i="58"/>
  <c r="J176" i="58"/>
  <c r="J75" i="58"/>
  <c r="J27" i="58"/>
  <c r="M328" i="73"/>
  <c r="H318" i="73" s="1"/>
  <c r="I16" i="74" s="1"/>
  <c r="H62" i="73"/>
  <c r="I117" i="73"/>
  <c r="H8" i="73"/>
  <c r="I8" i="73"/>
  <c r="A1197" i="68"/>
  <c r="F1196" i="68"/>
  <c r="AE1194" i="68"/>
  <c r="AF1190" i="68"/>
  <c r="E1190" i="68"/>
  <c r="AD1164" i="68"/>
  <c r="AF1164" i="68" s="1"/>
  <c r="AD1163" i="68"/>
  <c r="AF1163" i="68" s="1"/>
  <c r="A1160" i="68"/>
  <c r="F1159" i="68"/>
  <c r="AD1162" i="68"/>
  <c r="AF1162" i="68" s="1"/>
  <c r="AE1157" i="68"/>
  <c r="AF1153" i="68"/>
  <c r="E1153" i="68"/>
  <c r="K976" i="73"/>
  <c r="M976" i="73" s="1"/>
  <c r="L985" i="73"/>
  <c r="M959" i="73"/>
  <c r="M958" i="73"/>
  <c r="M957" i="73"/>
  <c r="M956" i="73"/>
  <c r="M955" i="73"/>
  <c r="B951" i="73"/>
  <c r="AF1122" i="68"/>
  <c r="A1119" i="68"/>
  <c r="AF1121" i="68"/>
  <c r="F1118" i="68"/>
  <c r="AE1116" i="68"/>
  <c r="AF1112" i="68"/>
  <c r="E1112" i="68"/>
  <c r="M928" i="73"/>
  <c r="M907" i="73"/>
  <c r="B903" i="73"/>
  <c r="A1078" i="68"/>
  <c r="AF1080" i="68"/>
  <c r="AF1104" i="68" s="1"/>
  <c r="AF1106" i="68" s="1"/>
  <c r="L60" i="58" s="1"/>
  <c r="F1077" i="68"/>
  <c r="AE1075" i="68"/>
  <c r="AF1071" i="68"/>
  <c r="E1071" i="68"/>
  <c r="K880" i="73"/>
  <c r="M859" i="73"/>
  <c r="B855" i="73"/>
  <c r="A1037" i="68"/>
  <c r="AF1039" i="68"/>
  <c r="AF1063" i="68" s="1"/>
  <c r="AF1065" i="68" s="1"/>
  <c r="L59" i="58" s="1"/>
  <c r="F1036" i="68"/>
  <c r="AE1034" i="68"/>
  <c r="AF1030" i="68"/>
  <c r="E1030" i="68"/>
  <c r="K832" i="73"/>
  <c r="K823" i="73"/>
  <c r="M816" i="73"/>
  <c r="M815" i="73"/>
  <c r="M814" i="73"/>
  <c r="M813" i="73"/>
  <c r="M812" i="73"/>
  <c r="M811" i="73"/>
  <c r="B807" i="73"/>
  <c r="AF999" i="68"/>
  <c r="A996" i="68"/>
  <c r="AF998" i="68"/>
  <c r="F995" i="68"/>
  <c r="AE993" i="68"/>
  <c r="AF989" i="68"/>
  <c r="E989" i="68"/>
  <c r="A768" i="73"/>
  <c r="A767" i="73"/>
  <c r="A766" i="73"/>
  <c r="A765" i="73"/>
  <c r="A764" i="73"/>
  <c r="A763" i="73"/>
  <c r="B759" i="73"/>
  <c r="B28" i="74" s="1"/>
  <c r="A955" i="68"/>
  <c r="D955" i="68" s="1"/>
  <c r="AF957" i="68"/>
  <c r="AF981" i="68" s="1"/>
  <c r="AF983" i="68" s="1"/>
  <c r="L57" i="58" s="1"/>
  <c r="F954" i="68"/>
  <c r="AE952" i="68"/>
  <c r="AF948" i="68"/>
  <c r="E948" i="68"/>
  <c r="M718" i="73"/>
  <c r="B714" i="73"/>
  <c r="B27" i="74" s="1"/>
  <c r="A914" i="68"/>
  <c r="AF917" i="68"/>
  <c r="AF916" i="68"/>
  <c r="F913" i="68"/>
  <c r="AE911" i="68"/>
  <c r="AF907" i="68"/>
  <c r="E907" i="68"/>
  <c r="M673" i="73"/>
  <c r="B669" i="73"/>
  <c r="B26" i="74" s="1"/>
  <c r="AF876" i="68"/>
  <c r="AF877" i="68"/>
  <c r="AF875" i="68"/>
  <c r="A873" i="68"/>
  <c r="D873" i="68" s="1"/>
  <c r="F872" i="68"/>
  <c r="AE870" i="68"/>
  <c r="AF866" i="68"/>
  <c r="E866" i="68"/>
  <c r="K646" i="73"/>
  <c r="M646" i="73"/>
  <c r="M628" i="73"/>
  <c r="B624" i="73"/>
  <c r="B25" i="74" s="1"/>
  <c r="AF837" i="68"/>
  <c r="AF838" i="68"/>
  <c r="AF836" i="68"/>
  <c r="AB835" i="68"/>
  <c r="AF835" i="68" s="1"/>
  <c r="AB834" i="68"/>
  <c r="AF834" i="68" s="1"/>
  <c r="A832" i="68"/>
  <c r="D832" i="68" s="1"/>
  <c r="F831" i="68"/>
  <c r="AE829" i="68"/>
  <c r="AF825" i="68"/>
  <c r="E825" i="68"/>
  <c r="AF794" i="68"/>
  <c r="AF793" i="68"/>
  <c r="A791" i="68"/>
  <c r="F790" i="68"/>
  <c r="AE788" i="68"/>
  <c r="AF784" i="68"/>
  <c r="E784" i="68"/>
  <c r="N2" i="75"/>
  <c r="A1" i="75"/>
  <c r="M584" i="73"/>
  <c r="M583" i="73"/>
  <c r="B579" i="73"/>
  <c r="B24" i="74" s="1"/>
  <c r="AD726" i="68"/>
  <c r="AF726" i="68" s="1"/>
  <c r="AD727" i="68"/>
  <c r="AF727" i="68" s="1"/>
  <c r="AD728" i="68"/>
  <c r="AF728" i="68" s="1"/>
  <c r="AD729" i="68"/>
  <c r="AF729" i="68" s="1"/>
  <c r="AD730" i="68"/>
  <c r="AF730" i="68" s="1"/>
  <c r="AD731" i="68"/>
  <c r="AF731" i="68" s="1"/>
  <c r="AD732" i="68"/>
  <c r="AF732" i="68" s="1"/>
  <c r="AD733" i="68"/>
  <c r="AF733" i="68" s="1"/>
  <c r="AD734" i="68"/>
  <c r="AF734" i="68" s="1"/>
  <c r="AD735" i="68"/>
  <c r="AF735" i="68" s="1"/>
  <c r="AD736" i="68"/>
  <c r="AF736" i="68" s="1"/>
  <c r="AD737" i="68"/>
  <c r="AF737" i="68" s="1"/>
  <c r="AD738" i="68"/>
  <c r="AF738" i="68" s="1"/>
  <c r="AD739" i="68"/>
  <c r="AF739" i="68" s="1"/>
  <c r="AD740" i="68"/>
  <c r="AF740" i="68" s="1"/>
  <c r="AD741" i="68"/>
  <c r="AF741" i="68" s="1"/>
  <c r="AD742" i="68"/>
  <c r="AF742" i="68" s="1"/>
  <c r="AD743" i="68"/>
  <c r="AF743" i="68" s="1"/>
  <c r="AD744" i="68"/>
  <c r="AF744" i="68" s="1"/>
  <c r="AD745" i="68"/>
  <c r="AF745" i="68" s="1"/>
  <c r="AD746" i="68"/>
  <c r="AF746" i="68" s="1"/>
  <c r="AD747" i="68"/>
  <c r="AF747" i="68" s="1"/>
  <c r="AD748" i="68"/>
  <c r="AF748" i="68" s="1"/>
  <c r="AD749" i="68"/>
  <c r="AF749" i="68" s="1"/>
  <c r="AD750" i="68"/>
  <c r="AF750" i="68" s="1"/>
  <c r="AD751" i="68"/>
  <c r="AF751" i="68" s="1"/>
  <c r="AD752" i="68"/>
  <c r="AF752" i="68" s="1"/>
  <c r="AD753" i="68"/>
  <c r="AF753" i="68" s="1"/>
  <c r="AD754" i="68"/>
  <c r="AF754" i="68" s="1"/>
  <c r="AD755" i="68"/>
  <c r="AF755" i="68" s="1"/>
  <c r="AD756" i="68"/>
  <c r="AF756" i="68" s="1"/>
  <c r="AD757" i="68"/>
  <c r="AF757" i="68" s="1"/>
  <c r="AD758" i="68"/>
  <c r="AF758" i="68" s="1"/>
  <c r="AD759" i="68"/>
  <c r="AF759" i="68" s="1"/>
  <c r="AD760" i="68"/>
  <c r="AF760" i="68" s="1"/>
  <c r="AD761" i="68"/>
  <c r="AF761" i="68" s="1"/>
  <c r="AD762" i="68"/>
  <c r="AF762" i="68" s="1"/>
  <c r="AD763" i="68"/>
  <c r="AF763" i="68" s="1"/>
  <c r="AD764" i="68"/>
  <c r="AF764" i="68" s="1"/>
  <c r="AD765" i="68"/>
  <c r="AF765" i="68" s="1"/>
  <c r="AD766" i="68"/>
  <c r="AF766" i="68" s="1"/>
  <c r="AD767" i="68"/>
  <c r="AF767" i="68" s="1"/>
  <c r="AD768" i="68"/>
  <c r="AF768" i="68" s="1"/>
  <c r="AD769" i="68"/>
  <c r="AF769" i="68" s="1"/>
  <c r="AD770" i="68"/>
  <c r="AF770" i="68" s="1"/>
  <c r="AD771" i="68"/>
  <c r="AF771" i="68" s="1"/>
  <c r="AD772" i="68"/>
  <c r="AF772" i="68" s="1"/>
  <c r="AD773" i="68"/>
  <c r="AF773" i="68" s="1"/>
  <c r="AD774" i="68"/>
  <c r="AF774" i="68" s="1"/>
  <c r="AD775" i="68"/>
  <c r="AF775" i="68" s="1"/>
  <c r="AD725" i="68"/>
  <c r="AF725" i="68" s="1"/>
  <c r="A723" i="68"/>
  <c r="D723" i="68" s="1"/>
  <c r="F722" i="68"/>
  <c r="AE720" i="68"/>
  <c r="AF716" i="68"/>
  <c r="E716" i="68"/>
  <c r="M486" i="73"/>
  <c r="M485" i="73"/>
  <c r="M484" i="73"/>
  <c r="M483" i="73"/>
  <c r="M477" i="73"/>
  <c r="M476" i="73"/>
  <c r="M470" i="73"/>
  <c r="M469" i="73"/>
  <c r="M468" i="73"/>
  <c r="M461" i="73"/>
  <c r="M460" i="73"/>
  <c r="M459" i="73"/>
  <c r="M458" i="73"/>
  <c r="M457" i="73"/>
  <c r="B453" i="73"/>
  <c r="B21" i="74" s="1"/>
  <c r="AE609" i="68"/>
  <c r="AD609" i="68"/>
  <c r="A607" i="68"/>
  <c r="F606" i="68"/>
  <c r="AE604" i="68"/>
  <c r="AF600" i="68"/>
  <c r="E600" i="68"/>
  <c r="AE571" i="68"/>
  <c r="AD571" i="68"/>
  <c r="AC500" i="68"/>
  <c r="AC533" i="68" s="1"/>
  <c r="AC501" i="68"/>
  <c r="AB500" i="68"/>
  <c r="AB533" i="68" s="1"/>
  <c r="AB534" i="68" s="1"/>
  <c r="AB501" i="68"/>
  <c r="M62" i="73"/>
  <c r="B48" i="73"/>
  <c r="B10" i="74" s="1"/>
  <c r="I378" i="73"/>
  <c r="M378" i="73" s="1"/>
  <c r="H377" i="73"/>
  <c r="I370" i="73"/>
  <c r="H369" i="73"/>
  <c r="H368" i="73"/>
  <c r="B363" i="73"/>
  <c r="B19" i="74" s="1"/>
  <c r="AB271" i="68"/>
  <c r="AF271" i="68" s="1"/>
  <c r="AF291" i="68" s="1"/>
  <c r="AF293" i="68" s="1"/>
  <c r="L29" i="58" s="1"/>
  <c r="A343" i="68"/>
  <c r="D343" i="68" s="1"/>
  <c r="AF345" i="68"/>
  <c r="AF365" i="68" s="1"/>
  <c r="AF367" i="68" s="1"/>
  <c r="F342" i="68"/>
  <c r="AE340" i="68"/>
  <c r="AF336" i="68"/>
  <c r="E336" i="68"/>
  <c r="AF308" i="68"/>
  <c r="AF328" i="68" s="1"/>
  <c r="AF330" i="68" s="1"/>
  <c r="L31" i="58" s="1"/>
  <c r="A306" i="68"/>
  <c r="F305" i="68"/>
  <c r="AE303" i="68"/>
  <c r="AF299" i="68"/>
  <c r="E299" i="68"/>
  <c r="A269" i="68"/>
  <c r="F268" i="68"/>
  <c r="AE266" i="68"/>
  <c r="AF262" i="68"/>
  <c r="E262" i="68"/>
  <c r="K18" i="74" l="1"/>
  <c r="H18" i="74"/>
  <c r="B18" i="74"/>
  <c r="B17" i="74"/>
  <c r="H17" i="74"/>
  <c r="K17" i="74"/>
  <c r="K70" i="74"/>
  <c r="B70" i="74"/>
  <c r="H70" i="74"/>
  <c r="J70" i="74"/>
  <c r="H69" i="74"/>
  <c r="K69" i="74"/>
  <c r="B69" i="74"/>
  <c r="J69" i="74"/>
  <c r="B68" i="74"/>
  <c r="H68" i="74"/>
  <c r="K68" i="74"/>
  <c r="J68" i="74"/>
  <c r="K67" i="74"/>
  <c r="H67" i="74"/>
  <c r="B67" i="74"/>
  <c r="J67" i="74"/>
  <c r="H66" i="74"/>
  <c r="K65" i="74"/>
  <c r="K66" i="74"/>
  <c r="B65" i="74"/>
  <c r="B66" i="74"/>
  <c r="J65" i="74"/>
  <c r="J66" i="74"/>
  <c r="H65" i="74"/>
  <c r="B63" i="74"/>
  <c r="H63" i="74"/>
  <c r="K64" i="74"/>
  <c r="K63" i="74"/>
  <c r="H64" i="74"/>
  <c r="B64" i="74"/>
  <c r="J64" i="74"/>
  <c r="J63" i="74"/>
  <c r="J62" i="74"/>
  <c r="K62" i="74"/>
  <c r="B62" i="74"/>
  <c r="H62" i="74"/>
  <c r="H61" i="74"/>
  <c r="K61" i="74"/>
  <c r="B61" i="74"/>
  <c r="J61" i="74"/>
  <c r="AC534" i="68"/>
  <c r="AF534" i="68" s="1"/>
  <c r="AF533" i="68"/>
  <c r="H60" i="74"/>
  <c r="B60" i="74"/>
  <c r="K60" i="74"/>
  <c r="J60" i="74"/>
  <c r="H59" i="74"/>
  <c r="K59" i="74"/>
  <c r="B59" i="74"/>
  <c r="J59" i="74"/>
  <c r="H58" i="74"/>
  <c r="K58" i="74"/>
  <c r="B58" i="74"/>
  <c r="J58" i="74"/>
  <c r="K57" i="74"/>
  <c r="B57" i="74"/>
  <c r="H57" i="74"/>
  <c r="K56" i="74"/>
  <c r="B56" i="74"/>
  <c r="H56" i="74"/>
  <c r="H54" i="74"/>
  <c r="K54" i="74"/>
  <c r="H55" i="74"/>
  <c r="B55" i="74"/>
  <c r="K55" i="74"/>
  <c r="B54" i="74"/>
  <c r="J55" i="74"/>
  <c r="H53" i="74"/>
  <c r="J53" i="74"/>
  <c r="K53" i="74"/>
  <c r="B53" i="74"/>
  <c r="B52" i="74"/>
  <c r="H52" i="74"/>
  <c r="J52" i="74"/>
  <c r="K52" i="74"/>
  <c r="B51" i="74"/>
  <c r="H51" i="74"/>
  <c r="J51" i="74"/>
  <c r="K51" i="74"/>
  <c r="K50" i="74"/>
  <c r="B50" i="74"/>
  <c r="J50" i="74"/>
  <c r="H50" i="74"/>
  <c r="B49" i="74"/>
  <c r="H49" i="74"/>
  <c r="J49" i="74"/>
  <c r="K49" i="74"/>
  <c r="B48" i="74"/>
  <c r="J48" i="74"/>
  <c r="H48" i="74"/>
  <c r="K48" i="74"/>
  <c r="K47" i="74"/>
  <c r="J47" i="74"/>
  <c r="H47" i="74"/>
  <c r="B47" i="74"/>
  <c r="J46" i="74"/>
  <c r="B46" i="74"/>
  <c r="H46" i="74"/>
  <c r="D123" i="5" s="1"/>
  <c r="K46" i="74"/>
  <c r="J45" i="74"/>
  <c r="K45" i="74"/>
  <c r="B45" i="74"/>
  <c r="H45" i="74"/>
  <c r="D122" i="5" s="1"/>
  <c r="B44" i="74"/>
  <c r="H44" i="74"/>
  <c r="K44" i="74"/>
  <c r="J44" i="74"/>
  <c r="B43" i="74"/>
  <c r="H43" i="74"/>
  <c r="J43" i="74"/>
  <c r="K43" i="74"/>
  <c r="H42" i="74"/>
  <c r="J42" i="74"/>
  <c r="K42" i="74"/>
  <c r="B42" i="74"/>
  <c r="H41" i="74"/>
  <c r="B41" i="74"/>
  <c r="J41" i="74"/>
  <c r="K41" i="74"/>
  <c r="H40" i="74"/>
  <c r="J40" i="74"/>
  <c r="K40" i="74"/>
  <c r="B40" i="74"/>
  <c r="H39" i="74"/>
  <c r="J39" i="74"/>
  <c r="K39" i="74"/>
  <c r="B39" i="74"/>
  <c r="H38" i="74"/>
  <c r="J38" i="74"/>
  <c r="K38" i="74"/>
  <c r="B38" i="74"/>
  <c r="H37" i="74"/>
  <c r="B37" i="74"/>
  <c r="K37" i="74"/>
  <c r="J37" i="74"/>
  <c r="H36" i="74"/>
  <c r="J36" i="74"/>
  <c r="B36" i="74"/>
  <c r="K36" i="74"/>
  <c r="H35" i="74"/>
  <c r="B35" i="74"/>
  <c r="J35" i="74"/>
  <c r="K35" i="74"/>
  <c r="H34" i="74"/>
  <c r="J34" i="74"/>
  <c r="K34" i="74"/>
  <c r="B34" i="74"/>
  <c r="B33" i="74"/>
  <c r="H33" i="74"/>
  <c r="K33" i="74"/>
  <c r="J33" i="74"/>
  <c r="I766" i="73"/>
  <c r="M766" i="73" s="1"/>
  <c r="H766" i="73"/>
  <c r="H767" i="73"/>
  <c r="I767" i="73"/>
  <c r="M767" i="73" s="1"/>
  <c r="H768" i="73"/>
  <c r="I768" i="73"/>
  <c r="M768" i="73" s="1"/>
  <c r="B31" i="74"/>
  <c r="H32" i="74"/>
  <c r="H30" i="74"/>
  <c r="H29" i="74"/>
  <c r="I763" i="73"/>
  <c r="M763" i="73" s="1"/>
  <c r="H763" i="73"/>
  <c r="B32" i="74"/>
  <c r="B30" i="74"/>
  <c r="B29" i="74"/>
  <c r="I764" i="73"/>
  <c r="M764" i="73" s="1"/>
  <c r="H764" i="73"/>
  <c r="I765" i="73"/>
  <c r="M765" i="73" s="1"/>
  <c r="H765" i="73"/>
  <c r="AF1022" i="68"/>
  <c r="AF1024" i="68" s="1"/>
  <c r="L58" i="58" s="1"/>
  <c r="M981" i="73"/>
  <c r="L951" i="73" s="1"/>
  <c r="K32" i="74" s="1"/>
  <c r="M832" i="73"/>
  <c r="M837" i="73" s="1"/>
  <c r="L807" i="73" s="1"/>
  <c r="K29" i="74" s="1"/>
  <c r="M15" i="74"/>
  <c r="E132" i="5" s="1"/>
  <c r="I15" i="74"/>
  <c r="L15" i="74"/>
  <c r="J15" i="74"/>
  <c r="K15" i="74"/>
  <c r="M880" i="73"/>
  <c r="M885" i="73" s="1"/>
  <c r="L855" i="73" s="1"/>
  <c r="K30" i="74" s="1"/>
  <c r="M933" i="73"/>
  <c r="L903" i="73" s="1"/>
  <c r="K31" i="74" s="1"/>
  <c r="M915" i="73"/>
  <c r="J903" i="73" s="1"/>
  <c r="J31" i="74" s="1"/>
  <c r="I367" i="73"/>
  <c r="M367" i="73" s="1"/>
  <c r="H367" i="73"/>
  <c r="M963" i="73"/>
  <c r="J951" i="73" s="1"/>
  <c r="J32" i="74" s="1"/>
  <c r="H378" i="73"/>
  <c r="H31" i="74"/>
  <c r="D1197" i="68"/>
  <c r="AF1219" i="68"/>
  <c r="AF1221" i="68" s="1"/>
  <c r="AF1182" i="68"/>
  <c r="AF1184" i="68" s="1"/>
  <c r="L66" i="58" s="1"/>
  <c r="D1160" i="68"/>
  <c r="AF1145" i="68"/>
  <c r="AF1147" i="68" s="1"/>
  <c r="L61" i="58" s="1"/>
  <c r="D1119" i="68"/>
  <c r="D1078" i="68"/>
  <c r="M867" i="73"/>
  <c r="J855" i="73" s="1"/>
  <c r="J30" i="74" s="1"/>
  <c r="D1037" i="68"/>
  <c r="M819" i="73"/>
  <c r="J807" i="73" s="1"/>
  <c r="J29" i="74" s="1"/>
  <c r="D996" i="68"/>
  <c r="M475" i="73"/>
  <c r="M723" i="73"/>
  <c r="J714" i="73" s="1"/>
  <c r="J27" i="74" s="1"/>
  <c r="M651" i="73"/>
  <c r="L624" i="73" s="1"/>
  <c r="K25" i="74" s="1"/>
  <c r="M678" i="73"/>
  <c r="J669" i="73" s="1"/>
  <c r="J26" i="74" s="1"/>
  <c r="M391" i="73"/>
  <c r="L363" i="73" s="1"/>
  <c r="K19" i="74" s="1"/>
  <c r="H370" i="73"/>
  <c r="M741" i="73"/>
  <c r="L714" i="73" s="1"/>
  <c r="K27" i="74" s="1"/>
  <c r="M784" i="73"/>
  <c r="M67" i="73"/>
  <c r="H48" i="73" s="1"/>
  <c r="I10" i="74" s="1"/>
  <c r="AF940" i="68"/>
  <c r="AF942" i="68" s="1"/>
  <c r="L56" i="58" s="1"/>
  <c r="D914" i="68"/>
  <c r="M696" i="73"/>
  <c r="L669" i="73" s="1"/>
  <c r="K26" i="74" s="1"/>
  <c r="AF899" i="68"/>
  <c r="AF901" i="68" s="1"/>
  <c r="L55" i="58" s="1"/>
  <c r="M633" i="73"/>
  <c r="J624" i="73" s="1"/>
  <c r="J25" i="74" s="1"/>
  <c r="AF858" i="68"/>
  <c r="AF860" i="68" s="1"/>
  <c r="L54" i="58" s="1"/>
  <c r="AF817" i="68"/>
  <c r="AF819" i="68" s="1"/>
  <c r="L52" i="58" s="1"/>
  <c r="D791" i="68"/>
  <c r="M588" i="73"/>
  <c r="J579" i="73" s="1"/>
  <c r="J24" i="74" s="1"/>
  <c r="AF776" i="68"/>
  <c r="AF778" i="68" s="1"/>
  <c r="L50" i="58" s="1"/>
  <c r="M462" i="73"/>
  <c r="J453" i="73" s="1"/>
  <c r="J21" i="74" s="1"/>
  <c r="D607" i="68"/>
  <c r="AF501" i="68"/>
  <c r="AF500" i="68"/>
  <c r="M58" i="73"/>
  <c r="J48" i="73" s="1"/>
  <c r="J10" i="74" s="1"/>
  <c r="I369" i="73"/>
  <c r="M369" i="73" s="1"/>
  <c r="I368" i="73"/>
  <c r="M368" i="73" s="1"/>
  <c r="M85" i="73"/>
  <c r="N48" i="73" s="1"/>
  <c r="L10" i="74" s="1"/>
  <c r="M370" i="73"/>
  <c r="D306" i="68"/>
  <c r="D269" i="68"/>
  <c r="H2905" i="73" l="1"/>
  <c r="H2963" i="73"/>
  <c r="H2904" i="73"/>
  <c r="H2962" i="73"/>
  <c r="I2922" i="73"/>
  <c r="M2922" i="73" s="1"/>
  <c r="I2972" i="73"/>
  <c r="M2972" i="73" s="1"/>
  <c r="L68" i="58"/>
  <c r="AB1347" i="68"/>
  <c r="AF554" i="68"/>
  <c r="AF556" i="68" s="1"/>
  <c r="I71" i="73"/>
  <c r="M71" i="73" s="1"/>
  <c r="M76" i="73" s="1"/>
  <c r="L48" i="73" s="1"/>
  <c r="M771" i="73"/>
  <c r="J759" i="73" s="1"/>
  <c r="J28" i="74" s="1"/>
  <c r="M789" i="73"/>
  <c r="L759" i="73" s="1"/>
  <c r="K28" i="74" s="1"/>
  <c r="M466" i="73"/>
  <c r="M606" i="73"/>
  <c r="L579" i="73" s="1"/>
  <c r="K24" i="74" s="1"/>
  <c r="M373" i="73"/>
  <c r="H363" i="73" s="1"/>
  <c r="I19" i="74" s="1"/>
  <c r="AB1385" i="68" l="1"/>
  <c r="AF1385" i="68" s="1"/>
  <c r="AF1406" i="68" s="1"/>
  <c r="AF1408" i="68" s="1"/>
  <c r="L75" i="58" s="1"/>
  <c r="AF1347" i="68"/>
  <c r="AF1368" i="68" s="1"/>
  <c r="AF1370" i="68" s="1"/>
  <c r="L74" i="58" s="1"/>
  <c r="L42" i="58"/>
  <c r="AC571" i="68"/>
  <c r="AC609" i="68" s="1"/>
  <c r="F48" i="73"/>
  <c r="K10" i="74"/>
  <c r="M478" i="73"/>
  <c r="L453" i="73" s="1"/>
  <c r="M10" i="74" l="1"/>
  <c r="N49" i="73"/>
  <c r="K21" i="74"/>
  <c r="A232" i="68"/>
  <c r="F231" i="68"/>
  <c r="AE229" i="68"/>
  <c r="AF225" i="68"/>
  <c r="E225" i="68"/>
  <c r="A195" i="68"/>
  <c r="F194" i="68"/>
  <c r="AE192" i="68"/>
  <c r="AF188" i="68"/>
  <c r="E188" i="68"/>
  <c r="M251" i="73"/>
  <c r="M242" i="73"/>
  <c r="B228" i="73"/>
  <c r="B14" i="74" s="1"/>
  <c r="A158" i="68"/>
  <c r="A121" i="68"/>
  <c r="AD160" i="68"/>
  <c r="F157" i="68"/>
  <c r="AE155" i="68"/>
  <c r="AF151" i="68"/>
  <c r="E151" i="68"/>
  <c r="M219" i="73"/>
  <c r="I219" i="73"/>
  <c r="H219" i="73"/>
  <c r="M218" i="73"/>
  <c r="I218" i="73"/>
  <c r="H218" i="73"/>
  <c r="M217" i="73"/>
  <c r="I217" i="73"/>
  <c r="H217" i="73"/>
  <c r="M216" i="73"/>
  <c r="I216" i="73"/>
  <c r="H216" i="73"/>
  <c r="L215" i="73"/>
  <c r="M198" i="73"/>
  <c r="B184" i="73"/>
  <c r="B13" i="74" s="1"/>
  <c r="F120" i="68"/>
  <c r="AE118" i="68"/>
  <c r="AF114" i="68"/>
  <c r="E114" i="68"/>
  <c r="M166" i="73"/>
  <c r="M165" i="73"/>
  <c r="M164" i="73"/>
  <c r="M143" i="73"/>
  <c r="B139" i="73"/>
  <c r="B12" i="74" s="1"/>
  <c r="M112" i="73"/>
  <c r="I112" i="73"/>
  <c r="H112" i="73"/>
  <c r="M111" i="73"/>
  <c r="I111" i="73"/>
  <c r="H111" i="73"/>
  <c r="M110" i="73"/>
  <c r="I110" i="73"/>
  <c r="H110" i="73"/>
  <c r="M109" i="73"/>
  <c r="I109" i="73"/>
  <c r="H109" i="73"/>
  <c r="M98" i="73"/>
  <c r="B94" i="73"/>
  <c r="B11" i="74" s="1"/>
  <c r="A84" i="68"/>
  <c r="F83" i="68"/>
  <c r="AE81" i="68"/>
  <c r="AF77" i="68"/>
  <c r="E77" i="68"/>
  <c r="AB49" i="68"/>
  <c r="AB86" i="68" s="1"/>
  <c r="AF86" i="68" s="1"/>
  <c r="AF106" i="68" s="1"/>
  <c r="AF108" i="68" s="1"/>
  <c r="L22" i="58" s="1"/>
  <c r="N10" i="74"/>
  <c r="N11" i="74"/>
  <c r="N12" i="74"/>
  <c r="N13" i="74"/>
  <c r="N14" i="74"/>
  <c r="N15" i="74"/>
  <c r="N16" i="74"/>
  <c r="N17" i="74"/>
  <c r="N18" i="74"/>
  <c r="N19" i="74"/>
  <c r="N20" i="74"/>
  <c r="N21" i="74"/>
  <c r="N22" i="74"/>
  <c r="N23" i="74"/>
  <c r="N24" i="74"/>
  <c r="N33" i="74"/>
  <c r="N25" i="74"/>
  <c r="N26" i="74"/>
  <c r="N27" i="74"/>
  <c r="N28" i="74"/>
  <c r="N29" i="74"/>
  <c r="N30" i="74"/>
  <c r="N31" i="74"/>
  <c r="N32" i="74"/>
  <c r="N34" i="74"/>
  <c r="N35" i="74"/>
  <c r="N36" i="74"/>
  <c r="N37" i="74"/>
  <c r="N38" i="74"/>
  <c r="N39" i="74"/>
  <c r="N40" i="74"/>
  <c r="N41" i="74"/>
  <c r="N42" i="74"/>
  <c r="N43" i="74"/>
  <c r="N44" i="74"/>
  <c r="N45" i="74"/>
  <c r="N46" i="74"/>
  <c r="N47" i="74"/>
  <c r="N48" i="74"/>
  <c r="N49" i="74"/>
  <c r="N50" i="74"/>
  <c r="N51" i="74"/>
  <c r="N52" i="74"/>
  <c r="N53" i="74"/>
  <c r="N54" i="74"/>
  <c r="N55" i="74"/>
  <c r="N56" i="74"/>
  <c r="N57" i="74"/>
  <c r="N58" i="74"/>
  <c r="N59" i="74"/>
  <c r="N60" i="74"/>
  <c r="N61" i="74"/>
  <c r="N62" i="74"/>
  <c r="N63" i="74"/>
  <c r="N64" i="74"/>
  <c r="N65" i="74"/>
  <c r="N66" i="74"/>
  <c r="N67" i="74"/>
  <c r="N68" i="74"/>
  <c r="N69" i="74"/>
  <c r="N70" i="74"/>
  <c r="N91" i="74"/>
  <c r="N92" i="74"/>
  <c r="N93" i="74"/>
  <c r="N94" i="74"/>
  <c r="N95" i="74"/>
  <c r="N96" i="74"/>
  <c r="N97" i="74"/>
  <c r="N98" i="74"/>
  <c r="N99" i="74"/>
  <c r="N100" i="74"/>
  <c r="N101" i="74"/>
  <c r="N102" i="74"/>
  <c r="N103" i="74"/>
  <c r="N104" i="74"/>
  <c r="N105" i="74"/>
  <c r="N106" i="74"/>
  <c r="N107" i="74"/>
  <c r="N108" i="74"/>
  <c r="N109" i="74"/>
  <c r="N110" i="74"/>
  <c r="N111" i="74"/>
  <c r="N112" i="74"/>
  <c r="N113" i="74"/>
  <c r="N114" i="74"/>
  <c r="N115" i="74"/>
  <c r="N116" i="74"/>
  <c r="N117" i="74"/>
  <c r="N118" i="74"/>
  <c r="N119" i="74"/>
  <c r="N120" i="74"/>
  <c r="N121" i="74"/>
  <c r="N122" i="74"/>
  <c r="N123" i="74"/>
  <c r="N124" i="74"/>
  <c r="N125" i="74"/>
  <c r="N126" i="74"/>
  <c r="N127" i="74"/>
  <c r="N128" i="74"/>
  <c r="N129" i="74"/>
  <c r="N130" i="74"/>
  <c r="N131" i="74"/>
  <c r="N132" i="74"/>
  <c r="N133" i="74"/>
  <c r="N134" i="74"/>
  <c r="N135" i="74"/>
  <c r="N136" i="74"/>
  <c r="N137" i="74"/>
  <c r="N138" i="74"/>
  <c r="N139" i="74"/>
  <c r="N140" i="74"/>
  <c r="N141" i="74"/>
  <c r="N142" i="74"/>
  <c r="N143" i="74"/>
  <c r="N144" i="74"/>
  <c r="N145" i="74"/>
  <c r="N146" i="74"/>
  <c r="N147" i="74"/>
  <c r="N148" i="74"/>
  <c r="N149" i="74"/>
  <c r="N150" i="74"/>
  <c r="N151" i="74"/>
  <c r="N152" i="74"/>
  <c r="N153" i="74"/>
  <c r="N154" i="74"/>
  <c r="N155" i="74"/>
  <c r="N156" i="74"/>
  <c r="N157" i="74"/>
  <c r="N158" i="74"/>
  <c r="N159" i="74"/>
  <c r="N160" i="74"/>
  <c r="A47" i="68"/>
  <c r="F46" i="68"/>
  <c r="AE44" i="68"/>
  <c r="AF40" i="68"/>
  <c r="E40" i="68"/>
  <c r="AF12" i="68"/>
  <c r="A10" i="68"/>
  <c r="D10" i="68" s="1"/>
  <c r="F9" i="68"/>
  <c r="AE7" i="68"/>
  <c r="AF3" i="68"/>
  <c r="E3" i="68"/>
  <c r="N9" i="74"/>
  <c r="L2" i="74"/>
  <c r="A1" i="74"/>
  <c r="M39" i="73"/>
  <c r="M38" i="73"/>
  <c r="M37" i="73"/>
  <c r="M36" i="73"/>
  <c r="M30" i="73"/>
  <c r="M29" i="73"/>
  <c r="M28" i="73"/>
  <c r="M27" i="73"/>
  <c r="M21" i="73"/>
  <c r="M20" i="73"/>
  <c r="M19" i="73"/>
  <c r="M18" i="73"/>
  <c r="M12" i="73"/>
  <c r="M11" i="73"/>
  <c r="M10" i="73"/>
  <c r="M9" i="73"/>
  <c r="M8" i="73"/>
  <c r="B4" i="73"/>
  <c r="B9" i="74" s="1"/>
  <c r="A1" i="70" a="1"/>
  <c r="A1" i="69"/>
  <c r="N29" i="72"/>
  <c r="J16" i="72"/>
  <c r="J17" i="72"/>
  <c r="J26" i="76" s="1"/>
  <c r="N26" i="76" s="1"/>
  <c r="J19" i="72"/>
  <c r="J20" i="72"/>
  <c r="N20" i="72" s="1"/>
  <c r="A1" i="72"/>
  <c r="N32" i="72"/>
  <c r="N31" i="72"/>
  <c r="N30" i="72"/>
  <c r="N28" i="72"/>
  <c r="J18" i="72"/>
  <c r="J15" i="72"/>
  <c r="J14" i="72"/>
  <c r="N14" i="72" s="1"/>
  <c r="J13" i="72"/>
  <c r="J12" i="72"/>
  <c r="N12" i="72" s="1"/>
  <c r="J11" i="72"/>
  <c r="A1" i="71"/>
  <c r="O17" i="71"/>
  <c r="L17" i="71"/>
  <c r="I17" i="71"/>
  <c r="F17" i="71"/>
  <c r="C17" i="71"/>
  <c r="Q8" i="71"/>
  <c r="N15" i="69"/>
  <c r="N16" i="69"/>
  <c r="N17" i="69"/>
  <c r="E14" i="77"/>
  <c r="F14" i="77" s="1"/>
  <c r="F18" i="77" s="1"/>
  <c r="F19" i="77" s="1"/>
  <c r="F20" i="77" s="1"/>
  <c r="G1" i="77" s="1"/>
  <c r="I64" i="70"/>
  <c r="I59" i="70"/>
  <c r="I51" i="70"/>
  <c r="I40" i="70"/>
  <c r="H42" i="70" s="1"/>
  <c r="I34" i="70"/>
  <c r="I27" i="70"/>
  <c r="I20" i="70"/>
  <c r="I21" i="70" s="1"/>
  <c r="I13" i="70"/>
  <c r="M13" i="75"/>
  <c r="N34" i="69"/>
  <c r="N33" i="69"/>
  <c r="N32" i="69"/>
  <c r="N31" i="69"/>
  <c r="N30" i="69"/>
  <c r="N29" i="69"/>
  <c r="N36" i="69" l="1"/>
  <c r="J68" i="58"/>
  <c r="J38" i="58"/>
  <c r="J20" i="58"/>
  <c r="B32" i="80"/>
  <c r="I27" i="80"/>
  <c r="B24" i="80"/>
  <c r="I19" i="80"/>
  <c r="B16" i="80"/>
  <c r="I12" i="80"/>
  <c r="I8" i="80"/>
  <c r="I28" i="80"/>
  <c r="B27" i="80"/>
  <c r="I20" i="80"/>
  <c r="B19" i="80"/>
  <c r="B12" i="80"/>
  <c r="B8" i="80"/>
  <c r="I31" i="80"/>
  <c r="B28" i="80"/>
  <c r="I23" i="80"/>
  <c r="B20" i="80"/>
  <c r="I15" i="80"/>
  <c r="I11" i="80"/>
  <c r="I7" i="80"/>
  <c r="I32" i="80"/>
  <c r="B31" i="80"/>
  <c r="I24" i="80"/>
  <c r="B23" i="80"/>
  <c r="I16" i="80"/>
  <c r="B15" i="80"/>
  <c r="B11" i="80"/>
  <c r="B7" i="80"/>
  <c r="K35" i="79"/>
  <c r="D35" i="79"/>
  <c r="D33" i="79"/>
  <c r="D27" i="79"/>
  <c r="D23" i="79"/>
  <c r="D21" i="79"/>
  <c r="D15" i="79"/>
  <c r="D13" i="79"/>
  <c r="D7" i="79"/>
  <c r="K30" i="79"/>
  <c r="K26" i="79"/>
  <c r="K22" i="79"/>
  <c r="K18" i="79"/>
  <c r="K14" i="79"/>
  <c r="K10" i="79"/>
  <c r="K34" i="79"/>
  <c r="D30" i="79"/>
  <c r="D26" i="79"/>
  <c r="D22" i="79"/>
  <c r="D18" i="79"/>
  <c r="D14" i="79"/>
  <c r="D10" i="79"/>
  <c r="K33" i="79"/>
  <c r="K27" i="79"/>
  <c r="K23" i="79"/>
  <c r="K21" i="79"/>
  <c r="K15" i="79"/>
  <c r="K13" i="79"/>
  <c r="K7" i="79"/>
  <c r="D34" i="79"/>
  <c r="N19" i="72"/>
  <c r="E10" i="78"/>
  <c r="F10" i="78" s="1"/>
  <c r="F18" i="78" s="1"/>
  <c r="F19" i="78" s="1"/>
  <c r="F20" i="78" s="1"/>
  <c r="F1" i="78" s="1"/>
  <c r="N27" i="76"/>
  <c r="N29" i="76" s="1"/>
  <c r="N31" i="76" s="1"/>
  <c r="N32" i="76" s="1"/>
  <c r="N34" i="76" s="1"/>
  <c r="N35" i="76" s="1"/>
  <c r="N36" i="76" s="1"/>
  <c r="M1" i="76" s="1"/>
  <c r="A1" i="78"/>
  <c r="A1" i="77"/>
  <c r="A1" i="76"/>
  <c r="I262" i="58"/>
  <c r="B262" i="58"/>
  <c r="B257" i="58"/>
  <c r="I256" i="58"/>
  <c r="X6157" i="68" s="1"/>
  <c r="B256" i="58"/>
  <c r="I257" i="58"/>
  <c r="X6198" i="68" s="1"/>
  <c r="I260" i="58"/>
  <c r="X6280" i="68" s="1"/>
  <c r="I259" i="58"/>
  <c r="X6239" i="68" s="1"/>
  <c r="B259" i="58"/>
  <c r="B260" i="58"/>
  <c r="B253" i="58"/>
  <c r="I251" i="58"/>
  <c r="X6034" i="68" s="1"/>
  <c r="B251" i="58"/>
  <c r="I253" i="58"/>
  <c r="X6075" i="68" s="1"/>
  <c r="I254" i="58"/>
  <c r="X6116" i="68" s="1"/>
  <c r="B254" i="58"/>
  <c r="B249" i="58"/>
  <c r="I249" i="58"/>
  <c r="X5993" i="68" s="1"/>
  <c r="I245" i="58"/>
  <c r="X5952" i="68" s="1"/>
  <c r="I244" i="58"/>
  <c r="X5911" i="68" s="1"/>
  <c r="B244" i="58"/>
  <c r="B245" i="58"/>
  <c r="I241" i="58"/>
  <c r="X5832" i="68" s="1"/>
  <c r="B237" i="58"/>
  <c r="B241" i="58"/>
  <c r="I234" i="58"/>
  <c r="X5630" i="68" s="1"/>
  <c r="I238" i="58"/>
  <c r="X5753" i="68" s="1"/>
  <c r="B234" i="58"/>
  <c r="B240" i="58"/>
  <c r="I232" i="58"/>
  <c r="X5589" i="68" s="1"/>
  <c r="I243" i="58"/>
  <c r="X5870" i="68" s="1"/>
  <c r="B238" i="58"/>
  <c r="B243" i="58"/>
  <c r="I236" i="58"/>
  <c r="X5671" i="68" s="1"/>
  <c r="I240" i="58"/>
  <c r="X5794" i="68" s="1"/>
  <c r="B236" i="58"/>
  <c r="I237" i="58"/>
  <c r="X5712" i="68" s="1"/>
  <c r="B232" i="58"/>
  <c r="I228" i="58"/>
  <c r="X5548" i="68" s="1"/>
  <c r="B228" i="58"/>
  <c r="I227" i="58"/>
  <c r="X5507" i="68" s="1"/>
  <c r="B227" i="58"/>
  <c r="B209" i="58"/>
  <c r="I209" i="58"/>
  <c r="X4984" i="68" s="1"/>
  <c r="I193" i="58"/>
  <c r="X4697" i="68" s="1"/>
  <c r="B193" i="58"/>
  <c r="O18" i="71"/>
  <c r="G16" i="75"/>
  <c r="G10" i="75"/>
  <c r="G18" i="75"/>
  <c r="G13" i="75"/>
  <c r="G20" i="75"/>
  <c r="G17" i="75"/>
  <c r="G11" i="75"/>
  <c r="G9" i="75"/>
  <c r="K23" i="75" s="1"/>
  <c r="G19" i="75"/>
  <c r="G8" i="75"/>
  <c r="G14" i="75"/>
  <c r="G15" i="75"/>
  <c r="G12" i="75"/>
  <c r="E64" i="75"/>
  <c r="I192" i="58"/>
  <c r="X4656" i="68" s="1"/>
  <c r="B192" i="58"/>
  <c r="I191" i="58"/>
  <c r="X4615" i="68" s="1"/>
  <c r="B191" i="58"/>
  <c r="I173" i="58"/>
  <c r="X4088" i="68" s="1"/>
  <c r="B173" i="58"/>
  <c r="I172" i="58"/>
  <c r="X4051" i="68" s="1"/>
  <c r="B172" i="58"/>
  <c r="I161" i="58"/>
  <c r="X3846" i="68" s="1"/>
  <c r="B161" i="58"/>
  <c r="I160" i="58"/>
  <c r="X3805" i="68" s="1"/>
  <c r="B160" i="58"/>
  <c r="I159" i="58"/>
  <c r="X3764" i="68" s="1"/>
  <c r="B159" i="58"/>
  <c r="I139" i="58"/>
  <c r="X3159" i="68" s="1"/>
  <c r="B139" i="58"/>
  <c r="I114" i="58"/>
  <c r="X2595" i="68" s="1"/>
  <c r="B114" i="58"/>
  <c r="B103" i="58"/>
  <c r="I103" i="58"/>
  <c r="X2390" i="68" s="1"/>
  <c r="I90" i="58"/>
  <c r="X1857" i="68" s="1"/>
  <c r="B90" i="58"/>
  <c r="I72" i="58"/>
  <c r="B72" i="58"/>
  <c r="B42" i="58"/>
  <c r="I42" i="58"/>
  <c r="X531" i="68" s="1"/>
  <c r="I226" i="58"/>
  <c r="X5466" i="68" s="1"/>
  <c r="B226" i="58"/>
  <c r="I225" i="58"/>
  <c r="X5425" i="68" s="1"/>
  <c r="B225" i="58"/>
  <c r="B223" i="58"/>
  <c r="I223" i="58"/>
  <c r="X5343" i="68" s="1"/>
  <c r="I224" i="58"/>
  <c r="X5384" i="68" s="1"/>
  <c r="B212" i="58"/>
  <c r="B224" i="58"/>
  <c r="I219" i="58"/>
  <c r="X5220" i="68" s="1"/>
  <c r="I214" i="58"/>
  <c r="X5097" i="68" s="1"/>
  <c r="B211" i="58"/>
  <c r="B219" i="58"/>
  <c r="B215" i="58"/>
  <c r="I222" i="58"/>
  <c r="X5302" i="68" s="1"/>
  <c r="B214" i="58"/>
  <c r="B222" i="58"/>
  <c r="I217" i="58"/>
  <c r="B217" i="58"/>
  <c r="I212" i="58"/>
  <c r="X5059" i="68" s="1"/>
  <c r="I221" i="58"/>
  <c r="X5261" i="68" s="1"/>
  <c r="B221" i="58"/>
  <c r="I215" i="58"/>
  <c r="X5138" i="68" s="1"/>
  <c r="I211" i="58"/>
  <c r="X5021" i="68" s="1"/>
  <c r="B204" i="58"/>
  <c r="I208" i="58"/>
  <c r="X4943" i="68" s="1"/>
  <c r="B208" i="58"/>
  <c r="B206" i="58"/>
  <c r="I206" i="58"/>
  <c r="X4902" i="68" s="1"/>
  <c r="I204" i="58"/>
  <c r="I199" i="58"/>
  <c r="X4820" i="68" s="1"/>
  <c r="B199" i="58"/>
  <c r="I31" i="58"/>
  <c r="X306" i="68" s="1"/>
  <c r="X4779" i="68"/>
  <c r="B198" i="58"/>
  <c r="I198" i="58"/>
  <c r="X4738" i="68" s="1"/>
  <c r="I190" i="58"/>
  <c r="X4574" i="68" s="1"/>
  <c r="B190" i="58"/>
  <c r="B189" i="58"/>
  <c r="I189" i="58"/>
  <c r="X4533" i="68" s="1"/>
  <c r="I188" i="58"/>
  <c r="X4492" i="68" s="1"/>
  <c r="B188" i="58"/>
  <c r="B183" i="58"/>
  <c r="B179" i="58"/>
  <c r="B175" i="58"/>
  <c r="I175" i="58"/>
  <c r="X4129" i="68" s="1"/>
  <c r="B176" i="58"/>
  <c r="I186" i="58"/>
  <c r="X4410" i="68" s="1"/>
  <c r="B178" i="58"/>
  <c r="B186" i="58"/>
  <c r="I181" i="58"/>
  <c r="B181" i="58"/>
  <c r="I187" i="58"/>
  <c r="X4451" i="68" s="1"/>
  <c r="B187" i="58"/>
  <c r="B184" i="58"/>
  <c r="I178" i="58"/>
  <c r="I184" i="58"/>
  <c r="X4369" i="68" s="1"/>
  <c r="I176" i="58"/>
  <c r="X4167" i="68" s="1"/>
  <c r="I179" i="58"/>
  <c r="X4246" i="68" s="1"/>
  <c r="I183" i="58"/>
  <c r="X4328" i="68" s="1"/>
  <c r="I171" i="58"/>
  <c r="X4010" i="68" s="1"/>
  <c r="I166" i="58"/>
  <c r="X3887" i="68" s="1"/>
  <c r="B168" i="58"/>
  <c r="I170" i="58"/>
  <c r="X3969" i="68" s="1"/>
  <c r="B166" i="58"/>
  <c r="I168" i="58"/>
  <c r="X3928" i="68" s="1"/>
  <c r="B171" i="58"/>
  <c r="B170" i="58"/>
  <c r="I157" i="58"/>
  <c r="X3682" i="68" s="1"/>
  <c r="B157" i="58"/>
  <c r="I158" i="58"/>
  <c r="X3723" i="68" s="1"/>
  <c r="B158" i="58"/>
  <c r="I154" i="58"/>
  <c r="X3559" i="68" s="1"/>
  <c r="B154" i="58"/>
  <c r="I155" i="58"/>
  <c r="X3600" i="68" s="1"/>
  <c r="B155" i="58"/>
  <c r="B156" i="58"/>
  <c r="I153" i="58"/>
  <c r="X3518" i="68" s="1"/>
  <c r="B153" i="58"/>
  <c r="I156" i="58"/>
  <c r="X3641" i="68" s="1"/>
  <c r="I151" i="58"/>
  <c r="X3477" i="68" s="1"/>
  <c r="I150" i="58"/>
  <c r="X3436" i="68" s="1"/>
  <c r="I149" i="58"/>
  <c r="X3395" i="68" s="1"/>
  <c r="B151" i="58"/>
  <c r="B149" i="58"/>
  <c r="B150" i="58"/>
  <c r="I147" i="58"/>
  <c r="X3354" i="68" s="1"/>
  <c r="I145" i="58"/>
  <c r="X3313" i="68" s="1"/>
  <c r="B147" i="58"/>
  <c r="I142" i="58"/>
  <c r="X3234" i="68" s="1"/>
  <c r="I141" i="58"/>
  <c r="X3196" i="68" s="1"/>
  <c r="I144" i="58"/>
  <c r="X3272" i="68" s="1"/>
  <c r="B142" i="58"/>
  <c r="B145" i="58"/>
  <c r="B141" i="58"/>
  <c r="B144" i="58"/>
  <c r="B135" i="58"/>
  <c r="B133" i="58"/>
  <c r="I138" i="58"/>
  <c r="X3118" i="68" s="1"/>
  <c r="I133" i="58"/>
  <c r="X2995" i="68" s="1"/>
  <c r="I137" i="58"/>
  <c r="X3077" i="68" s="1"/>
  <c r="B138" i="58"/>
  <c r="B137" i="58"/>
  <c r="I135" i="58"/>
  <c r="X3036" i="68" s="1"/>
  <c r="B126" i="58"/>
  <c r="B117" i="58"/>
  <c r="I128" i="58"/>
  <c r="X2954" i="68" s="1"/>
  <c r="I120" i="58"/>
  <c r="X2749" i="68" s="1"/>
  <c r="B128" i="58"/>
  <c r="I124" i="58"/>
  <c r="X2831" i="68" s="1"/>
  <c r="I119" i="58"/>
  <c r="X2708" i="68" s="1"/>
  <c r="I116" i="58"/>
  <c r="X2632" i="68" s="1"/>
  <c r="B124" i="58"/>
  <c r="B120" i="58"/>
  <c r="B116" i="58"/>
  <c r="I127" i="58"/>
  <c r="X2913" i="68" s="1"/>
  <c r="B119" i="58"/>
  <c r="B127" i="58"/>
  <c r="I122" i="58"/>
  <c r="X2790" i="68" s="1"/>
  <c r="B122" i="58"/>
  <c r="I126" i="58"/>
  <c r="X2872" i="68" s="1"/>
  <c r="I117" i="58"/>
  <c r="X2670" i="68" s="1"/>
  <c r="I113" i="58"/>
  <c r="X2554" i="68" s="1"/>
  <c r="B113" i="58"/>
  <c r="I112" i="58"/>
  <c r="X2513" i="68" s="1"/>
  <c r="B112" i="58"/>
  <c r="I110" i="58"/>
  <c r="X2472" i="68" s="1"/>
  <c r="B110" i="58"/>
  <c r="I108" i="58"/>
  <c r="X2431" i="68" s="1"/>
  <c r="B108" i="58"/>
  <c r="I102" i="58"/>
  <c r="X2349" i="68" s="1"/>
  <c r="B102" i="58"/>
  <c r="I101" i="58"/>
  <c r="X2308" i="68" s="1"/>
  <c r="B101" i="58"/>
  <c r="I100" i="58"/>
  <c r="X2267" i="68" s="1"/>
  <c r="B100" i="58"/>
  <c r="B99" i="58"/>
  <c r="I99" i="58"/>
  <c r="B98" i="58"/>
  <c r="I98" i="58"/>
  <c r="X2185" i="68" s="1"/>
  <c r="I97" i="58"/>
  <c r="X2144" i="68" s="1"/>
  <c r="B97" i="58"/>
  <c r="I96" i="58"/>
  <c r="X2103" i="68" s="1"/>
  <c r="B96" i="58"/>
  <c r="I95" i="58"/>
  <c r="X2062" i="68" s="1"/>
  <c r="B95" i="58"/>
  <c r="I91" i="58"/>
  <c r="X1898" i="68" s="1"/>
  <c r="B91" i="58"/>
  <c r="I87" i="58"/>
  <c r="X1734" i="68" s="1"/>
  <c r="I83" i="58"/>
  <c r="X1611" i="68" s="1"/>
  <c r="B83" i="58"/>
  <c r="I82" i="58"/>
  <c r="X1570" i="68" s="1"/>
  <c r="B82" i="58"/>
  <c r="N15" i="72"/>
  <c r="B94" i="58"/>
  <c r="I94" i="58"/>
  <c r="X2021" i="68" s="1"/>
  <c r="I93" i="58"/>
  <c r="X1980" i="68" s="1"/>
  <c r="B93" i="58"/>
  <c r="I92" i="58"/>
  <c r="X1939" i="68" s="1"/>
  <c r="B92" i="58"/>
  <c r="I89" i="58"/>
  <c r="X1816" i="68" s="1"/>
  <c r="B89" i="58"/>
  <c r="I88" i="58"/>
  <c r="X1775" i="68" s="1"/>
  <c r="B88" i="58"/>
  <c r="I86" i="58"/>
  <c r="X1693" i="68" s="1"/>
  <c r="I84" i="58"/>
  <c r="X1652" i="68" s="1"/>
  <c r="B84" i="58"/>
  <c r="I80" i="58"/>
  <c r="X1502" i="68" s="1"/>
  <c r="B80" i="58"/>
  <c r="B22" i="58"/>
  <c r="I18" i="58"/>
  <c r="X10" i="68" s="1"/>
  <c r="B18" i="58"/>
  <c r="I75" i="58"/>
  <c r="X1383" i="68" s="1"/>
  <c r="B71" i="58"/>
  <c r="I78" i="58"/>
  <c r="X1458" i="68" s="1"/>
  <c r="I77" i="58"/>
  <c r="X1421" i="68" s="1"/>
  <c r="B75" i="58"/>
  <c r="I74" i="58"/>
  <c r="X1345" i="68" s="1"/>
  <c r="B77" i="58"/>
  <c r="I71" i="58"/>
  <c r="X1271" i="68" s="1"/>
  <c r="B78" i="58"/>
  <c r="B74" i="58"/>
  <c r="I68" i="58"/>
  <c r="X1197" i="68" s="1"/>
  <c r="I38" i="58"/>
  <c r="B20" i="58"/>
  <c r="I20" i="58"/>
  <c r="X47" i="68" s="1"/>
  <c r="I24" i="58"/>
  <c r="X158" i="68" s="1"/>
  <c r="B27" i="58"/>
  <c r="I27" i="58"/>
  <c r="X232" i="68" s="1"/>
  <c r="B48" i="58"/>
  <c r="I48" i="58"/>
  <c r="B31" i="58"/>
  <c r="I50" i="58"/>
  <c r="X723" i="68" s="1"/>
  <c r="B60" i="58"/>
  <c r="B40" i="58"/>
  <c r="B56" i="58"/>
  <c r="B61" i="58"/>
  <c r="B86" i="58"/>
  <c r="B58" i="58"/>
  <c r="B45" i="58"/>
  <c r="B66" i="58"/>
  <c r="I29" i="58"/>
  <c r="X269" i="68" s="1"/>
  <c r="I70" i="58"/>
  <c r="X1234" i="68" s="1"/>
  <c r="I44" i="58"/>
  <c r="I47" i="58"/>
  <c r="B50" i="58"/>
  <c r="B57" i="58"/>
  <c r="I41" i="58"/>
  <c r="I36" i="58"/>
  <c r="B52" i="58"/>
  <c r="I66" i="58"/>
  <c r="X1160" i="68" s="1"/>
  <c r="B44" i="58"/>
  <c r="B59" i="58"/>
  <c r="I40" i="58"/>
  <c r="B55" i="58"/>
  <c r="X343" i="68"/>
  <c r="I52" i="58"/>
  <c r="X791" i="68" s="1"/>
  <c r="B70" i="58"/>
  <c r="I45" i="58"/>
  <c r="X607" i="68" s="1"/>
  <c r="B36" i="58"/>
  <c r="B54" i="58"/>
  <c r="I58" i="58"/>
  <c r="X996" i="68" s="1"/>
  <c r="I57" i="58"/>
  <c r="X955" i="68" s="1"/>
  <c r="I59" i="58"/>
  <c r="X1037" i="68" s="1"/>
  <c r="I54" i="58"/>
  <c r="X832" i="68" s="1"/>
  <c r="I60" i="58"/>
  <c r="I56" i="58"/>
  <c r="X914" i="68" s="1"/>
  <c r="I61" i="58"/>
  <c r="I55" i="58"/>
  <c r="X873" i="68" s="1"/>
  <c r="B23" i="58"/>
  <c r="B47" i="58"/>
  <c r="B24" i="58"/>
  <c r="I23" i="58"/>
  <c r="X121" i="68" s="1"/>
  <c r="I22" i="58"/>
  <c r="X84" i="68" s="1"/>
  <c r="B41" i="58"/>
  <c r="B87" i="58"/>
  <c r="B38" i="58"/>
  <c r="B68" i="58"/>
  <c r="B26" i="58"/>
  <c r="I26" i="58"/>
  <c r="X195" i="68" s="1"/>
  <c r="B29" i="58"/>
  <c r="M117" i="73"/>
  <c r="M256" i="73"/>
  <c r="L228" i="73" s="1"/>
  <c r="K14" i="74" s="1"/>
  <c r="M149" i="73"/>
  <c r="J139" i="73" s="1"/>
  <c r="J12" i="74" s="1"/>
  <c r="M104" i="73"/>
  <c r="J94" i="73" s="1"/>
  <c r="J11" i="74" s="1"/>
  <c r="M238" i="73"/>
  <c r="H228" i="73" s="1"/>
  <c r="I14" i="74" s="1"/>
  <c r="M162" i="73"/>
  <c r="M265" i="73"/>
  <c r="N228" i="73" s="1"/>
  <c r="L14" i="74" s="1"/>
  <c r="M247" i="73"/>
  <c r="J228" i="73" s="1"/>
  <c r="J14" i="74" s="1"/>
  <c r="M193" i="73"/>
  <c r="J184" i="73" s="1"/>
  <c r="J13" i="74" s="1"/>
  <c r="D232" i="68"/>
  <c r="D195" i="68"/>
  <c r="D158" i="68"/>
  <c r="AB123" i="68"/>
  <c r="D121" i="68"/>
  <c r="AF49" i="68"/>
  <c r="AF69" i="68" s="1"/>
  <c r="AF71" i="68" s="1"/>
  <c r="AB197" i="68" s="1"/>
  <c r="D84" i="68"/>
  <c r="D47" i="68"/>
  <c r="AF32" i="68"/>
  <c r="AF34" i="68" s="1"/>
  <c r="L18" i="58" s="1"/>
  <c r="M13" i="73"/>
  <c r="N16" i="72"/>
  <c r="N17" i="72"/>
  <c r="N33" i="72"/>
  <c r="N18" i="72"/>
  <c r="N13" i="72"/>
  <c r="N11" i="72"/>
  <c r="C18" i="71"/>
  <c r="F18" i="71"/>
  <c r="I18" i="71"/>
  <c r="L18" i="71"/>
  <c r="N14" i="69"/>
  <c r="N13" i="69"/>
  <c r="I66" i="70"/>
  <c r="I67" i="70" s="1"/>
  <c r="H2" i="70" s="1"/>
  <c r="N22" i="72" s="1"/>
  <c r="I2" i="70"/>
  <c r="N22" i="69" l="1"/>
  <c r="N24" i="69" s="1"/>
  <c r="M75" i="58"/>
  <c r="M117" i="58"/>
  <c r="M142" i="58"/>
  <c r="M68" i="58"/>
  <c r="M212" i="58"/>
  <c r="M257" i="58"/>
  <c r="M176" i="58"/>
  <c r="M241" i="58"/>
  <c r="M26" i="76"/>
  <c r="X5179" i="68"/>
  <c r="X6321" i="68"/>
  <c r="F18" i="55"/>
  <c r="K2995" i="73"/>
  <c r="K2945" i="73"/>
  <c r="K2887" i="73"/>
  <c r="K2840" i="73"/>
  <c r="X4861" i="68"/>
  <c r="K54" i="75"/>
  <c r="E54" i="75" s="1"/>
  <c r="K40" i="75"/>
  <c r="K43" i="75"/>
  <c r="E57" i="75"/>
  <c r="K42" i="75"/>
  <c r="E42" i="75" s="1"/>
  <c r="K44" i="75"/>
  <c r="K41" i="75"/>
  <c r="K52" i="75"/>
  <c r="E52" i="75" s="1"/>
  <c r="K49" i="75"/>
  <c r="E49" i="75" s="1"/>
  <c r="K56" i="75"/>
  <c r="E56" i="75" s="1"/>
  <c r="K51" i="75"/>
  <c r="K50" i="75"/>
  <c r="N47" i="75"/>
  <c r="N46" i="75"/>
  <c r="N45" i="75"/>
  <c r="N23" i="75"/>
  <c r="E23" i="75" s="1"/>
  <c r="N67" i="75"/>
  <c r="E67" i="75" s="1"/>
  <c r="N41" i="75"/>
  <c r="N42" i="75"/>
  <c r="N43" i="75"/>
  <c r="N40" i="75"/>
  <c r="N44" i="75"/>
  <c r="N27" i="75"/>
  <c r="E27" i="75" s="1"/>
  <c r="H35" i="75"/>
  <c r="H36" i="75"/>
  <c r="H38" i="75"/>
  <c r="H34" i="75"/>
  <c r="H39" i="75"/>
  <c r="H37" i="75"/>
  <c r="K47" i="75"/>
  <c r="K48" i="75"/>
  <c r="K55" i="75"/>
  <c r="E55" i="75" s="1"/>
  <c r="K45" i="75"/>
  <c r="K46" i="75"/>
  <c r="N32" i="75"/>
  <c r="N28" i="75"/>
  <c r="N36" i="75"/>
  <c r="N30" i="75"/>
  <c r="N24" i="75"/>
  <c r="E24" i="75" s="1"/>
  <c r="N37" i="75"/>
  <c r="N26" i="75"/>
  <c r="E26" i="75" s="1"/>
  <c r="N31" i="75"/>
  <c r="N38" i="75"/>
  <c r="N39" i="75"/>
  <c r="N25" i="75"/>
  <c r="E25" i="75" s="1"/>
  <c r="I440" i="73" s="1"/>
  <c r="N29" i="75"/>
  <c r="N33" i="75"/>
  <c r="E58" i="75"/>
  <c r="E68" i="75" s="1"/>
  <c r="N35" i="75"/>
  <c r="N34" i="75"/>
  <c r="N49" i="75"/>
  <c r="N50" i="75"/>
  <c r="N48" i="75"/>
  <c r="N52" i="75"/>
  <c r="N51" i="75"/>
  <c r="K2793" i="73"/>
  <c r="K2685" i="73"/>
  <c r="K2739" i="73"/>
  <c r="K2582" i="73"/>
  <c r="K2527" i="73"/>
  <c r="K2636" i="73"/>
  <c r="K2473" i="73"/>
  <c r="K2105" i="73"/>
  <c r="K2429" i="73"/>
  <c r="K2009" i="73"/>
  <c r="K2375" i="73"/>
  <c r="K2321" i="73"/>
  <c r="K2267" i="73"/>
  <c r="K2213" i="73"/>
  <c r="K2063" i="73"/>
  <c r="K2159" i="73"/>
  <c r="K1901" i="73"/>
  <c r="K1847" i="73"/>
  <c r="K1955" i="73"/>
  <c r="K1793" i="73"/>
  <c r="K1744" i="73"/>
  <c r="K1548" i="73"/>
  <c r="K1695" i="73"/>
  <c r="K1401" i="73"/>
  <c r="K1352" i="73"/>
  <c r="K1597" i="73"/>
  <c r="K1450" i="73"/>
  <c r="K1646" i="73"/>
  <c r="K1499" i="73"/>
  <c r="K1303" i="73"/>
  <c r="K1161" i="73"/>
  <c r="K1205" i="73"/>
  <c r="K1029" i="73"/>
  <c r="K1073" i="73"/>
  <c r="K1254" i="73"/>
  <c r="K1117" i="73"/>
  <c r="K700" i="73"/>
  <c r="K655" i="73"/>
  <c r="K985" i="73"/>
  <c r="K524" i="73"/>
  <c r="K440" i="73"/>
  <c r="K937" i="73"/>
  <c r="K793" i="73"/>
  <c r="K610" i="73"/>
  <c r="K889" i="73"/>
  <c r="K841" i="73"/>
  <c r="K745" i="73"/>
  <c r="K482" i="73"/>
  <c r="K565" i="73"/>
  <c r="K395" i="73"/>
  <c r="K350" i="73"/>
  <c r="K215" i="73"/>
  <c r="K171" i="73"/>
  <c r="K126" i="73"/>
  <c r="K35" i="73"/>
  <c r="M10" i="75"/>
  <c r="K37" i="75"/>
  <c r="K31" i="75"/>
  <c r="K38" i="75"/>
  <c r="K39" i="75"/>
  <c r="K32" i="75"/>
  <c r="E32" i="75" s="1"/>
  <c r="K28" i="75"/>
  <c r="E28" i="75" s="1"/>
  <c r="I2840" i="73" s="1"/>
  <c r="K36" i="75"/>
  <c r="K33" i="75"/>
  <c r="E33" i="75" s="1"/>
  <c r="K53" i="75"/>
  <c r="E53" i="75" s="1"/>
  <c r="K34" i="75"/>
  <c r="K30" i="75"/>
  <c r="E59" i="75"/>
  <c r="K29" i="75"/>
  <c r="K35" i="75"/>
  <c r="X4205" i="68"/>
  <c r="X4287" i="68"/>
  <c r="X1308" i="68"/>
  <c r="X2226" i="68"/>
  <c r="M2186" i="73"/>
  <c r="J2172" i="73" s="1"/>
  <c r="F228" i="73"/>
  <c r="L20" i="58"/>
  <c r="M20" i="58" s="1"/>
  <c r="AF123" i="68"/>
  <c r="AF143" i="68" s="1"/>
  <c r="AF145" i="68" s="1"/>
  <c r="L23" i="58" s="1"/>
  <c r="AB160" i="68"/>
  <c r="AF160" i="68" s="1"/>
  <c r="AF180" i="68" s="1"/>
  <c r="AF182" i="68" s="1"/>
  <c r="AC197" i="68" s="1"/>
  <c r="J4" i="73"/>
  <c r="J9" i="74" s="1"/>
  <c r="N21" i="72"/>
  <c r="N23" i="72" s="1"/>
  <c r="N35" i="72" s="1"/>
  <c r="M13" i="72" s="1"/>
  <c r="M2840" i="73" l="1"/>
  <c r="M2845" i="73" s="1"/>
  <c r="N2806" i="73" s="1"/>
  <c r="L69" i="74" s="1"/>
  <c r="M14" i="74"/>
  <c r="E131" i="5" s="1"/>
  <c r="N229" i="73"/>
  <c r="E29" i="75"/>
  <c r="E30" i="75"/>
  <c r="E35" i="75"/>
  <c r="E31" i="75"/>
  <c r="E45" i="75"/>
  <c r="I2887" i="73" s="1"/>
  <c r="M2887" i="73" s="1"/>
  <c r="M2892" i="73" s="1"/>
  <c r="N2853" i="73" s="1"/>
  <c r="L70" i="74" s="1"/>
  <c r="E36" i="75"/>
  <c r="E41" i="75"/>
  <c r="I2945" i="73"/>
  <c r="M2945" i="73" s="1"/>
  <c r="M2950" i="73" s="1"/>
  <c r="N2900" i="73" s="1"/>
  <c r="L17" i="74" s="1"/>
  <c r="I2995" i="73"/>
  <c r="M2995" i="73" s="1"/>
  <c r="M3000" i="73" s="1"/>
  <c r="N2958" i="73" s="1"/>
  <c r="L18" i="74" s="1"/>
  <c r="I1597" i="73"/>
  <c r="M1597" i="73" s="1"/>
  <c r="M1602" i="73" s="1"/>
  <c r="N1561" i="73" s="1"/>
  <c r="L45" i="74" s="1"/>
  <c r="I35" i="73"/>
  <c r="M35" i="73" s="1"/>
  <c r="M40" i="73" s="1"/>
  <c r="I2105" i="73"/>
  <c r="M2105" i="73" s="1"/>
  <c r="M2110" i="73" s="1"/>
  <c r="N2076" i="73" s="1"/>
  <c r="L55" i="74" s="1"/>
  <c r="I482" i="73"/>
  <c r="M482" i="73" s="1"/>
  <c r="M487" i="73" s="1"/>
  <c r="N453" i="73" s="1"/>
  <c r="L21" i="74" s="1"/>
  <c r="I524" i="73"/>
  <c r="M524" i="73" s="1"/>
  <c r="M529" i="73" s="1"/>
  <c r="N495" i="73" s="1"/>
  <c r="L22" i="74" s="1"/>
  <c r="I565" i="73"/>
  <c r="M565" i="73" s="1"/>
  <c r="M570" i="73" s="1"/>
  <c r="N537" i="73" s="1"/>
  <c r="L23" i="74" s="1"/>
  <c r="I395" i="73"/>
  <c r="M395" i="73" s="1"/>
  <c r="M400" i="73" s="1"/>
  <c r="N363" i="73" s="1"/>
  <c r="L19" i="74" s="1"/>
  <c r="I215" i="73"/>
  <c r="M215" i="73" s="1"/>
  <c r="M220" i="73" s="1"/>
  <c r="E48" i="75"/>
  <c r="I2685" i="73"/>
  <c r="M2685" i="73" s="1"/>
  <c r="M2690" i="73" s="1"/>
  <c r="N2649" i="73" s="1"/>
  <c r="L66" i="74" s="1"/>
  <c r="I2473" i="73"/>
  <c r="M2473" i="73" s="1"/>
  <c r="M2478" i="73" s="1"/>
  <c r="N2442" i="73" s="1"/>
  <c r="L62" i="74" s="1"/>
  <c r="I1303" i="73"/>
  <c r="M1303" i="73" s="1"/>
  <c r="M1308" i="73" s="1"/>
  <c r="N1267" i="73" s="1"/>
  <c r="L39" i="74" s="1"/>
  <c r="I1695" i="73"/>
  <c r="M1695" i="73" s="1"/>
  <c r="M1700" i="73" s="1"/>
  <c r="N1659" i="73" s="1"/>
  <c r="L47" i="74" s="1"/>
  <c r="I1401" i="73"/>
  <c r="M1401" i="73" s="1"/>
  <c r="M1406" i="73" s="1"/>
  <c r="N1365" i="73" s="1"/>
  <c r="I1499" i="73"/>
  <c r="M1499" i="73" s="1"/>
  <c r="M1504" i="73" s="1"/>
  <c r="N1463" i="73" s="1"/>
  <c r="L43" i="74" s="1"/>
  <c r="I1450" i="73"/>
  <c r="M1450" i="73" s="1"/>
  <c r="M1455" i="73" s="1"/>
  <c r="N1414" i="73" s="1"/>
  <c r="L42" i="74" s="1"/>
  <c r="I1352" i="73"/>
  <c r="M1352" i="73" s="1"/>
  <c r="M1357" i="73" s="1"/>
  <c r="N1316" i="73" s="1"/>
  <c r="L40" i="74" s="1"/>
  <c r="I1646" i="73"/>
  <c r="M1646" i="73" s="1"/>
  <c r="M1651" i="73" s="1"/>
  <c r="N1610" i="73" s="1"/>
  <c r="L46" i="74" s="1"/>
  <c r="I1548" i="73"/>
  <c r="M1548" i="73" s="1"/>
  <c r="M1553" i="73" s="1"/>
  <c r="N1512" i="73" s="1"/>
  <c r="L44" i="74" s="1"/>
  <c r="I1073" i="73"/>
  <c r="M1073" i="73" s="1"/>
  <c r="M1078" i="73" s="1"/>
  <c r="N1042" i="73" s="1"/>
  <c r="L34" i="74" s="1"/>
  <c r="I1161" i="73"/>
  <c r="M1161" i="73" s="1"/>
  <c r="M1166" i="73" s="1"/>
  <c r="N1130" i="73" s="1"/>
  <c r="L36" i="74" s="1"/>
  <c r="I1029" i="73"/>
  <c r="M1029" i="73" s="1"/>
  <c r="M1034" i="73" s="1"/>
  <c r="N998" i="73" s="1"/>
  <c r="L33" i="74" s="1"/>
  <c r="I1117" i="73"/>
  <c r="M1117" i="73" s="1"/>
  <c r="M1122" i="73" s="1"/>
  <c r="N1086" i="73" s="1"/>
  <c r="L35" i="74" s="1"/>
  <c r="I1205" i="73"/>
  <c r="M1205" i="73" s="1"/>
  <c r="M1210" i="73" s="1"/>
  <c r="N1174" i="73" s="1"/>
  <c r="L37" i="74" s="1"/>
  <c r="I1254" i="73"/>
  <c r="M1254" i="73" s="1"/>
  <c r="M1259" i="73" s="1"/>
  <c r="N1218" i="73" s="1"/>
  <c r="L38" i="74" s="1"/>
  <c r="I700" i="73"/>
  <c r="M700" i="73" s="1"/>
  <c r="M705" i="73" s="1"/>
  <c r="N669" i="73" s="1"/>
  <c r="L26" i="74" s="1"/>
  <c r="I655" i="73"/>
  <c r="M655" i="73" s="1"/>
  <c r="M660" i="73" s="1"/>
  <c r="N624" i="73" s="1"/>
  <c r="L25" i="74" s="1"/>
  <c r="I985" i="73"/>
  <c r="M985" i="73" s="1"/>
  <c r="M990" i="73" s="1"/>
  <c r="N951" i="73" s="1"/>
  <c r="L32" i="74" s="1"/>
  <c r="I937" i="73"/>
  <c r="M937" i="73" s="1"/>
  <c r="M942" i="73" s="1"/>
  <c r="N903" i="73" s="1"/>
  <c r="L31" i="74" s="1"/>
  <c r="I793" i="73"/>
  <c r="I610" i="73"/>
  <c r="M610" i="73" s="1"/>
  <c r="M615" i="73" s="1"/>
  <c r="N579" i="73" s="1"/>
  <c r="L24" i="74" s="1"/>
  <c r="I889" i="73"/>
  <c r="M889" i="73" s="1"/>
  <c r="M894" i="73" s="1"/>
  <c r="N855" i="73" s="1"/>
  <c r="L30" i="74" s="1"/>
  <c r="I841" i="73"/>
  <c r="M841" i="73" s="1"/>
  <c r="M846" i="73" s="1"/>
  <c r="N807" i="73" s="1"/>
  <c r="L29" i="74" s="1"/>
  <c r="I745" i="73"/>
  <c r="M745" i="73" s="1"/>
  <c r="M750" i="73" s="1"/>
  <c r="N714" i="73" s="1"/>
  <c r="L27" i="74" s="1"/>
  <c r="I350" i="73"/>
  <c r="M350" i="73" s="1"/>
  <c r="M355" i="73" s="1"/>
  <c r="I171" i="73"/>
  <c r="M171" i="73" s="1"/>
  <c r="M176" i="73" s="1"/>
  <c r="I126" i="73"/>
  <c r="M126" i="73" s="1"/>
  <c r="M131" i="73" s="1"/>
  <c r="M440" i="73"/>
  <c r="M445" i="73" s="1"/>
  <c r="N408" i="73" s="1"/>
  <c r="L20" i="74" s="1"/>
  <c r="E44" i="75"/>
  <c r="E37" i="75"/>
  <c r="E47" i="75"/>
  <c r="E39" i="75"/>
  <c r="E50" i="75"/>
  <c r="I2159" i="73"/>
  <c r="M2159" i="73" s="1"/>
  <c r="M2164" i="73" s="1"/>
  <c r="N2118" i="73" s="1"/>
  <c r="L56" i="74" s="1"/>
  <c r="I2267" i="73"/>
  <c r="M2267" i="73" s="1"/>
  <c r="M2272" i="73" s="1"/>
  <c r="N2226" i="73" s="1"/>
  <c r="I2213" i="73"/>
  <c r="M2213" i="73" s="1"/>
  <c r="M2218" i="73" s="1"/>
  <c r="N2172" i="73" s="1"/>
  <c r="L57" i="74" s="1"/>
  <c r="I2063" i="73"/>
  <c r="M2063" i="73" s="1"/>
  <c r="M2068" i="73" s="1"/>
  <c r="N2022" i="73" s="1"/>
  <c r="L54" i="74" s="1"/>
  <c r="E34" i="75"/>
  <c r="E51" i="75"/>
  <c r="E43" i="75"/>
  <c r="E46" i="75"/>
  <c r="E38" i="75"/>
  <c r="E40" i="75"/>
  <c r="I2009" i="73"/>
  <c r="M2009" i="73" s="1"/>
  <c r="M2014" i="73" s="1"/>
  <c r="N1968" i="73" s="1"/>
  <c r="L53" i="74" s="1"/>
  <c r="I1901" i="73"/>
  <c r="M1901" i="73" s="1"/>
  <c r="M1906" i="73" s="1"/>
  <c r="N1860" i="73" s="1"/>
  <c r="L51" i="74" s="1"/>
  <c r="I1847" i="73"/>
  <c r="M1847" i="73" s="1"/>
  <c r="M1852" i="73" s="1"/>
  <c r="N1806" i="73" s="1"/>
  <c r="L50" i="74" s="1"/>
  <c r="I1955" i="73"/>
  <c r="M1955" i="73" s="1"/>
  <c r="M1960" i="73" s="1"/>
  <c r="N1914" i="73" s="1"/>
  <c r="L52" i="74" s="1"/>
  <c r="J57" i="74"/>
  <c r="AB234" i="68"/>
  <c r="L24" i="58"/>
  <c r="AC234" i="68"/>
  <c r="M14" i="72"/>
  <c r="M1" i="72"/>
  <c r="M28" i="72"/>
  <c r="M20" i="72"/>
  <c r="M15" i="72"/>
  <c r="M29" i="72"/>
  <c r="M17" i="72"/>
  <c r="M19" i="72"/>
  <c r="M32" i="72"/>
  <c r="M30" i="72"/>
  <c r="M12" i="72"/>
  <c r="M16" i="72"/>
  <c r="M31" i="72"/>
  <c r="M18" i="72"/>
  <c r="M11" i="72"/>
  <c r="M793" i="73" l="1"/>
  <c r="M798" i="73" s="1"/>
  <c r="N759" i="73" s="1"/>
  <c r="L28" i="74" s="1"/>
  <c r="J116" i="58"/>
  <c r="M116" i="58" s="1"/>
  <c r="J240" i="58"/>
  <c r="M240" i="58" s="1"/>
  <c r="J26" i="58"/>
  <c r="J74" i="58"/>
  <c r="J256" i="58"/>
  <c r="M256" i="58" s="1"/>
  <c r="J211" i="58"/>
  <c r="J141" i="58"/>
  <c r="J44" i="58"/>
  <c r="J175" i="58"/>
  <c r="M175" i="58" s="1"/>
  <c r="I2971" i="73"/>
  <c r="M2971" i="73" s="1"/>
  <c r="I2921" i="73"/>
  <c r="M2921" i="73" s="1"/>
  <c r="N184" i="73"/>
  <c r="L13" i="74" s="1"/>
  <c r="I197" i="73"/>
  <c r="M197" i="73" s="1"/>
  <c r="M202" i="73" s="1"/>
  <c r="I2739" i="73"/>
  <c r="M2739" i="73" s="1"/>
  <c r="M2744" i="73" s="1"/>
  <c r="N2698" i="73" s="1"/>
  <c r="L67" i="74" s="1"/>
  <c r="I2793" i="73"/>
  <c r="M2793" i="73" s="1"/>
  <c r="M2798" i="73" s="1"/>
  <c r="N2752" i="73" s="1"/>
  <c r="L68" i="74" s="1"/>
  <c r="I2582" i="73"/>
  <c r="M2582" i="73" s="1"/>
  <c r="M2587" i="73" s="1"/>
  <c r="N2541" i="73" s="1"/>
  <c r="L64" i="74" s="1"/>
  <c r="I2527" i="73"/>
  <c r="M2527" i="73" s="1"/>
  <c r="M2532" i="73" s="1"/>
  <c r="N2486" i="73" s="1"/>
  <c r="L63" i="74" s="1"/>
  <c r="I2636" i="73"/>
  <c r="M2636" i="73" s="1"/>
  <c r="M2641" i="73" s="1"/>
  <c r="N2596" i="73" s="1"/>
  <c r="L65" i="74" s="1"/>
  <c r="I2429" i="73"/>
  <c r="M2429" i="73" s="1"/>
  <c r="M2434" i="73" s="1"/>
  <c r="N2388" i="73" s="1"/>
  <c r="L61" i="74" s="1"/>
  <c r="I2375" i="73"/>
  <c r="M2375" i="73" s="1"/>
  <c r="M2380" i="73" s="1"/>
  <c r="N2334" i="73" s="1"/>
  <c r="L60" i="74" s="1"/>
  <c r="I2321" i="73"/>
  <c r="M2321" i="73" s="1"/>
  <c r="M2326" i="73" s="1"/>
  <c r="N2280" i="73" s="1"/>
  <c r="L59" i="74" s="1"/>
  <c r="I1793" i="73"/>
  <c r="M1793" i="73" s="1"/>
  <c r="M1798" i="73" s="1"/>
  <c r="N1757" i="73" s="1"/>
  <c r="L49" i="74" s="1"/>
  <c r="I1744" i="73"/>
  <c r="M1744" i="73" s="1"/>
  <c r="M1749" i="73" s="1"/>
  <c r="N1708" i="73" s="1"/>
  <c r="L58" i="74"/>
  <c r="L41" i="74"/>
  <c r="N94" i="73"/>
  <c r="L11" i="74" s="1"/>
  <c r="I108" i="73"/>
  <c r="M108" i="73" s="1"/>
  <c r="M113" i="73" s="1"/>
  <c r="N139" i="73"/>
  <c r="L12" i="74" s="1"/>
  <c r="I153" i="73"/>
  <c r="M153" i="73" s="1"/>
  <c r="M158" i="73" s="1"/>
  <c r="N318" i="73"/>
  <c r="L16" i="74" s="1"/>
  <c r="I332" i="73"/>
  <c r="M332" i="73" s="1"/>
  <c r="M337" i="73" s="1"/>
  <c r="J318" i="73" s="1"/>
  <c r="I17" i="73"/>
  <c r="M17" i="73" s="1"/>
  <c r="M22" i="73" s="1"/>
  <c r="N4" i="73"/>
  <c r="L9" i="74" s="1"/>
  <c r="AF197" i="68"/>
  <c r="AF217" i="68" s="1"/>
  <c r="AF219" i="68" s="1"/>
  <c r="AF234" i="68"/>
  <c r="AF254" i="68" s="1"/>
  <c r="AF256" i="68" s="1"/>
  <c r="M141" i="58" l="1"/>
  <c r="M74" i="58"/>
  <c r="M211" i="58"/>
  <c r="H4" i="73"/>
  <c r="I26" i="73"/>
  <c r="M26" i="73" s="1"/>
  <c r="M31" i="73" s="1"/>
  <c r="L4" i="73" s="1"/>
  <c r="K9" i="74" s="1"/>
  <c r="J16" i="74"/>
  <c r="F318" i="73"/>
  <c r="I163" i="73"/>
  <c r="M163" i="73" s="1"/>
  <c r="M167" i="73" s="1"/>
  <c r="L139" i="73" s="1"/>
  <c r="K12" i="74" s="1"/>
  <c r="H139" i="73"/>
  <c r="L48" i="74"/>
  <c r="I206" i="73"/>
  <c r="M206" i="73" s="1"/>
  <c r="M211" i="73" s="1"/>
  <c r="L184" i="73" s="1"/>
  <c r="K13" i="74" s="1"/>
  <c r="H184" i="73"/>
  <c r="I118" i="73"/>
  <c r="M118" i="73" s="1"/>
  <c r="M122" i="73" s="1"/>
  <c r="L94" i="73" s="1"/>
  <c r="K11" i="74" s="1"/>
  <c r="H94" i="73"/>
  <c r="L26" i="58"/>
  <c r="M26" i="58" s="1"/>
  <c r="L27" i="58"/>
  <c r="M27" i="58" s="1"/>
  <c r="M16" i="74" l="1"/>
  <c r="N319" i="73"/>
  <c r="J29" i="58" s="1"/>
  <c r="I9" i="74"/>
  <c r="F4" i="73"/>
  <c r="N5" i="73" s="1"/>
  <c r="I12" i="74"/>
  <c r="F139" i="73"/>
  <c r="F94" i="73"/>
  <c r="I11" i="74"/>
  <c r="F184" i="73"/>
  <c r="I13" i="74"/>
  <c r="AF691" i="68"/>
  <c r="AF692" i="68"/>
  <c r="AF693" i="68"/>
  <c r="AF694" i="68"/>
  <c r="AF695" i="68"/>
  <c r="AF696" i="68"/>
  <c r="AF697" i="68"/>
  <c r="AF698" i="68"/>
  <c r="AF699" i="68"/>
  <c r="AF700" i="68"/>
  <c r="AF701" i="68"/>
  <c r="AF702" i="68"/>
  <c r="AF703" i="68"/>
  <c r="AF704" i="68"/>
  <c r="AF705" i="68"/>
  <c r="AF706" i="68"/>
  <c r="AF690" i="68"/>
  <c r="A683" i="68"/>
  <c r="AF689" i="68"/>
  <c r="AF688" i="68"/>
  <c r="AF687" i="68"/>
  <c r="AF686" i="68"/>
  <c r="AF685" i="68"/>
  <c r="E676" i="68"/>
  <c r="A645" i="68"/>
  <c r="AF647" i="68"/>
  <c r="E638" i="68"/>
  <c r="A569" i="68"/>
  <c r="E562" i="68"/>
  <c r="AH496" i="68"/>
  <c r="AH497" i="68"/>
  <c r="AH498" i="68"/>
  <c r="AH499" i="68"/>
  <c r="AH500" i="68"/>
  <c r="AH501" i="68"/>
  <c r="AH495" i="68"/>
  <c r="A493" i="68"/>
  <c r="AE458" i="68"/>
  <c r="E486" i="68"/>
  <c r="A455" i="68"/>
  <c r="E448" i="68"/>
  <c r="AF424" i="68"/>
  <c r="AF425" i="68"/>
  <c r="AB420" i="68"/>
  <c r="AB496" i="68" s="1"/>
  <c r="AC420" i="68"/>
  <c r="AC496" i="68" s="1"/>
  <c r="AB421" i="68"/>
  <c r="AB497" i="68" s="1"/>
  <c r="AC421" i="68"/>
  <c r="AC497" i="68" s="1"/>
  <c r="AB422" i="68"/>
  <c r="AB498" i="68" s="1"/>
  <c r="AC422" i="68"/>
  <c r="AC498" i="68" s="1"/>
  <c r="AC423" i="68"/>
  <c r="AC499" i="68" s="1"/>
  <c r="AC419" i="68"/>
  <c r="AC495" i="68" s="1"/>
  <c r="AB419" i="68"/>
  <c r="AB495" i="68" s="1"/>
  <c r="AB386" i="68"/>
  <c r="AD386" i="68" s="1"/>
  <c r="AF386" i="68" s="1"/>
  <c r="A417" i="68"/>
  <c r="E410" i="68"/>
  <c r="E373" i="68"/>
  <c r="AD385" i="68"/>
  <c r="AF385" i="68" s="1"/>
  <c r="AD384" i="68"/>
  <c r="AF384" i="68" s="1"/>
  <c r="AD383" i="68"/>
  <c r="AF383" i="68" s="1"/>
  <c r="AD382" i="68"/>
  <c r="AF382" i="68" s="1"/>
  <c r="A380" i="68"/>
  <c r="D380" i="68" s="1"/>
  <c r="J232" i="58" l="1"/>
  <c r="J18" i="58"/>
  <c r="M13" i="74"/>
  <c r="N185" i="73"/>
  <c r="M12" i="74"/>
  <c r="N140" i="73"/>
  <c r="M11" i="74"/>
  <c r="N95" i="73"/>
  <c r="M9" i="74"/>
  <c r="M29" i="58"/>
  <c r="AF402" i="68"/>
  <c r="AF404" i="68" s="1"/>
  <c r="L36" i="58" s="1"/>
  <c r="AF498" i="68"/>
  <c r="AF496" i="68"/>
  <c r="AF497" i="68"/>
  <c r="AF495" i="68"/>
  <c r="AF708" i="68"/>
  <c r="AF710" i="68" s="1"/>
  <c r="L48" i="58" s="1"/>
  <c r="AF420" i="68"/>
  <c r="AF651" i="68"/>
  <c r="AF650" i="68"/>
  <c r="AF648" i="68"/>
  <c r="AF457" i="68"/>
  <c r="AF458" i="68"/>
  <c r="AF419" i="68"/>
  <c r="AB423" i="68"/>
  <c r="AB499" i="68" s="1"/>
  <c r="AF499" i="68" s="1"/>
  <c r="AF422" i="68"/>
  <c r="AF421" i="68"/>
  <c r="J40" i="58" l="1"/>
  <c r="J236" i="58"/>
  <c r="M236" i="58" s="1"/>
  <c r="J70" i="58"/>
  <c r="M70" i="58" s="1"/>
  <c r="J22" i="58"/>
  <c r="J238" i="58"/>
  <c r="J72" i="58"/>
  <c r="M72" i="58" s="1"/>
  <c r="J24" i="58"/>
  <c r="M24" i="58" s="1"/>
  <c r="J172" i="58"/>
  <c r="M172" i="58" s="1"/>
  <c r="J114" i="58"/>
  <c r="M114" i="58" s="1"/>
  <c r="J254" i="58"/>
  <c r="M254" i="58" s="1"/>
  <c r="J139" i="58"/>
  <c r="M139" i="58" s="1"/>
  <c r="J209" i="58"/>
  <c r="J42" i="58"/>
  <c r="M42" i="58" s="1"/>
  <c r="J237" i="58"/>
  <c r="J23" i="58"/>
  <c r="M23" i="58" s="1"/>
  <c r="M232" i="58"/>
  <c r="AF516" i="68"/>
  <c r="AF649" i="68"/>
  <c r="AF668" i="68" s="1"/>
  <c r="AF670" i="68" s="1"/>
  <c r="L47" i="58" s="1"/>
  <c r="AF478" i="68"/>
  <c r="AF480" i="68" s="1"/>
  <c r="L40" i="58" s="1"/>
  <c r="AF423" i="68"/>
  <c r="AF440" i="68" s="1"/>
  <c r="AF442" i="68" s="1"/>
  <c r="AB609" i="68" s="1"/>
  <c r="AF609" i="68" s="1"/>
  <c r="AF630" i="68" s="1"/>
  <c r="AF632" i="68" s="1"/>
  <c r="L45" i="58" s="1"/>
  <c r="M45" i="58" s="1"/>
  <c r="M209" i="58" l="1"/>
  <c r="M238" i="58"/>
  <c r="M18" i="58"/>
  <c r="M237" i="58"/>
  <c r="M40" i="58"/>
  <c r="M22" i="58"/>
  <c r="L38" i="58"/>
  <c r="M38" i="58" s="1"/>
  <c r="AB571" i="68"/>
  <c r="AF571" i="68" s="1"/>
  <c r="AF592" i="68" s="1"/>
  <c r="AF594" i="68" s="1"/>
  <c r="L44" i="58" s="1"/>
  <c r="M44" i="58" s="1"/>
  <c r="AF518" i="68"/>
  <c r="L41" i="58" s="1"/>
  <c r="K2" i="72" l="1"/>
  <c r="M2" i="71"/>
  <c r="AF562" i="68"/>
  <c r="AE377" i="68"/>
  <c r="AF373" i="68"/>
  <c r="AE680" i="68"/>
  <c r="AE490" i="68"/>
  <c r="AE414" i="68"/>
  <c r="AF676" i="68"/>
  <c r="AE642" i="68"/>
  <c r="AF486" i="68"/>
  <c r="AF410" i="68"/>
  <c r="AF638" i="68"/>
  <c r="AE452" i="68"/>
  <c r="AE566" i="68"/>
  <c r="AF448" i="68"/>
  <c r="H21" i="66" l="1"/>
  <c r="H20" i="66"/>
  <c r="H14" i="66"/>
  <c r="H13" i="66"/>
  <c r="H12" i="66"/>
  <c r="H11" i="66"/>
  <c r="H10" i="66"/>
  <c r="H9" i="66"/>
  <c r="H8" i="66"/>
  <c r="H7" i="66"/>
  <c r="H22" i="66" l="1"/>
  <c r="H15" i="66"/>
  <c r="H17" i="66" s="1"/>
  <c r="H24" i="66" l="1"/>
  <c r="H26" i="66" s="1"/>
  <c r="I512" i="73" l="1"/>
  <c r="M512" i="73" s="1"/>
  <c r="E13" i="7"/>
  <c r="I2871" i="73" s="1"/>
  <c r="M2871" i="73" s="1"/>
  <c r="E10" i="7"/>
  <c r="I2927" i="73" l="1"/>
  <c r="M2927" i="73" s="1"/>
  <c r="M2932" i="73" s="1"/>
  <c r="H2900" i="73" s="1"/>
  <c r="I17" i="74" s="1"/>
  <c r="I2977" i="73"/>
  <c r="M2977" i="73" s="1"/>
  <c r="M2982" i="73" s="1"/>
  <c r="H2958" i="73" s="1"/>
  <c r="I18" i="74" s="1"/>
  <c r="I2822" i="73"/>
  <c r="M2822" i="73" s="1"/>
  <c r="M2827" i="73" s="1"/>
  <c r="H2806" i="73" s="1"/>
  <c r="I2869" i="73"/>
  <c r="M2869" i="73" s="1"/>
  <c r="M2874" i="73" s="1"/>
  <c r="H2853" i="73" s="1"/>
  <c r="I2770" i="73"/>
  <c r="M2770" i="73" s="1"/>
  <c r="M2780" i="73" s="1"/>
  <c r="H2752" i="73" s="1"/>
  <c r="I2667" i="73"/>
  <c r="M2667" i="73" s="1"/>
  <c r="M2672" i="73" s="1"/>
  <c r="H2649" i="73" s="1"/>
  <c r="I2716" i="73"/>
  <c r="M2716" i="73" s="1"/>
  <c r="M2726" i="73" s="1"/>
  <c r="H2698" i="73" s="1"/>
  <c r="I2504" i="73"/>
  <c r="M2504" i="73" s="1"/>
  <c r="M2514" i="73" s="1"/>
  <c r="H2486" i="73" s="1"/>
  <c r="I2613" i="73"/>
  <c r="M2613" i="73" s="1"/>
  <c r="M2623" i="73" s="1"/>
  <c r="H2596" i="73" s="1"/>
  <c r="I2559" i="73"/>
  <c r="M2559" i="73" s="1"/>
  <c r="M2569" i="73" s="1"/>
  <c r="H2541" i="73" s="1"/>
  <c r="I2455" i="73"/>
  <c r="M2455" i="73" s="1"/>
  <c r="M2460" i="73" s="1"/>
  <c r="H2442" i="73" s="1"/>
  <c r="I2352" i="73"/>
  <c r="M2352" i="73" s="1"/>
  <c r="M2362" i="73" s="1"/>
  <c r="H2334" i="73" s="1"/>
  <c r="I2298" i="73"/>
  <c r="M2298" i="73" s="1"/>
  <c r="M2308" i="73" s="1"/>
  <c r="H2280" i="73" s="1"/>
  <c r="I2244" i="73"/>
  <c r="M2244" i="73" s="1"/>
  <c r="M2254" i="73" s="1"/>
  <c r="H2226" i="73" s="1"/>
  <c r="I2190" i="73"/>
  <c r="M2190" i="73" s="1"/>
  <c r="M2200" i="73" s="1"/>
  <c r="H2172" i="73" s="1"/>
  <c r="I2040" i="73"/>
  <c r="M2040" i="73" s="1"/>
  <c r="M2050" i="73" s="1"/>
  <c r="H2022" i="73" s="1"/>
  <c r="I54" i="74" s="1"/>
  <c r="I1986" i="73"/>
  <c r="M1986" i="73" s="1"/>
  <c r="M1996" i="73" s="1"/>
  <c r="H1968" i="73" s="1"/>
  <c r="I2136" i="73"/>
  <c r="M2136" i="73" s="1"/>
  <c r="M2146" i="73" s="1"/>
  <c r="H2118" i="73" s="1"/>
  <c r="I56" i="74" s="1"/>
  <c r="I2406" i="73"/>
  <c r="M2406" i="73" s="1"/>
  <c r="M2416" i="73" s="1"/>
  <c r="H2388" i="73" s="1"/>
  <c r="I2090" i="73"/>
  <c r="M2090" i="73" s="1"/>
  <c r="M2094" i="73" s="1"/>
  <c r="H2076" i="73" s="1"/>
  <c r="I1824" i="73"/>
  <c r="M1824" i="73" s="1"/>
  <c r="I1878" i="73"/>
  <c r="M1878" i="73" s="1"/>
  <c r="I1932" i="73"/>
  <c r="M1932" i="73" s="1"/>
  <c r="I1775" i="73"/>
  <c r="M1775" i="73" s="1"/>
  <c r="M1780" i="73" s="1"/>
  <c r="H1757" i="73" s="1"/>
  <c r="I1726" i="73"/>
  <c r="M1726" i="73" s="1"/>
  <c r="M1731" i="73" s="1"/>
  <c r="H1708" i="73" s="1"/>
  <c r="I1530" i="73"/>
  <c r="M1530" i="73" s="1"/>
  <c r="M1535" i="73" s="1"/>
  <c r="H1512" i="73" s="1"/>
  <c r="I1334" i="73"/>
  <c r="M1334" i="73" s="1"/>
  <c r="M1339" i="73" s="1"/>
  <c r="H1316" i="73" s="1"/>
  <c r="I1432" i="73"/>
  <c r="M1432" i="73" s="1"/>
  <c r="M1437" i="73" s="1"/>
  <c r="H1414" i="73" s="1"/>
  <c r="I1383" i="73"/>
  <c r="M1383" i="73" s="1"/>
  <c r="M1388" i="73" s="1"/>
  <c r="H1365" i="73" s="1"/>
  <c r="I1285" i="73"/>
  <c r="M1285" i="73" s="1"/>
  <c r="M1290" i="73" s="1"/>
  <c r="H1267" i="73" s="1"/>
  <c r="I1677" i="73"/>
  <c r="M1677" i="73" s="1"/>
  <c r="M1682" i="73" s="1"/>
  <c r="H1659" i="73" s="1"/>
  <c r="I1579" i="73"/>
  <c r="M1579" i="73" s="1"/>
  <c r="M1584" i="73" s="1"/>
  <c r="H1561" i="73" s="1"/>
  <c r="I1628" i="73"/>
  <c r="M1628" i="73" s="1"/>
  <c r="M1633" i="73" s="1"/>
  <c r="H1610" i="73" s="1"/>
  <c r="I1481" i="73"/>
  <c r="M1481" i="73" s="1"/>
  <c r="M1486" i="73" s="1"/>
  <c r="H1463" i="73" s="1"/>
  <c r="I1011" i="73"/>
  <c r="M1011" i="73" s="1"/>
  <c r="M1016" i="73" s="1"/>
  <c r="H998" i="73" s="1"/>
  <c r="I1236" i="73"/>
  <c r="M1236" i="73" s="1"/>
  <c r="M1241" i="73" s="1"/>
  <c r="H1218" i="73" s="1"/>
  <c r="I1099" i="73"/>
  <c r="M1099" i="73" s="1"/>
  <c r="M1104" i="73" s="1"/>
  <c r="H1086" i="73" s="1"/>
  <c r="I1187" i="73"/>
  <c r="M1187" i="73" s="1"/>
  <c r="M1192" i="73" s="1"/>
  <c r="H1174" i="73" s="1"/>
  <c r="I1055" i="73"/>
  <c r="M1055" i="73" s="1"/>
  <c r="M1060" i="73" s="1"/>
  <c r="H1042" i="73" s="1"/>
  <c r="I1143" i="73"/>
  <c r="M1143" i="73" s="1"/>
  <c r="M1148" i="73" s="1"/>
  <c r="H1130" i="73" s="1"/>
  <c r="I967" i="73"/>
  <c r="M967" i="73" s="1"/>
  <c r="M972" i="73" s="1"/>
  <c r="H951" i="73" s="1"/>
  <c r="I32" i="74" s="1"/>
  <c r="I550" i="73"/>
  <c r="M550" i="73" s="1"/>
  <c r="M554" i="73" s="1"/>
  <c r="H537" i="73" s="1"/>
  <c r="I919" i="73"/>
  <c r="M919" i="73" s="1"/>
  <c r="M924" i="73" s="1"/>
  <c r="H903" i="73" s="1"/>
  <c r="I422" i="73"/>
  <c r="M422" i="73" s="1"/>
  <c r="M427" i="73" s="1"/>
  <c r="J408" i="73" s="1"/>
  <c r="I871" i="73"/>
  <c r="M871" i="73" s="1"/>
  <c r="M876" i="73" s="1"/>
  <c r="H855" i="73" s="1"/>
  <c r="I30" i="74" s="1"/>
  <c r="I823" i="73"/>
  <c r="M823" i="73" s="1"/>
  <c r="M828" i="73" s="1"/>
  <c r="H807" i="73" s="1"/>
  <c r="I29" i="74" s="1"/>
  <c r="I727" i="73"/>
  <c r="M727" i="73" s="1"/>
  <c r="M732" i="73" s="1"/>
  <c r="H714" i="73" s="1"/>
  <c r="I27" i="74" s="1"/>
  <c r="I467" i="73"/>
  <c r="M467" i="73" s="1"/>
  <c r="M471" i="73" s="1"/>
  <c r="H453" i="73" s="1"/>
  <c r="I682" i="73"/>
  <c r="I509" i="73"/>
  <c r="M509" i="73" s="1"/>
  <c r="M513" i="73" s="1"/>
  <c r="H495" i="73" s="1"/>
  <c r="I775" i="73"/>
  <c r="M775" i="73" s="1"/>
  <c r="M780" i="73" s="1"/>
  <c r="H759" i="73" s="1"/>
  <c r="I28" i="74" s="1"/>
  <c r="I637" i="73"/>
  <c r="M637" i="73" s="1"/>
  <c r="M642" i="73" s="1"/>
  <c r="H624" i="73" s="1"/>
  <c r="I25" i="74" s="1"/>
  <c r="I592" i="73"/>
  <c r="M592" i="73" s="1"/>
  <c r="M597" i="73" s="1"/>
  <c r="H579" i="73" s="1"/>
  <c r="I24" i="74" s="1"/>
  <c r="I1880" i="73"/>
  <c r="M1880" i="73" s="1"/>
  <c r="I1827" i="73"/>
  <c r="M1827" i="73" s="1"/>
  <c r="I1934" i="73"/>
  <c r="M1934" i="73" s="1"/>
  <c r="M682" i="73"/>
  <c r="M687" i="73" s="1"/>
  <c r="H669" i="73" s="1"/>
  <c r="I26" i="74" s="1"/>
  <c r="I377" i="73"/>
  <c r="M377" i="73" s="1"/>
  <c r="M382" i="73" s="1"/>
  <c r="J363" i="73" s="1"/>
  <c r="J19" i="74" s="1"/>
  <c r="G3" i="55"/>
  <c r="F2853" i="73" l="1"/>
  <c r="I70" i="74"/>
  <c r="F2806" i="73"/>
  <c r="I69" i="74"/>
  <c r="I21" i="74"/>
  <c r="F453" i="73"/>
  <c r="J20" i="74"/>
  <c r="F408" i="73"/>
  <c r="F1218" i="73"/>
  <c r="I38" i="74"/>
  <c r="F1414" i="73"/>
  <c r="I42" i="74"/>
  <c r="F2076" i="73"/>
  <c r="I55" i="74"/>
  <c r="F2334" i="73"/>
  <c r="I60" i="74"/>
  <c r="F998" i="73"/>
  <c r="I33" i="74"/>
  <c r="F1316" i="73"/>
  <c r="I40" i="74"/>
  <c r="F2388" i="73"/>
  <c r="I61" i="74"/>
  <c r="F2442" i="73"/>
  <c r="I62" i="74"/>
  <c r="F2541" i="73"/>
  <c r="I64" i="74"/>
  <c r="I22" i="74"/>
  <c r="F495" i="73"/>
  <c r="I23" i="74"/>
  <c r="F537" i="73"/>
  <c r="F1463" i="73"/>
  <c r="I43" i="74"/>
  <c r="F1512" i="73"/>
  <c r="I44" i="74"/>
  <c r="F1610" i="73"/>
  <c r="I46" i="74"/>
  <c r="I48" i="74"/>
  <c r="F1708" i="73"/>
  <c r="F1968" i="73"/>
  <c r="I53" i="74"/>
  <c r="F2596" i="73"/>
  <c r="I65" i="74"/>
  <c r="F2486" i="73"/>
  <c r="I63" i="74"/>
  <c r="F1757" i="73"/>
  <c r="I49" i="74"/>
  <c r="F1042" i="73"/>
  <c r="I34" i="74"/>
  <c r="F1659" i="73"/>
  <c r="I47" i="74"/>
  <c r="M1942" i="73"/>
  <c r="H1914" i="73" s="1"/>
  <c r="I57" i="74"/>
  <c r="F2172" i="73"/>
  <c r="F2698" i="73"/>
  <c r="I67" i="74"/>
  <c r="F1561" i="73"/>
  <c r="I45" i="74"/>
  <c r="F1174" i="73"/>
  <c r="I37" i="74"/>
  <c r="F1267" i="73"/>
  <c r="I39" i="74"/>
  <c r="M1888" i="73"/>
  <c r="H1860" i="73" s="1"/>
  <c r="I58" i="74"/>
  <c r="F2226" i="73"/>
  <c r="F2649" i="73"/>
  <c r="I66" i="74"/>
  <c r="F1130" i="73"/>
  <c r="I36" i="74"/>
  <c r="F1086" i="73"/>
  <c r="I35" i="74"/>
  <c r="I41" i="74"/>
  <c r="F1365" i="73"/>
  <c r="M1834" i="73"/>
  <c r="H1806" i="73" s="1"/>
  <c r="F2280" i="73"/>
  <c r="I59" i="74"/>
  <c r="F2752" i="73"/>
  <c r="I68" i="74"/>
  <c r="F624" i="73"/>
  <c r="N625" i="73" s="1"/>
  <c r="F714" i="73"/>
  <c r="N715" i="73" s="1"/>
  <c r="F951" i="73"/>
  <c r="N952" i="73" s="1"/>
  <c r="J61" i="58" s="1"/>
  <c r="F855" i="73"/>
  <c r="N856" i="73" s="1"/>
  <c r="J59" i="58" s="1"/>
  <c r="F669" i="73"/>
  <c r="N670" i="73" s="1"/>
  <c r="F759" i="73"/>
  <c r="N760" i="73" s="1"/>
  <c r="F363" i="73"/>
  <c r="F579" i="73"/>
  <c r="N580" i="73" s="1"/>
  <c r="I31" i="74"/>
  <c r="F903" i="73"/>
  <c r="F807" i="73"/>
  <c r="N808" i="73" s="1"/>
  <c r="M46" i="74" l="1"/>
  <c r="N1611" i="73"/>
  <c r="J128" i="58"/>
  <c r="J93" i="58"/>
  <c r="J58" i="58"/>
  <c r="J224" i="58"/>
  <c r="J158" i="58"/>
  <c r="J92" i="58"/>
  <c r="J57" i="58"/>
  <c r="J89" i="58"/>
  <c r="J127" i="58"/>
  <c r="J56" i="58"/>
  <c r="J222" i="58"/>
  <c r="J156" i="58"/>
  <c r="J155" i="58"/>
  <c r="J88" i="58"/>
  <c r="J55" i="58"/>
  <c r="J221" i="58"/>
  <c r="J186" i="58"/>
  <c r="J54" i="58"/>
  <c r="J86" i="58"/>
  <c r="J153" i="58"/>
  <c r="J126" i="58"/>
  <c r="J84" i="58"/>
  <c r="J245" i="58"/>
  <c r="J219" i="58"/>
  <c r="J52" i="58"/>
  <c r="J151" i="58"/>
  <c r="J124" i="58"/>
  <c r="M70" i="74"/>
  <c r="N2854" i="73"/>
  <c r="J228" i="58" s="1"/>
  <c r="M69" i="74"/>
  <c r="N2807" i="73"/>
  <c r="J227" i="58" s="1"/>
  <c r="M68" i="74"/>
  <c r="N2753" i="73"/>
  <c r="J193" i="58" s="1"/>
  <c r="M67" i="74"/>
  <c r="N2699" i="73"/>
  <c r="J192" i="58" s="1"/>
  <c r="M66" i="74"/>
  <c r="N2650" i="73"/>
  <c r="J173" i="58" s="1"/>
  <c r="M65" i="74"/>
  <c r="N2597" i="73"/>
  <c r="J161" i="58" s="1"/>
  <c r="M64" i="74"/>
  <c r="N2542" i="73"/>
  <c r="J160" i="58" s="1"/>
  <c r="M63" i="74"/>
  <c r="N2487" i="73"/>
  <c r="J159" i="58" s="1"/>
  <c r="M62" i="74"/>
  <c r="N2443" i="73"/>
  <c r="J90" i="58" s="1"/>
  <c r="M61" i="74"/>
  <c r="N2389" i="73"/>
  <c r="J226" i="58" s="1"/>
  <c r="M60" i="74"/>
  <c r="N2335" i="73"/>
  <c r="M59" i="74"/>
  <c r="N2281" i="73"/>
  <c r="J223" i="58" s="1"/>
  <c r="M58" i="74"/>
  <c r="N2227" i="73"/>
  <c r="J199" i="58" s="1"/>
  <c r="M57" i="74"/>
  <c r="N2173" i="73"/>
  <c r="M55" i="74"/>
  <c r="E119" i="5" s="1"/>
  <c r="I2030" i="73" s="1"/>
  <c r="M2030" i="73" s="1"/>
  <c r="M2036" i="73" s="1"/>
  <c r="J2022" i="73" s="1"/>
  <c r="N2077" i="73"/>
  <c r="M53" i="74"/>
  <c r="N1969" i="73"/>
  <c r="J198" i="58" s="1"/>
  <c r="M49" i="74"/>
  <c r="N1758" i="73"/>
  <c r="M48" i="74"/>
  <c r="N1709" i="73"/>
  <c r="M47" i="74"/>
  <c r="N1660" i="73"/>
  <c r="M45" i="74"/>
  <c r="N1562" i="73"/>
  <c r="M44" i="74"/>
  <c r="N1513" i="73"/>
  <c r="J102" i="58" s="1"/>
  <c r="M43" i="74"/>
  <c r="N1464" i="73"/>
  <c r="J101" i="58" s="1"/>
  <c r="M42" i="74"/>
  <c r="M100" i="58" s="1"/>
  <c r="N1415" i="73"/>
  <c r="J100" i="58" s="1"/>
  <c r="M41" i="74"/>
  <c r="N1366" i="73"/>
  <c r="J99" i="58" s="1"/>
  <c r="M40" i="74"/>
  <c r="N1317" i="73"/>
  <c r="J98" i="58" s="1"/>
  <c r="M39" i="74"/>
  <c r="N1268" i="73"/>
  <c r="J97" i="58" s="1"/>
  <c r="M38" i="74"/>
  <c r="M96" i="58" s="1"/>
  <c r="N1219" i="73"/>
  <c r="J96" i="58" s="1"/>
  <c r="M37" i="74"/>
  <c r="N1175" i="73"/>
  <c r="J95" i="58" s="1"/>
  <c r="M36" i="74"/>
  <c r="N1131" i="73"/>
  <c r="J91" i="58" s="1"/>
  <c r="M35" i="74"/>
  <c r="N1087" i="73"/>
  <c r="J87" i="58" s="1"/>
  <c r="M34" i="74"/>
  <c r="N1043" i="73"/>
  <c r="M33" i="74"/>
  <c r="N999" i="73"/>
  <c r="M31" i="74"/>
  <c r="N904" i="73"/>
  <c r="M23" i="74"/>
  <c r="E127" i="5" s="1"/>
  <c r="I2967" i="73" s="1"/>
  <c r="M2967" i="73" s="1"/>
  <c r="N538" i="73"/>
  <c r="M22" i="74"/>
  <c r="N496" i="73"/>
  <c r="M21" i="74"/>
  <c r="N454" i="73"/>
  <c r="M20" i="74"/>
  <c r="N409" i="73"/>
  <c r="M19" i="74"/>
  <c r="N364" i="73"/>
  <c r="E123" i="5"/>
  <c r="F1914" i="73"/>
  <c r="I52" i="74"/>
  <c r="F1806" i="73"/>
  <c r="I50" i="74"/>
  <c r="F1860" i="73"/>
  <c r="I51" i="74"/>
  <c r="M27" i="74"/>
  <c r="M25" i="74"/>
  <c r="M28" i="74"/>
  <c r="M30" i="74"/>
  <c r="M29" i="74"/>
  <c r="M32" i="74"/>
  <c r="M26" i="74"/>
  <c r="M24" i="74"/>
  <c r="B70" i="28"/>
  <c r="X1119" i="68"/>
  <c r="X1078" i="68"/>
  <c r="X683" i="68"/>
  <c r="X645" i="68"/>
  <c r="X493" i="68"/>
  <c r="X569" i="68"/>
  <c r="X455" i="68"/>
  <c r="X417" i="68"/>
  <c r="X380" i="68"/>
  <c r="D96" i="28"/>
  <c r="B96" i="28"/>
  <c r="D95" i="28"/>
  <c r="B95" i="28"/>
  <c r="C94" i="28"/>
  <c r="D93" i="28"/>
  <c r="B93" i="28"/>
  <c r="D92" i="28"/>
  <c r="B92" i="28"/>
  <c r="D91" i="28"/>
  <c r="B91" i="28"/>
  <c r="D90" i="28"/>
  <c r="B90" i="28"/>
  <c r="D89" i="28"/>
  <c r="B89" i="28"/>
  <c r="D88" i="28"/>
  <c r="B88" i="28"/>
  <c r="D87" i="28"/>
  <c r="B87" i="28"/>
  <c r="D86" i="28"/>
  <c r="B86" i="28"/>
  <c r="D85" i="28"/>
  <c r="B85" i="28"/>
  <c r="D84" i="28"/>
  <c r="B84" i="28"/>
  <c r="D83" i="28"/>
  <c r="B83" i="28"/>
  <c r="D82" i="28"/>
  <c r="B82" i="28"/>
  <c r="D81" i="28"/>
  <c r="B81" i="28"/>
  <c r="D80" i="28"/>
  <c r="B80" i="28"/>
  <c r="D79" i="28"/>
  <c r="B79" i="28"/>
  <c r="D78" i="28"/>
  <c r="B78" i="28"/>
  <c r="D77" i="28"/>
  <c r="B77" i="28"/>
  <c r="D76" i="28"/>
  <c r="B76" i="28"/>
  <c r="D75" i="28"/>
  <c r="B75" i="28"/>
  <c r="D74" i="28"/>
  <c r="B74" i="28"/>
  <c r="D73" i="28"/>
  <c r="B73" i="28"/>
  <c r="C72" i="28"/>
  <c r="C71" i="28"/>
  <c r="B71" i="28"/>
  <c r="D64" i="28"/>
  <c r="B64" i="28"/>
  <c r="D63" i="28"/>
  <c r="B63" i="28"/>
  <c r="D62" i="28"/>
  <c r="B62" i="28"/>
  <c r="D61" i="28"/>
  <c r="B61" i="28"/>
  <c r="D60" i="28"/>
  <c r="B60" i="28"/>
  <c r="C59" i="28"/>
  <c r="D58" i="28"/>
  <c r="B58" i="28"/>
  <c r="D57" i="28"/>
  <c r="B57" i="28"/>
  <c r="D56" i="28"/>
  <c r="B56" i="28"/>
  <c r="D55" i="28"/>
  <c r="B55" i="28"/>
  <c r="D54" i="28"/>
  <c r="B54" i="28"/>
  <c r="D53" i="28"/>
  <c r="B53" i="28"/>
  <c r="D52" i="28"/>
  <c r="B52" i="28"/>
  <c r="D51" i="28"/>
  <c r="B51" i="28"/>
  <c r="D50" i="28"/>
  <c r="B50" i="28"/>
  <c r="D49" i="28"/>
  <c r="B49" i="28"/>
  <c r="D48" i="28"/>
  <c r="B48" i="28"/>
  <c r="D47" i="28"/>
  <c r="B47" i="28"/>
  <c r="D46" i="28"/>
  <c r="B46" i="28"/>
  <c r="D45" i="28"/>
  <c r="B45" i="28"/>
  <c r="D44" i="28"/>
  <c r="B44" i="28"/>
  <c r="C43" i="28"/>
  <c r="C42" i="28"/>
  <c r="B42" i="28"/>
  <c r="D39" i="28"/>
  <c r="B39" i="28"/>
  <c r="C38" i="28"/>
  <c r="D37" i="28"/>
  <c r="B37" i="28"/>
  <c r="D36" i="28"/>
  <c r="B36" i="28"/>
  <c r="D35" i="28"/>
  <c r="B35" i="28"/>
  <c r="D34" i="28"/>
  <c r="B34" i="28"/>
  <c r="D33" i="28"/>
  <c r="B33" i="28"/>
  <c r="D32" i="28"/>
  <c r="B32" i="28"/>
  <c r="D31" i="28"/>
  <c r="B31" i="28"/>
  <c r="D30" i="28"/>
  <c r="B30" i="28"/>
  <c r="D29" i="28"/>
  <c r="B29" i="28"/>
  <c r="D28" i="28"/>
  <c r="B28" i="28"/>
  <c r="D27" i="28"/>
  <c r="B27" i="28"/>
  <c r="D26" i="28"/>
  <c r="B26" i="28"/>
  <c r="D25" i="28"/>
  <c r="B25" i="28"/>
  <c r="C24" i="28"/>
  <c r="C23" i="28"/>
  <c r="B23" i="28"/>
  <c r="B22" i="28"/>
  <c r="D18" i="28"/>
  <c r="B18" i="28"/>
  <c r="C17" i="28"/>
  <c r="D16" i="28"/>
  <c r="B16" i="28"/>
  <c r="D15" i="28"/>
  <c r="B15" i="28"/>
  <c r="D14" i="28"/>
  <c r="B14" i="28"/>
  <c r="D13" i="28"/>
  <c r="B13" i="28"/>
  <c r="D12" i="28"/>
  <c r="B12" i="28"/>
  <c r="D11" i="28"/>
  <c r="B11" i="28"/>
  <c r="D10" i="28"/>
  <c r="B10" i="28"/>
  <c r="C9" i="28"/>
  <c r="C8" i="28"/>
  <c r="B8" i="28"/>
  <c r="B7" i="28"/>
  <c r="B4" i="28"/>
  <c r="D393" i="62"/>
  <c r="B393" i="62"/>
  <c r="D392" i="62"/>
  <c r="B392" i="62"/>
  <c r="D391" i="62"/>
  <c r="B391" i="62"/>
  <c r="D390" i="62"/>
  <c r="B390" i="62"/>
  <c r="D389" i="62"/>
  <c r="B389" i="62"/>
  <c r="D388" i="62"/>
  <c r="B388" i="62"/>
  <c r="D387" i="62"/>
  <c r="B387" i="62"/>
  <c r="D386" i="62"/>
  <c r="B386" i="62"/>
  <c r="D385" i="62"/>
  <c r="B385" i="62"/>
  <c r="D384" i="62"/>
  <c r="B384" i="62"/>
  <c r="D383" i="62"/>
  <c r="B383" i="62"/>
  <c r="D382" i="62"/>
  <c r="B382" i="62"/>
  <c r="D381" i="62"/>
  <c r="B381" i="62"/>
  <c r="D380" i="62"/>
  <c r="B380" i="62"/>
  <c r="D379" i="62"/>
  <c r="B379" i="62"/>
  <c r="D378" i="62"/>
  <c r="B378" i="62"/>
  <c r="D377" i="62"/>
  <c r="B377" i="62"/>
  <c r="D376" i="62"/>
  <c r="B376" i="62"/>
  <c r="D375" i="62"/>
  <c r="B375" i="62"/>
  <c r="D374" i="62"/>
  <c r="B374" i="62"/>
  <c r="D373" i="62"/>
  <c r="B373" i="62"/>
  <c r="D372" i="62"/>
  <c r="B372" i="62"/>
  <c r="D371" i="62"/>
  <c r="B371" i="62"/>
  <c r="D370" i="62"/>
  <c r="B370" i="62"/>
  <c r="D369" i="62"/>
  <c r="B369" i="62"/>
  <c r="D368" i="62"/>
  <c r="B368" i="62"/>
  <c r="D367" i="62"/>
  <c r="B367" i="62"/>
  <c r="D366" i="62"/>
  <c r="B366" i="62"/>
  <c r="D365" i="62"/>
  <c r="B365" i="62"/>
  <c r="D364" i="62"/>
  <c r="B364" i="62"/>
  <c r="D363" i="62"/>
  <c r="B363" i="62"/>
  <c r="D362" i="62"/>
  <c r="B362" i="62"/>
  <c r="D361" i="62"/>
  <c r="B361" i="62"/>
  <c r="D360" i="62"/>
  <c r="B360" i="62"/>
  <c r="M160" i="58" l="1"/>
  <c r="M193" i="58"/>
  <c r="M228" i="58"/>
  <c r="J168" i="58"/>
  <c r="J206" i="58"/>
  <c r="M206" i="58" s="1"/>
  <c r="J110" i="58"/>
  <c r="J135" i="58"/>
  <c r="J234" i="58"/>
  <c r="J251" i="58"/>
  <c r="M251" i="58" s="1"/>
  <c r="M223" i="58"/>
  <c r="M226" i="58"/>
  <c r="M159" i="58"/>
  <c r="M161" i="58"/>
  <c r="J259" i="58"/>
  <c r="J214" i="58"/>
  <c r="J144" i="58"/>
  <c r="M144" i="58" s="1"/>
  <c r="J47" i="58"/>
  <c r="M47" i="58" s="1"/>
  <c r="J178" i="58"/>
  <c r="J77" i="58"/>
  <c r="J119" i="58"/>
  <c r="J122" i="58"/>
  <c r="J181" i="58"/>
  <c r="J80" i="58"/>
  <c r="J262" i="58"/>
  <c r="M276" i="58" s="1"/>
  <c r="M277" i="58" s="1"/>
  <c r="M278" i="58" s="1"/>
  <c r="J217" i="58"/>
  <c r="J147" i="58"/>
  <c r="J50" i="58"/>
  <c r="J243" i="58"/>
  <c r="M243" i="58" s="1"/>
  <c r="J149" i="58"/>
  <c r="J183" i="58"/>
  <c r="J82" i="58"/>
  <c r="J66" i="58"/>
  <c r="J166" i="58"/>
  <c r="J108" i="58"/>
  <c r="J36" i="58"/>
  <c r="J249" i="58"/>
  <c r="M249" i="58" s="1"/>
  <c r="J204" i="58"/>
  <c r="M204" i="58" s="1"/>
  <c r="J133" i="58"/>
  <c r="J154" i="58"/>
  <c r="J191" i="58"/>
  <c r="M191" i="58" s="1"/>
  <c r="M227" i="58"/>
  <c r="J253" i="58"/>
  <c r="J208" i="58"/>
  <c r="M208" i="58" s="1"/>
  <c r="J138" i="58"/>
  <c r="M138" i="58" s="1"/>
  <c r="J41" i="58"/>
  <c r="J71" i="58"/>
  <c r="J171" i="58"/>
  <c r="M171" i="58" s="1"/>
  <c r="J113" i="58"/>
  <c r="M113" i="58" s="1"/>
  <c r="J179" i="58"/>
  <c r="J78" i="58"/>
  <c r="J215" i="58"/>
  <c r="M215" i="58" s="1"/>
  <c r="J48" i="58"/>
  <c r="M48" i="58" s="1"/>
  <c r="J120" i="58"/>
  <c r="J260" i="58"/>
  <c r="J145" i="58"/>
  <c r="J60" i="58"/>
  <c r="M60" i="58" s="1"/>
  <c r="J94" i="58"/>
  <c r="J244" i="58"/>
  <c r="M244" i="58" s="1"/>
  <c r="J150" i="58"/>
  <c r="M150" i="58" s="1"/>
  <c r="J184" i="58"/>
  <c r="J83" i="58"/>
  <c r="J137" i="58"/>
  <c r="J170" i="58"/>
  <c r="J112" i="58"/>
  <c r="M112" i="58" s="1"/>
  <c r="J187" i="58"/>
  <c r="J157" i="58"/>
  <c r="J225" i="58"/>
  <c r="M225" i="58" s="1"/>
  <c r="J103" i="58"/>
  <c r="M103" i="58" s="1"/>
  <c r="M90" i="58"/>
  <c r="M260" i="58"/>
  <c r="J20" i="80"/>
  <c r="J16" i="80"/>
  <c r="J28" i="80"/>
  <c r="J24" i="80"/>
  <c r="J32" i="80"/>
  <c r="E125" i="5"/>
  <c r="I2907" i="73" s="1"/>
  <c r="M2907" i="73" s="1"/>
  <c r="J23" i="80"/>
  <c r="J31" i="80"/>
  <c r="J19" i="80"/>
  <c r="J27" i="80"/>
  <c r="J15" i="80"/>
  <c r="M192" i="58"/>
  <c r="M173" i="58"/>
  <c r="I2126" i="73"/>
  <c r="M2126" i="73" s="1"/>
  <c r="M2132" i="73" s="1"/>
  <c r="J2118" i="73" s="1"/>
  <c r="J56" i="74" s="1"/>
  <c r="M199" i="58"/>
  <c r="M137" i="58"/>
  <c r="M198" i="58"/>
  <c r="M108" i="58"/>
  <c r="M52" i="74"/>
  <c r="N1915" i="73"/>
  <c r="J190" i="58" s="1"/>
  <c r="M133" i="58"/>
  <c r="E122" i="5"/>
  <c r="I2962" i="73" s="1"/>
  <c r="M2962" i="73" s="1"/>
  <c r="M51" i="74"/>
  <c r="N1861" i="73"/>
  <c r="J189" i="58" s="1"/>
  <c r="M99" i="58"/>
  <c r="M50" i="74"/>
  <c r="N1807" i="73"/>
  <c r="J188" i="58" s="1"/>
  <c r="M102" i="58"/>
  <c r="M181" i="58"/>
  <c r="M82" i="58"/>
  <c r="M87" i="58"/>
  <c r="M101" i="58"/>
  <c r="M98" i="58"/>
  <c r="M97" i="58"/>
  <c r="M91" i="58"/>
  <c r="M145" i="58"/>
  <c r="M95" i="58"/>
  <c r="M183" i="58"/>
  <c r="M77" i="58"/>
  <c r="M50" i="58"/>
  <c r="M214" i="58"/>
  <c r="E126" i="5"/>
  <c r="I2966" i="73" s="1"/>
  <c r="M2966" i="73" s="1"/>
  <c r="M259" i="58"/>
  <c r="E124" i="5"/>
  <c r="I2906" i="73" s="1"/>
  <c r="M2906" i="73" s="1"/>
  <c r="M71" i="58"/>
  <c r="M36" i="58"/>
  <c r="M59" i="58"/>
  <c r="M234" i="58"/>
  <c r="M168" i="58"/>
  <c r="M253" i="58"/>
  <c r="M245" i="58"/>
  <c r="M61" i="58"/>
  <c r="M157" i="58"/>
  <c r="M166" i="58"/>
  <c r="M170" i="58"/>
  <c r="M135" i="58"/>
  <c r="M224" i="58"/>
  <c r="M187" i="58"/>
  <c r="M154" i="58"/>
  <c r="M110" i="58"/>
  <c r="I2909" i="73"/>
  <c r="M2909" i="73" s="1"/>
  <c r="I2905" i="73"/>
  <c r="M2905" i="73" s="1"/>
  <c r="I2963" i="73"/>
  <c r="M2963" i="73" s="1"/>
  <c r="F2022" i="73"/>
  <c r="J54" i="74"/>
  <c r="F682" i="68"/>
  <c r="F454" i="68"/>
  <c r="F416" i="68"/>
  <c r="F379" i="68"/>
  <c r="F568" i="68"/>
  <c r="F492" i="68"/>
  <c r="F644" i="68"/>
  <c r="D359" i="62"/>
  <c r="B359" i="62"/>
  <c r="D358" i="62"/>
  <c r="B358" i="62"/>
  <c r="D357" i="62"/>
  <c r="B357" i="62"/>
  <c r="D356" i="62"/>
  <c r="B356" i="62"/>
  <c r="D355" i="62"/>
  <c r="B355" i="62"/>
  <c r="C354" i="62"/>
  <c r="B353" i="62"/>
  <c r="D349" i="62"/>
  <c r="B349" i="62"/>
  <c r="D348" i="62"/>
  <c r="B348" i="62"/>
  <c r="D347" i="62"/>
  <c r="B347" i="62"/>
  <c r="D346" i="62"/>
  <c r="B346" i="62"/>
  <c r="C345" i="62"/>
  <c r="D344" i="62"/>
  <c r="B344" i="62"/>
  <c r="D343" i="62"/>
  <c r="B343" i="62"/>
  <c r="D342" i="62"/>
  <c r="B342" i="62"/>
  <c r="D341" i="62"/>
  <c r="B341" i="62"/>
  <c r="D340" i="62"/>
  <c r="B340" i="62"/>
  <c r="D339" i="62"/>
  <c r="B339" i="62"/>
  <c r="D338" i="62"/>
  <c r="B338" i="62"/>
  <c r="D337" i="62"/>
  <c r="B337" i="62"/>
  <c r="D336" i="62"/>
  <c r="B336" i="62"/>
  <c r="D335" i="62"/>
  <c r="B335" i="62"/>
  <c r="D334" i="62"/>
  <c r="B334" i="62"/>
  <c r="D333" i="62"/>
  <c r="B333" i="62"/>
  <c r="D332" i="62"/>
  <c r="B332" i="62"/>
  <c r="D331" i="62"/>
  <c r="B331" i="62"/>
  <c r="D330" i="62"/>
  <c r="B330" i="62"/>
  <c r="D329" i="62"/>
  <c r="B329" i="62"/>
  <c r="D328" i="62"/>
  <c r="B328" i="62"/>
  <c r="D327" i="62"/>
  <c r="B327" i="62"/>
  <c r="D326" i="62"/>
  <c r="B326" i="62"/>
  <c r="D325" i="62"/>
  <c r="B325" i="62"/>
  <c r="D324" i="62"/>
  <c r="B324" i="62"/>
  <c r="D323" i="62"/>
  <c r="B323" i="62"/>
  <c r="D322" i="62"/>
  <c r="B322" i="62"/>
  <c r="D321" i="62"/>
  <c r="B321" i="62"/>
  <c r="D320" i="62"/>
  <c r="B320" i="62"/>
  <c r="D319" i="62"/>
  <c r="B319" i="62"/>
  <c r="D318" i="62"/>
  <c r="B318" i="62"/>
  <c r="D317" i="62"/>
  <c r="B317" i="62"/>
  <c r="D316" i="62"/>
  <c r="B316" i="62"/>
  <c r="D315" i="62"/>
  <c r="B315" i="62"/>
  <c r="D314" i="62"/>
  <c r="B314" i="62"/>
  <c r="D313" i="62"/>
  <c r="B313" i="62"/>
  <c r="C312" i="62"/>
  <c r="B311" i="62"/>
  <c r="D307" i="62"/>
  <c r="B307" i="62"/>
  <c r="C306" i="62"/>
  <c r="D305" i="62"/>
  <c r="B305" i="62"/>
  <c r="D304" i="62"/>
  <c r="B304" i="62"/>
  <c r="D303" i="62"/>
  <c r="B303" i="62"/>
  <c r="D302" i="62"/>
  <c r="B302" i="62"/>
  <c r="D301" i="62"/>
  <c r="B301" i="62"/>
  <c r="D300" i="62"/>
  <c r="B300" i="62"/>
  <c r="D299" i="62"/>
  <c r="B299" i="62"/>
  <c r="D298" i="62"/>
  <c r="B298" i="62"/>
  <c r="D297" i="62"/>
  <c r="B297" i="62"/>
  <c r="D296" i="62"/>
  <c r="B296" i="62"/>
  <c r="D295" i="62"/>
  <c r="B295" i="62"/>
  <c r="D294" i="62"/>
  <c r="B294" i="62"/>
  <c r="D293" i="62"/>
  <c r="B293" i="62"/>
  <c r="D292" i="62"/>
  <c r="B292" i="62"/>
  <c r="C291" i="62"/>
  <c r="B290" i="62"/>
  <c r="D284" i="62"/>
  <c r="B284" i="62"/>
  <c r="D283" i="62"/>
  <c r="B283" i="62"/>
  <c r="D282" i="62"/>
  <c r="B282" i="62"/>
  <c r="D281" i="62"/>
  <c r="B281" i="62"/>
  <c r="D280" i="62"/>
  <c r="B280" i="62"/>
  <c r="D279" i="62"/>
  <c r="B279" i="62"/>
  <c r="C278" i="62"/>
  <c r="C277" i="62"/>
  <c r="B277" i="62"/>
  <c r="D274" i="62"/>
  <c r="B274" i="62"/>
  <c r="D273" i="62"/>
  <c r="B273" i="62"/>
  <c r="C272" i="62"/>
  <c r="D271" i="62"/>
  <c r="B271" i="62"/>
  <c r="D270" i="62"/>
  <c r="B270" i="62"/>
  <c r="D269" i="62"/>
  <c r="B269" i="62"/>
  <c r="D268" i="62"/>
  <c r="B268" i="62"/>
  <c r="D267" i="62"/>
  <c r="B267" i="62"/>
  <c r="D266" i="62"/>
  <c r="B266" i="62"/>
  <c r="D265" i="62"/>
  <c r="B265" i="62"/>
  <c r="D264" i="62"/>
  <c r="B264" i="62"/>
  <c r="D263" i="62"/>
  <c r="B263" i="62"/>
  <c r="D262" i="62"/>
  <c r="B262" i="62"/>
  <c r="D261" i="62"/>
  <c r="B261" i="62"/>
  <c r="D260" i="62"/>
  <c r="B260" i="62"/>
  <c r="D259" i="62"/>
  <c r="B259" i="62"/>
  <c r="D258" i="62"/>
  <c r="B258" i="62"/>
  <c r="D257" i="62"/>
  <c r="B257" i="62"/>
  <c r="C256" i="62"/>
  <c r="C255" i="62"/>
  <c r="B255" i="62"/>
  <c r="D252" i="62"/>
  <c r="B252" i="62"/>
  <c r="D251" i="62"/>
  <c r="B251" i="62"/>
  <c r="D250" i="62"/>
  <c r="B250" i="62"/>
  <c r="C249" i="62"/>
  <c r="D248" i="62"/>
  <c r="B248" i="62"/>
  <c r="D247" i="62"/>
  <c r="B247" i="62"/>
  <c r="D246" i="62"/>
  <c r="B246" i="62"/>
  <c r="D245" i="62"/>
  <c r="B245" i="62"/>
  <c r="D244" i="62"/>
  <c r="B244" i="62"/>
  <c r="D243" i="62"/>
  <c r="B243" i="62"/>
  <c r="D242" i="62"/>
  <c r="B242" i="62"/>
  <c r="D241" i="62"/>
  <c r="B241" i="62"/>
  <c r="D240" i="62"/>
  <c r="B240" i="62"/>
  <c r="D239" i="62"/>
  <c r="B239" i="62"/>
  <c r="D238" i="62"/>
  <c r="B238" i="62"/>
  <c r="D237" i="62"/>
  <c r="B237" i="62"/>
  <c r="D236" i="62"/>
  <c r="B236" i="62"/>
  <c r="D235" i="62"/>
  <c r="B235" i="62"/>
  <c r="D234" i="62"/>
  <c r="B234" i="62"/>
  <c r="D233" i="62"/>
  <c r="B233" i="62"/>
  <c r="D232" i="62"/>
  <c r="B232" i="62"/>
  <c r="C231" i="62"/>
  <c r="C230" i="62"/>
  <c r="B230" i="62"/>
  <c r="D227" i="62"/>
  <c r="B227" i="62"/>
  <c r="C226" i="62"/>
  <c r="D225" i="62"/>
  <c r="B225" i="62"/>
  <c r="D224" i="62"/>
  <c r="B224" i="62"/>
  <c r="D223" i="62"/>
  <c r="B223" i="62"/>
  <c r="D222" i="62"/>
  <c r="B222" i="62"/>
  <c r="D221" i="62"/>
  <c r="B221" i="62"/>
  <c r="D220" i="62"/>
  <c r="B220" i="62"/>
  <c r="D219" i="62"/>
  <c r="B219" i="62"/>
  <c r="D218" i="62"/>
  <c r="B218" i="62"/>
  <c r="D217" i="62"/>
  <c r="B217" i="62"/>
  <c r="D216" i="62"/>
  <c r="B216" i="62"/>
  <c r="D215" i="62"/>
  <c r="B215" i="62"/>
  <c r="D214" i="62"/>
  <c r="B214" i="62"/>
  <c r="C213" i="62"/>
  <c r="C212" i="62"/>
  <c r="B212" i="62"/>
  <c r="D209" i="62"/>
  <c r="B209" i="62"/>
  <c r="D208" i="62"/>
  <c r="B208" i="62"/>
  <c r="D207" i="62"/>
  <c r="B207" i="62"/>
  <c r="C206" i="62"/>
  <c r="D205" i="62"/>
  <c r="B205" i="62"/>
  <c r="D204" i="62"/>
  <c r="B204" i="62"/>
  <c r="D203" i="62"/>
  <c r="B203" i="62"/>
  <c r="D202" i="62"/>
  <c r="B202" i="62"/>
  <c r="D201" i="62"/>
  <c r="B201" i="62"/>
  <c r="D200" i="62"/>
  <c r="B200" i="62"/>
  <c r="D199" i="62"/>
  <c r="B199" i="62"/>
  <c r="D198" i="62"/>
  <c r="B198" i="62"/>
  <c r="D197" i="62"/>
  <c r="B197" i="62"/>
  <c r="D196" i="62"/>
  <c r="B196" i="62"/>
  <c r="D195" i="62"/>
  <c r="B195" i="62"/>
  <c r="D194" i="62"/>
  <c r="B194" i="62"/>
  <c r="D193" i="62"/>
  <c r="B193" i="62"/>
  <c r="D192" i="62"/>
  <c r="B192" i="62"/>
  <c r="D191" i="62"/>
  <c r="B191" i="62"/>
  <c r="D190" i="62"/>
  <c r="B190" i="62"/>
  <c r="D189" i="62"/>
  <c r="B189" i="62"/>
  <c r="D188" i="62"/>
  <c r="B188" i="62"/>
  <c r="D187" i="62"/>
  <c r="B187" i="62"/>
  <c r="D186" i="62"/>
  <c r="B186" i="62"/>
  <c r="D185" i="62"/>
  <c r="B185" i="62"/>
  <c r="D184" i="62"/>
  <c r="B184" i="62"/>
  <c r="D183" i="62"/>
  <c r="B183" i="62"/>
  <c r="D182" i="62"/>
  <c r="B182" i="62"/>
  <c r="D181" i="62"/>
  <c r="B181" i="62"/>
  <c r="D180" i="62"/>
  <c r="B180" i="62"/>
  <c r="D179" i="62"/>
  <c r="B179" i="62"/>
  <c r="C178" i="62"/>
  <c r="C177" i="62"/>
  <c r="B177" i="62"/>
  <c r="D174" i="62"/>
  <c r="B174" i="62"/>
  <c r="C173" i="62"/>
  <c r="D172" i="62"/>
  <c r="B172" i="62"/>
  <c r="D171" i="62"/>
  <c r="B171" i="62"/>
  <c r="D170" i="62"/>
  <c r="B170" i="62"/>
  <c r="D169" i="62"/>
  <c r="B169" i="62"/>
  <c r="D168" i="62"/>
  <c r="B168" i="62"/>
  <c r="D167" i="62"/>
  <c r="B167" i="62"/>
  <c r="D166" i="62"/>
  <c r="B166" i="62"/>
  <c r="D165" i="62"/>
  <c r="B165" i="62"/>
  <c r="D164" i="62"/>
  <c r="B164" i="62"/>
  <c r="D163" i="62"/>
  <c r="B163" i="62"/>
  <c r="D162" i="62"/>
  <c r="B162" i="62"/>
  <c r="D161" i="62"/>
  <c r="B161" i="62"/>
  <c r="D160" i="62"/>
  <c r="B160" i="62"/>
  <c r="D159" i="62"/>
  <c r="B159" i="62"/>
  <c r="D158" i="62"/>
  <c r="B158" i="62"/>
  <c r="D157" i="62"/>
  <c r="B157" i="62"/>
  <c r="D156" i="62"/>
  <c r="B156" i="62"/>
  <c r="D155" i="62"/>
  <c r="B155" i="62"/>
  <c r="C154" i="62"/>
  <c r="C153" i="62"/>
  <c r="B153" i="62"/>
  <c r="D150" i="62"/>
  <c r="B150" i="62"/>
  <c r="D149" i="62"/>
  <c r="B149" i="62"/>
  <c r="D148" i="62"/>
  <c r="B148" i="62"/>
  <c r="C147" i="62"/>
  <c r="D146" i="62"/>
  <c r="B146" i="62"/>
  <c r="D145" i="62"/>
  <c r="B145" i="62"/>
  <c r="D144" i="62"/>
  <c r="B144" i="62"/>
  <c r="D143" i="62"/>
  <c r="B143" i="62"/>
  <c r="D142" i="62"/>
  <c r="B142" i="62"/>
  <c r="D141" i="62"/>
  <c r="B141" i="62"/>
  <c r="D140" i="62"/>
  <c r="B140" i="62"/>
  <c r="D139" i="62"/>
  <c r="B139" i="62"/>
  <c r="D138" i="62"/>
  <c r="B138" i="62"/>
  <c r="D137" i="62"/>
  <c r="B137" i="62"/>
  <c r="D136" i="62"/>
  <c r="B136" i="62"/>
  <c r="D135" i="62"/>
  <c r="B135" i="62"/>
  <c r="D134" i="62"/>
  <c r="B134" i="62"/>
  <c r="D133" i="62"/>
  <c r="B133" i="62"/>
  <c r="D132" i="62"/>
  <c r="B132" i="62"/>
  <c r="D131" i="62"/>
  <c r="B131" i="62"/>
  <c r="D130" i="62"/>
  <c r="B130" i="62"/>
  <c r="D129" i="62"/>
  <c r="B129" i="62"/>
  <c r="D128" i="62"/>
  <c r="B128" i="62"/>
  <c r="D127" i="62"/>
  <c r="B127" i="62"/>
  <c r="D126" i="62"/>
  <c r="B126" i="62"/>
  <c r="D125" i="62"/>
  <c r="B125" i="62"/>
  <c r="D124" i="62"/>
  <c r="B124" i="62"/>
  <c r="D123" i="62"/>
  <c r="B123" i="62"/>
  <c r="D122" i="62"/>
  <c r="B122" i="62"/>
  <c r="D121" i="62"/>
  <c r="B121" i="62"/>
  <c r="D120" i="62"/>
  <c r="B120" i="62"/>
  <c r="D119" i="62"/>
  <c r="B119" i="62"/>
  <c r="D118" i="62"/>
  <c r="B118" i="62"/>
  <c r="D117" i="62"/>
  <c r="B117" i="62"/>
  <c r="D116" i="62"/>
  <c r="B116" i="62"/>
  <c r="D115" i="62"/>
  <c r="B115" i="62"/>
  <c r="D114" i="62"/>
  <c r="B114" i="62"/>
  <c r="D113" i="62"/>
  <c r="B113" i="62"/>
  <c r="D112" i="62"/>
  <c r="B112" i="62"/>
  <c r="D111" i="62"/>
  <c r="B111" i="62"/>
  <c r="D110" i="62"/>
  <c r="B110" i="62"/>
  <c r="D109" i="62"/>
  <c r="B109" i="62"/>
  <c r="D108" i="62"/>
  <c r="B108" i="62"/>
  <c r="D107" i="62"/>
  <c r="B107" i="62"/>
  <c r="D106" i="62"/>
  <c r="B106" i="62"/>
  <c r="D105" i="62"/>
  <c r="B105" i="62"/>
  <c r="D104" i="62"/>
  <c r="B104" i="62"/>
  <c r="D103" i="62"/>
  <c r="B103" i="62"/>
  <c r="C102" i="62"/>
  <c r="C101" i="62"/>
  <c r="B101" i="62"/>
  <c r="B100" i="62"/>
  <c r="D96" i="62"/>
  <c r="B96" i="62"/>
  <c r="D95" i="62"/>
  <c r="B95" i="62"/>
  <c r="C94" i="62"/>
  <c r="D93" i="62"/>
  <c r="B93" i="62"/>
  <c r="D92" i="62"/>
  <c r="B92" i="62"/>
  <c r="D91" i="62"/>
  <c r="B91" i="62"/>
  <c r="D90" i="62"/>
  <c r="B90" i="62"/>
  <c r="D89" i="62"/>
  <c r="B89" i="62"/>
  <c r="D88" i="62"/>
  <c r="B88" i="62"/>
  <c r="D87" i="62"/>
  <c r="B87" i="62"/>
  <c r="D86" i="62"/>
  <c r="B86" i="62"/>
  <c r="D85" i="62"/>
  <c r="B85" i="62"/>
  <c r="D84" i="62"/>
  <c r="B84" i="62"/>
  <c r="D83" i="62"/>
  <c r="B83" i="62"/>
  <c r="D82" i="62"/>
  <c r="B82" i="62"/>
  <c r="D81" i="62"/>
  <c r="B81" i="62"/>
  <c r="D80" i="62"/>
  <c r="B80" i="62"/>
  <c r="D79" i="62"/>
  <c r="B79" i="62"/>
  <c r="D78" i="62"/>
  <c r="B78" i="62"/>
  <c r="D77" i="62"/>
  <c r="B77" i="62"/>
  <c r="D76" i="62"/>
  <c r="B76" i="62"/>
  <c r="D75" i="62"/>
  <c r="B75" i="62"/>
  <c r="D74" i="62"/>
  <c r="B74" i="62"/>
  <c r="D73" i="62"/>
  <c r="B73" i="62"/>
  <c r="C72" i="62"/>
  <c r="C71" i="62"/>
  <c r="B71" i="62"/>
  <c r="B70" i="62"/>
  <c r="D64" i="62"/>
  <c r="B64" i="62"/>
  <c r="D63" i="62"/>
  <c r="B63" i="62"/>
  <c r="D62" i="62"/>
  <c r="B62" i="62"/>
  <c r="D61" i="62"/>
  <c r="B61" i="62"/>
  <c r="D60" i="62"/>
  <c r="B60" i="62"/>
  <c r="C59" i="62"/>
  <c r="D58" i="62"/>
  <c r="B58" i="62"/>
  <c r="D57" i="62"/>
  <c r="B57" i="62"/>
  <c r="D56" i="62"/>
  <c r="B56" i="62"/>
  <c r="D55" i="62"/>
  <c r="B55" i="62"/>
  <c r="D54" i="62"/>
  <c r="B54" i="62"/>
  <c r="D53" i="62"/>
  <c r="B53" i="62"/>
  <c r="D52" i="62"/>
  <c r="B52" i="62"/>
  <c r="D51" i="62"/>
  <c r="B51" i="62"/>
  <c r="D50" i="62"/>
  <c r="B50" i="62"/>
  <c r="D49" i="62"/>
  <c r="B49" i="62"/>
  <c r="D48" i="62"/>
  <c r="B48" i="62"/>
  <c r="D47" i="62"/>
  <c r="B47" i="62"/>
  <c r="D46" i="62"/>
  <c r="B46" i="62"/>
  <c r="D45" i="62"/>
  <c r="B45" i="62"/>
  <c r="D44" i="62"/>
  <c r="B44" i="62"/>
  <c r="C43" i="62"/>
  <c r="C42" i="62"/>
  <c r="B42" i="62"/>
  <c r="D39" i="62"/>
  <c r="B39" i="62"/>
  <c r="C38" i="62"/>
  <c r="D37" i="62"/>
  <c r="B37" i="62"/>
  <c r="D36" i="62"/>
  <c r="B36" i="62"/>
  <c r="D35" i="62"/>
  <c r="B35" i="62"/>
  <c r="D34" i="62"/>
  <c r="B34" i="62"/>
  <c r="D33" i="62"/>
  <c r="B33" i="62"/>
  <c r="D32" i="62"/>
  <c r="B32" i="62"/>
  <c r="D31" i="62"/>
  <c r="B31" i="62"/>
  <c r="D30" i="62"/>
  <c r="B30" i="62"/>
  <c r="D29" i="62"/>
  <c r="B29" i="62"/>
  <c r="D28" i="62"/>
  <c r="B28" i="62"/>
  <c r="D27" i="62"/>
  <c r="B27" i="62"/>
  <c r="D26" i="62"/>
  <c r="B26" i="62"/>
  <c r="D25" i="62"/>
  <c r="B25" i="62"/>
  <c r="C24" i="62"/>
  <c r="C23" i="62"/>
  <c r="B23" i="62"/>
  <c r="B22" i="62"/>
  <c r="D18" i="62"/>
  <c r="B18" i="62"/>
  <c r="C17" i="62"/>
  <c r="D16" i="62"/>
  <c r="B16" i="62"/>
  <c r="D15" i="62"/>
  <c r="B15" i="62"/>
  <c r="D14" i="62"/>
  <c r="B14" i="62"/>
  <c r="D13" i="62"/>
  <c r="B13" i="62"/>
  <c r="D12" i="62"/>
  <c r="B12" i="62"/>
  <c r="D11" i="62"/>
  <c r="B11" i="62"/>
  <c r="D10" i="62"/>
  <c r="B10" i="62"/>
  <c r="C9" i="62"/>
  <c r="C8" i="62"/>
  <c r="B8" i="62"/>
  <c r="B7" i="62"/>
  <c r="B4" i="62"/>
  <c r="N3" i="29"/>
  <c r="N3" i="60"/>
  <c r="N3" i="63"/>
  <c r="O1741" i="63"/>
  <c r="O1742" i="63" s="1"/>
  <c r="E393" i="62" s="1"/>
  <c r="C1740" i="63"/>
  <c r="C393" i="62" s="1"/>
  <c r="WQX1738" i="63"/>
  <c r="WQX1739" i="63" s="1"/>
  <c r="WQH1738" i="63"/>
  <c r="WQH1739" i="63" s="1"/>
  <c r="WPR1738" i="63"/>
  <c r="WPR1739" i="63" s="1"/>
  <c r="WPB1738" i="63"/>
  <c r="WPB1739" i="63" s="1"/>
  <c r="WOL1738" i="63"/>
  <c r="WOL1739" i="63" s="1"/>
  <c r="WNV1738" i="63"/>
  <c r="WNV1739" i="63" s="1"/>
  <c r="WNF1738" i="63"/>
  <c r="WNF1739" i="63" s="1"/>
  <c r="WMP1738" i="63"/>
  <c r="WMP1739" i="63" s="1"/>
  <c r="WLZ1738" i="63"/>
  <c r="WLZ1739" i="63" s="1"/>
  <c r="WLJ1738" i="63"/>
  <c r="WLJ1739" i="63" s="1"/>
  <c r="WKT1738" i="63"/>
  <c r="WKT1739" i="63" s="1"/>
  <c r="WKD1738" i="63"/>
  <c r="WKD1739" i="63" s="1"/>
  <c r="WJN1738" i="63"/>
  <c r="WJN1739" i="63" s="1"/>
  <c r="WIX1738" i="63"/>
  <c r="WIX1739" i="63" s="1"/>
  <c r="WIH1738" i="63"/>
  <c r="WIH1739" i="63" s="1"/>
  <c r="WHR1738" i="63"/>
  <c r="WHR1739" i="63" s="1"/>
  <c r="WHB1738" i="63"/>
  <c r="WHB1739" i="63" s="1"/>
  <c r="WGL1738" i="63"/>
  <c r="WGL1739" i="63" s="1"/>
  <c r="WFV1738" i="63"/>
  <c r="WFV1739" i="63" s="1"/>
  <c r="WFF1738" i="63"/>
  <c r="WFF1739" i="63" s="1"/>
  <c r="WEP1738" i="63"/>
  <c r="WEP1739" i="63" s="1"/>
  <c r="WDZ1738" i="63"/>
  <c r="WDZ1739" i="63" s="1"/>
  <c r="WDJ1738" i="63"/>
  <c r="WDJ1739" i="63" s="1"/>
  <c r="WCT1738" i="63"/>
  <c r="WCT1739" i="63" s="1"/>
  <c r="WCD1738" i="63"/>
  <c r="WCD1739" i="63" s="1"/>
  <c r="WBN1738" i="63"/>
  <c r="WBN1739" i="63" s="1"/>
  <c r="WAX1738" i="63"/>
  <c r="WAX1739" i="63" s="1"/>
  <c r="WAH1738" i="63"/>
  <c r="WAH1739" i="63" s="1"/>
  <c r="VZR1738" i="63"/>
  <c r="VZR1739" i="63" s="1"/>
  <c r="VZB1738" i="63"/>
  <c r="VZB1739" i="63" s="1"/>
  <c r="VYL1738" i="63"/>
  <c r="VYL1739" i="63" s="1"/>
  <c r="VXV1738" i="63"/>
  <c r="VXV1739" i="63" s="1"/>
  <c r="VXF1738" i="63"/>
  <c r="VXF1739" i="63" s="1"/>
  <c r="VWP1738" i="63"/>
  <c r="VWP1739" i="63" s="1"/>
  <c r="VVZ1738" i="63"/>
  <c r="VVZ1739" i="63" s="1"/>
  <c r="VVJ1738" i="63"/>
  <c r="VVJ1739" i="63" s="1"/>
  <c r="VUT1738" i="63"/>
  <c r="VUT1739" i="63" s="1"/>
  <c r="VUD1738" i="63"/>
  <c r="VUD1739" i="63" s="1"/>
  <c r="VTN1738" i="63"/>
  <c r="VTN1739" i="63" s="1"/>
  <c r="VSX1738" i="63"/>
  <c r="VSX1739" i="63" s="1"/>
  <c r="VSH1738" i="63"/>
  <c r="VSH1739" i="63" s="1"/>
  <c r="VRR1738" i="63"/>
  <c r="VRR1739" i="63" s="1"/>
  <c r="VRB1738" i="63"/>
  <c r="VRB1739" i="63" s="1"/>
  <c r="VQL1738" i="63"/>
  <c r="VQL1739" i="63" s="1"/>
  <c r="VPV1738" i="63"/>
  <c r="VPV1739" i="63" s="1"/>
  <c r="VPF1738" i="63"/>
  <c r="VPF1739" i="63" s="1"/>
  <c r="VOP1738" i="63"/>
  <c r="VOP1739" i="63" s="1"/>
  <c r="VNZ1738" i="63"/>
  <c r="VNZ1739" i="63" s="1"/>
  <c r="VNJ1738" i="63"/>
  <c r="VNJ1739" i="63" s="1"/>
  <c r="VMT1738" i="63"/>
  <c r="VMT1739" i="63" s="1"/>
  <c r="VMD1738" i="63"/>
  <c r="VMD1739" i="63" s="1"/>
  <c r="VLN1738" i="63"/>
  <c r="VLN1739" i="63" s="1"/>
  <c r="VKX1738" i="63"/>
  <c r="VKX1739" i="63" s="1"/>
  <c r="VKH1738" i="63"/>
  <c r="VKH1739" i="63" s="1"/>
  <c r="VJR1738" i="63"/>
  <c r="VJR1739" i="63" s="1"/>
  <c r="VJB1738" i="63"/>
  <c r="VJB1739" i="63" s="1"/>
  <c r="VIL1738" i="63"/>
  <c r="VIL1739" i="63" s="1"/>
  <c r="VHV1738" i="63"/>
  <c r="VHV1739" i="63" s="1"/>
  <c r="VHF1738" i="63"/>
  <c r="VHF1739" i="63" s="1"/>
  <c r="VGP1738" i="63"/>
  <c r="VGP1739" i="63" s="1"/>
  <c r="VFZ1738" i="63"/>
  <c r="VFZ1739" i="63" s="1"/>
  <c r="VFJ1738" i="63"/>
  <c r="VFJ1739" i="63" s="1"/>
  <c r="VET1738" i="63"/>
  <c r="VET1739" i="63" s="1"/>
  <c r="VED1738" i="63"/>
  <c r="VED1739" i="63" s="1"/>
  <c r="VDN1738" i="63"/>
  <c r="VDN1739" i="63" s="1"/>
  <c r="VCX1738" i="63"/>
  <c r="VCX1739" i="63" s="1"/>
  <c r="VCH1738" i="63"/>
  <c r="VCH1739" i="63" s="1"/>
  <c r="VBR1738" i="63"/>
  <c r="VBR1739" i="63" s="1"/>
  <c r="VBB1738" i="63"/>
  <c r="VBB1739" i="63" s="1"/>
  <c r="VAL1738" i="63"/>
  <c r="VAL1739" i="63" s="1"/>
  <c r="UZV1738" i="63"/>
  <c r="UZV1739" i="63" s="1"/>
  <c r="UZF1738" i="63"/>
  <c r="UZF1739" i="63" s="1"/>
  <c r="UYP1738" i="63"/>
  <c r="UYP1739" i="63" s="1"/>
  <c r="UXZ1738" i="63"/>
  <c r="UXZ1739" i="63" s="1"/>
  <c r="UXJ1738" i="63"/>
  <c r="UXJ1739" i="63" s="1"/>
  <c r="UWT1738" i="63"/>
  <c r="UWT1739" i="63" s="1"/>
  <c r="UWD1738" i="63"/>
  <c r="UWD1739" i="63" s="1"/>
  <c r="UVN1738" i="63"/>
  <c r="UVN1739" i="63" s="1"/>
  <c r="UUX1738" i="63"/>
  <c r="UUX1739" i="63" s="1"/>
  <c r="UUH1738" i="63"/>
  <c r="UUH1739" i="63" s="1"/>
  <c r="UTR1738" i="63"/>
  <c r="UTR1739" i="63" s="1"/>
  <c r="UTB1738" i="63"/>
  <c r="UTB1739" i="63" s="1"/>
  <c r="USL1738" i="63"/>
  <c r="USL1739" i="63" s="1"/>
  <c r="URV1738" i="63"/>
  <c r="URV1739" i="63" s="1"/>
  <c r="URF1738" i="63"/>
  <c r="URF1739" i="63" s="1"/>
  <c r="UQP1738" i="63"/>
  <c r="UQP1739" i="63" s="1"/>
  <c r="UPZ1738" i="63"/>
  <c r="UPZ1739" i="63" s="1"/>
  <c r="UPJ1738" i="63"/>
  <c r="UPJ1739" i="63" s="1"/>
  <c r="UOT1738" i="63"/>
  <c r="UOT1739" i="63" s="1"/>
  <c r="UOD1738" i="63"/>
  <c r="UOD1739" i="63" s="1"/>
  <c r="UNN1738" i="63"/>
  <c r="UNN1739" i="63" s="1"/>
  <c r="UMX1738" i="63"/>
  <c r="UMX1739" i="63" s="1"/>
  <c r="UMH1738" i="63"/>
  <c r="UMH1739" i="63" s="1"/>
  <c r="ULR1738" i="63"/>
  <c r="ULR1739" i="63" s="1"/>
  <c r="ULB1738" i="63"/>
  <c r="ULB1739" i="63" s="1"/>
  <c r="UKL1738" i="63"/>
  <c r="UKL1739" i="63" s="1"/>
  <c r="UJV1738" i="63"/>
  <c r="UJV1739" i="63" s="1"/>
  <c r="UJF1738" i="63"/>
  <c r="UJF1739" i="63" s="1"/>
  <c r="UIP1738" i="63"/>
  <c r="UIP1739" i="63" s="1"/>
  <c r="UHZ1738" i="63"/>
  <c r="UHZ1739" i="63" s="1"/>
  <c r="UHJ1738" i="63"/>
  <c r="UHJ1739" i="63" s="1"/>
  <c r="UGT1738" i="63"/>
  <c r="UGT1739" i="63" s="1"/>
  <c r="UGD1738" i="63"/>
  <c r="UGD1739" i="63" s="1"/>
  <c r="UFN1738" i="63"/>
  <c r="UFN1739" i="63" s="1"/>
  <c r="UEX1738" i="63"/>
  <c r="UEX1739" i="63" s="1"/>
  <c r="UEH1738" i="63"/>
  <c r="UEH1739" i="63" s="1"/>
  <c r="UDR1738" i="63"/>
  <c r="UDR1739" i="63" s="1"/>
  <c r="UDB1738" i="63"/>
  <c r="UDB1739" i="63" s="1"/>
  <c r="UCL1738" i="63"/>
  <c r="UCL1739" i="63" s="1"/>
  <c r="UBV1738" i="63"/>
  <c r="UBV1739" i="63" s="1"/>
  <c r="UBF1738" i="63"/>
  <c r="UBF1739" i="63" s="1"/>
  <c r="UAP1738" i="63"/>
  <c r="UAP1739" i="63" s="1"/>
  <c r="TZZ1738" i="63"/>
  <c r="TZZ1739" i="63" s="1"/>
  <c r="TZJ1738" i="63"/>
  <c r="TZJ1739" i="63" s="1"/>
  <c r="TYT1738" i="63"/>
  <c r="TYT1739" i="63" s="1"/>
  <c r="TYD1738" i="63"/>
  <c r="TYD1739" i="63" s="1"/>
  <c r="TXN1738" i="63"/>
  <c r="TXN1739" i="63" s="1"/>
  <c r="TWX1738" i="63"/>
  <c r="TWX1739" i="63" s="1"/>
  <c r="TWH1738" i="63"/>
  <c r="TWH1739" i="63" s="1"/>
  <c r="TVR1738" i="63"/>
  <c r="TVR1739" i="63" s="1"/>
  <c r="TVB1738" i="63"/>
  <c r="TVB1739" i="63" s="1"/>
  <c r="TUL1738" i="63"/>
  <c r="TUL1739" i="63" s="1"/>
  <c r="TTV1738" i="63"/>
  <c r="TTV1739" i="63" s="1"/>
  <c r="TTF1738" i="63"/>
  <c r="TTF1739" i="63" s="1"/>
  <c r="TSP1738" i="63"/>
  <c r="TSP1739" i="63" s="1"/>
  <c r="TRZ1738" i="63"/>
  <c r="TRZ1739" i="63" s="1"/>
  <c r="TRJ1738" i="63"/>
  <c r="TRJ1739" i="63" s="1"/>
  <c r="TQT1738" i="63"/>
  <c r="TQT1739" i="63" s="1"/>
  <c r="TQD1738" i="63"/>
  <c r="TQD1739" i="63" s="1"/>
  <c r="TPN1738" i="63"/>
  <c r="TPN1739" i="63" s="1"/>
  <c r="TOX1738" i="63"/>
  <c r="TOX1739" i="63" s="1"/>
  <c r="TOH1738" i="63"/>
  <c r="TOH1739" i="63" s="1"/>
  <c r="TNR1738" i="63"/>
  <c r="TNR1739" i="63" s="1"/>
  <c r="TNB1738" i="63"/>
  <c r="TNB1739" i="63" s="1"/>
  <c r="TML1738" i="63"/>
  <c r="TML1739" i="63" s="1"/>
  <c r="TLV1738" i="63"/>
  <c r="TLV1739" i="63" s="1"/>
  <c r="TLF1738" i="63"/>
  <c r="TLF1739" i="63" s="1"/>
  <c r="TKP1738" i="63"/>
  <c r="TKP1739" i="63" s="1"/>
  <c r="TJZ1738" i="63"/>
  <c r="TJZ1739" i="63" s="1"/>
  <c r="TJJ1738" i="63"/>
  <c r="TJJ1739" i="63" s="1"/>
  <c r="TIT1738" i="63"/>
  <c r="TIT1739" i="63" s="1"/>
  <c r="TID1738" i="63"/>
  <c r="TID1739" i="63" s="1"/>
  <c r="THN1738" i="63"/>
  <c r="THN1739" i="63" s="1"/>
  <c r="TGX1738" i="63"/>
  <c r="TGX1739" i="63" s="1"/>
  <c r="TGH1738" i="63"/>
  <c r="TGH1739" i="63" s="1"/>
  <c r="TFR1738" i="63"/>
  <c r="TFR1739" i="63" s="1"/>
  <c r="TFB1738" i="63"/>
  <c r="TFB1739" i="63" s="1"/>
  <c r="TEL1738" i="63"/>
  <c r="TEL1739" i="63" s="1"/>
  <c r="TDV1738" i="63"/>
  <c r="TDV1739" i="63" s="1"/>
  <c r="TDF1738" i="63"/>
  <c r="TDF1739" i="63" s="1"/>
  <c r="TCP1738" i="63"/>
  <c r="TCP1739" i="63" s="1"/>
  <c r="TBZ1738" i="63"/>
  <c r="TBZ1739" i="63" s="1"/>
  <c r="TBJ1738" i="63"/>
  <c r="TBJ1739" i="63" s="1"/>
  <c r="TAT1738" i="63"/>
  <c r="TAT1739" i="63" s="1"/>
  <c r="TAD1738" i="63"/>
  <c r="TAD1739" i="63" s="1"/>
  <c r="SZN1738" i="63"/>
  <c r="SZN1739" i="63" s="1"/>
  <c r="SYX1738" i="63"/>
  <c r="SYX1739" i="63" s="1"/>
  <c r="SYH1738" i="63"/>
  <c r="SYH1739" i="63" s="1"/>
  <c r="SXR1738" i="63"/>
  <c r="SXR1739" i="63" s="1"/>
  <c r="SXB1738" i="63"/>
  <c r="SXB1739" i="63" s="1"/>
  <c r="SWL1738" i="63"/>
  <c r="SWL1739" i="63" s="1"/>
  <c r="SVV1738" i="63"/>
  <c r="SVV1739" i="63" s="1"/>
  <c r="SVF1738" i="63"/>
  <c r="SVF1739" i="63" s="1"/>
  <c r="SUP1738" i="63"/>
  <c r="SUP1739" i="63" s="1"/>
  <c r="STZ1738" i="63"/>
  <c r="STZ1739" i="63" s="1"/>
  <c r="STJ1738" i="63"/>
  <c r="STJ1739" i="63" s="1"/>
  <c r="SST1738" i="63"/>
  <c r="SST1739" i="63" s="1"/>
  <c r="SSD1738" i="63"/>
  <c r="SSD1739" i="63" s="1"/>
  <c r="SRN1738" i="63"/>
  <c r="SRN1739" i="63" s="1"/>
  <c r="SQX1738" i="63"/>
  <c r="SQX1739" i="63" s="1"/>
  <c r="SQH1738" i="63"/>
  <c r="SQH1739" i="63" s="1"/>
  <c r="SPR1738" i="63"/>
  <c r="SPR1739" i="63" s="1"/>
  <c r="SPB1738" i="63"/>
  <c r="SPB1739" i="63" s="1"/>
  <c r="SOL1738" i="63"/>
  <c r="SOL1739" i="63" s="1"/>
  <c r="SNV1738" i="63"/>
  <c r="SNV1739" i="63" s="1"/>
  <c r="SNF1738" i="63"/>
  <c r="SNF1739" i="63" s="1"/>
  <c r="SMP1738" i="63"/>
  <c r="SMP1739" i="63" s="1"/>
  <c r="SLZ1738" i="63"/>
  <c r="SLZ1739" i="63" s="1"/>
  <c r="SLJ1738" i="63"/>
  <c r="SLJ1739" i="63" s="1"/>
  <c r="SKT1738" i="63"/>
  <c r="SKT1739" i="63" s="1"/>
  <c r="SKD1738" i="63"/>
  <c r="SKD1739" i="63" s="1"/>
  <c r="SJN1738" i="63"/>
  <c r="SJN1739" i="63" s="1"/>
  <c r="SIX1738" i="63"/>
  <c r="SIX1739" i="63" s="1"/>
  <c r="SIH1738" i="63"/>
  <c r="SIH1739" i="63" s="1"/>
  <c r="SHR1738" i="63"/>
  <c r="SHR1739" i="63" s="1"/>
  <c r="SHB1738" i="63"/>
  <c r="SHB1739" i="63" s="1"/>
  <c r="SGL1738" i="63"/>
  <c r="SGL1739" i="63" s="1"/>
  <c r="SFV1738" i="63"/>
  <c r="SFV1739" i="63" s="1"/>
  <c r="SFF1738" i="63"/>
  <c r="SFF1739" i="63" s="1"/>
  <c r="SEP1738" i="63"/>
  <c r="SEP1739" i="63" s="1"/>
  <c r="SDZ1738" i="63"/>
  <c r="SDZ1739" i="63" s="1"/>
  <c r="SDJ1738" i="63"/>
  <c r="SDJ1739" i="63" s="1"/>
  <c r="SCT1738" i="63"/>
  <c r="SCT1739" i="63" s="1"/>
  <c r="SCD1738" i="63"/>
  <c r="SCD1739" i="63" s="1"/>
  <c r="SBN1738" i="63"/>
  <c r="SBN1739" i="63" s="1"/>
  <c r="SAX1738" i="63"/>
  <c r="SAX1739" i="63" s="1"/>
  <c r="SAH1738" i="63"/>
  <c r="SAH1739" i="63" s="1"/>
  <c r="RZR1738" i="63"/>
  <c r="RZR1739" i="63" s="1"/>
  <c r="RZB1738" i="63"/>
  <c r="RZB1739" i="63" s="1"/>
  <c r="RYL1738" i="63"/>
  <c r="RYL1739" i="63" s="1"/>
  <c r="RXV1738" i="63"/>
  <c r="RXV1739" i="63" s="1"/>
  <c r="RXF1738" i="63"/>
  <c r="RXF1739" i="63" s="1"/>
  <c r="RWP1738" i="63"/>
  <c r="RWP1739" i="63" s="1"/>
  <c r="RVZ1738" i="63"/>
  <c r="RVZ1739" i="63" s="1"/>
  <c r="RVJ1738" i="63"/>
  <c r="RVJ1739" i="63" s="1"/>
  <c r="RUT1738" i="63"/>
  <c r="RUT1739" i="63" s="1"/>
  <c r="RUD1738" i="63"/>
  <c r="RUD1739" i="63" s="1"/>
  <c r="RTN1738" i="63"/>
  <c r="RTN1739" i="63" s="1"/>
  <c r="RSX1738" i="63"/>
  <c r="RSX1739" i="63" s="1"/>
  <c r="RSH1738" i="63"/>
  <c r="RSH1739" i="63" s="1"/>
  <c r="RRR1738" i="63"/>
  <c r="RRR1739" i="63" s="1"/>
  <c r="RRB1738" i="63"/>
  <c r="RRB1739" i="63" s="1"/>
  <c r="RQL1738" i="63"/>
  <c r="RQL1739" i="63" s="1"/>
  <c r="RPV1738" i="63"/>
  <c r="RPV1739" i="63" s="1"/>
  <c r="RPF1738" i="63"/>
  <c r="RPF1739" i="63" s="1"/>
  <c r="ROP1738" i="63"/>
  <c r="ROP1739" i="63" s="1"/>
  <c r="RNZ1738" i="63"/>
  <c r="RNZ1739" i="63" s="1"/>
  <c r="RNJ1738" i="63"/>
  <c r="RNJ1739" i="63" s="1"/>
  <c r="RMT1738" i="63"/>
  <c r="RMT1739" i="63" s="1"/>
  <c r="RMD1738" i="63"/>
  <c r="RMD1739" i="63" s="1"/>
  <c r="RLN1738" i="63"/>
  <c r="RLN1739" i="63" s="1"/>
  <c r="RKX1738" i="63"/>
  <c r="RKX1739" i="63" s="1"/>
  <c r="RKH1738" i="63"/>
  <c r="RKH1739" i="63" s="1"/>
  <c r="RJR1738" i="63"/>
  <c r="RJR1739" i="63" s="1"/>
  <c r="RJB1738" i="63"/>
  <c r="RJB1739" i="63" s="1"/>
  <c r="RIL1738" i="63"/>
  <c r="RIL1739" i="63" s="1"/>
  <c r="RHV1738" i="63"/>
  <c r="RHV1739" i="63" s="1"/>
  <c r="RHF1738" i="63"/>
  <c r="RHF1739" i="63" s="1"/>
  <c r="RGP1738" i="63"/>
  <c r="RGP1739" i="63" s="1"/>
  <c r="RFZ1738" i="63"/>
  <c r="RFZ1739" i="63" s="1"/>
  <c r="RFJ1738" i="63"/>
  <c r="RFJ1739" i="63" s="1"/>
  <c r="RET1738" i="63"/>
  <c r="RET1739" i="63" s="1"/>
  <c r="RED1738" i="63"/>
  <c r="RED1739" i="63" s="1"/>
  <c r="RDN1738" i="63"/>
  <c r="RDN1739" i="63" s="1"/>
  <c r="RCX1738" i="63"/>
  <c r="RCX1739" i="63" s="1"/>
  <c r="RCH1738" i="63"/>
  <c r="RCH1739" i="63" s="1"/>
  <c r="RBR1738" i="63"/>
  <c r="RBR1739" i="63" s="1"/>
  <c r="RBB1738" i="63"/>
  <c r="RBB1739" i="63" s="1"/>
  <c r="RAL1738" i="63"/>
  <c r="RAL1739" i="63" s="1"/>
  <c r="QZV1738" i="63"/>
  <c r="QZV1739" i="63" s="1"/>
  <c r="QZF1738" i="63"/>
  <c r="QZF1739" i="63" s="1"/>
  <c r="QYP1738" i="63"/>
  <c r="QYP1739" i="63" s="1"/>
  <c r="QXZ1738" i="63"/>
  <c r="QXZ1739" i="63" s="1"/>
  <c r="QXJ1738" i="63"/>
  <c r="QXJ1739" i="63" s="1"/>
  <c r="QWT1738" i="63"/>
  <c r="QWT1739" i="63" s="1"/>
  <c r="QWD1738" i="63"/>
  <c r="QWD1739" i="63" s="1"/>
  <c r="QVN1738" i="63"/>
  <c r="QVN1739" i="63" s="1"/>
  <c r="QUX1738" i="63"/>
  <c r="QUX1739" i="63" s="1"/>
  <c r="QUH1738" i="63"/>
  <c r="QUH1739" i="63" s="1"/>
  <c r="QTR1738" i="63"/>
  <c r="QTR1739" i="63" s="1"/>
  <c r="QTB1738" i="63"/>
  <c r="QTB1739" i="63" s="1"/>
  <c r="QSL1738" i="63"/>
  <c r="QSL1739" i="63" s="1"/>
  <c r="QRV1738" i="63"/>
  <c r="QRV1739" i="63" s="1"/>
  <c r="QRF1738" i="63"/>
  <c r="QRF1739" i="63" s="1"/>
  <c r="QQP1738" i="63"/>
  <c r="QQP1739" i="63" s="1"/>
  <c r="QPZ1738" i="63"/>
  <c r="QPZ1739" i="63" s="1"/>
  <c r="QPJ1738" i="63"/>
  <c r="QPJ1739" i="63" s="1"/>
  <c r="QOT1738" i="63"/>
  <c r="QOT1739" i="63" s="1"/>
  <c r="QOD1738" i="63"/>
  <c r="QOD1739" i="63" s="1"/>
  <c r="QNN1738" i="63"/>
  <c r="QNN1739" i="63" s="1"/>
  <c r="QMX1738" i="63"/>
  <c r="QMX1739" i="63" s="1"/>
  <c r="QMH1738" i="63"/>
  <c r="QMH1739" i="63" s="1"/>
  <c r="QLR1738" i="63"/>
  <c r="QLR1739" i="63" s="1"/>
  <c r="QLB1738" i="63"/>
  <c r="QLB1739" i="63" s="1"/>
  <c r="QKL1738" i="63"/>
  <c r="QKL1739" i="63" s="1"/>
  <c r="QJV1738" i="63"/>
  <c r="QJV1739" i="63" s="1"/>
  <c r="QJF1738" i="63"/>
  <c r="QJF1739" i="63" s="1"/>
  <c r="QIP1738" i="63"/>
  <c r="QIP1739" i="63" s="1"/>
  <c r="QHZ1738" i="63"/>
  <c r="QHZ1739" i="63" s="1"/>
  <c r="QHJ1738" i="63"/>
  <c r="QHJ1739" i="63" s="1"/>
  <c r="QGT1738" i="63"/>
  <c r="QGT1739" i="63" s="1"/>
  <c r="QGD1738" i="63"/>
  <c r="QGD1739" i="63" s="1"/>
  <c r="QFN1738" i="63"/>
  <c r="QFN1739" i="63" s="1"/>
  <c r="QEX1738" i="63"/>
  <c r="QEX1739" i="63" s="1"/>
  <c r="QEH1738" i="63"/>
  <c r="QEH1739" i="63" s="1"/>
  <c r="QDR1738" i="63"/>
  <c r="QDR1739" i="63" s="1"/>
  <c r="QDB1738" i="63"/>
  <c r="QDB1739" i="63" s="1"/>
  <c r="QCL1738" i="63"/>
  <c r="QCL1739" i="63" s="1"/>
  <c r="QBV1738" i="63"/>
  <c r="QBV1739" i="63" s="1"/>
  <c r="QBF1738" i="63"/>
  <c r="QBF1739" i="63" s="1"/>
  <c r="QAP1738" i="63"/>
  <c r="QAP1739" i="63" s="1"/>
  <c r="PZZ1738" i="63"/>
  <c r="PZZ1739" i="63" s="1"/>
  <c r="PZJ1738" i="63"/>
  <c r="PZJ1739" i="63" s="1"/>
  <c r="PYT1738" i="63"/>
  <c r="PYT1739" i="63" s="1"/>
  <c r="PYD1738" i="63"/>
  <c r="PYD1739" i="63" s="1"/>
  <c r="PXN1738" i="63"/>
  <c r="PXN1739" i="63" s="1"/>
  <c r="PWX1738" i="63"/>
  <c r="PWX1739" i="63" s="1"/>
  <c r="PWH1738" i="63"/>
  <c r="PWH1739" i="63" s="1"/>
  <c r="PVR1738" i="63"/>
  <c r="PVR1739" i="63" s="1"/>
  <c r="PVB1738" i="63"/>
  <c r="PVB1739" i="63" s="1"/>
  <c r="PUL1738" i="63"/>
  <c r="PUL1739" i="63" s="1"/>
  <c r="PTV1738" i="63"/>
  <c r="PTV1739" i="63" s="1"/>
  <c r="PTF1738" i="63"/>
  <c r="PTF1739" i="63" s="1"/>
  <c r="PSP1738" i="63"/>
  <c r="PSP1739" i="63" s="1"/>
  <c r="PRZ1738" i="63"/>
  <c r="PRZ1739" i="63" s="1"/>
  <c r="PRJ1738" i="63"/>
  <c r="PRJ1739" i="63" s="1"/>
  <c r="PQT1738" i="63"/>
  <c r="PQT1739" i="63" s="1"/>
  <c r="PQD1738" i="63"/>
  <c r="PQD1739" i="63" s="1"/>
  <c r="PPN1738" i="63"/>
  <c r="PPN1739" i="63" s="1"/>
  <c r="POX1738" i="63"/>
  <c r="POX1739" i="63" s="1"/>
  <c r="POH1738" i="63"/>
  <c r="POH1739" i="63" s="1"/>
  <c r="PNR1738" i="63"/>
  <c r="PNR1739" i="63" s="1"/>
  <c r="PNB1738" i="63"/>
  <c r="PNB1739" i="63" s="1"/>
  <c r="PML1738" i="63"/>
  <c r="PML1739" i="63" s="1"/>
  <c r="PLV1738" i="63"/>
  <c r="PLV1739" i="63" s="1"/>
  <c r="PLF1738" i="63"/>
  <c r="PLF1739" i="63" s="1"/>
  <c r="PKP1738" i="63"/>
  <c r="PKP1739" i="63" s="1"/>
  <c r="PJZ1738" i="63"/>
  <c r="PJZ1739" i="63" s="1"/>
  <c r="PJJ1738" i="63"/>
  <c r="PJJ1739" i="63" s="1"/>
  <c r="PIT1738" i="63"/>
  <c r="PIT1739" i="63" s="1"/>
  <c r="PID1738" i="63"/>
  <c r="PID1739" i="63" s="1"/>
  <c r="PHN1738" i="63"/>
  <c r="PHN1739" i="63" s="1"/>
  <c r="PGX1738" i="63"/>
  <c r="PGX1739" i="63" s="1"/>
  <c r="PGH1738" i="63"/>
  <c r="PGH1739" i="63" s="1"/>
  <c r="PFR1738" i="63"/>
  <c r="PFR1739" i="63" s="1"/>
  <c r="PFB1738" i="63"/>
  <c r="PFB1739" i="63" s="1"/>
  <c r="PEL1738" i="63"/>
  <c r="PEL1739" i="63" s="1"/>
  <c r="PDV1738" i="63"/>
  <c r="PDV1739" i="63" s="1"/>
  <c r="PDF1738" i="63"/>
  <c r="PDF1739" i="63" s="1"/>
  <c r="PCP1738" i="63"/>
  <c r="PCP1739" i="63" s="1"/>
  <c r="PBZ1738" i="63"/>
  <c r="PBZ1739" i="63" s="1"/>
  <c r="PBJ1738" i="63"/>
  <c r="PBJ1739" i="63" s="1"/>
  <c r="PAT1738" i="63"/>
  <c r="PAT1739" i="63" s="1"/>
  <c r="PAD1738" i="63"/>
  <c r="PAD1739" i="63" s="1"/>
  <c r="OZN1738" i="63"/>
  <c r="OZN1739" i="63" s="1"/>
  <c r="OYX1738" i="63"/>
  <c r="OYX1739" i="63" s="1"/>
  <c r="OYH1738" i="63"/>
  <c r="OYH1739" i="63" s="1"/>
  <c r="OXR1738" i="63"/>
  <c r="OXR1739" i="63" s="1"/>
  <c r="OXB1738" i="63"/>
  <c r="OXB1739" i="63" s="1"/>
  <c r="OWL1738" i="63"/>
  <c r="OWL1739" i="63" s="1"/>
  <c r="OVV1738" i="63"/>
  <c r="OVV1739" i="63" s="1"/>
  <c r="OVF1738" i="63"/>
  <c r="OVF1739" i="63" s="1"/>
  <c r="OUP1738" i="63"/>
  <c r="OUP1739" i="63" s="1"/>
  <c r="OTZ1738" i="63"/>
  <c r="OTZ1739" i="63" s="1"/>
  <c r="OTJ1738" i="63"/>
  <c r="OTJ1739" i="63" s="1"/>
  <c r="OST1738" i="63"/>
  <c r="OST1739" i="63" s="1"/>
  <c r="OSD1738" i="63"/>
  <c r="OSD1739" i="63" s="1"/>
  <c r="ORN1738" i="63"/>
  <c r="ORN1739" i="63" s="1"/>
  <c r="OQX1738" i="63"/>
  <c r="OQX1739" i="63" s="1"/>
  <c r="OQH1738" i="63"/>
  <c r="OQH1739" i="63" s="1"/>
  <c r="OPR1738" i="63"/>
  <c r="OPR1739" i="63" s="1"/>
  <c r="OPB1738" i="63"/>
  <c r="OPB1739" i="63" s="1"/>
  <c r="OOL1738" i="63"/>
  <c r="OOL1739" i="63" s="1"/>
  <c r="ONV1738" i="63"/>
  <c r="ONV1739" i="63" s="1"/>
  <c r="ONF1738" i="63"/>
  <c r="ONF1739" i="63" s="1"/>
  <c r="OMP1738" i="63"/>
  <c r="OMP1739" i="63" s="1"/>
  <c r="OLZ1738" i="63"/>
  <c r="OLZ1739" i="63" s="1"/>
  <c r="OLJ1738" i="63"/>
  <c r="OLJ1739" i="63" s="1"/>
  <c r="OKT1738" i="63"/>
  <c r="OKT1739" i="63" s="1"/>
  <c r="OKD1738" i="63"/>
  <c r="OKD1739" i="63" s="1"/>
  <c r="OJN1738" i="63"/>
  <c r="OJN1739" i="63" s="1"/>
  <c r="OIX1738" i="63"/>
  <c r="OIX1739" i="63" s="1"/>
  <c r="OIH1738" i="63"/>
  <c r="OIH1739" i="63" s="1"/>
  <c r="OHR1738" i="63"/>
  <c r="OHR1739" i="63" s="1"/>
  <c r="OHB1738" i="63"/>
  <c r="OHB1739" i="63" s="1"/>
  <c r="OGL1738" i="63"/>
  <c r="OGL1739" i="63" s="1"/>
  <c r="OFV1738" i="63"/>
  <c r="OFV1739" i="63" s="1"/>
  <c r="OFF1738" i="63"/>
  <c r="OFF1739" i="63" s="1"/>
  <c r="OEP1738" i="63"/>
  <c r="OEP1739" i="63" s="1"/>
  <c r="ODZ1738" i="63"/>
  <c r="ODZ1739" i="63" s="1"/>
  <c r="ODJ1738" i="63"/>
  <c r="ODJ1739" i="63" s="1"/>
  <c r="OCT1738" i="63"/>
  <c r="OCT1739" i="63" s="1"/>
  <c r="OCD1738" i="63"/>
  <c r="OCD1739" i="63" s="1"/>
  <c r="OBN1738" i="63"/>
  <c r="OBN1739" i="63" s="1"/>
  <c r="OAX1738" i="63"/>
  <c r="OAX1739" i="63" s="1"/>
  <c r="OAH1738" i="63"/>
  <c r="OAH1739" i="63" s="1"/>
  <c r="NZR1738" i="63"/>
  <c r="NZR1739" i="63" s="1"/>
  <c r="NZB1738" i="63"/>
  <c r="NZB1739" i="63" s="1"/>
  <c r="NYL1738" i="63"/>
  <c r="NYL1739" i="63" s="1"/>
  <c r="NXV1738" i="63"/>
  <c r="NXV1739" i="63" s="1"/>
  <c r="NXF1738" i="63"/>
  <c r="NXF1739" i="63" s="1"/>
  <c r="NWP1738" i="63"/>
  <c r="NWP1739" i="63" s="1"/>
  <c r="NVZ1738" i="63"/>
  <c r="NVZ1739" i="63" s="1"/>
  <c r="NVJ1738" i="63"/>
  <c r="NVJ1739" i="63" s="1"/>
  <c r="NUT1738" i="63"/>
  <c r="NUT1739" i="63" s="1"/>
  <c r="NUD1738" i="63"/>
  <c r="NUD1739" i="63" s="1"/>
  <c r="NTN1738" i="63"/>
  <c r="NTN1739" i="63" s="1"/>
  <c r="NSX1738" i="63"/>
  <c r="NSX1739" i="63" s="1"/>
  <c r="NSH1738" i="63"/>
  <c r="NSH1739" i="63" s="1"/>
  <c r="NRR1738" i="63"/>
  <c r="NRR1739" i="63" s="1"/>
  <c r="NRB1738" i="63"/>
  <c r="NRB1739" i="63" s="1"/>
  <c r="NQL1738" i="63"/>
  <c r="NQL1739" i="63" s="1"/>
  <c r="NPV1738" i="63"/>
  <c r="NPV1739" i="63" s="1"/>
  <c r="NPF1738" i="63"/>
  <c r="NPF1739" i="63" s="1"/>
  <c r="NOP1738" i="63"/>
  <c r="NOP1739" i="63" s="1"/>
  <c r="NNZ1738" i="63"/>
  <c r="NNZ1739" i="63" s="1"/>
  <c r="NNJ1738" i="63"/>
  <c r="NNJ1739" i="63" s="1"/>
  <c r="NMT1738" i="63"/>
  <c r="NMT1739" i="63" s="1"/>
  <c r="NMD1738" i="63"/>
  <c r="NMD1739" i="63" s="1"/>
  <c r="NLN1738" i="63"/>
  <c r="NLN1739" i="63" s="1"/>
  <c r="NKX1738" i="63"/>
  <c r="NKX1739" i="63" s="1"/>
  <c r="NKH1738" i="63"/>
  <c r="NKH1739" i="63" s="1"/>
  <c r="NJR1738" i="63"/>
  <c r="NJR1739" i="63" s="1"/>
  <c r="NJB1738" i="63"/>
  <c r="NJB1739" i="63" s="1"/>
  <c r="NIL1738" i="63"/>
  <c r="NIL1739" i="63" s="1"/>
  <c r="NHV1738" i="63"/>
  <c r="NHV1739" i="63" s="1"/>
  <c r="NHF1738" i="63"/>
  <c r="NHF1739" i="63" s="1"/>
  <c r="NGP1738" i="63"/>
  <c r="NGP1739" i="63" s="1"/>
  <c r="NFZ1738" i="63"/>
  <c r="NFZ1739" i="63" s="1"/>
  <c r="NFJ1738" i="63"/>
  <c r="NFJ1739" i="63" s="1"/>
  <c r="NET1738" i="63"/>
  <c r="NET1739" i="63" s="1"/>
  <c r="NED1738" i="63"/>
  <c r="NED1739" i="63" s="1"/>
  <c r="NDN1738" i="63"/>
  <c r="NDN1739" i="63" s="1"/>
  <c r="NCX1738" i="63"/>
  <c r="NCX1739" i="63" s="1"/>
  <c r="NCH1738" i="63"/>
  <c r="NCH1739" i="63" s="1"/>
  <c r="NBR1738" i="63"/>
  <c r="NBR1739" i="63" s="1"/>
  <c r="NBB1738" i="63"/>
  <c r="NBB1739" i="63" s="1"/>
  <c r="NAL1738" i="63"/>
  <c r="NAL1739" i="63" s="1"/>
  <c r="MZV1738" i="63"/>
  <c r="MZV1739" i="63" s="1"/>
  <c r="MZF1738" i="63"/>
  <c r="MZF1739" i="63" s="1"/>
  <c r="MYP1738" i="63"/>
  <c r="MYP1739" i="63" s="1"/>
  <c r="MXZ1738" i="63"/>
  <c r="MXZ1739" i="63" s="1"/>
  <c r="MXJ1738" i="63"/>
  <c r="MXJ1739" i="63" s="1"/>
  <c r="MWT1738" i="63"/>
  <c r="MWT1739" i="63" s="1"/>
  <c r="MWD1738" i="63"/>
  <c r="MWD1739" i="63" s="1"/>
  <c r="MVN1738" i="63"/>
  <c r="MVN1739" i="63" s="1"/>
  <c r="MUX1738" i="63"/>
  <c r="MUX1739" i="63" s="1"/>
  <c r="MUH1738" i="63"/>
  <c r="MUH1739" i="63" s="1"/>
  <c r="MTR1738" i="63"/>
  <c r="MTR1739" i="63" s="1"/>
  <c r="MTB1738" i="63"/>
  <c r="MTB1739" i="63" s="1"/>
  <c r="MSL1738" i="63"/>
  <c r="MSL1739" i="63" s="1"/>
  <c r="MRV1738" i="63"/>
  <c r="MRV1739" i="63" s="1"/>
  <c r="MRF1738" i="63"/>
  <c r="MRF1739" i="63" s="1"/>
  <c r="MQP1738" i="63"/>
  <c r="MQP1739" i="63" s="1"/>
  <c r="MPZ1738" i="63"/>
  <c r="MPZ1739" i="63" s="1"/>
  <c r="MPJ1738" i="63"/>
  <c r="MPJ1739" i="63" s="1"/>
  <c r="MOT1738" i="63"/>
  <c r="MOT1739" i="63" s="1"/>
  <c r="MOD1738" i="63"/>
  <c r="MOD1739" i="63" s="1"/>
  <c r="MNN1738" i="63"/>
  <c r="MNN1739" i="63" s="1"/>
  <c r="MMX1738" i="63"/>
  <c r="MMX1739" i="63" s="1"/>
  <c r="MMH1738" i="63"/>
  <c r="MMH1739" i="63" s="1"/>
  <c r="MLR1738" i="63"/>
  <c r="MLR1739" i="63" s="1"/>
  <c r="MLB1738" i="63"/>
  <c r="MLB1739" i="63" s="1"/>
  <c r="MKL1738" i="63"/>
  <c r="MKL1739" i="63" s="1"/>
  <c r="MJV1738" i="63"/>
  <c r="MJV1739" i="63" s="1"/>
  <c r="MJF1738" i="63"/>
  <c r="MJF1739" i="63" s="1"/>
  <c r="MIP1738" i="63"/>
  <c r="MIP1739" i="63" s="1"/>
  <c r="MHZ1738" i="63"/>
  <c r="MHZ1739" i="63" s="1"/>
  <c r="MHJ1738" i="63"/>
  <c r="MHJ1739" i="63" s="1"/>
  <c r="MGT1738" i="63"/>
  <c r="MGT1739" i="63" s="1"/>
  <c r="MGD1738" i="63"/>
  <c r="MGD1739" i="63" s="1"/>
  <c r="MFN1738" i="63"/>
  <c r="MFN1739" i="63" s="1"/>
  <c r="MEX1738" i="63"/>
  <c r="MEX1739" i="63" s="1"/>
  <c r="MEH1738" i="63"/>
  <c r="MEH1739" i="63" s="1"/>
  <c r="MDR1738" i="63"/>
  <c r="MDR1739" i="63" s="1"/>
  <c r="MDB1738" i="63"/>
  <c r="MDB1739" i="63" s="1"/>
  <c r="MCL1738" i="63"/>
  <c r="MCL1739" i="63" s="1"/>
  <c r="MBV1738" i="63"/>
  <c r="MBV1739" i="63" s="1"/>
  <c r="MBF1738" i="63"/>
  <c r="MBF1739" i="63" s="1"/>
  <c r="MAP1738" i="63"/>
  <c r="MAP1739" i="63" s="1"/>
  <c r="LZZ1738" i="63"/>
  <c r="LZZ1739" i="63" s="1"/>
  <c r="LZJ1738" i="63"/>
  <c r="LZJ1739" i="63" s="1"/>
  <c r="LYT1738" i="63"/>
  <c r="LYT1739" i="63" s="1"/>
  <c r="LYD1738" i="63"/>
  <c r="LYD1739" i="63" s="1"/>
  <c r="LXN1738" i="63"/>
  <c r="LXN1739" i="63" s="1"/>
  <c r="LWX1738" i="63"/>
  <c r="LWX1739" i="63" s="1"/>
  <c r="LWH1738" i="63"/>
  <c r="LWH1739" i="63" s="1"/>
  <c r="LVR1738" i="63"/>
  <c r="LVR1739" i="63" s="1"/>
  <c r="LVB1738" i="63"/>
  <c r="LVB1739" i="63" s="1"/>
  <c r="LUL1738" i="63"/>
  <c r="LUL1739" i="63" s="1"/>
  <c r="LTV1738" i="63"/>
  <c r="LTV1739" i="63" s="1"/>
  <c r="LTF1738" i="63"/>
  <c r="LTF1739" i="63" s="1"/>
  <c r="LSP1738" i="63"/>
  <c r="LSP1739" i="63" s="1"/>
  <c r="LRZ1738" i="63"/>
  <c r="LRZ1739" i="63" s="1"/>
  <c r="LRJ1738" i="63"/>
  <c r="LRJ1739" i="63" s="1"/>
  <c r="LQT1738" i="63"/>
  <c r="LQT1739" i="63" s="1"/>
  <c r="LQD1738" i="63"/>
  <c r="LQD1739" i="63" s="1"/>
  <c r="LPN1738" i="63"/>
  <c r="LPN1739" i="63" s="1"/>
  <c r="LOX1738" i="63"/>
  <c r="LOX1739" i="63" s="1"/>
  <c r="LOH1738" i="63"/>
  <c r="LOH1739" i="63" s="1"/>
  <c r="LNR1738" i="63"/>
  <c r="LNR1739" i="63" s="1"/>
  <c r="LNB1738" i="63"/>
  <c r="LNB1739" i="63" s="1"/>
  <c r="LML1738" i="63"/>
  <c r="LML1739" i="63" s="1"/>
  <c r="LLV1738" i="63"/>
  <c r="LLV1739" i="63" s="1"/>
  <c r="LLF1738" i="63"/>
  <c r="LLF1739" i="63" s="1"/>
  <c r="LKP1738" i="63"/>
  <c r="LKP1739" i="63" s="1"/>
  <c r="LJZ1738" i="63"/>
  <c r="LJZ1739" i="63" s="1"/>
  <c r="LJJ1738" i="63"/>
  <c r="LJJ1739" i="63" s="1"/>
  <c r="LIT1738" i="63"/>
  <c r="LIT1739" i="63" s="1"/>
  <c r="LID1738" i="63"/>
  <c r="LID1739" i="63" s="1"/>
  <c r="LHN1738" i="63"/>
  <c r="LHN1739" i="63" s="1"/>
  <c r="LGX1738" i="63"/>
  <c r="LGX1739" i="63" s="1"/>
  <c r="LGH1738" i="63"/>
  <c r="LGH1739" i="63" s="1"/>
  <c r="LFR1738" i="63"/>
  <c r="LFR1739" i="63" s="1"/>
  <c r="LFB1738" i="63"/>
  <c r="LFB1739" i="63" s="1"/>
  <c r="LEL1738" i="63"/>
  <c r="LEL1739" i="63" s="1"/>
  <c r="LDV1738" i="63"/>
  <c r="LDV1739" i="63" s="1"/>
  <c r="LDF1738" i="63"/>
  <c r="LDF1739" i="63" s="1"/>
  <c r="LCP1738" i="63"/>
  <c r="LCP1739" i="63" s="1"/>
  <c r="LBZ1738" i="63"/>
  <c r="LBZ1739" i="63" s="1"/>
  <c r="LBJ1738" i="63"/>
  <c r="LBJ1739" i="63" s="1"/>
  <c r="LAT1738" i="63"/>
  <c r="LAT1739" i="63" s="1"/>
  <c r="LAD1738" i="63"/>
  <c r="LAD1739" i="63" s="1"/>
  <c r="KZN1738" i="63"/>
  <c r="KZN1739" i="63" s="1"/>
  <c r="KYX1738" i="63"/>
  <c r="KYX1739" i="63" s="1"/>
  <c r="KYH1738" i="63"/>
  <c r="KYH1739" i="63" s="1"/>
  <c r="KXR1738" i="63"/>
  <c r="KXR1739" i="63" s="1"/>
  <c r="KXB1738" i="63"/>
  <c r="KXB1739" i="63" s="1"/>
  <c r="KWL1738" i="63"/>
  <c r="KWL1739" i="63" s="1"/>
  <c r="KVV1738" i="63"/>
  <c r="KVV1739" i="63" s="1"/>
  <c r="KVF1738" i="63"/>
  <c r="KVF1739" i="63" s="1"/>
  <c r="KUP1738" i="63"/>
  <c r="KUP1739" i="63" s="1"/>
  <c r="KTZ1738" i="63"/>
  <c r="KTZ1739" i="63" s="1"/>
  <c r="KTJ1738" i="63"/>
  <c r="KTJ1739" i="63" s="1"/>
  <c r="KST1738" i="63"/>
  <c r="KST1739" i="63" s="1"/>
  <c r="KSD1738" i="63"/>
  <c r="KSD1739" i="63" s="1"/>
  <c r="KRN1738" i="63"/>
  <c r="KRN1739" i="63" s="1"/>
  <c r="KQX1738" i="63"/>
  <c r="KQX1739" i="63" s="1"/>
  <c r="KQH1738" i="63"/>
  <c r="KQH1739" i="63" s="1"/>
  <c r="KPR1738" i="63"/>
  <c r="KPR1739" i="63" s="1"/>
  <c r="KPB1738" i="63"/>
  <c r="KPB1739" i="63" s="1"/>
  <c r="KOL1738" i="63"/>
  <c r="KOL1739" i="63" s="1"/>
  <c r="KNV1738" i="63"/>
  <c r="KNV1739" i="63" s="1"/>
  <c r="KNF1738" i="63"/>
  <c r="KNF1739" i="63" s="1"/>
  <c r="KMP1738" i="63"/>
  <c r="KMP1739" i="63" s="1"/>
  <c r="KLZ1738" i="63"/>
  <c r="KLZ1739" i="63" s="1"/>
  <c r="KLJ1738" i="63"/>
  <c r="KLJ1739" i="63" s="1"/>
  <c r="KKT1738" i="63"/>
  <c r="KKT1739" i="63" s="1"/>
  <c r="KKD1738" i="63"/>
  <c r="KKD1739" i="63" s="1"/>
  <c r="KJN1738" i="63"/>
  <c r="KJN1739" i="63" s="1"/>
  <c r="KIX1738" i="63"/>
  <c r="KIX1739" i="63" s="1"/>
  <c r="KIH1738" i="63"/>
  <c r="KIH1739" i="63" s="1"/>
  <c r="KHR1738" i="63"/>
  <c r="KHR1739" i="63" s="1"/>
  <c r="KHB1738" i="63"/>
  <c r="KHB1739" i="63" s="1"/>
  <c r="KGL1738" i="63"/>
  <c r="KGL1739" i="63" s="1"/>
  <c r="KFV1738" i="63"/>
  <c r="KFV1739" i="63" s="1"/>
  <c r="KFF1738" i="63"/>
  <c r="KFF1739" i="63" s="1"/>
  <c r="KEP1738" i="63"/>
  <c r="KEP1739" i="63" s="1"/>
  <c r="KDZ1738" i="63"/>
  <c r="KDZ1739" i="63" s="1"/>
  <c r="KDJ1738" i="63"/>
  <c r="KDJ1739" i="63" s="1"/>
  <c r="KCT1738" i="63"/>
  <c r="KCT1739" i="63" s="1"/>
  <c r="KCD1738" i="63"/>
  <c r="KCD1739" i="63" s="1"/>
  <c r="KBN1738" i="63"/>
  <c r="KBN1739" i="63" s="1"/>
  <c r="KAX1738" i="63"/>
  <c r="KAX1739" i="63" s="1"/>
  <c r="KAH1738" i="63"/>
  <c r="KAH1739" i="63" s="1"/>
  <c r="JZR1738" i="63"/>
  <c r="JZR1739" i="63" s="1"/>
  <c r="JZB1738" i="63"/>
  <c r="JZB1739" i="63" s="1"/>
  <c r="JYL1738" i="63"/>
  <c r="JYL1739" i="63" s="1"/>
  <c r="JXV1738" i="63"/>
  <c r="JXV1739" i="63" s="1"/>
  <c r="JXF1738" i="63"/>
  <c r="JXF1739" i="63" s="1"/>
  <c r="JWP1738" i="63"/>
  <c r="JWP1739" i="63" s="1"/>
  <c r="JVZ1738" i="63"/>
  <c r="JVZ1739" i="63" s="1"/>
  <c r="JVJ1738" i="63"/>
  <c r="JVJ1739" i="63" s="1"/>
  <c r="JUT1738" i="63"/>
  <c r="JUT1739" i="63" s="1"/>
  <c r="JUD1738" i="63"/>
  <c r="JUD1739" i="63" s="1"/>
  <c r="JTN1738" i="63"/>
  <c r="JTN1739" i="63" s="1"/>
  <c r="JSX1738" i="63"/>
  <c r="JSX1739" i="63" s="1"/>
  <c r="JSH1738" i="63"/>
  <c r="JSH1739" i="63" s="1"/>
  <c r="JRR1738" i="63"/>
  <c r="JRR1739" i="63" s="1"/>
  <c r="JRB1738" i="63"/>
  <c r="JRB1739" i="63" s="1"/>
  <c r="JQL1738" i="63"/>
  <c r="JQL1739" i="63" s="1"/>
  <c r="JPV1738" i="63"/>
  <c r="JPV1739" i="63" s="1"/>
  <c r="JPF1738" i="63"/>
  <c r="JPF1739" i="63" s="1"/>
  <c r="JOP1738" i="63"/>
  <c r="JOP1739" i="63" s="1"/>
  <c r="JNZ1738" i="63"/>
  <c r="JNZ1739" i="63" s="1"/>
  <c r="JNJ1738" i="63"/>
  <c r="JNJ1739" i="63" s="1"/>
  <c r="JMT1738" i="63"/>
  <c r="JMT1739" i="63" s="1"/>
  <c r="JMD1738" i="63"/>
  <c r="JMD1739" i="63" s="1"/>
  <c r="JLN1738" i="63"/>
  <c r="JLN1739" i="63" s="1"/>
  <c r="JKX1738" i="63"/>
  <c r="JKX1739" i="63" s="1"/>
  <c r="JKH1738" i="63"/>
  <c r="JKH1739" i="63" s="1"/>
  <c r="JJR1738" i="63"/>
  <c r="JJR1739" i="63" s="1"/>
  <c r="JJB1738" i="63"/>
  <c r="JJB1739" i="63" s="1"/>
  <c r="JIL1738" i="63"/>
  <c r="JIL1739" i="63" s="1"/>
  <c r="JHV1738" i="63"/>
  <c r="JHV1739" i="63" s="1"/>
  <c r="JHF1738" i="63"/>
  <c r="JHF1739" i="63" s="1"/>
  <c r="JGP1738" i="63"/>
  <c r="JGP1739" i="63" s="1"/>
  <c r="JFZ1738" i="63"/>
  <c r="JFZ1739" i="63" s="1"/>
  <c r="JFJ1738" i="63"/>
  <c r="JFJ1739" i="63" s="1"/>
  <c r="JET1738" i="63"/>
  <c r="JET1739" i="63" s="1"/>
  <c r="JED1738" i="63"/>
  <c r="JED1739" i="63" s="1"/>
  <c r="JDN1738" i="63"/>
  <c r="JDN1739" i="63" s="1"/>
  <c r="JCX1738" i="63"/>
  <c r="JCX1739" i="63" s="1"/>
  <c r="JCH1738" i="63"/>
  <c r="JCH1739" i="63" s="1"/>
  <c r="JBR1738" i="63"/>
  <c r="JBR1739" i="63" s="1"/>
  <c r="JBB1738" i="63"/>
  <c r="JBB1739" i="63" s="1"/>
  <c r="JAL1738" i="63"/>
  <c r="JAL1739" i="63" s="1"/>
  <c r="IZV1738" i="63"/>
  <c r="IZV1739" i="63" s="1"/>
  <c r="IZF1738" i="63"/>
  <c r="IZF1739" i="63" s="1"/>
  <c r="IYP1738" i="63"/>
  <c r="IYP1739" i="63" s="1"/>
  <c r="IXZ1738" i="63"/>
  <c r="IXZ1739" i="63" s="1"/>
  <c r="IXJ1738" i="63"/>
  <c r="IXJ1739" i="63" s="1"/>
  <c r="IWT1738" i="63"/>
  <c r="IWT1739" i="63" s="1"/>
  <c r="IWD1738" i="63"/>
  <c r="IWD1739" i="63" s="1"/>
  <c r="IVN1738" i="63"/>
  <c r="IVN1739" i="63" s="1"/>
  <c r="IUX1738" i="63"/>
  <c r="IUX1739" i="63" s="1"/>
  <c r="IUH1738" i="63"/>
  <c r="IUH1739" i="63" s="1"/>
  <c r="ITR1738" i="63"/>
  <c r="ITR1739" i="63" s="1"/>
  <c r="ITB1738" i="63"/>
  <c r="ITB1739" i="63" s="1"/>
  <c r="ISL1738" i="63"/>
  <c r="ISL1739" i="63" s="1"/>
  <c r="IRV1738" i="63"/>
  <c r="IRV1739" i="63" s="1"/>
  <c r="IRF1738" i="63"/>
  <c r="IRF1739" i="63" s="1"/>
  <c r="IQP1738" i="63"/>
  <c r="IQP1739" i="63" s="1"/>
  <c r="IPZ1738" i="63"/>
  <c r="IPZ1739" i="63" s="1"/>
  <c r="IPJ1738" i="63"/>
  <c r="IPJ1739" i="63" s="1"/>
  <c r="IOT1738" i="63"/>
  <c r="IOT1739" i="63" s="1"/>
  <c r="IOD1738" i="63"/>
  <c r="IOD1739" i="63" s="1"/>
  <c r="INN1738" i="63"/>
  <c r="INN1739" i="63" s="1"/>
  <c r="IMX1738" i="63"/>
  <c r="IMX1739" i="63" s="1"/>
  <c r="IMH1738" i="63"/>
  <c r="IMH1739" i="63" s="1"/>
  <c r="ILR1738" i="63"/>
  <c r="ILR1739" i="63" s="1"/>
  <c r="ILB1738" i="63"/>
  <c r="ILB1739" i="63" s="1"/>
  <c r="IKL1738" i="63"/>
  <c r="IKL1739" i="63" s="1"/>
  <c r="IJV1738" i="63"/>
  <c r="IJV1739" i="63" s="1"/>
  <c r="IJF1738" i="63"/>
  <c r="IJF1739" i="63" s="1"/>
  <c r="IIP1738" i="63"/>
  <c r="IIP1739" i="63" s="1"/>
  <c r="IHZ1738" i="63"/>
  <c r="IHZ1739" i="63" s="1"/>
  <c r="IHJ1738" i="63"/>
  <c r="IHJ1739" i="63" s="1"/>
  <c r="IGT1738" i="63"/>
  <c r="IGT1739" i="63" s="1"/>
  <c r="IGD1738" i="63"/>
  <c r="IGD1739" i="63" s="1"/>
  <c r="IFN1738" i="63"/>
  <c r="IFN1739" i="63" s="1"/>
  <c r="IEX1738" i="63"/>
  <c r="IEX1739" i="63" s="1"/>
  <c r="IEH1738" i="63"/>
  <c r="IEH1739" i="63" s="1"/>
  <c r="IDR1738" i="63"/>
  <c r="IDR1739" i="63" s="1"/>
  <c r="IDB1738" i="63"/>
  <c r="IDB1739" i="63" s="1"/>
  <c r="ICL1738" i="63"/>
  <c r="ICL1739" i="63" s="1"/>
  <c r="IBV1738" i="63"/>
  <c r="IBV1739" i="63" s="1"/>
  <c r="IBF1738" i="63"/>
  <c r="IBF1739" i="63" s="1"/>
  <c r="IAP1738" i="63"/>
  <c r="IAP1739" i="63" s="1"/>
  <c r="HZZ1738" i="63"/>
  <c r="HZZ1739" i="63" s="1"/>
  <c r="HZJ1738" i="63"/>
  <c r="HZJ1739" i="63" s="1"/>
  <c r="HYT1738" i="63"/>
  <c r="HYT1739" i="63" s="1"/>
  <c r="HYD1738" i="63"/>
  <c r="HYD1739" i="63" s="1"/>
  <c r="HXN1738" i="63"/>
  <c r="HXN1739" i="63" s="1"/>
  <c r="HWX1738" i="63"/>
  <c r="HWX1739" i="63" s="1"/>
  <c r="HWH1738" i="63"/>
  <c r="HWH1739" i="63" s="1"/>
  <c r="HVR1738" i="63"/>
  <c r="HVR1739" i="63" s="1"/>
  <c r="HVB1738" i="63"/>
  <c r="HVB1739" i="63" s="1"/>
  <c r="HUL1738" i="63"/>
  <c r="HUL1739" i="63" s="1"/>
  <c r="HTV1738" i="63"/>
  <c r="HTV1739" i="63" s="1"/>
  <c r="HTF1738" i="63"/>
  <c r="HTF1739" i="63" s="1"/>
  <c r="HSP1738" i="63"/>
  <c r="HSP1739" i="63" s="1"/>
  <c r="HRZ1738" i="63"/>
  <c r="HRZ1739" i="63" s="1"/>
  <c r="HRJ1738" i="63"/>
  <c r="HRJ1739" i="63" s="1"/>
  <c r="HQT1738" i="63"/>
  <c r="HQT1739" i="63" s="1"/>
  <c r="HQD1738" i="63"/>
  <c r="HQD1739" i="63" s="1"/>
  <c r="HPN1738" i="63"/>
  <c r="HPN1739" i="63" s="1"/>
  <c r="HOX1738" i="63"/>
  <c r="HOX1739" i="63" s="1"/>
  <c r="HOH1738" i="63"/>
  <c r="HOH1739" i="63" s="1"/>
  <c r="HNR1738" i="63"/>
  <c r="HNR1739" i="63" s="1"/>
  <c r="HNB1738" i="63"/>
  <c r="HNB1739" i="63" s="1"/>
  <c r="HML1738" i="63"/>
  <c r="HML1739" i="63" s="1"/>
  <c r="HLV1738" i="63"/>
  <c r="HLV1739" i="63" s="1"/>
  <c r="HLF1738" i="63"/>
  <c r="HLF1739" i="63" s="1"/>
  <c r="HKP1738" i="63"/>
  <c r="HKP1739" i="63" s="1"/>
  <c r="HJZ1738" i="63"/>
  <c r="HJZ1739" i="63" s="1"/>
  <c r="HJJ1738" i="63"/>
  <c r="HJJ1739" i="63" s="1"/>
  <c r="HIT1738" i="63"/>
  <c r="HIT1739" i="63" s="1"/>
  <c r="HID1738" i="63"/>
  <c r="HID1739" i="63" s="1"/>
  <c r="HHN1738" i="63"/>
  <c r="HHN1739" i="63" s="1"/>
  <c r="HGX1738" i="63"/>
  <c r="HGX1739" i="63" s="1"/>
  <c r="HGH1738" i="63"/>
  <c r="HGH1739" i="63" s="1"/>
  <c r="HFR1738" i="63"/>
  <c r="HFR1739" i="63" s="1"/>
  <c r="HFB1738" i="63"/>
  <c r="HFB1739" i="63" s="1"/>
  <c r="HEL1738" i="63"/>
  <c r="HEL1739" i="63" s="1"/>
  <c r="HDV1738" i="63"/>
  <c r="HDV1739" i="63" s="1"/>
  <c r="HDF1738" i="63"/>
  <c r="HDF1739" i="63" s="1"/>
  <c r="HCP1738" i="63"/>
  <c r="HCP1739" i="63" s="1"/>
  <c r="HBZ1738" i="63"/>
  <c r="HBZ1739" i="63" s="1"/>
  <c r="HBJ1738" i="63"/>
  <c r="HBJ1739" i="63" s="1"/>
  <c r="HAT1738" i="63"/>
  <c r="HAT1739" i="63" s="1"/>
  <c r="HAD1738" i="63"/>
  <c r="HAD1739" i="63" s="1"/>
  <c r="GZN1738" i="63"/>
  <c r="GZN1739" i="63" s="1"/>
  <c r="GYX1738" i="63"/>
  <c r="GYX1739" i="63" s="1"/>
  <c r="GYH1738" i="63"/>
  <c r="GYH1739" i="63" s="1"/>
  <c r="GXR1738" i="63"/>
  <c r="GXR1739" i="63" s="1"/>
  <c r="GXB1738" i="63"/>
  <c r="GXB1739" i="63" s="1"/>
  <c r="GWL1738" i="63"/>
  <c r="GWL1739" i="63" s="1"/>
  <c r="GVV1738" i="63"/>
  <c r="GVV1739" i="63" s="1"/>
  <c r="GVF1738" i="63"/>
  <c r="GVF1739" i="63" s="1"/>
  <c r="GUP1738" i="63"/>
  <c r="GUP1739" i="63" s="1"/>
  <c r="GTZ1738" i="63"/>
  <c r="GTZ1739" i="63" s="1"/>
  <c r="GTJ1738" i="63"/>
  <c r="GTJ1739" i="63" s="1"/>
  <c r="GST1738" i="63"/>
  <c r="GST1739" i="63" s="1"/>
  <c r="GSD1738" i="63"/>
  <c r="GSD1739" i="63" s="1"/>
  <c r="GRN1738" i="63"/>
  <c r="GRN1739" i="63" s="1"/>
  <c r="GQX1738" i="63"/>
  <c r="GQX1739" i="63" s="1"/>
  <c r="GQH1738" i="63"/>
  <c r="GQH1739" i="63" s="1"/>
  <c r="GPR1738" i="63"/>
  <c r="GPR1739" i="63" s="1"/>
  <c r="GPB1738" i="63"/>
  <c r="GPB1739" i="63" s="1"/>
  <c r="GOL1738" i="63"/>
  <c r="GOL1739" i="63" s="1"/>
  <c r="GNV1738" i="63"/>
  <c r="GNV1739" i="63" s="1"/>
  <c r="GNF1738" i="63"/>
  <c r="GNF1739" i="63" s="1"/>
  <c r="GMP1738" i="63"/>
  <c r="GMP1739" i="63" s="1"/>
  <c r="GLZ1738" i="63"/>
  <c r="GLZ1739" i="63" s="1"/>
  <c r="GLJ1738" i="63"/>
  <c r="GLJ1739" i="63" s="1"/>
  <c r="GKT1738" i="63"/>
  <c r="GKT1739" i="63" s="1"/>
  <c r="GKD1738" i="63"/>
  <c r="GKD1739" i="63" s="1"/>
  <c r="GJN1738" i="63"/>
  <c r="GJN1739" i="63" s="1"/>
  <c r="GIX1738" i="63"/>
  <c r="GIX1739" i="63" s="1"/>
  <c r="GIH1738" i="63"/>
  <c r="GIH1739" i="63" s="1"/>
  <c r="GHR1738" i="63"/>
  <c r="GHR1739" i="63" s="1"/>
  <c r="GHB1738" i="63"/>
  <c r="GHB1739" i="63" s="1"/>
  <c r="GGL1738" i="63"/>
  <c r="GGL1739" i="63" s="1"/>
  <c r="GFV1738" i="63"/>
  <c r="GFV1739" i="63" s="1"/>
  <c r="GFF1738" i="63"/>
  <c r="GFF1739" i="63" s="1"/>
  <c r="GEP1738" i="63"/>
  <c r="GEP1739" i="63" s="1"/>
  <c r="GDZ1738" i="63"/>
  <c r="GDZ1739" i="63" s="1"/>
  <c r="GDJ1738" i="63"/>
  <c r="GDJ1739" i="63" s="1"/>
  <c r="GCT1738" i="63"/>
  <c r="GCT1739" i="63" s="1"/>
  <c r="GCD1738" i="63"/>
  <c r="GCD1739" i="63" s="1"/>
  <c r="GBN1738" i="63"/>
  <c r="GBN1739" i="63" s="1"/>
  <c r="GAX1738" i="63"/>
  <c r="GAX1739" i="63" s="1"/>
  <c r="GAH1738" i="63"/>
  <c r="GAH1739" i="63" s="1"/>
  <c r="FZR1738" i="63"/>
  <c r="FZR1739" i="63" s="1"/>
  <c r="FZB1738" i="63"/>
  <c r="FZB1739" i="63" s="1"/>
  <c r="FYL1738" i="63"/>
  <c r="FYL1739" i="63" s="1"/>
  <c r="FXV1738" i="63"/>
  <c r="FXV1739" i="63" s="1"/>
  <c r="FXF1738" i="63"/>
  <c r="FXF1739" i="63" s="1"/>
  <c r="FWP1738" i="63"/>
  <c r="FWP1739" i="63" s="1"/>
  <c r="FVZ1738" i="63"/>
  <c r="FVZ1739" i="63" s="1"/>
  <c r="FVJ1738" i="63"/>
  <c r="FVJ1739" i="63" s="1"/>
  <c r="FUT1738" i="63"/>
  <c r="FUT1739" i="63" s="1"/>
  <c r="FUD1738" i="63"/>
  <c r="FUD1739" i="63" s="1"/>
  <c r="FTN1738" i="63"/>
  <c r="FTN1739" i="63" s="1"/>
  <c r="FSX1738" i="63"/>
  <c r="FSX1739" i="63" s="1"/>
  <c r="FSH1738" i="63"/>
  <c r="FSH1739" i="63" s="1"/>
  <c r="FRR1738" i="63"/>
  <c r="FRR1739" i="63" s="1"/>
  <c r="FRB1738" i="63"/>
  <c r="FRB1739" i="63" s="1"/>
  <c r="FQL1738" i="63"/>
  <c r="FQL1739" i="63" s="1"/>
  <c r="FPV1738" i="63"/>
  <c r="FPV1739" i="63" s="1"/>
  <c r="FPF1738" i="63"/>
  <c r="FPF1739" i="63" s="1"/>
  <c r="FOP1738" i="63"/>
  <c r="FOP1739" i="63" s="1"/>
  <c r="FNZ1738" i="63"/>
  <c r="FNZ1739" i="63" s="1"/>
  <c r="FNJ1738" i="63"/>
  <c r="FNJ1739" i="63" s="1"/>
  <c r="FMT1738" i="63"/>
  <c r="FMT1739" i="63" s="1"/>
  <c r="FMD1738" i="63"/>
  <c r="FMD1739" i="63" s="1"/>
  <c r="FLN1738" i="63"/>
  <c r="FLN1739" i="63" s="1"/>
  <c r="FKX1738" i="63"/>
  <c r="FKX1739" i="63" s="1"/>
  <c r="FKH1738" i="63"/>
  <c r="FKH1739" i="63" s="1"/>
  <c r="FJR1738" i="63"/>
  <c r="FJR1739" i="63" s="1"/>
  <c r="FJB1738" i="63"/>
  <c r="FJB1739" i="63" s="1"/>
  <c r="FIL1738" i="63"/>
  <c r="FIL1739" i="63" s="1"/>
  <c r="FHV1738" i="63"/>
  <c r="FHV1739" i="63" s="1"/>
  <c r="FHF1738" i="63"/>
  <c r="FHF1739" i="63" s="1"/>
  <c r="FGP1738" i="63"/>
  <c r="FGP1739" i="63" s="1"/>
  <c r="FFZ1738" i="63"/>
  <c r="FFZ1739" i="63" s="1"/>
  <c r="FFJ1738" i="63"/>
  <c r="FFJ1739" i="63" s="1"/>
  <c r="FET1738" i="63"/>
  <c r="FET1739" i="63" s="1"/>
  <c r="FED1738" i="63"/>
  <c r="FED1739" i="63" s="1"/>
  <c r="FDN1738" i="63"/>
  <c r="FDN1739" i="63" s="1"/>
  <c r="FCX1738" i="63"/>
  <c r="FCX1739" i="63" s="1"/>
  <c r="FCH1738" i="63"/>
  <c r="FCH1739" i="63" s="1"/>
  <c r="FBR1738" i="63"/>
  <c r="FBR1739" i="63" s="1"/>
  <c r="FBB1738" i="63"/>
  <c r="FBB1739" i="63" s="1"/>
  <c r="FAL1738" i="63"/>
  <c r="FAL1739" i="63" s="1"/>
  <c r="EZV1738" i="63"/>
  <c r="EZV1739" i="63" s="1"/>
  <c r="EZF1738" i="63"/>
  <c r="EZF1739" i="63" s="1"/>
  <c r="EYP1738" i="63"/>
  <c r="EYP1739" i="63" s="1"/>
  <c r="EXZ1738" i="63"/>
  <c r="EXZ1739" i="63" s="1"/>
  <c r="EXJ1738" i="63"/>
  <c r="EXJ1739" i="63" s="1"/>
  <c r="EWT1738" i="63"/>
  <c r="EWT1739" i="63" s="1"/>
  <c r="EWD1738" i="63"/>
  <c r="EWD1739" i="63" s="1"/>
  <c r="EVN1738" i="63"/>
  <c r="EVN1739" i="63" s="1"/>
  <c r="EUX1738" i="63"/>
  <c r="EUX1739" i="63" s="1"/>
  <c r="EUH1738" i="63"/>
  <c r="EUH1739" i="63" s="1"/>
  <c r="ETR1738" i="63"/>
  <c r="ETR1739" i="63" s="1"/>
  <c r="ETB1738" i="63"/>
  <c r="ETB1739" i="63" s="1"/>
  <c r="ESL1738" i="63"/>
  <c r="ESL1739" i="63" s="1"/>
  <c r="ERV1738" i="63"/>
  <c r="ERV1739" i="63" s="1"/>
  <c r="ERF1738" i="63"/>
  <c r="ERF1739" i="63" s="1"/>
  <c r="EQP1738" i="63"/>
  <c r="EQP1739" i="63" s="1"/>
  <c r="EPZ1738" i="63"/>
  <c r="EPZ1739" i="63" s="1"/>
  <c r="EPJ1738" i="63"/>
  <c r="EPJ1739" i="63" s="1"/>
  <c r="EOT1738" i="63"/>
  <c r="EOT1739" i="63" s="1"/>
  <c r="EOD1738" i="63"/>
  <c r="EOD1739" i="63" s="1"/>
  <c r="ENN1738" i="63"/>
  <c r="ENN1739" i="63" s="1"/>
  <c r="EMX1738" i="63"/>
  <c r="EMX1739" i="63" s="1"/>
  <c r="EMH1738" i="63"/>
  <c r="EMH1739" i="63" s="1"/>
  <c r="ELR1738" i="63"/>
  <c r="ELR1739" i="63" s="1"/>
  <c r="ELB1738" i="63"/>
  <c r="ELB1739" i="63" s="1"/>
  <c r="EKL1738" i="63"/>
  <c r="EKL1739" i="63" s="1"/>
  <c r="EJV1738" i="63"/>
  <c r="EJV1739" i="63" s="1"/>
  <c r="EJF1738" i="63"/>
  <c r="EJF1739" i="63" s="1"/>
  <c r="EIP1738" i="63"/>
  <c r="EIP1739" i="63" s="1"/>
  <c r="EHZ1738" i="63"/>
  <c r="EHZ1739" i="63" s="1"/>
  <c r="EHJ1738" i="63"/>
  <c r="EHJ1739" i="63" s="1"/>
  <c r="EGT1738" i="63"/>
  <c r="EGT1739" i="63" s="1"/>
  <c r="EGD1738" i="63"/>
  <c r="EGD1739" i="63" s="1"/>
  <c r="EFN1738" i="63"/>
  <c r="EFN1739" i="63" s="1"/>
  <c r="EEX1738" i="63"/>
  <c r="EEX1739" i="63" s="1"/>
  <c r="EEH1738" i="63"/>
  <c r="EEH1739" i="63" s="1"/>
  <c r="EDR1738" i="63"/>
  <c r="EDR1739" i="63" s="1"/>
  <c r="EDB1738" i="63"/>
  <c r="EDB1739" i="63" s="1"/>
  <c r="ECL1738" i="63"/>
  <c r="ECL1739" i="63" s="1"/>
  <c r="EBV1738" i="63"/>
  <c r="EBV1739" i="63" s="1"/>
  <c r="EBF1738" i="63"/>
  <c r="EBF1739" i="63" s="1"/>
  <c r="EAP1738" i="63"/>
  <c r="EAP1739" i="63" s="1"/>
  <c r="DZZ1738" i="63"/>
  <c r="DZZ1739" i="63" s="1"/>
  <c r="DZJ1738" i="63"/>
  <c r="DZJ1739" i="63" s="1"/>
  <c r="DYT1738" i="63"/>
  <c r="DYT1739" i="63" s="1"/>
  <c r="DYD1738" i="63"/>
  <c r="DYD1739" i="63" s="1"/>
  <c r="DXN1738" i="63"/>
  <c r="DXN1739" i="63" s="1"/>
  <c r="DWX1738" i="63"/>
  <c r="DWX1739" i="63" s="1"/>
  <c r="DWH1738" i="63"/>
  <c r="DWH1739" i="63" s="1"/>
  <c r="DVR1738" i="63"/>
  <c r="DVR1739" i="63" s="1"/>
  <c r="DVB1738" i="63"/>
  <c r="DVB1739" i="63" s="1"/>
  <c r="DUL1738" i="63"/>
  <c r="DUL1739" i="63" s="1"/>
  <c r="DTV1738" i="63"/>
  <c r="DTV1739" i="63" s="1"/>
  <c r="DTF1738" i="63"/>
  <c r="DTF1739" i="63" s="1"/>
  <c r="DSP1738" i="63"/>
  <c r="DSP1739" i="63" s="1"/>
  <c r="DRZ1738" i="63"/>
  <c r="DRZ1739" i="63" s="1"/>
  <c r="DRJ1738" i="63"/>
  <c r="DRJ1739" i="63" s="1"/>
  <c r="DQT1738" i="63"/>
  <c r="DQT1739" i="63" s="1"/>
  <c r="DQD1738" i="63"/>
  <c r="DQD1739" i="63" s="1"/>
  <c r="DPN1738" i="63"/>
  <c r="DPN1739" i="63" s="1"/>
  <c r="DOX1738" i="63"/>
  <c r="DOX1739" i="63" s="1"/>
  <c r="DOH1738" i="63"/>
  <c r="DOH1739" i="63" s="1"/>
  <c r="DNR1738" i="63"/>
  <c r="DNR1739" i="63" s="1"/>
  <c r="DNB1738" i="63"/>
  <c r="DNB1739" i="63" s="1"/>
  <c r="DML1738" i="63"/>
  <c r="DML1739" i="63" s="1"/>
  <c r="DLV1738" i="63"/>
  <c r="DLV1739" i="63" s="1"/>
  <c r="DLF1738" i="63"/>
  <c r="DLF1739" i="63" s="1"/>
  <c r="DKP1738" i="63"/>
  <c r="DKP1739" i="63" s="1"/>
  <c r="DJZ1738" i="63"/>
  <c r="DJZ1739" i="63" s="1"/>
  <c r="DJJ1738" i="63"/>
  <c r="DJJ1739" i="63" s="1"/>
  <c r="DIT1738" i="63"/>
  <c r="DIT1739" i="63" s="1"/>
  <c r="DID1738" i="63"/>
  <c r="DID1739" i="63" s="1"/>
  <c r="DHN1738" i="63"/>
  <c r="DHN1739" i="63" s="1"/>
  <c r="DGX1738" i="63"/>
  <c r="DGX1739" i="63" s="1"/>
  <c r="DGH1738" i="63"/>
  <c r="DGH1739" i="63" s="1"/>
  <c r="DFR1738" i="63"/>
  <c r="DFR1739" i="63" s="1"/>
  <c r="DFB1738" i="63"/>
  <c r="DFB1739" i="63" s="1"/>
  <c r="DEL1738" i="63"/>
  <c r="DEL1739" i="63" s="1"/>
  <c r="DDV1738" i="63"/>
  <c r="DDV1739" i="63" s="1"/>
  <c r="DDF1738" i="63"/>
  <c r="DDF1739" i="63" s="1"/>
  <c r="DCP1738" i="63"/>
  <c r="DCP1739" i="63" s="1"/>
  <c r="DBZ1738" i="63"/>
  <c r="DBZ1739" i="63" s="1"/>
  <c r="DBJ1738" i="63"/>
  <c r="DBJ1739" i="63" s="1"/>
  <c r="DAT1738" i="63"/>
  <c r="DAT1739" i="63" s="1"/>
  <c r="DAD1738" i="63"/>
  <c r="DAD1739" i="63" s="1"/>
  <c r="CZN1738" i="63"/>
  <c r="CZN1739" i="63" s="1"/>
  <c r="CYX1738" i="63"/>
  <c r="CYX1739" i="63" s="1"/>
  <c r="CYH1738" i="63"/>
  <c r="CYH1739" i="63" s="1"/>
  <c r="CXR1738" i="63"/>
  <c r="CXR1739" i="63" s="1"/>
  <c r="CXB1738" i="63"/>
  <c r="CXB1739" i="63" s="1"/>
  <c r="CWL1738" i="63"/>
  <c r="CWL1739" i="63" s="1"/>
  <c r="CVV1738" i="63"/>
  <c r="CVV1739" i="63" s="1"/>
  <c r="CVF1738" i="63"/>
  <c r="CVF1739" i="63" s="1"/>
  <c r="CUP1738" i="63"/>
  <c r="CUP1739" i="63" s="1"/>
  <c r="CTZ1738" i="63"/>
  <c r="CTZ1739" i="63" s="1"/>
  <c r="CTJ1738" i="63"/>
  <c r="CTJ1739" i="63" s="1"/>
  <c r="CST1738" i="63"/>
  <c r="CST1739" i="63" s="1"/>
  <c r="CSD1738" i="63"/>
  <c r="CSD1739" i="63" s="1"/>
  <c r="CRN1738" i="63"/>
  <c r="CRN1739" i="63" s="1"/>
  <c r="CQX1738" i="63"/>
  <c r="CQX1739" i="63" s="1"/>
  <c r="CQH1738" i="63"/>
  <c r="CQH1739" i="63" s="1"/>
  <c r="CPR1738" i="63"/>
  <c r="CPR1739" i="63" s="1"/>
  <c r="CPB1738" i="63"/>
  <c r="CPB1739" i="63" s="1"/>
  <c r="COL1738" i="63"/>
  <c r="COL1739" i="63" s="1"/>
  <c r="CNV1738" i="63"/>
  <c r="CNV1739" i="63" s="1"/>
  <c r="CNF1738" i="63"/>
  <c r="CNF1739" i="63" s="1"/>
  <c r="CMP1738" i="63"/>
  <c r="CMP1739" i="63" s="1"/>
  <c r="CLZ1738" i="63"/>
  <c r="CLZ1739" i="63" s="1"/>
  <c r="CLJ1738" i="63"/>
  <c r="CLJ1739" i="63" s="1"/>
  <c r="CKT1738" i="63"/>
  <c r="CKT1739" i="63" s="1"/>
  <c r="CKD1738" i="63"/>
  <c r="CKD1739" i="63" s="1"/>
  <c r="CJN1738" i="63"/>
  <c r="CJN1739" i="63" s="1"/>
  <c r="CIX1738" i="63"/>
  <c r="CIX1739" i="63" s="1"/>
  <c r="CIH1738" i="63"/>
  <c r="CIH1739" i="63" s="1"/>
  <c r="CHR1738" i="63"/>
  <c r="CHR1739" i="63" s="1"/>
  <c r="CHB1738" i="63"/>
  <c r="CHB1739" i="63" s="1"/>
  <c r="CGL1738" i="63"/>
  <c r="CGL1739" i="63" s="1"/>
  <c r="CFV1738" i="63"/>
  <c r="CFV1739" i="63" s="1"/>
  <c r="CFF1738" i="63"/>
  <c r="CFF1739" i="63" s="1"/>
  <c r="CEP1738" i="63"/>
  <c r="CEP1739" i="63" s="1"/>
  <c r="CDZ1738" i="63"/>
  <c r="CDZ1739" i="63" s="1"/>
  <c r="CDJ1738" i="63"/>
  <c r="CDJ1739" i="63" s="1"/>
  <c r="CCT1738" i="63"/>
  <c r="CCT1739" i="63" s="1"/>
  <c r="CCD1738" i="63"/>
  <c r="CCD1739" i="63" s="1"/>
  <c r="CBN1738" i="63"/>
  <c r="CBN1739" i="63" s="1"/>
  <c r="CAX1738" i="63"/>
  <c r="CAX1739" i="63" s="1"/>
  <c r="CAH1738" i="63"/>
  <c r="CAH1739" i="63" s="1"/>
  <c r="BZR1738" i="63"/>
  <c r="BZR1739" i="63" s="1"/>
  <c r="BZB1738" i="63"/>
  <c r="BZB1739" i="63" s="1"/>
  <c r="BYL1738" i="63"/>
  <c r="BYL1739" i="63" s="1"/>
  <c r="BXV1738" i="63"/>
  <c r="BXV1739" i="63" s="1"/>
  <c r="BXF1738" i="63"/>
  <c r="BXF1739" i="63" s="1"/>
  <c r="BWP1738" i="63"/>
  <c r="BWP1739" i="63" s="1"/>
  <c r="BVZ1738" i="63"/>
  <c r="BVZ1739" i="63" s="1"/>
  <c r="BVJ1738" i="63"/>
  <c r="BVJ1739" i="63" s="1"/>
  <c r="BUT1738" i="63"/>
  <c r="BUT1739" i="63" s="1"/>
  <c r="BUD1738" i="63"/>
  <c r="BUD1739" i="63" s="1"/>
  <c r="BTN1738" i="63"/>
  <c r="BTN1739" i="63" s="1"/>
  <c r="BSX1738" i="63"/>
  <c r="BSX1739" i="63" s="1"/>
  <c r="BSH1738" i="63"/>
  <c r="BSH1739" i="63" s="1"/>
  <c r="BRR1738" i="63"/>
  <c r="BRR1739" i="63" s="1"/>
  <c r="BRB1738" i="63"/>
  <c r="BRB1739" i="63" s="1"/>
  <c r="BQL1738" i="63"/>
  <c r="BQL1739" i="63" s="1"/>
  <c r="BPV1738" i="63"/>
  <c r="BPV1739" i="63" s="1"/>
  <c r="BPF1738" i="63"/>
  <c r="BPF1739" i="63" s="1"/>
  <c r="BOP1738" i="63"/>
  <c r="BOP1739" i="63" s="1"/>
  <c r="BNZ1738" i="63"/>
  <c r="BNZ1739" i="63" s="1"/>
  <c r="BNJ1738" i="63"/>
  <c r="BNJ1739" i="63" s="1"/>
  <c r="BMT1738" i="63"/>
  <c r="BMT1739" i="63" s="1"/>
  <c r="BMD1738" i="63"/>
  <c r="BMD1739" i="63" s="1"/>
  <c r="BLN1738" i="63"/>
  <c r="BLN1739" i="63" s="1"/>
  <c r="BKX1738" i="63"/>
  <c r="BKX1739" i="63" s="1"/>
  <c r="BKH1738" i="63"/>
  <c r="BKH1739" i="63" s="1"/>
  <c r="BJR1738" i="63"/>
  <c r="BJR1739" i="63" s="1"/>
  <c r="BJB1738" i="63"/>
  <c r="BJB1739" i="63" s="1"/>
  <c r="BIL1738" i="63"/>
  <c r="BIL1739" i="63" s="1"/>
  <c r="BHV1738" i="63"/>
  <c r="BHV1739" i="63" s="1"/>
  <c r="BHF1738" i="63"/>
  <c r="BHF1739" i="63" s="1"/>
  <c r="BGP1738" i="63"/>
  <c r="BGP1739" i="63" s="1"/>
  <c r="BFZ1738" i="63"/>
  <c r="BFZ1739" i="63" s="1"/>
  <c r="BFJ1738" i="63"/>
  <c r="BFJ1739" i="63" s="1"/>
  <c r="BET1738" i="63"/>
  <c r="BET1739" i="63" s="1"/>
  <c r="BED1738" i="63"/>
  <c r="BED1739" i="63" s="1"/>
  <c r="BDN1738" i="63"/>
  <c r="BDN1739" i="63" s="1"/>
  <c r="BCX1738" i="63"/>
  <c r="BCX1739" i="63" s="1"/>
  <c r="BCH1738" i="63"/>
  <c r="BCH1739" i="63" s="1"/>
  <c r="BBR1738" i="63"/>
  <c r="BBR1739" i="63" s="1"/>
  <c r="BBB1738" i="63"/>
  <c r="BBB1739" i="63" s="1"/>
  <c r="BAL1738" i="63"/>
  <c r="BAL1739" i="63" s="1"/>
  <c r="AZV1738" i="63"/>
  <c r="AZV1739" i="63" s="1"/>
  <c r="AZF1738" i="63"/>
  <c r="AZF1739" i="63" s="1"/>
  <c r="AYP1738" i="63"/>
  <c r="AYP1739" i="63" s="1"/>
  <c r="AXZ1738" i="63"/>
  <c r="AXZ1739" i="63" s="1"/>
  <c r="AXJ1738" i="63"/>
  <c r="AXJ1739" i="63" s="1"/>
  <c r="AWT1738" i="63"/>
  <c r="AWT1739" i="63" s="1"/>
  <c r="AWD1738" i="63"/>
  <c r="AWD1739" i="63" s="1"/>
  <c r="AVN1738" i="63"/>
  <c r="AVN1739" i="63" s="1"/>
  <c r="AUX1738" i="63"/>
  <c r="AUX1739" i="63" s="1"/>
  <c r="AUH1738" i="63"/>
  <c r="AUH1739" i="63" s="1"/>
  <c r="ATR1738" i="63"/>
  <c r="ATR1739" i="63" s="1"/>
  <c r="ATB1738" i="63"/>
  <c r="ATB1739" i="63" s="1"/>
  <c r="ASL1738" i="63"/>
  <c r="ASL1739" i="63" s="1"/>
  <c r="ARV1738" i="63"/>
  <c r="ARV1739" i="63" s="1"/>
  <c r="ARF1738" i="63"/>
  <c r="ARF1739" i="63" s="1"/>
  <c r="AQP1738" i="63"/>
  <c r="AQP1739" i="63" s="1"/>
  <c r="APZ1738" i="63"/>
  <c r="APZ1739" i="63" s="1"/>
  <c r="APJ1738" i="63"/>
  <c r="APJ1739" i="63" s="1"/>
  <c r="AOT1738" i="63"/>
  <c r="AOT1739" i="63" s="1"/>
  <c r="AOD1738" i="63"/>
  <c r="AOD1739" i="63" s="1"/>
  <c r="ANN1738" i="63"/>
  <c r="ANN1739" i="63" s="1"/>
  <c r="AMX1738" i="63"/>
  <c r="AMX1739" i="63" s="1"/>
  <c r="AMH1738" i="63"/>
  <c r="AMH1739" i="63" s="1"/>
  <c r="ALR1738" i="63"/>
  <c r="ALR1739" i="63" s="1"/>
  <c r="ALB1738" i="63"/>
  <c r="ALB1739" i="63" s="1"/>
  <c r="AKL1738" i="63"/>
  <c r="AKL1739" i="63" s="1"/>
  <c r="AJV1738" i="63"/>
  <c r="AJV1739" i="63" s="1"/>
  <c r="AJF1738" i="63"/>
  <c r="AJF1739" i="63" s="1"/>
  <c r="AIP1738" i="63"/>
  <c r="AIP1739" i="63" s="1"/>
  <c r="AHZ1738" i="63"/>
  <c r="AHZ1739" i="63" s="1"/>
  <c r="AHJ1738" i="63"/>
  <c r="AHJ1739" i="63" s="1"/>
  <c r="AGT1738" i="63"/>
  <c r="AGT1739" i="63" s="1"/>
  <c r="AGD1738" i="63"/>
  <c r="AGD1739" i="63" s="1"/>
  <c r="AFN1738" i="63"/>
  <c r="AFN1739" i="63" s="1"/>
  <c r="AEX1738" i="63"/>
  <c r="AEX1739" i="63" s="1"/>
  <c r="AEH1738" i="63"/>
  <c r="AEH1739" i="63" s="1"/>
  <c r="ADR1738" i="63"/>
  <c r="ADR1739" i="63" s="1"/>
  <c r="ADB1738" i="63"/>
  <c r="ADB1739" i="63" s="1"/>
  <c r="ACL1738" i="63"/>
  <c r="ACL1739" i="63" s="1"/>
  <c r="ABV1738" i="63"/>
  <c r="ABV1739" i="63" s="1"/>
  <c r="ABF1738" i="63"/>
  <c r="ABF1739" i="63" s="1"/>
  <c r="AAP1738" i="63"/>
  <c r="AAP1739" i="63" s="1"/>
  <c r="ZZ1738" i="63"/>
  <c r="ZZ1739" i="63" s="1"/>
  <c r="ZJ1738" i="63"/>
  <c r="ZJ1739" i="63" s="1"/>
  <c r="YT1738" i="63"/>
  <c r="YT1739" i="63" s="1"/>
  <c r="YD1738" i="63"/>
  <c r="YD1739" i="63" s="1"/>
  <c r="XN1738" i="63"/>
  <c r="XN1739" i="63" s="1"/>
  <c r="WX1738" i="63"/>
  <c r="WX1739" i="63" s="1"/>
  <c r="WH1738" i="63"/>
  <c r="WH1739" i="63" s="1"/>
  <c r="VR1738" i="63"/>
  <c r="VR1739" i="63" s="1"/>
  <c r="VB1738" i="63"/>
  <c r="VB1739" i="63" s="1"/>
  <c r="UL1738" i="63"/>
  <c r="UL1739" i="63" s="1"/>
  <c r="TV1738" i="63"/>
  <c r="TV1739" i="63" s="1"/>
  <c r="TF1738" i="63"/>
  <c r="TF1739" i="63" s="1"/>
  <c r="SP1738" i="63"/>
  <c r="SP1739" i="63" s="1"/>
  <c r="RZ1738" i="63"/>
  <c r="RZ1739" i="63" s="1"/>
  <c r="RJ1738" i="63"/>
  <c r="RJ1739" i="63" s="1"/>
  <c r="QT1738" i="63"/>
  <c r="QT1739" i="63" s="1"/>
  <c r="QD1738" i="63"/>
  <c r="QD1739" i="63" s="1"/>
  <c r="PN1738" i="63"/>
  <c r="PN1739" i="63" s="1"/>
  <c r="OX1738" i="63"/>
  <c r="OX1739" i="63" s="1"/>
  <c r="OH1738" i="63"/>
  <c r="OH1739" i="63" s="1"/>
  <c r="NR1738" i="63"/>
  <c r="NR1739" i="63" s="1"/>
  <c r="NB1738" i="63"/>
  <c r="NB1739" i="63" s="1"/>
  <c r="ML1738" i="63"/>
  <c r="ML1739" i="63" s="1"/>
  <c r="LV1738" i="63"/>
  <c r="LV1739" i="63" s="1"/>
  <c r="LF1738" i="63"/>
  <c r="LF1739" i="63" s="1"/>
  <c r="KP1738" i="63"/>
  <c r="KP1739" i="63" s="1"/>
  <c r="JZ1738" i="63"/>
  <c r="JZ1739" i="63" s="1"/>
  <c r="JJ1738" i="63"/>
  <c r="JJ1739" i="63" s="1"/>
  <c r="IT1738" i="63"/>
  <c r="IT1739" i="63" s="1"/>
  <c r="ID1738" i="63"/>
  <c r="ID1739" i="63" s="1"/>
  <c r="HN1738" i="63"/>
  <c r="HN1739" i="63" s="1"/>
  <c r="GX1738" i="63"/>
  <c r="GX1739" i="63" s="1"/>
  <c r="GH1738" i="63"/>
  <c r="GH1739" i="63" s="1"/>
  <c r="FR1738" i="63"/>
  <c r="FR1739" i="63" s="1"/>
  <c r="FB1738" i="63"/>
  <c r="FB1739" i="63" s="1"/>
  <c r="EL1738" i="63"/>
  <c r="EL1739" i="63" s="1"/>
  <c r="DV1738" i="63"/>
  <c r="DV1739" i="63" s="1"/>
  <c r="DF1738" i="63"/>
  <c r="DF1739" i="63" s="1"/>
  <c r="O1738" i="63"/>
  <c r="O1739" i="63" s="1"/>
  <c r="E392" i="62" s="1"/>
  <c r="WQL1737" i="63"/>
  <c r="WPV1737" i="63"/>
  <c r="WPF1737" i="63"/>
  <c r="WOP1737" i="63"/>
  <c r="WNZ1737" i="63"/>
  <c r="WNJ1737" i="63"/>
  <c r="WMT1737" i="63"/>
  <c r="WMD1737" i="63"/>
  <c r="WLN1737" i="63"/>
  <c r="WKX1737" i="63"/>
  <c r="WKH1737" i="63"/>
  <c r="WJR1737" i="63"/>
  <c r="WJB1737" i="63"/>
  <c r="WIL1737" i="63"/>
  <c r="WHV1737" i="63"/>
  <c r="WHF1737" i="63"/>
  <c r="WGP1737" i="63"/>
  <c r="WFZ1737" i="63"/>
  <c r="WFJ1737" i="63"/>
  <c r="WET1737" i="63"/>
  <c r="WED1737" i="63"/>
  <c r="WDN1737" i="63"/>
  <c r="WCX1737" i="63"/>
  <c r="WCH1737" i="63"/>
  <c r="WBR1737" i="63"/>
  <c r="WBB1737" i="63"/>
  <c r="WAL1737" i="63"/>
  <c r="VZV1737" i="63"/>
  <c r="VZF1737" i="63"/>
  <c r="VYP1737" i="63"/>
  <c r="VXZ1737" i="63"/>
  <c r="VXJ1737" i="63"/>
  <c r="VWT1737" i="63"/>
  <c r="VWD1737" i="63"/>
  <c r="VVN1737" i="63"/>
  <c r="VUX1737" i="63"/>
  <c r="VUH1737" i="63"/>
  <c r="VTR1737" i="63"/>
  <c r="VTB1737" i="63"/>
  <c r="VSL1737" i="63"/>
  <c r="VRV1737" i="63"/>
  <c r="VRF1737" i="63"/>
  <c r="VQP1737" i="63"/>
  <c r="VPZ1737" i="63"/>
  <c r="VPJ1737" i="63"/>
  <c r="VOT1737" i="63"/>
  <c r="VOD1737" i="63"/>
  <c r="VNN1737" i="63"/>
  <c r="VMX1737" i="63"/>
  <c r="VMH1737" i="63"/>
  <c r="VLR1737" i="63"/>
  <c r="VLB1737" i="63"/>
  <c r="VKL1737" i="63"/>
  <c r="VJV1737" i="63"/>
  <c r="VJF1737" i="63"/>
  <c r="VIP1737" i="63"/>
  <c r="VHZ1737" i="63"/>
  <c r="VHJ1737" i="63"/>
  <c r="VGT1737" i="63"/>
  <c r="VGD1737" i="63"/>
  <c r="VFN1737" i="63"/>
  <c r="VEX1737" i="63"/>
  <c r="VEH1737" i="63"/>
  <c r="VDR1737" i="63"/>
  <c r="VDB1737" i="63"/>
  <c r="VCL1737" i="63"/>
  <c r="VBV1737" i="63"/>
  <c r="VBF1737" i="63"/>
  <c r="VAP1737" i="63"/>
  <c r="UZZ1737" i="63"/>
  <c r="UZJ1737" i="63"/>
  <c r="UYT1737" i="63"/>
  <c r="UYD1737" i="63"/>
  <c r="UXN1737" i="63"/>
  <c r="UWX1737" i="63"/>
  <c r="UWH1737" i="63"/>
  <c r="UVR1737" i="63"/>
  <c r="UVB1737" i="63"/>
  <c r="UUL1737" i="63"/>
  <c r="UTV1737" i="63"/>
  <c r="UTF1737" i="63"/>
  <c r="USP1737" i="63"/>
  <c r="URZ1737" i="63"/>
  <c r="URJ1737" i="63"/>
  <c r="UQT1737" i="63"/>
  <c r="UQD1737" i="63"/>
  <c r="UPN1737" i="63"/>
  <c r="UOX1737" i="63"/>
  <c r="UOH1737" i="63"/>
  <c r="UNR1737" i="63"/>
  <c r="UNB1737" i="63"/>
  <c r="UML1737" i="63"/>
  <c r="ULV1737" i="63"/>
  <c r="ULF1737" i="63"/>
  <c r="UKP1737" i="63"/>
  <c r="UJZ1737" i="63"/>
  <c r="UJJ1737" i="63"/>
  <c r="UIT1737" i="63"/>
  <c r="UID1737" i="63"/>
  <c r="UHN1737" i="63"/>
  <c r="UGX1737" i="63"/>
  <c r="UGH1737" i="63"/>
  <c r="UFR1737" i="63"/>
  <c r="UFB1737" i="63"/>
  <c r="UEL1737" i="63"/>
  <c r="UDV1737" i="63"/>
  <c r="UDF1737" i="63"/>
  <c r="UCP1737" i="63"/>
  <c r="UBZ1737" i="63"/>
  <c r="UBJ1737" i="63"/>
  <c r="UAT1737" i="63"/>
  <c r="UAD1737" i="63"/>
  <c r="TZN1737" i="63"/>
  <c r="TYX1737" i="63"/>
  <c r="TYH1737" i="63"/>
  <c r="TXR1737" i="63"/>
  <c r="TXB1737" i="63"/>
  <c r="TWL1737" i="63"/>
  <c r="TVV1737" i="63"/>
  <c r="TVF1737" i="63"/>
  <c r="TUP1737" i="63"/>
  <c r="TTZ1737" i="63"/>
  <c r="TTJ1737" i="63"/>
  <c r="TST1737" i="63"/>
  <c r="TSD1737" i="63"/>
  <c r="TRN1737" i="63"/>
  <c r="TQX1737" i="63"/>
  <c r="TQH1737" i="63"/>
  <c r="TPR1737" i="63"/>
  <c r="TPB1737" i="63"/>
  <c r="TOL1737" i="63"/>
  <c r="TNV1737" i="63"/>
  <c r="TNF1737" i="63"/>
  <c r="TMP1737" i="63"/>
  <c r="TLZ1737" i="63"/>
  <c r="TLJ1737" i="63"/>
  <c r="TKT1737" i="63"/>
  <c r="TKD1737" i="63"/>
  <c r="TJN1737" i="63"/>
  <c r="TIX1737" i="63"/>
  <c r="TIH1737" i="63"/>
  <c r="THR1737" i="63"/>
  <c r="THB1737" i="63"/>
  <c r="TGL1737" i="63"/>
  <c r="TFV1737" i="63"/>
  <c r="TFF1737" i="63"/>
  <c r="TEP1737" i="63"/>
  <c r="TDZ1737" i="63"/>
  <c r="TDJ1737" i="63"/>
  <c r="TCT1737" i="63"/>
  <c r="TCD1737" i="63"/>
  <c r="TBN1737" i="63"/>
  <c r="TAX1737" i="63"/>
  <c r="TAH1737" i="63"/>
  <c r="SZR1737" i="63"/>
  <c r="SZB1737" i="63"/>
  <c r="SYL1737" i="63"/>
  <c r="SXV1737" i="63"/>
  <c r="SXF1737" i="63"/>
  <c r="SWP1737" i="63"/>
  <c r="SVZ1737" i="63"/>
  <c r="SVJ1737" i="63"/>
  <c r="SUT1737" i="63"/>
  <c r="SUD1737" i="63"/>
  <c r="STN1737" i="63"/>
  <c r="SSX1737" i="63"/>
  <c r="SSH1737" i="63"/>
  <c r="SRR1737" i="63"/>
  <c r="SRB1737" i="63"/>
  <c r="SQL1737" i="63"/>
  <c r="SPV1737" i="63"/>
  <c r="SPF1737" i="63"/>
  <c r="SOP1737" i="63"/>
  <c r="SNZ1737" i="63"/>
  <c r="SNJ1737" i="63"/>
  <c r="SMT1737" i="63"/>
  <c r="SMD1737" i="63"/>
  <c r="SLN1737" i="63"/>
  <c r="SKX1737" i="63"/>
  <c r="SKH1737" i="63"/>
  <c r="SJR1737" i="63"/>
  <c r="SJB1737" i="63"/>
  <c r="SIL1737" i="63"/>
  <c r="SHV1737" i="63"/>
  <c r="SHF1737" i="63"/>
  <c r="SGP1737" i="63"/>
  <c r="SFZ1737" i="63"/>
  <c r="SFJ1737" i="63"/>
  <c r="SET1737" i="63"/>
  <c r="SED1737" i="63"/>
  <c r="SDN1737" i="63"/>
  <c r="SCX1737" i="63"/>
  <c r="SCH1737" i="63"/>
  <c r="SBR1737" i="63"/>
  <c r="SBB1737" i="63"/>
  <c r="SAL1737" i="63"/>
  <c r="RZV1737" i="63"/>
  <c r="RZF1737" i="63"/>
  <c r="RYP1737" i="63"/>
  <c r="RXZ1737" i="63"/>
  <c r="RXJ1737" i="63"/>
  <c r="RWT1737" i="63"/>
  <c r="RWD1737" i="63"/>
  <c r="RVN1737" i="63"/>
  <c r="RUX1737" i="63"/>
  <c r="RUH1737" i="63"/>
  <c r="RTR1737" i="63"/>
  <c r="RTB1737" i="63"/>
  <c r="RSL1737" i="63"/>
  <c r="RRV1737" i="63"/>
  <c r="RRF1737" i="63"/>
  <c r="RQP1737" i="63"/>
  <c r="RPZ1737" i="63"/>
  <c r="RPJ1737" i="63"/>
  <c r="ROT1737" i="63"/>
  <c r="ROD1737" i="63"/>
  <c r="RNN1737" i="63"/>
  <c r="RMX1737" i="63"/>
  <c r="RMH1737" i="63"/>
  <c r="RLR1737" i="63"/>
  <c r="RLB1737" i="63"/>
  <c r="RKL1737" i="63"/>
  <c r="RJV1737" i="63"/>
  <c r="RJF1737" i="63"/>
  <c r="RIP1737" i="63"/>
  <c r="RHZ1737" i="63"/>
  <c r="RHJ1737" i="63"/>
  <c r="RGT1737" i="63"/>
  <c r="RGD1737" i="63"/>
  <c r="RFN1737" i="63"/>
  <c r="REX1737" i="63"/>
  <c r="REH1737" i="63"/>
  <c r="RDR1737" i="63"/>
  <c r="RDB1737" i="63"/>
  <c r="RCL1737" i="63"/>
  <c r="RBV1737" i="63"/>
  <c r="RBF1737" i="63"/>
  <c r="RAP1737" i="63"/>
  <c r="QZZ1737" i="63"/>
  <c r="QZJ1737" i="63"/>
  <c r="QYT1737" i="63"/>
  <c r="QYD1737" i="63"/>
  <c r="QXN1737" i="63"/>
  <c r="QWX1737" i="63"/>
  <c r="QWH1737" i="63"/>
  <c r="QVR1737" i="63"/>
  <c r="QVB1737" i="63"/>
  <c r="QUL1737" i="63"/>
  <c r="QTV1737" i="63"/>
  <c r="QTF1737" i="63"/>
  <c r="QSP1737" i="63"/>
  <c r="QRZ1737" i="63"/>
  <c r="QRJ1737" i="63"/>
  <c r="QQT1737" i="63"/>
  <c r="QQD1737" i="63"/>
  <c r="QPN1737" i="63"/>
  <c r="QOX1737" i="63"/>
  <c r="QOH1737" i="63"/>
  <c r="QNR1737" i="63"/>
  <c r="QNB1737" i="63"/>
  <c r="QML1737" i="63"/>
  <c r="QLV1737" i="63"/>
  <c r="QLF1737" i="63"/>
  <c r="QKP1737" i="63"/>
  <c r="QJZ1737" i="63"/>
  <c r="QJJ1737" i="63"/>
  <c r="QIT1737" i="63"/>
  <c r="QID1737" i="63"/>
  <c r="QHN1737" i="63"/>
  <c r="QGX1737" i="63"/>
  <c r="QGH1737" i="63"/>
  <c r="QFR1737" i="63"/>
  <c r="QFB1737" i="63"/>
  <c r="QEL1737" i="63"/>
  <c r="QDV1737" i="63"/>
  <c r="QDF1737" i="63"/>
  <c r="QCP1737" i="63"/>
  <c r="QBZ1737" i="63"/>
  <c r="QBJ1737" i="63"/>
  <c r="QAT1737" i="63"/>
  <c r="QAD1737" i="63"/>
  <c r="PZN1737" i="63"/>
  <c r="PYX1737" i="63"/>
  <c r="PYH1737" i="63"/>
  <c r="PXR1737" i="63"/>
  <c r="PXB1737" i="63"/>
  <c r="PWL1737" i="63"/>
  <c r="PVV1737" i="63"/>
  <c r="PVF1737" i="63"/>
  <c r="PUP1737" i="63"/>
  <c r="PTZ1737" i="63"/>
  <c r="PTJ1737" i="63"/>
  <c r="PST1737" i="63"/>
  <c r="PSD1737" i="63"/>
  <c r="PRN1737" i="63"/>
  <c r="PQX1737" i="63"/>
  <c r="PQH1737" i="63"/>
  <c r="PPR1737" i="63"/>
  <c r="PPB1737" i="63"/>
  <c r="POL1737" i="63"/>
  <c r="PNV1737" i="63"/>
  <c r="PNF1737" i="63"/>
  <c r="PMP1737" i="63"/>
  <c r="PLZ1737" i="63"/>
  <c r="PLJ1737" i="63"/>
  <c r="PKT1737" i="63"/>
  <c r="PKD1737" i="63"/>
  <c r="PJN1737" i="63"/>
  <c r="PIX1737" i="63"/>
  <c r="PIH1737" i="63"/>
  <c r="PHR1737" i="63"/>
  <c r="PHB1737" i="63"/>
  <c r="PGL1737" i="63"/>
  <c r="PFV1737" i="63"/>
  <c r="PFF1737" i="63"/>
  <c r="PEP1737" i="63"/>
  <c r="PDZ1737" i="63"/>
  <c r="PDJ1737" i="63"/>
  <c r="PCT1737" i="63"/>
  <c r="PCD1737" i="63"/>
  <c r="PBN1737" i="63"/>
  <c r="PAX1737" i="63"/>
  <c r="PAH1737" i="63"/>
  <c r="OZR1737" i="63"/>
  <c r="OZB1737" i="63"/>
  <c r="OYL1737" i="63"/>
  <c r="OXV1737" i="63"/>
  <c r="OXF1737" i="63"/>
  <c r="OWP1737" i="63"/>
  <c r="OVZ1737" i="63"/>
  <c r="OVJ1737" i="63"/>
  <c r="OUT1737" i="63"/>
  <c r="OUD1737" i="63"/>
  <c r="OTN1737" i="63"/>
  <c r="OSX1737" i="63"/>
  <c r="OSH1737" i="63"/>
  <c r="ORR1737" i="63"/>
  <c r="ORB1737" i="63"/>
  <c r="OQL1737" i="63"/>
  <c r="OPV1737" i="63"/>
  <c r="OPF1737" i="63"/>
  <c r="OOP1737" i="63"/>
  <c r="ONZ1737" i="63"/>
  <c r="ONJ1737" i="63"/>
  <c r="OMT1737" i="63"/>
  <c r="OMD1737" i="63"/>
  <c r="OLN1737" i="63"/>
  <c r="OKX1737" i="63"/>
  <c r="OKH1737" i="63"/>
  <c r="OJR1737" i="63"/>
  <c r="OJB1737" i="63"/>
  <c r="OIL1737" i="63"/>
  <c r="OHV1737" i="63"/>
  <c r="OHF1737" i="63"/>
  <c r="OGP1737" i="63"/>
  <c r="OFZ1737" i="63"/>
  <c r="OFJ1737" i="63"/>
  <c r="OET1737" i="63"/>
  <c r="OED1737" i="63"/>
  <c r="ODN1737" i="63"/>
  <c r="OCX1737" i="63"/>
  <c r="OCH1737" i="63"/>
  <c r="OBR1737" i="63"/>
  <c r="OBB1737" i="63"/>
  <c r="OAL1737" i="63"/>
  <c r="NZV1737" i="63"/>
  <c r="NZF1737" i="63"/>
  <c r="NYP1737" i="63"/>
  <c r="NXZ1737" i="63"/>
  <c r="NXJ1737" i="63"/>
  <c r="NWT1737" i="63"/>
  <c r="NWD1737" i="63"/>
  <c r="NVN1737" i="63"/>
  <c r="NUX1737" i="63"/>
  <c r="NUH1737" i="63"/>
  <c r="NTR1737" i="63"/>
  <c r="NTB1737" i="63"/>
  <c r="NSL1737" i="63"/>
  <c r="NRV1737" i="63"/>
  <c r="NRF1737" i="63"/>
  <c r="NQP1737" i="63"/>
  <c r="NPZ1737" i="63"/>
  <c r="NPJ1737" i="63"/>
  <c r="NOT1737" i="63"/>
  <c r="NOD1737" i="63"/>
  <c r="NNN1737" i="63"/>
  <c r="NMX1737" i="63"/>
  <c r="NMH1737" i="63"/>
  <c r="NLR1737" i="63"/>
  <c r="NLB1737" i="63"/>
  <c r="NKL1737" i="63"/>
  <c r="NJV1737" i="63"/>
  <c r="NJF1737" i="63"/>
  <c r="NIP1737" i="63"/>
  <c r="NHZ1737" i="63"/>
  <c r="NHJ1737" i="63"/>
  <c r="NGT1737" i="63"/>
  <c r="NGD1737" i="63"/>
  <c r="NFN1737" i="63"/>
  <c r="NEX1737" i="63"/>
  <c r="NEH1737" i="63"/>
  <c r="NDR1737" i="63"/>
  <c r="NDB1737" i="63"/>
  <c r="NCL1737" i="63"/>
  <c r="NBV1737" i="63"/>
  <c r="NBF1737" i="63"/>
  <c r="NAP1737" i="63"/>
  <c r="MZZ1737" i="63"/>
  <c r="MZJ1737" i="63"/>
  <c r="MYT1737" i="63"/>
  <c r="MYD1737" i="63"/>
  <c r="MXN1737" i="63"/>
  <c r="MWX1737" i="63"/>
  <c r="MWH1737" i="63"/>
  <c r="MVR1737" i="63"/>
  <c r="MVB1737" i="63"/>
  <c r="MUL1737" i="63"/>
  <c r="MTV1737" i="63"/>
  <c r="MTF1737" i="63"/>
  <c r="MSP1737" i="63"/>
  <c r="MRZ1737" i="63"/>
  <c r="MRJ1737" i="63"/>
  <c r="MQT1737" i="63"/>
  <c r="MQD1737" i="63"/>
  <c r="MPN1737" i="63"/>
  <c r="MOX1737" i="63"/>
  <c r="MOH1737" i="63"/>
  <c r="MNR1737" i="63"/>
  <c r="MNB1737" i="63"/>
  <c r="MML1737" i="63"/>
  <c r="MLV1737" i="63"/>
  <c r="MLF1737" i="63"/>
  <c r="MKP1737" i="63"/>
  <c r="MJZ1737" i="63"/>
  <c r="MJJ1737" i="63"/>
  <c r="MIT1737" i="63"/>
  <c r="MID1737" i="63"/>
  <c r="MHN1737" i="63"/>
  <c r="MGX1737" i="63"/>
  <c r="MGH1737" i="63"/>
  <c r="MFR1737" i="63"/>
  <c r="MFB1737" i="63"/>
  <c r="MEL1737" i="63"/>
  <c r="MDV1737" i="63"/>
  <c r="MDF1737" i="63"/>
  <c r="MCP1737" i="63"/>
  <c r="MBZ1737" i="63"/>
  <c r="MBJ1737" i="63"/>
  <c r="MAT1737" i="63"/>
  <c r="MAD1737" i="63"/>
  <c r="LZN1737" i="63"/>
  <c r="LYX1737" i="63"/>
  <c r="LYH1737" i="63"/>
  <c r="LXR1737" i="63"/>
  <c r="LXB1737" i="63"/>
  <c r="LWL1737" i="63"/>
  <c r="LVV1737" i="63"/>
  <c r="LVF1737" i="63"/>
  <c r="LUP1737" i="63"/>
  <c r="LTZ1737" i="63"/>
  <c r="LTJ1737" i="63"/>
  <c r="LST1737" i="63"/>
  <c r="LSD1737" i="63"/>
  <c r="LRN1737" i="63"/>
  <c r="LQX1737" i="63"/>
  <c r="LQH1737" i="63"/>
  <c r="LPR1737" i="63"/>
  <c r="LPB1737" i="63"/>
  <c r="LOL1737" i="63"/>
  <c r="LNV1737" i="63"/>
  <c r="LNF1737" i="63"/>
  <c r="LMP1737" i="63"/>
  <c r="LLZ1737" i="63"/>
  <c r="LLJ1737" i="63"/>
  <c r="LKT1737" i="63"/>
  <c r="LKD1737" i="63"/>
  <c r="LJN1737" i="63"/>
  <c r="LIX1737" i="63"/>
  <c r="LIH1737" i="63"/>
  <c r="LHR1737" i="63"/>
  <c r="LHB1737" i="63"/>
  <c r="LGL1737" i="63"/>
  <c r="LFV1737" i="63"/>
  <c r="LFF1737" i="63"/>
  <c r="LEP1737" i="63"/>
  <c r="LDZ1737" i="63"/>
  <c r="LDJ1737" i="63"/>
  <c r="LCT1737" i="63"/>
  <c r="LCD1737" i="63"/>
  <c r="LBN1737" i="63"/>
  <c r="LAX1737" i="63"/>
  <c r="LAH1737" i="63"/>
  <c r="KZR1737" i="63"/>
  <c r="KZB1737" i="63"/>
  <c r="KYL1737" i="63"/>
  <c r="KXV1737" i="63"/>
  <c r="KXF1737" i="63"/>
  <c r="KWP1737" i="63"/>
  <c r="KVZ1737" i="63"/>
  <c r="KVJ1737" i="63"/>
  <c r="KUT1737" i="63"/>
  <c r="KUD1737" i="63"/>
  <c r="KTN1737" i="63"/>
  <c r="KSX1737" i="63"/>
  <c r="KSH1737" i="63"/>
  <c r="KRR1737" i="63"/>
  <c r="KRB1737" i="63"/>
  <c r="KQL1737" i="63"/>
  <c r="KPV1737" i="63"/>
  <c r="KPF1737" i="63"/>
  <c r="KOP1737" i="63"/>
  <c r="KNZ1737" i="63"/>
  <c r="KNJ1737" i="63"/>
  <c r="KMT1737" i="63"/>
  <c r="KMD1737" i="63"/>
  <c r="KLN1737" i="63"/>
  <c r="KKX1737" i="63"/>
  <c r="KKH1737" i="63"/>
  <c r="KJR1737" i="63"/>
  <c r="KJB1737" i="63"/>
  <c r="KIL1737" i="63"/>
  <c r="KHV1737" i="63"/>
  <c r="KHF1737" i="63"/>
  <c r="KGP1737" i="63"/>
  <c r="KFZ1737" i="63"/>
  <c r="KFJ1737" i="63"/>
  <c r="KET1737" i="63"/>
  <c r="KED1737" i="63"/>
  <c r="KDN1737" i="63"/>
  <c r="KCX1737" i="63"/>
  <c r="KCH1737" i="63"/>
  <c r="KBR1737" i="63"/>
  <c r="KBB1737" i="63"/>
  <c r="KAL1737" i="63"/>
  <c r="JZV1737" i="63"/>
  <c r="JZF1737" i="63"/>
  <c r="JYP1737" i="63"/>
  <c r="JXZ1737" i="63"/>
  <c r="JXJ1737" i="63"/>
  <c r="JWT1737" i="63"/>
  <c r="JWD1737" i="63"/>
  <c r="JVN1737" i="63"/>
  <c r="JUX1737" i="63"/>
  <c r="JUH1737" i="63"/>
  <c r="JTR1737" i="63"/>
  <c r="JTB1737" i="63"/>
  <c r="JSL1737" i="63"/>
  <c r="JRV1737" i="63"/>
  <c r="JRF1737" i="63"/>
  <c r="JQP1737" i="63"/>
  <c r="JPZ1737" i="63"/>
  <c r="JPJ1737" i="63"/>
  <c r="JOT1737" i="63"/>
  <c r="JOD1737" i="63"/>
  <c r="JNN1737" i="63"/>
  <c r="JMX1737" i="63"/>
  <c r="JMH1737" i="63"/>
  <c r="JLR1737" i="63"/>
  <c r="JLB1737" i="63"/>
  <c r="JKL1737" i="63"/>
  <c r="JJV1737" i="63"/>
  <c r="JJF1737" i="63"/>
  <c r="JIP1737" i="63"/>
  <c r="JHZ1737" i="63"/>
  <c r="JHJ1737" i="63"/>
  <c r="JGT1737" i="63"/>
  <c r="JGD1737" i="63"/>
  <c r="JFN1737" i="63"/>
  <c r="JEX1737" i="63"/>
  <c r="JEH1737" i="63"/>
  <c r="JDR1737" i="63"/>
  <c r="JDB1737" i="63"/>
  <c r="JCL1737" i="63"/>
  <c r="JBV1737" i="63"/>
  <c r="JBF1737" i="63"/>
  <c r="JAP1737" i="63"/>
  <c r="IZZ1737" i="63"/>
  <c r="IZJ1737" i="63"/>
  <c r="IYT1737" i="63"/>
  <c r="IYD1737" i="63"/>
  <c r="IXN1737" i="63"/>
  <c r="IWX1737" i="63"/>
  <c r="IWH1737" i="63"/>
  <c r="IVR1737" i="63"/>
  <c r="IVB1737" i="63"/>
  <c r="IUL1737" i="63"/>
  <c r="ITV1737" i="63"/>
  <c r="ITF1737" i="63"/>
  <c r="ISP1737" i="63"/>
  <c r="IRZ1737" i="63"/>
  <c r="IRJ1737" i="63"/>
  <c r="IQT1737" i="63"/>
  <c r="IQD1737" i="63"/>
  <c r="IPN1737" i="63"/>
  <c r="IOX1737" i="63"/>
  <c r="IOH1737" i="63"/>
  <c r="INR1737" i="63"/>
  <c r="INB1737" i="63"/>
  <c r="IML1737" i="63"/>
  <c r="ILV1737" i="63"/>
  <c r="ILF1737" i="63"/>
  <c r="IKP1737" i="63"/>
  <c r="IJZ1737" i="63"/>
  <c r="IJJ1737" i="63"/>
  <c r="IIT1737" i="63"/>
  <c r="IID1737" i="63"/>
  <c r="IHN1737" i="63"/>
  <c r="IGX1737" i="63"/>
  <c r="IGH1737" i="63"/>
  <c r="IFR1737" i="63"/>
  <c r="IFB1737" i="63"/>
  <c r="IEL1737" i="63"/>
  <c r="IDV1737" i="63"/>
  <c r="IDF1737" i="63"/>
  <c r="ICP1737" i="63"/>
  <c r="IBZ1737" i="63"/>
  <c r="IBJ1737" i="63"/>
  <c r="IAT1737" i="63"/>
  <c r="IAD1737" i="63"/>
  <c r="HZN1737" i="63"/>
  <c r="HYX1737" i="63"/>
  <c r="HYH1737" i="63"/>
  <c r="HXR1737" i="63"/>
  <c r="HXB1737" i="63"/>
  <c r="HWL1737" i="63"/>
  <c r="HVV1737" i="63"/>
  <c r="HVF1737" i="63"/>
  <c r="HUP1737" i="63"/>
  <c r="HTZ1737" i="63"/>
  <c r="HTJ1737" i="63"/>
  <c r="HST1737" i="63"/>
  <c r="HSD1737" i="63"/>
  <c r="HRN1737" i="63"/>
  <c r="HQX1737" i="63"/>
  <c r="HQH1737" i="63"/>
  <c r="HPR1737" i="63"/>
  <c r="HPB1737" i="63"/>
  <c r="HOL1737" i="63"/>
  <c r="HNV1737" i="63"/>
  <c r="HNF1737" i="63"/>
  <c r="HMP1737" i="63"/>
  <c r="HLZ1737" i="63"/>
  <c r="HLJ1737" i="63"/>
  <c r="HKT1737" i="63"/>
  <c r="HKD1737" i="63"/>
  <c r="HJN1737" i="63"/>
  <c r="HIX1737" i="63"/>
  <c r="HIH1737" i="63"/>
  <c r="HHR1737" i="63"/>
  <c r="HHB1737" i="63"/>
  <c r="HGL1737" i="63"/>
  <c r="HFV1737" i="63"/>
  <c r="HFF1737" i="63"/>
  <c r="HEP1737" i="63"/>
  <c r="HDZ1737" i="63"/>
  <c r="HDJ1737" i="63"/>
  <c r="HCT1737" i="63"/>
  <c r="HCD1737" i="63"/>
  <c r="HBN1737" i="63"/>
  <c r="HAX1737" i="63"/>
  <c r="HAH1737" i="63"/>
  <c r="GZR1737" i="63"/>
  <c r="GZB1737" i="63"/>
  <c r="GYL1737" i="63"/>
  <c r="GXV1737" i="63"/>
  <c r="GXF1737" i="63"/>
  <c r="GWP1737" i="63"/>
  <c r="GVZ1737" i="63"/>
  <c r="GVJ1737" i="63"/>
  <c r="GUT1737" i="63"/>
  <c r="GUD1737" i="63"/>
  <c r="GTN1737" i="63"/>
  <c r="GSX1737" i="63"/>
  <c r="GSH1737" i="63"/>
  <c r="GRR1737" i="63"/>
  <c r="GRB1737" i="63"/>
  <c r="GQL1737" i="63"/>
  <c r="GPV1737" i="63"/>
  <c r="GPF1737" i="63"/>
  <c r="GOP1737" i="63"/>
  <c r="GNZ1737" i="63"/>
  <c r="GNJ1737" i="63"/>
  <c r="GMT1737" i="63"/>
  <c r="GMD1737" i="63"/>
  <c r="GLN1737" i="63"/>
  <c r="GKX1737" i="63"/>
  <c r="GKH1737" i="63"/>
  <c r="GJR1737" i="63"/>
  <c r="GJB1737" i="63"/>
  <c r="GIL1737" i="63"/>
  <c r="GHV1737" i="63"/>
  <c r="GHF1737" i="63"/>
  <c r="GGP1737" i="63"/>
  <c r="GFZ1737" i="63"/>
  <c r="GFJ1737" i="63"/>
  <c r="GET1737" i="63"/>
  <c r="GED1737" i="63"/>
  <c r="GDN1737" i="63"/>
  <c r="GCX1737" i="63"/>
  <c r="GCH1737" i="63"/>
  <c r="GBR1737" i="63"/>
  <c r="GBB1737" i="63"/>
  <c r="GAL1737" i="63"/>
  <c r="FZV1737" i="63"/>
  <c r="FZF1737" i="63"/>
  <c r="FYP1737" i="63"/>
  <c r="FXZ1737" i="63"/>
  <c r="FXJ1737" i="63"/>
  <c r="FWT1737" i="63"/>
  <c r="FWD1737" i="63"/>
  <c r="FVN1737" i="63"/>
  <c r="FUX1737" i="63"/>
  <c r="FUH1737" i="63"/>
  <c r="FTR1737" i="63"/>
  <c r="FTB1737" i="63"/>
  <c r="FSL1737" i="63"/>
  <c r="FRV1737" i="63"/>
  <c r="FRF1737" i="63"/>
  <c r="FQP1737" i="63"/>
  <c r="FPZ1737" i="63"/>
  <c r="FPJ1737" i="63"/>
  <c r="FOT1737" i="63"/>
  <c r="FOD1737" i="63"/>
  <c r="FNN1737" i="63"/>
  <c r="FMX1737" i="63"/>
  <c r="FMH1737" i="63"/>
  <c r="FLR1737" i="63"/>
  <c r="FLB1737" i="63"/>
  <c r="FKL1737" i="63"/>
  <c r="FJV1737" i="63"/>
  <c r="FJF1737" i="63"/>
  <c r="FIP1737" i="63"/>
  <c r="FHZ1737" i="63"/>
  <c r="FHJ1737" i="63"/>
  <c r="FGT1737" i="63"/>
  <c r="FGD1737" i="63"/>
  <c r="FFN1737" i="63"/>
  <c r="FEX1737" i="63"/>
  <c r="FEH1737" i="63"/>
  <c r="FDR1737" i="63"/>
  <c r="FDB1737" i="63"/>
  <c r="FCL1737" i="63"/>
  <c r="FBV1737" i="63"/>
  <c r="FBF1737" i="63"/>
  <c r="FAP1737" i="63"/>
  <c r="EZZ1737" i="63"/>
  <c r="EZJ1737" i="63"/>
  <c r="EYT1737" i="63"/>
  <c r="EYD1737" i="63"/>
  <c r="EXN1737" i="63"/>
  <c r="EWX1737" i="63"/>
  <c r="EWH1737" i="63"/>
  <c r="EVR1737" i="63"/>
  <c r="EVB1737" i="63"/>
  <c r="EUL1737" i="63"/>
  <c r="ETV1737" i="63"/>
  <c r="ETF1737" i="63"/>
  <c r="ESP1737" i="63"/>
  <c r="ERZ1737" i="63"/>
  <c r="ERJ1737" i="63"/>
  <c r="EQT1737" i="63"/>
  <c r="EQD1737" i="63"/>
  <c r="EPN1737" i="63"/>
  <c r="EOX1737" i="63"/>
  <c r="EOH1737" i="63"/>
  <c r="ENR1737" i="63"/>
  <c r="ENB1737" i="63"/>
  <c r="EML1737" i="63"/>
  <c r="ELV1737" i="63"/>
  <c r="ELF1737" i="63"/>
  <c r="EKP1737" i="63"/>
  <c r="EJZ1737" i="63"/>
  <c r="EJJ1737" i="63"/>
  <c r="EIT1737" i="63"/>
  <c r="EID1737" i="63"/>
  <c r="EHN1737" i="63"/>
  <c r="EGX1737" i="63"/>
  <c r="EGH1737" i="63"/>
  <c r="EFR1737" i="63"/>
  <c r="EFB1737" i="63"/>
  <c r="EEL1737" i="63"/>
  <c r="EDV1737" i="63"/>
  <c r="EDF1737" i="63"/>
  <c r="ECP1737" i="63"/>
  <c r="EBZ1737" i="63"/>
  <c r="EBJ1737" i="63"/>
  <c r="EAT1737" i="63"/>
  <c r="EAD1737" i="63"/>
  <c r="DZN1737" i="63"/>
  <c r="DYX1737" i="63"/>
  <c r="DYH1737" i="63"/>
  <c r="DXR1737" i="63"/>
  <c r="DXB1737" i="63"/>
  <c r="DWL1737" i="63"/>
  <c r="DVV1737" i="63"/>
  <c r="DVF1737" i="63"/>
  <c r="DUP1737" i="63"/>
  <c r="DTZ1737" i="63"/>
  <c r="DTJ1737" i="63"/>
  <c r="DST1737" i="63"/>
  <c r="DSD1737" i="63"/>
  <c r="DRN1737" i="63"/>
  <c r="DQX1737" i="63"/>
  <c r="DQH1737" i="63"/>
  <c r="DPR1737" i="63"/>
  <c r="DPB1737" i="63"/>
  <c r="DOL1737" i="63"/>
  <c r="DNV1737" i="63"/>
  <c r="DNF1737" i="63"/>
  <c r="DMP1737" i="63"/>
  <c r="DLZ1737" i="63"/>
  <c r="DLJ1737" i="63"/>
  <c r="DKT1737" i="63"/>
  <c r="DKD1737" i="63"/>
  <c r="DJN1737" i="63"/>
  <c r="DIX1737" i="63"/>
  <c r="DIH1737" i="63"/>
  <c r="DHR1737" i="63"/>
  <c r="DHB1737" i="63"/>
  <c r="DGL1737" i="63"/>
  <c r="DFV1737" i="63"/>
  <c r="DFF1737" i="63"/>
  <c r="DEP1737" i="63"/>
  <c r="DDZ1737" i="63"/>
  <c r="DDJ1737" i="63"/>
  <c r="DCT1737" i="63"/>
  <c r="DCD1737" i="63"/>
  <c r="DBN1737" i="63"/>
  <c r="DAX1737" i="63"/>
  <c r="DAH1737" i="63"/>
  <c r="CZR1737" i="63"/>
  <c r="CZB1737" i="63"/>
  <c r="CYL1737" i="63"/>
  <c r="CXV1737" i="63"/>
  <c r="CXF1737" i="63"/>
  <c r="CWP1737" i="63"/>
  <c r="CVZ1737" i="63"/>
  <c r="CVJ1737" i="63"/>
  <c r="CUT1737" i="63"/>
  <c r="CUD1737" i="63"/>
  <c r="CTN1737" i="63"/>
  <c r="CSX1737" i="63"/>
  <c r="CSH1737" i="63"/>
  <c r="CRR1737" i="63"/>
  <c r="CRB1737" i="63"/>
  <c r="CQL1737" i="63"/>
  <c r="CPV1737" i="63"/>
  <c r="CPF1737" i="63"/>
  <c r="COP1737" i="63"/>
  <c r="CNZ1737" i="63"/>
  <c r="CNJ1737" i="63"/>
  <c r="CMT1737" i="63"/>
  <c r="CMD1737" i="63"/>
  <c r="CLN1737" i="63"/>
  <c r="CKX1737" i="63"/>
  <c r="CKH1737" i="63"/>
  <c r="CJR1737" i="63"/>
  <c r="CJB1737" i="63"/>
  <c r="CIL1737" i="63"/>
  <c r="CHV1737" i="63"/>
  <c r="CHF1737" i="63"/>
  <c r="CGP1737" i="63"/>
  <c r="CFZ1737" i="63"/>
  <c r="CFJ1737" i="63"/>
  <c r="CET1737" i="63"/>
  <c r="CED1737" i="63"/>
  <c r="CDN1737" i="63"/>
  <c r="CCX1737" i="63"/>
  <c r="CCH1737" i="63"/>
  <c r="CBR1737" i="63"/>
  <c r="CBB1737" i="63"/>
  <c r="CAL1737" i="63"/>
  <c r="BZV1737" i="63"/>
  <c r="BZF1737" i="63"/>
  <c r="BYP1737" i="63"/>
  <c r="BXZ1737" i="63"/>
  <c r="BXJ1737" i="63"/>
  <c r="BWT1737" i="63"/>
  <c r="BWD1737" i="63"/>
  <c r="BVN1737" i="63"/>
  <c r="BUX1737" i="63"/>
  <c r="BUH1737" i="63"/>
  <c r="BTR1737" i="63"/>
  <c r="BTB1737" i="63"/>
  <c r="BSL1737" i="63"/>
  <c r="BRV1737" i="63"/>
  <c r="BRF1737" i="63"/>
  <c r="BQP1737" i="63"/>
  <c r="BPZ1737" i="63"/>
  <c r="BPJ1737" i="63"/>
  <c r="BOT1737" i="63"/>
  <c r="BOD1737" i="63"/>
  <c r="BNN1737" i="63"/>
  <c r="BMX1737" i="63"/>
  <c r="BMH1737" i="63"/>
  <c r="BLR1737" i="63"/>
  <c r="BLB1737" i="63"/>
  <c r="BKL1737" i="63"/>
  <c r="BJV1737" i="63"/>
  <c r="BJF1737" i="63"/>
  <c r="BIP1737" i="63"/>
  <c r="BHZ1737" i="63"/>
  <c r="BHJ1737" i="63"/>
  <c r="BGT1737" i="63"/>
  <c r="BGD1737" i="63"/>
  <c r="BFN1737" i="63"/>
  <c r="BEX1737" i="63"/>
  <c r="BEH1737" i="63"/>
  <c r="BDR1737" i="63"/>
  <c r="BDB1737" i="63"/>
  <c r="BCL1737" i="63"/>
  <c r="BBV1737" i="63"/>
  <c r="BBF1737" i="63"/>
  <c r="BAP1737" i="63"/>
  <c r="AZZ1737" i="63"/>
  <c r="AZJ1737" i="63"/>
  <c r="AYT1737" i="63"/>
  <c r="AYD1737" i="63"/>
  <c r="AXN1737" i="63"/>
  <c r="AWX1737" i="63"/>
  <c r="AWH1737" i="63"/>
  <c r="AVR1737" i="63"/>
  <c r="AVB1737" i="63"/>
  <c r="AUL1737" i="63"/>
  <c r="ATV1737" i="63"/>
  <c r="ATF1737" i="63"/>
  <c r="ASP1737" i="63"/>
  <c r="ARZ1737" i="63"/>
  <c r="ARJ1737" i="63"/>
  <c r="AQT1737" i="63"/>
  <c r="AQD1737" i="63"/>
  <c r="APN1737" i="63"/>
  <c r="AOX1737" i="63"/>
  <c r="AOH1737" i="63"/>
  <c r="ANR1737" i="63"/>
  <c r="ANB1737" i="63"/>
  <c r="AML1737" i="63"/>
  <c r="ALV1737" i="63"/>
  <c r="ALF1737" i="63"/>
  <c r="AKP1737" i="63"/>
  <c r="AJZ1737" i="63"/>
  <c r="AJJ1737" i="63"/>
  <c r="AIT1737" i="63"/>
  <c r="AID1737" i="63"/>
  <c r="AHN1737" i="63"/>
  <c r="AGX1737" i="63"/>
  <c r="AGH1737" i="63"/>
  <c r="AFR1737" i="63"/>
  <c r="AFB1737" i="63"/>
  <c r="AEL1737" i="63"/>
  <c r="ADV1737" i="63"/>
  <c r="ADF1737" i="63"/>
  <c r="ACP1737" i="63"/>
  <c r="ABZ1737" i="63"/>
  <c r="ABJ1737" i="63"/>
  <c r="AAT1737" i="63"/>
  <c r="AAD1737" i="63"/>
  <c r="ZN1737" i="63"/>
  <c r="YX1737" i="63"/>
  <c r="YH1737" i="63"/>
  <c r="XR1737" i="63"/>
  <c r="XB1737" i="63"/>
  <c r="WL1737" i="63"/>
  <c r="VV1737" i="63"/>
  <c r="VF1737" i="63"/>
  <c r="UP1737" i="63"/>
  <c r="TZ1737" i="63"/>
  <c r="TJ1737" i="63"/>
  <c r="ST1737" i="63"/>
  <c r="SD1737" i="63"/>
  <c r="RN1737" i="63"/>
  <c r="QX1737" i="63"/>
  <c r="QH1737" i="63"/>
  <c r="PR1737" i="63"/>
  <c r="PB1737" i="63"/>
  <c r="OL1737" i="63"/>
  <c r="NV1737" i="63"/>
  <c r="NF1737" i="63"/>
  <c r="MP1737" i="63"/>
  <c r="LZ1737" i="63"/>
  <c r="LJ1737" i="63"/>
  <c r="KT1737" i="63"/>
  <c r="KD1737" i="63"/>
  <c r="JN1737" i="63"/>
  <c r="IX1737" i="63"/>
  <c r="IH1737" i="63"/>
  <c r="HR1737" i="63"/>
  <c r="HB1737" i="63"/>
  <c r="GL1737" i="63"/>
  <c r="FV1737" i="63"/>
  <c r="FF1737" i="63"/>
  <c r="EP1737" i="63"/>
  <c r="DZ1737" i="63"/>
  <c r="DJ1737" i="63"/>
  <c r="CT1737" i="63"/>
  <c r="C1737" i="63"/>
  <c r="C392" i="62" s="1"/>
  <c r="O1734" i="63"/>
  <c r="O1735" i="63" s="1"/>
  <c r="E391" i="62" s="1"/>
  <c r="C1733" i="63"/>
  <c r="C391" i="62" s="1"/>
  <c r="O1731" i="63"/>
  <c r="O1732" i="63" s="1"/>
  <c r="E390" i="62" s="1"/>
  <c r="C1730" i="63"/>
  <c r="C390" i="62" s="1"/>
  <c r="O1727" i="63"/>
  <c r="O1728" i="63" s="1"/>
  <c r="E389" i="62" s="1"/>
  <c r="C1726" i="63"/>
  <c r="C389" i="62" s="1"/>
  <c r="O1723" i="63"/>
  <c r="O1724" i="63" s="1"/>
  <c r="E388" i="62" s="1"/>
  <c r="C1722" i="63"/>
  <c r="C388" i="62" s="1"/>
  <c r="O1720" i="63"/>
  <c r="O1721" i="63" s="1"/>
  <c r="E387" i="62" s="1"/>
  <c r="C1719" i="63"/>
  <c r="C387" i="62" s="1"/>
  <c r="O1717" i="63"/>
  <c r="O1718" i="63" s="1"/>
  <c r="E386" i="62" s="1"/>
  <c r="C1716" i="63"/>
  <c r="C386" i="62" s="1"/>
  <c r="O1714" i="63"/>
  <c r="O1715" i="63" s="1"/>
  <c r="E385" i="62" s="1"/>
  <c r="C1713" i="63"/>
  <c r="C385" i="62" s="1"/>
  <c r="O1711" i="63"/>
  <c r="O1712" i="63" s="1"/>
  <c r="E384" i="62" s="1"/>
  <c r="C1710" i="63"/>
  <c r="C384" i="62" s="1"/>
  <c r="O1708" i="63"/>
  <c r="O1709" i="63" s="1"/>
  <c r="E383" i="62" s="1"/>
  <c r="C1707" i="63"/>
  <c r="C383" i="62" s="1"/>
  <c r="O1705" i="63"/>
  <c r="O1706" i="63" s="1"/>
  <c r="E382" i="62" s="1"/>
  <c r="C1704" i="63"/>
  <c r="C382" i="62" s="1"/>
  <c r="O1702" i="63"/>
  <c r="O1703" i="63" s="1"/>
  <c r="E381" i="62" s="1"/>
  <c r="C1701" i="63"/>
  <c r="C381" i="62" s="1"/>
  <c r="O1699" i="63"/>
  <c r="O1700" i="63" s="1"/>
  <c r="E380" i="62" s="1"/>
  <c r="C1698" i="63"/>
  <c r="C380" i="62" s="1"/>
  <c r="O1696" i="63"/>
  <c r="O1697" i="63" s="1"/>
  <c r="E379" i="62" s="1"/>
  <c r="C1695" i="63"/>
  <c r="C379" i="62" s="1"/>
  <c r="O1693" i="63"/>
  <c r="O1694" i="63" s="1"/>
  <c r="E378" i="62" s="1"/>
  <c r="C1692" i="63"/>
  <c r="C378" i="62" s="1"/>
  <c r="O1690" i="63"/>
  <c r="O1691" i="63" s="1"/>
  <c r="E377" i="62" s="1"/>
  <c r="C1689" i="63"/>
  <c r="C377" i="62" s="1"/>
  <c r="O1687" i="63"/>
  <c r="O1688" i="63" s="1"/>
  <c r="E376" i="62" s="1"/>
  <c r="C1686" i="63"/>
  <c r="C376" i="62" s="1"/>
  <c r="O1684" i="63"/>
  <c r="O1685" i="63" s="1"/>
  <c r="E375" i="62" s="1"/>
  <c r="C1683" i="63"/>
  <c r="C375" i="62" s="1"/>
  <c r="O1681" i="63"/>
  <c r="O1682" i="63" s="1"/>
  <c r="E374" i="62" s="1"/>
  <c r="C1680" i="63"/>
  <c r="C374" i="62" s="1"/>
  <c r="O1678" i="63"/>
  <c r="O1679" i="63" s="1"/>
  <c r="E373" i="62" s="1"/>
  <c r="C1677" i="63"/>
  <c r="C373" i="62" s="1"/>
  <c r="O1675" i="63"/>
  <c r="O1676" i="63" s="1"/>
  <c r="E372" i="62" s="1"/>
  <c r="C1674" i="63"/>
  <c r="C372" i="62" s="1"/>
  <c r="O1672" i="63"/>
  <c r="O1673" i="63" s="1"/>
  <c r="E371" i="62" s="1"/>
  <c r="C1671" i="63"/>
  <c r="C371" i="62" s="1"/>
  <c r="O1669" i="63"/>
  <c r="O1670" i="63" s="1"/>
  <c r="E370" i="62" s="1"/>
  <c r="C1668" i="63"/>
  <c r="C370" i="62" s="1"/>
  <c r="O1666" i="63"/>
  <c r="O1667" i="63" s="1"/>
  <c r="E369" i="62" s="1"/>
  <c r="C1665" i="63"/>
  <c r="C369" i="62" s="1"/>
  <c r="O1661" i="63"/>
  <c r="O1662" i="63" s="1"/>
  <c r="E368" i="62" s="1"/>
  <c r="C1660" i="63"/>
  <c r="C368" i="62" s="1"/>
  <c r="E1658" i="63"/>
  <c r="O1658" i="63" s="1"/>
  <c r="O1659" i="63" s="1"/>
  <c r="E367" i="62" s="1"/>
  <c r="C1657" i="63"/>
  <c r="C367" i="62" s="1"/>
  <c r="O1655" i="63"/>
  <c r="O1656" i="63" s="1"/>
  <c r="E366" i="62" s="1"/>
  <c r="C1654" i="63"/>
  <c r="C366" i="62" s="1"/>
  <c r="O1652" i="63"/>
  <c r="O1653" i="63" s="1"/>
  <c r="E365" i="62" s="1"/>
  <c r="C1651" i="63"/>
  <c r="C365" i="62" s="1"/>
  <c r="O1649" i="63"/>
  <c r="O1650" i="63" s="1"/>
  <c r="E364" i="62" s="1"/>
  <c r="C1648" i="63"/>
  <c r="C364" i="62" s="1"/>
  <c r="O1646" i="63"/>
  <c r="O1647" i="63" s="1"/>
  <c r="E363" i="62" s="1"/>
  <c r="C1645" i="63"/>
  <c r="C363" i="62" s="1"/>
  <c r="O1643" i="63"/>
  <c r="O1644" i="63" s="1"/>
  <c r="E362" i="62" s="1"/>
  <c r="C1642" i="63"/>
  <c r="C362" i="62" s="1"/>
  <c r="O1640" i="63"/>
  <c r="O1641" i="63" s="1"/>
  <c r="E361" i="62" s="1"/>
  <c r="C1639" i="63"/>
  <c r="C361" i="62" s="1"/>
  <c r="O1637" i="63"/>
  <c r="O1638" i="63" s="1"/>
  <c r="E360" i="62" s="1"/>
  <c r="C1636" i="63"/>
  <c r="C360" i="62" s="1"/>
  <c r="O1634" i="63"/>
  <c r="O1635" i="63" s="1"/>
  <c r="E359" i="62" s="1"/>
  <c r="C1633" i="63"/>
  <c r="C359" i="62" s="1"/>
  <c r="O1631" i="63"/>
  <c r="O1632" i="63" s="1"/>
  <c r="E358" i="62" s="1"/>
  <c r="C1630" i="63"/>
  <c r="C358" i="62" s="1"/>
  <c r="O1628" i="63"/>
  <c r="O1629" i="63" s="1"/>
  <c r="E357" i="62" s="1"/>
  <c r="C1627" i="63"/>
  <c r="C357" i="62" s="1"/>
  <c r="O1625" i="63"/>
  <c r="O1626" i="63" s="1"/>
  <c r="E356" i="62" s="1"/>
  <c r="C1624" i="63"/>
  <c r="C356" i="62" s="1"/>
  <c r="O1622" i="63"/>
  <c r="O1623" i="63" s="1"/>
  <c r="E355" i="62" s="1"/>
  <c r="C1621" i="63"/>
  <c r="C355" i="62" s="1"/>
  <c r="O1563" i="63"/>
  <c r="O1564" i="63" s="1"/>
  <c r="E349" i="62" s="1"/>
  <c r="C1562" i="63"/>
  <c r="C349" i="62" s="1"/>
  <c r="O1560" i="63"/>
  <c r="O1561" i="63" s="1"/>
  <c r="E348" i="62" s="1"/>
  <c r="C1559" i="63"/>
  <c r="C348" i="62" s="1"/>
  <c r="O1557" i="63"/>
  <c r="O1558" i="63" s="1"/>
  <c r="E347" i="62" s="1"/>
  <c r="C1556" i="63"/>
  <c r="C347" i="62" s="1"/>
  <c r="O1554" i="63"/>
  <c r="O1555" i="63" s="1"/>
  <c r="E346" i="62" s="1"/>
  <c r="C1553" i="63"/>
  <c r="C346" i="62" s="1"/>
  <c r="O1548" i="63"/>
  <c r="O1547" i="63"/>
  <c r="C1546" i="63"/>
  <c r="C344" i="62" s="1"/>
  <c r="O1544" i="63"/>
  <c r="O1543" i="63"/>
  <c r="C1542" i="63"/>
  <c r="C343" i="62" s="1"/>
  <c r="O1540" i="63"/>
  <c r="O1541" i="63" s="1"/>
  <c r="E342" i="62" s="1"/>
  <c r="C1539" i="63"/>
  <c r="C342" i="62" s="1"/>
  <c r="O1537" i="63"/>
  <c r="O1538" i="63" s="1"/>
  <c r="E341" i="62" s="1"/>
  <c r="C1536" i="63"/>
  <c r="C341" i="62" s="1"/>
  <c r="O1534" i="63"/>
  <c r="O1535" i="63" s="1"/>
  <c r="E340" i="62" s="1"/>
  <c r="C1533" i="63"/>
  <c r="C340" i="62" s="1"/>
  <c r="O1531" i="63"/>
  <c r="O1532" i="63" s="1"/>
  <c r="E339" i="62" s="1"/>
  <c r="C1530" i="63"/>
  <c r="C339" i="62" s="1"/>
  <c r="O1528" i="63"/>
  <c r="O1527" i="63"/>
  <c r="C1526" i="63"/>
  <c r="C338" i="62" s="1"/>
  <c r="O1524" i="63"/>
  <c r="O1525" i="63" s="1"/>
  <c r="E337" i="62" s="1"/>
  <c r="C1523" i="63"/>
  <c r="C337" i="62" s="1"/>
  <c r="O1521" i="63"/>
  <c r="O1522" i="63" s="1"/>
  <c r="E336" i="62" s="1"/>
  <c r="C1520" i="63"/>
  <c r="C336" i="62" s="1"/>
  <c r="O1518" i="63"/>
  <c r="O1519" i="63" s="1"/>
  <c r="E335" i="62" s="1"/>
  <c r="C1517" i="63"/>
  <c r="C335" i="62" s="1"/>
  <c r="O1515" i="63"/>
  <c r="O1516" i="63" s="1"/>
  <c r="E334" i="62" s="1"/>
  <c r="C1514" i="63"/>
  <c r="C334" i="62" s="1"/>
  <c r="O1512" i="63"/>
  <c r="O1513" i="63" s="1"/>
  <c r="E333" i="62" s="1"/>
  <c r="C1511" i="63"/>
  <c r="C333" i="62" s="1"/>
  <c r="O1509" i="63"/>
  <c r="O1510" i="63" s="1"/>
  <c r="E332" i="62" s="1"/>
  <c r="C1508" i="63"/>
  <c r="C332" i="62" s="1"/>
  <c r="O1506" i="63"/>
  <c r="O1507" i="63" s="1"/>
  <c r="E331" i="62" s="1"/>
  <c r="C1505" i="63"/>
  <c r="C331" i="62" s="1"/>
  <c r="O1503" i="63"/>
  <c r="O1504" i="63" s="1"/>
  <c r="E330" i="62" s="1"/>
  <c r="C1502" i="63"/>
  <c r="C330" i="62" s="1"/>
  <c r="O1500" i="63"/>
  <c r="O1501" i="63" s="1"/>
  <c r="E329" i="62" s="1"/>
  <c r="C1499" i="63"/>
  <c r="C329" i="62" s="1"/>
  <c r="O1497" i="63"/>
  <c r="O1498" i="63" s="1"/>
  <c r="E328" i="62" s="1"/>
  <c r="C1496" i="63"/>
  <c r="C328" i="62" s="1"/>
  <c r="O1492" i="63"/>
  <c r="O1493" i="63" s="1"/>
  <c r="E327" i="62" s="1"/>
  <c r="C1491" i="63"/>
  <c r="C327" i="62" s="1"/>
  <c r="O1489" i="63"/>
  <c r="O1488" i="63"/>
  <c r="O1487" i="63"/>
  <c r="C1486" i="63"/>
  <c r="C326" i="62" s="1"/>
  <c r="O1484" i="63"/>
  <c r="O1485" i="63" s="1"/>
  <c r="E325" i="62" s="1"/>
  <c r="C1483" i="63"/>
  <c r="C325" i="62" s="1"/>
  <c r="O1481" i="63"/>
  <c r="O1482" i="63" s="1"/>
  <c r="E324" i="62" s="1"/>
  <c r="C1480" i="63"/>
  <c r="C324" i="62" s="1"/>
  <c r="O1478" i="63"/>
  <c r="O1479" i="63" s="1"/>
  <c r="E323" i="62" s="1"/>
  <c r="C1477" i="63"/>
  <c r="C323" i="62" s="1"/>
  <c r="O1475" i="63"/>
  <c r="O1476" i="63" s="1"/>
  <c r="E322" i="62" s="1"/>
  <c r="C1474" i="63"/>
  <c r="C322" i="62" s="1"/>
  <c r="O1472" i="63"/>
  <c r="O1473" i="63" s="1"/>
  <c r="E321" i="62" s="1"/>
  <c r="C1471" i="63"/>
  <c r="C321" i="62" s="1"/>
  <c r="O1469" i="63"/>
  <c r="O1470" i="63" s="1"/>
  <c r="E320" i="62" s="1"/>
  <c r="C1468" i="63"/>
  <c r="C320" i="62" s="1"/>
  <c r="O1466" i="63"/>
  <c r="O1467" i="63" s="1"/>
  <c r="E319" i="62" s="1"/>
  <c r="C1465" i="63"/>
  <c r="C319" i="62" s="1"/>
  <c r="E1463" i="63"/>
  <c r="O1463" i="63" s="1"/>
  <c r="E1462" i="63"/>
  <c r="O1462" i="63" s="1"/>
  <c r="O1460" i="63"/>
  <c r="O1459" i="63"/>
  <c r="O1458" i="63"/>
  <c r="O1457" i="63"/>
  <c r="C1456" i="63"/>
  <c r="C318" i="62" s="1"/>
  <c r="C1444" i="63"/>
  <c r="C317" i="62" s="1"/>
  <c r="C1434" i="63"/>
  <c r="C316" i="62" s="1"/>
  <c r="I1432" i="63"/>
  <c r="I1441" i="63" s="1"/>
  <c r="O1441" i="63" s="1"/>
  <c r="E1432" i="63"/>
  <c r="I1431" i="63"/>
  <c r="I1440" i="63" s="1"/>
  <c r="O1440" i="63" s="1"/>
  <c r="E1431" i="63"/>
  <c r="K1431" i="63" s="1"/>
  <c r="K1429" i="63"/>
  <c r="I1429" i="63"/>
  <c r="I1438" i="63" s="1"/>
  <c r="O1438" i="63" s="1"/>
  <c r="K1428" i="63"/>
  <c r="I1428" i="63"/>
  <c r="I1437" i="63" s="1"/>
  <c r="O1437" i="63" s="1"/>
  <c r="K1427" i="63"/>
  <c r="I1427" i="63"/>
  <c r="K1426" i="63"/>
  <c r="I1426" i="63"/>
  <c r="I1435" i="63" s="1"/>
  <c r="O1435" i="63" s="1"/>
  <c r="C1425" i="63"/>
  <c r="C315" i="62" s="1"/>
  <c r="I1423" i="63"/>
  <c r="I1422" i="63"/>
  <c r="O1422" i="63" s="1"/>
  <c r="I1420" i="63"/>
  <c r="I1419" i="63"/>
  <c r="I1418" i="63"/>
  <c r="I1417" i="63"/>
  <c r="O1417" i="63" s="1"/>
  <c r="C1416" i="63"/>
  <c r="C314" i="62" s="1"/>
  <c r="O1414" i="63"/>
  <c r="O1413" i="63"/>
  <c r="O1412" i="63"/>
  <c r="O1411" i="63"/>
  <c r="C1410" i="63"/>
  <c r="C313" i="62" s="1"/>
  <c r="O1387" i="63"/>
  <c r="O1386" i="63"/>
  <c r="O1385" i="63"/>
  <c r="O1384" i="63"/>
  <c r="C1383" i="63"/>
  <c r="C307" i="62" s="1"/>
  <c r="O1379" i="63"/>
  <c r="O1378" i="63"/>
  <c r="O1377" i="63"/>
  <c r="O1376" i="63"/>
  <c r="C1375" i="63"/>
  <c r="C305" i="62" s="1"/>
  <c r="O1373" i="63"/>
  <c r="O1372" i="63"/>
  <c r="O1371" i="63"/>
  <c r="O1370" i="63"/>
  <c r="C1369" i="63"/>
  <c r="C304" i="62" s="1"/>
  <c r="O1367" i="63"/>
  <c r="O1366" i="63"/>
  <c r="O1365" i="63"/>
  <c r="O1364" i="63"/>
  <c r="C1363" i="63"/>
  <c r="C303" i="62" s="1"/>
  <c r="O1361" i="63"/>
  <c r="O1360" i="63"/>
  <c r="C1359" i="63"/>
  <c r="C302" i="62" s="1"/>
  <c r="O1357" i="63"/>
  <c r="O1356" i="63"/>
  <c r="O1355" i="63"/>
  <c r="O1354" i="63"/>
  <c r="C1353" i="63"/>
  <c r="C301" i="62" s="1"/>
  <c r="O1351" i="63"/>
  <c r="O1350" i="63"/>
  <c r="O1349" i="63"/>
  <c r="O1348" i="63"/>
  <c r="C1347" i="63"/>
  <c r="C300" i="62" s="1"/>
  <c r="O1343" i="63"/>
  <c r="O1344" i="63" s="1"/>
  <c r="E299" i="62" s="1"/>
  <c r="C1342" i="63"/>
  <c r="C299" i="62" s="1"/>
  <c r="E1340" i="63"/>
  <c r="O1340" i="63" s="1"/>
  <c r="O1341" i="63" s="1"/>
  <c r="E298" i="62" s="1"/>
  <c r="C1339" i="63"/>
  <c r="C298" i="62" s="1"/>
  <c r="O1337" i="63"/>
  <c r="O1336" i="63"/>
  <c r="O1335" i="63"/>
  <c r="O1334" i="63"/>
  <c r="O1333" i="63"/>
  <c r="O1332" i="63"/>
  <c r="O1331" i="63"/>
  <c r="O1330" i="63"/>
  <c r="O1329" i="63"/>
  <c r="O1328" i="63"/>
  <c r="O1327" i="63"/>
  <c r="O1326" i="63"/>
  <c r="O1325" i="63"/>
  <c r="O1324" i="63"/>
  <c r="O1323" i="63"/>
  <c r="O1322" i="63"/>
  <c r="C1321" i="63"/>
  <c r="C297" i="62" s="1"/>
  <c r="O1319" i="63"/>
  <c r="O1318" i="63"/>
  <c r="O1317" i="63"/>
  <c r="O1316" i="63"/>
  <c r="C1315" i="63"/>
  <c r="C296" i="62" s="1"/>
  <c r="E1313" i="63"/>
  <c r="O1313" i="63" s="1"/>
  <c r="E1312" i="63"/>
  <c r="O1312" i="63" s="1"/>
  <c r="E1311" i="63"/>
  <c r="O1311" i="63" s="1"/>
  <c r="E1310" i="63"/>
  <c r="O1310" i="63" s="1"/>
  <c r="C1309" i="63"/>
  <c r="C295" i="62" s="1"/>
  <c r="O1307" i="63"/>
  <c r="O1306" i="63"/>
  <c r="O1305" i="63"/>
  <c r="O1304" i="63"/>
  <c r="C1303" i="63"/>
  <c r="C294" i="62" s="1"/>
  <c r="O1301" i="63"/>
  <c r="O1300" i="63"/>
  <c r="O1299" i="63"/>
  <c r="O1298" i="63"/>
  <c r="C1297" i="63"/>
  <c r="C293" i="62" s="1"/>
  <c r="O1291" i="63"/>
  <c r="O1290" i="63"/>
  <c r="O1289" i="63"/>
  <c r="O1288" i="63"/>
  <c r="C1287" i="63"/>
  <c r="C292" i="62" s="1"/>
  <c r="O1280" i="63"/>
  <c r="O1281" i="63" s="1"/>
  <c r="E284" i="62" s="1"/>
  <c r="C1279" i="63"/>
  <c r="C284" i="62" s="1"/>
  <c r="O1277" i="63"/>
  <c r="O1276" i="63"/>
  <c r="C1275" i="63"/>
  <c r="C283" i="62" s="1"/>
  <c r="O1273" i="63"/>
  <c r="O1274" i="63" s="1"/>
  <c r="E282" i="62" s="1"/>
  <c r="C1272" i="63"/>
  <c r="C282" i="62" s="1"/>
  <c r="O1270" i="63"/>
  <c r="O1271" i="63" s="1"/>
  <c r="E281" i="62" s="1"/>
  <c r="C1269" i="63"/>
  <c r="C281" i="62" s="1"/>
  <c r="O1267" i="63"/>
  <c r="O1268" i="63" s="1"/>
  <c r="E280" i="62" s="1"/>
  <c r="C1266" i="63"/>
  <c r="C280" i="62" s="1"/>
  <c r="O1263" i="63"/>
  <c r="O1262" i="63"/>
  <c r="C1261" i="63"/>
  <c r="C279" i="62" s="1"/>
  <c r="O1248" i="63"/>
  <c r="O1249" i="63" s="1"/>
  <c r="E274" i="62" s="1"/>
  <c r="C1247" i="63"/>
  <c r="C274" i="62" s="1"/>
  <c r="O1244" i="63"/>
  <c r="O1245" i="63" s="1"/>
  <c r="E273" i="62" s="1"/>
  <c r="C1243" i="63"/>
  <c r="C273" i="62" s="1"/>
  <c r="O1239" i="63"/>
  <c r="O1240" i="63" s="1"/>
  <c r="E271" i="62" s="1"/>
  <c r="C1238" i="63"/>
  <c r="C271" i="62" s="1"/>
  <c r="O1236" i="63"/>
  <c r="O1237" i="63" s="1"/>
  <c r="E270" i="62" s="1"/>
  <c r="C1235" i="63"/>
  <c r="C270" i="62" s="1"/>
  <c r="O1233" i="63"/>
  <c r="O1232" i="63"/>
  <c r="O1231" i="63"/>
  <c r="O1230" i="63"/>
  <c r="C1229" i="63"/>
  <c r="C269" i="62" s="1"/>
  <c r="O1227" i="63"/>
  <c r="O1228" i="63" s="1"/>
  <c r="E268" i="62" s="1"/>
  <c r="C1226" i="63"/>
  <c r="C268" i="62" s="1"/>
  <c r="O1224" i="63"/>
  <c r="O1225" i="63" s="1"/>
  <c r="E267" i="62" s="1"/>
  <c r="C1223" i="63"/>
  <c r="C267" i="62" s="1"/>
  <c r="O1219" i="63"/>
  <c r="O1220" i="63" s="1"/>
  <c r="E266" i="62" s="1"/>
  <c r="C1218" i="63"/>
  <c r="C266" i="62" s="1"/>
  <c r="E1216" i="63"/>
  <c r="O1216" i="63" s="1"/>
  <c r="E1215" i="63"/>
  <c r="O1215" i="63" s="1"/>
  <c r="C1214" i="63"/>
  <c r="C265" i="62" s="1"/>
  <c r="O1212" i="63"/>
  <c r="O1213" i="63" s="1"/>
  <c r="E264" i="62" s="1"/>
  <c r="C1211" i="63"/>
  <c r="C264" i="62" s="1"/>
  <c r="G1209" i="63"/>
  <c r="O1209" i="63" s="1"/>
  <c r="O1208" i="63"/>
  <c r="O1207" i="63"/>
  <c r="O1206" i="63"/>
  <c r="O1204" i="63"/>
  <c r="O1203" i="63"/>
  <c r="O1202" i="63"/>
  <c r="O1201" i="63"/>
  <c r="C1199" i="63"/>
  <c r="C263" i="62" s="1"/>
  <c r="O1197" i="63"/>
  <c r="O1196" i="63"/>
  <c r="C1195" i="63"/>
  <c r="C262" i="62" s="1"/>
  <c r="E1191" i="63"/>
  <c r="O1191" i="63" s="1"/>
  <c r="E1190" i="63"/>
  <c r="O1190" i="63" s="1"/>
  <c r="C1189" i="63"/>
  <c r="C261" i="62" s="1"/>
  <c r="O1187" i="63"/>
  <c r="O1186" i="63"/>
  <c r="O1185" i="63"/>
  <c r="O1184" i="63"/>
  <c r="C1183" i="63"/>
  <c r="C260" i="62" s="1"/>
  <c r="K1181" i="63"/>
  <c r="I1181" i="63"/>
  <c r="I1193" i="63" s="1"/>
  <c r="O1193" i="63" s="1"/>
  <c r="K1180" i="63"/>
  <c r="I1180" i="63"/>
  <c r="C1179" i="63"/>
  <c r="C259" i="62" s="1"/>
  <c r="O1177" i="63"/>
  <c r="O1176" i="63"/>
  <c r="O1175" i="63"/>
  <c r="O1174" i="63"/>
  <c r="C1173" i="63"/>
  <c r="C258" i="62" s="1"/>
  <c r="O1171" i="63"/>
  <c r="O1170" i="63"/>
  <c r="C1169" i="63"/>
  <c r="C257" i="62" s="1"/>
  <c r="O1162" i="63"/>
  <c r="O1163" i="63" s="1"/>
  <c r="E252" i="62" s="1"/>
  <c r="C1161" i="63"/>
  <c r="C252" i="62" s="1"/>
  <c r="O1157" i="63"/>
  <c r="O1158" i="63" s="1"/>
  <c r="E251" i="62" s="1"/>
  <c r="C1156" i="63"/>
  <c r="C251" i="62" s="1"/>
  <c r="O1154" i="63"/>
  <c r="O1155" i="63" s="1"/>
  <c r="E250" i="62" s="1"/>
  <c r="C1153" i="63"/>
  <c r="C250" i="62" s="1"/>
  <c r="O1149" i="63"/>
  <c r="O1150" i="63" s="1"/>
  <c r="E248" i="62" s="1"/>
  <c r="C1148" i="63"/>
  <c r="C248" i="62" s="1"/>
  <c r="O1146" i="63"/>
  <c r="O1147" i="63" s="1"/>
  <c r="E247" i="62" s="1"/>
  <c r="C1145" i="63"/>
  <c r="C247" i="62" s="1"/>
  <c r="O1143" i="63"/>
  <c r="O1144" i="63" s="1"/>
  <c r="E246" i="62" s="1"/>
  <c r="C1142" i="63"/>
  <c r="C246" i="62" s="1"/>
  <c r="O1140" i="63"/>
  <c r="O1139" i="63"/>
  <c r="C1138" i="63"/>
  <c r="C245" i="62" s="1"/>
  <c r="O1136" i="63"/>
  <c r="O1135" i="63"/>
  <c r="C1134" i="63"/>
  <c r="C244" i="62" s="1"/>
  <c r="O1132" i="63"/>
  <c r="O1133" i="63" s="1"/>
  <c r="E243" i="62" s="1"/>
  <c r="C1131" i="63"/>
  <c r="C243" i="62" s="1"/>
  <c r="O1129" i="63"/>
  <c r="O1130" i="63" s="1"/>
  <c r="E242" i="62" s="1"/>
  <c r="C1128" i="63"/>
  <c r="C242" i="62" s="1"/>
  <c r="O1126" i="63"/>
  <c r="O1127" i="63" s="1"/>
  <c r="E241" i="62" s="1"/>
  <c r="C1125" i="63"/>
  <c r="C241" i="62" s="1"/>
  <c r="E1123" i="63"/>
  <c r="O1123" i="63" s="1"/>
  <c r="E1122" i="63"/>
  <c r="O1122" i="63" s="1"/>
  <c r="E1121" i="63"/>
  <c r="O1121" i="63" s="1"/>
  <c r="C1120" i="63"/>
  <c r="C240" i="62" s="1"/>
  <c r="O1118" i="63"/>
  <c r="O1119" i="63" s="1"/>
  <c r="E239" i="62" s="1"/>
  <c r="C1117" i="63"/>
  <c r="C239" i="62" s="1"/>
  <c r="O1115" i="63"/>
  <c r="O1114" i="63"/>
  <c r="O1113" i="63"/>
  <c r="O1112" i="63"/>
  <c r="G1110" i="63"/>
  <c r="E1110" i="63"/>
  <c r="O1109" i="63"/>
  <c r="O1108" i="63"/>
  <c r="O1107" i="63"/>
  <c r="O1105" i="63"/>
  <c r="O1104" i="63"/>
  <c r="O1103" i="63"/>
  <c r="O1102" i="63"/>
  <c r="C1100" i="63"/>
  <c r="C238" i="62" s="1"/>
  <c r="O1096" i="63"/>
  <c r="O1095" i="63"/>
  <c r="O1094" i="63"/>
  <c r="C1093" i="63"/>
  <c r="C237" i="62" s="1"/>
  <c r="E1088" i="63"/>
  <c r="O1088" i="63" s="1"/>
  <c r="E1087" i="63"/>
  <c r="O1087" i="63" s="1"/>
  <c r="E1086" i="63"/>
  <c r="O1086" i="63" s="1"/>
  <c r="C1085" i="63"/>
  <c r="C236" i="62" s="1"/>
  <c r="O1082" i="63"/>
  <c r="O1081" i="63"/>
  <c r="O1080" i="63"/>
  <c r="O1079" i="63"/>
  <c r="O1078" i="63"/>
  <c r="O1077" i="63"/>
  <c r="C1076" i="63"/>
  <c r="C235" i="62" s="1"/>
  <c r="K1074" i="63"/>
  <c r="I1074" i="63"/>
  <c r="K1073" i="63"/>
  <c r="I1073" i="63"/>
  <c r="K1072" i="63"/>
  <c r="I1072" i="63"/>
  <c r="C1071" i="63"/>
  <c r="C234" i="62" s="1"/>
  <c r="O1069" i="63"/>
  <c r="O1068" i="63"/>
  <c r="O1067" i="63"/>
  <c r="O1066" i="63"/>
  <c r="O1065" i="63"/>
  <c r="O1064" i="63"/>
  <c r="C1063" i="63"/>
  <c r="C233" i="62" s="1"/>
  <c r="O1060" i="63"/>
  <c r="O1059" i="63"/>
  <c r="O1058" i="63"/>
  <c r="C1057" i="63"/>
  <c r="C232" i="62" s="1"/>
  <c r="O1046" i="63"/>
  <c r="O1047" i="63" s="1"/>
  <c r="E227" i="62" s="1"/>
  <c r="C1045" i="63"/>
  <c r="C227" i="62" s="1"/>
  <c r="O1041" i="63"/>
  <c r="O1042" i="63" s="1"/>
  <c r="E225" i="62" s="1"/>
  <c r="C1040" i="63"/>
  <c r="C225" i="62" s="1"/>
  <c r="O1038" i="63"/>
  <c r="O1039" i="63" s="1"/>
  <c r="E224" i="62" s="1"/>
  <c r="C1037" i="63"/>
  <c r="C224" i="62" s="1"/>
  <c r="O1035" i="63"/>
  <c r="O1036" i="63" s="1"/>
  <c r="E223" i="62" s="1"/>
  <c r="C1034" i="63"/>
  <c r="C223" i="62" s="1"/>
  <c r="E1032" i="63"/>
  <c r="O1032" i="63" s="1"/>
  <c r="O1033" i="63" s="1"/>
  <c r="E222" i="62" s="1"/>
  <c r="C1031" i="63"/>
  <c r="C222" i="62" s="1"/>
  <c r="O1029" i="63"/>
  <c r="O1030" i="63" s="1"/>
  <c r="E221" i="62" s="1"/>
  <c r="C1028" i="63"/>
  <c r="C221" i="62" s="1"/>
  <c r="O1026" i="63"/>
  <c r="O1025" i="63"/>
  <c r="O1024" i="63"/>
  <c r="O1023" i="63"/>
  <c r="O1021" i="63"/>
  <c r="O1020" i="63"/>
  <c r="O1019" i="63"/>
  <c r="O1018" i="63"/>
  <c r="O1017" i="63"/>
  <c r="C1015" i="63"/>
  <c r="C220" i="62" s="1"/>
  <c r="O1013" i="63"/>
  <c r="O1012" i="63"/>
  <c r="C1011" i="63"/>
  <c r="E1005" i="63"/>
  <c r="O1005" i="63" s="1"/>
  <c r="E1004" i="63"/>
  <c r="O1004" i="63" s="1"/>
  <c r="C1003" i="63"/>
  <c r="O1000" i="63"/>
  <c r="O999" i="63"/>
  <c r="O998" i="63"/>
  <c r="C997" i="63"/>
  <c r="C217" i="62" s="1"/>
  <c r="K995" i="63"/>
  <c r="I995" i="63"/>
  <c r="I1006" i="63" s="1"/>
  <c r="O1006" i="63" s="1"/>
  <c r="C994" i="63"/>
  <c r="C216" i="62" s="1"/>
  <c r="O992" i="63"/>
  <c r="O991" i="63"/>
  <c r="O990" i="63"/>
  <c r="C989" i="63"/>
  <c r="C215" i="62" s="1"/>
  <c r="O986" i="63"/>
  <c r="O985" i="63"/>
  <c r="C984" i="63"/>
  <c r="C214" i="62" s="1"/>
  <c r="O976" i="63"/>
  <c r="O975" i="63"/>
  <c r="O974" i="63"/>
  <c r="C973" i="63"/>
  <c r="C209" i="62" s="1"/>
  <c r="O971" i="63"/>
  <c r="O970" i="63"/>
  <c r="C969" i="63"/>
  <c r="C208" i="62" s="1"/>
  <c r="O967" i="63"/>
  <c r="O966" i="63"/>
  <c r="C965" i="63"/>
  <c r="C207" i="62" s="1"/>
  <c r="O960" i="63"/>
  <c r="O961" i="63" s="1"/>
  <c r="E205" i="62" s="1"/>
  <c r="C959" i="63"/>
  <c r="C205" i="62" s="1"/>
  <c r="O956" i="63"/>
  <c r="O957" i="63" s="1"/>
  <c r="E204" i="62" s="1"/>
  <c r="C955" i="63"/>
  <c r="C204" i="62" s="1"/>
  <c r="O953" i="63"/>
  <c r="O954" i="63" s="1"/>
  <c r="E203" i="62" s="1"/>
  <c r="C952" i="63"/>
  <c r="C203" i="62" s="1"/>
  <c r="O950" i="63"/>
  <c r="O951" i="63" s="1"/>
  <c r="E202" i="62" s="1"/>
  <c r="C949" i="63"/>
  <c r="C202" i="62" s="1"/>
  <c r="O947" i="63"/>
  <c r="O948" i="63" s="1"/>
  <c r="E201" i="62" s="1"/>
  <c r="C946" i="63"/>
  <c r="C201" i="62" s="1"/>
  <c r="O944" i="63"/>
  <c r="O943" i="63"/>
  <c r="C942" i="63"/>
  <c r="C200" i="62" s="1"/>
  <c r="O940" i="63"/>
  <c r="O939" i="63"/>
  <c r="C938" i="63"/>
  <c r="C199" i="62" s="1"/>
  <c r="O936" i="63"/>
  <c r="O935" i="63"/>
  <c r="C934" i="63"/>
  <c r="C198" i="62" s="1"/>
  <c r="O932" i="63"/>
  <c r="O931" i="63"/>
  <c r="O930" i="63"/>
  <c r="C929" i="63"/>
  <c r="C197" i="62" s="1"/>
  <c r="O927" i="63"/>
  <c r="O926" i="63"/>
  <c r="O925" i="63"/>
  <c r="C924" i="63"/>
  <c r="C196" i="62" s="1"/>
  <c r="O922" i="63"/>
  <c r="O923" i="63" s="1"/>
  <c r="E195" i="62" s="1"/>
  <c r="C921" i="63"/>
  <c r="C195" i="62" s="1"/>
  <c r="O919" i="63"/>
  <c r="O920" i="63" s="1"/>
  <c r="E194" i="62" s="1"/>
  <c r="C918" i="63"/>
  <c r="C194" i="62" s="1"/>
  <c r="O916" i="63"/>
  <c r="O915" i="63"/>
  <c r="O914" i="63"/>
  <c r="O913" i="63"/>
  <c r="O912" i="63"/>
  <c r="O911" i="63"/>
  <c r="O910" i="63"/>
  <c r="C909" i="63"/>
  <c r="C193" i="62" s="1"/>
  <c r="O907" i="63"/>
  <c r="O906" i="63"/>
  <c r="C905" i="63"/>
  <c r="C192" i="62" s="1"/>
  <c r="O903" i="63"/>
  <c r="O904" i="63" s="1"/>
  <c r="E191" i="62" s="1"/>
  <c r="C902" i="63"/>
  <c r="C191" i="62" s="1"/>
  <c r="O900" i="63"/>
  <c r="O899" i="63"/>
  <c r="O898" i="63"/>
  <c r="C897" i="63"/>
  <c r="C190" i="62" s="1"/>
  <c r="O895" i="63"/>
  <c r="O894" i="63"/>
  <c r="C893" i="63"/>
  <c r="C189" i="62" s="1"/>
  <c r="O891" i="63"/>
  <c r="O890" i="63"/>
  <c r="C889" i="63"/>
  <c r="C188" i="62" s="1"/>
  <c r="E887" i="63"/>
  <c r="O887" i="63" s="1"/>
  <c r="E886" i="63"/>
  <c r="O886" i="63" s="1"/>
  <c r="E885" i="63"/>
  <c r="O885" i="63" s="1"/>
  <c r="C884" i="63"/>
  <c r="C187" i="62" s="1"/>
  <c r="O879" i="63"/>
  <c r="C878" i="63"/>
  <c r="C186" i="62" s="1"/>
  <c r="O876" i="63"/>
  <c r="O875" i="63"/>
  <c r="O874" i="63"/>
  <c r="O873" i="63"/>
  <c r="O872" i="63"/>
  <c r="O871" i="63"/>
  <c r="O870" i="63"/>
  <c r="O868" i="63"/>
  <c r="O867" i="63"/>
  <c r="O866" i="63"/>
  <c r="O865" i="63"/>
  <c r="O864" i="63"/>
  <c r="O863" i="63"/>
  <c r="O862" i="63"/>
  <c r="O861" i="63"/>
  <c r="O860" i="63"/>
  <c r="O858" i="63"/>
  <c r="O857" i="63"/>
  <c r="O856" i="63"/>
  <c r="O855" i="63"/>
  <c r="O854" i="63"/>
  <c r="O853" i="63"/>
  <c r="O851" i="63"/>
  <c r="O850" i="63"/>
  <c r="O849" i="63"/>
  <c r="O847" i="63"/>
  <c r="O846" i="63"/>
  <c r="O845" i="63"/>
  <c r="O844" i="63"/>
  <c r="O843" i="63"/>
  <c r="O842" i="63"/>
  <c r="C840" i="63"/>
  <c r="C185" i="62" s="1"/>
  <c r="O838" i="63"/>
  <c r="O837" i="63"/>
  <c r="O836" i="63"/>
  <c r="C835" i="63"/>
  <c r="C184" i="62" s="1"/>
  <c r="E830" i="63"/>
  <c r="O830" i="63" s="1"/>
  <c r="O829" i="63"/>
  <c r="E828" i="63"/>
  <c r="O828" i="63" s="1"/>
  <c r="C827" i="63"/>
  <c r="C183" i="62" s="1"/>
  <c r="O824" i="63"/>
  <c r="O823" i="63"/>
  <c r="O822" i="63"/>
  <c r="O821" i="63"/>
  <c r="O820" i="63"/>
  <c r="O819" i="63"/>
  <c r="C818" i="63"/>
  <c r="C182" i="62" s="1"/>
  <c r="K816" i="63"/>
  <c r="I816" i="63"/>
  <c r="K815" i="63"/>
  <c r="I815" i="63"/>
  <c r="I832" i="63" s="1"/>
  <c r="O832" i="63" s="1"/>
  <c r="K814" i="63"/>
  <c r="I814" i="63"/>
  <c r="I831" i="63" s="1"/>
  <c r="O831" i="63" s="1"/>
  <c r="C813" i="63"/>
  <c r="C181" i="62" s="1"/>
  <c r="O811" i="63"/>
  <c r="O810" i="63"/>
  <c r="O809" i="63"/>
  <c r="O808" i="63"/>
  <c r="O807" i="63"/>
  <c r="O806" i="63"/>
  <c r="C805" i="63"/>
  <c r="C180" i="62" s="1"/>
  <c r="O803" i="63"/>
  <c r="O802" i="63"/>
  <c r="O801" i="63"/>
  <c r="C800" i="63"/>
  <c r="C179" i="62" s="1"/>
  <c r="O794" i="63"/>
  <c r="O793" i="63"/>
  <c r="C792" i="63"/>
  <c r="C174" i="62" s="1"/>
  <c r="O788" i="63"/>
  <c r="O789" i="63" s="1"/>
  <c r="E172" i="62" s="1"/>
  <c r="C787" i="63"/>
  <c r="C172" i="62" s="1"/>
  <c r="O785" i="63"/>
  <c r="O786" i="63" s="1"/>
  <c r="E171" i="62" s="1"/>
  <c r="C784" i="63"/>
  <c r="C171" i="62" s="1"/>
  <c r="O782" i="63"/>
  <c r="O783" i="63" s="1"/>
  <c r="E170" i="62" s="1"/>
  <c r="C781" i="63"/>
  <c r="C170" i="62" s="1"/>
  <c r="O779" i="63"/>
  <c r="O780" i="63" s="1"/>
  <c r="E169" i="62" s="1"/>
  <c r="C778" i="63"/>
  <c r="C169" i="62" s="1"/>
  <c r="O776" i="63"/>
  <c r="O775" i="63"/>
  <c r="C774" i="63"/>
  <c r="C168" i="62" s="1"/>
  <c r="O772" i="63"/>
  <c r="O773" i="63" s="1"/>
  <c r="E167" i="62" s="1"/>
  <c r="C771" i="63"/>
  <c r="C167" i="62" s="1"/>
  <c r="O769" i="63"/>
  <c r="O768" i="63"/>
  <c r="C767" i="63"/>
  <c r="C166" i="62" s="1"/>
  <c r="O765" i="63"/>
  <c r="O764" i="63"/>
  <c r="C763" i="63"/>
  <c r="C165" i="62" s="1"/>
  <c r="O761" i="63"/>
  <c r="O760" i="63"/>
  <c r="C759" i="63"/>
  <c r="C164" i="62" s="1"/>
  <c r="E753" i="63"/>
  <c r="O753" i="63" s="1"/>
  <c r="E752" i="63"/>
  <c r="O752" i="63" s="1"/>
  <c r="E751" i="63"/>
  <c r="O751" i="63" s="1"/>
  <c r="E750" i="63"/>
  <c r="O750" i="63" s="1"/>
  <c r="E749" i="63"/>
  <c r="O749" i="63" s="1"/>
  <c r="C748" i="63"/>
  <c r="C163" i="62" s="1"/>
  <c r="O746" i="63"/>
  <c r="O747" i="63" s="1"/>
  <c r="E162" i="62" s="1"/>
  <c r="C745" i="63"/>
  <c r="C162" i="62" s="1"/>
  <c r="O743" i="63"/>
  <c r="O742" i="63"/>
  <c r="O741" i="63"/>
  <c r="O740" i="63"/>
  <c r="O739" i="63"/>
  <c r="O738" i="63"/>
  <c r="O737" i="63"/>
  <c r="O736" i="63"/>
  <c r="O735" i="63"/>
  <c r="O734" i="63"/>
  <c r="O733" i="63"/>
  <c r="O732" i="63"/>
  <c r="O731" i="63"/>
  <c r="O730" i="63"/>
  <c r="O729" i="63"/>
  <c r="O728" i="63"/>
  <c r="O727" i="63"/>
  <c r="O726" i="63"/>
  <c r="O725" i="63"/>
  <c r="O724" i="63"/>
  <c r="O723" i="63"/>
  <c r="O722" i="63"/>
  <c r="O721" i="63"/>
  <c r="C720" i="63"/>
  <c r="C161" i="62" s="1"/>
  <c r="O718" i="63"/>
  <c r="O717" i="63"/>
  <c r="O716" i="63"/>
  <c r="O715" i="63"/>
  <c r="O714" i="63"/>
  <c r="C713" i="63"/>
  <c r="C160" i="62" s="1"/>
  <c r="E709" i="63"/>
  <c r="O709" i="63" s="1"/>
  <c r="E708" i="63"/>
  <c r="O708" i="63" s="1"/>
  <c r="E707" i="63"/>
  <c r="O707" i="63" s="1"/>
  <c r="E706" i="63"/>
  <c r="O706" i="63" s="1"/>
  <c r="E705" i="63"/>
  <c r="O705" i="63" s="1"/>
  <c r="C704" i="63"/>
  <c r="C159" i="62" s="1"/>
  <c r="O702" i="63"/>
  <c r="O701" i="63"/>
  <c r="O700" i="63"/>
  <c r="O699" i="63"/>
  <c r="O698" i="63"/>
  <c r="O697" i="63"/>
  <c r="O696" i="63"/>
  <c r="C695" i="63"/>
  <c r="C158" i="62" s="1"/>
  <c r="K693" i="63"/>
  <c r="I693" i="63"/>
  <c r="I711" i="63" s="1"/>
  <c r="O711" i="63" s="1"/>
  <c r="K692" i="63"/>
  <c r="I692" i="63"/>
  <c r="C691" i="63"/>
  <c r="C157" i="62" s="1"/>
  <c r="O689" i="63"/>
  <c r="O688" i="63"/>
  <c r="O687" i="63"/>
  <c r="O686" i="63"/>
  <c r="O685" i="63"/>
  <c r="O684" i="63"/>
  <c r="O683" i="63"/>
  <c r="C682" i="63"/>
  <c r="C156" i="62" s="1"/>
  <c r="O680" i="63"/>
  <c r="O679" i="63"/>
  <c r="O678" i="63"/>
  <c r="O677" i="63"/>
  <c r="O676" i="63"/>
  <c r="C675" i="63"/>
  <c r="C155" i="62" s="1"/>
  <c r="O668" i="63"/>
  <c r="O669" i="63" s="1"/>
  <c r="E150" i="62" s="1"/>
  <c r="C667" i="63"/>
  <c r="C150" i="62" s="1"/>
  <c r="O665" i="63"/>
  <c r="O666" i="63" s="1"/>
  <c r="E149" i="62" s="1"/>
  <c r="C664" i="63"/>
  <c r="C149" i="62" s="1"/>
  <c r="O662" i="63"/>
  <c r="O663" i="63" s="1"/>
  <c r="E148" i="62" s="1"/>
  <c r="C661" i="63"/>
  <c r="C148" i="62" s="1"/>
  <c r="O657" i="63"/>
  <c r="O658" i="63" s="1"/>
  <c r="E146" i="62" s="1"/>
  <c r="C656" i="63"/>
  <c r="C146" i="62" s="1"/>
  <c r="G654" i="63"/>
  <c r="E654" i="63"/>
  <c r="G653" i="63"/>
  <c r="O653" i="63" s="1"/>
  <c r="C652" i="63"/>
  <c r="C145" i="62" s="1"/>
  <c r="O650" i="63"/>
  <c r="O649" i="63"/>
  <c r="O648" i="63"/>
  <c r="O647" i="63"/>
  <c r="O646" i="63"/>
  <c r="O645" i="63"/>
  <c r="O644" i="63"/>
  <c r="O643" i="63"/>
  <c r="O642" i="63"/>
  <c r="O641" i="63"/>
  <c r="O640" i="63"/>
  <c r="O639" i="63"/>
  <c r="C638" i="63"/>
  <c r="C144" i="62" s="1"/>
  <c r="O635" i="63"/>
  <c r="O636" i="63" s="1"/>
  <c r="E143" i="62" s="1"/>
  <c r="C634" i="63"/>
  <c r="C143" i="62" s="1"/>
  <c r="O631" i="63"/>
  <c r="O632" i="63" s="1"/>
  <c r="E142" i="62" s="1"/>
  <c r="C630" i="63"/>
  <c r="C142" i="62" s="1"/>
  <c r="O628" i="63"/>
  <c r="O627" i="63"/>
  <c r="O626" i="63"/>
  <c r="O625" i="63"/>
  <c r="O624" i="63"/>
  <c r="C623" i="63"/>
  <c r="C141" i="62" s="1"/>
  <c r="O621" i="63"/>
  <c r="O620" i="63"/>
  <c r="O619" i="63"/>
  <c r="O618" i="63"/>
  <c r="O617" i="63"/>
  <c r="O616" i="63"/>
  <c r="O615" i="63"/>
  <c r="C614" i="63"/>
  <c r="C140" i="62" s="1"/>
  <c r="O612" i="63"/>
  <c r="O611" i="63"/>
  <c r="O610" i="63"/>
  <c r="O609" i="63"/>
  <c r="O608" i="63"/>
  <c r="O607" i="63"/>
  <c r="O606" i="63"/>
  <c r="C605" i="63"/>
  <c r="C139" i="62" s="1"/>
  <c r="O603" i="63"/>
  <c r="O604" i="63" s="1"/>
  <c r="E138" i="62" s="1"/>
  <c r="C602" i="63"/>
  <c r="C138" i="62" s="1"/>
  <c r="O600" i="63"/>
  <c r="O599" i="63"/>
  <c r="O598" i="63"/>
  <c r="O597" i="63"/>
  <c r="C596" i="63"/>
  <c r="C137" i="62" s="1"/>
  <c r="O594" i="63"/>
  <c r="O595" i="63" s="1"/>
  <c r="E136" i="62" s="1"/>
  <c r="C593" i="63"/>
  <c r="C136" i="62" s="1"/>
  <c r="O591" i="63"/>
  <c r="O590" i="63"/>
  <c r="O589" i="63"/>
  <c r="O588" i="63"/>
  <c r="O587" i="63"/>
  <c r="O586" i="63"/>
  <c r="O585" i="63"/>
  <c r="O584" i="63"/>
  <c r="C583" i="63"/>
  <c r="C135" i="62" s="1"/>
  <c r="O578" i="63"/>
  <c r="O577" i="63"/>
  <c r="O576" i="63"/>
  <c r="O575" i="63"/>
  <c r="O574" i="63"/>
  <c r="O573" i="63"/>
  <c r="O572" i="63"/>
  <c r="O571" i="63"/>
  <c r="O570" i="63"/>
  <c r="O569" i="63"/>
  <c r="O568" i="63"/>
  <c r="O567" i="63"/>
  <c r="O566" i="63"/>
  <c r="O565" i="63"/>
  <c r="C564" i="63"/>
  <c r="C134" i="62" s="1"/>
  <c r="O559" i="63"/>
  <c r="O558" i="63"/>
  <c r="O557" i="63"/>
  <c r="O556" i="63"/>
  <c r="O555" i="63"/>
  <c r="O554" i="63"/>
  <c r="O553" i="63"/>
  <c r="O552" i="63"/>
  <c r="O551" i="63"/>
  <c r="O550" i="63"/>
  <c r="O549" i="63"/>
  <c r="O548" i="63"/>
  <c r="O547" i="63"/>
  <c r="O546" i="63"/>
  <c r="C545" i="63"/>
  <c r="C133" i="62" s="1"/>
  <c r="O540" i="63"/>
  <c r="O539" i="63"/>
  <c r="O538" i="63"/>
  <c r="O537" i="63"/>
  <c r="O536" i="63"/>
  <c r="O535" i="63"/>
  <c r="O534" i="63"/>
  <c r="O533" i="63"/>
  <c r="O532" i="63"/>
  <c r="O531" i="63"/>
  <c r="O530" i="63"/>
  <c r="O529" i="63"/>
  <c r="O528" i="63"/>
  <c r="O527" i="63"/>
  <c r="C526" i="63"/>
  <c r="C132" i="62" s="1"/>
  <c r="O524" i="63"/>
  <c r="O523" i="63"/>
  <c r="O522" i="63"/>
  <c r="O521" i="63"/>
  <c r="O520" i="63"/>
  <c r="O519" i="63"/>
  <c r="O518" i="63"/>
  <c r="O517" i="63"/>
  <c r="C516" i="63"/>
  <c r="C131" i="62" s="1"/>
  <c r="O514" i="63"/>
  <c r="O513" i="63"/>
  <c r="O512" i="63"/>
  <c r="O511" i="63"/>
  <c r="O510" i="63"/>
  <c r="C509" i="63"/>
  <c r="C130" i="62" s="1"/>
  <c r="O507" i="63"/>
  <c r="O506" i="63"/>
  <c r="C505" i="63"/>
  <c r="C129" i="62" s="1"/>
  <c r="O503" i="63"/>
  <c r="O502" i="63"/>
  <c r="O501" i="63"/>
  <c r="O500" i="63"/>
  <c r="O499" i="63"/>
  <c r="O498" i="63"/>
  <c r="O497" i="63"/>
  <c r="C496" i="63"/>
  <c r="C128" i="62" s="1"/>
  <c r="O494" i="63"/>
  <c r="O493" i="63"/>
  <c r="O492" i="63"/>
  <c r="O491" i="63"/>
  <c r="O490" i="63"/>
  <c r="O495" i="63" s="1"/>
  <c r="E127" i="62" s="1"/>
  <c r="C489" i="63"/>
  <c r="C127" i="62" s="1"/>
  <c r="O487" i="63"/>
  <c r="O488" i="63" s="1"/>
  <c r="E126" i="62" s="1"/>
  <c r="C486" i="63"/>
  <c r="C126" i="62" s="1"/>
  <c r="O484" i="63"/>
  <c r="O483" i="63"/>
  <c r="O482" i="63"/>
  <c r="O481" i="63"/>
  <c r="O480" i="63"/>
  <c r="C479" i="63"/>
  <c r="C125" i="62" s="1"/>
  <c r="O477" i="63"/>
  <c r="O476" i="63"/>
  <c r="O475" i="63"/>
  <c r="O474" i="63"/>
  <c r="O473" i="63"/>
  <c r="C472" i="63"/>
  <c r="C124" i="62" s="1"/>
  <c r="O464" i="63"/>
  <c r="O463" i="63"/>
  <c r="O462" i="63"/>
  <c r="O461" i="63"/>
  <c r="O460" i="63"/>
  <c r="O459" i="63"/>
  <c r="O458" i="63"/>
  <c r="C457" i="63"/>
  <c r="C123" i="62" s="1"/>
  <c r="O455" i="63"/>
  <c r="O456" i="63" s="1"/>
  <c r="E122" i="62" s="1"/>
  <c r="C454" i="63"/>
  <c r="C122" i="62" s="1"/>
  <c r="O452" i="63"/>
  <c r="O453" i="63" s="1"/>
  <c r="E121" i="62" s="1"/>
  <c r="C451" i="63"/>
  <c r="C121" i="62" s="1"/>
  <c r="O447" i="63"/>
  <c r="O448" i="63" s="1"/>
  <c r="E120" i="62" s="1"/>
  <c r="C446" i="63"/>
  <c r="C120" i="62" s="1"/>
  <c r="O444" i="63"/>
  <c r="O445" i="63" s="1"/>
  <c r="E119" i="62" s="1"/>
  <c r="C443" i="63"/>
  <c r="C119" i="62" s="1"/>
  <c r="O441" i="63"/>
  <c r="O442" i="63" s="1"/>
  <c r="E118" i="62" s="1"/>
  <c r="C440" i="63"/>
  <c r="C118" i="62" s="1"/>
  <c r="O435" i="63"/>
  <c r="O434" i="63"/>
  <c r="O433" i="63"/>
  <c r="O432" i="63"/>
  <c r="O431" i="63"/>
  <c r="O430" i="63"/>
  <c r="O429" i="63"/>
  <c r="O428" i="63"/>
  <c r="O427" i="63"/>
  <c r="O426" i="63"/>
  <c r="O425" i="63"/>
  <c r="O424" i="63"/>
  <c r="O423" i="63"/>
  <c r="O422" i="63"/>
  <c r="C421" i="63"/>
  <c r="C117" i="62" s="1"/>
  <c r="O417" i="63"/>
  <c r="O416" i="63"/>
  <c r="O415" i="63"/>
  <c r="O414" i="63"/>
  <c r="O413" i="63"/>
  <c r="O412" i="63"/>
  <c r="O411" i="63"/>
  <c r="O410" i="63"/>
  <c r="O409" i="63"/>
  <c r="C408" i="63"/>
  <c r="C116" i="62" s="1"/>
  <c r="O406" i="63"/>
  <c r="O407" i="63" s="1"/>
  <c r="E115" i="62" s="1"/>
  <c r="C405" i="63"/>
  <c r="C115" i="62" s="1"/>
  <c r="O403" i="63"/>
  <c r="O402" i="63"/>
  <c r="O401" i="63"/>
  <c r="O400" i="63"/>
  <c r="O399" i="63"/>
  <c r="O398" i="63"/>
  <c r="O397" i="63"/>
  <c r="O396" i="63"/>
  <c r="O395" i="63"/>
  <c r="O394" i="63"/>
  <c r="O393" i="63"/>
  <c r="C392" i="63"/>
  <c r="C114" i="62" s="1"/>
  <c r="O390" i="63"/>
  <c r="O389" i="63"/>
  <c r="C388" i="63"/>
  <c r="C113" i="62" s="1"/>
  <c r="O386" i="63"/>
  <c r="O385" i="63"/>
  <c r="O384" i="63"/>
  <c r="O383" i="63"/>
  <c r="O382" i="63"/>
  <c r="C381" i="63"/>
  <c r="C112" i="62" s="1"/>
  <c r="O379" i="63"/>
  <c r="O378" i="63"/>
  <c r="O377" i="63"/>
  <c r="C376" i="63"/>
  <c r="C111" i="62" s="1"/>
  <c r="O373" i="63"/>
  <c r="O372" i="63"/>
  <c r="C371" i="63"/>
  <c r="C110" i="62" s="1"/>
  <c r="O365" i="63"/>
  <c r="O364" i="63"/>
  <c r="O363" i="63"/>
  <c r="C362" i="63"/>
  <c r="C109" i="62" s="1"/>
  <c r="O360" i="63"/>
  <c r="O361" i="63" s="1"/>
  <c r="E108" i="62" s="1"/>
  <c r="C359" i="63"/>
  <c r="C108" i="62" s="1"/>
  <c r="O357" i="63"/>
  <c r="O356" i="63"/>
  <c r="O355" i="63"/>
  <c r="O354" i="63"/>
  <c r="O353" i="63"/>
  <c r="C352" i="63"/>
  <c r="C107" i="62" s="1"/>
  <c r="O350" i="63"/>
  <c r="G349" i="63"/>
  <c r="O349" i="63" s="1"/>
  <c r="G348" i="63"/>
  <c r="O348" i="63" s="1"/>
  <c r="G347" i="63"/>
  <c r="O347" i="63" s="1"/>
  <c r="G346" i="63"/>
  <c r="O346" i="63" s="1"/>
  <c r="E345" i="63"/>
  <c r="O345" i="63" s="1"/>
  <c r="O344" i="63"/>
  <c r="C343" i="63"/>
  <c r="C106" i="62" s="1"/>
  <c r="O341" i="63"/>
  <c r="O340" i="63"/>
  <c r="O339" i="63"/>
  <c r="O338" i="63"/>
  <c r="O337" i="63"/>
  <c r="O336" i="63"/>
  <c r="O335" i="63"/>
  <c r="C334" i="63"/>
  <c r="C105" i="62" s="1"/>
  <c r="O332" i="63"/>
  <c r="O331" i="63"/>
  <c r="O330" i="63"/>
  <c r="O329" i="63"/>
  <c r="O328" i="63"/>
  <c r="O327" i="63"/>
  <c r="O326" i="63"/>
  <c r="C325" i="63"/>
  <c r="C104" i="62" s="1"/>
  <c r="O323" i="63"/>
  <c r="O324" i="63" s="1"/>
  <c r="E103" i="62" s="1"/>
  <c r="C322" i="63"/>
  <c r="C103" i="62" s="1"/>
  <c r="O304" i="63"/>
  <c r="O305" i="63" s="1"/>
  <c r="E96" i="62" s="1"/>
  <c r="C303" i="63"/>
  <c r="C96" i="62" s="1"/>
  <c r="O301" i="63"/>
  <c r="O300" i="63"/>
  <c r="O299" i="63"/>
  <c r="C298" i="63"/>
  <c r="C95" i="62" s="1"/>
  <c r="O294" i="63"/>
  <c r="O293" i="63"/>
  <c r="C292" i="63"/>
  <c r="C93" i="62" s="1"/>
  <c r="O290" i="63"/>
  <c r="O291" i="63" s="1"/>
  <c r="E92" i="62" s="1"/>
  <c r="C289" i="63"/>
  <c r="C92" i="62" s="1"/>
  <c r="O287" i="63"/>
  <c r="O288" i="63" s="1"/>
  <c r="E91" i="62" s="1"/>
  <c r="C286" i="63"/>
  <c r="C91" i="62" s="1"/>
  <c r="O284" i="63"/>
  <c r="O285" i="63" s="1"/>
  <c r="E90" i="62" s="1"/>
  <c r="C283" i="63"/>
  <c r="C90" i="62" s="1"/>
  <c r="O281" i="63"/>
  <c r="O282" i="63" s="1"/>
  <c r="E89" i="62" s="1"/>
  <c r="C280" i="63"/>
  <c r="C89" i="62" s="1"/>
  <c r="O278" i="63"/>
  <c r="O277" i="63"/>
  <c r="C276" i="63"/>
  <c r="C88" i="62" s="1"/>
  <c r="O274" i="63"/>
  <c r="O275" i="63" s="1"/>
  <c r="E87" i="62" s="1"/>
  <c r="C273" i="63"/>
  <c r="C87" i="62" s="1"/>
  <c r="O271" i="63"/>
  <c r="O270" i="63"/>
  <c r="C269" i="63"/>
  <c r="C86" i="62" s="1"/>
  <c r="O267" i="63"/>
  <c r="O266" i="63"/>
  <c r="O265" i="63"/>
  <c r="C264" i="63"/>
  <c r="C85" i="62" s="1"/>
  <c r="O262" i="63"/>
  <c r="O261" i="63"/>
  <c r="O260" i="63"/>
  <c r="C259" i="63"/>
  <c r="C84" i="62" s="1"/>
  <c r="O257" i="63"/>
  <c r="O258" i="63" s="1"/>
  <c r="E83" i="62" s="1"/>
  <c r="C256" i="63"/>
  <c r="C83" i="62" s="1"/>
  <c r="O254" i="63"/>
  <c r="O253" i="63"/>
  <c r="O252" i="63"/>
  <c r="C251" i="63"/>
  <c r="C82" i="62" s="1"/>
  <c r="O249" i="63"/>
  <c r="O250" i="63" s="1"/>
  <c r="E81" i="62" s="1"/>
  <c r="C248" i="63"/>
  <c r="C81" i="62" s="1"/>
  <c r="O246" i="63"/>
  <c r="O245" i="63"/>
  <c r="O244" i="63"/>
  <c r="C243" i="63"/>
  <c r="C80" i="62" s="1"/>
  <c r="O241" i="63"/>
  <c r="O242" i="63" s="1"/>
  <c r="E79" i="62" s="1"/>
  <c r="C240" i="63"/>
  <c r="C79" i="62" s="1"/>
  <c r="O238" i="63"/>
  <c r="O237" i="63"/>
  <c r="O236" i="63"/>
  <c r="O235" i="63"/>
  <c r="O233" i="63"/>
  <c r="O232" i="63"/>
  <c r="O231" i="63"/>
  <c r="O230" i="63"/>
  <c r="O228" i="63"/>
  <c r="O227" i="63"/>
  <c r="O226" i="63"/>
  <c r="O225" i="63"/>
  <c r="O224" i="63"/>
  <c r="O223" i="63"/>
  <c r="O222" i="63"/>
  <c r="O221" i="63"/>
  <c r="O219" i="63"/>
  <c r="O218" i="63"/>
  <c r="O217" i="63"/>
  <c r="O216" i="63"/>
  <c r="C214" i="63"/>
  <c r="C78" i="62" s="1"/>
  <c r="O212" i="63"/>
  <c r="O211" i="63"/>
  <c r="O210" i="63"/>
  <c r="O209" i="63"/>
  <c r="C208" i="63"/>
  <c r="C77" i="62" s="1"/>
  <c r="E206" i="63"/>
  <c r="O206" i="63" s="1"/>
  <c r="O207" i="63" s="1"/>
  <c r="E76" i="62" s="1"/>
  <c r="C205" i="63"/>
  <c r="C76" i="62" s="1"/>
  <c r="O203" i="63"/>
  <c r="O204" i="63" s="1"/>
  <c r="E75" i="62" s="1"/>
  <c r="C202" i="63"/>
  <c r="C75" i="62" s="1"/>
  <c r="O200" i="63"/>
  <c r="O201" i="63" s="1"/>
  <c r="E74" i="62" s="1"/>
  <c r="C199" i="63"/>
  <c r="C74" i="62" s="1"/>
  <c r="O197" i="63"/>
  <c r="O196" i="63"/>
  <c r="O195" i="63"/>
  <c r="O194" i="63"/>
  <c r="C193" i="63"/>
  <c r="C73" i="62" s="1"/>
  <c r="O183" i="63"/>
  <c r="O184" i="63" s="1"/>
  <c r="E64" i="62" s="1"/>
  <c r="C182" i="63"/>
  <c r="C64" i="62" s="1"/>
  <c r="O180" i="63"/>
  <c r="O181" i="63" s="1"/>
  <c r="E63" i="62" s="1"/>
  <c r="C179" i="63"/>
  <c r="C63" i="62" s="1"/>
  <c r="O177" i="63"/>
  <c r="O178" i="63" s="1"/>
  <c r="E62" i="62" s="1"/>
  <c r="C176" i="63"/>
  <c r="C62" i="62" s="1"/>
  <c r="O172" i="63"/>
  <c r="O173" i="63" s="1"/>
  <c r="E61" i="62" s="1"/>
  <c r="C171" i="63"/>
  <c r="C61" i="62" s="1"/>
  <c r="O169" i="63"/>
  <c r="O170" i="63" s="1"/>
  <c r="E60" i="62" s="1"/>
  <c r="C168" i="63"/>
  <c r="C60" i="62" s="1"/>
  <c r="O164" i="63"/>
  <c r="O165" i="63" s="1"/>
  <c r="E58" i="62" s="1"/>
  <c r="C163" i="63"/>
  <c r="C58" i="62" s="1"/>
  <c r="E161" i="63"/>
  <c r="O161" i="63" s="1"/>
  <c r="O162" i="63" s="1"/>
  <c r="E57" i="62" s="1"/>
  <c r="C160" i="63"/>
  <c r="C57" i="62" s="1"/>
  <c r="O158" i="63"/>
  <c r="O157" i="63"/>
  <c r="C156" i="63"/>
  <c r="C56" i="62" s="1"/>
  <c r="O154" i="63"/>
  <c r="O155" i="63" s="1"/>
  <c r="E55" i="62" s="1"/>
  <c r="C153" i="63"/>
  <c r="C55" i="62" s="1"/>
  <c r="O151" i="63"/>
  <c r="O152" i="63" s="1"/>
  <c r="E54" i="62" s="1"/>
  <c r="C150" i="63"/>
  <c r="C54" i="62" s="1"/>
  <c r="O148" i="63"/>
  <c r="O149" i="63" s="1"/>
  <c r="E53" i="62" s="1"/>
  <c r="C147" i="63"/>
  <c r="C53" i="62" s="1"/>
  <c r="O145" i="63"/>
  <c r="O146" i="63" s="1"/>
  <c r="E52" i="62" s="1"/>
  <c r="C144" i="63"/>
  <c r="C52" i="62" s="1"/>
  <c r="O142" i="63"/>
  <c r="O143" i="63" s="1"/>
  <c r="E51" i="62" s="1"/>
  <c r="C141" i="63"/>
  <c r="C51" i="62" s="1"/>
  <c r="O139" i="63"/>
  <c r="O140" i="63" s="1"/>
  <c r="E50" i="62" s="1"/>
  <c r="C138" i="63"/>
  <c r="C50" i="62" s="1"/>
  <c r="O136" i="63"/>
  <c r="O135" i="63"/>
  <c r="O134" i="63"/>
  <c r="O133" i="63"/>
  <c r="C132" i="63"/>
  <c r="C49" i="62" s="1"/>
  <c r="C125" i="63"/>
  <c r="C48" i="62" s="1"/>
  <c r="I123" i="63"/>
  <c r="I130" i="63" s="1"/>
  <c r="O130" i="63" s="1"/>
  <c r="I122" i="63"/>
  <c r="O122" i="63" s="1"/>
  <c r="I121" i="63"/>
  <c r="O121" i="63" s="1"/>
  <c r="I120" i="63"/>
  <c r="O120" i="63" s="1"/>
  <c r="I119" i="63"/>
  <c r="I126" i="63" s="1"/>
  <c r="O126" i="63" s="1"/>
  <c r="C118" i="63"/>
  <c r="C47" i="62" s="1"/>
  <c r="K116" i="63"/>
  <c r="I116" i="63"/>
  <c r="K115" i="63"/>
  <c r="I115" i="63"/>
  <c r="O115" i="63" s="1"/>
  <c r="K114" i="63"/>
  <c r="I114" i="63"/>
  <c r="K113" i="63"/>
  <c r="I113" i="63"/>
  <c r="K112" i="63"/>
  <c r="I112" i="63"/>
  <c r="C111" i="63"/>
  <c r="C46" i="62" s="1"/>
  <c r="O109" i="63"/>
  <c r="O108" i="63"/>
  <c r="O107" i="63"/>
  <c r="O106" i="63"/>
  <c r="O105" i="63"/>
  <c r="C104" i="63"/>
  <c r="C45" i="62" s="1"/>
  <c r="O102" i="63"/>
  <c r="O101" i="63"/>
  <c r="O100" i="63"/>
  <c r="O99" i="63"/>
  <c r="O98" i="63"/>
  <c r="C97" i="63"/>
  <c r="C44" i="62" s="1"/>
  <c r="E89" i="63"/>
  <c r="O89" i="63" s="1"/>
  <c r="O90" i="63" s="1"/>
  <c r="E39" i="62" s="1"/>
  <c r="C88" i="63"/>
  <c r="C39" i="62" s="1"/>
  <c r="O83" i="63"/>
  <c r="O82" i="63"/>
  <c r="C81" i="63"/>
  <c r="C37" i="62" s="1"/>
  <c r="O79" i="63"/>
  <c r="O80" i="63" s="1"/>
  <c r="E36" i="62" s="1"/>
  <c r="C78" i="63"/>
  <c r="C36" i="62" s="1"/>
  <c r="O76" i="63"/>
  <c r="O77" i="63" s="1"/>
  <c r="E35" i="62" s="1"/>
  <c r="C75" i="63"/>
  <c r="C35" i="62" s="1"/>
  <c r="O73" i="63"/>
  <c r="O74" i="63" s="1"/>
  <c r="E34" i="62" s="1"/>
  <c r="C72" i="63"/>
  <c r="C34" i="62" s="1"/>
  <c r="O70" i="63"/>
  <c r="O71" i="63" s="1"/>
  <c r="E33" i="62" s="1"/>
  <c r="C69" i="63"/>
  <c r="C33" i="62" s="1"/>
  <c r="O67" i="63"/>
  <c r="O68" i="63" s="1"/>
  <c r="E32" i="62" s="1"/>
  <c r="C66" i="63"/>
  <c r="C32" i="62" s="1"/>
  <c r="O64" i="63"/>
  <c r="O65" i="63" s="1"/>
  <c r="E31" i="62" s="1"/>
  <c r="C63" i="63"/>
  <c r="C31" i="62" s="1"/>
  <c r="E61" i="63"/>
  <c r="O61" i="63" s="1"/>
  <c r="O62" i="63" s="1"/>
  <c r="E30" i="62" s="1"/>
  <c r="C60" i="63"/>
  <c r="C30" i="62" s="1"/>
  <c r="E58" i="63"/>
  <c r="C57" i="63"/>
  <c r="C29" i="62" s="1"/>
  <c r="I55" i="63"/>
  <c r="I58" i="63" s="1"/>
  <c r="E55" i="63"/>
  <c r="C54" i="63"/>
  <c r="C28" i="62" s="1"/>
  <c r="I52" i="63"/>
  <c r="E52" i="63"/>
  <c r="C51" i="63"/>
  <c r="C27" i="62" s="1"/>
  <c r="E49" i="63"/>
  <c r="O49" i="63" s="1"/>
  <c r="O50" i="63" s="1"/>
  <c r="E26" i="62" s="1"/>
  <c r="C48" i="63"/>
  <c r="C26" i="62" s="1"/>
  <c r="O46" i="63"/>
  <c r="O47" i="63" s="1"/>
  <c r="E25" i="62" s="1"/>
  <c r="C45" i="63"/>
  <c r="C25" i="62" s="1"/>
  <c r="O37" i="63"/>
  <c r="O38" i="63" s="1"/>
  <c r="E18" i="62" s="1"/>
  <c r="C36" i="63"/>
  <c r="C18" i="62" s="1"/>
  <c r="O31" i="63"/>
  <c r="O32" i="63" s="1"/>
  <c r="E16" i="62" s="1"/>
  <c r="C30" i="63"/>
  <c r="C16" i="62" s="1"/>
  <c r="O28" i="63"/>
  <c r="O29" i="63" s="1"/>
  <c r="E15" i="62" s="1"/>
  <c r="C27" i="63"/>
  <c r="C15" i="62" s="1"/>
  <c r="O25" i="63"/>
  <c r="O26" i="63" s="1"/>
  <c r="E14" i="62" s="1"/>
  <c r="C24" i="63"/>
  <c r="C14" i="62" s="1"/>
  <c r="O22" i="63"/>
  <c r="O23" i="63" s="1"/>
  <c r="E13" i="62" s="1"/>
  <c r="C21" i="63"/>
  <c r="C13" i="62" s="1"/>
  <c r="O19" i="63"/>
  <c r="O20" i="63" s="1"/>
  <c r="E12" i="62" s="1"/>
  <c r="C18" i="63"/>
  <c r="C12" i="62" s="1"/>
  <c r="O16" i="63"/>
  <c r="O17" i="63" s="1"/>
  <c r="E11" i="62" s="1"/>
  <c r="C15" i="63"/>
  <c r="C11" i="62" s="1"/>
  <c r="O13" i="63"/>
  <c r="O14" i="63" s="1"/>
  <c r="E10" i="62" s="1"/>
  <c r="C12" i="63"/>
  <c r="C10" i="62" s="1"/>
  <c r="A2" i="63"/>
  <c r="F1" i="63"/>
  <c r="F401" i="62"/>
  <c r="D683" i="68"/>
  <c r="D645" i="68"/>
  <c r="D493" i="68"/>
  <c r="D569" i="68"/>
  <c r="D455" i="68"/>
  <c r="D417" i="68"/>
  <c r="O304" i="60"/>
  <c r="O305" i="60" s="1"/>
  <c r="E96" i="28" s="1"/>
  <c r="C303" i="60"/>
  <c r="C96" i="28" s="1"/>
  <c r="O301" i="60"/>
  <c r="O300" i="60"/>
  <c r="O299" i="60"/>
  <c r="C298" i="60"/>
  <c r="C95" i="28" s="1"/>
  <c r="O294" i="60"/>
  <c r="O293" i="60"/>
  <c r="C292" i="60"/>
  <c r="C93" i="28" s="1"/>
  <c r="O290" i="60"/>
  <c r="O291" i="60" s="1"/>
  <c r="E92" i="28" s="1"/>
  <c r="C289" i="60"/>
  <c r="C92" i="28" s="1"/>
  <c r="O287" i="60"/>
  <c r="O288" i="60" s="1"/>
  <c r="E91" i="28" s="1"/>
  <c r="C286" i="60"/>
  <c r="C91" i="28" s="1"/>
  <c r="O284" i="60"/>
  <c r="O285" i="60" s="1"/>
  <c r="E90" i="28" s="1"/>
  <c r="C283" i="60"/>
  <c r="C90" i="28" s="1"/>
  <c r="O281" i="60"/>
  <c r="O282" i="60" s="1"/>
  <c r="E89" i="28" s="1"/>
  <c r="C280" i="60"/>
  <c r="C89" i="28" s="1"/>
  <c r="O278" i="60"/>
  <c r="O277" i="60"/>
  <c r="C276" i="60"/>
  <c r="C88" i="28" s="1"/>
  <c r="O274" i="60"/>
  <c r="O275" i="60" s="1"/>
  <c r="E87" i="28" s="1"/>
  <c r="C273" i="60"/>
  <c r="C87" i="28" s="1"/>
  <c r="O271" i="60"/>
  <c r="O270" i="60"/>
  <c r="C269" i="60"/>
  <c r="C86" i="28" s="1"/>
  <c r="O267" i="60"/>
  <c r="O266" i="60"/>
  <c r="O265" i="60"/>
  <c r="C264" i="60"/>
  <c r="C85" i="28" s="1"/>
  <c r="O262" i="60"/>
  <c r="O261" i="60"/>
  <c r="O260" i="60"/>
  <c r="C259" i="60"/>
  <c r="C84" i="28" s="1"/>
  <c r="O257" i="60"/>
  <c r="O258" i="60" s="1"/>
  <c r="E83" i="28" s="1"/>
  <c r="C256" i="60"/>
  <c r="C83" i="28" s="1"/>
  <c r="O254" i="60"/>
  <c r="O253" i="60"/>
  <c r="O252" i="60"/>
  <c r="C251" i="60"/>
  <c r="C82" i="28" s="1"/>
  <c r="O249" i="60"/>
  <c r="O250" i="60" s="1"/>
  <c r="E81" i="28" s="1"/>
  <c r="C248" i="60"/>
  <c r="C81" i="28" s="1"/>
  <c r="O246" i="60"/>
  <c r="O245" i="60"/>
  <c r="O244" i="60"/>
  <c r="C243" i="60"/>
  <c r="C80" i="28" s="1"/>
  <c r="O241" i="60"/>
  <c r="O242" i="60" s="1"/>
  <c r="E79" i="28" s="1"/>
  <c r="C240" i="60"/>
  <c r="C79" i="28" s="1"/>
  <c r="O238" i="60"/>
  <c r="O237" i="60"/>
  <c r="O236" i="60"/>
  <c r="O235" i="60"/>
  <c r="O233" i="60"/>
  <c r="O232" i="60"/>
  <c r="O231" i="60"/>
  <c r="O230" i="60"/>
  <c r="O228" i="60"/>
  <c r="O227" i="60"/>
  <c r="O226" i="60"/>
  <c r="O225" i="60"/>
  <c r="O224" i="60"/>
  <c r="O223" i="60"/>
  <c r="O222" i="60"/>
  <c r="O221" i="60"/>
  <c r="O219" i="60"/>
  <c r="O218" i="60"/>
  <c r="O217" i="60"/>
  <c r="O216" i="60"/>
  <c r="C214" i="60"/>
  <c r="C78" i="28" s="1"/>
  <c r="O212" i="60"/>
  <c r="O211" i="60"/>
  <c r="O210" i="60"/>
  <c r="O209" i="60"/>
  <c r="C208" i="60"/>
  <c r="C77" i="28" s="1"/>
  <c r="E206" i="60"/>
  <c r="O206" i="60" s="1"/>
  <c r="O207" i="60" s="1"/>
  <c r="E76" i="28" s="1"/>
  <c r="C205" i="60"/>
  <c r="C76" i="28" s="1"/>
  <c r="O203" i="60"/>
  <c r="O204" i="60" s="1"/>
  <c r="E75" i="28" s="1"/>
  <c r="C202" i="60"/>
  <c r="C75" i="28" s="1"/>
  <c r="O200" i="60"/>
  <c r="O201" i="60" s="1"/>
  <c r="E74" i="28" s="1"/>
  <c r="C199" i="60"/>
  <c r="C74" i="28" s="1"/>
  <c r="O197" i="60"/>
  <c r="O196" i="60"/>
  <c r="O195" i="60"/>
  <c r="O194" i="60"/>
  <c r="C193" i="60"/>
  <c r="C73" i="28" s="1"/>
  <c r="O183" i="60"/>
  <c r="O184" i="60" s="1"/>
  <c r="E64" i="28" s="1"/>
  <c r="C182" i="60"/>
  <c r="C64" i="28" s="1"/>
  <c r="O180" i="60"/>
  <c r="O181" i="60" s="1"/>
  <c r="E63" i="28" s="1"/>
  <c r="C179" i="60"/>
  <c r="C63" i="28" s="1"/>
  <c r="O177" i="60"/>
  <c r="O178" i="60" s="1"/>
  <c r="E62" i="28" s="1"/>
  <c r="C176" i="60"/>
  <c r="C62" i="28" s="1"/>
  <c r="O172" i="60"/>
  <c r="O173" i="60" s="1"/>
  <c r="E61" i="28" s="1"/>
  <c r="C171" i="60"/>
  <c r="C61" i="28" s="1"/>
  <c r="O169" i="60"/>
  <c r="O170" i="60" s="1"/>
  <c r="E60" i="28" s="1"/>
  <c r="C168" i="60"/>
  <c r="C60" i="28" s="1"/>
  <c r="O164" i="60"/>
  <c r="O165" i="60" s="1"/>
  <c r="E58" i="28" s="1"/>
  <c r="C163" i="60"/>
  <c r="C58" i="28" s="1"/>
  <c r="E161" i="60"/>
  <c r="O161" i="60" s="1"/>
  <c r="O162" i="60" s="1"/>
  <c r="E57" i="28" s="1"/>
  <c r="C160" i="60"/>
  <c r="C57" i="28" s="1"/>
  <c r="O158" i="60"/>
  <c r="O157" i="60"/>
  <c r="C156" i="60"/>
  <c r="C56" i="28" s="1"/>
  <c r="O154" i="60"/>
  <c r="O155" i="60" s="1"/>
  <c r="E55" i="28" s="1"/>
  <c r="C153" i="60"/>
  <c r="C55" i="28" s="1"/>
  <c r="O151" i="60"/>
  <c r="O152" i="60" s="1"/>
  <c r="E54" i="28" s="1"/>
  <c r="C150" i="60"/>
  <c r="C54" i="28" s="1"/>
  <c r="O148" i="60"/>
  <c r="O149" i="60" s="1"/>
  <c r="E53" i="28" s="1"/>
  <c r="C147" i="60"/>
  <c r="C53" i="28" s="1"/>
  <c r="O145" i="60"/>
  <c r="O146" i="60" s="1"/>
  <c r="E52" i="28" s="1"/>
  <c r="C144" i="60"/>
  <c r="C52" i="28" s="1"/>
  <c r="O142" i="60"/>
  <c r="O143" i="60" s="1"/>
  <c r="E51" i="28" s="1"/>
  <c r="C141" i="60"/>
  <c r="C51" i="28" s="1"/>
  <c r="O139" i="60"/>
  <c r="O140" i="60" s="1"/>
  <c r="E50" i="28" s="1"/>
  <c r="C138" i="60"/>
  <c r="C50" i="28" s="1"/>
  <c r="O136" i="60"/>
  <c r="O135" i="60"/>
  <c r="O134" i="60"/>
  <c r="O133" i="60"/>
  <c r="C132" i="60"/>
  <c r="C49" i="28" s="1"/>
  <c r="C125" i="60"/>
  <c r="C48" i="28" s="1"/>
  <c r="I123" i="60"/>
  <c r="O123" i="60" s="1"/>
  <c r="I122" i="60"/>
  <c r="I129" i="60" s="1"/>
  <c r="O129" i="60" s="1"/>
  <c r="I121" i="60"/>
  <c r="I128" i="60" s="1"/>
  <c r="O128" i="60" s="1"/>
  <c r="I120" i="60"/>
  <c r="I127" i="60" s="1"/>
  <c r="O127" i="60" s="1"/>
  <c r="I119" i="60"/>
  <c r="O119" i="60" s="1"/>
  <c r="C118" i="60"/>
  <c r="C47" i="28" s="1"/>
  <c r="K116" i="60"/>
  <c r="I116" i="60"/>
  <c r="K115" i="60"/>
  <c r="I115" i="60"/>
  <c r="K114" i="60"/>
  <c r="I114" i="60"/>
  <c r="K113" i="60"/>
  <c r="I113" i="60"/>
  <c r="K112" i="60"/>
  <c r="I112" i="60"/>
  <c r="C111" i="60"/>
  <c r="C46" i="28" s="1"/>
  <c r="O109" i="60"/>
  <c r="O108" i="60"/>
  <c r="O107" i="60"/>
  <c r="O106" i="60"/>
  <c r="O105" i="60"/>
  <c r="C104" i="60"/>
  <c r="C45" i="28" s="1"/>
  <c r="O102" i="60"/>
  <c r="O101" i="60"/>
  <c r="O100" i="60"/>
  <c r="O99" i="60"/>
  <c r="O98" i="60"/>
  <c r="C97" i="60"/>
  <c r="C44" i="28" s="1"/>
  <c r="E89" i="60"/>
  <c r="O89" i="60" s="1"/>
  <c r="O90" i="60" s="1"/>
  <c r="E39" i="28" s="1"/>
  <c r="C88" i="60"/>
  <c r="C39" i="28" s="1"/>
  <c r="O83" i="60"/>
  <c r="O82" i="60"/>
  <c r="C81" i="60"/>
  <c r="C37" i="28" s="1"/>
  <c r="O79" i="60"/>
  <c r="O80" i="60" s="1"/>
  <c r="E36" i="28" s="1"/>
  <c r="C78" i="60"/>
  <c r="C36" i="28" s="1"/>
  <c r="O76" i="60"/>
  <c r="O77" i="60" s="1"/>
  <c r="E35" i="28" s="1"/>
  <c r="C75" i="60"/>
  <c r="C35" i="28" s="1"/>
  <c r="O73" i="60"/>
  <c r="O74" i="60" s="1"/>
  <c r="E34" i="28" s="1"/>
  <c r="C72" i="60"/>
  <c r="C34" i="28" s="1"/>
  <c r="O70" i="60"/>
  <c r="O71" i="60" s="1"/>
  <c r="E33" i="28" s="1"/>
  <c r="C69" i="60"/>
  <c r="C33" i="28" s="1"/>
  <c r="O67" i="60"/>
  <c r="O68" i="60" s="1"/>
  <c r="E32" i="28" s="1"/>
  <c r="C66" i="60"/>
  <c r="C32" i="28" s="1"/>
  <c r="O64" i="60"/>
  <c r="O65" i="60" s="1"/>
  <c r="E31" i="28" s="1"/>
  <c r="C63" i="60"/>
  <c r="C31" i="28" s="1"/>
  <c r="E61" i="60"/>
  <c r="O61" i="60" s="1"/>
  <c r="O62" i="60" s="1"/>
  <c r="E30" i="28" s="1"/>
  <c r="C60" i="60"/>
  <c r="C30" i="28" s="1"/>
  <c r="E58" i="60"/>
  <c r="C57" i="60"/>
  <c r="C29" i="28" s="1"/>
  <c r="I55" i="60"/>
  <c r="I58" i="60" s="1"/>
  <c r="E55" i="60"/>
  <c r="C54" i="60"/>
  <c r="C28" i="28" s="1"/>
  <c r="I52" i="60"/>
  <c r="E52" i="60"/>
  <c r="K52" i="60" s="1"/>
  <c r="C51" i="60"/>
  <c r="C27" i="28" s="1"/>
  <c r="E49" i="60"/>
  <c r="O49" i="60" s="1"/>
  <c r="O50" i="60" s="1"/>
  <c r="E26" i="28" s="1"/>
  <c r="C48" i="60"/>
  <c r="C26" i="28" s="1"/>
  <c r="O46" i="60"/>
  <c r="O47" i="60" s="1"/>
  <c r="E25" i="28" s="1"/>
  <c r="C45" i="60"/>
  <c r="C25" i="28" s="1"/>
  <c r="O37" i="60"/>
  <c r="O38" i="60" s="1"/>
  <c r="E18" i="28" s="1"/>
  <c r="C36" i="60"/>
  <c r="C18" i="28" s="1"/>
  <c r="O31" i="60"/>
  <c r="O32" i="60" s="1"/>
  <c r="E16" i="28" s="1"/>
  <c r="C30" i="60"/>
  <c r="C16" i="28" s="1"/>
  <c r="O28" i="60"/>
  <c r="O29" i="60" s="1"/>
  <c r="E15" i="28" s="1"/>
  <c r="C27" i="60"/>
  <c r="C15" i="28" s="1"/>
  <c r="O25" i="60"/>
  <c r="O26" i="60" s="1"/>
  <c r="E14" i="28" s="1"/>
  <c r="C24" i="60"/>
  <c r="C14" i="28" s="1"/>
  <c r="O22" i="60"/>
  <c r="O23" i="60" s="1"/>
  <c r="E13" i="28" s="1"/>
  <c r="C21" i="60"/>
  <c r="C13" i="28" s="1"/>
  <c r="O19" i="60"/>
  <c r="O20" i="60" s="1"/>
  <c r="E12" i="28" s="1"/>
  <c r="C18" i="60"/>
  <c r="C12" i="28" s="1"/>
  <c r="O16" i="60"/>
  <c r="O17" i="60" s="1"/>
  <c r="E11" i="28" s="1"/>
  <c r="C15" i="60"/>
  <c r="C11" i="28" s="1"/>
  <c r="O13" i="60"/>
  <c r="O14" i="60" s="1"/>
  <c r="E10" i="28" s="1"/>
  <c r="C12" i="60"/>
  <c r="C10" i="28" s="1"/>
  <c r="A2" i="60"/>
  <c r="F1" i="60"/>
  <c r="F52" i="59"/>
  <c r="D45" i="59"/>
  <c r="B45" i="59"/>
  <c r="D44" i="59"/>
  <c r="B44" i="59"/>
  <c r="D43" i="59"/>
  <c r="B43" i="59"/>
  <c r="D42" i="59"/>
  <c r="B42" i="59"/>
  <c r="D40" i="59"/>
  <c r="B40" i="59"/>
  <c r="D39" i="59"/>
  <c r="B39" i="59"/>
  <c r="D38" i="59"/>
  <c r="B38" i="59"/>
  <c r="D37" i="59"/>
  <c r="B37" i="59"/>
  <c r="D36" i="59"/>
  <c r="B36" i="59"/>
  <c r="D35" i="59"/>
  <c r="B35" i="59"/>
  <c r="D34" i="59"/>
  <c r="B34" i="59"/>
  <c r="D33" i="59"/>
  <c r="B33" i="59"/>
  <c r="D32" i="59"/>
  <c r="B32" i="59"/>
  <c r="D31" i="59"/>
  <c r="B31" i="59"/>
  <c r="D30" i="59"/>
  <c r="B30" i="59"/>
  <c r="D29" i="59"/>
  <c r="B29" i="59"/>
  <c r="D28" i="59"/>
  <c r="B28" i="59"/>
  <c r="D27" i="59"/>
  <c r="B27" i="59"/>
  <c r="D26" i="59"/>
  <c r="B26" i="59"/>
  <c r="D25" i="59"/>
  <c r="B25" i="59"/>
  <c r="D24" i="59"/>
  <c r="B24" i="59"/>
  <c r="D23" i="59"/>
  <c r="B23" i="59"/>
  <c r="D22" i="59"/>
  <c r="B22" i="59"/>
  <c r="D21" i="59"/>
  <c r="B21" i="59"/>
  <c r="D20" i="59"/>
  <c r="B20" i="59"/>
  <c r="D19" i="59"/>
  <c r="B19" i="59"/>
  <c r="D18" i="59"/>
  <c r="B18" i="59"/>
  <c r="D17" i="59"/>
  <c r="B17" i="59"/>
  <c r="D16" i="59"/>
  <c r="B16" i="59"/>
  <c r="D15" i="59"/>
  <c r="B15" i="59"/>
  <c r="D14" i="59"/>
  <c r="B14" i="59"/>
  <c r="D13" i="59"/>
  <c r="B13" i="59"/>
  <c r="D12" i="59"/>
  <c r="B12" i="59"/>
  <c r="D11" i="59"/>
  <c r="B11" i="59"/>
  <c r="D10" i="59"/>
  <c r="B10" i="59"/>
  <c r="D9" i="59"/>
  <c r="B9" i="59"/>
  <c r="C8" i="59"/>
  <c r="B7" i="59"/>
  <c r="B4" i="59"/>
  <c r="I2965" i="73" l="1"/>
  <c r="M2965" i="73" s="1"/>
  <c r="M190" i="58"/>
  <c r="M262" i="58"/>
  <c r="M247" i="58" s="1"/>
  <c r="M83" i="58"/>
  <c r="M94" i="58"/>
  <c r="M122" i="58"/>
  <c r="M195" i="58"/>
  <c r="F2118" i="73"/>
  <c r="N2119" i="73" s="1"/>
  <c r="M189" i="58"/>
  <c r="M217" i="58"/>
  <c r="M188" i="58"/>
  <c r="M56" i="74"/>
  <c r="I2904" i="73"/>
  <c r="M2904" i="73" s="1"/>
  <c r="M54" i="74"/>
  <c r="N2023" i="73"/>
  <c r="M66" i="58"/>
  <c r="M147" i="58"/>
  <c r="M184" i="58"/>
  <c r="M80" i="58"/>
  <c r="M178" i="58"/>
  <c r="M119" i="58"/>
  <c r="I2908" i="73"/>
  <c r="M2908" i="73" s="1"/>
  <c r="M120" i="58"/>
  <c r="M78" i="58"/>
  <c r="M41" i="58"/>
  <c r="M179" i="58"/>
  <c r="I2964" i="73"/>
  <c r="M2964" i="73" s="1"/>
  <c r="M230" i="58"/>
  <c r="M52" i="58"/>
  <c r="M54" i="58"/>
  <c r="M126" i="58"/>
  <c r="M128" i="58"/>
  <c r="M158" i="58"/>
  <c r="M222" i="58"/>
  <c r="M55" i="58"/>
  <c r="M57" i="58"/>
  <c r="M86" i="58"/>
  <c r="M93" i="58"/>
  <c r="M92" i="58"/>
  <c r="M156" i="58"/>
  <c r="M56" i="58"/>
  <c r="M127" i="58"/>
  <c r="M124" i="58"/>
  <c r="M155" i="58"/>
  <c r="M186" i="58"/>
  <c r="M219" i="58"/>
  <c r="M221" i="58"/>
  <c r="M58" i="58"/>
  <c r="M89" i="58"/>
  <c r="M84" i="58"/>
  <c r="M88" i="58"/>
  <c r="M153" i="58"/>
  <c r="M151" i="58"/>
  <c r="O928" i="63"/>
  <c r="E196" i="62" s="1"/>
  <c r="O937" i="63"/>
  <c r="E198" i="62" s="1"/>
  <c r="O84" i="60"/>
  <c r="E37" i="28" s="1"/>
  <c r="O508" i="63"/>
  <c r="E129" i="62" s="1"/>
  <c r="O374" i="63"/>
  <c r="E110" i="62" s="1"/>
  <c r="O692" i="63"/>
  <c r="O795" i="63"/>
  <c r="E174" i="62" s="1"/>
  <c r="O941" i="63"/>
  <c r="O112" i="63"/>
  <c r="O116" i="63"/>
  <c r="O1264" i="63"/>
  <c r="E279" i="62" s="1"/>
  <c r="O115" i="60"/>
  <c r="O159" i="63"/>
  <c r="E56" i="62" s="1"/>
  <c r="O1061" i="63"/>
  <c r="E232" i="62" s="1"/>
  <c r="O116" i="60"/>
  <c r="O654" i="63"/>
  <c r="O908" i="63"/>
  <c r="E192" i="62" s="1"/>
  <c r="O1428" i="63"/>
  <c r="I1451" i="63"/>
  <c r="O1451" i="63" s="1"/>
  <c r="O770" i="63"/>
  <c r="E166" i="62" s="1"/>
  <c r="O302" i="60"/>
  <c r="E95" i="28" s="1"/>
  <c r="O120" i="60"/>
  <c r="O255" i="60"/>
  <c r="E82" i="28" s="1"/>
  <c r="O295" i="60"/>
  <c r="E93" i="28" s="1"/>
  <c r="O1073" i="63"/>
  <c r="I1447" i="63"/>
  <c r="O1447" i="63" s="1"/>
  <c r="O896" i="63"/>
  <c r="E189" i="62" s="1"/>
  <c r="O1110" i="63"/>
  <c r="I1448" i="63"/>
  <c r="O1448" i="63" s="1"/>
  <c r="O839" i="63"/>
  <c r="E184" i="62" s="1"/>
  <c r="O1072" i="63"/>
  <c r="O55" i="63"/>
  <c r="O56" i="63" s="1"/>
  <c r="E28" i="62" s="1"/>
  <c r="O655" i="63"/>
  <c r="E145" i="62" s="1"/>
  <c r="O892" i="63"/>
  <c r="E188" i="62" s="1"/>
  <c r="O804" i="63"/>
  <c r="E179" i="62" s="1"/>
  <c r="O1234" i="63"/>
  <c r="E269" i="62" s="1"/>
  <c r="O1302" i="63"/>
  <c r="E293" i="62" s="1"/>
  <c r="O1490" i="63"/>
  <c r="E326" i="62" s="1"/>
  <c r="O601" i="63"/>
  <c r="E137" i="62" s="1"/>
  <c r="O766" i="63"/>
  <c r="E165" i="62" s="1"/>
  <c r="O777" i="63"/>
  <c r="E168" i="62" s="1"/>
  <c r="O1172" i="63"/>
  <c r="E257" i="62" s="1"/>
  <c r="O1180" i="63"/>
  <c r="O1429" i="63"/>
  <c r="O84" i="63"/>
  <c r="E37" i="62" s="1"/>
  <c r="O255" i="63"/>
  <c r="E82" i="62" s="1"/>
  <c r="O814" i="63"/>
  <c r="O1388" i="63"/>
  <c r="E307" i="62" s="1"/>
  <c r="O302" i="63"/>
  <c r="E95" i="62" s="1"/>
  <c r="O333" i="63"/>
  <c r="E104" i="62" s="1"/>
  <c r="O366" i="63"/>
  <c r="E109" i="62" s="1"/>
  <c r="O1137" i="63"/>
  <c r="E244" i="62" s="1"/>
  <c r="O247" i="63"/>
  <c r="E80" i="62" s="1"/>
  <c r="O391" i="63"/>
  <c r="E113" i="62" s="1"/>
  <c r="O1545" i="63"/>
  <c r="E343" i="62" s="1"/>
  <c r="O972" i="63"/>
  <c r="E208" i="62" s="1"/>
  <c r="O995" i="63"/>
  <c r="O996" i="63" s="1"/>
  <c r="E216" i="62" s="1"/>
  <c r="O1368" i="63"/>
  <c r="E303" i="62" s="1"/>
  <c r="O1217" i="63"/>
  <c r="E265" i="62" s="1"/>
  <c r="O114" i="63"/>
  <c r="O1083" i="63"/>
  <c r="E235" i="62" s="1"/>
  <c r="O1314" i="63"/>
  <c r="E295" i="62" s="1"/>
  <c r="O295" i="63"/>
  <c r="E93" i="62" s="1"/>
  <c r="O825" i="63"/>
  <c r="E182" i="62" s="1"/>
  <c r="O977" i="63"/>
  <c r="E209" i="62" s="1"/>
  <c r="O993" i="63"/>
  <c r="E215" i="62" s="1"/>
  <c r="O1362" i="63"/>
  <c r="E302" i="62" s="1"/>
  <c r="O1529" i="63"/>
  <c r="E338" i="62" s="1"/>
  <c r="O268" i="63"/>
  <c r="E85" i="62" s="1"/>
  <c r="O380" i="63"/>
  <c r="E111" i="62" s="1"/>
  <c r="O465" i="63"/>
  <c r="E123" i="62" s="1"/>
  <c r="O478" i="63"/>
  <c r="E124" i="62" s="1"/>
  <c r="O485" i="63"/>
  <c r="E125" i="62" s="1"/>
  <c r="O515" i="63"/>
  <c r="E130" i="62" s="1"/>
  <c r="O651" i="63"/>
  <c r="E144" i="62" s="1"/>
  <c r="O901" i="63"/>
  <c r="E190" i="62" s="1"/>
  <c r="O968" i="63"/>
  <c r="E207" i="62" s="1"/>
  <c r="O1198" i="63"/>
  <c r="E262" i="62" s="1"/>
  <c r="O1419" i="63"/>
  <c r="O1426" i="63"/>
  <c r="O1431" i="63"/>
  <c r="O110" i="63"/>
  <c r="E45" i="62" s="1"/>
  <c r="O113" i="63"/>
  <c r="O239" i="63"/>
  <c r="E78" i="62" s="1"/>
  <c r="O358" i="63"/>
  <c r="E107" i="62" s="1"/>
  <c r="O613" i="63"/>
  <c r="E139" i="62" s="1"/>
  <c r="O622" i="63"/>
  <c r="E140" i="62" s="1"/>
  <c r="O719" i="63"/>
  <c r="E160" i="62" s="1"/>
  <c r="O754" i="63"/>
  <c r="E163" i="62" s="1"/>
  <c r="O877" i="63"/>
  <c r="E185" i="62" s="1"/>
  <c r="E880" i="63"/>
  <c r="O880" i="63" s="1"/>
  <c r="O881" i="63" s="1"/>
  <c r="E186" i="62" s="1"/>
  <c r="O1070" i="63"/>
  <c r="E233" i="62" s="1"/>
  <c r="O1338" i="63"/>
  <c r="E297" i="62" s="1"/>
  <c r="O1352" i="63"/>
  <c r="E300" i="62" s="1"/>
  <c r="I127" i="63"/>
  <c r="O127" i="63" s="1"/>
  <c r="O198" i="63"/>
  <c r="E73" i="62" s="1"/>
  <c r="O279" i="63"/>
  <c r="E88" i="62" s="1"/>
  <c r="O629" i="63"/>
  <c r="E141" i="62" s="1"/>
  <c r="O762" i="63"/>
  <c r="E164" i="62" s="1"/>
  <c r="O1027" i="63"/>
  <c r="E220" i="62" s="1"/>
  <c r="O1308" i="63"/>
  <c r="E294" i="62" s="1"/>
  <c r="O1415" i="63"/>
  <c r="E313" i="62" s="1"/>
  <c r="O1420" i="63"/>
  <c r="I128" i="63"/>
  <c r="O128" i="63" s="1"/>
  <c r="O404" i="63"/>
  <c r="E114" i="62" s="1"/>
  <c r="O888" i="63"/>
  <c r="E187" i="62" s="1"/>
  <c r="O933" i="63"/>
  <c r="E197" i="62" s="1"/>
  <c r="O987" i="63"/>
  <c r="E214" i="62" s="1"/>
  <c r="O1074" i="63"/>
  <c r="I1089" i="63"/>
  <c r="O1089" i="63" s="1"/>
  <c r="O1124" i="63"/>
  <c r="E240" i="62" s="1"/>
  <c r="O1141" i="63"/>
  <c r="E245" i="62" s="1"/>
  <c r="O1178" i="63"/>
  <c r="E258" i="62" s="1"/>
  <c r="O1181" i="63"/>
  <c r="I1450" i="63"/>
  <c r="O1450" i="63" s="1"/>
  <c r="O272" i="63"/>
  <c r="E86" i="62" s="1"/>
  <c r="O342" i="63"/>
  <c r="E105" i="62" s="1"/>
  <c r="O351" i="63"/>
  <c r="E106" i="62" s="1"/>
  <c r="O387" i="63"/>
  <c r="E112" i="62" s="1"/>
  <c r="O592" i="63"/>
  <c r="E135" i="62" s="1"/>
  <c r="O681" i="63"/>
  <c r="E155" i="62" s="1"/>
  <c r="O1116" i="63"/>
  <c r="E238" i="62" s="1"/>
  <c r="O1210" i="63"/>
  <c r="E263" i="62" s="1"/>
  <c r="I1445" i="63"/>
  <c r="O1445" i="63" s="1"/>
  <c r="K1432" i="63"/>
  <c r="O1432" i="63" s="1"/>
  <c r="O103" i="63"/>
  <c r="E44" i="62" s="1"/>
  <c r="O137" i="63"/>
  <c r="E49" i="62" s="1"/>
  <c r="O213" i="63"/>
  <c r="E77" i="62" s="1"/>
  <c r="O263" i="63"/>
  <c r="E84" i="62" s="1"/>
  <c r="O690" i="63"/>
  <c r="E156" i="62" s="1"/>
  <c r="I710" i="63"/>
  <c r="O710" i="63" s="1"/>
  <c r="O712" i="63" s="1"/>
  <c r="E159" i="62" s="1"/>
  <c r="O744" i="63"/>
  <c r="E161" i="62" s="1"/>
  <c r="C218" i="62"/>
  <c r="C219" i="62"/>
  <c r="O1097" i="63"/>
  <c r="E237" i="62" s="1"/>
  <c r="O1292" i="63"/>
  <c r="E292" i="62" s="1"/>
  <c r="O1380" i="63"/>
  <c r="E305" i="62" s="1"/>
  <c r="O58" i="63"/>
  <c r="O59" i="63" s="1"/>
  <c r="E29" i="62" s="1"/>
  <c r="O504" i="63"/>
  <c r="E128" i="62" s="1"/>
  <c r="O525" i="63"/>
  <c r="E131" i="62" s="1"/>
  <c r="O703" i="63"/>
  <c r="E158" i="62" s="1"/>
  <c r="O812" i="63"/>
  <c r="E180" i="62" s="1"/>
  <c r="O816" i="63"/>
  <c r="O917" i="63"/>
  <c r="E193" i="62" s="1"/>
  <c r="O945" i="63"/>
  <c r="O1001" i="63"/>
  <c r="E217" i="62" s="1"/>
  <c r="O1014" i="63"/>
  <c r="E219" i="62" s="1"/>
  <c r="I1192" i="63"/>
  <c r="O1192" i="63" s="1"/>
  <c r="O1194" i="63" s="1"/>
  <c r="E261" i="62" s="1"/>
  <c r="O1320" i="63"/>
  <c r="E296" i="62" s="1"/>
  <c r="O1549" i="63"/>
  <c r="E344" i="62" s="1"/>
  <c r="O58" i="60"/>
  <c r="O59" i="60" s="1"/>
  <c r="E29" i="28" s="1"/>
  <c r="O114" i="60"/>
  <c r="O279" i="60"/>
  <c r="E88" i="28" s="1"/>
  <c r="O272" i="60"/>
  <c r="E86" i="28" s="1"/>
  <c r="O55" i="60"/>
  <c r="O56" i="60" s="1"/>
  <c r="E28" i="28" s="1"/>
  <c r="O110" i="60"/>
  <c r="E45" i="28" s="1"/>
  <c r="O198" i="60"/>
  <c r="E73" i="28" s="1"/>
  <c r="O121" i="60"/>
  <c r="O52" i="60"/>
  <c r="O53" i="60" s="1"/>
  <c r="E27" i="28" s="1"/>
  <c r="O113" i="60"/>
  <c r="O122" i="60"/>
  <c r="O213" i="60"/>
  <c r="E77" i="28" s="1"/>
  <c r="O263" i="60"/>
  <c r="E84" i="28" s="1"/>
  <c r="O103" i="60"/>
  <c r="E44" i="28" s="1"/>
  <c r="O159" i="60"/>
  <c r="E56" i="28" s="1"/>
  <c r="O239" i="60"/>
  <c r="E78" i="28" s="1"/>
  <c r="O247" i="60"/>
  <c r="E80" i="28" s="1"/>
  <c r="O112" i="60"/>
  <c r="O137" i="60"/>
  <c r="E49" i="28" s="1"/>
  <c r="O268" i="60"/>
  <c r="E85" i="28" s="1"/>
  <c r="M542" i="63"/>
  <c r="O542" i="63" s="1"/>
  <c r="M561" i="63"/>
  <c r="O561" i="63" s="1"/>
  <c r="O1007" i="63"/>
  <c r="E218" i="62" s="1"/>
  <c r="O119" i="63"/>
  <c r="O123" i="63"/>
  <c r="I833" i="63"/>
  <c r="O833" i="63" s="1"/>
  <c r="O834" i="63" s="1"/>
  <c r="E183" i="62" s="1"/>
  <c r="I1436" i="63"/>
  <c r="O1436" i="63" s="1"/>
  <c r="O1442" i="63" s="1"/>
  <c r="E316" i="62" s="1"/>
  <c r="O1427" i="63"/>
  <c r="I129" i="63"/>
  <c r="O129" i="63" s="1"/>
  <c r="O693" i="63"/>
  <c r="O815" i="63"/>
  <c r="I1090" i="63"/>
  <c r="O1090" i="63" s="1"/>
  <c r="O1358" i="63"/>
  <c r="E301" i="62" s="1"/>
  <c r="I1091" i="63"/>
  <c r="O1091" i="63" s="1"/>
  <c r="O1278" i="63"/>
  <c r="E283" i="62" s="1"/>
  <c r="K52" i="63"/>
  <c r="O52" i="63" s="1"/>
  <c r="O53" i="63" s="1"/>
  <c r="E27" i="62" s="1"/>
  <c r="O1188" i="63"/>
  <c r="E260" i="62" s="1"/>
  <c r="I1446" i="63"/>
  <c r="O1446" i="63" s="1"/>
  <c r="O1464" i="63"/>
  <c r="E318" i="62" s="1"/>
  <c r="O1374" i="63"/>
  <c r="E304" i="62" s="1"/>
  <c r="O1418" i="63"/>
  <c r="O1423" i="63"/>
  <c r="I126" i="60"/>
  <c r="O126" i="60" s="1"/>
  <c r="I130" i="60"/>
  <c r="O130" i="60" s="1"/>
  <c r="M2973" i="73" l="1"/>
  <c r="J2958" i="73" s="1"/>
  <c r="F2958" i="73" s="1"/>
  <c r="M18" i="74" s="1"/>
  <c r="M2923" i="73"/>
  <c r="J2900" i="73" s="1"/>
  <c r="J17" i="74" s="1"/>
  <c r="M163" i="58"/>
  <c r="M33" i="58"/>
  <c r="M63" i="58"/>
  <c r="M201" i="58"/>
  <c r="M105" i="58"/>
  <c r="K419" i="63"/>
  <c r="O419" i="63" s="1"/>
  <c r="O117" i="60"/>
  <c r="E46" i="28" s="1"/>
  <c r="M560" i="63"/>
  <c r="O560" i="63" s="1"/>
  <c r="O694" i="63"/>
  <c r="E157" i="62" s="1"/>
  <c r="M541" i="63"/>
  <c r="O541" i="63" s="1"/>
  <c r="O117" i="63"/>
  <c r="E46" i="62" s="1"/>
  <c r="O1075" i="63"/>
  <c r="E234" i="62" s="1"/>
  <c r="K418" i="63"/>
  <c r="O418" i="63" s="1"/>
  <c r="M579" i="63"/>
  <c r="O579" i="63" s="1"/>
  <c r="M437" i="63"/>
  <c r="O437" i="63" s="1"/>
  <c r="M436" i="63"/>
  <c r="O436" i="63" s="1"/>
  <c r="O1452" i="63"/>
  <c r="E317" i="62" s="1"/>
  <c r="M581" i="63"/>
  <c r="O581" i="63" s="1"/>
  <c r="O1182" i="63"/>
  <c r="E259" i="62" s="1"/>
  <c r="M562" i="63"/>
  <c r="O562" i="63" s="1"/>
  <c r="O131" i="63"/>
  <c r="E48" i="62" s="1"/>
  <c r="O817" i="63"/>
  <c r="E181" i="62" s="1"/>
  <c r="M543" i="63"/>
  <c r="O543" i="63" s="1"/>
  <c r="O544" i="63" s="1"/>
  <c r="E132" i="62" s="1"/>
  <c r="M580" i="63"/>
  <c r="O580" i="63" s="1"/>
  <c r="O1424" i="63"/>
  <c r="E314" i="62" s="1"/>
  <c r="O1433" i="63"/>
  <c r="E315" i="62" s="1"/>
  <c r="O420" i="63"/>
  <c r="E116" i="62" s="1"/>
  <c r="O1092" i="63"/>
  <c r="E236" i="62" s="1"/>
  <c r="O124" i="63"/>
  <c r="E47" i="62" s="1"/>
  <c r="E200" i="62"/>
  <c r="E199" i="62"/>
  <c r="O124" i="60"/>
  <c r="E47" i="28" s="1"/>
  <c r="O131" i="60"/>
  <c r="E48" i="28" s="1"/>
  <c r="G18" i="55"/>
  <c r="J18" i="74" l="1"/>
  <c r="N2959" i="73"/>
  <c r="F2900" i="73"/>
  <c r="M17" i="74" s="1"/>
  <c r="O438" i="63"/>
  <c r="E117" i="62" s="1"/>
  <c r="O563" i="63"/>
  <c r="E133" i="62" s="1"/>
  <c r="O582" i="63"/>
  <c r="E134" i="62" s="1"/>
  <c r="C153" i="29"/>
  <c r="C42" i="59" s="1"/>
  <c r="O154" i="29"/>
  <c r="O155" i="29" s="1"/>
  <c r="E42" i="59" s="1"/>
  <c r="C65" i="29"/>
  <c r="C15" i="59" s="1"/>
  <c r="O66" i="29"/>
  <c r="O67" i="29" s="1"/>
  <c r="E15" i="59" s="1"/>
  <c r="E63" i="29"/>
  <c r="E62" i="29"/>
  <c r="O57" i="29"/>
  <c r="K29" i="29"/>
  <c r="K28" i="29"/>
  <c r="K27" i="29"/>
  <c r="K26" i="29"/>
  <c r="I17" i="29"/>
  <c r="I26" i="29"/>
  <c r="I35" i="29" s="1"/>
  <c r="E32" i="29"/>
  <c r="K32" i="29" s="1"/>
  <c r="E31" i="29"/>
  <c r="K31" i="29" s="1"/>
  <c r="I20" i="29"/>
  <c r="I19" i="29"/>
  <c r="I18" i="29"/>
  <c r="O11" i="29"/>
  <c r="N2901" i="73" l="1"/>
  <c r="J31" i="58" s="1"/>
  <c r="M31" i="58" s="1"/>
  <c r="M16" i="58" s="1"/>
  <c r="P265" i="58"/>
  <c r="I45" i="29"/>
  <c r="O45" i="29" s="1"/>
  <c r="O35" i="29"/>
  <c r="O26" i="29"/>
  <c r="F346" i="62" l="1"/>
  <c r="G346" i="62" s="1"/>
  <c r="F42" i="59"/>
  <c r="G42" i="59" s="1"/>
  <c r="F64" i="28" l="1"/>
  <c r="G64" i="28" s="1"/>
  <c r="F64" i="62"/>
  <c r="G64" i="62" s="1"/>
  <c r="F60" i="28"/>
  <c r="F60" i="62"/>
  <c r="G60" i="62" s="1"/>
  <c r="F63" i="28"/>
  <c r="G63" i="28" s="1"/>
  <c r="F63" i="62"/>
  <c r="G63" i="62" s="1"/>
  <c r="G14" i="55" l="1"/>
  <c r="G19" i="55"/>
  <c r="G5" i="55"/>
  <c r="G6" i="55"/>
  <c r="G7" i="55"/>
  <c r="G8" i="55"/>
  <c r="G9" i="55"/>
  <c r="G10" i="55"/>
  <c r="G11" i="55"/>
  <c r="G12" i="55"/>
  <c r="G13" i="55"/>
  <c r="O17" i="29"/>
  <c r="O19" i="29"/>
  <c r="I22" i="29"/>
  <c r="I23" i="29"/>
  <c r="I27" i="29"/>
  <c r="I46" i="29" s="1"/>
  <c r="I28" i="29"/>
  <c r="I47" i="29" s="1"/>
  <c r="I29" i="29"/>
  <c r="I48" i="29" s="1"/>
  <c r="I31" i="29"/>
  <c r="I40" i="29" s="1"/>
  <c r="O40" i="29" s="1"/>
  <c r="I32" i="29"/>
  <c r="O58" i="29"/>
  <c r="O59" i="29"/>
  <c r="O60" i="29"/>
  <c r="O62" i="29"/>
  <c r="O63" i="29"/>
  <c r="O12" i="29"/>
  <c r="O13" i="29"/>
  <c r="O14" i="29"/>
  <c r="O69" i="29"/>
  <c r="O70" i="29" s="1"/>
  <c r="E16" i="59" s="1"/>
  <c r="O72" i="29"/>
  <c r="O73" i="29" s="1"/>
  <c r="E17" i="59" s="1"/>
  <c r="O75" i="29"/>
  <c r="O76" i="29" s="1"/>
  <c r="E18" i="59" s="1"/>
  <c r="O78" i="29"/>
  <c r="O79" i="29" s="1"/>
  <c r="E19" i="59" s="1"/>
  <c r="O81" i="29"/>
  <c r="O82" i="29" s="1"/>
  <c r="E20" i="59" s="1"/>
  <c r="O84" i="29"/>
  <c r="O85" i="29" s="1"/>
  <c r="E21" i="59" s="1"/>
  <c r="O87" i="29"/>
  <c r="O88" i="29"/>
  <c r="O89" i="29"/>
  <c r="O92" i="29"/>
  <c r="O97" i="29"/>
  <c r="O100" i="29"/>
  <c r="O101" i="29" s="1"/>
  <c r="E25" i="59" s="1"/>
  <c r="O103" i="29"/>
  <c r="O106" i="29"/>
  <c r="O109" i="29"/>
  <c r="O112" i="29"/>
  <c r="O113" i="29" s="1"/>
  <c r="E29" i="59" s="1"/>
  <c r="O115" i="29"/>
  <c r="O116" i="29" s="1"/>
  <c r="E30" i="59" s="1"/>
  <c r="O118" i="29"/>
  <c r="O121" i="29"/>
  <c r="O124" i="29"/>
  <c r="O125" i="29" s="1"/>
  <c r="E33" i="59" s="1"/>
  <c r="O127" i="29"/>
  <c r="O128" i="29"/>
  <c r="O131" i="29"/>
  <c r="O134" i="29"/>
  <c r="O137" i="29"/>
  <c r="O140" i="29"/>
  <c r="O141" i="29" s="1"/>
  <c r="E38" i="59" s="1"/>
  <c r="O143" i="29"/>
  <c r="O144" i="29"/>
  <c r="O147" i="29"/>
  <c r="O148" i="29"/>
  <c r="O157" i="29"/>
  <c r="O158" i="29" s="1"/>
  <c r="E43" i="59" s="1"/>
  <c r="O160" i="29"/>
  <c r="O161" i="29" s="1"/>
  <c r="E44" i="59" s="1"/>
  <c r="O163" i="29"/>
  <c r="O164" i="29" s="1"/>
  <c r="E45" i="59" s="1"/>
  <c r="C146" i="29"/>
  <c r="C40" i="59" s="1"/>
  <c r="C142" i="29"/>
  <c r="C39" i="59" s="1"/>
  <c r="C139" i="29"/>
  <c r="C38" i="59" s="1"/>
  <c r="C136" i="29"/>
  <c r="C37" i="59" s="1"/>
  <c r="C133" i="29"/>
  <c r="C36" i="59" s="1"/>
  <c r="C130" i="29"/>
  <c r="C35" i="59" s="1"/>
  <c r="C120" i="29"/>
  <c r="C32" i="59" s="1"/>
  <c r="C117" i="29"/>
  <c r="C31" i="59" s="1"/>
  <c r="C102" i="29"/>
  <c r="C26" i="59" s="1"/>
  <c r="C91" i="29"/>
  <c r="C23" i="59" s="1"/>
  <c r="C77" i="29"/>
  <c r="C19" i="59" s="1"/>
  <c r="C80" i="29"/>
  <c r="C20" i="59" s="1"/>
  <c r="C71" i="29"/>
  <c r="C17" i="59" s="1"/>
  <c r="C159" i="29"/>
  <c r="C44" i="59" s="1"/>
  <c r="C156" i="29"/>
  <c r="C43" i="59" s="1"/>
  <c r="C68" i="29"/>
  <c r="C16" i="59" s="1"/>
  <c r="C74" i="29"/>
  <c r="C18" i="59" s="1"/>
  <c r="C162" i="29"/>
  <c r="C45" i="59" s="1"/>
  <c r="C44" i="29"/>
  <c r="C13" i="59" s="1"/>
  <c r="C34" i="29"/>
  <c r="C12" i="59" s="1"/>
  <c r="C10" i="29"/>
  <c r="C9" i="59" s="1"/>
  <c r="C7" i="43"/>
  <c r="C114" i="29"/>
  <c r="C30" i="59" s="1"/>
  <c r="A2" i="43"/>
  <c r="A1" i="43"/>
  <c r="C56" i="43"/>
  <c r="C28" i="43"/>
  <c r="C126" i="29"/>
  <c r="C34" i="59" s="1"/>
  <c r="C123" i="29"/>
  <c r="C33" i="59" s="1"/>
  <c r="C83" i="29"/>
  <c r="C21" i="59" s="1"/>
  <c r="C86" i="29"/>
  <c r="C22" i="59" s="1"/>
  <c r="C56" i="29"/>
  <c r="C14" i="59" s="1"/>
  <c r="C25" i="29"/>
  <c r="C11" i="59" s="1"/>
  <c r="C16" i="29"/>
  <c r="C10" i="59" s="1"/>
  <c r="C111" i="29"/>
  <c r="C29" i="59" s="1"/>
  <c r="C108" i="29"/>
  <c r="C28" i="59" s="1"/>
  <c r="C105" i="29"/>
  <c r="C27" i="59" s="1"/>
  <c r="C99" i="29"/>
  <c r="C25" i="59" s="1"/>
  <c r="C96" i="29"/>
  <c r="C24" i="59" s="1"/>
  <c r="F103" i="28"/>
  <c r="A4" i="7"/>
  <c r="A2" i="29"/>
  <c r="F1" i="29"/>
  <c r="A1" i="7"/>
  <c r="A1" i="5"/>
  <c r="F388" i="30"/>
  <c r="E505" i="27"/>
  <c r="F505" i="27" s="1"/>
  <c r="A42" i="19"/>
  <c r="A513" i="27" s="1"/>
  <c r="A580" i="27" s="1"/>
  <c r="A623" i="27" s="1"/>
  <c r="A38" i="30"/>
  <c r="A80" i="30" s="1"/>
  <c r="A123" i="30" s="1"/>
  <c r="A169" i="30" s="1"/>
  <c r="A213" i="30" s="1"/>
  <c r="A259" i="30" s="1"/>
  <c r="A308" i="30" s="1"/>
  <c r="A354" i="30" s="1"/>
  <c r="A402" i="30" s="1"/>
  <c r="A450" i="30" s="1"/>
  <c r="A498" i="30" s="1"/>
  <c r="A546" i="30" s="1"/>
  <c r="A594" i="30" s="1"/>
  <c r="A642" i="30" s="1"/>
  <c r="A688" i="30" s="1"/>
  <c r="A734" i="30" s="1"/>
  <c r="A43" i="19"/>
  <c r="A514" i="27" s="1"/>
  <c r="A581" i="27" s="1"/>
  <c r="A624" i="27" s="1"/>
  <c r="A39" i="30"/>
  <c r="A81" i="30" s="1"/>
  <c r="A124" i="30" s="1"/>
  <c r="A170" i="30" s="1"/>
  <c r="A214" i="30" s="1"/>
  <c r="A260" i="30" s="1"/>
  <c r="A309" i="30" s="1"/>
  <c r="A355" i="30" s="1"/>
  <c r="A403" i="30" s="1"/>
  <c r="A451" i="30" s="1"/>
  <c r="A499" i="30" s="1"/>
  <c r="A547" i="30" s="1"/>
  <c r="A595" i="30" s="1"/>
  <c r="A643" i="30" s="1"/>
  <c r="A689" i="30" s="1"/>
  <c r="A735" i="30" s="1"/>
  <c r="A44" i="19"/>
  <c r="A515" i="27" s="1"/>
  <c r="A582" i="27" s="1"/>
  <c r="A625" i="27" s="1"/>
  <c r="A40" i="30"/>
  <c r="A82" i="30" s="1"/>
  <c r="A125" i="30" s="1"/>
  <c r="A171" i="30" s="1"/>
  <c r="A215" i="30" s="1"/>
  <c r="A261" i="30" s="1"/>
  <c r="A310" i="30" s="1"/>
  <c r="A356" i="30" s="1"/>
  <c r="A404" i="30" s="1"/>
  <c r="A452" i="30" s="1"/>
  <c r="A500" i="30" s="1"/>
  <c r="A548" i="30" s="1"/>
  <c r="A596" i="30" s="1"/>
  <c r="A644" i="30" s="1"/>
  <c r="A690" i="30" s="1"/>
  <c r="A736" i="30" s="1"/>
  <c r="D43" i="19"/>
  <c r="D514" i="27" s="1"/>
  <c r="D581" i="27" s="1"/>
  <c r="D624" i="27" s="1"/>
  <c r="D39" i="30"/>
  <c r="D81" i="30" s="1"/>
  <c r="D124" i="30" s="1"/>
  <c r="D170" i="30" s="1"/>
  <c r="D214" i="30" s="1"/>
  <c r="D260" i="30" s="1"/>
  <c r="D309" i="30" s="1"/>
  <c r="D355" i="30" s="1"/>
  <c r="D403" i="30" s="1"/>
  <c r="D451" i="30" s="1"/>
  <c r="D499" i="30" s="1"/>
  <c r="D547" i="30" s="1"/>
  <c r="D595" i="30" s="1"/>
  <c r="D643" i="30" s="1"/>
  <c r="D689" i="30" s="1"/>
  <c r="D735" i="30" s="1"/>
  <c r="D42" i="19"/>
  <c r="D513" i="27" s="1"/>
  <c r="D580" i="27" s="1"/>
  <c r="D623" i="27" s="1"/>
  <c r="D38" i="30"/>
  <c r="D80" i="30" s="1"/>
  <c r="D123" i="30" s="1"/>
  <c r="D169" i="30" s="1"/>
  <c r="D213" i="30" s="1"/>
  <c r="D259" i="30" s="1"/>
  <c r="D308" i="30" s="1"/>
  <c r="D354" i="30" s="1"/>
  <c r="D402" i="30" s="1"/>
  <c r="D450" i="30" s="1"/>
  <c r="D498" i="30" s="1"/>
  <c r="D546" i="30" s="1"/>
  <c r="D594" i="30" s="1"/>
  <c r="D642" i="30" s="1"/>
  <c r="D688" i="30" s="1"/>
  <c r="D734" i="30" s="1"/>
  <c r="F710" i="30"/>
  <c r="D697" i="30"/>
  <c r="A727" i="30"/>
  <c r="F721" i="30"/>
  <c r="F720" i="30"/>
  <c r="F709" i="30"/>
  <c r="F708" i="30"/>
  <c r="A7" i="19"/>
  <c r="A481" i="27" s="1"/>
  <c r="A548" i="27" s="1"/>
  <c r="A587" i="27" s="1"/>
  <c r="A3" i="30"/>
  <c r="A45" i="30" s="1"/>
  <c r="A87" i="30" s="1"/>
  <c r="A129" i="30" s="1"/>
  <c r="A176" i="30" s="1"/>
  <c r="A220" i="30" s="1"/>
  <c r="A266" i="30" s="1"/>
  <c r="A315" i="30" s="1"/>
  <c r="A361" i="30" s="1"/>
  <c r="A409" i="30" s="1"/>
  <c r="A457" i="30" s="1"/>
  <c r="A505" i="30" s="1"/>
  <c r="A553" i="30" s="1"/>
  <c r="A601" i="30" s="1"/>
  <c r="A649" i="30" s="1"/>
  <c r="A695" i="30" s="1"/>
  <c r="C602" i="27"/>
  <c r="C601" i="27"/>
  <c r="F599" i="27"/>
  <c r="C600" i="27"/>
  <c r="D588" i="27"/>
  <c r="A616" i="27"/>
  <c r="E680" i="30"/>
  <c r="E634" i="30"/>
  <c r="A634" i="30"/>
  <c r="A680" i="30" s="1"/>
  <c r="A393" i="30"/>
  <c r="A345" i="30"/>
  <c r="A299" i="30"/>
  <c r="A29" i="30"/>
  <c r="A71" i="30"/>
  <c r="A114" i="30"/>
  <c r="A160" i="30"/>
  <c r="A204" i="30"/>
  <c r="A250" i="30"/>
  <c r="F195" i="30"/>
  <c r="F194" i="30"/>
  <c r="F58" i="30"/>
  <c r="D10" i="30"/>
  <c r="F10" i="30" s="1"/>
  <c r="G12" i="30" s="1"/>
  <c r="E30" i="30"/>
  <c r="F30" i="30" s="1"/>
  <c r="D602" i="27"/>
  <c r="F602" i="27" s="1"/>
  <c r="D601" i="27"/>
  <c r="F601" i="27" s="1"/>
  <c r="A602" i="27"/>
  <c r="A601" i="27"/>
  <c r="C609" i="27"/>
  <c r="A609" i="27"/>
  <c r="D9" i="19"/>
  <c r="D651" i="30"/>
  <c r="A681" i="30"/>
  <c r="F675" i="30"/>
  <c r="F674" i="30"/>
  <c r="F663" i="30"/>
  <c r="F662" i="30"/>
  <c r="D615" i="30"/>
  <c r="F615" i="30" s="1"/>
  <c r="A615" i="30"/>
  <c r="D614" i="30"/>
  <c r="F614" i="30" s="1"/>
  <c r="G625" i="30" s="1"/>
  <c r="A614" i="30"/>
  <c r="D603" i="30"/>
  <c r="A635" i="30"/>
  <c r="F629" i="30"/>
  <c r="F628" i="30"/>
  <c r="D555" i="30"/>
  <c r="A587" i="30"/>
  <c r="F581" i="30"/>
  <c r="F580" i="30"/>
  <c r="F570" i="30"/>
  <c r="F569" i="30"/>
  <c r="F568" i="30"/>
  <c r="F567" i="30"/>
  <c r="F566" i="30"/>
  <c r="D507" i="30"/>
  <c r="A539" i="30"/>
  <c r="F533" i="30"/>
  <c r="F532" i="30"/>
  <c r="F522" i="30"/>
  <c r="F521" i="30"/>
  <c r="F520" i="30"/>
  <c r="F519" i="30"/>
  <c r="F518" i="30"/>
  <c r="A465" i="30"/>
  <c r="A513" i="30" s="1"/>
  <c r="A561" i="30" s="1"/>
  <c r="A703" i="30" s="1"/>
  <c r="A491" i="30"/>
  <c r="F485" i="30"/>
  <c r="F484" i="30"/>
  <c r="F474" i="30"/>
  <c r="F473" i="30"/>
  <c r="F472" i="30"/>
  <c r="F471" i="30"/>
  <c r="F470" i="30"/>
  <c r="E465" i="30"/>
  <c r="F436" i="30"/>
  <c r="F423" i="30"/>
  <c r="F425" i="30"/>
  <c r="A443" i="30"/>
  <c r="F437" i="30"/>
  <c r="F426" i="30"/>
  <c r="F424" i="30"/>
  <c r="A614" i="27"/>
  <c r="A395" i="30"/>
  <c r="E394" i="30"/>
  <c r="F394" i="30" s="1"/>
  <c r="G395" i="30" s="1"/>
  <c r="C633" i="30"/>
  <c r="F633" i="30" s="1"/>
  <c r="A633" i="30"/>
  <c r="A679" i="30" s="1"/>
  <c r="F389" i="30"/>
  <c r="F374" i="30"/>
  <c r="G385" i="30" s="1"/>
  <c r="F393" i="30"/>
  <c r="C634" i="30"/>
  <c r="C679" i="30"/>
  <c r="F679" i="30" s="1"/>
  <c r="F422" i="30"/>
  <c r="A24" i="30"/>
  <c r="A66" i="30" s="1"/>
  <c r="C24" i="30"/>
  <c r="C66" i="30" s="1"/>
  <c r="A347" i="30"/>
  <c r="E346" i="30"/>
  <c r="F346" i="30" s="1"/>
  <c r="G347" i="30" s="1"/>
  <c r="F345" i="30"/>
  <c r="F341" i="30"/>
  <c r="G342" i="30" s="1"/>
  <c r="F340" i="30"/>
  <c r="F334" i="30"/>
  <c r="F333" i="30"/>
  <c r="F332" i="30"/>
  <c r="F331" i="30"/>
  <c r="F330" i="30"/>
  <c r="F329" i="30"/>
  <c r="F328" i="30"/>
  <c r="D24" i="30"/>
  <c r="D66" i="30" s="1"/>
  <c r="F66" i="30" s="1"/>
  <c r="F279" i="30"/>
  <c r="G291" i="30" s="1"/>
  <c r="A301" i="30"/>
  <c r="E300" i="30"/>
  <c r="F300" i="30" s="1"/>
  <c r="G301" i="30" s="1"/>
  <c r="F299" i="30"/>
  <c r="F295" i="30"/>
  <c r="G296" i="30" s="1"/>
  <c r="F294" i="30"/>
  <c r="F233" i="30"/>
  <c r="A252" i="30"/>
  <c r="E251" i="30"/>
  <c r="F251" i="30" s="1"/>
  <c r="G252" i="30" s="1"/>
  <c r="F250" i="30"/>
  <c r="F246" i="30"/>
  <c r="G247" i="30" s="1"/>
  <c r="F245" i="30"/>
  <c r="F191" i="30"/>
  <c r="A206" i="30"/>
  <c r="E205" i="30"/>
  <c r="F205" i="30" s="1"/>
  <c r="G206" i="30" s="1"/>
  <c r="F204" i="30"/>
  <c r="F200" i="30"/>
  <c r="G201" i="30" s="1"/>
  <c r="F199" i="30"/>
  <c r="F193" i="30"/>
  <c r="F192" i="30"/>
  <c r="F190" i="30"/>
  <c r="F143" i="30"/>
  <c r="A162" i="30"/>
  <c r="E161" i="30"/>
  <c r="F161" i="30" s="1"/>
  <c r="G162" i="30" s="1"/>
  <c r="F160" i="30"/>
  <c r="F156" i="30"/>
  <c r="G157" i="30" s="1"/>
  <c r="F155" i="30"/>
  <c r="G242" i="30"/>
  <c r="F149" i="30"/>
  <c r="F147" i="30"/>
  <c r="F146" i="30"/>
  <c r="F145" i="30"/>
  <c r="F148" i="30"/>
  <c r="F142" i="30"/>
  <c r="F144" i="30"/>
  <c r="D549" i="27"/>
  <c r="A573" i="27"/>
  <c r="E572" i="27"/>
  <c r="F572" i="27" s="1"/>
  <c r="F571" i="27"/>
  <c r="G568" i="27"/>
  <c r="J567" i="27"/>
  <c r="L560" i="27"/>
  <c r="J560" i="27"/>
  <c r="K559" i="27" s="1"/>
  <c r="I555" i="27"/>
  <c r="D136" i="30"/>
  <c r="F136" i="30" s="1"/>
  <c r="G139" i="30" s="1"/>
  <c r="D89" i="30"/>
  <c r="A560" i="27" s="1"/>
  <c r="A116" i="30"/>
  <c r="E115" i="30"/>
  <c r="F115" i="30" s="1"/>
  <c r="G116" i="30" s="1"/>
  <c r="F114" i="30"/>
  <c r="F110" i="30"/>
  <c r="F100" i="30"/>
  <c r="F101" i="30"/>
  <c r="F94" i="30"/>
  <c r="F95" i="30"/>
  <c r="F102" i="30"/>
  <c r="F96" i="30"/>
  <c r="D554" i="27"/>
  <c r="F554" i="27" s="1"/>
  <c r="D47" i="30"/>
  <c r="A73" i="30"/>
  <c r="E72" i="30"/>
  <c r="F72" i="30" s="1"/>
  <c r="G73" i="30" s="1"/>
  <c r="F71" i="30"/>
  <c r="F67" i="30"/>
  <c r="F57" i="30"/>
  <c r="D17" i="30"/>
  <c r="F17" i="30" s="1"/>
  <c r="D5" i="30"/>
  <c r="A31" i="30"/>
  <c r="F29" i="30"/>
  <c r="F25" i="30"/>
  <c r="F16" i="30"/>
  <c r="F15" i="30"/>
  <c r="A80" i="19"/>
  <c r="A6" i="19" s="1"/>
  <c r="A480" i="27" s="1"/>
  <c r="A2" i="21" s="1"/>
  <c r="A43" i="21" s="1"/>
  <c r="G250" i="20"/>
  <c r="G249" i="20"/>
  <c r="G248" i="20"/>
  <c r="G247" i="20"/>
  <c r="G245" i="20"/>
  <c r="G244" i="20"/>
  <c r="G243" i="20"/>
  <c r="G241" i="20"/>
  <c r="G240" i="20"/>
  <c r="G239" i="20"/>
  <c r="G238" i="20"/>
  <c r="G237" i="20"/>
  <c r="G236" i="20"/>
  <c r="G235" i="20"/>
  <c r="G234" i="20"/>
  <c r="G233" i="20"/>
  <c r="G232" i="20"/>
  <c r="G231" i="20"/>
  <c r="G230" i="20"/>
  <c r="G229" i="20"/>
  <c r="G228" i="20"/>
  <c r="G227" i="20"/>
  <c r="G226" i="20"/>
  <c r="F29" i="25"/>
  <c r="F28" i="25"/>
  <c r="F27" i="25"/>
  <c r="F11" i="25"/>
  <c r="G141" i="20"/>
  <c r="N140" i="20"/>
  <c r="G140" i="20"/>
  <c r="N139" i="20"/>
  <c r="G138" i="20"/>
  <c r="G137" i="20"/>
  <c r="N136" i="20"/>
  <c r="G135" i="20"/>
  <c r="G134" i="20"/>
  <c r="N133" i="20"/>
  <c r="G132" i="20"/>
  <c r="G131" i="20"/>
  <c r="G130" i="20"/>
  <c r="G129" i="20"/>
  <c r="N128" i="20"/>
  <c r="P219" i="20"/>
  <c r="C212" i="20"/>
  <c r="E79" i="20"/>
  <c r="A542" i="27"/>
  <c r="E541" i="27"/>
  <c r="F541" i="27" s="1"/>
  <c r="F540" i="27"/>
  <c r="G537" i="27"/>
  <c r="J536" i="27"/>
  <c r="F531" i="27"/>
  <c r="F530" i="27"/>
  <c r="J529" i="27"/>
  <c r="F529" i="27"/>
  <c r="I524" i="27"/>
  <c r="F523" i="27"/>
  <c r="I523" i="27" s="1"/>
  <c r="A506" i="27"/>
  <c r="F504" i="27"/>
  <c r="G501" i="27"/>
  <c r="J500" i="27"/>
  <c r="D495" i="27"/>
  <c r="F495" i="27" s="1"/>
  <c r="D494" i="27"/>
  <c r="F494" i="27" s="1"/>
  <c r="L493" i="27"/>
  <c r="J493" i="27"/>
  <c r="K492" i="27" s="1"/>
  <c r="F493" i="27"/>
  <c r="I488" i="27"/>
  <c r="D488" i="27"/>
  <c r="F488" i="27" s="1"/>
  <c r="F487" i="27"/>
  <c r="A476" i="27"/>
  <c r="E475" i="27"/>
  <c r="F475" i="27" s="1"/>
  <c r="F474" i="27"/>
  <c r="F470" i="27"/>
  <c r="F469" i="27"/>
  <c r="F463" i="27"/>
  <c r="J462" i="27"/>
  <c r="K461" i="27" s="1"/>
  <c r="F462" i="27"/>
  <c r="F457" i="27"/>
  <c r="F456" i="27"/>
  <c r="F455" i="27"/>
  <c r="A444" i="27"/>
  <c r="E443" i="27"/>
  <c r="F443" i="27" s="1"/>
  <c r="F442" i="27"/>
  <c r="F438" i="27"/>
  <c r="F437" i="27"/>
  <c r="F431" i="27"/>
  <c r="J430" i="27"/>
  <c r="J431" i="27" s="1"/>
  <c r="F430" i="27"/>
  <c r="F424" i="27"/>
  <c r="F423" i="27"/>
  <c r="F422" i="27"/>
  <c r="A410" i="27"/>
  <c r="E409" i="27"/>
  <c r="F408" i="27"/>
  <c r="F404" i="27"/>
  <c r="F403" i="27"/>
  <c r="F397" i="27"/>
  <c r="J396" i="27"/>
  <c r="F396" i="27"/>
  <c r="F390" i="27"/>
  <c r="F389" i="27"/>
  <c r="F388" i="27"/>
  <c r="A377" i="27"/>
  <c r="E376" i="27"/>
  <c r="F376" i="27" s="1"/>
  <c r="F375" i="27"/>
  <c r="F371" i="27"/>
  <c r="F370" i="27"/>
  <c r="F364" i="27"/>
  <c r="J363" i="27"/>
  <c r="J364" i="27" s="1"/>
  <c r="F363" i="27"/>
  <c r="F357" i="27"/>
  <c r="F356" i="27"/>
  <c r="F355" i="27"/>
  <c r="A345" i="27"/>
  <c r="E344" i="27"/>
  <c r="F344" i="27" s="1"/>
  <c r="F343" i="27"/>
  <c r="F339" i="27"/>
  <c r="F338" i="27"/>
  <c r="F332" i="27"/>
  <c r="J331" i="27"/>
  <c r="F331" i="27"/>
  <c r="F323" i="27"/>
  <c r="G328" i="27" s="1"/>
  <c r="A313" i="27"/>
  <c r="E312" i="27"/>
  <c r="F312" i="27" s="1"/>
  <c r="F311" i="27"/>
  <c r="F307" i="27"/>
  <c r="F306" i="27"/>
  <c r="F300" i="27"/>
  <c r="J299" i="27"/>
  <c r="K299" i="27" s="1"/>
  <c r="F299" i="27"/>
  <c r="F293" i="27"/>
  <c r="F292" i="27"/>
  <c r="F291" i="27"/>
  <c r="A280" i="27"/>
  <c r="E279" i="27"/>
  <c r="F278" i="27"/>
  <c r="F274" i="27"/>
  <c r="F273" i="27"/>
  <c r="F267" i="27"/>
  <c r="J266" i="27"/>
  <c r="K266" i="27" s="1"/>
  <c r="F266" i="27"/>
  <c r="F260" i="27"/>
  <c r="F259" i="27"/>
  <c r="F258" i="27"/>
  <c r="A247" i="27"/>
  <c r="E246" i="27"/>
  <c r="F246" i="27" s="1"/>
  <c r="F245" i="27"/>
  <c r="F241" i="27"/>
  <c r="F240" i="27"/>
  <c r="F234" i="27"/>
  <c r="J233" i="27"/>
  <c r="J234" i="27" s="1"/>
  <c r="F233" i="27"/>
  <c r="F227" i="27"/>
  <c r="F226" i="27"/>
  <c r="F225" i="27"/>
  <c r="A214" i="27"/>
  <c r="E213" i="27"/>
  <c r="F208" i="27"/>
  <c r="F207" i="27"/>
  <c r="G209" i="27" s="1"/>
  <c r="F201" i="27"/>
  <c r="J200" i="27"/>
  <c r="K199" i="27" s="1"/>
  <c r="F200" i="27"/>
  <c r="F196" i="27"/>
  <c r="A183" i="27"/>
  <c r="E182" i="27"/>
  <c r="F177" i="27"/>
  <c r="F176" i="27"/>
  <c r="G178" i="27" s="1"/>
  <c r="F169" i="27"/>
  <c r="G173" i="27" s="1"/>
  <c r="A153" i="27"/>
  <c r="E152" i="27"/>
  <c r="F147" i="27"/>
  <c r="F146" i="27"/>
  <c r="G148" i="27" s="1"/>
  <c r="F139" i="27"/>
  <c r="G143" i="27" s="1"/>
  <c r="A122" i="27"/>
  <c r="E121" i="27"/>
  <c r="F116" i="27"/>
  <c r="F115" i="27"/>
  <c r="G117" i="27" s="1"/>
  <c r="F108" i="27"/>
  <c r="G112" i="27" s="1"/>
  <c r="A91" i="27"/>
  <c r="E90" i="27"/>
  <c r="F85" i="27"/>
  <c r="F84" i="27"/>
  <c r="G86" i="27" s="1"/>
  <c r="F77" i="27"/>
  <c r="G81" i="27" s="1"/>
  <c r="E72" i="27"/>
  <c r="E73" i="27" s="1"/>
  <c r="F73" i="27" s="1"/>
  <c r="A60" i="27"/>
  <c r="E59" i="27"/>
  <c r="F54" i="27"/>
  <c r="F53" i="27"/>
  <c r="E49" i="27"/>
  <c r="F49" i="27" s="1"/>
  <c r="F48" i="27"/>
  <c r="A29" i="27"/>
  <c r="E28" i="27"/>
  <c r="F28" i="27" s="1"/>
  <c r="A59" i="27"/>
  <c r="A90" i="27" s="1"/>
  <c r="A121" i="27" s="1"/>
  <c r="A152" i="27" s="1"/>
  <c r="A182" i="27" s="1"/>
  <c r="A213" i="27" s="1"/>
  <c r="F27" i="27"/>
  <c r="A58" i="27"/>
  <c r="A89" i="27" s="1"/>
  <c r="A120" i="27" s="1"/>
  <c r="A151" i="27" s="1"/>
  <c r="F23" i="27"/>
  <c r="G24" i="27" s="1"/>
  <c r="F22" i="27"/>
  <c r="F18" i="27"/>
  <c r="F17" i="27"/>
  <c r="D47" i="27"/>
  <c r="F47" i="27" s="1"/>
  <c r="F15" i="27"/>
  <c r="D42" i="27"/>
  <c r="F42" i="27" s="1"/>
  <c r="A42" i="27"/>
  <c r="D41" i="27"/>
  <c r="F41" i="27" s="1"/>
  <c r="A41" i="27"/>
  <c r="A72" i="27" s="1"/>
  <c r="A103" i="27" s="1"/>
  <c r="A134" i="27" s="1"/>
  <c r="A164" i="27" s="1"/>
  <c r="A195" i="27" s="1"/>
  <c r="F11" i="27"/>
  <c r="D46" i="27"/>
  <c r="F46" i="27" s="1"/>
  <c r="F409" i="27"/>
  <c r="F10" i="27"/>
  <c r="F16" i="27"/>
  <c r="C58" i="27"/>
  <c r="F58" i="27" s="1"/>
  <c r="F279" i="27"/>
  <c r="K430" i="27"/>
  <c r="C59" i="27"/>
  <c r="C90" i="27" s="1"/>
  <c r="C121" i="27" s="1"/>
  <c r="J201" i="27"/>
  <c r="N207" i="20"/>
  <c r="G207" i="20"/>
  <c r="F4" i="26"/>
  <c r="H12" i="26"/>
  <c r="H15" i="26" s="1"/>
  <c r="H19" i="26"/>
  <c r="H20" i="26"/>
  <c r="H21" i="26"/>
  <c r="H22" i="26"/>
  <c r="H23" i="26"/>
  <c r="H26" i="26"/>
  <c r="H32" i="26"/>
  <c r="H35" i="26" s="1"/>
  <c r="E39" i="26"/>
  <c r="F39" i="26" s="1"/>
  <c r="H39" i="26" s="1"/>
  <c r="E40" i="26"/>
  <c r="F40" i="26" s="1"/>
  <c r="H40" i="26" s="1"/>
  <c r="E41" i="26"/>
  <c r="F41" i="26" s="1"/>
  <c r="H41" i="26" s="1"/>
  <c r="H62" i="26"/>
  <c r="H65" i="26" s="1"/>
  <c r="H69" i="26"/>
  <c r="H70" i="26"/>
  <c r="H71" i="26"/>
  <c r="H72" i="26"/>
  <c r="H73" i="26"/>
  <c r="H76" i="26"/>
  <c r="H82" i="26"/>
  <c r="H85" i="26" s="1"/>
  <c r="E89" i="26"/>
  <c r="F89" i="26" s="1"/>
  <c r="H89" i="26" s="1"/>
  <c r="E90" i="26"/>
  <c r="F90" i="26" s="1"/>
  <c r="H90" i="26" s="1"/>
  <c r="E91" i="26"/>
  <c r="F91" i="26" s="1"/>
  <c r="H91" i="26" s="1"/>
  <c r="H114" i="26"/>
  <c r="H117" i="26"/>
  <c r="H121" i="26"/>
  <c r="H122" i="26"/>
  <c r="H123" i="26"/>
  <c r="H124" i="26"/>
  <c r="H125" i="26"/>
  <c r="H128" i="26"/>
  <c r="H134" i="26"/>
  <c r="H137" i="26"/>
  <c r="E141" i="26"/>
  <c r="F141" i="26" s="1"/>
  <c r="H141" i="26" s="1"/>
  <c r="E142" i="26"/>
  <c r="F142" i="26" s="1"/>
  <c r="H142" i="26" s="1"/>
  <c r="E143" i="26"/>
  <c r="F143" i="26"/>
  <c r="H143" i="26" s="1"/>
  <c r="H166" i="26"/>
  <c r="H169" i="26" s="1"/>
  <c r="H173" i="26"/>
  <c r="H174" i="26"/>
  <c r="H175" i="26"/>
  <c r="H176" i="26"/>
  <c r="H177" i="26"/>
  <c r="H180" i="26"/>
  <c r="H186" i="26"/>
  <c r="H189" i="26" s="1"/>
  <c r="E193" i="26"/>
  <c r="F193" i="26" s="1"/>
  <c r="H193" i="26" s="1"/>
  <c r="E194" i="26"/>
  <c r="F194" i="26" s="1"/>
  <c r="H194" i="26" s="1"/>
  <c r="E195" i="26"/>
  <c r="F195" i="26" s="1"/>
  <c r="H195" i="26" s="1"/>
  <c r="H222" i="26"/>
  <c r="H223" i="26"/>
  <c r="H224" i="26"/>
  <c r="F241" i="26"/>
  <c r="H241" i="26" s="1"/>
  <c r="F242" i="26"/>
  <c r="H242" i="26" s="1"/>
  <c r="F243" i="26"/>
  <c r="H243" i="26" s="1"/>
  <c r="H268" i="26"/>
  <c r="H271" i="26" s="1"/>
  <c r="H275" i="26"/>
  <c r="H276" i="26"/>
  <c r="H279" i="26"/>
  <c r="H285" i="26"/>
  <c r="H288" i="26" s="1"/>
  <c r="E292" i="26"/>
  <c r="F292" i="26" s="1"/>
  <c r="H292" i="26" s="1"/>
  <c r="E293" i="26"/>
  <c r="F293" i="26" s="1"/>
  <c r="H293" i="26" s="1"/>
  <c r="E294" i="26"/>
  <c r="F294" i="26" s="1"/>
  <c r="H294" i="26" s="1"/>
  <c r="H317" i="26"/>
  <c r="H320" i="26" s="1"/>
  <c r="H324" i="26"/>
  <c r="H325" i="26"/>
  <c r="H326" i="26"/>
  <c r="H327" i="26"/>
  <c r="H328" i="26"/>
  <c r="H329" i="26"/>
  <c r="H330" i="26"/>
  <c r="H331" i="26"/>
  <c r="H337" i="26"/>
  <c r="H340" i="26" s="1"/>
  <c r="E344" i="26"/>
  <c r="F344" i="26" s="1"/>
  <c r="H344" i="26" s="1"/>
  <c r="E345" i="26"/>
  <c r="F345" i="26" s="1"/>
  <c r="H345" i="26" s="1"/>
  <c r="E346" i="26"/>
  <c r="F346" i="26" s="1"/>
  <c r="H346" i="26" s="1"/>
  <c r="H369" i="26"/>
  <c r="H372" i="26" s="1"/>
  <c r="H376" i="26"/>
  <c r="H377" i="26"/>
  <c r="H378" i="26"/>
  <c r="H379" i="26"/>
  <c r="H380" i="26"/>
  <c r="H383" i="26"/>
  <c r="H389" i="26"/>
  <c r="H392" i="26" s="1"/>
  <c r="E396" i="26"/>
  <c r="F396" i="26" s="1"/>
  <c r="H396" i="26" s="1"/>
  <c r="E397" i="26"/>
  <c r="F397" i="26" s="1"/>
  <c r="H397" i="26" s="1"/>
  <c r="E398" i="26"/>
  <c r="F398" i="26" s="1"/>
  <c r="H398" i="26" s="1"/>
  <c r="H421" i="26"/>
  <c r="H424" i="26" s="1"/>
  <c r="H428" i="26"/>
  <c r="H429" i="26"/>
  <c r="H430" i="26"/>
  <c r="H431" i="26"/>
  <c r="H432" i="26"/>
  <c r="H435" i="26"/>
  <c r="H441" i="26"/>
  <c r="H444" i="26" s="1"/>
  <c r="E448" i="26"/>
  <c r="F448" i="26" s="1"/>
  <c r="H448" i="26" s="1"/>
  <c r="E449" i="26"/>
  <c r="F449" i="26" s="1"/>
  <c r="H449" i="26" s="1"/>
  <c r="E450" i="26"/>
  <c r="F450" i="26" s="1"/>
  <c r="H450" i="26" s="1"/>
  <c r="H473" i="26"/>
  <c r="H476" i="26" s="1"/>
  <c r="H480" i="26"/>
  <c r="H481" i="26"/>
  <c r="H482" i="26"/>
  <c r="H483" i="26"/>
  <c r="H484" i="26"/>
  <c r="H487" i="26"/>
  <c r="H493" i="26"/>
  <c r="H496" i="26" s="1"/>
  <c r="E500" i="26"/>
  <c r="F500" i="26" s="1"/>
  <c r="H500" i="26" s="1"/>
  <c r="E501" i="26"/>
  <c r="F501" i="26" s="1"/>
  <c r="H501" i="26" s="1"/>
  <c r="E502" i="26"/>
  <c r="F502" i="26" s="1"/>
  <c r="H502" i="26" s="1"/>
  <c r="H525" i="26"/>
  <c r="H528" i="26" s="1"/>
  <c r="H532" i="26"/>
  <c r="H533" i="26"/>
  <c r="H534" i="26"/>
  <c r="H535" i="26"/>
  <c r="H536" i="26"/>
  <c r="H539" i="26"/>
  <c r="H545" i="26"/>
  <c r="H548" i="26" s="1"/>
  <c r="E552" i="26"/>
  <c r="F552" i="26" s="1"/>
  <c r="H552" i="26" s="1"/>
  <c r="E553" i="26"/>
  <c r="F553" i="26" s="1"/>
  <c r="H553" i="26" s="1"/>
  <c r="E554" i="26"/>
  <c r="F554" i="26" s="1"/>
  <c r="H554" i="26" s="1"/>
  <c r="H577" i="26"/>
  <c r="H580" i="26" s="1"/>
  <c r="H584" i="26"/>
  <c r="H585" i="26"/>
  <c r="H586" i="26"/>
  <c r="H587" i="26"/>
  <c r="H588" i="26"/>
  <c r="H591" i="26"/>
  <c r="H597" i="26"/>
  <c r="H600" i="26" s="1"/>
  <c r="E604" i="26"/>
  <c r="F604" i="26" s="1"/>
  <c r="H604" i="26" s="1"/>
  <c r="E605" i="26"/>
  <c r="F605" i="26" s="1"/>
  <c r="H605" i="26" s="1"/>
  <c r="E606" i="26"/>
  <c r="F606" i="26" s="1"/>
  <c r="H606" i="26" s="1"/>
  <c r="H629" i="26"/>
  <c r="H632" i="26" s="1"/>
  <c r="H636" i="26"/>
  <c r="H637" i="26"/>
  <c r="H638" i="26"/>
  <c r="H639" i="26"/>
  <c r="H640" i="26"/>
  <c r="H643" i="26"/>
  <c r="H649" i="26"/>
  <c r="H652" i="26" s="1"/>
  <c r="E656" i="26"/>
  <c r="F656" i="26" s="1"/>
  <c r="H656" i="26" s="1"/>
  <c r="E657" i="26"/>
  <c r="F657" i="26" s="1"/>
  <c r="H657" i="26" s="1"/>
  <c r="E658" i="26"/>
  <c r="F658" i="26" s="1"/>
  <c r="H658" i="26" s="1"/>
  <c r="F707" i="26"/>
  <c r="H707" i="26" s="1"/>
  <c r="F708" i="26"/>
  <c r="H708" i="26" s="1"/>
  <c r="F709" i="26"/>
  <c r="H709" i="26" s="1"/>
  <c r="H733" i="26"/>
  <c r="H736" i="26" s="1"/>
  <c r="H740" i="26"/>
  <c r="H741" i="26"/>
  <c r="H742" i="26"/>
  <c r="H743" i="26"/>
  <c r="H744" i="26"/>
  <c r="H745" i="26"/>
  <c r="H751" i="26"/>
  <c r="H754" i="26" s="1"/>
  <c r="E758" i="26"/>
  <c r="F758" i="26" s="1"/>
  <c r="H758" i="26" s="1"/>
  <c r="E759" i="26"/>
  <c r="F759" i="26" s="1"/>
  <c r="H759" i="26" s="1"/>
  <c r="E760" i="26"/>
  <c r="F760" i="26" s="1"/>
  <c r="H760" i="26" s="1"/>
  <c r="H785" i="26"/>
  <c r="H788" i="26" s="1"/>
  <c r="H792" i="26"/>
  <c r="H793" i="26"/>
  <c r="H794" i="26"/>
  <c r="H795" i="26"/>
  <c r="H796" i="26"/>
  <c r="H802" i="26"/>
  <c r="H805" i="26" s="1"/>
  <c r="E809" i="26"/>
  <c r="F809" i="26" s="1"/>
  <c r="H809" i="26" s="1"/>
  <c r="E810" i="26"/>
  <c r="F810" i="26" s="1"/>
  <c r="H810" i="26" s="1"/>
  <c r="E811" i="26"/>
  <c r="F811" i="26" s="1"/>
  <c r="H811" i="26" s="1"/>
  <c r="H833" i="26"/>
  <c r="H836" i="26" s="1"/>
  <c r="H840" i="26"/>
  <c r="H841" i="26"/>
  <c r="H842" i="26"/>
  <c r="H843" i="26"/>
  <c r="H844" i="26"/>
  <c r="H845" i="26"/>
  <c r="H851" i="26"/>
  <c r="H854" i="26" s="1"/>
  <c r="E858" i="26"/>
  <c r="F858" i="26" s="1"/>
  <c r="H858" i="26" s="1"/>
  <c r="E859" i="26"/>
  <c r="F859" i="26" s="1"/>
  <c r="H859" i="26" s="1"/>
  <c r="E860" i="26"/>
  <c r="F860" i="26" s="1"/>
  <c r="H860" i="26" s="1"/>
  <c r="G879" i="26"/>
  <c r="H879" i="26" s="1"/>
  <c r="H882" i="26" s="1"/>
  <c r="H886" i="26"/>
  <c r="H887" i="26"/>
  <c r="H888" i="26"/>
  <c r="H889" i="26"/>
  <c r="H890" i="26"/>
  <c r="H891" i="26"/>
  <c r="H892" i="26"/>
  <c r="H898" i="26"/>
  <c r="H901" i="26" s="1"/>
  <c r="E905" i="26"/>
  <c r="F905" i="26" s="1"/>
  <c r="H905" i="26" s="1"/>
  <c r="E906" i="26"/>
  <c r="F906" i="26" s="1"/>
  <c r="H906" i="26" s="1"/>
  <c r="E907" i="26"/>
  <c r="F907" i="26" s="1"/>
  <c r="H907" i="26" s="1"/>
  <c r="G935" i="26"/>
  <c r="H935" i="26" s="1"/>
  <c r="H938" i="26" s="1"/>
  <c r="H942" i="26"/>
  <c r="H943" i="26"/>
  <c r="H944" i="26"/>
  <c r="H945" i="26"/>
  <c r="H946" i="26"/>
  <c r="H952" i="26"/>
  <c r="H955" i="26" s="1"/>
  <c r="E959" i="26"/>
  <c r="F959" i="26" s="1"/>
  <c r="H959" i="26" s="1"/>
  <c r="E960" i="26"/>
  <c r="F960" i="26" s="1"/>
  <c r="H960" i="26" s="1"/>
  <c r="E961" i="26"/>
  <c r="F961" i="26" s="1"/>
  <c r="H961" i="26" s="1"/>
  <c r="G988" i="26"/>
  <c r="H988" i="26" s="1"/>
  <c r="H991" i="26" s="1"/>
  <c r="H995" i="26"/>
  <c r="H996" i="26"/>
  <c r="H997" i="26"/>
  <c r="H998" i="26"/>
  <c r="H999" i="26"/>
  <c r="H1005" i="26"/>
  <c r="H1008" i="26" s="1"/>
  <c r="E1012" i="26"/>
  <c r="F1012" i="26" s="1"/>
  <c r="H1012" i="26" s="1"/>
  <c r="E1013" i="26"/>
  <c r="F1013" i="26" s="1"/>
  <c r="H1013" i="26" s="1"/>
  <c r="E1014" i="26"/>
  <c r="F1014" i="26" s="1"/>
  <c r="H1014" i="26" s="1"/>
  <c r="G1036" i="26"/>
  <c r="H1036" i="26"/>
  <c r="H1039" i="26" s="1"/>
  <c r="H1043" i="26"/>
  <c r="H1044" i="26"/>
  <c r="H1045" i="26"/>
  <c r="H1046" i="26"/>
  <c r="H1047" i="26"/>
  <c r="H1053" i="26"/>
  <c r="H1056" i="26" s="1"/>
  <c r="E1060" i="26"/>
  <c r="F1060" i="26" s="1"/>
  <c r="H1060" i="26" s="1"/>
  <c r="E1061" i="26"/>
  <c r="F1061" i="26" s="1"/>
  <c r="H1061" i="26" s="1"/>
  <c r="E1062" i="26"/>
  <c r="F1062" i="26" s="1"/>
  <c r="H1062" i="26" s="1"/>
  <c r="G1085" i="26"/>
  <c r="H1085" i="26" s="1"/>
  <c r="H1086" i="26"/>
  <c r="H1093" i="26"/>
  <c r="H1094" i="26"/>
  <c r="H1095" i="26"/>
  <c r="H1096" i="26"/>
  <c r="H1097" i="26"/>
  <c r="H1104" i="26"/>
  <c r="H1107" i="26" s="1"/>
  <c r="E1111" i="26"/>
  <c r="F1111" i="26" s="1"/>
  <c r="H1111" i="26" s="1"/>
  <c r="E1112" i="26"/>
  <c r="F1112" i="26" s="1"/>
  <c r="H1112" i="26" s="1"/>
  <c r="E1113" i="26"/>
  <c r="F1113" i="26" s="1"/>
  <c r="H1113" i="26" s="1"/>
  <c r="G1133" i="26"/>
  <c r="H1133" i="26" s="1"/>
  <c r="H1134" i="26"/>
  <c r="H1141" i="26"/>
  <c r="H1142" i="26"/>
  <c r="H1143" i="26"/>
  <c r="H1144" i="26"/>
  <c r="H1145" i="26"/>
  <c r="H1152" i="26"/>
  <c r="H1155" i="26" s="1"/>
  <c r="E1159" i="26"/>
  <c r="F1159" i="26" s="1"/>
  <c r="H1159" i="26" s="1"/>
  <c r="E1160" i="26"/>
  <c r="F1160" i="26" s="1"/>
  <c r="H1160" i="26" s="1"/>
  <c r="E1161" i="26"/>
  <c r="F1161" i="26" s="1"/>
  <c r="H1161" i="26" s="1"/>
  <c r="G1184" i="26"/>
  <c r="H1184" i="26" s="1"/>
  <c r="H1185" i="26"/>
  <c r="H1192" i="26"/>
  <c r="H1193" i="26"/>
  <c r="H1194" i="26"/>
  <c r="H1195" i="26"/>
  <c r="H1196" i="26"/>
  <c r="H1203" i="26"/>
  <c r="H1206" i="26" s="1"/>
  <c r="E1210" i="26"/>
  <c r="F1210" i="26" s="1"/>
  <c r="H1210" i="26" s="1"/>
  <c r="E1211" i="26"/>
  <c r="F1211" i="26" s="1"/>
  <c r="H1211" i="26" s="1"/>
  <c r="E1212" i="26"/>
  <c r="F1212" i="26" s="1"/>
  <c r="H1212" i="26" s="1"/>
  <c r="G1235" i="26"/>
  <c r="H1235" i="26" s="1"/>
  <c r="H1236" i="26"/>
  <c r="H1243" i="26"/>
  <c r="H1244" i="26"/>
  <c r="H1245" i="26"/>
  <c r="H1246" i="26"/>
  <c r="H1255" i="26"/>
  <c r="H1258" i="26" s="1"/>
  <c r="E1262" i="26"/>
  <c r="F1262" i="26" s="1"/>
  <c r="H1262" i="26" s="1"/>
  <c r="E1263" i="26"/>
  <c r="F1263" i="26" s="1"/>
  <c r="H1263" i="26" s="1"/>
  <c r="E1264" i="26"/>
  <c r="F1264" i="26" s="1"/>
  <c r="H1264" i="26" s="1"/>
  <c r="F5" i="24"/>
  <c r="F6" i="24"/>
  <c r="F7" i="24"/>
  <c r="F8" i="24"/>
  <c r="F9" i="24"/>
  <c r="F10" i="24"/>
  <c r="F11" i="24"/>
  <c r="F12" i="24"/>
  <c r="F13" i="24"/>
  <c r="F14" i="24"/>
  <c r="F15" i="24"/>
  <c r="F16" i="24"/>
  <c r="F17" i="24"/>
  <c r="F18" i="24"/>
  <c r="F19" i="24"/>
  <c r="F20" i="24"/>
  <c r="F21" i="24"/>
  <c r="F22" i="24"/>
  <c r="F23" i="24"/>
  <c r="F24" i="24"/>
  <c r="F25" i="24"/>
  <c r="F26" i="24"/>
  <c r="F27" i="24"/>
  <c r="F31" i="24"/>
  <c r="F32" i="24"/>
  <c r="F33" i="24"/>
  <c r="F34" i="24"/>
  <c r="F35" i="24"/>
  <c r="F36" i="24"/>
  <c r="F37" i="24"/>
  <c r="F38" i="24"/>
  <c r="F39" i="24"/>
  <c r="F40" i="24"/>
  <c r="F41" i="24"/>
  <c r="F42" i="24"/>
  <c r="F43" i="24"/>
  <c r="F44" i="24"/>
  <c r="F45" i="24"/>
  <c r="F46" i="24"/>
  <c r="F47" i="24"/>
  <c r="F48" i="24"/>
  <c r="F49" i="24"/>
  <c r="F50" i="24"/>
  <c r="F51" i="24"/>
  <c r="F52" i="24"/>
  <c r="F53" i="24"/>
  <c r="F54" i="24"/>
  <c r="F55" i="24"/>
  <c r="F56" i="24"/>
  <c r="F57" i="24"/>
  <c r="F61" i="24"/>
  <c r="F62" i="24"/>
  <c r="F63" i="24"/>
  <c r="F64" i="24"/>
  <c r="F65" i="24"/>
  <c r="F66" i="24"/>
  <c r="F67" i="24"/>
  <c r="F68" i="24"/>
  <c r="F69" i="24"/>
  <c r="F70" i="24"/>
  <c r="F74" i="24"/>
  <c r="F75" i="24"/>
  <c r="F76" i="24"/>
  <c r="F77" i="24"/>
  <c r="F78" i="24"/>
  <c r="F79" i="24"/>
  <c r="F80" i="24"/>
  <c r="F81" i="24"/>
  <c r="F82" i="24"/>
  <c r="F83" i="24"/>
  <c r="F84" i="24"/>
  <c r="F85" i="24"/>
  <c r="F86" i="24"/>
  <c r="F87" i="24"/>
  <c r="F88" i="24"/>
  <c r="F89" i="24"/>
  <c r="F90" i="24"/>
  <c r="F91" i="24"/>
  <c r="F100" i="24"/>
  <c r="F101" i="24" s="1"/>
  <c r="E214" i="20"/>
  <c r="E213" i="20"/>
  <c r="E212" i="20"/>
  <c r="E194" i="20"/>
  <c r="E193" i="20"/>
  <c r="E188" i="20"/>
  <c r="G188" i="20" s="1"/>
  <c r="E186" i="20"/>
  <c r="I186" i="20"/>
  <c r="N223" i="20"/>
  <c r="G222" i="20"/>
  <c r="G221" i="20"/>
  <c r="G220" i="20"/>
  <c r="G219" i="20"/>
  <c r="G218" i="20"/>
  <c r="G217" i="20"/>
  <c r="N215" i="20"/>
  <c r="K213" i="20"/>
  <c r="K212" i="20"/>
  <c r="K211" i="20"/>
  <c r="N209" i="20"/>
  <c r="G209" i="20"/>
  <c r="N208" i="20"/>
  <c r="G208" i="20"/>
  <c r="N206" i="20"/>
  <c r="G206" i="20"/>
  <c r="N205" i="20"/>
  <c r="G205" i="20"/>
  <c r="N204" i="20"/>
  <c r="J204" i="20"/>
  <c r="K204" i="20" s="1"/>
  <c r="G204" i="20"/>
  <c r="N203" i="20"/>
  <c r="G203" i="20"/>
  <c r="N202" i="20"/>
  <c r="G202" i="20"/>
  <c r="N201" i="20"/>
  <c r="G201" i="20"/>
  <c r="N200" i="20"/>
  <c r="N199" i="20"/>
  <c r="G199" i="20"/>
  <c r="N198" i="20"/>
  <c r="G198" i="20"/>
  <c r="N197" i="20"/>
  <c r="D183" i="20"/>
  <c r="C183" i="20"/>
  <c r="D182" i="20"/>
  <c r="D180" i="20"/>
  <c r="D181" i="20" s="1"/>
  <c r="E182" i="20"/>
  <c r="E178" i="20"/>
  <c r="D177" i="20"/>
  <c r="D176" i="20"/>
  <c r="D173" i="20"/>
  <c r="C173" i="20"/>
  <c r="G189" i="20"/>
  <c r="E170" i="20"/>
  <c r="D169" i="20"/>
  <c r="E163" i="20"/>
  <c r="E1380" i="23"/>
  <c r="D162" i="20"/>
  <c r="E158" i="20"/>
  <c r="E159" i="20" s="1"/>
  <c r="D1381" i="23"/>
  <c r="F1381" i="23" s="1"/>
  <c r="C1381" i="23"/>
  <c r="A1381" i="23"/>
  <c r="C1380" i="23"/>
  <c r="A1380" i="23"/>
  <c r="C157" i="20"/>
  <c r="E154" i="20"/>
  <c r="E152" i="20"/>
  <c r="D151" i="20"/>
  <c r="D152" i="20"/>
  <c r="D153" i="20"/>
  <c r="D154" i="20"/>
  <c r="A1424" i="23"/>
  <c r="E1423" i="23"/>
  <c r="F1423" i="23" s="1"/>
  <c r="F1422" i="23"/>
  <c r="F1418" i="23"/>
  <c r="G1419" i="23" s="1"/>
  <c r="F1417" i="23"/>
  <c r="F1410" i="23"/>
  <c r="G1414" i="23" s="1"/>
  <c r="F1405" i="23"/>
  <c r="F1404" i="23"/>
  <c r="A1394" i="23"/>
  <c r="E1393" i="23"/>
  <c r="F1393" i="23" s="1"/>
  <c r="F1392" i="23"/>
  <c r="F1388" i="23"/>
  <c r="G1389" i="23" s="1"/>
  <c r="F1387" i="23"/>
  <c r="F1376" i="23"/>
  <c r="F1375" i="23"/>
  <c r="F1374" i="23"/>
  <c r="A1361" i="23"/>
  <c r="E1360" i="23"/>
  <c r="F1359" i="23"/>
  <c r="F1355" i="23"/>
  <c r="G1356" i="23" s="1"/>
  <c r="F1354" i="23"/>
  <c r="I1348" i="23"/>
  <c r="I1347" i="23"/>
  <c r="I1346" i="23"/>
  <c r="F1342" i="23"/>
  <c r="F1341" i="23"/>
  <c r="E1340" i="23"/>
  <c r="F1340" i="23" s="1"/>
  <c r="A1327" i="23"/>
  <c r="E1326" i="23"/>
  <c r="F1326" i="23" s="1"/>
  <c r="F1325" i="23"/>
  <c r="F1321" i="23"/>
  <c r="G1322" i="23" s="1"/>
  <c r="F1320" i="23"/>
  <c r="I1314" i="23"/>
  <c r="I1313" i="23"/>
  <c r="D1347" i="23"/>
  <c r="F1347" i="23" s="1"/>
  <c r="G1351" i="23" s="1"/>
  <c r="I1312" i="23"/>
  <c r="F1308" i="23"/>
  <c r="F1307" i="23"/>
  <c r="E1306" i="23"/>
  <c r="A1293" i="23"/>
  <c r="E1292" i="23"/>
  <c r="F1292" i="23" s="1"/>
  <c r="F1291" i="23"/>
  <c r="F1287" i="23"/>
  <c r="F1286" i="23"/>
  <c r="F1277" i="23"/>
  <c r="F1276" i="23"/>
  <c r="F1275" i="23"/>
  <c r="I1274" i="23"/>
  <c r="I1272" i="23"/>
  <c r="F1270" i="23"/>
  <c r="F1269" i="23"/>
  <c r="F1268" i="23"/>
  <c r="F1267" i="23"/>
  <c r="A1255" i="23"/>
  <c r="E1254" i="23"/>
  <c r="F1254" i="23" s="1"/>
  <c r="F1253" i="23"/>
  <c r="F1249" i="23"/>
  <c r="F1248" i="23"/>
  <c r="G1250" i="23" s="1"/>
  <c r="F1239" i="23"/>
  <c r="F1238" i="23"/>
  <c r="F1237" i="23"/>
  <c r="K1236" i="23"/>
  <c r="I1234" i="23"/>
  <c r="F1231" i="23"/>
  <c r="F1230" i="23"/>
  <c r="F1229" i="23"/>
  <c r="A1217" i="23"/>
  <c r="E1216" i="23"/>
  <c r="F1216" i="23" s="1"/>
  <c r="F1215" i="23"/>
  <c r="F1211" i="23"/>
  <c r="F1210" i="23"/>
  <c r="F1201" i="23"/>
  <c r="F1200" i="23"/>
  <c r="F1199" i="23"/>
  <c r="I1198" i="23"/>
  <c r="I1196" i="23"/>
  <c r="F1194" i="23"/>
  <c r="F1193" i="23"/>
  <c r="F1192" i="23"/>
  <c r="F1191" i="23"/>
  <c r="A1178" i="23"/>
  <c r="E1177" i="23"/>
  <c r="F1177" i="23" s="1"/>
  <c r="F1176" i="23"/>
  <c r="F1172" i="23"/>
  <c r="F1171" i="23"/>
  <c r="F1166" i="23"/>
  <c r="F1165" i="23"/>
  <c r="F1164" i="23"/>
  <c r="F1163" i="23"/>
  <c r="F1162" i="23"/>
  <c r="F1161" i="23"/>
  <c r="F1160" i="23"/>
  <c r="F1156" i="23"/>
  <c r="F1155" i="23"/>
  <c r="F1154" i="23"/>
  <c r="F1153" i="23"/>
  <c r="A1140" i="23"/>
  <c r="E1139" i="23"/>
  <c r="F1139" i="23" s="1"/>
  <c r="G1140" i="23" s="1"/>
  <c r="F1138" i="23"/>
  <c r="F1134" i="23"/>
  <c r="F1133" i="23"/>
  <c r="E1128" i="23"/>
  <c r="F1128" i="23" s="1"/>
  <c r="E1127" i="23"/>
  <c r="F1127" i="23" s="1"/>
  <c r="F1126" i="23"/>
  <c r="F1125" i="23"/>
  <c r="F1124" i="23"/>
  <c r="F1123" i="23"/>
  <c r="F1122" i="23"/>
  <c r="F1118" i="23"/>
  <c r="F1117" i="23"/>
  <c r="F1116" i="23"/>
  <c r="F1115" i="23"/>
  <c r="A1102" i="23"/>
  <c r="E1101" i="23"/>
  <c r="F1101" i="23" s="1"/>
  <c r="F1100" i="23"/>
  <c r="F1096" i="23"/>
  <c r="F1095" i="23"/>
  <c r="E1090" i="23"/>
  <c r="F1090" i="23" s="1"/>
  <c r="E1089" i="23"/>
  <c r="F1089" i="23" s="1"/>
  <c r="E1088" i="23"/>
  <c r="F1088" i="23" s="1"/>
  <c r="E1087" i="23"/>
  <c r="F1087" i="23" s="1"/>
  <c r="F1083" i="23"/>
  <c r="F1079" i="23"/>
  <c r="F1078" i="23"/>
  <c r="F1077" i="23"/>
  <c r="F1076" i="23"/>
  <c r="A1063" i="23"/>
  <c r="E1062" i="23"/>
  <c r="F1062" i="23" s="1"/>
  <c r="F1061" i="23"/>
  <c r="F1057" i="23"/>
  <c r="F1056" i="23"/>
  <c r="F1052" i="23"/>
  <c r="F1051" i="23"/>
  <c r="C1051" i="23"/>
  <c r="F1050" i="23"/>
  <c r="F1049" i="23"/>
  <c r="F1048" i="23"/>
  <c r="F1047" i="23"/>
  <c r="F1046" i="23"/>
  <c r="F1045" i="23"/>
  <c r="F1044" i="23"/>
  <c r="F1043" i="23"/>
  <c r="F1039" i="23"/>
  <c r="F1038" i="23"/>
  <c r="F1037" i="23"/>
  <c r="F1036" i="23"/>
  <c r="A1023" i="23"/>
  <c r="E1022" i="23"/>
  <c r="F1022" i="23" s="1"/>
  <c r="F1021" i="23"/>
  <c r="F1017" i="23"/>
  <c r="G1018" i="23" s="1"/>
  <c r="F1016" i="23"/>
  <c r="F1012" i="23"/>
  <c r="F1011" i="23"/>
  <c r="F1010" i="23"/>
  <c r="C1011" i="23"/>
  <c r="C1012" i="23" s="1"/>
  <c r="F1009" i="23"/>
  <c r="E1086" i="23"/>
  <c r="F1086" i="23" s="1"/>
  <c r="E1085" i="23"/>
  <c r="E1084" i="23"/>
  <c r="F1084" i="23" s="1"/>
  <c r="F1003" i="23"/>
  <c r="F999" i="23"/>
  <c r="F998" i="23"/>
  <c r="F997" i="23"/>
  <c r="F996" i="23"/>
  <c r="A983" i="23"/>
  <c r="E982" i="23"/>
  <c r="F982" i="23" s="1"/>
  <c r="F981" i="23"/>
  <c r="F977" i="23"/>
  <c r="G978" i="23" s="1"/>
  <c r="F976" i="23"/>
  <c r="F972" i="23"/>
  <c r="F971" i="23"/>
  <c r="F970" i="23"/>
  <c r="F969" i="23"/>
  <c r="F965" i="23"/>
  <c r="F964" i="23"/>
  <c r="F963" i="23"/>
  <c r="F962" i="23"/>
  <c r="A949" i="23"/>
  <c r="E947" i="23"/>
  <c r="E928" i="23" s="1"/>
  <c r="F928" i="23" s="1"/>
  <c r="F943" i="23"/>
  <c r="G944" i="23" s="1"/>
  <c r="F942" i="23"/>
  <c r="F936" i="23"/>
  <c r="F935" i="23"/>
  <c r="F931" i="23"/>
  <c r="F930" i="23"/>
  <c r="F929" i="23"/>
  <c r="A915" i="23"/>
  <c r="E914" i="23"/>
  <c r="F913" i="23"/>
  <c r="F909" i="23"/>
  <c r="G910" i="23" s="1"/>
  <c r="F908" i="23"/>
  <c r="F904" i="23"/>
  <c r="F903" i="23"/>
  <c r="F902" i="23"/>
  <c r="F901" i="23"/>
  <c r="F896" i="23"/>
  <c r="F895" i="23"/>
  <c r="E894" i="23"/>
  <c r="F894" i="23" s="1"/>
  <c r="A881" i="23"/>
  <c r="E880" i="23"/>
  <c r="F880" i="23" s="1"/>
  <c r="G881" i="23" s="1"/>
  <c r="F879" i="23"/>
  <c r="F875" i="23"/>
  <c r="G876" i="23" s="1"/>
  <c r="F874" i="23"/>
  <c r="F870" i="23"/>
  <c r="F869" i="23"/>
  <c r="F868" i="23"/>
  <c r="F867" i="23"/>
  <c r="F862" i="23"/>
  <c r="F861" i="23"/>
  <c r="E860" i="23"/>
  <c r="F860" i="23" s="1"/>
  <c r="A847" i="23"/>
  <c r="E846" i="23"/>
  <c r="F845" i="23"/>
  <c r="F841" i="23"/>
  <c r="G842" i="23" s="1"/>
  <c r="F840" i="23"/>
  <c r="F836" i="23"/>
  <c r="F835" i="23"/>
  <c r="F834" i="23"/>
  <c r="F833" i="23"/>
  <c r="F828" i="23"/>
  <c r="F827" i="23"/>
  <c r="E826" i="23"/>
  <c r="F826" i="23" s="1"/>
  <c r="A813" i="23"/>
  <c r="E812" i="23"/>
  <c r="F812" i="23" s="1"/>
  <c r="F811" i="23"/>
  <c r="F807" i="23"/>
  <c r="G808" i="23" s="1"/>
  <c r="F806" i="23"/>
  <c r="F802" i="23"/>
  <c r="F801" i="23"/>
  <c r="F800" i="23"/>
  <c r="F799" i="23"/>
  <c r="E795" i="23"/>
  <c r="F795" i="23" s="1"/>
  <c r="F794" i="23"/>
  <c r="F793" i="23"/>
  <c r="E792" i="23"/>
  <c r="F792" i="23" s="1"/>
  <c r="A779" i="23"/>
  <c r="E778" i="23"/>
  <c r="F778" i="23" s="1"/>
  <c r="F777" i="23"/>
  <c r="F773" i="23"/>
  <c r="G774" i="23" s="1"/>
  <c r="F772" i="23"/>
  <c r="F768" i="23"/>
  <c r="F767" i="23"/>
  <c r="F766" i="23"/>
  <c r="F765" i="23"/>
  <c r="E761" i="23"/>
  <c r="F761" i="23" s="1"/>
  <c r="F760" i="23"/>
  <c r="F759" i="23"/>
  <c r="E758" i="23"/>
  <c r="F758" i="23" s="1"/>
  <c r="A745" i="23"/>
  <c r="E744" i="23"/>
  <c r="F744" i="23" s="1"/>
  <c r="F743" i="23"/>
  <c r="F739" i="23"/>
  <c r="G740" i="23" s="1"/>
  <c r="F738" i="23"/>
  <c r="F734" i="23"/>
  <c r="F733" i="23"/>
  <c r="F732" i="23"/>
  <c r="F731" i="23"/>
  <c r="E727" i="23"/>
  <c r="F727" i="23" s="1"/>
  <c r="F726" i="23"/>
  <c r="F725" i="23"/>
  <c r="E724" i="23"/>
  <c r="F724" i="23" s="1"/>
  <c r="A711" i="23"/>
  <c r="E710" i="23"/>
  <c r="F710" i="23" s="1"/>
  <c r="F709" i="23"/>
  <c r="F705" i="23"/>
  <c r="G706" i="23" s="1"/>
  <c r="F704" i="23"/>
  <c r="F700" i="23"/>
  <c r="F699" i="23"/>
  <c r="F698" i="23"/>
  <c r="F697" i="23"/>
  <c r="F692" i="23"/>
  <c r="F691" i="23"/>
  <c r="E690" i="23"/>
  <c r="F690" i="23" s="1"/>
  <c r="A677" i="23"/>
  <c r="E676" i="23"/>
  <c r="F676" i="23" s="1"/>
  <c r="F675" i="23"/>
  <c r="F671" i="23"/>
  <c r="G672" i="23" s="1"/>
  <c r="F670" i="23"/>
  <c r="F666" i="23"/>
  <c r="F665" i="23"/>
  <c r="F664" i="23"/>
  <c r="F663" i="23"/>
  <c r="E659" i="23"/>
  <c r="F659" i="23" s="1"/>
  <c r="F658" i="23"/>
  <c r="F657" i="23"/>
  <c r="E656" i="23"/>
  <c r="F656" i="23" s="1"/>
  <c r="A643" i="23"/>
  <c r="E642" i="23"/>
  <c r="F642" i="23" s="1"/>
  <c r="F641" i="23"/>
  <c r="F637" i="23"/>
  <c r="G638" i="23" s="1"/>
  <c r="F636" i="23"/>
  <c r="F632" i="23"/>
  <c r="F631" i="23"/>
  <c r="F630" i="23"/>
  <c r="F629" i="23"/>
  <c r="E625" i="23"/>
  <c r="F625" i="23" s="1"/>
  <c r="F624" i="23"/>
  <c r="F623" i="23"/>
  <c r="E622" i="23"/>
  <c r="F622" i="23" s="1"/>
  <c r="A609" i="23"/>
  <c r="E608" i="23"/>
  <c r="F608" i="23" s="1"/>
  <c r="F607" i="23"/>
  <c r="F603" i="23"/>
  <c r="G604" i="23" s="1"/>
  <c r="F602" i="23"/>
  <c r="F598" i="23"/>
  <c r="F597" i="23"/>
  <c r="F596" i="23"/>
  <c r="F595" i="23"/>
  <c r="E591" i="23"/>
  <c r="F591" i="23" s="1"/>
  <c r="F590" i="23"/>
  <c r="F589" i="23"/>
  <c r="E588" i="23"/>
  <c r="F588" i="23" s="1"/>
  <c r="A575" i="23"/>
  <c r="E574" i="23"/>
  <c r="F574" i="23" s="1"/>
  <c r="F573" i="23"/>
  <c r="F569" i="23"/>
  <c r="G570" i="23" s="1"/>
  <c r="F568" i="23"/>
  <c r="F564" i="23"/>
  <c r="F563" i="23"/>
  <c r="F562" i="23"/>
  <c r="F561" i="23"/>
  <c r="E557" i="23"/>
  <c r="F557" i="23" s="1"/>
  <c r="F556" i="23"/>
  <c r="F555" i="23"/>
  <c r="E554" i="23"/>
  <c r="F554" i="23" s="1"/>
  <c r="A541" i="23"/>
  <c r="E540" i="23"/>
  <c r="F540" i="23" s="1"/>
  <c r="F539" i="23"/>
  <c r="F535" i="23"/>
  <c r="G536" i="23" s="1"/>
  <c r="F534" i="23"/>
  <c r="F530" i="23"/>
  <c r="F529" i="23"/>
  <c r="F528" i="23"/>
  <c r="F527" i="23"/>
  <c r="F523" i="23"/>
  <c r="F522" i="23"/>
  <c r="F521" i="23"/>
  <c r="A508" i="23"/>
  <c r="E507" i="23"/>
  <c r="F507" i="23" s="1"/>
  <c r="F506" i="23"/>
  <c r="F502" i="23"/>
  <c r="G503" i="23" s="1"/>
  <c r="F501" i="23"/>
  <c r="F495" i="23"/>
  <c r="F494" i="23"/>
  <c r="E490" i="23"/>
  <c r="F490" i="23" s="1"/>
  <c r="F489" i="23"/>
  <c r="F488" i="23"/>
  <c r="F487" i="23"/>
  <c r="A474" i="23"/>
  <c r="E473" i="23"/>
  <c r="F473" i="23" s="1"/>
  <c r="F472" i="23"/>
  <c r="F468" i="23"/>
  <c r="G469" i="23" s="1"/>
  <c r="F467" i="23"/>
  <c r="F461" i="23"/>
  <c r="F460" i="23"/>
  <c r="E456" i="23"/>
  <c r="F456" i="23" s="1"/>
  <c r="F455" i="23"/>
  <c r="F454" i="23"/>
  <c r="F453" i="23"/>
  <c r="F452" i="23"/>
  <c r="F451" i="23"/>
  <c r="A438" i="23"/>
  <c r="E437" i="23"/>
  <c r="F437" i="23" s="1"/>
  <c r="F436" i="23"/>
  <c r="F432" i="23"/>
  <c r="G433" i="23" s="1"/>
  <c r="F431" i="23"/>
  <c r="F425" i="23"/>
  <c r="F424" i="23"/>
  <c r="E420" i="23"/>
  <c r="F420" i="23" s="1"/>
  <c r="F419" i="23"/>
  <c r="F418" i="23"/>
  <c r="F417" i="23"/>
  <c r="F416" i="23"/>
  <c r="F415" i="23"/>
  <c r="A402" i="23"/>
  <c r="E401" i="23"/>
  <c r="F401" i="23" s="1"/>
  <c r="F400" i="23"/>
  <c r="F396" i="23"/>
  <c r="G397" i="23" s="1"/>
  <c r="F395" i="23"/>
  <c r="F390" i="23"/>
  <c r="F389" i="23"/>
  <c r="F388" i="23"/>
  <c r="F384" i="23"/>
  <c r="E383" i="23"/>
  <c r="F383" i="23" s="1"/>
  <c r="A370" i="23"/>
  <c r="E369" i="23"/>
  <c r="F369" i="23" s="1"/>
  <c r="F368" i="23"/>
  <c r="F364" i="23"/>
  <c r="G365" i="23" s="1"/>
  <c r="F363" i="23"/>
  <c r="F359" i="23"/>
  <c r="F358" i="23"/>
  <c r="F357" i="23"/>
  <c r="F356" i="23"/>
  <c r="E352" i="23"/>
  <c r="F352" i="23" s="1"/>
  <c r="F351" i="23"/>
  <c r="E350" i="23"/>
  <c r="F350" i="23" s="1"/>
  <c r="A337" i="23"/>
  <c r="E336" i="23"/>
  <c r="F336" i="23" s="1"/>
  <c r="G337" i="23" s="1"/>
  <c r="F335" i="23"/>
  <c r="F331" i="23"/>
  <c r="G332" i="23" s="1"/>
  <c r="F330" i="23"/>
  <c r="F324" i="23"/>
  <c r="F323" i="23"/>
  <c r="E319" i="23"/>
  <c r="F319" i="23" s="1"/>
  <c r="E318" i="23"/>
  <c r="F318" i="23" s="1"/>
  <c r="E317" i="23"/>
  <c r="F317" i="23" s="1"/>
  <c r="A304" i="23"/>
  <c r="E303" i="23"/>
  <c r="F303" i="23" s="1"/>
  <c r="F302" i="23"/>
  <c r="F298" i="23"/>
  <c r="G299" i="23" s="1"/>
  <c r="F297" i="23"/>
  <c r="F293" i="23"/>
  <c r="F292" i="23"/>
  <c r="F291" i="23"/>
  <c r="F290" i="23"/>
  <c r="F289" i="23"/>
  <c r="F285" i="23"/>
  <c r="F284" i="23"/>
  <c r="F283" i="23"/>
  <c r="F282" i="23"/>
  <c r="E281" i="23"/>
  <c r="F281" i="23" s="1"/>
  <c r="A268" i="23"/>
  <c r="E267" i="23"/>
  <c r="F267" i="23" s="1"/>
  <c r="F266" i="23"/>
  <c r="F262" i="23"/>
  <c r="G263" i="23" s="1"/>
  <c r="F261" i="23"/>
  <c r="F257" i="23"/>
  <c r="F256" i="23"/>
  <c r="F255" i="23"/>
  <c r="F254" i="23"/>
  <c r="F253" i="23"/>
  <c r="F249" i="23"/>
  <c r="F248" i="23"/>
  <c r="F247" i="23"/>
  <c r="F246" i="23"/>
  <c r="E245" i="23"/>
  <c r="F245" i="23" s="1"/>
  <c r="A232" i="23"/>
  <c r="E231" i="23"/>
  <c r="F231" i="23" s="1"/>
  <c r="F230" i="23"/>
  <c r="F226" i="23"/>
  <c r="G227" i="23" s="1"/>
  <c r="F225" i="23"/>
  <c r="F221" i="23"/>
  <c r="F220" i="23"/>
  <c r="F219" i="23"/>
  <c r="F218" i="23"/>
  <c r="F217" i="23"/>
  <c r="F213" i="23"/>
  <c r="F212" i="23"/>
  <c r="E211" i="23"/>
  <c r="F211" i="23" s="1"/>
  <c r="A198" i="23"/>
  <c r="E197" i="23"/>
  <c r="F197" i="23" s="1"/>
  <c r="F196" i="23"/>
  <c r="F192" i="23"/>
  <c r="G193" i="23" s="1"/>
  <c r="F191" i="23"/>
  <c r="F186" i="23"/>
  <c r="F185" i="23"/>
  <c r="F184" i="23"/>
  <c r="F180" i="23"/>
  <c r="F179" i="23"/>
  <c r="A166" i="23"/>
  <c r="E165" i="23"/>
  <c r="F165" i="23" s="1"/>
  <c r="F164" i="23"/>
  <c r="F160" i="23"/>
  <c r="G161" i="23" s="1"/>
  <c r="F159" i="23"/>
  <c r="F154" i="23"/>
  <c r="F153" i="23"/>
  <c r="F152" i="23"/>
  <c r="F148" i="23"/>
  <c r="F147" i="23"/>
  <c r="A134" i="23"/>
  <c r="E133" i="23"/>
  <c r="F133" i="23" s="1"/>
  <c r="F132" i="23"/>
  <c r="F128" i="23"/>
  <c r="G129" i="23" s="1"/>
  <c r="F127" i="23"/>
  <c r="F122" i="23"/>
  <c r="F121" i="23"/>
  <c r="F120" i="23"/>
  <c r="F116" i="23"/>
  <c r="F115" i="23"/>
  <c r="E114" i="23"/>
  <c r="F114" i="23" s="1"/>
  <c r="A101" i="23"/>
  <c r="E100" i="23"/>
  <c r="F100" i="23" s="1"/>
  <c r="F99" i="23"/>
  <c r="F95" i="23"/>
  <c r="G96" i="23" s="1"/>
  <c r="F94" i="23"/>
  <c r="F88" i="23"/>
  <c r="F87" i="23"/>
  <c r="F83" i="23"/>
  <c r="F82" i="23"/>
  <c r="F81" i="23"/>
  <c r="F80" i="23"/>
  <c r="E79" i="23"/>
  <c r="F79" i="23" s="1"/>
  <c r="A66" i="23"/>
  <c r="E65" i="23"/>
  <c r="F65" i="23" s="1"/>
  <c r="F64" i="23"/>
  <c r="F60" i="23"/>
  <c r="G61" i="23" s="1"/>
  <c r="F59" i="23"/>
  <c r="F54" i="23"/>
  <c r="F53" i="23"/>
  <c r="F52" i="23"/>
  <c r="E47" i="23"/>
  <c r="F47" i="23" s="1"/>
  <c r="G49" i="23" s="1"/>
  <c r="A34" i="23"/>
  <c r="E33" i="23"/>
  <c r="F33" i="23" s="1"/>
  <c r="F32" i="23"/>
  <c r="F28" i="23"/>
  <c r="G29" i="23" s="1"/>
  <c r="F27" i="23"/>
  <c r="F22" i="23"/>
  <c r="F21" i="23"/>
  <c r="F20" i="23"/>
  <c r="E15" i="23"/>
  <c r="F15" i="23" s="1"/>
  <c r="G17" i="23" s="1"/>
  <c r="F1004" i="23"/>
  <c r="F1006" i="23"/>
  <c r="F1008" i="23"/>
  <c r="F1360" i="23"/>
  <c r="F846" i="23"/>
  <c r="F914" i="23"/>
  <c r="F1306" i="23"/>
  <c r="F1007" i="23"/>
  <c r="F1236" i="23"/>
  <c r="I1238" i="23" s="1"/>
  <c r="F1005" i="23"/>
  <c r="K1235" i="23"/>
  <c r="F1313" i="23"/>
  <c r="G1317" i="23" s="1"/>
  <c r="F1085" i="23"/>
  <c r="I1237" i="23"/>
  <c r="M1235" i="23"/>
  <c r="I1236" i="23"/>
  <c r="F1198" i="23"/>
  <c r="I1200" i="23" s="1"/>
  <c r="F1274" i="23"/>
  <c r="I1276" i="23" s="1"/>
  <c r="I1199" i="23"/>
  <c r="I1275" i="23"/>
  <c r="E125" i="20"/>
  <c r="A600" i="27"/>
  <c r="E15" i="22"/>
  <c r="F15" i="22" s="1"/>
  <c r="F16" i="22"/>
  <c r="F20" i="22"/>
  <c r="F21" i="22"/>
  <c r="F22" i="22"/>
  <c r="F23" i="22"/>
  <c r="F27" i="22"/>
  <c r="F28" i="22"/>
  <c r="G29" i="22" s="1"/>
  <c r="F32" i="22"/>
  <c r="E33" i="22"/>
  <c r="F33" i="22" s="1"/>
  <c r="A34" i="22"/>
  <c r="E47" i="22"/>
  <c r="F47" i="22" s="1"/>
  <c r="F48" i="22"/>
  <c r="F52" i="22"/>
  <c r="F53" i="22"/>
  <c r="F54" i="22"/>
  <c r="F55" i="22"/>
  <c r="F59" i="22"/>
  <c r="F60" i="22"/>
  <c r="G61" i="22" s="1"/>
  <c r="F64" i="22"/>
  <c r="E65" i="22"/>
  <c r="F65" i="22" s="1"/>
  <c r="A66" i="22"/>
  <c r="E79" i="22"/>
  <c r="F79" i="22" s="1"/>
  <c r="F80" i="22"/>
  <c r="F84" i="22"/>
  <c r="F85" i="22"/>
  <c r="F91" i="22"/>
  <c r="F92" i="22"/>
  <c r="G93" i="22" s="1"/>
  <c r="F96" i="22"/>
  <c r="E97" i="22"/>
  <c r="F97" i="22" s="1"/>
  <c r="A98" i="22"/>
  <c r="E111" i="22"/>
  <c r="F111" i="22" s="1"/>
  <c r="F112" i="22"/>
  <c r="F116" i="22"/>
  <c r="F117" i="22"/>
  <c r="F118" i="22"/>
  <c r="F123" i="22"/>
  <c r="F124" i="22"/>
  <c r="G125" i="22" s="1"/>
  <c r="F128" i="22"/>
  <c r="E129" i="22"/>
  <c r="F129" i="22" s="1"/>
  <c r="A130" i="22"/>
  <c r="E143" i="22"/>
  <c r="F143" i="22" s="1"/>
  <c r="F144" i="22"/>
  <c r="F148" i="22"/>
  <c r="F149" i="22"/>
  <c r="F150" i="22"/>
  <c r="F155" i="22"/>
  <c r="F156" i="22"/>
  <c r="G157" i="22" s="1"/>
  <c r="F160" i="22"/>
  <c r="E161" i="22"/>
  <c r="F161" i="22" s="1"/>
  <c r="A162" i="22"/>
  <c r="E175" i="22"/>
  <c r="F175" i="22" s="1"/>
  <c r="F176" i="22"/>
  <c r="F177" i="22"/>
  <c r="E178" i="22"/>
  <c r="F178" i="22" s="1"/>
  <c r="F182" i="22"/>
  <c r="F183" i="22"/>
  <c r="F184" i="22"/>
  <c r="F185" i="22"/>
  <c r="F186" i="22"/>
  <c r="F187" i="22"/>
  <c r="F188" i="22"/>
  <c r="F192" i="22"/>
  <c r="F193" i="22"/>
  <c r="G194" i="22" s="1"/>
  <c r="F197" i="22"/>
  <c r="G199" i="22" s="1"/>
  <c r="A199" i="22"/>
  <c r="F213" i="22"/>
  <c r="F214" i="22"/>
  <c r="E215" i="22"/>
  <c r="F215" i="22" s="1"/>
  <c r="F219" i="22"/>
  <c r="F220" i="22"/>
  <c r="F221" i="22"/>
  <c r="F222" i="22"/>
  <c r="F223" i="22"/>
  <c r="F224" i="22"/>
  <c r="F228" i="22"/>
  <c r="F229" i="22"/>
  <c r="G230" i="22" s="1"/>
  <c r="E233" i="22"/>
  <c r="E212" i="22" s="1"/>
  <c r="F212" i="22" s="1"/>
  <c r="A235" i="22"/>
  <c r="F249" i="22"/>
  <c r="F250" i="22"/>
  <c r="E251" i="22"/>
  <c r="F251" i="22" s="1"/>
  <c r="F255" i="22"/>
  <c r="F256" i="22"/>
  <c r="F257" i="22"/>
  <c r="F258" i="22"/>
  <c r="F263" i="22"/>
  <c r="F264" i="22"/>
  <c r="G265" i="22" s="1"/>
  <c r="J265" i="22"/>
  <c r="A270" i="22"/>
  <c r="E283" i="22"/>
  <c r="F283" i="22" s="1"/>
  <c r="F284" i="22"/>
  <c r="F285" i="22"/>
  <c r="E286" i="22"/>
  <c r="F286" i="22" s="1"/>
  <c r="F290" i="22"/>
  <c r="F291" i="22"/>
  <c r="F292" i="22"/>
  <c r="F297" i="22"/>
  <c r="F298" i="22"/>
  <c r="G299" i="22" s="1"/>
  <c r="J299" i="22"/>
  <c r="F302" i="22"/>
  <c r="G304" i="22" s="1"/>
  <c r="I302" i="22"/>
  <c r="A304" i="22"/>
  <c r="E317" i="22"/>
  <c r="F317" i="22" s="1"/>
  <c r="F318" i="22"/>
  <c r="F319" i="22"/>
  <c r="E320" i="22"/>
  <c r="F320" i="22" s="1"/>
  <c r="F324" i="22"/>
  <c r="F325" i="22"/>
  <c r="F326" i="22"/>
  <c r="F327" i="22"/>
  <c r="F328" i="22"/>
  <c r="F329" i="22"/>
  <c r="F330" i="22"/>
  <c r="F334" i="22"/>
  <c r="F335" i="22"/>
  <c r="G336" i="22" s="1"/>
  <c r="J336" i="22"/>
  <c r="F339" i="22"/>
  <c r="G341" i="22" s="1"/>
  <c r="I339" i="22"/>
  <c r="A341" i="22"/>
  <c r="E354" i="22"/>
  <c r="F355" i="22"/>
  <c r="F356" i="22"/>
  <c r="F360" i="22"/>
  <c r="F361" i="22"/>
  <c r="F362" i="22"/>
  <c r="F366" i="22"/>
  <c r="F367" i="22"/>
  <c r="G368" i="22" s="1"/>
  <c r="J368" i="22"/>
  <c r="F371" i="22"/>
  <c r="G373" i="22" s="1"/>
  <c r="I371" i="22"/>
  <c r="A373" i="22"/>
  <c r="E386" i="22"/>
  <c r="F386" i="22" s="1"/>
  <c r="F387" i="22"/>
  <c r="F391" i="22"/>
  <c r="G394" i="22" s="1"/>
  <c r="F397" i="22"/>
  <c r="F398" i="22"/>
  <c r="G399" i="22" s="1"/>
  <c r="J399" i="22"/>
  <c r="F402" i="22"/>
  <c r="G404" i="22" s="1"/>
  <c r="I402" i="22"/>
  <c r="A404" i="22"/>
  <c r="E417" i="22"/>
  <c r="F417" i="22" s="1"/>
  <c r="F418" i="22"/>
  <c r="F419" i="22"/>
  <c r="E420" i="22"/>
  <c r="F420" i="22" s="1"/>
  <c r="F424" i="22"/>
  <c r="F425" i="22"/>
  <c r="F426" i="22"/>
  <c r="F430" i="22"/>
  <c r="F431" i="22"/>
  <c r="G432" i="22" s="1"/>
  <c r="J432" i="22"/>
  <c r="F435" i="22"/>
  <c r="G437" i="22" s="1"/>
  <c r="I435" i="22"/>
  <c r="A437" i="22"/>
  <c r="E450" i="22"/>
  <c r="F451" i="22"/>
  <c r="F456" i="22"/>
  <c r="G460" i="22" s="1"/>
  <c r="F463" i="22"/>
  <c r="G465" i="22"/>
  <c r="F468" i="22"/>
  <c r="G470" i="22" s="1"/>
  <c r="A470" i="22"/>
  <c r="E483" i="22"/>
  <c r="F483" i="22" s="1"/>
  <c r="F484" i="22"/>
  <c r="F485" i="22"/>
  <c r="E486" i="22"/>
  <c r="F486" i="22" s="1"/>
  <c r="F490" i="22"/>
  <c r="F491" i="22"/>
  <c r="F492" i="22"/>
  <c r="F493" i="22"/>
  <c r="F497" i="22"/>
  <c r="F498" i="22"/>
  <c r="G499" i="22" s="1"/>
  <c r="J499" i="22"/>
  <c r="F502" i="22"/>
  <c r="G504" i="22" s="1"/>
  <c r="I502" i="22"/>
  <c r="A504" i="22"/>
  <c r="E517" i="22"/>
  <c r="F518" i="22"/>
  <c r="F522" i="22"/>
  <c r="F523" i="22"/>
  <c r="F524" i="22"/>
  <c r="F529" i="22"/>
  <c r="F530" i="22"/>
  <c r="G531" i="22" s="1"/>
  <c r="J531" i="22"/>
  <c r="F534" i="22"/>
  <c r="G536" i="22" s="1"/>
  <c r="I534" i="22"/>
  <c r="A536" i="22"/>
  <c r="E104" i="20"/>
  <c r="C98" i="20"/>
  <c r="C169" i="20" s="1"/>
  <c r="F354" i="22"/>
  <c r="F517" i="22"/>
  <c r="F450" i="22"/>
  <c r="A114" i="21"/>
  <c r="F112" i="21"/>
  <c r="G114" i="21" s="1"/>
  <c r="F108" i="21"/>
  <c r="G109" i="21" s="1"/>
  <c r="F107" i="21"/>
  <c r="F102" i="21"/>
  <c r="F101" i="21"/>
  <c r="F100" i="21"/>
  <c r="F99" i="21"/>
  <c r="E95" i="21"/>
  <c r="F95" i="21" s="1"/>
  <c r="F94" i="21"/>
  <c r="E93" i="21"/>
  <c r="F93" i="21" s="1"/>
  <c r="A10" i="30"/>
  <c r="A52" i="30" s="1"/>
  <c r="E78" i="20"/>
  <c r="A72" i="21"/>
  <c r="E71" i="21"/>
  <c r="F71" i="21" s="1"/>
  <c r="G72" i="21" s="1"/>
  <c r="F70" i="21"/>
  <c r="F66" i="21"/>
  <c r="G67" i="21" s="1"/>
  <c r="F65" i="21"/>
  <c r="F61" i="21"/>
  <c r="F60" i="21"/>
  <c r="F59" i="21"/>
  <c r="F58" i="21"/>
  <c r="E57" i="21"/>
  <c r="F57" i="21" s="1"/>
  <c r="F56" i="21"/>
  <c r="E52" i="21"/>
  <c r="D52" i="21"/>
  <c r="E51" i="21"/>
  <c r="F51" i="21" s="1"/>
  <c r="A31" i="21"/>
  <c r="E30" i="21"/>
  <c r="F30" i="21" s="1"/>
  <c r="G31" i="21" s="1"/>
  <c r="F29" i="21"/>
  <c r="F25" i="21"/>
  <c r="G26" i="21" s="1"/>
  <c r="F24" i="21"/>
  <c r="F20" i="21"/>
  <c r="E19" i="21"/>
  <c r="F19" i="21" s="1"/>
  <c r="F18" i="21"/>
  <c r="F17" i="21"/>
  <c r="J16" i="21"/>
  <c r="E16" i="21"/>
  <c r="F16" i="21" s="1"/>
  <c r="F15" i="21"/>
  <c r="E11" i="21"/>
  <c r="D11" i="21"/>
  <c r="E10" i="21"/>
  <c r="F10" i="21" s="1"/>
  <c r="G71" i="20"/>
  <c r="F77" i="20"/>
  <c r="G77" i="20" s="1"/>
  <c r="G63" i="20"/>
  <c r="G38" i="20"/>
  <c r="E13" i="20"/>
  <c r="E14" i="20"/>
  <c r="G15" i="20"/>
  <c r="E16" i="20"/>
  <c r="G18" i="20"/>
  <c r="G21" i="20"/>
  <c r="G22" i="20"/>
  <c r="G23" i="20"/>
  <c r="G30" i="20"/>
  <c r="G33" i="20"/>
  <c r="G34" i="20"/>
  <c r="G35" i="20"/>
  <c r="G36" i="20"/>
  <c r="G37" i="20"/>
  <c r="G41" i="20"/>
  <c r="G42" i="20"/>
  <c r="G43" i="20"/>
  <c r="G44" i="20"/>
  <c r="G45" i="20"/>
  <c r="G46" i="20"/>
  <c r="G47" i="20"/>
  <c r="G48" i="20"/>
  <c r="G49" i="20"/>
  <c r="G50" i="20"/>
  <c r="G51" i="20"/>
  <c r="G52" i="20"/>
  <c r="G53" i="20"/>
  <c r="G54" i="20"/>
  <c r="G55" i="20"/>
  <c r="G66" i="20"/>
  <c r="G88" i="20"/>
  <c r="G89" i="20"/>
  <c r="G93" i="20"/>
  <c r="G94" i="20" s="1"/>
  <c r="G115" i="20"/>
  <c r="D208" i="19"/>
  <c r="A208" i="19"/>
  <c r="D207" i="19"/>
  <c r="A207" i="19"/>
  <c r="D206" i="19"/>
  <c r="F206" i="19" s="1"/>
  <c r="A206" i="19"/>
  <c r="D205" i="19"/>
  <c r="A205" i="19"/>
  <c r="D204" i="19"/>
  <c r="F204" i="19" s="1"/>
  <c r="A204" i="19"/>
  <c r="D203" i="19"/>
  <c r="F203" i="19" s="1"/>
  <c r="G209" i="19" s="1"/>
  <c r="A203" i="19"/>
  <c r="D170" i="19"/>
  <c r="D169" i="19"/>
  <c r="F169" i="19" s="1"/>
  <c r="D168" i="19"/>
  <c r="D167" i="19"/>
  <c r="F167" i="19" s="1"/>
  <c r="D166" i="19"/>
  <c r="F166" i="19" s="1"/>
  <c r="G172" i="19" s="1"/>
  <c r="A170" i="19"/>
  <c r="A169" i="19"/>
  <c r="A168" i="19"/>
  <c r="A167" i="19"/>
  <c r="A166" i="19"/>
  <c r="A226" i="19"/>
  <c r="E225" i="19"/>
  <c r="A225" i="19"/>
  <c r="A224" i="19"/>
  <c r="F220" i="19"/>
  <c r="C219" i="19"/>
  <c r="A219" i="19"/>
  <c r="F218" i="19"/>
  <c r="E218" i="19"/>
  <c r="D218" i="19"/>
  <c r="C218" i="19"/>
  <c r="A218" i="19"/>
  <c r="D214" i="19"/>
  <c r="F214" i="19" s="1"/>
  <c r="C214" i="19"/>
  <c r="A214" i="19"/>
  <c r="D213" i="19"/>
  <c r="F213" i="19" s="1"/>
  <c r="C213" i="19"/>
  <c r="A213" i="19"/>
  <c r="C212" i="19"/>
  <c r="A212" i="19"/>
  <c r="E208" i="19"/>
  <c r="E205" i="19"/>
  <c r="E207" i="19" s="1"/>
  <c r="A198" i="19"/>
  <c r="A196" i="19"/>
  <c r="D178" i="19"/>
  <c r="F178" i="19" s="1"/>
  <c r="C178" i="19"/>
  <c r="A178" i="19"/>
  <c r="D177" i="19"/>
  <c r="F177" i="19" s="1"/>
  <c r="C177" i="19"/>
  <c r="A177" i="19"/>
  <c r="D176" i="19"/>
  <c r="F176" i="19" s="1"/>
  <c r="C176" i="19"/>
  <c r="A176" i="19"/>
  <c r="C175" i="19"/>
  <c r="A175" i="19"/>
  <c r="E168" i="19"/>
  <c r="E170" i="19" s="1"/>
  <c r="E152" i="19"/>
  <c r="D91" i="19"/>
  <c r="F91" i="19" s="1"/>
  <c r="D134" i="19"/>
  <c r="F134" i="19" s="1"/>
  <c r="C139" i="19"/>
  <c r="A139" i="19"/>
  <c r="D133" i="19"/>
  <c r="F133" i="19" s="1"/>
  <c r="A133" i="19"/>
  <c r="A134" i="19"/>
  <c r="D132" i="19"/>
  <c r="F132" i="19" s="1"/>
  <c r="A132" i="19"/>
  <c r="A96" i="19"/>
  <c r="C96" i="19"/>
  <c r="A91" i="19"/>
  <c r="D90" i="19"/>
  <c r="F90" i="19" s="1"/>
  <c r="A90" i="19"/>
  <c r="D89" i="19"/>
  <c r="F89" i="19" s="1"/>
  <c r="A89" i="19"/>
  <c r="D61" i="19"/>
  <c r="F61" i="19" s="1"/>
  <c r="G65" i="19" s="1"/>
  <c r="C61" i="19"/>
  <c r="A61" i="19"/>
  <c r="E56" i="19"/>
  <c r="D56" i="19"/>
  <c r="F56" i="19" s="1"/>
  <c r="A56" i="19"/>
  <c r="D55" i="19"/>
  <c r="F55" i="19" s="1"/>
  <c r="G58" i="19" s="1"/>
  <c r="A55" i="19"/>
  <c r="A15" i="19"/>
  <c r="A14" i="19"/>
  <c r="A75" i="19"/>
  <c r="E74" i="19"/>
  <c r="A74" i="19"/>
  <c r="A73" i="19"/>
  <c r="C68" i="19"/>
  <c r="A68" i="19"/>
  <c r="F67" i="19"/>
  <c r="E67" i="19"/>
  <c r="D67" i="19"/>
  <c r="C67" i="19"/>
  <c r="A67" i="19"/>
  <c r="A50" i="19"/>
  <c r="E34" i="19"/>
  <c r="E16" i="19"/>
  <c r="E15" i="19"/>
  <c r="F21" i="19"/>
  <c r="G25" i="19" s="1"/>
  <c r="C21" i="19"/>
  <c r="A21" i="19"/>
  <c r="D16" i="19"/>
  <c r="A16" i="19"/>
  <c r="D15" i="19"/>
  <c r="D14" i="19"/>
  <c r="F14" i="19" s="1"/>
  <c r="G18" i="19" s="1"/>
  <c r="A190" i="19"/>
  <c r="E189" i="19"/>
  <c r="A189" i="19"/>
  <c r="A188" i="19"/>
  <c r="F184" i="19"/>
  <c r="C183" i="19"/>
  <c r="A183" i="19"/>
  <c r="F182" i="19"/>
  <c r="E182" i="19"/>
  <c r="D182" i="19"/>
  <c r="C182" i="19"/>
  <c r="A182" i="19"/>
  <c r="E171" i="19"/>
  <c r="D171" i="19"/>
  <c r="A171" i="19"/>
  <c r="A161" i="19"/>
  <c r="A159" i="19"/>
  <c r="A153" i="19"/>
  <c r="A152" i="19"/>
  <c r="A151" i="19"/>
  <c r="C146" i="19"/>
  <c r="A146" i="19"/>
  <c r="F145" i="19"/>
  <c r="E145" i="19"/>
  <c r="D145" i="19"/>
  <c r="C145" i="19"/>
  <c r="A145" i="19"/>
  <c r="E131" i="19"/>
  <c r="D131" i="19"/>
  <c r="A131" i="19"/>
  <c r="A126" i="19"/>
  <c r="A124" i="19"/>
  <c r="A110" i="19"/>
  <c r="E109" i="19"/>
  <c r="A109" i="19"/>
  <c r="A108" i="19"/>
  <c r="C103" i="19"/>
  <c r="A103" i="19"/>
  <c r="F102" i="19"/>
  <c r="E102" i="19"/>
  <c r="D102" i="19"/>
  <c r="C102" i="19"/>
  <c r="A102" i="19"/>
  <c r="E88" i="19"/>
  <c r="D88" i="19"/>
  <c r="F88" i="19" s="1"/>
  <c r="A88" i="19"/>
  <c r="A83" i="19"/>
  <c r="A48" i="19"/>
  <c r="A35" i="19"/>
  <c r="A34" i="19"/>
  <c r="A33" i="19"/>
  <c r="C28" i="19"/>
  <c r="A28" i="19"/>
  <c r="F27" i="19"/>
  <c r="E27" i="19"/>
  <c r="D27" i="19"/>
  <c r="C27" i="19"/>
  <c r="A27" i="19"/>
  <c r="A9" i="19"/>
  <c r="A482" i="27" s="1"/>
  <c r="A441" i="30"/>
  <c r="A489" i="30" s="1"/>
  <c r="A537" i="30" s="1"/>
  <c r="A595" i="27"/>
  <c r="A594" i="27"/>
  <c r="A138" i="22"/>
  <c r="A170" i="22" s="1"/>
  <c r="D417" i="30"/>
  <c r="D465" i="30" s="1"/>
  <c r="D513" i="30" s="1"/>
  <c r="D594" i="27"/>
  <c r="F594" i="27" s="1"/>
  <c r="D595" i="27"/>
  <c r="F595" i="27" s="1"/>
  <c r="D219" i="19"/>
  <c r="F219" i="19" s="1"/>
  <c r="G221" i="19" s="1"/>
  <c r="D68" i="19"/>
  <c r="F68" i="19" s="1"/>
  <c r="G70" i="19" s="1"/>
  <c r="D103" i="19"/>
  <c r="F103" i="19" s="1"/>
  <c r="G105" i="19" s="1"/>
  <c r="D28" i="19"/>
  <c r="F28" i="19" s="1"/>
  <c r="G30" i="19" s="1"/>
  <c r="D146" i="19"/>
  <c r="F146" i="19" s="1"/>
  <c r="G148" i="19" s="1"/>
  <c r="D183" i="19"/>
  <c r="F183" i="19" s="1"/>
  <c r="G185" i="19" s="1"/>
  <c r="D609" i="27"/>
  <c r="F609" i="27" s="1"/>
  <c r="G611" i="27" s="1"/>
  <c r="A29" i="6"/>
  <c r="F22" i="6"/>
  <c r="G12" i="6"/>
  <c r="A5" i="6"/>
  <c r="A3" i="6"/>
  <c r="G29" i="6"/>
  <c r="F23" i="6"/>
  <c r="G24" i="6"/>
  <c r="G19" i="6"/>
  <c r="F151" i="20"/>
  <c r="G151" i="20" s="1"/>
  <c r="F194" i="20"/>
  <c r="F193" i="20"/>
  <c r="F172" i="20"/>
  <c r="G172" i="20" s="1"/>
  <c r="C614" i="27"/>
  <c r="F614" i="27" s="1"/>
  <c r="G616" i="27" s="1"/>
  <c r="C441" i="30"/>
  <c r="C489" i="30" s="1"/>
  <c r="F104" i="20"/>
  <c r="F76" i="20"/>
  <c r="F173" i="20" s="1"/>
  <c r="G173" i="20" s="1"/>
  <c r="F170" i="20"/>
  <c r="F214" i="20"/>
  <c r="F171" i="20"/>
  <c r="G171" i="20" s="1"/>
  <c r="F13" i="20"/>
  <c r="F98" i="20" s="1"/>
  <c r="F148" i="20"/>
  <c r="G148" i="20" s="1"/>
  <c r="F150" i="20"/>
  <c r="G150" i="20"/>
  <c r="F9" i="20"/>
  <c r="G9" i="20" s="1"/>
  <c r="G10" i="20" s="1"/>
  <c r="D96" i="19"/>
  <c r="F96" i="19" s="1"/>
  <c r="G100" i="19" s="1"/>
  <c r="D139" i="19"/>
  <c r="F139" i="19" s="1"/>
  <c r="G143" i="19" s="1"/>
  <c r="F123" i="20"/>
  <c r="G123" i="20" s="1"/>
  <c r="F17" i="20"/>
  <c r="G17" i="20" s="1"/>
  <c r="F159" i="20"/>
  <c r="F180" i="20"/>
  <c r="G180" i="20" s="1"/>
  <c r="F86" i="20"/>
  <c r="G86" i="20" s="1"/>
  <c r="G91" i="20" s="1"/>
  <c r="F124" i="20"/>
  <c r="G124" i="20" s="1"/>
  <c r="F103" i="20"/>
  <c r="G103" i="20" s="1"/>
  <c r="F192" i="20"/>
  <c r="G192" i="20" s="1"/>
  <c r="G196" i="20" s="1"/>
  <c r="F179" i="20"/>
  <c r="G179" i="20" s="1"/>
  <c r="F182" i="20"/>
  <c r="F59" i="20"/>
  <c r="G59" i="20" s="1"/>
  <c r="F16" i="20"/>
  <c r="F100" i="20"/>
  <c r="G100" i="20" s="1"/>
  <c r="F65" i="20"/>
  <c r="G65" i="20" s="1"/>
  <c r="F28" i="20"/>
  <c r="G28" i="20" s="1"/>
  <c r="F60" i="20"/>
  <c r="G60" i="20" s="1"/>
  <c r="F78" i="20"/>
  <c r="F79" i="20"/>
  <c r="F152" i="20"/>
  <c r="F149" i="20"/>
  <c r="G149" i="20" s="1"/>
  <c r="F158" i="20"/>
  <c r="F58" i="20"/>
  <c r="G58" i="20" s="1"/>
  <c r="G67" i="20" s="1"/>
  <c r="F181" i="20"/>
  <c r="G181" i="20" s="1"/>
  <c r="F213" i="20"/>
  <c r="F99" i="20"/>
  <c r="F176" i="20" s="1"/>
  <c r="G176" i="20" s="1"/>
  <c r="G184" i="20" s="1"/>
  <c r="F61" i="20"/>
  <c r="G61" i="20" s="1"/>
  <c r="D600" i="27"/>
  <c r="F600" i="27" s="1"/>
  <c r="F146" i="20"/>
  <c r="G146" i="20" s="1"/>
  <c r="G155" i="20" s="1"/>
  <c r="F102" i="20"/>
  <c r="G102" i="20" s="1"/>
  <c r="F101" i="20"/>
  <c r="G101" i="20" s="1"/>
  <c r="F122" i="20"/>
  <c r="G122" i="20" s="1"/>
  <c r="G126" i="20" s="1"/>
  <c r="F29" i="20"/>
  <c r="G29" i="20" s="1"/>
  <c r="F147" i="20"/>
  <c r="G147" i="20" s="1"/>
  <c r="F27" i="20"/>
  <c r="G27" i="20" s="1"/>
  <c r="F62" i="20"/>
  <c r="G62" i="20" s="1"/>
  <c r="F164" i="20"/>
  <c r="F64" i="20"/>
  <c r="G64" i="20"/>
  <c r="F187" i="20"/>
  <c r="G187" i="20" s="1"/>
  <c r="F26" i="20"/>
  <c r="G26" i="20" s="1"/>
  <c r="G31" i="20" s="1"/>
  <c r="F195" i="20"/>
  <c r="G195" i="20" s="1"/>
  <c r="F186" i="20"/>
  <c r="D482" i="27"/>
  <c r="G335" i="27" l="1"/>
  <c r="G340" i="27"/>
  <c r="G360" i="23"/>
  <c r="G410" i="27"/>
  <c r="G31" i="30"/>
  <c r="G130" i="22"/>
  <c r="G270" i="27"/>
  <c r="G466" i="27"/>
  <c r="G321" i="22"/>
  <c r="G357" i="22"/>
  <c r="K265" i="27"/>
  <c r="G471" i="27"/>
  <c r="G915" i="23"/>
  <c r="G12" i="27"/>
  <c r="F52" i="21"/>
  <c r="G53" i="21" s="1"/>
  <c r="G74" i="21" s="1"/>
  <c r="F70" i="20" s="1"/>
  <c r="G70" i="20" s="1"/>
  <c r="G405" i="27"/>
  <c r="D52" i="30"/>
  <c r="F52" i="30" s="1"/>
  <c r="G54" i="30" s="1"/>
  <c r="G676" i="30"/>
  <c r="G79" i="20"/>
  <c r="F171" i="19"/>
  <c r="G113" i="22"/>
  <c r="G1288" i="23"/>
  <c r="G864" i="23"/>
  <c r="G186" i="20"/>
  <c r="G190" i="20" s="1"/>
  <c r="G104" i="21"/>
  <c r="G377" i="27"/>
  <c r="G55" i="27"/>
  <c r="G393" i="27"/>
  <c r="G390" i="30"/>
  <c r="G99" i="20"/>
  <c r="H94" i="26"/>
  <c r="K200" i="27"/>
  <c r="G34" i="22"/>
  <c r="G149" i="23"/>
  <c r="G898" i="23"/>
  <c r="G1212" i="23"/>
  <c r="C89" i="27"/>
  <c r="G230" i="27"/>
  <c r="F170" i="19"/>
  <c r="G152" i="20"/>
  <c r="G76" i="20"/>
  <c r="G81" i="20" s="1"/>
  <c r="G796" i="23"/>
  <c r="G193" i="20"/>
  <c r="G837" i="23"/>
  <c r="G519" i="22"/>
  <c r="G1361" i="23"/>
  <c r="G34" i="23"/>
  <c r="G1344" i="23"/>
  <c r="G213" i="20"/>
  <c r="G63" i="30"/>
  <c r="H1199" i="26"/>
  <c r="G427" i="22"/>
  <c r="G81" i="22"/>
  <c r="G385" i="23"/>
  <c r="G474" i="23"/>
  <c r="G541" i="23"/>
  <c r="G803" i="23"/>
  <c r="G966" i="23"/>
  <c r="G1255" i="23"/>
  <c r="G214" i="20"/>
  <c r="G496" i="27"/>
  <c r="G438" i="30"/>
  <c r="G43" i="27"/>
  <c r="G434" i="27"/>
  <c r="G162" i="22"/>
  <c r="G464" i="23"/>
  <c r="G575" i="23"/>
  <c r="G194" i="20"/>
  <c r="G421" i="22"/>
  <c r="H814" i="26"/>
  <c r="F16" i="19"/>
  <c r="G660" i="23"/>
  <c r="G24" i="20"/>
  <c r="F59" i="27"/>
  <c r="G60" i="27" s="1"/>
  <c r="G242" i="27"/>
  <c r="G439" i="27"/>
  <c r="G145" i="22"/>
  <c r="G353" i="23"/>
  <c r="M1236" i="23"/>
  <c r="N1236" i="23" s="1"/>
  <c r="N1237" i="23" s="1"/>
  <c r="G779" i="23"/>
  <c r="F90" i="27"/>
  <c r="H541" i="26"/>
  <c r="G156" i="23"/>
  <c r="G181" i="23"/>
  <c r="G198" i="23"/>
  <c r="G250" i="23"/>
  <c r="H1239" i="26"/>
  <c r="H1089" i="26"/>
  <c r="K429" i="27"/>
  <c r="G526" i="27"/>
  <c r="G717" i="30"/>
  <c r="F208" i="19"/>
  <c r="G78" i="20"/>
  <c r="F233" i="22"/>
  <c r="G235" i="22" s="1"/>
  <c r="G287" i="22"/>
  <c r="G88" i="22"/>
  <c r="G1013" i="23"/>
  <c r="G701" i="23"/>
  <c r="H948" i="26"/>
  <c r="H198" i="26"/>
  <c r="G19" i="27"/>
  <c r="G275" i="27"/>
  <c r="G400" i="27"/>
  <c r="G412" i="27" s="1"/>
  <c r="A109" i="30"/>
  <c r="G630" i="30"/>
  <c r="G671" i="30"/>
  <c r="G1424" i="23"/>
  <c r="H1017" i="26"/>
  <c r="G17" i="22"/>
  <c r="G939" i="23"/>
  <c r="G1040" i="23"/>
  <c r="G1233" i="23"/>
  <c r="G331" i="22"/>
  <c r="G188" i="23"/>
  <c r="G531" i="23"/>
  <c r="G599" i="23"/>
  <c r="G677" i="23"/>
  <c r="G237" i="27"/>
  <c r="F178" i="20"/>
  <c r="G178" i="20" s="1"/>
  <c r="F168" i="19"/>
  <c r="G13" i="20"/>
  <c r="G19" i="20" s="1"/>
  <c r="G327" i="23"/>
  <c r="G370" i="23"/>
  <c r="G438" i="23"/>
  <c r="G905" i="23"/>
  <c r="G932" i="23"/>
  <c r="G973" i="23"/>
  <c r="G1000" i="23"/>
  <c r="G1053" i="23"/>
  <c r="G1080" i="23"/>
  <c r="G1097" i="23"/>
  <c r="G1119" i="23"/>
  <c r="G1135" i="23"/>
  <c r="G1173" i="23"/>
  <c r="G1195" i="23"/>
  <c r="G1217" i="23"/>
  <c r="G1271" i="23"/>
  <c r="G1283" i="23"/>
  <c r="G1310" i="23"/>
  <c r="G170" i="20"/>
  <c r="H747" i="26"/>
  <c r="G308" i="27"/>
  <c r="G476" i="27"/>
  <c r="F24" i="30"/>
  <c r="G26" i="30" s="1"/>
  <c r="D109" i="30"/>
  <c r="F109" i="30" s="1"/>
  <c r="G111" i="30" s="1"/>
  <c r="C109" i="30"/>
  <c r="G534" i="30"/>
  <c r="G1168" i="23"/>
  <c r="F417" i="30"/>
  <c r="E268" i="22"/>
  <c r="E248" i="22" s="1"/>
  <c r="F248" i="22" s="1"/>
  <c r="G252" i="22" s="1"/>
  <c r="G117" i="23"/>
  <c r="G222" i="23"/>
  <c r="G258" i="23"/>
  <c r="G294" i="23"/>
  <c r="G565" i="23"/>
  <c r="G210" i="20"/>
  <c r="H44" i="26"/>
  <c r="G50" i="27"/>
  <c r="G481" i="30"/>
  <c r="G582" i="30"/>
  <c r="C60" i="43"/>
  <c r="G1207" i="23"/>
  <c r="G247" i="27"/>
  <c r="G427" i="27"/>
  <c r="G97" i="30"/>
  <c r="F177" i="20"/>
  <c r="G177" i="20" s="1"/>
  <c r="G104" i="20"/>
  <c r="F15" i="19"/>
  <c r="G294" i="22"/>
  <c r="G49" i="22"/>
  <c r="G402" i="23"/>
  <c r="G428" i="23"/>
  <c r="G592" i="23"/>
  <c r="H863" i="26"/>
  <c r="H333" i="26"/>
  <c r="H351" i="26" s="1"/>
  <c r="E13" i="25" s="1"/>
  <c r="F13" i="25" s="1"/>
  <c r="G313" i="27"/>
  <c r="G367" i="27"/>
  <c r="G251" i="20"/>
  <c r="G21" i="30"/>
  <c r="F62" i="28"/>
  <c r="G62" i="28" s="1"/>
  <c r="F62" i="62"/>
  <c r="G62" i="62" s="1"/>
  <c r="G983" i="23"/>
  <c r="G626" i="23"/>
  <c r="G179" i="22"/>
  <c r="I554" i="27"/>
  <c r="G557" i="27"/>
  <c r="G1023" i="23"/>
  <c r="E160" i="20"/>
  <c r="E161" i="20" s="1"/>
  <c r="H1251" i="26"/>
  <c r="H230" i="26"/>
  <c r="G62" i="21"/>
  <c r="G320" i="23"/>
  <c r="H1213" i="26"/>
  <c r="H798" i="26"/>
  <c r="H385" i="26"/>
  <c r="H349" i="26"/>
  <c r="H297" i="26"/>
  <c r="D593" i="27"/>
  <c r="F593" i="27" s="1"/>
  <c r="G596" i="27" s="1"/>
  <c r="G433" i="30"/>
  <c r="G268" i="23"/>
  <c r="F441" i="30"/>
  <c r="G443" i="30" s="1"/>
  <c r="G158" i="20"/>
  <c r="G21" i="21"/>
  <c r="G286" i="23"/>
  <c r="G66" i="23"/>
  <c r="G847" i="23"/>
  <c r="E164" i="20"/>
  <c r="G164" i="20" s="1"/>
  <c r="H661" i="26"/>
  <c r="G345" i="27"/>
  <c r="G347" i="27" s="1"/>
  <c r="G1327" i="23"/>
  <c r="G189" i="22"/>
  <c r="G494" i="22"/>
  <c r="G91" i="23"/>
  <c r="G830" i="23"/>
  <c r="G871" i="23"/>
  <c r="H1137" i="26"/>
  <c r="H847" i="26"/>
  <c r="H645" i="26"/>
  <c r="H401" i="26"/>
  <c r="G159" i="20"/>
  <c r="G31" i="6"/>
  <c r="G39" i="20"/>
  <c r="G728" i="23"/>
  <c r="G745" i="23"/>
  <c r="G769" i="23"/>
  <c r="H910" i="26"/>
  <c r="G372" i="27"/>
  <c r="D183" i="30"/>
  <c r="G232" i="23"/>
  <c r="G93" i="19"/>
  <c r="H281" i="26"/>
  <c r="G487" i="22"/>
  <c r="G388" i="22"/>
  <c r="G406" i="22" s="1"/>
  <c r="G152" i="22"/>
  <c r="G98" i="22"/>
  <c r="G100" i="22" s="1"/>
  <c r="G457" i="23"/>
  <c r="G498" i="23"/>
  <c r="G524" i="23"/>
  <c r="G633" i="23"/>
  <c r="G643" i="23"/>
  <c r="G667" i="23"/>
  <c r="G694" i="23"/>
  <c r="G711" i="23"/>
  <c r="G762" i="23"/>
  <c r="G813" i="23"/>
  <c r="H437" i="26"/>
  <c r="K363" i="27"/>
  <c r="G106" i="30"/>
  <c r="H1114" i="26"/>
  <c r="G56" i="20"/>
  <c r="G56" i="22"/>
  <c r="G101" i="23"/>
  <c r="G263" i="27"/>
  <c r="G606" i="27"/>
  <c r="G363" i="22"/>
  <c r="G66" i="22"/>
  <c r="G558" i="23"/>
  <c r="G1102" i="23"/>
  <c r="G392" i="23"/>
  <c r="G404" i="23" s="1"/>
  <c r="G421" i="23"/>
  <c r="G440" i="23" s="1"/>
  <c r="G609" i="23"/>
  <c r="N210" i="20"/>
  <c r="G223" i="20"/>
  <c r="H1049" i="26"/>
  <c r="H78" i="26"/>
  <c r="H28" i="26"/>
  <c r="G722" i="30"/>
  <c r="G532" i="27"/>
  <c r="F11" i="21"/>
  <c r="G12" i="21" s="1"/>
  <c r="G96" i="21"/>
  <c r="G116" i="21" s="1"/>
  <c r="F87" i="20" s="1"/>
  <c r="G87" i="20" s="1"/>
  <c r="G453" i="22"/>
  <c r="G472" i="22" s="1"/>
  <c r="G216" i="22"/>
  <c r="G120" i="22"/>
  <c r="G132" i="22" s="1"/>
  <c r="G1394" i="23"/>
  <c r="H1065" i="26"/>
  <c r="H489" i="26"/>
  <c r="H246" i="26"/>
  <c r="K362" i="27"/>
  <c r="K232" i="27"/>
  <c r="J267" i="27"/>
  <c r="G296" i="27"/>
  <c r="G542" i="27"/>
  <c r="F30" i="25"/>
  <c r="A547" i="27"/>
  <c r="A586" i="27" s="1"/>
  <c r="G15" i="55"/>
  <c r="G20" i="55" s="1"/>
  <c r="A88" i="21"/>
  <c r="A5" i="30" s="1"/>
  <c r="A47" i="30" s="1"/>
  <c r="A89" i="30" s="1"/>
  <c r="A131" i="30" s="1"/>
  <c r="A178" i="30" s="1"/>
  <c r="A222" i="30" s="1"/>
  <c r="A268" i="30" s="1"/>
  <c r="A317" i="30" s="1"/>
  <c r="A363" i="30" s="1"/>
  <c r="A411" i="30" s="1"/>
  <c r="A459" i="30" s="1"/>
  <c r="A507" i="30" s="1"/>
  <c r="A555" i="30" s="1"/>
  <c r="A603" i="30" s="1"/>
  <c r="A651" i="30" s="1"/>
  <c r="A697" i="30" s="1"/>
  <c r="A5" i="21"/>
  <c r="A46" i="21"/>
  <c r="A549" i="27"/>
  <c r="A588" i="27" s="1"/>
  <c r="G33" i="21"/>
  <c r="F69" i="20" s="1"/>
  <c r="G69" i="20" s="1"/>
  <c r="F169" i="20"/>
  <c r="G169" i="20" s="1"/>
  <c r="G174" i="20" s="1"/>
  <c r="G98" i="20"/>
  <c r="G105" i="20" s="1"/>
  <c r="F489" i="30"/>
  <c r="G491" i="30" s="1"/>
  <c r="C537" i="30"/>
  <c r="A725" i="30"/>
  <c r="A585" i="30"/>
  <c r="D561" i="30"/>
  <c r="F513" i="30"/>
  <c r="E948" i="23"/>
  <c r="F948" i="23" s="1"/>
  <c r="F947" i="23"/>
  <c r="F28" i="24"/>
  <c r="H609" i="26"/>
  <c r="F157" i="20"/>
  <c r="G157" i="20" s="1"/>
  <c r="G165" i="20" s="1"/>
  <c r="G166" i="20" s="1"/>
  <c r="F465" i="30"/>
  <c r="F131" i="19"/>
  <c r="G136" i="19" s="1"/>
  <c r="G735" i="23"/>
  <c r="G1130" i="23"/>
  <c r="H453" i="26"/>
  <c r="G225" i="22"/>
  <c r="G84" i="23"/>
  <c r="H1265" i="26"/>
  <c r="H1148" i="26"/>
  <c r="H712" i="26"/>
  <c r="H714" i="26" s="1"/>
  <c r="E20" i="25" s="1"/>
  <c r="F20" i="25" s="1"/>
  <c r="H505" i="26"/>
  <c r="F205" i="19"/>
  <c r="G526" i="22"/>
  <c r="G538" i="22" s="1"/>
  <c r="F118" i="20" s="1"/>
  <c r="G118" i="20" s="1"/>
  <c r="G260" i="22"/>
  <c r="G1363" i="23"/>
  <c r="G24" i="23"/>
  <c r="G134" i="23"/>
  <c r="G491" i="23"/>
  <c r="G508" i="23"/>
  <c r="H1001" i="26"/>
  <c r="H964" i="26"/>
  <c r="H557" i="26"/>
  <c r="F89" i="27"/>
  <c r="C120" i="27"/>
  <c r="F58" i="24"/>
  <c r="G16" i="20"/>
  <c r="G1092" i="23"/>
  <c r="G1157" i="23"/>
  <c r="H763" i="26"/>
  <c r="H765" i="26" s="1"/>
  <c r="E21" i="25" s="1"/>
  <c r="F21" i="25" s="1"/>
  <c r="A212" i="27"/>
  <c r="A181" i="27"/>
  <c r="J463" i="27"/>
  <c r="K462" i="27"/>
  <c r="J530" i="27"/>
  <c r="K528" i="27"/>
  <c r="K529" i="27"/>
  <c r="G24" i="22"/>
  <c r="G1245" i="23"/>
  <c r="G56" i="23"/>
  <c r="G124" i="23"/>
  <c r="G166" i="23"/>
  <c r="G849" i="23"/>
  <c r="F71" i="24"/>
  <c r="H1162" i="26"/>
  <c r="H146" i="26"/>
  <c r="H130" i="26"/>
  <c r="J300" i="27"/>
  <c r="K298" i="27"/>
  <c r="K395" i="27"/>
  <c r="J397" i="27"/>
  <c r="K396" i="27"/>
  <c r="G444" i="27"/>
  <c r="F207" i="19"/>
  <c r="G304" i="23"/>
  <c r="G1377" i="23"/>
  <c r="G1407" i="23"/>
  <c r="G214" i="23"/>
  <c r="H894" i="26"/>
  <c r="H912" i="26" s="1"/>
  <c r="D72" i="27"/>
  <c r="G204" i="27"/>
  <c r="H593" i="26"/>
  <c r="J332" i="27"/>
  <c r="K331" i="27"/>
  <c r="G1058" i="23"/>
  <c r="G1178" i="23"/>
  <c r="G1293" i="23"/>
  <c r="F92" i="24"/>
  <c r="H182" i="26"/>
  <c r="C152" i="27"/>
  <c r="F121" i="27"/>
  <c r="K330" i="27"/>
  <c r="K493" i="27"/>
  <c r="J494" i="27"/>
  <c r="G529" i="30"/>
  <c r="G577" i="30"/>
  <c r="G1063" i="23"/>
  <c r="H1188" i="26"/>
  <c r="H1100" i="26"/>
  <c r="H1116" i="26" s="1"/>
  <c r="E32" i="25" s="1"/>
  <c r="F32" i="25" s="1"/>
  <c r="G142" i="20"/>
  <c r="F634" i="30"/>
  <c r="G635" i="30" s="1"/>
  <c r="C680" i="30"/>
  <c r="F680" i="30" s="1"/>
  <c r="G681" i="30" s="1"/>
  <c r="G280" i="27"/>
  <c r="G360" i="27"/>
  <c r="G490" i="27"/>
  <c r="I487" i="27"/>
  <c r="A85" i="21"/>
  <c r="A2" i="30" s="1"/>
  <c r="A44" i="30" s="1"/>
  <c r="A86" i="30" s="1"/>
  <c r="A128" i="30" s="1"/>
  <c r="A175" i="30" s="1"/>
  <c r="A219" i="30" s="1"/>
  <c r="A265" i="30" s="1"/>
  <c r="A314" i="30" s="1"/>
  <c r="A360" i="30" s="1"/>
  <c r="A408" i="30" s="1"/>
  <c r="A456" i="30" s="1"/>
  <c r="A504" i="30" s="1"/>
  <c r="A552" i="30" s="1"/>
  <c r="A600" i="30" s="1"/>
  <c r="A648" i="30" s="1"/>
  <c r="A694" i="30" s="1"/>
  <c r="G573" i="27"/>
  <c r="G486" i="30"/>
  <c r="K233" i="27"/>
  <c r="G68" i="30"/>
  <c r="G196" i="30"/>
  <c r="G29" i="27"/>
  <c r="G303" i="27"/>
  <c r="G459" i="27"/>
  <c r="G478" i="27" s="1"/>
  <c r="G506" i="27"/>
  <c r="G152" i="30"/>
  <c r="G164" i="30" s="1"/>
  <c r="G337" i="30"/>
  <c r="O90" i="29"/>
  <c r="E22" i="59" s="1"/>
  <c r="I51" i="29"/>
  <c r="O51" i="29" s="1"/>
  <c r="I50" i="29"/>
  <c r="O50" i="29" s="1"/>
  <c r="O64" i="29"/>
  <c r="E14" i="59" s="1"/>
  <c r="I37" i="29"/>
  <c r="O37" i="29" s="1"/>
  <c r="I36" i="29"/>
  <c r="O36" i="29" s="1"/>
  <c r="O22" i="29"/>
  <c r="I41" i="29"/>
  <c r="O41" i="29" s="1"/>
  <c r="I38" i="29"/>
  <c r="O38" i="29" s="1"/>
  <c r="O15" i="29"/>
  <c r="E9" i="59" s="1"/>
  <c r="G182" i="20"/>
  <c r="F183" i="20"/>
  <c r="G183" i="20" s="1"/>
  <c r="O28" i="29"/>
  <c r="O129" i="29"/>
  <c r="E34" i="59" s="1"/>
  <c r="O32" i="29"/>
  <c r="O104" i="29"/>
  <c r="E26" i="59" s="1"/>
  <c r="O132" i="29"/>
  <c r="E35" i="59" s="1"/>
  <c r="O31" i="29"/>
  <c r="O47" i="29"/>
  <c r="O138" i="29"/>
  <c r="E37" i="59" s="1"/>
  <c r="O29" i="29"/>
  <c r="O135" i="29"/>
  <c r="E36" i="59" s="1"/>
  <c r="O110" i="29"/>
  <c r="E28" i="59" s="1"/>
  <c r="O145" i="29"/>
  <c r="E39" i="59" s="1"/>
  <c r="O122" i="29"/>
  <c r="E32" i="59" s="1"/>
  <c r="O93" i="29"/>
  <c r="E23" i="59" s="1"/>
  <c r="O48" i="29"/>
  <c r="O18" i="29"/>
  <c r="O119" i="29"/>
  <c r="E31" i="59" s="1"/>
  <c r="O107" i="29"/>
  <c r="E27" i="59" s="1"/>
  <c r="O27" i="29"/>
  <c r="O149" i="29"/>
  <c r="E40" i="59" s="1"/>
  <c r="O98" i="29"/>
  <c r="E24" i="59" s="1"/>
  <c r="O23" i="29"/>
  <c r="O20" i="29"/>
  <c r="O46" i="29"/>
  <c r="H1267" i="26" l="1"/>
  <c r="E35" i="25" s="1"/>
  <c r="F35" i="25" s="1"/>
  <c r="H611" i="26"/>
  <c r="E18" i="25" s="1"/>
  <c r="F18" i="25" s="1"/>
  <c r="G917" i="23"/>
  <c r="H96" i="26"/>
  <c r="E7" i="25" s="1"/>
  <c r="F7" i="25" s="1"/>
  <c r="G985" i="23"/>
  <c r="G375" i="22"/>
  <c r="G339" i="23"/>
  <c r="G33" i="30"/>
  <c r="G343" i="22"/>
  <c r="F114" i="20" s="1"/>
  <c r="G114" i="20" s="1"/>
  <c r="G75" i="30"/>
  <c r="G747" i="23"/>
  <c r="G168" i="23"/>
  <c r="G815" i="23"/>
  <c r="G306" i="22"/>
  <c r="F113" i="20" s="1"/>
  <c r="G113" i="20" s="1"/>
  <c r="H1067" i="26"/>
  <c r="G781" i="23"/>
  <c r="G476" i="23"/>
  <c r="H148" i="26"/>
  <c r="E8" i="25" s="1"/>
  <c r="F8" i="25" s="1"/>
  <c r="G91" i="27"/>
  <c r="G1025" i="23"/>
  <c r="G372" i="23"/>
  <c r="H559" i="26"/>
  <c r="E17" i="25" s="1"/>
  <c r="F17" i="25" s="1"/>
  <c r="G234" i="23"/>
  <c r="H507" i="26"/>
  <c r="E16" i="25" s="1"/>
  <c r="F16" i="25" s="1"/>
  <c r="F268" i="22"/>
  <c r="G270" i="22" s="1"/>
  <c r="G506" i="22"/>
  <c r="F117" i="20" s="1"/>
  <c r="G117" i="20" s="1"/>
  <c r="G68" i="22"/>
  <c r="G1219" i="23"/>
  <c r="G270" i="23"/>
  <c r="G62" i="27"/>
  <c r="G68" i="23"/>
  <c r="G883" i="23"/>
  <c r="G201" i="22"/>
  <c r="F107" i="20" s="1"/>
  <c r="G107" i="20" s="1"/>
  <c r="G439" i="22"/>
  <c r="G1426" i="23"/>
  <c r="F125" i="20"/>
  <c r="G125" i="20" s="1"/>
  <c r="H455" i="26"/>
  <c r="E15" i="25" s="1"/>
  <c r="F15" i="25" s="1"/>
  <c r="G543" i="23"/>
  <c r="H816" i="26"/>
  <c r="E22" i="25" s="1"/>
  <c r="F22" i="25" s="1"/>
  <c r="G577" i="23"/>
  <c r="G1329" i="23"/>
  <c r="G200" i="23"/>
  <c r="G164" i="22"/>
  <c r="F116" i="20" s="1"/>
  <c r="G116" i="20" s="1"/>
  <c r="G618" i="27"/>
  <c r="G36" i="23"/>
  <c r="H865" i="26"/>
  <c r="E23" i="25" s="1"/>
  <c r="F23" i="25" s="1"/>
  <c r="G1104" i="23"/>
  <c r="G118" i="30"/>
  <c r="D560" i="27" s="1"/>
  <c r="K560" i="27" s="1"/>
  <c r="G249" i="27"/>
  <c r="G282" i="27"/>
  <c r="G31" i="27"/>
  <c r="G136" i="23"/>
  <c r="G1142" i="23"/>
  <c r="F162" i="20" s="1"/>
  <c r="G162" i="20" s="1"/>
  <c r="G544" i="27"/>
  <c r="G679" i="23"/>
  <c r="G611" i="23"/>
  <c r="H200" i="26"/>
  <c r="E9" i="25" s="1"/>
  <c r="F9" i="25" s="1"/>
  <c r="H966" i="26"/>
  <c r="G237" i="22"/>
  <c r="F108" i="20" s="1"/>
  <c r="G108" i="20" s="1"/>
  <c r="H46" i="26"/>
  <c r="E6" i="25" s="1"/>
  <c r="F6" i="25" s="1"/>
  <c r="H299" i="26"/>
  <c r="E12" i="25" s="1"/>
  <c r="F12" i="25" s="1"/>
  <c r="H1215" i="26"/>
  <c r="E34" i="25" s="1"/>
  <c r="F34" i="25" s="1"/>
  <c r="G103" i="23"/>
  <c r="G379" i="27"/>
  <c r="H1019" i="26"/>
  <c r="H663" i="26"/>
  <c r="E19" i="25" s="1"/>
  <c r="F19" i="25" s="1"/>
  <c r="G645" i="23"/>
  <c r="G1295" i="23"/>
  <c r="G446" i="27"/>
  <c r="G36" i="22"/>
  <c r="H403" i="26"/>
  <c r="E14" i="25" s="1"/>
  <c r="F14" i="25" s="1"/>
  <c r="F227" i="62"/>
  <c r="G227" i="62" s="1"/>
  <c r="G229" i="62" s="1"/>
  <c r="F174" i="62"/>
  <c r="G174" i="62" s="1"/>
  <c r="G176" i="62" s="1"/>
  <c r="F252" i="62"/>
  <c r="G252" i="62" s="1"/>
  <c r="F209" i="62"/>
  <c r="G209" i="62" s="1"/>
  <c r="F307" i="62"/>
  <c r="G307" i="62" s="1"/>
  <c r="G309" i="62" s="1"/>
  <c r="F96" i="62"/>
  <c r="G96" i="62" s="1"/>
  <c r="F149" i="62"/>
  <c r="G149" i="62" s="1"/>
  <c r="F39" i="28"/>
  <c r="G39" i="28" s="1"/>
  <c r="G41" i="28" s="1"/>
  <c r="F39" i="62"/>
  <c r="G39" i="62" s="1"/>
  <c r="G41" i="62" s="1"/>
  <c r="F43" i="59"/>
  <c r="G43" i="59" s="1"/>
  <c r="F347" i="62"/>
  <c r="G347" i="62" s="1"/>
  <c r="F61" i="28"/>
  <c r="G61" i="28" s="1"/>
  <c r="F274" i="62"/>
  <c r="G274" i="62" s="1"/>
  <c r="F61" i="62"/>
  <c r="G61" i="62" s="1"/>
  <c r="G66" i="62" s="1"/>
  <c r="F251" i="62"/>
  <c r="G251" i="62" s="1"/>
  <c r="F95" i="62"/>
  <c r="G95" i="62" s="1"/>
  <c r="F208" i="62"/>
  <c r="G208" i="62" s="1"/>
  <c r="F148" i="62"/>
  <c r="G148" i="62" s="1"/>
  <c r="F207" i="62"/>
  <c r="G207" i="62" s="1"/>
  <c r="F273" i="62"/>
  <c r="G273" i="62" s="1"/>
  <c r="F349" i="62"/>
  <c r="G349" i="62" s="1"/>
  <c r="F250" i="62"/>
  <c r="G250" i="62" s="1"/>
  <c r="F45" i="59"/>
  <c r="G45" i="59" s="1"/>
  <c r="F44" i="59"/>
  <c r="G44" i="59" s="1"/>
  <c r="F348" i="62"/>
  <c r="G348" i="62" s="1"/>
  <c r="F18" i="28"/>
  <c r="G18" i="28" s="1"/>
  <c r="G20" i="28" s="1"/>
  <c r="F18" i="62"/>
  <c r="G18" i="62" s="1"/>
  <c r="G20" i="62" s="1"/>
  <c r="F150" i="62"/>
  <c r="G150" i="62" s="1"/>
  <c r="F212" i="20"/>
  <c r="G212" i="20" s="1"/>
  <c r="G215" i="20" s="1"/>
  <c r="G252" i="20" s="1"/>
  <c r="G510" i="23"/>
  <c r="G713" i="23"/>
  <c r="G306" i="23"/>
  <c r="G315" i="27"/>
  <c r="H248" i="26"/>
  <c r="E10" i="25" s="1"/>
  <c r="F10" i="25" s="1"/>
  <c r="D227" i="30"/>
  <c r="F183" i="30"/>
  <c r="G186" i="30" s="1"/>
  <c r="G208" i="30" s="1"/>
  <c r="G1065" i="23"/>
  <c r="F161" i="20" s="1"/>
  <c r="G161" i="20" s="1"/>
  <c r="H1164" i="26"/>
  <c r="E33" i="25" s="1"/>
  <c r="F33" i="25" s="1"/>
  <c r="F36" i="25" s="1"/>
  <c r="F96" i="28"/>
  <c r="G96" i="28" s="1"/>
  <c r="G949" i="23"/>
  <c r="G951" i="23" s="1"/>
  <c r="G72" i="20"/>
  <c r="G73" i="20" s="1"/>
  <c r="F561" i="30"/>
  <c r="D703" i="30"/>
  <c r="F703" i="30" s="1"/>
  <c r="F72" i="27"/>
  <c r="G74" i="27" s="1"/>
  <c r="D103" i="27"/>
  <c r="G272" i="22"/>
  <c r="F109" i="20" s="1"/>
  <c r="G109" i="20" s="1"/>
  <c r="C585" i="30"/>
  <c r="F537" i="30"/>
  <c r="G539" i="30" s="1"/>
  <c r="I1253" i="23"/>
  <c r="G1257" i="23"/>
  <c r="G508" i="27"/>
  <c r="F83" i="20" s="1"/>
  <c r="G83" i="20" s="1"/>
  <c r="G84" i="20" s="1"/>
  <c r="G95" i="20" s="1"/>
  <c r="C182" i="27"/>
  <c r="F152" i="27"/>
  <c r="F95" i="24"/>
  <c r="F103" i="24" s="1"/>
  <c r="F106" i="24" s="1"/>
  <c r="G1180" i="23"/>
  <c r="F163" i="20" s="1"/>
  <c r="G163" i="20" s="1"/>
  <c r="F120" i="27"/>
  <c r="G122" i="27" s="1"/>
  <c r="C151" i="27"/>
  <c r="O52" i="29"/>
  <c r="E13" i="59" s="1"/>
  <c r="O42" i="29"/>
  <c r="E12" i="59" s="1"/>
  <c r="O24" i="29"/>
  <c r="E10" i="59" s="1"/>
  <c r="O33" i="29"/>
  <c r="E11" i="59" s="1"/>
  <c r="F95" i="28"/>
  <c r="G95" i="28" s="1"/>
  <c r="G60" i="28"/>
  <c r="G93" i="27" l="1"/>
  <c r="F25" i="25"/>
  <c r="F38" i="25" s="1"/>
  <c r="F39" i="25" s="1"/>
  <c r="F560" i="27"/>
  <c r="G563" i="27" s="1"/>
  <c r="G575" i="27" s="1"/>
  <c r="J561" i="27"/>
  <c r="G120" i="20"/>
  <c r="G143" i="20" s="1"/>
  <c r="G254" i="20" s="1"/>
  <c r="G255" i="20" s="1"/>
  <c r="G256" i="20" s="1"/>
  <c r="G98" i="62"/>
  <c r="G276" i="62"/>
  <c r="G66" i="28"/>
  <c r="G68" i="28" s="1"/>
  <c r="G211" i="62"/>
  <c r="G68" i="62"/>
  <c r="G152" i="62"/>
  <c r="G47" i="59"/>
  <c r="G50" i="59" s="1"/>
  <c r="G57" i="59" s="1"/>
  <c r="G58" i="59" s="1"/>
  <c r="G59" i="59" s="1"/>
  <c r="G254" i="62"/>
  <c r="G351" i="62"/>
  <c r="D273" i="30"/>
  <c r="F227" i="30"/>
  <c r="G230" i="30" s="1"/>
  <c r="G254" i="30" s="1"/>
  <c r="G98" i="28"/>
  <c r="E110" i="24"/>
  <c r="F108" i="24"/>
  <c r="F114" i="24" s="1"/>
  <c r="E109" i="24"/>
  <c r="E111" i="24"/>
  <c r="F585" i="30"/>
  <c r="G587" i="30" s="1"/>
  <c r="C725" i="30"/>
  <c r="F725" i="30" s="1"/>
  <c r="G727" i="30" s="1"/>
  <c r="F182" i="27"/>
  <c r="C213" i="27"/>
  <c r="F213" i="27" s="1"/>
  <c r="C181" i="27"/>
  <c r="F151" i="27"/>
  <c r="G153" i="27" s="1"/>
  <c r="F103" i="27"/>
  <c r="G105" i="27" s="1"/>
  <c r="G124" i="27" s="1"/>
  <c r="D134" i="27"/>
  <c r="F40" i="25" l="1"/>
  <c r="F42" i="25" s="1"/>
  <c r="F41" i="25"/>
  <c r="G288" i="62"/>
  <c r="G399" i="62" s="1"/>
  <c r="G406" i="62" s="1"/>
  <c r="G407" i="62" s="1"/>
  <c r="G408" i="62" s="1"/>
  <c r="G101" i="28"/>
  <c r="G108" i="28" s="1"/>
  <c r="F273" i="30"/>
  <c r="G276" i="30" s="1"/>
  <c r="G303" i="30" s="1"/>
  <c r="D322" i="30"/>
  <c r="D195" i="27"/>
  <c r="F195" i="27" s="1"/>
  <c r="G197" i="27" s="1"/>
  <c r="F134" i="27"/>
  <c r="D164" i="27"/>
  <c r="C212" i="27"/>
  <c r="F212" i="27" s="1"/>
  <c r="G214" i="27" s="1"/>
  <c r="F181" i="27"/>
  <c r="G183" i="27" s="1"/>
  <c r="G109" i="28" l="1"/>
  <c r="G110" i="28" s="1"/>
  <c r="F322" i="30"/>
  <c r="G325" i="30" s="1"/>
  <c r="G349" i="30" s="1"/>
  <c r="D368" i="30"/>
  <c r="F164" i="27"/>
  <c r="G166" i="27" s="1"/>
  <c r="G185" i="27" s="1"/>
  <c r="G136" i="27"/>
  <c r="G155" i="27" s="1"/>
  <c r="G216" i="27"/>
  <c r="F368" i="30" l="1"/>
  <c r="G371" i="30" s="1"/>
  <c r="G397" i="30" s="1"/>
  <c r="D416" i="30"/>
  <c r="F416" i="30" l="1"/>
  <c r="G419" i="30" s="1"/>
  <c r="G445" i="30" s="1"/>
  <c r="D464" i="30"/>
  <c r="D512" i="30" l="1"/>
  <c r="F464" i="30"/>
  <c r="G467" i="30" s="1"/>
  <c r="G493" i="30" s="1"/>
  <c r="F512" i="30" l="1"/>
  <c r="G515" i="30" s="1"/>
  <c r="G541" i="30" s="1"/>
  <c r="D560" i="30"/>
  <c r="F560" i="30" l="1"/>
  <c r="G563" i="30" s="1"/>
  <c r="G589" i="30" s="1"/>
  <c r="D608" i="30"/>
  <c r="F608" i="30" l="1"/>
  <c r="G611" i="30" s="1"/>
  <c r="G637" i="30" s="1"/>
  <c r="D656" i="30"/>
  <c r="D702" i="30" l="1"/>
  <c r="F702" i="30" s="1"/>
  <c r="G705" i="30" s="1"/>
  <c r="G729" i="30" s="1"/>
  <c r="F656" i="30"/>
  <c r="G659" i="30" s="1"/>
  <c r="G683" i="30" s="1"/>
  <c r="C225" i="19" l="1"/>
  <c r="F225" i="19" s="1"/>
  <c r="C189" i="19"/>
  <c r="F189" i="19" s="1"/>
  <c r="C109" i="19"/>
  <c r="F109" i="19" s="1"/>
  <c r="C74" i="19"/>
  <c r="F74" i="19" s="1"/>
  <c r="C152" i="19"/>
  <c r="F152" i="19" s="1"/>
  <c r="C34" i="19"/>
  <c r="F34" i="19" s="1"/>
  <c r="F181" i="62" l="1"/>
  <c r="G181" i="62" s="1"/>
  <c r="F11" i="59"/>
  <c r="G11" i="59" s="1"/>
  <c r="F259" i="62"/>
  <c r="G259" i="62" s="1"/>
  <c r="F216" i="62"/>
  <c r="G216" i="62" s="1"/>
  <c r="F315" i="62"/>
  <c r="G315" i="62" s="1"/>
  <c r="F157" i="62"/>
  <c r="G157" i="62" s="1"/>
  <c r="F27" i="62"/>
  <c r="G27" i="62" s="1"/>
  <c r="F234" i="62"/>
  <c r="G234" i="62" s="1"/>
  <c r="F46" i="62"/>
  <c r="G46" i="62" s="1"/>
  <c r="F239" i="62"/>
  <c r="G239" i="62" s="1"/>
  <c r="F115" i="62"/>
  <c r="G115" i="62" s="1"/>
  <c r="F162" i="62"/>
  <c r="G162" i="62" s="1"/>
  <c r="F186" i="62"/>
  <c r="G186" i="62" s="1"/>
  <c r="F264" i="62"/>
  <c r="G264" i="62" s="1"/>
  <c r="F299" i="62"/>
  <c r="G299" i="62" s="1"/>
  <c r="F221" i="62"/>
  <c r="G221" i="62" s="1"/>
  <c r="F79" i="62"/>
  <c r="G79" i="62" s="1"/>
  <c r="F182" i="62"/>
  <c r="G182" i="62" s="1"/>
  <c r="F260" i="62"/>
  <c r="G260" i="62" s="1"/>
  <c r="F217" i="62"/>
  <c r="G217" i="62" s="1"/>
  <c r="F75" i="62"/>
  <c r="G75" i="62" s="1"/>
  <c r="F316" i="62"/>
  <c r="G316" i="62" s="1"/>
  <c r="F294" i="62"/>
  <c r="G294" i="62" s="1"/>
  <c r="F158" i="62"/>
  <c r="G158" i="62" s="1"/>
  <c r="F105" i="62"/>
  <c r="G105" i="62" s="1"/>
  <c r="F28" i="62"/>
  <c r="G28" i="62" s="1"/>
  <c r="F235" i="62"/>
  <c r="G235" i="62" s="1"/>
  <c r="F47" i="62"/>
  <c r="G47" i="62" s="1"/>
  <c r="F12" i="59"/>
  <c r="G12" i="59" s="1"/>
  <c r="F16" i="28"/>
  <c r="G16" i="28" s="1"/>
  <c r="F16" i="62"/>
  <c r="G16" i="62" s="1"/>
  <c r="F120" i="62"/>
  <c r="G120" i="62" s="1"/>
  <c r="F317" i="62"/>
  <c r="G317" i="62" s="1"/>
  <c r="F29" i="62"/>
  <c r="G29" i="62" s="1"/>
  <c r="F13" i="59"/>
  <c r="G13" i="59" s="1"/>
  <c r="F48" i="62"/>
  <c r="G48" i="62" s="1"/>
  <c r="F261" i="62"/>
  <c r="G261" i="62" s="1"/>
  <c r="F14" i="59"/>
  <c r="G14" i="59" s="1"/>
  <c r="F318" i="62"/>
  <c r="G318" i="62" s="1"/>
  <c r="F218" i="62"/>
  <c r="G218" i="62" s="1"/>
  <c r="F76" i="62"/>
  <c r="G76" i="62" s="1"/>
  <c r="F295" i="62"/>
  <c r="G295" i="62" s="1"/>
  <c r="F159" i="62"/>
  <c r="G159" i="62" s="1"/>
  <c r="F106" i="62"/>
  <c r="G106" i="62" s="1"/>
  <c r="F236" i="62"/>
  <c r="G236" i="62" s="1"/>
  <c r="F183" i="62"/>
  <c r="G183" i="62" s="1"/>
  <c r="F357" i="62"/>
  <c r="G357" i="62" s="1"/>
  <c r="F45" i="62"/>
  <c r="G45" i="62" s="1"/>
  <c r="F74" i="62"/>
  <c r="G74" i="62" s="1"/>
  <c r="F26" i="62"/>
  <c r="G26" i="62" s="1"/>
  <c r="F48" i="28"/>
  <c r="G48" i="28" s="1"/>
  <c r="F29" i="28"/>
  <c r="G29" i="28" s="1"/>
  <c r="F14" i="20"/>
  <c r="G14" i="20" s="1"/>
  <c r="F76" i="28"/>
  <c r="G76" i="28" s="1"/>
  <c r="F74" i="28"/>
  <c r="G74" i="28" s="1"/>
  <c r="F45" i="28"/>
  <c r="G45" i="28" s="1"/>
  <c r="F26" i="28"/>
  <c r="G26" i="28" s="1"/>
  <c r="F92" i="62"/>
  <c r="G92" i="62" s="1"/>
  <c r="F27" i="28"/>
  <c r="G27" i="28" s="1"/>
  <c r="F46" i="28"/>
  <c r="G46" i="28" s="1"/>
  <c r="C151" i="19"/>
  <c r="F151" i="19" s="1"/>
  <c r="G153" i="19" s="1"/>
  <c r="G155" i="19" s="1"/>
  <c r="C73" i="19"/>
  <c r="F73" i="19" s="1"/>
  <c r="G75" i="19" s="1"/>
  <c r="G77" i="19" s="1"/>
  <c r="C224" i="19"/>
  <c r="F224" i="19" s="1"/>
  <c r="G226" i="19" s="1"/>
  <c r="C33" i="19"/>
  <c r="F33" i="19" s="1"/>
  <c r="G35" i="19" s="1"/>
  <c r="G37" i="19" s="1"/>
  <c r="C188" i="19"/>
  <c r="F188" i="19" s="1"/>
  <c r="G190" i="19" s="1"/>
  <c r="C108" i="19"/>
  <c r="F108" i="19" s="1"/>
  <c r="G110" i="19" s="1"/>
  <c r="G112" i="19" s="1"/>
  <c r="F154" i="20" s="1"/>
  <c r="G154" i="20" s="1"/>
  <c r="F79" i="28"/>
  <c r="G79" i="28" s="1"/>
  <c r="F47" i="28"/>
  <c r="G47" i="28" s="1"/>
  <c r="F28" i="28"/>
  <c r="G28" i="28" s="1"/>
  <c r="F75" i="28"/>
  <c r="G75" i="28" s="1"/>
  <c r="F130" i="62" l="1"/>
  <c r="G130" i="62" s="1"/>
  <c r="F89" i="62"/>
  <c r="G89" i="62" s="1"/>
  <c r="F12" i="28"/>
  <c r="G12" i="28" s="1"/>
  <c r="F127" i="62"/>
  <c r="G127" i="62" s="1"/>
  <c r="F124" i="62"/>
  <c r="G124" i="62" s="1"/>
  <c r="F32" i="59"/>
  <c r="G32" i="59" s="1"/>
  <c r="F81" i="28"/>
  <c r="G81" i="28" s="1"/>
  <c r="F15" i="28"/>
  <c r="G15" i="28" s="1"/>
  <c r="F49" i="62"/>
  <c r="G49" i="62" s="1"/>
  <c r="F24" i="59"/>
  <c r="G24" i="59" s="1"/>
  <c r="F16" i="59"/>
  <c r="G16" i="59" s="1"/>
  <c r="F31" i="62"/>
  <c r="G31" i="62" s="1"/>
  <c r="F335" i="62"/>
  <c r="G335" i="62" s="1"/>
  <c r="F30" i="28"/>
  <c r="G30" i="28" s="1"/>
  <c r="F33" i="28"/>
  <c r="G33" i="28" s="1"/>
  <c r="F85" i="62"/>
  <c r="G85" i="62" s="1"/>
  <c r="F32" i="28"/>
  <c r="G32" i="28" s="1"/>
  <c r="F133" i="62"/>
  <c r="G133" i="62" s="1"/>
  <c r="F17" i="59"/>
  <c r="G17" i="59" s="1"/>
  <c r="F321" i="62"/>
  <c r="G321" i="62" s="1"/>
  <c r="F268" i="62"/>
  <c r="G268" i="62" s="1"/>
  <c r="F247" i="62"/>
  <c r="G247" i="62" s="1"/>
  <c r="F325" i="62"/>
  <c r="G325" i="62" s="1"/>
  <c r="F21" i="59"/>
  <c r="G21" i="59" s="1"/>
  <c r="F382" i="62"/>
  <c r="G382" i="62" s="1"/>
  <c r="F368" i="62"/>
  <c r="G368" i="62" s="1"/>
  <c r="F121" i="62"/>
  <c r="G121" i="62" s="1"/>
  <c r="F243" i="62"/>
  <c r="G243" i="62" s="1"/>
  <c r="F164" i="62"/>
  <c r="G164" i="62" s="1"/>
  <c r="F91" i="28"/>
  <c r="G91" i="28" s="1"/>
  <c r="F91" i="62"/>
  <c r="G91" i="62" s="1"/>
  <c r="F50" i="28"/>
  <c r="G50" i="28" s="1"/>
  <c r="F50" i="62"/>
  <c r="G50" i="62" s="1"/>
  <c r="F270" i="62"/>
  <c r="G270" i="62" s="1"/>
  <c r="F358" i="62"/>
  <c r="G358" i="62" s="1"/>
  <c r="F384" i="62"/>
  <c r="G384" i="62" s="1"/>
  <c r="F360" i="62"/>
  <c r="G360" i="62" s="1"/>
  <c r="F327" i="62"/>
  <c r="G327" i="62" s="1"/>
  <c r="F23" i="59"/>
  <c r="G23" i="59" s="1"/>
  <c r="F383" i="62"/>
  <c r="G383" i="62" s="1"/>
  <c r="F332" i="62"/>
  <c r="G332" i="62" s="1"/>
  <c r="F28" i="59"/>
  <c r="G28" i="59" s="1"/>
  <c r="F51" i="28"/>
  <c r="G51" i="28" s="1"/>
  <c r="F51" i="62"/>
  <c r="G51" i="62" s="1"/>
  <c r="F385" i="62"/>
  <c r="G385" i="62" s="1"/>
  <c r="F363" i="62"/>
  <c r="G363" i="62" s="1"/>
  <c r="F380" i="62"/>
  <c r="G380" i="62" s="1"/>
  <c r="F365" i="62"/>
  <c r="G365" i="62" s="1"/>
  <c r="F359" i="62"/>
  <c r="G359" i="62" s="1"/>
  <c r="F381" i="62"/>
  <c r="G381" i="62" s="1"/>
  <c r="F324" i="62"/>
  <c r="G324" i="62" s="1"/>
  <c r="F194" i="62"/>
  <c r="G194" i="62" s="1"/>
  <c r="F20" i="59"/>
  <c r="G20" i="59" s="1"/>
  <c r="F376" i="62"/>
  <c r="G376" i="62" s="1"/>
  <c r="F304" i="62"/>
  <c r="G304" i="62" s="1"/>
  <c r="F87" i="62"/>
  <c r="G87" i="62" s="1"/>
  <c r="F90" i="28"/>
  <c r="G90" i="28" s="1"/>
  <c r="F305" i="62"/>
  <c r="G305" i="62" s="1"/>
  <c r="F90" i="62"/>
  <c r="G90" i="62" s="1"/>
  <c r="F128" i="62"/>
  <c r="G128" i="62" s="1"/>
  <c r="F169" i="62"/>
  <c r="G169" i="62" s="1"/>
  <c r="F171" i="62"/>
  <c r="G171" i="62" s="1"/>
  <c r="F54" i="28"/>
  <c r="G54" i="28" s="1"/>
  <c r="F54" i="62"/>
  <c r="G54" i="62" s="1"/>
  <c r="F241" i="62"/>
  <c r="G241" i="62" s="1"/>
  <c r="F188" i="62"/>
  <c r="G188" i="62" s="1"/>
  <c r="F266" i="62"/>
  <c r="G266" i="62" s="1"/>
  <c r="F18" i="59"/>
  <c r="G18" i="59" s="1"/>
  <c r="F322" i="62"/>
  <c r="G322" i="62" s="1"/>
  <c r="F333" i="62"/>
  <c r="G333" i="62" s="1"/>
  <c r="F29" i="59"/>
  <c r="G29" i="59" s="1"/>
  <c r="F137" i="62"/>
  <c r="G137" i="62" s="1"/>
  <c r="F52" i="28"/>
  <c r="G52" i="28" s="1"/>
  <c r="F52" i="62"/>
  <c r="G52" i="62" s="1"/>
  <c r="F362" i="62"/>
  <c r="G362" i="62" s="1"/>
  <c r="F356" i="62"/>
  <c r="G356" i="62" s="1"/>
  <c r="F393" i="62"/>
  <c r="G393" i="62" s="1"/>
  <c r="F34" i="28"/>
  <c r="G34" i="28" s="1"/>
  <c r="F34" i="62"/>
  <c r="G34" i="62" s="1"/>
  <c r="F240" i="62"/>
  <c r="G240" i="62" s="1"/>
  <c r="F298" i="62"/>
  <c r="G298" i="62" s="1"/>
  <c r="F187" i="62"/>
  <c r="G187" i="62" s="1"/>
  <c r="F265" i="62"/>
  <c r="G265" i="62" s="1"/>
  <c r="F222" i="62"/>
  <c r="G222" i="62" s="1"/>
  <c r="F163" i="62"/>
  <c r="G163" i="62" s="1"/>
  <c r="F13" i="28"/>
  <c r="G13" i="28" s="1"/>
  <c r="F13" i="62"/>
  <c r="G13" i="62" s="1"/>
  <c r="F189" i="62"/>
  <c r="G189" i="62" s="1"/>
  <c r="F267" i="62"/>
  <c r="G267" i="62" s="1"/>
  <c r="F242" i="62"/>
  <c r="G242" i="62" s="1"/>
  <c r="F126" i="62"/>
  <c r="G126" i="62" s="1"/>
  <c r="F141" i="62"/>
  <c r="G141" i="62" s="1"/>
  <c r="F198" i="62"/>
  <c r="G198" i="62" s="1"/>
  <c r="F53" i="28"/>
  <c r="G53" i="28" s="1"/>
  <c r="F53" i="62"/>
  <c r="G53" i="62" s="1"/>
  <c r="F170" i="62"/>
  <c r="G170" i="62" s="1"/>
  <c r="F197" i="62"/>
  <c r="G197" i="62" s="1"/>
  <c r="F25" i="59"/>
  <c r="G25" i="59" s="1"/>
  <c r="F329" i="62"/>
  <c r="G329" i="62" s="1"/>
  <c r="F269" i="62"/>
  <c r="G269" i="62" s="1"/>
  <c r="F144" i="62"/>
  <c r="G144" i="62" s="1"/>
  <c r="F388" i="62"/>
  <c r="G388" i="62" s="1"/>
  <c r="F386" i="62"/>
  <c r="G386" i="62" s="1"/>
  <c r="F373" i="62"/>
  <c r="G373" i="62" s="1"/>
  <c r="F375" i="62"/>
  <c r="G375" i="62" s="1"/>
  <c r="F134" i="62"/>
  <c r="G134" i="62" s="1"/>
  <c r="F27" i="59"/>
  <c r="G27" i="59" s="1"/>
  <c r="F331" i="62"/>
  <c r="G331" i="62" s="1"/>
  <c r="F31" i="28"/>
  <c r="G31" i="28" s="1"/>
  <c r="F392" i="62"/>
  <c r="G392" i="62" s="1"/>
  <c r="F30" i="59"/>
  <c r="G30" i="59" s="1"/>
  <c r="F334" i="62"/>
  <c r="G334" i="62" s="1"/>
  <c r="F12" i="62"/>
  <c r="G12" i="62" s="1"/>
  <c r="F44" i="62"/>
  <c r="G44" i="62" s="1"/>
  <c r="F9" i="59"/>
  <c r="G9" i="59" s="1"/>
  <c r="F313" i="62"/>
  <c r="G313" i="62" s="1"/>
  <c r="F25" i="62"/>
  <c r="G25" i="62" s="1"/>
  <c r="F232" i="62"/>
  <c r="G232" i="62" s="1"/>
  <c r="F179" i="62"/>
  <c r="G179" i="62" s="1"/>
  <c r="F257" i="62"/>
  <c r="G257" i="62" s="1"/>
  <c r="F73" i="62"/>
  <c r="G73" i="62" s="1"/>
  <c r="F292" i="62"/>
  <c r="G292" i="62" s="1"/>
  <c r="F214" i="62"/>
  <c r="G214" i="62" s="1"/>
  <c r="F103" i="62"/>
  <c r="G103" i="62" s="1"/>
  <c r="F155" i="62"/>
  <c r="G155" i="62" s="1"/>
  <c r="F233" i="62"/>
  <c r="G233" i="62" s="1"/>
  <c r="F180" i="62"/>
  <c r="G180" i="62" s="1"/>
  <c r="F258" i="62"/>
  <c r="G258" i="62" s="1"/>
  <c r="F293" i="62"/>
  <c r="G293" i="62" s="1"/>
  <c r="F215" i="62"/>
  <c r="G215" i="62" s="1"/>
  <c r="F104" i="62"/>
  <c r="G104" i="62" s="1"/>
  <c r="F10" i="59"/>
  <c r="G10" i="59" s="1"/>
  <c r="F314" i="62"/>
  <c r="G314" i="62" s="1"/>
  <c r="F156" i="62"/>
  <c r="G156" i="62" s="1"/>
  <c r="F122" i="62"/>
  <c r="G122" i="62" s="1"/>
  <c r="F26" i="59"/>
  <c r="G26" i="59" s="1"/>
  <c r="F330" i="62"/>
  <c r="G330" i="62" s="1"/>
  <c r="F302" i="62"/>
  <c r="G302" i="62" s="1"/>
  <c r="F199" i="62"/>
  <c r="G199" i="62" s="1"/>
  <c r="F320" i="62"/>
  <c r="G320" i="62" s="1"/>
  <c r="F246" i="62"/>
  <c r="G246" i="62" s="1"/>
  <c r="F83" i="62"/>
  <c r="G83" i="62" s="1"/>
  <c r="F224" i="62"/>
  <c r="G224" i="62" s="1"/>
  <c r="F166" i="62"/>
  <c r="G166" i="62" s="1"/>
  <c r="F301" i="62"/>
  <c r="G301" i="62" s="1"/>
  <c r="F193" i="62"/>
  <c r="G193" i="62" s="1"/>
  <c r="F369" i="62"/>
  <c r="G369" i="62" s="1"/>
  <c r="F371" i="62"/>
  <c r="G371" i="62" s="1"/>
  <c r="F319" i="62"/>
  <c r="G319" i="62" s="1"/>
  <c r="F15" i="59"/>
  <c r="G15" i="59" s="1"/>
  <c r="F139" i="62"/>
  <c r="G139" i="62" s="1"/>
  <c r="F366" i="62"/>
  <c r="G366" i="62" s="1"/>
  <c r="F245" i="62"/>
  <c r="G245" i="62" s="1"/>
  <c r="F82" i="62"/>
  <c r="G82" i="62" s="1"/>
  <c r="F165" i="62"/>
  <c r="G165" i="62" s="1"/>
  <c r="F192" i="62"/>
  <c r="G192" i="62" s="1"/>
  <c r="F55" i="62"/>
  <c r="G55" i="62" s="1"/>
  <c r="F86" i="62"/>
  <c r="G86" i="62" s="1"/>
  <c r="F370" i="62"/>
  <c r="G370" i="62" s="1"/>
  <c r="F129" i="62"/>
  <c r="G129" i="62" s="1"/>
  <c r="F19" i="59"/>
  <c r="G19" i="59" s="1"/>
  <c r="F323" i="62"/>
  <c r="G323" i="62" s="1"/>
  <c r="F14" i="28"/>
  <c r="G14" i="28" s="1"/>
  <c r="F14" i="62"/>
  <c r="G14" i="62" s="1"/>
  <c r="F191" i="62"/>
  <c r="G191" i="62" s="1"/>
  <c r="F11" i="28"/>
  <c r="G11" i="28" s="1"/>
  <c r="F11" i="62"/>
  <c r="G11" i="62" s="1"/>
  <c r="F244" i="62"/>
  <c r="G244" i="62" s="1"/>
  <c r="F138" i="62"/>
  <c r="G138" i="62" s="1"/>
  <c r="F33" i="59"/>
  <c r="G33" i="59" s="1"/>
  <c r="F337" i="62"/>
  <c r="G337" i="62" s="1"/>
  <c r="F35" i="28"/>
  <c r="G35" i="28" s="1"/>
  <c r="F35" i="62"/>
  <c r="G35" i="62" s="1"/>
  <c r="F355" i="62"/>
  <c r="G355" i="62" s="1"/>
  <c r="F281" i="62"/>
  <c r="G281" i="62" s="1"/>
  <c r="F361" i="62"/>
  <c r="G361" i="62" s="1"/>
  <c r="F372" i="62"/>
  <c r="G372" i="62" s="1"/>
  <c r="F374" i="62"/>
  <c r="G374" i="62" s="1"/>
  <c r="F123" i="62"/>
  <c r="G123" i="62" s="1"/>
  <c r="F387" i="62"/>
  <c r="G387" i="62" s="1"/>
  <c r="F284" i="62"/>
  <c r="G284" i="62" s="1"/>
  <c r="F125" i="62"/>
  <c r="G125" i="62" s="1"/>
  <c r="F10" i="28"/>
  <c r="G10" i="28" s="1"/>
  <c r="F10" i="62"/>
  <c r="G10" i="62" s="1"/>
  <c r="F200" i="62"/>
  <c r="G200" i="62" s="1"/>
  <c r="F140" i="62"/>
  <c r="G140" i="62" s="1"/>
  <c r="F135" i="62"/>
  <c r="G135" i="62" s="1"/>
  <c r="F364" i="62"/>
  <c r="G364" i="62" s="1"/>
  <c r="F378" i="62"/>
  <c r="G378" i="62" s="1"/>
  <c r="F377" i="62"/>
  <c r="G377" i="62" s="1"/>
  <c r="F389" i="62"/>
  <c r="G389" i="62" s="1"/>
  <c r="F87" i="28"/>
  <c r="G87" i="28" s="1"/>
  <c r="F44" i="28"/>
  <c r="G44" i="28" s="1"/>
  <c r="F25" i="28"/>
  <c r="G25" i="28" s="1"/>
  <c r="F92" i="28"/>
  <c r="G92" i="28" s="1"/>
  <c r="F73" i="28"/>
  <c r="G73" i="28" s="1"/>
  <c r="F55" i="28"/>
  <c r="G55" i="28" s="1"/>
  <c r="F86" i="28"/>
  <c r="G86" i="28" s="1"/>
  <c r="F49" i="28"/>
  <c r="G49" i="28" s="1"/>
  <c r="F80" i="20"/>
  <c r="G80" i="20" s="1"/>
  <c r="F153" i="20"/>
  <c r="G153" i="20" s="1"/>
  <c r="F82" i="28"/>
  <c r="G82" i="28" s="1"/>
  <c r="F83" i="28"/>
  <c r="G83" i="28" s="1"/>
  <c r="F80" i="28" l="1"/>
  <c r="G80" i="28" s="1"/>
  <c r="F80" i="62"/>
  <c r="G80" i="62" s="1"/>
  <c r="F81" i="62"/>
  <c r="G81" i="62" s="1"/>
  <c r="F223" i="62"/>
  <c r="G223" i="62" s="1"/>
  <c r="F33" i="62"/>
  <c r="G33" i="62" s="1"/>
  <c r="F328" i="62"/>
  <c r="G328" i="62" s="1"/>
  <c r="F84" i="28"/>
  <c r="G84" i="28" s="1"/>
  <c r="F89" i="28"/>
  <c r="G89" i="28" s="1"/>
  <c r="F131" i="62"/>
  <c r="G131" i="62" s="1"/>
  <c r="F336" i="62"/>
  <c r="G336" i="62" s="1"/>
  <c r="F142" i="62"/>
  <c r="G142" i="62" s="1"/>
  <c r="F146" i="62"/>
  <c r="G146" i="62" s="1"/>
  <c r="F143" i="62"/>
  <c r="G143" i="62" s="1"/>
  <c r="F15" i="62"/>
  <c r="G15" i="62" s="1"/>
  <c r="G19" i="62" s="1"/>
  <c r="F300" i="62"/>
  <c r="G300" i="62" s="1"/>
  <c r="F136" i="62"/>
  <c r="G136" i="62" s="1"/>
  <c r="F167" i="62"/>
  <c r="G167" i="62" s="1"/>
  <c r="F190" i="62"/>
  <c r="G190" i="62" s="1"/>
  <c r="F84" i="62"/>
  <c r="G84" i="62" s="1"/>
  <c r="F31" i="59"/>
  <c r="G31" i="59" s="1"/>
  <c r="F248" i="62"/>
  <c r="G248" i="62" s="1"/>
  <c r="F145" i="62"/>
  <c r="G145" i="62" s="1"/>
  <c r="F195" i="62"/>
  <c r="G195" i="62" s="1"/>
  <c r="F271" i="62"/>
  <c r="G271" i="62" s="1"/>
  <c r="F196" i="62"/>
  <c r="G196" i="62" s="1"/>
  <c r="F303" i="62"/>
  <c r="G303" i="62" s="1"/>
  <c r="F168" i="62"/>
  <c r="G168" i="62" s="1"/>
  <c r="F85" i="28"/>
  <c r="G85" i="28" s="1"/>
  <c r="F225" i="62"/>
  <c r="G225" i="62" s="1"/>
  <c r="F30" i="62"/>
  <c r="G30" i="62" s="1"/>
  <c r="F172" i="62"/>
  <c r="G172" i="62" s="1"/>
  <c r="F32" i="62"/>
  <c r="G32" i="62" s="1"/>
  <c r="D175" i="19"/>
  <c r="F175" i="19" s="1"/>
  <c r="G180" i="19" s="1"/>
  <c r="G192" i="19" s="1"/>
  <c r="D1380" i="23"/>
  <c r="F1380" i="23" s="1"/>
  <c r="G1384" i="23" s="1"/>
  <c r="G1396" i="23" s="1"/>
  <c r="F160" i="20" s="1"/>
  <c r="G160" i="20" s="1"/>
  <c r="D212" i="19"/>
  <c r="F212" i="19" s="1"/>
  <c r="G216" i="19" s="1"/>
  <c r="G228" i="19" s="1"/>
  <c r="F34" i="59"/>
  <c r="G34" i="59" s="1"/>
  <c r="F338" i="62"/>
  <c r="G338" i="62" s="1"/>
  <c r="F201" i="62"/>
  <c r="G201" i="62" s="1"/>
  <c r="F202" i="62"/>
  <c r="G202" i="62" s="1"/>
  <c r="F279" i="62"/>
  <c r="G279" i="62" s="1"/>
  <c r="F391" i="62"/>
  <c r="G391" i="62" s="1"/>
  <c r="F204" i="62"/>
  <c r="G204" i="62" s="1"/>
  <c r="F203" i="62"/>
  <c r="G203" i="62" s="1"/>
  <c r="F390" i="62"/>
  <c r="G390" i="62" s="1"/>
  <c r="F379" i="62"/>
  <c r="G379" i="62" s="1"/>
  <c r="F40" i="59"/>
  <c r="G40" i="59" s="1"/>
  <c r="F344" i="62"/>
  <c r="G344" i="62" s="1"/>
  <c r="F132" i="62"/>
  <c r="G132" i="62" s="1"/>
  <c r="F205" i="62"/>
  <c r="G205" i="62" s="1"/>
  <c r="F297" i="62"/>
  <c r="G297" i="62" s="1"/>
  <c r="F161" i="62"/>
  <c r="G161" i="62" s="1"/>
  <c r="F238" i="62"/>
  <c r="G238" i="62" s="1"/>
  <c r="F78" i="62"/>
  <c r="G78" i="62" s="1"/>
  <c r="F220" i="62"/>
  <c r="G220" i="62" s="1"/>
  <c r="F185" i="62"/>
  <c r="G185" i="62" s="1"/>
  <c r="F263" i="62"/>
  <c r="G263" i="62" s="1"/>
  <c r="F367" i="62"/>
  <c r="G367" i="62" s="1"/>
  <c r="F283" i="62"/>
  <c r="G283" i="62" s="1"/>
  <c r="G19" i="28"/>
  <c r="F78" i="28"/>
  <c r="G78" i="28" s="1"/>
  <c r="F282" i="62" l="1"/>
  <c r="G282" i="62" s="1"/>
  <c r="F109" i="62"/>
  <c r="G109" i="62" s="1"/>
  <c r="F107" i="62"/>
  <c r="G107" i="62" s="1"/>
  <c r="G395" i="62"/>
  <c r="G397" i="62" s="1"/>
  <c r="F296" i="62"/>
  <c r="G296" i="62" s="1"/>
  <c r="G308" i="62" s="1"/>
  <c r="G310" i="62" s="1"/>
  <c r="F77" i="62"/>
  <c r="G77" i="62" s="1"/>
  <c r="F237" i="62"/>
  <c r="G237" i="62" s="1"/>
  <c r="G253" i="62" s="1"/>
  <c r="I254" i="62" s="1"/>
  <c r="F262" i="62"/>
  <c r="G262" i="62" s="1"/>
  <c r="G275" i="62" s="1"/>
  <c r="I276" i="62" s="1"/>
  <c r="F77" i="28"/>
  <c r="G77" i="28" s="1"/>
  <c r="F184" i="62"/>
  <c r="G184" i="62" s="1"/>
  <c r="G210" i="62" s="1"/>
  <c r="F160" i="62"/>
  <c r="G160" i="62" s="1"/>
  <c r="G175" i="62" s="1"/>
  <c r="I176" i="62" s="1"/>
  <c r="F219" i="62"/>
  <c r="G219" i="62" s="1"/>
  <c r="G228" i="62" s="1"/>
  <c r="I229" i="62" s="1"/>
  <c r="F342" i="62"/>
  <c r="G342" i="62" s="1"/>
  <c r="F38" i="59"/>
  <c r="G38" i="59" s="1"/>
  <c r="F37" i="28"/>
  <c r="G37" i="28" s="1"/>
  <c r="F56" i="28"/>
  <c r="G56" i="28" s="1"/>
  <c r="F93" i="28"/>
  <c r="G93" i="28" s="1"/>
  <c r="F110" i="62"/>
  <c r="G110" i="62" s="1"/>
  <c r="F35" i="59"/>
  <c r="G35" i="59" s="1"/>
  <c r="F339" i="62"/>
  <c r="G339" i="62" s="1"/>
  <c r="F36" i="28"/>
  <c r="G36" i="28" s="1"/>
  <c r="F36" i="62"/>
  <c r="G36" i="62" s="1"/>
  <c r="F112" i="62"/>
  <c r="G112" i="62" s="1"/>
  <c r="F93" i="62"/>
  <c r="G93" i="62" s="1"/>
  <c r="F22" i="59"/>
  <c r="G22" i="59" s="1"/>
  <c r="F326" i="62"/>
  <c r="G326" i="62" s="1"/>
  <c r="F37" i="62"/>
  <c r="G37" i="62" s="1"/>
  <c r="F56" i="62"/>
  <c r="G56" i="62" s="1"/>
  <c r="F111" i="62"/>
  <c r="G111" i="62" s="1"/>
  <c r="F341" i="62"/>
  <c r="G341" i="62" s="1"/>
  <c r="F37" i="59"/>
  <c r="G37" i="59" s="1"/>
  <c r="F343" i="62"/>
  <c r="G343" i="62" s="1"/>
  <c r="F39" i="59"/>
  <c r="G39" i="59" s="1"/>
  <c r="F57" i="28"/>
  <c r="G57" i="28" s="1"/>
  <c r="F57" i="62"/>
  <c r="G57" i="62" s="1"/>
  <c r="F108" i="62"/>
  <c r="G108" i="62" s="1"/>
  <c r="F118" i="62"/>
  <c r="G118" i="62" s="1"/>
  <c r="F340" i="62"/>
  <c r="G340" i="62" s="1"/>
  <c r="F36" i="59"/>
  <c r="G36" i="59" s="1"/>
  <c r="I21" i="62"/>
  <c r="G21" i="62"/>
  <c r="F114" i="62"/>
  <c r="G114" i="62" s="1"/>
  <c r="F58" i="28"/>
  <c r="G58" i="28" s="1"/>
  <c r="F58" i="62"/>
  <c r="G58" i="62" s="1"/>
  <c r="F113" i="62"/>
  <c r="G113" i="62" s="1"/>
  <c r="G21" i="28"/>
  <c r="I21" i="28"/>
  <c r="I397" i="62" l="1"/>
  <c r="I310" i="62"/>
  <c r="G40" i="28"/>
  <c r="I41" i="28" s="1"/>
  <c r="G65" i="28"/>
  <c r="I66" i="28" s="1"/>
  <c r="G40" i="62"/>
  <c r="G65" i="62"/>
  <c r="I66" i="62" s="1"/>
  <c r="G350" i="62"/>
  <c r="G46" i="59"/>
  <c r="G67" i="28" l="1"/>
  <c r="I69" i="28" s="1"/>
  <c r="I48" i="59"/>
  <c r="G49" i="59"/>
  <c r="G51" i="59" s="1"/>
  <c r="G48" i="59"/>
  <c r="G352" i="62"/>
  <c r="I352" i="62"/>
  <c r="I41" i="62"/>
  <c r="G67" i="62"/>
  <c r="G69" i="28" l="1"/>
  <c r="G69" i="62"/>
  <c r="I69" i="62"/>
  <c r="F280" i="62"/>
  <c r="G280" i="62" s="1"/>
  <c r="G285" i="62" s="1"/>
  <c r="I286" i="62" s="1"/>
  <c r="F88" i="62"/>
  <c r="G88" i="62" s="1"/>
  <c r="G97" i="62" s="1"/>
  <c r="F117" i="62"/>
  <c r="G117" i="62" s="1"/>
  <c r="F119" i="62"/>
  <c r="G119" i="62" s="1"/>
  <c r="G55" i="59"/>
  <c r="G53" i="59"/>
  <c r="G54" i="59"/>
  <c r="G60" i="59"/>
  <c r="F88" i="28"/>
  <c r="G88" i="28" s="1"/>
  <c r="G97" i="28" s="1"/>
  <c r="G100" i="28" s="1"/>
  <c r="G102" i="28" s="1"/>
  <c r="I99" i="62" l="1"/>
  <c r="G99" i="62"/>
  <c r="F116" i="62"/>
  <c r="G116" i="62" s="1"/>
  <c r="G151" i="62" s="1"/>
  <c r="G52" i="59"/>
  <c r="G56" i="59" s="1"/>
  <c r="G61" i="59" s="1"/>
  <c r="G62" i="59" s="1"/>
  <c r="G63" i="59" s="1"/>
  <c r="G111" i="28"/>
  <c r="G106" i="28"/>
  <c r="G105" i="28"/>
  <c r="G104" i="28"/>
  <c r="I99" i="28"/>
  <c r="G99" i="28"/>
  <c r="I152" i="62" l="1"/>
  <c r="G287" i="62"/>
  <c r="G398" i="62" l="1"/>
  <c r="G400" i="62" s="1"/>
  <c r="I289" i="62"/>
  <c r="G289" i="62"/>
  <c r="G103" i="28"/>
  <c r="G107" i="28" s="1"/>
  <c r="G112" i="28" s="1"/>
  <c r="G404" i="62" l="1"/>
  <c r="G402" i="62"/>
  <c r="G409" i="62"/>
  <c r="G403" i="62"/>
  <c r="G401" i="62" l="1"/>
  <c r="G405" i="62" s="1"/>
  <c r="G412" i="62" s="1"/>
  <c r="G413" i="62" s="1"/>
  <c r="G414" i="62" s="1"/>
  <c r="G113" i="28"/>
  <c r="G114" i="28" s="1"/>
  <c r="G418" i="62" l="1"/>
  <c r="G417" i="62" s="1"/>
  <c r="AF3397" i="68" l="1"/>
  <c r="AF3421" i="68" s="1"/>
  <c r="AF3423" i="68" s="1"/>
  <c r="L149" i="58" s="1"/>
  <c r="M149" i="58" l="1"/>
  <c r="M130" i="58" l="1"/>
  <c r="M263" i="58" s="1"/>
  <c r="M265" i="58" l="1"/>
  <c r="M267" i="58"/>
  <c r="M268" i="58" s="1"/>
  <c r="E8" i="71"/>
  <c r="D8" i="69" l="1"/>
  <c r="M270" i="58"/>
  <c r="M271" i="58"/>
  <c r="J273" i="58" s="1"/>
  <c r="K273" i="58" s="1"/>
  <c r="L273" i="58" s="1"/>
  <c r="M269" i="58"/>
  <c r="J50" i="69"/>
  <c r="N50" i="69" s="1"/>
  <c r="J48" i="69"/>
  <c r="N48" i="69" s="1"/>
  <c r="J49" i="69"/>
  <c r="N49" i="69" s="1"/>
  <c r="I16" i="71"/>
  <c r="I19" i="71" s="1"/>
  <c r="L16" i="71"/>
  <c r="L19" i="71" s="1"/>
  <c r="O16" i="71"/>
  <c r="O19" i="71" s="1"/>
  <c r="F16" i="71"/>
  <c r="F19" i="71" s="1"/>
  <c r="C16" i="71"/>
  <c r="C19" i="71" s="1"/>
  <c r="J51" i="69" l="1"/>
  <c r="N51" i="69" s="1"/>
  <c r="J41" i="69"/>
  <c r="N41" i="69" s="1"/>
  <c r="N42" i="69" s="1"/>
  <c r="J47" i="69"/>
  <c r="N47" i="69" s="1"/>
  <c r="N52" i="69" s="1"/>
  <c r="O271" i="58"/>
  <c r="P56" i="69" a="1"/>
  <c r="M272" i="58"/>
  <c r="M279" i="58" s="1"/>
  <c r="P21" i="71"/>
  <c r="P23" i="71" s="1"/>
  <c r="P24" i="71" s="1"/>
  <c r="N54" i="69" l="1"/>
  <c r="O1" i="71"/>
  <c r="M18" i="69" l="1"/>
  <c r="M21" i="69"/>
  <c r="M41" i="69"/>
  <c r="M35" i="69"/>
  <c r="M13" i="69"/>
  <c r="M14" i="69"/>
  <c r="M31" i="69"/>
  <c r="M16" i="69"/>
  <c r="M47" i="69"/>
  <c r="M15" i="69"/>
  <c r="M34" i="69"/>
  <c r="M50" i="69"/>
  <c r="M17" i="69"/>
  <c r="M48" i="69"/>
  <c r="M32" i="69"/>
  <c r="M30" i="69"/>
  <c r="M51" i="69"/>
  <c r="N56" i="69"/>
  <c r="M1" i="69" s="1"/>
  <c r="M33" i="69"/>
  <c r="M49" i="69"/>
  <c r="M29" i="69"/>
  <c r="O288" i="58" l="1"/>
  <c r="O291" i="5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E9" authorId="0" shapeId="0" xr:uid="{00000000-0006-0000-1700-000001000000}">
      <text>
        <r>
          <rPr>
            <b/>
            <sz val="9"/>
            <color indexed="81"/>
            <rFont val="Tahoma"/>
            <family val="2"/>
          </rPr>
          <t>Cubrimiento de 30m2 x 1 frente de obra y l duració ndel plastixco se estima para 12
 meses</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<sst xmlns="http://schemas.openxmlformats.org/spreadsheetml/2006/main" count="32051" uniqueCount="2731">
  <si>
    <t>ITEM</t>
  </si>
  <si>
    <t>DESCRIPCION</t>
  </si>
  <si>
    <t>UND</t>
  </si>
  <si>
    <t>1.1</t>
  </si>
  <si>
    <t>M2</t>
  </si>
  <si>
    <t>2.1</t>
  </si>
  <si>
    <t>ML</t>
  </si>
  <si>
    <t>KG</t>
  </si>
  <si>
    <t>UN</t>
  </si>
  <si>
    <t xml:space="preserve">CONTRATISTA </t>
  </si>
  <si>
    <t>ING. JOHAN JAVIER OÑATE NUÑEZ</t>
  </si>
  <si>
    <t>VR/UNIT</t>
  </si>
  <si>
    <t>M3</t>
  </si>
  <si>
    <t>LISTADO DE PRECIOS UNITARIOS - OFICIAL</t>
  </si>
  <si>
    <t>DESCRIPCIÓN</t>
  </si>
  <si>
    <t>UNIDAD</t>
  </si>
  <si>
    <t>CANT</t>
  </si>
  <si>
    <t>DIA</t>
  </si>
  <si>
    <t>PRESTACIONES SOCIALES</t>
  </si>
  <si>
    <t>%</t>
  </si>
  <si>
    <t>ICBF</t>
  </si>
  <si>
    <t>Oficial (Incl. Prestaciones)</t>
  </si>
  <si>
    <t>Ayudante (Incl. Prestaciones)</t>
  </si>
  <si>
    <t>MA</t>
  </si>
  <si>
    <t>COD.</t>
  </si>
  <si>
    <t>1.2</t>
  </si>
  <si>
    <t>1.3</t>
  </si>
  <si>
    <t xml:space="preserve">VARILLA 3/8" </t>
  </si>
  <si>
    <t>1.4</t>
  </si>
  <si>
    <t>1.5</t>
  </si>
  <si>
    <t>1.6</t>
  </si>
  <si>
    <t>1.7</t>
  </si>
  <si>
    <t>1.8</t>
  </si>
  <si>
    <t>1.9</t>
  </si>
  <si>
    <t>1.10</t>
  </si>
  <si>
    <t>1.11</t>
  </si>
  <si>
    <t>1.12</t>
  </si>
  <si>
    <t>1.13</t>
  </si>
  <si>
    <t>1.14</t>
  </si>
  <si>
    <t xml:space="preserve">VARILLA 5/8" </t>
  </si>
  <si>
    <t>ACEROS - ALAMBRES - HIERROS - CUBIERTAS</t>
  </si>
  <si>
    <t>1.16</t>
  </si>
  <si>
    <t>1.17</t>
  </si>
  <si>
    <t>ALAMBRE NEGRO No. 18</t>
  </si>
  <si>
    <t>ALAMBRE GALVANIZADO # 12</t>
  </si>
  <si>
    <t>BISAGRA COBRIZADA 3"</t>
  </si>
  <si>
    <t>LB</t>
  </si>
  <si>
    <t>MALLA DE GALLINERO 1"</t>
  </si>
  <si>
    <t>MALLA PARA GAVIONES CAL. 12</t>
  </si>
  <si>
    <t>TEJA A.C. No. 4</t>
  </si>
  <si>
    <t>TEJA TERMOACUSTIC+caballete</t>
  </si>
  <si>
    <t>TEJA ZINC CAL 28</t>
  </si>
  <si>
    <t>GANCHO PARA TEJA</t>
  </si>
  <si>
    <t>AMARRES</t>
  </si>
  <si>
    <t>PERFIL ACESCO Cal. 16  0.15X0.05</t>
  </si>
  <si>
    <t>PLATINA 3/16"X1"</t>
  </si>
  <si>
    <t>SEGUETA (Sin marco)</t>
  </si>
  <si>
    <t>SOLDADURA 1/8" METAL</t>
  </si>
  <si>
    <t>SOLDADURA WEST ARCO 8013X1/8</t>
  </si>
  <si>
    <t>STEEL-DECK a=0.09</t>
  </si>
  <si>
    <t>TORNILLO AUTO PERFORANTE AJOVER</t>
  </si>
  <si>
    <t>MP</t>
  </si>
  <si>
    <t>AGREGADOS - ARENAS - PETREOS - MINERALES</t>
  </si>
  <si>
    <t>CEMENTO GRIS</t>
  </si>
  <si>
    <t>GAL</t>
  </si>
  <si>
    <t>PIEDRA ZONGA Y/O MEDIA ZONGA(6"-10")</t>
  </si>
  <si>
    <t>ME</t>
  </si>
  <si>
    <t>MATERIALES BASICOS</t>
  </si>
  <si>
    <t>2.2</t>
  </si>
  <si>
    <t>2.3</t>
  </si>
  <si>
    <t>2.5</t>
  </si>
  <si>
    <t>2.7</t>
  </si>
  <si>
    <t>2.8</t>
  </si>
  <si>
    <t>2.9</t>
  </si>
  <si>
    <t>TUBO CONDUIT PVC 1/2"</t>
  </si>
  <si>
    <t>3.1</t>
  </si>
  <si>
    <t>3.2</t>
  </si>
  <si>
    <t>3.3</t>
  </si>
  <si>
    <t>3.4</t>
  </si>
  <si>
    <t>3.5</t>
  </si>
  <si>
    <t>MH</t>
  </si>
  <si>
    <t xml:space="preserve">HIDROSANITARIOS: TUBERIAS - ACCESORIOS </t>
  </si>
  <si>
    <t>ESPECIALES</t>
  </si>
  <si>
    <t>MAMPOSTERIA - PINTURAS - CARPINTERIAS - ACABADOS</t>
  </si>
  <si>
    <t>JUEGO DE BOQUILLAS DE 1/2"</t>
  </si>
  <si>
    <t>4.1</t>
  </si>
  <si>
    <t>4.2</t>
  </si>
  <si>
    <t>4.3</t>
  </si>
  <si>
    <t>4.4</t>
  </si>
  <si>
    <t>4.5</t>
  </si>
  <si>
    <t>4.6</t>
  </si>
  <si>
    <t>GL</t>
  </si>
  <si>
    <t>DISOLVENTE THINER</t>
  </si>
  <si>
    <t>ESMALTE</t>
  </si>
  <si>
    <t>MH1</t>
  </si>
  <si>
    <t>MH2</t>
  </si>
  <si>
    <t>TUBERIAS</t>
  </si>
  <si>
    <t>MH3</t>
  </si>
  <si>
    <t>VALVULAS - HIDRAULICOS</t>
  </si>
  <si>
    <t>IGAS GRIS</t>
  </si>
  <si>
    <t>SOLDADURA LIQUIDA  PVC.  (1/4 Gal )</t>
  </si>
  <si>
    <t>CODO PRESION 90º  Ø ½"</t>
  </si>
  <si>
    <t>TEE PRESION   Ø 4"</t>
  </si>
  <si>
    <t>ACCESORIOS - ADITIVOS PEGANTES E IMPERMEAB - ESPECIALES</t>
  </si>
  <si>
    <t>AGUA</t>
  </si>
  <si>
    <t>LT</t>
  </si>
  <si>
    <t>CINTA SIKA PVC a=15 cm.</t>
  </si>
  <si>
    <t>PIOLA GRUESA ROLLO 50 ML</t>
  </si>
  <si>
    <t>I. EQUIPO</t>
  </si>
  <si>
    <t>Descripción</t>
  </si>
  <si>
    <t>Tarifa/Hora</t>
  </si>
  <si>
    <t>Rendimiento</t>
  </si>
  <si>
    <t>Valor-Unit.</t>
  </si>
  <si>
    <t>Sub-Total</t>
  </si>
  <si>
    <t>Unidad</t>
  </si>
  <si>
    <t>Precio-Unit.</t>
  </si>
  <si>
    <t>Cantidad</t>
  </si>
  <si>
    <t>III. TRANSPORTES</t>
  </si>
  <si>
    <t>Vol-peso ó Cant.</t>
  </si>
  <si>
    <t>IV. MANO DE OBRA</t>
  </si>
  <si>
    <t>Trabajador</t>
  </si>
  <si>
    <t>Jornal/H-H</t>
  </si>
  <si>
    <t>ALCALDIA DE NEIVA</t>
  </si>
  <si>
    <t xml:space="preserve">II. MATERIALES </t>
  </si>
  <si>
    <t xml:space="preserve">UNIDAD: </t>
  </si>
  <si>
    <t>SUB-TOTAL</t>
  </si>
  <si>
    <t>EQUIPOS BASICOS</t>
  </si>
  <si>
    <t>EQUI</t>
  </si>
  <si>
    <t>EQUPOS</t>
  </si>
  <si>
    <t>HR</t>
  </si>
  <si>
    <t>RANA VIBROCOMPACTADORA O COMPACTADOR MANUAL (80-100)Kg.</t>
  </si>
  <si>
    <t>HERRAMIENTA MENOR.</t>
  </si>
  <si>
    <t>MALACATE O DIFERENCIAL 2 TON.</t>
  </si>
  <si>
    <t xml:space="preserve">MEZCLADORA DE CONCRETO 9 P3. </t>
  </si>
  <si>
    <t>MEZCLADORA DE CONCRETO 6 P3.</t>
  </si>
  <si>
    <t>VIBRADOR DE CONCRETO ELECTRICO O A GASOLINA.</t>
  </si>
  <si>
    <t xml:space="preserve">MOTOSIERRA. </t>
  </si>
  <si>
    <t>EQUIPO DE PINTURA Y COMPRESOR.</t>
  </si>
  <si>
    <t>DOBLADORA DE ACERO</t>
  </si>
  <si>
    <t>EQUIPO ELÉCTRICO SOLDADURA</t>
  </si>
  <si>
    <t>FORM</t>
  </si>
  <si>
    <t>FORMALETAS</t>
  </si>
  <si>
    <t>FORMALETA PARA BASE DE MUROS DE CONTENCIÓN EN CONCRETO REFORZADO.</t>
  </si>
  <si>
    <t>FORMALETA PARA SOLADOS Y CONCRETO DE LIMPIEZA.</t>
  </si>
  <si>
    <t>CIMBRA PARA TABLERO DE PUENTES EN CONCRETO REFORZADO</t>
  </si>
  <si>
    <t>TACO METÁLICO</t>
  </si>
  <si>
    <t>FORMALETA GAVION</t>
  </si>
  <si>
    <t>ANDAMIO TUBULAR. 1.5 x 1.5</t>
  </si>
  <si>
    <t>DÍA</t>
  </si>
  <si>
    <t>CAMILLA MAD. FORMALETA (20 dias)</t>
  </si>
  <si>
    <t>FORMALETA PARA PLACA (20 dias)</t>
  </si>
  <si>
    <t>TABLERO DE MADERA :.0.70 x 1.40 (CAMILLA)</t>
  </si>
  <si>
    <t>MAQ</t>
  </si>
  <si>
    <t>MAQUINARIA</t>
  </si>
  <si>
    <t>GRUA 5 TON.</t>
  </si>
  <si>
    <t xml:space="preserve">ITEM  : </t>
  </si>
  <si>
    <t>TOTAL UNITARIO</t>
  </si>
  <si>
    <t>PUNTILLA 1 1/2" a 3"</t>
  </si>
  <si>
    <t>Comisión de Topografía</t>
  </si>
  <si>
    <t>VJ</t>
  </si>
  <si>
    <t>GLB</t>
  </si>
  <si>
    <t xml:space="preserve">CONCRETO NORMAL - 3000 PSI (210 KG/CM2) </t>
  </si>
  <si>
    <t xml:space="preserve">MORTERO 1:3 </t>
  </si>
  <si>
    <t xml:space="preserve">ACERO Fy= 2400 Kg/cm2  </t>
  </si>
  <si>
    <t xml:space="preserve">ACERO Fy= 4200 Kg/cm2   </t>
  </si>
  <si>
    <t xml:space="preserve">ITEM: ACERO DE REFUERZO A-37 - Fy= 2400 Kg/cm2  </t>
  </si>
  <si>
    <t xml:space="preserve">ITEM: ACERO DE REFUERZO PR60 - Fy= 4200 Kg/cm2  </t>
  </si>
  <si>
    <t>ITEM: CONCRETO PARA ESCALERAS DE 3000 PSI</t>
  </si>
  <si>
    <t>PLASTIMENT BV-40 (Plastificante)</t>
  </si>
  <si>
    <t>ITEM: PLACA ALIGERADA CON CACETON (E: 10CM - H: 0.30 m) INCL. ACERO DE TEMPERATURA Y MALLA DE CIELORASO</t>
  </si>
  <si>
    <t>ITEM: PLACA ALIGERADA CON CACETON (E: 10CM - H: 0.45 m) INCL. ACERO DE TEMPERATURA Y MALLA DE CIELORASO</t>
  </si>
  <si>
    <t>ITEM: PLACA ALIGERADA CON CASETON (E: 10CM - H: 0.50 m) INCL. ACERO DE TEMPERATURA Y MALLA DE CIELORASO</t>
  </si>
  <si>
    <t>ITEM: PLACA AEREA MACIZA EN CONCRETO DE 3000 PSI (E: 0,15 - 0,30 MTS)</t>
  </si>
  <si>
    <t>ITEM: PLACA STEEL—DECK (A=0.09 MM)</t>
  </si>
  <si>
    <t>CONECTORES STEEL-DECK</t>
  </si>
  <si>
    <t>ITEM: DINTEL EN CONCRETO 0.15X0.15 M, INCL. ACERO</t>
  </si>
  <si>
    <t>ITEM: VIGA EN CONCRETO DE 3000 PSI (Fc: 210 KG/CM2)</t>
  </si>
  <si>
    <t>ITEM: VIGA CANAL EN CONCRETO DE 3000 PSI (Fc: 210 KG/CM2)</t>
  </si>
  <si>
    <t>ITEM: COLUMNAS EN CONCRETO DE 3000 PSI (Fc: 210 KG/CM2)</t>
  </si>
  <si>
    <t>ITEM: VIGA DE CONFINAMIENTO DE MUROS 0.30X0.12M, INCLUYE ACERO (4-3/8" - E 1/4"C/ 0.15)</t>
  </si>
  <si>
    <t>ITEM: VIGA EN CONCRETO 3000PSI - 0.30X0.30 MTS - INCL. (5 No.5 - E 3/8" c/d 0.15m)</t>
  </si>
  <si>
    <t>ITEM: VIGA EN CONCRETO 3000PSI - 0.25X0.25 MTS - INCL. (4 No.5 - E 3/8" c/d 0.15m)</t>
  </si>
  <si>
    <t>ITEM: VIGA EN CONCRETO 3000PSI - 0.30X0.30 MTS - INCL. (4 No.5 - E 3/8" c/d 0.10m)</t>
  </si>
  <si>
    <t>ITEM: VIGA EN CONCRETO 3000PSI PARA TANQUE - 0.30X0.30 MTS - INCL. (6 No.5 - E 3/8" c/d 0.15m)</t>
  </si>
  <si>
    <t>ITEM: VIGA CULATA - 0.12X0.10 MTS - INCL. (2 No.4 - E 3/8" c/d 0.20m)</t>
  </si>
  <si>
    <t>ITEM:COLUMNA EN CONCRETO 3000PSI - 0.30X0.30 - INCL. (4 No.5 - E 3/8" c/d 0.15m)</t>
  </si>
  <si>
    <t>ITEM:COLUMNA EN CONCRETO 3000PSI - 0.30X0.40 - INCL. (6 No.5 - E 3/8" c/d 0.15m) - PARA TANQUE</t>
  </si>
  <si>
    <t>ITEM:COLUMNA EN CONCRETO 3000PSI - 0.30X0.30 - INCL. (4 No.5 - E 3/8" c/d 0.10m)</t>
  </si>
  <si>
    <t>ITEM: COLUMNETA EN CONCRETO - 0.25X0.12 - INCL. (4 No.4 - E 3/8" c/d 0.15m)</t>
  </si>
  <si>
    <t>ITEM: COLUMNETA EN CONCRETO - 0.20X0.12 - INCL. (4 No.4 - E 3/8" c/d 0.15m)</t>
  </si>
  <si>
    <t>ITEM:CONCRETO ESTRUCTURAL 3500PSI - F'C=280 KGF/CM2 PARA ELEVACION DE ELEMENTOS EN CONCRETO REFORZADO TIPO COLUMNAS, VIGAS, ARCOS, PLACAS DE ENTREPISO, TABLERO DE PUENTES, TANQUES ELEVADOS, ETC. ESP. 630-07 INV.</t>
  </si>
  <si>
    <t>ITEM: CUBIERTA EN TEJA ONDULADA A.C. No 4</t>
  </si>
  <si>
    <t>ITEM: CUBIERTA EN TEJA ONDULADA A.C. CON ESTRUCTURA ACESCO LUZ MAXIMA 4 MTS</t>
  </si>
  <si>
    <t>ITEM: CUBIERTA EN TEJA DE ZINC CAL. 28</t>
  </si>
  <si>
    <t>ITEM: CUBIERTA EN TEJA SUPERTERMOACUSTICA</t>
  </si>
  <si>
    <t>ITEM: CUBIERTA EN TEJA TERMOACUSTICA</t>
  </si>
  <si>
    <t>PULIDORA</t>
  </si>
  <si>
    <t>PRELIMINARES</t>
  </si>
  <si>
    <t>CIMENTACIÓN - CONCRETOS</t>
  </si>
  <si>
    <t>ESTRUCTURA - CONCRETOS</t>
  </si>
  <si>
    <t>ITEM: RIEGO DE LIGA CON EMULSIÓN ASFALTICA CRR-1 - ESP. 421 INV.</t>
  </si>
  <si>
    <t xml:space="preserve">Tarifa/Hora </t>
  </si>
  <si>
    <t xml:space="preserve">ITEM:  MEZCLA DENSA EN CALIENTE PARA BACHEO (MDC-2). ESP. 450-07P INV. </t>
  </si>
  <si>
    <t>ITEM: PAVIMENTO DE CONCRETO HIDRÁULICO MR=36KGF/CM2. INCLUYE: INDUCCIÒN DE JUNTA DE DILATACION, TEXTURIZADO, MICROTEXTURIZADO, COLOCACIÒN DE TIRILLA DE RESPALDO, MASILLA AUTONIVELANTE, APLICACIÓN DE MEMBRANA CURADORA.  ESP. 500 INV.</t>
  </si>
  <si>
    <t>ITEM: PAVIMENTO DE CONCRETO RIGIDO DE 3.000 PSI - INCLUYE: INDUCCIÒN DE JUNTA DE DILATACION, APLICACIÓN DE MEMBRANA CURADORA.  ESP. 500 INV.</t>
  </si>
  <si>
    <t>VOLQUETA (5-6)M3</t>
  </si>
  <si>
    <t>VOLQUETA  (5-6)M3</t>
  </si>
  <si>
    <t>TOTAL PRESUPUESTO PROYECTO</t>
  </si>
  <si>
    <t>A.I.U (25%)</t>
  </si>
  <si>
    <t>SUBTOTAL PRESUPUESTO PROYECTO</t>
  </si>
  <si>
    <t>TOTAL PRESUPUESTO - CONSTRUCCIÓN BIBLIOTECA</t>
  </si>
  <si>
    <t>CONSTRUCCIÓN BIBLIOTECA VIRTUAL</t>
  </si>
  <si>
    <t>TOTAL PRESUPUESTO - CONSTRUCCIÓN CUBIERTA POLIDEPORTIVO</t>
  </si>
  <si>
    <t>SUB-TOTAL CAPITULO</t>
  </si>
  <si>
    <t>Bajantes en PVC S de 4"</t>
  </si>
  <si>
    <t>Canales en lamina</t>
  </si>
  <si>
    <t>Cubierta en teja thermoacustic</t>
  </si>
  <si>
    <t>Contravientos, segun diseño con 1.00 mts-&lt;3"x1/4" + 1.50 mts platina 2 1/2"x1/4"+ 17.00 mts-varilla 5/8" + 8 tornillos de 5/8" con tuerca y contratuerca</t>
  </si>
  <si>
    <t>Tanque de 1000 Lts. Plastico ( Incluye conexion)</t>
  </si>
  <si>
    <t>Tuberia PVC Presion 1/2" (Acometida)</t>
  </si>
  <si>
    <t>Tuberia PVC Presion 1" (Acometida tanque)</t>
  </si>
  <si>
    <t>ESTRUCTURA METALICA Y CUBIERTA</t>
  </si>
  <si>
    <t>Kg</t>
  </si>
  <si>
    <t>Acero de refuerzo Fy=60.000 P.S.I.</t>
  </si>
  <si>
    <t>CIMENTACIONES</t>
  </si>
  <si>
    <t>TOTAL PRESUPUESTO - CONSTRUCCIÓN CANCHA SINTETICA</t>
  </si>
  <si>
    <t>Suministro e instalación de porterías en tubo de 1 1/2". Medidas 3 x 2 mts</t>
  </si>
  <si>
    <t>Suministro e instalacion de tuberia pvc sanitaria de 6". Incl. accesorios.</t>
  </si>
  <si>
    <t xml:space="preserve">Caja  de   inspección de  60x60x60 Cm en concreto de 2500 PSI, con tapa reforzada. </t>
  </si>
  <si>
    <t>DESAGUES</t>
  </si>
  <si>
    <t>CANCHA - GRAMA</t>
  </si>
  <si>
    <t>Explanación corte extendida. Incl. Retiro</t>
  </si>
  <si>
    <t>MOVIMIENTOS DE TIERRA</t>
  </si>
  <si>
    <t>CONSTRUCCIÓN CANCHA SINTETICA</t>
  </si>
  <si>
    <t xml:space="preserve">TOTAL PRESUPUESTO - CONSTRUCCIÓN DE PISCINA </t>
  </si>
  <si>
    <t>8.1</t>
  </si>
  <si>
    <t>Instalación Eléctrica - Incl.: accesorios caseta y piscina</t>
  </si>
  <si>
    <t>Marco y puerta metálicos cal. 18 de 1.00x2.00m</t>
  </si>
  <si>
    <t>Placa de piso en concreto de 2500 psi e=0.08, esmaltado con cemento mineral</t>
  </si>
  <si>
    <t>Muro ladrillo tolete común e=0.12m</t>
  </si>
  <si>
    <t>Columneta concreto 0.20x0.15m, incl. acero (4No4-E 3/8" C/ 0.15)</t>
  </si>
  <si>
    <t>CUARTO DE MAQUINAS</t>
  </si>
  <si>
    <t>Acople rapido</t>
  </si>
  <si>
    <t>Comparador de cloro y ph</t>
  </si>
  <si>
    <t>Cepillo de naylon</t>
  </si>
  <si>
    <t>Mango de telescopio</t>
  </si>
  <si>
    <t>Nasa para recoger hojas</t>
  </si>
  <si>
    <t>Manguera de 50 ft</t>
  </si>
  <si>
    <t>Carro de Aspiradora</t>
  </si>
  <si>
    <t>Juego de pasamos</t>
  </si>
  <si>
    <t>Juego de peldaños</t>
  </si>
  <si>
    <t>Caja de anden</t>
  </si>
  <si>
    <t>Reflectores de aplique con transformador</t>
  </si>
  <si>
    <t>Rejilla de fondo</t>
  </si>
  <si>
    <t>Inyectores</t>
  </si>
  <si>
    <t>Boquillas de succion</t>
  </si>
  <si>
    <t>Desnatadores.</t>
  </si>
  <si>
    <t>ACCESORIOS Y EQUIPOS</t>
  </si>
  <si>
    <t>Material filtrante bultos</t>
  </si>
  <si>
    <t>Arrancador</t>
  </si>
  <si>
    <t>Electro bomba de 3" HP</t>
  </si>
  <si>
    <t>Trampa de Cabello.</t>
  </si>
  <si>
    <t xml:space="preserve">Filtro de 36" PETAIRN con valvula multipor lateral de 2" </t>
  </si>
  <si>
    <t>PLANTA DE TRATAMIENTO</t>
  </si>
  <si>
    <t>Enchape de piso 0,20x0,25 eurocerámica</t>
  </si>
  <si>
    <t>Enchape de pared 0,20x0,25 eurocerámica</t>
  </si>
  <si>
    <t>ENCHAPES Y PISOS</t>
  </si>
  <si>
    <t>Suministro e instalacion de tuberia pvc de 3/4" incluye accesorios.</t>
  </si>
  <si>
    <t>Suministro e instalacion de tuberia pvc sanitaria de 2" incluye accesorios.</t>
  </si>
  <si>
    <t>Suministro e instalación de Tuberia de Presion de 1 1/2" para suministro y desague de la piscina</t>
  </si>
  <si>
    <t>INSTALACIONES HIDRAULICAS</t>
  </si>
  <si>
    <t xml:space="preserve">CONSTRUCCIÓN DE PISCINA </t>
  </si>
  <si>
    <t>Localización y replanteo</t>
  </si>
  <si>
    <t>ACTIVIDADES PRELIMINARES</t>
  </si>
  <si>
    <t>VR/TOTAL</t>
  </si>
  <si>
    <t>PRESUPUESTO DE OBRA</t>
  </si>
  <si>
    <t>DEPARTAMENTO ADMINISTRATIVO DE PLANEACION MUNICIPAL</t>
  </si>
  <si>
    <t>Relleno en recebo seleccionado - compactado mecánicamente</t>
  </si>
  <si>
    <t>Placa de piso en concreto de 2500 psi e=0.08 para pisos exteriores.</t>
  </si>
  <si>
    <t>Piso en Granito lavado para bordillo piscina</t>
  </si>
  <si>
    <t>Piso en Gravilla lavada</t>
  </si>
  <si>
    <t>Suministro e instalación de losetas prefabricadas en concreto color gris claro  a cuadros de e= .08 mts. de .40x.40. Incluye: concreto 2500 psi e=.04cms, colchón de arena e=.03 y sello juntas</t>
  </si>
  <si>
    <t>Alarma de inmercion</t>
  </si>
  <si>
    <t>Estuco y pintura vinilo muros</t>
  </si>
  <si>
    <t>Cimentacion tipo viga de amarre, concreto 3000 psi. 0.15x0.25, Incluye acero</t>
  </si>
  <si>
    <t>Placa  para   tapa  de  cuarto de maquinas  en  concreto armado de  3000  PSI -  e=0.15m.</t>
  </si>
  <si>
    <t>Pañete muros 1:4 incluye filos y dilataciones</t>
  </si>
  <si>
    <t>CERRAMIENTO PISCINA Y SEGURIDAD</t>
  </si>
  <si>
    <t>Cerramiento piscina en aluminio. Incl.: modulos de 1 MTS x 1.4 - 1.7 mts según diseño, con Bastidor o marco  principal fabricado en tubería redonda de ALUMINIO  1-1/4, calibre  18, color natural; Ensamblado con tubería redonda de ALUMINIO  3/4, calibre  18 color natural,  con espacio libre entre ellos máximo de  10 cms; Unión de los tubos con conectores de polipropileno, pie de amigo cada 6 MTS y todo lo necesario.</t>
  </si>
  <si>
    <t>TALADRO HILTI</t>
  </si>
  <si>
    <t>Tubo aluminio 1-1/4" cal. 18</t>
  </si>
  <si>
    <t>Tubo aluminio 3/4" cal. 18</t>
  </si>
  <si>
    <t>Codo conector de polipropileno</t>
  </si>
  <si>
    <t>Unión conector de polipropileno</t>
  </si>
  <si>
    <t>Pie de amigo en aluminio de 1-1/4"</t>
  </si>
  <si>
    <t>Bases de polipropileno</t>
  </si>
  <si>
    <t>Chapa Magnetica ajustables con llave</t>
  </si>
  <si>
    <t>Bisagra de tensión ajustable</t>
  </si>
  <si>
    <t>PUERTA. Modulo de 1.0 Mts de longitud x 1.40 Mts altura; Incl.: 2 PIE DE AMIGO, CHAPA MAGNÉTICA, AJUSTABLE CON LLAVE  y 2 DOS BISAGRAS DE TENSIÓN AJUSTABLE,  fabricadas en material polímero resistente a la oxidación.</t>
  </si>
  <si>
    <t>Señalización de tres (3) partes indicando la profundidad mínima, la máxima y la intermedia.</t>
  </si>
  <si>
    <t>Compactación mecánica de la subrasante. ESP. 230 INVIAS</t>
  </si>
  <si>
    <t>Base Granular Gradacion-2 Estabilizada (BG-2) - comprende suministro, extendida y compactada del material - ESP. 330-07 INV.</t>
  </si>
  <si>
    <t>Riego de imprimación con emulsión asfáltica CRL-1 - ESP. 420-07 INV.</t>
  </si>
  <si>
    <t>Concreto para cunetas perimetrales - 2500 PSI (175KG/CM2) según diseño y detalle</t>
  </si>
  <si>
    <t xml:space="preserve">Rejilla metálica en Angulo - 2&lt;2"X1/8" superior y barras en varilla de 5/8" </t>
  </si>
  <si>
    <t>ACCESORIOS</t>
  </si>
  <si>
    <t>CONSTRUCCIÓN CUBIERTA POLIDEPORTIVO Y GRADERÍAS</t>
  </si>
  <si>
    <t>Viga de Cimentación en concreto de 3000 PSI - para graderías</t>
  </si>
  <si>
    <t>Concreto ciclópeo para bases 2500 PSI - (176 KG/CM2) - para graderías</t>
  </si>
  <si>
    <t>Solado en concreto de limpieza (e= 10 cm) de 1.500 P.S.I. - cubierta</t>
  </si>
  <si>
    <t>Construcción zapatas en concreto 3.000 P.S.I. - cubierta</t>
  </si>
  <si>
    <t>Construcción pedestales paran estructuras en concreto de 3.000 P.S.I. - cubierta</t>
  </si>
  <si>
    <t>Cerchas principales metálicas según diseños.  Esp -  4 &lt; 2½"x¼" superior e inferior, 100 CM de altura; celosías: A-1"X1"X1/8"; B-2"X 1/8"; C-2½"X X3/16"</t>
  </si>
  <si>
    <t>ITEM: BAJANTE EN PVC-S 4"</t>
  </si>
  <si>
    <t>ITEM: CANALES EN LÁMINA</t>
  </si>
  <si>
    <t>ITEM: CORREA EN PERFIL METALICO GALVANIZADO PAG C 160x60mm-2.5mm</t>
  </si>
  <si>
    <t>ITEM: TENSORES EN VARILLA 3/8", SEGÚN DISEÑO</t>
  </si>
  <si>
    <t>ITEM: PERNOS DE ANCLAJE DE COLUMNAS, SEGÚN DISEÑO DE 3/4" Y 1.00 MTS DE LONGITUD + TUERCA Y ARANDELA DE 3/4"</t>
  </si>
  <si>
    <t>ITEM: PLATINAS DE ANCLAJE DE COLUMNAS, SEGÚN DISEÑO DE 0.50 X 0.50 X 3/4"</t>
  </si>
  <si>
    <t>ITEM: CERCHA - CORREAS METÁLICAS L=6.00 MTS. ESP – 1 &lt; 1"X1"X3/16" CORDÓN SUPERIOR Y 1 &lt;  1½"X3/16" CORDÓN INFERIOR;  CELOSÍA  1"X1/8", PLATINA CON HUECO PARA TENSORES Y PLATINA DE PUENTE PARA ANCLAJE. ALTURA DE CORREA 30 CM. INCLUYE TENSORES, ANTICORROSIVO Y ACABADO EN PINTURA SINTÉTICA, INCLUYE ANCLAJES</t>
  </si>
  <si>
    <t>ITEM: CRUZ DE SAN ANDRÉS, SEGÚN DISEÑO CON 13.00 MTS-&lt;2"X3/16"</t>
  </si>
  <si>
    <t>ITEM: CERCHAS - VIGAS LATERALES SECCIÓN 30X30CM EN PERFILES METÁLICOS, SEGÚN DISEÑOS. L: 5,7 MTS - ESP. 2&lt;2½"X3/16" CORDÓN SUPERIOR E INFERIOR - CELOSÍA EN &lt; 1"X3/16"</t>
  </si>
  <si>
    <t>ITEM: CERCHAS - COLUMNAS PRINICIPALES EN PERFILES METÁLICOS DE 30X30CM, SEGÚN DISEÑOS. L: 8 MTS - ESP. 2&lt;2½"x3/16" CORDÓN INTERIOR Y 2&lt; CORDON EXTERIOR - CELOSÍA EN &lt; 1"X3/16". ANCLAJE A PEDESTAL Y VIGA METÁLICA DE CUBIERTA EN PLATINA 2½"x¼" Y ÁNGULOS DE 2½"X2½"X3/16 EN LAS CUATRO CARAS Y MÍNIMO 6 TORNILLOS GR-8 ANCLADOS CONVENIENTEMENTE AL PEDESTAL.</t>
  </si>
  <si>
    <t>ITEM: CERCHAS PRINCIPALES METÁLICAS SEGÚN DISEÑOS. ESP -  4 &lt; 2½"X¼" SUPERIOR E INFERIOR, 100 CM DE ALTURA; CELOSÍAS: A-1"X1"X1/8"; B-2"X 1/8"; C-2½"X X3/16"</t>
  </si>
  <si>
    <t>Cerchas - columnas principales en perfiles metálicos de 30X30CM, según diseños. L: 8 MTS - ESP. 2&lt;2½"x3/16" cordón interior y 2&lt; cordón exterior - celosía en &lt; 1"X3/16". anclaje a pedestal y viga metálica de cubierta en platina 2½"x¼" y ángulos de 2½"X2½"X3/16 en las cuatro caras y mínimo 6 tornillos GR-8 anclados convenientemente al pedestal.</t>
  </si>
  <si>
    <t>Cerchas - vigas laterales sección 30x30cm en perfiles metálicos, según diseños. L: 5,7 MTS - ESP. 2&lt;2½"X3/16" cordón superior e inferior - celosía en &lt; 1"X3/16"</t>
  </si>
  <si>
    <t>Cruz de san Andrés, según diseño con 13.00 MTS-&lt;2"X3/16"</t>
  </si>
  <si>
    <t>Cercha - Correas metálicas L=6.00 MTS. ESP – 1 &lt; 1"X1"X3/16" cordón superior Y 1 &lt;  1½"X3/16" cordón inferior;  celosía  1"X1/8", platina con hueco para tensores y platina de puente para anclaje. Altura de correa 30 CM. incluye tensores, anticorrosivo y acabado en pintura sintética, incluye anclajes</t>
  </si>
  <si>
    <t>MAMPOSTERIA Y PLACA - GRADERIAS</t>
  </si>
  <si>
    <t>Muro Tizon en ladrillo tolete trabado e:025MTS</t>
  </si>
  <si>
    <t>Graderías en concreto de 3000 psi e=0,10 mt, armado sin espaldar (Long. 4ø5/8" e=ø1/2" c/0,15 mt) según diseño.  (Metro Lineal considerando las tres bancas en placa)</t>
  </si>
  <si>
    <t>ITEM: MURO PARA TANQUE EN CONCRETO ARMADO DE 3000 PSI -  E=0.25 M</t>
  </si>
  <si>
    <t>ITEM: PLACA  PARA   TAPA  DE  TANQUE  EN  CONCRETO ARMADO DE  3000  PSI -  E=0.25M</t>
  </si>
  <si>
    <t>ITEM: PLACA PARA FONDO DE TANQUE EN CONCRETO ARMADO DE 3000 PSI - E=0.15M</t>
  </si>
  <si>
    <t>ITEM: COLUMNETA EN CONCRETO - 0.30X0.12 - INCL. (4 No.4 - E 3/8" c/d 0.15m)</t>
  </si>
  <si>
    <t>ITEM:GAVION EN MALLA CAL. 12 INCL. PIEDRA MEDIAZONGA 6" - 10", ALAMBRE GALVANIZADO # 12, FORMALETA PARA GAVIÓN Y TODO LO NECEASARIO PARA SU CORRECTO FUNCIONAMIENTO.</t>
  </si>
  <si>
    <t>ITEM: CONSTRUCCIÓN VALLA DE PROTECCIÓN  INCL.MALLA ESLABONADA CAL 10 HUECO 5*5, TUBO AGUAS NEGRAS 1 1/2" CAL 2MM, TUBO 3" ESTRUCTURAL CAL 3 MM,  VARILLA DE 1/2" LISA, PLATINA  1*1 1/8", ANGULO  1 1/4" * 3/16", ANTICORROSIVO, ESMALTE, SOLDADURA.</t>
  </si>
  <si>
    <t>ITEM:CONSTRUCCIÓN MODULOS VALLA DE PROTECCIÓN  INCL.MALLA ESLABONADA CAL 10 HUECO 5*5, TUBO AGUAS NEGRAS 1 1/2" CAL 2MM, TUBO 2" GALVANIZADO, UNION GALVANIZADA 2" L=0,3M, PLATINA  1*1 1/8", ANGULO  1 1/4" * 3/16", ANTICORROSIVO, ESMALTE, SOLDADURA.</t>
  </si>
  <si>
    <t>ITEM:CONSTRUCCIÓN MÓDULO VALLA DE PROTECCIÓN  INCL.MALLA ESLABONADA CAL 10 HUECO 5*5,  VARILLA DE 1/2" LISA, PLATINA  1*1 1/8", ANGULO  1 1/4" * 3/16", ANTICORROSIVO, ESMALTE, SOLDADURA.</t>
  </si>
  <si>
    <t>ITEM:CONSTRUCCIÓN MODULO PORTON  INCL.  MALLA ESLABONADA CAL 10 2" * 2", ANGULO  1 1/4" * 3/16", PLATINA  1*1 1/8", ANTICORROSIVO, ESMALTE, SOLDADURA.</t>
  </si>
  <si>
    <t>ITEM: SUMINISTRO E INSTALACIÓN APOYO EN TUBO ESTRUCTURAL 3" CAL 3MM, INCL. ANTICORROSIVO, ESMALTE, SOLDADURA.</t>
  </si>
  <si>
    <t>ITEM: SUMINISTRO E INSTALACIÓN APOYO EN TUBO GALVANIZADO DE 2", INCL. ANTICORROSIVO, ESMALTE, SOLDADURA.</t>
  </si>
  <si>
    <t>ITEM: SUMINSTRO E INSTALACIÓN  TUBO AGUAS NEGRAS 1 1/2" CAL 2,0 MM, INCL. ANTICORROSIVO, ESMALTE, SOLDADURA.</t>
  </si>
  <si>
    <t>ITEM: COLUMNETA EN CONCRETO 3.000 PSI - 0.20X0.20 - INCL. FORMALETA</t>
  </si>
  <si>
    <t>ITEM: VIGA DE AMARRE EN CONCRETO 3.000 PSI - 0.20X0.20 - INCL. FORMALETA</t>
  </si>
  <si>
    <t>CONSTRUCCION ESPACIO PÚBLICO Y CERRAMIENTO</t>
  </si>
  <si>
    <t>OBRAS DE URBANISMO</t>
  </si>
  <si>
    <t>Suministro e instalación de Sardinel prefabricado en concreto de 1,00 x 0,17 x 0,45 mts. Redondo. Incluye  mortero de ajuste, mortero de pega para base y juntas.</t>
  </si>
  <si>
    <t xml:space="preserve">Construccion de bordillo fundido en sitio h= 0,15 x 0,10 mts. en concreto de 3000 PSI. Incluye formaleta y acabado liso dilatado c/ 1,20 mt. </t>
  </si>
  <si>
    <t xml:space="preserve">Suministro e instalación de Loseta prefabricada en concreto,  e = 0,06 mts de 0,40 x 0,40 mts. COLOR GRIS A RAYAS. Incluye: mortero fluido e=0,04 mts, colchón de arena e=0,03 mts y sello juntas. </t>
  </si>
  <si>
    <t xml:space="preserve">Suministro e instalación de Adoquin en concreto, tipo  PEATONAL, de 0,20 x 0,10 mts., e= 0,06 mts.,  COLOR OCRE. Incluye: mortero fluido e=0,04 mts, colchón de arena e=0,03 mts y sello juntas. </t>
  </si>
  <si>
    <t xml:space="preserve">Suministro e instalación de Ladrillo Quarterón, tipo  PEATONAL, de 0,20 x 0,10 mts., e= 0,06 mts.,  COLOR OCRE. Incluye: mortero fluido e=0,04 mts, colchón de arena e=0,03 mts y sello juntas. </t>
  </si>
  <si>
    <t xml:space="preserve">Empradizacion en grama dulce incluye suministro e instalación de base en tierra negra y dos meses de mantenimiento. </t>
  </si>
  <si>
    <t>RIEGO DE IMPRIMACIÓN CON EMULSIÓN ASFALTICA CRL-1 - ESP. 420-07 INV.</t>
  </si>
  <si>
    <t>MEZCLA DENSA EN CALIENTE TIPO MDC-2. ESP. 450-07 INV.</t>
  </si>
  <si>
    <t>BASE GRANULAR GRADACION-2 (BG-2) - COMPRENDE SUMINISTRO, EXTENDIDA y COMPACTADA DEL MATERIAL - ESP. 330-07 INV.</t>
  </si>
  <si>
    <t>TOTAL PRESUPUESTO - CONSTRUCCIÓN OBRAS DE URBANISMO</t>
  </si>
  <si>
    <t>Excavación Manual a todo factor. Inc. Retiro de material sobrante</t>
  </si>
  <si>
    <t>Concreto para Viga de Amarre 0.20x0.20 – Incl. Formaleta en madera y acero refuerzo</t>
  </si>
  <si>
    <t>ITEM: ALFAJIA  SOBRE MURO EN CONCRETO 3.000 PSI 0,3X0,1 SEGÚN DISEÑO, INCLUYE FORMALETA, ACERO DE REFUERZO Y TODO LO NECESARIO PARA SU INSTALACIÓN</t>
  </si>
  <si>
    <t>Alfajía  sobre muro en concreto DE 3.000 PSI 0,3X0,1 según diseño - Incl. Formaleta, acero de refuerzo y todo lo necesario para su instalación</t>
  </si>
  <si>
    <t>Construcción módulos valla de protección - Incl. Malla eslabonada CAL 10 hueco 5*5, tubo aguas negras 1 1/2" cal 2MM, tubo 2" galvanizado, unión galvanizada 2" L=0,3M, platina  1*1 1/8", ángulo  1 1/4" * 3/16", anticorrosivo, esmalte, soldadura</t>
  </si>
  <si>
    <t>Construcción módulos valla de protección - Incl. Varilla lisa de 1/2", ángulo  1 1/4" * 3/16", platina  1*1 1/8", TUBO A.N. DE 1 1/2"  cal 2MM, anticorrosivo, esmalte, soldadura.</t>
  </si>
  <si>
    <t>ITEM: CONSTRUCCIÓN MÓDULO VALLA DE PROTECCIÓN  INCL.  VARILLA LISA DE 1/2", ANGULO  1 1/4" * 3/16", PLATINA  1*1 1/8", TUBO A.N. DE 1 1/2"  CAL 2MM, ANTICORROSIVO, ESMALTE, SOLDADURA.</t>
  </si>
  <si>
    <t>Columneta en concreto - 0.20X0.20 - Incl. (4 No.4 - E 3/8" c/d 0.15m)</t>
  </si>
  <si>
    <t>Construcción modulo portón  Incl.  Malla eslabonada CAL 10 2" * 2", ángulo  1 1/4" * 3/16", platina  1*1 1/8", anticorrosivo, esmalte, soldadura.</t>
  </si>
  <si>
    <t>Muro ladrillo prensado de ladrillera visto por dos caras - E=0.12 MTS</t>
  </si>
  <si>
    <t>Demolición Muros E=0.12 - 0.15M, con retiro</t>
  </si>
  <si>
    <t>Demolición de placa de piso concreto hasta - E=0.10 M. incluye retiro</t>
  </si>
  <si>
    <t>Desmonte Cubierta y Estructura – Incl. Retiro materiales</t>
  </si>
  <si>
    <t>Solado en concreto de limpieza (e= 10 cm) de 1.500 P.S.I.</t>
  </si>
  <si>
    <t>Concreto ciclópeo para bases 2500 PSI - (176 KG/CM2)</t>
  </si>
  <si>
    <t>Viga de Cimentación en concreto de 3000 PSI</t>
  </si>
  <si>
    <t>Columnas en concreto de 3000 PSI (Fc: 210 KG/CM2)</t>
  </si>
  <si>
    <t>Viga en concreto de 3000 PSI (Fc: 210 KG/CM2)</t>
  </si>
  <si>
    <t>Viga canal en concreto de 3000 PSI (Fc: 210 KG/CM2)</t>
  </si>
  <si>
    <t>Viga Culata - 0.12X0.10 MTS - Incl. (2 No.4 - E 3/8" c/d 0.20m)</t>
  </si>
  <si>
    <t>MAMPOSTERIA</t>
  </si>
  <si>
    <t>INSTALACIONES HIDRO-SANITARIAS</t>
  </si>
  <si>
    <t>Caja de inspeccion de 0,60*0,60 MTS</t>
  </si>
  <si>
    <t>Suministro e instalacion de tuberia pvc sanitaria de 3´´ incluye accesorios.</t>
  </si>
  <si>
    <t>Punto de desagüe en pvc 4"</t>
  </si>
  <si>
    <t xml:space="preserve">Rejilla de piso baño. Incl. Accesorios (sifon) </t>
  </si>
  <si>
    <t>Acometida general de ½"</t>
  </si>
  <si>
    <t>Punto agua fria de ½"</t>
  </si>
  <si>
    <t>Tuberia presion PVC ½"</t>
  </si>
  <si>
    <t>Sanitario de fluxómetro Corona linea institucional</t>
  </si>
  <si>
    <t>Suministro e instalacion de lavamanos de incrustar incluye griferia y accesorios</t>
  </si>
  <si>
    <t>Juego de incrustaciones en barras para bateria de baños de Discapacitados</t>
  </si>
  <si>
    <t>CUBIERTA</t>
  </si>
  <si>
    <t>Cercha para cubierta en ángulo</t>
  </si>
  <si>
    <t>Correa en perfil metalico Galvanizado PAG C 160x60mm-1.5mm</t>
  </si>
  <si>
    <t>PISOS Y ENCHAPES</t>
  </si>
  <si>
    <t>ACABADOS</t>
  </si>
  <si>
    <t>Estuco y pintura vinilo tipo I,(tres manos)</t>
  </si>
  <si>
    <t>Esgrafiado en Graniplast</t>
  </si>
  <si>
    <t>Cieloraso falso en Drywall 12,7mm junta perdida + vinilo</t>
  </si>
  <si>
    <t>Ventana en aluminio REF. Proyectante con pisavidrio a presión</t>
  </si>
  <si>
    <t>Puertas interiores en aluminio REF. 1101.</t>
  </si>
  <si>
    <t>Un</t>
  </si>
  <si>
    <t>Portón de Entrada en aluminio REF. 11-02 tipo pesado. Pisavidrio a presión vidrio de 6mm y chapa de seguridad</t>
  </si>
  <si>
    <t>Placa de piso en concreto de 2500 psi e=0.08</t>
  </si>
  <si>
    <t>Piso en ceramica trafico #5, tipo granilla</t>
  </si>
  <si>
    <t>Bloque de arcilla No. 5 e-0.12m  (12x20x30)</t>
  </si>
  <si>
    <t>Pañete muros  1:4</t>
  </si>
  <si>
    <t>Mesón en concreto 0.60m, revestido granito</t>
  </si>
  <si>
    <t xml:space="preserve">Muro en superborad e: 0,15 mts doble cara, con lamina de 2,5 cm, cinta y masilla impermeable, acabados en pintura coraza y todo lo necesario </t>
  </si>
  <si>
    <t>Guarda escoba en ceramica trafico #5, tipo granilla</t>
  </si>
  <si>
    <t>CERRAMIENTO PERIMETRAL</t>
  </si>
  <si>
    <t>VALOR TOTAL ($)</t>
  </si>
  <si>
    <t>IVA DEL 16% SOBRE LA UTILIDAD</t>
  </si>
  <si>
    <t>UTILIDADES</t>
  </si>
  <si>
    <t xml:space="preserve">IMPREVISTOS </t>
  </si>
  <si>
    <t xml:space="preserve">ADMINISTRACIÓN </t>
  </si>
  <si>
    <t>A.I.U. 25%</t>
  </si>
  <si>
    <t>TOTAL COSTO DIRECTO DEL PRESUPUESTO</t>
  </si>
  <si>
    <t>SUBTOTAL COSTO DIRECTO DEL PRESUPUESTO</t>
  </si>
  <si>
    <t>SUBTOTAL DISEÑOS Y TRAMITES</t>
  </si>
  <si>
    <t xml:space="preserve"> APROBACION DE PLANOS Y  LEGALIZACION DE OBRA</t>
  </si>
  <si>
    <t>V.TOTAL</t>
  </si>
  <si>
    <t>V.UNIT.</t>
  </si>
  <si>
    <t>CANT.</t>
  </si>
  <si>
    <t>DISEÑOS Y TRAMITES</t>
  </si>
  <si>
    <t>CAP5</t>
  </si>
  <si>
    <t>OTROS COSTOS DEL PROYECTO</t>
  </si>
  <si>
    <t xml:space="preserve">SUBTOTAL </t>
  </si>
  <si>
    <t>SUMINISTRO E INSTALACION DE POSTE TIPO PEDESTAL CON TRES  BRAZOS,    4,10 M DE ALTURA EN TUBO METALICO DE 3" Y TRES BRAZOS DE 1 1/4" DE 0,90 MTS DE LARGO  SEGÚN DISEÑO CON DOBLE PLATINA DE 1/4" DE 30X30 CON PIE DE AMIGO EN PLATINA A TUBO Y 4  PERNOS DE 5/8" CON SUS RESPECTIVOS ANCLAJES, PINTADO EN ANTICORROSIVO Y PINTURA ELECTROSTATICA EN COLOR DESEADO.</t>
  </si>
  <si>
    <t>4.6.3</t>
  </si>
  <si>
    <t>SUMINISTRO E INSTALACION DE POSTE TIPO PEDESTAL CON UN BRAZO,    4,10 M DE ALTURA EN TUBO METALICO DE 4" REDUCIDO A 3"  Y REDUCIDO A 2", BRAZO EN TUBO DE 1 1/4" DE 90 CMS DE LARGO  SEGÚN DISEÑO CON DOBLE PLATINA DE 1/4" DE 30X30 CON PIE DE AMIGO EN PLATINA A TUBO Y 4  PERNOS DE 5/8" CON SUS RESPECTIVOS ANCLAJES, PINTADO EN ANTICORROSIVO Y PINTURA ELECTROSTATICA EN COLOR DESEADO.</t>
  </si>
  <si>
    <t>4.6.2</t>
  </si>
  <si>
    <t>SUMINISTRO E INSTALACION DE POSTE CON DOS BRAZOS TIPO PEDESTAL: 4,1 M DE ALTURA EN TUBO METALICO DE 4" REDUCIDO A 3"  Y REDUCIDO A 2", BRAZOS EN TUBO DE 2" DE 2 MTS  SEGÚN DISEÑO CON DOBLE PLATINA DE 1/4" DE 30X30 CON PIE DE AMIGO EN PLATINA A TUBO Y 4  PERNOS DE 5/8" CON SUS RESPECTIVOS ANCLAJES, PINTADO EN ANTICORROSIVO Y PINTURA ELECTROSTATICA EN COLOR DESEADO.</t>
  </si>
  <si>
    <t>4.6.1</t>
  </si>
  <si>
    <t>SUMINISTRO E INSTALACION DE POSTE TIPO PEDESTAL DOBLE BRAZO:4,10 M DE ALTURA EN TUBO METALICO DE 3" ,DOBLE BRAZO EN TUBO DE 1 1/4" DE 90 CMS PARTE DELANTERA  Y TRASERA CON DOBLE PLATINA DE 1/4" DE 30X30 CON PIE DE AMIGO EN PLATINA A TUBO Y 4  PERNOS DE 5/8" CON SUS RESPECTIVOS ANCLAJES, PINTADO EN ANTICORROSIVO Y PINTURA ELECTROSTATICA EN COLOR DESEADO.</t>
  </si>
  <si>
    <t>INSTALACION  Y CABLEADO DE REFLECTOR  DE 250W DE POTENCIA, REPARTO ASIMETRICO, IP65 TANTO EN EL BLOQUE OPTICO COMO EN EL BLOQUE ELECTRICO, IK 08, CUERPO   EN INYECCION DE ALUMINIO, VIDRIO  TEMPLADO DE SEGURIDAD, SISTEMA DE APERTURA CON UN CLIP PROVISTO DE SISTEMA DE SEGURIDAD PARA EVITAR LA APERTURA DEL PROYECTOR, CON TORNILLOS ESPECIALES Y SISTEMA ANTIROBO PARA EVITAR LA EXTRACCION DEL PROYECTOR, INCLUYE BASE PARA FOTOCELDA Y BALASTRO.</t>
  </si>
  <si>
    <t>4.5.5</t>
  </si>
  <si>
    <t xml:space="preserve">INSTALACION  Y CABLEADO DE DOS REFLECTORES  DE 250W DE POTENCIA, REPARTO ASIMETRICO, IP65 TANTO EN EL BLOQUE OPTICO COMO EN EL BLOQUE ELECTRICO, IK 08, CUERPO   EN INYECCION DE ALUMINIO, VIDRIO  TEMPLADO DE SEGURIDAD, SISTEMA DE APERTURA CON UN CLIP PROVISTO DE SISTEMA DE SEGURIDAD PARA EVITAR LA APERTURA DEL PROYECTOR, CON TORNILLOS ESPECIALES Y SISTEMA ANTIROBO PARA EVITAR LA EXTRACCION DEL PROYECTOR, INCLUYE BASE PARA FOTOCELDA Y BALASTRO. </t>
  </si>
  <si>
    <t>4.5.4</t>
  </si>
  <si>
    <t>INSTALACION  Y CABLEADO DE REFLECTOR  DE 150W DE POTENCIA, REPARTO ASIMETRICO, IP65 TANTO EN EL BLOQUE OPTICO COMO EN EL BLOQUE ELECTRICO, IK 08, CUERPO   EN INYECCION DE ALUMINIO, SISTEMA DE APERTURA PROVISTO DE SISTEMA DE SEGURIDAD PARA EVITAR LA APERTURA DEL PROYECTOR, CON TORNILLOS ESPECIALES Y SISTEMA ANTIROBO PARA EVITAR LA EXTRACCION DEL PROYECTOR, INCLUYE BASE PARA FOTOCELDA Y BALASTRO.</t>
  </si>
  <si>
    <t>4.5.3.1</t>
  </si>
  <si>
    <t>REFLECTOR  DE 250W DE POTENCIA, REPARTO ASIMETRICO, IP65 TANTO EN EL BLOQUE OPTICO COMO EN EL BLOQUE ELECTRICO, IK 08, CUERPO   EN INYECCION DE ALUMINIO, VIDRIO  TEMPLADO DE SEGURIDAD, SISTEMA DE APERTURA CON UN CLIP PROVISTO DE SISTEMA DE SEGURIDAD PARA EVITAR LA APERTURA DEL PROYECTOR, CON TORNILLOS ESPECIALES Y SISTEMA ANTIROBO PARA EVITAR LA EXTRACCION DEL PROYECTOR,CON UNIFORMIDAD MINIMA DEL 40%, UNIFORMIDADES LONGITUDINALES SUPERIORES AL 50%, EL CUERPO DEBE SER PINTADO MEDIANTE PINTURA ELECTROSTATICA, PINTADA CON POLVO PROTEGIDO CONTRA RADIACION U.V., INCLUYE BASE PARA FOTOCELDA Y BALASTRO</t>
  </si>
  <si>
    <t>4.5.3</t>
  </si>
  <si>
    <t>INSTALACION  Y CABLEADO DE DOS REFLECTORES  DE 400W DE POTENCIA, REPARTO ASIMETRICO, IP65 TANTO EN EL BLOQUE OPTICO COMO EN EL BLOQUE ELECTRICO, IK 08, CUERPO   EN INYECCION DE ALUMINIO, VIDRIO  TEMPLADO DE SEGURIDAD, SISTEMA DE APERTURA CON UN CLIP PROVISTO DE SISTEMA DE SEGURIDAD PARA EVITAR LA APERTURA DEL PROYECTOR, CON TORNILLOS ESPECIALES Y SISTEMA ANTIROBO PARA EVITAR LA EXTRACCION DEL PROYECTOR, INCLUYE BASE PARA FOTOCELDA Y BALASTRO.</t>
  </si>
  <si>
    <t>4.5.2</t>
  </si>
  <si>
    <t>INSTALACION  Y CABLEADO DE TRES LUMINARIAS TIPO ALUMBRADO PUBLICO DE 70W DE POTENCIA, REPARTO ASIMETRICO, INTENSIDAD COMO MINIMO 470 CANDELAS, CON UN ANGULO DE APERTURA NO MINIMO A 63º IP66 TANTO EN BLOQUE OPTICO COMO EN BLOQUE ELECTRICO, IK 08, CUERPO Y CUBIERTA EN INYECCION DE ALUMINIO, VIDRIO POLICURVO TEMPLADO DE SEGURIDAD, SISTEMA DE APERTURA CON UN CLIP PROVISTO DE SISTEMA DE SEGURIDAD PARA EVITAR LA APERTURA DE LA LUMINARIA, CON TORNILLOS ESPECIALES Y SISTEMA ANTIROBO PARA EVITAR LA EXTRACCION DE LA LUMINARIA DEL BRAZO, INCLUYE BASES PARA FOTOCELDA Y BALASTROS.</t>
  </si>
  <si>
    <t>4.5.1</t>
  </si>
  <si>
    <t>INSTALACION  Y CABLEADO DE LUMINARIA TIPO ALUMBRADO PUBLICO DE 70W DE POTENCIA, REPARTO ASIMETRICO, INTENSIDAD COMO MINIMO 470 CANDELAS, CON UN ANGULO DE APERTURA NO MINIMO A 63º IP66 TANTO EN BLOQUE OPTICO COMO EN BLOQUE ELECTRICO, IK 08, CUERPO Y CUBIERTA EN INYECCION DE ALUMINIO, VIDRIO POLICURVO TEMPLADO DE SEGURIDAD, SISTEMA DE APERTURA CON UN CLIP PROVISTO DE SISTEMA DE SEGURIDAD PARA EVITAR LA APERTURA DE LA LUMINARIA, CON TORNILLOS ESPECIALES Y SISTEMA ANTIROBO PARA EVITAR LA EXTRACCION DE LA LUMINARIA DEL BRAZO, INCLUYE BASES PARA FOTOCELDA Y BALASTRO.</t>
  </si>
  <si>
    <t>4.5.0</t>
  </si>
  <si>
    <t>INSTALACION  Y CABLEADO DE DOS LUMINARIAS TIPO ALUMBRADO PUBLICO DE 70W DE POTENCIA, REPARTO ASIMETRICO, INTENSIDAD COMO MINIMO 470 CANDELAS, CON UN ANGULO DE APERTURA NO MINIMO A 63º IP66 TANTO EN BLOQUE OPTICO COMO EN BLOQUE ELECTRICO, IK 08, CUERPO Y CUBIERTA EN INYECCION DE ALUMINIO, VIDRIO POLICURVO TEMPLADO DE SEGURIDAD, SISTEMA DE APERTURA CON UN CLIP PROVISTO DE SISTEMA DE SEGURIDAD PARA EVITAR LA APERTURA DE LA LUMINARIA, CON TORNILLOS ESPECIALES Y SISTEMA ANTIROBO PARA EVITAR LA EXTRACCION DE LA LUMINARIA DEL BRAZO, INCLUYE BASES PARA FOTOCELDA Y BALASTROS.</t>
  </si>
  <si>
    <t>SUMINISTRO E INSTALACION DE CABLEADO PARA RED DE DISTRIBUCION PRINCIPAL EN DUCTO SUBTERRANEO</t>
  </si>
  <si>
    <t xml:space="preserve">SUMINISTRO - INSTALACION Y CABLEADO  EN POSTE DE CONTROL PARA LUMINARIAS </t>
  </si>
  <si>
    <t>4.3.2</t>
  </si>
  <si>
    <t xml:space="preserve">SUMINISTRO -  INSTALACION Y CABLEADO DE MEDIDA DIRECTA EN POSTE </t>
  </si>
  <si>
    <t>4.3.1</t>
  </si>
  <si>
    <t>SUMINISTRO E INSTALACION DE ACOMETIDA CON MEDIDA Y CONTROL EN EL MURETE DE CONCRETO</t>
  </si>
  <si>
    <t>SUMINISTRO E INSTALACION DE ACOMETIDA  CON MEDIDA HASTA MURETE DE CONCRETO</t>
  </si>
  <si>
    <t xml:space="preserve">SUMINISTRO E INSTALACION DE ACOMETIDA EN B.T EN RED ABIERTA SIN MEDIDA HASTA CAJA DE REPARTO </t>
  </si>
  <si>
    <t>UNID.</t>
  </si>
  <si>
    <t>ACOMETIDAS,  REDES  SUBTERRANEAS DE BAJA TENSION</t>
  </si>
  <si>
    <t>CAP4</t>
  </si>
  <si>
    <t>VESTIDA DE ESTRUCTURA CON COLLARIN GALVANIZADO DE SEGURIDAD SIN SALIDA DE 4" A 6" CON VARILLAS DE 1/2" X 0,5 MTS</t>
  </si>
  <si>
    <t>VESTIDA DE ESTRUCTURA R-514 PARA ARRANQUE DE LINEA DE MEDIA TENSION</t>
  </si>
  <si>
    <t>SUMINISTRO E INSTALACION DE TRANSFORMADOR MONOFASICO 10 KVA CON PROTECCIONES Y PUESTA A TIERRA</t>
  </si>
  <si>
    <t>3.3.1</t>
  </si>
  <si>
    <t>SUMINISTRO E INSTALACION DE TRANSFORMADOR MONOFASICO 5 KVA CON PROTECCIONES Y PUESTA A TIERRA</t>
  </si>
  <si>
    <t>TENDIDO Y TENSIONADO DE LINEA DE MEDIA TENSION PARA ALIMENTACION DE TRANSFORMADOR MONOFASICO PROYECTADO</t>
  </si>
  <si>
    <t>VESTIDA DE ESTRUCTURA  523 DISPOSICION SEMI BANDERA CIRCUITO TRIFASICO  ANGULO DE 0 A 5</t>
  </si>
  <si>
    <t>3.1.5</t>
  </si>
  <si>
    <t>VESTIDA DE ESTRUCTURA R580 DERIVACION EN ESTRUCTURA HORIZONTAL</t>
  </si>
  <si>
    <t>3.1.4</t>
  </si>
  <si>
    <t>VESTIDA DE ESTRUCTURA 510 AISLAMIENTO EN ESPIGO ANGULO DE 0º A 5º</t>
  </si>
  <si>
    <t>3.1.3</t>
  </si>
  <si>
    <t xml:space="preserve">VESTIDA DE ESTRUCTURA CON LINEA DE MEDIA TENSION EXISTENTE PARA TRANSFORMADOR MONOFASICO </t>
  </si>
  <si>
    <t>3.1.2</t>
  </si>
  <si>
    <t xml:space="preserve">VESTIDA DE ESTRUCTURA R-514 PARA TRANSFORMADOR MONOFASICO </t>
  </si>
  <si>
    <t>PROTECCIONES - TRANSFORMADORES Y EQUIPOS DE MEDIDA</t>
  </si>
  <si>
    <t>CAP3</t>
  </si>
  <si>
    <t xml:space="preserve"> </t>
  </si>
  <si>
    <t>VESTIDA DE ESTRUCTURA DE RETENCION EN BAJA TENSIÒN CON GRAPA DE RETENCION PARA CABLE TRENZADO CON PERNO OJO   Y CRUCETA METALICA DE 1 METRO PARA SACAR LA RED TRENZADA.</t>
  </si>
  <si>
    <t>2.9,2</t>
  </si>
  <si>
    <t>VESTIDA DE ESTRUCTURA DE RETENCION EN BAJA TENSIÒN CON GRAPA DE RETENCION PARA CABLE TRENZADO CON PERNO DE GANCHO ABIERTO  Y PERCHA DE GANCHO ABIERTO PARA ANGULOS INFERIORES A 135º.</t>
  </si>
  <si>
    <t>2.9.1</t>
  </si>
  <si>
    <t>SUMINISTRO E INSTALACIÓN DE PUESTA A TIERRA PARA ESTRUCTURA TERMINAL DE BAJA TENSION</t>
  </si>
  <si>
    <t>INSTALACION Y CABLEADO DE DOS LUMINARIAS TIPO ALUMBRADO PUBLICO DE 250W DE POTENCIA, REPARTO ASIMETRICO, IP66 TANTO EN BLOQUE OPTICO COMO EN BLOQUE ELECTRICO, IK 08, CUERPO Y CUBIERTA EN INYECCION DE ALUMINIO, VIDRIO POLICURVO TEMPLADO DE SEGURIDAD, SISTEMA DE APERTURA CON UN CLIP PROVISTO DE SISTEMA DE SEGURIDAD PARA EVITAR LA APERTURA DE LA LUMINARIA, CON TORNILLOS ESPECIALES Y SISTEMA ANTIROBO PARA EVITAR LA EXTRACCION DE LA LUMINARIA DEL BRAZO, INCLUYE BASE PARA FOTOCELDA Y BALASTRO.  SE DEBE CUMPLIR COMO MINIMO UN NIVEL DE ILUMINANCIA DE 0,8 CD/M2 CON UNIFORMIDAD MINIMA DEL 40%, UNIFORMIDADES LONGITUDINALES SUPERIORES AL 50%, EL CUERPO DEBE SER PINTADO MEDIANTE PINTURA ELECTROSTATICA, PINTADA CON POLVO PROTEGIDO CONTRA RADIACION U.V.</t>
  </si>
  <si>
    <t>2.7.10</t>
  </si>
  <si>
    <t>INSTALACION Y CABLEADO DE LUMINARIAS TIPO ALUMBRADO PUBLICO UNA  DE 250W DE POTENCIA Y LA OTRA DE 70W DE POTENCIA, REPARTO ASIMETRICO, IP66 TANTO EN BLOQUE OPTICO COMO EN BLOQUE ELECTRICO, IK 08, CUERPO Y CUBIERTA EN INYECCION DE ALUMINIO, VIDRIO POLICURVO TEMPLADO DE SEGURIDAD, SISTEMA DE APERTURA CON UN CLIP PROVISTO DE SISTEMA DE SEGURIDAD PARA EVITAR LA APERTURA DE LA LUMINARIA, CON TORNILLOS ESPECIALES Y SISTEMA ANTIROBO PARA EVITAR LA EXTRACCION DE LA LUMINARIA DEL BRAZO, INCLUYE BASE PARA FOTOCELDA Y BALASTRO.  SE DEBE CUMPLIR COMO MINIMO UN NIVEL DE ILUMINANCIA DE 0,8 CD/M2 CON UNIFORMIDAD MINIMA DEL 40%, UNIFORMIDADES LONGITUDINALES SUPERIORES AL 50%, EL CUERPO DEBE SER PINTADO MEDIANTE PINTURA ELECTROSTATICA, PINTADA CON POLVO PROTEGIDO CONTRA RADIACION U.V.</t>
  </si>
  <si>
    <t>2.7.9</t>
  </si>
  <si>
    <t>INSTALACION Y CABLEADO DE LUMINARIA TIPO ALUMBRADO PUBLICO DE 250W DE POTENCIA, REPARTO ASIMETRICO, IP66 TANTO EN BLOQUE OPTICO COMO EN BLOQUE ELECTRICO, IK 08, CUERPO Y CUBIERTA EN INYECCION DE ALUMINIO, VIDRIO POLICURVO TEMPLADO DE SEGURIDAD, SISTEMA DE APERTURA CON UN CLIP PROVISTO DE SISTEMA DE SEGURIDAD PARA EVITAR LA APERTURA DE LA LUMINARIA, CON TORNILLOS ESPECIALES Y SISTEMA ANTIROBO PARA EVITAR LA EXTRACCION DE LA LUMINARIA DEL BRAZO, INCLUYE BASE PARA FOTOCELDA Y BALASTRO.  SE DEBE CUMPLIR COMO MINIMO UN NIVEL DE ILUMINANCIA DE 0,8 CD/M2 CON UNIFORMIDAD MINIMA DEL 40%, UNIFORMIDADES LONGITUDINALES SUPERIORES AL 50%, EL CUERPO DEBE SER PINTADO MEDIANTE PINTURA ELECTROSTATICA, PINTADA CON POLVO PROTEGIDO CONTRA RADIACION U.V.</t>
  </si>
  <si>
    <t>2.7.8</t>
  </si>
  <si>
    <t>INSTALACION  Y CABLEADO DE DOS LUMINARIAS  DE 150W DE POTENCIA, REPARTO ASIMETRICO, IP65 TANTO EN EL BLOQUE OPTICO COMO EN EL BLOQUE ELECTRICO, IK 08, CUERPO   EN INYECCION DE ALUMINIO, PROTECTOR INYECTADO EN POLICARBONATO, SISTEMA DE APERTURA CON UN CLIP PROVISTO DE SISTEMA DE SEGURIDAD PARA EVITAR LA APERTURA DEL PROYECTOR, CON TORNILLOS ESPECIALES Y SISTEMA ANTIROBO PARA EVITAR LA EXTRACCION DE LA LUMINARIA, INCLUYE BASE PARA FOTOCELDA Y BALASTRO..  CONECTORES DE PERFORACIÓN, PARA POSTE DE CONCRETO DE 12M  CON BRAZO DE 2".</t>
  </si>
  <si>
    <t>2.7.7</t>
  </si>
  <si>
    <t>INSTALACION  Y CABLEADO DE LUMINARIA  DE 150W DE POTENCIA, REPARTO ASIMETRICO, IP65 TANTO EN EL BLOQUE OPTICO COMO EN EL BLOQUE ELECTRICO, IK 08, CUERPO   EN INYECCION DE ALUMINIO, PROTECTOR INYECTADO EN POLICARBONATO, SISTEMA DE APERTURA CON UN CLIP PROVISTO DE SISTEMA DE SEGURIDAD PARA EVITAR LA APERTURA DEL PROYECTOR, CON TORNILLOS ESPECIALES Y SISTEMA ANTIROBO PARA EVITAR LA EXTRACCION DE LA LUMINARIA, INCLUYE BASE PARA FOTOCELDA Y BALASTRO..  CONECTORES DE PERFORACIÓN, PARA POSTE METALICO CON BRAZO DE 2".</t>
  </si>
  <si>
    <t>2.7,6</t>
  </si>
  <si>
    <t>INSTALACION  Y CABLEADO DE DOS LUMINARIAS  DE 150W DE POTENCIA, REPARTO ASIMETRICO, IP65 TANTO EN EL BLOQUE OPTICO COMO EN EL BLOQUE ELECTRICO, IK 08, CUERPO   EN INYECCION DE ALUMINIO, PROTECTOR INYECTADO EN POLICARBONATO, SISTEMA DE APERTURA CON UN CLIP PROVISTO DE SISTEMA DE SEGURIDAD PARA EVITAR LA APERTURA DEL PROYECTOR, CON TORNILLOS ESPECIALES Y SISTEMA ANTIROBO PARA EVITAR LA EXTRACCION DEL PROYECTOR, INCLUYE BASE PARA FOTOCELDA Y BALASTRO..  CONECTORES DE PERFORACIÓN, PARA POSTE METALICO CON BRAZO DE 2".</t>
  </si>
  <si>
    <t>2.7.5</t>
  </si>
  <si>
    <t>INSTALACION  Y CABLEADO DE DOS LUMINARIAS  DE 150W DE POTENCIA, REPARTO ASIMETRICO, IP65 TANTO EN EL BLOQUE OPTICO COMO EN EL BLOQUE ELECTRICO, IK 08, CUERPO   EN INYECCION DE ALUMINIO, PROTECTOR INYECTADO EN POLICARBONATO, SISTEMA DE APERTURA CON UN CLIP PROVISTO DE SISTEMA DE SEGURIDAD PARA EVITAR LA APERTURA DEL PROYECTOR, CON TORNILLOS ESPECIALES Y SISTEMA ANTIROBO PARA EVITAR LA EXTRACCION DEL PROYECTOR, INCLUYE BASE PARA FOTOCELDA Y BALASTRO..  CONECTORES DE PERFORACIÓN, BRAZO GALVANIZADOY COLLARÍN DE 5"A7" PARA POSTE DE CONCRETO DE  750KG/F O 1050KG/F</t>
  </si>
  <si>
    <t>2.7.4</t>
  </si>
  <si>
    <t>INSTALACION  Y CABLEADO DE LUMINARIA  DE 150W DE POTENCIA, REPARTO ASIMETRICO, IP65 TANTO EN EL BLOQUE OPTICO COMO EN EL BLOQUE ELECTRICO, IK 08, CUERPO   EN INYECCION DE ALUMINIO, PROTECTOR INYECTADO EN POLICARBONATO, SISTEMA DE APERTURA CON UN CLIP PROVISTO DE SISTEMA DE SEGURIDAD PARA EVITAR LA APERTURA DE LA LUMINARIA, CON TORNILLOS ESPECIALES Y SISTEMA ANTIROBO PARA EVITAR LA EXTRACCION DEL PROYECTOR, INCLUYE BASE PARA FOTOCELDA Y BALASTRO..  CONECTORES DE PERFORACIÓN, BRAZO GALVANIZADO Y COLLARÍN DE 5"A7" PARA POSTE DE CONCRETO DE  750KG/F O 1050KG/F</t>
  </si>
  <si>
    <t>2.7.3</t>
  </si>
  <si>
    <t>INSTALACION  Y CABLEADO DE REFLECTOR  DE 400W DE POTENCIA, REPARTO ASIMETRICO, IP65 TANTO EN EL BLOQUE OPTICO COMO EN EL BLOQUE ELECTRICO, IK 08, CUERPO   EN INYECCION DE ALUMINIO, VIDRIO  TEMPLADO DE SEGURIDAD, SISTEMA DE APERTURA CON UN CLIP PROVISTO DE SISTEMA DE SEGURIDAD PARA EVITAR LA APERTURA DEL PROYECTOR, CON TORNILLOS ESPECIALES Y SISTEMA ANTIROBO PARA EVITAR LA EXTRACCION DEL PROYECTOR, INCLUYE BASE PARA FOTOCELDA, BALASTRO Y FIJACION</t>
  </si>
  <si>
    <t>2.7.2</t>
  </si>
  <si>
    <t>INSTALACION  Y CABLEADO DE DOS REFLECTORES  DE 400W DE POTENCIA, REPARTO ASIMETRICO, IP65 TANTO EN EL BLOQUE OPTICO COMO EN EL BLOQUE ELECTRICO, IK 08, CUERPO   EN INYECCION DE ALUMINIO, VIDRIO  TEMPLADO DE SEGURIDAD, SISTEMA DE APERTURA CON UN CLIP PROVISTO DE SISTEMA DE SEGURIDAD PARA EVITAR LA APERTURA DEL PROYECTOR, CON TORNILLOS ESPECIALES Y SISTEMA ANTIROBO PARA EVITAR LA EXTRACCION DEL PROYECTOR, INCLUYE BASE PARA FOTOCELDA Y BALASTRO. PARA RED TRENZADA AEREA</t>
  </si>
  <si>
    <t>2.7.1</t>
  </si>
  <si>
    <t>INSTALACION  Y CABLEADO DE TRES REFLECTORES  DE 400W DE POTENCIA, REPARTO ASIMETRICO, IP65 TANTO EN EL BLOQUE OPTICO COMO EN EL BLOQUE ELECTRICO, IK 08, CUERPO   EN INYECCION DE ALUMINIO, VIDRIO  TEMPLADO DE SEGURIDAD, SISTEMA DE APERTURA CON UN CLIP PROVISTO DE SISTEMA DE SEGURIDAD PARA EVITAR LA APERTURA DEL PROYECTOR, CON TORNILLOS ESPECIALES Y SISTEMA ANTIROBO PARA EVITAR LA EXTRACCION DEL PROYECTOR, INCLUYE BASE PARA FOTOCELDA Y BALASTRO. PARA RED TRENZADA AEREA</t>
  </si>
  <si>
    <t>2.7.0</t>
  </si>
  <si>
    <t>INSTALACION DE LUMINARIA TIPO ALUMBRADO PUBLICO DE 70W DE POTENCIA, REPARTO ASIMETRICO, INTENSIDAD COMO MINIMO 470 CANDELAS, CON UN ANGULO DE APERTURA NO MINIMO A 63º IP66 TANTO EN BLOQUE OPTICO COMO EN BLOQUE ELECTRICO, IK 08, CUERPO Y CUBIERTA EN INYECCION DE ALUMINIO, VIDRIO POLICURVO TEMPLADO DE SEGURIDAD, SISTEMA DE APERTURA CON UN CLIP PROVISTO DE SISTEMA DE SEGURIDAD PARA EVITAR LA APERTURA DE LA LUMINARIA, CON TORNILLOS ESPECIALES Y SISTEMA ANTIROBO PARA EVITAR LA EXTRACCION DE LA LUMINARIA DEL BRAZO, INCLUYE BASE PARA FOTOCELDA Y BALASTRO. BRAZO GALVANIZADO Y COLLARÍN DE 5"A7" PARA POSTE DE CONCRETO DE  750KG/F O 1050KG/F</t>
  </si>
  <si>
    <t>INSTALACION DE LUMINARIA TIPO ALUMBRADO PUBLICO DE 70W DE POTENCIA, REPARTO ASIMETRICO, INTENSIDAD COMO MINIMO 470 CANDELAS, CON UN ANGULO DE APERTURA NO MINIMO A 63º IP66 TANTO EN BLOQUE OPTICO COMO EN BLOQUE ELECTRICO, IK 08, CUERPO Y CUBIERTA EN INYECCION DE ALUMINIO, VIDRIO POLICURVO TEMPLADO DE SEGURIDAD, SISTEMA DE APERTURA CON UN CLIP PROVISTO DE SISTEMA DE SEGURIDAD PARA EVITAR LA APERTURA DE LA LUMINARIA, CON TORNILLOS ESPECIALES Y SISTEMA ANTIROBO PARA EVITAR LA EXTRACCION DE LA LUMINARIA DEL BRAZO, INCLUYE BASE PARA FOTOCELDA Y BALASTRO.  CONECTORES DBH, BRAZO GALVANIZADO Y COLLARÍN DE 4" A 5" PARA POSTE DE CONCRETO DE 8MTS 510KG/F EN RED DESNUDA.</t>
  </si>
  <si>
    <t>2,6,2</t>
  </si>
  <si>
    <t>INSTALACION DE 2  LUMINARIAS TIPO ALUMBRADO PUBLICO DE 70W DE POTENCIA, REPARTO ASIMETRICO, INTENSIDAD COMO MINIMO 470 CANDELAS, CON UN ANGULO DE APERTURA NO MINIMO A 63º IP66 TANTO EN BLOQUE OPTICO COMO EN BLOQUE ELECTRICO, IK 08, CUERPO Y CUBIERTA EN INYECCION DE ALUMINIO, VIDRIO POLICURVO TEMPLADO DE SEGURIDAD, SISTEMA DE APERTURA CON UN CLIP PROVISTO DE SISTEMA DE SEGURIDAD PARA EVITAR LA APERTURA DE LA LUMINARIA, CON TORNILLOS ESPECIALES Y SISTEMA ANTIROBO PARA EVITAR LA EXTRACCION DE LA LUMINARIA DEL BRAZO, INCLUYE BASE PARA FOTOCELDA Y BALASTRO.  CONECTORES DE PERFORACIÓN, BRAZO GALVANIZADO Y COLLARÍN DE 4" A 5" PARA POSTE DE CONCRETO DE 8MTS 510KG/F</t>
  </si>
  <si>
    <t>2,6.1</t>
  </si>
  <si>
    <t>INSTALACION DE LUMINARIA TIPO ALUMBRADO PUBLICO DE 70W DE POTENCIA, REPARTO ASIMETRICO, INTENSIDAD COMO MINIMO 470 CANDELAS, CON UN ANGULO DE APERTURA NO MINIMO A 63º IP66 TANTO EN BLOQUE OPTICO COMO EN BLOQUE ELECTRICO, IK 08, CUERPO Y CUBIERTA EN INYECCION DE ALUMINIO, VIDRIO POLICURVO TEMPLADO DE SEGURIDAD, SISTEMA DE APERTURA CON UN CLIP PROVISTO DE SISTEMA DE SEGURIDAD PARA EVITAR LA APERTURA DE LA LUMINARIA, CON TORNILLOS ESPECIALES Y SISTEMA ANTIROBO PARA EVITAR LA EXTRACCION DE LA LUMINARIA DEL BRAZO, INCLUYE BASE PARA FOTOCELDA Y BALASTRO.  CONECTORES DE PERFORACIÓN, BRAZO GALVANIZADO Y COLLARÍN DE 4" A 5" PARA POSTE DE CONCRETO DE 8MTS 510KG/F</t>
  </si>
  <si>
    <t>TENDIDO Y TENSIONADO EN CONDUCTOR DE ALUMINIO AISLADO 3 No. 4 THHW 600 VAC</t>
  </si>
  <si>
    <t>VESTIDA DE ESTRUCTURA DE RETENCION EN BAJA TENSIÒN CON CUATRO GRAPAS DE RETENCION PARA CABLE TRENZADO CON PERCHA DE GANCHO ABIERTO  Y PERNO DE GANCHO ABIERTO</t>
  </si>
  <si>
    <t>VESTIDA DE ESTRUCTURA DE RETENCION EN BAJA TENSIÒN CON GRAPA DE RETENCION PARA CABLE TRENZADO Y PERCHA DE GANCHO ABIERTO PARA CONEXIÓN A RED TRENZADA</t>
  </si>
  <si>
    <t>2.3.1</t>
  </si>
  <si>
    <t xml:space="preserve">VESTIDA DE ESTRUCTURA DE RETENCION EN BAJA TENSIÒN CON GRAPA DE RETENCION PARA CABLE TRENZADO Y PERCHA DE GANCHO ABIERTO PARA CONEXIÓN A RED DESNUDA </t>
  </si>
  <si>
    <t>VESTIDA DE ESTRUCTURA DE RETENCION EN BAJA TENSIÒN CON GRAPA DE RETENCION PARA CABLE TRENZADO Y PERNO DE GANCHO ABIERTO</t>
  </si>
  <si>
    <t>VESTIDA DE ESTRUCTURA DE PASO SENCILLA EN BAJA TENSIÒN CON GRAPA DE SUSPENSION PARA CABLE TRENZADO Y PERCHA DE GANCHO ABIERTO</t>
  </si>
  <si>
    <t>2.1.2</t>
  </si>
  <si>
    <t xml:space="preserve">VESTIDA DE ESTRUCTURA DE PASO SENCILLA EN BAJA TENSIÒN PARA RED ABIERTA </t>
  </si>
  <si>
    <t>2.1.1</t>
  </si>
  <si>
    <t>VESTIDA DE ESTRUCTURA DE PASO SENCILLA EN BAJA TENSIÒN CON GRAPA DE SUSPENSION PARA CABLE TRENZADO Y PERNO DE GANCHO ABIERTO</t>
  </si>
  <si>
    <t>ACOMETIDAS,  REDES AÉREAS  DE BAJA TENSION</t>
  </si>
  <si>
    <t>CAP2</t>
  </si>
  <si>
    <t>SUBTOTAL</t>
  </si>
  <si>
    <t>CANALIZACION EN DUCTOS CONDUIT EMT DE 11/4" PARA BAJA TENSION. INCLUYE FIJACION.</t>
  </si>
  <si>
    <t>CANALIZACION EN DUCTOS CONDUIT PVC TIPO PESADO, DOS DUCTOS DE 2"  PARA BAJA TENSION. INCLUYE COMPACTACION Y TAPADA DE BRECHA. A=0,40 MT.</t>
  </si>
  <si>
    <t>EXCAVACION MANUAL.</t>
  </si>
  <si>
    <t>1.8.8</t>
  </si>
  <si>
    <t>DEMOLICION Y CONSTRUCCION DE PLACA EN CONCRETO DE 3000 PSI, A=0,40MT-E=0,10MT Y RETIRO DE SOBRANTES.</t>
  </si>
  <si>
    <t>1.8.7</t>
  </si>
  <si>
    <t>PEDESTAL EN CONCRETO DE 3000 PSI, PARA SOPORTE DE POSTE METALICO.</t>
  </si>
  <si>
    <t>1.8.6</t>
  </si>
  <si>
    <t>MURETE PARA EQUIPO DE MEDIDA Y CONTROL, EN MUROS CON LADRILLO PRENSADO A LA VISTA (1,03X0,53X1,75 MT)</t>
  </si>
  <si>
    <t>1.8.5</t>
  </si>
  <si>
    <t>MURETE PARA EQUIPO DE MEDIDA, EN MUROS CON LADRILLO PRENSADO A LA VISTA (0,65X0,50X1,60 MT)</t>
  </si>
  <si>
    <t>1.8.4</t>
  </si>
  <si>
    <t>CAJA DE INSPECCION DE ALUMBRADO PUBLICO DE 70X70X70 CM, FUNDIDA EN CONCRETO DE 3000 PSI Y TAPA EN LAMINA ALFAJOR.</t>
  </si>
  <si>
    <t>1.8.3</t>
  </si>
  <si>
    <t>CAJA DE INSPECCION DE ALUMBRADO PUBLICO DE 40X40X70 CM, FUNDIDA EN CONCRETO DE 3000 PSI Y TAPA EN LAMINA ALFAJOR.</t>
  </si>
  <si>
    <t>1.8.2</t>
  </si>
  <si>
    <t>MATERIALES PARA MORTERO 1:4</t>
  </si>
  <si>
    <t>1.8.1</t>
  </si>
  <si>
    <t>MATERIALES PARA EL CONCRETO DE 3000 PSI (1:2:3)</t>
  </si>
  <si>
    <t>SUMINISTRO, EXCAVACION , HINCADA Y PLOMADA DE POSTES DE CONCRETO DE 12 MTS X 510KG/F ARMADO Y CENTRIFUGADO</t>
  </si>
  <si>
    <t>1.7.2</t>
  </si>
  <si>
    <t>SUMINISTRO, EXCAVACION , HINCADA Y PLOMADA DE POSTES DE CONCRETO DE 12 MTS X 1050KG/F ARMADO Y CENTRIFUGADO</t>
  </si>
  <si>
    <t>1.7.1</t>
  </si>
  <si>
    <t>SUMINISTRO, EXCAVACIÓN, HINCADA Y PLOMADA  DE POSTES DE CONCRETO DE 12MTS X 750 KG-F  ARMADO Y CENTRIFUGADO</t>
  </si>
  <si>
    <t>SUMINISTRO E INSTALACION DE RETENIDA PARA RED TRENZADA DE BAJA TENSION CON BRAZO CUERDA DE GUITARRA</t>
  </si>
  <si>
    <t>1.6.1</t>
  </si>
  <si>
    <t xml:space="preserve">SUMINISTRO E INSTALACION DE RETENIDA PARA RED TRENZADA DE BAJA TENSION </t>
  </si>
  <si>
    <t>RETIRO DE MATERIAL SOBRANTE</t>
  </si>
  <si>
    <t>SUMINISTRO, EXCAVACIÓN, HINCADA Y PLOMADA  DE POSTES DE CONCRETO DE 8 MTS X 1050 KG-F ARMADO Y CENTRIFUGADO</t>
  </si>
  <si>
    <t>SUMINISTRO, EXCAVACIÓN, HINCADA Y PLOMADA  DE POSTES DE CONCRETO DE 10 MTS X 750 KG-F ARMADO Y CENTRIFUGADO</t>
  </si>
  <si>
    <t>1.3.1</t>
  </si>
  <si>
    <t>SUMINISTRO, EXCAVACIÓN, HINCADA Y PLOMADA  DE POSTES DE CONCRETO DE 8 MTS X 750 KG-F ARMADO Y CENTRIFUGADO</t>
  </si>
  <si>
    <t>SUMINISTRO , EXCAVACION HINCADA Y PLOMADA DE POSTES DE CONCRETO DE 10 MTS X 510 KGF. ARMADO Y CENTRIFUGADO</t>
  </si>
  <si>
    <t>1.2.1</t>
  </si>
  <si>
    <t>SUMINISTRO, EXCAVACIÓN, HINCADA Y PLOMADA  DE POSTES DE CONCRETO DE 8 MTS X 510 KG-F ARMADO Y CENTRIFUGADO</t>
  </si>
  <si>
    <t>LOCALIZACION Y REPLANTEO</t>
  </si>
  <si>
    <t>OBRAS PRELIMINARES</t>
  </si>
  <si>
    <t>CAP1</t>
  </si>
  <si>
    <t>PRESUPUESTO DE INSTALACIÓN REDES EXCLUSIVAS DE ALUMBRADO PÚBLICO Y LUMINARIAS DEL POLIDEPORTIVO BARRIO CAMPO NUNEZ</t>
  </si>
  <si>
    <r>
      <t xml:space="preserve"> </t>
    </r>
    <r>
      <rPr>
        <b/>
        <sz val="10"/>
        <color indexed="8"/>
        <rFont val="Calibri"/>
        <family val="2"/>
      </rPr>
      <t xml:space="preserve">TOTAL PRESUPUESTO </t>
    </r>
    <r>
      <rPr>
        <b/>
        <sz val="10"/>
        <rFont val="Calibri"/>
        <family val="2"/>
      </rPr>
      <t xml:space="preserve"> </t>
    </r>
  </si>
  <si>
    <r>
      <t xml:space="preserve"> </t>
    </r>
    <r>
      <rPr>
        <b/>
        <sz val="10"/>
        <color indexed="8"/>
        <rFont val="Calibri"/>
        <family val="2"/>
      </rPr>
      <t xml:space="preserve">UTILIDADES </t>
    </r>
    <r>
      <rPr>
        <b/>
        <sz val="10"/>
        <rFont val="Calibri"/>
        <family val="2"/>
      </rPr>
      <t xml:space="preserve"> </t>
    </r>
  </si>
  <si>
    <r>
      <t xml:space="preserve"> </t>
    </r>
    <r>
      <rPr>
        <b/>
        <sz val="10"/>
        <color indexed="8"/>
        <rFont val="Calibri"/>
        <family val="2"/>
      </rPr>
      <t xml:space="preserve">IMPREVISTOS </t>
    </r>
    <r>
      <rPr>
        <b/>
        <sz val="10"/>
        <rFont val="Calibri"/>
        <family val="2"/>
      </rPr>
      <t xml:space="preserve"> </t>
    </r>
  </si>
  <si>
    <r>
      <t xml:space="preserve"> </t>
    </r>
    <r>
      <rPr>
        <b/>
        <sz val="10"/>
        <color indexed="8"/>
        <rFont val="Calibri"/>
        <family val="2"/>
      </rPr>
      <t xml:space="preserve">ADMINISTRACIÓN </t>
    </r>
    <r>
      <rPr>
        <b/>
        <sz val="10"/>
        <rFont val="Calibri"/>
        <family val="2"/>
      </rPr>
      <t xml:space="preserve"> </t>
    </r>
  </si>
  <si>
    <r>
      <t xml:space="preserve"> </t>
    </r>
    <r>
      <rPr>
        <b/>
        <sz val="10"/>
        <color indexed="8"/>
        <rFont val="Calibri"/>
        <family val="2"/>
      </rPr>
      <t xml:space="preserve">TOTAL COSTOS DIRECTOS </t>
    </r>
    <r>
      <rPr>
        <b/>
        <sz val="10"/>
        <rFont val="Calibri"/>
        <family val="2"/>
      </rPr>
      <t xml:space="preserve"> </t>
    </r>
  </si>
  <si>
    <t>Interuptor y/o control de iluminacion conmutable S4</t>
  </si>
  <si>
    <t>Interuptor y/o control de iluminacion triple S3</t>
  </si>
  <si>
    <t>Interuptor y/o control de iluminacion doble S2</t>
  </si>
  <si>
    <t>Interuptor y/o control de iluminacion sensillo S1</t>
  </si>
  <si>
    <t xml:space="preserve">CONTROL DE ILUMINACION </t>
  </si>
  <si>
    <t>SUMINISTRO E INSTALACION DE UPS de 6 KVA</t>
  </si>
  <si>
    <r>
      <t xml:space="preserve"> </t>
    </r>
    <r>
      <rPr>
        <sz val="10"/>
        <color indexed="8"/>
        <rFont val="Calibri"/>
        <family val="2"/>
      </rPr>
      <t xml:space="preserve">UN </t>
    </r>
    <r>
      <rPr>
        <sz val="10"/>
        <rFont val="Calibri"/>
        <family val="2"/>
      </rPr>
      <t xml:space="preserve"> </t>
    </r>
  </si>
  <si>
    <r>
      <t xml:space="preserve"> </t>
    </r>
    <r>
      <rPr>
        <sz val="10"/>
        <color indexed="8"/>
        <rFont val="Calibri"/>
        <family val="2"/>
      </rPr>
      <t xml:space="preserve">TOMA TELEFÓNICO RJ45 DE INCRUSTAR </t>
    </r>
    <r>
      <rPr>
        <sz val="10"/>
        <rFont val="Calibri"/>
        <family val="2"/>
      </rPr>
      <t xml:space="preserve"> </t>
    </r>
  </si>
  <si>
    <r>
      <t xml:space="preserve"> </t>
    </r>
    <r>
      <rPr>
        <sz val="10"/>
        <color indexed="8"/>
        <rFont val="Calibri"/>
        <family val="2"/>
      </rPr>
      <t xml:space="preserve">TOMA DE DATOS CAT 6E </t>
    </r>
    <r>
      <rPr>
        <sz val="10"/>
        <rFont val="Calibri"/>
        <family val="2"/>
      </rPr>
      <t xml:space="preserve"> </t>
    </r>
  </si>
  <si>
    <t>INSTALACIÓN RED VOZ Y DATOS</t>
  </si>
  <si>
    <r>
      <t xml:space="preserve"> </t>
    </r>
    <r>
      <rPr>
        <b/>
        <sz val="10"/>
        <color indexed="8"/>
        <rFont val="Calibri"/>
        <family val="2"/>
      </rPr>
      <t xml:space="preserve">2 </t>
    </r>
    <r>
      <rPr>
        <b/>
        <sz val="10"/>
        <rFont val="Calibri"/>
        <family val="2"/>
      </rPr>
      <t xml:space="preserve"> </t>
    </r>
  </si>
  <si>
    <t>MT</t>
  </si>
  <si>
    <r>
      <t xml:space="preserve"> </t>
    </r>
    <r>
      <rPr>
        <sz val="10"/>
        <color indexed="8"/>
        <rFont val="Calibri"/>
        <family val="2"/>
      </rPr>
      <t xml:space="preserve">ACOMETIDA DE TABLERO GENERAL A TABLEROS DE DISTRUBUCION   </t>
    </r>
    <r>
      <rPr>
        <sz val="10"/>
        <rFont val="Calibri"/>
        <family val="2"/>
      </rPr>
      <t xml:space="preserve"> </t>
    </r>
  </si>
  <si>
    <t xml:space="preserve">TABLERO GENERAL DE DISTRIBUCION </t>
  </si>
  <si>
    <r>
      <t xml:space="preserve"> </t>
    </r>
    <r>
      <rPr>
        <sz val="10"/>
        <color indexed="8"/>
        <rFont val="Calibri"/>
        <family val="2"/>
      </rPr>
      <t xml:space="preserve">ACOMETIDA DE SUBESTACION A TABLERO GENERAL  </t>
    </r>
    <r>
      <rPr>
        <sz val="10"/>
        <rFont val="Calibri"/>
        <family val="2"/>
      </rPr>
      <t xml:space="preserve"> </t>
    </r>
  </si>
  <si>
    <r>
      <t xml:space="preserve"> </t>
    </r>
    <r>
      <rPr>
        <sz val="10"/>
        <color indexed="8"/>
        <rFont val="Calibri"/>
        <family val="2"/>
      </rPr>
      <t xml:space="preserve">GL </t>
    </r>
    <r>
      <rPr>
        <sz val="10"/>
        <rFont val="Calibri"/>
        <family val="2"/>
      </rPr>
      <t xml:space="preserve"> </t>
    </r>
  </si>
  <si>
    <r>
      <t xml:space="preserve"> </t>
    </r>
    <r>
      <rPr>
        <sz val="10"/>
        <color indexed="8"/>
        <rFont val="Calibri"/>
        <family val="2"/>
      </rPr>
      <t xml:space="preserve">TABLERO DE AUTOMÁTICOS TRIFÁSICO DE 18 CIRCUITOS </t>
    </r>
    <r>
      <rPr>
        <sz val="10"/>
        <rFont val="Calibri"/>
        <family val="2"/>
      </rPr>
      <t xml:space="preserve"> </t>
    </r>
  </si>
  <si>
    <t>TOMA TRIFASICA.</t>
  </si>
  <si>
    <t>AIRES ACONDICIONADOS</t>
  </si>
  <si>
    <t>TOMA REGULADA 300W</t>
  </si>
  <si>
    <t>TOMA GFCI 100W</t>
  </si>
  <si>
    <t>TOMA ESPECIAL 110/220 CON POLO A TIERRA.</t>
  </si>
  <si>
    <t>TOMA NORMAL 100W CON POLO A TIERRA.</t>
  </si>
  <si>
    <r>
      <t xml:space="preserve"> </t>
    </r>
    <r>
      <rPr>
        <sz val="10"/>
        <color indexed="8"/>
        <rFont val="Calibri"/>
        <family val="2"/>
      </rPr>
      <t xml:space="preserve">LÁMPARA DE SODIO 70W </t>
    </r>
    <r>
      <rPr>
        <sz val="10"/>
        <rFont val="Calibri"/>
        <family val="2"/>
      </rPr>
      <t xml:space="preserve"> </t>
    </r>
  </si>
  <si>
    <r>
      <t xml:space="preserve">LAMPARA  </t>
    </r>
    <r>
      <rPr>
        <sz val="10"/>
        <color indexed="8"/>
        <rFont val="Calibri"/>
        <family val="2"/>
      </rPr>
      <t xml:space="preserve">APLIQUE MURO 25W </t>
    </r>
    <r>
      <rPr>
        <sz val="10"/>
        <rFont val="Calibri"/>
        <family val="2"/>
      </rPr>
      <t xml:space="preserve"> </t>
    </r>
  </si>
  <si>
    <t>LAMPARA DE PISO 25 W</t>
  </si>
  <si>
    <t>TABLERO DE DISTRIBUCION DE 12 CTS</t>
  </si>
  <si>
    <r>
      <t>LAMPARA DE TECHO 25</t>
    </r>
    <r>
      <rPr>
        <sz val="10"/>
        <color indexed="8"/>
        <rFont val="Calibri"/>
        <family val="2"/>
      </rPr>
      <t xml:space="preserve">W AHORRADORA </t>
    </r>
    <r>
      <rPr>
        <sz val="10"/>
        <rFont val="Calibri"/>
        <family val="2"/>
      </rPr>
      <t xml:space="preserve"> </t>
    </r>
  </si>
  <si>
    <r>
      <t xml:space="preserve"> </t>
    </r>
    <r>
      <rPr>
        <sz val="10"/>
        <color indexed="8"/>
        <rFont val="Calibri"/>
        <family val="2"/>
      </rPr>
      <t xml:space="preserve">BALA 50W AHORRADORA </t>
    </r>
    <r>
      <rPr>
        <sz val="10"/>
        <rFont val="Calibri"/>
        <family val="2"/>
      </rPr>
      <t xml:space="preserve"> </t>
    </r>
  </si>
  <si>
    <r>
      <t xml:space="preserve"> </t>
    </r>
    <r>
      <rPr>
        <sz val="10"/>
        <color indexed="8"/>
        <rFont val="Calibri"/>
        <family val="2"/>
      </rPr>
      <t xml:space="preserve">LÁMPARA 2X32W </t>
    </r>
    <r>
      <rPr>
        <sz val="10"/>
        <rFont val="Calibri"/>
        <family val="2"/>
      </rPr>
      <t xml:space="preserve"> </t>
    </r>
  </si>
  <si>
    <r>
      <t xml:space="preserve"> </t>
    </r>
    <r>
      <rPr>
        <sz val="10"/>
        <color indexed="8"/>
        <rFont val="Calibri"/>
        <family val="2"/>
      </rPr>
      <t xml:space="preserve">LÁMPARA 2X48W  </t>
    </r>
    <r>
      <rPr>
        <sz val="10"/>
        <rFont val="Calibri"/>
        <family val="2"/>
      </rPr>
      <t xml:space="preserve"> </t>
    </r>
  </si>
  <si>
    <t>RED ELECTRICA DE FUERZA</t>
  </si>
  <si>
    <t>VALOR TOTAL</t>
  </si>
  <si>
    <t>V/UNITARIO</t>
  </si>
  <si>
    <t>PRESUPUESTO OBRAS ELECTRICAS AUDITORIO Y BIBLIOTECA PEÑO REDONDO                                                                                                          NEIVA - HUILA</t>
  </si>
  <si>
    <t>MUNICIPIO DE NEIVA DEPARTAMENTO DEL HUILA</t>
  </si>
  <si>
    <t>TOTAL  COSTO  DIRECTO:</t>
  </si>
  <si>
    <t>Sub-Total:</t>
  </si>
  <si>
    <t>Alludante</t>
  </si>
  <si>
    <t>Tecnico electricista T5</t>
  </si>
  <si>
    <t>Ingeniero Electricista</t>
  </si>
  <si>
    <t>VALOR  UNIT.</t>
  </si>
  <si>
    <t>RENDIMIENTO</t>
  </si>
  <si>
    <t>J.  TOTAL</t>
  </si>
  <si>
    <t>PREST.  75%</t>
  </si>
  <si>
    <t>JORNAL</t>
  </si>
  <si>
    <t>TRABAJADOR</t>
  </si>
  <si>
    <t>III.   MANO  DE  OBRA</t>
  </si>
  <si>
    <t>ton</t>
  </si>
  <si>
    <t xml:space="preserve">Materiales varios </t>
  </si>
  <si>
    <t>VALOR UNIT.</t>
  </si>
  <si>
    <t>TARIFA</t>
  </si>
  <si>
    <t xml:space="preserve">  Cant</t>
  </si>
  <si>
    <t>MATERIAL</t>
  </si>
  <si>
    <t>REF.</t>
  </si>
  <si>
    <t>III.   TRANSPORTE</t>
  </si>
  <si>
    <t>Interuptor doble de incrustar</t>
  </si>
  <si>
    <t>mt</t>
  </si>
  <si>
    <t>Cable de Cobre aislado  THHN No. 12 AWG</t>
  </si>
  <si>
    <t>VALOR PARC.</t>
  </si>
  <si>
    <t>CANTIDAD</t>
  </si>
  <si>
    <t>II.   MATERIALES  EN  LA OBRA</t>
  </si>
  <si>
    <t xml:space="preserve">Herramiente menor </t>
  </si>
  <si>
    <t>RENDIM.</t>
  </si>
  <si>
    <t>$  / DIA</t>
  </si>
  <si>
    <t>I.    EQUIPO</t>
  </si>
  <si>
    <t>UNIDAD:</t>
  </si>
  <si>
    <t xml:space="preserve">CONTROL DE ELIMINACION </t>
  </si>
  <si>
    <t>MUNICIPIO DE TARQUI</t>
  </si>
  <si>
    <t>ANALISIS  DE  PRECIOS  UNITARIOS (APU)</t>
  </si>
  <si>
    <t>No.</t>
  </si>
  <si>
    <t xml:space="preserve">curva PVC tipo pesado </t>
  </si>
  <si>
    <t>Caja plastica 5800</t>
  </si>
  <si>
    <t>ml</t>
  </si>
  <si>
    <t>Tuberia PVC tipo pesado de 1/2"</t>
  </si>
  <si>
    <t>CONTROL DE ILUMINACION</t>
  </si>
  <si>
    <t>Interuptor sencillo de incrustar</t>
  </si>
  <si>
    <t>cable, tuberia</t>
  </si>
  <si>
    <t>Regulador con trnasferencia</t>
  </si>
  <si>
    <t xml:space="preserve">UPS de 6 KVA </t>
  </si>
  <si>
    <t xml:space="preserve">Herramienta menor: </t>
  </si>
  <si>
    <t>SUNIMISTRO E INSTALACION DE UPS DE 6 KVA</t>
  </si>
  <si>
    <t>1/24 De panel para llamado de emergencia de 24 salidas</t>
  </si>
  <si>
    <t>Punto para activacion sistema de llamado incluye cableado</t>
  </si>
  <si>
    <t>SISTEMA LLAMADO DE EMERGENCIA</t>
  </si>
  <si>
    <t>salida RJ45</t>
  </si>
  <si>
    <t>Cable telefonico</t>
  </si>
  <si>
    <t>TOMA TELEFONICO RJ45</t>
  </si>
  <si>
    <t>Certificacion de punto de voz y datos</t>
  </si>
  <si>
    <t>Salida RJ45</t>
  </si>
  <si>
    <t>Cable UTP cat 6</t>
  </si>
  <si>
    <t>SALIDA DE DATOS CAT 6</t>
  </si>
  <si>
    <t>Pegante PVC</t>
  </si>
  <si>
    <t xml:space="preserve">Tubo PVC tipo pesado de 1 1/2" </t>
  </si>
  <si>
    <t>Mt</t>
  </si>
  <si>
    <t>Cable de Cobre aislado THHN cal # 4</t>
  </si>
  <si>
    <t>Cable de Cobre aislado THHN cal # 6</t>
  </si>
  <si>
    <t xml:space="preserve"> ACOMETIDA DE SUBESTACION A TABLERO GENERAL   EN CABLE # 4 + 1 X # 6</t>
  </si>
  <si>
    <t>Mts</t>
  </si>
  <si>
    <t>Totalizador de 3x40 amp</t>
  </si>
  <si>
    <t>Totalizador de 3x50 amp</t>
  </si>
  <si>
    <t>Totalizador de 3x100 amp</t>
  </si>
  <si>
    <t>Armario en lamina clibre 16 y pintura electrostatica de 80x60x30cm incluye barrajes y acrilicos</t>
  </si>
  <si>
    <t xml:space="preserve">Tubo PVC tipo pesado de 2 1/2" </t>
  </si>
  <si>
    <t>Cable de Cobre aislado THHN cal # 1/0</t>
  </si>
  <si>
    <t>Cable de Cobre aislado THHN cal # 2</t>
  </si>
  <si>
    <t xml:space="preserve"> ACOMETIDA DE SUBESTACION A TABLERO GENERAL   EN CABLE # 1/0 + 1 X # 2</t>
  </si>
  <si>
    <t>breaker automatico de 20 A</t>
  </si>
  <si>
    <t>Totalizador automatico 3x80</t>
  </si>
  <si>
    <t>Tablero de distribucion de 18 ctos con espacio para totalizador</t>
  </si>
  <si>
    <t>Tablero de diatribucion de 18 ctos</t>
  </si>
  <si>
    <t>materiales varios</t>
  </si>
  <si>
    <t>Salida trifasica pata travada</t>
  </si>
  <si>
    <t>Cable de Cobre aislado  THHN No. 10 AWG</t>
  </si>
  <si>
    <t>SALIDA TOMA TRIFASICA</t>
  </si>
  <si>
    <t>Salida 110 v con polo a tierra</t>
  </si>
  <si>
    <t>SALIDA 110/220 CON POLO A TIERRA PARA AIRES ACONDICIONADOS</t>
  </si>
  <si>
    <t>SALIDA RED REGULADA 300 W</t>
  </si>
  <si>
    <t>SALIDA ESPECIAL GFCI 110 V</t>
  </si>
  <si>
    <t>SALIDA ESPECIAL 110/220 CON POLO A TIERRA</t>
  </si>
  <si>
    <t>SALIDA NORMAL 1OO W CON POLO A TIERRA</t>
  </si>
  <si>
    <t>Bombillo de sodio 70 w</t>
  </si>
  <si>
    <t>Soporte para luminaria de sodio</t>
  </si>
  <si>
    <t>Luminaria sodio 70 w</t>
  </si>
  <si>
    <t>LAMPARA DE SODIO 70 W</t>
  </si>
  <si>
    <t>Luminaria ahorradora tipo tortuga</t>
  </si>
  <si>
    <t>LAMPARA DE APLIQUE SOBRE MURO</t>
  </si>
  <si>
    <t>Ayudante</t>
  </si>
  <si>
    <t>Tablero de diatribucion de 12 ctos</t>
  </si>
  <si>
    <t xml:space="preserve">plafon de losa  </t>
  </si>
  <si>
    <t>LAMPARA DE TECHO 25 w AHORRADORA</t>
  </si>
  <si>
    <t>Luminaria tipo bala</t>
  </si>
  <si>
    <t xml:space="preserve"> BALA 50W AHORRADORA  </t>
  </si>
  <si>
    <t>Luminaria ahorradora de 2x32 ermetica</t>
  </si>
  <si>
    <t xml:space="preserve"> LÁMPARA 2X32W </t>
  </si>
  <si>
    <t>Luminaria aHorradora de 2x32</t>
  </si>
  <si>
    <t xml:space="preserve"> LÁMPARA 2X48 W</t>
  </si>
  <si>
    <t>Orinal Corona linea institucional</t>
  </si>
  <si>
    <t xml:space="preserve">ITEM  : SUMINISTRO E INSTALACIÓN TABLEROS DE 1,8 * 1,05 M EN FIBRA DE VIDRIO Y ALMA 10MM , INCLUYE ARO, MALLA, DEMARCADO, LOGOS, ANTICORROSIVO Y PINTURA </t>
  </si>
  <si>
    <t xml:space="preserve">ITEM  : SUMINISTRO E INSTALACIÓN DE CANCHA MULTIPLE MINIFUTBOL (3 * 2 M) EN TUBO 3" TIPO PESADO Y TUBO AN 2" CAL 16 BALONCESTO,  TABLERO EN FIBRA DE VIDRIO 20MM DE 1,8 * 1,05 M , INCLUYE ARO, MALLA, DEMARCADO, LOGOS, ANTICORROSIVO Y PINTURA </t>
  </si>
  <si>
    <t>TABLERO BALONCESTO EN FIBRA DE VIDRIO, BASE Y MARCO E = 10 MM, ARO Y MALLA, DEMARCADO Y LOGOS</t>
  </si>
  <si>
    <t>º</t>
  </si>
  <si>
    <t>LAMINA FIJACIÓN</t>
  </si>
  <si>
    <t>MARCO EN TUBO 3" ESTRUCTURAL CAL 3MM (3*2M) Y TUBO AN 2" CAL 16  INSTALACION TABLERO BALONCESTO SEGÚN DISEÑO</t>
  </si>
  <si>
    <t>CONCRETO 3.000 PSI</t>
  </si>
  <si>
    <t>ITEM  : DEMARCACIÓN DE CANCHA DE JUEGO  EN PINTURA TRÁFICO CON MEDIDAS REGLAMENTARIAS DE CANCHA MÚLTIPLE.</t>
  </si>
  <si>
    <t>ITEM  : SUMINISTRO E INSTALACIÓN DE MALLA ELECTROSOLDADA HUECO 15 *15 CAL 4MM.</t>
  </si>
  <si>
    <t>ITEM  : DESMONTE VALLA EXISTENTE INCL. MALLA, COLUMNAS CONCRETO, MURO EN LADRILLO TOLETE, TODO FACTOR</t>
  </si>
  <si>
    <t>ITEM  : DEMOLICION MURO EN LADRILLO TOLETE, TODO FACTOR</t>
  </si>
  <si>
    <t>ITEM  : CONSTRUCCIÓN PLACA EN COCRETO 3.000 PSI DE 0,7 *0,1 M</t>
  </si>
  <si>
    <t>ITEM  : TALA DE ARBOLES H&gt;9M DE ALTURA FOLLAJE Y RAIZ, CON PERSONAL CERTIFICADO PARA TRABAJOS EN ALTURA, INCLUYE, PERMISOS ANTE AUTORIDAD COMPETENTE, EQUIPO DE SEGURIDAD EN ALTURA, CORTE,  RETIRO Y DISPOSICIÓN FINAL.</t>
  </si>
  <si>
    <t>ITEM  : TALA DE ARBOLES H&gt;9M DE ALTURA FOLLAJE Y RAIZ, CON PERSONAL CERTIFICADO PARA TRABAJOS EN ALTURA, INCLUYE, PERMISOS ANTE AUTORIDAD COMPETENTE, COMPENSACION AMBIENTAL, EQUIPO DE SEGURIDAD EN ALTURA, CORTE,  RETIRO Y DISPOSICIÓN FINAL.</t>
  </si>
  <si>
    <t>ITEM  : PODA DE FOLLAJE Y TRATAMIENTO DE RAÍZ DE ARBOLES H&gt;9M DE ALTURA, CON PERSONAL CERTIFICADO PARA TRABAJOS EN ALTURA, INCLUYE, PERMISOS ANTE AUTORIDAD COMPETENTE, COMPENSACION AMBIENTAL, EQUIPO DE SEGURIDAD EN ALTURA, CORTE,  RETIRO Y DISPOSICIÓN FINAL.</t>
  </si>
  <si>
    <t>ITEM  :  TRATAMIENTO DE RAÍZ EN ARBOLES INCLUYE, PERMISOS ANTE AUTORIDAD COMPETENTE, COMPENSACION AMBIENTAL,  CORTE,  RETIRO Y DISPOSICIÓN FINAL.</t>
  </si>
  <si>
    <t>CICATRIZANTE</t>
  </si>
  <si>
    <t>ITEM  : TALA DE ARBOLES 6&lt;H&gt;9M DE ALTURA FOLLAJE Y RAIZ, CON PERSONAL CERTIFICADO PARA TRABAJOS EN ALTURA, INCLUYE, PERMISOS ANTE AUTORIDAD COMPETENTE, COMPENSACION AMBIENTAL, EQUIPO DE SEGURIDAD EN ALTURA, CORTE,  RETIRO Y DISPOSICIÓN FINAL.</t>
  </si>
  <si>
    <t>ITEM  : TALA DE ARBOLES 3&lt;H&gt;6M DE ALTURA FOLLAJE Y RAIZ, CON PERSONAL CERTIFICADO PARA TRABAJOS EN ALTURA, INCLUYE, PERMISOS ANTE AUTORIDAD COMPETENTE, COMPENSACION AMBIENTAL, EQUIPO DE SEGURIDAD EN ALTURA, CORTE,  RETIRO Y DISPOSICIÓN FINAL.</t>
  </si>
  <si>
    <t>ITEM  : TALA DE ARBOLES H&lt;3M DE ALTURA FOLLAJE Y RAIZ, CON PERSONAL CERTIFICADO PARA TRABAJOS EN ALTURA, INCLUYE, PERMISOS ANTE AUTORIDAD COMPETENTE, COMPENSACION AMBIENTAL, EQUIPO DE SEGURIDAD EN ALTURA, CORTE,  RETIRO Y DISPOSICIÓN FINAL.</t>
  </si>
  <si>
    <t>ITEM  : DESMONTE DE  HERRAJES Y POSTE , INCL.  GRUA TRANSPORTE A SITIO DE ALMACENAMIENTO</t>
  </si>
  <si>
    <t>EQUIPO DE INSTALACION GRAMA, ARENA Y CAUCHO</t>
  </si>
  <si>
    <t>GRAMA SINTÉTICA EN POLIETILENO (100%) MONOFILAMENTO MONOCOLOR PARA CANCHA DE FUTBOL RÁPIDO CON UNA ALTURA DE FIBRA 60 MM ESPESOR MAYOR O IGUAL A 240 MICRONES, DTEX MAYOR O IGUAL A 11000, GALGA MÁXIMA DE 5/8",120 (+ O - 10) PUNTADAS POR METRO LINEAL, CON DEMARCACIÓN PARA CANCHA PRINCIPAL</t>
  </si>
  <si>
    <t>M²</t>
  </si>
  <si>
    <t>RELLENO DE ARENA DE SÍLICE FINA (ÁNGULO REDONDEADO) CON UNA GRADACIÓN ENTRE 0.2MM Y 1.0MM</t>
  </si>
  <si>
    <t>CAUCHO GRANULADO (CRIOGENIZADO O DE ESTRUCTURA SIMILAR EXCEPTO DE RECILADO DE LLANTAS) DE GRANULOMETRÍA FINA CON PARTÍCULAS ENTRE 0.5MM Y 2.0MM.</t>
  </si>
  <si>
    <t>ITEM  : CONSTRUCCION DE FILTROS DE SECCION 0.50  X 1.20 MTS.,  INCLUYE GRAVILLA Y GEOTEXTIL. (NO INCLUYE EXCAVACION)</t>
  </si>
  <si>
    <t>GEOTEXTIL NO TEJIDO, REF.  NT 1.600</t>
  </si>
  <si>
    <t>TUBERÍA PVC CORRUGADA TERMINACIÓN FILTRO</t>
  </si>
  <si>
    <t>MATERIAL FILTRANTE DE 3/4"</t>
  </si>
  <si>
    <t>GRAMA SINTÉTICA EN POLIETILENO (100%) MONOFILAMENTO MONOCOLOR PARA CANCHA DE FUTBOL RÁPIDO CON UNA ALTURA DE FIBRA 60 MM, PROTECCIÓN UV, ESPESOR MAYOR O IGUAL A 240 MICRONES, DTEX MAYOR O IGUAL A 11000, GALGA MÁXIMA DE 5/8",120 (+ O - 10) PUNTADAS POR METRO LINEAL, BACKING DOBLE O MAYOR, INCLUYE: RELLENO DE ARENA DE SÍLICE FINA (ÁNGULO REDONDEADO), CON UNA CANTIDAD NO MENOR A 21KG/M2 CON UNA GRADACIÓN ENTRE 0.2MM Y 1.0MM Y CAUCHO GRANULADO TIPO FIFA DE GRANULOMETRÍA FINA CON UNA CANTIDAD NO MENOR DE 11KG/M2 CON PARTÍCULAS ENTRE 0.5MM Y 2.0MM. INCLUYE DEMARCACIÓN PARA CANCHA PRINCIPAL.</t>
  </si>
  <si>
    <t xml:space="preserve">OBJETO: CONSTRUCCIÓN PARQUE BIBLIOTECA "PEÑON REDONDO" - COMUNA 8 - MUNICIPIO DE NEIVA - HUILA  </t>
  </si>
  <si>
    <t>Placa para fondo de piscina en concreto armado de 3500 P.S.I - e=0.18 mts,  incluye aditivo para impermeabilizacion.</t>
  </si>
  <si>
    <t>Muro para piscinas en concreto curvo armado de 3500 P.S.I - e: 0,18 mts incluye aditivo para impermeabilizacion.</t>
  </si>
  <si>
    <t>INSTALACIONES ELECTRICAS - PRELIMINARES</t>
  </si>
  <si>
    <t>INSTALACIONES ELECTRICAS - ACOMETIDAS,  REDES AÉREAS  DE BAJA TENSION</t>
  </si>
  <si>
    <t>DESMONTE DE  HERRAJES Y POSTE , INCL.  GRUA TRANSPORTE A SITIO DE ALMACENAMIENTO</t>
  </si>
  <si>
    <t>16,1,1</t>
  </si>
  <si>
    <t>16,1,2</t>
  </si>
  <si>
    <t>16,1,3</t>
  </si>
  <si>
    <t>16,1,4</t>
  </si>
  <si>
    <t>16,2,1</t>
  </si>
  <si>
    <t>16,2,2</t>
  </si>
  <si>
    <t>16,3,1</t>
  </si>
  <si>
    <t>16,3,2</t>
  </si>
  <si>
    <t>16,4,1</t>
  </si>
  <si>
    <t>16,4,2</t>
  </si>
  <si>
    <t xml:space="preserve">INSTALACIONES ELECTRICAS </t>
  </si>
  <si>
    <t xml:space="preserve"> LÁMPARA 2X48W   </t>
  </si>
  <si>
    <t xml:space="preserve"> LÁMPARA 2X32W  </t>
  </si>
  <si>
    <t xml:space="preserve">LAMPARA DE TECHO 25W AHORRADORA  </t>
  </si>
  <si>
    <t xml:space="preserve">LAMPARA  APLIQUE MURO 25W  </t>
  </si>
  <si>
    <t xml:space="preserve"> ACOMETIDA DE TABLERO GENERAL A TABLEROS DE DISTRUBUCION    </t>
  </si>
  <si>
    <t xml:space="preserve"> UN  </t>
  </si>
  <si>
    <t xml:space="preserve"> GL  </t>
  </si>
  <si>
    <t>26,1,1</t>
  </si>
  <si>
    <t>26,1,2</t>
  </si>
  <si>
    <t>26,1,3</t>
  </si>
  <si>
    <t>26,1,4</t>
  </si>
  <si>
    <t>26,1,5</t>
  </si>
  <si>
    <t>26,1,6</t>
  </si>
  <si>
    <t>26,1,7</t>
  </si>
  <si>
    <t>26,1,8</t>
  </si>
  <si>
    <t>26,1,9</t>
  </si>
  <si>
    <t>26,1,10</t>
  </si>
  <si>
    <t>26,1,11</t>
  </si>
  <si>
    <t>26,1,12</t>
  </si>
  <si>
    <t>26,1,13</t>
  </si>
  <si>
    <t>26,1,14</t>
  </si>
  <si>
    <t>26,1,15</t>
  </si>
  <si>
    <t>26,1,16</t>
  </si>
  <si>
    <t xml:space="preserve"> TOMA DE DATOS CAT 6E  </t>
  </si>
  <si>
    <t xml:space="preserve"> TOMA TELEFÓNICO RJ45 DE INCRUSTAR  </t>
  </si>
  <si>
    <t>26,2,1</t>
  </si>
  <si>
    <t>26,2,2</t>
  </si>
  <si>
    <t>26,2,3</t>
  </si>
  <si>
    <t>26,3,1</t>
  </si>
  <si>
    <t>26,3,2</t>
  </si>
  <si>
    <t>26,3,3</t>
  </si>
  <si>
    <t>26,3,4</t>
  </si>
  <si>
    <t>INSTALACIONES ELECTRICAS</t>
  </si>
  <si>
    <t xml:space="preserve">TABLERO DE AUTOMÁTICOS TRIFÁSICO DE 18 CIRCUITOS  </t>
  </si>
  <si>
    <t xml:space="preserve">ACOMETIDA DE SUBESTACION A TABLERO GENERAL   </t>
  </si>
  <si>
    <t>ALCALDIA DE EL AGRADO</t>
  </si>
  <si>
    <t>Proyecto</t>
  </si>
  <si>
    <t>Revisado por,</t>
  </si>
  <si>
    <t>SECRETARIO DE PLANEACIÓN MUNICIPAL</t>
  </si>
  <si>
    <t>ING. JOSE IGNACIO CHAVARRO CARVAJAL</t>
  </si>
  <si>
    <t>SECRETARÍA DE PLANEACION Y OBRAS PÚBLICAS MUNICIPALES</t>
  </si>
  <si>
    <t>ITEM         : MEZCLA DENSA EN CALIENTE TIPO MDC-2. ESP. 450-07 INV.</t>
  </si>
  <si>
    <t>ITEM42.1  : Cerramiento piscina en aluminio. Incl.: modulos de 1 MTS x 1.4 - 1.7 mts según diseño, con Bastidor o marco  principal fabricado en tubería redonda de ALUMINIO  1-1/4, calibre  18, color natural; Ensamblado con tubería redonda de ALUMINIO  3/4", calibre  18 color natural,  con espacio libre entre ellos máximo de  10 cms; Unión de los tubos con conectores de polipropileno, pie de amigo cada 6 MTS y todo lo necesario.</t>
  </si>
  <si>
    <t>ITEM 42.2  : PUERTA. Modulo de 1.0 Mts de longitud x 1.40 Mts altura; Incl.: 2 PIE DE AMIGO, CHAPA MAGNÉTICA, AJUSTABLE CON LLAVE  y 2 DOS BISAGRAS DE TENSIÓN AJUSTABLE,  fabricadas en material polímero resistente a la oxidación.</t>
  </si>
  <si>
    <t>ITEM 35.2      : REJILLA METÁLICA EN ANGULO - 2&lt;2"X1/8" SUPERIOR Y BARRAS EN VARILLA DE 5/8"</t>
  </si>
  <si>
    <t>=</t>
  </si>
  <si>
    <t>Base Granular (SBG-1) - ESP. 320-07 INV.</t>
  </si>
  <si>
    <t>ACOMETIDA DE TABLERO GENERAL A TABLEROS DE DISTRUBUCION. Incluye conductores, tubería y todos los elementos necesarios para la actividad</t>
  </si>
  <si>
    <t>Tablero de Distribución de 8 CTS. Incluye Breaker, caja y todos los elementos necesarios para la actividad</t>
  </si>
  <si>
    <t>Fabricación, suministro y montaje ventanas tipo persiana en lámina cal.18 y marco en tubo de 2" X 1" cal.18</t>
  </si>
  <si>
    <t>Und</t>
  </si>
  <si>
    <t>Abono químico</t>
  </si>
  <si>
    <t>Árbol de especie nativa de h = 0,30 - 0,50 mts</t>
  </si>
  <si>
    <t xml:space="preserve">Fabricación, suministro y montaje de Puertas en lámina Cal.18 con chapa. Medidas: 0,80 - 1,00 x 2,00mts </t>
  </si>
  <si>
    <t>Alambre cobre THW 8 AWG</t>
  </si>
  <si>
    <t>Alambre cobre THW 12 AWG</t>
  </si>
  <si>
    <t>Cable negro concentrico 2 x 8</t>
  </si>
  <si>
    <t>Conduleta 1"</t>
  </si>
  <si>
    <t>Grapa tensora</t>
  </si>
  <si>
    <t>interruptor termomagnetico 15 Amp</t>
  </si>
  <si>
    <t>Tubo galvanizado 1"</t>
  </si>
  <si>
    <t>Varilla de cobre de 5/8" x 0,80m</t>
  </si>
  <si>
    <t>ALAMBRE DE COBRE# 8 AWG</t>
  </si>
  <si>
    <t>ALAMBRE DE COBRE# 10 AWG</t>
  </si>
  <si>
    <t>TABLERO DE 8 CTOS</t>
  </si>
  <si>
    <t>ADAPTADOR TERMINAL PVC 1/2"</t>
  </si>
  <si>
    <t>CINTA AISLANTE</t>
  </si>
  <si>
    <t>CAJA OCTAGONAL</t>
  </si>
  <si>
    <t>INTERRRUPTOR DOBLE</t>
  </si>
  <si>
    <t>SOLDADURA WESTARCO 8013X1/8"</t>
  </si>
  <si>
    <t>LAMINA C.R. CAL. 18</t>
  </si>
  <si>
    <t>ANGULO DE 1/8" X 3/4"</t>
  </si>
  <si>
    <t>CHAZO Y TORNILLO</t>
  </si>
  <si>
    <t>ING. JUAN CARLOS DIAZ CHARRY</t>
  </si>
  <si>
    <t>INGENIERO CIVIL</t>
  </si>
  <si>
    <t>M.P. 25202-101915 CND</t>
  </si>
  <si>
    <t>PINTURA ANTICORROSIVO</t>
  </si>
  <si>
    <t>Cerco en madera de 0,80 X 0,80h= 1,20 mts</t>
  </si>
  <si>
    <t>Anclaje expansivo de 7cm, con platina de 3/8"</t>
  </si>
  <si>
    <t>und</t>
  </si>
  <si>
    <t>Banca prefabricada en concreto de 3000 PSI acabado liso, incluye acero de refuerzo de 3/8" Fy=60.000 psi, c/0.15m en ambos sentidos</t>
  </si>
  <si>
    <t>BREAKER 3X63 AMP.</t>
  </si>
  <si>
    <t>MASCARILLAS DE SEÑALIZACION</t>
  </si>
  <si>
    <t>CANALETA PLASTICA RANURADA</t>
  </si>
  <si>
    <t>CHAPA  SEGURIDAD</t>
  </si>
  <si>
    <t>CHAPA SEGURIDAD</t>
  </si>
  <si>
    <t>ESPEJO CRISTAL  DE 4 MM</t>
  </si>
  <si>
    <t>TUBERIA GALVANIZADA 2 1/2"</t>
  </si>
  <si>
    <t>TUBO REDONDO DE 2" ACERO INHOXIDABLE SAE 304 SCH-10 (2 mm)</t>
  </si>
  <si>
    <t>SOLDADURA ELECTRODO E-308 PARA ACERO INHOXIDABLE TIPO 201, 202, 301, 302</t>
  </si>
  <si>
    <t>LAMINA, PERFILES, ANGULO, TUBULARES, TORNILLERIA, ETC. EN ACERO INHOXIDABLE</t>
  </si>
  <si>
    <t>Suministro e instalación Lampara Metal Hallay de 1000W, 220V. Carcaza galvanizada en caliente  y pintura electroestatica o en Aluminio</t>
  </si>
  <si>
    <t>Suministro e instalación Posta en concreto 10 Mts 750 Kg</t>
  </si>
  <si>
    <t>FECHA:</t>
  </si>
  <si>
    <t>Cable encauchetado 3 x 10</t>
  </si>
  <si>
    <t>Tubo conduit PVC de 4" x 3 mts tipo pesado</t>
  </si>
  <si>
    <t>Lampara Metal Hallay de 1000W, 220V</t>
  </si>
  <si>
    <t>POSTE DE CONCRETO DE 10 M DE 750 Kg</t>
  </si>
  <si>
    <t>VEHICULO 3 TON</t>
  </si>
  <si>
    <t>Precio-Unit./Km</t>
  </si>
  <si>
    <t>TUBO CONDUIT PVC 4" X 3 M</t>
  </si>
  <si>
    <t>ALAMBRE ENCAUCHETADO No.10</t>
  </si>
  <si>
    <t>A.I.U.</t>
  </si>
  <si>
    <t xml:space="preserve">Administración </t>
  </si>
  <si>
    <t>Imprevistos</t>
  </si>
  <si>
    <t>Utilidad</t>
  </si>
  <si>
    <t>VARILLA ROSCADA GRADO 5 DE 1/2" X 3.60 METROS</t>
  </si>
  <si>
    <t>TUERCA DE SEGURIDAD GRADO CINCO 2H DE 1/2"</t>
  </si>
  <si>
    <t>THINER (GALON)</t>
  </si>
  <si>
    <t>FORMALETA PARA ANDAMIOS METALICOS TUBULAR.</t>
  </si>
  <si>
    <t>LONGITUD</t>
  </si>
  <si>
    <t>ANCHO</t>
  </si>
  <si>
    <t>x</t>
  </si>
  <si>
    <t>A</t>
  </si>
  <si>
    <t>B</t>
  </si>
  <si>
    <t>C</t>
  </si>
  <si>
    <t>D</t>
  </si>
  <si>
    <t>E</t>
  </si>
  <si>
    <t>F</t>
  </si>
  <si>
    <t>G</t>
  </si>
  <si>
    <t>TRANSPORTE DE MATERIAL</t>
  </si>
  <si>
    <t>KM-M3</t>
  </si>
  <si>
    <t>TAPA Y ARO TAPA EN HF DUCTIL CLASE D400 SEGÚN NORMA EN-124</t>
  </si>
  <si>
    <t>DERECHOS DE EXPLOTACION Y/O DISPOSICION DE MATERIALES.</t>
  </si>
  <si>
    <t>UND.</t>
  </si>
  <si>
    <t>VALOR UNITARIO</t>
  </si>
  <si>
    <t>M.P. 25202-132148 CND</t>
  </si>
  <si>
    <t>1.1.1.</t>
  </si>
  <si>
    <t>CASETA</t>
  </si>
  <si>
    <t>PROFUNDIDAD</t>
  </si>
  <si>
    <t>ALTURA</t>
  </si>
  <si>
    <t>PLACA DE FONDO</t>
  </si>
  <si>
    <t>MUROS LONGITUDINALES</t>
  </si>
  <si>
    <t>MUROS TRANSVERSALES</t>
  </si>
  <si>
    <t>KILOS</t>
  </si>
  <si>
    <t>FACTOR</t>
  </si>
  <si>
    <t>EQUIPOS Y ELEMENTOS ESPECIALES</t>
  </si>
  <si>
    <t>LUIS ALBERTO TORRES CUELLAR</t>
  </si>
  <si>
    <t>EXCESOS</t>
  </si>
  <si>
    <t>ADUCCION BOCATOMA-DESARENADOR</t>
  </si>
  <si>
    <t>DESARENADOR</t>
  </si>
  <si>
    <t>CUADRO DE ACEROS</t>
  </si>
  <si>
    <t>LAVADO</t>
  </si>
  <si>
    <t>BY PASS</t>
  </si>
  <si>
    <t>BY-PASS</t>
  </si>
  <si>
    <t>LABORATORIO</t>
  </si>
  <si>
    <t>CAMARA DE LLEGA Y AQUIETAMIENTO DEL AGUA</t>
  </si>
  <si>
    <t>FILTROS</t>
  </si>
  <si>
    <t xml:space="preserve">TANQUE </t>
  </si>
  <si>
    <t>TANQUE</t>
  </si>
  <si>
    <t>CAJILLAS VALVULAS DE ENTRADA</t>
  </si>
  <si>
    <t>M4</t>
  </si>
  <si>
    <t>M5</t>
  </si>
  <si>
    <t>PLACA SUPERIOR</t>
  </si>
  <si>
    <t>ENTRADA</t>
  </si>
  <si>
    <t>PASAMUROS HD DE 4" BxB L=0.75M Z=0.375M</t>
  </si>
  <si>
    <t>PASAMUROS HD DE 6" ELxB L=0.25M Z=0.075M</t>
  </si>
  <si>
    <t>PASAMUROS HD DE 6" BxB L=0.75M Z=0.375M</t>
  </si>
  <si>
    <t>COMPUERTA DE VASTAGO DESLIZANTE DE 6" CON COLUMNA DE MANIOBRA Y VASTAGO DE 3-5 METROS. INCLUYE ACCESORIOS DE IZAJE.</t>
  </si>
  <si>
    <t>ANTICORROSIVO</t>
  </si>
  <si>
    <t>LAMINA H.R. 3/8" 2440X6100 MM A572-50</t>
  </si>
  <si>
    <t>ACERO ESTRUCTURAL GRADO 50 NEGRO</t>
  </si>
  <si>
    <t>CERRAMIENTO</t>
  </si>
  <si>
    <t>RED DE TUBERIAS</t>
  </si>
  <si>
    <t>EXTERIOR</t>
  </si>
  <si>
    <t>LAMINA EN FIBRA DE VIDRIO DE 0.02 METROS DE 1.22X2.44 METROS.</t>
  </si>
  <si>
    <t>MODULO DE SEDIMENTACION DE ALTA TASA TIPO COLMENA DE 1.04 METROS DE ALTURA. EN POLIESTIRENO.</t>
  </si>
  <si>
    <t>ARENA FINA PARA FILTRO</t>
  </si>
  <si>
    <t>ANTRACITA PARA FILTRO</t>
  </si>
  <si>
    <t>GRAVA PARA FILTRO</t>
  </si>
  <si>
    <t xml:space="preserve">BOMBA DOSIFICADORA PARA PRODUCTOS QUIMICOS TIPO DIAFRAGMA. </t>
  </si>
  <si>
    <t>DOSIFICACION DE CLORO</t>
  </si>
  <si>
    <t>DOSIFICACION DE COAGULANTE</t>
  </si>
  <si>
    <t xml:space="preserve">Administración (SUMINISTROS) </t>
  </si>
  <si>
    <t xml:space="preserve">SISTEMA DE PURGA RED DE 6" </t>
  </si>
  <si>
    <t>RED DE ADUCCION DE 6"</t>
  </si>
  <si>
    <t>VEHÍCULO DELINEADOR DEMARCADOR DE VÍAS.</t>
  </si>
  <si>
    <t>CAMIONETA TIPO ESTACA ≥1600 CC.</t>
  </si>
  <si>
    <t>MICROESFERA REFLECTIVA DE VIDRIO.</t>
  </si>
  <si>
    <t>PINTURA REFLECTIVA PARA TRÁFICO</t>
  </si>
  <si>
    <t>DISOLVENTE PARA PINTURA (THINNER).</t>
  </si>
  <si>
    <t>DEPENDENCIA CONTRATANTE</t>
  </si>
  <si>
    <t>OBJETO: PRECIOS UNITARIOS OFICIALES - ALCALDIA DE NEIVA</t>
  </si>
  <si>
    <t>FORMALETA PARA ELEVACIONES DE ESTRUCTURAS.</t>
  </si>
  <si>
    <t>EQUIPO DE TRABAJOS EN ALTURA (ARNES Y LAZOS)</t>
  </si>
  <si>
    <t>MALLA ELECTROSOLDADA D163</t>
  </si>
  <si>
    <t>MALLA ESLABONADA GALV. Cal. 10</t>
  </si>
  <si>
    <t xml:space="preserve">TUBO ESTRUCTURAL 3" CAL 3 MM PRIMERA CON  TAPA SUPERIOR </t>
  </si>
  <si>
    <t>TUBO A.N. DE 1 1/2" CAL 2,0 MM PRIMERA</t>
  </si>
  <si>
    <t>VARILLA LISA DE  1/2" A-36</t>
  </si>
  <si>
    <t xml:space="preserve">PLATINA DE 1 * 1/8" </t>
  </si>
  <si>
    <t xml:space="preserve">ANGULO DE 1 1/4 * 3/16" </t>
  </si>
  <si>
    <t>TUBO GALVANIZADO 2" CON TAPA SUPERIOR</t>
  </si>
  <si>
    <t>UNION GALVANIZADA 2" L= 0,3M</t>
  </si>
  <si>
    <t>PASADOR CON BASE Y CANDADO</t>
  </si>
  <si>
    <t>TABLERO EN FIBRA DE VIDRIO E = 10 MM,  DEMARCADO Y LOGOS</t>
  </si>
  <si>
    <t>MALLA NYLON 3</t>
  </si>
  <si>
    <t>ARO EN VARILLA 5/8" LISA Ø45CM PLATINA 1/8"</t>
  </si>
  <si>
    <t>MALLA ELECTROSOLDADA HUECO 15 *15 CAL 4MM</t>
  </si>
  <si>
    <t>FORMALETA EN MADERA</t>
  </si>
  <si>
    <t>CASETON DE ESTERILLA</t>
  </si>
  <si>
    <t xml:space="preserve">CONCRETO NORMAL - 3500 PSI (280 KG/CM2)  </t>
  </si>
  <si>
    <t xml:space="preserve">ITEM: CONCRETO NORMAL - 3000 PSI (210 KG/CM2) </t>
  </si>
  <si>
    <t>CONSTRUCCIÓN DE LA CUBIERTA PARA EL POLIDEPORTIVO DEL BARRIO GALAN DE LA COMUNA 6 - MUNICIPIO DE NEIVA - HUILA</t>
  </si>
  <si>
    <t>TEJA SUPERTERMOACUSTIC+caballete</t>
  </si>
  <si>
    <t>TORNILLO FIJO ALA</t>
  </si>
  <si>
    <t>ANGULO 2½" X 1/4"</t>
  </si>
  <si>
    <t>ÁNGULO 2½"x 3/16"</t>
  </si>
  <si>
    <t>ÁNGULO 2"x 1/8"</t>
  </si>
  <si>
    <t>ÁNGULO 1"x3/16"</t>
  </si>
  <si>
    <t>RIOSTRAS Y TENSORES DE CUBIERTA</t>
  </si>
  <si>
    <t>PLATINA 2½"X1/4"</t>
  </si>
  <si>
    <t>TORNILLO CON TUERCA Y ARANDELA GR-8 (5/8") - L:30CM</t>
  </si>
  <si>
    <t>ANGULO 1½" X 3/16"</t>
  </si>
  <si>
    <t>ÁNGULO 1"x1/8"</t>
  </si>
  <si>
    <t>PLATINA 50X50CMX1/2"</t>
  </si>
  <si>
    <t>ESPARRAGO ROSCADO DE 3/4". INCL.: TUERCA - ARANDELA</t>
  </si>
  <si>
    <t>PERFIL ACESCO  Galv.PAG C 160x60mm-2.5mm</t>
  </si>
  <si>
    <t>LAMINA GALVANIZADA C.20 (1.0X2.0 Mts)</t>
  </si>
  <si>
    <t>CODO PVC Ø 4" X 90 SANITARIO CXE</t>
  </si>
  <si>
    <t>TUBO PVC Ø 4"  SANITARIO</t>
  </si>
  <si>
    <t>MANO DE OBRA - CARPINTERIA MET.</t>
  </si>
  <si>
    <t>M3-Km</t>
  </si>
  <si>
    <t>DISTANCIA</t>
  </si>
  <si>
    <t>KG/ML</t>
  </si>
  <si>
    <t>REFRENCIA</t>
  </si>
  <si>
    <t>ESPESOR</t>
  </si>
  <si>
    <t>PERFIL RECTANGULAR DE 150x100x6.00 mm</t>
  </si>
  <si>
    <t>DOMICILIARIAS</t>
  </si>
  <si>
    <t>CÁLCULO FACTOR MULTIPLICADOR</t>
  </si>
  <si>
    <t xml:space="preserve"> SUELDO ANUAL BÁSICO 100%</t>
  </si>
  <si>
    <t>Sueldo</t>
  </si>
  <si>
    <t xml:space="preserve">Prima anual </t>
  </si>
  <si>
    <t xml:space="preserve">Cesantía anual </t>
  </si>
  <si>
    <t>2.2.1</t>
  </si>
  <si>
    <t>Retroactividad cesantías</t>
  </si>
  <si>
    <t>Intereses a las cesantías</t>
  </si>
  <si>
    <t>Vacaciones anuales</t>
  </si>
  <si>
    <t xml:space="preserve">Seguridad social </t>
  </si>
  <si>
    <t>2.5.1</t>
  </si>
  <si>
    <t xml:space="preserve">ATEP </t>
  </si>
  <si>
    <t>2.5.2</t>
  </si>
  <si>
    <t xml:space="preserve"> IVM (13.5%, empleador ¾ de 13.5%) </t>
  </si>
  <si>
    <t>2.5.3</t>
  </si>
  <si>
    <t xml:space="preserve">EGM (12%, empleador 2/3 de 12%) </t>
  </si>
  <si>
    <t xml:space="preserve">Subsidio familiar </t>
  </si>
  <si>
    <t xml:space="preserve">SENA </t>
  </si>
  <si>
    <t xml:space="preserve"> ICBF </t>
  </si>
  <si>
    <t xml:space="preserve">Seguros de ley </t>
  </si>
  <si>
    <t xml:space="preserve">Indemnización de ley </t>
  </si>
  <si>
    <t>Otros  - gastos desplazamiento, alimentación y refriguerios</t>
  </si>
  <si>
    <t>2.11.1</t>
  </si>
  <si>
    <t>Incapacidad no cubierta seguridad social y medicina prepagada</t>
  </si>
  <si>
    <t>2.11.2</t>
  </si>
  <si>
    <t xml:space="preserve"> Dotación </t>
  </si>
  <si>
    <t>2.11.3</t>
  </si>
  <si>
    <t xml:space="preserve"> Auxilios varios</t>
  </si>
  <si>
    <t>2.11.4</t>
  </si>
  <si>
    <t>Prestaciones extralegales</t>
  </si>
  <si>
    <t xml:space="preserve"> COSTOS INDIRECTOS </t>
  </si>
  <si>
    <t>Gastos legales y de administración</t>
  </si>
  <si>
    <t>Gastos directos no reembolsables</t>
  </si>
  <si>
    <t>3.2.1</t>
  </si>
  <si>
    <t>Arrendamiento oficinas</t>
  </si>
  <si>
    <t>3.2.2</t>
  </si>
  <si>
    <t>Servicios públicos</t>
  </si>
  <si>
    <t>3.2.3</t>
  </si>
  <si>
    <t xml:space="preserve"> Mantenimiento y operación oficinas</t>
  </si>
  <si>
    <t>3.2.4</t>
  </si>
  <si>
    <t xml:space="preserve"> Útiles y papelería</t>
  </si>
  <si>
    <t>3.2.5</t>
  </si>
  <si>
    <t>Gastos legales y bancarios</t>
  </si>
  <si>
    <t>3.2.6</t>
  </si>
  <si>
    <t xml:space="preserve"> Capacitación personal (cursos, congresos, seminarios)</t>
  </si>
  <si>
    <t>3.2.7</t>
  </si>
  <si>
    <t>Vigilancia y aseo</t>
  </si>
  <si>
    <t>3.2.8</t>
  </si>
  <si>
    <t xml:space="preserve"> Jubilaciones</t>
  </si>
  <si>
    <t>3.2.9</t>
  </si>
  <si>
    <t>Gastos de transporte y vehículos</t>
  </si>
  <si>
    <t>3.2.10</t>
  </si>
  <si>
    <t>Revistas y publicaciones técnicas</t>
  </si>
  <si>
    <t>3.2.11</t>
  </si>
  <si>
    <t xml:space="preserve"> Actualización tecnológica (software, equipos, etc.)</t>
  </si>
  <si>
    <t>3.2.12</t>
  </si>
  <si>
    <t xml:space="preserve"> Afiliación a asociaciones profesionales</t>
  </si>
  <si>
    <t>3.2.13</t>
  </si>
  <si>
    <t>Sistematización administración</t>
  </si>
  <si>
    <t xml:space="preserve"> Salarios y prestaciones no reembolsables</t>
  </si>
  <si>
    <t xml:space="preserve"> Personal administrativo</t>
  </si>
  <si>
    <t>3.3.2</t>
  </si>
  <si>
    <t xml:space="preserve"> Personal técnico no facturable</t>
  </si>
  <si>
    <t>3.3.3</t>
  </si>
  <si>
    <t>Personal técnico con sueldo por encima de topes</t>
  </si>
  <si>
    <t>3.3.4</t>
  </si>
  <si>
    <t>Preparación de propuestas</t>
  </si>
  <si>
    <t>Otros gastos no reembolsables</t>
  </si>
  <si>
    <t>3.4.1</t>
  </si>
  <si>
    <t xml:space="preserve"> Costos capital de trabajo</t>
  </si>
  <si>
    <t>3.4.2</t>
  </si>
  <si>
    <t>Seguros</t>
  </si>
  <si>
    <t>3.4.3</t>
  </si>
  <si>
    <t xml:space="preserve"> Relaciones públicas y gastos de representación</t>
  </si>
  <si>
    <t>3.4.4</t>
  </si>
  <si>
    <t xml:space="preserve"> Depreciación instalaciones y equipos oficina</t>
  </si>
  <si>
    <t xml:space="preserve"> Asesoría legal permanente (responsabilidad civil, penal, laboral, etc.)</t>
  </si>
  <si>
    <t>HONORARIOS</t>
  </si>
  <si>
    <t>Honorarios</t>
  </si>
  <si>
    <t>TOTAL FACTOR MULTIPLICADOR (FM = 1 + 2 + 3 + 4)</t>
  </si>
  <si>
    <t>ÍTEM</t>
  </si>
  <si>
    <t>MES</t>
  </si>
  <si>
    <t>PASAMUROS HD DE 8" BxB L=0.75M Z=0.375M</t>
  </si>
  <si>
    <t>COMPUERTA DE VASTAGO DESLIZANTE DE 8" CON COLUMNA DE MANIOBRA Y VASTAGO DE 3-5 METROS. INCLUYE ACCESORIOS DE IZAJE.</t>
  </si>
  <si>
    <t>DESCUENTO</t>
  </si>
  <si>
    <t>TEE PRESION   Ø 8" SCH 80</t>
  </si>
  <si>
    <t>CODO PRESION 90º  Ø 8" SCH 80</t>
  </si>
  <si>
    <t>RED DE ADUCCION DE 8"</t>
  </si>
  <si>
    <t>FILTRO EN YEE BRIDADO DE 6" CON LLAVE DE BOLA</t>
  </si>
  <si>
    <t>SALIDA DE LOS TANQUES DE ALMACENAMIENTO</t>
  </si>
  <si>
    <t>TALADRO CON PERCUTOR-INCLUYE BROCA DE TUNGSTENO</t>
  </si>
  <si>
    <t>CAPITULO 1: ACUEDUCTO</t>
  </si>
  <si>
    <t>TOMADO DEL CUADRO DE ACEROS</t>
  </si>
  <si>
    <t>SUB-TOTAL OBRA CIVIL BOCATOMA-CAPTACION</t>
  </si>
  <si>
    <t xml:space="preserve">SUB-TOTAL SUMINISTROS BOCATOMA-CAPTACION </t>
  </si>
  <si>
    <t>VALVULAS DE PURGA</t>
  </si>
  <si>
    <t>VALVULAS VENTOSAS</t>
  </si>
  <si>
    <t>CAMARA DE AQUIETAMIENTO</t>
  </si>
  <si>
    <t>CAMARA DE RECOLECCION</t>
  </si>
  <si>
    <t>CAJA DE LAVADO</t>
  </si>
  <si>
    <t>BRIDA AJUSTABLE PVC DE 3" SCH80 150 PSI</t>
  </si>
  <si>
    <t>BRIDA AJUSTABLE PVC DE 4" SCH80 150 PSI</t>
  </si>
  <si>
    <t>BRIDA AJUSTABLE PVC DE 6" SCH80 150 PSI</t>
  </si>
  <si>
    <t>BRIDA AJUSTABLE PVC DE 8" SCH80 150 PSI</t>
  </si>
  <si>
    <t>PUERTAS</t>
  </si>
  <si>
    <t>VENTANAS</t>
  </si>
  <si>
    <t>CARAS</t>
  </si>
  <si>
    <t>CAJILLAS VALVULAS DE SALIDA PTAP</t>
  </si>
  <si>
    <t>CAJILLA VALVULA DE LAVADO</t>
  </si>
  <si>
    <t>BYPASS</t>
  </si>
  <si>
    <t>SALIDA</t>
  </si>
  <si>
    <t xml:space="preserve">VARILLA 3/8" CORRUGADA </t>
  </si>
  <si>
    <t>CAJILLA DE ENTRADA</t>
  </si>
  <si>
    <t>CAJAS DE ENTRADA Y CONTROL</t>
  </si>
  <si>
    <t xml:space="preserve">CANAL </t>
  </si>
  <si>
    <t>CAJAS DE ENTREGA A FLOCULADORES</t>
  </si>
  <si>
    <t>BRIDA LOCA H.D. DE 6" PARA PEAD</t>
  </si>
  <si>
    <t>BRIDA LOCA H.D. DE 8" PARA PEAD</t>
  </si>
  <si>
    <t>BRIDA LOCA H.D. DE 12" PARA PEAD</t>
  </si>
  <si>
    <t xml:space="preserve">TUBERIA H.D. O PETROLERA DE 6" </t>
  </si>
  <si>
    <t xml:space="preserve">TUBERIA H.D. O PETROLERA DE 8" </t>
  </si>
  <si>
    <t xml:space="preserve">TUBERIA H.D. O PETROLERA DE 12" </t>
  </si>
  <si>
    <t>SUB-TOTAL OBRA CIVIL CAMARA DE LLEGADA Y AQUIETAMIENTO</t>
  </si>
  <si>
    <t>SUB-TOTAL SUMINISTROS CAMARA DE LLEGADA Y AQUIETAMIENTO</t>
  </si>
  <si>
    <t>TUBERIA DE LAVADO PVC-P 6"-TREN 1</t>
  </si>
  <si>
    <t>TUBERIA DE LAVADO PVC-P 6"-TREN 2</t>
  </si>
  <si>
    <t>SALIDA FLOCULADOR</t>
  </si>
  <si>
    <t>LLEGADA CAJA DE LAVADO</t>
  </si>
  <si>
    <t>PASAMUROS HD DE 12" BxB L=0.75M Z=0.375M</t>
  </si>
  <si>
    <t>BRIDA CIEGA H.D. DE 6"</t>
  </si>
  <si>
    <t>BRIDA CIEGA H.D. DE 8"</t>
  </si>
  <si>
    <t>CANAL DE AGUA SEDIMENTADA</t>
  </si>
  <si>
    <t>SUB-TOTAL OBRA CIVIL ESPESADOR GRAVIMETRICO</t>
  </si>
  <si>
    <t>SUB-TOTAL SUMINISTROS ESPESADOR GRAVIMETRICO</t>
  </si>
  <si>
    <t>LECHOS DE SECADO</t>
  </si>
  <si>
    <t>SUB-TOTAL OBRA CIVIL LECHOS DE SECADO</t>
  </si>
  <si>
    <t>SUB-TOTAL SUMINISTROS LECHOS DE SECADO</t>
  </si>
  <si>
    <t>SUB-TOTAL OBRA CIVIL EQUIPOS Y ELEMENTOS ESPECIALES</t>
  </si>
  <si>
    <t>SUB-TOTAL SUMINISTROS EQUIPOS Y ELEMENTOS ESPECIALES</t>
  </si>
  <si>
    <t>LAVADO DE FILTROS</t>
  </si>
  <si>
    <t>PASAMUROS HD DE 3" BxB L=0.75M Z=0.275M</t>
  </si>
  <si>
    <t>SALIDA A TANQUES DE ALMACENAMIENTO</t>
  </si>
  <si>
    <t>ESPESADOR GRAVIMETRICO</t>
  </si>
  <si>
    <t>ESPESADOR</t>
  </si>
  <si>
    <t>CAJILLA DE LODOS</t>
  </si>
  <si>
    <t>TUBERIA PVC-P DE 4"</t>
  </si>
  <si>
    <t>TUBERIA PVC-P DE 6"</t>
  </si>
  <si>
    <t>TUBERIA PVC-P DE 8"</t>
  </si>
  <si>
    <t>TOLVA</t>
  </si>
  <si>
    <t>TUBERIA PVC-P DE 4"-LODOS</t>
  </si>
  <si>
    <t>TUBERIA PVC-P DE 6"-EXCESOS</t>
  </si>
  <si>
    <t>TUBERIA PVC-P DE 8"-LLEGADA</t>
  </si>
  <si>
    <t>CAJILLA DE AGUA DECANTADA</t>
  </si>
  <si>
    <t>CAJILLAS DE RECOLECCION DE LIXIVIADOS</t>
  </si>
  <si>
    <t>LECHO DE SECADO</t>
  </si>
  <si>
    <t>PLACA INFERIOR</t>
  </si>
  <si>
    <t>PENDIENTE DE FONDO DE LOS LECHOS</t>
  </si>
  <si>
    <t>TUBERIA PVC-P DE 4"-LIXIVIADOS</t>
  </si>
  <si>
    <t>TUBERIA PVC-P DE 6"-LIXIVIADOS</t>
  </si>
  <si>
    <t>ENTREGA A LECHOS</t>
  </si>
  <si>
    <t>LECHO DE SECADO-PORTICO</t>
  </si>
  <si>
    <t>CORREAS</t>
  </si>
  <si>
    <t>PERFIL RECTANGULAR DE 80x40x2.00 mm</t>
  </si>
  <si>
    <t>LECHOS</t>
  </si>
  <si>
    <t>FILTRO EN YEE BRIDADO DE 8" CON LLAVE DE BOLA</t>
  </si>
  <si>
    <t>TOTAL CAPITULO 1: OBRA CIVIL</t>
  </si>
  <si>
    <t>TOTAL CAPITULO 1: SUMINISTROS</t>
  </si>
  <si>
    <t>BECKSY KAROLINA SUAZA PEÑALOSA</t>
  </si>
  <si>
    <t>INGENIEERA CIVIL</t>
  </si>
  <si>
    <t>M.P. 05202-406082 ANT</t>
  </si>
  <si>
    <t>ALCALDIA ALGECIRAS</t>
  </si>
  <si>
    <t>RED DE 2" RDE 21</t>
  </si>
  <si>
    <t>RED DE 3" RDE 21</t>
  </si>
  <si>
    <t>RED DE 4" RDE 21</t>
  </si>
  <si>
    <t>RED DE 8" RDE 21</t>
  </si>
  <si>
    <t>DESCUENTOS</t>
  </si>
  <si>
    <t>OBRA CIVIL</t>
  </si>
  <si>
    <t>SUMINISTROS</t>
  </si>
  <si>
    <t>TOTAL: BOCATOMA</t>
  </si>
  <si>
    <t>TOTAL: ADUCCIONES</t>
  </si>
  <si>
    <t>SUBTOTAL: ADUCCIONES SUMINISTROS</t>
  </si>
  <si>
    <t>SUBTOTAL: ADUCCIONES OBRA CIVIL</t>
  </si>
  <si>
    <t>SUBTOTAL CAPITULO 4 : PTAP OBRA CIVIL</t>
  </si>
  <si>
    <t>SUBTOTAL CAPITULO 4 : PTAP SUMINISTROS</t>
  </si>
  <si>
    <t>SUB-TOTAL OBRA CIVIL RED DE DISTRIBUCION</t>
  </si>
  <si>
    <t>SUB-TOTAL SUMINISTROS RED DE DISTRIBUCION</t>
  </si>
  <si>
    <t>TOTAL : RED DE DISTRIBUCION</t>
  </si>
  <si>
    <t>FACTOR PRESTACIONAL</t>
  </si>
  <si>
    <t>EQUIPO DE TOPOGRAFIA</t>
  </si>
  <si>
    <t>VALOR PARCIAL</t>
  </si>
  <si>
    <t>PERSONAL PROFESIONAL</t>
  </si>
  <si>
    <t>TOTAL : RED ELECTRICA</t>
  </si>
  <si>
    <t>SUB-TOTAL OBRA CIVIL RED ELECTRICA</t>
  </si>
  <si>
    <t>SUB-TOTAL SUMINISTROS RED ELECTRICA</t>
  </si>
  <si>
    <t>CERTIFICACION INSPECCION RETIE</t>
  </si>
  <si>
    <t>Dia</t>
  </si>
  <si>
    <t>POLIN DE MADERA PINO DE 4.5CMx4.5.CMx3.20M.</t>
  </si>
  <si>
    <t>CERCO DE MADERA PINO DE 4.5CMx9.5CMx3.20M.</t>
  </si>
  <si>
    <t>FECHA</t>
  </si>
  <si>
    <t>1.1. BOCATOMA - CAPTACION</t>
  </si>
  <si>
    <t>1.1.1.1.</t>
  </si>
  <si>
    <t>1.1.1.2.</t>
  </si>
  <si>
    <t>1.1.1.3.</t>
  </si>
  <si>
    <t>1.1.1.4.</t>
  </si>
  <si>
    <t>1.1.1.5.</t>
  </si>
  <si>
    <t>1.1.1.6.</t>
  </si>
  <si>
    <t>1.1.1.7.</t>
  </si>
  <si>
    <t>1.1.1.8.</t>
  </si>
  <si>
    <t>1.2. ADUCCIONES</t>
  </si>
  <si>
    <t>1.2.1.</t>
  </si>
  <si>
    <t>1.2.1.1.</t>
  </si>
  <si>
    <t>1.2.1.2.</t>
  </si>
  <si>
    <t>1.2.1.3.</t>
  </si>
  <si>
    <t>1.2.1.4.</t>
  </si>
  <si>
    <t>1.2.1.5.</t>
  </si>
  <si>
    <t>1.2.1.6.</t>
  </si>
  <si>
    <t>1.2.1.7.</t>
  </si>
  <si>
    <t>1.2.1.8.</t>
  </si>
  <si>
    <t>1.2.1.9.</t>
  </si>
  <si>
    <t>1.2.1.10.</t>
  </si>
  <si>
    <t>1.2.1.11.</t>
  </si>
  <si>
    <t>1.2.1.12.</t>
  </si>
  <si>
    <t>1.2.1.13.</t>
  </si>
  <si>
    <t>1.2.1.14.</t>
  </si>
  <si>
    <t>1.2.2.</t>
  </si>
  <si>
    <t>1.2.2.1.</t>
  </si>
  <si>
    <t>1.2.2.2.</t>
  </si>
  <si>
    <t>1.2.2.3.</t>
  </si>
  <si>
    <t>1.2.2.4.</t>
  </si>
  <si>
    <t>1.2.2.5.</t>
  </si>
  <si>
    <t>1.2.2.6.</t>
  </si>
  <si>
    <t>1.2.2.7.</t>
  </si>
  <si>
    <t>1.2.2.8.</t>
  </si>
  <si>
    <t>1.2.2.9.</t>
  </si>
  <si>
    <t>1.2.2.11.</t>
  </si>
  <si>
    <t>1.2.2.12.</t>
  </si>
  <si>
    <t>1.2.2.13.</t>
  </si>
  <si>
    <t>1.2.2.14.</t>
  </si>
  <si>
    <t>1.2.2.15.</t>
  </si>
  <si>
    <t>1.2.2.16.</t>
  </si>
  <si>
    <t>1.3. DESARENADOR</t>
  </si>
  <si>
    <t>1.3.1.</t>
  </si>
  <si>
    <t>1.3.1.1.</t>
  </si>
  <si>
    <t>1.3.1.2.</t>
  </si>
  <si>
    <t>1.3.1.3.</t>
  </si>
  <si>
    <t>1.3.1.4.</t>
  </si>
  <si>
    <t>1.3.1.5.</t>
  </si>
  <si>
    <t>1.3.1.6.</t>
  </si>
  <si>
    <t>1.3.1.7.</t>
  </si>
  <si>
    <t>1.3.1.8.</t>
  </si>
  <si>
    <t>1.3.1.9.</t>
  </si>
  <si>
    <t>1.3.1.10.</t>
  </si>
  <si>
    <t>1.3.1.11.</t>
  </si>
  <si>
    <t>1.3.1.12.</t>
  </si>
  <si>
    <t>1.3.1.14.</t>
  </si>
  <si>
    <t>1.3.1.15.</t>
  </si>
  <si>
    <t>1.3.1.16.</t>
  </si>
  <si>
    <t>1.3.1.17.</t>
  </si>
  <si>
    <t>1.3.1.18.</t>
  </si>
  <si>
    <t>1.3.1.19.</t>
  </si>
  <si>
    <t>1.3.1.20.</t>
  </si>
  <si>
    <t>1.4.1.</t>
  </si>
  <si>
    <t>1.4.1.1.</t>
  </si>
  <si>
    <t>1.4.1.2.</t>
  </si>
  <si>
    <t>1.4.1.3.</t>
  </si>
  <si>
    <t>1.4.1.4.</t>
  </si>
  <si>
    <t>1.4.1.5.</t>
  </si>
  <si>
    <t>1.4.1.6.</t>
  </si>
  <si>
    <t>1.4.1.7.</t>
  </si>
  <si>
    <t>1.4.1.8.</t>
  </si>
  <si>
    <t>1.4.1.9.</t>
  </si>
  <si>
    <t>1.4.1.11.</t>
  </si>
  <si>
    <t>1.4.1.12.</t>
  </si>
  <si>
    <t>1.4.1.13.</t>
  </si>
  <si>
    <t>1.4.1.14.</t>
  </si>
  <si>
    <t>1.4.1.15.</t>
  </si>
  <si>
    <t>1.4.1.16.</t>
  </si>
  <si>
    <t>1.4.1.17.</t>
  </si>
  <si>
    <t>1.4.1.18.</t>
  </si>
  <si>
    <t>1.4.1.19.</t>
  </si>
  <si>
    <t>1.4.1.20.</t>
  </si>
  <si>
    <t>1.4.1.21.</t>
  </si>
  <si>
    <t>1.4.1.22.</t>
  </si>
  <si>
    <t>1.4.1.23.</t>
  </si>
  <si>
    <t>1.4.1.24.</t>
  </si>
  <si>
    <t>1.4.1.26.</t>
  </si>
  <si>
    <t>1.4.1.27.</t>
  </si>
  <si>
    <t>1.4.1.28.</t>
  </si>
  <si>
    <t>1.4.1.29.</t>
  </si>
  <si>
    <t>1.4.1.31.</t>
  </si>
  <si>
    <t>1.4.1.32.</t>
  </si>
  <si>
    <t>1.4.1.33.</t>
  </si>
  <si>
    <t>1.4.1.34.</t>
  </si>
  <si>
    <t>1.4.1.35.</t>
  </si>
  <si>
    <t>1.4.1.36.</t>
  </si>
  <si>
    <t>1.4.1.37.</t>
  </si>
  <si>
    <t>1.4.1.38.</t>
  </si>
  <si>
    <t>1.4.1.39.</t>
  </si>
  <si>
    <t>1.4.1.40.</t>
  </si>
  <si>
    <t>1.4.1.41.</t>
  </si>
  <si>
    <t>1.4.1.42.</t>
  </si>
  <si>
    <t>1.4.1.43.</t>
  </si>
  <si>
    <t>1.4.1.10.</t>
  </si>
  <si>
    <t>1.4.1.30.</t>
  </si>
  <si>
    <t>1.4.2.</t>
  </si>
  <si>
    <t>1.4.2.1.</t>
  </si>
  <si>
    <t>1.4.2.2.</t>
  </si>
  <si>
    <t>1.4.2.3.</t>
  </si>
  <si>
    <t>1.4.2.4.</t>
  </si>
  <si>
    <t>1.4.2.5.</t>
  </si>
  <si>
    <t>1.4.2.6.</t>
  </si>
  <si>
    <t>1.4.2.7.</t>
  </si>
  <si>
    <t>1.4.2.8.</t>
  </si>
  <si>
    <t>1.4.2.9.</t>
  </si>
  <si>
    <t>1.4.2.10.</t>
  </si>
  <si>
    <t>1.4.2.11.</t>
  </si>
  <si>
    <t>1.4.2.12.</t>
  </si>
  <si>
    <t>1.4.2.13.</t>
  </si>
  <si>
    <t>1.4.2.14.</t>
  </si>
  <si>
    <t>1.4.2.15.</t>
  </si>
  <si>
    <t>1.4.2.16.</t>
  </si>
  <si>
    <t>1.4.2.17.</t>
  </si>
  <si>
    <t>1.4.2.18.</t>
  </si>
  <si>
    <t>1.4.2.19.</t>
  </si>
  <si>
    <t>1.4.3.</t>
  </si>
  <si>
    <t>1.4.3.1.</t>
  </si>
  <si>
    <t>1.4.3.2.</t>
  </si>
  <si>
    <t>1.4.3.3.</t>
  </si>
  <si>
    <t>1.4.3.4.</t>
  </si>
  <si>
    <t>1.4.3.5.</t>
  </si>
  <si>
    <t>1.4.3.6.</t>
  </si>
  <si>
    <t>1.4.3.7.</t>
  </si>
  <si>
    <t>1.4.3.8.</t>
  </si>
  <si>
    <t>1.4.3.9.</t>
  </si>
  <si>
    <t>1.4.3.10.</t>
  </si>
  <si>
    <t>1.4.3.11.</t>
  </si>
  <si>
    <t>1.4.3.12.</t>
  </si>
  <si>
    <t>1.4.3.13.</t>
  </si>
  <si>
    <t>1.4.3.14.</t>
  </si>
  <si>
    <t>1.4.3.15.</t>
  </si>
  <si>
    <t>1.4.3.16.</t>
  </si>
  <si>
    <t>1.4.3.17.</t>
  </si>
  <si>
    <t>1.4.4.</t>
  </si>
  <si>
    <t>1.4.4.1.</t>
  </si>
  <si>
    <t>1.4.4.2.</t>
  </si>
  <si>
    <t>1.4.4.3.</t>
  </si>
  <si>
    <t>1.4.4.4.</t>
  </si>
  <si>
    <t>1.4.4.5.</t>
  </si>
  <si>
    <t>1.4.4.6.</t>
  </si>
  <si>
    <t>1.4.4.7.</t>
  </si>
  <si>
    <t>1.4.4.8.</t>
  </si>
  <si>
    <t>1.4.4.9.</t>
  </si>
  <si>
    <t>1.4.4.10.</t>
  </si>
  <si>
    <t>1.4.4.11.</t>
  </si>
  <si>
    <t>1.4.4.12.</t>
  </si>
  <si>
    <t>1.4.4.13.</t>
  </si>
  <si>
    <t>1.4.5.</t>
  </si>
  <si>
    <t>1.4.5.1.</t>
  </si>
  <si>
    <t>1.4.5.2.</t>
  </si>
  <si>
    <t>1.4.5.3.</t>
  </si>
  <si>
    <t>1.4.5.4.</t>
  </si>
  <si>
    <t>1.4.5.5.</t>
  </si>
  <si>
    <t>1.4.5.6.</t>
  </si>
  <si>
    <t>1.4.5.7.</t>
  </si>
  <si>
    <t>1.4.5.8.</t>
  </si>
  <si>
    <t>1.4.5.10.</t>
  </si>
  <si>
    <t>1.4.5.11.</t>
  </si>
  <si>
    <t>1.4.5.12.</t>
  </si>
  <si>
    <t>1.4.5.13.</t>
  </si>
  <si>
    <t>1.4.5.14.</t>
  </si>
  <si>
    <t>1.4.5.15.</t>
  </si>
  <si>
    <t>1.4.6.</t>
  </si>
  <si>
    <t>1.4.6.1.</t>
  </si>
  <si>
    <t>1.4.6.2.</t>
  </si>
  <si>
    <t>1.4.6.3.</t>
  </si>
  <si>
    <t>1.4.6.4.</t>
  </si>
  <si>
    <t>1.4.6.5.</t>
  </si>
  <si>
    <t>1.4.6.6.</t>
  </si>
  <si>
    <t>1.5.1.</t>
  </si>
  <si>
    <t>1.5.2.</t>
  </si>
  <si>
    <t>1.5.3.</t>
  </si>
  <si>
    <t>1.5.4.</t>
  </si>
  <si>
    <t>1.5.5.</t>
  </si>
  <si>
    <t>1.5.6.</t>
  </si>
  <si>
    <t>1.5.7.</t>
  </si>
  <si>
    <t>1.5.8.</t>
  </si>
  <si>
    <t>1.5.9.</t>
  </si>
  <si>
    <t>1.5.10.</t>
  </si>
  <si>
    <t>1.5.11.</t>
  </si>
  <si>
    <t>1.5.12.</t>
  </si>
  <si>
    <t>1.5.13.</t>
  </si>
  <si>
    <t>1.5.14.</t>
  </si>
  <si>
    <t>1.5.15.</t>
  </si>
  <si>
    <t>1.6. RED DE DISTRIBUCION</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</si>
  <si>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</si>
  <si>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</si>
  <si>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</si>
  <si>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</si>
  <si>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</si>
  <si>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</si>
  <si>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</si>
  <si>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</si>
  <si>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</si>
  <si>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</si>
  <si>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</si>
  <si>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</si>
  <si>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</si>
  <si>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</si>
  <si>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</si>
  <si>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</si>
  <si>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</si>
  <si>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</si>
  <si>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</si>
  <si>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</si>
  <si>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</si>
  <si>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</si>
  <si>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</si>
  <si>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</si>
  <si>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</si>
  <si>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</si>
  <si>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</si>
  <si>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</si>
  <si>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</si>
  <si>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</si>
  <si>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</si>
  <si>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</si>
  <si>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1.6.33.</t>
  </si>
  <si>
    <t>1.6.34.</t>
  </si>
  <si>
    <t>1.6.35.</t>
  </si>
  <si>
    <t>1.6.36.</t>
  </si>
  <si>
    <t>ZONA DE PTAP</t>
  </si>
  <si>
    <t>KM</t>
  </si>
  <si>
    <t>CANITDAD</t>
  </si>
  <si>
    <t>1.7. RED ELECTRICA</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</si>
  <si>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</si>
  <si>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</si>
  <si>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</si>
  <si>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</si>
  <si>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</si>
  <si>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</si>
  <si>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</si>
  <si>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</si>
  <si>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</si>
  <si>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</si>
  <si>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</si>
  <si>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</si>
  <si>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</si>
  <si>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</si>
  <si>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</si>
  <si>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</si>
  <si>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</si>
  <si>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</si>
  <si>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</si>
  <si>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</si>
  <si>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</si>
  <si>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</si>
  <si>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</si>
  <si>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</si>
  <si>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</si>
  <si>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</si>
  <si>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</si>
  <si>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</si>
  <si>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</si>
  <si>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</si>
  <si>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1.7.31.</t>
  </si>
  <si>
    <t>1.7.32.</t>
  </si>
  <si>
    <t>1.7.33.</t>
  </si>
  <si>
    <t>1.7.34.</t>
  </si>
  <si>
    <t>LUBRICANTE: PRESENTACION DE 500 GRAMOS</t>
  </si>
  <si>
    <t>VALVULA DE COMPUERTA VASTAGO NO ASCENDENTE SELLO ELASTICO, CAPERUZA, EXTREMO BRIDA DE 3".</t>
  </si>
  <si>
    <t>VALVULA DE COMPUERTA VASTAGO NO ASCENDENTE SELLO ELASTICO, CAPERUZA, EXTREMO BRIDA DE 4".</t>
  </si>
  <si>
    <t>VALVULA DE COMPUERTA VASTAGO NO ASCENDENTE SELLO ELASTICO, CAPERUZA, EXTREMO BRIDA DE 6".</t>
  </si>
  <si>
    <t>VALVULA DE COMPUERTA VASTAGO NO ASCENDENTE SELLO ELASTICO, CAPERUZA, EXTREMO BRIDA DE 8".</t>
  </si>
  <si>
    <t>TEE HD EXTREMOS LISOS P/PVC DE 6"X6"</t>
  </si>
  <si>
    <t>CODO H.D. EXTREMOS BRIDADOS DE 6" 90 GRADOS</t>
  </si>
  <si>
    <t>CODO H.D. EXTREMOS BRIDADOS DE 8" 90 GRADOS</t>
  </si>
  <si>
    <t xml:space="preserve">CODO GRAN RADIO  90º PVC U.M. 4" </t>
  </si>
  <si>
    <t xml:space="preserve">CODO GRAN RADIO  90º PVC U.M. 6" </t>
  </si>
  <si>
    <t xml:space="preserve">CODO GRAN RADIO  90º PVC U.M. 8" </t>
  </si>
  <si>
    <t>UNION DE REPARACION PVC U.M. Ø 4"</t>
  </si>
  <si>
    <t>UNION DE REPARACION PVC U.M. Ø 6"</t>
  </si>
  <si>
    <t>UNION DE REPARACION PVC U.M. Ø 8"</t>
  </si>
  <si>
    <t xml:space="preserve">TUBO PVC P Ø ½"  RDE 13,5 X 6.00 m. </t>
  </si>
  <si>
    <t xml:space="preserve">TUBO PVC U.M. Ø 4"  RDE 21 </t>
  </si>
  <si>
    <t xml:space="preserve">TUBO PVC U.M. Ø 6"  RDE 21 </t>
  </si>
  <si>
    <t xml:space="preserve">TUBO PVC U.M. Ø 8"  RDE 21 </t>
  </si>
  <si>
    <t>PLAN DE MANEJO AMBIENTAL (PMA)</t>
  </si>
  <si>
    <t>% DEDICACION
MES</t>
  </si>
  <si>
    <t>Salud</t>
  </si>
  <si>
    <t>OTROS COSTOS DIRECTOS</t>
  </si>
  <si>
    <t>PRESUPUESTO IMPLEMENTACIÓN PLAN DE MANEJO AMBIENTAL - PMA</t>
  </si>
  <si>
    <t>ÍTM</t>
  </si>
  <si>
    <t>DETALLE</t>
  </si>
  <si>
    <t xml:space="preserve">UND </t>
  </si>
  <si>
    <t>VR UNITARIO</t>
  </si>
  <si>
    <t>VR TOTAL</t>
  </si>
  <si>
    <t>KIT SEÑALIZACIÓN AMBIENTAL</t>
  </si>
  <si>
    <t>EL KIT INLCLUYE: SEÑAL DE 15 X 15 CM - RECICLABLE, SEÑAL DE 15 X 15 CM - ORGANICO, SEÑAL DE 15 X 15 CM - SUSTANCIAS PELIGROSAS.</t>
  </si>
  <si>
    <t>CAPACITACIONES AMBIENTALES DEL PERSONAL</t>
  </si>
  <si>
    <t>MANEJO INTEGRAL DE MATERIALES DE CONSTRUCCION, MANEJO Y DISPOSICION FINAL DE RESIDUOS SOLIDOS CONVENCIONALES Y ESPECIALES, MANEJO DE AGUAS SUPERFICIALES.</t>
  </si>
  <si>
    <t xml:space="preserve">PUNTO ECOLOGICO Y  MANTENIMIENTO MENSUAL </t>
  </si>
  <si>
    <t xml:space="preserve">PUNTO ECOLOGICO PARA DESPERDICIOS SOLIDOS. INCLUYE TRES (3) CANECAS DE 55 LITROS DE CAPACIDAD, COMPUESTA DE DOS PIEZAS  (TAPA Y CONTENEDOR)  RESISTENTE A LA INTEMPERIE, DE FACIL LIMPIEZA Y CARGUE, EN POLIETILENO DE ALTA DENSIDAD, BOLSAS PARA BASURA COLOR NEGRA (24 MENSUALES), ROJO (4 MENSUALES) Y VERDE (4 MENSUALES) DE  MATERIAL PLASTICO DE ALTA DENSIDAD, CALIBRE DE 2", DE  65 x 85 CM - </t>
  </si>
  <si>
    <t xml:space="preserve">LAVADO
 DE 
HERRAMIENTAS </t>
  </si>
  <si>
    <t xml:space="preserve">CANECA  PARA LAVADO DE HERRAMIENTAS CON CAPACIDAD PARA 55 GALONES, REDONDA, CON TAPA, MATERIAL: POLIETILENO, IRROMPIBLE,  ALTA DENSIDAD
RESISTENTE A CARGA ESTATICA
 RESISTENTE A LA EXPOSICIÓN A LA INTEMPERIE 
COLOR:  DE ACUEDO CON LA DISPONIBILIDAD CON LA QUE SE CUENTE </t>
  </si>
  <si>
    <t>CUBRIMIENTO DE MATERIALES GRANULARES</t>
  </si>
  <si>
    <t>CUBRIMIENTO DE MATERIALES GRANULARES (BASES, SUBBASES, ARENA, CON PLÀSTICO CALIBRE 6 DE 3 M DE ANCHO x 10M DE LONGITUD PARA  30 M2 POR FRENTE DE OBRA</t>
  </si>
  <si>
    <t>CUBRIMIENTO DE ESCOMBROS</t>
  </si>
  <si>
    <t>CUBRIMIENTO DE ESCOMBROS TELA VERDE PARA CERRAMIENTO  DE 2,10 M DE ANCHO X 15 DE LONGITUD PARA 30 M2 POR FRENTE DE OBRA</t>
  </si>
  <si>
    <t xml:space="preserve">ALQUILER BAÑO DE LA ZONA </t>
  </si>
  <si>
    <t>ALQUILER BAÑO EXISTENTE EN LA ZONA</t>
  </si>
  <si>
    <t>KIT ASEO INFRAESTRUCTURA</t>
  </si>
  <si>
    <t>EL KIT CONSTA  DE , PALA CON MANGO, CARRETILLA  (TIPO BOGGY CON LLANTA NEUMATICA), CONO MINIMO DE H: 45 CM, BALDE PLÀSTICO DE 25 LT, CEPILLO DE CASQUILLO  DE 37  X 7</t>
  </si>
  <si>
    <t>KIT DE DERRAME PEQUEÑO</t>
  </si>
  <si>
    <t>EL KIT DE DERRAME PEQUEÑO CONSTA 1 CANECA PLASTICA DE 55 GALONES AZUL TAPA DE SEGURIDAD TIPO UÑA , 2 BARRERAS OLEOFILICAS MELTBLOWN (USA) 3" X 4 PIES (3" X 1,20 MTS), 12 BOLSA ROJA TIPO HAZMAT 70 X 1.20 CALIBRE 2, 12 BOLSA ROJA TIPO HAZMAT 70 X 1.20 CALIBRE 2 , 1 CHALECO REFLECTIVO, 1 DESENGRASANTE BIODEGRADABLE CERTIFICADO OIL EATER (USA) X 1 GALON , 1 ESPATULA PLASTICA 30 CMS, 1 GAFA DE SEGURIDAD LENTE CLARO STEELPRO TIPO SPY , 2 GUANTES DE NITRILO VERDE C/FLOCK, 1 JUEGO DE TAPONES DE MADERA X 5 PZ (Calajanes) Empacados en bolsa plástica con cierre hermético, 1 LINTERNA RECARGABLE LED VOLTAGE , 1 MARTILLO DE CAUCHO CON CABO DE MADERA , 2 MASILLA EPOXICA RALLY DE 50 GR , 1 PALA ANTICHISPA DE 94 CMS NARANJA , 75 PAÑO DE TELA OLEOFILICA MELTBLOWN (USA) 15" x 18' x 3/16 (38.1cm x 45.8cm) , 2 RESPIRADOR GAS Y VAPOR DOBLE CARTUCHO LINEA ECONOMICA , 1 ROLLO CINTA DE SEÑALIZACION X 50 MTS, 1 INSTRUCTIVO DE USO</t>
  </si>
  <si>
    <t xml:space="preserve">BRIGADA DE ASEO </t>
  </si>
  <si>
    <t>SUMINISTRO DE BRIGADA DE ASEO NECESARIA PARA LA IMPLEMENTACIÓN Y MANTENIMIENTO DEL PGIO. Incluye el Factor Prestacional</t>
  </si>
  <si>
    <t>SALARIO</t>
  </si>
  <si>
    <t>VR. TOTAL</t>
  </si>
  <si>
    <t>PERSONAL PROFESIONAL, AUXILIARES DE TRANSITO Y BRIGADAS ( B )</t>
  </si>
  <si>
    <t>VALOR TOTAL PLAN DE MANEJO AMBIENTA - PMA</t>
  </si>
  <si>
    <t>SEDIMENTADORES</t>
  </si>
  <si>
    <t>PLACAS SUPERIORES Y PASARELAS</t>
  </si>
  <si>
    <t>PLACAS INTERMEDIA</t>
  </si>
  <si>
    <t>PLACAS INFERIORES</t>
  </si>
  <si>
    <t>TUBERIA DE LAVADO PVC-P 6"-FLOCULADFORES-TREN 1</t>
  </si>
  <si>
    <t>TUBERIA DE LAVADO PVC-P 6"-FLOCULADORES TREN 2</t>
  </si>
  <si>
    <t>TUBERIA DE LAVADO PVC-P 6"-FLOCULADORES-TREN 1</t>
  </si>
  <si>
    <t>TUBERIA DE LAVADO PVC-P 6"-FLOCULADORES TREN 1</t>
  </si>
  <si>
    <t>LAVADO FLOCULADOR-TREN 1</t>
  </si>
  <si>
    <t>LAVADO FLOCULADOR TREN 2</t>
  </si>
  <si>
    <t>LAVADO SEDIMENTADOR TREN 2</t>
  </si>
  <si>
    <t>1.4.3.18.</t>
  </si>
  <si>
    <t>1.4.3.19.</t>
  </si>
  <si>
    <t>1.4.3.20.</t>
  </si>
  <si>
    <t>SISTEMA DE RECOLLECCION-FLOCULADOR TREN 1</t>
  </si>
  <si>
    <t>SISTEMA DE RECOLLECCION-FLOCULADOR TREN 2</t>
  </si>
  <si>
    <t>LAVADO FLOCULADOR TREN 1</t>
  </si>
  <si>
    <t>TUBERIA DE LAVADO PVC-P 6"-FLOCULADOR TREN 1</t>
  </si>
  <si>
    <t>TUBERIA DE LAVADO PVC-P 6"-FLOCULADOR TREN 2</t>
  </si>
  <si>
    <t>LAVADO SEDIMENTADOR TREN 1</t>
  </si>
  <si>
    <t>TUBERIA DE EXCESOS PVC-P 8"-SALIDA A CANAL DE LAVADO</t>
  </si>
  <si>
    <t>INGRESO A FILTROS</t>
  </si>
  <si>
    <t>1.4.3.21.</t>
  </si>
  <si>
    <t>1.4.3.22.</t>
  </si>
  <si>
    <t>1.4.3.23.</t>
  </si>
  <si>
    <t>SEDIMENTADOR TREN 2</t>
  </si>
  <si>
    <t>1.4.3.24.</t>
  </si>
  <si>
    <t>SEDIMENTADOR TREN 1</t>
  </si>
  <si>
    <t>1.4.3.25.</t>
  </si>
  <si>
    <t>1.4.3.26.</t>
  </si>
  <si>
    <t>1.4.3.27.</t>
  </si>
  <si>
    <t>SALIDA  A POZO No. 3 DE EXCESOS</t>
  </si>
  <si>
    <t>TUBERIA PVC-P 8"-SALIDA DE CANAL DE LAVADO A POZO No3.</t>
  </si>
  <si>
    <t>INGRESO A CANAL DE AGUA FILTRADA</t>
  </si>
  <si>
    <t>1.4.3.29.</t>
  </si>
  <si>
    <t>1.4.3.30.</t>
  </si>
  <si>
    <t>1.4.5.16.</t>
  </si>
  <si>
    <t>1.4.5.17.</t>
  </si>
  <si>
    <t>ARENA TRITURADA PASANTE 1/4"</t>
  </si>
  <si>
    <t>TRITURADO PASANTE 1", RETENIDO 1/2"</t>
  </si>
  <si>
    <t>RECEBO CLASIFICADO PASANTE 2"</t>
  </si>
  <si>
    <t xml:space="preserve">CABALLETE EN LAMINA GALVANIZADA C.26 PINTADO ANCHO=0.60 METROS. </t>
  </si>
  <si>
    <t>TEJA MASTER 1000 PINTADA C.28</t>
  </si>
  <si>
    <t>TORNILLO AUTOPERFORANTE AJOVER</t>
  </si>
  <si>
    <t>CAJILLA SALLIDA DE LODOS</t>
  </si>
  <si>
    <t>CAJILLA SALIDA AGUA DECANTADA</t>
  </si>
  <si>
    <t>CAJILLA SALIDA DE LODOS</t>
  </si>
  <si>
    <t>LECHOS DE SECADO DE LODOS</t>
  </si>
  <si>
    <t>LECHOS-COLUMNAS METALICAS</t>
  </si>
  <si>
    <t>MUROS TRASVERSALES</t>
  </si>
  <si>
    <t>CONCRETO PARA PENDIENTES</t>
  </si>
  <si>
    <t>1.4.3.28.</t>
  </si>
  <si>
    <t>AGUAS DEL HUILA S.A. E.S.P.</t>
  </si>
  <si>
    <t>CONTRATO DE CONSULTORIA No. 059 DEL 01 DE MARZO DE 2021 CUYO OBJETO ES “CONTRATO DE CONSULTORIA PARA LA ELABORACION DE ESTUDIOS Y DISEÑOS PARA LA OPTIMIZACION DEL SISTEMA DE ACUEDUCTO DEL MUNICIPIO DE TESALIA”.</t>
  </si>
  <si>
    <t>ADUCCION BOCATOMA - DESARENADOR</t>
  </si>
  <si>
    <t>RED DE 10" RDE 32.5</t>
  </si>
  <si>
    <t>SALIDA BOCATOMA LAS VENTAS</t>
  </si>
  <si>
    <t>TORNILLO ZINCADO DE 3/4"x5", CON TUERCA Y ARANDELA.</t>
  </si>
  <si>
    <t>TORNILLO ZINCADO DE 7/8"x5", CON TUERCA Y ARANDELA.</t>
  </si>
  <si>
    <t>TORNILLO ZINCADO DE 5/8"x4", CON TUERCA Y ARANDELA.</t>
  </si>
  <si>
    <t>SISTEMA DE PURGA ADUCCION DE 10"</t>
  </si>
  <si>
    <t>EMPAQUE EN CAUCHO PARA BRIDA DE 8" CON 8 PERFORACIONES DE 7/8"</t>
  </si>
  <si>
    <t>RED DE ADUCCION DE 10"</t>
  </si>
  <si>
    <t>ADUCCION DESARENADOR - PTAP ACUEDUCTO TESALIA</t>
  </si>
  <si>
    <t>RED DE 6" RDE 32.5</t>
  </si>
  <si>
    <t>RED DE 6" RDE 26</t>
  </si>
  <si>
    <t>RED DE 6" RDE 21</t>
  </si>
  <si>
    <t>RED DE 6" RDE 17</t>
  </si>
  <si>
    <t>RED DE 6" A.C. SCH-10</t>
  </si>
  <si>
    <t>SALIDA DEL SARENADOR</t>
  </si>
  <si>
    <t>EMPAQUE EN CAUCHO PARA BRIDA DE 6" CON 8 PERFORACIONES DE 7/8"</t>
  </si>
  <si>
    <t>1.2.10.</t>
  </si>
  <si>
    <t>VENTOSAS RED DE ADUCCION DE 6"</t>
  </si>
  <si>
    <t>1.2.2.17.</t>
  </si>
  <si>
    <t>1.2.2.18.</t>
  </si>
  <si>
    <t>DESARENADOR ACUEDUCTO TESALIA</t>
  </si>
  <si>
    <t>SUB-TOTAL OBRA CIVIL ADUCCION BOCATOMA-DESARENADOR</t>
  </si>
  <si>
    <t>SUB-TOTAL SUMINISTROS ADUCCION BOCATOMA-DESARENADOR</t>
  </si>
  <si>
    <t>SUB-TOTAL OBRA CIVIL ADUCCION DESARENADOR-PTAP TESALIA</t>
  </si>
  <si>
    <t>SUB-TOTAL SUMINISTROS ADUCCION DESARENADOR-PTAP TESALIA</t>
  </si>
  <si>
    <t>ENTRADA DESARENADOR</t>
  </si>
  <si>
    <t>SALIDA DEL DESARENADOR</t>
  </si>
  <si>
    <t>TEE HD EXTREMOS BRIDAS DE 6"X6"</t>
  </si>
  <si>
    <t>SUB-TOTAL OBRA CIVIL DESARENADOR</t>
  </si>
  <si>
    <t>SUB-TOTAL SUMINISTROS DESARENADOR</t>
  </si>
  <si>
    <t>1.4. PLANTA DE TRATAMIENTO DE AGUA POTABLE-PTAP ACUEDUCTO TESALIA</t>
  </si>
  <si>
    <t>SEDE ADMINISTRATIVA Y OPERATIVA</t>
  </si>
  <si>
    <t>PLACA DE PISO</t>
  </si>
  <si>
    <t>ZAPATAS</t>
  </si>
  <si>
    <t>VIGAS DE CIMENTACION TRANSVERSALES</t>
  </si>
  <si>
    <t>VIGAS DE CIMENTACION LONGITUDINALES</t>
  </si>
  <si>
    <t>ZAPATAS CENTRICAS</t>
  </si>
  <si>
    <t>COLUMNAS</t>
  </si>
  <si>
    <t>COLUMNETAS</t>
  </si>
  <si>
    <t>VIGAS DE AMARRE TRANSVERSALES</t>
  </si>
  <si>
    <t>VIGAS DE AMARRE LONGITUDINALES</t>
  </si>
  <si>
    <t>BAÑO GERENCIA</t>
  </si>
  <si>
    <t>BAÑO HABITACION OPERARIO</t>
  </si>
  <si>
    <t>BAÑO MUJERES</t>
  </si>
  <si>
    <t>BAÑO VISITANTES</t>
  </si>
  <si>
    <t>BAÑO HOMBRE</t>
  </si>
  <si>
    <t>HALL</t>
  </si>
  <si>
    <t>LUCETAS</t>
  </si>
  <si>
    <t>MUROS LONGITUNIALES</t>
  </si>
  <si>
    <t>DESCUENTO VENTANAS Y LUCETAS</t>
  </si>
  <si>
    <t>DESCEUNTOS</t>
  </si>
  <si>
    <t>DESCUENTO PUERTAS</t>
  </si>
  <si>
    <t>CAFETERIA</t>
  </si>
  <si>
    <t>POCETA</t>
  </si>
  <si>
    <t>1.4.25.</t>
  </si>
  <si>
    <t>REJAS</t>
  </si>
  <si>
    <t>DESCUENTO VENTANAS-LUCETAS-REJAS</t>
  </si>
  <si>
    <t>ENCHAPES</t>
  </si>
  <si>
    <t>REDES GENERALES</t>
  </si>
  <si>
    <t>SALIDA A RED DE ALCANTARILLADO</t>
  </si>
  <si>
    <t>1.4.1.44.</t>
  </si>
  <si>
    <t>SUB-TOTAL OBRA CIVIL SEDE ADMINISTRATIVA Y OPERATIVA</t>
  </si>
  <si>
    <t>SUB-TOTAL SUMINISTROS SEDE ADMINISTRATIVA Y OPERATIVA</t>
  </si>
  <si>
    <t>CAJA IEREADOR DE BANDEJAS</t>
  </si>
  <si>
    <t>TUBERIA DE EXCESOS PVC-P 8"-POZO 1</t>
  </si>
  <si>
    <t>TUBERIA DE EXCESOS PVC-P 8"-POZO 2</t>
  </si>
  <si>
    <t>FLOCULADOR, SEDIMENTADOR, CANAL DE AGUA SEDIMENTADA Y CANAL DE LAVADO.</t>
  </si>
  <si>
    <t>FLOCULADOR</t>
  </si>
  <si>
    <t>SEDIMENTADOR</t>
  </si>
  <si>
    <t>PLACA SOBRE FILTROS EXISTENTES</t>
  </si>
  <si>
    <t>FLOCULADOR-CANAL DERECOLECION</t>
  </si>
  <si>
    <t>CONCRETO DE TOLVAS DE LOS SEDIMENTADORES</t>
  </si>
  <si>
    <t>MUROS SOBRE FILTROS EXISTENTES</t>
  </si>
  <si>
    <t>CANAL DE LAVADO DE FILTROS</t>
  </si>
  <si>
    <t>ACERO EN FILTROS EXISTENTES</t>
  </si>
  <si>
    <t>EMPAQUE EN CAUCHO PARA BRIDA DE 12" CON 12 PERFORACIONES DE 1"</t>
  </si>
  <si>
    <t>SUB-TOTAL OBRA CIVIL FLOCULADOR, SEDIMENTADOR, CANAL DE AGUA SEDIMENTADA Y CANAL DE LAVADO.</t>
  </si>
  <si>
    <t>SUB-TOTAL SUMINISTROS FLOCULADOR, SEDIMENTADOR Y CANAL DE AGUA SEDIMENTADA Y CANAL DE LAVADO.</t>
  </si>
  <si>
    <t>CANAL DE DESINFECICON</t>
  </si>
  <si>
    <t>CANAL DE DESINFECCION</t>
  </si>
  <si>
    <t>CAJILLA VALVULA DE SALIDA</t>
  </si>
  <si>
    <t>TABIQUES INTERIORES</t>
  </si>
  <si>
    <t>TUBERIA PVC-P DE 8"HACIA TANQUES</t>
  </si>
  <si>
    <t>HACIA TANQUES</t>
  </si>
  <si>
    <t>SUB-TOTAL OBRA CIVIL CANAL DE DESINFECCION</t>
  </si>
  <si>
    <t>SUB-TOTAL SUMINISTROS CANAL DE DESINFECCION</t>
  </si>
  <si>
    <t>1.4.5.18.</t>
  </si>
  <si>
    <t>1.4.5.19.</t>
  </si>
  <si>
    <t>1.4.6.7.</t>
  </si>
  <si>
    <t>1.4.6.8.</t>
  </si>
  <si>
    <t>1.4.6.9.</t>
  </si>
  <si>
    <t>1.4.6.10.</t>
  </si>
  <si>
    <t>1.4.6.11.</t>
  </si>
  <si>
    <t>1.4.6.12.</t>
  </si>
  <si>
    <t>1.4.6.13.</t>
  </si>
  <si>
    <t>1.4.6.14.</t>
  </si>
  <si>
    <t>1.4.6.15.</t>
  </si>
  <si>
    <t>1.4.6.16.</t>
  </si>
  <si>
    <t>1.4.6.17.</t>
  </si>
  <si>
    <t>1.4.7.</t>
  </si>
  <si>
    <t>1.4.7.1.</t>
  </si>
  <si>
    <t>1.4.7.2.</t>
  </si>
  <si>
    <t>1.4.7.3.</t>
  </si>
  <si>
    <t>1.4.7.4.</t>
  </si>
  <si>
    <t>1.4.7.5.</t>
  </si>
  <si>
    <t>CERCHAS</t>
  </si>
  <si>
    <t>PERFIL C DE 160x60x2.5 mm</t>
  </si>
  <si>
    <t>PERFIL C DE 120x60x2.0 mm</t>
  </si>
  <si>
    <t>1.4.1.45.</t>
  </si>
  <si>
    <t>1.4.1.46.</t>
  </si>
  <si>
    <t>1.4.1.47.</t>
  </si>
  <si>
    <t xml:space="preserve"> CERRAMIENTO PTAP-TESALIA</t>
  </si>
  <si>
    <t>BOCATOMA LAS VENTAS</t>
  </si>
  <si>
    <t>MODULOS DIVISORIOS DE CUBICULOS PARA OFICNAS.</t>
  </si>
  <si>
    <t>OFICINA SEDE ADMINISTRATIVA Y OPERATIVA.</t>
  </si>
  <si>
    <t>CONSORCIO TESALIA 2020</t>
  </si>
  <si>
    <t>R.L. MARIO FERNANDO ESTRADA MORA</t>
  </si>
  <si>
    <t>C.C. 1,075,211,484 DE NEIVA</t>
  </si>
  <si>
    <t>TESALIA</t>
  </si>
  <si>
    <t>VALOR TOTAL CAPITULO 1 - OBRA</t>
  </si>
  <si>
    <t>1.5. TANQUE DE ALMACENAMIENTO</t>
  </si>
  <si>
    <t>SUB-TOTAL OBRA CIVIL TANQUE DE ALMACENAMIENTO</t>
  </si>
  <si>
    <t>SUB-TOTAL SUMINISTROS TANQUE DE ALMACENAMIENTO</t>
  </si>
  <si>
    <t>TOTAL: TANQUE DE ALMACENAMIENTO</t>
  </si>
  <si>
    <t>VALOR TOTAL CAPITULO 1 - OBRA CIVIL</t>
  </si>
  <si>
    <t>TANQUE DE ALMACENAMIENTO CONICO DE 1000 LITROS</t>
  </si>
  <si>
    <t>RED DE 1/2" RDE 13.5</t>
  </si>
  <si>
    <t>VEREDA EL CENTRO</t>
  </si>
  <si>
    <t>CAPTACION QUEBRADA LA VENTA</t>
  </si>
  <si>
    <t>TOTAL CAPITULO 4 : PTAP TESALIA</t>
  </si>
  <si>
    <t>1.7.35.</t>
  </si>
  <si>
    <t>1.7.36.</t>
  </si>
  <si>
    <t>1.7.37.</t>
  </si>
  <si>
    <t>1.7.38.</t>
  </si>
  <si>
    <t>1.7.39.</t>
  </si>
  <si>
    <t>MATERIALES GENERALES</t>
  </si>
  <si>
    <t>VIAJE</t>
  </si>
  <si>
    <t>CONTROL DE CAUDALES</t>
  </si>
  <si>
    <t>1.3.1.13.</t>
  </si>
  <si>
    <t>ENTRADA DESARENADOR TESALIA</t>
  </si>
  <si>
    <t>CONTROL CAUDAL MUNICIPIO TESALIA</t>
  </si>
  <si>
    <t>CONTROL CAUDAL MUNICIPIO PAICOL</t>
  </si>
  <si>
    <t>DISTRIBUCION DE CAUDALES</t>
  </si>
  <si>
    <t>-</t>
  </si>
  <si>
    <t>TEE HD EXTREMOS BRIDAS DE 8"X8"</t>
  </si>
  <si>
    <t>1.3.1.21.</t>
  </si>
  <si>
    <t>1.3.1.22.</t>
  </si>
  <si>
    <t>1.3.1.23.</t>
  </si>
  <si>
    <t>1.4.7.6.</t>
  </si>
  <si>
    <t>ENTRADA SISTEMA DE TRATAMIENTO</t>
  </si>
  <si>
    <t>AIREADOR DE BANDEJAS DE 3 UNIDADES EN ACERO INOXIDABLE DE SECCION 1.34X1.34 METROS Y ALTURA TOTAL DE 2.60 METROS. INCLUYE ESCALERA DE GATO.</t>
  </si>
  <si>
    <t>1.2.2.19.</t>
  </si>
  <si>
    <t>1.2.2.20.</t>
  </si>
  <si>
    <t>1.4.5.9.</t>
  </si>
  <si>
    <t>SOLDADURA WEST ARCO 6013x3/32"</t>
  </si>
  <si>
    <t>PINTURA ESMALTE</t>
  </si>
  <si>
    <t>SISO</t>
  </si>
  <si>
    <t>TOTAL COSTOS DIRECTOS CAPITULO 1 - OBRA CIVIL</t>
  </si>
  <si>
    <t>TOTAL COSTOS DIRECTOS CAPITULO 1 - SUMINISTROS</t>
  </si>
  <si>
    <t>VALOR TOTAL CAPITULO 1 - SUMINISTROS</t>
  </si>
  <si>
    <t>INTERVENTORIA</t>
  </si>
  <si>
    <t>SUBTOTAL PMA</t>
  </si>
  <si>
    <t>SUBTOTAL PLAN DE MANEJO AMBIENTAL (PMA)</t>
  </si>
  <si>
    <t>TRAMITES DE LEGALIZACION Y CONEXIÓN RED ELECTRICA</t>
  </si>
  <si>
    <t>PRESUPUESTO GENERAL DE OBRA</t>
  </si>
  <si>
    <t>PRESUPUESTO GENERAL DE OBRA FASE I</t>
  </si>
  <si>
    <t xml:space="preserve">PRESUPUESTO GENERAL DE OBRA FASE III </t>
  </si>
  <si>
    <t>AGOSTO/2024</t>
  </si>
  <si>
    <t>MEMORIA DE CANTIDADES DE OBRA FASE III - DISTRIBUCCIÓN</t>
  </si>
  <si>
    <t>MEMORIA DE CANTIDADES DE OBRA PRESUPUESTO GENERAL</t>
  </si>
  <si>
    <t>MEMORIA DE CANTIDADES DE OBRA FASE I - BOCATOMA - DESARENADOR - ADUCCIONES</t>
  </si>
  <si>
    <t>TOTAL: DESARENADOR</t>
  </si>
  <si>
    <t>VALOR TOTAL DEL PROYECTO GENERAL</t>
  </si>
  <si>
    <t>VALOR TOTAL DEL PROYECTO FASE I</t>
  </si>
  <si>
    <t>1.4.5.20.</t>
  </si>
  <si>
    <t>DIFERENCIA</t>
  </si>
  <si>
    <t>PLASTOCRETE DM ADITIVO REDUCTOR DE AGUA</t>
  </si>
  <si>
    <t>LIMPIADOR/REMOVEDOR PVC 760 g (1/4 Gal)</t>
  </si>
  <si>
    <t>ALAMBRE NEGRO C. 18</t>
  </si>
  <si>
    <t>VALOR TOTAL DEL PROYECTO FASE III</t>
  </si>
  <si>
    <t>MACROMEDIDOR TIPO WOLTMANN BRIDADO DE 8"</t>
  </si>
  <si>
    <t>MACROMEDIDOR TIPO WOLTMANN BRIDADO DE 6"</t>
  </si>
  <si>
    <t>PRESUPUESTO ADMINISTRACION, SEGUIMIENTO Y CONTROL  DE PROYECTOS- DURANTE LA EJECUCION FISICA Y FINANCIERA DEL PROYECTO.</t>
  </si>
  <si>
    <t>CARGO/OFICIO</t>
  </si>
  <si>
    <t>SUELDO Y/O TARIFA MENSUAL</t>
  </si>
  <si>
    <t>DURACION MENSUAL</t>
  </si>
  <si>
    <t>DURACION (Meses)FISICO Y FINANCIERO</t>
  </si>
  <si>
    <t>VALOR PARCIAL ($)</t>
  </si>
  <si>
    <t>COSTOS DIRECTOS DE PERSONAL</t>
  </si>
  <si>
    <t>1.1.1</t>
  </si>
  <si>
    <t>Gerencia</t>
  </si>
  <si>
    <t>1.1.2</t>
  </si>
  <si>
    <t>Subgerencia</t>
  </si>
  <si>
    <t>1.1.3</t>
  </si>
  <si>
    <t xml:space="preserve">Ingeniero  Especializado  - Supervisor </t>
  </si>
  <si>
    <t>1.1.4</t>
  </si>
  <si>
    <t>Profesional Especializado - Oficina de Juridica</t>
  </si>
  <si>
    <t>1.1.5</t>
  </si>
  <si>
    <t>Profesional Universitaria- Contadora</t>
  </si>
  <si>
    <t>1.1.6</t>
  </si>
  <si>
    <t>Profesional Universitara- Tesoreria</t>
  </si>
  <si>
    <t>1.1.8</t>
  </si>
  <si>
    <t>Profesional de Apoyo - Oficina Tecnica</t>
  </si>
  <si>
    <t>1.1.9</t>
  </si>
  <si>
    <t>Secretaria</t>
  </si>
  <si>
    <t>Subtotal Costos Directos de Personal</t>
  </si>
  <si>
    <t>Factor Multiplicador</t>
  </si>
  <si>
    <t>Total Costos Directos de Personal Incluyendo Factor Multiplicador</t>
  </si>
  <si>
    <t>DURACION (Meses)</t>
  </si>
  <si>
    <t>Porcentaje de participación</t>
  </si>
  <si>
    <t>Gastos de oficina (papeleria, mensajeria, alquiler equipos de computo)</t>
  </si>
  <si>
    <t xml:space="preserve">Vehiculo camionetas pick up  doble cabiana, incluye conductor y gasolina </t>
  </si>
  <si>
    <t>Subtotal Otros Costos Directos</t>
  </si>
  <si>
    <t>TOTAL COSTOS DIRECTOS DE PERSONAL + OTROS COSTOS DIRECTOS (A+B)</t>
  </si>
  <si>
    <t>VALOR TOTAL DE LA OFERTA INCLUIDO EL IVA</t>
  </si>
  <si>
    <t>Elaboro:</t>
  </si>
  <si>
    <t xml:space="preserve">Revisó: </t>
  </si>
  <si>
    <t>CLARA MIREYA RICAURTE M</t>
  </si>
  <si>
    <t xml:space="preserve">DIEGO ARMANDO CARDOZO QUINTERO </t>
  </si>
  <si>
    <t>Profesional de Apoyo Técnico</t>
  </si>
  <si>
    <t>Subgerente Técnico y Operativo  (  E  )</t>
  </si>
  <si>
    <t>Aguas del Huila S.A. E.S.P</t>
  </si>
  <si>
    <t xml:space="preserve">ARENA REGULAR CRUDA DE RIO </t>
  </si>
  <si>
    <t>CAPITULO/DESCRIPCION</t>
  </si>
  <si>
    <t>UNID</t>
  </si>
  <si>
    <t>A-01</t>
  </si>
  <si>
    <t>APU COD</t>
  </si>
  <si>
    <t>A-01-01</t>
  </si>
  <si>
    <t>B-02</t>
  </si>
  <si>
    <t>EXCAVACIONES</t>
  </si>
  <si>
    <t>A-02-01</t>
  </si>
  <si>
    <t>A-02</t>
  </si>
  <si>
    <t>DISPOSICIÓN DE MATERIAL SOBRANTE</t>
  </si>
  <si>
    <t>RELLENOS</t>
  </si>
  <si>
    <t>A-03</t>
  </si>
  <si>
    <t>A-04</t>
  </si>
  <si>
    <t>CONCRETOS</t>
  </si>
  <si>
    <t>ACEROS</t>
  </si>
  <si>
    <t>ACCESORIOS Y OBRAS COMPLEMENTARIAS</t>
  </si>
  <si>
    <t>A-05</t>
  </si>
  <si>
    <t>A-03-01</t>
  </si>
  <si>
    <t>A-04-01</t>
  </si>
  <si>
    <t>A-05-01</t>
  </si>
  <si>
    <t>A-06</t>
  </si>
  <si>
    <t>A-06-01</t>
  </si>
  <si>
    <t>B-01</t>
  </si>
  <si>
    <t>B-04</t>
  </si>
  <si>
    <t>B-03</t>
  </si>
  <si>
    <t>B-05</t>
  </si>
  <si>
    <t>B-06</t>
  </si>
  <si>
    <t>B-07</t>
  </si>
  <si>
    <t>B-08</t>
  </si>
  <si>
    <t>B-01-01</t>
  </si>
  <si>
    <t>B-02-01</t>
  </si>
  <si>
    <t>B-03-01</t>
  </si>
  <si>
    <t>B-03-02</t>
  </si>
  <si>
    <t>B-04-01</t>
  </si>
  <si>
    <t>B-05-01</t>
  </si>
  <si>
    <t>B-05-02</t>
  </si>
  <si>
    <t>B-06-01</t>
  </si>
  <si>
    <t>B-07-01</t>
  </si>
  <si>
    <t>B-08-01</t>
  </si>
  <si>
    <t>B-08-02</t>
  </si>
  <si>
    <t>B-08-03</t>
  </si>
  <si>
    <t>B-08-04</t>
  </si>
  <si>
    <t>B-08-05</t>
  </si>
  <si>
    <t>B-08-06</t>
  </si>
  <si>
    <t>B-08-07</t>
  </si>
  <si>
    <t>B-08-08</t>
  </si>
  <si>
    <t>ADMINISTRACIÓN</t>
  </si>
  <si>
    <t>UTILIDAD</t>
  </si>
  <si>
    <t>Elaboración</t>
  </si>
  <si>
    <t>Deiner Alexander Obregon Palomeque</t>
  </si>
  <si>
    <t>Ingeniero Civil</t>
  </si>
  <si>
    <t>MP: 011037-0653228 ANT</t>
  </si>
  <si>
    <t>TOTAL</t>
  </si>
  <si>
    <t xml:space="preserve">CODIGO:                                                 </t>
  </si>
  <si>
    <t>MC-001</t>
  </si>
  <si>
    <t xml:space="preserve">EDICIÓN:                                                    </t>
  </si>
  <si>
    <t>PAGINA:</t>
  </si>
  <si>
    <t>1 de 1</t>
  </si>
  <si>
    <t>Hoja  1  de  1</t>
  </si>
  <si>
    <t>Contratante: AGUAS DEL HUILA</t>
  </si>
  <si>
    <t>Corte No.  N/A</t>
  </si>
  <si>
    <t xml:space="preserve">Capitulo: </t>
  </si>
  <si>
    <t>Localización</t>
  </si>
  <si>
    <t>Dimensiones</t>
  </si>
  <si>
    <t>No de elementos</t>
  </si>
  <si>
    <t>Medida Total</t>
  </si>
  <si>
    <t>Longitud</t>
  </si>
  <si>
    <t>Ancho</t>
  </si>
  <si>
    <t>Area</t>
  </si>
  <si>
    <t>Subtotal</t>
  </si>
  <si>
    <t>Vienen</t>
  </si>
  <si>
    <t xml:space="preserve">Interventoría: </t>
  </si>
  <si>
    <t xml:space="preserve">Elaboró: </t>
  </si>
  <si>
    <t>REPÚBLICA DE COLOMBIA
DEPARTAMENTO DEL HUILA
MUNICIPIO TESALIA</t>
  </si>
  <si>
    <t xml:space="preserve">OBSERVACIONES: </t>
  </si>
  <si>
    <t>Cajilla de entrada</t>
  </si>
  <si>
    <t>CAJA AIEREADOR DE BANDEJAS</t>
  </si>
  <si>
    <t>Canal</t>
  </si>
  <si>
    <t>Contratista: R.L. MARIO FERNANDO ESTRADA MORA</t>
  </si>
  <si>
    <t>Contratista: CONSORCIO TESALIA 2020</t>
  </si>
  <si>
    <t>Profundidad</t>
  </si>
  <si>
    <t>OBSERVACIONES: Se prevee un sobre ancho de 30 cm a cada lado de la estuctura</t>
  </si>
  <si>
    <t>No es claro de donde sale esta profundiad</t>
  </si>
  <si>
    <t>De donde sale la profundiad</t>
  </si>
  <si>
    <t>Descuento</t>
  </si>
  <si>
    <t>OBSERVACIONES: El descuento se calcula como el volumen que ocupa la tuberia y por tanto se resta al volumen total calculado</t>
  </si>
  <si>
    <t>De donde salen estas profundidades</t>
  </si>
  <si>
    <t>De donde salen los 10.11 de profundidad en las cajas de entrega al floculador</t>
  </si>
  <si>
    <t>Factor de expansión</t>
  </si>
  <si>
    <t>ESTRUCTURA DE COSTOS DE LA ADMINISTRACIÓN</t>
  </si>
  <si>
    <t>COSTO DIRECTO OC</t>
  </si>
  <si>
    <t>SMLMV</t>
  </si>
  <si>
    <t>DEDICAC. (Mes)</t>
  </si>
  <si>
    <t>DURAC. (Meses)</t>
  </si>
  <si>
    <t>IMPACTO (%)</t>
  </si>
  <si>
    <t>A.01</t>
  </si>
  <si>
    <t>Director de obra</t>
  </si>
  <si>
    <t>A.02</t>
  </si>
  <si>
    <t>Especialista Estructural</t>
  </si>
  <si>
    <t>A.03</t>
  </si>
  <si>
    <t>Especialista en Geotecnia</t>
  </si>
  <si>
    <t>A.04</t>
  </si>
  <si>
    <t>Especialista Hidráulico</t>
  </si>
  <si>
    <t>A.05</t>
  </si>
  <si>
    <t>Profesional Civil (Residente de Obra)</t>
  </si>
  <si>
    <t>A.06</t>
  </si>
  <si>
    <t>Profesional Topógrafo</t>
  </si>
  <si>
    <t>A.08</t>
  </si>
  <si>
    <t>Profesional Social</t>
  </si>
  <si>
    <t>A.09</t>
  </si>
  <si>
    <t>Factor Prestacional</t>
  </si>
  <si>
    <t>Total Costos Directos de Personal Incluyendo Factor Prestacional</t>
  </si>
  <si>
    <t>DURACIÓN (Meses)</t>
  </si>
  <si>
    <t>B.01</t>
  </si>
  <si>
    <t>Alquiler oficina</t>
  </si>
  <si>
    <t>B.03</t>
  </si>
  <si>
    <t>Gastos de oficina (papelería, mensajería, alquiler equipos de computo)</t>
  </si>
  <si>
    <t>B.04</t>
  </si>
  <si>
    <t>Vehículo camionetas pick up  doble cabina</t>
  </si>
  <si>
    <t>B.05</t>
  </si>
  <si>
    <t>Ensayos y pruebas</t>
  </si>
  <si>
    <t>B.07</t>
  </si>
  <si>
    <t>Instalaciones provisionales movilización y desmovilización</t>
  </si>
  <si>
    <t>B.09</t>
  </si>
  <si>
    <t>Alquiler de equipo de topografía</t>
  </si>
  <si>
    <t>GARANTÍAS</t>
  </si>
  <si>
    <t>C.01</t>
  </si>
  <si>
    <t>Garantías</t>
  </si>
  <si>
    <t>ESTAMPILLAS</t>
  </si>
  <si>
    <t>D.01</t>
  </si>
  <si>
    <t>Pro desarrollo</t>
  </si>
  <si>
    <t>D.02</t>
  </si>
  <si>
    <t>Pro Cultura</t>
  </si>
  <si>
    <t>D.03</t>
  </si>
  <si>
    <t>Pro USCO</t>
  </si>
  <si>
    <t>D.04</t>
  </si>
  <si>
    <t>Pro deporte</t>
  </si>
  <si>
    <t>AJUSTE</t>
  </si>
  <si>
    <t>F.M.</t>
  </si>
  <si>
    <t>F.P</t>
  </si>
  <si>
    <t>FACTOR MULTIPLICADOR - FACTOR PRESTACIONAL</t>
  </si>
  <si>
    <t>SDLMV</t>
  </si>
  <si>
    <t>AUX TRANSPORTE M</t>
  </si>
  <si>
    <t>AUX TRANSPORTE D</t>
  </si>
  <si>
    <t>SUELDO ANUAL BASICO</t>
  </si>
  <si>
    <t>Salario Basico</t>
  </si>
  <si>
    <t>Auxilio de trasporte</t>
  </si>
  <si>
    <t>B.02</t>
  </si>
  <si>
    <t>Primas anuales</t>
  </si>
  <si>
    <t>Cesantias anuales</t>
  </si>
  <si>
    <t>Intereses sobre las cesatias (mensual)</t>
  </si>
  <si>
    <t>SEGURIDAD SOCIAL</t>
  </si>
  <si>
    <t>Pensión</t>
  </si>
  <si>
    <t>C.02</t>
  </si>
  <si>
    <t>Riesgos profesional</t>
  </si>
  <si>
    <t>C.03</t>
  </si>
  <si>
    <t>APORTES PARAFISCALES</t>
  </si>
  <si>
    <t>Caja de compensación</t>
  </si>
  <si>
    <t>Aportes SENA</t>
  </si>
  <si>
    <t>Fondo Ind. Construcción</t>
  </si>
  <si>
    <t>D.06</t>
  </si>
  <si>
    <t>OTROS APORTES</t>
  </si>
  <si>
    <t>E.01</t>
  </si>
  <si>
    <t>Dotacion (Oberol, casco, botas, gafas, guantes, chalecos)</t>
  </si>
  <si>
    <t>E.02</t>
  </si>
  <si>
    <t>Seguro colectivo</t>
  </si>
  <si>
    <t>E.03</t>
  </si>
  <si>
    <t>Examen medico de ingreso</t>
  </si>
  <si>
    <t>SUB TOTAL F.P.</t>
  </si>
  <si>
    <t>IMPUESTOS Y ESTAMPILLAS</t>
  </si>
  <si>
    <t>F.01</t>
  </si>
  <si>
    <t>F.02</t>
  </si>
  <si>
    <t>F.03</t>
  </si>
  <si>
    <t>F.05</t>
  </si>
  <si>
    <t>F.07</t>
  </si>
  <si>
    <t>G.01</t>
  </si>
  <si>
    <t>Asesoria legal, contable y financiera permanente y personal técnico administrativo adicional</t>
  </si>
  <si>
    <t>G.02</t>
  </si>
  <si>
    <t>Seguros, incendio y robos</t>
  </si>
  <si>
    <t>G.03</t>
  </si>
  <si>
    <t>Salarios y prestaciones personal auxiliar (administrativo y Tecnico)</t>
  </si>
  <si>
    <t>G.05</t>
  </si>
  <si>
    <t>Preparacion de propuestas</t>
  </si>
  <si>
    <t>G.06</t>
  </si>
  <si>
    <t>Servicios de Oficina Públicos y comunicaciones</t>
  </si>
  <si>
    <t>H</t>
  </si>
  <si>
    <t>PÓLIZAS</t>
  </si>
  <si>
    <t>H.01</t>
  </si>
  <si>
    <t>Calidad</t>
  </si>
  <si>
    <t>H.02</t>
  </si>
  <si>
    <t>Cumplimiento, anticipo y salarios</t>
  </si>
  <si>
    <t>Calculado</t>
  </si>
  <si>
    <t>Ajustado</t>
  </si>
  <si>
    <t>Contribución</t>
  </si>
  <si>
    <t>DESAGREGADO PÓLIZAS</t>
  </si>
  <si>
    <t xml:space="preserve">Valor del contrato: </t>
  </si>
  <si>
    <t xml:space="preserve">PESOS COLOMBIANOS </t>
  </si>
  <si>
    <t>Plazo de ejecucion (meses):</t>
  </si>
  <si>
    <t>Plazo de ejecucion (dias):</t>
  </si>
  <si>
    <t>AMPARO</t>
  </si>
  <si>
    <t xml:space="preserve">CUMPLIMIENTO </t>
  </si>
  <si>
    <t>BUEN MANEJO DEL ANTICIPO (100% DEL ANTICIPO)</t>
  </si>
  <si>
    <t>RESPONSABILIDAD EXTRACONTRACTUAL</t>
  </si>
  <si>
    <t>ESTABILIDAD DE LA OBRA</t>
  </si>
  <si>
    <t>SALARIOS Y PRESTACIONES</t>
  </si>
  <si>
    <t>VIGENCIA</t>
  </si>
  <si>
    <t>Término igual a la vigencia del contrato y 6 meses más.</t>
  </si>
  <si>
    <t>Término igual a cinco (5) años a partir del acta de recibo final</t>
  </si>
  <si>
    <t>Término de la vigencia del contrato y tres (3) años más.</t>
  </si>
  <si>
    <t>TASA</t>
  </si>
  <si>
    <t xml:space="preserve">VALOR ASEGURADO </t>
  </si>
  <si>
    <t>DÍAS ADICIONALES</t>
  </si>
  <si>
    <t>TOTAL DÍAS</t>
  </si>
  <si>
    <t>PRIMA</t>
  </si>
  <si>
    <t>Total Prima Neta:</t>
  </si>
  <si>
    <t>Gastos de Expedición:</t>
  </si>
  <si>
    <t>I.V.A.</t>
  </si>
  <si>
    <t>Total Prima:</t>
  </si>
  <si>
    <t>DESAGREGADO DE LA INTERVENTORÍA DE OBRA</t>
  </si>
  <si>
    <t>A.07</t>
  </si>
  <si>
    <t>Profesional Ambiental</t>
  </si>
  <si>
    <t>Profesional QHSE</t>
  </si>
  <si>
    <t>A.10</t>
  </si>
  <si>
    <t>Apoyo a profesional residente</t>
  </si>
  <si>
    <t>B.06</t>
  </si>
  <si>
    <t>C-01</t>
  </si>
  <si>
    <t>C-02</t>
  </si>
  <si>
    <t>C-03</t>
  </si>
  <si>
    <t>C-04</t>
  </si>
  <si>
    <t>C-05</t>
  </si>
  <si>
    <t>C-06</t>
  </si>
  <si>
    <t>C-07</t>
  </si>
  <si>
    <t>C-08</t>
  </si>
  <si>
    <t>C-01-01</t>
  </si>
  <si>
    <t>C-02-01</t>
  </si>
  <si>
    <t>C-03-01</t>
  </si>
  <si>
    <t>C-03-02</t>
  </si>
  <si>
    <t>C-04-01</t>
  </si>
  <si>
    <t>C-05-01</t>
  </si>
  <si>
    <t>C-05-02</t>
  </si>
  <si>
    <t>C-06-01</t>
  </si>
  <si>
    <t>C-07-01</t>
  </si>
  <si>
    <t>C-07-02</t>
  </si>
  <si>
    <t>C-07-03</t>
  </si>
  <si>
    <t>C-08-01</t>
  </si>
  <si>
    <t>C-08-02</t>
  </si>
  <si>
    <t>C-08-03</t>
  </si>
  <si>
    <t>C-08-04</t>
  </si>
  <si>
    <t>C-08-05</t>
  </si>
  <si>
    <t>C-08-06</t>
  </si>
  <si>
    <t>C-08-07</t>
  </si>
  <si>
    <t>C-08-08</t>
  </si>
  <si>
    <t>C-08-09</t>
  </si>
  <si>
    <t>C-08-10</t>
  </si>
  <si>
    <t>C-08-11</t>
  </si>
  <si>
    <t>C-08-12</t>
  </si>
  <si>
    <t>C-08-13</t>
  </si>
  <si>
    <t>C-08-14</t>
  </si>
  <si>
    <t>C-08-15</t>
  </si>
  <si>
    <t>C-08-16</t>
  </si>
  <si>
    <t>D-01</t>
  </si>
  <si>
    <t>D-01-01</t>
  </si>
  <si>
    <t>D-02</t>
  </si>
  <si>
    <t>D-02-01</t>
  </si>
  <si>
    <t>D-03</t>
  </si>
  <si>
    <t>D-03-01</t>
  </si>
  <si>
    <t>D-03-02</t>
  </si>
  <si>
    <t>D-04</t>
  </si>
  <si>
    <t>D-04-01</t>
  </si>
  <si>
    <t>D-05</t>
  </si>
  <si>
    <t>D-05-01</t>
  </si>
  <si>
    <t>D-05-02</t>
  </si>
  <si>
    <t>D-06</t>
  </si>
  <si>
    <t>D-06-01</t>
  </si>
  <si>
    <t>D-07</t>
  </si>
  <si>
    <t>D-07-01</t>
  </si>
  <si>
    <t>D-08</t>
  </si>
  <si>
    <t>D-08-01</t>
  </si>
  <si>
    <t>D-08-02</t>
  </si>
  <si>
    <t>D-08-03</t>
  </si>
  <si>
    <t>E-01</t>
  </si>
  <si>
    <t>E-01-01</t>
  </si>
  <si>
    <t>E-02</t>
  </si>
  <si>
    <t>E-02-01</t>
  </si>
  <si>
    <t>E-03</t>
  </si>
  <si>
    <t>E-03-01</t>
  </si>
  <si>
    <t>E-03-02</t>
  </si>
  <si>
    <t>E-04</t>
  </si>
  <si>
    <t>E-04-01</t>
  </si>
  <si>
    <t>E-05</t>
  </si>
  <si>
    <t>E-05-01</t>
  </si>
  <si>
    <t>E-05-02</t>
  </si>
  <si>
    <t>E-06</t>
  </si>
  <si>
    <t>E-06-01</t>
  </si>
  <si>
    <t>E-07</t>
  </si>
  <si>
    <t>E-07-01</t>
  </si>
  <si>
    <t>E-07-02</t>
  </si>
  <si>
    <t>E-07-03</t>
  </si>
  <si>
    <t>E-08</t>
  </si>
  <si>
    <t>E-08-01</t>
  </si>
  <si>
    <t>E-08-02</t>
  </si>
  <si>
    <t>E-08-03</t>
  </si>
  <si>
    <t>E-08-04</t>
  </si>
  <si>
    <t>E-08-05</t>
  </si>
  <si>
    <t>E-08-06</t>
  </si>
  <si>
    <t>F - LECHOS DE SECADO</t>
  </si>
  <si>
    <t>F-01</t>
  </si>
  <si>
    <t>F-01-01</t>
  </si>
  <si>
    <t>F-02</t>
  </si>
  <si>
    <t>F-02-01</t>
  </si>
  <si>
    <t>F-03</t>
  </si>
  <si>
    <t>F-03-01</t>
  </si>
  <si>
    <t>F-03-02</t>
  </si>
  <si>
    <t>F-04</t>
  </si>
  <si>
    <t>F-04-01</t>
  </si>
  <si>
    <t>F-05</t>
  </si>
  <si>
    <t>F-05-01</t>
  </si>
  <si>
    <t>F-05-02</t>
  </si>
  <si>
    <t>F-07</t>
  </si>
  <si>
    <t>F-07-01</t>
  </si>
  <si>
    <t>F-07-02</t>
  </si>
  <si>
    <t>F-08</t>
  </si>
  <si>
    <t>F-08-01</t>
  </si>
  <si>
    <t>F-08-02</t>
  </si>
  <si>
    <t>F-08-03</t>
  </si>
  <si>
    <t>F-08-04</t>
  </si>
  <si>
    <t>F-08-05</t>
  </si>
  <si>
    <t>F-08-06</t>
  </si>
  <si>
    <t>G - EQUIPOS Y ELEMENTOS ESPECIALES</t>
  </si>
  <si>
    <t>G-01</t>
  </si>
  <si>
    <t>G-01-01</t>
  </si>
  <si>
    <t>G-01-03</t>
  </si>
  <si>
    <t>H - TANQUE DE ALMACENAMIENTO</t>
  </si>
  <si>
    <t>H-01</t>
  </si>
  <si>
    <t>H-01-01</t>
  </si>
  <si>
    <t>H-02</t>
  </si>
  <si>
    <t>H-02-01</t>
  </si>
  <si>
    <t>H-03</t>
  </si>
  <si>
    <t>H-03-01</t>
  </si>
  <si>
    <t>H-05</t>
  </si>
  <si>
    <t>H-05-01</t>
  </si>
  <si>
    <t>H-05-02</t>
  </si>
  <si>
    <t>H-07</t>
  </si>
  <si>
    <t>H-07-01</t>
  </si>
  <si>
    <t>H-08</t>
  </si>
  <si>
    <t>H-08-01</t>
  </si>
  <si>
    <t>H-08-02</t>
  </si>
  <si>
    <t>H-08-03</t>
  </si>
  <si>
    <t>H-08-04</t>
  </si>
  <si>
    <t>H-08-05</t>
  </si>
  <si>
    <t>H-08-06</t>
  </si>
  <si>
    <t>B-04-02</t>
  </si>
  <si>
    <t>LOCALIZACIÓN Y REPLANTEO DE REDES (NO INCLUYE EQUIPO DE TOPOGRAFÍA)</t>
  </si>
  <si>
    <t>G001</t>
  </si>
  <si>
    <t>M</t>
  </si>
  <si>
    <t>EQUIPO</t>
  </si>
  <si>
    <t>TRANSP.</t>
  </si>
  <si>
    <t>M.O.</t>
  </si>
  <si>
    <t>A - MATERIALES</t>
  </si>
  <si>
    <t>SUB - TOTAL</t>
  </si>
  <si>
    <t>Estaca</t>
  </si>
  <si>
    <t>Pintura en aceite</t>
  </si>
  <si>
    <t>Clavo de alta velocidad 1/4"X2"</t>
  </si>
  <si>
    <t>Cinta señalización</t>
  </si>
  <si>
    <t>B - HERRAMIENTA, MAQUINARIA Y EQUIPO</t>
  </si>
  <si>
    <t>Herramienta Menor</t>
  </si>
  <si>
    <t>C - TRANSPORTE</t>
  </si>
  <si>
    <t>Transporte de herramienta</t>
  </si>
  <si>
    <t>% Mat</t>
  </si>
  <si>
    <t>D - MANO DE OBRA</t>
  </si>
  <si>
    <t>REND.</t>
  </si>
  <si>
    <t>LISTA DE ANÁLISIS DE PRECIOS UNITARIOS</t>
  </si>
  <si>
    <t>APU</t>
  </si>
  <si>
    <t>NOMBRE</t>
  </si>
  <si>
    <t>MAT.</t>
  </si>
  <si>
    <t>COSTO</t>
  </si>
  <si>
    <t>Empate desde aducción</t>
  </si>
  <si>
    <t>OBSERVACIONES:</t>
  </si>
  <si>
    <t>Profundiad</t>
  </si>
  <si>
    <t>G004</t>
  </si>
  <si>
    <t>Cuadrilla 1: 1 Ayudante A</t>
  </si>
  <si>
    <t>RELLENO CON ARENA PARA BASE DE TUBERÍA</t>
  </si>
  <si>
    <t>G008</t>
  </si>
  <si>
    <t>Arena triturada pasante 3/8"</t>
  </si>
  <si>
    <t>Transporte de materiales</t>
  </si>
  <si>
    <t>M3-KM</t>
  </si>
  <si>
    <t>Transporte de equipos y herramientas</t>
  </si>
  <si>
    <t>Cuadrilla 5: 1 OfcA + 1 AyuA</t>
  </si>
  <si>
    <t>RELLENO CON TRITURADO PASANTE DE 3/4"</t>
  </si>
  <si>
    <t>G009</t>
  </si>
  <si>
    <t>Triturado pasante de 3/4" retenido en 3/8"</t>
  </si>
  <si>
    <t>RELLENO CON MATERIAL SELECCIONADO DE LA EXCAVACIÓN, COMPACTADO CON EQUIPO MECÁNICO EN CAPAS DE 0,20 m</t>
  </si>
  <si>
    <t>G011</t>
  </si>
  <si>
    <t>Apisonador tipo canguro, incluye combustible</t>
  </si>
  <si>
    <t>Transporte de Maquinaria y Equipos</t>
  </si>
  <si>
    <t>% M y E</t>
  </si>
  <si>
    <t>RETIRO DE MATERIAL SOBRANTE HASTA BOTADERO AUTORIZADO (INCLUYE FACTOR DE EXPANSIÓN)</t>
  </si>
  <si>
    <t>G013</t>
  </si>
  <si>
    <t>Retroexcavadora de llanta, balde estandar</t>
  </si>
  <si>
    <t>Volumen excavado</t>
  </si>
  <si>
    <t>Volumen reutilizado</t>
  </si>
  <si>
    <t>DISPOSICIÓN DE MATERIAL PROVENIENTE DE EXCAVACIÓN (NO INCLUYE TRANSPORTE)</t>
  </si>
  <si>
    <t>G014</t>
  </si>
  <si>
    <t>Distancia a dispocisión</t>
  </si>
  <si>
    <t>SUMINISTRO E INSTALACIÓN DE TUBERÍA PVC UM Ø6" RDE 21 (INCLUYE PEGAMENTO, LIMPIADOR, HERRAMIENTA MENOR Y MANO DE OBRA)</t>
  </si>
  <si>
    <t>G015</t>
  </si>
  <si>
    <t>ESTACIÓN DE MACROMEDICIÓN L=1.90M, A=1.60M DE Ø6" A TODO COSTO (INCLUYE CONFORMACIÓN DE CAJA EN CONCRETO DE 4000 PSI, ACERO DE REFUERZO, TUBERÍA, ACCESORIOS, MATERIALES, HERRRAMIENTA MENOR Y MANO DE OBRA)</t>
  </si>
  <si>
    <t>G071</t>
  </si>
  <si>
    <t>SUMINISTRO E INSTALACIÓN DE VÁLVULA DE CORTE TIPO CHOROTE Ø6" EN HIERRO DUCTIL (INCLUYE CAJA EN CONCRETO, REPLANTEO, EXCAVACIÓN, RECEBO, SOLADO, CONCRETO, ACERO, PASAMURO, VÁLVULA, MATERIALES, HERRAMIENTA MENOR Y MANO DE OBRA)</t>
  </si>
  <si>
    <t>G074</t>
  </si>
  <si>
    <t>LOCALIZACIÓN Y REPLANTEO. INCLUYE PLANOS RECORD</t>
  </si>
  <si>
    <t>Cuadrilla</t>
  </si>
  <si>
    <t>G075</t>
  </si>
  <si>
    <t>A-03-02</t>
  </si>
  <si>
    <t>A-03-03</t>
  </si>
  <si>
    <t>A-04-02</t>
  </si>
  <si>
    <t>G005</t>
  </si>
  <si>
    <t>EXCAVACIÓN MECÁNICA EN MATERIAL COMÚN (INCLUYE MAQUINARIA)</t>
  </si>
  <si>
    <t>% H, M, E</t>
  </si>
  <si>
    <t>G018</t>
  </si>
  <si>
    <t>Cuadrilla 8: 1 OfcA + 4 AyuA</t>
  </si>
  <si>
    <t>G019</t>
  </si>
  <si>
    <t>G007</t>
  </si>
  <si>
    <t>Pocisión</t>
  </si>
  <si>
    <t>10A</t>
  </si>
  <si>
    <t>12A</t>
  </si>
  <si>
    <t>17A</t>
  </si>
  <si>
    <t>18A</t>
  </si>
  <si>
    <t>18B</t>
  </si>
  <si>
    <t>19A</t>
  </si>
  <si>
    <t>19B</t>
  </si>
  <si>
    <t>35A</t>
  </si>
  <si>
    <t>36A</t>
  </si>
  <si>
    <t>36B</t>
  </si>
  <si>
    <t>37A</t>
  </si>
  <si>
    <t>37B</t>
  </si>
  <si>
    <t>Masa Kg/m</t>
  </si>
  <si>
    <t>Consideraciones</t>
  </si>
  <si>
    <t>Cantidad total en metros</t>
  </si>
  <si>
    <t>OBSERVACIONES: Los detalles de las cantidades se pueden confirmar en el cuadro de aceros del plano estructural</t>
  </si>
  <si>
    <t>CUADRILLAS MANO DE OBRA</t>
  </si>
  <si>
    <t>ID</t>
  </si>
  <si>
    <t>VALOR DÍA</t>
  </si>
  <si>
    <t>O-01</t>
  </si>
  <si>
    <t>Topógrafo</t>
  </si>
  <si>
    <t>O-02</t>
  </si>
  <si>
    <t>Cadenero</t>
  </si>
  <si>
    <t>O-03</t>
  </si>
  <si>
    <t>Trochero</t>
  </si>
  <si>
    <t>O-04</t>
  </si>
  <si>
    <t>Ayudante Albañilería</t>
  </si>
  <si>
    <t>O-05</t>
  </si>
  <si>
    <t>Oficial Albañilería</t>
  </si>
  <si>
    <t>O-06</t>
  </si>
  <si>
    <t>Ayudante B (Inst. Elec, Hidr y San)</t>
  </si>
  <si>
    <t>S.M.L.D.V</t>
  </si>
  <si>
    <t>O-07</t>
  </si>
  <si>
    <t>Oficial B (Inst. Elec, Hidr y San)</t>
  </si>
  <si>
    <t>O-08</t>
  </si>
  <si>
    <t>Ayudante C (Carpinterias)</t>
  </si>
  <si>
    <t>O-09</t>
  </si>
  <si>
    <t>Oficial C (Carpinterias)</t>
  </si>
  <si>
    <t>O-10</t>
  </si>
  <si>
    <t>Ayudante D (Pinturas y Acabados)</t>
  </si>
  <si>
    <t>O-11</t>
  </si>
  <si>
    <t>Oficial D (Pinturas y Acabados)</t>
  </si>
  <si>
    <t>O-12</t>
  </si>
  <si>
    <t>Maestro de Obra</t>
  </si>
  <si>
    <t>CUADRILLA</t>
  </si>
  <si>
    <t>TOPÓGRAFO - MAESTRO  - OFICIAL</t>
  </si>
  <si>
    <t>CADENERO - AYUDANTE</t>
  </si>
  <si>
    <t>TROCHERO</t>
  </si>
  <si>
    <t xml:space="preserve">Cuadrilla 2: 2 Ayudantes A </t>
  </si>
  <si>
    <t>Cuadrilla 3: 3 Ayudantes A</t>
  </si>
  <si>
    <t>Cuadrilla 4: 1 Ayudante B</t>
  </si>
  <si>
    <t>Cuadrilla 6: 1 OfcA + 2 AyuA</t>
  </si>
  <si>
    <t>Cuadrilla 7: 1 OfcA + 3 AyuA</t>
  </si>
  <si>
    <t>Cuadrilla 9: 1 OfcA + 5 AyuA</t>
  </si>
  <si>
    <t>Cuadrilla 10: 1 OfcA + 6 AyuA</t>
  </si>
  <si>
    <t>Cuadrilla 11: 1Ma+1OfcA+1AyuA</t>
  </si>
  <si>
    <t>Cuadrilla 12: 1Ma+1OfcA+2AyuA</t>
  </si>
  <si>
    <t>Cuadrilla 13: 1Ma+1OfcA+3AyuA</t>
  </si>
  <si>
    <t>Cuadrilla 14: 1Ma+1OfcA+4AyuA</t>
  </si>
  <si>
    <t>Cuadrilla 15: 1Ma+1OfcA+5AyuA</t>
  </si>
  <si>
    <t>Cuadrilla 16: 1Ma+1OfcA+6AyuA</t>
  </si>
  <si>
    <t>Cuadrilla 17: 1 OfcB + 1 AyuB</t>
  </si>
  <si>
    <t>Cuadrilla 18: 1 OfcB + 2 AyuB</t>
  </si>
  <si>
    <t>Cuadrilla 19: 1 OfcB + 3 AyuB</t>
  </si>
  <si>
    <t>Cuadrilla 20: 1 OfcB + 4 AyuB</t>
  </si>
  <si>
    <t>Cuadrilla 21: 1 OfcB + 5 AyuB</t>
  </si>
  <si>
    <t>Cuadrilla 22: 1 OfcC - 1 AyuC</t>
  </si>
  <si>
    <t>Cuadrilla 23: 1 OfcC - 2 AyuC</t>
  </si>
  <si>
    <t>Cuadrilla 24: 1 OfcC - 3 AyuC</t>
  </si>
  <si>
    <t>Cuadrilla 25: 1 OfcC - 4 AyuC</t>
  </si>
  <si>
    <t>Cuadrilla 26:  1 OfcD - 1 AyuD</t>
  </si>
  <si>
    <t>Cuadrilla 27: 1 OfcD - 2 AyuD</t>
  </si>
  <si>
    <t>Cuadrilla 28: 1 OfcD - 3 AyuD</t>
  </si>
  <si>
    <t>Cuadrilla 29: 1 OfcD - 4 AyuD</t>
  </si>
  <si>
    <t>Cuadrilla 30: 1 OfcA</t>
  </si>
  <si>
    <t>Cuadrilla 31: 1 OfcB</t>
  </si>
  <si>
    <t>Cuadrilla 29: 1 OfcC</t>
  </si>
  <si>
    <t>Cuadrilla 29: 1 OfcD</t>
  </si>
  <si>
    <t>Maestro</t>
  </si>
  <si>
    <t>Oficial</t>
  </si>
  <si>
    <t>Cuadrilla 4: Instalaciones hidráulica y sanitaria</t>
  </si>
  <si>
    <t>Cuadrilla 5: Mezclas</t>
  </si>
  <si>
    <t>Cuadrilla 6: Pavimentos</t>
  </si>
  <si>
    <t>Comisión de topografía</t>
  </si>
  <si>
    <t>Conductor</t>
  </si>
  <si>
    <t>Cuadrilla Soldadura</t>
  </si>
  <si>
    <t>Cuadrilla eléctrica</t>
  </si>
  <si>
    <t>Arriero</t>
  </si>
  <si>
    <t>Oficial + Ayudante</t>
  </si>
  <si>
    <t>Camara de aquietamiento</t>
  </si>
  <si>
    <t>Entrega a floculador</t>
  </si>
  <si>
    <t>G999</t>
  </si>
  <si>
    <t>CAJA AIREADOR DE BANDEJAS</t>
  </si>
  <si>
    <t>G998</t>
  </si>
  <si>
    <t>G997</t>
  </si>
  <si>
    <t>G996</t>
  </si>
  <si>
    <t>G995</t>
  </si>
  <si>
    <t>G994</t>
  </si>
  <si>
    <t>G993</t>
  </si>
  <si>
    <t>G992</t>
  </si>
  <si>
    <t>Cajilla de entrada a Bandejas de aireación</t>
  </si>
  <si>
    <t>Cajas de control</t>
  </si>
  <si>
    <t>G991</t>
  </si>
  <si>
    <t>Floculador</t>
  </si>
  <si>
    <t>Sedimentador</t>
  </si>
  <si>
    <t>Canal de lavado</t>
  </si>
  <si>
    <t>G990</t>
  </si>
  <si>
    <t>SUMINISTRO E INSTALACION PASAMURO HD 3" BXB=0,75M Z=0.375 M.</t>
  </si>
  <si>
    <t>Galón</t>
  </si>
  <si>
    <t>Libra</t>
  </si>
  <si>
    <t>ESTACA</t>
  </si>
  <si>
    <t>PINTURA EN ACEITE</t>
  </si>
  <si>
    <t>CLAVO DE ALTA VELOCIDAD 1/4"X2"</t>
  </si>
  <si>
    <t>CINTA SEÑALIZACIÓN</t>
  </si>
  <si>
    <t>Hora</t>
  </si>
  <si>
    <t>RETROEXCAVADORA DE LLANTA, BALDE ESTANDAR</t>
  </si>
  <si>
    <t>ARENA TRITURADA PASANTE 3/8"</t>
  </si>
  <si>
    <t>TRANSPORTE DE MATERIALES</t>
  </si>
  <si>
    <t>CANTERA</t>
  </si>
  <si>
    <t>TRITURADO PASANTE DE 3/4" RETENIDO EN 3/8"</t>
  </si>
  <si>
    <t>APISONADOR TIPO CANGURO, INCLUYE COMBUSTIBLE</t>
  </si>
  <si>
    <t>c</t>
  </si>
  <si>
    <t>RELLENO EN RECEBO COMUN PROVENIENTE DE MATERIAL DE PRESTAMO, COMPACTADO MECANICAMENTE.</t>
  </si>
  <si>
    <t>Transporte de material</t>
  </si>
  <si>
    <t>CONCRETO PARA SOLADO, LIMPIEZA Y/O RELLENOS FLUIDOS (140KG/CM2) - ESPESOR=0.05 METROS.</t>
  </si>
  <si>
    <t>C-04-02</t>
  </si>
  <si>
    <t>CONCRETO DE FC=280 KG/CM2, IMPERMEABILIZADO PARA ESTRUCTURAS ENTERRADAS Y SEMIENTERRADAS.</t>
  </si>
  <si>
    <t>ACERO DE REFUERZO FIGURADO FY= 420 MPA-60000 PSI, CORRUGADO. INCLUYE TRANSPORTE CON DESCARGA, TRANSPORTE INTERNO, ALAMBRE DE AMARRE, CERTIFICADOS Y TODOS LOS ELEMENTOS NECESARIOS PARA SU CORRECTA INSTALACIÓN, SEGÚN DISEÑO Y RECOMENDACIONES.</t>
  </si>
  <si>
    <t>SUMINISTRO E INSTALACIÓN DE TUBERIA PVC UNION MECANICA DE 8". PRESIÓN DE TRABAJO 200 PSI.</t>
  </si>
  <si>
    <t>SUMINISTRO E INSTALACIÓN DE CINTA PVC DE 0.15 METROS PARA JUNTA DE CONSTRUCCION EN TANQUES.</t>
  </si>
  <si>
    <t>SUMINISTRO E INSTALACIÓN PASAMURO HD 6" BXB=0,75M Z=0.375 M.</t>
  </si>
  <si>
    <t>SUMINISTRO E INSTALACIÓN PASAMURO HD 8" BXB=0,75M Z=0.375 M.</t>
  </si>
  <si>
    <t>SUMINISTRO E INSTALACIÓN VÁLVULA DE COMPUERTA ELASTICA VASTAGO NO ASCENDENTE EXTREMO BRIDADO PARA PVC DIAMETRO 6".</t>
  </si>
  <si>
    <t>SUMINISTRO E INSTALACIÓN VÁLVULA DE COMPUERTA ELASTICA VASTAGO NO ASCENDENTE EXTREMO BRIDADO PARA PVC DIAMETRO 8".</t>
  </si>
  <si>
    <t>SUMINISTRO E INSTALACIÓN COMPUERTA DE VASTAGO DESLIZANTE DE 6". INCLUYE COLUMNA DE MANIOBRA Y TODO LO NECESARIO PARA SU CORRECTO FUNCIONAMIENTO.</t>
  </si>
  <si>
    <t>SUMINISTRO E INSTALACIÓN COMPUERTA DE VASTAGO DESLIZANTE DE 8". INCLUYE COLUMNA DE MANIOBRA Y TODO LO NECESARIO PARA SU CORRECTO FUNCIONAMIENTO.</t>
  </si>
  <si>
    <t>SUMINISTRO E INSTALACIÓN CODO BXB. DE 6". INCLUYE ACCESORIOS DE ENTREGA E INSTALACION.</t>
  </si>
  <si>
    <t xml:space="preserve">SUMINISTRO E INSTALACIÓN DE TUBERIA PVC UNION MECANICA DE 4". PRESIÓN DE TRABAJO 200 PSI.  </t>
  </si>
  <si>
    <t>G989</t>
  </si>
  <si>
    <t>SUMINISTRO E INSTALACIÓN DE TUBERIA PVC UNION MECANICA DE 6". PRESIÓN DE TRABAJO 200 PSI.</t>
  </si>
  <si>
    <t>G988</t>
  </si>
  <si>
    <t>G987</t>
  </si>
  <si>
    <t xml:space="preserve"> SUMINISTRO E INSTALACIÓN VÁLVULA DE COMPUERTA ELASTICA VASTAGO NO ASCENDENTE EXTREMO BRIDADO PARA PVC DIAMETRO 3".</t>
  </si>
  <si>
    <t>G986</t>
  </si>
  <si>
    <t>SUMINISTRO E INSTALACIÓN SISTEMA DE RECOLECCIÓN DE AGUA FLOCULADA, EN TUBERÍA HD O PETROLERA DE DIÁMETRO 12". INCLUYE TODO LO NECESARIO PARA SU CORRECTA CONSTRUCCIÓN E INSTALACIÓN.</t>
  </si>
  <si>
    <t>G985</t>
  </si>
  <si>
    <t xml:space="preserve"> SUMINISTRO E INSTALACIÓN TUBERÍA DE ENTRADA DE AGUA FLOCULADA HACIA SEDIMENTACIÓN. TUBERÍA H.D. O PETROLERA DE DIÁMETRO 8". INCLUYE TODOS LOS ELEMENTOS PARA SU CORRECTA INSTALACIÓN Y FUNCIONAMIENTO. LA TUBERÍA TENDRÁ PERFORACIONES DE 3" SEGÚN DISEÑO. </t>
  </si>
  <si>
    <t>G984</t>
  </si>
  <si>
    <t xml:space="preserve"> SUMINISTRO E INSTALACIÓN TUBERÍA DE RECOLECCIÓN DE AGUA SEDIMENTADA. TUBERÍA H.D. O PETROLERA DE DIÁMETRO 6". INCLUYE TODOS LOS ELEMENTOS PARA SU CORRECTA INSTALACIÓN Y FUNCIONAMIENTO. LA TUBERÍA TENDRÁ PERFORACIONES DE 3/4" SEGÚN DISEÑO. </t>
  </si>
  <si>
    <t>G983</t>
  </si>
  <si>
    <t>FALSO FONDO EN FIBRA DE VIDRIO DE ESPESOR 0.02 METROS CON ORIFICOS DE 0.10 METROS CADA 0.30 METROS.</t>
  </si>
  <si>
    <t>G982</t>
  </si>
  <si>
    <t>MODULOS DE SEDIMENTACION DE ALTA TASA TIPO COLMENA. ALTURA RECTA 1.04. ALTURA INCLINADA 1.20 METROS, CALIBRE 40 EN MATERIAL POLIESTIRENO CON ADITIVOS MODIFICADORES DE IMPACTO Y PROTECTOR UV.</t>
  </si>
  <si>
    <t>G981</t>
  </si>
  <si>
    <t xml:space="preserve">ANTRACITA PARA FILTRO. </t>
  </si>
  <si>
    <t>G980</t>
  </si>
  <si>
    <t xml:space="preserve">ARENA PARA FILTRO. </t>
  </si>
  <si>
    <t>G979</t>
  </si>
  <si>
    <t xml:space="preserve">GRAVA PARA FILTRO. </t>
  </si>
  <si>
    <t>G978</t>
  </si>
  <si>
    <t>LOCALIZACIÓN Y REPLANTEO. INCLUYE: MATERIALES, EQUIPOS, COMISIÓN TOPOGRÁFICA PARA CONTROL DE NIVELES PERMANENTES Y PLANOS RECORD.</t>
  </si>
  <si>
    <t>G977</t>
  </si>
  <si>
    <t>EXCAVACIÓN MANUAL EN TIERRA</t>
  </si>
  <si>
    <t>G976</t>
  </si>
  <si>
    <t>MATERIAL SOPORTE EN INSTALACION DE TUBERIA. CAMA DE ARENA DE BASE 0.10 METROS Y 0.15 METROS POR ENCIMA DE LA COTA CLAVE DE LA TUBERIA.</t>
  </si>
  <si>
    <t>D-04-02</t>
  </si>
  <si>
    <t>E-04-02</t>
  </si>
  <si>
    <t>G975</t>
  </si>
  <si>
    <t>SUMINISTRO E INSTALACIÓN PASAMURO HD 4" BXB=0,75M Z=0.375 M.</t>
  </si>
  <si>
    <t>G974</t>
  </si>
  <si>
    <t xml:space="preserve"> SUMINISTRO E INSTALACION VALVULA DE COMPUERTA ELASTICA VASTAGO NO ASCENDENTE EXTREMO BRIDADO PARA PVC DIAMETRO 4".</t>
  </si>
  <si>
    <t>F-04-02</t>
  </si>
  <si>
    <t>SUMINISTRO E INSTALACION DE ESTRUCTURA METALICA PARA SOPORTE DE CUBIERTA.</t>
  </si>
  <si>
    <t>G973</t>
  </si>
  <si>
    <t>G972</t>
  </si>
  <si>
    <t>CUBIERTA EN TEJA MATER 1000 PREPINTADA, INCLUYE SOPORTES Y TORNILLOS.</t>
  </si>
  <si>
    <t>G971</t>
  </si>
  <si>
    <t>SUMINISTRO E INSTALACIÓN DE ANCLAJE PARA COLUMNAS METÁLICAS, INCLUYE:  PLATINA DE 3/8" DE 0.20X0.20 METROS DOBLES, PERNOS EN VARILLA ROSCADA DE 1/2" DE 0.40 METROS, CON TUERCA Y ARANDELA DE SEGURIDAD</t>
  </si>
  <si>
    <t>G970</t>
  </si>
  <si>
    <t>SUMINISTRO E INSTALACIÓN DE BOMBA DOSIFICADORA DE PRODUCTOS QUIMICOS TIPO DIAFRAGMA.</t>
  </si>
  <si>
    <t>G969</t>
  </si>
  <si>
    <t>G968</t>
  </si>
  <si>
    <t xml:space="preserve">SUMINISTRO E INSTALACIÓN MACROMEDIDOR DE 8". INCLUYE ACCESORIOS. INCLUYE CAJA DE CONCRETO REFORZADA. </t>
  </si>
  <si>
    <t xml:space="preserve">SUMINISTRO E INSTALACIÓN MACROMEDIDOR DE 6". INCLUYE ACCESORIOS. INCLUYE CAJA DE CONCRETO REFORZADA. </t>
  </si>
  <si>
    <t>G967</t>
  </si>
  <si>
    <t>G966</t>
  </si>
  <si>
    <t>MÓDULOS DE DIVISIÓN DE CUBICULOS DE OFICINA. INCLUYE TODO LO NECESARIO PARA SU CORRECTA INSTALACIÓN Y FUNCIONAMIENTO.</t>
  </si>
  <si>
    <t>G965</t>
  </si>
  <si>
    <t>AIREADOR DE BANDEJAS (3 UNIDADES) DE SECCIÓN 1.34X1.34M. EN ACERO INOXIDABLE. LÁMINA CAL. 3/16", TUBERÍA CUADRADA DE 25X25X1.5MM PARA SOPORTE Y TUBERÍA CUADRADA DE 50X50X1.5 MM PARA ESTRUCTURA PRINCIPAL. INCLUYE ESCALERA DE GATO.</t>
  </si>
  <si>
    <t>H-04</t>
  </si>
  <si>
    <t>H-04-01</t>
  </si>
  <si>
    <t>H-04-02</t>
  </si>
  <si>
    <t>H-06</t>
  </si>
  <si>
    <t>H-06-01</t>
  </si>
  <si>
    <t>G964</t>
  </si>
  <si>
    <t>SUMINISTRO E INSTALACIÓN SISTEMA DE ALMENARA PARA TUBERÍA PVC PRESIÓN DE 8".</t>
  </si>
  <si>
    <t>G963</t>
  </si>
  <si>
    <t xml:space="preserve">SUMINISTRO E INSTALACIÓN CODO PVC DE 90 GRADOS PRESIÓN DE 8". INCLUYE UNIÓN DE REPARACIÓN. </t>
  </si>
  <si>
    <t>G962</t>
  </si>
  <si>
    <t xml:space="preserve"> SUMINISTRO E INSTALACIÓN DE TEE HF DE 8"X8" EXTREMO BRIDAS PARA CONEXIÓN DE TUBERÍA PVC.</t>
  </si>
  <si>
    <t>E - ESPESADOR GRAVIMÉTRICO</t>
  </si>
  <si>
    <t>D - CANAL DE DESINFECCIÓN</t>
  </si>
  <si>
    <t>B - CÁMARA DE LLEGADA Y AQUIETAMIENTO DEL AGUA</t>
  </si>
  <si>
    <t>A -EMPATE CON LÍNEA DE ADUCCIÓN</t>
  </si>
  <si>
    <t>RESIDUOS</t>
  </si>
  <si>
    <t>B-03-03</t>
  </si>
  <si>
    <t>OBSERVACIONES: Se considera un factor de expansión del 25%</t>
  </si>
  <si>
    <t>Sedimentador 1 Estruc.</t>
  </si>
  <si>
    <t>Sedimentador 2 Canal</t>
  </si>
  <si>
    <t>OBSERVACIONES: Se prevee un sobre ancho de 30 cm a cada lado de la estuctura, se ponen 2 secciones para la excavación del sedimentador debido a que tiene profundidades variables</t>
  </si>
  <si>
    <t>OBSERVACIONES: Se contempla un espesor para el mejoramiento de terreno mediante material de recebo de 20cm, para estructuras principales.</t>
  </si>
  <si>
    <t>C-03-03</t>
  </si>
  <si>
    <t>Excavación</t>
  </si>
  <si>
    <t>Rellenos</t>
  </si>
  <si>
    <t>Estructura</t>
  </si>
  <si>
    <t>Canal de lavado y agua sedimentada</t>
  </si>
  <si>
    <t>Agua sedimentada</t>
  </si>
  <si>
    <t>Lavado de filtros</t>
  </si>
  <si>
    <t>Salida floculador</t>
  </si>
  <si>
    <t>Llegada sedimentador</t>
  </si>
  <si>
    <t>Lavado sedimentador</t>
  </si>
  <si>
    <t>Llegada 1 canal de filtros</t>
  </si>
  <si>
    <t>Llegada 2 canal de filtros</t>
  </si>
  <si>
    <t>Salida canal de filtros</t>
  </si>
  <si>
    <t>C-08-17</t>
  </si>
  <si>
    <t>G961</t>
  </si>
  <si>
    <t>SUMINISTRO E INSTALACIÓN PASAMURO HD 12" BXB=0,75M Z=0.375 M.</t>
  </si>
  <si>
    <t>Salida floculador 2</t>
  </si>
  <si>
    <t>Salida floculador 1</t>
  </si>
  <si>
    <t>Sedimentador 1</t>
  </si>
  <si>
    <t>Sedimentador 2</t>
  </si>
  <si>
    <t>Filtros</t>
  </si>
  <si>
    <t>C-08-18</t>
  </si>
  <si>
    <t>Entrada floculador</t>
  </si>
  <si>
    <t>Llegada de lavado</t>
  </si>
  <si>
    <t>Lavado sedimentador tren 1</t>
  </si>
  <si>
    <t>Lavado sedimentador tren 2</t>
  </si>
  <si>
    <t>Salida  a pozo no. 3 de excesos</t>
  </si>
  <si>
    <t>Tuberia de lavado pvc-p 6"-floculador tren 1</t>
  </si>
  <si>
    <t>Tuberia de lavado pvc-p 6"-floculador tren 2</t>
  </si>
  <si>
    <t>Lavado floculador tren 1</t>
  </si>
  <si>
    <t>Lavado floculador tren 2</t>
  </si>
  <si>
    <t>Tuberia de lavado pvc-p 6"-floculadores-tren 1</t>
  </si>
  <si>
    <t>Tuberia de lavado pvc-p 6"-floculadores tren 2</t>
  </si>
  <si>
    <t>Tuberia pvc-p 8"-salida de canal de lavado a pozo no3.</t>
  </si>
  <si>
    <t>Tuberia</t>
  </si>
  <si>
    <t>Desinfección</t>
  </si>
  <si>
    <t>Salida desinfección</t>
  </si>
  <si>
    <t>OBSERVACIONES: Se proyectan un sobre ancho de 30 cm a cada lado de las estrcuturas</t>
  </si>
  <si>
    <t>Tubería salida 8" PVC-P</t>
  </si>
  <si>
    <t>D-03-03</t>
  </si>
  <si>
    <t>Tubería</t>
  </si>
  <si>
    <t>Tuberia de salida</t>
  </si>
  <si>
    <t>Canal de salida</t>
  </si>
  <si>
    <t>Espesador de lodos</t>
  </si>
  <si>
    <t>Caja de excesos</t>
  </si>
  <si>
    <t>Caja de drenaje</t>
  </si>
  <si>
    <t>E-03-03</t>
  </si>
  <si>
    <t>OBSERVACIONES: Se proyecta un sobre ancho de 30cm a cada lado de las estructuras.</t>
  </si>
  <si>
    <t>OBSERVACIONES: Se proyectan en las excavaciones los espesores del solado de limpieza, ademas del espesor para el material de mejoramiento de terreno</t>
  </si>
  <si>
    <t>OBSERVACIONES: Se proyecta una cama de arena para la tuberia con espesor de 10cm</t>
  </si>
  <si>
    <t>Tuberia 6" by pass</t>
  </si>
  <si>
    <t>OBSERVACIONES: Se proyecta con espesor de 20cm para mejoramiento de terreno de estructuras grandes y de 10cm para estructuras pequeñas</t>
  </si>
  <si>
    <t>OBSERVACIONES: Se proyecta con espesor de 5cm para solado de limpieza</t>
  </si>
  <si>
    <t>Tolva</t>
  </si>
  <si>
    <t>Tubería By Pass</t>
  </si>
  <si>
    <t>Tubería de drenaje</t>
  </si>
  <si>
    <t>no se encontro</t>
  </si>
  <si>
    <t>Llegada espesador</t>
  </si>
  <si>
    <t>E-08-07</t>
  </si>
  <si>
    <t>E-08-08</t>
  </si>
  <si>
    <t>G960</t>
  </si>
  <si>
    <t xml:space="preserve">SUMINISTRO E INSTALACIÓN CODO PVC DE 90 GRADOS PRESIÓN DE 6". INCLUYE UNIÓN DE REPARACIÓN. </t>
  </si>
  <si>
    <t>Tuberia by pass</t>
  </si>
  <si>
    <t>G959</t>
  </si>
  <si>
    <t xml:space="preserve"> SUMINISTRO E INSTALACIÓN DE TEE HF DE 6"X6" EXTREMO BRIDAS PARA CONEXIÓN DE TUBERÍA PVC.</t>
  </si>
  <si>
    <t>G958</t>
  </si>
  <si>
    <t xml:space="preserve"> SUMINISTRO E INSTALACIÓN DE BRIDA AJUSTABLE DE 8" SCH80 150 PSI PARA CONEXIÓN DE TUBERÍA PVC.</t>
  </si>
  <si>
    <t>E-08-09</t>
  </si>
  <si>
    <t>Lechos de secado</t>
  </si>
  <si>
    <t>Cajas de lixiviados</t>
  </si>
  <si>
    <t>OBSERVACIONES: Se proyectan 30cm de sobreancho para las estructuras en cada lado</t>
  </si>
  <si>
    <t>Tuberia de llegada 4"</t>
  </si>
  <si>
    <t>Tuberia de lixiviados 6"</t>
  </si>
  <si>
    <t>F-03-03</t>
  </si>
  <si>
    <t>Cajas lixiviados</t>
  </si>
  <si>
    <t>Salpicadero</t>
  </si>
  <si>
    <t>Tuberia descarga 4"</t>
  </si>
  <si>
    <t>Lechos de secado horiz.</t>
  </si>
  <si>
    <t>Lechos de secado Vert.</t>
  </si>
  <si>
    <t>Cajas de salida</t>
  </si>
  <si>
    <t>Columnas de acero</t>
  </si>
  <si>
    <t>Vigas de acero</t>
  </si>
  <si>
    <t>Vigas inclinadas</t>
  </si>
  <si>
    <t>Correas</t>
  </si>
  <si>
    <t>Caballete</t>
  </si>
  <si>
    <t>Kg/ml</t>
  </si>
  <si>
    <t>Cubierta</t>
  </si>
  <si>
    <t>Platinas</t>
  </si>
  <si>
    <t>G957</t>
  </si>
  <si>
    <t>RELLENO CON TRITURADO PASANTE 1", RETENIDO 1/2" PARA FILTRO EN SECADO DE LODOS.</t>
  </si>
  <si>
    <t>F-03-04</t>
  </si>
  <si>
    <t>Arena para filtro</t>
  </si>
  <si>
    <t>Triturado para filtro</t>
  </si>
  <si>
    <t>Tuberia perforada</t>
  </si>
  <si>
    <t>salida de recoleccion</t>
  </si>
  <si>
    <t>F-08-07</t>
  </si>
  <si>
    <t>G956</t>
  </si>
  <si>
    <t xml:space="preserve">SUMINISTRO E INSTALACIÓN CODO PVC DE 90 GRADOS PRESIÓN DE 4". INCLUYE UNIÓN DE REPARACIÓN. </t>
  </si>
  <si>
    <t>Tuberia de llegada</t>
  </si>
  <si>
    <t>F-08-08</t>
  </si>
  <si>
    <t xml:space="preserve">SUMINISTRO E INSTALACIÓN TEE PVC PRESIÓN DE 4"X4". INCLUYE UNIÓN DE REPARACIÓN. </t>
  </si>
  <si>
    <t>G955</t>
  </si>
  <si>
    <t xml:space="preserve">Bomba </t>
  </si>
  <si>
    <t>Macromedidor</t>
  </si>
  <si>
    <t>Aireador</t>
  </si>
  <si>
    <t>Tanque</t>
  </si>
  <si>
    <t>Caja de salida</t>
  </si>
  <si>
    <t>Caja de entrada</t>
  </si>
  <si>
    <t>H-03-02</t>
  </si>
  <si>
    <t>Tuberia de entrada</t>
  </si>
  <si>
    <t>Tuberia de excesos</t>
  </si>
  <si>
    <t>Cajas de entrada</t>
  </si>
  <si>
    <t>Bypass</t>
  </si>
  <si>
    <t>H-08-07</t>
  </si>
  <si>
    <t>H-08-08</t>
  </si>
  <si>
    <t>G954</t>
  </si>
  <si>
    <t>SUMINISTRO E INSTALACIÓN TUBERÍA DE VENTILACIÓN DE 6". INCLUYE CODOS. PASAMURO. ACCESORIOS DE ENTREGA E INSTALACIÓN.</t>
  </si>
  <si>
    <t>ESCALERA GATO</t>
  </si>
  <si>
    <t>SUMINISTRO E INSTALACIÓN DE ESCALERA GATO PARA INSPECCIÓN DE ESTRUCTURAS.</t>
  </si>
  <si>
    <t>G953</t>
  </si>
  <si>
    <t>Cajas de salida 1</t>
  </si>
  <si>
    <t>Cajas de salida 2</t>
  </si>
  <si>
    <t>I - TUBERÍA DE INTERCONEXIÓN</t>
  </si>
  <si>
    <t>I-01</t>
  </si>
  <si>
    <t>I-01-01</t>
  </si>
  <si>
    <t>I-02</t>
  </si>
  <si>
    <t>I-02-01</t>
  </si>
  <si>
    <t>I-03</t>
  </si>
  <si>
    <t>I-03-01</t>
  </si>
  <si>
    <t>I-03-02</t>
  </si>
  <si>
    <t>I-03-03</t>
  </si>
  <si>
    <t>I-04</t>
  </si>
  <si>
    <t>I-04-01</t>
  </si>
  <si>
    <t>I-04-02</t>
  </si>
  <si>
    <t>I-05</t>
  </si>
  <si>
    <t>I-05-01</t>
  </si>
  <si>
    <t>Aquietamiento excesos 8"</t>
  </si>
  <si>
    <t>Desinfeccion a tanque 8"</t>
  </si>
  <si>
    <t>Tanque a distribucion 8"</t>
  </si>
  <si>
    <t>tanque excesos 8"</t>
  </si>
  <si>
    <t>Ptap a espesador</t>
  </si>
  <si>
    <t>Espesador excesos 6"</t>
  </si>
  <si>
    <t>Espesador a lechos 4"</t>
  </si>
  <si>
    <t>Drenaje lixiviados 6"</t>
  </si>
  <si>
    <t>Ptap a espesador 8"</t>
  </si>
  <si>
    <t>I-05-02</t>
  </si>
  <si>
    <t>I-05-03</t>
  </si>
  <si>
    <t>CODO H.D. EXTREMOS BRIDADOS DE 4" 90 GRADOS</t>
  </si>
  <si>
    <t>UNIÓN DESMONTAJE BXB 6" HD</t>
  </si>
  <si>
    <t>NIPLE BRIDADO DE 6" X 0.60 METROS</t>
  </si>
  <si>
    <t>C - FLOCULADOR, SEDIMENTADOR, CANAL DE AGUA SEDIMENTADA Y CANAL DE LAVADO</t>
  </si>
  <si>
    <t>D-1</t>
  </si>
  <si>
    <t>D-2</t>
  </si>
  <si>
    <t>D-3</t>
  </si>
  <si>
    <t>J - CASETA DE OPERACIONES</t>
  </si>
  <si>
    <t>J-01</t>
  </si>
  <si>
    <t>J-01-01</t>
  </si>
  <si>
    <t>Caseta de operaciones</t>
  </si>
  <si>
    <t>J-02</t>
  </si>
  <si>
    <t>J-02-01</t>
  </si>
  <si>
    <t>J-03</t>
  </si>
  <si>
    <t>J-03-01</t>
  </si>
  <si>
    <t>J-03-02</t>
  </si>
  <si>
    <t>J-05</t>
  </si>
  <si>
    <t>J-04</t>
  </si>
  <si>
    <t>J-04-01</t>
  </si>
  <si>
    <t>J-04-02</t>
  </si>
  <si>
    <t>J-05-01</t>
  </si>
  <si>
    <t>J-05-02</t>
  </si>
  <si>
    <t xml:space="preserve"> COSTOS PLAN DE MANEJO AMBIENTAL (PMA)</t>
  </si>
  <si>
    <t>COSTOS DIRECTOS DE PMA</t>
  </si>
  <si>
    <t xml:space="preserve">DETALLE </t>
  </si>
  <si>
    <t xml:space="preserve">VALOR UNITARIO </t>
  </si>
  <si>
    <t xml:space="preserve">VALOR TOTAL </t>
  </si>
  <si>
    <t>El kit incluye: señal de 15 x 15 cm - reciclable, señal de 15 x 15 cm - orgánico, señal de 15 x 15 cm - sustancias peligrosas.</t>
  </si>
  <si>
    <t>Manejo integral de materiales de construcción, manejo y disposición final de residuos sólidos convencionales y especiales, manejo de aguas superficiales.</t>
  </si>
  <si>
    <t xml:space="preserve">Punto ecológico para desperdicios sólidos. Incluye tres (3) canecas de 55 litros de capacidad, compuesta de dos piezas (tapa y contenedor) resistente a la intemperie, de fácil limpieza y cargue, en polietileno de alta densidad, bolsas para basura color negra (24 mensuales), rojo (4 mensuales) y verde (4 mensuales) de material plástico de alta densidad, calibre de 2", de 65 x 85 cm - </t>
  </si>
  <si>
    <t xml:space="preserve">Caneca para lavado de herramientas con capacidad para 55 galones, redonda, con tapa, material: polietileno, irrompible, alta densidad resistente a carga estática resistente a la exposición a la intemperie color:  de acuerdo con la disponibilidad con la que se cuente </t>
  </si>
  <si>
    <t>Cubrimiento de materiales granulares (bases, subbases, arena, con plástico calibre 6 de 3 m de ancho x 10 m de longitud para 30 m2 por frente de obra</t>
  </si>
  <si>
    <t>Cubrimiento de escombros tela verde para cerramiento de 2,10 m de ancho x 15 de longitud para 30 m2 por frente de obra</t>
  </si>
  <si>
    <t>Alquiler baño existente en la zona</t>
  </si>
  <si>
    <t>El kit consta de, pala con mango, carretilla (tipo boggy con llanta neumática), cono mínimo de h: 45 cm, balde plástico de 25 lt, cepillo de casquillo de 37  x 7</t>
  </si>
  <si>
    <t>Suministro de brigada de aseo necesaria para la implementación y mantenimiento del PGIO. Incluye el factor prestacional</t>
  </si>
  <si>
    <t xml:space="preserve">Subtotal Costos Directos </t>
  </si>
  <si>
    <t>B.FI.01</t>
  </si>
  <si>
    <t xml:space="preserve">Ingeniero ambiental </t>
  </si>
  <si>
    <t xml:space="preserve"> (A+B)</t>
  </si>
  <si>
    <t xml:space="preserve"> COSTOS PLAN DE MANEJO DE TRÁNSITO (PMT)</t>
  </si>
  <si>
    <t>COSTOS DIRECTOS PMT</t>
  </si>
  <si>
    <t>Código</t>
  </si>
  <si>
    <t>Actividad PMT</t>
  </si>
  <si>
    <t>Valor Unitario (COP)</t>
  </si>
  <si>
    <t>Costo Total (COP)</t>
  </si>
  <si>
    <t>ESQUEMA GRÁFICO DE REFERENCIA</t>
  </si>
  <si>
    <t>PMT-01</t>
  </si>
  <si>
    <t>Diseño y aprobación del Plan de Manejo de Tránsito</t>
  </si>
  <si>
    <t>GLOBAL</t>
  </si>
  <si>
    <t>N/A</t>
  </si>
  <si>
    <t>PMT-02</t>
  </si>
  <si>
    <t>Señalización vertical (PARE, HOMBRES TRABAJANDO, DESVÍO)</t>
  </si>
  <si>
    <t>PMT-03</t>
  </si>
  <si>
    <t>Conos viales reflectivos para trafico (2 X Punto)</t>
  </si>
  <si>
    <t>PMT-04</t>
  </si>
  <si>
    <t>Barreras plásticas de contención (2 X Punto)</t>
  </si>
  <si>
    <t>PMT-05</t>
  </si>
  <si>
    <t>Personal auxiliar de tránsito (paleteros) durante obra</t>
  </si>
  <si>
    <t>PERSONA/MES</t>
  </si>
  <si>
    <t>PMT-06</t>
  </si>
  <si>
    <t>Iluminación provisional (reflectores en horario nocturno)</t>
  </si>
  <si>
    <t>1 x punto</t>
  </si>
  <si>
    <t>PMT-07</t>
  </si>
  <si>
    <t>Campaña de socialización del PMT con la comunidad (volantes, reuniones)</t>
  </si>
  <si>
    <t>PMT-08</t>
  </si>
  <si>
    <t>Pendones informativos y ruta de desvíos</t>
  </si>
  <si>
    <t>COSTO DIRECTO</t>
  </si>
  <si>
    <t>COSTOS PLAN DE SEGURIDAD Y SALUD EN EL TRABAJO (SST)</t>
  </si>
  <si>
    <t>COSTOS DIRECTOS SST</t>
  </si>
  <si>
    <t>Actividad SST</t>
  </si>
  <si>
    <t>Cantidad/Dedicación</t>
  </si>
  <si>
    <t>SST-01</t>
  </si>
  <si>
    <t>Profesional SST (Seguridad y Salud en el Trabajo) durante ejecución de obra</t>
  </si>
  <si>
    <t>OBRA</t>
  </si>
  <si>
    <t>SST-02</t>
  </si>
  <si>
    <t>Capacitación al personal sobre riesgos laborales y uso de EPP</t>
  </si>
  <si>
    <t>JORNADA</t>
  </si>
  <si>
    <t>SST-03</t>
  </si>
  <si>
    <t>Señalización de seguridad en obra (zonas de riesgo, salidas de emergencia, extintores)</t>
  </si>
  <si>
    <t>SST-04</t>
  </si>
  <si>
    <t>Instalación de vallas informativos con normas de seguridad</t>
  </si>
  <si>
    <t>SST-05</t>
  </si>
  <si>
    <t>Kit de primeros auxilios completo</t>
  </si>
  <si>
    <t>SST-06</t>
  </si>
  <si>
    <t>Extintores multipropósito (polvo químico seco de 10 lb)</t>
  </si>
  <si>
    <t>SST-07</t>
  </si>
  <si>
    <t>Limpieza y orden del frente de obra (incluye insumos y mano de obra)</t>
  </si>
  <si>
    <t>SST-08</t>
  </si>
  <si>
    <t>Plan de emergencia y evacuación (elaboración + socialización)</t>
  </si>
  <si>
    <t>MARIO FERNANDO ESTRADA MORA</t>
  </si>
  <si>
    <t>SUMINISTRO</t>
  </si>
  <si>
    <t>TUBERIA</t>
  </si>
  <si>
    <t>TOTAL PROYECTO</t>
  </si>
  <si>
    <t>Bien nacional relevante</t>
  </si>
  <si>
    <t>Fecha de inscripción</t>
  </si>
  <si>
    <t>Fecha de vigencia</t>
  </si>
  <si>
    <t>No. de partida arancelaria</t>
  </si>
  <si>
    <t>% de participación</t>
  </si>
  <si>
    <t xml:space="preserve">Puntaje individual de cada bien </t>
  </si>
  <si>
    <t>1.</t>
  </si>
  <si>
    <t>Cemento</t>
  </si>
  <si>
    <t xml:space="preserve">Tubería  </t>
  </si>
  <si>
    <t>CEMENTO</t>
  </si>
  <si>
    <t>AIU</t>
  </si>
  <si>
    <t>PRESUPUESTO</t>
  </si>
  <si>
    <t>CONCRETO</t>
  </si>
  <si>
    <t xml:space="preserve">SUBTOTAL OBRAS </t>
  </si>
  <si>
    <t>TOTAL SUMINISTROS</t>
  </si>
  <si>
    <t>TOTAL OBRA + SUMINISTROS</t>
  </si>
  <si>
    <t>TOTAL  OBRA CIVIL INCLUYE COSTO DIRECTO +A.I.U</t>
  </si>
  <si>
    <t>TOTAL COSTO DIRECTO + A.I.U</t>
  </si>
  <si>
    <t>DESCRIPCION COSTO DIRECTO</t>
  </si>
  <si>
    <t>TOTAL  OBRAS ( INCLUYE IVA)</t>
  </si>
  <si>
    <t>LA UTILIDAD INCLUYE EL IVA DEL 19%</t>
  </si>
  <si>
    <t xml:space="preserve">TOTAL UTILIDAD + IVA </t>
  </si>
  <si>
    <t>SUMINISTROS + ADMINISTRACIÓN</t>
  </si>
  <si>
    <t>COSTO SUMINISTRO SIN ADMINISTRACIÓN</t>
  </si>
  <si>
    <t>ADMINISTRACION DEL SUMINISTRO</t>
  </si>
  <si>
    <t>TOTAL SUMINISTRO + ADMINISTRACIÓN</t>
  </si>
  <si>
    <t>TOTAL OBRA CIVI+ A.I.U+ SUMINISTROS + ADM SUMNISTRO</t>
  </si>
  <si>
    <r>
      <rPr>
        <b/>
        <sz val="14"/>
        <rFont val="Arial"/>
        <family val="2"/>
      </rPr>
      <t xml:space="preserve">NOTA 1: </t>
    </r>
    <r>
      <rPr>
        <sz val="14"/>
        <rFont val="Arial"/>
        <family val="2"/>
      </rPr>
      <t xml:space="preserve"> Se debe tener en cuenta que el PRECIO UNITARIO incluye el valor de A.I.U. </t>
    </r>
  </si>
  <si>
    <t>PORCENTAJE</t>
  </si>
  <si>
    <r>
      <rPr>
        <b/>
        <sz val="14"/>
        <rFont val="Arial"/>
        <family val="2"/>
      </rPr>
      <t>NOTA 2:</t>
    </r>
    <r>
      <rPr>
        <sz val="14"/>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</si>
  <si>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</si>
  <si>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4"/>
        <rFont val="Arial"/>
        <family val="2"/>
      </rPr>
      <t xml:space="preserve">NOTA 3: </t>
    </r>
    <r>
      <rPr>
        <sz val="14"/>
        <rFont val="Arial"/>
        <family val="2"/>
      </rPr>
      <t xml:space="preserve">El A.I.U y su discriminación deben estar en porcentaje (%). </t>
    </r>
  </si>
  <si>
    <t xml:space="preserve">IMPREVISTO
</t>
  </si>
  <si>
    <t>I=</t>
  </si>
  <si>
    <t xml:space="preserve">UTILIDAD
</t>
  </si>
  <si>
    <t>U=</t>
  </si>
  <si>
    <t>TOTAL A.I.U</t>
  </si>
  <si>
    <t>A.I.U.=</t>
  </si>
  <si>
    <t>Formulario 1 - Propuesta económica  - Documento tipo de licitación de obra pública de agua potable y saneamiento básico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</si>
  <si>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</si>
  <si>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</si>
  <si>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</si>
  <si>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</si>
  <si>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</si>
  <si>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</si>
  <si>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</si>
  <si>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</si>
  <si>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</si>
  <si>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 xml:space="preserve">VALOR TOTAL                                </t>
  </si>
  <si>
    <t>GENERAL</t>
  </si>
  <si>
    <t>PROYECTO</t>
  </si>
  <si>
    <t>VALOR PLIEGO TIPO</t>
  </si>
  <si>
    <t>TOTAL ESTUDIOS PREVIOS</t>
  </si>
  <si>
    <t>VALOR DEL PRESUPUESTO OFICIAL</t>
  </si>
  <si>
    <t>"CONSTRUCCION SISTEMA DE ACUEDUCTO FASE II DEL MUNICIPIO DE TESALIA DPTO DEL HUILA"</t>
  </si>
  <si>
    <r>
      <rPr>
        <b/>
        <sz val="14"/>
        <rFont val="Arial"/>
        <family val="2"/>
      </rPr>
      <t>NOTA 4:</t>
    </r>
    <r>
      <rPr>
        <sz val="14"/>
        <rFont val="Arial"/>
        <family val="2"/>
      </rPr>
      <t xml:space="preserve">  La Administracion del Suministro se encuentra inmersa en el presupuesto.</t>
    </r>
  </si>
  <si>
    <r>
      <t>"REPOSICION ALCANTARILLADO SANITARIO Y CONSTRUCCION DE COLECTORES PLUVIALES DE LA FASE I DEL CORREGIMIENTO DE</t>
    </r>
    <r>
      <rPr>
        <b/>
        <i/>
        <u/>
        <sz val="9"/>
        <color rgb="FFFF0000"/>
        <rFont val="Arial"/>
        <family val="2"/>
      </rPr>
      <t xml:space="preserve"> BRUSELAS</t>
    </r>
    <r>
      <rPr>
        <b/>
        <sz val="9"/>
        <color theme="1"/>
        <rFont val="Arial"/>
        <family val="2"/>
      </rPr>
      <t xml:space="preserve"> MPIO DE PITALITO, DPTO DEL HUILA"</t>
    </r>
  </si>
  <si>
    <r>
      <t xml:space="preserve">"CONSTRUCCION SISTEMA DE ACUEDUCTO FASE II DEL MUNICIPIO DE </t>
    </r>
    <r>
      <rPr>
        <b/>
        <i/>
        <u/>
        <sz val="9"/>
        <color rgb="FFFF0000"/>
        <rFont val="Arial"/>
        <family val="2"/>
      </rPr>
      <t>TESALIA</t>
    </r>
    <r>
      <rPr>
        <b/>
        <sz val="9"/>
        <color theme="1"/>
        <rFont val="Arial"/>
        <family val="2"/>
      </rPr>
      <t xml:space="preserve"> DPTO DEL HUILA"</t>
    </r>
  </si>
  <si>
    <r>
      <t xml:space="preserve">"CONSTRUCCION SISTEMA DE ACUEDUCTO </t>
    </r>
    <r>
      <rPr>
        <b/>
        <i/>
        <u/>
        <sz val="9"/>
        <color rgb="FFFF0000"/>
        <rFont val="Arial"/>
        <family val="2"/>
      </rPr>
      <t>IDOLOS- EL TIGRE FASE I</t>
    </r>
    <r>
      <rPr>
        <b/>
        <sz val="9"/>
        <color theme="1"/>
        <rFont val="Arial"/>
        <family val="2"/>
      </rPr>
      <t xml:space="preserve"> MUNICIPIO DE ISNOS DPTO DEL HUILA"</t>
    </r>
  </si>
  <si>
    <t>VALOR FIA OBRA</t>
  </si>
  <si>
    <t>VALOR FIA INTERV</t>
  </si>
  <si>
    <t>4 meses</t>
  </si>
  <si>
    <t>6 meses</t>
  </si>
  <si>
    <t>13 meses</t>
  </si>
  <si>
    <t>Profesional SST</t>
  </si>
  <si>
    <t xml:space="preserve">Contribución </t>
  </si>
  <si>
    <t>Valla del proyecto</t>
  </si>
  <si>
    <t>PERSONAL ADMINISTRATIVO</t>
  </si>
  <si>
    <t xml:space="preserve">Personal de vigilancia en obra </t>
  </si>
  <si>
    <t>cant</t>
  </si>
  <si>
    <t xml:space="preserve">VALOR </t>
  </si>
  <si>
    <t xml:space="preserve">TARIFA </t>
  </si>
  <si>
    <t xml:space="preserve">Ensayos y pruebas:asentamiento, ensayo de resistencia a compresión y ensayos de compactación </t>
  </si>
  <si>
    <r>
      <rPr>
        <b/>
        <sz val="10"/>
        <color theme="1"/>
        <rFont val="Century Gothic"/>
        <family val="2"/>
      </rPr>
      <t>NOTA:</t>
    </r>
    <r>
      <rPr>
        <sz val="10"/>
        <color theme="1"/>
        <rFont val="Century Gothic"/>
        <family val="2"/>
      </rPr>
      <t xml:space="preserve"> El director de obra y el Residente de Obra cuentan con un mes más de plazo  , para que puedan liquidar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</si>
</sst>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0">
    <numFmt numFmtId="7" formatCode="&quot;$&quot;\ #,##0.00;\-&quot;$&quot;\ #,##0.00"/>
    <numFmt numFmtId="44" formatCode="_-&quot;$&quot;\ * #,##0.00_-;\-&quot;$&quot;\ * #,##0.00_-;_-&quot;$&quot;\ * &quot;-&quot;??_-;_-@_-"/>
    <numFmt numFmtId="43" formatCode="_-* #,##0.00_-;\-* #,##0.00_-;_-* &quot;-&quot;??_-;_-@_-"/>
    <numFmt numFmtId="164" formatCode="_(* #,##0_);_(* \(#,##0\);_(* &quot;-&quot;_);_(@_)"/>
    <numFmt numFmtId="165" formatCode="_(&quot;$&quot;\ * #,##0.00_);_(&quot;$&quot;\ * \(#,##0.00\);_(&quot;$&quot;\ * &quot;-&quot;??_);_(@_)"/>
    <numFmt numFmtId="166" formatCode="_(* #,##0.00_);_(* \(#,##0.00\);_(* &quot;-&quot;??_);_(@_)"/>
    <numFmt numFmtId="167" formatCode="_-&quot;$&quot;* #,##0.00_-;\-&quot;$&quot;* #,##0.00_-;_-&quot;$&quot;* &quot;-&quot;??_-;_-@_-"/>
    <numFmt numFmtId="168" formatCode="_-* #,##0.00\ _€_-;\-* #,##0.00\ _€_-;_-* &quot;-&quot;??\ _€_-;_-@_-"/>
    <numFmt numFmtId="169" formatCode="#,##0.0"/>
    <numFmt numFmtId="170" formatCode="0.0"/>
    <numFmt numFmtId="171" formatCode="_ &quot;$&quot;\ * #,##0.00_ ;_ &quot;$&quot;\ * \-#,##0.00_ ;_ &quot;$&quot;\ * &quot;-&quot;??_ ;_ @_ "/>
    <numFmt numFmtId="172" formatCode="_(&quot;$&quot;\ * #,##0_);_(&quot;$&quot;\ * \(#,##0\);_(&quot;$&quot;\ * &quot;-&quot;??_);_(@_)"/>
    <numFmt numFmtId="173" formatCode="&quot;$&quot;\ #,##0.00"/>
    <numFmt numFmtId="174" formatCode="[$$-240A]\ #,##0.00"/>
    <numFmt numFmtId="175" formatCode="0.000"/>
    <numFmt numFmtId="176" formatCode="0.0000"/>
    <numFmt numFmtId="177" formatCode="[$$-240A]\ #,##0"/>
    <numFmt numFmtId="178" formatCode="[$€-2]\ #,##0.00_);[Red]\([$€-2]\ #,##0.00\)"/>
    <numFmt numFmtId="179" formatCode="_ [$€-2]\ * #,##0.00_ ;_ [$€-2]\ * \-#,##0.00_ ;_ [$€-2]\ * &quot;-&quot;??_ "/>
    <numFmt numFmtId="180" formatCode="_(&quot;$&quot;* #,##0_);_(&quot;$&quot;* \(#,##0\);_(&quot;$&quot;* &quot;-&quot;_);_(@_)"/>
    <numFmt numFmtId="181" formatCode="_(&quot;$&quot;* #,##0.00_);_(&quot;$&quot;* \(#,##0.00\);_(&quot;$&quot;* &quot;-&quot;??_);_(@_)"/>
    <numFmt numFmtId="182" formatCode="#,##0.00\ _€"/>
    <numFmt numFmtId="183" formatCode="_(* #,##0_);_(* \(#,##0\);_(* &quot;-&quot;??_);_(@_)"/>
    <numFmt numFmtId="184" formatCode="&quot;$&quot;\ #,##0"/>
    <numFmt numFmtId="185" formatCode="#,##0\ _€"/>
    <numFmt numFmtId="186" formatCode="#,##0.0\ _€"/>
    <numFmt numFmtId="187" formatCode="_ * #,##0_ ;_ * \-#,##0_ ;_ * &quot;-&quot;??_ ;_ @_ "/>
    <numFmt numFmtId="188" formatCode="_ * #,##0.00_ ;_ * \-#,##0.00_ ;_ * &quot;-&quot;??_ ;_ @_ "/>
    <numFmt numFmtId="189" formatCode="[$$-240A]\ #,##0.00;[$$-240A]\ \-#,##0.00"/>
    <numFmt numFmtId="190" formatCode="&quot;$ &quot;\ #,##0.00_);\(&quot;$ &quot;\ #,##0.00\)"/>
    <numFmt numFmtId="191" formatCode="_-* #,##0_-;\-* #,##0_-;_-* &quot;-&quot;??_-;_-@_-"/>
    <numFmt numFmtId="192" formatCode="#,##0_ ;\-#,##0\ "/>
    <numFmt numFmtId="193" formatCode="#,##0.000"/>
    <numFmt numFmtId="194" formatCode="&quot;$&quot;\ #,##0.000"/>
    <numFmt numFmtId="195" formatCode="_(* #,##0.000000000_);_(* \(#,##0.000000000\);_(* &quot;-&quot;??_);_(@_)"/>
    <numFmt numFmtId="196" formatCode="_-&quot;$&quot;* #,##0_-;\-&quot;$&quot;* #,##0_-;_-&quot;$&quot;* &quot;-&quot;_-;_-@_-"/>
    <numFmt numFmtId="197" formatCode="_-&quot;$&quot;* #,##0_-;\-&quot;$&quot;* #,##0_-;_-&quot;$&quot;* &quot;-&quot;??_-;_-@_-"/>
    <numFmt numFmtId="198" formatCode="_-[$$-240A]\ * #,##0.00_ ;_-[$$-240A]\ * \-#,##0.00\ ;_-[$$-240A]\ * &quot;-&quot;??_ ;_-@_ "/>
    <numFmt numFmtId="199" formatCode="_-&quot;$&quot;\ * #,##0.000_-;\-&quot;$&quot;\ * #,##0.000_-;_-&quot;$&quot;\ * &quot;-&quot;???_-;_-@_-"/>
    <numFmt numFmtId="200" formatCode="_-[$$-240A]\ * #,##0.00_-;\-[$$-240A]\ * #,##0.00_-;_-[$$-240A]\ * &quot;-&quot;??_-;_-@_-"/>
    <numFmt numFmtId="201" formatCode="_-[$$-240A]\ * #,##0_-;\-[$$-240A]\ * #,##0_-;_-[$$-240A]\ * &quot;-&quot;??_-;_-@_-"/>
    <numFmt numFmtId="202" formatCode="&quot;$&quot;\ #,##0.0"/>
    <numFmt numFmtId="203" formatCode="_-&quot;$&quot;\ * #,##0.00_-;\-&quot;$&quot;\ * #,##0.00_-;_-&quot;$&quot;\ * &quot;-&quot;??_-;_-@"/>
    <numFmt numFmtId="204" formatCode="_-[$$-409]* #,##0.00_ ;_-[$$-409]* \-#,##0.00\ ;_-[$$-409]* &quot;-&quot;??_ ;_-@_ "/>
    <numFmt numFmtId="205" formatCode="\$\ #,##0"/>
    <numFmt numFmtId="206" formatCode="_-[$$-240A]\ * #,##0.00_-;\-[$$-240A]\ * #,##0.00_-;_-[$$-240A]\ * &quot;-&quot;??_-;_-@"/>
    <numFmt numFmtId="207" formatCode="#,##0.00;[Red]#,##0.00"/>
    <numFmt numFmtId="208" formatCode="&quot;$&quot;#,##0.00;[Red]&quot;$&quot;#,##0.00"/>
    <numFmt numFmtId="209" formatCode="[$$-409]#,##0.00"/>
    <numFmt numFmtId="210" formatCode="_([$$-240A]\ * #,##0.00_);_([$$-240A]\ * \(#,##0.00\);_([$$-240A]\ * &quot;-&quot;??_);_(@_)"/>
    <numFmt numFmtId="211" formatCode="00#"/>
    <numFmt numFmtId="212" formatCode="_([$$-240A]\ * #,##0.0_);_([$$-240A]\ * \(#,##0.0\);_([$$-240A]\ * &quot;-&quot;??_);_(@_)"/>
    <numFmt numFmtId="213" formatCode="_-* #,##0.00\ &quot;Pts&quot;_-;\-* #,##0.00\ &quot;Pts&quot;_-;_-* &quot;-&quot;??\ &quot;Pts&quot;_-;_-@_-"/>
    <numFmt numFmtId="214" formatCode="_-* #,##0.00\ _P_t_s_-;\-* #,##0.00\ _P_t_s_-;_-* &quot;-&quot;??\ _P_t_s_-;_-@_-"/>
    <numFmt numFmtId="215" formatCode="0.0%"/>
    <numFmt numFmtId="216" formatCode="_-[$$-240A]* #,##0_-;\-[$$-240A]* #,##0_-;_-[$$-240A]* &quot;-&quot;??_-;_-@_-"/>
    <numFmt numFmtId="217" formatCode="_-[$$-240A]* #,##0.00_-;\-[$$-240A]* #,##0.00_-;_-[$$-240A]* &quot;-&quot;??_-;_-@_-"/>
    <numFmt numFmtId="218" formatCode="0#.00\ \L\t"/>
    <numFmt numFmtId="219" formatCode="_([$$-240A]\ * #,##0_);_([$$-240A]\ * \(#,##0\);_([$$-240A]\ * &quot;-&quot;??_);_(@_)"/>
    <numFmt numFmtId="220" formatCode="&quot;$&quot;\ #,##0.00;[Red]&quot;$&quot;\ #,##0.00"/>
  </numFmts>
  <fonts count="15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6"/>
      <name val="Verdana"/>
      <family val="2"/>
    </font>
    <font>
      <sz val="10"/>
      <name val="Verdana"/>
      <family val="2"/>
    </font>
    <font>
      <b/>
      <sz val="14"/>
      <name val="Verdana"/>
      <family val="2"/>
    </font>
    <font>
      <b/>
      <sz val="10"/>
      <name val="Verdana"/>
      <family val="2"/>
    </font>
    <font>
      <sz val="10"/>
      <color indexed="55"/>
      <name val="Verdana"/>
      <family val="2"/>
    </font>
    <font>
      <sz val="10"/>
      <name val="Arial"/>
      <family val="2"/>
    </font>
    <font>
      <b/>
      <sz val="12"/>
      <name val="Verdana"/>
      <family val="2"/>
    </font>
    <font>
      <sz val="8"/>
      <name val="Verdana"/>
      <family val="2"/>
    </font>
    <font>
      <b/>
      <sz val="8"/>
      <name val="Verdana"/>
      <family val="2"/>
    </font>
    <font>
      <sz val="10"/>
      <name val="Arial"/>
      <family val="2"/>
    </font>
    <font>
      <b/>
      <sz val="9"/>
      <color indexed="81"/>
      <name val="Tahoma"/>
      <family val="2"/>
    </font>
    <font>
      <sz val="11"/>
      <color indexed="8"/>
      <name val="Calibri"/>
      <family val="2"/>
    </font>
    <font>
      <sz val="10"/>
      <name val="Arial"/>
      <family val="2"/>
    </font>
    <font>
      <b/>
      <sz val="11"/>
      <color theme="1"/>
      <name val="Calibri"/>
      <family val="2"/>
      <scheme val="minor"/>
    </font>
    <font>
      <b/>
      <sz val="12"/>
      <name val="Arial"/>
      <family val="2"/>
    </font>
    <font>
      <b/>
      <sz val="11"/>
      <name val="Arial"/>
      <family val="2"/>
    </font>
    <font>
      <b/>
      <sz val="10"/>
      <name val="Arial"/>
      <family val="2"/>
    </font>
    <font>
      <sz val="11"/>
      <name val="Arial"/>
      <family val="2"/>
    </font>
    <font>
      <sz val="10"/>
      <color theme="1"/>
      <name val="Arial"/>
      <family val="2"/>
    </font>
    <font>
      <sz val="72"/>
      <color theme="1"/>
      <name val="Calibri"/>
      <family val="2"/>
      <scheme val="minor"/>
    </font>
    <font>
      <b/>
      <sz val="9"/>
      <name val="Arial"/>
      <family val="2"/>
    </font>
    <font>
      <b/>
      <sz val="14"/>
      <name val="Arial"/>
      <family val="2"/>
    </font>
    <font>
      <sz val="10"/>
      <name val="Arial Narrow"/>
      <family val="2"/>
    </font>
    <font>
      <b/>
      <sz val="10"/>
      <name val="Arial Narrow"/>
      <family val="2"/>
    </font>
    <font>
      <b/>
      <sz val="10"/>
      <name val="Tahoma"/>
      <family val="2"/>
    </font>
    <font>
      <b/>
      <sz val="10"/>
      <name val="Calibri"/>
      <family val="2"/>
      <scheme val="minor"/>
    </font>
    <font>
      <b/>
      <sz val="10"/>
      <color indexed="8"/>
      <name val="Calibri"/>
      <family val="2"/>
    </font>
    <font>
      <b/>
      <sz val="10"/>
      <name val="Calibri"/>
      <family val="2"/>
    </font>
    <font>
      <sz val="10"/>
      <name val="Calibri"/>
      <family val="2"/>
      <scheme val="minor"/>
    </font>
    <font>
      <sz val="10"/>
      <color indexed="8"/>
      <name val="Calibri"/>
      <family val="2"/>
    </font>
    <font>
      <sz val="10"/>
      <name val="Calibri"/>
      <family val="2"/>
    </font>
    <font>
      <sz val="16"/>
      <name val="Arial"/>
      <family val="2"/>
    </font>
    <font>
      <sz val="6"/>
      <color indexed="22"/>
      <name val="Stylus BT"/>
      <family val="2"/>
    </font>
    <font>
      <b/>
      <sz val="8"/>
      <name val="Arial"/>
      <family val="2"/>
    </font>
    <font>
      <sz val="8"/>
      <name val="Arial"/>
      <family val="2"/>
    </font>
    <font>
      <sz val="9"/>
      <name val="Arial"/>
      <family val="2"/>
    </font>
    <font>
      <u/>
      <sz val="8.5"/>
      <color indexed="12"/>
      <name val="Arial"/>
      <family val="2"/>
    </font>
    <font>
      <sz val="9"/>
      <name val="Verdana"/>
      <family val="2"/>
    </font>
    <font>
      <sz val="11"/>
      <name val="Cambria"/>
      <family val="1"/>
      <scheme val="major"/>
    </font>
    <font>
      <b/>
      <sz val="11"/>
      <name val="Cambria"/>
      <family val="1"/>
      <scheme val="major"/>
    </font>
    <font>
      <b/>
      <sz val="12"/>
      <name val="Cambria"/>
      <family val="1"/>
      <scheme val="major"/>
    </font>
    <font>
      <sz val="9"/>
      <name val="Calibri"/>
      <family val="2"/>
      <scheme val="minor"/>
    </font>
    <font>
      <b/>
      <sz val="9"/>
      <name val="Calibri"/>
      <family val="2"/>
      <scheme val="minor"/>
    </font>
    <font>
      <b/>
      <sz val="14"/>
      <color theme="1"/>
      <name val="Times New Roman"/>
      <family val="1"/>
    </font>
    <font>
      <b/>
      <sz val="10"/>
      <color theme="1"/>
      <name val="Times New Roman"/>
      <family val="1"/>
    </font>
    <font>
      <b/>
      <sz val="10"/>
      <color rgb="FF002060"/>
      <name val="Arial"/>
      <family val="2"/>
    </font>
    <font>
      <sz val="10"/>
      <name val="Cambria"/>
      <family val="1"/>
      <scheme val="major"/>
    </font>
    <font>
      <b/>
      <sz val="6"/>
      <name val="Verdana"/>
      <family val="2"/>
    </font>
    <font>
      <b/>
      <sz val="10"/>
      <name val="Cambria"/>
      <family val="1"/>
      <scheme val="major"/>
    </font>
    <font>
      <b/>
      <sz val="12"/>
      <color theme="1"/>
      <name val="Times New Roman"/>
      <family val="1"/>
    </font>
    <font>
      <b/>
      <sz val="12"/>
      <color theme="1"/>
      <name val="Cambria"/>
      <family val="1"/>
    </font>
    <font>
      <b/>
      <sz val="12"/>
      <color theme="1"/>
      <name val="Arial"/>
      <family val="2"/>
    </font>
    <font>
      <sz val="10"/>
      <name val="Cambria"/>
      <family val="1"/>
    </font>
    <font>
      <b/>
      <sz val="10"/>
      <name val="Cambria"/>
      <family val="1"/>
    </font>
    <font>
      <sz val="8"/>
      <color rgb="FF002060"/>
      <name val="Arial"/>
      <family val="2"/>
    </font>
    <font>
      <b/>
      <sz val="8"/>
      <name val="Cambria"/>
      <family val="1"/>
    </font>
    <font>
      <b/>
      <sz val="8"/>
      <name val="Cambria"/>
      <family val="1"/>
      <scheme val="major"/>
    </font>
    <font>
      <sz val="11"/>
      <name val="Calibri"/>
      <family val="2"/>
      <scheme val="minor"/>
    </font>
    <font>
      <b/>
      <sz val="8"/>
      <color rgb="FF002060"/>
      <name val="Arial"/>
      <family val="2"/>
    </font>
    <font>
      <b/>
      <sz val="8"/>
      <color theme="1"/>
      <name val="Times New Roman"/>
      <family val="1"/>
    </font>
    <font>
      <b/>
      <sz val="7"/>
      <name val="Arial"/>
      <family val="2"/>
    </font>
    <font>
      <sz val="12"/>
      <color theme="1"/>
      <name val="Arial"/>
      <family val="2"/>
    </font>
    <font>
      <b/>
      <sz val="11"/>
      <color theme="1"/>
      <name val="Arial"/>
      <family val="2"/>
    </font>
    <font>
      <sz val="11"/>
      <color rgb="FFFF0000"/>
      <name val="Cambria"/>
      <family val="1"/>
      <scheme val="major"/>
    </font>
    <font>
      <sz val="7"/>
      <name val="Arial"/>
      <family val="2"/>
    </font>
    <font>
      <sz val="6"/>
      <name val="Arial"/>
      <family val="2"/>
    </font>
    <font>
      <b/>
      <sz val="12"/>
      <color theme="0"/>
      <name val="Cambria"/>
      <family val="1"/>
      <scheme val="major"/>
    </font>
    <font>
      <sz val="10"/>
      <color rgb="FF000000"/>
      <name val="Arial"/>
      <family val="2"/>
    </font>
    <font>
      <sz val="10"/>
      <color theme="0"/>
      <name val="Arial"/>
      <family val="2"/>
    </font>
    <font>
      <sz val="12"/>
      <name val="Arial"/>
      <family val="2"/>
    </font>
    <font>
      <sz val="10"/>
      <name val="Times New Roman"/>
      <family val="1"/>
    </font>
    <font>
      <b/>
      <sz val="8"/>
      <color indexed="8"/>
      <name val="Arial"/>
      <family val="2"/>
    </font>
    <font>
      <b/>
      <sz val="10"/>
      <color theme="1"/>
      <name val="Cambria"/>
      <family val="1"/>
    </font>
    <font>
      <sz val="8"/>
      <color indexed="8"/>
      <name val="Arial"/>
      <family val="2"/>
    </font>
    <font>
      <sz val="8"/>
      <color theme="1"/>
      <name val="Arial"/>
      <family val="2"/>
    </font>
    <font>
      <b/>
      <sz val="10"/>
      <color theme="0"/>
      <name val="Arial"/>
      <family val="2"/>
    </font>
    <font>
      <b/>
      <sz val="12"/>
      <name val="Arial Narrow"/>
      <family val="2"/>
    </font>
    <font>
      <b/>
      <sz val="12"/>
      <color theme="1"/>
      <name val="Arial Narrow"/>
      <family val="2"/>
    </font>
    <font>
      <b/>
      <sz val="11"/>
      <color theme="1"/>
      <name val="Arial Narrow"/>
      <family val="2"/>
    </font>
    <font>
      <sz val="10"/>
      <color rgb="FF000000"/>
      <name val="Arial Narrow"/>
      <family val="2"/>
    </font>
    <font>
      <b/>
      <sz val="10"/>
      <color theme="1"/>
      <name val="Arial Narrow"/>
      <family val="2"/>
    </font>
    <font>
      <sz val="10"/>
      <color theme="1"/>
      <name val="Arial Narrow"/>
      <family val="2"/>
    </font>
    <font>
      <sz val="8"/>
      <name val="Cambria"/>
      <family val="1"/>
      <scheme val="major"/>
    </font>
    <font>
      <sz val="9"/>
      <name val="Cambria"/>
      <family val="1"/>
      <scheme val="major"/>
    </font>
    <font>
      <sz val="12"/>
      <name val="Calibri"/>
      <family val="2"/>
      <scheme val="minor"/>
    </font>
    <font>
      <u/>
      <sz val="10"/>
      <color indexed="12"/>
      <name val="Arial"/>
      <family val="2"/>
    </font>
    <font>
      <b/>
      <sz val="12"/>
      <name val="Calibri"/>
      <family val="2"/>
      <scheme val="minor"/>
    </font>
    <font>
      <b/>
      <sz val="10"/>
      <color theme="0"/>
      <name val="Century Gothic"/>
      <family val="2"/>
    </font>
    <font>
      <sz val="10"/>
      <color rgb="FF000000"/>
      <name val="Century Gothic"/>
      <family val="2"/>
    </font>
    <font>
      <sz val="16"/>
      <color rgb="FF000000"/>
      <name val="Century Gothic"/>
      <family val="2"/>
    </font>
    <font>
      <sz val="10"/>
      <color theme="1"/>
      <name val="Century Gothic"/>
      <family val="2"/>
    </font>
    <font>
      <b/>
      <sz val="10"/>
      <color theme="1"/>
      <name val="Century Gothic"/>
      <family val="2"/>
    </font>
    <font>
      <sz val="8"/>
      <name val="Arial"/>
      <family val="2"/>
    </font>
    <font>
      <b/>
      <sz val="11"/>
      <name val="Arial Narrow"/>
      <family val="2"/>
    </font>
    <font>
      <sz val="12"/>
      <name val="Arial Narrow"/>
      <family val="2"/>
    </font>
    <font>
      <sz val="18"/>
      <name val="Arial Narrow"/>
      <family val="2"/>
    </font>
    <font>
      <sz val="10"/>
      <name val="Arial"/>
      <family val="2"/>
    </font>
    <font>
      <b/>
      <sz val="16"/>
      <color theme="1"/>
      <name val="Century Gothic"/>
      <family val="2"/>
    </font>
    <font>
      <sz val="12"/>
      <color rgb="FF000000"/>
      <name val="Century Gothic"/>
      <family val="2"/>
    </font>
    <font>
      <b/>
      <sz val="12"/>
      <color theme="1"/>
      <name val="Century Gothic"/>
      <family val="2"/>
    </font>
    <font>
      <b/>
      <sz val="8"/>
      <color theme="0"/>
      <name val="Century Gothic"/>
      <family val="2"/>
    </font>
    <font>
      <sz val="10"/>
      <color rgb="FF00B050"/>
      <name val="Century Gothic"/>
      <family val="2"/>
    </font>
    <font>
      <sz val="10"/>
      <color rgb="FFD8D8D8"/>
      <name val="Century Gothic"/>
      <family val="2"/>
    </font>
    <font>
      <sz val="10"/>
      <color theme="0"/>
      <name val="Century Gothic"/>
      <family val="2"/>
    </font>
    <font>
      <sz val="9"/>
      <color theme="1"/>
      <name val="Century Gothic"/>
      <family val="2"/>
    </font>
    <font>
      <sz val="7"/>
      <color theme="1"/>
      <name val="Century Gothic"/>
      <family val="2"/>
    </font>
    <font>
      <sz val="10"/>
      <color theme="1"/>
      <name val="Century Gothic"/>
      <family val="2"/>
    </font>
    <font>
      <sz val="8"/>
      <name val="Arial"/>
      <family val="2"/>
    </font>
    <font>
      <b/>
      <sz val="10"/>
      <color theme="0"/>
      <name val="Century Gothic"/>
      <family val="2"/>
    </font>
    <font>
      <sz val="10"/>
      <color rgb="FFD8D8D8"/>
      <name val="Century Gothic"/>
      <family val="2"/>
    </font>
    <font>
      <sz val="10"/>
      <color theme="0"/>
      <name val="Century Gothic"/>
      <family val="2"/>
    </font>
    <font>
      <sz val="9"/>
      <color theme="1"/>
      <name val="Century Gothic"/>
      <family val="2"/>
    </font>
    <font>
      <b/>
      <sz val="10"/>
      <color theme="1"/>
      <name val="Century Gothic"/>
      <family val="2"/>
    </font>
    <font>
      <sz val="10"/>
      <color theme="1"/>
      <name val="Arial"/>
      <family val="2"/>
    </font>
    <font>
      <sz val="10"/>
      <color rgb="FFBFBFBF"/>
      <name val="Century Gothic"/>
      <family val="2"/>
    </font>
    <font>
      <sz val="10"/>
      <name val="Century Gothic"/>
      <family val="2"/>
    </font>
    <font>
      <b/>
      <sz val="16"/>
      <color theme="1"/>
      <name val="Century Gothic"/>
      <family val="2"/>
    </font>
    <font>
      <sz val="12"/>
      <color rgb="FF000000"/>
      <name val="Century Gothic"/>
      <family val="2"/>
    </font>
    <font>
      <b/>
      <sz val="10"/>
      <color rgb="FF000000"/>
      <name val="Century Gothic"/>
      <family val="2"/>
    </font>
    <font>
      <b/>
      <sz val="11"/>
      <color theme="1"/>
      <name val="Century Gothic"/>
      <family val="2"/>
    </font>
    <font>
      <sz val="10"/>
      <color rgb="FFFF0000"/>
      <name val="Century Gothic"/>
      <family val="2"/>
    </font>
    <font>
      <sz val="10"/>
      <color rgb="FFFF0000"/>
      <name val="Arial"/>
      <family val="2"/>
    </font>
    <font>
      <sz val="10"/>
      <color rgb="FF000000"/>
      <name val="Calibri"/>
      <family val="2"/>
      <scheme val="minor"/>
    </font>
    <font>
      <sz val="10"/>
      <color rgb="FF000000"/>
      <name val="Calibri"/>
      <family val="2"/>
      <scheme val="minor"/>
    </font>
    <font>
      <sz val="12"/>
      <color theme="1"/>
      <name val="Arial Narrow"/>
      <family val="2"/>
    </font>
    <font>
      <sz val="11"/>
      <color theme="1"/>
      <name val="Arial"/>
      <family val="2"/>
    </font>
    <font>
      <b/>
      <sz val="10"/>
      <color rgb="FFFFFFFF"/>
      <name val="Calibri"/>
      <family val="2"/>
    </font>
    <font>
      <sz val="10"/>
      <color theme="1"/>
      <name val="Calibri"/>
      <family val="2"/>
    </font>
    <font>
      <b/>
      <sz val="10"/>
      <color theme="1"/>
      <name val="Calibri"/>
      <family val="2"/>
    </font>
    <font>
      <sz val="10"/>
      <color rgb="FFC00000"/>
      <name val="Century Gothic"/>
      <family val="2"/>
    </font>
    <font>
      <sz val="10"/>
      <color rgb="FFC00000"/>
      <name val="Arial"/>
      <family val="2"/>
    </font>
    <font>
      <b/>
      <sz val="16"/>
      <name val="Arial"/>
      <family val="2"/>
    </font>
    <font>
      <b/>
      <sz val="16"/>
      <color theme="1"/>
      <name val="Arial"/>
      <family val="2"/>
    </font>
    <font>
      <sz val="14"/>
      <name val="Arial"/>
      <family val="2"/>
    </font>
    <font>
      <sz val="8"/>
      <name val="Calibri"/>
      <family val="2"/>
    </font>
    <font>
      <b/>
      <sz val="8"/>
      <name val="Arial"/>
      <family val="2"/>
      <charset val="1"/>
    </font>
    <font>
      <sz val="8"/>
      <name val="Arial"/>
      <family val="2"/>
      <charset val="1"/>
    </font>
    <font>
      <b/>
      <sz val="9"/>
      <color theme="1"/>
      <name val="Arial"/>
      <family val="2"/>
    </font>
    <font>
      <b/>
      <i/>
      <u/>
      <sz val="9"/>
      <color rgb="FFFF0000"/>
      <name val="Arial"/>
      <family val="2"/>
    </font>
    <font>
      <b/>
      <i/>
      <u/>
      <sz val="12"/>
      <name val="Arial"/>
      <family val="2"/>
    </font>
  </fonts>
  <fills count="31">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rgb="FFFFFF99"/>
        <bgColor indexed="64"/>
      </patternFill>
    </fill>
    <fill>
      <patternFill patternType="solid">
        <fgColor rgb="FF00B0F0"/>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rgb="FF44546A"/>
        <bgColor rgb="FF44546A"/>
      </patternFill>
    </fill>
    <fill>
      <patternFill patternType="solid">
        <fgColor rgb="FFD8D8D8"/>
        <bgColor rgb="FFD8D8D8"/>
      </patternFill>
    </fill>
    <fill>
      <patternFill patternType="solid">
        <fgColor theme="0"/>
        <bgColor theme="0"/>
      </patternFill>
    </fill>
    <fill>
      <patternFill patternType="solid">
        <fgColor rgb="FFFFC000"/>
        <bgColor rgb="FFFFC000"/>
      </patternFill>
    </fill>
    <fill>
      <patternFill patternType="solid">
        <fgColor rgb="FFFFFFFF"/>
        <bgColor rgb="FFFFFFFF"/>
      </patternFill>
    </fill>
    <fill>
      <patternFill patternType="solid">
        <fgColor rgb="FFFFFF00"/>
        <bgColor rgb="FFFFFF00"/>
      </patternFill>
    </fill>
    <fill>
      <patternFill patternType="solid">
        <fgColor rgb="FF4A442A"/>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1" tint="0.499984740745262"/>
        <bgColor indexed="64"/>
      </patternFill>
    </fill>
    <fill>
      <patternFill patternType="solid">
        <fgColor theme="1" tint="0.499984740745262"/>
        <bgColor rgb="FF44546A"/>
      </patternFill>
    </fill>
  </fills>
  <borders count="14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style="medium">
        <color indexed="64"/>
      </top>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style="hair">
        <color indexed="64"/>
      </left>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diagonal/>
    </border>
    <border>
      <left/>
      <right style="medium">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bottom/>
      <diagonal/>
    </border>
    <border>
      <left style="medium">
        <color indexed="64"/>
      </left>
      <right style="thin">
        <color indexed="64"/>
      </right>
      <top/>
      <bottom style="medium">
        <color indexed="64"/>
      </bottom>
      <diagonal/>
    </border>
    <border>
      <left style="hair">
        <color indexed="64"/>
      </left>
      <right style="hair">
        <color indexed="64"/>
      </right>
      <top/>
      <bottom/>
      <diagonal/>
    </border>
    <border>
      <left style="hair">
        <color indexed="64"/>
      </left>
      <right style="medium">
        <color indexed="64"/>
      </right>
      <top/>
      <bottom/>
      <diagonal/>
    </border>
    <border>
      <left style="medium">
        <color indexed="64"/>
      </left>
      <right style="hair">
        <color indexed="64"/>
      </right>
      <top/>
      <bottom/>
      <diagonal/>
    </border>
    <border>
      <left style="hair">
        <color indexed="64"/>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ck">
        <color rgb="FF000000"/>
      </bottom>
      <diagonal/>
    </border>
    <border>
      <left/>
      <right/>
      <top style="thick">
        <color rgb="FF000000"/>
      </top>
      <bottom/>
      <diagonal/>
    </border>
    <border>
      <left style="thin">
        <color indexed="64"/>
      </left>
      <right/>
      <top style="thin">
        <color indexed="64"/>
      </top>
      <bottom/>
      <diagonal/>
    </border>
    <border>
      <left style="thin">
        <color rgb="FF000000"/>
      </left>
      <right style="thin">
        <color rgb="FF000000"/>
      </right>
      <top/>
      <bottom style="thin">
        <color rgb="FF000000"/>
      </bottom>
      <diagonal/>
    </border>
    <border>
      <left style="medium">
        <color rgb="FF000000"/>
      </left>
      <right/>
      <top/>
      <bottom/>
      <diagonal/>
    </border>
    <border>
      <left/>
      <right style="thin">
        <color rgb="FF000000"/>
      </right>
      <top style="thin">
        <color rgb="FF000000"/>
      </top>
      <bottom style="thin">
        <color indexed="64"/>
      </bottom>
      <diagonal/>
    </border>
    <border>
      <left style="medium">
        <color indexed="64"/>
      </left>
      <right/>
      <top style="thin">
        <color rgb="FF000000"/>
      </top>
      <bottom style="thin">
        <color rgb="FF000000"/>
      </bottom>
      <diagonal/>
    </border>
    <border>
      <left style="medium">
        <color indexed="64"/>
      </left>
      <right/>
      <top style="thin">
        <color rgb="FF000000"/>
      </top>
      <bottom style="thin">
        <color indexed="64"/>
      </bottom>
      <diagonal/>
    </border>
    <border>
      <left/>
      <right/>
      <top style="thin">
        <color rgb="FF000000"/>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bottom style="medium">
        <color rgb="FF000000"/>
      </bottom>
      <diagonal/>
    </border>
    <border>
      <left style="thin">
        <color rgb="FF000000"/>
      </left>
      <right/>
      <top style="medium">
        <color rgb="FF000000"/>
      </top>
      <bottom style="medium">
        <color rgb="FF000000"/>
      </bottom>
      <diagonal/>
    </border>
    <border>
      <left style="medium">
        <color rgb="FF000000"/>
      </left>
      <right style="thin">
        <color rgb="FF000000"/>
      </right>
      <top style="thin">
        <color rgb="FF000000"/>
      </top>
      <bottom/>
      <diagonal/>
    </border>
    <border>
      <left/>
      <right style="medium">
        <color rgb="FF000000"/>
      </right>
      <top/>
      <bottom style="medium">
        <color rgb="FF000000"/>
      </bottom>
      <diagonal/>
    </border>
    <border>
      <left style="double">
        <color indexed="64"/>
      </left>
      <right style="medium">
        <color indexed="64"/>
      </right>
      <top style="double">
        <color indexed="64"/>
      </top>
      <bottom style="medium">
        <color rgb="FF000000"/>
      </bottom>
      <diagonal/>
    </border>
    <border>
      <left/>
      <right style="medium">
        <color rgb="FF000000"/>
      </right>
      <top style="double">
        <color indexed="64"/>
      </top>
      <bottom style="medium">
        <color rgb="FF000000"/>
      </bottom>
      <diagonal/>
    </border>
    <border>
      <left/>
      <right style="double">
        <color indexed="64"/>
      </right>
      <top style="double">
        <color indexed="64"/>
      </top>
      <bottom style="medium">
        <color rgb="FF000000"/>
      </bottom>
      <diagonal/>
    </border>
    <border>
      <left style="double">
        <color indexed="64"/>
      </left>
      <right style="medium">
        <color indexed="64"/>
      </right>
      <top/>
      <bottom style="medium">
        <color rgb="FF000000"/>
      </bottom>
      <diagonal/>
    </border>
    <border>
      <left/>
      <right style="double">
        <color indexed="64"/>
      </right>
      <top/>
      <bottom style="medium">
        <color rgb="FF000000"/>
      </bottom>
      <diagonal/>
    </border>
    <border>
      <left style="double">
        <color indexed="64"/>
      </left>
      <right style="medium">
        <color indexed="64"/>
      </right>
      <top/>
      <bottom style="double">
        <color indexed="64"/>
      </bottom>
      <diagonal/>
    </border>
    <border>
      <left/>
      <right style="medium">
        <color rgb="FF000000"/>
      </right>
      <top/>
      <bottom style="double">
        <color indexed="64"/>
      </bottom>
      <diagonal/>
    </border>
    <border>
      <left/>
      <right style="double">
        <color indexed="64"/>
      </right>
      <top/>
      <bottom style="double">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right style="thin">
        <color rgb="FF000000"/>
      </right>
      <top style="medium">
        <color indexed="64"/>
      </top>
      <bottom style="medium">
        <color indexed="64"/>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top style="thin">
        <color rgb="FF000000"/>
      </top>
      <bottom style="thin">
        <color indexed="64"/>
      </bottom>
      <diagonal/>
    </border>
    <border>
      <left style="thin">
        <color rgb="FF000000"/>
      </left>
      <right/>
      <top style="thin">
        <color indexed="64"/>
      </top>
      <bottom style="thin">
        <color indexed="64"/>
      </bottom>
      <diagonal/>
    </border>
  </borders>
  <cellStyleXfs count="124">
    <xf numFmtId="0" fontId="0" fillId="0" borderId="0"/>
    <xf numFmtId="43" fontId="11" fillId="0" borderId="0" applyFont="0" applyFill="0" applyBorder="0" applyAlignment="0" applyProtection="0"/>
    <xf numFmtId="171" fontId="11" fillId="0" borderId="0" applyFont="0" applyFill="0" applyBorder="0" applyAlignment="0" applyProtection="0"/>
    <xf numFmtId="168" fontId="11" fillId="0" borderId="0" applyFont="0" applyFill="0" applyBorder="0" applyAlignment="0" applyProtection="0"/>
    <xf numFmtId="0" fontId="11" fillId="0" borderId="0"/>
    <xf numFmtId="0" fontId="11" fillId="0" borderId="0"/>
    <xf numFmtId="165" fontId="10" fillId="0" borderId="0" applyFont="0" applyFill="0" applyBorder="0" applyAlignment="0" applyProtection="0"/>
    <xf numFmtId="9" fontId="17" fillId="0" borderId="0" applyFont="0" applyFill="0" applyBorder="0" applyAlignment="0" applyProtection="0"/>
    <xf numFmtId="171" fontId="10" fillId="0" borderId="0" applyFont="0" applyFill="0" applyBorder="0" applyAlignment="0" applyProtection="0"/>
    <xf numFmtId="171" fontId="17" fillId="0" borderId="0" applyFont="0" applyFill="0" applyBorder="0" applyAlignment="0" applyProtection="0"/>
    <xf numFmtId="0" fontId="10" fillId="0" borderId="0"/>
    <xf numFmtId="171" fontId="10" fillId="0" borderId="0" applyFont="0" applyFill="0" applyBorder="0" applyAlignment="0" applyProtection="0"/>
    <xf numFmtId="166" fontId="21" fillId="0" borderId="0" applyFont="0" applyFill="0" applyBorder="0" applyAlignment="0" applyProtection="0"/>
    <xf numFmtId="177" fontId="10" fillId="0" borderId="0" applyFont="0" applyFill="0" applyBorder="0" applyAlignment="0" applyProtection="0"/>
    <xf numFmtId="168" fontId="23"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 fillId="0" borderId="0"/>
    <xf numFmtId="0" fontId="10" fillId="0" borderId="0"/>
    <xf numFmtId="0" fontId="10" fillId="0" borderId="0"/>
    <xf numFmtId="0" fontId="9" fillId="0" borderId="0"/>
    <xf numFmtId="0" fontId="10" fillId="0" borderId="0"/>
    <xf numFmtId="0" fontId="9" fillId="0" borderId="0"/>
    <xf numFmtId="0" fontId="10" fillId="0" borderId="0"/>
    <xf numFmtId="0" fontId="10" fillId="0" borderId="0"/>
    <xf numFmtId="0" fontId="10" fillId="0" borderId="0"/>
    <xf numFmtId="0" fontId="10" fillId="0" borderId="0"/>
    <xf numFmtId="178" fontId="10" fillId="0" borderId="0"/>
    <xf numFmtId="0" fontId="10" fillId="0" borderId="0"/>
    <xf numFmtId="166" fontId="24" fillId="0" borderId="0" applyFont="0" applyFill="0" applyBorder="0" applyAlignment="0" applyProtection="0"/>
    <xf numFmtId="179" fontId="10" fillId="0" borderId="0" applyFont="0" applyFill="0" applyBorder="0" applyAlignment="0" applyProtection="0"/>
    <xf numFmtId="164" fontId="10" fillId="0" borderId="0" applyFont="0" applyFill="0" applyBorder="0" applyAlignment="0" applyProtection="0"/>
    <xf numFmtId="180" fontId="24" fillId="0" borderId="0" applyFont="0" applyFill="0" applyBorder="0" applyAlignment="0" applyProtection="0"/>
    <xf numFmtId="167" fontId="10" fillId="0" borderId="0" applyFont="0" applyFill="0" applyBorder="0" applyAlignment="0" applyProtection="0"/>
    <xf numFmtId="181" fontId="24"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23" fillId="0" borderId="0" applyFont="0" applyFill="0" applyBorder="0" applyAlignment="0" applyProtection="0"/>
    <xf numFmtId="166" fontId="10" fillId="0" borderId="0" applyFont="0" applyFill="0" applyBorder="0" applyAlignment="0" applyProtection="0"/>
    <xf numFmtId="0" fontId="8" fillId="0" borderId="0"/>
    <xf numFmtId="166" fontId="8" fillId="0" borderId="0" applyFont="0" applyFill="0" applyBorder="0" applyAlignment="0" applyProtection="0"/>
    <xf numFmtId="188" fontId="10" fillId="0" borderId="0" applyFont="0" applyFill="0" applyBorder="0" applyAlignment="0" applyProtection="0"/>
    <xf numFmtId="43" fontId="10" fillId="0" borderId="0" applyFont="0" applyFill="0" applyBorder="0" applyAlignment="0" applyProtection="0"/>
    <xf numFmtId="171" fontId="10" fillId="0" borderId="0" applyFont="0" applyFill="0" applyBorder="0" applyAlignment="0" applyProtection="0"/>
    <xf numFmtId="0" fontId="10" fillId="0" borderId="0"/>
    <xf numFmtId="0" fontId="10" fillId="0" borderId="0"/>
    <xf numFmtId="0" fontId="10" fillId="0" borderId="0"/>
    <xf numFmtId="168" fontId="10" fillId="0" borderId="0" applyFont="0" applyFill="0" applyBorder="0" applyAlignment="0" applyProtection="0"/>
    <xf numFmtId="0" fontId="48" fillId="0" borderId="0" applyNumberFormat="0" applyFill="0" applyBorder="0" applyAlignment="0" applyProtection="0">
      <alignment vertical="top"/>
      <protection locked="0"/>
    </xf>
    <xf numFmtId="0" fontId="7" fillId="0" borderId="0"/>
    <xf numFmtId="165" fontId="7" fillId="0" borderId="0" applyFont="0" applyFill="0" applyBorder="0" applyAlignment="0" applyProtection="0"/>
    <xf numFmtId="0" fontId="6" fillId="0" borderId="0"/>
    <xf numFmtId="0" fontId="10" fillId="0" borderId="0"/>
    <xf numFmtId="0" fontId="10" fillId="0" borderId="0"/>
    <xf numFmtId="0" fontId="5" fillId="0" borderId="0"/>
    <xf numFmtId="0" fontId="10" fillId="0" borderId="0"/>
    <xf numFmtId="165" fontId="4" fillId="0" borderId="0" applyFont="0" applyFill="0" applyBorder="0" applyAlignment="0" applyProtection="0"/>
    <xf numFmtId="0" fontId="4" fillId="0" borderId="0"/>
    <xf numFmtId="0" fontId="10" fillId="0" borderId="0"/>
    <xf numFmtId="0" fontId="23" fillId="0" borderId="0"/>
    <xf numFmtId="9"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0" fontId="4" fillId="0" borderId="0"/>
    <xf numFmtId="0" fontId="79" fillId="0" borderId="0"/>
    <xf numFmtId="0" fontId="79" fillId="0" borderId="0"/>
    <xf numFmtId="166" fontId="4" fillId="0" borderId="0" applyFont="0" applyFill="0" applyBorder="0" applyAlignment="0" applyProtection="0"/>
    <xf numFmtId="9" fontId="79" fillId="0" borderId="0" applyFont="0" applyFill="0" applyBorder="0" applyAlignment="0" applyProtection="0"/>
    <xf numFmtId="196" fontId="10" fillId="0" borderId="0" applyFont="0" applyFill="0" applyBorder="0" applyAlignment="0" applyProtection="0"/>
    <xf numFmtId="9" fontId="10" fillId="0" borderId="0" applyFill="0" applyBorder="0" applyAlignment="0" applyProtection="0"/>
    <xf numFmtId="188" fontId="10" fillId="0" borderId="0" applyFont="0" applyFill="0" applyBorder="0" applyAlignment="0" applyProtection="0"/>
    <xf numFmtId="0" fontId="4" fillId="0" borderId="0"/>
    <xf numFmtId="0" fontId="10" fillId="0" borderId="0"/>
    <xf numFmtId="0" fontId="4" fillId="0" borderId="0"/>
    <xf numFmtId="181" fontId="4" fillId="0" borderId="0" applyFont="0" applyFill="0" applyBorder="0" applyAlignment="0" applyProtection="0"/>
    <xf numFmtId="0" fontId="4" fillId="0" borderId="0"/>
    <xf numFmtId="165" fontId="4" fillId="0" borderId="0" applyFont="0" applyFill="0" applyBorder="0" applyAlignment="0" applyProtection="0"/>
    <xf numFmtId="166" fontId="4" fillId="0" borderId="0" applyFont="0" applyFill="0" applyBorder="0" applyAlignment="0" applyProtection="0"/>
    <xf numFmtId="167" fontId="79" fillId="0" borderId="0" applyFont="0" applyFill="0" applyBorder="0" applyAlignment="0" applyProtection="0"/>
    <xf numFmtId="181" fontId="4" fillId="0" borderId="0" applyFont="0" applyFill="0" applyBorder="0" applyAlignment="0" applyProtection="0"/>
    <xf numFmtId="166" fontId="4" fillId="0" borderId="0" applyFont="0" applyFill="0" applyBorder="0" applyAlignment="0" applyProtection="0"/>
    <xf numFmtId="0" fontId="82" fillId="0" borderId="0"/>
    <xf numFmtId="0" fontId="3" fillId="0" borderId="0"/>
    <xf numFmtId="167" fontId="3" fillId="0" borderId="0" applyFont="0" applyFill="0" applyBorder="0" applyAlignment="0" applyProtection="0"/>
    <xf numFmtId="196" fontId="3" fillId="0" borderId="0" applyFont="0" applyFill="0" applyBorder="0" applyAlignment="0" applyProtection="0"/>
    <xf numFmtId="165" fontId="2" fillId="0" borderId="0" applyFont="0" applyFill="0" applyBorder="0" applyAlignment="0" applyProtection="0"/>
    <xf numFmtId="0" fontId="97" fillId="0" borderId="0" applyNumberFormat="0" applyFill="0" applyBorder="0" applyAlignment="0" applyProtection="0">
      <alignment vertical="top"/>
      <protection locked="0"/>
    </xf>
    <xf numFmtId="0" fontId="134" fillId="0" borderId="0"/>
    <xf numFmtId="9" fontId="135" fillId="0" borderId="0" applyFont="0" applyFill="0" applyBorder="0" applyAlignment="0" applyProtection="0"/>
    <xf numFmtId="44" fontId="135" fillId="0" borderId="0" applyFont="0" applyFill="0" applyBorder="0" applyAlignment="0" applyProtection="0"/>
    <xf numFmtId="213" fontId="10" fillId="0" borderId="0" applyFont="0" applyFill="0" applyBorder="0" applyAlignment="0" applyProtection="0"/>
    <xf numFmtId="214" fontId="10" fillId="0" borderId="0" applyFont="0" applyFill="0" applyBorder="0" applyAlignment="0" applyProtection="0"/>
    <xf numFmtId="0" fontId="79" fillId="0" borderId="0"/>
    <xf numFmtId="0" fontId="79" fillId="0" borderId="0"/>
    <xf numFmtId="0" fontId="1" fillId="0" borderId="0"/>
    <xf numFmtId="43" fontId="135" fillId="0" borderId="0" applyFont="0" applyFill="0" applyBorder="0" applyAlignment="0" applyProtection="0"/>
    <xf numFmtId="0" fontId="135" fillId="0" borderId="0"/>
    <xf numFmtId="9" fontId="135" fillId="0" borderId="0" applyFont="0" applyFill="0" applyBorder="0" applyAlignment="0" applyProtection="0"/>
    <xf numFmtId="43" fontId="135" fillId="0" borderId="0" applyFont="0" applyFill="0" applyBorder="0" applyAlignment="0" applyProtection="0"/>
    <xf numFmtId="0" fontId="1" fillId="0" borderId="0"/>
    <xf numFmtId="0" fontId="1" fillId="0" borderId="0"/>
    <xf numFmtId="0" fontId="135" fillId="0" borderId="0"/>
    <xf numFmtId="44" fontId="135" fillId="0" borderId="0" applyFont="0" applyFill="0" applyBorder="0" applyAlignment="0" applyProtection="0"/>
    <xf numFmtId="0" fontId="1" fillId="0" borderId="0"/>
    <xf numFmtId="0" fontId="137" fillId="0" borderId="0"/>
    <xf numFmtId="0" fontId="10" fillId="0" borderId="0"/>
    <xf numFmtId="0" fontId="10" fillId="0" borderId="0"/>
    <xf numFmtId="213" fontId="10" fillId="0" borderId="0" applyFont="0" applyFill="0" applyBorder="0" applyAlignment="0" applyProtection="0"/>
    <xf numFmtId="0" fontId="10" fillId="0" borderId="0"/>
    <xf numFmtId="0" fontId="10" fillId="0" borderId="0"/>
    <xf numFmtId="0" fontId="1" fillId="0" borderId="0"/>
    <xf numFmtId="44" fontId="135" fillId="0" borderId="0" applyFont="0" applyFill="0" applyBorder="0" applyAlignment="0" applyProtection="0"/>
    <xf numFmtId="218" fontId="10" fillId="0" borderId="0" applyFont="0" applyFill="0" applyBorder="0" applyAlignment="0" applyProtection="0"/>
  </cellStyleXfs>
  <cellXfs count="2313">
    <xf numFmtId="0" fontId="0" fillId="0" borderId="0" xfId="0"/>
    <xf numFmtId="0" fontId="13" fillId="0" borderId="0" xfId="0" applyFont="1" applyAlignment="1">
      <alignment vertical="center"/>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5" fillId="3" borderId="14" xfId="0" applyFont="1" applyFill="1" applyBorder="1" applyAlignment="1">
      <alignment horizontal="center" vertical="center"/>
    </xf>
    <xf numFmtId="0" fontId="15" fillId="3" borderId="14" xfId="0" applyFont="1" applyFill="1" applyBorder="1" applyAlignment="1">
      <alignment horizontal="left" vertical="center" wrapText="1"/>
    </xf>
    <xf numFmtId="0" fontId="13" fillId="3" borderId="14" xfId="0" applyFont="1" applyFill="1" applyBorder="1" applyAlignment="1">
      <alignment horizontal="center" vertical="center" wrapText="1"/>
    </xf>
    <xf numFmtId="0" fontId="13" fillId="0" borderId="0" xfId="0" applyFont="1" applyAlignment="1">
      <alignment wrapText="1"/>
    </xf>
    <xf numFmtId="0" fontId="13" fillId="0" borderId="0" xfId="0" applyFont="1" applyAlignment="1">
      <alignment horizontal="center" vertical="center"/>
    </xf>
    <xf numFmtId="0" fontId="13" fillId="0" borderId="0" xfId="0" applyFont="1" applyAlignment="1">
      <alignment horizontal="left" vertical="center" wrapText="1"/>
    </xf>
    <xf numFmtId="0" fontId="13" fillId="0" borderId="0" xfId="0" applyFont="1" applyAlignment="1">
      <alignment horizontal="right" vertical="center"/>
    </xf>
    <xf numFmtId="0" fontId="15" fillId="0" borderId="0" xfId="0" applyFont="1" applyAlignment="1">
      <alignment horizontal="left" vertical="center"/>
    </xf>
    <xf numFmtId="172" fontId="13" fillId="0" borderId="0" xfId="6" applyNumberFormat="1" applyFont="1" applyBorder="1" applyAlignment="1">
      <alignment vertical="center"/>
    </xf>
    <xf numFmtId="0" fontId="13" fillId="4" borderId="13" xfId="0" applyFont="1" applyFill="1" applyBorder="1" applyAlignment="1">
      <alignment vertical="center"/>
    </xf>
    <xf numFmtId="0" fontId="15" fillId="4" borderId="14" xfId="0" applyFont="1" applyFill="1" applyBorder="1" applyAlignment="1">
      <alignment horizontal="center" vertical="center"/>
    </xf>
    <xf numFmtId="172" fontId="13" fillId="0" borderId="0" xfId="6" applyNumberFormat="1" applyFont="1" applyBorder="1" applyAlignment="1">
      <alignment vertical="center" wrapText="1"/>
    </xf>
    <xf numFmtId="0" fontId="13" fillId="0" borderId="17" xfId="0" applyFont="1" applyBorder="1" applyAlignment="1">
      <alignment horizontal="center" vertical="center"/>
    </xf>
    <xf numFmtId="0" fontId="13" fillId="0" borderId="17" xfId="0" applyFont="1" applyBorder="1" applyAlignment="1">
      <alignment vertical="center"/>
    </xf>
    <xf numFmtId="0" fontId="16" fillId="0" borderId="17" xfId="0" applyFont="1" applyBorder="1" applyAlignment="1">
      <alignment horizontal="center" vertical="center"/>
    </xf>
    <xf numFmtId="0" fontId="13" fillId="0" borderId="18" xfId="0" applyFont="1" applyBorder="1" applyAlignment="1">
      <alignment horizontal="center" vertical="center" wrapText="1"/>
    </xf>
    <xf numFmtId="0" fontId="13" fillId="0" borderId="13" xfId="0" applyFont="1" applyBorder="1" applyAlignment="1">
      <alignment vertical="center"/>
    </xf>
    <xf numFmtId="0" fontId="13" fillId="0" borderId="19" xfId="0" applyFont="1" applyBorder="1" applyAlignment="1">
      <alignment vertical="center"/>
    </xf>
    <xf numFmtId="0" fontId="13" fillId="0" borderId="19" xfId="0" applyFont="1" applyBorder="1" applyAlignment="1">
      <alignment horizontal="justify" vertical="center" wrapText="1"/>
    </xf>
    <xf numFmtId="0" fontId="13" fillId="0" borderId="19" xfId="0" applyFont="1" applyBorder="1" applyAlignment="1">
      <alignment horizontal="center" vertical="center"/>
    </xf>
    <xf numFmtId="0" fontId="15" fillId="0" borderId="14" xfId="0" applyFont="1" applyBorder="1" applyAlignment="1">
      <alignment horizontal="left" vertical="center" wrapText="1"/>
    </xf>
    <xf numFmtId="0" fontId="13" fillId="0" borderId="14" xfId="0" applyFont="1" applyBorder="1" applyAlignment="1">
      <alignment horizontal="center" vertical="center" wrapText="1"/>
    </xf>
    <xf numFmtId="169" fontId="13" fillId="0" borderId="0" xfId="0" applyNumberFormat="1" applyFont="1" applyAlignment="1">
      <alignment horizontal="center" vertical="center"/>
    </xf>
    <xf numFmtId="0" fontId="13" fillId="0" borderId="17" xfId="0" applyFont="1" applyBorder="1" applyAlignment="1">
      <alignment horizontal="justify" vertical="center" wrapText="1"/>
    </xf>
    <xf numFmtId="0" fontId="13" fillId="0" borderId="17" xfId="0" applyFont="1" applyBorder="1" applyAlignment="1">
      <alignment horizontal="center" vertical="center" wrapText="1"/>
    </xf>
    <xf numFmtId="172" fontId="13" fillId="0" borderId="15" xfId="6" applyNumberFormat="1" applyFont="1" applyFill="1" applyBorder="1" applyAlignment="1">
      <alignment vertical="center"/>
    </xf>
    <xf numFmtId="172" fontId="13" fillId="0" borderId="19" xfId="6" applyNumberFormat="1" applyFont="1" applyFill="1" applyBorder="1" applyAlignment="1">
      <alignment vertical="center"/>
    </xf>
    <xf numFmtId="3" fontId="16" fillId="0" borderId="19" xfId="0" applyNumberFormat="1" applyFont="1" applyBorder="1" applyAlignment="1">
      <alignment horizontal="center" vertical="center"/>
    </xf>
    <xf numFmtId="0" fontId="13" fillId="0" borderId="0" xfId="0" applyFont="1"/>
    <xf numFmtId="0" fontId="15" fillId="3" borderId="14" xfId="0" applyFont="1" applyFill="1" applyBorder="1" applyAlignment="1">
      <alignment horizontal="left" vertical="center"/>
    </xf>
    <xf numFmtId="0" fontId="13" fillId="0" borderId="19" xfId="0" applyFont="1" applyBorder="1" applyAlignment="1">
      <alignment horizontal="center" vertical="center" wrapText="1"/>
    </xf>
    <xf numFmtId="0" fontId="19" fillId="0" borderId="0" xfId="0" applyFont="1"/>
    <xf numFmtId="0" fontId="20" fillId="0" borderId="0" xfId="0" applyFont="1" applyAlignment="1">
      <alignment horizontal="justify" vertical="top" wrapText="1"/>
    </xf>
    <xf numFmtId="0" fontId="20" fillId="0" borderId="0" xfId="0" applyFont="1"/>
    <xf numFmtId="0" fontId="15" fillId="0" borderId="0" xfId="0" applyFont="1"/>
    <xf numFmtId="0" fontId="19" fillId="0" borderId="25" xfId="0" applyFont="1" applyBorder="1" applyAlignment="1">
      <alignment horizontal="center"/>
    </xf>
    <xf numFmtId="173" fontId="19" fillId="0" borderId="25" xfId="0" applyNumberFormat="1" applyFont="1" applyBorder="1"/>
    <xf numFmtId="0" fontId="19" fillId="0" borderId="26" xfId="0" applyFont="1" applyBorder="1" applyAlignment="1">
      <alignment horizontal="center"/>
    </xf>
    <xf numFmtId="173" fontId="19" fillId="0" borderId="26" xfId="0" applyNumberFormat="1" applyFont="1" applyBorder="1" applyAlignment="1">
      <alignment wrapText="1"/>
    </xf>
    <xf numFmtId="0" fontId="19" fillId="0" borderId="0" xfId="0" applyFont="1" applyAlignment="1">
      <alignment horizontal="center"/>
    </xf>
    <xf numFmtId="0" fontId="15" fillId="0" borderId="2" xfId="0" applyFont="1" applyBorder="1" applyAlignment="1">
      <alignment vertical="center"/>
    </xf>
    <xf numFmtId="0" fontId="15" fillId="0" borderId="3" xfId="0" applyFont="1" applyBorder="1" applyAlignment="1">
      <alignment vertical="center"/>
    </xf>
    <xf numFmtId="0" fontId="15" fillId="0" borderId="5" xfId="0" applyFont="1" applyBorder="1" applyAlignment="1">
      <alignment vertical="center"/>
    </xf>
    <xf numFmtId="0" fontId="15" fillId="0" borderId="6" xfId="0" applyFont="1" applyBorder="1" applyAlignment="1">
      <alignment vertical="center"/>
    </xf>
    <xf numFmtId="0" fontId="15" fillId="0" borderId="2" xfId="0" applyFont="1" applyBorder="1" applyAlignment="1">
      <alignment vertical="center" wrapText="1"/>
    </xf>
    <xf numFmtId="0" fontId="19" fillId="0" borderId="30" xfId="0" applyFont="1" applyBorder="1" applyAlignment="1">
      <alignment horizontal="center"/>
    </xf>
    <xf numFmtId="0" fontId="19" fillId="0" borderId="31" xfId="0" applyFont="1" applyBorder="1"/>
    <xf numFmtId="0" fontId="19" fillId="0" borderId="28" xfId="0" applyFont="1" applyBorder="1"/>
    <xf numFmtId="173" fontId="19" fillId="0" borderId="39" xfId="0" applyNumberFormat="1" applyFont="1" applyBorder="1"/>
    <xf numFmtId="173" fontId="19" fillId="0" borderId="30" xfId="0" applyNumberFormat="1" applyFont="1" applyBorder="1"/>
    <xf numFmtId="0" fontId="19" fillId="0" borderId="33" xfId="0" applyFont="1" applyBorder="1" applyAlignment="1">
      <alignment horizontal="center"/>
    </xf>
    <xf numFmtId="173" fontId="19" fillId="0" borderId="33" xfId="0" applyNumberFormat="1" applyFont="1" applyBorder="1"/>
    <xf numFmtId="0" fontId="19" fillId="0" borderId="34" xfId="0" applyFont="1" applyBorder="1"/>
    <xf numFmtId="0" fontId="20" fillId="0" borderId="0" xfId="0" applyFont="1" applyAlignment="1">
      <alignment vertical="justify" wrapText="1"/>
    </xf>
    <xf numFmtId="0" fontId="20" fillId="0" borderId="16" xfId="0" applyFont="1" applyBorder="1" applyAlignment="1">
      <alignment horizontal="center" vertical="center" wrapText="1"/>
    </xf>
    <xf numFmtId="0" fontId="20" fillId="5" borderId="16" xfId="0" applyFont="1" applyFill="1" applyBorder="1" applyAlignment="1">
      <alignment horizontal="center" vertical="center" wrapText="1"/>
    </xf>
    <xf numFmtId="0" fontId="19" fillId="5" borderId="26" xfId="0" applyFont="1" applyFill="1" applyBorder="1" applyAlignment="1">
      <alignment horizontal="center"/>
    </xf>
    <xf numFmtId="0" fontId="20" fillId="0" borderId="38" xfId="0" applyFont="1" applyBorder="1" applyAlignment="1">
      <alignment horizontal="center" vertical="center" wrapText="1"/>
    </xf>
    <xf numFmtId="0" fontId="20" fillId="0" borderId="38" xfId="0" applyFont="1" applyBorder="1" applyAlignment="1">
      <alignment horizontal="center" vertical="center"/>
    </xf>
    <xf numFmtId="0" fontId="20" fillId="0" borderId="35" xfId="0" applyFont="1" applyBorder="1" applyAlignment="1">
      <alignment horizontal="center" vertical="center"/>
    </xf>
    <xf numFmtId="0" fontId="20" fillId="0" borderId="39" xfId="0" applyFont="1" applyBorder="1" applyAlignment="1">
      <alignment vertical="center"/>
    </xf>
    <xf numFmtId="0" fontId="19" fillId="0" borderId="42" xfId="0" applyFont="1" applyBorder="1" applyAlignment="1">
      <alignment vertical="center"/>
    </xf>
    <xf numFmtId="0" fontId="19" fillId="0" borderId="43" xfId="0" applyFont="1" applyBorder="1"/>
    <xf numFmtId="0" fontId="20" fillId="0" borderId="41" xfId="0" applyFont="1" applyBorder="1" applyAlignment="1">
      <alignment horizontal="center" vertical="center"/>
    </xf>
    <xf numFmtId="174" fontId="19" fillId="0" borderId="33" xfId="0" applyNumberFormat="1" applyFont="1" applyBorder="1"/>
    <xf numFmtId="0" fontId="19" fillId="0" borderId="39" xfId="0" applyFont="1" applyBorder="1" applyAlignment="1">
      <alignment vertical="center"/>
    </xf>
    <xf numFmtId="174" fontId="20" fillId="0" borderId="16" xfId="0" applyNumberFormat="1" applyFont="1" applyBorder="1"/>
    <xf numFmtId="165" fontId="19" fillId="0" borderId="26" xfId="0" applyNumberFormat="1" applyFont="1" applyBorder="1" applyAlignment="1">
      <alignment horizontal="center"/>
    </xf>
    <xf numFmtId="165" fontId="19" fillId="0" borderId="35" xfId="0" applyNumberFormat="1" applyFont="1" applyBorder="1" applyAlignment="1">
      <alignment horizontal="center" vertical="center"/>
    </xf>
    <xf numFmtId="166" fontId="19" fillId="0" borderId="35" xfId="12" applyFont="1" applyBorder="1" applyAlignment="1">
      <alignment horizontal="center" vertical="center"/>
    </xf>
    <xf numFmtId="166" fontId="19" fillId="0" borderId="26" xfId="12" applyFont="1" applyBorder="1" applyAlignment="1">
      <alignment horizontal="center" wrapText="1"/>
    </xf>
    <xf numFmtId="166" fontId="19" fillId="0" borderId="26" xfId="12" applyFont="1" applyBorder="1" applyAlignment="1">
      <alignment horizontal="center"/>
    </xf>
    <xf numFmtId="173" fontId="19" fillId="0" borderId="41" xfId="6" applyNumberFormat="1" applyFont="1" applyBorder="1" applyAlignment="1">
      <alignment horizontal="right" vertical="center"/>
    </xf>
    <xf numFmtId="174" fontId="19" fillId="0" borderId="33" xfId="0" applyNumberFormat="1" applyFont="1" applyBorder="1" applyAlignment="1">
      <alignment horizontal="right"/>
    </xf>
    <xf numFmtId="2" fontId="19" fillId="0" borderId="30" xfId="0" applyNumberFormat="1" applyFont="1" applyBorder="1" applyAlignment="1">
      <alignment horizontal="center"/>
    </xf>
    <xf numFmtId="2" fontId="19" fillId="0" borderId="33" xfId="0" applyNumberFormat="1" applyFont="1" applyBorder="1" applyAlignment="1">
      <alignment horizontal="center"/>
    </xf>
    <xf numFmtId="0" fontId="19" fillId="0" borderId="30" xfId="0" applyFont="1" applyBorder="1" applyAlignment="1">
      <alignment horizontal="center" vertical="center"/>
    </xf>
    <xf numFmtId="173" fontId="19" fillId="0" borderId="30" xfId="0" applyNumberFormat="1" applyFont="1" applyBorder="1" applyAlignment="1">
      <alignment vertical="center"/>
    </xf>
    <xf numFmtId="0" fontId="19" fillId="0" borderId="31" xfId="0" applyFont="1" applyBorder="1" applyAlignment="1">
      <alignment vertical="center"/>
    </xf>
    <xf numFmtId="0" fontId="19" fillId="0" borderId="25" xfId="0" applyFont="1" applyBorder="1" applyAlignment="1">
      <alignment horizontal="center" vertical="center"/>
    </xf>
    <xf numFmtId="173" fontId="19" fillId="0" borderId="25" xfId="0" applyNumberFormat="1" applyFont="1" applyBorder="1" applyAlignment="1">
      <alignment vertical="center"/>
    </xf>
    <xf numFmtId="0" fontId="19" fillId="0" borderId="28" xfId="0" applyFont="1" applyBorder="1" applyAlignment="1">
      <alignment vertical="center"/>
    </xf>
    <xf numFmtId="0" fontId="19" fillId="0" borderId="33" xfId="0" applyFont="1" applyBorder="1" applyAlignment="1">
      <alignment horizontal="center" vertical="center"/>
    </xf>
    <xf numFmtId="173" fontId="19" fillId="0" borderId="33" xfId="0" applyNumberFormat="1" applyFont="1" applyBorder="1" applyAlignment="1">
      <alignment vertical="center"/>
    </xf>
    <xf numFmtId="0" fontId="19" fillId="0" borderId="34" xfId="0" applyFont="1" applyBorder="1" applyAlignment="1">
      <alignment vertical="center"/>
    </xf>
    <xf numFmtId="0" fontId="19" fillId="0" borderId="42" xfId="0" applyFont="1" applyBorder="1"/>
    <xf numFmtId="2" fontId="19" fillId="0" borderId="25" xfId="0" applyNumberFormat="1" applyFont="1" applyBorder="1" applyAlignment="1">
      <alignment horizontal="center"/>
    </xf>
    <xf numFmtId="175" fontId="19" fillId="0" borderId="30" xfId="0" applyNumberFormat="1" applyFont="1" applyBorder="1" applyAlignment="1">
      <alignment horizontal="center"/>
    </xf>
    <xf numFmtId="0" fontId="19" fillId="0" borderId="54" xfId="0" applyFont="1" applyBorder="1"/>
    <xf numFmtId="166" fontId="19" fillId="0" borderId="25" xfId="12" applyFont="1" applyFill="1" applyBorder="1"/>
    <xf numFmtId="166" fontId="19" fillId="0" borderId="33" xfId="12" applyFont="1" applyFill="1" applyBorder="1"/>
    <xf numFmtId="166" fontId="19" fillId="6" borderId="25" xfId="12" applyFont="1" applyFill="1" applyBorder="1"/>
    <xf numFmtId="0" fontId="15" fillId="0" borderId="3" xfId="0" applyFont="1" applyBorder="1" applyAlignment="1">
      <alignment vertical="center" wrapText="1"/>
    </xf>
    <xf numFmtId="0" fontId="15" fillId="0" borderId="5" xfId="0" applyFont="1" applyBorder="1" applyAlignment="1">
      <alignment vertical="center" wrapText="1"/>
    </xf>
    <xf numFmtId="0" fontId="15" fillId="0" borderId="6" xfId="0" applyFont="1" applyBorder="1" applyAlignment="1">
      <alignment vertical="center" wrapText="1"/>
    </xf>
    <xf numFmtId="0" fontId="19" fillId="0" borderId="0" xfId="0" applyFont="1" applyAlignment="1">
      <alignment wrapText="1"/>
    </xf>
    <xf numFmtId="0" fontId="20" fillId="0" borderId="0" xfId="0" applyFont="1" applyAlignment="1">
      <alignment wrapText="1"/>
    </xf>
    <xf numFmtId="0" fontId="15" fillId="0" borderId="0" xfId="0" applyFont="1" applyAlignment="1">
      <alignment wrapText="1"/>
    </xf>
    <xf numFmtId="0" fontId="20" fillId="0" borderId="39" xfId="0" applyFont="1" applyBorder="1" applyAlignment="1">
      <alignment vertical="center" wrapText="1"/>
    </xf>
    <xf numFmtId="0" fontId="13" fillId="0" borderId="0" xfId="0" applyFont="1" applyAlignment="1">
      <alignment vertical="center" wrapText="1"/>
    </xf>
    <xf numFmtId="173" fontId="19" fillId="0" borderId="30" xfId="0" applyNumberFormat="1" applyFont="1" applyBorder="1" applyAlignment="1">
      <alignment wrapText="1"/>
    </xf>
    <xf numFmtId="2" fontId="19" fillId="0" borderId="30" xfId="0" applyNumberFormat="1" applyFont="1" applyBorder="1" applyAlignment="1">
      <alignment horizontal="center" wrapText="1"/>
    </xf>
    <xf numFmtId="0" fontId="19" fillId="0" borderId="31" xfId="0" applyFont="1" applyBorder="1" applyAlignment="1">
      <alignment wrapText="1"/>
    </xf>
    <xf numFmtId="0" fontId="19" fillId="0" borderId="34" xfId="0" applyFont="1" applyBorder="1" applyAlignment="1">
      <alignment wrapText="1"/>
    </xf>
    <xf numFmtId="173" fontId="19" fillId="0" borderId="39" xfId="0" applyNumberFormat="1" applyFont="1" applyBorder="1" applyAlignment="1">
      <alignment wrapText="1"/>
    </xf>
    <xf numFmtId="0" fontId="19" fillId="0" borderId="30" xfId="0" applyFont="1" applyBorder="1" applyAlignment="1">
      <alignment horizontal="center" wrapText="1"/>
    </xf>
    <xf numFmtId="0" fontId="19" fillId="0" borderId="25" xfId="0" applyFont="1" applyBorder="1" applyAlignment="1">
      <alignment horizontal="center" wrapText="1"/>
    </xf>
    <xf numFmtId="173" fontId="19" fillId="0" borderId="25" xfId="0" applyNumberFormat="1" applyFont="1" applyBorder="1" applyAlignment="1">
      <alignment wrapText="1"/>
    </xf>
    <xf numFmtId="0" fontId="19" fillId="0" borderId="28" xfId="0" applyFont="1" applyBorder="1" applyAlignment="1">
      <alignment wrapText="1"/>
    </xf>
    <xf numFmtId="0" fontId="19" fillId="0" borderId="42" xfId="0" applyFont="1" applyBorder="1" applyAlignment="1">
      <alignment vertical="center" wrapText="1"/>
    </xf>
    <xf numFmtId="0" fontId="19" fillId="0" borderId="26" xfId="0" applyFont="1" applyBorder="1" applyAlignment="1">
      <alignment horizontal="center" wrapText="1"/>
    </xf>
    <xf numFmtId="166" fontId="19" fillId="6" borderId="25" xfId="12" applyFont="1" applyFill="1" applyBorder="1" applyAlignment="1">
      <alignment wrapText="1"/>
    </xf>
    <xf numFmtId="173" fontId="19" fillId="0" borderId="33" xfId="0" applyNumberFormat="1" applyFont="1" applyBorder="1" applyAlignment="1">
      <alignment wrapText="1"/>
    </xf>
    <xf numFmtId="166" fontId="19" fillId="0" borderId="33" xfId="12" applyFont="1" applyFill="1" applyBorder="1" applyAlignment="1">
      <alignment wrapText="1"/>
    </xf>
    <xf numFmtId="0" fontId="19" fillId="0" borderId="43" xfId="0" applyFont="1" applyBorder="1" applyAlignment="1">
      <alignment wrapText="1"/>
    </xf>
    <xf numFmtId="0" fontId="19" fillId="0" borderId="39" xfId="0" applyFont="1" applyBorder="1" applyAlignment="1">
      <alignment vertical="center" wrapText="1"/>
    </xf>
    <xf numFmtId="165" fontId="19" fillId="0" borderId="35" xfId="0" applyNumberFormat="1" applyFont="1" applyBorder="1" applyAlignment="1">
      <alignment horizontal="center" vertical="center" wrapText="1"/>
    </xf>
    <xf numFmtId="166" fontId="19" fillId="0" borderId="35" xfId="12" applyFont="1" applyBorder="1" applyAlignment="1">
      <alignment horizontal="center" vertical="center" wrapText="1"/>
    </xf>
    <xf numFmtId="173" fontId="19" fillId="0" borderId="41" xfId="6" applyNumberFormat="1" applyFont="1" applyBorder="1" applyAlignment="1">
      <alignment horizontal="right" vertical="center" wrapText="1"/>
    </xf>
    <xf numFmtId="165" fontId="19" fillId="0" borderId="26" xfId="0" applyNumberFormat="1" applyFont="1" applyBorder="1" applyAlignment="1">
      <alignment horizontal="center" wrapText="1"/>
    </xf>
    <xf numFmtId="174" fontId="19" fillId="0" borderId="33" xfId="0" applyNumberFormat="1" applyFont="1" applyBorder="1" applyAlignment="1">
      <alignment horizontal="right" wrapText="1"/>
    </xf>
    <xf numFmtId="0" fontId="19" fillId="0" borderId="0" xfId="0" applyFont="1" applyAlignment="1">
      <alignment horizontal="center" wrapText="1"/>
    </xf>
    <xf numFmtId="174" fontId="20" fillId="0" borderId="16" xfId="0" applyNumberFormat="1" applyFont="1" applyBorder="1" applyAlignment="1">
      <alignment wrapText="1"/>
    </xf>
    <xf numFmtId="0" fontId="19" fillId="0" borderId="30" xfId="0" applyFont="1" applyBorder="1" applyAlignment="1">
      <alignment horizontal="center" vertical="center" wrapText="1"/>
    </xf>
    <xf numFmtId="173" fontId="19" fillId="0" borderId="30" xfId="0" applyNumberFormat="1" applyFont="1" applyBorder="1" applyAlignment="1">
      <alignment vertical="center" wrapText="1"/>
    </xf>
    <xf numFmtId="2" fontId="19" fillId="0" borderId="30" xfId="0" applyNumberFormat="1" applyFont="1" applyBorder="1" applyAlignment="1">
      <alignment horizontal="center" vertical="center" wrapText="1"/>
    </xf>
    <xf numFmtId="0" fontId="19" fillId="0" borderId="31" xfId="0" applyFont="1" applyBorder="1" applyAlignment="1">
      <alignment vertical="center" wrapText="1"/>
    </xf>
    <xf numFmtId="2" fontId="19" fillId="0" borderId="25" xfId="0" applyNumberFormat="1" applyFont="1" applyBorder="1" applyAlignment="1">
      <alignment horizontal="center" wrapText="1"/>
    </xf>
    <xf numFmtId="0" fontId="19" fillId="0" borderId="25" xfId="0" applyFont="1" applyBorder="1" applyAlignment="1">
      <alignment horizontal="center" vertical="center" wrapText="1"/>
    </xf>
    <xf numFmtId="173" fontId="19" fillId="0" borderId="25" xfId="0" applyNumberFormat="1" applyFont="1" applyBorder="1" applyAlignment="1">
      <alignment vertical="center" wrapText="1"/>
    </xf>
    <xf numFmtId="2" fontId="19" fillId="0" borderId="25" xfId="0" applyNumberFormat="1" applyFont="1" applyBorder="1" applyAlignment="1">
      <alignment horizontal="center" vertical="center" wrapText="1"/>
    </xf>
    <xf numFmtId="0" fontId="19" fillId="0" borderId="28" xfId="0" applyFont="1" applyBorder="1" applyAlignment="1">
      <alignment vertical="center" wrapText="1"/>
    </xf>
    <xf numFmtId="0" fontId="19" fillId="0" borderId="33" xfId="0" applyFont="1" applyBorder="1" applyAlignment="1">
      <alignment horizontal="center" vertical="center" wrapText="1"/>
    </xf>
    <xf numFmtId="173" fontId="19" fillId="0" borderId="33" xfId="0" applyNumberFormat="1" applyFont="1" applyBorder="1" applyAlignment="1">
      <alignment vertical="center" wrapText="1"/>
    </xf>
    <xf numFmtId="0" fontId="19" fillId="0" borderId="34" xfId="0" applyFont="1" applyBorder="1" applyAlignment="1">
      <alignment vertical="center" wrapText="1"/>
    </xf>
    <xf numFmtId="2" fontId="19" fillId="0" borderId="33" xfId="0" applyNumberFormat="1" applyFont="1" applyBorder="1" applyAlignment="1">
      <alignment horizontal="center" vertical="center" wrapText="1"/>
    </xf>
    <xf numFmtId="175" fontId="19" fillId="0" borderId="33" xfId="0" applyNumberFormat="1" applyFont="1" applyBorder="1" applyAlignment="1">
      <alignment horizontal="center" vertical="center" wrapText="1"/>
    </xf>
    <xf numFmtId="175" fontId="19" fillId="0" borderId="25" xfId="0" applyNumberFormat="1" applyFont="1" applyBorder="1" applyAlignment="1">
      <alignment horizontal="center"/>
    </xf>
    <xf numFmtId="2" fontId="19" fillId="0" borderId="25" xfId="0" applyNumberFormat="1" applyFont="1" applyBorder="1" applyAlignment="1">
      <alignment horizontal="center" vertical="center"/>
    </xf>
    <xf numFmtId="169" fontId="13" fillId="0" borderId="0" xfId="13" applyNumberFormat="1" applyFont="1" applyFill="1" applyBorder="1" applyAlignment="1">
      <alignment horizontal="center" vertical="center"/>
    </xf>
    <xf numFmtId="172" fontId="15" fillId="7" borderId="16" xfId="6" applyNumberFormat="1" applyFont="1" applyFill="1" applyBorder="1" applyAlignment="1">
      <alignment horizontal="right" vertical="center"/>
    </xf>
    <xf numFmtId="0" fontId="13" fillId="4" borderId="16" xfId="0" applyFont="1" applyFill="1" applyBorder="1" applyAlignment="1">
      <alignment vertical="center"/>
    </xf>
    <xf numFmtId="172" fontId="15" fillId="0" borderId="16" xfId="6" applyNumberFormat="1" applyFont="1" applyFill="1" applyBorder="1" applyAlignment="1">
      <alignment horizontal="right" vertical="center"/>
    </xf>
    <xf numFmtId="0" fontId="13" fillId="0" borderId="16" xfId="0" applyFont="1" applyBorder="1" applyAlignment="1">
      <alignment vertical="center"/>
    </xf>
    <xf numFmtId="172" fontId="15" fillId="0" borderId="14" xfId="6" applyNumberFormat="1" applyFont="1" applyFill="1" applyBorder="1" applyAlignment="1">
      <alignment horizontal="right" vertical="center"/>
    </xf>
    <xf numFmtId="0" fontId="15" fillId="0" borderId="14" xfId="0" applyFont="1" applyBorder="1" applyAlignment="1">
      <alignment horizontal="right" vertical="center" wrapText="1"/>
    </xf>
    <xf numFmtId="0" fontId="13" fillId="0" borderId="14" xfId="0" applyFont="1" applyBorder="1" applyAlignment="1">
      <alignment vertical="center"/>
    </xf>
    <xf numFmtId="172" fontId="15" fillId="7" borderId="15" xfId="6" applyNumberFormat="1" applyFont="1" applyFill="1" applyBorder="1" applyAlignment="1">
      <alignment horizontal="right" vertical="center"/>
    </xf>
    <xf numFmtId="172" fontId="13" fillId="7" borderId="15" xfId="6" applyNumberFormat="1" applyFont="1" applyFill="1" applyBorder="1" applyAlignment="1">
      <alignment horizontal="right" vertical="center"/>
    </xf>
    <xf numFmtId="177" fontId="13" fillId="7" borderId="14" xfId="13" applyFont="1" applyFill="1" applyBorder="1" applyAlignment="1">
      <alignment horizontal="right" vertical="center"/>
    </xf>
    <xf numFmtId="0" fontId="13" fillId="7" borderId="14" xfId="0" applyFont="1" applyFill="1" applyBorder="1" applyAlignment="1">
      <alignment horizontal="center" vertical="center" wrapText="1"/>
    </xf>
    <xf numFmtId="0" fontId="15" fillId="7" borderId="14" xfId="0" applyFont="1" applyFill="1" applyBorder="1" applyAlignment="1">
      <alignment horizontal="left" vertical="center"/>
    </xf>
    <xf numFmtId="0" fontId="13" fillId="7" borderId="13" xfId="0" applyFont="1" applyFill="1" applyBorder="1" applyAlignment="1">
      <alignment vertical="center"/>
    </xf>
    <xf numFmtId="172" fontId="13" fillId="3" borderId="15" xfId="6" applyNumberFormat="1" applyFont="1" applyFill="1" applyBorder="1" applyAlignment="1">
      <alignment horizontal="right" vertical="center"/>
    </xf>
    <xf numFmtId="177" fontId="13" fillId="3" borderId="14" xfId="13" applyFont="1" applyFill="1" applyBorder="1" applyAlignment="1">
      <alignment horizontal="right" vertical="center"/>
    </xf>
    <xf numFmtId="0" fontId="13" fillId="3" borderId="13" xfId="0" applyFont="1" applyFill="1" applyBorder="1" applyAlignment="1">
      <alignment vertical="center"/>
    </xf>
    <xf numFmtId="172" fontId="13" fillId="0" borderId="15" xfId="6" applyNumberFormat="1" applyFont="1" applyFill="1" applyBorder="1" applyAlignment="1">
      <alignment horizontal="right" vertical="center"/>
    </xf>
    <xf numFmtId="177" fontId="13" fillId="0" borderId="14" xfId="13" applyFont="1" applyFill="1" applyBorder="1" applyAlignment="1">
      <alignment horizontal="right" vertical="center"/>
    </xf>
    <xf numFmtId="0" fontId="15" fillId="0" borderId="14" xfId="0" applyFont="1" applyBorder="1" applyAlignment="1">
      <alignment horizontal="left" vertical="center"/>
    </xf>
    <xf numFmtId="172" fontId="15" fillId="4" borderId="15" xfId="6" applyNumberFormat="1" applyFont="1" applyFill="1" applyBorder="1" applyAlignment="1">
      <alignment horizontal="right" vertical="center"/>
    </xf>
    <xf numFmtId="172" fontId="13" fillId="3" borderId="15" xfId="6" applyNumberFormat="1" applyFont="1" applyFill="1" applyBorder="1" applyAlignment="1">
      <alignment vertical="center" wrapText="1"/>
    </xf>
    <xf numFmtId="169" fontId="13" fillId="3" borderId="55" xfId="13" applyNumberFormat="1" applyFont="1" applyFill="1" applyBorder="1" applyAlignment="1">
      <alignment horizontal="center" vertical="center"/>
    </xf>
    <xf numFmtId="0" fontId="13" fillId="3" borderId="56" xfId="0" applyFont="1" applyFill="1" applyBorder="1" applyAlignment="1">
      <alignment horizontal="center" vertical="center"/>
    </xf>
    <xf numFmtId="0" fontId="15" fillId="3" borderId="13" xfId="0" applyFont="1" applyFill="1" applyBorder="1" applyAlignment="1">
      <alignment horizontal="left" vertical="center" wrapText="1"/>
    </xf>
    <xf numFmtId="0" fontId="15" fillId="3" borderId="15" xfId="0" applyFont="1" applyFill="1" applyBorder="1" applyAlignment="1">
      <alignment horizontal="center" vertical="center"/>
    </xf>
    <xf numFmtId="169" fontId="13" fillId="3" borderId="14" xfId="13" applyNumberFormat="1" applyFont="1" applyFill="1" applyBorder="1" applyAlignment="1">
      <alignment horizontal="center" vertical="center"/>
    </xf>
    <xf numFmtId="0" fontId="15" fillId="7" borderId="14" xfId="0" applyFont="1" applyFill="1" applyBorder="1" applyAlignment="1">
      <alignment horizontal="left" vertical="center" wrapText="1"/>
    </xf>
    <xf numFmtId="172" fontId="15" fillId="0" borderId="12" xfId="6" applyNumberFormat="1" applyFont="1" applyFill="1" applyBorder="1" applyAlignment="1">
      <alignment horizontal="center" vertical="center" wrapText="1"/>
    </xf>
    <xf numFmtId="166" fontId="19" fillId="0" borderId="35" xfId="39" applyFont="1" applyBorder="1" applyAlignment="1">
      <alignment horizontal="center" vertical="center"/>
    </xf>
    <xf numFmtId="166" fontId="19" fillId="0" borderId="26" xfId="39" applyFont="1" applyBorder="1" applyAlignment="1">
      <alignment horizontal="center" wrapText="1"/>
    </xf>
    <xf numFmtId="166" fontId="19" fillId="0" borderId="26" xfId="39" applyFont="1" applyBorder="1" applyAlignment="1">
      <alignment horizontal="center"/>
    </xf>
    <xf numFmtId="1" fontId="19" fillId="0" borderId="25" xfId="0" applyNumberFormat="1" applyFont="1" applyBorder="1" applyAlignment="1">
      <alignment horizontal="center"/>
    </xf>
    <xf numFmtId="174" fontId="20" fillId="0" borderId="16" xfId="0" applyNumberFormat="1" applyFont="1" applyBorder="1" applyAlignment="1">
      <alignment vertical="center" wrapText="1"/>
    </xf>
    <xf numFmtId="0" fontId="19" fillId="0" borderId="0" xfId="0" applyFont="1" applyAlignment="1">
      <alignment vertical="center" wrapText="1"/>
    </xf>
    <xf numFmtId="0" fontId="19" fillId="0" borderId="0" xfId="0" applyFont="1" applyAlignment="1">
      <alignment horizontal="center" vertical="center" wrapText="1"/>
    </xf>
    <xf numFmtId="173" fontId="19" fillId="0" borderId="39" xfId="0" applyNumberFormat="1" applyFont="1" applyBorder="1" applyAlignment="1">
      <alignment vertical="center" wrapText="1"/>
    </xf>
    <xf numFmtId="174" fontId="19" fillId="0" borderId="33" xfId="0" applyNumberFormat="1" applyFont="1" applyBorder="1" applyAlignment="1">
      <alignment horizontal="right" vertical="center" wrapText="1"/>
    </xf>
    <xf numFmtId="166" fontId="19" fillId="0" borderId="26" xfId="39" applyFont="1" applyBorder="1" applyAlignment="1">
      <alignment horizontal="center" vertical="center" wrapText="1"/>
    </xf>
    <xf numFmtId="165" fontId="19" fillId="0" borderId="26" xfId="0" applyNumberFormat="1" applyFont="1" applyBorder="1" applyAlignment="1">
      <alignment horizontal="center" vertical="center" wrapText="1"/>
    </xf>
    <xf numFmtId="166" fontId="19" fillId="0" borderId="35" xfId="39" applyFont="1" applyBorder="1" applyAlignment="1">
      <alignment horizontal="center" vertical="center" wrapText="1"/>
    </xf>
    <xf numFmtId="0" fontId="15" fillId="0" borderId="0" xfId="0" applyFont="1" applyAlignment="1">
      <alignment vertical="center" wrapText="1"/>
    </xf>
    <xf numFmtId="0" fontId="19" fillId="0" borderId="43" xfId="0" applyFont="1" applyBorder="1" applyAlignment="1">
      <alignment vertical="center" wrapText="1"/>
    </xf>
    <xf numFmtId="166" fontId="19" fillId="0" borderId="33" xfId="39" applyFont="1" applyFill="1" applyBorder="1" applyAlignment="1">
      <alignment vertical="center" wrapText="1"/>
    </xf>
    <xf numFmtId="0" fontId="19" fillId="0" borderId="26" xfId="0" applyFont="1" applyBorder="1" applyAlignment="1">
      <alignment horizontal="center" vertical="center" wrapText="1"/>
    </xf>
    <xf numFmtId="166" fontId="19" fillId="6" borderId="25" xfId="39" applyFont="1" applyFill="1" applyBorder="1" applyAlignment="1">
      <alignment vertical="center" wrapText="1"/>
    </xf>
    <xf numFmtId="0" fontId="20" fillId="0" borderId="0" xfId="0" applyFont="1" applyAlignment="1">
      <alignment vertical="center" wrapText="1"/>
    </xf>
    <xf numFmtId="0" fontId="20" fillId="0" borderId="0" xfId="0" applyFont="1" applyAlignment="1">
      <alignment horizontal="justify" vertical="center" wrapText="1"/>
    </xf>
    <xf numFmtId="0" fontId="15" fillId="0" borderId="0" xfId="0" applyFont="1" applyAlignment="1">
      <alignment vertical="center"/>
    </xf>
    <xf numFmtId="1" fontId="19" fillId="0" borderId="25" xfId="0" applyNumberFormat="1" applyFont="1" applyBorder="1" applyAlignment="1">
      <alignment horizontal="center" vertical="center" wrapText="1"/>
    </xf>
    <xf numFmtId="175" fontId="19" fillId="0" borderId="25" xfId="0" applyNumberFormat="1" applyFont="1" applyBorder="1" applyAlignment="1">
      <alignment horizontal="center" vertical="center" wrapText="1"/>
    </xf>
    <xf numFmtId="0" fontId="20" fillId="0" borderId="0" xfId="0" applyFont="1" applyAlignment="1">
      <alignment horizontal="right" vertical="center" wrapText="1"/>
    </xf>
    <xf numFmtId="174" fontId="20" fillId="0" borderId="0" xfId="0" applyNumberFormat="1" applyFont="1" applyAlignment="1">
      <alignment vertical="center" wrapText="1"/>
    </xf>
    <xf numFmtId="166" fontId="19" fillId="0" borderId="35" xfId="48" applyFont="1" applyBorder="1" applyAlignment="1">
      <alignment horizontal="center" vertical="center" wrapText="1"/>
    </xf>
    <xf numFmtId="173" fontId="13" fillId="0" borderId="0" xfId="0" applyNumberFormat="1" applyFont="1" applyAlignment="1">
      <alignment vertical="center" wrapText="1"/>
    </xf>
    <xf numFmtId="166" fontId="19" fillId="6" borderId="25" xfId="48" applyFont="1" applyFill="1" applyBorder="1" applyAlignment="1">
      <alignment vertical="center" wrapText="1"/>
    </xf>
    <xf numFmtId="166" fontId="19" fillId="0" borderId="33" xfId="48" applyFont="1" applyFill="1" applyBorder="1" applyAlignment="1">
      <alignment vertical="center" wrapText="1"/>
    </xf>
    <xf numFmtId="166" fontId="19" fillId="0" borderId="26" xfId="48" applyFont="1" applyBorder="1" applyAlignment="1">
      <alignment horizontal="center" vertical="center" wrapText="1"/>
    </xf>
    <xf numFmtId="173" fontId="19" fillId="0" borderId="57" xfId="0" applyNumberFormat="1" applyFont="1" applyBorder="1" applyAlignment="1">
      <alignment vertical="center" wrapText="1"/>
    </xf>
    <xf numFmtId="0" fontId="19" fillId="0" borderId="57" xfId="0" applyFont="1" applyBorder="1" applyAlignment="1">
      <alignment horizontal="center" vertical="center" wrapText="1"/>
    </xf>
    <xf numFmtId="0" fontId="19" fillId="0" borderId="58" xfId="0" applyFont="1" applyBorder="1" applyAlignment="1">
      <alignment vertical="center" wrapText="1"/>
    </xf>
    <xf numFmtId="2" fontId="19" fillId="0" borderId="57" xfId="0" applyNumberFormat="1" applyFont="1" applyBorder="1" applyAlignment="1">
      <alignment horizontal="center" vertical="center" wrapText="1"/>
    </xf>
    <xf numFmtId="0" fontId="20" fillId="0" borderId="2" xfId="0" applyFont="1" applyBorder="1" applyAlignment="1">
      <alignment horizontal="right" vertical="center" wrapText="1"/>
    </xf>
    <xf numFmtId="174" fontId="20" fillId="0" borderId="2" xfId="0" applyNumberFormat="1" applyFont="1" applyBorder="1" applyAlignment="1">
      <alignment vertical="center" wrapText="1"/>
    </xf>
    <xf numFmtId="0" fontId="20" fillId="0" borderId="5" xfId="0" applyFont="1" applyBorder="1" applyAlignment="1">
      <alignment horizontal="right" vertical="center" wrapText="1"/>
    </xf>
    <xf numFmtId="174" fontId="20" fillId="0" borderId="5" xfId="0" applyNumberFormat="1" applyFont="1" applyBorder="1" applyAlignment="1">
      <alignment vertical="center" wrapText="1"/>
    </xf>
    <xf numFmtId="0" fontId="19" fillId="0" borderId="60" xfId="0" applyFont="1" applyBorder="1" applyAlignment="1">
      <alignment horizontal="center" vertical="center" wrapText="1"/>
    </xf>
    <xf numFmtId="173" fontId="19" fillId="0" borderId="60" xfId="0" applyNumberFormat="1" applyFont="1" applyBorder="1" applyAlignment="1">
      <alignment vertical="center" wrapText="1"/>
    </xf>
    <xf numFmtId="0" fontId="19" fillId="0" borderId="61" xfId="0" applyFont="1" applyBorder="1" applyAlignment="1">
      <alignment vertical="center" wrapText="1"/>
    </xf>
    <xf numFmtId="173" fontId="19" fillId="0" borderId="43" xfId="0" applyNumberFormat="1" applyFont="1" applyBorder="1" applyAlignment="1">
      <alignment vertical="center" wrapText="1"/>
    </xf>
    <xf numFmtId="170" fontId="13" fillId="0" borderId="0" xfId="0" applyNumberFormat="1" applyFont="1" applyAlignment="1">
      <alignment vertical="center" wrapText="1"/>
    </xf>
    <xf numFmtId="169" fontId="13" fillId="3" borderId="14" xfId="0" applyNumberFormat="1" applyFont="1" applyFill="1" applyBorder="1" applyAlignment="1">
      <alignment horizontal="center" vertical="center"/>
    </xf>
    <xf numFmtId="169" fontId="13" fillId="3" borderId="56" xfId="13" applyNumberFormat="1" applyFont="1" applyFill="1" applyBorder="1" applyAlignment="1">
      <alignment horizontal="center" vertical="center"/>
    </xf>
    <xf numFmtId="0" fontId="20" fillId="0" borderId="13" xfId="0" applyFont="1" applyBorder="1" applyAlignment="1">
      <alignment horizontal="right"/>
    </xf>
    <xf numFmtId="0" fontId="20" fillId="0" borderId="14" xfId="0" applyFont="1" applyBorder="1" applyAlignment="1">
      <alignment horizontal="right"/>
    </xf>
    <xf numFmtId="0" fontId="20" fillId="0" borderId="40" xfId="0" applyFont="1" applyBorder="1" applyAlignment="1">
      <alignment horizontal="right"/>
    </xf>
    <xf numFmtId="182" fontId="8" fillId="0" borderId="0" xfId="49" applyNumberFormat="1" applyAlignment="1">
      <alignment vertical="center"/>
    </xf>
    <xf numFmtId="183" fontId="8" fillId="0" borderId="0" xfId="50" applyNumberFormat="1" applyFont="1" applyFill="1" applyAlignment="1">
      <alignment vertical="center"/>
    </xf>
    <xf numFmtId="183" fontId="8" fillId="0" borderId="0" xfId="50" applyNumberFormat="1" applyFont="1" applyFill="1" applyAlignment="1">
      <alignment horizontal="center" vertical="center"/>
    </xf>
    <xf numFmtId="182" fontId="8" fillId="0" borderId="0" xfId="49" applyNumberFormat="1" applyAlignment="1">
      <alignment horizontal="center" vertical="center"/>
    </xf>
    <xf numFmtId="184" fontId="26" fillId="0" borderId="6" xfId="49" applyNumberFormat="1" applyFont="1" applyBorder="1" applyAlignment="1">
      <alignment horizontal="right" vertical="center"/>
    </xf>
    <xf numFmtId="3" fontId="10" fillId="0" borderId="5" xfId="49" applyNumberFormat="1" applyFont="1" applyBorder="1" applyAlignment="1">
      <alignment horizontal="center" vertical="center"/>
    </xf>
    <xf numFmtId="0" fontId="10" fillId="0" borderId="5" xfId="49" applyFont="1" applyBorder="1" applyAlignment="1">
      <alignment horizontal="center" vertical="center"/>
    </xf>
    <xf numFmtId="0" fontId="26" fillId="0" borderId="5" xfId="49" applyFont="1" applyBorder="1" applyAlignment="1">
      <alignment horizontal="center" vertical="center"/>
    </xf>
    <xf numFmtId="0" fontId="10" fillId="0" borderId="4" xfId="49" applyFont="1" applyBorder="1" applyAlignment="1">
      <alignment horizontal="center" vertical="center"/>
    </xf>
    <xf numFmtId="184" fontId="10" fillId="0" borderId="8" xfId="49" applyNumberFormat="1" applyFont="1" applyBorder="1" applyAlignment="1">
      <alignment horizontal="right" vertical="center"/>
    </xf>
    <xf numFmtId="3" fontId="10" fillId="0" borderId="0" xfId="49" applyNumberFormat="1" applyFont="1" applyAlignment="1">
      <alignment horizontal="center" vertical="center"/>
    </xf>
    <xf numFmtId="0" fontId="10" fillId="0" borderId="0" xfId="49" applyFont="1" applyAlignment="1">
      <alignment horizontal="center" vertical="center"/>
    </xf>
    <xf numFmtId="0" fontId="10" fillId="0" borderId="0" xfId="49" applyFont="1" applyAlignment="1">
      <alignment horizontal="justify" vertical="center"/>
    </xf>
    <xf numFmtId="0" fontId="10" fillId="0" borderId="7" xfId="49" applyFont="1" applyBorder="1" applyAlignment="1">
      <alignment horizontal="center" vertical="center"/>
    </xf>
    <xf numFmtId="184" fontId="27" fillId="0" borderId="8" xfId="49" applyNumberFormat="1" applyFont="1" applyBorder="1" applyAlignment="1">
      <alignment horizontal="right" vertical="center"/>
    </xf>
    <xf numFmtId="184" fontId="10" fillId="0" borderId="0" xfId="49" applyNumberFormat="1" applyFont="1" applyAlignment="1">
      <alignment horizontal="center" vertical="center"/>
    </xf>
    <xf numFmtId="9" fontId="10" fillId="0" borderId="0" xfId="49" applyNumberFormat="1" applyFont="1" applyAlignment="1">
      <alignment horizontal="center" vertical="center"/>
    </xf>
    <xf numFmtId="184" fontId="27" fillId="0" borderId="3" xfId="49" applyNumberFormat="1" applyFont="1" applyBorder="1" applyAlignment="1">
      <alignment horizontal="right" vertical="center"/>
    </xf>
    <xf numFmtId="3" fontId="10" fillId="0" borderId="2" xfId="49" applyNumberFormat="1" applyFont="1" applyBorder="1" applyAlignment="1">
      <alignment horizontal="center" vertical="center"/>
    </xf>
    <xf numFmtId="0" fontId="10" fillId="0" borderId="2" xfId="49" applyFont="1" applyBorder="1" applyAlignment="1">
      <alignment horizontal="center" vertical="center"/>
    </xf>
    <xf numFmtId="0" fontId="10" fillId="0" borderId="2" xfId="49" applyFont="1" applyBorder="1" applyAlignment="1">
      <alignment horizontal="justify" vertical="center"/>
    </xf>
    <xf numFmtId="0" fontId="10" fillId="0" borderId="1" xfId="49" applyFont="1" applyBorder="1" applyAlignment="1">
      <alignment horizontal="center" vertical="center"/>
    </xf>
    <xf numFmtId="3" fontId="10" fillId="0" borderId="0" xfId="49" applyNumberFormat="1" applyFont="1" applyAlignment="1">
      <alignment horizontal="right" vertical="center"/>
    </xf>
    <xf numFmtId="184" fontId="8" fillId="0" borderId="0" xfId="50" applyNumberFormat="1" applyFont="1" applyFill="1" applyAlignment="1">
      <alignment vertical="center"/>
    </xf>
    <xf numFmtId="0" fontId="10" fillId="0" borderId="5" xfId="49" applyFont="1" applyBorder="1" applyAlignment="1">
      <alignment horizontal="justify" vertical="center"/>
    </xf>
    <xf numFmtId="3" fontId="26" fillId="0" borderId="0" xfId="49" applyNumberFormat="1" applyFont="1" applyAlignment="1">
      <alignment horizontal="right" vertical="center"/>
    </xf>
    <xf numFmtId="184" fontId="10" fillId="0" borderId="16" xfId="50" applyNumberFormat="1" applyFont="1" applyFill="1" applyBorder="1" applyAlignment="1">
      <alignment horizontal="center" vertical="center"/>
    </xf>
    <xf numFmtId="0" fontId="10" fillId="0" borderId="13" xfId="49" applyFont="1" applyBorder="1" applyAlignment="1">
      <alignment horizontal="center" vertical="center"/>
    </xf>
    <xf numFmtId="3" fontId="27" fillId="0" borderId="0" xfId="49" applyNumberFormat="1" applyFont="1" applyAlignment="1">
      <alignment horizontal="right" vertical="center"/>
    </xf>
    <xf numFmtId="182" fontId="10" fillId="0" borderId="0" xfId="49" applyNumberFormat="1" applyFont="1" applyAlignment="1">
      <alignment horizontal="center" vertical="center"/>
    </xf>
    <xf numFmtId="0" fontId="28" fillId="0" borderId="0" xfId="49" applyFont="1" applyAlignment="1">
      <alignment vertical="center"/>
    </xf>
    <xf numFmtId="184" fontId="28" fillId="0" borderId="16" xfId="49" applyNumberFormat="1" applyFont="1" applyBorder="1" applyAlignment="1">
      <alignment horizontal="center" vertical="center"/>
    </xf>
    <xf numFmtId="3" fontId="8" fillId="0" borderId="0" xfId="49" applyNumberFormat="1" applyAlignment="1">
      <alignment horizontal="center" vertical="center"/>
    </xf>
    <xf numFmtId="182" fontId="28" fillId="0" borderId="15" xfId="49" applyNumberFormat="1" applyFont="1" applyBorder="1" applyAlignment="1">
      <alignment vertical="center"/>
    </xf>
    <xf numFmtId="182" fontId="10" fillId="0" borderId="13" xfId="49" applyNumberFormat="1" applyFont="1" applyBorder="1" applyAlignment="1">
      <alignment vertical="center"/>
    </xf>
    <xf numFmtId="3" fontId="29" fillId="0" borderId="0" xfId="49" applyNumberFormat="1" applyFont="1" applyAlignment="1">
      <alignment horizontal="right" vertical="center"/>
    </xf>
    <xf numFmtId="184" fontId="10" fillId="0" borderId="16" xfId="49" applyNumberFormat="1" applyFont="1" applyBorder="1" applyAlignment="1">
      <alignment horizontal="center" vertical="center"/>
    </xf>
    <xf numFmtId="184" fontId="30" fillId="0" borderId="4" xfId="50" applyNumberFormat="1" applyFont="1" applyFill="1" applyBorder="1" applyAlignment="1">
      <alignment horizontal="center" vertical="center"/>
    </xf>
    <xf numFmtId="185" fontId="10" fillId="0" borderId="20" xfId="49" applyNumberFormat="1" applyFont="1" applyBorder="1" applyAlignment="1">
      <alignment horizontal="center" vertical="center"/>
    </xf>
    <xf numFmtId="182" fontId="10" fillId="0" borderId="20" xfId="49" applyNumberFormat="1" applyFont="1" applyBorder="1" applyAlignment="1">
      <alignment horizontal="center" vertical="center"/>
    </xf>
    <xf numFmtId="182" fontId="10" fillId="0" borderId="20" xfId="49" applyNumberFormat="1" applyFont="1" applyBorder="1" applyAlignment="1">
      <alignment horizontal="justify" vertical="center"/>
    </xf>
    <xf numFmtId="186" fontId="10" fillId="0" borderId="20" xfId="49" applyNumberFormat="1" applyFont="1" applyBorder="1" applyAlignment="1">
      <alignment vertical="center"/>
    </xf>
    <xf numFmtId="182" fontId="28" fillId="0" borderId="0" xfId="49" applyNumberFormat="1" applyFont="1" applyAlignment="1">
      <alignment vertical="center"/>
    </xf>
    <xf numFmtId="183" fontId="28" fillId="0" borderId="15" xfId="50" applyNumberFormat="1" applyFont="1" applyFill="1" applyBorder="1" applyAlignment="1">
      <alignment horizontal="center" vertical="center"/>
    </xf>
    <xf numFmtId="183" fontId="28" fillId="0" borderId="16" xfId="50" applyNumberFormat="1" applyFont="1" applyFill="1" applyBorder="1" applyAlignment="1">
      <alignment horizontal="center" vertical="center"/>
    </xf>
    <xf numFmtId="182" fontId="28" fillId="0" borderId="13" xfId="49" applyNumberFormat="1" applyFont="1" applyBorder="1" applyAlignment="1">
      <alignment horizontal="center" vertical="center"/>
    </xf>
    <xf numFmtId="182" fontId="25" fillId="0" borderId="16" xfId="49" applyNumberFormat="1" applyFont="1" applyBorder="1" applyAlignment="1">
      <alignment vertical="center"/>
    </xf>
    <xf numFmtId="182" fontId="10" fillId="0" borderId="0" xfId="49" applyNumberFormat="1" applyFont="1" applyAlignment="1">
      <alignment horizontal="center" vertical="center" wrapText="1"/>
    </xf>
    <xf numFmtId="0" fontId="10" fillId="0" borderId="0" xfId="49" applyFont="1" applyAlignment="1">
      <alignment vertical="center"/>
    </xf>
    <xf numFmtId="183" fontId="10" fillId="0" borderId="14" xfId="50" applyNumberFormat="1" applyFont="1" applyFill="1" applyBorder="1" applyAlignment="1">
      <alignment horizontal="center" vertical="center"/>
    </xf>
    <xf numFmtId="3" fontId="10" fillId="0" borderId="14" xfId="49" applyNumberFormat="1" applyFont="1" applyBorder="1" applyAlignment="1">
      <alignment horizontal="center" vertical="center"/>
    </xf>
    <xf numFmtId="0" fontId="10" fillId="0" borderId="14" xfId="49" applyFont="1" applyBorder="1" applyAlignment="1">
      <alignment horizontal="center" vertical="center"/>
    </xf>
    <xf numFmtId="0" fontId="26" fillId="0" borderId="14" xfId="49" applyFont="1" applyBorder="1" applyAlignment="1">
      <alignment vertical="center"/>
    </xf>
    <xf numFmtId="183" fontId="26" fillId="0" borderId="0" xfId="50" applyNumberFormat="1" applyFont="1" applyFill="1" applyBorder="1" applyAlignment="1">
      <alignment horizontal="right" vertical="center"/>
    </xf>
    <xf numFmtId="0" fontId="28" fillId="0" borderId="0" xfId="49" applyFont="1" applyAlignment="1">
      <alignment horizontal="right" vertical="center"/>
    </xf>
    <xf numFmtId="183" fontId="27" fillId="0" borderId="0" xfId="50" applyNumberFormat="1" applyFont="1" applyFill="1" applyBorder="1" applyAlignment="1">
      <alignment horizontal="right" vertical="center"/>
    </xf>
    <xf numFmtId="182" fontId="28" fillId="0" borderId="0" xfId="49" applyNumberFormat="1" applyFont="1" applyAlignment="1">
      <alignment horizontal="right" vertical="center" wrapText="1"/>
    </xf>
    <xf numFmtId="184" fontId="10" fillId="0" borderId="21" xfId="50" applyNumberFormat="1" applyFont="1" applyFill="1" applyBorder="1" applyAlignment="1">
      <alignment horizontal="center" vertical="center"/>
    </xf>
    <xf numFmtId="184" fontId="30" fillId="0" borderId="6" xfId="50" applyNumberFormat="1" applyFont="1" applyFill="1" applyBorder="1" applyAlignment="1">
      <alignment horizontal="center" vertical="center"/>
    </xf>
    <xf numFmtId="185" fontId="30" fillId="0" borderId="21" xfId="49" applyNumberFormat="1" applyFont="1" applyBorder="1" applyAlignment="1">
      <alignment horizontal="center" vertical="center"/>
    </xf>
    <xf numFmtId="182" fontId="8" fillId="0" borderId="6" xfId="49" applyNumberFormat="1" applyBorder="1" applyAlignment="1">
      <alignment horizontal="center" vertical="center"/>
    </xf>
    <xf numFmtId="182" fontId="10" fillId="0" borderId="6" xfId="49" applyNumberFormat="1" applyFont="1" applyBorder="1" applyAlignment="1">
      <alignment horizontal="justify" vertical="center"/>
    </xf>
    <xf numFmtId="0" fontId="10" fillId="0" borderId="21" xfId="49" applyFont="1" applyBorder="1" applyAlignment="1">
      <alignment horizontal="center" vertical="center"/>
    </xf>
    <xf numFmtId="184" fontId="10" fillId="0" borderId="63" xfId="50" applyNumberFormat="1" applyFont="1" applyFill="1" applyBorder="1" applyAlignment="1">
      <alignment horizontal="center" vertical="center"/>
    </xf>
    <xf numFmtId="184" fontId="30" fillId="0" borderId="64" xfId="50" applyNumberFormat="1" applyFont="1" applyFill="1" applyBorder="1" applyAlignment="1">
      <alignment horizontal="center" vertical="center"/>
    </xf>
    <xf numFmtId="185" fontId="30" fillId="0" borderId="63" xfId="49" applyNumberFormat="1" applyFont="1" applyBorder="1" applyAlignment="1">
      <alignment horizontal="center" vertical="center"/>
    </xf>
    <xf numFmtId="182" fontId="8" fillId="0" borderId="64" xfId="49" applyNumberFormat="1" applyBorder="1" applyAlignment="1">
      <alignment horizontal="center" vertical="center"/>
    </xf>
    <xf numFmtId="182" fontId="10" fillId="0" borderId="63" xfId="49" applyNumberFormat="1" applyFont="1" applyBorder="1" applyAlignment="1">
      <alignment horizontal="justify" vertical="center"/>
    </xf>
    <xf numFmtId="0" fontId="10" fillId="0" borderId="63" xfId="49" applyFont="1" applyBorder="1" applyAlignment="1">
      <alignment horizontal="center" vertical="center"/>
    </xf>
    <xf numFmtId="185" fontId="30" fillId="0" borderId="64" xfId="49" applyNumberFormat="1" applyFont="1" applyBorder="1" applyAlignment="1">
      <alignment horizontal="center" vertical="center"/>
    </xf>
    <xf numFmtId="182" fontId="10" fillId="0" borderId="64" xfId="49" applyNumberFormat="1" applyFont="1" applyBorder="1" applyAlignment="1">
      <alignment horizontal="justify" vertical="center"/>
    </xf>
    <xf numFmtId="184" fontId="10" fillId="0" borderId="64" xfId="50" applyNumberFormat="1" applyFont="1" applyFill="1" applyBorder="1" applyAlignment="1">
      <alignment horizontal="center" vertical="center"/>
    </xf>
    <xf numFmtId="182" fontId="10" fillId="8" borderId="63" xfId="36" applyNumberFormat="1" applyFill="1" applyBorder="1" applyAlignment="1">
      <alignment horizontal="left" vertical="center" wrapText="1"/>
    </xf>
    <xf numFmtId="182" fontId="31" fillId="0" borderId="0" xfId="49" applyNumberFormat="1" applyFont="1" applyAlignment="1">
      <alignment vertical="center"/>
    </xf>
    <xf numFmtId="184" fontId="10" fillId="0" borderId="65" xfId="50" applyNumberFormat="1" applyFont="1" applyFill="1" applyBorder="1" applyAlignment="1">
      <alignment horizontal="center" vertical="center"/>
    </xf>
    <xf numFmtId="184" fontId="30" fillId="0" borderId="65" xfId="50" applyNumberFormat="1" applyFont="1" applyFill="1" applyBorder="1" applyAlignment="1">
      <alignment horizontal="center" vertical="center"/>
    </xf>
    <xf numFmtId="185" fontId="30" fillId="0" borderId="65" xfId="49" applyNumberFormat="1" applyFont="1" applyBorder="1" applyAlignment="1">
      <alignment horizontal="center" vertical="center"/>
    </xf>
    <xf numFmtId="182" fontId="8" fillId="0" borderId="65" xfId="49" applyNumberFormat="1" applyBorder="1" applyAlignment="1">
      <alignment horizontal="center" vertical="center"/>
    </xf>
    <xf numFmtId="182" fontId="10" fillId="0" borderId="65" xfId="49" applyNumberFormat="1" applyFont="1" applyBorder="1" applyAlignment="1">
      <alignment horizontal="justify" vertical="center"/>
    </xf>
    <xf numFmtId="0" fontId="10" fillId="0" borderId="66" xfId="49" applyFont="1" applyBorder="1" applyAlignment="1">
      <alignment horizontal="center" vertical="center"/>
    </xf>
    <xf numFmtId="183" fontId="28" fillId="0" borderId="13" xfId="50" applyNumberFormat="1" applyFont="1" applyFill="1" applyBorder="1" applyAlignment="1">
      <alignment horizontal="center" vertical="center"/>
    </xf>
    <xf numFmtId="3" fontId="10" fillId="0" borderId="16" xfId="50" applyNumberFormat="1" applyFont="1" applyFill="1" applyBorder="1" applyAlignment="1">
      <alignment horizontal="center" vertical="center"/>
    </xf>
    <xf numFmtId="185" fontId="30" fillId="0" borderId="4" xfId="49" applyNumberFormat="1" applyFont="1" applyBorder="1" applyAlignment="1">
      <alignment horizontal="center" vertical="center"/>
    </xf>
    <xf numFmtId="182" fontId="8" fillId="0" borderId="4" xfId="49" applyNumberFormat="1" applyBorder="1" applyAlignment="1">
      <alignment horizontal="center" vertical="center"/>
    </xf>
    <xf numFmtId="182" fontId="10" fillId="0" borderId="4" xfId="49" applyNumberFormat="1" applyFont="1" applyBorder="1" applyAlignment="1">
      <alignment horizontal="justify" vertical="center"/>
    </xf>
    <xf numFmtId="182" fontId="8" fillId="8" borderId="0" xfId="49" applyNumberFormat="1" applyFill="1" applyAlignment="1">
      <alignment vertical="center"/>
    </xf>
    <xf numFmtId="184" fontId="10" fillId="8" borderId="63" xfId="50" applyNumberFormat="1" applyFont="1" applyFill="1" applyBorder="1" applyAlignment="1">
      <alignment horizontal="center" vertical="center"/>
    </xf>
    <xf numFmtId="184" fontId="30" fillId="8" borderId="53" xfId="50" applyNumberFormat="1" applyFont="1" applyFill="1" applyBorder="1" applyAlignment="1">
      <alignment horizontal="center" vertical="center"/>
    </xf>
    <xf numFmtId="185" fontId="30" fillId="8" borderId="53" xfId="49" applyNumberFormat="1" applyFont="1" applyFill="1" applyBorder="1" applyAlignment="1">
      <alignment horizontal="center" vertical="center"/>
    </xf>
    <xf numFmtId="182" fontId="8" fillId="8" borderId="53" xfId="49" applyNumberFormat="1" applyFill="1" applyBorder="1" applyAlignment="1">
      <alignment horizontal="center" vertical="center"/>
    </xf>
    <xf numFmtId="182" fontId="10" fillId="8" borderId="53" xfId="49" applyNumberFormat="1" applyFont="1" applyFill="1" applyBorder="1" applyAlignment="1">
      <alignment horizontal="justify" vertical="center"/>
    </xf>
    <xf numFmtId="0" fontId="10" fillId="8" borderId="63" xfId="49" applyFont="1" applyFill="1" applyBorder="1" applyAlignment="1">
      <alignment horizontal="center" vertical="center"/>
    </xf>
    <xf numFmtId="184" fontId="10" fillId="8" borderId="67" xfId="50" applyNumberFormat="1" applyFont="1" applyFill="1" applyBorder="1" applyAlignment="1">
      <alignment horizontal="center" vertical="center"/>
    </xf>
    <xf numFmtId="184" fontId="30" fillId="8" borderId="50" xfId="50" applyNumberFormat="1" applyFont="1" applyFill="1" applyBorder="1" applyAlignment="1">
      <alignment horizontal="center" vertical="center"/>
    </xf>
    <xf numFmtId="185" fontId="30" fillId="8" borderId="50" xfId="49" applyNumberFormat="1" applyFont="1" applyFill="1" applyBorder="1" applyAlignment="1">
      <alignment horizontal="center" vertical="center"/>
    </xf>
    <xf numFmtId="182" fontId="8" fillId="8" borderId="50" xfId="49" applyNumberFormat="1" applyFill="1" applyBorder="1" applyAlignment="1">
      <alignment horizontal="center" vertical="center"/>
    </xf>
    <xf numFmtId="182" fontId="10" fillId="8" borderId="50" xfId="49" applyNumberFormat="1" applyFont="1" applyFill="1" applyBorder="1" applyAlignment="1">
      <alignment horizontal="justify" vertical="center"/>
    </xf>
    <xf numFmtId="0" fontId="10" fillId="8" borderId="67" xfId="49" applyFont="1" applyFill="1" applyBorder="1" applyAlignment="1">
      <alignment horizontal="center" vertical="center"/>
    </xf>
    <xf numFmtId="184" fontId="10" fillId="8" borderId="66" xfId="50" applyNumberFormat="1" applyFont="1" applyFill="1" applyBorder="1" applyAlignment="1">
      <alignment horizontal="center" vertical="center"/>
    </xf>
    <xf numFmtId="0" fontId="10" fillId="8" borderId="66" xfId="49" applyFont="1" applyFill="1" applyBorder="1" applyAlignment="1">
      <alignment horizontal="center" vertical="center"/>
    </xf>
    <xf numFmtId="184" fontId="28" fillId="0" borderId="16" xfId="50" applyNumberFormat="1" applyFont="1" applyFill="1" applyBorder="1" applyAlignment="1">
      <alignment horizontal="center" vertical="center"/>
    </xf>
    <xf numFmtId="184" fontId="10" fillId="0" borderId="50" xfId="50" applyNumberFormat="1" applyFont="1" applyFill="1" applyBorder="1" applyAlignment="1">
      <alignment horizontal="center" vertical="center"/>
    </xf>
    <xf numFmtId="1" fontId="10" fillId="0" borderId="50" xfId="49" applyNumberFormat="1" applyFont="1" applyBorder="1" applyAlignment="1">
      <alignment horizontal="center" vertical="center"/>
    </xf>
    <xf numFmtId="0" fontId="10" fillId="0" borderId="50" xfId="49" applyFont="1" applyBorder="1" applyAlignment="1">
      <alignment horizontal="center" vertical="center"/>
    </xf>
    <xf numFmtId="0" fontId="10" fillId="0" borderId="21" xfId="49" applyFont="1" applyBorder="1" applyAlignment="1">
      <alignment horizontal="justify" vertical="center" wrapText="1"/>
    </xf>
    <xf numFmtId="0" fontId="10" fillId="0" borderId="63" xfId="49" applyFont="1" applyBorder="1" applyAlignment="1">
      <alignment horizontal="justify" vertical="center" wrapText="1"/>
    </xf>
    <xf numFmtId="0" fontId="10" fillId="0" borderId="53" xfId="49" applyFont="1" applyBorder="1" applyAlignment="1">
      <alignment horizontal="center" vertical="center"/>
    </xf>
    <xf numFmtId="184" fontId="10" fillId="0" borderId="67" xfId="50" applyNumberFormat="1" applyFont="1" applyFill="1" applyBorder="1" applyAlignment="1">
      <alignment horizontal="center" vertical="center"/>
    </xf>
    <xf numFmtId="184" fontId="30" fillId="0" borderId="67" xfId="50" applyNumberFormat="1" applyFont="1" applyFill="1" applyBorder="1" applyAlignment="1">
      <alignment horizontal="center" vertical="center"/>
    </xf>
    <xf numFmtId="182" fontId="8" fillId="0" borderId="50" xfId="49" applyNumberFormat="1" applyBorder="1" applyAlignment="1">
      <alignment horizontal="center" vertical="center"/>
    </xf>
    <xf numFmtId="182" fontId="10" fillId="0" borderId="67" xfId="49" applyNumberFormat="1" applyFont="1" applyBorder="1" applyAlignment="1">
      <alignment horizontal="justify" vertical="center"/>
    </xf>
    <xf numFmtId="184" fontId="30" fillId="0" borderId="50" xfId="50" applyNumberFormat="1" applyFont="1" applyFill="1" applyBorder="1" applyAlignment="1">
      <alignment horizontal="center" vertical="center"/>
    </xf>
    <xf numFmtId="1" fontId="30" fillId="0" borderId="50" xfId="49" applyNumberFormat="1" applyFont="1" applyBorder="1" applyAlignment="1">
      <alignment horizontal="center" vertical="center"/>
    </xf>
    <xf numFmtId="182" fontId="10" fillId="8" borderId="66" xfId="36" applyNumberFormat="1" applyFill="1" applyBorder="1" applyAlignment="1">
      <alignment horizontal="left" vertical="center" wrapText="1"/>
    </xf>
    <xf numFmtId="182" fontId="10" fillId="8" borderId="4" xfId="36" applyNumberFormat="1" applyFill="1" applyBorder="1" applyAlignment="1">
      <alignment horizontal="left" vertical="center" wrapText="1"/>
    </xf>
    <xf numFmtId="182" fontId="10" fillId="0" borderId="66" xfId="49" applyNumberFormat="1" applyFont="1" applyBorder="1" applyAlignment="1">
      <alignment horizontal="justify" vertical="center"/>
    </xf>
    <xf numFmtId="182" fontId="8" fillId="0" borderId="67" xfId="49" applyNumberFormat="1" applyBorder="1" applyAlignment="1">
      <alignment horizontal="center" vertical="center"/>
    </xf>
    <xf numFmtId="0" fontId="10" fillId="0" borderId="44" xfId="49" applyFont="1" applyBorder="1" applyAlignment="1">
      <alignment horizontal="center" vertical="center"/>
    </xf>
    <xf numFmtId="184" fontId="30" fillId="0" borderId="53" xfId="50" applyNumberFormat="1" applyFont="1" applyFill="1" applyBorder="1" applyAlignment="1">
      <alignment horizontal="center" vertical="center"/>
    </xf>
    <xf numFmtId="1" fontId="30" fillId="0" borderId="53" xfId="49" applyNumberFormat="1" applyFont="1" applyBorder="1" applyAlignment="1">
      <alignment horizontal="center" vertical="center"/>
    </xf>
    <xf numFmtId="182" fontId="8" fillId="0" borderId="53" xfId="49" applyNumberFormat="1" applyBorder="1" applyAlignment="1">
      <alignment horizontal="center" vertical="center"/>
    </xf>
    <xf numFmtId="0" fontId="10" fillId="0" borderId="47" xfId="49" applyFont="1" applyBorder="1" applyAlignment="1">
      <alignment horizontal="center" vertical="center"/>
    </xf>
    <xf numFmtId="182" fontId="10" fillId="0" borderId="68" xfId="49" applyNumberFormat="1" applyFont="1" applyBorder="1" applyAlignment="1">
      <alignment horizontal="justify" vertical="center"/>
    </xf>
    <xf numFmtId="184" fontId="10" fillId="0" borderId="53" xfId="50" applyNumberFormat="1" applyFont="1" applyFill="1" applyBorder="1" applyAlignment="1">
      <alignment horizontal="center" vertical="center"/>
    </xf>
    <xf numFmtId="1" fontId="10" fillId="0" borderId="53" xfId="49" applyNumberFormat="1" applyFont="1" applyBorder="1" applyAlignment="1">
      <alignment horizontal="center" vertical="center"/>
    </xf>
    <xf numFmtId="3" fontId="10" fillId="0" borderId="0" xfId="49" applyNumberFormat="1" applyFont="1" applyAlignment="1">
      <alignment vertical="center"/>
    </xf>
    <xf numFmtId="0" fontId="10" fillId="0" borderId="67" xfId="49" applyFont="1" applyBorder="1" applyAlignment="1">
      <alignment horizontal="justify" vertical="center" wrapText="1"/>
    </xf>
    <xf numFmtId="184" fontId="10" fillId="0" borderId="66" xfId="50" applyNumberFormat="1" applyFont="1" applyFill="1" applyBorder="1" applyAlignment="1">
      <alignment horizontal="center" vertical="center"/>
    </xf>
    <xf numFmtId="184" fontId="10" fillId="0" borderId="44" xfId="50" applyNumberFormat="1" applyFont="1" applyFill="1" applyBorder="1" applyAlignment="1">
      <alignment horizontal="center" vertical="center"/>
    </xf>
    <xf numFmtId="184" fontId="10" fillId="0" borderId="53" xfId="49" applyNumberFormat="1" applyFont="1" applyBorder="1" applyAlignment="1">
      <alignment horizontal="center" vertical="center"/>
    </xf>
    <xf numFmtId="0" fontId="10" fillId="0" borderId="66" xfId="49" applyFont="1" applyBorder="1" applyAlignment="1">
      <alignment horizontal="justify" vertical="center" wrapText="1"/>
    </xf>
    <xf numFmtId="183" fontId="28" fillId="0" borderId="3" xfId="50" applyNumberFormat="1" applyFont="1" applyFill="1" applyBorder="1" applyAlignment="1">
      <alignment horizontal="center" vertical="center"/>
    </xf>
    <xf numFmtId="183" fontId="28" fillId="0" borderId="21" xfId="50" applyNumberFormat="1" applyFont="1" applyFill="1" applyBorder="1" applyAlignment="1">
      <alignment horizontal="center" vertical="center"/>
    </xf>
    <xf numFmtId="182" fontId="28" fillId="0" borderId="4" xfId="49" applyNumberFormat="1" applyFont="1" applyBorder="1" applyAlignment="1">
      <alignment horizontal="center" vertical="center"/>
    </xf>
    <xf numFmtId="182" fontId="28" fillId="0" borderId="69" xfId="49" applyNumberFormat="1" applyFont="1" applyBorder="1" applyAlignment="1">
      <alignment horizontal="center" vertical="center"/>
    </xf>
    <xf numFmtId="0" fontId="28" fillId="0" borderId="4" xfId="49" applyFont="1" applyBorder="1" applyAlignment="1">
      <alignment horizontal="center" vertical="center"/>
    </xf>
    <xf numFmtId="182" fontId="28" fillId="0" borderId="5" xfId="49" applyNumberFormat="1" applyFont="1" applyBorder="1" applyAlignment="1">
      <alignment horizontal="right" vertical="center" wrapText="1"/>
    </xf>
    <xf numFmtId="182" fontId="10" fillId="0" borderId="5" xfId="49" applyNumberFormat="1" applyFont="1" applyBorder="1" applyAlignment="1">
      <alignment horizontal="center" vertical="center"/>
    </xf>
    <xf numFmtId="184" fontId="27" fillId="0" borderId="6" xfId="50" applyNumberFormat="1" applyFont="1" applyFill="1" applyBorder="1" applyAlignment="1">
      <alignment horizontal="center" vertical="center"/>
    </xf>
    <xf numFmtId="182" fontId="10" fillId="0" borderId="13" xfId="49" applyNumberFormat="1" applyFont="1" applyBorder="1" applyAlignment="1">
      <alignment horizontal="center" vertical="center"/>
    </xf>
    <xf numFmtId="184" fontId="10" fillId="0" borderId="68" xfId="50" applyNumberFormat="1" applyFont="1" applyFill="1" applyBorder="1" applyAlignment="1">
      <alignment horizontal="center" vertical="center"/>
    </xf>
    <xf numFmtId="3" fontId="10" fillId="0" borderId="70" xfId="49" applyNumberFormat="1" applyFont="1" applyBorder="1" applyAlignment="1">
      <alignment horizontal="center" vertical="center"/>
    </xf>
    <xf numFmtId="0" fontId="10" fillId="0" borderId="64" xfId="49" applyFont="1" applyBorder="1" applyAlignment="1">
      <alignment horizontal="center" vertical="center"/>
    </xf>
    <xf numFmtId="182" fontId="10" fillId="0" borderId="63" xfId="49" applyNumberFormat="1" applyFont="1" applyBorder="1" applyAlignment="1">
      <alignment horizontal="center" vertical="center"/>
    </xf>
    <xf numFmtId="184" fontId="30" fillId="0" borderId="63" xfId="50" applyNumberFormat="1" applyFont="1" applyFill="1" applyBorder="1" applyAlignment="1">
      <alignment horizontal="center" vertical="center"/>
    </xf>
    <xf numFmtId="3" fontId="10" fillId="0" borderId="53" xfId="49" applyNumberFormat="1" applyFont="1" applyBorder="1" applyAlignment="1">
      <alignment horizontal="center" vertical="center"/>
    </xf>
    <xf numFmtId="169" fontId="10" fillId="0" borderId="53" xfId="49" applyNumberFormat="1" applyFont="1" applyBorder="1" applyAlignment="1">
      <alignment horizontal="center" vertical="center"/>
    </xf>
    <xf numFmtId="0" fontId="10" fillId="0" borderId="63" xfId="49" applyFont="1" applyBorder="1" applyAlignment="1">
      <alignment horizontal="justify" vertical="center"/>
    </xf>
    <xf numFmtId="182" fontId="8" fillId="0" borderId="63" xfId="49" applyNumberFormat="1" applyBorder="1" applyAlignment="1">
      <alignment vertical="center"/>
    </xf>
    <xf numFmtId="183" fontId="28" fillId="0" borderId="66" xfId="50" applyNumberFormat="1" applyFont="1" applyFill="1" applyBorder="1" applyAlignment="1">
      <alignment horizontal="center" vertical="center"/>
    </xf>
    <xf numFmtId="182" fontId="28" fillId="0" borderId="66" xfId="49" applyNumberFormat="1" applyFont="1" applyBorder="1" applyAlignment="1">
      <alignment horizontal="center" vertical="center"/>
    </xf>
    <xf numFmtId="182" fontId="28" fillId="0" borderId="44" xfId="49" applyNumberFormat="1" applyFont="1" applyBorder="1" applyAlignment="1">
      <alignment horizontal="center" vertical="center"/>
    </xf>
    <xf numFmtId="182" fontId="26" fillId="0" borderId="8" xfId="49" applyNumberFormat="1" applyFont="1" applyBorder="1" applyAlignment="1">
      <alignment horizontal="center" vertical="center"/>
    </xf>
    <xf numFmtId="182" fontId="26" fillId="0" borderId="0" xfId="49" applyNumberFormat="1" applyFont="1" applyAlignment="1">
      <alignment horizontal="center" vertical="center"/>
    </xf>
    <xf numFmtId="182" fontId="26" fillId="0" borderId="7" xfId="49" applyNumberFormat="1" applyFont="1" applyBorder="1" applyAlignment="1">
      <alignment horizontal="center" vertical="center"/>
    </xf>
    <xf numFmtId="182" fontId="33" fillId="0" borderId="13" xfId="49" applyNumberFormat="1" applyFont="1" applyBorder="1" applyAlignment="1">
      <alignment horizontal="center" vertical="center" wrapText="1"/>
    </xf>
    <xf numFmtId="0" fontId="34" fillId="0" borderId="0" xfId="0" applyFont="1" applyAlignment="1">
      <alignment vertical="center"/>
    </xf>
    <xf numFmtId="3" fontId="34" fillId="0" borderId="0" xfId="0" applyNumberFormat="1" applyFont="1" applyAlignment="1">
      <alignment horizontal="center" vertical="center"/>
    </xf>
    <xf numFmtId="0" fontId="34" fillId="0" borderId="0" xfId="0" applyFont="1" applyAlignment="1">
      <alignment horizontal="center" vertical="center"/>
    </xf>
    <xf numFmtId="0" fontId="35" fillId="0" borderId="0" xfId="0" applyFont="1" applyAlignment="1">
      <alignment horizontal="left" vertical="center"/>
    </xf>
    <xf numFmtId="0" fontId="10" fillId="0" borderId="0" xfId="0" applyFont="1" applyAlignment="1">
      <alignment wrapText="1"/>
    </xf>
    <xf numFmtId="3" fontId="10" fillId="0" borderId="0" xfId="0" applyNumberFormat="1" applyFont="1" applyAlignment="1">
      <alignment wrapText="1"/>
    </xf>
    <xf numFmtId="0" fontId="10" fillId="0" borderId="0" xfId="0" applyFont="1" applyAlignment="1">
      <alignment vertical="center" wrapText="1"/>
    </xf>
    <xf numFmtId="3" fontId="10" fillId="0" borderId="0" xfId="0" applyNumberFormat="1" applyFont="1" applyAlignment="1">
      <alignment vertical="center" wrapText="1"/>
    </xf>
    <xf numFmtId="0" fontId="34" fillId="0" borderId="0" xfId="0" applyFont="1" applyAlignment="1">
      <alignment vertical="center" wrapText="1"/>
    </xf>
    <xf numFmtId="187" fontId="35" fillId="0" borderId="0" xfId="0" applyNumberFormat="1" applyFont="1" applyAlignment="1">
      <alignment horizontal="center" vertical="center" wrapText="1"/>
    </xf>
    <xf numFmtId="0" fontId="35" fillId="0" borderId="0" xfId="0" applyFont="1" applyAlignment="1">
      <alignment horizontal="left" vertical="center" wrapText="1"/>
    </xf>
    <xf numFmtId="3" fontId="35" fillId="0" borderId="0" xfId="0" quotePrefix="1" applyNumberFormat="1" applyFont="1" applyAlignment="1">
      <alignment horizontal="center" vertical="center" wrapText="1"/>
    </xf>
    <xf numFmtId="0" fontId="35" fillId="0" borderId="0" xfId="0" applyFont="1" applyAlignment="1">
      <alignment horizontal="center" vertical="center" wrapText="1"/>
    </xf>
    <xf numFmtId="184" fontId="35" fillId="0" borderId="0" xfId="0" applyNumberFormat="1" applyFont="1" applyAlignment="1">
      <alignment horizontal="right" vertical="center" wrapText="1"/>
    </xf>
    <xf numFmtId="3" fontId="35" fillId="0" borderId="0" xfId="0" applyNumberFormat="1" applyFont="1" applyAlignment="1">
      <alignment horizontal="center" vertical="center" wrapText="1"/>
    </xf>
    <xf numFmtId="0" fontId="34" fillId="0" borderId="0" xfId="0" applyFont="1" applyAlignment="1">
      <alignment horizontal="center" vertical="center" wrapText="1"/>
    </xf>
    <xf numFmtId="0" fontId="34" fillId="0" borderId="25" xfId="0" applyFont="1" applyBorder="1" applyAlignment="1">
      <alignment horizontal="right" vertical="center" wrapText="1"/>
    </xf>
    <xf numFmtId="173" fontId="35" fillId="0" borderId="25" xfId="0" applyNumberFormat="1" applyFont="1" applyBorder="1" applyAlignment="1">
      <alignment horizontal="right" vertical="center" wrapText="1"/>
    </xf>
    <xf numFmtId="173" fontId="34" fillId="0" borderId="25" xfId="0" applyNumberFormat="1" applyFont="1" applyBorder="1" applyAlignment="1">
      <alignment horizontal="right" vertical="center" wrapText="1"/>
    </xf>
    <xf numFmtId="3" fontId="34" fillId="0" borderId="25" xfId="0" applyNumberFormat="1" applyFont="1" applyBorder="1" applyAlignment="1">
      <alignment horizontal="right" vertical="center" wrapText="1"/>
    </xf>
    <xf numFmtId="0" fontId="37" fillId="0" borderId="0" xfId="0" applyFont="1"/>
    <xf numFmtId="0" fontId="40" fillId="8" borderId="25" xfId="0" applyFont="1" applyFill="1" applyBorder="1" applyAlignment="1">
      <alignment horizontal="center" vertical="center"/>
    </xf>
    <xf numFmtId="0" fontId="35" fillId="0" borderId="25" xfId="0" applyFont="1" applyBorder="1" applyAlignment="1">
      <alignment horizontal="right" vertical="center" wrapText="1"/>
    </xf>
    <xf numFmtId="3" fontId="34" fillId="0" borderId="25" xfId="0" applyNumberFormat="1" applyFont="1" applyBorder="1" applyAlignment="1">
      <alignment horizontal="center" vertical="center" wrapText="1"/>
    </xf>
    <xf numFmtId="0" fontId="10" fillId="0" borderId="25" xfId="0" applyFont="1" applyBorder="1" applyAlignment="1">
      <alignment vertical="top" wrapText="1"/>
    </xf>
    <xf numFmtId="0" fontId="35" fillId="0" borderId="25" xfId="0" applyFont="1" applyBorder="1" applyAlignment="1">
      <alignment horizontal="left" vertical="center" wrapText="1"/>
    </xf>
    <xf numFmtId="0" fontId="37" fillId="8" borderId="25" xfId="0" applyFont="1" applyFill="1" applyBorder="1" applyAlignment="1">
      <alignment horizontal="center" vertical="center"/>
    </xf>
    <xf numFmtId="3" fontId="40" fillId="0" borderId="25" xfId="0" applyNumberFormat="1" applyFont="1" applyBorder="1" applyAlignment="1">
      <alignment horizontal="center"/>
    </xf>
    <xf numFmtId="0" fontId="40" fillId="0" borderId="25" xfId="0" applyFont="1" applyBorder="1" applyAlignment="1">
      <alignment horizontal="center"/>
    </xf>
    <xf numFmtId="0" fontId="40" fillId="0" borderId="25" xfId="0" applyFont="1" applyBorder="1"/>
    <xf numFmtId="0" fontId="40" fillId="0" borderId="25" xfId="0" applyFont="1" applyBorder="1" applyAlignment="1">
      <alignment horizontal="center" vertical="center"/>
    </xf>
    <xf numFmtId="173" fontId="34" fillId="0" borderId="25" xfId="0" applyNumberFormat="1" applyFont="1" applyBorder="1" applyAlignment="1">
      <alignment vertical="center"/>
    </xf>
    <xf numFmtId="3" fontId="40" fillId="8" borderId="25" xfId="0" applyNumberFormat="1" applyFont="1" applyFill="1" applyBorder="1" applyAlignment="1">
      <alignment horizontal="center"/>
    </xf>
    <xf numFmtId="0" fontId="40" fillId="8" borderId="25" xfId="0" applyFont="1" applyFill="1" applyBorder="1" applyAlignment="1">
      <alignment horizontal="left" vertical="center"/>
    </xf>
    <xf numFmtId="0" fontId="35" fillId="0" borderId="25" xfId="0" applyFont="1" applyBorder="1" applyAlignment="1">
      <alignment horizontal="center" vertical="center" wrapText="1"/>
    </xf>
    <xf numFmtId="3" fontId="35" fillId="0" borderId="25" xfId="0" applyNumberFormat="1" applyFont="1" applyBorder="1" applyAlignment="1">
      <alignment horizontal="center" vertical="center" wrapText="1"/>
    </xf>
    <xf numFmtId="4" fontId="43" fillId="0" borderId="71" xfId="0" applyNumberFormat="1" applyFont="1" applyBorder="1" applyAlignment="1">
      <alignment vertical="center" wrapText="1"/>
    </xf>
    <xf numFmtId="4" fontId="43" fillId="0" borderId="72" xfId="0" applyNumberFormat="1" applyFont="1" applyBorder="1" applyAlignment="1">
      <alignment vertical="center" wrapText="1"/>
    </xf>
    <xf numFmtId="3" fontId="43" fillId="0" borderId="72" xfId="0" applyNumberFormat="1" applyFont="1" applyBorder="1" applyAlignment="1">
      <alignment vertical="center" wrapText="1"/>
    </xf>
    <xf numFmtId="4" fontId="28" fillId="0" borderId="0" xfId="0" applyNumberFormat="1" applyFont="1" applyAlignment="1">
      <alignment vertical="justify" wrapText="1"/>
    </xf>
    <xf numFmtId="0" fontId="28" fillId="0" borderId="0" xfId="0" applyFont="1" applyAlignment="1">
      <alignment vertical="center"/>
    </xf>
    <xf numFmtId="0" fontId="28" fillId="0" borderId="0" xfId="0" applyFont="1" applyAlignment="1">
      <alignment horizontal="left" vertical="center"/>
    </xf>
    <xf numFmtId="166" fontId="19" fillId="6" borderId="25" xfId="48" applyFont="1" applyFill="1" applyBorder="1"/>
    <xf numFmtId="0" fontId="19" fillId="0" borderId="35" xfId="0" applyFont="1" applyBorder="1" applyAlignment="1">
      <alignment horizontal="center" vertical="center"/>
    </xf>
    <xf numFmtId="2" fontId="19" fillId="0" borderId="35" xfId="0" applyNumberFormat="1" applyFont="1" applyBorder="1" applyAlignment="1">
      <alignment horizontal="center" vertical="center"/>
    </xf>
    <xf numFmtId="165" fontId="19" fillId="0" borderId="30" xfId="0" applyNumberFormat="1" applyFont="1" applyBorder="1" applyAlignment="1">
      <alignment horizontal="center" vertical="center"/>
    </xf>
    <xf numFmtId="3" fontId="19" fillId="0" borderId="26" xfId="0" applyNumberFormat="1" applyFont="1" applyBorder="1" applyAlignment="1">
      <alignment horizontal="center" wrapText="1"/>
    </xf>
    <xf numFmtId="2" fontId="19" fillId="0" borderId="26" xfId="0" applyNumberFormat="1" applyFont="1" applyBorder="1" applyAlignment="1">
      <alignment horizontal="center"/>
    </xf>
    <xf numFmtId="165" fontId="19" fillId="0" borderId="41" xfId="0" applyNumberFormat="1" applyFont="1" applyBorder="1" applyAlignment="1">
      <alignment horizontal="center" vertical="center"/>
    </xf>
    <xf numFmtId="0" fontId="20" fillId="0" borderId="52" xfId="0" applyFont="1" applyBorder="1" applyAlignment="1">
      <alignment horizontal="center" vertical="center" wrapText="1"/>
    </xf>
    <xf numFmtId="0" fontId="20" fillId="0" borderId="42" xfId="0" applyFont="1" applyBorder="1" applyAlignment="1">
      <alignment vertical="center"/>
    </xf>
    <xf numFmtId="173" fontId="19" fillId="0" borderId="30" xfId="0" applyNumberFormat="1" applyFont="1" applyBorder="1" applyAlignment="1">
      <alignment horizontal="right" vertical="center" wrapText="1"/>
    </xf>
    <xf numFmtId="173" fontId="19" fillId="0" borderId="60" xfId="0" applyNumberFormat="1" applyFont="1" applyBorder="1" applyAlignment="1">
      <alignment horizontal="right" vertical="center" wrapText="1"/>
    </xf>
    <xf numFmtId="173" fontId="19" fillId="0" borderId="33" xfId="0" applyNumberFormat="1" applyFont="1" applyBorder="1" applyAlignment="1">
      <alignment horizontal="right" vertical="center" wrapText="1"/>
    </xf>
    <xf numFmtId="173" fontId="19" fillId="0" borderId="43" xfId="0" applyNumberFormat="1" applyFont="1" applyBorder="1"/>
    <xf numFmtId="173" fontId="13" fillId="0" borderId="0" xfId="0" applyNumberFormat="1" applyFont="1"/>
    <xf numFmtId="174" fontId="13" fillId="0" borderId="0" xfId="0" applyNumberFormat="1" applyFont="1"/>
    <xf numFmtId="175" fontId="13" fillId="0" borderId="0" xfId="0" applyNumberFormat="1" applyFont="1" applyAlignment="1">
      <alignment vertical="center"/>
    </xf>
    <xf numFmtId="0" fontId="20" fillId="0" borderId="52" xfId="0" applyFont="1" applyBorder="1" applyAlignment="1">
      <alignment horizontal="center" vertical="center"/>
    </xf>
    <xf numFmtId="0" fontId="20" fillId="0" borderId="0" xfId="0" applyFont="1" applyAlignment="1">
      <alignment horizontal="right"/>
    </xf>
    <xf numFmtId="174" fontId="20" fillId="0" borderId="0" xfId="0" applyNumberFormat="1" applyFont="1"/>
    <xf numFmtId="173" fontId="19" fillId="0" borderId="60" xfId="0" applyNumberFormat="1" applyFont="1" applyBorder="1"/>
    <xf numFmtId="166" fontId="13" fillId="0" borderId="0" xfId="48" applyFont="1"/>
    <xf numFmtId="12" fontId="19" fillId="6" borderId="25" xfId="12" applyNumberFormat="1" applyFont="1" applyFill="1" applyBorder="1"/>
    <xf numFmtId="0" fontId="37" fillId="8" borderId="25" xfId="0" applyFont="1" applyFill="1" applyBorder="1"/>
    <xf numFmtId="0" fontId="37" fillId="0" borderId="25" xfId="0" applyFont="1" applyBorder="1"/>
    <xf numFmtId="9" fontId="37" fillId="0" borderId="25" xfId="0" applyNumberFormat="1" applyFont="1" applyBorder="1" applyAlignment="1">
      <alignment horizontal="center" vertical="center"/>
    </xf>
    <xf numFmtId="49" fontId="45" fillId="0" borderId="0" xfId="0" applyNumberFormat="1" applyFont="1" applyAlignment="1">
      <alignment wrapText="1"/>
    </xf>
    <xf numFmtId="0" fontId="28" fillId="0" borderId="0" xfId="0" applyFont="1" applyAlignment="1">
      <alignment wrapText="1"/>
    </xf>
    <xf numFmtId="188" fontId="45" fillId="0" borderId="0" xfId="51" applyFont="1" applyFill="1" applyBorder="1" applyAlignment="1">
      <alignment horizontal="center"/>
    </xf>
    <xf numFmtId="0" fontId="10" fillId="0" borderId="0" xfId="52" applyNumberFormat="1" applyFont="1" applyFill="1" applyBorder="1"/>
    <xf numFmtId="188" fontId="26" fillId="0" borderId="0" xfId="51" applyFont="1" applyFill="1" applyBorder="1" applyAlignment="1"/>
    <xf numFmtId="188" fontId="10" fillId="0" borderId="0" xfId="51" applyFont="1" applyFill="1" applyBorder="1" applyAlignment="1">
      <alignment horizontal="right"/>
    </xf>
    <xf numFmtId="0" fontId="28" fillId="0" borderId="0" xfId="51" applyNumberFormat="1" applyFont="1" applyFill="1" applyBorder="1" applyAlignment="1">
      <alignment horizontal="centerContinuous"/>
    </xf>
    <xf numFmtId="164" fontId="10" fillId="0" borderId="0" xfId="51" applyNumberFormat="1" applyFont="1" applyFill="1" applyBorder="1" applyAlignment="1">
      <alignment horizontal="left"/>
    </xf>
    <xf numFmtId="0" fontId="47" fillId="0" borderId="0" xfId="0" applyFont="1" applyAlignment="1">
      <alignment vertical="center" wrapText="1"/>
    </xf>
    <xf numFmtId="188" fontId="10" fillId="0" borderId="0" xfId="51" applyFill="1" applyBorder="1"/>
    <xf numFmtId="188" fontId="10" fillId="0" borderId="0" xfId="51" applyFill="1" applyBorder="1" applyAlignment="1">
      <alignment horizontal="center"/>
    </xf>
    <xf numFmtId="188" fontId="10" fillId="0" borderId="0" xfId="51" applyFont="1" applyFill="1" applyBorder="1" applyAlignment="1">
      <alignment horizontal="center"/>
    </xf>
    <xf numFmtId="0" fontId="48" fillId="0" borderId="0" xfId="58" applyFill="1" applyBorder="1" applyAlignment="1" applyProtection="1"/>
    <xf numFmtId="188" fontId="10" fillId="0" borderId="0" xfId="51" applyFont="1" applyFill="1" applyBorder="1" applyAlignment="1"/>
    <xf numFmtId="0" fontId="10" fillId="0" borderId="0" xfId="51" applyNumberFormat="1" applyFont="1" applyFill="1" applyBorder="1" applyAlignment="1">
      <alignment horizontal="center" vertical="top"/>
    </xf>
    <xf numFmtId="49" fontId="10" fillId="0" borderId="0" xfId="51" applyNumberFormat="1" applyFont="1" applyFill="1" applyBorder="1" applyAlignment="1">
      <alignment vertical="top" wrapText="1"/>
    </xf>
    <xf numFmtId="0" fontId="10" fillId="0" borderId="0" xfId="51" applyNumberFormat="1" applyFont="1" applyFill="1" applyBorder="1" applyAlignment="1">
      <alignment horizontal="left" vertical="top" wrapText="1"/>
    </xf>
    <xf numFmtId="49" fontId="10" fillId="0" borderId="0" xfId="51" applyNumberFormat="1" applyFont="1" applyFill="1" applyBorder="1" applyAlignment="1">
      <alignment horizontal="left" vertical="top" wrapText="1"/>
    </xf>
    <xf numFmtId="188" fontId="28" fillId="0" borderId="0" xfId="51" applyFont="1" applyFill="1" applyBorder="1"/>
    <xf numFmtId="188" fontId="45" fillId="0" borderId="0" xfId="51" applyFont="1" applyFill="1" applyBorder="1"/>
    <xf numFmtId="192" fontId="10" fillId="0" borderId="0" xfId="51" applyNumberFormat="1" applyFill="1" applyBorder="1"/>
    <xf numFmtId="188" fontId="10" fillId="0" borderId="0" xfId="51" applyFont="1" applyFill="1" applyBorder="1"/>
    <xf numFmtId="190" fontId="10" fillId="0" borderId="0" xfId="53" quotePrefix="1" applyNumberFormat="1" applyFont="1" applyFill="1" applyBorder="1"/>
    <xf numFmtId="190" fontId="28" fillId="0" borderId="0" xfId="53" applyNumberFormat="1" applyFont="1" applyFill="1" applyBorder="1"/>
    <xf numFmtId="4" fontId="42" fillId="0" borderId="0" xfId="54" applyNumberFormat="1" applyFont="1" applyAlignment="1">
      <alignment horizontal="center" vertical="center"/>
    </xf>
    <xf numFmtId="189" fontId="10" fillId="0" borderId="0" xfId="51" applyNumberFormat="1" applyFont="1" applyFill="1" applyBorder="1" applyAlignment="1">
      <alignment horizontal="right"/>
    </xf>
    <xf numFmtId="189" fontId="10" fillId="0" borderId="0" xfId="51" applyNumberFormat="1" applyFont="1" applyFill="1" applyBorder="1"/>
    <xf numFmtId="0" fontId="10" fillId="0" borderId="0" xfId="54" applyAlignment="1">
      <alignment vertical="center"/>
    </xf>
    <xf numFmtId="188" fontId="10" fillId="0" borderId="0" xfId="51" applyFont="1" applyFill="1" applyBorder="1" applyAlignment="1">
      <alignment shrinkToFit="1"/>
    </xf>
    <xf numFmtId="189" fontId="10" fillId="0" borderId="0" xfId="51" applyNumberFormat="1" applyFill="1" applyBorder="1"/>
    <xf numFmtId="0" fontId="46" fillId="0" borderId="0" xfId="0" applyFont="1" applyAlignment="1">
      <alignment horizontal="center"/>
    </xf>
    <xf numFmtId="191" fontId="46" fillId="0" borderId="0" xfId="57" applyNumberFormat="1" applyFont="1" applyFill="1" applyBorder="1" applyAlignment="1">
      <alignment horizontal="center"/>
    </xf>
    <xf numFmtId="0" fontId="45" fillId="0" borderId="0" xfId="0" applyFont="1" applyAlignment="1">
      <alignment horizontal="center"/>
    </xf>
    <xf numFmtId="191" fontId="45" fillId="0" borderId="0" xfId="57" applyNumberFormat="1" applyFont="1" applyFill="1" applyBorder="1" applyAlignment="1">
      <alignment horizontal="center"/>
    </xf>
    <xf numFmtId="192" fontId="0" fillId="0" borderId="0" xfId="0" applyNumberFormat="1"/>
    <xf numFmtId="193" fontId="0" fillId="0" borderId="0" xfId="0" applyNumberFormat="1" applyAlignment="1">
      <alignment horizontal="center"/>
    </xf>
    <xf numFmtId="9" fontId="0" fillId="0" borderId="0" xfId="57" applyNumberFormat="1" applyFont="1" applyFill="1" applyBorder="1" applyAlignment="1">
      <alignment horizontal="center"/>
    </xf>
    <xf numFmtId="4" fontId="0" fillId="0" borderId="0" xfId="0" applyNumberFormat="1"/>
    <xf numFmtId="9" fontId="10" fillId="0" borderId="0" xfId="57" applyNumberFormat="1" applyFont="1" applyFill="1" applyBorder="1" applyAlignment="1">
      <alignment horizontal="center"/>
    </xf>
    <xf numFmtId="189" fontId="10" fillId="0" borderId="0" xfId="51" applyNumberFormat="1" applyFont="1" applyFill="1" applyBorder="1" applyAlignment="1">
      <alignment horizontal="center"/>
    </xf>
    <xf numFmtId="191" fontId="10" fillId="0" borderId="0" xfId="57" applyNumberFormat="1" applyFont="1" applyFill="1" applyBorder="1"/>
    <xf numFmtId="191" fontId="46" fillId="0" borderId="0" xfId="57" applyNumberFormat="1" applyFont="1" applyFill="1" applyBorder="1"/>
    <xf numFmtId="190" fontId="28" fillId="0" borderId="0" xfId="51" applyNumberFormat="1" applyFont="1" applyFill="1" applyBorder="1"/>
    <xf numFmtId="188" fontId="45" fillId="0" borderId="0" xfId="51" applyFont="1" applyFill="1" applyBorder="1" applyAlignment="1"/>
    <xf numFmtId="0" fontId="10" fillId="0" borderId="0" xfId="51" applyNumberFormat="1" applyFill="1" applyBorder="1" applyAlignment="1">
      <alignment horizontal="center"/>
    </xf>
    <xf numFmtId="189" fontId="10" fillId="0" borderId="0" xfId="51" applyNumberFormat="1" applyFill="1" applyBorder="1" applyAlignment="1">
      <alignment horizontal="center"/>
    </xf>
    <xf numFmtId="188" fontId="44" fillId="0" borderId="0" xfId="51" applyFont="1" applyFill="1" applyBorder="1"/>
    <xf numFmtId="188" fontId="28" fillId="0" borderId="0" xfId="51" applyFont="1" applyFill="1" applyBorder="1" applyAlignment="1">
      <alignment horizontal="center"/>
    </xf>
    <xf numFmtId="188" fontId="28" fillId="0" borderId="0" xfId="51" applyFont="1" applyFill="1" applyBorder="1" applyAlignment="1">
      <alignment horizontal="centerContinuous"/>
    </xf>
    <xf numFmtId="189" fontId="28" fillId="0" borderId="0" xfId="51" applyNumberFormat="1" applyFont="1" applyFill="1" applyBorder="1"/>
    <xf numFmtId="4" fontId="42" fillId="0" borderId="0" xfId="55" applyNumberFormat="1" applyFont="1" applyAlignment="1">
      <alignment horizontal="center" vertical="center"/>
    </xf>
    <xf numFmtId="0" fontId="10" fillId="0" borderId="0" xfId="55" applyAlignment="1">
      <alignment horizontal="left" vertical="center" wrapText="1"/>
    </xf>
    <xf numFmtId="0" fontId="10" fillId="0" borderId="0" xfId="55" applyAlignment="1">
      <alignment vertical="center"/>
    </xf>
    <xf numFmtId="4" fontId="0" fillId="0" borderId="0" xfId="0" applyNumberFormat="1" applyAlignment="1">
      <alignment horizontal="center"/>
    </xf>
    <xf numFmtId="4" fontId="42" fillId="0" borderId="0" xfId="56" applyNumberFormat="1" applyFont="1" applyAlignment="1">
      <alignment horizontal="center"/>
    </xf>
    <xf numFmtId="4" fontId="42" fillId="0" borderId="0" xfId="56" applyNumberFormat="1" applyFont="1" applyAlignment="1">
      <alignment horizontal="center" vertical="center"/>
    </xf>
    <xf numFmtId="0" fontId="37" fillId="0" borderId="0" xfId="0" applyFont="1" applyAlignment="1">
      <alignment horizontal="center" vertical="center"/>
    </xf>
    <xf numFmtId="0" fontId="28" fillId="0" borderId="0" xfId="51" applyNumberFormat="1" applyFont="1" applyFill="1" applyBorder="1" applyAlignment="1">
      <alignment horizontal="center"/>
    </xf>
    <xf numFmtId="4" fontId="42" fillId="0" borderId="0" xfId="55" applyNumberFormat="1" applyFont="1" applyAlignment="1">
      <alignment horizontal="center"/>
    </xf>
    <xf numFmtId="0" fontId="15" fillId="7" borderId="14" xfId="0" applyFont="1" applyFill="1" applyBorder="1" applyAlignment="1">
      <alignment horizontal="center" vertical="center"/>
    </xf>
    <xf numFmtId="0" fontId="15" fillId="0" borderId="14" xfId="0" applyFont="1" applyBorder="1" applyAlignment="1">
      <alignment horizontal="center" vertical="center"/>
    </xf>
    <xf numFmtId="172" fontId="13" fillId="0" borderId="0" xfId="0" applyNumberFormat="1" applyFont="1" applyAlignment="1">
      <alignment vertical="center"/>
    </xf>
    <xf numFmtId="0" fontId="13" fillId="9" borderId="13" xfId="0" applyFont="1" applyFill="1" applyBorder="1" applyAlignment="1">
      <alignment vertical="center"/>
    </xf>
    <xf numFmtId="0" fontId="15" fillId="9" borderId="14" xfId="0" applyFont="1" applyFill="1" applyBorder="1" applyAlignment="1">
      <alignment horizontal="center" vertical="center"/>
    </xf>
    <xf numFmtId="169" fontId="13" fillId="9" borderId="14" xfId="0" applyNumberFormat="1" applyFont="1" applyFill="1" applyBorder="1" applyAlignment="1">
      <alignment horizontal="center" vertical="center"/>
    </xf>
    <xf numFmtId="0" fontId="15" fillId="9" borderId="14" xfId="0" applyFont="1" applyFill="1" applyBorder="1" applyAlignment="1">
      <alignment horizontal="left" vertical="center"/>
    </xf>
    <xf numFmtId="0" fontId="13" fillId="9" borderId="14" xfId="0" applyFont="1" applyFill="1" applyBorder="1" applyAlignment="1">
      <alignment horizontal="center" vertical="center"/>
    </xf>
    <xf numFmtId="172" fontId="13" fillId="9" borderId="15" xfId="6" applyNumberFormat="1" applyFont="1" applyFill="1" applyBorder="1" applyAlignment="1">
      <alignment horizontal="right" vertical="center"/>
    </xf>
    <xf numFmtId="0" fontId="13" fillId="3" borderId="14" xfId="0" applyFont="1" applyFill="1" applyBorder="1" applyAlignment="1">
      <alignment horizontal="center" vertical="center"/>
    </xf>
    <xf numFmtId="0" fontId="13" fillId="0" borderId="66" xfId="0" applyFont="1" applyBorder="1" applyAlignment="1">
      <alignment vertical="center"/>
    </xf>
    <xf numFmtId="0" fontId="13" fillId="0" borderId="66" xfId="0" applyFont="1" applyBorder="1" applyAlignment="1">
      <alignment horizontal="center" vertical="center"/>
    </xf>
    <xf numFmtId="0" fontId="13" fillId="0" borderId="66" xfId="0" applyFont="1" applyBorder="1" applyAlignment="1">
      <alignment horizontal="justify" vertical="center" wrapText="1"/>
    </xf>
    <xf numFmtId="0" fontId="13" fillId="0" borderId="66" xfId="0" applyFont="1" applyBorder="1" applyAlignment="1">
      <alignment horizontal="center" vertical="center" wrapText="1"/>
    </xf>
    <xf numFmtId="169" fontId="13" fillId="0" borderId="66" xfId="13" applyNumberFormat="1" applyFont="1" applyFill="1" applyBorder="1" applyAlignment="1">
      <alignment horizontal="right" vertical="center"/>
    </xf>
    <xf numFmtId="172" fontId="13" fillId="0" borderId="66" xfId="6" applyNumberFormat="1" applyFont="1" applyFill="1" applyBorder="1" applyAlignment="1">
      <alignment horizontal="right" vertical="center"/>
    </xf>
    <xf numFmtId="0" fontId="13" fillId="0" borderId="68" xfId="0" applyFont="1" applyBorder="1" applyAlignment="1">
      <alignment vertical="center"/>
    </xf>
    <xf numFmtId="0" fontId="13" fillId="0" borderId="68" xfId="0" applyFont="1" applyBorder="1" applyAlignment="1">
      <alignment horizontal="center" vertical="center"/>
    </xf>
    <xf numFmtId="172" fontId="13" fillId="0" borderId="68" xfId="6" applyNumberFormat="1" applyFont="1" applyFill="1" applyBorder="1" applyAlignment="1">
      <alignment horizontal="right" vertical="center"/>
    </xf>
    <xf numFmtId="169" fontId="13" fillId="0" borderId="66" xfId="0" applyNumberFormat="1" applyFont="1" applyBorder="1" applyAlignment="1">
      <alignment horizontal="center" vertical="center"/>
    </xf>
    <xf numFmtId="0" fontId="13" fillId="0" borderId="63" xfId="0" applyFont="1" applyBorder="1" applyAlignment="1">
      <alignment vertical="center"/>
    </xf>
    <xf numFmtId="169" fontId="13" fillId="0" borderId="63" xfId="0" applyNumberFormat="1" applyFont="1" applyBorder="1" applyAlignment="1">
      <alignment horizontal="center" vertical="center"/>
    </xf>
    <xf numFmtId="0" fontId="13" fillId="0" borderId="63" xfId="0" applyFont="1" applyBorder="1" applyAlignment="1">
      <alignment horizontal="justify" vertical="center" wrapText="1"/>
    </xf>
    <xf numFmtId="0" fontId="13" fillId="0" borderId="63" xfId="0" applyFont="1" applyBorder="1" applyAlignment="1">
      <alignment horizontal="center" vertical="center"/>
    </xf>
    <xf numFmtId="169" fontId="13" fillId="0" borderId="63" xfId="13" applyNumberFormat="1" applyFont="1" applyFill="1" applyBorder="1" applyAlignment="1">
      <alignment horizontal="right" vertical="center"/>
    </xf>
    <xf numFmtId="172" fontId="13" fillId="0" borderId="63" xfId="6" applyNumberFormat="1" applyFont="1" applyFill="1" applyBorder="1" applyAlignment="1">
      <alignment horizontal="right" vertical="center"/>
    </xf>
    <xf numFmtId="0" fontId="13" fillId="0" borderId="63" xfId="0" quotePrefix="1" applyFont="1" applyBorder="1" applyAlignment="1">
      <alignment horizontal="justify" vertical="center" wrapText="1"/>
    </xf>
    <xf numFmtId="170" fontId="13" fillId="0" borderId="68" xfId="0" applyNumberFormat="1" applyFont="1" applyBorder="1" applyAlignment="1">
      <alignment horizontal="center" vertical="center"/>
    </xf>
    <xf numFmtId="0" fontId="15" fillId="0" borderId="68" xfId="0" applyFont="1" applyBorder="1" applyAlignment="1">
      <alignment horizontal="right" vertical="center" wrapText="1"/>
    </xf>
    <xf numFmtId="177" fontId="13" fillId="0" borderId="68" xfId="0" applyNumberFormat="1" applyFont="1" applyBorder="1" applyAlignment="1">
      <alignment horizontal="right" vertical="center"/>
    </xf>
    <xf numFmtId="169" fontId="13" fillId="0" borderId="68" xfId="0" applyNumberFormat="1" applyFont="1" applyBorder="1" applyAlignment="1">
      <alignment horizontal="center" vertical="center"/>
    </xf>
    <xf numFmtId="0" fontId="13" fillId="0" borderId="68" xfId="0" quotePrefix="1" applyFont="1" applyBorder="1" applyAlignment="1">
      <alignment horizontal="justify" vertical="center" wrapText="1"/>
    </xf>
    <xf numFmtId="169" fontId="13" fillId="0" borderId="68" xfId="13" applyNumberFormat="1" applyFont="1" applyFill="1" applyBorder="1" applyAlignment="1">
      <alignment horizontal="right" vertical="center"/>
    </xf>
    <xf numFmtId="4" fontId="13" fillId="0" borderId="63" xfId="0" applyNumberFormat="1" applyFont="1" applyBorder="1" applyAlignment="1">
      <alignment horizontal="center" vertical="center"/>
    </xf>
    <xf numFmtId="0" fontId="13" fillId="0" borderId="68" xfId="0" applyFont="1" applyBorder="1" applyAlignment="1">
      <alignment horizontal="justify" vertical="center" wrapText="1"/>
    </xf>
    <xf numFmtId="182" fontId="13" fillId="0" borderId="66" xfId="27" applyNumberFormat="1" applyFont="1" applyBorder="1" applyAlignment="1">
      <alignment horizontal="justify" vertical="center"/>
    </xf>
    <xf numFmtId="182" fontId="13" fillId="0" borderId="66" xfId="27" applyNumberFormat="1" applyFont="1" applyBorder="1" applyAlignment="1">
      <alignment horizontal="center" vertical="center"/>
    </xf>
    <xf numFmtId="182" fontId="13" fillId="0" borderId="68" xfId="27" applyNumberFormat="1" applyFont="1" applyBorder="1" applyAlignment="1">
      <alignment horizontal="justify" vertical="center"/>
    </xf>
    <xf numFmtId="182" fontId="13" fillId="0" borderId="68" xfId="27" applyNumberFormat="1" applyFont="1" applyBorder="1" applyAlignment="1">
      <alignment horizontal="center" vertical="center"/>
    </xf>
    <xf numFmtId="2" fontId="13" fillId="0" borderId="63" xfId="0" applyNumberFormat="1" applyFont="1" applyBorder="1" applyAlignment="1">
      <alignment horizontal="center" vertical="center"/>
    </xf>
    <xf numFmtId="169" fontId="13" fillId="0" borderId="66" xfId="13" applyNumberFormat="1" applyFont="1" applyFill="1" applyBorder="1" applyAlignment="1">
      <alignment horizontal="right" vertical="center" wrapText="1"/>
    </xf>
    <xf numFmtId="172" fontId="13" fillId="0" borderId="66" xfId="6" applyNumberFormat="1" applyFont="1" applyFill="1" applyBorder="1" applyAlignment="1">
      <alignment horizontal="right" vertical="center" wrapText="1"/>
    </xf>
    <xf numFmtId="0" fontId="13" fillId="0" borderId="63" xfId="0" applyFont="1" applyBorder="1"/>
    <xf numFmtId="169" fontId="13" fillId="0" borderId="63" xfId="13" applyNumberFormat="1" applyFont="1" applyFill="1" applyBorder="1" applyAlignment="1">
      <alignment horizontal="right" vertical="center" wrapText="1"/>
    </xf>
    <xf numFmtId="172" fontId="13" fillId="0" borderId="63" xfId="6" applyNumberFormat="1" applyFont="1" applyFill="1" applyBorder="1" applyAlignment="1">
      <alignment horizontal="right" vertical="center" wrapText="1"/>
    </xf>
    <xf numFmtId="0" fontId="13" fillId="0" borderId="63" xfId="0" applyFont="1" applyBorder="1" applyAlignment="1">
      <alignment vertical="center" wrapText="1"/>
    </xf>
    <xf numFmtId="169" fontId="13" fillId="0" borderId="63" xfId="0" applyNumberFormat="1" applyFont="1" applyBorder="1" applyAlignment="1">
      <alignment horizontal="center" vertical="center" wrapText="1"/>
    </xf>
    <xf numFmtId="0" fontId="13" fillId="0" borderId="63" xfId="0" applyFont="1" applyBorder="1" applyAlignment="1">
      <alignment horizontal="center" vertical="center" wrapText="1"/>
    </xf>
    <xf numFmtId="0" fontId="13" fillId="0" borderId="66" xfId="0" quotePrefix="1" applyFont="1" applyBorder="1" applyAlignment="1">
      <alignment horizontal="justify" vertical="center" wrapText="1"/>
    </xf>
    <xf numFmtId="169" fontId="13" fillId="0" borderId="66" xfId="13" applyNumberFormat="1" applyFont="1" applyFill="1" applyBorder="1" applyAlignment="1">
      <alignment horizontal="center" vertical="center"/>
    </xf>
    <xf numFmtId="172" fontId="13" fillId="0" borderId="66" xfId="6" applyNumberFormat="1" applyFont="1" applyBorder="1" applyAlignment="1">
      <alignment vertical="center" wrapText="1"/>
    </xf>
    <xf numFmtId="169" fontId="13" fillId="0" borderId="63" xfId="13" applyNumberFormat="1" applyFont="1" applyFill="1" applyBorder="1" applyAlignment="1">
      <alignment horizontal="center" vertical="center"/>
    </xf>
    <xf numFmtId="172" fontId="13" fillId="0" borderId="63" xfId="6" applyNumberFormat="1" applyFont="1" applyBorder="1" applyAlignment="1">
      <alignment vertical="center" wrapText="1"/>
    </xf>
    <xf numFmtId="169" fontId="13" fillId="0" borderId="68" xfId="13" applyNumberFormat="1" applyFont="1" applyFill="1" applyBorder="1" applyAlignment="1">
      <alignment horizontal="center" vertical="center"/>
    </xf>
    <xf numFmtId="172" fontId="13" fillId="0" borderId="68" xfId="6" applyNumberFormat="1" applyFont="1" applyBorder="1" applyAlignment="1">
      <alignment vertical="center" wrapText="1"/>
    </xf>
    <xf numFmtId="0" fontId="13" fillId="0" borderId="66" xfId="0" applyFont="1" applyBorder="1" applyAlignment="1">
      <alignment horizontal="justify" wrapText="1"/>
    </xf>
    <xf numFmtId="0" fontId="13" fillId="0" borderId="63" xfId="0" applyFont="1" applyBorder="1" applyAlignment="1">
      <alignment wrapText="1"/>
    </xf>
    <xf numFmtId="0" fontId="13" fillId="0" borderId="63" xfId="0" applyFont="1" applyBorder="1" applyAlignment="1">
      <alignment horizontal="justify" wrapText="1"/>
    </xf>
    <xf numFmtId="0" fontId="13" fillId="0" borderId="63" xfId="0" applyFont="1" applyBorder="1" applyAlignment="1">
      <alignment horizontal="left" vertical="center" wrapText="1"/>
    </xf>
    <xf numFmtId="0" fontId="13" fillId="0" borderId="66" xfId="0" applyFont="1" applyBorder="1" applyAlignment="1">
      <alignment horizontal="justify" vertical="center"/>
    </xf>
    <xf numFmtId="0" fontId="13" fillId="0" borderId="63" xfId="0" quotePrefix="1" applyFont="1" applyBorder="1" applyAlignment="1">
      <alignment wrapText="1"/>
    </xf>
    <xf numFmtId="0" fontId="13" fillId="0" borderId="66" xfId="0" applyFont="1" applyBorder="1" applyAlignment="1">
      <alignment horizontal="right" vertical="center"/>
    </xf>
    <xf numFmtId="0" fontId="13" fillId="0" borderId="66" xfId="0" applyFont="1" applyBorder="1" applyAlignment="1">
      <alignment wrapText="1"/>
    </xf>
    <xf numFmtId="0" fontId="13" fillId="0" borderId="63" xfId="0" applyFont="1" applyBorder="1" applyAlignment="1">
      <alignment horizontal="right" vertical="center"/>
    </xf>
    <xf numFmtId="169" fontId="49" fillId="0" borderId="66" xfId="0" applyNumberFormat="1" applyFont="1" applyBorder="1" applyAlignment="1">
      <alignment horizontal="center" vertical="center"/>
    </xf>
    <xf numFmtId="169" fontId="49" fillId="0" borderId="63" xfId="0" applyNumberFormat="1" applyFont="1" applyBorder="1" applyAlignment="1">
      <alignment horizontal="center" vertical="center"/>
    </xf>
    <xf numFmtId="4" fontId="49" fillId="0" borderId="63" xfId="0" applyNumberFormat="1" applyFont="1" applyBorder="1" applyAlignment="1">
      <alignment horizontal="center" vertical="center"/>
    </xf>
    <xf numFmtId="4" fontId="49" fillId="0" borderId="68" xfId="0" applyNumberFormat="1" applyFont="1" applyBorder="1" applyAlignment="1">
      <alignment horizontal="center" vertical="center"/>
    </xf>
    <xf numFmtId="169" fontId="49" fillId="0" borderId="68" xfId="0" applyNumberFormat="1" applyFont="1" applyBorder="1" applyAlignment="1">
      <alignment horizontal="center" vertical="center"/>
    </xf>
    <xf numFmtId="0" fontId="50" fillId="0" borderId="0" xfId="59" applyFont="1"/>
    <xf numFmtId="0" fontId="50" fillId="0" borderId="0" xfId="59" applyFont="1" applyAlignment="1">
      <alignment horizontal="center"/>
    </xf>
    <xf numFmtId="0" fontId="37" fillId="0" borderId="0" xfId="61" applyFont="1" applyAlignment="1">
      <alignment horizontal="left" vertical="center"/>
    </xf>
    <xf numFmtId="0" fontId="40" fillId="0" borderId="0" xfId="61" applyFont="1" applyAlignment="1">
      <alignment horizontal="left" vertical="center"/>
    </xf>
    <xf numFmtId="0" fontId="6" fillId="0" borderId="0" xfId="61" applyAlignment="1">
      <alignment vertical="center"/>
    </xf>
    <xf numFmtId="4" fontId="53" fillId="0" borderId="0" xfId="59" applyNumberFormat="1" applyFont="1"/>
    <xf numFmtId="4" fontId="54" fillId="0" borderId="0" xfId="59" applyNumberFormat="1" applyFont="1"/>
    <xf numFmtId="0" fontId="50" fillId="8" borderId="0" xfId="59" applyFont="1" applyFill="1"/>
    <xf numFmtId="173" fontId="46" fillId="0" borderId="25" xfId="0" applyNumberFormat="1" applyFont="1" applyBorder="1"/>
    <xf numFmtId="166" fontId="19" fillId="0" borderId="30" xfId="12" applyFont="1" applyBorder="1" applyAlignment="1">
      <alignment horizontal="center" vertical="center" wrapText="1"/>
    </xf>
    <xf numFmtId="2" fontId="19" fillId="0" borderId="60" xfId="0" applyNumberFormat="1" applyFont="1" applyBorder="1" applyAlignment="1">
      <alignment horizontal="center"/>
    </xf>
    <xf numFmtId="173" fontId="46" fillId="0" borderId="30" xfId="0" applyNumberFormat="1" applyFont="1" applyBorder="1"/>
    <xf numFmtId="166" fontId="19" fillId="0" borderId="25" xfId="12" applyFont="1" applyBorder="1" applyAlignment="1">
      <alignment horizontal="center"/>
    </xf>
    <xf numFmtId="166" fontId="19" fillId="0" borderId="25" xfId="12" applyFont="1" applyFill="1" applyBorder="1" applyAlignment="1">
      <alignment wrapText="1"/>
    </xf>
    <xf numFmtId="166" fontId="19" fillId="0" borderId="25" xfId="48" applyFont="1" applyFill="1" applyBorder="1"/>
    <xf numFmtId="2" fontId="19" fillId="0" borderId="50" xfId="0" applyNumberFormat="1" applyFont="1" applyBorder="1" applyAlignment="1">
      <alignment horizontal="justify" vertical="center" wrapText="1"/>
    </xf>
    <xf numFmtId="2" fontId="19" fillId="0" borderId="51" xfId="0" applyNumberFormat="1" applyFont="1" applyBorder="1" applyAlignment="1">
      <alignment horizontal="justify" vertical="center" wrapText="1"/>
    </xf>
    <xf numFmtId="173" fontId="19" fillId="0" borderId="33" xfId="6" applyNumberFormat="1" applyFont="1" applyBorder="1" applyAlignment="1">
      <alignment horizontal="right" vertical="center"/>
    </xf>
    <xf numFmtId="0" fontId="19" fillId="8" borderId="26" xfId="0" applyFont="1" applyFill="1" applyBorder="1" applyAlignment="1">
      <alignment horizontal="center"/>
    </xf>
    <xf numFmtId="173" fontId="19" fillId="8" borderId="26" xfId="0" applyNumberFormat="1" applyFont="1" applyFill="1" applyBorder="1" applyAlignment="1">
      <alignment horizontal="center"/>
    </xf>
    <xf numFmtId="173" fontId="19" fillId="0" borderId="26" xfId="0" applyNumberFormat="1" applyFont="1" applyBorder="1" applyAlignment="1">
      <alignment horizontal="center"/>
    </xf>
    <xf numFmtId="194" fontId="19" fillId="0" borderId="25" xfId="0" applyNumberFormat="1" applyFont="1" applyBorder="1"/>
    <xf numFmtId="0" fontId="19" fillId="0" borderId="57" xfId="0" applyFont="1" applyBorder="1" applyAlignment="1">
      <alignment horizontal="center"/>
    </xf>
    <xf numFmtId="173" fontId="19" fillId="0" borderId="57" xfId="0" applyNumberFormat="1" applyFont="1" applyBorder="1"/>
    <xf numFmtId="0" fontId="19" fillId="0" borderId="58" xfId="0" applyFont="1" applyBorder="1"/>
    <xf numFmtId="0" fontId="13" fillId="8" borderId="0" xfId="0" applyFont="1" applyFill="1"/>
    <xf numFmtId="0" fontId="19" fillId="8" borderId="0" xfId="0" applyFont="1" applyFill="1"/>
    <xf numFmtId="0" fontId="20" fillId="8" borderId="0" xfId="0" applyFont="1" applyFill="1" applyAlignment="1">
      <alignment horizontal="justify" vertical="top" wrapText="1"/>
    </xf>
    <xf numFmtId="0" fontId="20" fillId="8" borderId="38" xfId="0" applyFont="1" applyFill="1" applyBorder="1" applyAlignment="1">
      <alignment horizontal="center" vertical="center" wrapText="1"/>
    </xf>
    <xf numFmtId="0" fontId="19" fillId="8" borderId="30" xfId="0" applyFont="1" applyFill="1" applyBorder="1" applyAlignment="1">
      <alignment horizontal="center" vertical="center"/>
    </xf>
    <xf numFmtId="0" fontId="19" fillId="8" borderId="25" xfId="0" applyFont="1" applyFill="1" applyBorder="1" applyAlignment="1">
      <alignment horizontal="center" vertical="center"/>
    </xf>
    <xf numFmtId="0" fontId="19" fillId="8" borderId="25" xfId="0" applyFont="1" applyFill="1" applyBorder="1" applyAlignment="1">
      <alignment horizontal="center"/>
    </xf>
    <xf numFmtId="0" fontId="19" fillId="8" borderId="33" xfId="0" applyFont="1" applyFill="1" applyBorder="1" applyAlignment="1">
      <alignment horizontal="center"/>
    </xf>
    <xf numFmtId="0" fontId="20" fillId="8" borderId="38" xfId="0" applyFont="1" applyFill="1" applyBorder="1" applyAlignment="1">
      <alignment horizontal="center" vertical="center"/>
    </xf>
    <xf numFmtId="0" fontId="19" fillId="8" borderId="26" xfId="0" applyFont="1" applyFill="1" applyBorder="1" applyAlignment="1">
      <alignment horizontal="center" wrapText="1"/>
    </xf>
    <xf numFmtId="165" fontId="19" fillId="8" borderId="35" xfId="0" applyNumberFormat="1" applyFont="1" applyFill="1" applyBorder="1" applyAlignment="1">
      <alignment horizontal="center" vertical="center"/>
    </xf>
    <xf numFmtId="165" fontId="19" fillId="8" borderId="26" xfId="0" applyNumberFormat="1" applyFont="1" applyFill="1" applyBorder="1" applyAlignment="1">
      <alignment horizontal="center"/>
    </xf>
    <xf numFmtId="0" fontId="0" fillId="8" borderId="0" xfId="0" applyFill="1"/>
    <xf numFmtId="0" fontId="19" fillId="8" borderId="30" xfId="0" applyFont="1" applyFill="1" applyBorder="1" applyAlignment="1">
      <alignment horizontal="center"/>
    </xf>
    <xf numFmtId="0" fontId="19" fillId="8" borderId="57" xfId="0" applyFont="1" applyFill="1" applyBorder="1" applyAlignment="1">
      <alignment horizontal="center"/>
    </xf>
    <xf numFmtId="173" fontId="19" fillId="0" borderId="25" xfId="0" applyNumberFormat="1" applyFont="1" applyBorder="1" applyAlignment="1">
      <alignment horizontal="right" vertical="center" wrapText="1"/>
    </xf>
    <xf numFmtId="173" fontId="46" fillId="0" borderId="52" xfId="0" applyNumberFormat="1" applyFont="1" applyBorder="1"/>
    <xf numFmtId="166" fontId="19" fillId="0" borderId="57" xfId="12" applyFont="1" applyBorder="1" applyAlignment="1">
      <alignment horizontal="center"/>
    </xf>
    <xf numFmtId="165" fontId="19" fillId="8" borderId="49" xfId="0" applyNumberFormat="1" applyFont="1" applyFill="1" applyBorder="1" applyAlignment="1">
      <alignment horizontal="center" vertical="center"/>
    </xf>
    <xf numFmtId="166" fontId="19" fillId="0" borderId="49" xfId="39" applyFont="1" applyBorder="1" applyAlignment="1">
      <alignment horizontal="center" vertical="center"/>
    </xf>
    <xf numFmtId="166" fontId="19" fillId="0" borderId="33" xfId="12" applyFont="1" applyBorder="1" applyAlignment="1">
      <alignment horizontal="center"/>
    </xf>
    <xf numFmtId="0" fontId="59" fillId="0" borderId="38" xfId="0" applyFont="1" applyBorder="1" applyAlignment="1">
      <alignment horizontal="center" vertical="center"/>
    </xf>
    <xf numFmtId="184" fontId="19" fillId="0" borderId="39" xfId="0" applyNumberFormat="1" applyFont="1" applyBorder="1"/>
    <xf numFmtId="0" fontId="13" fillId="0" borderId="74" xfId="0" applyFont="1" applyBorder="1" applyAlignment="1">
      <alignment vertical="center"/>
    </xf>
    <xf numFmtId="0" fontId="50" fillId="8" borderId="0" xfId="59" applyFont="1" applyFill="1" applyAlignment="1">
      <alignment vertical="center"/>
    </xf>
    <xf numFmtId="0" fontId="64" fillId="0" borderId="0" xfId="59" applyFont="1"/>
    <xf numFmtId="0" fontId="15" fillId="0" borderId="13" xfId="0" applyFont="1" applyBorder="1" applyAlignment="1">
      <alignment vertical="center"/>
    </xf>
    <xf numFmtId="0" fontId="15" fillId="0" borderId="19" xfId="0" applyFont="1" applyBorder="1" applyAlignment="1">
      <alignment vertical="center"/>
    </xf>
    <xf numFmtId="169" fontId="15" fillId="0" borderId="19" xfId="0" applyNumberFormat="1" applyFont="1" applyBorder="1" applyAlignment="1">
      <alignment horizontal="center" vertical="center"/>
    </xf>
    <xf numFmtId="0" fontId="15" fillId="0" borderId="19" xfId="0" applyFont="1" applyBorder="1" applyAlignment="1">
      <alignment horizontal="justify" vertical="center" wrapText="1"/>
    </xf>
    <xf numFmtId="0" fontId="13" fillId="0" borderId="18" xfId="0" applyFont="1" applyBorder="1" applyAlignment="1">
      <alignment horizontal="justify" vertical="center" wrapText="1"/>
    </xf>
    <xf numFmtId="0" fontId="65" fillId="0" borderId="0" xfId="61" applyFont="1" applyAlignment="1">
      <alignment horizontal="left" vertical="center"/>
    </xf>
    <xf numFmtId="4" fontId="10" fillId="8" borderId="0" xfId="0" applyNumberFormat="1" applyFont="1" applyFill="1"/>
    <xf numFmtId="0" fontId="0" fillId="8" borderId="0" xfId="0" applyFill="1" applyAlignment="1">
      <alignment horizontal="center" vertical="center"/>
    </xf>
    <xf numFmtId="166" fontId="0" fillId="8" borderId="0" xfId="48" applyFont="1" applyFill="1" applyAlignment="1">
      <alignment vertical="center"/>
    </xf>
    <xf numFmtId="166" fontId="28" fillId="8" borderId="0" xfId="48" applyFont="1" applyFill="1" applyBorder="1" applyAlignment="1">
      <alignment vertical="center"/>
    </xf>
    <xf numFmtId="0" fontId="28" fillId="8" borderId="0" xfId="0" applyFont="1" applyFill="1" applyAlignment="1">
      <alignment horizontal="center" vertical="center"/>
    </xf>
    <xf numFmtId="0" fontId="51" fillId="8" borderId="0" xfId="59" applyFont="1" applyFill="1"/>
    <xf numFmtId="0" fontId="55" fillId="8" borderId="0" xfId="0" applyFont="1" applyFill="1"/>
    <xf numFmtId="0" fontId="56" fillId="8" borderId="0" xfId="0" applyFont="1" applyFill="1"/>
    <xf numFmtId="0" fontId="51" fillId="8" borderId="25" xfId="59" applyFont="1" applyFill="1" applyBorder="1" applyAlignment="1">
      <alignment horizontal="center" vertical="center" wrapText="1"/>
    </xf>
    <xf numFmtId="4" fontId="51" fillId="8" borderId="25" xfId="59" applyNumberFormat="1" applyFont="1" applyFill="1" applyBorder="1" applyAlignment="1">
      <alignment horizontal="center" vertical="center" wrapText="1"/>
    </xf>
    <xf numFmtId="177" fontId="51" fillId="8" borderId="25" xfId="60" applyNumberFormat="1" applyFont="1" applyFill="1" applyBorder="1" applyAlignment="1">
      <alignment horizontal="center" vertical="center" wrapText="1"/>
    </xf>
    <xf numFmtId="2" fontId="51" fillId="8" borderId="25" xfId="59" applyNumberFormat="1" applyFont="1" applyFill="1" applyBorder="1" applyAlignment="1">
      <alignment horizontal="center" vertical="center"/>
    </xf>
    <xf numFmtId="169" fontId="50" fillId="8" borderId="25" xfId="59" applyNumberFormat="1" applyFont="1" applyFill="1" applyBorder="1" applyAlignment="1">
      <alignment horizontal="center" vertical="center"/>
    </xf>
    <xf numFmtId="0" fontId="50" fillId="8" borderId="25" xfId="59" applyFont="1" applyFill="1" applyBorder="1" applyAlignment="1">
      <alignment horizontal="center" vertical="center"/>
    </xf>
    <xf numFmtId="4" fontId="50" fillId="8" borderId="25" xfId="13" applyNumberFormat="1" applyFont="1" applyFill="1" applyBorder="1" applyAlignment="1">
      <alignment horizontal="right" vertical="center"/>
    </xf>
    <xf numFmtId="177" fontId="50" fillId="8" borderId="25" xfId="60" applyNumberFormat="1" applyFont="1" applyFill="1" applyBorder="1" applyAlignment="1">
      <alignment horizontal="right" vertical="center"/>
    </xf>
    <xf numFmtId="174" fontId="50" fillId="8" borderId="25" xfId="60" applyNumberFormat="1" applyFont="1" applyFill="1" applyBorder="1" applyAlignment="1">
      <alignment horizontal="right" vertical="center"/>
    </xf>
    <xf numFmtId="166" fontId="50" fillId="8" borderId="25" xfId="59" applyNumberFormat="1" applyFont="1" applyFill="1" applyBorder="1" applyAlignment="1">
      <alignment horizontal="center" vertical="center"/>
    </xf>
    <xf numFmtId="2" fontId="50" fillId="8" borderId="25" xfId="59" applyNumberFormat="1" applyFont="1" applyFill="1" applyBorder="1" applyAlignment="1">
      <alignment horizontal="center" vertical="center"/>
    </xf>
    <xf numFmtId="4" fontId="50" fillId="8" borderId="25" xfId="59" applyNumberFormat="1" applyFont="1" applyFill="1" applyBorder="1" applyAlignment="1">
      <alignment horizontal="right" vertical="center"/>
    </xf>
    <xf numFmtId="177" fontId="50" fillId="8" borderId="25" xfId="60" applyNumberFormat="1" applyFont="1" applyFill="1" applyBorder="1" applyAlignment="1">
      <alignment horizontal="right" vertical="center" wrapText="1"/>
    </xf>
    <xf numFmtId="0" fontId="50" fillId="8" borderId="0" xfId="59" applyFont="1" applyFill="1" applyAlignment="1">
      <alignment horizontal="center"/>
    </xf>
    <xf numFmtId="4" fontId="50" fillId="8" borderId="0" xfId="59" applyNumberFormat="1" applyFont="1" applyFill="1"/>
    <xf numFmtId="177" fontId="50" fillId="8" borderId="0" xfId="59" applyNumberFormat="1" applyFont="1" applyFill="1"/>
    <xf numFmtId="177" fontId="58" fillId="8" borderId="0" xfId="59" applyNumberFormat="1" applyFont="1" applyFill="1"/>
    <xf numFmtId="0" fontId="55" fillId="8" borderId="0" xfId="0" applyFont="1" applyFill="1" applyAlignment="1">
      <alignment horizontal="center"/>
    </xf>
    <xf numFmtId="0" fontId="0" fillId="8" borderId="0" xfId="0" applyFill="1" applyAlignment="1">
      <alignment vertical="center"/>
    </xf>
    <xf numFmtId="0" fontId="10" fillId="8" borderId="0" xfId="0" applyFont="1" applyFill="1"/>
    <xf numFmtId="0" fontId="10" fillId="8" borderId="0" xfId="0" applyFont="1" applyFill="1" applyAlignment="1">
      <alignment horizontal="center" vertical="center"/>
    </xf>
    <xf numFmtId="166" fontId="10" fillId="8" borderId="0" xfId="48" applyFont="1" applyFill="1" applyAlignment="1">
      <alignment vertical="center"/>
    </xf>
    <xf numFmtId="0" fontId="10" fillId="8" borderId="0" xfId="0" applyFont="1" applyFill="1" applyAlignment="1">
      <alignment vertical="center"/>
    </xf>
    <xf numFmtId="0" fontId="57" fillId="8" borderId="0" xfId="0" applyFont="1" applyFill="1"/>
    <xf numFmtId="4" fontId="0" fillId="8" borderId="0" xfId="0" applyNumberFormat="1" applyFill="1"/>
    <xf numFmtId="0" fontId="10" fillId="8" borderId="0" xfId="0" quotePrefix="1" applyFont="1" applyFill="1" applyAlignment="1">
      <alignment horizontal="center" vertical="center"/>
    </xf>
    <xf numFmtId="4" fontId="28" fillId="8" borderId="0" xfId="0" applyNumberFormat="1" applyFont="1" applyFill="1" applyAlignment="1">
      <alignment horizontal="center" vertical="center"/>
    </xf>
    <xf numFmtId="166" fontId="28" fillId="8" borderId="0" xfId="48" applyFont="1" applyFill="1" applyAlignment="1">
      <alignment horizontal="center" vertical="center"/>
    </xf>
    <xf numFmtId="0" fontId="46" fillId="8" borderId="0" xfId="0" applyFont="1" applyFill="1" applyAlignment="1">
      <alignment horizontal="right"/>
    </xf>
    <xf numFmtId="0" fontId="0" fillId="8" borderId="0" xfId="0" quotePrefix="1" applyFill="1" applyAlignment="1">
      <alignment horizontal="center" vertical="center"/>
    </xf>
    <xf numFmtId="0" fontId="66" fillId="8" borderId="0" xfId="0" applyFont="1" applyFill="1" applyAlignment="1">
      <alignment horizontal="right"/>
    </xf>
    <xf numFmtId="166" fontId="28" fillId="8" borderId="13" xfId="48" applyFont="1" applyFill="1" applyBorder="1" applyAlignment="1">
      <alignment vertical="center"/>
    </xf>
    <xf numFmtId="0" fontId="28" fillId="8" borderId="15" xfId="0" applyFont="1" applyFill="1" applyBorder="1" applyAlignment="1">
      <alignment horizontal="center" vertical="center"/>
    </xf>
    <xf numFmtId="166" fontId="0" fillId="8" borderId="0" xfId="48" applyFont="1" applyFill="1" applyBorder="1" applyAlignment="1">
      <alignment vertical="center"/>
    </xf>
    <xf numFmtId="166" fontId="0" fillId="8" borderId="0" xfId="48" applyFont="1" applyFill="1" applyAlignment="1">
      <alignment horizontal="center" vertical="center"/>
    </xf>
    <xf numFmtId="166" fontId="0" fillId="8" borderId="0" xfId="12" applyFont="1" applyFill="1" applyAlignment="1">
      <alignment vertical="center"/>
    </xf>
    <xf numFmtId="174" fontId="20" fillId="8" borderId="0" xfId="0" applyNumberFormat="1" applyFont="1" applyFill="1"/>
    <xf numFmtId="0" fontId="67" fillId="8" borderId="0" xfId="61" applyFont="1" applyFill="1" applyAlignment="1">
      <alignment horizontal="left" vertical="center"/>
    </xf>
    <xf numFmtId="177" fontId="68" fillId="8" borderId="0" xfId="59" applyNumberFormat="1" applyFont="1" applyFill="1"/>
    <xf numFmtId="0" fontId="67" fillId="8" borderId="0" xfId="59" applyFont="1" applyFill="1"/>
    <xf numFmtId="0" fontId="65" fillId="0" borderId="0" xfId="59" applyFont="1"/>
    <xf numFmtId="0" fontId="45" fillId="8" borderId="0" xfId="0" applyFont="1" applyFill="1" applyAlignment="1">
      <alignment horizontal="justify" vertical="center" wrapText="1"/>
    </xf>
    <xf numFmtId="0" fontId="51" fillId="0" borderId="73" xfId="59" applyFont="1" applyBorder="1" applyAlignment="1">
      <alignment horizontal="center" vertical="center"/>
    </xf>
    <xf numFmtId="0" fontId="50" fillId="0" borderId="25" xfId="59" applyFont="1" applyBorder="1" applyAlignment="1">
      <alignment horizontal="center" vertical="center"/>
    </xf>
    <xf numFmtId="4" fontId="50" fillId="0" borderId="25" xfId="13" applyNumberFormat="1" applyFont="1" applyFill="1" applyBorder="1" applyAlignment="1">
      <alignment horizontal="right" vertical="center"/>
    </xf>
    <xf numFmtId="177" fontId="50" fillId="0" borderId="25" xfId="60" applyNumberFormat="1" applyFont="1" applyFill="1" applyBorder="1" applyAlignment="1">
      <alignment horizontal="right" vertical="center"/>
    </xf>
    <xf numFmtId="166" fontId="50" fillId="0" borderId="25" xfId="59" applyNumberFormat="1" applyFont="1" applyBorder="1" applyAlignment="1">
      <alignment horizontal="center" vertical="center"/>
    </xf>
    <xf numFmtId="2" fontId="50" fillId="0" borderId="25" xfId="59" applyNumberFormat="1" applyFont="1" applyBorder="1" applyAlignment="1">
      <alignment horizontal="right" vertical="center"/>
    </xf>
    <xf numFmtId="177" fontId="50" fillId="0" borderId="25" xfId="60" applyNumberFormat="1" applyFont="1" applyFill="1" applyBorder="1" applyAlignment="1">
      <alignment horizontal="right" vertical="center" wrapText="1"/>
    </xf>
    <xf numFmtId="9" fontId="51" fillId="0" borderId="16" xfId="59" applyNumberFormat="1" applyFont="1" applyBorder="1" applyAlignment="1">
      <alignment vertical="center"/>
    </xf>
    <xf numFmtId="9" fontId="50" fillId="0" borderId="16" xfId="59" applyNumberFormat="1" applyFont="1" applyBorder="1" applyAlignment="1">
      <alignment horizontal="right" vertical="center"/>
    </xf>
    <xf numFmtId="177" fontId="50" fillId="0" borderId="16" xfId="60" applyNumberFormat="1" applyFont="1" applyFill="1" applyBorder="1" applyAlignment="1">
      <alignment horizontal="right" vertical="center"/>
    </xf>
    <xf numFmtId="174" fontId="60" fillId="0" borderId="16" xfId="60" applyNumberFormat="1" applyFont="1" applyFill="1" applyBorder="1" applyAlignment="1">
      <alignment horizontal="right" vertical="center"/>
    </xf>
    <xf numFmtId="177" fontId="50" fillId="0" borderId="0" xfId="59" applyNumberFormat="1" applyFont="1"/>
    <xf numFmtId="165" fontId="50" fillId="8" borderId="0" xfId="6" applyFont="1" applyFill="1" applyAlignment="1"/>
    <xf numFmtId="165" fontId="50" fillId="8" borderId="0" xfId="59" applyNumberFormat="1" applyFont="1" applyFill="1"/>
    <xf numFmtId="2" fontId="69" fillId="0" borderId="0" xfId="0" applyNumberFormat="1" applyFont="1" applyAlignment="1">
      <alignment horizontal="left"/>
    </xf>
    <xf numFmtId="2" fontId="51" fillId="0" borderId="73" xfId="59" applyNumberFormat="1" applyFont="1" applyBorder="1" applyAlignment="1">
      <alignment horizontal="center" vertical="center"/>
    </xf>
    <xf numFmtId="0" fontId="13" fillId="0" borderId="7" xfId="0" applyFont="1" applyBorder="1" applyAlignment="1">
      <alignment vertical="center"/>
    </xf>
    <xf numFmtId="166" fontId="50" fillId="8" borderId="57" xfId="59" applyNumberFormat="1" applyFont="1" applyFill="1" applyBorder="1" applyAlignment="1">
      <alignment horizontal="center" vertical="center"/>
    </xf>
    <xf numFmtId="4" fontId="50" fillId="8" borderId="57" xfId="59" applyNumberFormat="1" applyFont="1" applyFill="1" applyBorder="1" applyAlignment="1">
      <alignment horizontal="right" vertical="center"/>
    </xf>
    <xf numFmtId="177" fontId="50" fillId="8" borderId="57" xfId="60" applyNumberFormat="1" applyFont="1" applyFill="1" applyBorder="1" applyAlignment="1">
      <alignment horizontal="right" vertical="center" wrapText="1"/>
    </xf>
    <xf numFmtId="4" fontId="50" fillId="0" borderId="57" xfId="13" applyNumberFormat="1" applyFont="1" applyFill="1" applyBorder="1" applyAlignment="1">
      <alignment horizontal="right" vertical="center"/>
    </xf>
    <xf numFmtId="177" fontId="50" fillId="0" borderId="57" xfId="60" applyNumberFormat="1" applyFont="1" applyFill="1" applyBorder="1" applyAlignment="1">
      <alignment horizontal="right" vertical="center"/>
    </xf>
    <xf numFmtId="0" fontId="51" fillId="0" borderId="0" xfId="59" applyFont="1" applyAlignment="1">
      <alignment horizontal="center" vertical="center"/>
    </xf>
    <xf numFmtId="177" fontId="60" fillId="0" borderId="0" xfId="60" applyNumberFormat="1" applyFont="1" applyFill="1" applyBorder="1" applyAlignment="1">
      <alignment horizontal="right" vertical="center"/>
    </xf>
    <xf numFmtId="0" fontId="50" fillId="8" borderId="57" xfId="59" applyFont="1" applyFill="1" applyBorder="1" applyAlignment="1">
      <alignment horizontal="center" vertical="center"/>
    </xf>
    <xf numFmtId="4" fontId="50" fillId="8" borderId="57" xfId="13" applyNumberFormat="1" applyFont="1" applyFill="1" applyBorder="1" applyAlignment="1">
      <alignment horizontal="right" vertical="center"/>
    </xf>
    <xf numFmtId="177" fontId="50" fillId="8" borderId="57" xfId="60" applyNumberFormat="1" applyFont="1" applyFill="1" applyBorder="1" applyAlignment="1">
      <alignment horizontal="right" vertical="center"/>
    </xf>
    <xf numFmtId="0" fontId="51" fillId="8" borderId="60" xfId="59" applyFont="1" applyFill="1" applyBorder="1" applyAlignment="1">
      <alignment horizontal="center" vertical="center"/>
    </xf>
    <xf numFmtId="0" fontId="58" fillId="8" borderId="57" xfId="59" applyFont="1" applyFill="1" applyBorder="1" applyAlignment="1">
      <alignment horizontal="justify" vertical="center"/>
    </xf>
    <xf numFmtId="166" fontId="50" fillId="8" borderId="0" xfId="12" applyFont="1" applyFill="1" applyAlignment="1">
      <alignment vertical="center"/>
    </xf>
    <xf numFmtId="174" fontId="50" fillId="8" borderId="0" xfId="59" applyNumberFormat="1" applyFont="1" applyFill="1"/>
    <xf numFmtId="0" fontId="46" fillId="8" borderId="0" xfId="0" applyFont="1" applyFill="1" applyAlignment="1">
      <alignment horizontal="right" wrapText="1"/>
    </xf>
    <xf numFmtId="0" fontId="10" fillId="8" borderId="15" xfId="0" applyFont="1" applyFill="1" applyBorder="1" applyAlignment="1">
      <alignment horizontal="center" vertical="center"/>
    </xf>
    <xf numFmtId="2" fontId="50" fillId="0" borderId="25" xfId="59" applyNumberFormat="1" applyFont="1" applyBorder="1" applyAlignment="1">
      <alignment horizontal="center" vertical="center"/>
    </xf>
    <xf numFmtId="166" fontId="50" fillId="0" borderId="57" xfId="59" applyNumberFormat="1" applyFont="1" applyBorder="1" applyAlignment="1">
      <alignment horizontal="center" vertical="center"/>
    </xf>
    <xf numFmtId="169" fontId="50" fillId="0" borderId="25" xfId="59" applyNumberFormat="1" applyFont="1" applyBorder="1" applyAlignment="1">
      <alignment horizontal="center" vertical="center"/>
    </xf>
    <xf numFmtId="169" fontId="50" fillId="0" borderId="57" xfId="59" applyNumberFormat="1" applyFont="1" applyBorder="1" applyAlignment="1">
      <alignment horizontal="center" vertical="center"/>
    </xf>
    <xf numFmtId="0" fontId="58" fillId="0" borderId="57" xfId="59" applyFont="1" applyBorder="1" applyAlignment="1">
      <alignment horizontal="justify" vertical="center"/>
    </xf>
    <xf numFmtId="0" fontId="58" fillId="8" borderId="25" xfId="59" applyFont="1" applyFill="1" applyBorder="1" applyAlignment="1">
      <alignment horizontal="justify" vertical="center"/>
    </xf>
    <xf numFmtId="0" fontId="58" fillId="0" borderId="25" xfId="59" applyFont="1" applyBorder="1" applyAlignment="1">
      <alignment horizontal="justify" vertical="center"/>
    </xf>
    <xf numFmtId="169" fontId="50" fillId="0" borderId="30" xfId="59" applyNumberFormat="1" applyFont="1" applyBorder="1" applyAlignment="1">
      <alignment horizontal="center" vertical="center"/>
    </xf>
    <xf numFmtId="0" fontId="58" fillId="0" borderId="30" xfId="59" applyFont="1" applyBorder="1" applyAlignment="1">
      <alignment horizontal="justify" vertical="center"/>
    </xf>
    <xf numFmtId="0" fontId="50" fillId="0" borderId="30" xfId="59" applyFont="1" applyBorder="1" applyAlignment="1">
      <alignment horizontal="center" vertical="center"/>
    </xf>
    <xf numFmtId="4" fontId="50" fillId="0" borderId="30" xfId="13" applyNumberFormat="1" applyFont="1" applyFill="1" applyBorder="1" applyAlignment="1">
      <alignment horizontal="right" vertical="center"/>
    </xf>
    <xf numFmtId="177" fontId="50" fillId="0" borderId="30" xfId="60" applyNumberFormat="1" applyFont="1" applyFill="1" applyBorder="1" applyAlignment="1">
      <alignment horizontal="right" vertical="center"/>
    </xf>
    <xf numFmtId="0" fontId="50" fillId="0" borderId="33" xfId="59" applyFont="1" applyBorder="1" applyAlignment="1">
      <alignment horizontal="center" vertical="center"/>
    </xf>
    <xf numFmtId="4" fontId="50" fillId="0" borderId="33" xfId="13" applyNumberFormat="1" applyFont="1" applyFill="1" applyBorder="1" applyAlignment="1">
      <alignment horizontal="right" vertical="center"/>
    </xf>
    <xf numFmtId="0" fontId="58" fillId="0" borderId="33" xfId="59" applyFont="1" applyBorder="1" applyAlignment="1">
      <alignment horizontal="justify" vertical="center"/>
    </xf>
    <xf numFmtId="166" fontId="50" fillId="0" borderId="30" xfId="59" applyNumberFormat="1" applyFont="1" applyBorder="1" applyAlignment="1">
      <alignment horizontal="center" vertical="center"/>
    </xf>
    <xf numFmtId="174" fontId="51" fillId="8" borderId="16" xfId="60" applyNumberFormat="1" applyFont="1" applyFill="1" applyBorder="1" applyAlignment="1">
      <alignment horizontal="right" vertical="center"/>
    </xf>
    <xf numFmtId="174" fontId="51" fillId="10" borderId="16" xfId="60" applyNumberFormat="1" applyFont="1" applyFill="1" applyBorder="1" applyAlignment="1">
      <alignment horizontal="right" vertical="center"/>
    </xf>
    <xf numFmtId="4" fontId="0" fillId="8" borderId="0" xfId="0" applyNumberFormat="1" applyFill="1" applyAlignment="1">
      <alignment vertical="center"/>
    </xf>
    <xf numFmtId="174" fontId="50" fillId="8" borderId="57" xfId="60" applyNumberFormat="1" applyFont="1" applyFill="1" applyBorder="1" applyAlignment="1">
      <alignment horizontal="right" vertical="center"/>
    </xf>
    <xf numFmtId="174" fontId="50" fillId="8" borderId="33" xfId="60" applyNumberFormat="1" applyFont="1" applyFill="1" applyBorder="1" applyAlignment="1">
      <alignment horizontal="right" vertical="center"/>
    </xf>
    <xf numFmtId="166" fontId="50" fillId="0" borderId="0" xfId="12" applyFont="1" applyFill="1" applyAlignment="1"/>
    <xf numFmtId="0" fontId="45" fillId="8" borderId="0" xfId="0" applyFont="1" applyFill="1" applyAlignment="1">
      <alignment vertical="center"/>
    </xf>
    <xf numFmtId="2" fontId="45" fillId="8" borderId="0" xfId="0" applyNumberFormat="1" applyFont="1" applyFill="1" applyAlignment="1">
      <alignment horizontal="center" vertical="center"/>
    </xf>
    <xf numFmtId="0" fontId="46" fillId="8" borderId="0" xfId="0" applyFont="1" applyFill="1"/>
    <xf numFmtId="0" fontId="70" fillId="8" borderId="0" xfId="0" applyFont="1" applyFill="1"/>
    <xf numFmtId="0" fontId="45" fillId="8" borderId="0" xfId="0" applyFont="1" applyFill="1" applyAlignment="1">
      <alignment horizontal="center"/>
    </xf>
    <xf numFmtId="0" fontId="45" fillId="8" borderId="0" xfId="0" applyFont="1" applyFill="1" applyAlignment="1">
      <alignment horizontal="left"/>
    </xf>
    <xf numFmtId="169" fontId="50" fillId="0" borderId="60" xfId="59" applyNumberFormat="1" applyFont="1" applyBorder="1" applyAlignment="1">
      <alignment horizontal="center" vertical="center"/>
    </xf>
    <xf numFmtId="0" fontId="58" fillId="0" borderId="60" xfId="59" applyFont="1" applyBorder="1" applyAlignment="1">
      <alignment horizontal="justify" vertical="center"/>
    </xf>
    <xf numFmtId="0" fontId="50" fillId="0" borderId="60" xfId="59" applyFont="1" applyBorder="1" applyAlignment="1">
      <alignment horizontal="center" vertical="center"/>
    </xf>
    <xf numFmtId="4" fontId="50" fillId="0" borderId="60" xfId="13" applyNumberFormat="1" applyFont="1" applyFill="1" applyBorder="1" applyAlignment="1">
      <alignment horizontal="right" vertical="center"/>
    </xf>
    <xf numFmtId="177" fontId="50" fillId="0" borderId="60" xfId="60" applyNumberFormat="1" applyFont="1" applyFill="1" applyBorder="1" applyAlignment="1">
      <alignment horizontal="right" vertical="center"/>
    </xf>
    <xf numFmtId="174" fontId="50" fillId="8" borderId="60" xfId="60" applyNumberFormat="1" applyFont="1" applyFill="1" applyBorder="1" applyAlignment="1">
      <alignment horizontal="right" vertical="center"/>
    </xf>
    <xf numFmtId="177" fontId="50" fillId="8" borderId="60" xfId="60" applyNumberFormat="1" applyFont="1" applyFill="1" applyBorder="1" applyAlignment="1">
      <alignment horizontal="right" vertical="center"/>
    </xf>
    <xf numFmtId="4" fontId="52" fillId="8" borderId="60" xfId="59" applyNumberFormat="1" applyFont="1" applyFill="1" applyBorder="1" applyAlignment="1">
      <alignment horizontal="center" vertical="center" wrapText="1"/>
    </xf>
    <xf numFmtId="0" fontId="58" fillId="8" borderId="60" xfId="59" quotePrefix="1" applyFont="1" applyFill="1" applyBorder="1" applyAlignment="1">
      <alignment horizontal="center" vertical="center" wrapText="1"/>
    </xf>
    <xf numFmtId="0" fontId="45" fillId="8" borderId="0" xfId="0" applyFont="1" applyFill="1" applyAlignment="1">
      <alignment horizontal="center" vertical="center"/>
    </xf>
    <xf numFmtId="0" fontId="71" fillId="8" borderId="0" xfId="0" applyFont="1" applyFill="1" applyAlignment="1">
      <alignment horizontal="center"/>
    </xf>
    <xf numFmtId="0" fontId="72" fillId="8" borderId="0" xfId="0" applyFont="1" applyFill="1" applyAlignment="1">
      <alignment horizontal="justify" vertical="center" wrapText="1"/>
    </xf>
    <xf numFmtId="170" fontId="45" fillId="8" borderId="0" xfId="0" applyNumberFormat="1" applyFont="1" applyFill="1" applyAlignment="1">
      <alignment horizontal="center" vertical="center"/>
    </xf>
    <xf numFmtId="174" fontId="60" fillId="8" borderId="16" xfId="60" applyNumberFormat="1" applyFont="1" applyFill="1" applyBorder="1" applyAlignment="1">
      <alignment horizontal="right" vertical="center"/>
    </xf>
    <xf numFmtId="174" fontId="60" fillId="10" borderId="16" xfId="60" applyNumberFormat="1" applyFont="1" applyFill="1" applyBorder="1" applyAlignment="1">
      <alignment horizontal="right" vertical="center"/>
    </xf>
    <xf numFmtId="10" fontId="50" fillId="0" borderId="16" xfId="59" applyNumberFormat="1" applyFont="1" applyBorder="1" applyAlignment="1">
      <alignment horizontal="right" vertical="center"/>
    </xf>
    <xf numFmtId="174" fontId="50" fillId="0" borderId="25" xfId="60" applyNumberFormat="1" applyFont="1" applyFill="1" applyBorder="1" applyAlignment="1">
      <alignment horizontal="right" vertical="center"/>
    </xf>
    <xf numFmtId="0" fontId="65" fillId="0" borderId="0" xfId="64" applyFont="1" applyAlignment="1">
      <alignment horizontal="left" vertical="center"/>
    </xf>
    <xf numFmtId="0" fontId="67" fillId="8" borderId="0" xfId="64" applyFont="1" applyFill="1" applyAlignment="1">
      <alignment horizontal="left" vertical="center"/>
    </xf>
    <xf numFmtId="0" fontId="63" fillId="0" borderId="29" xfId="0" applyFont="1" applyBorder="1" applyAlignment="1">
      <alignment horizontal="right" vertical="center"/>
    </xf>
    <xf numFmtId="0" fontId="63" fillId="0" borderId="30" xfId="0" applyFont="1" applyBorder="1"/>
    <xf numFmtId="10" fontId="63" fillId="0" borderId="31" xfId="45" applyNumberFormat="1" applyFont="1" applyBorder="1" applyAlignment="1">
      <alignment horizontal="right"/>
    </xf>
    <xf numFmtId="0" fontId="73" fillId="0" borderId="27" xfId="0" applyFont="1" applyBorder="1" applyAlignment="1">
      <alignment horizontal="right" vertical="center"/>
    </xf>
    <xf numFmtId="0" fontId="73" fillId="0" borderId="25" xfId="0" applyFont="1" applyBorder="1"/>
    <xf numFmtId="10" fontId="73" fillId="0" borderId="28" xfId="45" applyNumberFormat="1" applyFont="1" applyBorder="1" applyAlignment="1">
      <alignment horizontal="right"/>
    </xf>
    <xf numFmtId="0" fontId="73" fillId="0" borderId="53" xfId="0" applyFont="1" applyBorder="1" applyAlignment="1">
      <alignment horizontal="right" vertical="center"/>
    </xf>
    <xf numFmtId="0" fontId="73" fillId="0" borderId="37" xfId="0" applyFont="1" applyBorder="1"/>
    <xf numFmtId="10" fontId="73" fillId="0" borderId="64" xfId="45" applyNumberFormat="1" applyFont="1" applyBorder="1" applyAlignment="1">
      <alignment horizontal="right"/>
    </xf>
    <xf numFmtId="0" fontId="63" fillId="0" borderId="27" xfId="0" applyFont="1" applyBorder="1" applyAlignment="1">
      <alignment horizontal="right" vertical="center"/>
    </xf>
    <xf numFmtId="0" fontId="63" fillId="0" borderId="25" xfId="0" applyFont="1" applyBorder="1"/>
    <xf numFmtId="10" fontId="63" fillId="0" borderId="28" xfId="45" applyNumberFormat="1" applyFont="1" applyBorder="1" applyAlignment="1">
      <alignment horizontal="right"/>
    </xf>
    <xf numFmtId="2" fontId="73" fillId="0" borderId="27" xfId="0" applyNumberFormat="1" applyFont="1" applyBorder="1" applyAlignment="1">
      <alignment horizontal="right" vertical="center"/>
    </xf>
    <xf numFmtId="0" fontId="73" fillId="0" borderId="27" xfId="0" applyFont="1" applyBorder="1" applyAlignment="1">
      <alignment horizontal="right"/>
    </xf>
    <xf numFmtId="0" fontId="73" fillId="0" borderId="53" xfId="0" applyFont="1" applyBorder="1" applyAlignment="1">
      <alignment horizontal="right"/>
    </xf>
    <xf numFmtId="0" fontId="74" fillId="12" borderId="32" xfId="0" applyFont="1" applyFill="1" applyBorder="1" applyAlignment="1">
      <alignment horizontal="right"/>
    </xf>
    <xf numFmtId="0" fontId="63" fillId="12" borderId="33" xfId="0" applyFont="1" applyFill="1" applyBorder="1"/>
    <xf numFmtId="10" fontId="63" fillId="12" borderId="34" xfId="0" applyNumberFormat="1" applyFont="1" applyFill="1" applyBorder="1" applyAlignment="1">
      <alignment horizontal="right"/>
    </xf>
    <xf numFmtId="0" fontId="27" fillId="0" borderId="0" xfId="63" applyFont="1" applyAlignment="1">
      <alignment horizontal="right" vertical="center" wrapText="1"/>
    </xf>
    <xf numFmtId="0" fontId="29" fillId="0" borderId="0" xfId="63" applyFont="1" applyAlignment="1">
      <alignment horizontal="right" vertical="center" wrapText="1"/>
    </xf>
    <xf numFmtId="0" fontId="25" fillId="0" borderId="0" xfId="0" applyFont="1"/>
    <xf numFmtId="0" fontId="25" fillId="0" borderId="0" xfId="0" applyFont="1" applyAlignment="1">
      <alignment horizontal="left"/>
    </xf>
    <xf numFmtId="195" fontId="50" fillId="8" borderId="0" xfId="12" applyNumberFormat="1" applyFont="1" applyFill="1" applyAlignment="1"/>
    <xf numFmtId="0" fontId="46" fillId="8" borderId="0" xfId="0" applyFont="1" applyFill="1" applyAlignment="1">
      <alignment horizontal="right" vertical="center" wrapText="1"/>
    </xf>
    <xf numFmtId="174" fontId="50" fillId="8" borderId="30" xfId="60" applyNumberFormat="1" applyFont="1" applyFill="1" applyBorder="1" applyAlignment="1">
      <alignment horizontal="right" vertical="center"/>
    </xf>
    <xf numFmtId="174" fontId="75" fillId="0" borderId="0" xfId="59" applyNumberFormat="1" applyFont="1"/>
    <xf numFmtId="165" fontId="50" fillId="0" borderId="0" xfId="6" applyFont="1" applyFill="1" applyAlignment="1"/>
    <xf numFmtId="44" fontId="50" fillId="8" borderId="0" xfId="59" applyNumberFormat="1" applyFont="1" applyFill="1"/>
    <xf numFmtId="4" fontId="26" fillId="8" borderId="0" xfId="0" applyNumberFormat="1" applyFont="1" applyFill="1" applyAlignment="1">
      <alignment horizontal="left" vertical="center"/>
    </xf>
    <xf numFmtId="0" fontId="26" fillId="8" borderId="0" xfId="0" applyFont="1" applyFill="1" applyAlignment="1">
      <alignment horizontal="left" vertical="center"/>
    </xf>
    <xf numFmtId="174" fontId="50" fillId="8" borderId="0" xfId="59" applyNumberFormat="1" applyFont="1" applyFill="1" applyAlignment="1">
      <alignment vertical="center"/>
    </xf>
    <xf numFmtId="0" fontId="76" fillId="8" borderId="0" xfId="0" applyFont="1" applyFill="1" applyAlignment="1">
      <alignment horizontal="right"/>
    </xf>
    <xf numFmtId="2" fontId="51" fillId="0" borderId="60" xfId="59" applyNumberFormat="1" applyFont="1" applyBorder="1" applyAlignment="1">
      <alignment horizontal="center" vertical="center"/>
    </xf>
    <xf numFmtId="4" fontId="50" fillId="0" borderId="25" xfId="59" applyNumberFormat="1" applyFont="1" applyBorder="1" applyAlignment="1">
      <alignment horizontal="right" vertical="center"/>
    </xf>
    <xf numFmtId="0" fontId="57" fillId="0" borderId="0" xfId="0" applyFont="1"/>
    <xf numFmtId="0" fontId="0" fillId="0" borderId="0" xfId="0" applyAlignment="1">
      <alignment horizontal="center" vertical="center"/>
    </xf>
    <xf numFmtId="166" fontId="0" fillId="0" borderId="0" xfId="48" applyFont="1" applyFill="1" applyBorder="1" applyAlignment="1">
      <alignment vertical="center"/>
    </xf>
    <xf numFmtId="0" fontId="0" fillId="0" borderId="0" xfId="0" applyAlignment="1">
      <alignment vertical="center"/>
    </xf>
    <xf numFmtId="0" fontId="46" fillId="0" borderId="0" xfId="0" applyFont="1"/>
    <xf numFmtId="0" fontId="45" fillId="0" borderId="0" xfId="0" applyFont="1" applyAlignment="1">
      <alignment horizontal="center" vertical="center"/>
    </xf>
    <xf numFmtId="0" fontId="10" fillId="0" borderId="0" xfId="0" applyFont="1"/>
    <xf numFmtId="4" fontId="10" fillId="0" borderId="0" xfId="0" applyNumberFormat="1" applyFont="1"/>
    <xf numFmtId="0" fontId="10" fillId="0" borderId="0" xfId="0" applyFont="1" applyAlignment="1">
      <alignment horizontal="center" vertical="center"/>
    </xf>
    <xf numFmtId="166" fontId="10" fillId="0" borderId="0" xfId="48" applyFont="1" applyFill="1" applyAlignment="1">
      <alignment vertical="center"/>
    </xf>
    <xf numFmtId="0" fontId="10" fillId="0" borderId="0" xfId="0" applyFont="1" applyAlignment="1">
      <alignment vertical="center"/>
    </xf>
    <xf numFmtId="0" fontId="70" fillId="0" borderId="0" xfId="0" applyFont="1"/>
    <xf numFmtId="0" fontId="45" fillId="0" borderId="0" xfId="0" applyFont="1" applyAlignment="1">
      <alignment vertical="center"/>
    </xf>
    <xf numFmtId="2" fontId="45" fillId="0" borderId="0" xfId="0" applyNumberFormat="1" applyFont="1" applyAlignment="1">
      <alignment horizontal="center" vertical="center"/>
    </xf>
    <xf numFmtId="0" fontId="45" fillId="0" borderId="0" xfId="0" applyFont="1" applyAlignment="1">
      <alignment horizontal="justify" vertical="center" wrapText="1"/>
    </xf>
    <xf numFmtId="0" fontId="10" fillId="0" borderId="0" xfId="0" quotePrefix="1" applyFont="1" applyAlignment="1">
      <alignment horizontal="center" vertical="center"/>
    </xf>
    <xf numFmtId="4" fontId="28" fillId="0" borderId="0" xfId="0" applyNumberFormat="1" applyFont="1" applyAlignment="1">
      <alignment horizontal="center" vertical="center"/>
    </xf>
    <xf numFmtId="0" fontId="28" fillId="0" borderId="0" xfId="0" applyFont="1" applyAlignment="1">
      <alignment horizontal="center" vertical="center"/>
    </xf>
    <xf numFmtId="166" fontId="28" fillId="0" borderId="0" xfId="48" applyFont="1" applyFill="1" applyAlignment="1">
      <alignment horizontal="center" vertical="center"/>
    </xf>
    <xf numFmtId="166" fontId="0" fillId="0" borderId="0" xfId="48" applyFont="1" applyFill="1" applyAlignment="1">
      <alignment vertical="center"/>
    </xf>
    <xf numFmtId="0" fontId="46" fillId="0" borderId="0" xfId="0" applyFont="1" applyAlignment="1">
      <alignment horizontal="right"/>
    </xf>
    <xf numFmtId="0" fontId="0" fillId="0" borderId="0" xfId="0" quotePrefix="1" applyAlignment="1">
      <alignment horizontal="center" vertical="center"/>
    </xf>
    <xf numFmtId="0" fontId="66" fillId="0" borderId="0" xfId="0" applyFont="1" applyAlignment="1">
      <alignment horizontal="right"/>
    </xf>
    <xf numFmtId="166" fontId="28" fillId="0" borderId="13" xfId="48" applyFont="1" applyFill="1" applyBorder="1" applyAlignment="1">
      <alignment vertical="center"/>
    </xf>
    <xf numFmtId="0" fontId="28" fillId="0" borderId="15" xfId="0" applyFont="1" applyBorder="1" applyAlignment="1">
      <alignment horizontal="center" vertical="center"/>
    </xf>
    <xf numFmtId="166" fontId="0" fillId="0" borderId="0" xfId="48" applyFont="1" applyAlignment="1">
      <alignment vertical="center"/>
    </xf>
    <xf numFmtId="166" fontId="0" fillId="0" borderId="0" xfId="48" applyFont="1" applyAlignment="1">
      <alignment horizontal="center" vertical="center"/>
    </xf>
    <xf numFmtId="166" fontId="0" fillId="0" borderId="0" xfId="48" applyFont="1" applyBorder="1" applyAlignment="1">
      <alignment vertical="center"/>
    </xf>
    <xf numFmtId="166" fontId="0" fillId="0" borderId="0" xfId="48" applyFont="1" applyBorder="1" applyAlignment="1">
      <alignment horizontal="center" vertical="center"/>
    </xf>
    <xf numFmtId="174" fontId="50" fillId="0" borderId="30" xfId="60" applyNumberFormat="1" applyFont="1" applyFill="1" applyBorder="1" applyAlignment="1">
      <alignment horizontal="right" vertical="center"/>
    </xf>
    <xf numFmtId="0" fontId="45" fillId="8" borderId="0" xfId="0" applyFont="1" applyFill="1" applyAlignment="1">
      <alignment horizontal="right" wrapText="1"/>
    </xf>
    <xf numFmtId="0" fontId="45" fillId="8" borderId="0" xfId="0" applyFont="1" applyFill="1" applyAlignment="1">
      <alignment horizontal="right"/>
    </xf>
    <xf numFmtId="0" fontId="77" fillId="8" borderId="0" xfId="0" applyFont="1" applyFill="1" applyAlignment="1">
      <alignment horizontal="right"/>
    </xf>
    <xf numFmtId="0" fontId="72" fillId="8" borderId="0" xfId="0" applyFont="1" applyFill="1" applyAlignment="1">
      <alignment horizontal="right" wrapText="1"/>
    </xf>
    <xf numFmtId="0" fontId="46" fillId="8" borderId="0" xfId="0" applyFont="1" applyFill="1" applyAlignment="1">
      <alignment horizontal="right" vertical="center"/>
    </xf>
    <xf numFmtId="166" fontId="46" fillId="8" borderId="0" xfId="48" applyFont="1" applyFill="1" applyAlignment="1">
      <alignment vertical="center" wrapText="1"/>
    </xf>
    <xf numFmtId="174" fontId="60" fillId="4" borderId="16" xfId="60" applyNumberFormat="1" applyFont="1" applyFill="1" applyBorder="1" applyAlignment="1">
      <alignment horizontal="right" vertical="center"/>
    </xf>
    <xf numFmtId="166" fontId="50" fillId="0" borderId="60" xfId="59" applyNumberFormat="1" applyFont="1" applyBorder="1" applyAlignment="1">
      <alignment horizontal="center" vertical="center"/>
    </xf>
    <xf numFmtId="177" fontId="50" fillId="8" borderId="33" xfId="60" applyNumberFormat="1" applyFont="1" applyFill="1" applyBorder="1" applyAlignment="1">
      <alignment horizontal="right" vertical="center"/>
    </xf>
    <xf numFmtId="0" fontId="58" fillId="8" borderId="25" xfId="0" applyFont="1" applyFill="1" applyBorder="1" applyAlignment="1">
      <alignment horizontal="justify" vertical="center" wrapText="1"/>
    </xf>
    <xf numFmtId="174" fontId="51" fillId="13" borderId="16" xfId="60" applyNumberFormat="1" applyFont="1" applyFill="1" applyBorder="1" applyAlignment="1">
      <alignment horizontal="right" vertical="center"/>
    </xf>
    <xf numFmtId="174" fontId="51" fillId="0" borderId="16" xfId="60" applyNumberFormat="1" applyFont="1" applyFill="1" applyBorder="1" applyAlignment="1">
      <alignment horizontal="right" vertical="center"/>
    </xf>
    <xf numFmtId="174" fontId="51" fillId="11" borderId="16" xfId="60" applyNumberFormat="1" applyFont="1" applyFill="1" applyBorder="1" applyAlignment="1">
      <alignment horizontal="right" vertical="center"/>
    </xf>
    <xf numFmtId="0" fontId="10" fillId="0" borderId="0" xfId="68"/>
    <xf numFmtId="0" fontId="51" fillId="0" borderId="72" xfId="59" applyFont="1" applyBorder="1" applyAlignment="1">
      <alignment horizontal="center" vertical="center"/>
    </xf>
    <xf numFmtId="177" fontId="60" fillId="0" borderId="72" xfId="60" applyNumberFormat="1" applyFont="1" applyFill="1" applyBorder="1" applyAlignment="1">
      <alignment horizontal="right" vertical="center"/>
    </xf>
    <xf numFmtId="0" fontId="78" fillId="0" borderId="0" xfId="59" applyFont="1" applyAlignment="1">
      <alignment horizontal="center" vertical="center"/>
    </xf>
    <xf numFmtId="174" fontId="78" fillId="0" borderId="0" xfId="60" applyNumberFormat="1" applyFont="1" applyFill="1" applyBorder="1" applyAlignment="1">
      <alignment horizontal="right" vertical="center"/>
    </xf>
    <xf numFmtId="165" fontId="0" fillId="0" borderId="0" xfId="6" applyFont="1"/>
    <xf numFmtId="14" fontId="20" fillId="8" borderId="16" xfId="0" applyNumberFormat="1" applyFont="1" applyFill="1" applyBorder="1" applyAlignment="1">
      <alignment horizontal="center" vertical="center" wrapText="1"/>
    </xf>
    <xf numFmtId="39" fontId="45" fillId="8" borderId="0" xfId="0" applyNumberFormat="1" applyFont="1" applyFill="1" applyAlignment="1">
      <alignment horizontal="justify" vertical="center" wrapText="1"/>
    </xf>
    <xf numFmtId="39" fontId="72" fillId="8" borderId="0" xfId="0" applyNumberFormat="1" applyFont="1" applyFill="1" applyAlignment="1">
      <alignment horizontal="justify" vertical="center" wrapText="1"/>
    </xf>
    <xf numFmtId="39" fontId="58" fillId="0" borderId="60" xfId="59" applyNumberFormat="1" applyFont="1" applyBorder="1" applyAlignment="1">
      <alignment horizontal="justify" vertical="center"/>
    </xf>
    <xf numFmtId="39" fontId="58" fillId="0" borderId="25" xfId="59" applyNumberFormat="1" applyFont="1" applyBorder="1" applyAlignment="1">
      <alignment horizontal="justify" vertical="center"/>
    </xf>
    <xf numFmtId="3" fontId="16" fillId="0" borderId="17" xfId="0" applyNumberFormat="1" applyFont="1" applyBorder="1" applyAlignment="1">
      <alignment horizontal="center" vertical="center"/>
    </xf>
    <xf numFmtId="9" fontId="51" fillId="15" borderId="16" xfId="59" applyNumberFormat="1" applyFont="1" applyFill="1" applyBorder="1" applyAlignment="1">
      <alignment vertical="center"/>
    </xf>
    <xf numFmtId="173" fontId="60" fillId="15" borderId="16" xfId="60" applyNumberFormat="1" applyFont="1" applyFill="1" applyBorder="1" applyAlignment="1">
      <alignment horizontal="right" vertical="center"/>
    </xf>
    <xf numFmtId="174" fontId="60" fillId="16" borderId="16" xfId="60" applyNumberFormat="1" applyFont="1" applyFill="1" applyBorder="1" applyAlignment="1">
      <alignment horizontal="right" vertical="center"/>
    </xf>
    <xf numFmtId="173" fontId="46" fillId="0" borderId="60" xfId="92" applyNumberFormat="1" applyFont="1" applyBorder="1" applyAlignment="1">
      <alignment vertical="center" wrapText="1"/>
    </xf>
    <xf numFmtId="174" fontId="60" fillId="14" borderId="16" xfId="60" applyNumberFormat="1" applyFont="1" applyFill="1" applyBorder="1" applyAlignment="1">
      <alignment horizontal="right" vertical="center"/>
    </xf>
    <xf numFmtId="44" fontId="0" fillId="0" borderId="0" xfId="0" applyNumberFormat="1"/>
    <xf numFmtId="165" fontId="87" fillId="0" borderId="0" xfId="87" applyFont="1" applyAlignment="1">
      <alignment horizontal="center"/>
    </xf>
    <xf numFmtId="184" fontId="80" fillId="0" borderId="0" xfId="65" applyNumberFormat="1" applyFont="1" applyAlignment="1">
      <alignment horizontal="left" vertical="center" wrapText="1"/>
    </xf>
    <xf numFmtId="0" fontId="85" fillId="0" borderId="27" xfId="69" applyFont="1" applyBorder="1" applyAlignment="1">
      <alignment horizontal="center" vertical="center"/>
    </xf>
    <xf numFmtId="0" fontId="85" fillId="0" borderId="25" xfId="69" applyFont="1" applyBorder="1" applyAlignment="1">
      <alignment horizontal="left" vertical="center" wrapText="1"/>
    </xf>
    <xf numFmtId="0" fontId="85" fillId="0" borderId="25" xfId="69" applyFont="1" applyBorder="1" applyAlignment="1">
      <alignment horizontal="center" vertical="center" wrapText="1"/>
    </xf>
    <xf numFmtId="9" fontId="85" fillId="0" borderId="25" xfId="69" applyNumberFormat="1" applyFont="1" applyBorder="1" applyAlignment="1">
      <alignment horizontal="center" vertical="center"/>
    </xf>
    <xf numFmtId="0" fontId="85" fillId="0" borderId="25" xfId="48" applyNumberFormat="1" applyFont="1" applyBorder="1" applyAlignment="1">
      <alignment horizontal="center" vertical="center"/>
    </xf>
    <xf numFmtId="0" fontId="83" fillId="18" borderId="73" xfId="69" applyFont="1" applyFill="1" applyBorder="1" applyAlignment="1">
      <alignment horizontal="center" vertical="center"/>
    </xf>
    <xf numFmtId="0" fontId="83" fillId="18" borderId="38" xfId="69" applyFont="1" applyFill="1" applyBorder="1" applyAlignment="1">
      <alignment horizontal="center" vertical="center" wrapText="1"/>
    </xf>
    <xf numFmtId="0" fontId="83" fillId="18" borderId="39" xfId="69" applyFont="1" applyFill="1" applyBorder="1" applyAlignment="1">
      <alignment horizontal="center" vertical="center" wrapText="1"/>
    </xf>
    <xf numFmtId="173" fontId="85" fillId="0" borderId="28" xfId="69" applyNumberFormat="1" applyFont="1" applyBorder="1" applyAlignment="1">
      <alignment horizontal="center" vertical="center"/>
    </xf>
    <xf numFmtId="174" fontId="90" fillId="0" borderId="0" xfId="78" applyNumberFormat="1" applyFont="1" applyFill="1" applyBorder="1" applyAlignment="1">
      <alignment horizontal="right" vertical="center" wrapText="1"/>
    </xf>
    <xf numFmtId="0" fontId="60" fillId="0" borderId="0" xfId="0" applyFont="1" applyAlignment="1">
      <alignment vertical="center"/>
    </xf>
    <xf numFmtId="0" fontId="68" fillId="0" borderId="0" xfId="0" applyFont="1" applyAlignment="1">
      <alignment vertical="center"/>
    </xf>
    <xf numFmtId="0" fontId="60" fillId="0" borderId="0" xfId="0" applyFont="1"/>
    <xf numFmtId="0" fontId="89" fillId="13" borderId="73" xfId="35" applyFont="1" applyFill="1" applyBorder="1" applyAlignment="1">
      <alignment horizontal="center" vertical="center" wrapText="1"/>
    </xf>
    <xf numFmtId="0" fontId="89" fillId="13" borderId="38" xfId="35" applyFont="1" applyFill="1" applyBorder="1" applyAlignment="1">
      <alignment horizontal="center" vertical="center" wrapText="1"/>
    </xf>
    <xf numFmtId="171" fontId="89" fillId="13" borderId="38" xfId="2" applyFont="1" applyFill="1" applyBorder="1" applyAlignment="1">
      <alignment horizontal="center" vertical="center" wrapText="1"/>
    </xf>
    <xf numFmtId="0" fontId="89" fillId="13" borderId="39" xfId="35" applyFont="1" applyFill="1" applyBorder="1" applyAlignment="1">
      <alignment horizontal="center" vertical="center" wrapText="1"/>
    </xf>
    <xf numFmtId="0" fontId="89" fillId="12" borderId="16" xfId="64" applyFont="1" applyFill="1" applyBorder="1" applyAlignment="1">
      <alignment horizontal="center" vertical="center"/>
    </xf>
    <xf numFmtId="0" fontId="93" fillId="0" borderId="25" xfId="35" applyFont="1" applyBorder="1" applyAlignment="1">
      <alignment horizontal="center" vertical="center" wrapText="1"/>
    </xf>
    <xf numFmtId="0" fontId="92" fillId="0" borderId="27" xfId="35" applyFont="1" applyBorder="1" applyAlignment="1">
      <alignment horizontal="left" vertical="center" wrapText="1"/>
    </xf>
    <xf numFmtId="170" fontId="93" fillId="0" borderId="25" xfId="35" applyNumberFormat="1" applyFont="1" applyBorder="1" applyAlignment="1">
      <alignment horizontal="center" vertical="center" wrapText="1"/>
    </xf>
    <xf numFmtId="198" fontId="93" fillId="0" borderId="25" xfId="35" applyNumberFormat="1" applyFont="1" applyBorder="1" applyAlignment="1">
      <alignment horizontal="center" vertical="center" wrapText="1"/>
    </xf>
    <xf numFmtId="167" fontId="93" fillId="8" borderId="28" xfId="89" applyFont="1" applyFill="1" applyBorder="1" applyAlignment="1">
      <alignment vertical="center" wrapText="1"/>
    </xf>
    <xf numFmtId="0" fontId="92" fillId="0" borderId="27" xfId="35" applyFont="1" applyBorder="1" applyAlignment="1">
      <alignment vertical="center" wrapText="1"/>
    </xf>
    <xf numFmtId="174" fontId="92" fillId="19" borderId="39" xfId="89" applyNumberFormat="1" applyFont="1" applyFill="1" applyBorder="1" applyAlignment="1">
      <alignment horizontal="right" vertical="center" wrapText="1"/>
    </xf>
    <xf numFmtId="178" fontId="92" fillId="13" borderId="73" xfId="37" applyFont="1" applyFill="1" applyBorder="1" applyAlignment="1">
      <alignment horizontal="center" vertical="center"/>
    </xf>
    <xf numFmtId="178" fontId="92" fillId="13" borderId="38" xfId="37" applyFont="1" applyFill="1" applyBorder="1" applyAlignment="1">
      <alignment horizontal="center" vertical="center"/>
    </xf>
    <xf numFmtId="178" fontId="92" fillId="13" borderId="38" xfId="37" applyFont="1" applyFill="1" applyBorder="1" applyAlignment="1">
      <alignment horizontal="center" vertical="center" wrapText="1"/>
    </xf>
    <xf numFmtId="4" fontId="35" fillId="13" borderId="38" xfId="92" applyNumberFormat="1" applyFont="1" applyFill="1" applyBorder="1" applyAlignment="1">
      <alignment horizontal="center" vertical="center" wrapText="1"/>
    </xf>
    <xf numFmtId="178" fontId="92" fillId="13" borderId="39" xfId="37" applyFont="1" applyFill="1" applyBorder="1" applyAlignment="1">
      <alignment horizontal="center" vertical="center"/>
    </xf>
    <xf numFmtId="178" fontId="35" fillId="8" borderId="85" xfId="37" applyFont="1" applyFill="1" applyBorder="1" applyAlignment="1" applyProtection="1">
      <alignment vertical="top" wrapText="1"/>
      <protection hidden="1"/>
    </xf>
    <xf numFmtId="178" fontId="93" fillId="8" borderId="83" xfId="37" applyFont="1" applyFill="1" applyBorder="1"/>
    <xf numFmtId="178" fontId="93" fillId="8" borderId="86" xfId="37" applyFont="1" applyFill="1" applyBorder="1"/>
    <xf numFmtId="178" fontId="93" fillId="8" borderId="84" xfId="37" applyFont="1" applyFill="1" applyBorder="1"/>
    <xf numFmtId="178" fontId="92" fillId="17" borderId="73" xfId="37" applyFont="1" applyFill="1" applyBorder="1" applyAlignment="1">
      <alignment vertical="center"/>
    </xf>
    <xf numFmtId="178" fontId="92" fillId="17" borderId="38" xfId="37" applyFont="1" applyFill="1" applyBorder="1" applyAlignment="1">
      <alignment vertical="center"/>
    </xf>
    <xf numFmtId="178" fontId="92" fillId="17" borderId="75" xfId="37" applyFont="1" applyFill="1" applyBorder="1" applyAlignment="1">
      <alignment vertical="center"/>
    </xf>
    <xf numFmtId="197" fontId="35" fillId="17" borderId="39" xfId="94" applyNumberFormat="1" applyFont="1" applyFill="1" applyBorder="1" applyAlignment="1">
      <alignment horizontal="right" vertical="center"/>
    </xf>
    <xf numFmtId="174" fontId="92" fillId="12" borderId="39" xfId="78" applyNumberFormat="1" applyFont="1" applyFill="1" applyBorder="1" applyAlignment="1">
      <alignment horizontal="right" vertical="center" wrapText="1"/>
    </xf>
    <xf numFmtId="0" fontId="92" fillId="0" borderId="29" xfId="35" applyFont="1" applyBorder="1" applyAlignment="1">
      <alignment vertical="center" wrapText="1"/>
    </xf>
    <xf numFmtId="0" fontId="93" fillId="0" borderId="30" xfId="35" applyFont="1" applyBorder="1" applyAlignment="1">
      <alignment horizontal="center" vertical="center" wrapText="1"/>
    </xf>
    <xf numFmtId="170" fontId="93" fillId="0" borderId="30" xfId="35" applyNumberFormat="1" applyFont="1" applyBorder="1" applyAlignment="1">
      <alignment horizontal="center" vertical="center" wrapText="1"/>
    </xf>
    <xf numFmtId="165" fontId="93" fillId="0" borderId="30" xfId="2" applyNumberFormat="1" applyFont="1" applyFill="1" applyBorder="1" applyAlignment="1">
      <alignment horizontal="right" vertical="center" wrapText="1"/>
    </xf>
    <xf numFmtId="167" fontId="93" fillId="8" borderId="31" xfId="89" applyFont="1" applyFill="1" applyBorder="1" applyAlignment="1">
      <alignment vertical="center" wrapText="1"/>
    </xf>
    <xf numFmtId="165" fontId="93" fillId="0" borderId="25" xfId="2" applyNumberFormat="1" applyFont="1" applyFill="1" applyBorder="1" applyAlignment="1">
      <alignment horizontal="right" vertical="center" wrapText="1"/>
    </xf>
    <xf numFmtId="165" fontId="93" fillId="0" borderId="33" xfId="2" applyNumberFormat="1" applyFont="1" applyFill="1" applyBorder="1" applyAlignment="1">
      <alignment horizontal="right" vertical="center" wrapText="1"/>
    </xf>
    <xf numFmtId="0" fontId="92" fillId="0" borderId="38" xfId="35" applyFont="1" applyBorder="1" applyAlignment="1">
      <alignment horizontal="right" vertical="center" wrapText="1"/>
    </xf>
    <xf numFmtId="178" fontId="91" fillId="0" borderId="32" xfId="37" applyFont="1" applyBorder="1" applyAlignment="1">
      <alignment vertical="center"/>
    </xf>
    <xf numFmtId="1" fontId="34" fillId="0" borderId="33" xfId="37" applyNumberFormat="1" applyFont="1" applyBorder="1" applyAlignment="1">
      <alignment horizontal="center" vertical="center"/>
    </xf>
    <xf numFmtId="187" fontId="93" fillId="8" borderId="33" xfId="17" applyNumberFormat="1" applyFont="1" applyFill="1" applyBorder="1" applyAlignment="1" applyProtection="1">
      <alignment horizontal="left" vertical="top"/>
      <protection hidden="1"/>
    </xf>
    <xf numFmtId="9" fontId="93" fillId="0" borderId="33" xfId="37" applyNumberFormat="1" applyFont="1" applyBorder="1" applyAlignment="1">
      <alignment horizontal="center" vertical="center"/>
    </xf>
    <xf numFmtId="197" fontId="93" fillId="0" borderId="34" xfId="94" applyNumberFormat="1" applyFont="1" applyBorder="1" applyAlignment="1">
      <alignment horizontal="right" vertical="center"/>
    </xf>
    <xf numFmtId="2" fontId="51" fillId="8" borderId="73" xfId="59" applyNumberFormat="1" applyFont="1" applyFill="1" applyBorder="1" applyAlignment="1">
      <alignment horizontal="center" vertical="center"/>
    </xf>
    <xf numFmtId="0" fontId="45" fillId="8" borderId="0" xfId="0" applyFont="1" applyFill="1" applyAlignment="1">
      <alignment horizontal="right" vertical="center" wrapText="1"/>
    </xf>
    <xf numFmtId="0" fontId="76" fillId="8" borderId="0" xfId="0" applyFont="1" applyFill="1" applyAlignment="1">
      <alignment horizontal="right" wrapText="1"/>
    </xf>
    <xf numFmtId="0" fontId="76" fillId="8" borderId="0" xfId="0" applyFont="1" applyFill="1" applyAlignment="1">
      <alignment horizontal="right" vertical="center" wrapText="1"/>
    </xf>
    <xf numFmtId="0" fontId="63" fillId="8" borderId="0" xfId="0" applyFont="1" applyFill="1" applyAlignment="1">
      <alignment horizontal="left"/>
    </xf>
    <xf numFmtId="174" fontId="52" fillId="0" borderId="0" xfId="59" applyNumberFormat="1" applyFont="1" applyAlignment="1">
      <alignment horizontal="center" vertical="center"/>
    </xf>
    <xf numFmtId="166" fontId="10" fillId="0" borderId="7" xfId="48" applyFont="1" applyFill="1" applyBorder="1" applyAlignment="1">
      <alignment vertical="center" wrapText="1"/>
    </xf>
    <xf numFmtId="0" fontId="10" fillId="8" borderId="0" xfId="0" quotePrefix="1" applyFont="1" applyFill="1" applyAlignment="1">
      <alignment horizontal="center" vertical="center" wrapText="1"/>
    </xf>
    <xf numFmtId="166" fontId="0" fillId="8" borderId="0" xfId="48" applyFont="1" applyFill="1" applyAlignment="1">
      <alignment vertical="center" wrapText="1"/>
    </xf>
    <xf numFmtId="0" fontId="0" fillId="8" borderId="0" xfId="0" quotePrefix="1" applyFill="1" applyAlignment="1">
      <alignment horizontal="center" vertical="center" wrapText="1"/>
    </xf>
    <xf numFmtId="0" fontId="0" fillId="8" borderId="0" xfId="0" applyFill="1" applyAlignment="1">
      <alignment horizontal="center" vertical="center" wrapText="1"/>
    </xf>
    <xf numFmtId="0" fontId="0" fillId="8" borderId="0" xfId="0" applyFill="1" applyAlignment="1">
      <alignment vertical="center" wrapText="1"/>
    </xf>
    <xf numFmtId="4" fontId="10" fillId="8" borderId="0" xfId="0" applyNumberFormat="1" applyFont="1" applyFill="1" applyAlignment="1">
      <alignment vertical="center" wrapText="1"/>
    </xf>
    <xf numFmtId="0" fontId="72" fillId="8" borderId="0" xfId="0" applyFont="1" applyFill="1" applyAlignment="1">
      <alignment horizontal="right" vertical="center"/>
    </xf>
    <xf numFmtId="0" fontId="72" fillId="8" borderId="0" xfId="0" applyFont="1" applyFill="1" applyAlignment="1">
      <alignment horizontal="right"/>
    </xf>
    <xf numFmtId="0" fontId="63" fillId="8" borderId="16" xfId="0" applyFont="1" applyFill="1" applyBorder="1" applyAlignment="1">
      <alignment horizontal="center" vertical="center" wrapText="1"/>
    </xf>
    <xf numFmtId="165" fontId="0" fillId="0" borderId="0" xfId="6" applyFont="1" applyAlignment="1">
      <alignment horizontal="center" vertical="center"/>
    </xf>
    <xf numFmtId="0" fontId="26" fillId="8" borderId="0" xfId="0" applyFont="1" applyFill="1" applyAlignment="1">
      <alignment horizontal="center" vertical="center"/>
    </xf>
    <xf numFmtId="0" fontId="26" fillId="8" borderId="0" xfId="0" applyFont="1" applyFill="1" applyAlignment="1">
      <alignment vertical="center"/>
    </xf>
    <xf numFmtId="0" fontId="81" fillId="8" borderId="0" xfId="0" applyFont="1" applyFill="1"/>
    <xf numFmtId="4" fontId="81" fillId="8" borderId="0" xfId="0" applyNumberFormat="1" applyFont="1" applyFill="1"/>
    <xf numFmtId="0" fontId="81" fillId="8" borderId="0" xfId="0" applyFont="1" applyFill="1" applyAlignment="1">
      <alignment horizontal="center" vertical="center"/>
    </xf>
    <xf numFmtId="166" fontId="81" fillId="8" borderId="0" xfId="48" applyFont="1" applyFill="1" applyAlignment="1">
      <alignment vertical="center"/>
    </xf>
    <xf numFmtId="0" fontId="26" fillId="0" borderId="0" xfId="0" applyFont="1" applyAlignment="1">
      <alignment horizontal="center" vertical="center"/>
    </xf>
    <xf numFmtId="0" fontId="26" fillId="0" borderId="0" xfId="0" applyFont="1" applyAlignment="1">
      <alignment vertical="center"/>
    </xf>
    <xf numFmtId="0" fontId="76" fillId="0" borderId="0" xfId="0" applyFont="1" applyAlignment="1">
      <alignment horizontal="right"/>
    </xf>
    <xf numFmtId="44" fontId="13" fillId="0" borderId="0" xfId="0" applyNumberFormat="1" applyFont="1" applyAlignment="1">
      <alignment vertical="center"/>
    </xf>
    <xf numFmtId="166" fontId="28" fillId="0" borderId="0" xfId="48" applyFont="1" applyFill="1" applyBorder="1" applyAlignment="1">
      <alignment horizontal="center" vertical="center"/>
    </xf>
    <xf numFmtId="0" fontId="81" fillId="0" borderId="0" xfId="0" applyFont="1"/>
    <xf numFmtId="4" fontId="81" fillId="0" borderId="0" xfId="0" applyNumberFormat="1" applyFont="1"/>
    <xf numFmtId="0" fontId="81" fillId="0" borderId="0" xfId="0" applyFont="1" applyAlignment="1">
      <alignment horizontal="center" vertical="center"/>
    </xf>
    <xf numFmtId="166" fontId="81" fillId="0" borderId="0" xfId="48" applyFont="1" applyFill="1" applyAlignment="1">
      <alignment vertical="center"/>
    </xf>
    <xf numFmtId="0" fontId="81" fillId="0" borderId="0" xfId="0" applyFont="1" applyAlignment="1">
      <alignment vertical="center"/>
    </xf>
    <xf numFmtId="0" fontId="26" fillId="8" borderId="0" xfId="0" applyFont="1" applyFill="1" applyAlignment="1">
      <alignment horizontal="center"/>
    </xf>
    <xf numFmtId="0" fontId="26" fillId="8" borderId="0" xfId="0" applyFont="1" applyFill="1" applyAlignment="1">
      <alignment horizontal="left"/>
    </xf>
    <xf numFmtId="0" fontId="26" fillId="8" borderId="0" xfId="0" applyFont="1" applyFill="1"/>
    <xf numFmtId="4" fontId="0" fillId="8" borderId="0" xfId="0" applyNumberFormat="1" applyFill="1" applyAlignment="1">
      <alignment horizontal="center" vertical="center"/>
    </xf>
    <xf numFmtId="166" fontId="10" fillId="8" borderId="0" xfId="48" applyFont="1" applyFill="1" applyAlignment="1">
      <alignment horizontal="center" vertical="center"/>
    </xf>
    <xf numFmtId="0" fontId="25" fillId="0" borderId="0" xfId="0" applyFont="1" applyAlignment="1">
      <alignment horizontal="left" vertical="center"/>
    </xf>
    <xf numFmtId="0" fontId="25" fillId="0" borderId="0" xfId="0" applyFont="1" applyAlignment="1">
      <alignment horizontal="center" vertical="center"/>
    </xf>
    <xf numFmtId="0" fontId="0" fillId="0" borderId="0" xfId="0" applyAlignment="1">
      <alignment horizontal="left" vertical="center"/>
    </xf>
    <xf numFmtId="4" fontId="26" fillId="0" borderId="0" xfId="0" applyNumberFormat="1" applyFont="1" applyAlignment="1">
      <alignment horizontal="left" vertical="center"/>
    </xf>
    <xf numFmtId="0" fontId="26" fillId="0" borderId="0" xfId="0" applyFont="1" applyAlignment="1">
      <alignment horizontal="left" vertical="center"/>
    </xf>
    <xf numFmtId="0" fontId="72" fillId="0" borderId="0" xfId="0" applyFont="1" applyAlignment="1">
      <alignment horizontal="justify" vertical="center" wrapText="1"/>
    </xf>
    <xf numFmtId="0" fontId="94" fillId="8" borderId="25" xfId="59" applyFont="1" applyFill="1" applyBorder="1" applyAlignment="1">
      <alignment horizontal="justify" vertical="center"/>
    </xf>
    <xf numFmtId="0" fontId="95" fillId="8" borderId="25" xfId="59" applyFont="1" applyFill="1" applyBorder="1" applyAlignment="1">
      <alignment horizontal="justify" vertical="center"/>
    </xf>
    <xf numFmtId="0" fontId="94" fillId="0" borderId="25" xfId="59" applyFont="1" applyBorder="1" applyAlignment="1">
      <alignment horizontal="justify" vertical="center"/>
    </xf>
    <xf numFmtId="0" fontId="94" fillId="8" borderId="25" xfId="0" applyFont="1" applyFill="1" applyBorder="1" applyAlignment="1">
      <alignment horizontal="justify" vertical="center" wrapText="1"/>
    </xf>
    <xf numFmtId="0" fontId="20" fillId="0" borderId="16" xfId="0" applyFont="1" applyBorder="1" applyAlignment="1">
      <alignment horizontal="center" vertical="center"/>
    </xf>
    <xf numFmtId="172" fontId="13" fillId="10" borderId="19" xfId="6" applyNumberFormat="1" applyFont="1" applyFill="1" applyBorder="1" applyAlignment="1">
      <alignment vertical="center"/>
    </xf>
    <xf numFmtId="172" fontId="13" fillId="10" borderId="17" xfId="6" applyNumberFormat="1" applyFont="1" applyFill="1" applyBorder="1" applyAlignment="1">
      <alignment vertical="center"/>
    </xf>
    <xf numFmtId="199" fontId="0" fillId="0" borderId="0" xfId="0" applyNumberFormat="1"/>
    <xf numFmtId="193" fontId="34" fillId="0" borderId="33" xfId="92" applyNumberFormat="1" applyFont="1" applyBorder="1" applyAlignment="1">
      <alignment horizontal="center" vertical="center" wrapText="1"/>
    </xf>
    <xf numFmtId="2" fontId="58" fillId="8" borderId="25" xfId="59" applyNumberFormat="1" applyFont="1" applyFill="1" applyBorder="1" applyAlignment="1">
      <alignment horizontal="justify" vertical="center"/>
    </xf>
    <xf numFmtId="166" fontId="28" fillId="8" borderId="0" xfId="48" applyFont="1" applyFill="1" applyBorder="1" applyAlignment="1">
      <alignment horizontal="center" vertical="center"/>
    </xf>
    <xf numFmtId="0" fontId="55" fillId="8" borderId="0" xfId="0" applyFont="1" applyFill="1" applyAlignment="1">
      <alignment vertical="center"/>
    </xf>
    <xf numFmtId="0" fontId="56" fillId="8" borderId="0" xfId="0" applyFont="1" applyFill="1" applyAlignment="1">
      <alignment vertical="center"/>
    </xf>
    <xf numFmtId="165" fontId="50" fillId="8" borderId="0" xfId="6" applyFont="1" applyFill="1" applyAlignment="1">
      <alignment vertical="center"/>
    </xf>
    <xf numFmtId="195" fontId="50" fillId="8" borderId="0" xfId="12" applyNumberFormat="1" applyFont="1" applyFill="1" applyAlignment="1">
      <alignment vertical="center"/>
    </xf>
    <xf numFmtId="0" fontId="50" fillId="0" borderId="0" xfId="59" applyFont="1" applyAlignment="1">
      <alignment vertical="center"/>
    </xf>
    <xf numFmtId="166" fontId="50" fillId="0" borderId="0" xfId="12" applyFont="1" applyFill="1" applyAlignment="1">
      <alignment vertical="center"/>
    </xf>
    <xf numFmtId="0" fontId="51" fillId="6" borderId="0" xfId="59" applyFont="1" applyFill="1" applyAlignment="1">
      <alignment horizontal="center" vertical="center"/>
    </xf>
    <xf numFmtId="177" fontId="60" fillId="6" borderId="0" xfId="60" applyNumberFormat="1" applyFont="1" applyFill="1" applyBorder="1" applyAlignment="1">
      <alignment horizontal="right" vertical="center"/>
    </xf>
    <xf numFmtId="174" fontId="60" fillId="6" borderId="0" xfId="60" applyNumberFormat="1" applyFont="1" applyFill="1" applyBorder="1" applyAlignment="1">
      <alignment horizontal="right" vertical="center"/>
    </xf>
    <xf numFmtId="172" fontId="13" fillId="6" borderId="17" xfId="6" applyNumberFormat="1" applyFont="1" applyFill="1" applyBorder="1" applyAlignment="1">
      <alignment vertical="center"/>
    </xf>
    <xf numFmtId="172" fontId="13" fillId="6" borderId="19" xfId="6" applyNumberFormat="1" applyFont="1" applyFill="1" applyBorder="1" applyAlignment="1">
      <alignment vertical="center"/>
    </xf>
    <xf numFmtId="0" fontId="85" fillId="0" borderId="77" xfId="69" applyFont="1" applyBorder="1" applyAlignment="1">
      <alignment horizontal="center" vertical="center"/>
    </xf>
    <xf numFmtId="0" fontId="85" fillId="0" borderId="57" xfId="69" applyFont="1" applyBorder="1" applyAlignment="1">
      <alignment horizontal="left" vertical="center" wrapText="1"/>
    </xf>
    <xf numFmtId="0" fontId="85" fillId="0" borderId="57" xfId="69" applyFont="1" applyBorder="1" applyAlignment="1">
      <alignment horizontal="center" vertical="center" wrapText="1"/>
    </xf>
    <xf numFmtId="49" fontId="28" fillId="13" borderId="16" xfId="0" applyNumberFormat="1" applyFont="1" applyFill="1" applyBorder="1" applyAlignment="1">
      <alignment horizontal="center" vertical="center" wrapText="1"/>
    </xf>
    <xf numFmtId="0" fontId="83" fillId="0" borderId="73" xfId="69" applyFont="1" applyBorder="1" applyAlignment="1">
      <alignment horizontal="center" vertical="center"/>
    </xf>
    <xf numFmtId="0" fontId="85" fillId="0" borderId="59" xfId="69" applyFont="1" applyBorder="1" applyAlignment="1">
      <alignment horizontal="center" vertical="center"/>
    </xf>
    <xf numFmtId="166" fontId="85" fillId="0" borderId="60" xfId="48" applyFont="1" applyBorder="1" applyAlignment="1">
      <alignment horizontal="center" vertical="center" wrapText="1"/>
    </xf>
    <xf numFmtId="10" fontId="85" fillId="0" borderId="60" xfId="69" applyNumberFormat="1" applyFont="1" applyBorder="1" applyAlignment="1">
      <alignment horizontal="center" vertical="center"/>
    </xf>
    <xf numFmtId="166" fontId="85" fillId="0" borderId="60" xfId="48" applyFont="1" applyBorder="1" applyAlignment="1">
      <alignment horizontal="center" vertical="center"/>
    </xf>
    <xf numFmtId="200" fontId="86" fillId="0" borderId="61" xfId="0" applyNumberFormat="1" applyFont="1" applyBorder="1" applyAlignment="1">
      <alignment horizontal="center" vertical="center" wrapText="1"/>
    </xf>
    <xf numFmtId="166" fontId="85" fillId="0" borderId="25" xfId="48" applyFont="1" applyBorder="1" applyAlignment="1">
      <alignment horizontal="center" vertical="center" wrapText="1"/>
    </xf>
    <xf numFmtId="10" fontId="85" fillId="0" borderId="25" xfId="69" applyNumberFormat="1" applyFont="1" applyBorder="1" applyAlignment="1">
      <alignment horizontal="center" vertical="center"/>
    </xf>
    <xf numFmtId="166" fontId="85" fillId="0" borderId="25" xfId="48" applyFont="1" applyBorder="1" applyAlignment="1">
      <alignment horizontal="center" vertical="center"/>
    </xf>
    <xf numFmtId="166" fontId="85" fillId="0" borderId="57" xfId="48" applyFont="1" applyBorder="1" applyAlignment="1">
      <alignment horizontal="center" vertical="center" wrapText="1"/>
    </xf>
    <xf numFmtId="173" fontId="46" fillId="0" borderId="41" xfId="92" applyNumberFormat="1" applyFont="1" applyBorder="1" applyAlignment="1">
      <alignment vertical="center" wrapText="1"/>
    </xf>
    <xf numFmtId="10" fontId="85" fillId="0" borderId="57" xfId="69" applyNumberFormat="1" applyFont="1" applyBorder="1" applyAlignment="1">
      <alignment horizontal="center" vertical="center"/>
    </xf>
    <xf numFmtId="166" fontId="85" fillId="0" borderId="57" xfId="48" applyFont="1" applyBorder="1" applyAlignment="1">
      <alignment horizontal="center" vertical="center"/>
    </xf>
    <xf numFmtId="0" fontId="85" fillId="0" borderId="73" xfId="69" applyFont="1" applyBorder="1" applyAlignment="1">
      <alignment horizontal="center" vertical="center"/>
    </xf>
    <xf numFmtId="165" fontId="83" fillId="0" borderId="39" xfId="6" applyFont="1" applyBorder="1" applyAlignment="1">
      <alignment horizontal="center" vertical="center"/>
    </xf>
    <xf numFmtId="166" fontId="83" fillId="0" borderId="39" xfId="48" applyFont="1" applyBorder="1" applyAlignment="1">
      <alignment horizontal="center" vertical="center"/>
    </xf>
    <xf numFmtId="166" fontId="46" fillId="0" borderId="60" xfId="48" applyFont="1" applyBorder="1" applyAlignment="1">
      <alignment vertical="center" wrapText="1"/>
    </xf>
    <xf numFmtId="165" fontId="46" fillId="0" borderId="60" xfId="6" applyFont="1" applyBorder="1" applyAlignment="1">
      <alignment vertical="center" wrapText="1"/>
    </xf>
    <xf numFmtId="10" fontId="85" fillId="0" borderId="25" xfId="45" applyNumberFormat="1" applyFont="1" applyBorder="1" applyAlignment="1">
      <alignment horizontal="center" vertical="center"/>
    </xf>
    <xf numFmtId="201" fontId="86" fillId="0" borderId="28" xfId="0" applyNumberFormat="1" applyFont="1" applyBorder="1" applyAlignment="1">
      <alignment vertical="center"/>
    </xf>
    <xf numFmtId="166" fontId="46" fillId="0" borderId="41" xfId="48" applyFont="1" applyBorder="1" applyAlignment="1">
      <alignment vertical="center" wrapText="1"/>
    </xf>
    <xf numFmtId="165" fontId="46" fillId="0" borderId="41" xfId="6" applyFont="1" applyBorder="1" applyAlignment="1">
      <alignment vertical="center" wrapText="1"/>
    </xf>
    <xf numFmtId="10" fontId="85" fillId="0" borderId="57" xfId="45" applyNumberFormat="1" applyFont="1" applyBorder="1" applyAlignment="1">
      <alignment horizontal="center" vertical="center"/>
    </xf>
    <xf numFmtId="201" fontId="86" fillId="0" borderId="58" xfId="0" applyNumberFormat="1" applyFont="1" applyBorder="1" applyAlignment="1">
      <alignment vertical="center"/>
    </xf>
    <xf numFmtId="0" fontId="85" fillId="0" borderId="60" xfId="69" applyFont="1" applyBorder="1" applyAlignment="1">
      <alignment horizontal="left" vertical="center" wrapText="1"/>
    </xf>
    <xf numFmtId="0" fontId="85" fillId="0" borderId="60" xfId="69" applyFont="1" applyBorder="1" applyAlignment="1">
      <alignment horizontal="center" vertical="center" wrapText="1"/>
    </xf>
    <xf numFmtId="9" fontId="85" fillId="0" borderId="60" xfId="69" applyNumberFormat="1" applyFont="1" applyBorder="1" applyAlignment="1">
      <alignment horizontal="center" vertical="center"/>
    </xf>
    <xf numFmtId="0" fontId="85" fillId="0" borderId="60" xfId="48" applyNumberFormat="1" applyFont="1" applyBorder="1" applyAlignment="1">
      <alignment horizontal="center" vertical="center"/>
    </xf>
    <xf numFmtId="173" fontId="85" fillId="0" borderId="61" xfId="69" applyNumberFormat="1" applyFont="1" applyBorder="1" applyAlignment="1">
      <alignment horizontal="center" vertical="center"/>
    </xf>
    <xf numFmtId="43" fontId="83" fillId="0" borderId="39" xfId="69" applyNumberFormat="1" applyFont="1" applyBorder="1" applyAlignment="1">
      <alignment vertical="center"/>
    </xf>
    <xf numFmtId="0" fontId="0" fillId="0" borderId="82" xfId="0" applyBorder="1"/>
    <xf numFmtId="0" fontId="0" fillId="0" borderId="76" xfId="0" applyBorder="1"/>
    <xf numFmtId="0" fontId="0" fillId="0" borderId="43" xfId="0" applyBorder="1"/>
    <xf numFmtId="0" fontId="96" fillId="0" borderId="0" xfId="65" applyFont="1" applyAlignment="1">
      <alignment vertical="center"/>
    </xf>
    <xf numFmtId="0" fontId="96" fillId="0" borderId="0" xfId="65" applyFont="1" applyAlignment="1">
      <alignment horizontal="center" vertical="center"/>
    </xf>
    <xf numFmtId="169" fontId="96" fillId="0" borderId="0" xfId="65" applyNumberFormat="1" applyFont="1" applyAlignment="1">
      <alignment horizontal="left" vertical="center"/>
    </xf>
    <xf numFmtId="184" fontId="96" fillId="0" borderId="0" xfId="65" applyNumberFormat="1" applyFont="1" applyAlignment="1">
      <alignment horizontal="right" vertical="center"/>
    </xf>
    <xf numFmtId="202" fontId="96" fillId="0" borderId="0" xfId="96" applyNumberFormat="1" applyFont="1" applyFill="1" applyBorder="1" applyAlignment="1" applyProtection="1"/>
    <xf numFmtId="0" fontId="96" fillId="0" borderId="0" xfId="97" applyFont="1" applyFill="1" applyBorder="1" applyAlignment="1" applyProtection="1"/>
    <xf numFmtId="0" fontId="96" fillId="0" borderId="72" xfId="65" applyFont="1" applyBorder="1"/>
    <xf numFmtId="0" fontId="96" fillId="0" borderId="72" xfId="65" applyFont="1" applyBorder="1" applyAlignment="1">
      <alignment horizontal="center"/>
    </xf>
    <xf numFmtId="0" fontId="96" fillId="0" borderId="72" xfId="97" applyFont="1" applyFill="1" applyBorder="1" applyAlignment="1" applyProtection="1"/>
    <xf numFmtId="184" fontId="96" fillId="0" borderId="72" xfId="97" applyNumberFormat="1" applyFont="1" applyFill="1" applyBorder="1" applyAlignment="1" applyProtection="1">
      <alignment horizontal="right"/>
    </xf>
    <xf numFmtId="202" fontId="96" fillId="0" borderId="72" xfId="97" applyNumberFormat="1" applyFont="1" applyFill="1" applyBorder="1" applyAlignment="1" applyProtection="1"/>
    <xf numFmtId="169" fontId="98" fillId="0" borderId="0" xfId="65" applyNumberFormat="1" applyFont="1" applyAlignment="1">
      <alignment vertical="center"/>
    </xf>
    <xf numFmtId="165" fontId="96" fillId="0" borderId="0" xfId="96" applyFont="1" applyFill="1" applyBorder="1" applyAlignment="1" applyProtection="1"/>
    <xf numFmtId="0" fontId="96" fillId="0" borderId="0" xfId="18" applyFont="1" applyAlignment="1">
      <alignment vertical="top"/>
    </xf>
    <xf numFmtId="9" fontId="0" fillId="0" borderId="0" xfId="7" applyFont="1"/>
    <xf numFmtId="172" fontId="13" fillId="0" borderId="17" xfId="6" applyNumberFormat="1" applyFont="1" applyFill="1" applyBorder="1" applyAlignment="1">
      <alignment vertical="center"/>
    </xf>
    <xf numFmtId="0" fontId="100" fillId="0" borderId="0" xfId="0" applyFont="1"/>
    <xf numFmtId="0" fontId="102" fillId="0" borderId="0" xfId="0" applyFont="1"/>
    <xf numFmtId="0" fontId="102" fillId="0" borderId="0" xfId="0" applyFont="1" applyAlignment="1">
      <alignment horizontal="center" vertical="center"/>
    </xf>
    <xf numFmtId="0" fontId="99" fillId="20" borderId="98" xfId="0" applyFont="1" applyFill="1" applyBorder="1" applyAlignment="1">
      <alignment horizontal="center" vertical="center"/>
    </xf>
    <xf numFmtId="0" fontId="103" fillId="21" borderId="90" xfId="0" applyFont="1" applyFill="1" applyBorder="1" applyAlignment="1">
      <alignment horizontal="center" vertical="center"/>
    </xf>
    <xf numFmtId="0" fontId="102" fillId="0" borderId="98" xfId="0" applyFont="1" applyBorder="1" applyAlignment="1">
      <alignment horizontal="center" vertical="center"/>
    </xf>
    <xf numFmtId="3" fontId="102" fillId="0" borderId="98" xfId="0" applyNumberFormat="1" applyFont="1" applyBorder="1" applyAlignment="1">
      <alignment horizontal="center" vertical="center"/>
    </xf>
    <xf numFmtId="2" fontId="102" fillId="0" borderId="98" xfId="0" applyNumberFormat="1" applyFont="1" applyBorder="1" applyAlignment="1">
      <alignment horizontal="center" vertical="center"/>
    </xf>
    <xf numFmtId="174" fontId="50" fillId="8" borderId="0" xfId="60" applyNumberFormat="1" applyFont="1" applyFill="1" applyBorder="1" applyAlignment="1">
      <alignment horizontal="right" vertical="center"/>
    </xf>
    <xf numFmtId="177" fontId="50" fillId="8" borderId="0" xfId="60" applyNumberFormat="1" applyFont="1" applyFill="1" applyBorder="1" applyAlignment="1">
      <alignment horizontal="right" vertical="center" wrapText="1"/>
    </xf>
    <xf numFmtId="0" fontId="99" fillId="20" borderId="25" xfId="0" applyFont="1" applyFill="1" applyBorder="1" applyAlignment="1">
      <alignment horizontal="center" vertical="center"/>
    </xf>
    <xf numFmtId="10" fontId="102" fillId="0" borderId="90" xfId="0" applyNumberFormat="1" applyFont="1" applyBorder="1" applyAlignment="1">
      <alignment horizontal="center" vertical="center"/>
    </xf>
    <xf numFmtId="10" fontId="102" fillId="0" borderId="98" xfId="0" applyNumberFormat="1" applyFont="1" applyBorder="1" applyAlignment="1">
      <alignment horizontal="center" vertical="center"/>
    </xf>
    <xf numFmtId="203" fontId="100" fillId="0" borderId="0" xfId="0" applyNumberFormat="1" applyFont="1"/>
    <xf numFmtId="0" fontId="106" fillId="0" borderId="79" xfId="62" applyFont="1" applyBorder="1" applyAlignment="1">
      <alignment vertical="center" wrapText="1"/>
    </xf>
    <xf numFmtId="0" fontId="106" fillId="0" borderId="26" xfId="62" applyFont="1" applyBorder="1" applyAlignment="1">
      <alignment horizontal="right" vertical="center" wrapText="1"/>
    </xf>
    <xf numFmtId="0" fontId="91" fillId="0" borderId="0" xfId="0" applyFont="1"/>
    <xf numFmtId="0" fontId="106" fillId="0" borderId="26" xfId="62" applyFont="1" applyBorder="1" applyAlignment="1">
      <alignment vertical="center" wrapText="1"/>
    </xf>
    <xf numFmtId="14" fontId="106" fillId="0" borderId="26" xfId="62" applyNumberFormat="1" applyFont="1" applyBorder="1" applyAlignment="1">
      <alignment vertical="center" wrapText="1"/>
    </xf>
    <xf numFmtId="0" fontId="34" fillId="0" borderId="7" xfId="62" applyFont="1" applyBorder="1"/>
    <xf numFmtId="0" fontId="34" fillId="0" borderId="0" xfId="62" applyFont="1"/>
    <xf numFmtId="0" fontId="34" fillId="0" borderId="8" xfId="62" applyFont="1" applyBorder="1"/>
    <xf numFmtId="0" fontId="106" fillId="0" borderId="57" xfId="62" applyFont="1" applyBorder="1" applyAlignment="1">
      <alignment horizontal="center"/>
    </xf>
    <xf numFmtId="4" fontId="106" fillId="0" borderId="25" xfId="62" applyNumberFormat="1" applyFont="1" applyBorder="1" applyAlignment="1">
      <alignment horizontal="center"/>
    </xf>
    <xf numFmtId="0" fontId="106" fillId="0" borderId="25" xfId="62" applyFont="1" applyBorder="1" applyAlignment="1">
      <alignment horizontal="center"/>
    </xf>
    <xf numFmtId="2" fontId="106" fillId="0" borderId="61" xfId="62" applyNumberFormat="1" applyFont="1" applyBorder="1" applyAlignment="1">
      <alignment horizontal="right" vertical="center" wrapText="1"/>
    </xf>
    <xf numFmtId="4" fontId="106" fillId="0" borderId="25" xfId="62" applyNumberFormat="1" applyFont="1" applyBorder="1"/>
    <xf numFmtId="4" fontId="106" fillId="0" borderId="28" xfId="62" applyNumberFormat="1" applyFont="1" applyBorder="1"/>
    <xf numFmtId="0" fontId="106" fillId="0" borderId="25" xfId="62" applyFont="1" applyBorder="1"/>
    <xf numFmtId="0" fontId="106" fillId="0" borderId="28" xfId="62" applyFont="1" applyBorder="1"/>
    <xf numFmtId="0" fontId="106" fillId="0" borderId="33" xfId="62" applyFont="1" applyBorder="1"/>
    <xf numFmtId="0" fontId="106" fillId="0" borderId="34" xfId="62" applyFont="1" applyBorder="1"/>
    <xf numFmtId="4" fontId="88" fillId="0" borderId="61" xfId="62" applyNumberFormat="1" applyFont="1" applyBorder="1"/>
    <xf numFmtId="2" fontId="106" fillId="0" borderId="28" xfId="62" applyNumberFormat="1" applyFont="1" applyBorder="1"/>
    <xf numFmtId="4" fontId="88" fillId="8" borderId="28" xfId="62" applyNumberFormat="1" applyFont="1" applyFill="1" applyBorder="1"/>
    <xf numFmtId="0" fontId="106" fillId="0" borderId="0" xfId="62" applyFont="1" applyAlignment="1">
      <alignment horizontal="left" vertical="top"/>
    </xf>
    <xf numFmtId="0" fontId="106" fillId="0" borderId="0" xfId="62" applyFont="1" applyAlignment="1">
      <alignment vertical="top"/>
    </xf>
    <xf numFmtId="0" fontId="106" fillId="0" borderId="79" xfId="62" applyFont="1" applyBorder="1" applyAlignment="1">
      <alignment horizontal="left" vertical="top"/>
    </xf>
    <xf numFmtId="0" fontId="106" fillId="0" borderId="26" xfId="62" applyFont="1" applyBorder="1" applyAlignment="1">
      <alignment horizontal="left" vertical="top"/>
    </xf>
    <xf numFmtId="0" fontId="99" fillId="20" borderId="90" xfId="0" applyFont="1" applyFill="1" applyBorder="1" applyAlignment="1">
      <alignment horizontal="center" vertical="center" wrapText="1"/>
    </xf>
    <xf numFmtId="0" fontId="102" fillId="22" borderId="0" xfId="0" applyFont="1" applyFill="1" applyAlignment="1">
      <alignment horizontal="center" vertical="center"/>
    </xf>
    <xf numFmtId="49" fontId="102" fillId="0" borderId="0" xfId="0" applyNumberFormat="1" applyFont="1" applyAlignment="1">
      <alignment vertical="center"/>
    </xf>
    <xf numFmtId="0" fontId="103" fillId="0" borderId="0" xfId="0" applyFont="1" applyAlignment="1">
      <alignment horizontal="left" vertical="center" wrapText="1"/>
    </xf>
    <xf numFmtId="206" fontId="99" fillId="20" borderId="98" xfId="0" applyNumberFormat="1" applyFont="1" applyFill="1" applyBorder="1" applyAlignment="1">
      <alignment horizontal="center" vertical="center" wrapText="1"/>
    </xf>
    <xf numFmtId="206" fontId="102" fillId="0" borderId="98" xfId="0" applyNumberFormat="1" applyFont="1" applyBorder="1" applyAlignment="1">
      <alignment horizontal="center" vertical="center" wrapText="1"/>
    </xf>
    <xf numFmtId="2" fontId="102" fillId="0" borderId="98" xfId="0" applyNumberFormat="1" applyFont="1" applyBorder="1" applyAlignment="1">
      <alignment horizontal="center" vertical="center" wrapText="1"/>
    </xf>
    <xf numFmtId="1" fontId="102" fillId="0" borderId="98" xfId="0" applyNumberFormat="1" applyFont="1" applyBorder="1" applyAlignment="1">
      <alignment horizontal="center" vertical="center" wrapText="1"/>
    </xf>
    <xf numFmtId="10" fontId="102" fillId="0" borderId="98" xfId="0" applyNumberFormat="1" applyFont="1" applyBorder="1" applyAlignment="1">
      <alignment horizontal="center" vertical="center" wrapText="1"/>
    </xf>
    <xf numFmtId="206" fontId="102" fillId="0" borderId="0" xfId="0" applyNumberFormat="1" applyFont="1" applyAlignment="1">
      <alignment horizontal="center" vertical="center" wrapText="1"/>
    </xf>
    <xf numFmtId="1" fontId="102" fillId="0" borderId="0" xfId="0" applyNumberFormat="1" applyFont="1" applyAlignment="1">
      <alignment horizontal="right" vertical="center" wrapText="1"/>
    </xf>
    <xf numFmtId="1" fontId="102" fillId="0" borderId="0" xfId="0" applyNumberFormat="1" applyFont="1" applyAlignment="1">
      <alignment horizontal="center" vertical="center" wrapText="1"/>
    </xf>
    <xf numFmtId="206" fontId="99" fillId="20" borderId="90" xfId="0" applyNumberFormat="1" applyFont="1" applyFill="1" applyBorder="1" applyAlignment="1">
      <alignment horizontal="center" vertical="center"/>
    </xf>
    <xf numFmtId="1" fontId="102" fillId="0" borderId="90" xfId="0" applyNumberFormat="1" applyFont="1" applyBorder="1" applyAlignment="1">
      <alignment horizontal="center" vertical="center"/>
    </xf>
    <xf numFmtId="206" fontId="102" fillId="0" borderId="98" xfId="0" applyNumberFormat="1" applyFont="1" applyBorder="1" applyAlignment="1">
      <alignment horizontal="center" vertical="center"/>
    </xf>
    <xf numFmtId="206" fontId="103" fillId="0" borderId="0" xfId="0" applyNumberFormat="1" applyFont="1" applyAlignment="1">
      <alignment horizontal="center" vertical="center"/>
    </xf>
    <xf numFmtId="165" fontId="0" fillId="0" borderId="0" xfId="6" applyFont="1" applyAlignment="1"/>
    <xf numFmtId="4" fontId="99" fillId="20" borderId="98" xfId="0" applyNumberFormat="1" applyFont="1" applyFill="1" applyBorder="1" applyAlignment="1">
      <alignment horizontal="center" vertical="center" wrapText="1"/>
    </xf>
    <xf numFmtId="4" fontId="102" fillId="0" borderId="104" xfId="0" applyNumberFormat="1" applyFont="1" applyBorder="1"/>
    <xf numFmtId="4" fontId="103" fillId="0" borderId="0" xfId="0" applyNumberFormat="1" applyFont="1" applyAlignment="1">
      <alignment horizontal="center" vertical="center" wrapText="1"/>
    </xf>
    <xf numFmtId="207" fontId="103" fillId="0" borderId="0" xfId="0" applyNumberFormat="1" applyFont="1" applyAlignment="1">
      <alignment horizontal="center" vertical="center" wrapText="1"/>
    </xf>
    <xf numFmtId="4" fontId="102" fillId="0" borderId="0" xfId="0" applyNumberFormat="1" applyFont="1"/>
    <xf numFmtId="9" fontId="102" fillId="0" borderId="98" xfId="0" applyNumberFormat="1" applyFont="1" applyBorder="1" applyAlignment="1">
      <alignment horizontal="center" vertical="center" wrapText="1"/>
    </xf>
    <xf numFmtId="9" fontId="99" fillId="20" borderId="98" xfId="0" applyNumberFormat="1" applyFont="1" applyFill="1" applyBorder="1" applyAlignment="1">
      <alignment horizontal="center" vertical="center" wrapText="1"/>
    </xf>
    <xf numFmtId="4" fontId="102" fillId="0" borderId="0" xfId="0" applyNumberFormat="1" applyFont="1" applyAlignment="1">
      <alignment horizontal="center" vertical="center"/>
    </xf>
    <xf numFmtId="10" fontId="99" fillId="20" borderId="98" xfId="0" applyNumberFormat="1" applyFont="1" applyFill="1" applyBorder="1" applyAlignment="1">
      <alignment horizontal="center" vertical="center" wrapText="1"/>
    </xf>
    <xf numFmtId="10" fontId="102" fillId="0" borderId="0" xfId="0" applyNumberFormat="1" applyFont="1"/>
    <xf numFmtId="10" fontId="99" fillId="20" borderId="103" xfId="0" applyNumberFormat="1" applyFont="1" applyFill="1" applyBorder="1" applyAlignment="1">
      <alignment horizontal="center" vertical="center" wrapText="1"/>
    </xf>
    <xf numFmtId="0" fontId="79" fillId="0" borderId="0" xfId="0" applyFont="1"/>
    <xf numFmtId="4" fontId="102" fillId="0" borderId="104" xfId="0" applyNumberFormat="1" applyFont="1" applyBorder="1" applyAlignment="1">
      <alignment horizontal="center" vertical="center" wrapText="1"/>
    </xf>
    <xf numFmtId="4" fontId="102" fillId="0" borderId="0" xfId="0" applyNumberFormat="1" applyFont="1" applyAlignment="1">
      <alignment horizontal="center" vertical="center" wrapText="1"/>
    </xf>
    <xf numFmtId="4" fontId="102" fillId="0" borderId="0" xfId="0" applyNumberFormat="1" applyFont="1" applyAlignment="1">
      <alignment wrapText="1"/>
    </xf>
    <xf numFmtId="4" fontId="103" fillId="0" borderId="98" xfId="0" applyNumberFormat="1" applyFont="1" applyBorder="1" applyAlignment="1">
      <alignment horizontal="center" vertical="center" wrapText="1"/>
    </xf>
    <xf numFmtId="0" fontId="102" fillId="0" borderId="0" xfId="0" applyFont="1" applyAlignment="1">
      <alignment wrapText="1"/>
    </xf>
    <xf numFmtId="0" fontId="102" fillId="24" borderId="98" xfId="0" applyFont="1" applyFill="1" applyBorder="1" applyAlignment="1">
      <alignment horizontal="center" vertical="center" wrapText="1"/>
    </xf>
    <xf numFmtId="0" fontId="102" fillId="0" borderId="0" xfId="0" applyFont="1" applyAlignment="1">
      <alignment horizontal="center" wrapText="1"/>
    </xf>
    <xf numFmtId="9" fontId="99" fillId="20" borderId="91" xfId="0" applyNumberFormat="1" applyFont="1" applyFill="1" applyBorder="1" applyAlignment="1">
      <alignment horizontal="center" vertical="center" wrapText="1"/>
    </xf>
    <xf numFmtId="0" fontId="114" fillId="0" borderId="0" xfId="0" applyFont="1" applyAlignment="1">
      <alignment horizontal="center" vertical="center"/>
    </xf>
    <xf numFmtId="0" fontId="115" fillId="20" borderId="98" xfId="0" applyFont="1" applyFill="1" applyBorder="1" applyAlignment="1">
      <alignment horizontal="center" vertical="center"/>
    </xf>
    <xf numFmtId="0" fontId="115" fillId="0" borderId="98" xfId="0" applyFont="1" applyBorder="1"/>
    <xf numFmtId="210" fontId="99" fillId="20" borderId="98" xfId="0" applyNumberFormat="1" applyFont="1" applyFill="1" applyBorder="1" applyAlignment="1">
      <alignment horizontal="center" vertical="center"/>
    </xf>
    <xf numFmtId="210" fontId="102" fillId="0" borderId="98" xfId="0" applyNumberFormat="1" applyFont="1" applyBorder="1" applyAlignment="1">
      <alignment horizontal="center" vertical="center"/>
    </xf>
    <xf numFmtId="210" fontId="115" fillId="20" borderId="98" xfId="0" applyNumberFormat="1" applyFont="1" applyFill="1" applyBorder="1"/>
    <xf numFmtId="206" fontId="116" fillId="0" borderId="98" xfId="0" applyNumberFormat="1" applyFont="1" applyBorder="1"/>
    <xf numFmtId="210" fontId="102" fillId="0" borderId="98" xfId="0" applyNumberFormat="1" applyFont="1" applyBorder="1"/>
    <xf numFmtId="210" fontId="116" fillId="0" borderId="98" xfId="0" applyNumberFormat="1" applyFont="1" applyBorder="1"/>
    <xf numFmtId="210" fontId="102" fillId="0" borderId="0" xfId="0" applyNumberFormat="1" applyFont="1"/>
    <xf numFmtId="0" fontId="103" fillId="21" borderId="98" xfId="0" applyFont="1" applyFill="1" applyBorder="1" applyAlignment="1">
      <alignment horizontal="center"/>
    </xf>
    <xf numFmtId="210" fontId="103" fillId="21" borderId="98" xfId="0" applyNumberFormat="1" applyFont="1" applyFill="1" applyBorder="1" applyAlignment="1">
      <alignment horizontal="center"/>
    </xf>
    <xf numFmtId="210" fontId="103" fillId="21" borderId="98" xfId="0" applyNumberFormat="1" applyFont="1" applyFill="1" applyBorder="1"/>
    <xf numFmtId="176" fontId="102" fillId="0" borderId="98" xfId="0" applyNumberFormat="1" applyFont="1" applyBorder="1" applyAlignment="1">
      <alignment horizontal="center" vertical="center"/>
    </xf>
    <xf numFmtId="1" fontId="102" fillId="0" borderId="98" xfId="0" applyNumberFormat="1" applyFont="1" applyBorder="1" applyAlignment="1">
      <alignment horizontal="center" vertical="center"/>
    </xf>
    <xf numFmtId="0" fontId="99" fillId="20" borderId="87" xfId="0" applyFont="1" applyFill="1" applyBorder="1" applyAlignment="1">
      <alignment horizontal="center"/>
    </xf>
    <xf numFmtId="211" fontId="102" fillId="0" borderId="98" xfId="0" applyNumberFormat="1" applyFont="1" applyBorder="1" applyAlignment="1">
      <alignment horizontal="center" vertical="center"/>
    </xf>
    <xf numFmtId="206" fontId="117" fillId="0" borderId="98" xfId="0" applyNumberFormat="1" applyFont="1" applyBorder="1" applyAlignment="1">
      <alignment horizontal="center" vertical="center"/>
    </xf>
    <xf numFmtId="175" fontId="102" fillId="0" borderId="98" xfId="0" applyNumberFormat="1" applyFont="1" applyBorder="1" applyAlignment="1">
      <alignment horizontal="center" vertical="center"/>
    </xf>
    <xf numFmtId="0" fontId="106" fillId="0" borderId="57" xfId="62" applyFont="1" applyBorder="1" applyAlignment="1">
      <alignment horizontal="center" wrapText="1"/>
    </xf>
    <xf numFmtId="0" fontId="30" fillId="0" borderId="90" xfId="0" applyFont="1" applyBorder="1"/>
    <xf numFmtId="0" fontId="10" fillId="0" borderId="97" xfId="0" applyFont="1" applyBorder="1"/>
    <xf numFmtId="0" fontId="10" fillId="0" borderId="91" xfId="0" applyFont="1" applyBorder="1"/>
    <xf numFmtId="0" fontId="30" fillId="0" borderId="90" xfId="0" applyFont="1" applyBorder="1" applyAlignment="1">
      <alignment wrapText="1"/>
    </xf>
    <xf numFmtId="0" fontId="102" fillId="0" borderId="91" xfId="0" applyFont="1" applyBorder="1" applyAlignment="1">
      <alignment horizontal="center" vertical="center"/>
    </xf>
    <xf numFmtId="0" fontId="121" fillId="0" borderId="0" xfId="0" applyFont="1" applyAlignment="1">
      <alignment horizontal="center" vertical="center"/>
    </xf>
    <xf numFmtId="0" fontId="122" fillId="0" borderId="98" xfId="0" applyFont="1" applyBorder="1"/>
    <xf numFmtId="210" fontId="120" fillId="20" borderId="98" xfId="0" applyNumberFormat="1" applyFont="1" applyFill="1" applyBorder="1" applyAlignment="1">
      <alignment horizontal="center" vertical="center"/>
    </xf>
    <xf numFmtId="210" fontId="118" fillId="0" borderId="98" xfId="0" applyNumberFormat="1" applyFont="1" applyBorder="1" applyAlignment="1">
      <alignment horizontal="center" vertical="center"/>
    </xf>
    <xf numFmtId="210" fontId="122" fillId="20" borderId="98" xfId="0" applyNumberFormat="1" applyFont="1" applyFill="1" applyBorder="1"/>
    <xf numFmtId="210" fontId="123" fillId="0" borderId="98" xfId="0" applyNumberFormat="1" applyFont="1" applyBorder="1"/>
    <xf numFmtId="212" fontId="123" fillId="0" borderId="98" xfId="0" applyNumberFormat="1" applyFont="1" applyBorder="1"/>
    <xf numFmtId="210" fontId="118" fillId="0" borderId="0" xfId="0" applyNumberFormat="1" applyFont="1"/>
    <xf numFmtId="0" fontId="124" fillId="21" borderId="98" xfId="0" applyFont="1" applyFill="1" applyBorder="1" applyAlignment="1">
      <alignment horizontal="center"/>
    </xf>
    <xf numFmtId="0" fontId="118" fillId="0" borderId="98" xfId="0" applyFont="1" applyBorder="1" applyAlignment="1">
      <alignment horizontal="center" vertical="center"/>
    </xf>
    <xf numFmtId="0" fontId="118" fillId="0" borderId="0" xfId="0" applyFont="1"/>
    <xf numFmtId="210" fontId="124" fillId="21" borderId="98" xfId="0" applyNumberFormat="1" applyFont="1" applyFill="1" applyBorder="1" applyAlignment="1">
      <alignment horizontal="center"/>
    </xf>
    <xf numFmtId="210" fontId="124" fillId="21" borderId="98" xfId="0" applyNumberFormat="1" applyFont="1" applyFill="1" applyBorder="1"/>
    <xf numFmtId="2" fontId="118" fillId="0" borderId="98" xfId="0" applyNumberFormat="1" applyFont="1" applyBorder="1" applyAlignment="1">
      <alignment horizontal="center" vertical="center"/>
    </xf>
    <xf numFmtId="176" fontId="118" fillId="0" borderId="98" xfId="0" applyNumberFormat="1" applyFont="1" applyBorder="1" applyAlignment="1">
      <alignment horizontal="center" vertical="center"/>
    </xf>
    <xf numFmtId="1" fontId="118" fillId="0" borderId="98" xfId="0" applyNumberFormat="1" applyFont="1" applyBorder="1" applyAlignment="1">
      <alignment horizontal="center" vertical="center"/>
    </xf>
    <xf numFmtId="9" fontId="106" fillId="0" borderId="28" xfId="7" applyFont="1" applyBorder="1"/>
    <xf numFmtId="0" fontId="108" fillId="0" borderId="97" xfId="0" applyFont="1" applyBorder="1"/>
    <xf numFmtId="0" fontId="108" fillId="0" borderId="91" xfId="0" applyFont="1" applyBorder="1"/>
    <xf numFmtId="0" fontId="102" fillId="0" borderId="98" xfId="0" applyFont="1" applyBorder="1" applyAlignment="1">
      <alignment horizontal="center"/>
    </xf>
    <xf numFmtId="170" fontId="102" fillId="0" borderId="98" xfId="0" applyNumberFormat="1" applyFont="1" applyBorder="1" applyAlignment="1">
      <alignment horizontal="center"/>
    </xf>
    <xf numFmtId="0" fontId="126" fillId="0" borderId="0" xfId="0" applyFont="1" applyAlignment="1">
      <alignment horizontal="center" vertical="center"/>
    </xf>
    <xf numFmtId="0" fontId="102" fillId="0" borderId="98" xfId="0" applyFont="1" applyBorder="1"/>
    <xf numFmtId="4" fontId="0" fillId="8" borderId="25" xfId="0" applyNumberFormat="1" applyFill="1" applyBorder="1" applyAlignment="1">
      <alignment horizontal="center"/>
    </xf>
    <xf numFmtId="0" fontId="118" fillId="0" borderId="91" xfId="0" applyFont="1" applyBorder="1" applyAlignment="1">
      <alignment horizontal="center" vertical="center"/>
    </xf>
    <xf numFmtId="0" fontId="125" fillId="0" borderId="94" xfId="0" applyFont="1" applyBorder="1"/>
    <xf numFmtId="0" fontId="108" fillId="0" borderId="95" xfId="0" applyFont="1" applyBorder="1"/>
    <xf numFmtId="0" fontId="108" fillId="0" borderId="96" xfId="0" applyFont="1" applyBorder="1"/>
    <xf numFmtId="0" fontId="13" fillId="0" borderId="0" xfId="0" applyFont="1" applyAlignment="1">
      <alignment horizontal="justify" vertical="center" wrapText="1"/>
    </xf>
    <xf numFmtId="172" fontId="13" fillId="0" borderId="8" xfId="6" applyNumberFormat="1" applyFont="1" applyFill="1" applyBorder="1" applyAlignment="1">
      <alignment vertical="center"/>
    </xf>
    <xf numFmtId="4" fontId="88" fillId="0" borderId="28" xfId="62" applyNumberFormat="1" applyFont="1" applyBorder="1"/>
    <xf numFmtId="0" fontId="103" fillId="21" borderId="94" xfId="0" applyFont="1" applyFill="1" applyBorder="1" applyAlignment="1">
      <alignment horizontal="center" vertical="center"/>
    </xf>
    <xf numFmtId="0" fontId="103" fillId="21" borderId="25" xfId="0" applyFont="1" applyFill="1" applyBorder="1" applyAlignment="1">
      <alignment horizontal="center" vertical="center"/>
    </xf>
    <xf numFmtId="0" fontId="102" fillId="0" borderId="25" xfId="0" applyFont="1" applyBorder="1" applyAlignment="1">
      <alignment horizontal="center" vertical="center"/>
    </xf>
    <xf numFmtId="3" fontId="102" fillId="0" borderId="25" xfId="0" applyNumberFormat="1" applyFont="1" applyBorder="1" applyAlignment="1">
      <alignment horizontal="center" vertical="center"/>
    </xf>
    <xf numFmtId="210" fontId="0" fillId="0" borderId="0" xfId="0" applyNumberFormat="1"/>
    <xf numFmtId="0" fontId="127" fillId="0" borderId="0" xfId="0" applyFont="1"/>
    <xf numFmtId="211" fontId="127" fillId="0" borderId="0" xfId="0" applyNumberFormat="1" applyFont="1"/>
    <xf numFmtId="211" fontId="102" fillId="7" borderId="98" xfId="0" applyNumberFormat="1" applyFont="1" applyFill="1" applyBorder="1" applyAlignment="1">
      <alignment horizontal="center" vertical="center"/>
    </xf>
    <xf numFmtId="0" fontId="13" fillId="0" borderId="74" xfId="0" applyFont="1" applyBorder="1" applyAlignment="1">
      <alignment horizontal="justify" vertical="center" wrapText="1"/>
    </xf>
    <xf numFmtId="0" fontId="13" fillId="0" borderId="74" xfId="0" applyFont="1" applyBorder="1" applyAlignment="1">
      <alignment horizontal="center" vertical="center" wrapText="1"/>
    </xf>
    <xf numFmtId="172" fontId="13" fillId="10" borderId="74" xfId="6" applyNumberFormat="1" applyFont="1" applyFill="1" applyBorder="1" applyAlignment="1">
      <alignment vertical="center"/>
    </xf>
    <xf numFmtId="2" fontId="102" fillId="0" borderId="25" xfId="0" applyNumberFormat="1" applyFont="1" applyBorder="1" applyAlignment="1">
      <alignment horizontal="center" vertical="center"/>
    </xf>
    <xf numFmtId="2" fontId="106" fillId="0" borderId="61" xfId="62" applyNumberFormat="1" applyFont="1" applyBorder="1" applyAlignment="1">
      <alignment horizontal="center" vertical="center" wrapText="1"/>
    </xf>
    <xf numFmtId="4" fontId="106" fillId="0" borderId="25" xfId="62" applyNumberFormat="1" applyFont="1" applyBorder="1" applyAlignment="1">
      <alignment horizontal="center" vertical="center"/>
    </xf>
    <xf numFmtId="0" fontId="106" fillId="0" borderId="25" xfId="62" applyFont="1" applyBorder="1" applyAlignment="1">
      <alignment horizontal="center" vertical="center"/>
    </xf>
    <xf numFmtId="175" fontId="0" fillId="0" borderId="0" xfId="0" applyNumberFormat="1"/>
    <xf numFmtId="4" fontId="106" fillId="0" borderId="57" xfId="62" applyNumberFormat="1" applyFont="1" applyBorder="1" applyAlignment="1">
      <alignment horizontal="center"/>
    </xf>
    <xf numFmtId="165" fontId="13" fillId="0" borderId="0" xfId="6" applyFont="1" applyAlignment="1">
      <alignment vertical="center"/>
    </xf>
    <xf numFmtId="0" fontId="120" fillId="20" borderId="25" xfId="0" applyFont="1" applyFill="1" applyBorder="1" applyAlignment="1">
      <alignment horizontal="center" vertical="center"/>
    </xf>
    <xf numFmtId="1" fontId="99" fillId="20" borderId="97" xfId="0" applyNumberFormat="1" applyFont="1" applyFill="1" applyBorder="1" applyAlignment="1">
      <alignment vertical="center" wrapText="1"/>
    </xf>
    <xf numFmtId="1" fontId="99" fillId="20" borderId="91" xfId="0" applyNumberFormat="1" applyFont="1" applyFill="1" applyBorder="1" applyAlignment="1">
      <alignment vertical="center" wrapText="1"/>
    </xf>
    <xf numFmtId="170" fontId="102" fillId="0" borderId="98" xfId="0" applyNumberFormat="1" applyFont="1" applyBorder="1" applyAlignment="1">
      <alignment horizontal="center" vertical="center" wrapText="1"/>
    </xf>
    <xf numFmtId="203" fontId="102" fillId="0" borderId="98" xfId="0" applyNumberFormat="1" applyFont="1" applyBorder="1" applyAlignment="1">
      <alignment vertical="center" wrapText="1"/>
    </xf>
    <xf numFmtId="0" fontId="100" fillId="0" borderId="98" xfId="0" applyFont="1" applyBorder="1" applyAlignment="1">
      <alignment horizontal="center" vertical="center"/>
    </xf>
    <xf numFmtId="203" fontId="100" fillId="0" borderId="98" xfId="0" applyNumberFormat="1" applyFont="1" applyBorder="1" applyAlignment="1">
      <alignment vertical="center"/>
    </xf>
    <xf numFmtId="10" fontId="118" fillId="0" borderId="98" xfId="0" applyNumberFormat="1" applyFont="1" applyBorder="1" applyAlignment="1">
      <alignment horizontal="center" vertical="center"/>
    </xf>
    <xf numFmtId="206" fontId="99" fillId="0" borderId="0" xfId="0" applyNumberFormat="1" applyFont="1" applyAlignment="1">
      <alignment horizontal="center" vertical="center"/>
    </xf>
    <xf numFmtId="206" fontId="99" fillId="0" borderId="0" xfId="0" applyNumberFormat="1" applyFont="1" applyAlignment="1">
      <alignment vertical="center"/>
    </xf>
    <xf numFmtId="10" fontId="99" fillId="20" borderId="25" xfId="0" applyNumberFormat="1" applyFont="1" applyFill="1" applyBorder="1" applyAlignment="1">
      <alignment vertical="center"/>
    </xf>
    <xf numFmtId="0" fontId="99" fillId="20" borderId="112" xfId="0" applyFont="1" applyFill="1" applyBorder="1" applyAlignment="1">
      <alignment horizontal="center" vertical="center"/>
    </xf>
    <xf numFmtId="0" fontId="99" fillId="20" borderId="113" xfId="0" applyFont="1" applyFill="1" applyBorder="1" applyAlignment="1">
      <alignment horizontal="center" vertical="center"/>
    </xf>
    <xf numFmtId="0" fontId="99" fillId="20" borderId="114" xfId="0" applyFont="1" applyFill="1" applyBorder="1" applyAlignment="1">
      <alignment horizontal="center" vertical="center"/>
    </xf>
    <xf numFmtId="0" fontId="130" fillId="0" borderId="115" xfId="0" applyFont="1" applyBorder="1" applyAlignment="1">
      <alignment horizontal="center" vertical="center" wrapText="1"/>
    </xf>
    <xf numFmtId="0" fontId="100" fillId="0" borderId="103" xfId="0" applyFont="1" applyBorder="1" applyAlignment="1">
      <alignment horizontal="left" vertical="center" wrapText="1"/>
    </xf>
    <xf numFmtId="0" fontId="100" fillId="0" borderId="103" xfId="0" applyFont="1" applyBorder="1" applyAlignment="1">
      <alignment horizontal="center" vertical="center" wrapText="1"/>
    </xf>
    <xf numFmtId="203" fontId="100" fillId="0" borderId="103" xfId="0" applyNumberFormat="1" applyFont="1" applyBorder="1" applyAlignment="1">
      <alignment horizontal="center" vertical="center" wrapText="1"/>
    </xf>
    <xf numFmtId="203" fontId="100" fillId="0" borderId="116" xfId="0" applyNumberFormat="1" applyFont="1" applyBorder="1" applyAlignment="1">
      <alignment horizontal="center" vertical="center" wrapText="1"/>
    </xf>
    <xf numFmtId="0" fontId="130" fillId="0" borderId="117" xfId="0" applyFont="1" applyBorder="1" applyAlignment="1">
      <alignment horizontal="center" vertical="center" wrapText="1"/>
    </xf>
    <xf numFmtId="0" fontId="100" fillId="0" borderId="98" xfId="0" applyFont="1" applyBorder="1" applyAlignment="1">
      <alignment horizontal="left" vertical="center" wrapText="1"/>
    </xf>
    <xf numFmtId="0" fontId="100" fillId="0" borderId="98" xfId="0" applyFont="1" applyBorder="1" applyAlignment="1">
      <alignment horizontal="center" vertical="center" wrapText="1"/>
    </xf>
    <xf numFmtId="203" fontId="100" fillId="0" borderId="98" xfId="0" applyNumberFormat="1" applyFont="1" applyBorder="1" applyAlignment="1">
      <alignment horizontal="center" vertical="center" wrapText="1"/>
    </xf>
    <xf numFmtId="203" fontId="100" fillId="0" borderId="118" xfId="0" applyNumberFormat="1" applyFont="1" applyBorder="1" applyAlignment="1">
      <alignment horizontal="center" vertical="center" wrapText="1"/>
    </xf>
    <xf numFmtId="0" fontId="130" fillId="0" borderId="119" xfId="0" applyFont="1" applyBorder="1" applyAlignment="1">
      <alignment horizontal="center" vertical="center" wrapText="1"/>
    </xf>
    <xf numFmtId="0" fontId="100" fillId="0" borderId="120" xfId="0" applyFont="1" applyBorder="1" applyAlignment="1">
      <alignment horizontal="left" vertical="center" wrapText="1"/>
    </xf>
    <xf numFmtId="0" fontId="100" fillId="0" borderId="120" xfId="0" applyFont="1" applyBorder="1" applyAlignment="1">
      <alignment horizontal="center" vertical="center" wrapText="1"/>
    </xf>
    <xf numFmtId="203" fontId="100" fillId="0" borderId="120" xfId="0" applyNumberFormat="1" applyFont="1" applyBorder="1" applyAlignment="1">
      <alignment horizontal="center" vertical="center" wrapText="1"/>
    </xf>
    <xf numFmtId="203" fontId="100" fillId="0" borderId="121" xfId="0" applyNumberFormat="1" applyFont="1" applyBorder="1" applyAlignment="1">
      <alignment horizontal="center" vertical="center" wrapText="1"/>
    </xf>
    <xf numFmtId="203" fontId="102" fillId="0" borderId="122" xfId="0" applyNumberFormat="1" applyFont="1" applyBorder="1" applyAlignment="1">
      <alignment horizontal="center" vertical="center" wrapText="1"/>
    </xf>
    <xf numFmtId="10" fontId="99" fillId="20" borderId="113" xfId="7" applyNumberFormat="1" applyFont="1" applyFill="1" applyBorder="1" applyAlignment="1">
      <alignment horizontal="center" vertical="center"/>
    </xf>
    <xf numFmtId="203" fontId="103" fillId="0" borderId="122" xfId="0" applyNumberFormat="1" applyFont="1" applyBorder="1" applyAlignment="1">
      <alignment horizontal="center" vertical="center" wrapText="1"/>
    </xf>
    <xf numFmtId="0" fontId="100" fillId="0" borderId="117" xfId="0" applyFont="1" applyBorder="1" applyAlignment="1">
      <alignment horizontal="center" vertical="center" wrapText="1"/>
    </xf>
    <xf numFmtId="9" fontId="100" fillId="0" borderId="98" xfId="0" applyNumberFormat="1" applyFont="1" applyBorder="1" applyAlignment="1">
      <alignment horizontal="center" vertical="center" wrapText="1"/>
    </xf>
    <xf numFmtId="0" fontId="102" fillId="0" borderId="98" xfId="0" applyFont="1" applyBorder="1" applyAlignment="1">
      <alignment horizontal="center" vertical="center" wrapText="1"/>
    </xf>
    <xf numFmtId="0" fontId="100" fillId="0" borderId="124" xfId="0" applyFont="1" applyBorder="1" applyAlignment="1">
      <alignment horizontal="center" vertical="center" wrapText="1"/>
    </xf>
    <xf numFmtId="0" fontId="100" fillId="0" borderId="99" xfId="0" applyFont="1" applyBorder="1" applyAlignment="1">
      <alignment horizontal="left" vertical="center" wrapText="1"/>
    </xf>
    <xf numFmtId="0" fontId="100" fillId="0" borderId="99" xfId="0" applyFont="1" applyBorder="1" applyAlignment="1">
      <alignment horizontal="center" vertical="center" wrapText="1"/>
    </xf>
    <xf numFmtId="203" fontId="100" fillId="0" borderId="99" xfId="0" applyNumberFormat="1" applyFont="1" applyBorder="1" applyAlignment="1">
      <alignment horizontal="center" vertical="center" wrapText="1"/>
    </xf>
    <xf numFmtId="0" fontId="99" fillId="20" borderId="41" xfId="0" applyFont="1" applyFill="1" applyBorder="1" applyAlignment="1">
      <alignment horizontal="center" vertical="center"/>
    </xf>
    <xf numFmtId="10" fontId="99" fillId="20" borderId="41" xfId="7" applyNumberFormat="1" applyFont="1" applyFill="1" applyBorder="1" applyAlignment="1">
      <alignment horizontal="center" vertical="center"/>
    </xf>
    <xf numFmtId="203" fontId="131" fillId="0" borderId="125" xfId="0" applyNumberFormat="1" applyFont="1" applyBorder="1" applyAlignment="1">
      <alignment horizontal="center" vertical="center" wrapText="1"/>
    </xf>
    <xf numFmtId="204" fontId="100" fillId="0" borderId="0" xfId="0" applyNumberFormat="1" applyFont="1"/>
    <xf numFmtId="171" fontId="0" fillId="0" borderId="0" xfId="8" applyFont="1" applyAlignment="1">
      <alignment horizontal="center" vertical="center"/>
    </xf>
    <xf numFmtId="2" fontId="0" fillId="0" borderId="25" xfId="0" applyNumberFormat="1" applyBorder="1" applyAlignment="1">
      <alignment horizontal="center" vertical="center"/>
    </xf>
    <xf numFmtId="0" fontId="50" fillId="8" borderId="3" xfId="59" applyFont="1" applyFill="1" applyBorder="1"/>
    <xf numFmtId="0" fontId="0" fillId="0" borderId="7" xfId="0" applyBorder="1"/>
    <xf numFmtId="0" fontId="50" fillId="8" borderId="8" xfId="59" applyFont="1" applyFill="1" applyBorder="1"/>
    <xf numFmtId="165" fontId="100" fillId="0" borderId="0" xfId="6" applyFont="1"/>
    <xf numFmtId="165" fontId="100" fillId="0" borderId="15" xfId="6" applyFont="1" applyBorder="1"/>
    <xf numFmtId="165" fontId="130" fillId="0" borderId="13" xfId="6" applyFont="1" applyBorder="1"/>
    <xf numFmtId="165" fontId="130" fillId="0" borderId="16" xfId="0" applyNumberFormat="1" applyFont="1" applyBorder="1"/>
    <xf numFmtId="0" fontId="102" fillId="6" borderId="25" xfId="0" applyFont="1" applyFill="1" applyBorder="1" applyAlignment="1">
      <alignment horizontal="center" vertical="center"/>
    </xf>
    <xf numFmtId="0" fontId="134" fillId="0" borderId="0" xfId="98" applyAlignment="1">
      <alignment horizontal="right" vertical="center"/>
    </xf>
    <xf numFmtId="44" fontId="136" fillId="0" borderId="15" xfId="113" applyFont="1" applyBorder="1" applyAlignment="1">
      <alignment horizontal="center" vertical="center"/>
    </xf>
    <xf numFmtId="49" fontId="89" fillId="8" borderId="0" xfId="115" applyNumberFormat="1" applyFont="1" applyFill="1" applyAlignment="1">
      <alignment horizontal="center" vertical="center" wrapText="1"/>
    </xf>
    <xf numFmtId="44" fontId="134" fillId="0" borderId="0" xfId="98" applyNumberFormat="1" applyAlignment="1">
      <alignment horizontal="center" vertical="center" wrapText="1"/>
    </xf>
    <xf numFmtId="0" fontId="134" fillId="0" borderId="0" xfId="98" applyAlignment="1">
      <alignment horizontal="center" vertical="center" wrapText="1"/>
    </xf>
    <xf numFmtId="0" fontId="136" fillId="0" borderId="13" xfId="98" applyFont="1" applyBorder="1" applyAlignment="1">
      <alignment horizontal="center" vertical="center"/>
    </xf>
    <xf numFmtId="0" fontId="136" fillId="0" borderId="14" xfId="98" applyFont="1" applyBorder="1" applyAlignment="1">
      <alignment horizontal="center" vertical="center"/>
    </xf>
    <xf numFmtId="0" fontId="138" fillId="26" borderId="128" xfId="0" applyFont="1" applyFill="1" applyBorder="1" applyAlignment="1">
      <alignment horizontal="justify" vertical="center" wrapText="1"/>
    </xf>
    <xf numFmtId="0" fontId="134" fillId="0" borderId="0" xfId="98"/>
    <xf numFmtId="10" fontId="134" fillId="0" borderId="0" xfId="98" applyNumberFormat="1"/>
    <xf numFmtId="0" fontId="138" fillId="26" borderId="126" xfId="98" applyFont="1" applyFill="1" applyBorder="1" applyAlignment="1">
      <alignment horizontal="center" vertical="center" wrapText="1"/>
    </xf>
    <xf numFmtId="0" fontId="138" fillId="26" borderId="127" xfId="98" applyFont="1" applyFill="1" applyBorder="1" applyAlignment="1">
      <alignment horizontal="justify" vertical="center" wrapText="1"/>
    </xf>
    <xf numFmtId="0" fontId="138" fillId="26" borderId="128" xfId="98" applyFont="1" applyFill="1" applyBorder="1" applyAlignment="1">
      <alignment horizontal="justify" vertical="center" wrapText="1"/>
    </xf>
    <xf numFmtId="0" fontId="139" fillId="0" borderId="129" xfId="98" applyFont="1" applyBorder="1" applyAlignment="1">
      <alignment horizontal="center" vertical="center" wrapText="1"/>
    </xf>
    <xf numFmtId="0" fontId="140" fillId="0" borderId="125" xfId="98" applyFont="1" applyBorder="1" applyAlignment="1">
      <alignment horizontal="center" vertical="center" wrapText="1"/>
    </xf>
    <xf numFmtId="14" fontId="140" fillId="0" borderId="125" xfId="98" applyNumberFormat="1" applyFont="1" applyBorder="1" applyAlignment="1">
      <alignment horizontal="center" vertical="center" wrapText="1"/>
    </xf>
    <xf numFmtId="10" fontId="140" fillId="0" borderId="130" xfId="98" applyNumberFormat="1" applyFont="1" applyBorder="1" applyAlignment="1">
      <alignment horizontal="center" vertical="center" wrapText="1"/>
    </xf>
    <xf numFmtId="0" fontId="139" fillId="0" borderId="131" xfId="98" applyFont="1" applyBorder="1" applyAlignment="1">
      <alignment horizontal="center" vertical="center" wrapText="1"/>
    </xf>
    <xf numFmtId="0" fontId="140" fillId="0" borderId="132" xfId="98" applyFont="1" applyBorder="1" applyAlignment="1">
      <alignment horizontal="center" vertical="center" wrapText="1"/>
    </xf>
    <xf numFmtId="14" fontId="140" fillId="0" borderId="132" xfId="98" applyNumberFormat="1" applyFont="1" applyBorder="1" applyAlignment="1">
      <alignment horizontal="center" vertical="center" wrapText="1"/>
    </xf>
    <xf numFmtId="10" fontId="140" fillId="0" borderId="133" xfId="98" applyNumberFormat="1" applyFont="1" applyBorder="1" applyAlignment="1">
      <alignment horizontal="center" vertical="center" wrapText="1"/>
    </xf>
    <xf numFmtId="0" fontId="134" fillId="0" borderId="0" xfId="98" applyAlignment="1">
      <alignment horizontal="center" vertical="center"/>
    </xf>
    <xf numFmtId="0" fontId="136" fillId="7" borderId="15" xfId="7" applyNumberFormat="1" applyFont="1" applyFill="1" applyBorder="1" applyAlignment="1">
      <alignment horizontal="center" vertical="center"/>
    </xf>
    <xf numFmtId="0" fontId="138" fillId="0" borderId="0" xfId="0" applyFont="1" applyAlignment="1">
      <alignment horizontal="center" vertical="center" wrapText="1"/>
    </xf>
    <xf numFmtId="0" fontId="138" fillId="0" borderId="0" xfId="0" applyFont="1" applyAlignment="1">
      <alignment horizontal="justify" vertical="center" wrapText="1"/>
    </xf>
    <xf numFmtId="0" fontId="139" fillId="0" borderId="0" xfId="0" applyFont="1" applyAlignment="1">
      <alignment horizontal="center" vertical="center" wrapText="1"/>
    </xf>
    <xf numFmtId="0" fontId="140" fillId="0" borderId="0" xfId="0" applyFont="1" applyAlignment="1">
      <alignment horizontal="center" vertical="center" wrapText="1"/>
    </xf>
    <xf numFmtId="14" fontId="140" fillId="0" borderId="0" xfId="0" applyNumberFormat="1" applyFont="1" applyAlignment="1">
      <alignment horizontal="center" vertical="center" wrapText="1"/>
    </xf>
    <xf numFmtId="10" fontId="140" fillId="0" borderId="0" xfId="0" applyNumberFormat="1" applyFont="1" applyAlignment="1">
      <alignment horizontal="center" vertical="center" wrapText="1"/>
    </xf>
    <xf numFmtId="175" fontId="140" fillId="0" borderId="0" xfId="0" applyNumberFormat="1" applyFont="1" applyAlignment="1">
      <alignment horizontal="center" vertical="center" wrapText="1"/>
    </xf>
    <xf numFmtId="10" fontId="0" fillId="0" borderId="0" xfId="0" applyNumberFormat="1"/>
    <xf numFmtId="176" fontId="140" fillId="0" borderId="130" xfId="0" applyNumberFormat="1" applyFont="1" applyBorder="1" applyAlignment="1">
      <alignment horizontal="center" vertical="center" wrapText="1"/>
    </xf>
    <xf numFmtId="176" fontId="140" fillId="0" borderId="133" xfId="0" applyNumberFormat="1" applyFont="1" applyBorder="1" applyAlignment="1">
      <alignment horizontal="center" vertical="center" wrapText="1"/>
    </xf>
    <xf numFmtId="2" fontId="0" fillId="7" borderId="0" xfId="0" applyNumberFormat="1" applyFill="1"/>
    <xf numFmtId="0" fontId="0" fillId="0" borderId="0" xfId="0" applyAlignment="1">
      <alignment horizontal="right" vertical="center"/>
    </xf>
    <xf numFmtId="44" fontId="0" fillId="0" borderId="0" xfId="0" applyNumberFormat="1" applyAlignment="1">
      <alignment horizontal="center" vertical="center" wrapText="1"/>
    </xf>
    <xf numFmtId="0" fontId="0" fillId="0" borderId="0" xfId="0" applyAlignment="1">
      <alignment horizontal="center" vertical="center" wrapText="1"/>
    </xf>
    <xf numFmtId="0" fontId="136" fillId="0" borderId="13" xfId="0" applyFont="1" applyBorder="1" applyAlignment="1">
      <alignment horizontal="center" vertical="center"/>
    </xf>
    <xf numFmtId="0" fontId="136" fillId="0" borderId="14" xfId="0" applyFont="1" applyBorder="1" applyAlignment="1">
      <alignment horizontal="center" vertical="center"/>
    </xf>
    <xf numFmtId="0" fontId="136" fillId="7" borderId="15" xfId="0" applyFont="1" applyFill="1" applyBorder="1" applyAlignment="1">
      <alignment horizontal="center" vertical="center"/>
    </xf>
    <xf numFmtId="210" fontId="103" fillId="6" borderId="0" xfId="0" applyNumberFormat="1" applyFont="1" applyFill="1"/>
    <xf numFmtId="165" fontId="136" fillId="0" borderId="0" xfId="6" applyFont="1" applyBorder="1" applyAlignment="1">
      <alignment horizontal="center" vertical="center" wrapText="1"/>
    </xf>
    <xf numFmtId="165" fontId="89" fillId="8" borderId="0" xfId="6" applyFont="1" applyFill="1" applyAlignment="1">
      <alignment horizontal="center" vertical="center" wrapText="1"/>
    </xf>
    <xf numFmtId="165" fontId="0" fillId="0" borderId="14" xfId="6" applyFont="1" applyBorder="1" applyAlignment="1">
      <alignment vertical="center" wrapText="1"/>
    </xf>
    <xf numFmtId="165" fontId="0" fillId="0" borderId="16" xfId="6" applyFont="1" applyBorder="1"/>
    <xf numFmtId="0" fontId="103" fillId="21" borderId="57" xfId="0" applyFont="1" applyFill="1" applyBorder="1" applyAlignment="1">
      <alignment horizontal="center" vertical="center"/>
    </xf>
    <xf numFmtId="0" fontId="102" fillId="0" borderId="73" xfId="0" applyFont="1" applyBorder="1" applyAlignment="1">
      <alignment horizontal="center" vertical="center"/>
    </xf>
    <xf numFmtId="0" fontId="102" fillId="0" borderId="38" xfId="0" applyFont="1" applyBorder="1" applyAlignment="1">
      <alignment horizontal="center" vertical="center"/>
    </xf>
    <xf numFmtId="3" fontId="102" fillId="0" borderId="38" xfId="0" applyNumberFormat="1" applyFont="1" applyBorder="1" applyAlignment="1">
      <alignment horizontal="center" vertical="center"/>
    </xf>
    <xf numFmtId="2" fontId="102" fillId="0" borderId="38" xfId="0" applyNumberFormat="1" applyFont="1" applyBorder="1" applyAlignment="1">
      <alignment horizontal="center" vertical="center"/>
    </xf>
    <xf numFmtId="0" fontId="0" fillId="0" borderId="14" xfId="0" applyBorder="1"/>
    <xf numFmtId="0" fontId="28" fillId="0" borderId="0" xfId="0" applyFont="1" applyAlignment="1">
      <alignment horizontal="center" vertical="center" wrapText="1"/>
    </xf>
    <xf numFmtId="0" fontId="0" fillId="0" borderId="14" xfId="0" applyBorder="1" applyAlignment="1">
      <alignment horizontal="center" vertical="center"/>
    </xf>
    <xf numFmtId="0" fontId="103" fillId="21" borderId="0" xfId="0" applyFont="1" applyFill="1" applyAlignment="1">
      <alignment horizontal="center" vertical="center"/>
    </xf>
    <xf numFmtId="0" fontId="102" fillId="0" borderId="14" xfId="0" applyFont="1" applyBorder="1" applyAlignment="1">
      <alignment horizontal="center" vertical="center"/>
    </xf>
    <xf numFmtId="165" fontId="0" fillId="0" borderId="14" xfId="6" applyFont="1" applyBorder="1"/>
    <xf numFmtId="0" fontId="103" fillId="21" borderId="87" xfId="0" applyFont="1" applyFill="1" applyBorder="1" applyAlignment="1">
      <alignment horizontal="center" vertical="center"/>
    </xf>
    <xf numFmtId="0" fontId="102" fillId="0" borderId="134" xfId="0" applyFont="1" applyBorder="1" applyAlignment="1">
      <alignment horizontal="center" vertical="center"/>
    </xf>
    <xf numFmtId="0" fontId="102" fillId="6" borderId="135" xfId="0" applyFont="1" applyFill="1" applyBorder="1" applyAlignment="1">
      <alignment horizontal="center" vertical="center"/>
    </xf>
    <xf numFmtId="3" fontId="102" fillId="0" borderId="135" xfId="0" applyNumberFormat="1" applyFont="1" applyBorder="1" applyAlignment="1">
      <alignment horizontal="center" vertical="center"/>
    </xf>
    <xf numFmtId="2" fontId="102" fillId="0" borderId="135" xfId="0" applyNumberFormat="1" applyFont="1" applyBorder="1" applyAlignment="1">
      <alignment horizontal="center" vertical="center"/>
    </xf>
    <xf numFmtId="0" fontId="0" fillId="0" borderId="20" xfId="0" applyBorder="1" applyAlignment="1">
      <alignment horizontal="center" vertical="center"/>
    </xf>
    <xf numFmtId="0" fontId="0" fillId="0" borderId="74" xfId="0" applyBorder="1"/>
    <xf numFmtId="2" fontId="0" fillId="0" borderId="16" xfId="0" applyNumberFormat="1" applyBorder="1"/>
    <xf numFmtId="0" fontId="0" fillId="0" borderId="16" xfId="0" applyBorder="1"/>
    <xf numFmtId="165" fontId="0" fillId="0" borderId="20" xfId="6" applyFont="1" applyBorder="1" applyAlignment="1">
      <alignment horizontal="center" vertical="center"/>
    </xf>
    <xf numFmtId="165" fontId="0" fillId="0" borderId="74" xfId="6" applyFont="1" applyBorder="1"/>
    <xf numFmtId="0" fontId="102" fillId="0" borderId="135" xfId="0" applyFont="1" applyBorder="1" applyAlignment="1">
      <alignment horizontal="center" vertical="center"/>
    </xf>
    <xf numFmtId="2" fontId="10" fillId="0" borderId="16" xfId="0" applyNumberFormat="1" applyFont="1" applyBorder="1"/>
    <xf numFmtId="165" fontId="28" fillId="6" borderId="16" xfId="6" applyFont="1" applyFill="1" applyBorder="1"/>
    <xf numFmtId="0" fontId="99" fillId="0" borderId="0" xfId="0" applyFont="1" applyAlignment="1">
      <alignment horizontal="right" wrapText="1"/>
    </xf>
    <xf numFmtId="0" fontId="99" fillId="0" borderId="0" xfId="0" applyFont="1" applyAlignment="1">
      <alignment horizontal="center" wrapText="1"/>
    </xf>
    <xf numFmtId="10" fontId="103" fillId="0" borderId="0" xfId="0" applyNumberFormat="1" applyFont="1" applyAlignment="1">
      <alignment horizontal="center" vertical="center"/>
    </xf>
    <xf numFmtId="204" fontId="102" fillId="0" borderId="0" xfId="0" applyNumberFormat="1" applyFont="1" applyAlignment="1">
      <alignment horizontal="center"/>
    </xf>
    <xf numFmtId="4" fontId="50" fillId="0" borderId="0" xfId="59" applyNumberFormat="1" applyFont="1"/>
    <xf numFmtId="0" fontId="99" fillId="0" borderId="0" xfId="0" applyFont="1"/>
    <xf numFmtId="0" fontId="102" fillId="0" borderId="0" xfId="0" applyFont="1" applyAlignment="1">
      <alignment vertical="center"/>
    </xf>
    <xf numFmtId="198" fontId="33" fillId="6" borderId="25" xfId="123" applyNumberFormat="1" applyFont="1" applyFill="1" applyBorder="1" applyAlignment="1">
      <alignment horizontal="center" vertical="center"/>
    </xf>
    <xf numFmtId="204" fontId="102" fillId="0" borderId="0" xfId="0" applyNumberFormat="1" applyFont="1"/>
    <xf numFmtId="0" fontId="27" fillId="0" borderId="0" xfId="116" applyFont="1" applyAlignment="1">
      <alignment horizontal="right" vertical="center"/>
    </xf>
    <xf numFmtId="184" fontId="27" fillId="0" borderId="0" xfId="6" applyNumberFormat="1" applyFont="1" applyFill="1" applyBorder="1" applyAlignment="1">
      <alignment horizontal="center" vertical="center"/>
    </xf>
    <xf numFmtId="165" fontId="130" fillId="0" borderId="0" xfId="0" applyNumberFormat="1" applyFont="1"/>
    <xf numFmtId="184" fontId="81" fillId="0" borderId="25" xfId="118" applyNumberFormat="1" applyFont="1" applyBorder="1" applyAlignment="1">
      <alignment horizontal="center" vertical="center" wrapText="1"/>
    </xf>
    <xf numFmtId="7" fontId="81" fillId="0" borderId="25" xfId="6" applyNumberFormat="1" applyFont="1" applyBorder="1" applyAlignment="1">
      <alignment vertical="center" wrapText="1"/>
    </xf>
    <xf numFmtId="9" fontId="81" fillId="0" borderId="25" xfId="45" applyFont="1" applyBorder="1" applyAlignment="1">
      <alignment vertical="center" wrapText="1"/>
    </xf>
    <xf numFmtId="0" fontId="81" fillId="0" borderId="25" xfId="117" applyFont="1" applyBorder="1" applyAlignment="1">
      <alignment horizontal="left" vertical="center" wrapText="1"/>
    </xf>
    <xf numFmtId="173" fontId="27" fillId="0" borderId="25" xfId="117" applyNumberFormat="1" applyFont="1" applyBorder="1" applyAlignment="1">
      <alignment horizontal="left" vertical="center" wrapText="1"/>
    </xf>
    <xf numFmtId="10" fontId="81" fillId="0" borderId="25" xfId="117" applyNumberFormat="1" applyFont="1" applyBorder="1" applyAlignment="1">
      <alignment vertical="center" wrapText="1"/>
    </xf>
    <xf numFmtId="0" fontId="50" fillId="8" borderId="25" xfId="59" applyFont="1" applyFill="1" applyBorder="1" applyAlignment="1">
      <alignment wrapText="1"/>
    </xf>
    <xf numFmtId="215" fontId="81" fillId="0" borderId="25" xfId="117" applyNumberFormat="1" applyFont="1" applyBorder="1" applyAlignment="1">
      <alignment horizontal="right" vertical="center" wrapText="1"/>
    </xf>
    <xf numFmtId="173" fontId="81" fillId="0" borderId="25" xfId="117" applyNumberFormat="1" applyFont="1" applyBorder="1" applyAlignment="1">
      <alignment horizontal="right" vertical="center" wrapText="1"/>
    </xf>
    <xf numFmtId="0" fontId="29" fillId="0" borderId="25" xfId="117" applyFont="1" applyBorder="1" applyAlignment="1">
      <alignment vertical="center" wrapText="1"/>
    </xf>
    <xf numFmtId="10" fontId="144" fillId="0" borderId="25" xfId="45" applyNumberFormat="1" applyFont="1" applyFill="1" applyBorder="1" applyAlignment="1">
      <alignment horizontal="right" vertical="center" wrapText="1"/>
    </xf>
    <xf numFmtId="10" fontId="29" fillId="0" borderId="25" xfId="117" applyNumberFormat="1" applyFont="1" applyBorder="1" applyAlignment="1">
      <alignment vertical="center" wrapText="1"/>
    </xf>
    <xf numFmtId="210" fontId="29" fillId="0" borderId="25" xfId="118" applyNumberFormat="1" applyFont="1" applyBorder="1" applyAlignment="1">
      <alignment wrapText="1"/>
    </xf>
    <xf numFmtId="0" fontId="27" fillId="0" borderId="30" xfId="117" applyFont="1" applyBorder="1" applyAlignment="1">
      <alignment horizontal="left" vertical="center" wrapText="1"/>
    </xf>
    <xf numFmtId="0" fontId="50" fillId="8" borderId="58" xfId="59" applyFont="1" applyFill="1" applyBorder="1"/>
    <xf numFmtId="0" fontId="81" fillId="8" borderId="32" xfId="0" applyFont="1" applyFill="1" applyBorder="1" applyAlignment="1">
      <alignment vertical="center" wrapText="1"/>
    </xf>
    <xf numFmtId="0" fontId="145" fillId="8" borderId="33" xfId="0" applyFont="1" applyFill="1" applyBorder="1" applyAlignment="1">
      <alignment vertical="center" wrapText="1"/>
    </xf>
    <xf numFmtId="0" fontId="81" fillId="8" borderId="33" xfId="0" applyFont="1" applyFill="1" applyBorder="1" applyAlignment="1">
      <alignment vertical="center" wrapText="1"/>
    </xf>
    <xf numFmtId="198" fontId="33" fillId="6" borderId="33" xfId="123" applyNumberFormat="1" applyFont="1" applyFill="1" applyBorder="1" applyAlignment="1">
      <alignment horizontal="center" vertical="center"/>
    </xf>
    <xf numFmtId="0" fontId="147" fillId="0" borderId="139" xfId="0" applyFont="1" applyBorder="1" applyAlignment="1">
      <alignment horizontal="left" vertical="center"/>
    </xf>
    <xf numFmtId="0" fontId="148" fillId="0" borderId="139" xfId="0" applyFont="1" applyBorder="1" applyAlignment="1">
      <alignment horizontal="left" vertical="center"/>
    </xf>
    <xf numFmtId="0" fontId="27" fillId="0" borderId="30" xfId="119" applyFont="1" applyBorder="1" applyAlignment="1">
      <alignment horizontal="center" vertical="center" wrapText="1"/>
    </xf>
    <xf numFmtId="0" fontId="27" fillId="0" borderId="33" xfId="119" applyFont="1" applyBorder="1" applyAlignment="1">
      <alignment horizontal="center" vertical="center" wrapText="1"/>
    </xf>
    <xf numFmtId="175" fontId="0" fillId="0" borderId="26" xfId="0" applyNumberFormat="1" applyBorder="1" applyAlignment="1">
      <alignment horizontal="center" vertical="center"/>
    </xf>
    <xf numFmtId="0" fontId="50" fillId="8" borderId="1" xfId="59" applyFont="1" applyFill="1" applyBorder="1"/>
    <xf numFmtId="0" fontId="50" fillId="8" borderId="2" xfId="59" applyFont="1" applyFill="1" applyBorder="1" applyAlignment="1">
      <alignment horizontal="center"/>
    </xf>
    <xf numFmtId="0" fontId="50" fillId="8" borderId="2" xfId="59" applyFont="1" applyFill="1" applyBorder="1"/>
    <xf numFmtId="4" fontId="50" fillId="8" borderId="2" xfId="59" applyNumberFormat="1" applyFont="1" applyFill="1" applyBorder="1"/>
    <xf numFmtId="177" fontId="50" fillId="8" borderId="2" xfId="59" applyNumberFormat="1" applyFont="1" applyFill="1" applyBorder="1"/>
    <xf numFmtId="0" fontId="50" fillId="8" borderId="7" xfId="59" applyFont="1" applyFill="1" applyBorder="1"/>
    <xf numFmtId="0" fontId="106" fillId="0" borderId="0" xfId="5" applyFont="1"/>
    <xf numFmtId="0" fontId="50" fillId="8" borderId="0" xfId="59" applyFont="1" applyFill="1" applyAlignment="1">
      <alignment horizontal="center" vertical="center"/>
    </xf>
    <xf numFmtId="0" fontId="102" fillId="7" borderId="7" xfId="0" applyFont="1" applyFill="1" applyBorder="1"/>
    <xf numFmtId="0" fontId="102" fillId="7" borderId="0" xfId="0" applyFont="1" applyFill="1"/>
    <xf numFmtId="0" fontId="100" fillId="0" borderId="8" xfId="0" applyFont="1" applyBorder="1"/>
    <xf numFmtId="0" fontId="102" fillId="0" borderId="7" xfId="0" applyFont="1" applyBorder="1"/>
    <xf numFmtId="0" fontId="103" fillId="21" borderId="27" xfId="0" applyFont="1" applyFill="1" applyBorder="1" applyAlignment="1">
      <alignment horizontal="center" vertical="center"/>
    </xf>
    <xf numFmtId="0" fontId="102" fillId="0" borderId="27" xfId="0" applyFont="1" applyBorder="1" applyAlignment="1">
      <alignment horizontal="center" vertical="center"/>
    </xf>
    <xf numFmtId="0" fontId="103" fillId="21" borderId="142" xfId="0" applyFont="1" applyFill="1" applyBorder="1" applyAlignment="1">
      <alignment horizontal="center" vertical="center"/>
    </xf>
    <xf numFmtId="0" fontId="102" fillId="0" borderId="144" xfId="0" applyFont="1" applyBorder="1" applyAlignment="1">
      <alignment horizontal="center" vertical="center"/>
    </xf>
    <xf numFmtId="0" fontId="103" fillId="21" borderId="144" xfId="0" applyFont="1" applyFill="1" applyBorder="1" applyAlignment="1">
      <alignment horizontal="center" vertical="center"/>
    </xf>
    <xf numFmtId="0" fontId="103" fillId="21" borderId="106" xfId="0" applyFont="1" applyFill="1" applyBorder="1" applyAlignment="1">
      <alignment horizontal="center" vertical="center"/>
    </xf>
    <xf numFmtId="0" fontId="102" fillId="0" borderId="0" xfId="0" applyFont="1" applyAlignment="1">
      <alignment horizontal="left" vertical="center" wrapText="1"/>
    </xf>
    <xf numFmtId="166" fontId="50" fillId="8" borderId="0" xfId="59" applyNumberFormat="1" applyFont="1" applyFill="1" applyAlignment="1">
      <alignment horizontal="center" vertical="center"/>
    </xf>
    <xf numFmtId="4" fontId="50" fillId="8" borderId="0" xfId="59" applyNumberFormat="1" applyFont="1" applyFill="1" applyAlignment="1">
      <alignment horizontal="right" vertical="center"/>
    </xf>
    <xf numFmtId="0" fontId="10" fillId="0" borderId="8" xfId="0" applyFont="1" applyBorder="1"/>
    <xf numFmtId="0" fontId="99" fillId="20" borderId="27" xfId="0" applyFont="1" applyFill="1" applyBorder="1" applyAlignment="1">
      <alignment horizontal="center" vertical="center"/>
    </xf>
    <xf numFmtId="0" fontId="102" fillId="0" borderId="7" xfId="0" applyFont="1" applyBorder="1" applyAlignment="1">
      <alignment horizontal="center" vertical="center"/>
    </xf>
    <xf numFmtId="0" fontId="0" fillId="0" borderId="8" xfId="0" applyBorder="1"/>
    <xf numFmtId="0" fontId="58" fillId="0" borderId="0" xfId="59" applyFont="1" applyAlignment="1">
      <alignment horizontal="justify" vertical="center"/>
    </xf>
    <xf numFmtId="166" fontId="50" fillId="0" borderId="0" xfId="59" applyNumberFormat="1" applyFont="1" applyAlignment="1">
      <alignment horizontal="center" vertical="center"/>
    </xf>
    <xf numFmtId="3" fontId="102" fillId="0" borderId="0" xfId="0" applyNumberFormat="1" applyFont="1" applyAlignment="1">
      <alignment horizontal="center" vertical="center"/>
    </xf>
    <xf numFmtId="203" fontId="102" fillId="0" borderId="0" xfId="0" applyNumberFormat="1" applyFont="1" applyAlignment="1">
      <alignment horizontal="center" vertical="center"/>
    </xf>
    <xf numFmtId="2" fontId="102" fillId="0" borderId="0" xfId="0" applyNumberFormat="1" applyFont="1" applyAlignment="1">
      <alignment horizontal="center" vertical="center"/>
    </xf>
    <xf numFmtId="0" fontId="27" fillId="0" borderId="7" xfId="116" applyFont="1" applyBorder="1" applyAlignment="1">
      <alignment horizontal="right" vertical="center"/>
    </xf>
    <xf numFmtId="184" fontId="27" fillId="0" borderId="8" xfId="6" applyNumberFormat="1" applyFont="1" applyFill="1" applyBorder="1" applyAlignment="1">
      <alignment horizontal="center" vertical="center"/>
    </xf>
    <xf numFmtId="0" fontId="102" fillId="0" borderId="0" xfId="0" applyFont="1" applyAlignment="1">
      <alignment horizontal="left" vertical="center"/>
    </xf>
    <xf numFmtId="0" fontId="100" fillId="0" borderId="7" xfId="0" applyFont="1" applyBorder="1"/>
    <xf numFmtId="0" fontId="100" fillId="0" borderId="4" xfId="0" applyFont="1" applyBorder="1"/>
    <xf numFmtId="0" fontId="102" fillId="0" borderId="5" xfId="0" applyFont="1" applyBorder="1" applyAlignment="1">
      <alignment vertical="center"/>
    </xf>
    <xf numFmtId="0" fontId="102" fillId="0" borderId="146" xfId="0" applyFont="1" applyBorder="1" applyAlignment="1">
      <alignment horizontal="center" vertical="center"/>
    </xf>
    <xf numFmtId="0" fontId="102" fillId="0" borderId="99" xfId="0" applyFont="1" applyBorder="1" applyAlignment="1">
      <alignment horizontal="center" vertical="center"/>
    </xf>
    <xf numFmtId="3" fontId="102" fillId="0" borderId="99" xfId="0" applyNumberFormat="1" applyFont="1" applyBorder="1" applyAlignment="1">
      <alignment horizontal="center" vertical="center"/>
    </xf>
    <xf numFmtId="2" fontId="102" fillId="0" borderId="99" xfId="0" applyNumberFormat="1" applyFont="1" applyBorder="1" applyAlignment="1">
      <alignment horizontal="center" vertical="center"/>
    </xf>
    <xf numFmtId="0" fontId="10" fillId="0" borderId="31" xfId="0" applyFont="1" applyBorder="1" applyAlignment="1">
      <alignment horizontal="center" vertical="center"/>
    </xf>
    <xf numFmtId="2" fontId="0" fillId="0" borderId="0" xfId="6" applyNumberFormat="1" applyFont="1" applyAlignment="1">
      <alignment horizontal="center" vertical="center"/>
    </xf>
    <xf numFmtId="0" fontId="10" fillId="0" borderId="31" xfId="0" applyFont="1" applyBorder="1" applyAlignment="1">
      <alignment horizontal="center" vertical="center" wrapText="1"/>
    </xf>
    <xf numFmtId="44" fontId="0" fillId="0" borderId="16" xfId="0" applyNumberFormat="1" applyBorder="1" applyAlignment="1">
      <alignment horizontal="center" vertical="center"/>
    </xf>
    <xf numFmtId="2" fontId="0" fillId="0" borderId="0" xfId="6" applyNumberFormat="1" applyFont="1" applyAlignment="1">
      <alignment horizontal="right" vertical="center"/>
    </xf>
    <xf numFmtId="165" fontId="0" fillId="0" borderId="58" xfId="6" applyFont="1" applyBorder="1" applyAlignment="1">
      <alignment vertical="center" wrapText="1"/>
    </xf>
    <xf numFmtId="165" fontId="0" fillId="0" borderId="61" xfId="6" applyFont="1" applyBorder="1" applyAlignment="1">
      <alignment vertical="center" wrapText="1"/>
    </xf>
    <xf numFmtId="0" fontId="10" fillId="13" borderId="31" xfId="0" applyFont="1" applyFill="1" applyBorder="1" applyAlignment="1">
      <alignment horizontal="center" vertical="center"/>
    </xf>
    <xf numFmtId="44" fontId="0" fillId="13" borderId="16" xfId="0" applyNumberFormat="1" applyFill="1" applyBorder="1" applyAlignment="1">
      <alignment horizontal="center" vertical="center"/>
    </xf>
    <xf numFmtId="0" fontId="10" fillId="13" borderId="31" xfId="0" applyFont="1" applyFill="1" applyBorder="1" applyAlignment="1">
      <alignment horizontal="center" vertical="center" wrapText="1"/>
    </xf>
    <xf numFmtId="44" fontId="0" fillId="0" borderId="16" xfId="0" applyNumberFormat="1" applyBorder="1" applyAlignment="1">
      <alignment horizontal="center" vertical="center" wrapText="1"/>
    </xf>
    <xf numFmtId="44" fontId="0" fillId="13" borderId="16" xfId="0" applyNumberFormat="1" applyFill="1" applyBorder="1" applyAlignment="1">
      <alignment horizontal="center" vertical="center" wrapText="1"/>
    </xf>
    <xf numFmtId="0" fontId="0" fillId="0" borderId="0" xfId="0" applyAlignment="1">
      <alignment wrapText="1"/>
    </xf>
    <xf numFmtId="44" fontId="0" fillId="0" borderId="0" xfId="0" applyNumberFormat="1" applyAlignment="1">
      <alignment horizontal="center" vertical="center"/>
    </xf>
    <xf numFmtId="2" fontId="0" fillId="0" borderId="0" xfId="0" applyNumberFormat="1" applyAlignment="1">
      <alignment horizontal="center" vertical="center"/>
    </xf>
    <xf numFmtId="200" fontId="100" fillId="0" borderId="0" xfId="0" applyNumberFormat="1" applyFont="1"/>
    <xf numFmtId="0" fontId="10" fillId="0" borderId="88" xfId="0" applyFont="1" applyBorder="1"/>
    <xf numFmtId="1" fontId="102" fillId="0" borderId="87" xfId="0" applyNumberFormat="1" applyFont="1" applyBorder="1" applyAlignment="1">
      <alignment horizontal="center" vertical="center"/>
    </xf>
    <xf numFmtId="206" fontId="102" fillId="0" borderId="99" xfId="0" applyNumberFormat="1" applyFont="1" applyBorder="1" applyAlignment="1">
      <alignment horizontal="center" vertical="center"/>
    </xf>
    <xf numFmtId="1" fontId="102" fillId="0" borderId="99" xfId="0" applyNumberFormat="1" applyFont="1" applyBorder="1" applyAlignment="1">
      <alignment horizontal="center" vertical="center" wrapText="1"/>
    </xf>
    <xf numFmtId="10" fontId="102" fillId="0" borderId="99" xfId="0" applyNumberFormat="1" applyFont="1" applyBorder="1" applyAlignment="1">
      <alignment horizontal="center" vertical="center"/>
    </xf>
    <xf numFmtId="1" fontId="102" fillId="0" borderId="25" xfId="0" applyNumberFormat="1" applyFont="1" applyBorder="1" applyAlignment="1">
      <alignment horizontal="center" vertical="center"/>
    </xf>
    <xf numFmtId="206" fontId="102" fillId="0" borderId="25" xfId="0" applyNumberFormat="1" applyFont="1" applyBorder="1" applyAlignment="1">
      <alignment horizontal="center" vertical="center"/>
    </xf>
    <xf numFmtId="1" fontId="102" fillId="0" borderId="25" xfId="0" applyNumberFormat="1" applyFont="1" applyBorder="1" applyAlignment="1">
      <alignment horizontal="center" vertical="center" wrapText="1"/>
    </xf>
    <xf numFmtId="2" fontId="102" fillId="0" borderId="99" xfId="0" applyNumberFormat="1" applyFont="1" applyBorder="1" applyAlignment="1">
      <alignment horizontal="center" vertical="center" wrapText="1"/>
    </xf>
    <xf numFmtId="2" fontId="102" fillId="0" borderId="25" xfId="0" applyNumberFormat="1" applyFont="1" applyBorder="1" applyAlignment="1">
      <alignment horizontal="center" vertical="center" wrapText="1"/>
    </xf>
    <xf numFmtId="2" fontId="102" fillId="0" borderId="57" xfId="0" applyNumberFormat="1" applyFont="1" applyBorder="1" applyAlignment="1">
      <alignment horizontal="center" vertical="center" wrapText="1"/>
    </xf>
    <xf numFmtId="1" fontId="102" fillId="0" borderId="88" xfId="0" applyNumberFormat="1" applyFont="1" applyBorder="1" applyAlignment="1">
      <alignment horizontal="center" vertical="center" wrapText="1"/>
    </xf>
    <xf numFmtId="10" fontId="102" fillId="0" borderId="88" xfId="0" applyNumberFormat="1" applyFont="1" applyBorder="1" applyAlignment="1">
      <alignment horizontal="center" vertical="center" wrapText="1"/>
    </xf>
    <xf numFmtId="206" fontId="102" fillId="0" borderId="88" xfId="0" applyNumberFormat="1" applyFont="1" applyBorder="1" applyAlignment="1">
      <alignment horizontal="center" vertical="center" wrapText="1"/>
    </xf>
    <xf numFmtId="10" fontId="102" fillId="0" borderId="25" xfId="0" applyNumberFormat="1" applyFont="1" applyBorder="1" applyAlignment="1">
      <alignment horizontal="center" vertical="center" wrapText="1"/>
    </xf>
    <xf numFmtId="175" fontId="102" fillId="0" borderId="98" xfId="0" applyNumberFormat="1" applyFont="1" applyBorder="1" applyAlignment="1">
      <alignment horizontal="center" vertical="center" wrapText="1"/>
    </xf>
    <xf numFmtId="220" fontId="0" fillId="0" borderId="0" xfId="0" applyNumberFormat="1"/>
    <xf numFmtId="0" fontId="102" fillId="0" borderId="25" xfId="0" applyFont="1" applyBorder="1" applyAlignment="1">
      <alignment horizontal="left" vertical="center" wrapText="1"/>
    </xf>
    <xf numFmtId="206" fontId="99" fillId="20" borderId="97" xfId="0" applyNumberFormat="1" applyFont="1" applyFill="1" applyBorder="1" applyAlignment="1">
      <alignment horizontal="right" vertical="center"/>
    </xf>
    <xf numFmtId="0" fontId="10" fillId="0" borderId="97" xfId="0" applyFont="1" applyBorder="1"/>
    <xf numFmtId="0" fontId="10" fillId="0" borderId="91" xfId="0" applyFont="1" applyBorder="1"/>
    <xf numFmtId="206" fontId="102" fillId="0" borderId="90" xfId="0" applyNumberFormat="1" applyFont="1" applyBorder="1" applyAlignment="1">
      <alignment horizontal="center" vertical="center" wrapText="1"/>
    </xf>
    <xf numFmtId="0" fontId="79" fillId="0" borderId="0" xfId="0" applyFont="1" applyAlignment="1">
      <alignment horizontal="center"/>
    </xf>
    <xf numFmtId="0" fontId="0" fillId="0" borderId="0" xfId="0"/>
    <xf numFmtId="0" fontId="10" fillId="0" borderId="100" xfId="0" applyFont="1" applyBorder="1"/>
    <xf numFmtId="0" fontId="102" fillId="22" borderId="101" xfId="0" applyFont="1" applyFill="1" applyBorder="1" applyAlignment="1">
      <alignment horizontal="center" vertical="center"/>
    </xf>
    <xf numFmtId="0" fontId="10" fillId="0" borderId="101" xfId="0" applyFont="1" applyBorder="1"/>
    <xf numFmtId="0" fontId="102" fillId="22" borderId="0" xfId="0" applyFont="1" applyFill="1" applyAlignment="1">
      <alignment horizontal="center" vertical="center"/>
    </xf>
    <xf numFmtId="0" fontId="10" fillId="0" borderId="0" xfId="0" applyFont="1"/>
    <xf numFmtId="206" fontId="99" fillId="20" borderId="90" xfId="0" applyNumberFormat="1" applyFont="1" applyFill="1" applyBorder="1" applyAlignment="1">
      <alignment horizontal="right" vertical="center"/>
    </xf>
    <xf numFmtId="2" fontId="102" fillId="0" borderId="90" xfId="0" applyNumberFormat="1" applyFont="1" applyBorder="1" applyAlignment="1">
      <alignment horizontal="center" vertical="center" wrapText="1"/>
    </xf>
    <xf numFmtId="206" fontId="102" fillId="0" borderId="90" xfId="0" applyNumberFormat="1" applyFont="1" applyBorder="1" applyAlignment="1">
      <alignment horizontal="right" vertical="center" wrapText="1"/>
    </xf>
    <xf numFmtId="206" fontId="99" fillId="20" borderId="90" xfId="0" applyNumberFormat="1" applyFont="1" applyFill="1" applyBorder="1" applyAlignment="1">
      <alignment horizontal="center" vertical="center"/>
    </xf>
    <xf numFmtId="206" fontId="99" fillId="20" borderId="87" xfId="0" applyNumberFormat="1" applyFont="1" applyFill="1" applyBorder="1" applyAlignment="1">
      <alignment horizontal="center" vertical="center" wrapText="1"/>
    </xf>
    <xf numFmtId="0" fontId="10" fillId="0" borderId="94" xfId="0" applyFont="1" applyBorder="1"/>
    <xf numFmtId="0" fontId="10" fillId="0" borderId="88" xfId="0" applyFont="1" applyBorder="1"/>
    <xf numFmtId="0" fontId="10" fillId="0" borderId="89" xfId="0" applyFont="1" applyBorder="1"/>
    <xf numFmtId="0" fontId="10" fillId="0" borderId="95" xfId="0" applyFont="1" applyBorder="1"/>
    <xf numFmtId="0" fontId="10" fillId="0" borderId="96" xfId="0" applyFont="1" applyBorder="1"/>
    <xf numFmtId="206" fontId="99" fillId="20" borderId="99" xfId="0" applyNumberFormat="1" applyFont="1" applyFill="1" applyBorder="1" applyAlignment="1">
      <alignment horizontal="center" vertical="center" wrapText="1"/>
    </xf>
    <xf numFmtId="0" fontId="10" fillId="0" borderId="103" xfId="0" applyFont="1" applyBorder="1"/>
    <xf numFmtId="206" fontId="102" fillId="0" borderId="87" xfId="0" applyNumberFormat="1" applyFont="1" applyBorder="1" applyAlignment="1">
      <alignment horizontal="right" vertical="center" wrapText="1"/>
    </xf>
    <xf numFmtId="206" fontId="102" fillId="0" borderId="87" xfId="0" applyNumberFormat="1" applyFont="1" applyBorder="1" applyAlignment="1">
      <alignment horizontal="center" vertical="center" wrapText="1"/>
    </xf>
    <xf numFmtId="206" fontId="99" fillId="20" borderId="94" xfId="0" applyNumberFormat="1" applyFont="1" applyFill="1" applyBorder="1" applyAlignment="1">
      <alignment horizontal="right" vertical="center"/>
    </xf>
    <xf numFmtId="206" fontId="102" fillId="0" borderId="94" xfId="0" applyNumberFormat="1" applyFont="1" applyBorder="1" applyAlignment="1">
      <alignment horizontal="center" vertical="center" wrapText="1"/>
    </xf>
    <xf numFmtId="206" fontId="102" fillId="0" borderId="79" xfId="0" applyNumberFormat="1" applyFont="1" applyBorder="1" applyAlignment="1">
      <alignment horizontal="right" vertical="center" wrapText="1"/>
    </xf>
    <xf numFmtId="206" fontId="102" fillId="0" borderId="37" xfId="0" applyNumberFormat="1" applyFont="1" applyBorder="1" applyAlignment="1">
      <alignment horizontal="right" vertical="center" wrapText="1"/>
    </xf>
    <xf numFmtId="206" fontId="102" fillId="0" borderId="26" xfId="0" applyNumberFormat="1" applyFont="1" applyBorder="1" applyAlignment="1">
      <alignment horizontal="right" vertical="center" wrapText="1"/>
    </xf>
    <xf numFmtId="206" fontId="102" fillId="0" borderId="79" xfId="0" applyNumberFormat="1" applyFont="1" applyBorder="1" applyAlignment="1">
      <alignment horizontal="center" vertical="center" wrapText="1"/>
    </xf>
    <xf numFmtId="206" fontId="102" fillId="0" borderId="26" xfId="0" applyNumberFormat="1" applyFont="1" applyBorder="1" applyAlignment="1">
      <alignment horizontal="center" vertical="center" wrapText="1"/>
    </xf>
    <xf numFmtId="0" fontId="10" fillId="0" borderId="97" xfId="0" applyFont="1" applyBorder="1" applyAlignment="1">
      <alignment horizontal="right" wrapText="1"/>
    </xf>
    <xf numFmtId="0" fontId="10" fillId="0" borderId="91" xfId="0" applyFont="1" applyBorder="1" applyAlignment="1">
      <alignment horizontal="right" wrapText="1"/>
    </xf>
    <xf numFmtId="1" fontId="102" fillId="0" borderId="87" xfId="0" applyNumberFormat="1" applyFont="1" applyBorder="1" applyAlignment="1">
      <alignment horizontal="left" vertical="center" wrapText="1"/>
    </xf>
    <xf numFmtId="2" fontId="102" fillId="6" borderId="90" xfId="0" applyNumberFormat="1" applyFont="1" applyFill="1" applyBorder="1" applyAlignment="1">
      <alignment horizontal="right" vertical="center" wrapText="1"/>
    </xf>
    <xf numFmtId="0" fontId="10" fillId="6" borderId="91" xfId="0" applyFont="1" applyFill="1" applyBorder="1"/>
    <xf numFmtId="1" fontId="102" fillId="0" borderId="90" xfId="0" applyNumberFormat="1" applyFont="1" applyBorder="1" applyAlignment="1">
      <alignment horizontal="left" vertical="center" wrapText="1"/>
    </xf>
    <xf numFmtId="1" fontId="103" fillId="0" borderId="102" xfId="0" applyNumberFormat="1" applyFont="1" applyBorder="1" applyAlignment="1">
      <alignment horizontal="center" vertical="center" wrapText="1"/>
    </xf>
    <xf numFmtId="1" fontId="103" fillId="0" borderId="80" xfId="0" applyNumberFormat="1" applyFont="1" applyBorder="1" applyAlignment="1">
      <alignment horizontal="center" vertical="center" wrapText="1"/>
    </xf>
    <xf numFmtId="1" fontId="103" fillId="0" borderId="78" xfId="0" applyNumberFormat="1" applyFont="1" applyBorder="1" applyAlignment="1">
      <alignment horizontal="center" vertical="center" wrapText="1"/>
    </xf>
    <xf numFmtId="1" fontId="102" fillId="0" borderId="25" xfId="0" applyNumberFormat="1" applyFont="1" applyBorder="1" applyAlignment="1">
      <alignment horizontal="left" vertical="center" wrapText="1"/>
    </xf>
    <xf numFmtId="206" fontId="102" fillId="0" borderId="147" xfId="0" applyNumberFormat="1" applyFont="1" applyBorder="1" applyAlignment="1">
      <alignment horizontal="center" vertical="center" wrapText="1"/>
    </xf>
    <xf numFmtId="206" fontId="102" fillId="0" borderId="105" xfId="0" applyNumberFormat="1" applyFont="1" applyBorder="1" applyAlignment="1">
      <alignment horizontal="center" vertical="center" wrapText="1"/>
    </xf>
    <xf numFmtId="206" fontId="102" fillId="0" borderId="148" xfId="0" applyNumberFormat="1" applyFont="1" applyBorder="1" applyAlignment="1">
      <alignment horizontal="center" vertical="center" wrapText="1"/>
    </xf>
    <xf numFmtId="0" fontId="99" fillId="20" borderId="90" xfId="0" applyFont="1" applyFill="1" applyBorder="1" applyAlignment="1">
      <alignment horizontal="center" vertical="center" wrapText="1"/>
    </xf>
    <xf numFmtId="205" fontId="100" fillId="24" borderId="90" xfId="0" applyNumberFormat="1" applyFont="1" applyFill="1" applyBorder="1" applyAlignment="1">
      <alignment horizontal="center" vertical="center" wrapText="1"/>
    </xf>
    <xf numFmtId="1" fontId="99" fillId="20" borderId="92" xfId="0" applyNumberFormat="1" applyFont="1" applyFill="1" applyBorder="1" applyAlignment="1">
      <alignment horizontal="center" vertical="center" wrapText="1"/>
    </xf>
    <xf numFmtId="165" fontId="109" fillId="0" borderId="87" xfId="0" applyNumberFormat="1" applyFont="1" applyBorder="1" applyAlignment="1">
      <alignment horizontal="center" vertical="center" wrapText="1"/>
    </xf>
    <xf numFmtId="0" fontId="10" fillId="0" borderId="92" xfId="0" applyFont="1" applyBorder="1"/>
    <xf numFmtId="0" fontId="10" fillId="0" borderId="93" xfId="0" applyFont="1" applyBorder="1"/>
    <xf numFmtId="0" fontId="110" fillId="21" borderId="87" xfId="0" applyFont="1" applyFill="1" applyBorder="1" applyAlignment="1">
      <alignment horizontal="center" vertical="center" wrapText="1"/>
    </xf>
    <xf numFmtId="0" fontId="111" fillId="23" borderId="87" xfId="0" applyFont="1" applyFill="1" applyBorder="1" applyAlignment="1">
      <alignment horizontal="center" vertical="center"/>
    </xf>
    <xf numFmtId="0" fontId="99" fillId="20" borderId="99" xfId="0" applyFont="1" applyFill="1" applyBorder="1" applyAlignment="1">
      <alignment horizontal="center" vertical="center"/>
    </xf>
    <xf numFmtId="206" fontId="99" fillId="20" borderId="99" xfId="0" applyNumberFormat="1" applyFont="1" applyFill="1" applyBorder="1" applyAlignment="1">
      <alignment horizontal="center" vertical="center"/>
    </xf>
    <xf numFmtId="0" fontId="99" fillId="20" borderId="87" xfId="0" applyFont="1" applyFill="1" applyBorder="1" applyAlignment="1">
      <alignment horizontal="center" vertical="center" wrapText="1"/>
    </xf>
    <xf numFmtId="0" fontId="99" fillId="20" borderId="90" xfId="0" applyFont="1" applyFill="1" applyBorder="1" applyAlignment="1">
      <alignment horizontal="center" vertical="center"/>
    </xf>
    <xf numFmtId="0" fontId="15" fillId="0" borderId="13"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7" borderId="13" xfId="0" applyFont="1" applyFill="1" applyBorder="1" applyAlignment="1">
      <alignment horizontal="center" vertical="center"/>
    </xf>
    <xf numFmtId="0" fontId="15" fillId="7" borderId="14" xfId="0" applyFont="1" applyFill="1" applyBorder="1" applyAlignment="1">
      <alignment horizontal="center" vertical="center"/>
    </xf>
    <xf numFmtId="0" fontId="15" fillId="7" borderId="15" xfId="0" applyFont="1" applyFill="1" applyBorder="1" applyAlignment="1">
      <alignment horizontal="center" vertical="center"/>
    </xf>
    <xf numFmtId="0" fontId="15" fillId="4" borderId="14" xfId="0" applyFont="1" applyFill="1" applyBorder="1" applyAlignment="1">
      <alignment horizontal="right" vertical="center" wrapText="1"/>
    </xf>
    <xf numFmtId="0" fontId="15" fillId="4" borderId="15" xfId="0" applyFont="1" applyFill="1" applyBorder="1" applyAlignment="1">
      <alignment horizontal="right" vertical="center" wrapText="1"/>
    </xf>
    <xf numFmtId="4" fontId="12" fillId="0" borderId="1" xfId="0" applyNumberFormat="1" applyFont="1" applyBorder="1" applyAlignment="1">
      <alignment horizontal="center"/>
    </xf>
    <xf numFmtId="0" fontId="13" fillId="0" borderId="2" xfId="0" applyFont="1" applyBorder="1"/>
    <xf numFmtId="0" fontId="13" fillId="0" borderId="3" xfId="0" applyFont="1" applyBorder="1"/>
    <xf numFmtId="4" fontId="14" fillId="0" borderId="4" xfId="0" applyNumberFormat="1" applyFont="1" applyBorder="1" applyAlignment="1">
      <alignment horizontal="center" vertical="justify" wrapText="1"/>
    </xf>
    <xf numFmtId="0" fontId="13" fillId="0" borderId="5" xfId="0" applyFont="1" applyBorder="1"/>
    <xf numFmtId="0" fontId="13" fillId="0" borderId="6" xfId="0" applyFont="1" applyBorder="1"/>
    <xf numFmtId="4" fontId="14" fillId="0" borderId="7" xfId="0" applyNumberFormat="1" applyFont="1" applyBorder="1" applyAlignment="1">
      <alignment horizontal="center" vertical="justify" wrapText="1"/>
    </xf>
    <xf numFmtId="4" fontId="14" fillId="0" borderId="0" xfId="0" applyNumberFormat="1" applyFont="1" applyAlignment="1">
      <alignment horizontal="center" vertical="justify" wrapText="1"/>
    </xf>
    <xf numFmtId="4" fontId="14" fillId="0" borderId="8" xfId="0" applyNumberFormat="1" applyFont="1" applyBorder="1" applyAlignment="1">
      <alignment horizontal="center" vertical="justify" wrapText="1"/>
    </xf>
    <xf numFmtId="0" fontId="13" fillId="0" borderId="0" xfId="0" applyFont="1"/>
    <xf numFmtId="0" fontId="13" fillId="0" borderId="8" xfId="0" applyFont="1" applyBorder="1"/>
    <xf numFmtId="0" fontId="13" fillId="0" borderId="4" xfId="0" applyFont="1" applyBorder="1" applyAlignment="1">
      <alignment horizontal="center" vertical="center"/>
    </xf>
    <xf numFmtId="4" fontId="15" fillId="2" borderId="1" xfId="0" applyNumberFormat="1" applyFont="1" applyFill="1" applyBorder="1" applyAlignment="1">
      <alignment horizontal="center" vertical="justify" wrapText="1"/>
    </xf>
    <xf numFmtId="4" fontId="15" fillId="2" borderId="2" xfId="0" applyNumberFormat="1" applyFont="1" applyFill="1" applyBorder="1" applyAlignment="1">
      <alignment horizontal="center" vertical="justify" wrapText="1"/>
    </xf>
    <xf numFmtId="4" fontId="15" fillId="2" borderId="3" xfId="0" applyNumberFormat="1" applyFont="1" applyFill="1" applyBorder="1" applyAlignment="1">
      <alignment horizontal="center" vertical="justify" wrapText="1"/>
    </xf>
    <xf numFmtId="0" fontId="26" fillId="0" borderId="0" xfId="49" applyFont="1" applyAlignment="1">
      <alignment horizontal="center" vertical="center"/>
    </xf>
    <xf numFmtId="182" fontId="10" fillId="0" borderId="14" xfId="49" applyNumberFormat="1" applyFont="1" applyBorder="1" applyAlignment="1">
      <alignment horizontal="center" vertical="center"/>
    </xf>
    <xf numFmtId="182" fontId="10" fillId="0" borderId="15" xfId="49" applyNumberFormat="1" applyFont="1" applyBorder="1" applyAlignment="1">
      <alignment horizontal="center" vertical="center"/>
    </xf>
    <xf numFmtId="0" fontId="26" fillId="0" borderId="13" xfId="49" applyFont="1" applyBorder="1" applyAlignment="1">
      <alignment horizontal="center" vertical="center"/>
    </xf>
    <xf numFmtId="0" fontId="26" fillId="0" borderId="14" xfId="49" applyFont="1" applyBorder="1" applyAlignment="1">
      <alignment horizontal="center" vertical="center"/>
    </xf>
    <xf numFmtId="0" fontId="28" fillId="0" borderId="14" xfId="49" applyFont="1" applyBorder="1" applyAlignment="1">
      <alignment horizontal="center" vertical="center"/>
    </xf>
    <xf numFmtId="0" fontId="28" fillId="0" borderId="15" xfId="49" applyFont="1" applyBorder="1" applyAlignment="1">
      <alignment horizontal="center" vertical="center"/>
    </xf>
    <xf numFmtId="182" fontId="27" fillId="0" borderId="14" xfId="49" applyNumberFormat="1" applyFont="1" applyBorder="1" applyAlignment="1">
      <alignment horizontal="center" vertical="center" wrapText="1"/>
    </xf>
    <xf numFmtId="182" fontId="27" fillId="0" borderId="15" xfId="49" applyNumberFormat="1" applyFont="1" applyBorder="1" applyAlignment="1">
      <alignment horizontal="center" vertical="center" wrapText="1"/>
    </xf>
    <xf numFmtId="182" fontId="32" fillId="0" borderId="1" xfId="49" applyNumberFormat="1" applyFont="1" applyBorder="1" applyAlignment="1">
      <alignment horizontal="center" vertical="center"/>
    </xf>
    <xf numFmtId="182" fontId="32" fillId="0" borderId="2" xfId="49" applyNumberFormat="1" applyFont="1" applyBorder="1" applyAlignment="1">
      <alignment horizontal="center" vertical="center"/>
    </xf>
    <xf numFmtId="182" fontId="32" fillId="0" borderId="3" xfId="49" applyNumberFormat="1" applyFont="1" applyBorder="1" applyAlignment="1">
      <alignment horizontal="center" vertical="center"/>
    </xf>
    <xf numFmtId="182" fontId="28" fillId="0" borderId="14" xfId="49" applyNumberFormat="1" applyFont="1" applyBorder="1" applyAlignment="1">
      <alignment horizontal="right" vertical="center" wrapText="1"/>
    </xf>
    <xf numFmtId="182" fontId="28" fillId="0" borderId="6" xfId="49" applyNumberFormat="1" applyFont="1" applyBorder="1" applyAlignment="1">
      <alignment horizontal="right" vertical="center" wrapText="1"/>
    </xf>
    <xf numFmtId="182" fontId="28" fillId="0" borderId="13" xfId="49" applyNumberFormat="1" applyFont="1" applyBorder="1" applyAlignment="1">
      <alignment horizontal="right" vertical="center" wrapText="1"/>
    </xf>
    <xf numFmtId="182" fontId="28" fillId="0" borderId="15" xfId="49" applyNumberFormat="1" applyFont="1" applyBorder="1" applyAlignment="1">
      <alignment horizontal="right" vertical="center" wrapText="1"/>
    </xf>
    <xf numFmtId="4" fontId="43" fillId="0" borderId="1" xfId="0" applyNumberFormat="1" applyFont="1" applyBorder="1" applyAlignment="1">
      <alignment horizontal="center" vertical="center" wrapText="1"/>
    </xf>
    <xf numFmtId="4" fontId="43" fillId="0" borderId="2" xfId="0" applyNumberFormat="1" applyFont="1" applyBorder="1" applyAlignment="1">
      <alignment horizontal="center" vertical="center" wrapText="1"/>
    </xf>
    <xf numFmtId="4" fontId="43" fillId="0" borderId="3" xfId="0" applyNumberFormat="1" applyFont="1" applyBorder="1" applyAlignment="1">
      <alignment horizontal="center" vertical="center" wrapText="1"/>
    </xf>
    <xf numFmtId="0" fontId="36" fillId="0" borderId="0" xfId="0" applyFont="1" applyAlignment="1">
      <alignment horizontal="left" vertical="center" wrapText="1"/>
    </xf>
    <xf numFmtId="0" fontId="35" fillId="0" borderId="0" xfId="0" applyFont="1" applyAlignment="1">
      <alignment horizontal="center" vertical="center" wrapText="1"/>
    </xf>
    <xf numFmtId="4" fontId="33" fillId="5" borderId="25" xfId="0" applyNumberFormat="1" applyFont="1" applyFill="1" applyBorder="1" applyAlignment="1">
      <alignment horizontal="center" vertical="center" wrapText="1"/>
    </xf>
    <xf numFmtId="188" fontId="45" fillId="0" borderId="0" xfId="51" applyFont="1" applyFill="1" applyBorder="1" applyAlignment="1">
      <alignment horizontal="center"/>
    </xf>
    <xf numFmtId="188" fontId="47" fillId="0" borderId="0" xfId="51" applyFont="1" applyFill="1" applyBorder="1" applyAlignment="1">
      <alignment horizontal="center" vertical="center" wrapText="1"/>
    </xf>
    <xf numFmtId="188" fontId="28" fillId="0" borderId="0" xfId="51" applyFont="1" applyFill="1" applyBorder="1" applyAlignment="1">
      <alignment horizontal="center" vertical="center" wrapText="1"/>
    </xf>
    <xf numFmtId="49" fontId="45" fillId="0" borderId="0" xfId="0" applyNumberFormat="1" applyFont="1" applyAlignment="1">
      <alignment horizontal="left" wrapText="1"/>
    </xf>
    <xf numFmtId="0" fontId="45" fillId="0" borderId="0" xfId="0" applyFont="1" applyAlignment="1">
      <alignment horizontal="left" wrapText="1"/>
    </xf>
    <xf numFmtId="0" fontId="10" fillId="0" borderId="0" xfId="0" applyFont="1" applyAlignment="1">
      <alignment horizontal="left" vertical="top" wrapText="1"/>
    </xf>
    <xf numFmtId="188" fontId="10" fillId="0" borderId="0" xfId="51" applyFont="1" applyFill="1" applyBorder="1" applyAlignment="1">
      <alignment horizontal="left"/>
    </xf>
    <xf numFmtId="0" fontId="46" fillId="0" borderId="0" xfId="55" applyFont="1" applyAlignment="1">
      <alignment horizontal="left" vertical="center" wrapText="1"/>
    </xf>
    <xf numFmtId="0" fontId="46" fillId="0" borderId="0" xfId="54" applyFont="1" applyAlignment="1">
      <alignment horizontal="left" vertical="center" wrapText="1"/>
    </xf>
    <xf numFmtId="0" fontId="45" fillId="0" borderId="0" xfId="0" applyFont="1" applyAlignment="1">
      <alignment horizontal="center"/>
    </xf>
    <xf numFmtId="0" fontId="10" fillId="0" borderId="0" xfId="55" applyAlignment="1">
      <alignment horizontal="left" vertical="center" wrapText="1"/>
    </xf>
    <xf numFmtId="0" fontId="46" fillId="0" borderId="0" xfId="56" applyFont="1" applyAlignment="1">
      <alignment horizontal="left" vertical="center" wrapText="1"/>
    </xf>
    <xf numFmtId="0" fontId="10" fillId="0" borderId="0" xfId="54" applyAlignment="1">
      <alignment horizontal="left" vertical="center" wrapText="1"/>
    </xf>
    <xf numFmtId="0" fontId="10" fillId="0" borderId="0" xfId="0" applyFont="1" applyAlignment="1">
      <alignment horizontal="left" wrapText="1"/>
    </xf>
    <xf numFmtId="14" fontId="46" fillId="0" borderId="0" xfId="51" applyNumberFormat="1" applyFont="1" applyFill="1" applyBorder="1" applyAlignment="1">
      <alignment horizontal="center" vertical="center"/>
    </xf>
    <xf numFmtId="0" fontId="20" fillId="0" borderId="13" xfId="0" applyFont="1" applyBorder="1" applyAlignment="1">
      <alignment horizontal="right" vertical="center" wrapText="1"/>
    </xf>
    <xf numFmtId="0" fontId="20" fillId="0" borderId="14" xfId="0" applyFont="1" applyBorder="1" applyAlignment="1">
      <alignment horizontal="right" vertical="center" wrapText="1"/>
    </xf>
    <xf numFmtId="0" fontId="20" fillId="0" borderId="40" xfId="0" applyFont="1" applyBorder="1" applyAlignment="1">
      <alignment horizontal="right" vertical="center" wrapText="1"/>
    </xf>
    <xf numFmtId="0" fontId="20" fillId="0" borderId="13" xfId="0" applyFont="1" applyBorder="1" applyAlignment="1">
      <alignment horizontal="center" vertical="center" wrapText="1"/>
    </xf>
    <xf numFmtId="0" fontId="20" fillId="0" borderId="40" xfId="0" applyFont="1" applyBorder="1" applyAlignment="1">
      <alignment horizontal="center" vertical="center" wrapText="1"/>
    </xf>
    <xf numFmtId="4" fontId="19" fillId="0" borderId="50" xfId="0" applyNumberFormat="1" applyFont="1" applyBorder="1" applyAlignment="1">
      <alignment horizontal="left" vertical="center" wrapText="1"/>
    </xf>
    <xf numFmtId="0" fontId="19" fillId="0" borderId="51" xfId="0" applyFont="1" applyBorder="1" applyAlignment="1">
      <alignment horizontal="left" vertical="center" wrapText="1"/>
    </xf>
    <xf numFmtId="4" fontId="19" fillId="0" borderId="47" xfId="0" applyNumberFormat="1" applyFont="1" applyBorder="1" applyAlignment="1">
      <alignment horizontal="left" vertical="center" wrapText="1"/>
    </xf>
    <xf numFmtId="0" fontId="19" fillId="0" borderId="49" xfId="0" applyFont="1" applyBorder="1" applyAlignment="1">
      <alignment horizontal="left" vertical="center" wrapText="1"/>
    </xf>
    <xf numFmtId="0" fontId="19" fillId="0" borderId="27" xfId="0" applyFont="1" applyBorder="1" applyAlignment="1">
      <alignment horizontal="justify" vertical="center" wrapText="1"/>
    </xf>
    <xf numFmtId="0" fontId="19" fillId="0" borderId="25" xfId="0" applyFont="1" applyBorder="1" applyAlignment="1">
      <alignment horizontal="justify" vertical="center" wrapText="1"/>
    </xf>
    <xf numFmtId="0" fontId="19" fillId="0" borderId="32" xfId="0" applyFont="1" applyBorder="1" applyAlignment="1">
      <alignment horizontal="justify" vertical="center" wrapText="1"/>
    </xf>
    <xf numFmtId="0" fontId="19" fillId="0" borderId="33" xfId="0" applyFont="1" applyBorder="1" applyAlignment="1">
      <alignment horizontal="justify" vertical="center" wrapText="1"/>
    </xf>
    <xf numFmtId="0" fontId="19" fillId="0" borderId="44" xfId="0" applyFont="1" applyBorder="1" applyAlignment="1">
      <alignment horizontal="left" vertical="center" wrapText="1"/>
    </xf>
    <xf numFmtId="0" fontId="19" fillId="0" borderId="45" xfId="0" applyFont="1" applyBorder="1" applyAlignment="1">
      <alignment horizontal="left" vertical="center" wrapText="1"/>
    </xf>
    <xf numFmtId="0" fontId="19" fillId="0" borderId="47" xfId="0" applyFont="1" applyBorder="1" applyAlignment="1">
      <alignment horizontal="left" vertical="center" wrapText="1"/>
    </xf>
    <xf numFmtId="0" fontId="19" fillId="0" borderId="53" xfId="0" applyFont="1" applyBorder="1" applyAlignment="1">
      <alignment horizontal="left" vertical="center" wrapText="1"/>
    </xf>
    <xf numFmtId="0" fontId="19" fillId="0" borderId="37" xfId="0" applyFont="1" applyBorder="1" applyAlignment="1">
      <alignment horizontal="left" vertical="center" wrapText="1"/>
    </xf>
    <xf numFmtId="0" fontId="19" fillId="0" borderId="26" xfId="0" applyFont="1" applyBorder="1" applyAlignment="1">
      <alignment horizontal="left" vertical="center" wrapText="1"/>
    </xf>
    <xf numFmtId="0" fontId="19" fillId="0" borderId="29" xfId="0" applyFont="1" applyBorder="1" applyAlignment="1">
      <alignment horizontal="justify" vertical="center" wrapText="1"/>
    </xf>
    <xf numFmtId="0" fontId="19" fillId="0" borderId="30" xfId="0" applyFont="1" applyBorder="1" applyAlignment="1">
      <alignment horizontal="justify" vertic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4" fontId="15" fillId="0" borderId="4" xfId="0" applyNumberFormat="1" applyFont="1" applyBorder="1" applyAlignment="1">
      <alignment horizontal="center" vertical="center" wrapText="1"/>
    </xf>
    <xf numFmtId="4" fontId="15" fillId="0" borderId="5" xfId="0" applyNumberFormat="1" applyFont="1" applyBorder="1" applyAlignment="1">
      <alignment horizontal="center" vertical="center" wrapText="1"/>
    </xf>
    <xf numFmtId="4" fontId="15" fillId="0" borderId="6" xfId="0" applyNumberFormat="1" applyFont="1" applyBorder="1" applyAlignment="1">
      <alignment horizontal="center" vertical="center" wrapText="1"/>
    </xf>
    <xf numFmtId="0" fontId="20" fillId="0" borderId="14" xfId="0" applyFont="1" applyBorder="1" applyAlignment="1">
      <alignment horizontal="center" vertical="center" wrapText="1"/>
    </xf>
    <xf numFmtId="0" fontId="19" fillId="0" borderId="46" xfId="0" applyFont="1" applyBorder="1" applyAlignment="1">
      <alignment horizontal="left" vertical="center" wrapText="1"/>
    </xf>
    <xf numFmtId="0" fontId="19" fillId="0" borderId="27" xfId="0" applyFont="1" applyBorder="1" applyAlignment="1">
      <alignment horizontal="justify" vertical="top" wrapText="1"/>
    </xf>
    <xf numFmtId="0" fontId="19" fillId="0" borderId="25" xfId="0" applyFont="1" applyBorder="1" applyAlignment="1">
      <alignment horizontal="justify" vertical="top" wrapText="1"/>
    </xf>
    <xf numFmtId="4" fontId="20" fillId="0" borderId="13" xfId="0" applyNumberFormat="1" applyFont="1" applyBorder="1" applyAlignment="1">
      <alignment horizontal="justify" vertical="center" wrapText="1"/>
    </xf>
    <xf numFmtId="0" fontId="20" fillId="0" borderId="14" xfId="0" applyFont="1" applyBorder="1" applyAlignment="1">
      <alignment horizontal="justify" vertical="center" wrapText="1"/>
    </xf>
    <xf numFmtId="0" fontId="20" fillId="0" borderId="15" xfId="0" applyFont="1" applyBorder="1" applyAlignment="1">
      <alignment horizontal="justify" vertical="center" wrapText="1"/>
    </xf>
    <xf numFmtId="0" fontId="20" fillId="7" borderId="13" xfId="0" applyFont="1" applyFill="1" applyBorder="1" applyAlignment="1">
      <alignment horizontal="justify" vertical="center" wrapText="1"/>
    </xf>
    <xf numFmtId="0" fontId="20" fillId="7" borderId="14" xfId="0" applyFont="1" applyFill="1" applyBorder="1" applyAlignment="1">
      <alignment horizontal="justify" vertical="center" wrapText="1"/>
    </xf>
    <xf numFmtId="0" fontId="20" fillId="7" borderId="15" xfId="0" applyFont="1" applyFill="1" applyBorder="1" applyAlignment="1">
      <alignment horizontal="justify" vertical="center" wrapText="1"/>
    </xf>
    <xf numFmtId="0" fontId="19" fillId="0" borderId="48" xfId="0" applyFont="1" applyBorder="1" applyAlignment="1">
      <alignment horizontal="left" vertical="center" wrapText="1"/>
    </xf>
    <xf numFmtId="0" fontId="20" fillId="0" borderId="13" xfId="0" applyFont="1" applyBorder="1" applyAlignment="1">
      <alignment horizontal="justify" vertical="center" wrapText="1"/>
    </xf>
    <xf numFmtId="0" fontId="19" fillId="0" borderId="27" xfId="0" applyFont="1" applyBorder="1" applyAlignment="1">
      <alignment horizontal="left" vertical="center" wrapText="1"/>
    </xf>
    <xf numFmtId="0" fontId="19" fillId="0" borderId="25" xfId="0" applyFont="1" applyBorder="1" applyAlignment="1">
      <alignment horizontal="left" vertical="center" wrapText="1"/>
    </xf>
    <xf numFmtId="0" fontId="19" fillId="0" borderId="32" xfId="0" applyFont="1" applyBorder="1" applyAlignment="1">
      <alignment horizontal="left" vertical="center" wrapText="1"/>
    </xf>
    <xf numFmtId="0" fontId="19" fillId="0" borderId="33" xfId="0" applyFont="1" applyBorder="1" applyAlignment="1">
      <alignment horizontal="left" vertical="center" wrapText="1"/>
    </xf>
    <xf numFmtId="0" fontId="20" fillId="0" borderId="4" xfId="0" applyFont="1" applyBorder="1" applyAlignment="1">
      <alignment horizontal="right" vertical="center" wrapText="1"/>
    </xf>
    <xf numFmtId="0" fontId="20" fillId="0" borderId="5" xfId="0" applyFont="1" applyBorder="1" applyAlignment="1">
      <alignment horizontal="right" vertical="center" wrapText="1"/>
    </xf>
    <xf numFmtId="0" fontId="20" fillId="0" borderId="62" xfId="0" applyFont="1" applyBorder="1" applyAlignment="1">
      <alignment horizontal="right" vertical="center" wrapText="1"/>
    </xf>
    <xf numFmtId="0" fontId="19" fillId="0" borderId="59" xfId="0" applyFont="1" applyBorder="1" applyAlignment="1">
      <alignment horizontal="justify" vertical="center" wrapText="1"/>
    </xf>
    <xf numFmtId="0" fontId="19" fillId="0" borderId="60" xfId="0" applyFont="1" applyBorder="1" applyAlignment="1">
      <alignment horizontal="justify" vertical="center" wrapText="1"/>
    </xf>
    <xf numFmtId="0" fontId="51" fillId="16" borderId="66" xfId="59" applyFont="1" applyFill="1" applyBorder="1" applyAlignment="1">
      <alignment horizontal="center" vertical="center"/>
    </xf>
    <xf numFmtId="0" fontId="51" fillId="0" borderId="13" xfId="59" applyFont="1" applyBorder="1" applyAlignment="1">
      <alignment horizontal="right" vertical="center"/>
    </xf>
    <xf numFmtId="0" fontId="51" fillId="0" borderId="14" xfId="59" applyFont="1" applyBorder="1" applyAlignment="1">
      <alignment horizontal="right" vertical="center"/>
    </xf>
    <xf numFmtId="0" fontId="51" fillId="0" borderId="15" xfId="59" applyFont="1" applyBorder="1" applyAlignment="1">
      <alignment horizontal="right" vertical="center"/>
    </xf>
    <xf numFmtId="0" fontId="52" fillId="14" borderId="16" xfId="59" applyFont="1" applyFill="1" applyBorder="1" applyAlignment="1">
      <alignment horizontal="center" vertical="center"/>
    </xf>
    <xf numFmtId="0" fontId="51" fillId="11" borderId="13" xfId="59" applyFont="1" applyFill="1" applyBorder="1" applyAlignment="1">
      <alignment horizontal="center" vertical="center" wrapText="1"/>
    </xf>
    <xf numFmtId="0" fontId="51" fillId="11" borderId="14" xfId="59" applyFont="1" applyFill="1" applyBorder="1" applyAlignment="1">
      <alignment horizontal="center" vertical="center" wrapText="1"/>
    </xf>
    <xf numFmtId="0" fontId="51" fillId="11" borderId="15" xfId="59" applyFont="1" applyFill="1" applyBorder="1" applyAlignment="1">
      <alignment horizontal="center" vertical="center" wrapText="1"/>
    </xf>
    <xf numFmtId="0" fontId="50" fillId="0" borderId="13" xfId="59" applyFont="1" applyBorder="1" applyAlignment="1">
      <alignment horizontal="right" vertical="center"/>
    </xf>
    <xf numFmtId="0" fontId="50" fillId="0" borderId="14" xfId="59" applyFont="1" applyBorder="1" applyAlignment="1">
      <alignment horizontal="right" vertical="center"/>
    </xf>
    <xf numFmtId="0" fontId="50" fillId="0" borderId="15" xfId="59" applyFont="1" applyBorder="1" applyAlignment="1">
      <alignment horizontal="right" vertical="center"/>
    </xf>
    <xf numFmtId="0" fontId="51" fillId="11" borderId="16" xfId="59" applyFont="1" applyFill="1" applyBorder="1" applyAlignment="1">
      <alignment horizontal="center" vertical="center" wrapText="1"/>
    </xf>
    <xf numFmtId="0" fontId="51" fillId="15" borderId="13" xfId="59" applyFont="1" applyFill="1" applyBorder="1" applyAlignment="1">
      <alignment horizontal="center" vertical="center"/>
    </xf>
    <xf numFmtId="0" fontId="51" fillId="15" borderId="14" xfId="59" applyFont="1" applyFill="1" applyBorder="1" applyAlignment="1">
      <alignment horizontal="center" vertical="center"/>
    </xf>
    <xf numFmtId="0" fontId="51" fillId="15" borderId="15" xfId="59" applyFont="1" applyFill="1" applyBorder="1" applyAlignment="1">
      <alignment horizontal="center" vertical="center"/>
    </xf>
    <xf numFmtId="0" fontId="51" fillId="0" borderId="13" xfId="59" applyFont="1" applyBorder="1" applyAlignment="1">
      <alignment horizontal="right" vertical="center" wrapText="1"/>
    </xf>
    <xf numFmtId="0" fontId="51" fillId="0" borderId="14" xfId="59" applyFont="1" applyBorder="1" applyAlignment="1">
      <alignment horizontal="right" vertical="center" wrapText="1"/>
    </xf>
    <xf numFmtId="0" fontId="51" fillId="0" borderId="15" xfId="59" applyFont="1" applyBorder="1" applyAlignment="1">
      <alignment horizontal="right" vertical="center" wrapText="1"/>
    </xf>
    <xf numFmtId="0" fontId="51" fillId="13" borderId="16" xfId="59" applyFont="1" applyFill="1" applyBorder="1" applyAlignment="1">
      <alignment horizontal="center" vertical="center" wrapText="1"/>
    </xf>
    <xf numFmtId="0" fontId="51" fillId="0" borderId="13" xfId="59" applyFont="1" applyBorder="1" applyAlignment="1">
      <alignment horizontal="center" vertical="center"/>
    </xf>
    <xf numFmtId="0" fontId="51" fillId="0" borderId="14" xfId="59" applyFont="1" applyBorder="1" applyAlignment="1">
      <alignment horizontal="center" vertical="center"/>
    </xf>
    <xf numFmtId="0" fontId="51" fillId="8" borderId="30" xfId="59" applyFont="1" applyFill="1" applyBorder="1" applyAlignment="1">
      <alignment horizontal="left" vertical="center"/>
    </xf>
    <xf numFmtId="0" fontId="51" fillId="8" borderId="16" xfId="59" applyFont="1" applyFill="1" applyBorder="1" applyAlignment="1">
      <alignment horizontal="right" vertical="center"/>
    </xf>
    <xf numFmtId="0" fontId="51" fillId="10" borderId="16" xfId="59" applyFont="1" applyFill="1" applyBorder="1" applyAlignment="1">
      <alignment horizontal="center" vertical="center" wrapText="1"/>
    </xf>
    <xf numFmtId="0" fontId="51" fillId="4" borderId="16" xfId="59" applyFont="1" applyFill="1" applyBorder="1" applyAlignment="1">
      <alignment horizontal="center" vertical="center" wrapText="1"/>
    </xf>
    <xf numFmtId="0" fontId="51" fillId="8" borderId="25" xfId="59" applyFont="1" applyFill="1" applyBorder="1" applyAlignment="1">
      <alignment horizontal="left" vertical="center"/>
    </xf>
    <xf numFmtId="4" fontId="52" fillId="7" borderId="13" xfId="59" applyNumberFormat="1" applyFont="1" applyFill="1" applyBorder="1" applyAlignment="1">
      <alignment horizontal="left" vertical="center" wrapText="1"/>
    </xf>
    <xf numFmtId="4" fontId="52" fillId="7" borderId="14" xfId="59" applyNumberFormat="1" applyFont="1" applyFill="1" applyBorder="1" applyAlignment="1">
      <alignment horizontal="left" vertical="center" wrapText="1"/>
    </xf>
    <xf numFmtId="4" fontId="52" fillId="7" borderId="15" xfId="59" applyNumberFormat="1" applyFont="1" applyFill="1" applyBorder="1" applyAlignment="1">
      <alignment horizontal="left" vertical="center" wrapText="1"/>
    </xf>
    <xf numFmtId="0" fontId="51" fillId="8" borderId="38" xfId="59" applyFont="1" applyFill="1" applyBorder="1" applyAlignment="1">
      <alignment horizontal="left" vertical="center"/>
    </xf>
    <xf numFmtId="0" fontId="51" fillId="8" borderId="39" xfId="59" applyFont="1" applyFill="1" applyBorder="1" applyAlignment="1">
      <alignment horizontal="left" vertical="center"/>
    </xf>
    <xf numFmtId="0" fontId="51" fillId="0" borderId="75" xfId="59" applyFont="1" applyBorder="1" applyAlignment="1">
      <alignment horizontal="left" vertical="center"/>
    </xf>
    <xf numFmtId="0" fontId="51" fillId="0" borderId="14" xfId="59" applyFont="1" applyBorder="1" applyAlignment="1">
      <alignment horizontal="left" vertical="center"/>
    </xf>
    <xf numFmtId="0" fontId="51" fillId="0" borderId="15" xfId="59" applyFont="1" applyBorder="1" applyAlignment="1">
      <alignment horizontal="left" vertical="center"/>
    </xf>
    <xf numFmtId="0" fontId="51" fillId="8" borderId="57" xfId="59" applyFont="1" applyFill="1" applyBorder="1" applyAlignment="1">
      <alignment horizontal="left" vertical="center"/>
    </xf>
    <xf numFmtId="0" fontId="51" fillId="8" borderId="16" xfId="59" applyFont="1" applyFill="1" applyBorder="1" applyAlignment="1">
      <alignment horizontal="right" vertical="center" wrapText="1"/>
    </xf>
    <xf numFmtId="0" fontId="51" fillId="0" borderId="75" xfId="59" applyFont="1" applyBorder="1" applyAlignment="1">
      <alignment horizontal="left" vertical="center" wrapText="1"/>
    </xf>
    <xf numFmtId="0" fontId="51" fillId="0" borderId="14" xfId="59" applyFont="1" applyBorder="1" applyAlignment="1">
      <alignment horizontal="left" vertical="center" wrapText="1"/>
    </xf>
    <xf numFmtId="0" fontId="51" fillId="0" borderId="15" xfId="59" applyFont="1" applyBorder="1" applyAlignment="1">
      <alignment horizontal="left" vertical="center" wrapText="1"/>
    </xf>
    <xf numFmtId="0" fontId="51" fillId="8" borderId="13" xfId="59" applyFont="1" applyFill="1" applyBorder="1" applyAlignment="1">
      <alignment horizontal="right" vertical="center" wrapText="1"/>
    </xf>
    <xf numFmtId="0" fontId="51" fillId="8" borderId="14" xfId="59" applyFont="1" applyFill="1" applyBorder="1" applyAlignment="1">
      <alignment horizontal="right" vertical="center" wrapText="1"/>
    </xf>
    <xf numFmtId="0" fontId="51" fillId="8" borderId="15" xfId="59" applyFont="1" applyFill="1" applyBorder="1" applyAlignment="1">
      <alignment horizontal="right" vertical="center" wrapText="1"/>
    </xf>
    <xf numFmtId="0" fontId="51" fillId="8" borderId="79" xfId="59" applyFont="1" applyFill="1" applyBorder="1" applyAlignment="1">
      <alignment horizontal="left" vertical="center"/>
    </xf>
    <xf numFmtId="0" fontId="51" fillId="8" borderId="37" xfId="59" applyFont="1" applyFill="1" applyBorder="1" applyAlignment="1">
      <alignment horizontal="left" vertical="center"/>
    </xf>
    <xf numFmtId="0" fontId="51" fillId="8" borderId="26" xfId="59" applyFont="1" applyFill="1" applyBorder="1" applyAlignment="1">
      <alignment horizontal="left" vertical="center"/>
    </xf>
    <xf numFmtId="0" fontId="51" fillId="0" borderId="60" xfId="59" applyFont="1" applyBorder="1" applyAlignment="1">
      <alignment horizontal="left" vertical="center"/>
    </xf>
    <xf numFmtId="0" fontId="51" fillId="8" borderId="60" xfId="59" applyFont="1" applyFill="1" applyBorder="1" applyAlignment="1">
      <alignment horizontal="left" vertical="center"/>
    </xf>
    <xf numFmtId="2" fontId="51" fillId="7" borderId="79" xfId="59" applyNumberFormat="1" applyFont="1" applyFill="1" applyBorder="1" applyAlignment="1">
      <alignment horizontal="left" vertical="center"/>
    </xf>
    <xf numFmtId="2" fontId="51" fillId="7" borderId="37" xfId="59" applyNumberFormat="1" applyFont="1" applyFill="1" applyBorder="1" applyAlignment="1">
      <alignment horizontal="left" vertical="center"/>
    </xf>
    <xf numFmtId="2" fontId="51" fillId="7" borderId="26" xfId="59" applyNumberFormat="1" applyFont="1" applyFill="1" applyBorder="1" applyAlignment="1">
      <alignment horizontal="left" vertical="center"/>
    </xf>
    <xf numFmtId="0" fontId="60" fillId="8" borderId="16" xfId="59" applyFont="1" applyFill="1" applyBorder="1" applyAlignment="1">
      <alignment horizontal="right" vertical="center"/>
    </xf>
    <xf numFmtId="0" fontId="61" fillId="8" borderId="25" xfId="0" applyFont="1" applyFill="1" applyBorder="1" applyAlignment="1">
      <alignment horizontal="center" vertical="center"/>
    </xf>
    <xf numFmtId="0" fontId="62" fillId="8" borderId="25" xfId="0" applyFont="1" applyFill="1" applyBorder="1" applyAlignment="1">
      <alignment horizontal="center" vertical="center" wrapText="1"/>
    </xf>
    <xf numFmtId="0" fontId="84" fillId="8" borderId="25" xfId="0" applyFont="1" applyFill="1" applyBorder="1" applyAlignment="1">
      <alignment horizontal="center" vertical="center" wrapText="1"/>
    </xf>
    <xf numFmtId="4" fontId="52" fillId="8" borderId="57" xfId="59" applyNumberFormat="1" applyFont="1" applyFill="1" applyBorder="1" applyAlignment="1">
      <alignment horizontal="center" vertical="center" wrapText="1"/>
    </xf>
    <xf numFmtId="4" fontId="52" fillId="7" borderId="13" xfId="59" applyNumberFormat="1" applyFont="1" applyFill="1" applyBorder="1" applyAlignment="1">
      <alignment horizontal="center" vertical="center" wrapText="1"/>
    </xf>
    <xf numFmtId="4" fontId="52" fillId="7" borderId="14" xfId="59" applyNumberFormat="1" applyFont="1" applyFill="1" applyBorder="1" applyAlignment="1">
      <alignment horizontal="center" vertical="center" wrapText="1"/>
    </xf>
    <xf numFmtId="4" fontId="52" fillId="7" borderId="15" xfId="59" applyNumberFormat="1" applyFont="1" applyFill="1" applyBorder="1" applyAlignment="1">
      <alignment horizontal="center" vertical="center" wrapText="1"/>
    </xf>
    <xf numFmtId="0" fontId="103" fillId="21" borderId="90" xfId="0" applyFont="1" applyFill="1" applyBorder="1" applyAlignment="1">
      <alignment horizontal="left" vertical="center"/>
    </xf>
    <xf numFmtId="0" fontId="103" fillId="21" borderId="97" xfId="0" applyFont="1" applyFill="1" applyBorder="1" applyAlignment="1">
      <alignment horizontal="left" vertical="center"/>
    </xf>
    <xf numFmtId="0" fontId="103" fillId="21" borderId="91" xfId="0" applyFont="1" applyFill="1" applyBorder="1" applyAlignment="1">
      <alignment horizontal="left" vertical="center"/>
    </xf>
    <xf numFmtId="165" fontId="103" fillId="21" borderId="90" xfId="0" applyNumberFormat="1" applyFont="1" applyFill="1" applyBorder="1" applyAlignment="1">
      <alignment horizontal="center" vertical="center"/>
    </xf>
    <xf numFmtId="165" fontId="103" fillId="21" borderId="145" xfId="0" applyNumberFormat="1" applyFont="1" applyFill="1" applyBorder="1" applyAlignment="1">
      <alignment horizontal="center" vertical="center"/>
    </xf>
    <xf numFmtId="0" fontId="10" fillId="0" borderId="145" xfId="0" applyFont="1" applyBorder="1"/>
    <xf numFmtId="0" fontId="102" fillId="0" borderId="57" xfId="0" applyFont="1" applyBorder="1" applyAlignment="1">
      <alignment horizontal="left" vertical="center" wrapText="1"/>
    </xf>
    <xf numFmtId="203" fontId="102" fillId="0" borderId="87" xfId="0" applyNumberFormat="1" applyFont="1" applyBorder="1" applyAlignment="1">
      <alignment horizontal="center" vertical="center"/>
    </xf>
    <xf numFmtId="203" fontId="102" fillId="0" borderId="89" xfId="0" applyNumberFormat="1" applyFont="1" applyBorder="1" applyAlignment="1">
      <alignment horizontal="center" vertical="center"/>
    </xf>
    <xf numFmtId="203" fontId="102" fillId="0" borderId="57" xfId="0" applyNumberFormat="1" applyFont="1" applyBorder="1" applyAlignment="1">
      <alignment horizontal="center" vertical="center"/>
    </xf>
    <xf numFmtId="0" fontId="10" fillId="0" borderId="58" xfId="0" applyFont="1" applyBorder="1"/>
    <xf numFmtId="203" fontId="102" fillId="0" borderId="90" xfId="0" applyNumberFormat="1" applyFont="1" applyBorder="1" applyAlignment="1">
      <alignment horizontal="center" vertical="center"/>
    </xf>
    <xf numFmtId="203" fontId="102" fillId="0" borderId="91" xfId="0" applyNumberFormat="1" applyFont="1" applyBorder="1" applyAlignment="1">
      <alignment horizontal="center" vertical="center"/>
    </xf>
    <xf numFmtId="203" fontId="102" fillId="0" borderId="25" xfId="0" applyNumberFormat="1" applyFont="1" applyBorder="1" applyAlignment="1">
      <alignment horizontal="center" vertical="center"/>
    </xf>
    <xf numFmtId="0" fontId="10" fillId="0" borderId="28" xfId="0" applyFont="1" applyBorder="1"/>
    <xf numFmtId="0" fontId="102" fillId="0" borderId="90" xfId="0" applyFont="1" applyBorder="1" applyAlignment="1">
      <alignment horizontal="left" vertical="center" wrapText="1"/>
    </xf>
    <xf numFmtId="0" fontId="102" fillId="0" borderId="97" xfId="0" applyFont="1" applyBorder="1" applyAlignment="1">
      <alignment horizontal="left" vertical="center" wrapText="1"/>
    </xf>
    <xf numFmtId="0" fontId="102" fillId="0" borderId="91" xfId="0" applyFont="1" applyBorder="1" applyAlignment="1">
      <alignment horizontal="left" vertical="center" wrapText="1"/>
    </xf>
    <xf numFmtId="203" fontId="102" fillId="0" borderId="145" xfId="0" applyNumberFormat="1" applyFont="1" applyBorder="1" applyAlignment="1">
      <alignment horizontal="center" vertical="center"/>
    </xf>
    <xf numFmtId="0" fontId="103" fillId="21" borderId="25" xfId="0" applyFont="1" applyFill="1" applyBorder="1" applyAlignment="1">
      <alignment horizontal="left" vertical="center"/>
    </xf>
    <xf numFmtId="0" fontId="10" fillId="0" borderId="25" xfId="0" applyFont="1" applyBorder="1"/>
    <xf numFmtId="165" fontId="103" fillId="21" borderId="25" xfId="0" applyNumberFormat="1" applyFont="1" applyFill="1" applyBorder="1" applyAlignment="1">
      <alignment horizontal="center" vertical="center"/>
    </xf>
    <xf numFmtId="165" fontId="103" fillId="21" borderId="28" xfId="0" applyNumberFormat="1" applyFont="1" applyFill="1" applyBorder="1" applyAlignment="1">
      <alignment horizontal="center" vertical="center"/>
    </xf>
    <xf numFmtId="0" fontId="99" fillId="20" borderId="25" xfId="0" applyFont="1" applyFill="1" applyBorder="1" applyAlignment="1">
      <alignment horizontal="center" vertical="center"/>
    </xf>
    <xf numFmtId="203" fontId="99" fillId="20" borderId="25" xfId="0" applyNumberFormat="1" applyFont="1" applyFill="1" applyBorder="1" applyAlignment="1">
      <alignment horizontal="center" vertical="center"/>
    </xf>
    <xf numFmtId="203" fontId="102" fillId="0" borderId="28" xfId="0" applyNumberFormat="1" applyFont="1" applyBorder="1" applyAlignment="1">
      <alignment horizontal="center" vertical="center"/>
    </xf>
    <xf numFmtId="0" fontId="103" fillId="21" borderId="94" xfId="0" applyFont="1" applyFill="1" applyBorder="1" applyAlignment="1">
      <alignment horizontal="left" vertical="center"/>
    </xf>
    <xf numFmtId="0" fontId="103" fillId="21" borderId="95" xfId="0" applyFont="1" applyFill="1" applyBorder="1" applyAlignment="1">
      <alignment horizontal="left" vertical="center"/>
    </xf>
    <xf numFmtId="0" fontId="103" fillId="21" borderId="96" xfId="0" applyFont="1" applyFill="1" applyBorder="1" applyAlignment="1">
      <alignment horizontal="left" vertical="center"/>
    </xf>
    <xf numFmtId="165" fontId="103" fillId="21" borderId="94" xfId="0" applyNumberFormat="1" applyFont="1" applyFill="1" applyBorder="1" applyAlignment="1">
      <alignment horizontal="center" vertical="center"/>
    </xf>
    <xf numFmtId="165" fontId="103" fillId="21" borderId="143" xfId="0" applyNumberFormat="1" applyFont="1" applyFill="1" applyBorder="1" applyAlignment="1">
      <alignment horizontal="center" vertical="center"/>
    </xf>
    <xf numFmtId="0" fontId="99" fillId="20" borderId="25" xfId="0" applyFont="1" applyFill="1" applyBorder="1" applyAlignment="1">
      <alignment horizontal="left" vertical="center"/>
    </xf>
    <xf numFmtId="0" fontId="99" fillId="20" borderId="28" xfId="0" applyFont="1" applyFill="1" applyBorder="1" applyAlignment="1">
      <alignment horizontal="center" vertical="center"/>
    </xf>
    <xf numFmtId="0" fontId="99" fillId="20" borderId="72" xfId="0" applyFont="1" applyFill="1" applyBorder="1" applyAlignment="1">
      <alignment horizontal="left" vertical="center" wrapText="1"/>
    </xf>
    <xf numFmtId="0" fontId="99" fillId="20" borderId="51" xfId="0" applyFont="1" applyFill="1" applyBorder="1" applyAlignment="1">
      <alignment horizontal="left" vertical="center" wrapText="1"/>
    </xf>
    <xf numFmtId="0" fontId="99" fillId="20" borderId="72" xfId="0" applyFont="1" applyFill="1" applyBorder="1" applyAlignment="1">
      <alignment horizontal="left" vertical="center"/>
    </xf>
    <xf numFmtId="0" fontId="99" fillId="20" borderId="51" xfId="0" applyFont="1" applyFill="1" applyBorder="1" applyAlignment="1">
      <alignment horizontal="left" vertical="center"/>
    </xf>
    <xf numFmtId="204" fontId="102" fillId="0" borderId="0" xfId="0" applyNumberFormat="1" applyFont="1" applyAlignment="1">
      <alignment horizontal="center"/>
    </xf>
    <xf numFmtId="198" fontId="33" fillId="6" borderId="30" xfId="123" applyNumberFormat="1" applyFont="1" applyFill="1" applyBorder="1" applyAlignment="1">
      <alignment horizontal="center" vertical="center"/>
    </xf>
    <xf numFmtId="198" fontId="33" fillId="6" borderId="31" xfId="123" applyNumberFormat="1" applyFont="1" applyFill="1" applyBorder="1" applyAlignment="1">
      <alignment horizontal="center" vertical="center"/>
    </xf>
    <xf numFmtId="10" fontId="145" fillId="19" borderId="25" xfId="45" applyNumberFormat="1" applyFont="1" applyFill="1" applyBorder="1" applyAlignment="1">
      <alignment horizontal="center" vertical="center"/>
    </xf>
    <xf numFmtId="10" fontId="145" fillId="19" borderId="28" xfId="45" applyNumberFormat="1" applyFont="1" applyFill="1" applyBorder="1" applyAlignment="1">
      <alignment horizontal="center" vertical="center"/>
    </xf>
    <xf numFmtId="217" fontId="26" fillId="8" borderId="25" xfId="116" applyNumberFormat="1" applyFont="1" applyFill="1" applyBorder="1" applyAlignment="1">
      <alignment horizontal="center" vertical="center"/>
    </xf>
    <xf numFmtId="217" fontId="26" fillId="8" borderId="28" xfId="116" applyNumberFormat="1" applyFont="1" applyFill="1" applyBorder="1" applyAlignment="1">
      <alignment horizontal="center" vertical="center"/>
    </xf>
    <xf numFmtId="217" fontId="26" fillId="27" borderId="25" xfId="116" applyNumberFormat="1" applyFont="1" applyFill="1" applyBorder="1" applyAlignment="1">
      <alignment horizontal="center" vertical="center"/>
    </xf>
    <xf numFmtId="217" fontId="26" fillId="27" borderId="28" xfId="116" applyNumberFormat="1" applyFont="1" applyFill="1" applyBorder="1" applyAlignment="1">
      <alignment horizontal="center" vertical="center"/>
    </xf>
    <xf numFmtId="217" fontId="143" fillId="29" borderId="25" xfId="118" applyNumberFormat="1" applyFont="1" applyFill="1" applyBorder="1" applyAlignment="1">
      <alignment horizontal="center" vertical="center"/>
    </xf>
    <xf numFmtId="217" fontId="143" fillId="29" borderId="28" xfId="118" applyNumberFormat="1" applyFont="1" applyFill="1" applyBorder="1" applyAlignment="1">
      <alignment horizontal="center" vertical="center"/>
    </xf>
    <xf numFmtId="10" fontId="145" fillId="19" borderId="33" xfId="45" applyNumberFormat="1" applyFont="1" applyFill="1" applyBorder="1" applyAlignment="1">
      <alignment horizontal="center" vertical="center"/>
    </xf>
    <xf numFmtId="10" fontId="145" fillId="19" borderId="34" xfId="45" applyNumberFormat="1" applyFont="1" applyFill="1" applyBorder="1" applyAlignment="1">
      <alignment horizontal="center" vertical="center"/>
    </xf>
    <xf numFmtId="3" fontId="33" fillId="6" borderId="33" xfId="121" applyNumberFormat="1" applyFont="1" applyFill="1" applyBorder="1" applyAlignment="1">
      <alignment horizontal="center" vertical="center"/>
    </xf>
    <xf numFmtId="0" fontId="99" fillId="0" borderId="0" xfId="0" applyFont="1" applyAlignment="1">
      <alignment horizontal="center" wrapText="1"/>
    </xf>
    <xf numFmtId="165" fontId="103" fillId="0" borderId="0" xfId="0" applyNumberFormat="1" applyFont="1" applyAlignment="1">
      <alignment horizontal="right" wrapText="1"/>
    </xf>
    <xf numFmtId="0" fontId="99" fillId="0" borderId="0" xfId="0" applyFont="1" applyAlignment="1">
      <alignment horizontal="right" wrapText="1"/>
    </xf>
    <xf numFmtId="0" fontId="99" fillId="0" borderId="0" xfId="0" applyFont="1" applyAlignment="1">
      <alignment horizontal="center"/>
    </xf>
    <xf numFmtId="165" fontId="27" fillId="27" borderId="13" xfId="6" applyFont="1" applyFill="1" applyBorder="1" applyAlignment="1">
      <alignment horizontal="center" vertical="center"/>
    </xf>
    <xf numFmtId="165" fontId="27" fillId="27" borderId="15" xfId="6" applyFont="1" applyFill="1" applyBorder="1" applyAlignment="1">
      <alignment horizontal="center" vertical="center"/>
    </xf>
    <xf numFmtId="184" fontId="27" fillId="27" borderId="13" xfId="6" applyNumberFormat="1" applyFont="1" applyFill="1" applyBorder="1" applyAlignment="1">
      <alignment horizontal="right" vertical="center"/>
    </xf>
    <xf numFmtId="184" fontId="27" fillId="27" borderId="15" xfId="6" applyNumberFormat="1" applyFont="1" applyFill="1" applyBorder="1" applyAlignment="1">
      <alignment horizontal="right" vertical="center"/>
    </xf>
    <xf numFmtId="0" fontId="27" fillId="27" borderId="13" xfId="63" applyFont="1" applyFill="1" applyBorder="1" applyAlignment="1">
      <alignment horizontal="right" vertical="center"/>
    </xf>
    <xf numFmtId="0" fontId="27" fillId="27" borderId="14" xfId="63" applyFont="1" applyFill="1" applyBorder="1" applyAlignment="1">
      <alignment horizontal="right" vertical="center"/>
    </xf>
    <xf numFmtId="0" fontId="27" fillId="27" borderId="15" xfId="63" applyFont="1" applyFill="1" applyBorder="1" applyAlignment="1">
      <alignment horizontal="right" vertical="center"/>
    </xf>
    <xf numFmtId="0" fontId="27" fillId="27" borderId="13" xfId="116" applyFont="1" applyFill="1" applyBorder="1" applyAlignment="1">
      <alignment horizontal="right" vertical="center"/>
    </xf>
    <xf numFmtId="0" fontId="27" fillId="27" borderId="14" xfId="116" applyFont="1" applyFill="1" applyBorder="1" applyAlignment="1">
      <alignment horizontal="right" vertical="center"/>
    </xf>
    <xf numFmtId="0" fontId="27" fillId="27" borderId="15" xfId="116" applyFont="1" applyFill="1" applyBorder="1" applyAlignment="1">
      <alignment horizontal="right" vertical="center"/>
    </xf>
    <xf numFmtId="0" fontId="29" fillId="0" borderId="77" xfId="120" applyFont="1" applyBorder="1" applyAlignment="1">
      <alignment horizontal="center" vertical="center"/>
    </xf>
    <xf numFmtId="0" fontId="29" fillId="0" borderId="57" xfId="120" applyFont="1" applyBorder="1" applyAlignment="1">
      <alignment horizontal="center" vertical="center"/>
    </xf>
    <xf numFmtId="0" fontId="145" fillId="6" borderId="29" xfId="121" applyFont="1" applyFill="1" applyBorder="1" applyAlignment="1">
      <alignment horizontal="left" vertical="center" wrapText="1"/>
    </xf>
    <xf numFmtId="0" fontId="145" fillId="6" borderId="30" xfId="121" applyFont="1" applyFill="1" applyBorder="1" applyAlignment="1">
      <alignment horizontal="left" vertical="center" wrapText="1"/>
    </xf>
    <xf numFmtId="3" fontId="33" fillId="6" borderId="30" xfId="121" applyNumberFormat="1" applyFont="1" applyFill="1" applyBorder="1" applyAlignment="1">
      <alignment horizontal="center" vertical="center" wrapText="1"/>
    </xf>
    <xf numFmtId="0" fontId="145" fillId="6" borderId="27" xfId="121" applyFont="1" applyFill="1" applyBorder="1" applyAlignment="1">
      <alignment horizontal="left" vertical="center" wrapText="1"/>
    </xf>
    <xf numFmtId="0" fontId="145" fillId="6" borderId="25" xfId="121" applyFont="1" applyFill="1" applyBorder="1" applyAlignment="1">
      <alignment horizontal="left" vertical="center" wrapText="1"/>
    </xf>
    <xf numFmtId="3" fontId="33" fillId="6" borderId="25" xfId="121" applyNumberFormat="1" applyFont="1" applyFill="1" applyBorder="1" applyAlignment="1">
      <alignment horizontal="center" vertical="center"/>
    </xf>
    <xf numFmtId="210" fontId="29" fillId="0" borderId="25" xfId="118" applyNumberFormat="1" applyFont="1" applyBorder="1" applyAlignment="1">
      <alignment horizontal="center" vertical="center"/>
    </xf>
    <xf numFmtId="210" fontId="29" fillId="0" borderId="28" xfId="118" applyNumberFormat="1" applyFont="1" applyBorder="1" applyAlignment="1">
      <alignment horizontal="center" vertical="center"/>
    </xf>
    <xf numFmtId="0" fontId="27" fillId="0" borderId="29" xfId="117" applyFont="1" applyBorder="1" applyAlignment="1">
      <alignment horizontal="left" vertical="center" wrapText="1"/>
    </xf>
    <xf numFmtId="0" fontId="27" fillId="0" borderId="30" xfId="117" applyFont="1" applyBorder="1" applyAlignment="1">
      <alignment horizontal="left" vertical="center" wrapText="1"/>
    </xf>
    <xf numFmtId="219" fontId="143" fillId="0" borderId="30" xfId="118" applyNumberFormat="1" applyFont="1" applyBorder="1" applyAlignment="1">
      <alignment horizontal="center" vertical="center"/>
    </xf>
    <xf numFmtId="219" fontId="143" fillId="0" borderId="31" xfId="118" applyNumberFormat="1" applyFont="1" applyBorder="1" applyAlignment="1">
      <alignment horizontal="center" vertical="center"/>
    </xf>
    <xf numFmtId="210" fontId="143" fillId="0" borderId="25" xfId="118" applyNumberFormat="1" applyFont="1" applyBorder="1" applyAlignment="1">
      <alignment horizontal="center" vertical="center"/>
    </xf>
    <xf numFmtId="210" fontId="143" fillId="0" borderId="28" xfId="118" applyNumberFormat="1" applyFont="1" applyBorder="1" applyAlignment="1">
      <alignment horizontal="center" vertical="center"/>
    </xf>
    <xf numFmtId="210" fontId="43" fillId="0" borderId="25" xfId="118" applyNumberFormat="1" applyFont="1" applyBorder="1" applyAlignment="1">
      <alignment horizontal="center" vertical="center"/>
    </xf>
    <xf numFmtId="210" fontId="43" fillId="0" borderId="28" xfId="118" applyNumberFormat="1" applyFont="1" applyBorder="1" applyAlignment="1">
      <alignment horizontal="center" vertical="center"/>
    </xf>
    <xf numFmtId="210" fontId="143" fillId="28" borderId="25" xfId="118" applyNumberFormat="1" applyFont="1" applyFill="1" applyBorder="1" applyAlignment="1">
      <alignment horizontal="center" vertical="center"/>
    </xf>
    <xf numFmtId="210" fontId="143" fillId="28" borderId="28" xfId="118" applyNumberFormat="1" applyFont="1" applyFill="1" applyBorder="1" applyAlignment="1">
      <alignment horizontal="center" vertical="center"/>
    </xf>
    <xf numFmtId="210" fontId="27" fillId="0" borderId="25" xfId="118" applyNumberFormat="1" applyFont="1" applyBorder="1" applyAlignment="1">
      <alignment horizontal="center" vertical="center"/>
    </xf>
    <xf numFmtId="210" fontId="27" fillId="0" borderId="28" xfId="118" applyNumberFormat="1" applyFont="1" applyBorder="1" applyAlignment="1">
      <alignment horizontal="center" vertical="center"/>
    </xf>
    <xf numFmtId="216" fontId="26" fillId="27" borderId="25" xfId="116" applyNumberFormat="1" applyFont="1" applyFill="1" applyBorder="1" applyAlignment="1">
      <alignment horizontal="center" vertical="center"/>
    </xf>
    <xf numFmtId="216" fontId="26" fillId="27" borderId="28" xfId="116" applyNumberFormat="1" applyFont="1" applyFill="1" applyBorder="1" applyAlignment="1">
      <alignment horizontal="center" vertical="center"/>
    </xf>
    <xf numFmtId="0" fontId="81" fillId="0" borderId="27" xfId="117" applyFont="1" applyBorder="1" applyAlignment="1">
      <alignment horizontal="left" vertical="center" wrapText="1"/>
    </xf>
    <xf numFmtId="0" fontId="81" fillId="0" borderId="25" xfId="117" applyFont="1" applyBorder="1" applyAlignment="1">
      <alignment horizontal="left" vertical="center" wrapText="1"/>
    </xf>
    <xf numFmtId="0" fontId="26" fillId="0" borderId="27" xfId="117" applyFont="1" applyBorder="1" applyAlignment="1">
      <alignment horizontal="left" vertical="center" wrapText="1"/>
    </xf>
    <xf numFmtId="0" fontId="26" fillId="0" borderId="25" xfId="117" applyFont="1" applyBorder="1" applyAlignment="1">
      <alignment horizontal="left" vertical="center" wrapText="1"/>
    </xf>
    <xf numFmtId="0" fontId="26" fillId="0" borderId="53" xfId="117" applyFont="1" applyBorder="1" applyAlignment="1">
      <alignment horizontal="left" vertical="center" wrapText="1"/>
    </xf>
    <xf numFmtId="0" fontId="26" fillId="0" borderId="37" xfId="117" applyFont="1" applyBorder="1" applyAlignment="1">
      <alignment horizontal="left" vertical="center" wrapText="1"/>
    </xf>
    <xf numFmtId="0" fontId="26" fillId="0" borderId="26" xfId="117" applyFont="1" applyBorder="1" applyAlignment="1">
      <alignment horizontal="left" vertical="center" wrapText="1"/>
    </xf>
    <xf numFmtId="0" fontId="26" fillId="0" borderId="53" xfId="117" applyFont="1" applyBorder="1" applyAlignment="1">
      <alignment horizontal="left" wrapText="1"/>
    </xf>
    <xf numFmtId="0" fontId="26" fillId="0" borderId="37" xfId="117" applyFont="1" applyBorder="1" applyAlignment="1">
      <alignment horizontal="left" wrapText="1"/>
    </xf>
    <xf numFmtId="0" fontId="26" fillId="0" borderId="26" xfId="117" applyFont="1" applyBorder="1" applyAlignment="1">
      <alignment horizontal="left" wrapText="1"/>
    </xf>
    <xf numFmtId="0" fontId="81" fillId="0" borderId="53" xfId="117" applyFont="1" applyBorder="1" applyAlignment="1">
      <alignment horizontal="center" vertical="center" wrapText="1"/>
    </xf>
    <xf numFmtId="0" fontId="81" fillId="0" borderId="37" xfId="117" applyFont="1" applyBorder="1" applyAlignment="1">
      <alignment horizontal="center" vertical="center" wrapText="1"/>
    </xf>
    <xf numFmtId="0" fontId="81" fillId="0" borderId="26" xfId="117" applyFont="1" applyBorder="1" applyAlignment="1">
      <alignment horizontal="center" vertical="center" wrapText="1"/>
    </xf>
    <xf numFmtId="0" fontId="33" fillId="6" borderId="25" xfId="121" applyFont="1" applyFill="1" applyBorder="1" applyAlignment="1">
      <alignment horizontal="center" vertical="center" wrapText="1"/>
    </xf>
    <xf numFmtId="0" fontId="33" fillId="6" borderId="25" xfId="121" applyFont="1" applyFill="1" applyBorder="1" applyAlignment="1">
      <alignment horizontal="center" vertical="center"/>
    </xf>
    <xf numFmtId="0" fontId="145" fillId="6" borderId="27" xfId="0" applyFont="1" applyFill="1" applyBorder="1" applyAlignment="1">
      <alignment horizontal="left" vertical="center" wrapText="1"/>
    </xf>
    <xf numFmtId="0" fontId="145" fillId="6" borderId="25" xfId="0" applyFont="1" applyFill="1" applyBorder="1" applyAlignment="1">
      <alignment horizontal="left" vertical="center" wrapText="1"/>
    </xf>
    <xf numFmtId="3" fontId="33" fillId="6" borderId="25" xfId="121" applyNumberFormat="1" applyFont="1" applyFill="1" applyBorder="1" applyAlignment="1">
      <alignment horizontal="center" vertical="center" wrapText="1"/>
    </xf>
    <xf numFmtId="0" fontId="111" fillId="30" borderId="1" xfId="0" applyFont="1" applyFill="1" applyBorder="1" applyAlignment="1">
      <alignment horizontal="center" vertical="center" wrapText="1"/>
    </xf>
    <xf numFmtId="0" fontId="111" fillId="30" borderId="2" xfId="0" applyFont="1" applyFill="1" applyBorder="1" applyAlignment="1">
      <alignment horizontal="center" vertical="center" wrapText="1"/>
    </xf>
    <xf numFmtId="0" fontId="111" fillId="30" borderId="3" xfId="0" applyFont="1" applyFill="1" applyBorder="1" applyAlignment="1">
      <alignment horizontal="center" vertical="center" wrapText="1"/>
    </xf>
    <xf numFmtId="0" fontId="111" fillId="30" borderId="7" xfId="0" applyFont="1" applyFill="1" applyBorder="1" applyAlignment="1">
      <alignment horizontal="center" vertical="center" wrapText="1"/>
    </xf>
    <xf numFmtId="0" fontId="111" fillId="30" borderId="0" xfId="0" applyFont="1" applyFill="1" applyAlignment="1">
      <alignment horizontal="center" vertical="center" wrapText="1"/>
    </xf>
    <xf numFmtId="0" fontId="111" fillId="30" borderId="8" xfId="0" applyFont="1" applyFill="1" applyBorder="1" applyAlignment="1">
      <alignment horizontal="center" vertical="center" wrapText="1"/>
    </xf>
    <xf numFmtId="0" fontId="111" fillId="30" borderId="4" xfId="0" applyFont="1" applyFill="1" applyBorder="1" applyAlignment="1">
      <alignment horizontal="center" vertical="center" wrapText="1"/>
    </xf>
    <xf numFmtId="0" fontId="111" fillId="30" borderId="5" xfId="0" applyFont="1" applyFill="1" applyBorder="1" applyAlignment="1">
      <alignment horizontal="center" vertical="center" wrapText="1"/>
    </xf>
    <xf numFmtId="0" fontId="111" fillId="30" borderId="6" xfId="0" applyFont="1" applyFill="1" applyBorder="1" applyAlignment="1">
      <alignment horizontal="center" vertical="center" wrapText="1"/>
    </xf>
    <xf numFmtId="0" fontId="27" fillId="8" borderId="140" xfId="63" applyFont="1" applyFill="1" applyBorder="1" applyAlignment="1">
      <alignment horizontal="center" vertical="center" wrapText="1"/>
    </xf>
    <xf numFmtId="0" fontId="27" fillId="8" borderId="2" xfId="63" applyFont="1" applyFill="1" applyBorder="1" applyAlignment="1">
      <alignment horizontal="center" vertical="center" wrapText="1"/>
    </xf>
    <xf numFmtId="0" fontId="27" fillId="8" borderId="141" xfId="63" applyFont="1" applyFill="1" applyBorder="1" applyAlignment="1">
      <alignment horizontal="center" vertical="center" wrapText="1"/>
    </xf>
    <xf numFmtId="0" fontId="27" fillId="8" borderId="5" xfId="63" applyFont="1" applyFill="1" applyBorder="1" applyAlignment="1">
      <alignment horizontal="center" vertical="center" wrapText="1"/>
    </xf>
    <xf numFmtId="4" fontId="27" fillId="8" borderId="140" xfId="63" applyNumberFormat="1" applyFont="1" applyFill="1" applyBorder="1" applyAlignment="1">
      <alignment horizontal="center" vertical="center" wrapText="1"/>
    </xf>
    <xf numFmtId="4" fontId="27" fillId="8" borderId="3" xfId="63" applyNumberFormat="1" applyFont="1" applyFill="1" applyBorder="1" applyAlignment="1">
      <alignment horizontal="center" vertical="center" wrapText="1"/>
    </xf>
    <xf numFmtId="4" fontId="27" fillId="8" borderId="141" xfId="63" applyNumberFormat="1" applyFont="1" applyFill="1" applyBorder="1" applyAlignment="1">
      <alignment horizontal="center" vertical="center" wrapText="1"/>
    </xf>
    <xf numFmtId="4" fontId="27" fillId="8" borderId="6" xfId="63" applyNumberFormat="1" applyFont="1" applyFill="1" applyBorder="1" applyAlignment="1">
      <alignment horizontal="center" vertical="center" wrapText="1"/>
    </xf>
    <xf numFmtId="0" fontId="27" fillId="8" borderId="1" xfId="63" applyFont="1" applyFill="1" applyBorder="1" applyAlignment="1">
      <alignment horizontal="center" vertical="center" wrapText="1"/>
    </xf>
    <xf numFmtId="0" fontId="27" fillId="8" borderId="36" xfId="63" applyFont="1" applyFill="1" applyBorder="1" applyAlignment="1">
      <alignment horizontal="center" vertical="center" wrapText="1"/>
    </xf>
    <xf numFmtId="0" fontId="27" fillId="8" borderId="4" xfId="63" applyFont="1" applyFill="1" applyBorder="1" applyAlignment="1">
      <alignment horizontal="center" vertical="center" wrapText="1"/>
    </xf>
    <xf numFmtId="0" fontId="27" fillId="8" borderId="62" xfId="63" applyFont="1" applyFill="1" applyBorder="1" applyAlignment="1">
      <alignment horizontal="center" vertical="center" wrapText="1"/>
    </xf>
    <xf numFmtId="0" fontId="29" fillId="6" borderId="4" xfId="5" applyFont="1" applyFill="1" applyBorder="1" applyAlignment="1">
      <alignment horizontal="center" vertical="center" wrapText="1"/>
    </xf>
    <xf numFmtId="0" fontId="29" fillId="6" borderId="5" xfId="5" applyFont="1" applyFill="1" applyBorder="1" applyAlignment="1">
      <alignment horizontal="center" vertical="center" wrapText="1"/>
    </xf>
    <xf numFmtId="0" fontId="29" fillId="6" borderId="6" xfId="5" applyFont="1" applyFill="1" applyBorder="1" applyAlignment="1">
      <alignment horizontal="center" vertical="center" wrapText="1"/>
    </xf>
    <xf numFmtId="0" fontId="29" fillId="19" borderId="1" xfId="5" applyFont="1" applyFill="1" applyBorder="1" applyAlignment="1">
      <alignment horizontal="center" vertical="center" wrapText="1"/>
    </xf>
    <xf numFmtId="0" fontId="29" fillId="19" borderId="2" xfId="5" applyFont="1" applyFill="1" applyBorder="1" applyAlignment="1">
      <alignment horizontal="center" vertical="center" wrapText="1"/>
    </xf>
    <xf numFmtId="0" fontId="29" fillId="19" borderId="3" xfId="5" applyFont="1" applyFill="1" applyBorder="1" applyAlignment="1">
      <alignment horizontal="center" vertical="center" wrapText="1"/>
    </xf>
    <xf numFmtId="0" fontId="29" fillId="19" borderId="4" xfId="5" applyFont="1" applyFill="1" applyBorder="1" applyAlignment="1">
      <alignment horizontal="center" vertical="center" wrapText="1"/>
    </xf>
    <xf numFmtId="0" fontId="29" fillId="19" borderId="5" xfId="5" applyFont="1" applyFill="1" applyBorder="1" applyAlignment="1">
      <alignment horizontal="center" vertical="center" wrapText="1"/>
    </xf>
    <xf numFmtId="0" fontId="29" fillId="19" borderId="6" xfId="5" applyFont="1" applyFill="1" applyBorder="1" applyAlignment="1">
      <alignment horizontal="center" vertical="center" wrapText="1"/>
    </xf>
    <xf numFmtId="0" fontId="146" fillId="0" borderId="138" xfId="5" applyFont="1" applyBorder="1" applyAlignment="1">
      <alignment horizontal="center" wrapText="1"/>
    </xf>
    <xf numFmtId="0" fontId="27" fillId="0" borderId="0" xfId="121" applyFont="1" applyAlignment="1">
      <alignment horizontal="center" vertical="center"/>
    </xf>
    <xf numFmtId="0" fontId="27" fillId="8" borderId="29" xfId="63" applyFont="1" applyFill="1" applyBorder="1" applyAlignment="1">
      <alignment horizontal="center" vertical="center" wrapText="1"/>
    </xf>
    <xf numFmtId="0" fontId="27" fillId="8" borderId="32" xfId="63" applyFont="1" applyFill="1" applyBorder="1" applyAlignment="1">
      <alignment horizontal="center" vertical="center" wrapText="1"/>
    </xf>
    <xf numFmtId="0" fontId="27" fillId="8" borderId="30" xfId="63" applyFont="1" applyFill="1" applyBorder="1" applyAlignment="1">
      <alignment horizontal="center" vertical="center" wrapText="1"/>
    </xf>
    <xf numFmtId="0" fontId="27" fillId="8" borderId="33" xfId="63" applyFont="1" applyFill="1" applyBorder="1" applyAlignment="1">
      <alignment horizontal="center" vertical="center" wrapText="1"/>
    </xf>
    <xf numFmtId="4" fontId="27" fillId="8" borderId="30" xfId="63" applyNumberFormat="1" applyFont="1" applyFill="1" applyBorder="1" applyAlignment="1">
      <alignment horizontal="center" vertical="center" wrapText="1"/>
    </xf>
    <xf numFmtId="4" fontId="27" fillId="8" borderId="33" xfId="63" applyNumberFormat="1" applyFont="1" applyFill="1" applyBorder="1" applyAlignment="1">
      <alignment horizontal="center" vertical="center" wrapText="1"/>
    </xf>
    <xf numFmtId="0" fontId="124" fillId="21" borderId="90" xfId="0" applyFont="1" applyFill="1" applyBorder="1" applyAlignment="1">
      <alignment horizontal="center"/>
    </xf>
    <xf numFmtId="0" fontId="108" fillId="0" borderId="91" xfId="0" applyFont="1" applyBorder="1"/>
    <xf numFmtId="210" fontId="118" fillId="0" borderId="90" xfId="0" applyNumberFormat="1" applyFont="1" applyBorder="1" applyAlignment="1">
      <alignment horizontal="center" vertical="center"/>
    </xf>
    <xf numFmtId="0" fontId="124" fillId="21" borderId="90" xfId="0" applyFont="1" applyFill="1" applyBorder="1" applyAlignment="1">
      <alignment horizontal="left"/>
    </xf>
    <xf numFmtId="0" fontId="108" fillId="0" borderId="97" xfId="0" applyFont="1" applyBorder="1"/>
    <xf numFmtId="210" fontId="124" fillId="21" borderId="90" xfId="0" applyNumberFormat="1" applyFont="1" applyFill="1" applyBorder="1" applyAlignment="1">
      <alignment horizontal="center"/>
    </xf>
    <xf numFmtId="0" fontId="118" fillId="0" borderId="90" xfId="0" applyFont="1" applyBorder="1" applyAlignment="1">
      <alignment horizontal="center"/>
    </xf>
    <xf numFmtId="210" fontId="102" fillId="0" borderId="90" xfId="0" applyNumberFormat="1" applyFont="1" applyBorder="1" applyAlignment="1">
      <alignment horizontal="center" vertical="center"/>
    </xf>
    <xf numFmtId="0" fontId="30" fillId="0" borderId="90" xfId="0" applyFont="1" applyBorder="1" applyAlignment="1">
      <alignment horizontal="left" wrapText="1"/>
    </xf>
    <xf numFmtId="2" fontId="118" fillId="0" borderId="90" xfId="0" applyNumberFormat="1" applyFont="1" applyBorder="1" applyAlignment="1">
      <alignment horizontal="center" vertical="center"/>
    </xf>
    <xf numFmtId="9" fontId="118" fillId="0" borderId="90" xfId="0" applyNumberFormat="1" applyFont="1" applyBorder="1" applyAlignment="1">
      <alignment horizontal="center" vertical="center"/>
    </xf>
    <xf numFmtId="0" fontId="125" fillId="0" borderId="90" xfId="0" applyFont="1" applyBorder="1" applyAlignment="1">
      <alignment horizontal="left"/>
    </xf>
    <xf numFmtId="0" fontId="125" fillId="0" borderId="97" xfId="0" applyFont="1" applyBorder="1" applyAlignment="1">
      <alignment horizontal="left"/>
    </xf>
    <xf numFmtId="0" fontId="125" fillId="0" borderId="91" xfId="0" applyFont="1" applyBorder="1" applyAlignment="1">
      <alignment horizontal="left"/>
    </xf>
    <xf numFmtId="0" fontId="30" fillId="0" borderId="90" xfId="0" applyFont="1" applyBorder="1" applyAlignment="1">
      <alignment horizontal="left"/>
    </xf>
    <xf numFmtId="2" fontId="108" fillId="0" borderId="91" xfId="0" applyNumberFormat="1" applyFont="1" applyBorder="1"/>
    <xf numFmtId="176" fontId="118" fillId="0" borderId="90" xfId="0" applyNumberFormat="1" applyFont="1" applyBorder="1" applyAlignment="1">
      <alignment horizontal="center" vertical="center"/>
    </xf>
    <xf numFmtId="176" fontId="108" fillId="0" borderId="91" xfId="0" applyNumberFormat="1" applyFont="1" applyBorder="1"/>
    <xf numFmtId="0" fontId="99" fillId="20" borderId="87" xfId="0" applyFont="1" applyFill="1" applyBorder="1" applyAlignment="1">
      <alignment horizontal="left" vertical="top" wrapText="1"/>
    </xf>
    <xf numFmtId="0" fontId="108" fillId="0" borderId="88" xfId="0" applyFont="1" applyBorder="1" applyAlignment="1">
      <alignment wrapText="1"/>
    </xf>
    <xf numFmtId="0" fontId="108" fillId="0" borderId="89" xfId="0" applyFont="1" applyBorder="1" applyAlignment="1">
      <alignment wrapText="1"/>
    </xf>
    <xf numFmtId="0" fontId="108" fillId="0" borderId="94" xfId="0" applyFont="1" applyBorder="1" applyAlignment="1">
      <alignment wrapText="1"/>
    </xf>
    <xf numFmtId="0" fontId="108" fillId="0" borderId="95" xfId="0" applyFont="1" applyBorder="1" applyAlignment="1">
      <alignment wrapText="1"/>
    </xf>
    <xf numFmtId="0" fontId="108" fillId="0" borderId="96" xfId="0" applyFont="1" applyBorder="1" applyAlignment="1">
      <alignment wrapText="1"/>
    </xf>
    <xf numFmtId="0" fontId="125" fillId="0" borderId="90" xfId="0" applyFont="1" applyBorder="1" applyAlignment="1">
      <alignment horizontal="left" wrapText="1"/>
    </xf>
    <xf numFmtId="0" fontId="99" fillId="20" borderId="87" xfId="0" applyFont="1" applyFill="1" applyBorder="1" applyAlignment="1">
      <alignment horizontal="left" vertical="top"/>
    </xf>
    <xf numFmtId="0" fontId="108" fillId="0" borderId="88" xfId="0" applyFont="1" applyBorder="1"/>
    <xf numFmtId="0" fontId="108" fillId="0" borderId="89" xfId="0" applyFont="1" applyBorder="1"/>
    <xf numFmtId="0" fontId="108" fillId="0" borderId="94" xfId="0" applyFont="1" applyBorder="1"/>
    <xf numFmtId="0" fontId="108" fillId="0" borderId="95" xfId="0" applyFont="1" applyBorder="1"/>
    <xf numFmtId="0" fontId="108" fillId="0" borderId="96" xfId="0" applyFont="1" applyBorder="1"/>
    <xf numFmtId="0" fontId="19" fillId="0" borderId="79" xfId="0" applyFont="1" applyBorder="1" applyAlignment="1">
      <alignment vertical="center" wrapText="1"/>
    </xf>
    <xf numFmtId="0" fontId="19" fillId="0" borderId="37" xfId="0" applyFont="1" applyBorder="1" applyAlignment="1">
      <alignment vertical="center" wrapText="1"/>
    </xf>
    <xf numFmtId="0" fontId="19" fillId="0" borderId="26" xfId="0" applyFont="1" applyBorder="1" applyAlignment="1">
      <alignment vertical="center" wrapText="1"/>
    </xf>
    <xf numFmtId="0" fontId="127" fillId="0" borderId="106" xfId="0" applyFont="1" applyBorder="1" applyAlignment="1">
      <alignment vertical="center" wrapText="1"/>
    </xf>
    <xf numFmtId="0" fontId="127" fillId="0" borderId="97" xfId="0" applyFont="1" applyBorder="1" applyAlignment="1">
      <alignment vertical="center" wrapText="1"/>
    </xf>
    <xf numFmtId="0" fontId="127" fillId="0" borderId="91" xfId="0" applyFont="1" applyBorder="1" applyAlignment="1">
      <alignment vertical="center" wrapText="1"/>
    </xf>
    <xf numFmtId="200" fontId="132" fillId="0" borderId="90" xfId="0" applyNumberFormat="1" applyFont="1" applyBorder="1" applyAlignment="1">
      <alignment horizontal="center" vertical="center"/>
    </xf>
    <xf numFmtId="0" fontId="133" fillId="0" borderId="91" xfId="0" applyFont="1" applyBorder="1"/>
    <xf numFmtId="0" fontId="102" fillId="0" borderId="90" xfId="0" applyFont="1" applyBorder="1" applyAlignment="1">
      <alignment horizontal="center"/>
    </xf>
    <xf numFmtId="0" fontId="103" fillId="21" borderId="90" xfId="0" applyFont="1" applyFill="1" applyBorder="1" applyAlignment="1">
      <alignment horizontal="center"/>
    </xf>
    <xf numFmtId="2" fontId="102" fillId="0" borderId="90" xfId="0" applyNumberFormat="1" applyFont="1" applyBorder="1" applyAlignment="1">
      <alignment horizontal="center" vertical="center"/>
    </xf>
    <xf numFmtId="0" fontId="103" fillId="21" borderId="90" xfId="0" applyFont="1" applyFill="1" applyBorder="1" applyAlignment="1">
      <alignment horizontal="left"/>
    </xf>
    <xf numFmtId="210" fontId="103" fillId="21" borderId="90" xfId="0" applyNumberFormat="1" applyFont="1" applyFill="1" applyBorder="1" applyAlignment="1">
      <alignment horizontal="center"/>
    </xf>
    <xf numFmtId="9" fontId="102" fillId="0" borderId="90" xfId="0" applyNumberFormat="1" applyFont="1" applyBorder="1" applyAlignment="1">
      <alignment horizontal="center" vertical="center"/>
    </xf>
    <xf numFmtId="2" fontId="10" fillId="0" borderId="91" xfId="0" applyNumberFormat="1" applyFont="1" applyBorder="1"/>
    <xf numFmtId="176" fontId="102" fillId="0" borderId="90" xfId="0" applyNumberFormat="1" applyFont="1" applyBorder="1" applyAlignment="1">
      <alignment horizontal="center" vertical="center"/>
    </xf>
    <xf numFmtId="0" fontId="30" fillId="0" borderId="25" xfId="0" applyFont="1" applyBorder="1"/>
    <xf numFmtId="0" fontId="30" fillId="0" borderId="94" xfId="0" applyFont="1" applyBorder="1"/>
    <xf numFmtId="0" fontId="30" fillId="0" borderId="95" xfId="0" applyFont="1" applyBorder="1"/>
    <xf numFmtId="0" fontId="30" fillId="0" borderId="96" xfId="0" applyFont="1" applyBorder="1"/>
    <xf numFmtId="0" fontId="103" fillId="21" borderId="87" xfId="0" applyFont="1" applyFill="1" applyBorder="1" applyAlignment="1">
      <alignment horizontal="center"/>
    </xf>
    <xf numFmtId="0" fontId="118" fillId="0" borderId="90" xfId="0" applyFont="1" applyBorder="1"/>
    <xf numFmtId="0" fontId="118" fillId="0" borderId="97" xfId="0" applyFont="1" applyBorder="1"/>
    <xf numFmtId="0" fontId="118" fillId="0" borderId="91" xfId="0" applyFont="1" applyBorder="1"/>
    <xf numFmtId="0" fontId="102" fillId="0" borderId="90" xfId="0" applyFont="1" applyBorder="1"/>
    <xf numFmtId="0" fontId="102" fillId="0" borderId="97" xfId="0" applyFont="1" applyBorder="1"/>
    <xf numFmtId="0" fontId="102" fillId="0" borderId="91" xfId="0" applyFont="1" applyBorder="1"/>
    <xf numFmtId="0" fontId="125" fillId="0" borderId="90" xfId="0" applyFont="1" applyBorder="1"/>
    <xf numFmtId="0" fontId="125" fillId="0" borderId="97" xfId="0" applyFont="1" applyBorder="1"/>
    <xf numFmtId="0" fontId="125" fillId="0" borderId="91" xfId="0" applyFont="1" applyBorder="1"/>
    <xf numFmtId="0" fontId="125" fillId="0" borderId="90" xfId="0" applyFont="1" applyBorder="1" applyAlignment="1">
      <alignment wrapText="1"/>
    </xf>
    <xf numFmtId="0" fontId="125" fillId="0" borderId="97" xfId="0" applyFont="1" applyBorder="1" applyAlignment="1">
      <alignment wrapText="1"/>
    </xf>
    <xf numFmtId="0" fontId="125" fillId="0" borderId="91" xfId="0" applyFont="1" applyBorder="1" applyAlignment="1">
      <alignment wrapText="1"/>
    </xf>
    <xf numFmtId="0" fontId="19" fillId="0" borderId="107" xfId="0" applyFont="1" applyBorder="1" applyAlignment="1">
      <alignment vertical="center"/>
    </xf>
    <xf numFmtId="0" fontId="19" fillId="0" borderId="108" xfId="0" applyFont="1" applyBorder="1" applyAlignment="1">
      <alignment vertical="center"/>
    </xf>
    <xf numFmtId="0" fontId="19" fillId="0" borderId="105" xfId="0" applyFont="1" applyBorder="1" applyAlignment="1">
      <alignment vertical="center"/>
    </xf>
    <xf numFmtId="2" fontId="118" fillId="0" borderId="90" xfId="0" applyNumberFormat="1" applyFont="1" applyBorder="1" applyAlignment="1">
      <alignment vertical="center"/>
    </xf>
    <xf numFmtId="2" fontId="118" fillId="0" borderId="91" xfId="0" applyNumberFormat="1" applyFont="1" applyBorder="1" applyAlignment="1">
      <alignment vertical="center"/>
    </xf>
    <xf numFmtId="2" fontId="118" fillId="0" borderId="91" xfId="0" applyNumberFormat="1" applyFont="1" applyBorder="1" applyAlignment="1">
      <alignment horizontal="center" vertical="center"/>
    </xf>
    <xf numFmtId="0" fontId="124" fillId="21" borderId="87" xfId="0" applyFont="1" applyFill="1" applyBorder="1" applyAlignment="1">
      <alignment horizontal="center"/>
    </xf>
    <xf numFmtId="0" fontId="102" fillId="0" borderId="97" xfId="0" applyFont="1" applyBorder="1" applyAlignment="1">
      <alignment horizontal="center"/>
    </xf>
    <xf numFmtId="0" fontId="102" fillId="0" borderId="91" xfId="0" applyFont="1" applyBorder="1" applyAlignment="1">
      <alignment horizontal="center"/>
    </xf>
    <xf numFmtId="0" fontId="19" fillId="0" borderId="106" xfId="0" applyFont="1" applyBorder="1" applyAlignment="1">
      <alignment vertical="center" wrapText="1"/>
    </xf>
    <xf numFmtId="0" fontId="19" fillId="0" borderId="97" xfId="0" applyFont="1" applyBorder="1" applyAlignment="1">
      <alignment vertical="center" wrapText="1"/>
    </xf>
    <xf numFmtId="0" fontId="19" fillId="0" borderId="91" xfId="0" applyFont="1" applyBorder="1" applyAlignment="1">
      <alignment vertical="center" wrapText="1"/>
    </xf>
    <xf numFmtId="0" fontId="19" fillId="0" borderId="107" xfId="0" applyFont="1" applyBorder="1" applyAlignment="1">
      <alignment vertical="center" wrapText="1"/>
    </xf>
    <xf numFmtId="0" fontId="19" fillId="0" borderId="108" xfId="0" applyFont="1" applyBorder="1" applyAlignment="1">
      <alignment vertical="center" wrapText="1"/>
    </xf>
    <xf numFmtId="0" fontId="19" fillId="0" borderId="105" xfId="0" applyFont="1" applyBorder="1" applyAlignment="1">
      <alignment vertical="center" wrapText="1"/>
    </xf>
    <xf numFmtId="0" fontId="30" fillId="0" borderId="90" xfId="0" applyFont="1" applyBorder="1" applyAlignment="1">
      <alignment horizontal="center" wrapText="1"/>
    </xf>
    <xf numFmtId="0" fontId="30" fillId="0" borderId="97" xfId="0" applyFont="1" applyBorder="1" applyAlignment="1">
      <alignment horizontal="center" wrapText="1"/>
    </xf>
    <xf numFmtId="0" fontId="30" fillId="0" borderId="91" xfId="0" applyFont="1" applyBorder="1" applyAlignment="1">
      <alignment horizontal="center" wrapText="1"/>
    </xf>
    <xf numFmtId="9" fontId="118" fillId="0" borderId="90" xfId="7" applyFont="1" applyBorder="1" applyAlignment="1">
      <alignment horizontal="center" vertical="center"/>
    </xf>
    <xf numFmtId="9" fontId="108" fillId="0" borderId="91" xfId="7" applyFont="1" applyBorder="1"/>
    <xf numFmtId="0" fontId="19" fillId="0" borderId="106" xfId="0" applyFont="1" applyBorder="1" applyAlignment="1">
      <alignment horizontal="justify" vertical="center" wrapText="1"/>
    </xf>
    <xf numFmtId="0" fontId="19" fillId="0" borderId="97" xfId="0" applyFont="1" applyBorder="1" applyAlignment="1">
      <alignment horizontal="justify" vertical="center" wrapText="1"/>
    </xf>
    <xf numFmtId="0" fontId="19" fillId="0" borderId="91" xfId="0" applyFont="1" applyBorder="1" applyAlignment="1">
      <alignment horizontal="justify" vertical="center" wrapText="1"/>
    </xf>
    <xf numFmtId="0" fontId="127" fillId="0" borderId="106" xfId="0" applyFont="1" applyBorder="1" applyAlignment="1">
      <alignment horizontal="justify" vertical="center" wrapText="1"/>
    </xf>
    <xf numFmtId="0" fontId="127" fillId="0" borderId="97" xfId="0" applyFont="1" applyBorder="1" applyAlignment="1">
      <alignment horizontal="justify" vertical="center" wrapText="1"/>
    </xf>
    <xf numFmtId="0" fontId="127" fillId="0" borderId="91" xfId="0" applyFont="1" applyBorder="1" applyAlignment="1">
      <alignment horizontal="justify" vertical="center" wrapText="1"/>
    </xf>
    <xf numFmtId="0" fontId="125" fillId="0" borderId="97" xfId="0" applyFont="1" applyBorder="1" applyAlignment="1">
      <alignment horizontal="left" wrapText="1"/>
    </xf>
    <xf numFmtId="0" fontId="125" fillId="0" borderId="91" xfId="0" applyFont="1" applyBorder="1" applyAlignment="1">
      <alignment horizontal="left" wrapText="1"/>
    </xf>
    <xf numFmtId="210" fontId="102" fillId="0" borderId="91" xfId="0" applyNumberFormat="1" applyFont="1" applyBorder="1" applyAlignment="1">
      <alignment horizontal="center" vertical="center"/>
    </xf>
    <xf numFmtId="0" fontId="99" fillId="20" borderId="87" xfId="0" applyFont="1" applyFill="1" applyBorder="1" applyAlignment="1">
      <alignment horizontal="left" vertical="center"/>
    </xf>
    <xf numFmtId="0" fontId="99" fillId="20" borderId="88" xfId="0" applyFont="1" applyFill="1" applyBorder="1" applyAlignment="1">
      <alignment horizontal="left" vertical="center"/>
    </xf>
    <xf numFmtId="0" fontId="99" fillId="20" borderId="94" xfId="0" applyFont="1" applyFill="1" applyBorder="1" applyAlignment="1">
      <alignment horizontal="left" vertical="center"/>
    </xf>
    <xf numFmtId="0" fontId="99" fillId="20" borderId="95" xfId="0" applyFont="1" applyFill="1" applyBorder="1" applyAlignment="1">
      <alignment horizontal="left" vertical="center"/>
    </xf>
    <xf numFmtId="14" fontId="101" fillId="21" borderId="87" xfId="0" applyNumberFormat="1" applyFont="1" applyFill="1" applyBorder="1" applyAlignment="1">
      <alignment horizontal="center" vertical="center" wrapText="1"/>
    </xf>
    <xf numFmtId="175" fontId="102" fillId="0" borderId="90" xfId="0" applyNumberFormat="1" applyFont="1" applyBorder="1" applyAlignment="1">
      <alignment horizontal="center" vertical="center"/>
    </xf>
    <xf numFmtId="0" fontId="99" fillId="20" borderId="87" xfId="0" applyFont="1" applyFill="1" applyBorder="1" applyAlignment="1">
      <alignment horizontal="left" vertical="center" wrapText="1"/>
    </xf>
    <xf numFmtId="0" fontId="99" fillId="20" borderId="88" xfId="0" applyFont="1" applyFill="1" applyBorder="1" applyAlignment="1">
      <alignment horizontal="left" vertical="center" wrapText="1"/>
    </xf>
    <xf numFmtId="0" fontId="99" fillId="20" borderId="94" xfId="0" applyFont="1" applyFill="1" applyBorder="1" applyAlignment="1">
      <alignment horizontal="left" vertical="center" wrapText="1"/>
    </xf>
    <xf numFmtId="0" fontId="99" fillId="20" borderId="95" xfId="0" applyFont="1" applyFill="1" applyBorder="1" applyAlignment="1">
      <alignment horizontal="left" vertical="center" wrapText="1"/>
    </xf>
    <xf numFmtId="170" fontId="102" fillId="0" borderId="90" xfId="0" applyNumberFormat="1" applyFont="1" applyBorder="1" applyAlignment="1">
      <alignment horizontal="center" vertical="center"/>
    </xf>
    <xf numFmtId="0" fontId="30" fillId="0" borderId="97" xfId="0" applyFont="1" applyBorder="1" applyAlignment="1">
      <alignment horizontal="left" wrapText="1"/>
    </xf>
    <xf numFmtId="0" fontId="30" fillId="0" borderId="91" xfId="0" applyFont="1" applyBorder="1" applyAlignment="1">
      <alignment horizontal="left" wrapText="1"/>
    </xf>
    <xf numFmtId="210" fontId="141" fillId="0" borderId="90" xfId="0" applyNumberFormat="1" applyFont="1" applyBorder="1" applyAlignment="1">
      <alignment horizontal="center" vertical="center"/>
    </xf>
    <xf numFmtId="0" fontId="142" fillId="0" borderId="91" xfId="0" applyFont="1" applyBorder="1"/>
    <xf numFmtId="2" fontId="118" fillId="6" borderId="90" xfId="0" applyNumberFormat="1" applyFont="1" applyFill="1" applyBorder="1" applyAlignment="1">
      <alignment horizontal="center" vertical="center"/>
    </xf>
    <xf numFmtId="2" fontId="118" fillId="6" borderId="91" xfId="0" applyNumberFormat="1" applyFont="1" applyFill="1" applyBorder="1" applyAlignment="1">
      <alignment horizontal="center" vertical="center"/>
    </xf>
    <xf numFmtId="0" fontId="134" fillId="6" borderId="0" xfId="98" applyFill="1" applyAlignment="1">
      <alignment horizontal="center" vertical="center" wrapText="1"/>
    </xf>
    <xf numFmtId="0" fontId="136" fillId="0" borderId="13" xfId="98" applyFont="1" applyBorder="1" applyAlignment="1">
      <alignment horizontal="left" vertical="center" wrapText="1"/>
    </xf>
    <xf numFmtId="0" fontId="136" fillId="0" borderId="14" xfId="98" applyFont="1" applyBorder="1" applyAlignment="1">
      <alignment horizontal="left" vertical="center" wrapText="1"/>
    </xf>
    <xf numFmtId="165" fontId="134" fillId="6" borderId="0" xfId="6" applyFont="1" applyFill="1" applyBorder="1" applyAlignment="1">
      <alignment horizontal="center" vertical="center" wrapText="1"/>
    </xf>
    <xf numFmtId="0" fontId="102" fillId="0" borderId="38" xfId="0" applyFont="1" applyBorder="1" applyAlignment="1">
      <alignment horizontal="left" vertical="center" wrapText="1"/>
    </xf>
    <xf numFmtId="203" fontId="102" fillId="0" borderId="38" xfId="0" applyNumberFormat="1" applyFont="1" applyBorder="1" applyAlignment="1">
      <alignment horizontal="center" vertical="center"/>
    </xf>
    <xf numFmtId="0" fontId="0" fillId="6" borderId="0" xfId="0" applyFill="1" applyAlignment="1">
      <alignment horizontal="center" vertical="center" wrapText="1"/>
    </xf>
    <xf numFmtId="0" fontId="136" fillId="0" borderId="13" xfId="0" applyFont="1" applyBorder="1" applyAlignment="1">
      <alignment horizontal="left" vertical="center" wrapText="1"/>
    </xf>
    <xf numFmtId="0" fontId="136" fillId="0" borderId="14" xfId="0" applyFont="1" applyBorder="1" applyAlignment="1">
      <alignment horizontal="left" vertical="center" wrapText="1"/>
    </xf>
    <xf numFmtId="44" fontId="0" fillId="6" borderId="0" xfId="0" applyNumberFormat="1" applyFill="1" applyAlignment="1">
      <alignment horizontal="center" vertical="center" wrapText="1"/>
    </xf>
    <xf numFmtId="0" fontId="103" fillId="21" borderId="57" xfId="0" applyFont="1" applyFill="1" applyBorder="1" applyAlignment="1">
      <alignment horizontal="left" vertical="center"/>
    </xf>
    <xf numFmtId="0" fontId="103" fillId="21" borderId="87" xfId="0" applyFont="1" applyFill="1" applyBorder="1" applyAlignment="1">
      <alignment horizontal="left" vertical="center"/>
    </xf>
    <xf numFmtId="0" fontId="102" fillId="0" borderId="136" xfId="0" applyFont="1" applyBorder="1" applyAlignment="1">
      <alignment horizontal="left" vertical="center" wrapText="1"/>
    </xf>
    <xf numFmtId="0" fontId="102" fillId="0" borderId="14" xfId="0" applyFont="1" applyBorder="1" applyAlignment="1">
      <alignment horizontal="left" vertical="center" wrapText="1"/>
    </xf>
    <xf numFmtId="203" fontId="102" fillId="0" borderId="136" xfId="0" applyNumberFormat="1" applyFont="1" applyBorder="1" applyAlignment="1">
      <alignment horizontal="center" vertical="center"/>
    </xf>
    <xf numFmtId="203" fontId="102" fillId="0" borderId="137" xfId="0" applyNumberFormat="1" applyFont="1" applyBorder="1" applyAlignment="1">
      <alignment horizontal="center" vertical="center"/>
    </xf>
    <xf numFmtId="4" fontId="26" fillId="8" borderId="0" xfId="0" applyNumberFormat="1" applyFont="1" applyFill="1" applyAlignment="1">
      <alignment horizontal="left" vertical="center"/>
    </xf>
    <xf numFmtId="166" fontId="28" fillId="11" borderId="13" xfId="48" applyFont="1" applyFill="1" applyBorder="1" applyAlignment="1">
      <alignment horizontal="center" vertical="center" wrapText="1"/>
    </xf>
    <xf numFmtId="166" fontId="28" fillId="11" borderId="14" xfId="48" applyFont="1" applyFill="1" applyBorder="1" applyAlignment="1">
      <alignment horizontal="center" vertical="center" wrapText="1"/>
    </xf>
    <xf numFmtId="166" fontId="46" fillId="8" borderId="0" xfId="48" applyFont="1" applyFill="1" applyAlignment="1">
      <alignment horizontal="center" vertical="center" wrapText="1"/>
    </xf>
    <xf numFmtId="166" fontId="28" fillId="11" borderId="13" xfId="48" applyFont="1" applyFill="1" applyBorder="1" applyAlignment="1">
      <alignment horizontal="center" vertical="center"/>
    </xf>
    <xf numFmtId="166" fontId="28" fillId="11" borderId="14" xfId="48" applyFont="1" applyFill="1" applyBorder="1" applyAlignment="1">
      <alignment horizontal="center" vertical="center"/>
    </xf>
    <xf numFmtId="166" fontId="28" fillId="11" borderId="15" xfId="48" applyFont="1" applyFill="1" applyBorder="1" applyAlignment="1">
      <alignment horizontal="center" vertical="center"/>
    </xf>
    <xf numFmtId="4" fontId="26" fillId="0" borderId="0" xfId="0" applyNumberFormat="1" applyFont="1" applyAlignment="1">
      <alignment horizontal="left" vertical="center"/>
    </xf>
    <xf numFmtId="0" fontId="26" fillId="0" borderId="0" xfId="0" applyFont="1" applyAlignment="1">
      <alignment horizontal="left" vertical="center"/>
    </xf>
    <xf numFmtId="0" fontId="26" fillId="8" borderId="0" xfId="0" applyFont="1" applyFill="1" applyAlignment="1">
      <alignment horizontal="left" vertical="center" wrapText="1"/>
    </xf>
    <xf numFmtId="0" fontId="26" fillId="8" borderId="0" xfId="0" applyFont="1" applyFill="1" applyAlignment="1">
      <alignment horizontal="left" vertical="center"/>
    </xf>
    <xf numFmtId="0" fontId="29" fillId="8" borderId="16" xfId="59" applyFont="1" applyFill="1" applyBorder="1" applyAlignment="1">
      <alignment horizontal="center"/>
    </xf>
    <xf numFmtId="0" fontId="63" fillId="8" borderId="16" xfId="0" applyFont="1" applyFill="1" applyBorder="1" applyAlignment="1">
      <alignment horizontal="center" vertical="center" wrapText="1"/>
    </xf>
    <xf numFmtId="166" fontId="69" fillId="0" borderId="0" xfId="12" applyFont="1" applyBorder="1" applyAlignment="1">
      <alignment horizontal="left" vertical="center"/>
    </xf>
    <xf numFmtId="2" fontId="69" fillId="0" borderId="0" xfId="0" applyNumberFormat="1" applyFont="1" applyAlignment="1">
      <alignment horizontal="left"/>
    </xf>
    <xf numFmtId="2" fontId="69" fillId="8" borderId="0" xfId="0" applyNumberFormat="1" applyFont="1" applyFill="1" applyAlignment="1">
      <alignment horizontal="left"/>
    </xf>
    <xf numFmtId="0" fontId="19" fillId="0" borderId="32" xfId="0" applyFont="1" applyBorder="1" applyAlignment="1">
      <alignment horizontal="justify" vertical="top" wrapText="1"/>
    </xf>
    <xf numFmtId="0" fontId="19" fillId="0" borderId="33" xfId="0" applyFont="1" applyBorder="1" applyAlignment="1">
      <alignment horizontal="justify" vertical="top" wrapText="1"/>
    </xf>
    <xf numFmtId="0" fontId="20" fillId="0" borderId="13" xfId="0" applyFont="1" applyBorder="1" applyAlignment="1">
      <alignment horizontal="center" vertical="center"/>
    </xf>
    <xf numFmtId="0" fontId="20" fillId="0" borderId="40" xfId="0" applyFont="1" applyBorder="1" applyAlignment="1">
      <alignment horizontal="center" vertical="center"/>
    </xf>
    <xf numFmtId="0" fontId="20" fillId="0" borderId="50" xfId="0" applyFont="1" applyBorder="1" applyAlignment="1">
      <alignment horizontal="left" vertical="center"/>
    </xf>
    <xf numFmtId="0" fontId="20" fillId="0" borderId="51" xfId="0" applyFont="1" applyBorder="1" applyAlignment="1">
      <alignment horizontal="left" vertical="center"/>
    </xf>
    <xf numFmtId="0" fontId="19" fillId="0" borderId="47" xfId="0" applyFont="1" applyBorder="1" applyAlignment="1">
      <alignment horizontal="left" vertical="top" wrapText="1"/>
    </xf>
    <xf numFmtId="0" fontId="19" fillId="0" borderId="49" xfId="0" applyFont="1" applyBorder="1" applyAlignment="1">
      <alignment horizontal="left" vertical="top" wrapText="1"/>
    </xf>
    <xf numFmtId="0" fontId="19" fillId="0" borderId="44" xfId="0" applyFont="1" applyBorder="1" applyAlignment="1">
      <alignment horizontal="center" vertical="top" wrapText="1"/>
    </xf>
    <xf numFmtId="0" fontId="19" fillId="0" borderId="45" xfId="0" applyFont="1" applyBorder="1" applyAlignment="1">
      <alignment horizontal="center" vertical="top" wrapText="1"/>
    </xf>
    <xf numFmtId="0" fontId="19" fillId="0" borderId="47" xfId="0" applyFont="1" applyBorder="1" applyAlignment="1">
      <alignment horizontal="center" vertical="top" wrapText="1"/>
    </xf>
    <xf numFmtId="0" fontId="19" fillId="0" borderId="49" xfId="0" applyFont="1" applyBorder="1" applyAlignment="1">
      <alignment horizontal="center" vertical="top" wrapText="1"/>
    </xf>
    <xf numFmtId="0" fontId="20" fillId="0" borderId="13" xfId="0" applyFont="1" applyBorder="1" applyAlignment="1">
      <alignment horizontal="right"/>
    </xf>
    <xf numFmtId="0" fontId="20" fillId="0" borderId="14" xfId="0" applyFont="1" applyBorder="1" applyAlignment="1">
      <alignment horizontal="right"/>
    </xf>
    <xf numFmtId="0" fontId="20" fillId="0" borderId="40" xfId="0" applyFont="1" applyBorder="1" applyAlignment="1">
      <alignment horizontal="right"/>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18" fillId="0" borderId="3" xfId="0" applyFont="1" applyBorder="1" applyAlignment="1">
      <alignment horizontal="center" vertical="center"/>
    </xf>
    <xf numFmtId="4" fontId="15" fillId="0" borderId="4" xfId="0" applyNumberFormat="1" applyFont="1" applyBorder="1" applyAlignment="1">
      <alignment horizontal="center" vertical="center"/>
    </xf>
    <xf numFmtId="4" fontId="15" fillId="0" borderId="5" xfId="0" applyNumberFormat="1" applyFont="1" applyBorder="1" applyAlignment="1">
      <alignment horizontal="center" vertical="center"/>
    </xf>
    <xf numFmtId="4" fontId="15" fillId="0" borderId="6" xfId="0" applyNumberFormat="1" applyFont="1" applyBorder="1" applyAlignment="1">
      <alignment horizontal="center" vertical="center"/>
    </xf>
    <xf numFmtId="0" fontId="19" fillId="0" borderId="29" xfId="0" applyFont="1" applyBorder="1" applyAlignment="1">
      <alignment horizontal="justify" vertical="top" wrapText="1"/>
    </xf>
    <xf numFmtId="0" fontId="19" fillId="0" borderId="30" xfId="0" applyFont="1" applyBorder="1" applyAlignment="1">
      <alignment horizontal="justify" vertical="top" wrapText="1"/>
    </xf>
    <xf numFmtId="0" fontId="19" fillId="0" borderId="44" xfId="0" applyFont="1" applyBorder="1" applyAlignment="1">
      <alignment horizontal="left" vertical="top" wrapText="1"/>
    </xf>
    <xf numFmtId="0" fontId="19" fillId="0" borderId="46" xfId="0" applyFont="1" applyBorder="1" applyAlignment="1">
      <alignment horizontal="left" vertical="top" wrapText="1"/>
    </xf>
    <xf numFmtId="0" fontId="19" fillId="0" borderId="45" xfId="0" applyFont="1" applyBorder="1" applyAlignment="1">
      <alignment horizontal="left" vertical="top" wrapText="1"/>
    </xf>
    <xf numFmtId="0" fontId="19" fillId="0" borderId="48" xfId="0" applyFont="1" applyBorder="1" applyAlignment="1">
      <alignment horizontal="left" vertical="top" wrapText="1"/>
    </xf>
    <xf numFmtId="4" fontId="99" fillId="20" borderId="88" xfId="0" applyNumberFormat="1" applyFont="1" applyFill="1" applyBorder="1" applyAlignment="1">
      <alignment horizontal="center" vertical="center" wrapText="1"/>
    </xf>
    <xf numFmtId="4" fontId="99" fillId="20" borderId="90" xfId="0" applyNumberFormat="1" applyFont="1" applyFill="1" applyBorder="1" applyAlignment="1">
      <alignment horizontal="center" vertical="center" wrapText="1"/>
    </xf>
    <xf numFmtId="4" fontId="102" fillId="0" borderId="90" xfId="0" applyNumberFormat="1" applyFont="1" applyBorder="1" applyAlignment="1">
      <alignment horizontal="left" vertical="top" wrapText="1"/>
    </xf>
    <xf numFmtId="10" fontId="103" fillId="0" borderId="90" xfId="0" applyNumberFormat="1" applyFont="1" applyBorder="1" applyAlignment="1">
      <alignment horizontal="center"/>
    </xf>
    <xf numFmtId="4" fontId="102" fillId="0" borderId="97" xfId="0" applyNumberFormat="1" applyFont="1" applyBorder="1" applyAlignment="1">
      <alignment horizontal="left" vertical="top" wrapText="1"/>
    </xf>
    <xf numFmtId="4" fontId="102" fillId="0" borderId="91" xfId="0" applyNumberFormat="1" applyFont="1" applyBorder="1" applyAlignment="1">
      <alignment horizontal="left" vertical="top" wrapText="1"/>
    </xf>
    <xf numFmtId="4" fontId="99" fillId="20" borderId="94" xfId="0" applyNumberFormat="1" applyFont="1" applyFill="1" applyBorder="1" applyAlignment="1">
      <alignment horizontal="center" vertical="center" wrapText="1"/>
    </xf>
    <xf numFmtId="4" fontId="102" fillId="0" borderId="90" xfId="0" applyNumberFormat="1" applyFont="1" applyBorder="1" applyAlignment="1">
      <alignment horizontal="left" vertical="center" wrapText="1"/>
    </xf>
    <xf numFmtId="0" fontId="99" fillId="20" borderId="90" xfId="0" applyFont="1" applyFill="1" applyBorder="1" applyAlignment="1">
      <alignment horizontal="center"/>
    </xf>
    <xf numFmtId="208" fontId="113" fillId="0" borderId="90" xfId="0" applyNumberFormat="1" applyFont="1" applyBorder="1" applyAlignment="1">
      <alignment horizontal="center" wrapText="1"/>
    </xf>
    <xf numFmtId="208" fontId="102" fillId="0" borderId="90" xfId="0" applyNumberFormat="1" applyFont="1" applyBorder="1" applyAlignment="1">
      <alignment horizontal="center" wrapText="1"/>
    </xf>
    <xf numFmtId="0" fontId="103" fillId="23" borderId="87" xfId="0" applyFont="1" applyFill="1" applyBorder="1" applyAlignment="1">
      <alignment horizontal="center" vertical="center"/>
    </xf>
    <xf numFmtId="0" fontId="112" fillId="20" borderId="87" xfId="0" applyFont="1" applyFill="1" applyBorder="1" applyAlignment="1">
      <alignment horizontal="center" vertical="center" wrapText="1"/>
    </xf>
    <xf numFmtId="14" fontId="110" fillId="21" borderId="87" xfId="0" applyNumberFormat="1" applyFont="1" applyFill="1" applyBorder="1" applyAlignment="1">
      <alignment horizontal="center" vertical="center" wrapText="1"/>
    </xf>
    <xf numFmtId="2" fontId="109" fillId="25" borderId="99" xfId="0" applyNumberFormat="1" applyFont="1" applyFill="1" applyBorder="1" applyAlignment="1">
      <alignment horizontal="center" vertical="center" wrapText="1"/>
    </xf>
    <xf numFmtId="0" fontId="99" fillId="20" borderId="90" xfId="0" applyFont="1" applyFill="1" applyBorder="1" applyAlignment="1">
      <alignment horizontal="right" vertical="center" wrapText="1"/>
    </xf>
    <xf numFmtId="209" fontId="102" fillId="24" borderId="90" xfId="0" applyNumberFormat="1" applyFont="1" applyFill="1" applyBorder="1" applyAlignment="1">
      <alignment horizontal="right" vertical="center" wrapText="1"/>
    </xf>
    <xf numFmtId="165" fontId="102" fillId="0" borderId="90" xfId="0" applyNumberFormat="1" applyFont="1" applyBorder="1" applyAlignment="1">
      <alignment horizontal="center" vertical="center"/>
    </xf>
    <xf numFmtId="1" fontId="102" fillId="0" borderId="90" xfId="0" applyNumberFormat="1" applyFont="1" applyBorder="1" applyAlignment="1">
      <alignment horizontal="center" vertical="center"/>
    </xf>
    <xf numFmtId="0" fontId="102" fillId="24" borderId="87" xfId="0" applyFont="1" applyFill="1" applyBorder="1" applyAlignment="1">
      <alignment horizontal="center" vertical="center" wrapText="1"/>
    </xf>
    <xf numFmtId="10" fontId="102" fillId="0" borderId="90" xfId="0" applyNumberFormat="1" applyFont="1" applyBorder="1" applyAlignment="1">
      <alignment horizontal="center" vertical="center"/>
    </xf>
    <xf numFmtId="0" fontId="99" fillId="20" borderId="88" xfId="0" applyFont="1" applyFill="1" applyBorder="1" applyAlignment="1">
      <alignment horizontal="center" vertical="center" wrapText="1"/>
    </xf>
    <xf numFmtId="1" fontId="99" fillId="20" borderId="90" xfId="0" applyNumberFormat="1" applyFont="1" applyFill="1" applyBorder="1" applyAlignment="1">
      <alignment horizontal="center" vertical="center" wrapText="1"/>
    </xf>
    <xf numFmtId="183" fontId="103" fillId="24" borderId="90" xfId="0" applyNumberFormat="1" applyFont="1" applyFill="1" applyBorder="1" applyAlignment="1">
      <alignment horizontal="center" vertical="center" wrapText="1"/>
    </xf>
    <xf numFmtId="0" fontId="102" fillId="24" borderId="90" xfId="0" applyFont="1" applyFill="1" applyBorder="1" applyAlignment="1">
      <alignment horizontal="center" vertical="center" wrapText="1"/>
    </xf>
    <xf numFmtId="0" fontId="99" fillId="20" borderId="0" xfId="0" applyFont="1" applyFill="1" applyAlignment="1">
      <alignment horizontal="center" vertical="center" wrapText="1"/>
    </xf>
    <xf numFmtId="0" fontId="99" fillId="20" borderId="92" xfId="0" applyFont="1" applyFill="1" applyBorder="1" applyAlignment="1">
      <alignment horizontal="center" vertical="center" wrapText="1"/>
    </xf>
    <xf numFmtId="206" fontId="102" fillId="0" borderId="90" xfId="0" applyNumberFormat="1" applyFont="1" applyBorder="1" applyAlignment="1">
      <alignment horizontal="center" vertical="center"/>
    </xf>
    <xf numFmtId="2" fontId="102" fillId="0" borderId="90" xfId="0" applyNumberFormat="1" applyFont="1" applyBorder="1" applyAlignment="1">
      <alignment horizontal="right" vertical="center" wrapText="1"/>
    </xf>
    <xf numFmtId="0" fontId="102" fillId="7" borderId="97" xfId="0" applyFont="1" applyFill="1" applyBorder="1" applyAlignment="1">
      <alignment horizontal="left" vertical="center" wrapText="1"/>
    </xf>
    <xf numFmtId="0" fontId="127" fillId="7" borderId="97" xfId="0" applyFont="1" applyFill="1" applyBorder="1"/>
    <xf numFmtId="0" fontId="127" fillId="7" borderId="91" xfId="0" applyFont="1" applyFill="1" applyBorder="1"/>
    <xf numFmtId="0" fontId="127" fillId="7" borderId="97" xfId="0" applyFont="1" applyFill="1" applyBorder="1" applyAlignment="1">
      <alignment horizontal="left" vertical="center" wrapText="1"/>
    </xf>
    <xf numFmtId="0" fontId="127" fillId="0" borderId="88" xfId="0" applyFont="1" applyBorder="1"/>
    <xf numFmtId="0" fontId="127" fillId="0" borderId="89" xfId="0" applyFont="1" applyBorder="1"/>
    <xf numFmtId="0" fontId="127" fillId="0" borderId="92" xfId="0" applyFont="1" applyBorder="1"/>
    <xf numFmtId="0" fontId="127" fillId="0" borderId="0" xfId="0" applyFont="1"/>
    <xf numFmtId="0" fontId="127" fillId="0" borderId="93" xfId="0" applyFont="1" applyBorder="1"/>
    <xf numFmtId="0" fontId="127" fillId="0" borderId="94" xfId="0" applyFont="1" applyBorder="1"/>
    <xf numFmtId="0" fontId="127" fillId="0" borderId="95" xfId="0" applyFont="1" applyBorder="1"/>
    <xf numFmtId="0" fontId="127" fillId="0" borderId="96" xfId="0" applyFont="1" applyBorder="1"/>
    <xf numFmtId="0" fontId="127" fillId="0" borderId="91" xfId="0" applyFont="1" applyBorder="1"/>
    <xf numFmtId="0" fontId="127" fillId="0" borderId="97" xfId="0" applyFont="1" applyBorder="1"/>
    <xf numFmtId="0" fontId="149" fillId="0" borderId="27" xfId="0" applyFont="1" applyBorder="1" applyAlignment="1">
      <alignment horizontal="left" vertical="center" wrapText="1"/>
    </xf>
    <xf numFmtId="0" fontId="149" fillId="0" borderId="25" xfId="0" applyFont="1" applyBorder="1" applyAlignment="1">
      <alignment horizontal="left" vertical="center" wrapText="1"/>
    </xf>
    <xf numFmtId="165" fontId="0" fillId="13" borderId="58" xfId="6" applyFont="1" applyFill="1" applyBorder="1" applyAlignment="1">
      <alignment horizontal="center" vertical="center" wrapText="1"/>
    </xf>
    <xf numFmtId="165" fontId="0" fillId="13" borderId="61" xfId="6" applyFont="1" applyFill="1" applyBorder="1" applyAlignment="1">
      <alignment horizontal="center" vertical="center" wrapText="1"/>
    </xf>
    <xf numFmtId="165" fontId="0" fillId="13" borderId="43" xfId="6" applyFont="1" applyFill="1" applyBorder="1" applyAlignment="1">
      <alignment horizontal="center" vertical="center" wrapText="1"/>
    </xf>
    <xf numFmtId="165" fontId="0" fillId="0" borderId="58" xfId="6" applyFont="1" applyBorder="1" applyAlignment="1">
      <alignment horizontal="center" vertical="center" wrapText="1"/>
    </xf>
    <xf numFmtId="165" fontId="0" fillId="0" borderId="61" xfId="6" applyFont="1" applyBorder="1" applyAlignment="1">
      <alignment horizontal="center" vertical="center" wrapText="1"/>
    </xf>
    <xf numFmtId="165" fontId="0" fillId="0" borderId="43" xfId="6" applyFont="1" applyBorder="1" applyAlignment="1">
      <alignment horizontal="center" vertical="center" wrapText="1"/>
    </xf>
    <xf numFmtId="0" fontId="10" fillId="0" borderId="29" xfId="0" applyFont="1" applyBorder="1" applyAlignment="1">
      <alignment horizontal="center" vertical="center" wrapText="1"/>
    </xf>
    <xf numFmtId="0" fontId="0" fillId="0" borderId="30" xfId="0" applyBorder="1" applyAlignment="1">
      <alignment horizontal="center" vertical="center" wrapText="1"/>
    </xf>
    <xf numFmtId="0" fontId="10" fillId="0" borderId="7" xfId="0" applyFont="1" applyBorder="1" applyAlignment="1">
      <alignment horizontal="center" vertical="center"/>
    </xf>
    <xf numFmtId="0" fontId="0" fillId="0" borderId="7" xfId="0" applyBorder="1" applyAlignment="1">
      <alignment horizontal="center" vertical="center"/>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51" fillId="6" borderId="5" xfId="0" applyFont="1" applyFill="1" applyBorder="1" applyAlignment="1">
      <alignment horizontal="center" vertical="center" wrapText="1"/>
    </xf>
    <xf numFmtId="0" fontId="149" fillId="0" borderId="32" xfId="0" applyFont="1" applyBorder="1" applyAlignment="1">
      <alignment horizontal="left" vertical="center" wrapText="1"/>
    </xf>
    <xf numFmtId="0" fontId="149" fillId="0" borderId="33" xfId="0" applyFont="1" applyBorder="1" applyAlignment="1">
      <alignment horizontal="left" vertical="center" wrapText="1"/>
    </xf>
    <xf numFmtId="0" fontId="10" fillId="0" borderId="29" xfId="0" applyFont="1" applyBorder="1" applyAlignment="1">
      <alignment horizontal="center" vertical="center"/>
    </xf>
    <xf numFmtId="0" fontId="0" fillId="0" borderId="30" xfId="0" applyBorder="1" applyAlignment="1">
      <alignment horizontal="center" vertical="center"/>
    </xf>
    <xf numFmtId="0" fontId="106" fillId="0" borderId="59" xfId="62" applyFont="1" applyBorder="1" applyAlignment="1">
      <alignment horizontal="left" vertical="top"/>
    </xf>
    <xf numFmtId="0" fontId="106" fillId="0" borderId="60" xfId="62" applyFont="1" applyBorder="1" applyAlignment="1">
      <alignment horizontal="left" vertical="top"/>
    </xf>
    <xf numFmtId="0" fontId="106" fillId="0" borderId="27" xfId="62" applyFont="1" applyBorder="1" applyAlignment="1">
      <alignment horizontal="left" vertical="top"/>
    </xf>
    <xf numFmtId="0" fontId="106" fillId="0" borderId="25" xfId="62" applyFont="1" applyBorder="1" applyAlignment="1">
      <alignment horizontal="left" vertical="top"/>
    </xf>
    <xf numFmtId="0" fontId="88" fillId="0" borderId="60" xfId="62" applyFont="1" applyBorder="1" applyAlignment="1">
      <alignment horizontal="center"/>
    </xf>
    <xf numFmtId="0" fontId="106" fillId="0" borderId="25" xfId="62" applyFont="1" applyBorder="1" applyAlignment="1">
      <alignment horizontal="center"/>
    </xf>
    <xf numFmtId="0" fontId="88" fillId="0" borderId="25" xfId="62" applyFont="1" applyBorder="1" applyAlignment="1">
      <alignment horizontal="center"/>
    </xf>
    <xf numFmtId="0" fontId="106" fillId="0" borderId="25" xfId="62" applyFont="1" applyBorder="1" applyAlignment="1">
      <alignment vertical="top"/>
    </xf>
    <xf numFmtId="0" fontId="106" fillId="0" borderId="7" xfId="62" applyFont="1" applyBorder="1" applyAlignment="1">
      <alignment horizontal="center"/>
    </xf>
    <xf numFmtId="0" fontId="106" fillId="0" borderId="0" xfId="62" applyFont="1" applyAlignment="1">
      <alignment horizontal="center"/>
    </xf>
    <xf numFmtId="0" fontId="106" fillId="0" borderId="4" xfId="62" applyFont="1" applyBorder="1" applyAlignment="1">
      <alignment horizontal="center"/>
    </xf>
    <xf numFmtId="0" fontId="106" fillId="0" borderId="5" xfId="62" applyFont="1" applyBorder="1" applyAlignment="1">
      <alignment horizontal="center"/>
    </xf>
    <xf numFmtId="0" fontId="106" fillId="8" borderId="25" xfId="0" applyFont="1" applyFill="1" applyBorder="1" applyAlignment="1">
      <alignment horizontal="left" vertical="center" wrapText="1"/>
    </xf>
    <xf numFmtId="0" fontId="46" fillId="8" borderId="25" xfId="0" applyFont="1" applyFill="1" applyBorder="1" applyAlignment="1">
      <alignment horizontal="center" vertical="center"/>
    </xf>
    <xf numFmtId="0" fontId="76" fillId="8" borderId="25" xfId="0" applyFont="1" applyFill="1" applyBorder="1" applyAlignment="1">
      <alignment horizontal="center" vertical="center" wrapText="1"/>
    </xf>
    <xf numFmtId="0" fontId="106" fillId="0" borderId="25" xfId="62" applyFont="1" applyBorder="1" applyAlignment="1">
      <alignment vertical="center" wrapText="1"/>
    </xf>
    <xf numFmtId="0" fontId="105" fillId="0" borderId="1" xfId="62" applyFont="1" applyBorder="1" applyAlignment="1">
      <alignment horizontal="center" vertical="center" wrapText="1"/>
    </xf>
    <xf numFmtId="0" fontId="105" fillId="0" borderId="2" xfId="62" applyFont="1" applyBorder="1" applyAlignment="1">
      <alignment horizontal="center" vertical="center" wrapText="1"/>
    </xf>
    <xf numFmtId="0" fontId="105" fillId="0" borderId="4" xfId="62" applyFont="1" applyBorder="1" applyAlignment="1">
      <alignment horizontal="center" vertical="center" wrapText="1"/>
    </xf>
    <xf numFmtId="0" fontId="105" fillId="0" borderId="5" xfId="62" applyFont="1" applyBorder="1" applyAlignment="1">
      <alignment horizontal="center" vertical="center" wrapText="1"/>
    </xf>
    <xf numFmtId="0" fontId="107" fillId="0" borderId="1" xfId="62" applyFont="1" applyBorder="1" applyAlignment="1">
      <alignment horizontal="center" vertical="center" wrapText="1"/>
    </xf>
    <xf numFmtId="0" fontId="107" fillId="0" borderId="2" xfId="62" applyFont="1" applyBorder="1" applyAlignment="1">
      <alignment horizontal="center" vertical="center" wrapText="1"/>
    </xf>
    <xf numFmtId="0" fontId="107" fillId="0" borderId="3" xfId="62" applyFont="1" applyBorder="1" applyAlignment="1">
      <alignment horizontal="center" vertical="center" wrapText="1"/>
    </xf>
    <xf numFmtId="0" fontId="107" fillId="0" borderId="4" xfId="62" applyFont="1" applyBorder="1" applyAlignment="1">
      <alignment horizontal="center" vertical="center" wrapText="1"/>
    </xf>
    <xf numFmtId="0" fontId="107" fillId="0" borderId="5" xfId="62" applyFont="1" applyBorder="1" applyAlignment="1">
      <alignment horizontal="center" vertical="center" wrapText="1"/>
    </xf>
    <xf numFmtId="0" fontId="107" fillId="0" borderId="6" xfId="62" applyFont="1" applyBorder="1" applyAlignment="1">
      <alignment horizontal="center" vertical="center" wrapText="1"/>
    </xf>
    <xf numFmtId="0" fontId="105" fillId="0" borderId="36" xfId="62" applyFont="1" applyBorder="1" applyAlignment="1">
      <alignment horizontal="center" vertical="center" wrapText="1"/>
    </xf>
    <xf numFmtId="0" fontId="105" fillId="0" borderId="62" xfId="62" applyFont="1" applyBorder="1" applyAlignment="1">
      <alignment horizontal="center" vertical="center" wrapText="1"/>
    </xf>
    <xf numFmtId="0" fontId="106" fillId="0" borderId="59" xfId="62" applyFont="1" applyBorder="1" applyAlignment="1">
      <alignment horizontal="left" vertical="center"/>
    </xf>
    <xf numFmtId="0" fontId="106" fillId="0" borderId="60" xfId="62" applyFont="1" applyBorder="1" applyAlignment="1">
      <alignment horizontal="left" vertical="center"/>
    </xf>
    <xf numFmtId="0" fontId="106" fillId="0" borderId="60" xfId="62" applyFont="1" applyBorder="1" applyAlignment="1">
      <alignment horizontal="center"/>
    </xf>
    <xf numFmtId="0" fontId="106" fillId="0" borderId="61" xfId="62" applyFont="1" applyBorder="1" applyAlignment="1">
      <alignment horizontal="center"/>
    </xf>
    <xf numFmtId="0" fontId="106" fillId="0" borderId="53" xfId="62" applyFont="1" applyBorder="1" applyAlignment="1">
      <alignment horizontal="justify" vertical="center" wrapText="1"/>
    </xf>
    <xf numFmtId="0" fontId="106" fillId="0" borderId="37" xfId="62" applyFont="1" applyBorder="1" applyAlignment="1">
      <alignment horizontal="justify" vertical="center" wrapText="1"/>
    </xf>
    <xf numFmtId="0" fontId="106" fillId="0" borderId="26" xfId="62" applyFont="1" applyBorder="1" applyAlignment="1">
      <alignment horizontal="justify" vertical="center" wrapText="1"/>
    </xf>
    <xf numFmtId="0" fontId="106" fillId="0" borderId="28" xfId="62" applyFont="1" applyBorder="1" applyAlignment="1">
      <alignment horizontal="center"/>
    </xf>
    <xf numFmtId="0" fontId="106" fillId="0" borderId="27" xfId="62" applyFont="1" applyBorder="1" applyAlignment="1">
      <alignment horizontal="left" vertical="center"/>
    </xf>
    <xf numFmtId="0" fontId="106" fillId="0" borderId="25" xfId="62" applyFont="1" applyBorder="1" applyAlignment="1">
      <alignment horizontal="left" vertical="center"/>
    </xf>
    <xf numFmtId="14" fontId="106" fillId="0" borderId="25" xfId="62" applyNumberFormat="1" applyFont="1" applyBorder="1" applyAlignment="1">
      <alignment horizontal="center"/>
    </xf>
    <xf numFmtId="0" fontId="106" fillId="0" borderId="53" xfId="62" applyFont="1" applyBorder="1" applyAlignment="1">
      <alignment horizontal="center" vertical="center" wrapText="1"/>
    </xf>
    <xf numFmtId="0" fontId="106" fillId="0" borderId="37" xfId="62" applyFont="1" applyBorder="1" applyAlignment="1">
      <alignment horizontal="center" vertical="center" wrapText="1"/>
    </xf>
    <xf numFmtId="0" fontId="106" fillId="0" borderId="79" xfId="62" applyFont="1" applyBorder="1" applyAlignment="1">
      <alignment horizontal="center" vertical="center" wrapText="1"/>
    </xf>
    <xf numFmtId="0" fontId="106" fillId="0" borderId="26" xfId="62" applyFont="1" applyBorder="1" applyAlignment="1">
      <alignment horizontal="center" vertical="center" wrapText="1"/>
    </xf>
    <xf numFmtId="0" fontId="106" fillId="0" borderId="80" xfId="62" applyFont="1" applyBorder="1" applyAlignment="1">
      <alignment horizontal="center" vertical="center"/>
    </xf>
    <xf numFmtId="0" fontId="106" fillId="0" borderId="78" xfId="62" applyFont="1" applyBorder="1" applyAlignment="1">
      <alignment horizontal="center" vertical="center"/>
    </xf>
    <xf numFmtId="0" fontId="106" fillId="0" borderId="0" xfId="62" applyFont="1" applyAlignment="1">
      <alignment horizontal="center" vertical="center"/>
    </xf>
    <xf numFmtId="0" fontId="106" fillId="0" borderId="35" xfId="62" applyFont="1" applyBorder="1" applyAlignment="1">
      <alignment horizontal="center" vertical="center"/>
    </xf>
    <xf numFmtId="0" fontId="106" fillId="0" borderId="72" xfId="62" applyFont="1" applyBorder="1" applyAlignment="1">
      <alignment horizontal="center" vertical="center"/>
    </xf>
    <xf numFmtId="0" fontId="106" fillId="0" borderId="51" xfId="62" applyFont="1" applyBorder="1" applyAlignment="1">
      <alignment horizontal="center" vertical="center"/>
    </xf>
    <xf numFmtId="0" fontId="106" fillId="0" borderId="102" xfId="62" applyFont="1" applyBorder="1" applyAlignment="1">
      <alignment horizontal="center"/>
    </xf>
    <xf numFmtId="0" fontId="106" fillId="0" borderId="80" xfId="62" applyFont="1" applyBorder="1" applyAlignment="1">
      <alignment horizontal="center"/>
    </xf>
    <xf numFmtId="0" fontId="106" fillId="0" borderId="78" xfId="62" applyFont="1" applyBorder="1" applyAlignment="1">
      <alignment horizontal="center"/>
    </xf>
    <xf numFmtId="0" fontId="106" fillId="0" borderId="69" xfId="62" applyFont="1" applyBorder="1" applyAlignment="1">
      <alignment horizontal="center"/>
    </xf>
    <xf numFmtId="0" fontId="106" fillId="0" borderId="72" xfId="62" applyFont="1" applyBorder="1" applyAlignment="1">
      <alignment horizontal="center"/>
    </xf>
    <xf numFmtId="0" fontId="106" fillId="0" borderId="51" xfId="62" applyFont="1" applyBorder="1" applyAlignment="1">
      <alignment horizontal="center"/>
    </xf>
    <xf numFmtId="0" fontId="106" fillId="0" borderId="57" xfId="62" applyFont="1" applyBorder="1" applyAlignment="1">
      <alignment horizontal="center" vertical="center" wrapText="1"/>
    </xf>
    <xf numFmtId="0" fontId="106" fillId="0" borderId="41" xfId="62" applyFont="1" applyBorder="1" applyAlignment="1">
      <alignment horizontal="center" vertical="center" wrapText="1"/>
    </xf>
    <xf numFmtId="0" fontId="106" fillId="0" borderId="60" xfId="62" applyFont="1" applyBorder="1" applyAlignment="1">
      <alignment horizontal="center" vertical="center" wrapText="1"/>
    </xf>
    <xf numFmtId="0" fontId="106" fillId="0" borderId="58" xfId="62" applyFont="1" applyBorder="1" applyAlignment="1">
      <alignment horizontal="center" vertical="center" wrapText="1"/>
    </xf>
    <xf numFmtId="0" fontId="106" fillId="0" borderId="54" xfId="62" applyFont="1" applyBorder="1" applyAlignment="1">
      <alignment horizontal="center" vertical="center" wrapText="1"/>
    </xf>
    <xf numFmtId="0" fontId="106" fillId="0" borderId="61" xfId="62" applyFont="1" applyBorder="1" applyAlignment="1">
      <alignment horizontal="center" vertical="center" wrapText="1"/>
    </xf>
    <xf numFmtId="0" fontId="91" fillId="0" borderId="102" xfId="0" applyFont="1" applyBorder="1" applyAlignment="1">
      <alignment horizontal="center" vertical="center"/>
    </xf>
    <xf numFmtId="0" fontId="91" fillId="0" borderId="80" xfId="0" applyFont="1" applyBorder="1" applyAlignment="1">
      <alignment horizontal="center" vertical="center"/>
    </xf>
    <xf numFmtId="0" fontId="91" fillId="0" borderId="78" xfId="0" applyFont="1" applyBorder="1" applyAlignment="1">
      <alignment horizontal="center" vertical="center"/>
    </xf>
    <xf numFmtId="0" fontId="91" fillId="0" borderId="69" xfId="0" applyFont="1" applyBorder="1" applyAlignment="1">
      <alignment horizontal="center" vertical="center"/>
    </xf>
    <xf numFmtId="0" fontId="91" fillId="0" borderId="72" xfId="0" applyFont="1" applyBorder="1" applyAlignment="1">
      <alignment horizontal="center" vertical="center"/>
    </xf>
    <xf numFmtId="0" fontId="91" fillId="0" borderId="51" xfId="0" applyFont="1" applyBorder="1" applyAlignment="1">
      <alignment horizontal="center" vertical="center"/>
    </xf>
    <xf numFmtId="0" fontId="106" fillId="0" borderId="102" xfId="62" applyFont="1" applyBorder="1" applyAlignment="1">
      <alignment horizontal="center" wrapText="1"/>
    </xf>
    <xf numFmtId="0" fontId="106" fillId="0" borderId="80" xfId="62" applyFont="1" applyBorder="1" applyAlignment="1">
      <alignment horizontal="center" wrapText="1"/>
    </xf>
    <xf numFmtId="0" fontId="106" fillId="0" borderId="78" xfId="62" applyFont="1" applyBorder="1" applyAlignment="1">
      <alignment horizontal="center" wrapText="1"/>
    </xf>
    <xf numFmtId="0" fontId="106" fillId="0" borderId="69" xfId="62" applyFont="1" applyBorder="1" applyAlignment="1">
      <alignment horizontal="center" wrapText="1"/>
    </xf>
    <xf numFmtId="0" fontId="106" fillId="0" borderId="72" xfId="62" applyFont="1" applyBorder="1" applyAlignment="1">
      <alignment horizontal="center" wrapText="1"/>
    </xf>
    <xf numFmtId="0" fontId="106" fillId="0" borderId="51" xfId="62" applyFont="1" applyBorder="1" applyAlignment="1">
      <alignment horizontal="center" wrapText="1"/>
    </xf>
    <xf numFmtId="0" fontId="88" fillId="0" borderId="102" xfId="62" applyFont="1" applyBorder="1" applyAlignment="1">
      <alignment horizontal="center" vertical="center"/>
    </xf>
    <xf numFmtId="0" fontId="88" fillId="0" borderId="80" xfId="62" applyFont="1" applyBorder="1" applyAlignment="1">
      <alignment horizontal="center" vertical="center"/>
    </xf>
    <xf numFmtId="0" fontId="88" fillId="0" borderId="69" xfId="62" applyFont="1" applyBorder="1" applyAlignment="1">
      <alignment horizontal="center" vertical="center"/>
    </xf>
    <xf numFmtId="0" fontId="88" fillId="0" borderId="72" xfId="62" applyFont="1" applyBorder="1" applyAlignment="1">
      <alignment horizontal="center" vertical="center"/>
    </xf>
    <xf numFmtId="0" fontId="106" fillId="8" borderId="102" xfId="0" applyFont="1" applyFill="1" applyBorder="1" applyAlignment="1">
      <alignment horizontal="center" vertical="center" wrapText="1"/>
    </xf>
    <xf numFmtId="0" fontId="106" fillId="8" borderId="78" xfId="0" applyFont="1" applyFill="1" applyBorder="1" applyAlignment="1">
      <alignment horizontal="center" vertical="center" wrapText="1"/>
    </xf>
    <xf numFmtId="0" fontId="106" fillId="8" borderId="81" xfId="0" applyFont="1" applyFill="1" applyBorder="1" applyAlignment="1">
      <alignment horizontal="center" vertical="center" wrapText="1"/>
    </xf>
    <xf numFmtId="0" fontId="106" fillId="8" borderId="35" xfId="0" applyFont="1" applyFill="1" applyBorder="1" applyAlignment="1">
      <alignment horizontal="center" vertical="center" wrapText="1"/>
    </xf>
    <xf numFmtId="0" fontId="106" fillId="8" borderId="69" xfId="0" applyFont="1" applyFill="1" applyBorder="1" applyAlignment="1">
      <alignment horizontal="center" vertical="center" wrapText="1"/>
    </xf>
    <xf numFmtId="0" fontId="106" fillId="8" borderId="51" xfId="0" applyFont="1" applyFill="1" applyBorder="1" applyAlignment="1">
      <alignment horizontal="center" vertical="center" wrapText="1"/>
    </xf>
    <xf numFmtId="0" fontId="106" fillId="8" borderId="79" xfId="0" applyFont="1" applyFill="1" applyBorder="1" applyAlignment="1">
      <alignment horizontal="center" vertical="center" wrapText="1"/>
    </xf>
    <xf numFmtId="0" fontId="106" fillId="8" borderId="26" xfId="0" applyFont="1" applyFill="1" applyBorder="1" applyAlignment="1">
      <alignment horizontal="center" vertical="center" wrapText="1"/>
    </xf>
    <xf numFmtId="0" fontId="106" fillId="0" borderId="8" xfId="62" applyFont="1" applyBorder="1" applyAlignment="1">
      <alignment horizontal="center"/>
    </xf>
    <xf numFmtId="0" fontId="106" fillId="0" borderId="6" xfId="62" applyFont="1" applyBorder="1" applyAlignment="1">
      <alignment horizontal="center"/>
    </xf>
    <xf numFmtId="0" fontId="106" fillId="0" borderId="53" xfId="62" applyFont="1" applyBorder="1" applyAlignment="1">
      <alignment horizontal="left" vertical="center" wrapText="1"/>
    </xf>
    <xf numFmtId="0" fontId="106" fillId="0" borderId="26" xfId="62" applyFont="1" applyBorder="1" applyAlignment="1">
      <alignment horizontal="left" vertical="center" wrapText="1"/>
    </xf>
    <xf numFmtId="0" fontId="106" fillId="0" borderId="47" xfId="62" applyFont="1" applyBorder="1" applyAlignment="1">
      <alignment horizontal="left" vertical="center" wrapText="1"/>
    </xf>
    <xf numFmtId="0" fontId="106" fillId="0" borderId="49" xfId="62" applyFont="1" applyBorder="1" applyAlignment="1">
      <alignment horizontal="left" vertical="center" wrapText="1"/>
    </xf>
    <xf numFmtId="0" fontId="106" fillId="0" borderId="59" xfId="62" applyFont="1" applyBorder="1" applyAlignment="1">
      <alignment horizontal="left" vertical="top" wrapText="1"/>
    </xf>
    <xf numFmtId="0" fontId="106" fillId="0" borderId="60" xfId="62" applyFont="1" applyBorder="1" applyAlignment="1">
      <alignment horizontal="left" vertical="top" wrapText="1"/>
    </xf>
    <xf numFmtId="0" fontId="106" fillId="0" borderId="27" xfId="62" applyFont="1" applyBorder="1" applyAlignment="1">
      <alignment horizontal="left" vertical="top" wrapText="1"/>
    </xf>
    <xf numFmtId="0" fontId="106" fillId="0" borderId="25" xfId="62" applyFont="1" applyBorder="1" applyAlignment="1">
      <alignment horizontal="left" vertical="top" wrapText="1"/>
    </xf>
    <xf numFmtId="0" fontId="106" fillId="8" borderId="25" xfId="0" applyFont="1" applyFill="1" applyBorder="1" applyAlignment="1">
      <alignment horizontal="center" vertical="center" wrapText="1"/>
    </xf>
    <xf numFmtId="0" fontId="46" fillId="8" borderId="25" xfId="0" applyFont="1" applyFill="1" applyBorder="1" applyAlignment="1">
      <alignment horizontal="center" vertical="center" wrapText="1"/>
    </xf>
    <xf numFmtId="0" fontId="46" fillId="8" borderId="79" xfId="0" applyFont="1" applyFill="1" applyBorder="1" applyAlignment="1">
      <alignment horizontal="left" vertical="center" wrapText="1"/>
    </xf>
    <xf numFmtId="0" fontId="46" fillId="8" borderId="26" xfId="0" applyFont="1" applyFill="1" applyBorder="1" applyAlignment="1">
      <alignment horizontal="left" vertical="center" wrapText="1"/>
    </xf>
    <xf numFmtId="0" fontId="46" fillId="8" borderId="79" xfId="0" applyFont="1" applyFill="1" applyBorder="1" applyAlignment="1">
      <alignment horizontal="left" vertical="center"/>
    </xf>
    <xf numFmtId="0" fontId="46" fillId="8" borderId="26" xfId="0" applyFont="1" applyFill="1" applyBorder="1" applyAlignment="1">
      <alignment horizontal="left" vertical="center"/>
    </xf>
    <xf numFmtId="0" fontId="46" fillId="8" borderId="102" xfId="0" applyFont="1" applyFill="1" applyBorder="1" applyAlignment="1">
      <alignment horizontal="center" vertical="center"/>
    </xf>
    <xf numFmtId="0" fontId="46" fillId="8" borderId="78" xfId="0" applyFont="1" applyFill="1" applyBorder="1" applyAlignment="1">
      <alignment horizontal="center" vertical="center"/>
    </xf>
    <xf numFmtId="0" fontId="46" fillId="8" borderId="81" xfId="0" applyFont="1" applyFill="1" applyBorder="1" applyAlignment="1">
      <alignment horizontal="center" vertical="center"/>
    </xf>
    <xf numFmtId="0" fontId="46" fillId="8" borderId="35" xfId="0" applyFont="1" applyFill="1" applyBorder="1" applyAlignment="1">
      <alignment horizontal="center" vertical="center"/>
    </xf>
    <xf numFmtId="0" fontId="46" fillId="8" borderId="69" xfId="0" applyFont="1" applyFill="1" applyBorder="1" applyAlignment="1">
      <alignment horizontal="center" vertical="center"/>
    </xf>
    <xf numFmtId="0" fontId="46" fillId="8" borderId="51" xfId="0" applyFont="1" applyFill="1" applyBorder="1" applyAlignment="1">
      <alignment horizontal="center" vertical="center"/>
    </xf>
    <xf numFmtId="0" fontId="46" fillId="8" borderId="102" xfId="0" applyFont="1" applyFill="1" applyBorder="1" applyAlignment="1">
      <alignment horizontal="center" vertical="center" wrapText="1"/>
    </xf>
    <xf numFmtId="0" fontId="46" fillId="8" borderId="78" xfId="0" applyFont="1" applyFill="1" applyBorder="1" applyAlignment="1">
      <alignment horizontal="center" vertical="center" wrapText="1"/>
    </xf>
    <xf numFmtId="0" fontId="46" fillId="8" borderId="81" xfId="0" applyFont="1" applyFill="1" applyBorder="1" applyAlignment="1">
      <alignment horizontal="center" vertical="center" wrapText="1"/>
    </xf>
    <xf numFmtId="0" fontId="46" fillId="8" borderId="35" xfId="0" applyFont="1" applyFill="1" applyBorder="1" applyAlignment="1">
      <alignment horizontal="center" vertical="center" wrapText="1"/>
    </xf>
    <xf numFmtId="0" fontId="46" fillId="8" borderId="69" xfId="0" applyFont="1" applyFill="1" applyBorder="1" applyAlignment="1">
      <alignment horizontal="center" vertical="center" wrapText="1"/>
    </xf>
    <xf numFmtId="0" fontId="46" fillId="8" borderId="51" xfId="0" applyFont="1" applyFill="1" applyBorder="1" applyAlignment="1">
      <alignment horizontal="center" vertical="center" wrapText="1"/>
    </xf>
    <xf numFmtId="0" fontId="76" fillId="8" borderId="102" xfId="0" applyFont="1" applyFill="1" applyBorder="1" applyAlignment="1">
      <alignment horizontal="center" vertical="center" wrapText="1"/>
    </xf>
    <xf numFmtId="0" fontId="76" fillId="8" borderId="78" xfId="0" applyFont="1" applyFill="1" applyBorder="1" applyAlignment="1">
      <alignment horizontal="center" vertical="center" wrapText="1"/>
    </xf>
    <xf numFmtId="0" fontId="76" fillId="8" borderId="81" xfId="0" applyFont="1" applyFill="1" applyBorder="1" applyAlignment="1">
      <alignment horizontal="center" vertical="center" wrapText="1"/>
    </xf>
    <xf numFmtId="0" fontId="76" fillId="8" borderId="35" xfId="0" applyFont="1" applyFill="1" applyBorder="1" applyAlignment="1">
      <alignment horizontal="center" vertical="center" wrapText="1"/>
    </xf>
    <xf numFmtId="0" fontId="76" fillId="8" borderId="69" xfId="0" applyFont="1" applyFill="1" applyBorder="1" applyAlignment="1">
      <alignment horizontal="center" vertical="center" wrapText="1"/>
    </xf>
    <xf numFmtId="0" fontId="76" fillId="8" borderId="51" xfId="0" applyFont="1" applyFill="1" applyBorder="1" applyAlignment="1">
      <alignment horizontal="center" vertical="center" wrapText="1"/>
    </xf>
    <xf numFmtId="0" fontId="106" fillId="0" borderId="70" xfId="62" applyFont="1" applyBorder="1" applyAlignment="1">
      <alignment horizontal="center" vertical="center" wrapText="1"/>
    </xf>
    <xf numFmtId="0" fontId="106" fillId="0" borderId="78" xfId="62" applyFont="1" applyBorder="1" applyAlignment="1">
      <alignment horizontal="center" vertical="center" wrapText="1"/>
    </xf>
    <xf numFmtId="0" fontId="106" fillId="0" borderId="50" xfId="62" applyFont="1" applyBorder="1" applyAlignment="1">
      <alignment horizontal="center" vertical="center" wrapText="1"/>
    </xf>
    <xf numFmtId="0" fontId="106" fillId="0" borderId="51" xfId="62" applyFont="1" applyBorder="1" applyAlignment="1">
      <alignment horizontal="center" vertical="center" wrapText="1"/>
    </xf>
    <xf numFmtId="0" fontId="106" fillId="0" borderId="7" xfId="62" applyFont="1" applyBorder="1" applyAlignment="1">
      <alignment horizontal="center" vertical="center" wrapText="1"/>
    </xf>
    <xf numFmtId="0" fontId="106" fillId="0" borderId="35" xfId="62" applyFont="1" applyBorder="1" applyAlignment="1">
      <alignment horizontal="center" vertical="center" wrapText="1"/>
    </xf>
    <xf numFmtId="0" fontId="106" fillId="0" borderId="25" xfId="62" applyFont="1" applyBorder="1" applyAlignment="1">
      <alignment horizontal="center" vertical="center" wrapText="1"/>
    </xf>
    <xf numFmtId="0" fontId="102" fillId="0" borderId="90" xfId="0" applyFont="1" applyBorder="1" applyAlignment="1">
      <alignment horizontal="left"/>
    </xf>
    <xf numFmtId="208" fontId="102" fillId="0" borderId="90" xfId="0" applyNumberFormat="1" applyFont="1" applyBorder="1" applyAlignment="1">
      <alignment horizontal="center"/>
    </xf>
    <xf numFmtId="208" fontId="102" fillId="0" borderId="90" xfId="0" applyNumberFormat="1" applyFont="1" applyBorder="1" applyAlignment="1">
      <alignment horizontal="center" vertical="center"/>
    </xf>
    <xf numFmtId="14" fontId="100" fillId="21" borderId="87" xfId="0" applyNumberFormat="1" applyFont="1" applyFill="1" applyBorder="1" applyAlignment="1">
      <alignment horizontal="center" vertical="center" wrapText="1"/>
    </xf>
    <xf numFmtId="0" fontId="103" fillId="23" borderId="90" xfId="0" applyFont="1" applyFill="1" applyBorder="1" applyAlignment="1">
      <alignment horizontal="center" vertical="center"/>
    </xf>
    <xf numFmtId="0" fontId="15" fillId="0" borderId="14" xfId="0" applyFont="1" applyBorder="1" applyAlignment="1">
      <alignment horizontal="right" vertical="center" wrapText="1"/>
    </xf>
    <xf numFmtId="0" fontId="15" fillId="0" borderId="15" xfId="0" applyFont="1" applyBorder="1" applyAlignment="1">
      <alignment horizontal="right" vertical="center" wrapText="1"/>
    </xf>
    <xf numFmtId="0" fontId="15" fillId="0" borderId="22" xfId="0" applyFont="1" applyBorder="1" applyAlignment="1">
      <alignment horizontal="left" vertical="center"/>
    </xf>
    <xf numFmtId="0" fontId="15" fillId="0" borderId="23" xfId="0" applyFont="1" applyBorder="1" applyAlignment="1">
      <alignment horizontal="left" vertical="center"/>
    </xf>
    <xf numFmtId="0" fontId="15" fillId="0" borderId="24" xfId="0" applyFont="1" applyBorder="1" applyAlignment="1">
      <alignment horizontal="left" vertical="center"/>
    </xf>
    <xf numFmtId="4" fontId="15" fillId="0" borderId="1" xfId="0" applyNumberFormat="1" applyFont="1" applyBorder="1" applyAlignment="1">
      <alignment horizontal="center" vertical="center"/>
    </xf>
    <xf numFmtId="0" fontId="15" fillId="0" borderId="2" xfId="0" applyFont="1" applyBorder="1" applyAlignment="1">
      <alignment vertical="center"/>
    </xf>
    <xf numFmtId="0" fontId="15" fillId="0" borderId="3" xfId="0" applyFont="1" applyBorder="1" applyAlignment="1">
      <alignment vertical="center"/>
    </xf>
    <xf numFmtId="4" fontId="14" fillId="0" borderId="13" xfId="0" applyNumberFormat="1" applyFont="1" applyBorder="1" applyAlignment="1">
      <alignment horizontal="center" vertical="justify" wrapText="1"/>
    </xf>
    <xf numFmtId="0" fontId="13" fillId="0" borderId="14" xfId="0" applyFont="1" applyBorder="1"/>
    <xf numFmtId="0" fontId="13" fillId="0" borderId="15" xfId="0" applyFont="1" applyBorder="1"/>
    <xf numFmtId="4" fontId="15" fillId="0" borderId="13" xfId="0" applyNumberFormat="1" applyFont="1" applyBorder="1" applyAlignment="1">
      <alignment horizontal="center" vertical="center" wrapText="1"/>
    </xf>
    <xf numFmtId="4" fontId="15" fillId="0" borderId="14" xfId="0" applyNumberFormat="1" applyFont="1" applyBorder="1" applyAlignment="1">
      <alignment horizontal="center" vertical="center" wrapText="1"/>
    </xf>
    <xf numFmtId="4" fontId="15" fillId="0" borderId="15" xfId="0" applyNumberFormat="1" applyFont="1" applyBorder="1" applyAlignment="1">
      <alignment horizontal="center" vertical="center" wrapText="1"/>
    </xf>
    <xf numFmtId="4" fontId="15" fillId="0" borderId="16" xfId="0" applyNumberFormat="1" applyFont="1" applyBorder="1" applyAlignment="1">
      <alignment horizontal="center" vertical="center" wrapText="1"/>
    </xf>
    <xf numFmtId="4" fontId="15" fillId="0" borderId="13" xfId="0" applyNumberFormat="1" applyFont="1" applyBorder="1" applyAlignment="1">
      <alignment horizontal="center" vertical="center"/>
    </xf>
    <xf numFmtId="0" fontId="15" fillId="0" borderId="14" xfId="0" applyFont="1" applyBorder="1" applyAlignment="1">
      <alignment vertical="center"/>
    </xf>
    <xf numFmtId="0" fontId="15" fillId="0" borderId="15" xfId="0" applyFont="1" applyBorder="1" applyAlignment="1">
      <alignment vertical="center"/>
    </xf>
    <xf numFmtId="0" fontId="93" fillId="0" borderId="25" xfId="35" applyFont="1" applyBorder="1" applyAlignment="1">
      <alignment horizontal="left" vertical="top" wrapText="1"/>
    </xf>
    <xf numFmtId="165" fontId="92" fillId="12" borderId="13" xfId="2" applyNumberFormat="1" applyFont="1" applyFill="1" applyBorder="1" applyAlignment="1">
      <alignment horizontal="center" vertical="center" wrapText="1"/>
    </xf>
    <xf numFmtId="165" fontId="92" fillId="12" borderId="14" xfId="2" applyNumberFormat="1" applyFont="1" applyFill="1" applyBorder="1" applyAlignment="1">
      <alignment horizontal="center" vertical="center" wrapText="1"/>
    </xf>
    <xf numFmtId="165" fontId="92" fillId="12" borderId="40" xfId="2" applyNumberFormat="1" applyFont="1" applyFill="1" applyBorder="1" applyAlignment="1">
      <alignment horizontal="center" vertical="center" wrapText="1"/>
    </xf>
    <xf numFmtId="0" fontId="93" fillId="0" borderId="25" xfId="35" applyFont="1" applyBorder="1" applyAlignment="1">
      <alignment horizontal="left" vertical="center" wrapText="1"/>
    </xf>
    <xf numFmtId="0" fontId="92" fillId="0" borderId="73" xfId="35" applyFont="1" applyBorder="1" applyAlignment="1">
      <alignment horizontal="right" vertical="center" wrapText="1"/>
    </xf>
    <xf numFmtId="0" fontId="92" fillId="0" borderId="38" xfId="35" applyFont="1" applyBorder="1" applyAlignment="1">
      <alignment horizontal="right" vertical="center" wrapText="1"/>
    </xf>
    <xf numFmtId="0" fontId="88" fillId="12" borderId="1" xfId="35" applyFont="1" applyFill="1" applyBorder="1" applyAlignment="1">
      <alignment horizontal="center" vertical="center" wrapText="1"/>
    </xf>
    <xf numFmtId="0" fontId="88" fillId="12" borderId="3" xfId="35" applyFont="1" applyFill="1" applyBorder="1" applyAlignment="1">
      <alignment horizontal="center" vertical="center" wrapText="1"/>
    </xf>
    <xf numFmtId="0" fontId="88" fillId="12" borderId="4" xfId="35" applyFont="1" applyFill="1" applyBorder="1" applyAlignment="1">
      <alignment horizontal="center" vertical="center" wrapText="1"/>
    </xf>
    <xf numFmtId="0" fontId="88" fillId="12" borderId="6" xfId="35" applyFont="1" applyFill="1" applyBorder="1" applyAlignment="1">
      <alignment horizontal="center" vertical="center" wrapText="1"/>
    </xf>
    <xf numFmtId="0" fontId="88" fillId="12" borderId="13" xfId="35" applyFont="1" applyFill="1" applyBorder="1" applyAlignment="1">
      <alignment horizontal="center" vertical="center" wrapText="1"/>
    </xf>
    <xf numFmtId="0" fontId="88" fillId="12" borderId="14" xfId="35" applyFont="1" applyFill="1" applyBorder="1" applyAlignment="1">
      <alignment horizontal="center" vertical="center" wrapText="1"/>
    </xf>
    <xf numFmtId="0" fontId="88" fillId="12" borderId="15" xfId="35" applyFont="1" applyFill="1" applyBorder="1" applyAlignment="1">
      <alignment horizontal="center" vertical="center" wrapText="1"/>
    </xf>
    <xf numFmtId="0" fontId="89" fillId="12" borderId="13" xfId="35" applyFont="1" applyFill="1" applyBorder="1" applyAlignment="1">
      <alignment horizontal="center" vertical="center" wrapText="1"/>
    </xf>
    <xf numFmtId="0" fontId="89" fillId="12" borderId="14" xfId="35" applyFont="1" applyFill="1" applyBorder="1" applyAlignment="1">
      <alignment horizontal="center" vertical="center" wrapText="1"/>
    </xf>
    <xf numFmtId="0" fontId="89" fillId="12" borderId="15" xfId="35" applyFont="1" applyFill="1" applyBorder="1" applyAlignment="1">
      <alignment horizontal="center" vertical="center" wrapText="1"/>
    </xf>
    <xf numFmtId="0" fontId="89" fillId="12" borderId="16" xfId="35" applyFont="1" applyFill="1" applyBorder="1" applyAlignment="1">
      <alignment horizontal="center" vertical="center"/>
    </xf>
    <xf numFmtId="0" fontId="89" fillId="13" borderId="38" xfId="35" applyFont="1" applyFill="1" applyBorder="1" applyAlignment="1">
      <alignment horizontal="center" vertical="center" wrapText="1"/>
    </xf>
    <xf numFmtId="0" fontId="93" fillId="0" borderId="30" xfId="35" applyFont="1" applyBorder="1" applyAlignment="1">
      <alignment horizontal="left" vertical="center" wrapText="1"/>
    </xf>
    <xf numFmtId="0" fontId="34" fillId="0" borderId="25" xfId="35" applyFont="1" applyBorder="1" applyAlignment="1">
      <alignment horizontal="left" vertical="top" wrapText="1"/>
    </xf>
    <xf numFmtId="0" fontId="10" fillId="13" borderId="7" xfId="62" applyFill="1" applyBorder="1" applyAlignment="1">
      <alignment horizontal="center"/>
    </xf>
    <xf numFmtId="0" fontId="10" fillId="13" borderId="8" xfId="62" applyFill="1" applyBorder="1" applyAlignment="1">
      <alignment horizontal="center"/>
    </xf>
    <xf numFmtId="0" fontId="10" fillId="13" borderId="4" xfId="62" applyFill="1" applyBorder="1" applyAlignment="1">
      <alignment horizontal="center"/>
    </xf>
    <xf numFmtId="0" fontId="10" fillId="13" borderId="6" xfId="62" applyFill="1" applyBorder="1" applyAlignment="1">
      <alignment horizontal="center"/>
    </xf>
    <xf numFmtId="0" fontId="28" fillId="13" borderId="13" xfId="65" applyFont="1" applyFill="1" applyBorder="1" applyAlignment="1">
      <alignment horizontal="center" vertical="center" wrapText="1"/>
    </xf>
    <xf numFmtId="0" fontId="28" fillId="13" borderId="14" xfId="65" applyFont="1" applyFill="1" applyBorder="1" applyAlignment="1">
      <alignment horizontal="center" vertical="center" wrapText="1"/>
    </xf>
    <xf numFmtId="0" fontId="28" fillId="13" borderId="15" xfId="65" applyFont="1" applyFill="1" applyBorder="1" applyAlignment="1">
      <alignment horizontal="center" vertical="center" wrapText="1"/>
    </xf>
    <xf numFmtId="3" fontId="87" fillId="0" borderId="0" xfId="65" applyNumberFormat="1" applyFont="1" applyAlignment="1">
      <alignment horizontal="center" vertical="center" wrapText="1"/>
    </xf>
    <xf numFmtId="3" fontId="28" fillId="0" borderId="13" xfId="65" applyNumberFormat="1" applyFont="1" applyBorder="1" applyAlignment="1">
      <alignment horizontal="center" vertical="center" wrapText="1"/>
    </xf>
    <xf numFmtId="3" fontId="28" fillId="0" borderId="14" xfId="65" applyNumberFormat="1" applyFont="1" applyBorder="1" applyAlignment="1">
      <alignment horizontal="center" vertical="center" wrapText="1"/>
    </xf>
    <xf numFmtId="3" fontId="28" fillId="0" borderId="15" xfId="65" applyNumberFormat="1" applyFont="1" applyBorder="1" applyAlignment="1">
      <alignment horizontal="center" vertical="center" wrapText="1"/>
    </xf>
    <xf numFmtId="0" fontId="83" fillId="0" borderId="38" xfId="69" applyFont="1" applyBorder="1" applyAlignment="1">
      <alignment horizontal="right" vertical="center" wrapText="1"/>
    </xf>
    <xf numFmtId="0" fontId="83" fillId="18" borderId="38" xfId="69" applyFont="1" applyFill="1" applyBorder="1" applyAlignment="1">
      <alignment horizontal="center" vertical="center" wrapText="1"/>
    </xf>
    <xf numFmtId="0" fontId="83" fillId="0" borderId="38" xfId="69" applyFont="1" applyBorder="1" applyAlignment="1">
      <alignment horizontal="center" vertical="center"/>
    </xf>
    <xf numFmtId="0" fontId="83" fillId="0" borderId="39" xfId="69" applyFont="1" applyBorder="1" applyAlignment="1">
      <alignment horizontal="center" vertical="center"/>
    </xf>
    <xf numFmtId="0" fontId="85" fillId="0" borderId="30" xfId="69" applyFont="1" applyBorder="1" applyAlignment="1">
      <alignment horizontal="left" vertical="center" wrapText="1"/>
    </xf>
    <xf numFmtId="0" fontId="85" fillId="0" borderId="25" xfId="69" applyFont="1" applyBorder="1" applyAlignment="1">
      <alignment horizontal="left" vertical="center" wrapText="1"/>
    </xf>
    <xf numFmtId="0" fontId="85" fillId="0" borderId="33" xfId="69" applyFont="1" applyBorder="1" applyAlignment="1">
      <alignment horizontal="left" vertical="center" wrapText="1"/>
    </xf>
    <xf numFmtId="169" fontId="96" fillId="0" borderId="0" xfId="65" applyNumberFormat="1" applyFont="1" applyAlignment="1">
      <alignment horizontal="center" vertical="center"/>
    </xf>
    <xf numFmtId="0" fontId="96" fillId="0" borderId="0" xfId="18" applyFont="1" applyAlignment="1">
      <alignment horizontal="center" vertical="top"/>
    </xf>
    <xf numFmtId="169" fontId="98" fillId="0" borderId="80" xfId="65" applyNumberFormat="1" applyFont="1" applyBorder="1" applyAlignment="1">
      <alignment horizontal="center" vertical="center"/>
    </xf>
    <xf numFmtId="0" fontId="120" fillId="20" borderId="25" xfId="0" applyFont="1" applyFill="1" applyBorder="1" applyAlignment="1">
      <alignment horizontal="center" vertical="center" wrapText="1"/>
    </xf>
    <xf numFmtId="0" fontId="120" fillId="20" borderId="25" xfId="0" applyFont="1" applyFill="1" applyBorder="1" applyAlignment="1">
      <alignment horizontal="center" vertical="center"/>
    </xf>
    <xf numFmtId="165" fontId="128" fillId="25" borderId="25" xfId="0" applyNumberFormat="1" applyFont="1" applyFill="1" applyBorder="1" applyAlignment="1">
      <alignment horizontal="center" vertical="center" wrapText="1"/>
    </xf>
    <xf numFmtId="14" fontId="129" fillId="21" borderId="25" xfId="0" applyNumberFormat="1" applyFont="1" applyFill="1" applyBorder="1" applyAlignment="1">
      <alignment horizontal="center" vertical="center" wrapText="1"/>
    </xf>
    <xf numFmtId="0" fontId="111" fillId="23" borderId="88" xfId="0" applyFont="1" applyFill="1" applyBorder="1" applyAlignment="1">
      <alignment horizontal="center" vertical="center"/>
    </xf>
    <xf numFmtId="0" fontId="111" fillId="23" borderId="89" xfId="0" applyFont="1" applyFill="1" applyBorder="1" applyAlignment="1">
      <alignment horizontal="center" vertical="center"/>
    </xf>
    <xf numFmtId="0" fontId="111" fillId="23" borderId="94" xfId="0" applyFont="1" applyFill="1" applyBorder="1" applyAlignment="1">
      <alignment horizontal="center" vertical="center"/>
    </xf>
    <xf numFmtId="0" fontId="111" fillId="23" borderId="95" xfId="0" applyFont="1" applyFill="1" applyBorder="1" applyAlignment="1">
      <alignment horizontal="center" vertical="center"/>
    </xf>
    <xf numFmtId="0" fontId="111" fillId="23" borderId="96" xfId="0" applyFont="1" applyFill="1" applyBorder="1" applyAlignment="1">
      <alignment horizontal="center" vertical="center"/>
    </xf>
    <xf numFmtId="206" fontId="99" fillId="20" borderId="90" xfId="0" applyNumberFormat="1" applyFont="1" applyFill="1" applyBorder="1" applyAlignment="1">
      <alignment horizontal="center" vertical="center" wrapText="1"/>
    </xf>
    <xf numFmtId="206" fontId="99" fillId="20" borderId="92" xfId="0" applyNumberFormat="1" applyFont="1" applyFill="1" applyBorder="1" applyAlignment="1">
      <alignment horizontal="center" vertical="center" wrapText="1"/>
    </xf>
    <xf numFmtId="0" fontId="103" fillId="0" borderId="90" xfId="0" applyFont="1" applyBorder="1" applyAlignment="1">
      <alignment vertical="center" wrapText="1"/>
    </xf>
    <xf numFmtId="0" fontId="102" fillId="0" borderId="90" xfId="0" applyFont="1" applyBorder="1" applyAlignment="1">
      <alignment vertical="center" wrapText="1"/>
    </xf>
    <xf numFmtId="206" fontId="102" fillId="0" borderId="90" xfId="0" applyNumberFormat="1" applyFont="1" applyBorder="1" applyAlignment="1">
      <alignment vertical="center" wrapText="1"/>
    </xf>
    <xf numFmtId="0" fontId="10" fillId="0" borderId="97" xfId="0" applyFont="1" applyBorder="1" applyAlignment="1">
      <alignment wrapText="1"/>
    </xf>
    <xf numFmtId="0" fontId="10" fillId="0" borderId="91" xfId="0" applyFont="1" applyBorder="1" applyAlignment="1">
      <alignment wrapText="1"/>
    </xf>
    <xf numFmtId="206" fontId="99" fillId="20" borderId="94" xfId="0" applyNumberFormat="1" applyFont="1" applyFill="1" applyBorder="1" applyAlignment="1">
      <alignment horizontal="center" vertical="center"/>
    </xf>
    <xf numFmtId="206" fontId="99" fillId="20" borderId="25" xfId="0" applyNumberFormat="1" applyFont="1" applyFill="1" applyBorder="1" applyAlignment="1">
      <alignment horizontal="center" vertical="center"/>
    </xf>
    <xf numFmtId="206" fontId="102" fillId="0" borderId="97" xfId="0" applyNumberFormat="1" applyFont="1" applyBorder="1" applyAlignment="1">
      <alignment horizontal="center" vertical="center" wrapText="1"/>
    </xf>
    <xf numFmtId="206" fontId="103" fillId="0" borderId="95" xfId="0" applyNumberFormat="1" applyFont="1" applyBorder="1" applyAlignment="1">
      <alignment horizontal="center" vertical="center"/>
    </xf>
    <xf numFmtId="206" fontId="103" fillId="0" borderId="90" xfId="0" applyNumberFormat="1" applyFont="1" applyBorder="1" applyAlignment="1">
      <alignment horizontal="center" vertical="center"/>
    </xf>
    <xf numFmtId="2" fontId="102" fillId="0" borderId="97" xfId="0" applyNumberFormat="1" applyFont="1" applyBorder="1" applyAlignment="1">
      <alignment horizontal="right" vertical="center" wrapText="1"/>
    </xf>
    <xf numFmtId="10" fontId="99" fillId="20" borderId="25" xfId="0" applyNumberFormat="1" applyFont="1" applyFill="1" applyBorder="1" applyAlignment="1">
      <alignment horizontal="center" vertical="center"/>
    </xf>
    <xf numFmtId="206" fontId="103" fillId="0" borderId="97" xfId="0" applyNumberFormat="1" applyFont="1" applyBorder="1" applyAlignment="1">
      <alignment horizontal="center" vertical="center" wrapText="1"/>
    </xf>
    <xf numFmtId="0" fontId="28" fillId="0" borderId="91" xfId="0" applyFont="1" applyBorder="1"/>
    <xf numFmtId="0" fontId="0" fillId="0" borderId="0" xfId="0" applyAlignment="1">
      <alignment horizontal="center"/>
    </xf>
    <xf numFmtId="0" fontId="0" fillId="0" borderId="100" xfId="0" applyBorder="1" applyAlignment="1">
      <alignment horizontal="center"/>
    </xf>
    <xf numFmtId="0" fontId="99" fillId="20" borderId="123" xfId="0" applyFont="1" applyFill="1" applyBorder="1" applyAlignment="1">
      <alignment horizontal="center" vertical="center"/>
    </xf>
    <xf numFmtId="0" fontId="99" fillId="20" borderId="111" xfId="0" applyFont="1" applyFill="1" applyBorder="1" applyAlignment="1">
      <alignment horizontal="center" vertical="center"/>
    </xf>
    <xf numFmtId="0" fontId="120" fillId="20" borderId="81" xfId="0" applyFont="1" applyFill="1" applyBorder="1" applyAlignment="1">
      <alignment horizontal="center" vertical="center" wrapText="1"/>
    </xf>
    <xf numFmtId="0" fontId="120" fillId="20" borderId="0" xfId="0" applyFont="1" applyFill="1" applyAlignment="1">
      <alignment horizontal="center" vertical="center" wrapText="1"/>
    </xf>
    <xf numFmtId="0" fontId="120" fillId="20" borderId="35" xfId="0" applyFont="1" applyFill="1" applyBorder="1" applyAlignment="1">
      <alignment horizontal="center" vertical="center" wrapText="1"/>
    </xf>
    <xf numFmtId="0" fontId="111" fillId="23" borderId="25" xfId="0" applyFont="1" applyFill="1" applyBorder="1" applyAlignment="1">
      <alignment horizontal="center" vertical="center"/>
    </xf>
    <xf numFmtId="0" fontId="99" fillId="20" borderId="109" xfId="0" applyFont="1" applyFill="1" applyBorder="1" applyAlignment="1">
      <alignment horizontal="center" wrapText="1"/>
    </xf>
    <xf numFmtId="0" fontId="10" fillId="0" borderId="110" xfId="0" applyFont="1" applyBorder="1"/>
    <xf numFmtId="0" fontId="10" fillId="0" borderId="111" xfId="0" applyFont="1" applyBorder="1"/>
    <xf numFmtId="0" fontId="99" fillId="20" borderId="109" xfId="0" applyFont="1" applyFill="1" applyBorder="1" applyAlignment="1">
      <alignment horizontal="center" vertical="center"/>
    </xf>
    <xf numFmtId="0" fontId="99" fillId="20" borderId="73" xfId="0" applyFont="1" applyFill="1" applyBorder="1" applyAlignment="1">
      <alignment horizontal="center" vertical="center"/>
    </xf>
    <xf numFmtId="0" fontId="99" fillId="20" borderId="39" xfId="0" applyFont="1" applyFill="1" applyBorder="1" applyAlignment="1">
      <alignment horizontal="center" vertical="center"/>
    </xf>
    <xf numFmtId="0" fontId="111" fillId="23" borderId="102" xfId="0" applyFont="1" applyFill="1" applyBorder="1" applyAlignment="1">
      <alignment horizontal="center" vertical="center"/>
    </xf>
    <xf numFmtId="0" fontId="111" fillId="23" borderId="80" xfId="0" applyFont="1" applyFill="1" applyBorder="1" applyAlignment="1">
      <alignment horizontal="center" vertical="center"/>
    </xf>
    <xf numFmtId="0" fontId="111" fillId="23" borderId="78" xfId="0" applyFont="1" applyFill="1" applyBorder="1" applyAlignment="1">
      <alignment horizontal="center" vertical="center"/>
    </xf>
    <xf numFmtId="0" fontId="111" fillId="23" borderId="69" xfId="0" applyFont="1" applyFill="1" applyBorder="1" applyAlignment="1">
      <alignment horizontal="center" vertical="center"/>
    </xf>
    <xf numFmtId="0" fontId="111" fillId="23" borderId="72" xfId="0" applyFont="1" applyFill="1" applyBorder="1" applyAlignment="1">
      <alignment horizontal="center" vertical="center"/>
    </xf>
    <xf numFmtId="0" fontId="111" fillId="23" borderId="51" xfId="0" applyFont="1" applyFill="1" applyBorder="1" applyAlignment="1">
      <alignment horizontal="center" vertical="center"/>
    </xf>
    <xf numFmtId="0" fontId="99" fillId="20" borderId="13" xfId="0" applyFont="1" applyFill="1" applyBorder="1" applyAlignment="1">
      <alignment horizontal="center" vertical="center"/>
    </xf>
    <xf numFmtId="0" fontId="10" fillId="0" borderId="14" xfId="0" applyFont="1" applyBorder="1"/>
    <xf numFmtId="0" fontId="10" fillId="0" borderId="15" xfId="0" applyFont="1" applyBorder="1"/>
    <xf numFmtId="0" fontId="19" fillId="0" borderId="53" xfId="0" applyFont="1" applyBorder="1" applyAlignment="1">
      <alignment horizontal="justify" vertical="center" wrapText="1"/>
    </xf>
    <xf numFmtId="0" fontId="19" fillId="0" borderId="26" xfId="0" applyFont="1" applyBorder="1" applyAlignment="1">
      <alignment horizontal="justify" vertical="center" wrapText="1"/>
    </xf>
    <xf numFmtId="0" fontId="19" fillId="0" borderId="47" xfId="0" applyFont="1" applyBorder="1" applyAlignment="1">
      <alignment horizontal="justify" vertical="center" wrapText="1"/>
    </xf>
    <xf numFmtId="0" fontId="19" fillId="0" borderId="49" xfId="0" applyFont="1" applyBorder="1" applyAlignment="1">
      <alignment horizontal="justify" vertical="center" wrapText="1"/>
    </xf>
    <xf numFmtId="4" fontId="19" fillId="0" borderId="47" xfId="0" applyNumberFormat="1" applyFont="1" applyBorder="1" applyAlignment="1">
      <alignment horizontal="left" vertical="top" wrapText="1"/>
    </xf>
    <xf numFmtId="0" fontId="19" fillId="0" borderId="44" xfId="0" applyFont="1" applyBorder="1" applyAlignment="1">
      <alignment horizontal="justify" vertical="center"/>
    </xf>
    <xf numFmtId="0" fontId="19" fillId="0" borderId="45" xfId="0" applyFont="1" applyBorder="1" applyAlignment="1">
      <alignment horizontal="justify" vertical="center"/>
    </xf>
    <xf numFmtId="4" fontId="19" fillId="0" borderId="50" xfId="0" applyNumberFormat="1" applyFont="1" applyBorder="1" applyAlignment="1">
      <alignment horizontal="left" vertical="center"/>
    </xf>
    <xf numFmtId="0" fontId="19" fillId="0" borderId="51" xfId="0" applyFont="1" applyBorder="1" applyAlignment="1">
      <alignment horizontal="left" vertical="center"/>
    </xf>
    <xf numFmtId="0" fontId="19" fillId="0" borderId="27" xfId="0" applyFont="1" applyBorder="1" applyAlignment="1">
      <alignment horizontal="justify" vertical="center"/>
    </xf>
    <xf numFmtId="0" fontId="19" fillId="0" borderId="25" xfId="0" applyFont="1" applyBorder="1" applyAlignment="1">
      <alignment horizontal="justify" vertical="center"/>
    </xf>
    <xf numFmtId="0" fontId="19" fillId="0" borderId="32" xfId="0" applyFont="1" applyBorder="1" applyAlignment="1">
      <alignment horizontal="justify" vertical="center"/>
    </xf>
    <xf numFmtId="0" fontId="19" fillId="0" borderId="33" xfId="0" applyFont="1" applyBorder="1" applyAlignment="1">
      <alignment horizontal="justify" vertical="center"/>
    </xf>
    <xf numFmtId="0" fontId="19" fillId="0" borderId="53" xfId="0" applyFont="1" applyBorder="1" applyAlignment="1">
      <alignment horizontal="left" vertical="top" wrapText="1"/>
    </xf>
    <xf numFmtId="0" fontId="19" fillId="0" borderId="37" xfId="0" applyFont="1" applyBorder="1" applyAlignment="1">
      <alignment horizontal="left" vertical="top" wrapText="1"/>
    </xf>
    <xf numFmtId="0" fontId="19" fillId="0" borderId="26" xfId="0" applyFont="1" applyBorder="1" applyAlignment="1">
      <alignment horizontal="left" vertical="top" wrapText="1"/>
    </xf>
    <xf numFmtId="4" fontId="19" fillId="0" borderId="29" xfId="0" applyNumberFormat="1" applyFont="1" applyBorder="1" applyAlignment="1">
      <alignment horizontal="justify" vertical="top" wrapText="1"/>
    </xf>
    <xf numFmtId="4" fontId="19" fillId="0" borderId="44" xfId="0" applyNumberFormat="1" applyFont="1" applyBorder="1" applyAlignment="1">
      <alignment horizontal="left" vertical="center"/>
    </xf>
    <xf numFmtId="4" fontId="19" fillId="0" borderId="45" xfId="0" applyNumberFormat="1" applyFont="1" applyBorder="1" applyAlignment="1">
      <alignment horizontal="left" vertical="center"/>
    </xf>
    <xf numFmtId="4" fontId="19" fillId="0" borderId="49" xfId="0" applyNumberFormat="1" applyFont="1" applyBorder="1" applyAlignment="1">
      <alignment horizontal="left" vertical="top" wrapText="1"/>
    </xf>
    <xf numFmtId="0" fontId="20" fillId="0" borderId="15" xfId="0" applyFont="1" applyBorder="1" applyAlignment="1">
      <alignment horizontal="right"/>
    </xf>
    <xf numFmtId="4" fontId="20" fillId="0" borderId="13" xfId="0" applyNumberFormat="1" applyFont="1" applyBorder="1" applyAlignment="1">
      <alignment horizontal="justify" vertical="top" wrapText="1"/>
    </xf>
    <xf numFmtId="4" fontId="20" fillId="0" borderId="14" xfId="0" applyNumberFormat="1" applyFont="1" applyBorder="1" applyAlignment="1">
      <alignment horizontal="justify" vertical="top" wrapText="1"/>
    </xf>
    <xf numFmtId="4" fontId="20" fillId="0" borderId="15" xfId="0" applyNumberFormat="1" applyFont="1" applyBorder="1" applyAlignment="1">
      <alignment horizontal="justify" vertical="top" wrapText="1"/>
    </xf>
    <xf numFmtId="4" fontId="20" fillId="0" borderId="14" xfId="0" applyNumberFormat="1" applyFont="1" applyBorder="1" applyAlignment="1">
      <alignment horizontal="justify" vertical="center" wrapText="1"/>
    </xf>
    <xf numFmtId="4" fontId="20" fillId="0" borderId="15" xfId="0" applyNumberFormat="1" applyFont="1" applyBorder="1" applyAlignment="1">
      <alignment horizontal="justify" vertical="center" wrapText="1"/>
    </xf>
    <xf numFmtId="0" fontId="19" fillId="0" borderId="27" xfId="0" applyFont="1" applyBorder="1" applyAlignment="1">
      <alignment horizontal="left" vertical="top" wrapText="1"/>
    </xf>
    <xf numFmtId="0" fontId="19" fillId="0" borderId="25" xfId="0" applyFont="1" applyBorder="1" applyAlignment="1">
      <alignment horizontal="left" vertical="top" wrapText="1"/>
    </xf>
    <xf numFmtId="0" fontId="19" fillId="0" borderId="32" xfId="0" applyFont="1" applyBorder="1" applyAlignment="1">
      <alignment horizontal="left" vertical="top" wrapText="1"/>
    </xf>
    <xf numFmtId="0" fontId="19" fillId="0" borderId="33" xfId="0" applyFont="1" applyBorder="1" applyAlignment="1">
      <alignment horizontal="left" vertical="top" wrapText="1"/>
    </xf>
    <xf numFmtId="0" fontId="20" fillId="0" borderId="4" xfId="0" applyFont="1" applyBorder="1" applyAlignment="1">
      <alignment horizontal="right"/>
    </xf>
    <xf numFmtId="0" fontId="20" fillId="0" borderId="5" xfId="0" applyFont="1" applyBorder="1" applyAlignment="1">
      <alignment horizontal="right"/>
    </xf>
    <xf numFmtId="0" fontId="20" fillId="0" borderId="62" xfId="0" applyFont="1" applyBorder="1" applyAlignment="1">
      <alignment horizontal="right"/>
    </xf>
    <xf numFmtId="0" fontId="20" fillId="0" borderId="1"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2" xfId="0" applyFont="1" applyBorder="1" applyAlignment="1">
      <alignment horizontal="center" vertical="center" wrapText="1"/>
    </xf>
    <xf numFmtId="0" fontId="19" fillId="0" borderId="29" xfId="0" applyFont="1" applyBorder="1" applyAlignment="1">
      <alignment horizontal="left" vertical="top" wrapText="1"/>
    </xf>
    <xf numFmtId="0" fontId="19" fillId="0" borderId="30" xfId="0" applyFont="1" applyBorder="1" applyAlignment="1">
      <alignment horizontal="left" vertical="top" wrapText="1"/>
    </xf>
    <xf numFmtId="4" fontId="18" fillId="0" borderId="1" xfId="0" applyNumberFormat="1" applyFont="1" applyBorder="1" applyAlignment="1">
      <alignment horizontal="center" vertical="center"/>
    </xf>
    <xf numFmtId="0" fontId="20" fillId="0" borderId="13" xfId="0" applyFont="1" applyBorder="1" applyAlignment="1">
      <alignment horizontal="right" wrapText="1"/>
    </xf>
    <xf numFmtId="0" fontId="20" fillId="0" borderId="14" xfId="0" applyFont="1" applyBorder="1" applyAlignment="1">
      <alignment horizontal="right" wrapText="1"/>
    </xf>
    <xf numFmtId="0" fontId="20" fillId="0" borderId="40" xfId="0" applyFont="1" applyBorder="1" applyAlignment="1">
      <alignment horizontal="right" wrapText="1"/>
    </xf>
    <xf numFmtId="0" fontId="28" fillId="0" borderId="13" xfId="63" applyFont="1" applyBorder="1" applyAlignment="1">
      <alignment horizontal="center" vertical="center" wrapText="1"/>
    </xf>
    <xf numFmtId="0" fontId="28" fillId="0" borderId="14" xfId="63" applyFont="1" applyBorder="1" applyAlignment="1">
      <alignment horizontal="center" vertical="center" wrapText="1"/>
    </xf>
    <xf numFmtId="0" fontId="28" fillId="0" borderId="15" xfId="63" applyFont="1" applyBorder="1" applyAlignment="1">
      <alignment horizontal="center" vertical="center" wrapText="1"/>
    </xf>
    <xf numFmtId="0" fontId="27" fillId="12" borderId="7" xfId="63" applyFont="1" applyFill="1" applyBorder="1" applyAlignment="1">
      <alignment horizontal="center" vertical="center" wrapText="1"/>
    </xf>
    <xf numFmtId="0" fontId="27" fillId="12" borderId="0" xfId="63" applyFont="1" applyFill="1" applyAlignment="1">
      <alignment horizontal="center" vertical="center" wrapText="1"/>
    </xf>
    <xf numFmtId="0" fontId="27" fillId="12" borderId="8" xfId="63" applyFont="1" applyFill="1" applyBorder="1" applyAlignment="1">
      <alignment horizontal="center" vertical="center" wrapText="1"/>
    </xf>
    <xf numFmtId="2" fontId="19" fillId="0" borderId="53" xfId="0" applyNumberFormat="1" applyFont="1" applyBorder="1" applyAlignment="1">
      <alignment horizontal="justify" vertical="center" wrapText="1"/>
    </xf>
    <xf numFmtId="2" fontId="19" fillId="0" borderId="26" xfId="0" applyNumberFormat="1" applyFont="1" applyBorder="1" applyAlignment="1">
      <alignment horizontal="justify" vertical="center" wrapText="1"/>
    </xf>
    <xf numFmtId="2" fontId="19" fillId="0" borderId="50" xfId="0" applyNumberFormat="1" applyFont="1" applyBorder="1" applyAlignment="1">
      <alignment horizontal="justify" vertical="center" wrapText="1"/>
    </xf>
    <xf numFmtId="2" fontId="19" fillId="0" borderId="51" xfId="0" applyNumberFormat="1" applyFont="1" applyBorder="1" applyAlignment="1">
      <alignment horizontal="justify" vertical="center" wrapText="1"/>
    </xf>
    <xf numFmtId="2" fontId="19" fillId="0" borderId="44" xfId="0" applyNumberFormat="1" applyFont="1" applyBorder="1" applyAlignment="1">
      <alignment horizontal="justify" vertical="center" wrapText="1"/>
    </xf>
    <xf numFmtId="2" fontId="19" fillId="0" borderId="45" xfId="0" applyNumberFormat="1" applyFont="1" applyBorder="1" applyAlignment="1">
      <alignment horizontal="justify" vertical="center" wrapText="1"/>
    </xf>
    <xf numFmtId="0" fontId="19" fillId="0" borderId="50" xfId="0" applyFont="1" applyBorder="1" applyAlignment="1">
      <alignment horizontal="left" vertical="top" wrapText="1"/>
    </xf>
    <xf numFmtId="0" fontId="19" fillId="0" borderId="72" xfId="0" applyFont="1" applyBorder="1" applyAlignment="1">
      <alignment horizontal="left" vertical="top" wrapText="1"/>
    </xf>
    <xf numFmtId="0" fontId="19" fillId="0" borderId="51" xfId="0" applyFont="1" applyBorder="1" applyAlignment="1">
      <alignment horizontal="left" vertical="top" wrapText="1"/>
    </xf>
    <xf numFmtId="1" fontId="20" fillId="0" borderId="13" xfId="0" applyNumberFormat="1" applyFont="1" applyBorder="1" applyAlignment="1">
      <alignment horizontal="justify" vertical="center" wrapText="1"/>
    </xf>
    <xf numFmtId="0" fontId="19" fillId="0" borderId="45" xfId="0" applyFont="1" applyBorder="1" applyAlignment="1">
      <alignment horizontal="justify" vertical="center" wrapText="1"/>
    </xf>
    <xf numFmtId="2" fontId="19" fillId="0" borderId="27" xfId="0" applyNumberFormat="1" applyFont="1" applyBorder="1" applyAlignment="1">
      <alignment horizontal="justify" vertical="top" wrapText="1"/>
    </xf>
    <xf numFmtId="2" fontId="19" fillId="0" borderId="29" xfId="0" applyNumberFormat="1" applyFont="1" applyBorder="1" applyAlignment="1">
      <alignment horizontal="justify" vertical="top" wrapText="1"/>
    </xf>
    <xf numFmtId="4" fontId="19" fillId="0" borderId="7" xfId="0" applyNumberFormat="1" applyFont="1" applyBorder="1" applyAlignment="1">
      <alignment horizontal="left" vertical="center"/>
    </xf>
    <xf numFmtId="0" fontId="19" fillId="0" borderId="35" xfId="0" applyFont="1" applyBorder="1" applyAlignment="1">
      <alignment horizontal="left" vertical="center"/>
    </xf>
    <xf numFmtId="4" fontId="19" fillId="0" borderId="47" xfId="0" applyNumberFormat="1" applyFont="1" applyBorder="1" applyAlignment="1">
      <alignment horizontal="left" vertical="center"/>
    </xf>
    <xf numFmtId="0" fontId="19" fillId="0" borderId="49" xfId="0" applyFont="1" applyBorder="1" applyAlignment="1">
      <alignment horizontal="left" vertical="center"/>
    </xf>
  </cellXfs>
  <cellStyles count="124">
    <cellStyle name="Euro" xfId="40" xr:uid="{00000000-0005-0000-0000-000000000000}"/>
    <cellStyle name="Hipervínculo 2" xfId="58" xr:uid="{00000000-0005-0000-0000-000001000000}"/>
    <cellStyle name="Hipervínculo 3" xfId="97" xr:uid="{00000000-0005-0000-0000-000002000000}"/>
    <cellStyle name="Millares" xfId="12" builtinId="3"/>
    <cellStyle name="Millares [0] 2" xfId="41" xr:uid="{00000000-0005-0000-0000-000004000000}"/>
    <cellStyle name="Millares 10" xfId="106" xr:uid="{B258FC52-106C-4221-8EB1-A535E2C9D22E}"/>
    <cellStyle name="Millares 149" xfId="77" xr:uid="{00000000-0005-0000-0000-000005000000}"/>
    <cellStyle name="Millares 149 3" xfId="91" xr:uid="{00000000-0005-0000-0000-000006000000}"/>
    <cellStyle name="Millares 152 2" xfId="72" xr:uid="{00000000-0005-0000-0000-000007000000}"/>
    <cellStyle name="Millares 152 3" xfId="88" xr:uid="{00000000-0005-0000-0000-000008000000}"/>
    <cellStyle name="Millares 156" xfId="71" xr:uid="{00000000-0005-0000-0000-000009000000}"/>
    <cellStyle name="Millares 2" xfId="1" xr:uid="{00000000-0005-0000-0000-00000A000000}"/>
    <cellStyle name="Millares 2 2" xfId="109" xr:uid="{79DFDD0D-D7BF-4FE3-89B8-6167A66D189E}"/>
    <cellStyle name="Millares 2 2 2" xfId="81" xr:uid="{00000000-0005-0000-0000-00000B000000}"/>
    <cellStyle name="Millares 3" xfId="2" xr:uid="{00000000-0005-0000-0000-00000C000000}"/>
    <cellStyle name="Millares 3 2" xfId="14" xr:uid="{00000000-0005-0000-0000-00000D000000}"/>
    <cellStyle name="Millares 4" xfId="3" xr:uid="{00000000-0005-0000-0000-00000E000000}"/>
    <cellStyle name="Millares 4 2 2" xfId="102" xr:uid="{8B528CA4-1B9D-4C25-876C-F961EE6B5176}"/>
    <cellStyle name="Millares 5" xfId="15" xr:uid="{00000000-0005-0000-0000-00000F000000}"/>
    <cellStyle name="Millares 5 2" xfId="16" xr:uid="{00000000-0005-0000-0000-000010000000}"/>
    <cellStyle name="Millares 6" xfId="17" xr:uid="{00000000-0005-0000-0000-000011000000}"/>
    <cellStyle name="Millares 6 2" xfId="50" xr:uid="{00000000-0005-0000-0000-000012000000}"/>
    <cellStyle name="Millares 7" xfId="39" xr:uid="{00000000-0005-0000-0000-000013000000}"/>
    <cellStyle name="Millares 8" xfId="48" xr:uid="{00000000-0005-0000-0000-000014000000}"/>
    <cellStyle name="Millares 9" xfId="57" xr:uid="{00000000-0005-0000-0000-000015000000}"/>
    <cellStyle name="Millares_Actas Puente" xfId="13" xr:uid="{00000000-0005-0000-0000-000016000000}"/>
    <cellStyle name="Millares_FORMULARIO 4 - M-OFERENTE PPTA ECONOMICA" xfId="123" xr:uid="{AA12E149-2242-41DB-B262-A66C62885592}"/>
    <cellStyle name="Millares_PRESUPUESTO - YAGUARA - A. P." xfId="51" xr:uid="{00000000-0005-0000-0000-000017000000}"/>
    <cellStyle name="Millares_PRESUPUESTO YAGUARA" xfId="52" xr:uid="{00000000-0005-0000-0000-000018000000}"/>
    <cellStyle name="Moneda" xfId="6" builtinId="4"/>
    <cellStyle name="Moneda [0] 2" xfId="42" xr:uid="{00000000-0005-0000-0000-00001A000000}"/>
    <cellStyle name="Moneda [0] 2 2" xfId="79" xr:uid="{00000000-0005-0000-0000-00001B000000}"/>
    <cellStyle name="Moneda [0] 3" xfId="95" xr:uid="{00000000-0005-0000-0000-00001C000000}"/>
    <cellStyle name="Moneda 109" xfId="66" xr:uid="{00000000-0005-0000-0000-00001D000000}"/>
    <cellStyle name="Moneda 109 2" xfId="87" xr:uid="{00000000-0005-0000-0000-00001E000000}"/>
    <cellStyle name="Moneda 2" xfId="8" xr:uid="{00000000-0005-0000-0000-00001F000000}"/>
    <cellStyle name="Moneda 2 2" xfId="96" xr:uid="{00000000-0005-0000-0000-000020000000}"/>
    <cellStyle name="Moneda 2 2 2 2 2" xfId="118" xr:uid="{FDBE501F-114A-43EC-AA9F-7684A94DCB50}"/>
    <cellStyle name="Moneda 2 3" xfId="113" xr:uid="{5816C75A-64D9-4407-BADA-17F213E715FA}"/>
    <cellStyle name="Moneda 3" xfId="9" xr:uid="{00000000-0005-0000-0000-000021000000}"/>
    <cellStyle name="Moneda 3 2" xfId="11" xr:uid="{00000000-0005-0000-0000-000022000000}"/>
    <cellStyle name="Moneda 3 2 10" xfId="90" xr:uid="{00000000-0005-0000-0000-000023000000}"/>
    <cellStyle name="Moneda 3 2 2" xfId="101" xr:uid="{4A4112C0-AAFB-4287-A24C-22129BB61663}"/>
    <cellStyle name="Moneda 3 2 9" xfId="85" xr:uid="{00000000-0005-0000-0000-000024000000}"/>
    <cellStyle name="Moneda 3 3" xfId="43" xr:uid="{00000000-0005-0000-0000-000025000000}"/>
    <cellStyle name="Moneda 4" xfId="44" xr:uid="{00000000-0005-0000-0000-000026000000}"/>
    <cellStyle name="Moneda 5" xfId="60" xr:uid="{00000000-0005-0000-0000-000027000000}"/>
    <cellStyle name="Moneda 5 26" xfId="73" xr:uid="{00000000-0005-0000-0000-000028000000}"/>
    <cellStyle name="Moneda 6" xfId="89" xr:uid="{00000000-0005-0000-0000-000029000000}"/>
    <cellStyle name="Moneda 7" xfId="100" xr:uid="{3BD64D98-6FF9-416E-B5B2-F0B707151357}"/>
    <cellStyle name="Moneda 8" xfId="94" xr:uid="{00000000-0005-0000-0000-00002A000000}"/>
    <cellStyle name="Moneda 9" xfId="122" xr:uid="{19AE14F6-BAB8-4D2D-BDFF-C8696298EBA2}"/>
    <cellStyle name="Moneda_PRESUPUESTO - YAGUARA - A. P." xfId="53" xr:uid="{00000000-0005-0000-0000-00002B000000}"/>
    <cellStyle name="Normal" xfId="0" builtinId="0"/>
    <cellStyle name="Normal 10" xfId="18" xr:uid="{00000000-0005-0000-0000-00002D000000}"/>
    <cellStyle name="Normal 11" xfId="19" xr:uid="{00000000-0005-0000-0000-00002E000000}"/>
    <cellStyle name="Normal 12" xfId="20" xr:uid="{00000000-0005-0000-0000-00002F000000}"/>
    <cellStyle name="Normal 13" xfId="21" xr:uid="{00000000-0005-0000-0000-000030000000}"/>
    <cellStyle name="Normal 14" xfId="22" xr:uid="{00000000-0005-0000-0000-000031000000}"/>
    <cellStyle name="Normal 14 2" xfId="105" xr:uid="{94083C84-8A06-4E3C-91D3-F8524A80CFBD}"/>
    <cellStyle name="Normal 15" xfId="23" xr:uid="{00000000-0005-0000-0000-000032000000}"/>
    <cellStyle name="Normal 16" xfId="24" xr:uid="{00000000-0005-0000-0000-000033000000}"/>
    <cellStyle name="Normal 17" xfId="25" xr:uid="{00000000-0005-0000-0000-000034000000}"/>
    <cellStyle name="Normal 18" xfId="26" xr:uid="{00000000-0005-0000-0000-000035000000}"/>
    <cellStyle name="Normal 19" xfId="27" xr:uid="{00000000-0005-0000-0000-000036000000}"/>
    <cellStyle name="Normal 19 2" xfId="49" xr:uid="{00000000-0005-0000-0000-000037000000}"/>
    <cellStyle name="Normal 2" xfId="4" xr:uid="{00000000-0005-0000-0000-000038000000}"/>
    <cellStyle name="Normal 2 10" xfId="63" xr:uid="{00000000-0005-0000-0000-000039000000}"/>
    <cellStyle name="Normal 2 10 10 3" xfId="74" xr:uid="{00000000-0005-0000-0000-00003A000000}"/>
    <cellStyle name="Normal 2 10 2 2" xfId="116" xr:uid="{8F4D962F-FD60-4825-9BD5-9C4E3932245F}"/>
    <cellStyle name="Normal 2 10 3" xfId="119" xr:uid="{9C26164D-9D6B-4349-986E-DD3ACBDF6AEA}"/>
    <cellStyle name="Normal 2 15" xfId="103" xr:uid="{CAA43246-2B71-4ACA-AE8A-44B82225B72A}"/>
    <cellStyle name="Normal 2 2" xfId="28" xr:uid="{00000000-0005-0000-0000-00003B000000}"/>
    <cellStyle name="Normal 2 2 2" xfId="120" xr:uid="{82310B5B-2AB7-4D47-BBC4-2BD2AEC2BAF0}"/>
    <cellStyle name="Normal 2 2 2 10" xfId="65" xr:uid="{00000000-0005-0000-0000-00003C000000}"/>
    <cellStyle name="Normal 2 2 3" xfId="110" xr:uid="{CDDCDAE5-4953-4C22-B337-2728B6BBE720}"/>
    <cellStyle name="Normal 2 3" xfId="107" xr:uid="{F315A65E-42B2-41FE-AFE9-AFF1AA6CEFA1}"/>
    <cellStyle name="Normal 2 3 23" xfId="84" xr:uid="{00000000-0005-0000-0000-00003D000000}"/>
    <cellStyle name="Normal 20" xfId="59" xr:uid="{00000000-0005-0000-0000-00003E000000}"/>
    <cellStyle name="Normal 21" xfId="75" xr:uid="{00000000-0005-0000-0000-00003F000000}"/>
    <cellStyle name="Normal 22" xfId="61" xr:uid="{00000000-0005-0000-0000-000040000000}"/>
    <cellStyle name="Normal 22 2" xfId="64" xr:uid="{00000000-0005-0000-0000-000041000000}"/>
    <cellStyle name="Normal 23" xfId="98" xr:uid="{1A867058-E094-43C1-A2AC-272CC8F99ED4}"/>
    <cellStyle name="Normal 3" xfId="5" xr:uid="{00000000-0005-0000-0000-000042000000}"/>
    <cellStyle name="Normal 3 10 10" xfId="62" xr:uid="{00000000-0005-0000-0000-000043000000}"/>
    <cellStyle name="Normal 3 11" xfId="121" xr:uid="{F8534798-6909-4682-8011-BF462DFF3392}"/>
    <cellStyle name="Normal 3 2" xfId="114" xr:uid="{3DC8CE1F-0387-4807-BAE6-9FA7EF05CFDB}"/>
    <cellStyle name="Normal 3 2 2" xfId="117" xr:uid="{94B4D745-3493-4C65-A6DE-83E79DC53CD1}"/>
    <cellStyle name="Normal 3 3" xfId="111" xr:uid="{EB94C5E5-0056-4465-A87B-CE13FF186136}"/>
    <cellStyle name="Normal 4" xfId="10" xr:uid="{00000000-0005-0000-0000-000044000000}"/>
    <cellStyle name="Normal 4 2" xfId="29" xr:uid="{00000000-0005-0000-0000-000045000000}"/>
    <cellStyle name="Normal 4 2 2" xfId="93" xr:uid="{00000000-0005-0000-0000-000046000000}"/>
    <cellStyle name="Normal 4 3" xfId="112" xr:uid="{B0275F9D-B54A-4415-AB45-62762E47332A}"/>
    <cellStyle name="Normal 40 2" xfId="68" xr:uid="{00000000-0005-0000-0000-000047000000}"/>
    <cellStyle name="Normal 40 2 2" xfId="82" xr:uid="{00000000-0005-0000-0000-000048000000}"/>
    <cellStyle name="Normal 43" xfId="76" xr:uid="{00000000-0005-0000-0000-000049000000}"/>
    <cellStyle name="Normal 44 2" xfId="104" xr:uid="{C7865055-7AFD-4A4E-AC09-4A88A9B3381D}"/>
    <cellStyle name="Normal 45 2" xfId="67" xr:uid="{00000000-0005-0000-0000-00004A000000}"/>
    <cellStyle name="Normal 45 3" xfId="86" xr:uid="{00000000-0005-0000-0000-00004B000000}"/>
    <cellStyle name="Normal 5" xfId="30" xr:uid="{00000000-0005-0000-0000-00004C000000}"/>
    <cellStyle name="Normal 5 2" xfId="31" xr:uid="{00000000-0005-0000-0000-00004D000000}"/>
    <cellStyle name="Normal 5 3" xfId="32" xr:uid="{00000000-0005-0000-0000-00004E000000}"/>
    <cellStyle name="Normal 6" xfId="33" xr:uid="{00000000-0005-0000-0000-00004F000000}"/>
    <cellStyle name="Normal 6 2" xfId="34" xr:uid="{00000000-0005-0000-0000-000050000000}"/>
    <cellStyle name="Normal 7" xfId="35" xr:uid="{00000000-0005-0000-0000-000051000000}"/>
    <cellStyle name="Normal 7 2" xfId="36" xr:uid="{00000000-0005-0000-0000-000052000000}"/>
    <cellStyle name="Normal 7 3" xfId="115" xr:uid="{662639CA-3D72-4106-A176-C5C3C1974506}"/>
    <cellStyle name="Normal 8" xfId="37" xr:uid="{00000000-0005-0000-0000-000053000000}"/>
    <cellStyle name="Normal 8 2" xfId="83" xr:uid="{00000000-0005-0000-0000-000054000000}"/>
    <cellStyle name="Normal 9" xfId="38" xr:uid="{00000000-0005-0000-0000-000055000000}"/>
    <cellStyle name="Normal_AIU" xfId="92" xr:uid="{00000000-0005-0000-0000-000056000000}"/>
    <cellStyle name="Normal_COTIZACIONES 2" xfId="69" xr:uid="{00000000-0005-0000-0000-000057000000}"/>
    <cellStyle name="Normal_FORMATO Análisis de precios unitarios" xfId="54" xr:uid="{00000000-0005-0000-0000-000058000000}"/>
    <cellStyle name="Normal_FORMATO Análisis de precios unitarios 2" xfId="55" xr:uid="{00000000-0005-0000-0000-000059000000}"/>
    <cellStyle name="Normal_FORMATO Análisis de precios unitarios 3" xfId="56" xr:uid="{00000000-0005-0000-0000-00005A000000}"/>
    <cellStyle name="Porcentaje" xfId="7" builtinId="5"/>
    <cellStyle name="Porcentaje 2" xfId="45" xr:uid="{00000000-0005-0000-0000-00005C000000}"/>
    <cellStyle name="Porcentaje 2 2" xfId="80" xr:uid="{00000000-0005-0000-0000-00005D000000}"/>
    <cellStyle name="Porcentaje 3" xfId="78" xr:uid="{00000000-0005-0000-0000-00005E000000}"/>
    <cellStyle name="Porcentaje 3 2" xfId="108" xr:uid="{3DE6DC21-ABF2-4A7A-B2EC-50712276CC9B}"/>
    <cellStyle name="Porcentaje 4" xfId="99" xr:uid="{A4B360FA-3113-45FA-B0E5-BB7C06440C5F}"/>
    <cellStyle name="Porcentaje 6" xfId="70" xr:uid="{00000000-0005-0000-0000-00005F000000}"/>
    <cellStyle name="Porcentual 2" xfId="46" xr:uid="{00000000-0005-0000-0000-000060000000}"/>
    <cellStyle name="Porcentual 3" xfId="47" xr:uid="{00000000-0005-0000-0000-000061000000}"/>
  </cellStyles>
  <dxfs count="11">
    <dxf>
      <font>
        <color rgb="FF9C0006"/>
      </font>
      <fill>
        <patternFill patternType="solid">
          <fgColor rgb="FFFFC7CE"/>
          <bgColor rgb="FFFFC7CE"/>
        </patternFill>
      </fill>
    </dxf>
    <dxf>
      <fill>
        <patternFill>
          <bgColor rgb="FFFF0000"/>
        </patternFill>
      </fill>
    </dxf>
    <dxf>
      <fill>
        <patternFill patternType="solid">
          <fgColor rgb="FFDBE5F1"/>
          <bgColor rgb="FFDBE5F1"/>
        </patternFill>
      </fill>
    </dxf>
    <dxf>
      <fill>
        <patternFill patternType="solid">
          <fgColor rgb="FFD8D8D8"/>
          <bgColor rgb="FFD8D8D8"/>
        </patternFill>
      </fill>
    </dxf>
    <dxf>
      <fill>
        <patternFill patternType="solid">
          <fgColor theme="0"/>
          <bgColor theme="0"/>
        </patternFill>
      </fill>
    </dxf>
    <dxf>
      <fill>
        <patternFill patternType="solid">
          <fgColor rgb="FFDBE5F1"/>
          <bgColor rgb="FFDBE5F1"/>
        </patternFill>
      </fill>
    </dxf>
    <dxf>
      <fill>
        <patternFill patternType="solid">
          <fgColor rgb="FFF2DBDB"/>
          <bgColor rgb="FFF2DBDB"/>
        </patternFill>
      </fill>
    </dxf>
    <dxf>
      <fill>
        <patternFill patternType="solid">
          <fgColor theme="0"/>
          <bgColor theme="0"/>
        </patternFill>
      </fill>
    </dxf>
    <dxf>
      <fill>
        <patternFill patternType="solid">
          <fgColor rgb="FFDBE5F1"/>
          <bgColor rgb="FFDBE5F1"/>
        </patternFill>
      </fill>
    </dxf>
    <dxf>
      <fill>
        <patternFill patternType="solid">
          <fgColor rgb="FFDAEEF3"/>
          <bgColor rgb="FFDAEEF3"/>
        </patternFill>
      </fill>
    </dxf>
    <dxf>
      <fill>
        <patternFill patternType="solid">
          <fgColor theme="0"/>
          <bgColor theme="0"/>
        </patternFill>
      </fill>
    </dxf>
  </dxfs>
  <tableStyles count="4" defaultTableStyle="TableStyleMedium2" defaultPivotStyle="PivotStyleLight16">
    <tableStyle name="10-style" pivot="0" count="3" xr9:uid="{F5164BB0-3D1F-41B1-9546-BB8610CCDA33}">
      <tableStyleElement type="headerRow" dxfId="10"/>
      <tableStyleElement type="firstRowStripe" dxfId="9"/>
      <tableStyleElement type="secondRowStripe" dxfId="8"/>
    </tableStyle>
    <tableStyle name="10-style 2" pivot="0" count="3" xr9:uid="{A2CEF5A3-0E43-4363-ACB7-879E82372D60}">
      <tableStyleElement type="headerRow" dxfId="7"/>
      <tableStyleElement type="firstRowStripe" dxfId="6"/>
      <tableStyleElement type="secondRowStripe" dxfId="5"/>
    </tableStyle>
    <tableStyle name="10-style 3" pivot="0" count="3" xr9:uid="{CAE2A7B2-7C08-4952-8608-C847BB0270B4}">
      <tableStyleElement type="headerRow" dxfId="4"/>
      <tableStyleElement type="firstRowStripe" dxfId="3"/>
      <tableStyleElement type="secondRowStripe" dxfId="2"/>
    </tableStyle>
    <tableStyle name="Table Style 1" pivot="0" count="0" xr9:uid="{434D04A8-9C3F-4E0F-BE98-7BFEE4B52D33}"/>
  </tableStyles>
  <colors>
    <mruColors>
      <color rgb="FFFFFF66"/>
      <color rgb="FFFFFF99"/>
      <color rgb="FFA5281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externalLink" Target="externalLinks/externalLink5.xml"/><Relationship Id="rId47" Type="http://schemas.openxmlformats.org/officeDocument/2006/relationships/externalLink" Target="externalLinks/externalLink10.xml"/><Relationship Id="rId63" Type="http://schemas.openxmlformats.org/officeDocument/2006/relationships/externalLink" Target="externalLinks/externalLink26.xml"/><Relationship Id="rId68" Type="http://schemas.openxmlformats.org/officeDocument/2006/relationships/externalLink" Target="externalLinks/externalLink31.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externalLink" Target="externalLinks/externalLink16.xml"/><Relationship Id="rId58" Type="http://schemas.openxmlformats.org/officeDocument/2006/relationships/externalLink" Target="externalLinks/externalLink21.xml"/><Relationship Id="rId74" Type="http://schemas.openxmlformats.org/officeDocument/2006/relationships/externalLink" Target="externalLinks/externalLink37.xml"/><Relationship Id="rId79" Type="http://schemas.microsoft.com/office/2017/06/relationships/rdRichValue" Target="richData/rdrichvalue.xml"/><Relationship Id="rId5" Type="http://schemas.openxmlformats.org/officeDocument/2006/relationships/worksheet" Target="worksheets/sheet5.xml"/><Relationship Id="rId61" Type="http://schemas.openxmlformats.org/officeDocument/2006/relationships/externalLink" Target="externalLinks/externalLink24.xml"/><Relationship Id="rId82"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6.xml"/><Relationship Id="rId48" Type="http://schemas.openxmlformats.org/officeDocument/2006/relationships/externalLink" Target="externalLinks/externalLink11.xml"/><Relationship Id="rId56" Type="http://schemas.openxmlformats.org/officeDocument/2006/relationships/externalLink" Target="externalLinks/externalLink19.xml"/><Relationship Id="rId64" Type="http://schemas.openxmlformats.org/officeDocument/2006/relationships/externalLink" Target="externalLinks/externalLink27.xml"/><Relationship Id="rId69" Type="http://schemas.openxmlformats.org/officeDocument/2006/relationships/externalLink" Target="externalLinks/externalLink32.xml"/><Relationship Id="rId77"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14.xml"/><Relationship Id="rId72" Type="http://schemas.openxmlformats.org/officeDocument/2006/relationships/externalLink" Target="externalLinks/externalLink35.xml"/><Relationship Id="rId80" Type="http://schemas.microsoft.com/office/2017/06/relationships/rdRichValueStructure" Target="richData/rdrichvaluestructure.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46" Type="http://schemas.openxmlformats.org/officeDocument/2006/relationships/externalLink" Target="externalLinks/externalLink9.xml"/><Relationship Id="rId59" Type="http://schemas.openxmlformats.org/officeDocument/2006/relationships/externalLink" Target="externalLinks/externalLink22.xml"/><Relationship Id="rId67" Type="http://schemas.openxmlformats.org/officeDocument/2006/relationships/externalLink" Target="externalLinks/externalLink30.xml"/><Relationship Id="rId20" Type="http://schemas.openxmlformats.org/officeDocument/2006/relationships/worksheet" Target="worksheets/sheet20.xml"/><Relationship Id="rId41" Type="http://schemas.openxmlformats.org/officeDocument/2006/relationships/externalLink" Target="externalLinks/externalLink4.xml"/><Relationship Id="rId54" Type="http://schemas.openxmlformats.org/officeDocument/2006/relationships/externalLink" Target="externalLinks/externalLink17.xml"/><Relationship Id="rId62" Type="http://schemas.openxmlformats.org/officeDocument/2006/relationships/externalLink" Target="externalLinks/externalLink25.xml"/><Relationship Id="rId70" Type="http://schemas.openxmlformats.org/officeDocument/2006/relationships/externalLink" Target="externalLinks/externalLink33.xml"/><Relationship Id="rId75"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2.xml"/><Relationship Id="rId57" Type="http://schemas.openxmlformats.org/officeDocument/2006/relationships/externalLink" Target="externalLinks/externalLink20.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7.xml"/><Relationship Id="rId52" Type="http://schemas.openxmlformats.org/officeDocument/2006/relationships/externalLink" Target="externalLinks/externalLink15.xml"/><Relationship Id="rId60" Type="http://schemas.openxmlformats.org/officeDocument/2006/relationships/externalLink" Target="externalLinks/externalLink23.xml"/><Relationship Id="rId65" Type="http://schemas.openxmlformats.org/officeDocument/2006/relationships/externalLink" Target="externalLinks/externalLink28.xml"/><Relationship Id="rId73" Type="http://schemas.openxmlformats.org/officeDocument/2006/relationships/externalLink" Target="externalLinks/externalLink36.xml"/><Relationship Id="rId78" Type="http://schemas.openxmlformats.org/officeDocument/2006/relationships/sheetMetadata" Target="metadata.xml"/><Relationship Id="rId81" Type="http://schemas.microsoft.com/office/2017/06/relationships/rdRichValueTypes" Target="richData/rdRichValueTyp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2.xml"/><Relationship Id="rId34" Type="http://schemas.openxmlformats.org/officeDocument/2006/relationships/worksheet" Target="worksheets/sheet34.xml"/><Relationship Id="rId50" Type="http://schemas.openxmlformats.org/officeDocument/2006/relationships/externalLink" Target="externalLinks/externalLink13.xml"/><Relationship Id="rId55" Type="http://schemas.openxmlformats.org/officeDocument/2006/relationships/externalLink" Target="externalLinks/externalLink18.xml"/><Relationship Id="rId76"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externalLink" Target="externalLinks/externalLink34.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3.xml"/><Relationship Id="rId45" Type="http://schemas.openxmlformats.org/officeDocument/2006/relationships/externalLink" Target="externalLinks/externalLink8.xml"/><Relationship Id="rId66" Type="http://schemas.openxmlformats.org/officeDocument/2006/relationships/externalLink" Target="externalLinks/externalLink29.xml"/></Relationships>
</file>

<file path=xl/drawings/_rels/drawing1.xml.rels><?xml version="1.0" encoding="UTF-8" standalone="yes"?>
<Relationships xmlns="http://schemas.openxmlformats.org/package/2006/relationships"><Relationship Id="rId3" Type="http://schemas.openxmlformats.org/officeDocument/2006/relationships/hyperlink" Target="#ROTULOS!A1"/><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hyperlink" Target="#'ANALISIS BASICOS'!A1"/><Relationship Id="rId5" Type="http://schemas.openxmlformats.org/officeDocument/2006/relationships/hyperlink" Target="#'LISTADO EQUIPOS'!A1"/><Relationship Id="rId4" Type="http://schemas.openxmlformats.org/officeDocument/2006/relationships/hyperlink" Target="#'LISTADO MATERI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3.jpg"/></Relationships>
</file>

<file path=xl/drawings/_rels/drawing3.xml.rels><?xml version="1.0" encoding="UTF-8" standalone="yes"?>
<Relationships xmlns="http://schemas.openxmlformats.org/package/2006/relationships"><Relationship Id="rId1" Type="http://schemas.openxmlformats.org/officeDocument/2006/relationships/image" Target="../media/image3.jp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7.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3.jpg"/></Relationships>
</file>

<file path=xl/drawings/_rels/drawing9.xml.rels><?xml version="1.0" encoding="UTF-8" standalone="yes"?>
<Relationships xmlns="http://schemas.openxmlformats.org/package/2006/relationships"><Relationship Id="rId1" Type="http://schemas.openxmlformats.org/officeDocument/2006/relationships/image" Target="../media/image3.jpg"/></Relationships>
</file>

<file path=xl/drawings/_rels/drawing10.xml.rels><?xml version="1.0" encoding="UTF-8" standalone="yes"?>
<Relationships xmlns="http://schemas.openxmlformats.org/package/2006/relationships"><Relationship Id="rId1" Type="http://schemas.openxmlformats.org/officeDocument/2006/relationships/image" Target="../media/image3.jpg"/></Relationships>
</file>

<file path=xl/drawings/_rels/drawing11.xml.rels><?xml version="1.0" encoding="UTF-8" standalone="yes"?>
<Relationships xmlns="http://schemas.openxmlformats.org/package/2006/relationships"><Relationship Id="rId3" Type="http://schemas.openxmlformats.org/officeDocument/2006/relationships/hyperlink" Target="#ROTULOS!A1"/><Relationship Id="rId2" Type="http://schemas.openxmlformats.org/officeDocument/2006/relationships/image" Target="../media/image2.jpeg"/><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5.xml.rels><?xml version="1.0" encoding="UTF-8" standalone="yes"?>
<Relationships xmlns="http://schemas.openxmlformats.org/package/2006/relationships"><Relationship Id="rId26" Type="http://schemas.openxmlformats.org/officeDocument/2006/relationships/image" Target="../media/image33.png"/><Relationship Id="rId21" Type="http://schemas.openxmlformats.org/officeDocument/2006/relationships/image" Target="../media/image28.png"/><Relationship Id="rId42" Type="http://schemas.openxmlformats.org/officeDocument/2006/relationships/image" Target="../media/image49.png"/><Relationship Id="rId47" Type="http://schemas.openxmlformats.org/officeDocument/2006/relationships/image" Target="../media/image54.png"/><Relationship Id="rId63" Type="http://schemas.openxmlformats.org/officeDocument/2006/relationships/image" Target="../media/image70.png"/><Relationship Id="rId68" Type="http://schemas.openxmlformats.org/officeDocument/2006/relationships/image" Target="../media/image75.png"/><Relationship Id="rId84" Type="http://schemas.openxmlformats.org/officeDocument/2006/relationships/image" Target="../media/image91.png"/><Relationship Id="rId89" Type="http://schemas.openxmlformats.org/officeDocument/2006/relationships/image" Target="../media/image96.png"/><Relationship Id="rId16" Type="http://schemas.openxmlformats.org/officeDocument/2006/relationships/image" Target="../media/image23.png"/><Relationship Id="rId11" Type="http://schemas.openxmlformats.org/officeDocument/2006/relationships/image" Target="../media/image18.png"/><Relationship Id="rId32" Type="http://schemas.openxmlformats.org/officeDocument/2006/relationships/image" Target="../media/image39.png"/><Relationship Id="rId37" Type="http://schemas.openxmlformats.org/officeDocument/2006/relationships/image" Target="../media/image44.png"/><Relationship Id="rId53" Type="http://schemas.openxmlformats.org/officeDocument/2006/relationships/image" Target="../media/image60.png"/><Relationship Id="rId58" Type="http://schemas.openxmlformats.org/officeDocument/2006/relationships/image" Target="../media/image65.png"/><Relationship Id="rId74" Type="http://schemas.openxmlformats.org/officeDocument/2006/relationships/image" Target="../media/image81.png"/><Relationship Id="rId79" Type="http://schemas.openxmlformats.org/officeDocument/2006/relationships/image" Target="../media/image86.png"/><Relationship Id="rId102" Type="http://schemas.openxmlformats.org/officeDocument/2006/relationships/image" Target="../media/image109.png"/><Relationship Id="rId5" Type="http://schemas.openxmlformats.org/officeDocument/2006/relationships/image" Target="../media/image12.png"/><Relationship Id="rId90" Type="http://schemas.openxmlformats.org/officeDocument/2006/relationships/image" Target="../media/image97.png"/><Relationship Id="rId95" Type="http://schemas.openxmlformats.org/officeDocument/2006/relationships/image" Target="../media/image102.png"/><Relationship Id="rId22" Type="http://schemas.openxmlformats.org/officeDocument/2006/relationships/image" Target="../media/image29.png"/><Relationship Id="rId27" Type="http://schemas.openxmlformats.org/officeDocument/2006/relationships/image" Target="../media/image34.png"/><Relationship Id="rId43" Type="http://schemas.openxmlformats.org/officeDocument/2006/relationships/image" Target="../media/image50.png"/><Relationship Id="rId48" Type="http://schemas.openxmlformats.org/officeDocument/2006/relationships/image" Target="../media/image55.png"/><Relationship Id="rId64" Type="http://schemas.openxmlformats.org/officeDocument/2006/relationships/image" Target="../media/image71.png"/><Relationship Id="rId69" Type="http://schemas.openxmlformats.org/officeDocument/2006/relationships/image" Target="../media/image76.png"/><Relationship Id="rId80" Type="http://schemas.openxmlformats.org/officeDocument/2006/relationships/image" Target="../media/image87.png"/><Relationship Id="rId85" Type="http://schemas.openxmlformats.org/officeDocument/2006/relationships/image" Target="../media/image92.png"/><Relationship Id="rId12" Type="http://schemas.openxmlformats.org/officeDocument/2006/relationships/image" Target="../media/image19.png"/><Relationship Id="rId17" Type="http://schemas.openxmlformats.org/officeDocument/2006/relationships/image" Target="../media/image24.png"/><Relationship Id="rId33" Type="http://schemas.openxmlformats.org/officeDocument/2006/relationships/image" Target="../media/image40.png"/><Relationship Id="rId38" Type="http://schemas.openxmlformats.org/officeDocument/2006/relationships/image" Target="../media/image45.png"/><Relationship Id="rId59" Type="http://schemas.openxmlformats.org/officeDocument/2006/relationships/image" Target="../media/image66.png"/><Relationship Id="rId103" Type="http://schemas.openxmlformats.org/officeDocument/2006/relationships/image" Target="../media/image110.png"/><Relationship Id="rId20" Type="http://schemas.openxmlformats.org/officeDocument/2006/relationships/image" Target="../media/image27.png"/><Relationship Id="rId41" Type="http://schemas.openxmlformats.org/officeDocument/2006/relationships/image" Target="../media/image48.png"/><Relationship Id="rId54" Type="http://schemas.openxmlformats.org/officeDocument/2006/relationships/image" Target="../media/image61.png"/><Relationship Id="rId62" Type="http://schemas.openxmlformats.org/officeDocument/2006/relationships/image" Target="../media/image69.png"/><Relationship Id="rId70" Type="http://schemas.openxmlformats.org/officeDocument/2006/relationships/image" Target="../media/image77.png"/><Relationship Id="rId75" Type="http://schemas.openxmlformats.org/officeDocument/2006/relationships/image" Target="../media/image82.png"/><Relationship Id="rId83" Type="http://schemas.openxmlformats.org/officeDocument/2006/relationships/image" Target="../media/image90.png"/><Relationship Id="rId88" Type="http://schemas.openxmlformats.org/officeDocument/2006/relationships/image" Target="../media/image95.png"/><Relationship Id="rId91" Type="http://schemas.openxmlformats.org/officeDocument/2006/relationships/image" Target="../media/image98.png"/><Relationship Id="rId96" Type="http://schemas.openxmlformats.org/officeDocument/2006/relationships/image" Target="../media/image103.png"/><Relationship Id="rId1" Type="http://schemas.openxmlformats.org/officeDocument/2006/relationships/image" Target="../media/image8.png"/><Relationship Id="rId6" Type="http://schemas.openxmlformats.org/officeDocument/2006/relationships/image" Target="../media/image13.png"/><Relationship Id="rId15" Type="http://schemas.openxmlformats.org/officeDocument/2006/relationships/image" Target="../media/image22.png"/><Relationship Id="rId23" Type="http://schemas.openxmlformats.org/officeDocument/2006/relationships/image" Target="../media/image30.png"/><Relationship Id="rId28" Type="http://schemas.openxmlformats.org/officeDocument/2006/relationships/image" Target="../media/image35.png"/><Relationship Id="rId36" Type="http://schemas.openxmlformats.org/officeDocument/2006/relationships/image" Target="../media/image43.png"/><Relationship Id="rId49" Type="http://schemas.openxmlformats.org/officeDocument/2006/relationships/image" Target="../media/image56.png"/><Relationship Id="rId57" Type="http://schemas.openxmlformats.org/officeDocument/2006/relationships/image" Target="../media/image64.png"/><Relationship Id="rId106" Type="http://schemas.openxmlformats.org/officeDocument/2006/relationships/image" Target="../media/image113.png"/><Relationship Id="rId10" Type="http://schemas.openxmlformats.org/officeDocument/2006/relationships/image" Target="../media/image17.png"/><Relationship Id="rId31" Type="http://schemas.openxmlformats.org/officeDocument/2006/relationships/image" Target="../media/image38.png"/><Relationship Id="rId44" Type="http://schemas.openxmlformats.org/officeDocument/2006/relationships/image" Target="../media/image51.png"/><Relationship Id="rId52" Type="http://schemas.openxmlformats.org/officeDocument/2006/relationships/image" Target="../media/image59.png"/><Relationship Id="rId60" Type="http://schemas.openxmlformats.org/officeDocument/2006/relationships/image" Target="../media/image67.png"/><Relationship Id="rId65" Type="http://schemas.openxmlformats.org/officeDocument/2006/relationships/image" Target="../media/image72.png"/><Relationship Id="rId73" Type="http://schemas.openxmlformats.org/officeDocument/2006/relationships/image" Target="../media/image80.png"/><Relationship Id="rId78" Type="http://schemas.openxmlformats.org/officeDocument/2006/relationships/image" Target="../media/image85.png"/><Relationship Id="rId81" Type="http://schemas.openxmlformats.org/officeDocument/2006/relationships/image" Target="../media/image88.png"/><Relationship Id="rId86" Type="http://schemas.openxmlformats.org/officeDocument/2006/relationships/image" Target="../media/image93.png"/><Relationship Id="rId94" Type="http://schemas.openxmlformats.org/officeDocument/2006/relationships/image" Target="../media/image101.png"/><Relationship Id="rId99" Type="http://schemas.openxmlformats.org/officeDocument/2006/relationships/image" Target="../media/image106.png"/><Relationship Id="rId101" Type="http://schemas.openxmlformats.org/officeDocument/2006/relationships/image" Target="../media/image108.png"/><Relationship Id="rId4" Type="http://schemas.openxmlformats.org/officeDocument/2006/relationships/image" Target="../media/image11.png"/><Relationship Id="rId9" Type="http://schemas.openxmlformats.org/officeDocument/2006/relationships/image" Target="../media/image16.png"/><Relationship Id="rId13" Type="http://schemas.openxmlformats.org/officeDocument/2006/relationships/image" Target="../media/image20.png"/><Relationship Id="rId18" Type="http://schemas.openxmlformats.org/officeDocument/2006/relationships/image" Target="../media/image25.png"/><Relationship Id="rId39" Type="http://schemas.openxmlformats.org/officeDocument/2006/relationships/image" Target="../media/image46.png"/><Relationship Id="rId34" Type="http://schemas.openxmlformats.org/officeDocument/2006/relationships/image" Target="../media/image41.png"/><Relationship Id="rId50" Type="http://schemas.openxmlformats.org/officeDocument/2006/relationships/image" Target="../media/image57.png"/><Relationship Id="rId55" Type="http://schemas.openxmlformats.org/officeDocument/2006/relationships/image" Target="../media/image62.png"/><Relationship Id="rId76" Type="http://schemas.openxmlformats.org/officeDocument/2006/relationships/image" Target="../media/image83.png"/><Relationship Id="rId97" Type="http://schemas.openxmlformats.org/officeDocument/2006/relationships/image" Target="../media/image104.png"/><Relationship Id="rId104" Type="http://schemas.openxmlformats.org/officeDocument/2006/relationships/image" Target="../media/image111.png"/><Relationship Id="rId7" Type="http://schemas.openxmlformats.org/officeDocument/2006/relationships/image" Target="../media/image14.png"/><Relationship Id="rId71" Type="http://schemas.openxmlformats.org/officeDocument/2006/relationships/image" Target="../media/image78.png"/><Relationship Id="rId92" Type="http://schemas.openxmlformats.org/officeDocument/2006/relationships/image" Target="../media/image99.png"/><Relationship Id="rId2" Type="http://schemas.openxmlformats.org/officeDocument/2006/relationships/image" Target="../media/image9.png"/><Relationship Id="rId29" Type="http://schemas.openxmlformats.org/officeDocument/2006/relationships/image" Target="../media/image36.png"/><Relationship Id="rId24" Type="http://schemas.openxmlformats.org/officeDocument/2006/relationships/image" Target="../media/image31.png"/><Relationship Id="rId40" Type="http://schemas.openxmlformats.org/officeDocument/2006/relationships/image" Target="../media/image47.png"/><Relationship Id="rId45" Type="http://schemas.openxmlformats.org/officeDocument/2006/relationships/image" Target="../media/image52.png"/><Relationship Id="rId66" Type="http://schemas.openxmlformats.org/officeDocument/2006/relationships/image" Target="../media/image73.png"/><Relationship Id="rId87" Type="http://schemas.openxmlformats.org/officeDocument/2006/relationships/image" Target="../media/image94.png"/><Relationship Id="rId61" Type="http://schemas.openxmlformats.org/officeDocument/2006/relationships/image" Target="../media/image68.png"/><Relationship Id="rId82" Type="http://schemas.openxmlformats.org/officeDocument/2006/relationships/image" Target="../media/image89.png"/><Relationship Id="rId19" Type="http://schemas.openxmlformats.org/officeDocument/2006/relationships/image" Target="../media/image26.png"/><Relationship Id="rId14" Type="http://schemas.openxmlformats.org/officeDocument/2006/relationships/image" Target="../media/image21.png"/><Relationship Id="rId30" Type="http://schemas.openxmlformats.org/officeDocument/2006/relationships/image" Target="../media/image37.png"/><Relationship Id="rId35" Type="http://schemas.openxmlformats.org/officeDocument/2006/relationships/image" Target="../media/image42.png"/><Relationship Id="rId56" Type="http://schemas.openxmlformats.org/officeDocument/2006/relationships/image" Target="../media/image63.png"/><Relationship Id="rId77" Type="http://schemas.openxmlformats.org/officeDocument/2006/relationships/image" Target="../media/image84.png"/><Relationship Id="rId100" Type="http://schemas.openxmlformats.org/officeDocument/2006/relationships/image" Target="../media/image107.png"/><Relationship Id="rId105" Type="http://schemas.openxmlformats.org/officeDocument/2006/relationships/image" Target="../media/image112.png"/><Relationship Id="rId8" Type="http://schemas.openxmlformats.org/officeDocument/2006/relationships/image" Target="../media/image15.png"/><Relationship Id="rId51" Type="http://schemas.openxmlformats.org/officeDocument/2006/relationships/image" Target="../media/image58.png"/><Relationship Id="rId72" Type="http://schemas.openxmlformats.org/officeDocument/2006/relationships/image" Target="../media/image79.png"/><Relationship Id="rId93" Type="http://schemas.openxmlformats.org/officeDocument/2006/relationships/image" Target="../media/image100.png"/><Relationship Id="rId98" Type="http://schemas.openxmlformats.org/officeDocument/2006/relationships/image" Target="../media/image105.png"/><Relationship Id="rId3" Type="http://schemas.openxmlformats.org/officeDocument/2006/relationships/image" Target="../media/image10.png"/><Relationship Id="rId25" Type="http://schemas.openxmlformats.org/officeDocument/2006/relationships/image" Target="../media/image32.png"/><Relationship Id="rId46" Type="http://schemas.openxmlformats.org/officeDocument/2006/relationships/image" Target="../media/image53.png"/><Relationship Id="rId67" Type="http://schemas.openxmlformats.org/officeDocument/2006/relationships/image" Target="../media/image74.png"/></Relationships>
</file>

<file path=xl/drawings/_rels/drawing16.xml.rels><?xml version="1.0" encoding="UTF-8" standalone="yes"?>
<Relationships xmlns="http://schemas.openxmlformats.org/package/2006/relationships"><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1" Type="http://schemas.openxmlformats.org/officeDocument/2006/relationships/image" Target="../media/image3.jpg"/></Relationships>
</file>

<file path=xl/drawings/_rels/drawing20.xml.rels><?xml version="1.0" encoding="UTF-8" standalone="yes"?>
<Relationships xmlns="http://schemas.openxmlformats.org/package/2006/relationships"><Relationship Id="rId1" Type="http://schemas.openxmlformats.org/officeDocument/2006/relationships/image" Target="../media/image3.jpg"/></Relationships>
</file>

<file path=xl/drawings/_rels/drawing21.xml.rels><?xml version="1.0" encoding="UTF-8" standalone="yes"?>
<Relationships xmlns="http://schemas.openxmlformats.org/package/2006/relationships"><Relationship Id="rId1" Type="http://schemas.openxmlformats.org/officeDocument/2006/relationships/image" Target="../media/image3.jpg"/></Relationships>
</file>

<file path=xl/drawings/_rels/drawing22.xml.rels><?xml version="1.0" encoding="UTF-8" standalone="yes"?>
<Relationships xmlns="http://schemas.openxmlformats.org/package/2006/relationships"><Relationship Id="rId3" Type="http://schemas.openxmlformats.org/officeDocument/2006/relationships/hyperlink" Target="#ROTULOS!A1"/><Relationship Id="rId7" Type="http://schemas.openxmlformats.org/officeDocument/2006/relationships/image" Target="../media/image114.gif"/><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hyperlink" Target="#'ANALISIS BASICOS'!A1"/><Relationship Id="rId5" Type="http://schemas.openxmlformats.org/officeDocument/2006/relationships/hyperlink" Target="#'LISTADO EQUIPOS'!A1"/><Relationship Id="rId4" Type="http://schemas.openxmlformats.org/officeDocument/2006/relationships/hyperlink" Target="#'LISTADO MATERIALES'!A1"/></Relationships>
</file>

<file path=xl/drawings/_rels/drawing23.xml.rels><?xml version="1.0" encoding="UTF-8" standalone="yes"?>
<Relationships xmlns="http://schemas.openxmlformats.org/package/2006/relationships"><Relationship Id="rId8" Type="http://schemas.openxmlformats.org/officeDocument/2006/relationships/image" Target="../media/image116.emf"/><Relationship Id="rId3" Type="http://schemas.openxmlformats.org/officeDocument/2006/relationships/hyperlink" Target="#ROTULOS!A1"/><Relationship Id="rId7" Type="http://schemas.openxmlformats.org/officeDocument/2006/relationships/image" Target="../media/image115.pn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hyperlink" Target="#'ANALISIS BASICOS'!A1"/><Relationship Id="rId5" Type="http://schemas.openxmlformats.org/officeDocument/2006/relationships/hyperlink" Target="#'LISTADO EQUIPOS'!A1"/><Relationship Id="rId4" Type="http://schemas.openxmlformats.org/officeDocument/2006/relationships/hyperlink" Target="#'LISTADO MATERIALES'!A1"/></Relationships>
</file>

<file path=xl/drawings/_rels/drawing24.xml.rels><?xml version="1.0" encoding="UTF-8" standalone="yes"?>
<Relationships xmlns="http://schemas.openxmlformats.org/package/2006/relationships"><Relationship Id="rId3" Type="http://schemas.openxmlformats.org/officeDocument/2006/relationships/hyperlink" Target="#ROTULOS!A1"/><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116.emf"/></Relationships>
</file>

<file path=xl/drawings/_rels/drawing25.xml.rels><?xml version="1.0" encoding="UTF-8" standalone="yes"?>
<Relationships xmlns="http://schemas.openxmlformats.org/package/2006/relationships"><Relationship Id="rId3" Type="http://schemas.openxmlformats.org/officeDocument/2006/relationships/image" Target="../media/image115.png"/><Relationship Id="rId2" Type="http://schemas.openxmlformats.org/officeDocument/2006/relationships/image" Target="../media/image114.gif"/><Relationship Id="rId1" Type="http://schemas.openxmlformats.org/officeDocument/2006/relationships/hyperlink" Target="#ROTULOS!A1"/></Relationships>
</file>

<file path=xl/drawings/_rels/drawing26.xml.rels><?xml version="1.0" encoding="UTF-8" standalone="yes"?>
<Relationships xmlns="http://schemas.openxmlformats.org/package/2006/relationships"><Relationship Id="rId1" Type="http://schemas.openxmlformats.org/officeDocument/2006/relationships/image" Target="../media/image116.emf"/></Relationships>
</file>

<file path=xl/drawings/drawing1.xml><?xml version="1.0" encoding="utf-8"?>
<xdr:wsDr xmlns:xdr="http://schemas.openxmlformats.org/drawingml/2006/spreadsheetDrawing" xmlns:a="http://schemas.openxmlformats.org/drawingml/2006/main">
  <xdr:twoCellAnchor>
    <xdr:from>
      <xdr:col>4</xdr:col>
      <xdr:colOff>523875</xdr:colOff>
      <xdr:row>6</xdr:row>
      <xdr:rowOff>9525</xdr:rowOff>
    </xdr:from>
    <xdr:to>
      <xdr:col>6</xdr:col>
      <xdr:colOff>704850</xdr:colOff>
      <xdr:row>7</xdr:row>
      <xdr:rowOff>289076</xdr:rowOff>
    </xdr:to>
    <xdr:pic>
      <xdr:nvPicPr>
        <xdr:cNvPr id="2" name="1 Imagen" descr="NEIVA UNIDA">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99060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6</xdr:row>
      <xdr:rowOff>28575</xdr:rowOff>
    </xdr:from>
    <xdr:to>
      <xdr:col>4</xdr:col>
      <xdr:colOff>470927</xdr:colOff>
      <xdr:row>7</xdr:row>
      <xdr:rowOff>285750</xdr:rowOff>
    </xdr:to>
    <xdr:pic>
      <xdr:nvPicPr>
        <xdr:cNvPr id="3" name="2 Imagen" descr="44 AÑOS">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00965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70</xdr:row>
      <xdr:rowOff>9525</xdr:rowOff>
    </xdr:from>
    <xdr:to>
      <xdr:col>6</xdr:col>
      <xdr:colOff>704850</xdr:colOff>
      <xdr:row>71</xdr:row>
      <xdr:rowOff>289076</xdr:rowOff>
    </xdr:to>
    <xdr:pic>
      <xdr:nvPicPr>
        <xdr:cNvPr id="4" name="3 Imagen" descr="NEIVA UNIDA">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1301115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70</xdr:row>
      <xdr:rowOff>28575</xdr:rowOff>
    </xdr:from>
    <xdr:to>
      <xdr:col>4</xdr:col>
      <xdr:colOff>470927</xdr:colOff>
      <xdr:row>71</xdr:row>
      <xdr:rowOff>285750</xdr:rowOff>
    </xdr:to>
    <xdr:pic>
      <xdr:nvPicPr>
        <xdr:cNvPr id="5" name="4 Imagen" descr="44 AÑOS">
          <a:extLst>
            <a:ext uri="{FF2B5EF4-FFF2-40B4-BE49-F238E27FC236}">
              <a16:creationId xmlns:a16="http://schemas.microsoft.com/office/drawing/2014/main" id="{00000000-0008-0000-04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303020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105</xdr:row>
      <xdr:rowOff>9525</xdr:rowOff>
    </xdr:from>
    <xdr:to>
      <xdr:col>6</xdr:col>
      <xdr:colOff>704850</xdr:colOff>
      <xdr:row>106</xdr:row>
      <xdr:rowOff>289076</xdr:rowOff>
    </xdr:to>
    <xdr:pic>
      <xdr:nvPicPr>
        <xdr:cNvPr id="6" name="5 Imagen" descr="NEIVA UNIDA">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1960245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105</xdr:row>
      <xdr:rowOff>28575</xdr:rowOff>
    </xdr:from>
    <xdr:to>
      <xdr:col>4</xdr:col>
      <xdr:colOff>470927</xdr:colOff>
      <xdr:row>106</xdr:row>
      <xdr:rowOff>285750</xdr:rowOff>
    </xdr:to>
    <xdr:pic>
      <xdr:nvPicPr>
        <xdr:cNvPr id="7" name="6 Imagen" descr="44 AÑOS">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962150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138</xdr:row>
      <xdr:rowOff>9525</xdr:rowOff>
    </xdr:from>
    <xdr:to>
      <xdr:col>6</xdr:col>
      <xdr:colOff>704850</xdr:colOff>
      <xdr:row>139</xdr:row>
      <xdr:rowOff>289076</xdr:rowOff>
    </xdr:to>
    <xdr:pic>
      <xdr:nvPicPr>
        <xdr:cNvPr id="8" name="7 Imagen" descr="NEIVA UNIDA">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2591752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138</xdr:row>
      <xdr:rowOff>28575</xdr:rowOff>
    </xdr:from>
    <xdr:to>
      <xdr:col>4</xdr:col>
      <xdr:colOff>470927</xdr:colOff>
      <xdr:row>139</xdr:row>
      <xdr:rowOff>285750</xdr:rowOff>
    </xdr:to>
    <xdr:pic>
      <xdr:nvPicPr>
        <xdr:cNvPr id="9" name="8 Imagen" descr="44 AÑOS">
          <a:extLst>
            <a:ext uri="{FF2B5EF4-FFF2-40B4-BE49-F238E27FC236}">
              <a16:creationId xmlns:a16="http://schemas.microsoft.com/office/drawing/2014/main" id="{00000000-0008-0000-0400-00000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2593657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170</xdr:row>
      <xdr:rowOff>9525</xdr:rowOff>
    </xdr:from>
    <xdr:to>
      <xdr:col>6</xdr:col>
      <xdr:colOff>704850</xdr:colOff>
      <xdr:row>171</xdr:row>
      <xdr:rowOff>289076</xdr:rowOff>
    </xdr:to>
    <xdr:pic>
      <xdr:nvPicPr>
        <xdr:cNvPr id="10" name="9 Imagen" descr="NEIVA UNIDA">
          <a:extLst>
            <a:ext uri="{FF2B5EF4-FFF2-40B4-BE49-F238E27FC236}">
              <a16:creationId xmlns:a16="http://schemas.microsoft.com/office/drawing/2014/main" id="{00000000-0008-0000-04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3206115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170</xdr:row>
      <xdr:rowOff>28575</xdr:rowOff>
    </xdr:from>
    <xdr:to>
      <xdr:col>4</xdr:col>
      <xdr:colOff>470927</xdr:colOff>
      <xdr:row>171</xdr:row>
      <xdr:rowOff>285750</xdr:rowOff>
    </xdr:to>
    <xdr:pic>
      <xdr:nvPicPr>
        <xdr:cNvPr id="11" name="10 Imagen" descr="44 AÑOS">
          <a:extLst>
            <a:ext uri="{FF2B5EF4-FFF2-40B4-BE49-F238E27FC236}">
              <a16:creationId xmlns:a16="http://schemas.microsoft.com/office/drawing/2014/main" id="{00000000-0008-0000-0400-00000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3208020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236</xdr:row>
      <xdr:rowOff>9525</xdr:rowOff>
    </xdr:from>
    <xdr:to>
      <xdr:col>6</xdr:col>
      <xdr:colOff>704850</xdr:colOff>
      <xdr:row>237</xdr:row>
      <xdr:rowOff>289076</xdr:rowOff>
    </xdr:to>
    <xdr:pic>
      <xdr:nvPicPr>
        <xdr:cNvPr id="12" name="11 Imagen" descr="NEIVA UNIDA">
          <a:extLst>
            <a:ext uri="{FF2B5EF4-FFF2-40B4-BE49-F238E27FC236}">
              <a16:creationId xmlns:a16="http://schemas.microsoft.com/office/drawing/2014/main" id="{00000000-0008-0000-04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4469130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236</xdr:row>
      <xdr:rowOff>28575</xdr:rowOff>
    </xdr:from>
    <xdr:to>
      <xdr:col>4</xdr:col>
      <xdr:colOff>470927</xdr:colOff>
      <xdr:row>237</xdr:row>
      <xdr:rowOff>285750</xdr:rowOff>
    </xdr:to>
    <xdr:pic>
      <xdr:nvPicPr>
        <xdr:cNvPr id="13" name="12 Imagen" descr="44 AÑOS">
          <a:extLst>
            <a:ext uri="{FF2B5EF4-FFF2-40B4-BE49-F238E27FC236}">
              <a16:creationId xmlns:a16="http://schemas.microsoft.com/office/drawing/2014/main" id="{00000000-0008-0000-0400-00000D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4471035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374</xdr:row>
      <xdr:rowOff>9525</xdr:rowOff>
    </xdr:from>
    <xdr:to>
      <xdr:col>6</xdr:col>
      <xdr:colOff>704850</xdr:colOff>
      <xdr:row>375</xdr:row>
      <xdr:rowOff>289076</xdr:rowOff>
    </xdr:to>
    <xdr:pic>
      <xdr:nvPicPr>
        <xdr:cNvPr id="14" name="13 Imagen" descr="NEIVA UNIDA">
          <a:extLst>
            <a:ext uri="{FF2B5EF4-FFF2-40B4-BE49-F238E27FC236}">
              <a16:creationId xmlns:a16="http://schemas.microsoft.com/office/drawing/2014/main" id="{00000000-0008-0000-04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7058025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374</xdr:row>
      <xdr:rowOff>28575</xdr:rowOff>
    </xdr:from>
    <xdr:to>
      <xdr:col>4</xdr:col>
      <xdr:colOff>470927</xdr:colOff>
      <xdr:row>375</xdr:row>
      <xdr:rowOff>285750</xdr:rowOff>
    </xdr:to>
    <xdr:pic>
      <xdr:nvPicPr>
        <xdr:cNvPr id="15" name="14 Imagen" descr="44 AÑOS">
          <a:extLst>
            <a:ext uri="{FF2B5EF4-FFF2-40B4-BE49-F238E27FC236}">
              <a16:creationId xmlns:a16="http://schemas.microsoft.com/office/drawing/2014/main" id="{00000000-0008-0000-04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7059930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406</xdr:row>
      <xdr:rowOff>9525</xdr:rowOff>
    </xdr:from>
    <xdr:to>
      <xdr:col>6</xdr:col>
      <xdr:colOff>704850</xdr:colOff>
      <xdr:row>407</xdr:row>
      <xdr:rowOff>289076</xdr:rowOff>
    </xdr:to>
    <xdr:pic>
      <xdr:nvPicPr>
        <xdr:cNvPr id="16" name="15 Imagen" descr="NEIVA UNIDA">
          <a:extLst>
            <a:ext uri="{FF2B5EF4-FFF2-40B4-BE49-F238E27FC236}">
              <a16:creationId xmlns:a16="http://schemas.microsoft.com/office/drawing/2014/main" id="{00000000-0008-0000-04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7668577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406</xdr:row>
      <xdr:rowOff>28575</xdr:rowOff>
    </xdr:from>
    <xdr:to>
      <xdr:col>4</xdr:col>
      <xdr:colOff>470927</xdr:colOff>
      <xdr:row>407</xdr:row>
      <xdr:rowOff>285750</xdr:rowOff>
    </xdr:to>
    <xdr:pic>
      <xdr:nvPicPr>
        <xdr:cNvPr id="17" name="16 Imagen" descr="44 AÑOS">
          <a:extLst>
            <a:ext uri="{FF2B5EF4-FFF2-40B4-BE49-F238E27FC236}">
              <a16:creationId xmlns:a16="http://schemas.microsoft.com/office/drawing/2014/main" id="{00000000-0008-0000-0400-000011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7670482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38</xdr:row>
      <xdr:rowOff>9525</xdr:rowOff>
    </xdr:from>
    <xdr:to>
      <xdr:col>6</xdr:col>
      <xdr:colOff>704850</xdr:colOff>
      <xdr:row>39</xdr:row>
      <xdr:rowOff>289076</xdr:rowOff>
    </xdr:to>
    <xdr:pic>
      <xdr:nvPicPr>
        <xdr:cNvPr id="18" name="17 Imagen" descr="NEIVA UNIDA">
          <a:extLst>
            <a:ext uri="{FF2B5EF4-FFF2-40B4-BE49-F238E27FC236}">
              <a16:creationId xmlns:a16="http://schemas.microsoft.com/office/drawing/2014/main" id="{00000000-0008-0000-04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700087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38</xdr:row>
      <xdr:rowOff>28575</xdr:rowOff>
    </xdr:from>
    <xdr:to>
      <xdr:col>4</xdr:col>
      <xdr:colOff>470927</xdr:colOff>
      <xdr:row>39</xdr:row>
      <xdr:rowOff>285750</xdr:rowOff>
    </xdr:to>
    <xdr:pic>
      <xdr:nvPicPr>
        <xdr:cNvPr id="19" name="18 Imagen" descr="44 AÑOS">
          <a:extLst>
            <a:ext uri="{FF2B5EF4-FFF2-40B4-BE49-F238E27FC236}">
              <a16:creationId xmlns:a16="http://schemas.microsoft.com/office/drawing/2014/main" id="{00000000-0008-0000-0400-00001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701992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272</xdr:row>
      <xdr:rowOff>9525</xdr:rowOff>
    </xdr:from>
    <xdr:to>
      <xdr:col>6</xdr:col>
      <xdr:colOff>704850</xdr:colOff>
      <xdr:row>273</xdr:row>
      <xdr:rowOff>289076</xdr:rowOff>
    </xdr:to>
    <xdr:pic>
      <xdr:nvPicPr>
        <xdr:cNvPr id="20" name="19 Imagen" descr="NEIVA UNIDA">
          <a:extLst>
            <a:ext uri="{FF2B5EF4-FFF2-40B4-BE49-F238E27FC236}">
              <a16:creationId xmlns:a16="http://schemas.microsoft.com/office/drawing/2014/main" id="{00000000-0008-0000-04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5140642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272</xdr:row>
      <xdr:rowOff>28575</xdr:rowOff>
    </xdr:from>
    <xdr:to>
      <xdr:col>4</xdr:col>
      <xdr:colOff>470927</xdr:colOff>
      <xdr:row>273</xdr:row>
      <xdr:rowOff>285750</xdr:rowOff>
    </xdr:to>
    <xdr:pic>
      <xdr:nvPicPr>
        <xdr:cNvPr id="21" name="20 Imagen" descr="44 AÑOS">
          <a:extLst>
            <a:ext uri="{FF2B5EF4-FFF2-40B4-BE49-F238E27FC236}">
              <a16:creationId xmlns:a16="http://schemas.microsoft.com/office/drawing/2014/main" id="{00000000-0008-0000-0400-00001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5142547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202</xdr:row>
      <xdr:rowOff>9525</xdr:rowOff>
    </xdr:from>
    <xdr:to>
      <xdr:col>6</xdr:col>
      <xdr:colOff>704850</xdr:colOff>
      <xdr:row>203</xdr:row>
      <xdr:rowOff>289076</xdr:rowOff>
    </xdr:to>
    <xdr:pic>
      <xdr:nvPicPr>
        <xdr:cNvPr id="22" name="21 Imagen" descr="NEIVA UNIDA">
          <a:extLst>
            <a:ext uri="{FF2B5EF4-FFF2-40B4-BE49-F238E27FC236}">
              <a16:creationId xmlns:a16="http://schemas.microsoft.com/office/drawing/2014/main" id="{00000000-0008-0000-04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3820477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202</xdr:row>
      <xdr:rowOff>28575</xdr:rowOff>
    </xdr:from>
    <xdr:to>
      <xdr:col>4</xdr:col>
      <xdr:colOff>470927</xdr:colOff>
      <xdr:row>203</xdr:row>
      <xdr:rowOff>285750</xdr:rowOff>
    </xdr:to>
    <xdr:pic>
      <xdr:nvPicPr>
        <xdr:cNvPr id="23" name="22 Imagen" descr="44 AÑOS">
          <a:extLst>
            <a:ext uri="{FF2B5EF4-FFF2-40B4-BE49-F238E27FC236}">
              <a16:creationId xmlns:a16="http://schemas.microsoft.com/office/drawing/2014/main" id="{00000000-0008-0000-0400-00001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3822382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308</xdr:row>
      <xdr:rowOff>9525</xdr:rowOff>
    </xdr:from>
    <xdr:to>
      <xdr:col>6</xdr:col>
      <xdr:colOff>704850</xdr:colOff>
      <xdr:row>309</xdr:row>
      <xdr:rowOff>289076</xdr:rowOff>
    </xdr:to>
    <xdr:pic>
      <xdr:nvPicPr>
        <xdr:cNvPr id="24" name="23 Imagen" descr="NEIVA UNIDA">
          <a:extLst>
            <a:ext uri="{FF2B5EF4-FFF2-40B4-BE49-F238E27FC236}">
              <a16:creationId xmlns:a16="http://schemas.microsoft.com/office/drawing/2014/main" id="{00000000-0008-0000-04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5812155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308</xdr:row>
      <xdr:rowOff>28575</xdr:rowOff>
    </xdr:from>
    <xdr:to>
      <xdr:col>4</xdr:col>
      <xdr:colOff>470927</xdr:colOff>
      <xdr:row>309</xdr:row>
      <xdr:rowOff>285750</xdr:rowOff>
    </xdr:to>
    <xdr:pic>
      <xdr:nvPicPr>
        <xdr:cNvPr id="25" name="24 Imagen" descr="44 AÑOS">
          <a:extLst>
            <a:ext uri="{FF2B5EF4-FFF2-40B4-BE49-F238E27FC236}">
              <a16:creationId xmlns:a16="http://schemas.microsoft.com/office/drawing/2014/main" id="{00000000-0008-0000-0400-00001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5814060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341</xdr:row>
      <xdr:rowOff>9525</xdr:rowOff>
    </xdr:from>
    <xdr:to>
      <xdr:col>6</xdr:col>
      <xdr:colOff>704850</xdr:colOff>
      <xdr:row>342</xdr:row>
      <xdr:rowOff>289076</xdr:rowOff>
    </xdr:to>
    <xdr:pic>
      <xdr:nvPicPr>
        <xdr:cNvPr id="26" name="25 Imagen" descr="NEIVA UNIDA">
          <a:extLst>
            <a:ext uri="{FF2B5EF4-FFF2-40B4-BE49-F238E27FC236}">
              <a16:creationId xmlns:a16="http://schemas.microsoft.com/office/drawing/2014/main" id="{00000000-0008-0000-04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6435090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341</xdr:row>
      <xdr:rowOff>28575</xdr:rowOff>
    </xdr:from>
    <xdr:to>
      <xdr:col>4</xdr:col>
      <xdr:colOff>470927</xdr:colOff>
      <xdr:row>342</xdr:row>
      <xdr:rowOff>285750</xdr:rowOff>
    </xdr:to>
    <xdr:pic>
      <xdr:nvPicPr>
        <xdr:cNvPr id="27" name="26 Imagen" descr="44 AÑOS">
          <a:extLst>
            <a:ext uri="{FF2B5EF4-FFF2-40B4-BE49-F238E27FC236}">
              <a16:creationId xmlns:a16="http://schemas.microsoft.com/office/drawing/2014/main" id="{00000000-0008-0000-0400-00001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6436995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442</xdr:row>
      <xdr:rowOff>9525</xdr:rowOff>
    </xdr:from>
    <xdr:to>
      <xdr:col>6</xdr:col>
      <xdr:colOff>704850</xdr:colOff>
      <xdr:row>443</xdr:row>
      <xdr:rowOff>289076</xdr:rowOff>
    </xdr:to>
    <xdr:pic>
      <xdr:nvPicPr>
        <xdr:cNvPr id="28" name="27 Imagen" descr="NEIVA UNIDA">
          <a:extLst>
            <a:ext uri="{FF2B5EF4-FFF2-40B4-BE49-F238E27FC236}">
              <a16:creationId xmlns:a16="http://schemas.microsoft.com/office/drawing/2014/main" id="{00000000-0008-0000-04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8334375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442</xdr:row>
      <xdr:rowOff>28575</xdr:rowOff>
    </xdr:from>
    <xdr:to>
      <xdr:col>4</xdr:col>
      <xdr:colOff>470927</xdr:colOff>
      <xdr:row>443</xdr:row>
      <xdr:rowOff>285750</xdr:rowOff>
    </xdr:to>
    <xdr:pic>
      <xdr:nvPicPr>
        <xdr:cNvPr id="29" name="28 Imagen" descr="44 AÑOS">
          <a:extLst>
            <a:ext uri="{FF2B5EF4-FFF2-40B4-BE49-F238E27FC236}">
              <a16:creationId xmlns:a16="http://schemas.microsoft.com/office/drawing/2014/main" id="{00000000-0008-0000-0400-00001D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8336280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478</xdr:row>
      <xdr:rowOff>9525</xdr:rowOff>
    </xdr:from>
    <xdr:to>
      <xdr:col>6</xdr:col>
      <xdr:colOff>704850</xdr:colOff>
      <xdr:row>479</xdr:row>
      <xdr:rowOff>289076</xdr:rowOff>
    </xdr:to>
    <xdr:pic>
      <xdr:nvPicPr>
        <xdr:cNvPr id="30" name="29 Imagen" descr="NEIVA UNIDA">
          <a:extLst>
            <a:ext uri="{FF2B5EF4-FFF2-40B4-BE49-F238E27FC236}">
              <a16:creationId xmlns:a16="http://schemas.microsoft.com/office/drawing/2014/main" id="{00000000-0008-0000-04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9000172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478</xdr:row>
      <xdr:rowOff>28575</xdr:rowOff>
    </xdr:from>
    <xdr:to>
      <xdr:col>4</xdr:col>
      <xdr:colOff>470927</xdr:colOff>
      <xdr:row>479</xdr:row>
      <xdr:rowOff>285750</xdr:rowOff>
    </xdr:to>
    <xdr:pic>
      <xdr:nvPicPr>
        <xdr:cNvPr id="31" name="30 Imagen" descr="44 AÑOS">
          <a:extLst>
            <a:ext uri="{FF2B5EF4-FFF2-40B4-BE49-F238E27FC236}">
              <a16:creationId xmlns:a16="http://schemas.microsoft.com/office/drawing/2014/main" id="{00000000-0008-0000-0400-00001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9002077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512</xdr:row>
      <xdr:rowOff>9525</xdr:rowOff>
    </xdr:from>
    <xdr:to>
      <xdr:col>6</xdr:col>
      <xdr:colOff>704850</xdr:colOff>
      <xdr:row>513</xdr:row>
      <xdr:rowOff>289076</xdr:rowOff>
    </xdr:to>
    <xdr:pic>
      <xdr:nvPicPr>
        <xdr:cNvPr id="32" name="31 Imagen" descr="NEIVA UNIDA">
          <a:extLst>
            <a:ext uri="{FF2B5EF4-FFF2-40B4-BE49-F238E27FC236}">
              <a16:creationId xmlns:a16="http://schemas.microsoft.com/office/drawing/2014/main" id="{00000000-0008-0000-04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9633585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512</xdr:row>
      <xdr:rowOff>28575</xdr:rowOff>
    </xdr:from>
    <xdr:to>
      <xdr:col>4</xdr:col>
      <xdr:colOff>470927</xdr:colOff>
      <xdr:row>513</xdr:row>
      <xdr:rowOff>285750</xdr:rowOff>
    </xdr:to>
    <xdr:pic>
      <xdr:nvPicPr>
        <xdr:cNvPr id="33" name="32 Imagen" descr="44 AÑOS">
          <a:extLst>
            <a:ext uri="{FF2B5EF4-FFF2-40B4-BE49-F238E27FC236}">
              <a16:creationId xmlns:a16="http://schemas.microsoft.com/office/drawing/2014/main" id="{00000000-0008-0000-0400-000021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9635490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545</xdr:row>
      <xdr:rowOff>9525</xdr:rowOff>
    </xdr:from>
    <xdr:to>
      <xdr:col>6</xdr:col>
      <xdr:colOff>704850</xdr:colOff>
      <xdr:row>546</xdr:row>
      <xdr:rowOff>289076</xdr:rowOff>
    </xdr:to>
    <xdr:pic>
      <xdr:nvPicPr>
        <xdr:cNvPr id="34" name="33 Imagen" descr="NEIVA UNIDA">
          <a:extLst>
            <a:ext uri="{FF2B5EF4-FFF2-40B4-BE49-F238E27FC236}">
              <a16:creationId xmlns:a16="http://schemas.microsoft.com/office/drawing/2014/main" id="{00000000-0008-0000-04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10250805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545</xdr:row>
      <xdr:rowOff>28575</xdr:rowOff>
    </xdr:from>
    <xdr:to>
      <xdr:col>4</xdr:col>
      <xdr:colOff>470927</xdr:colOff>
      <xdr:row>546</xdr:row>
      <xdr:rowOff>285750</xdr:rowOff>
    </xdr:to>
    <xdr:pic>
      <xdr:nvPicPr>
        <xdr:cNvPr id="35" name="34 Imagen" descr="44 AÑOS">
          <a:extLst>
            <a:ext uri="{FF2B5EF4-FFF2-40B4-BE49-F238E27FC236}">
              <a16:creationId xmlns:a16="http://schemas.microsoft.com/office/drawing/2014/main" id="{00000000-0008-0000-0400-00002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0252710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579</xdr:row>
      <xdr:rowOff>9525</xdr:rowOff>
    </xdr:from>
    <xdr:to>
      <xdr:col>6</xdr:col>
      <xdr:colOff>704850</xdr:colOff>
      <xdr:row>580</xdr:row>
      <xdr:rowOff>289076</xdr:rowOff>
    </xdr:to>
    <xdr:pic>
      <xdr:nvPicPr>
        <xdr:cNvPr id="36" name="35 Imagen" descr="NEIVA UNIDA">
          <a:extLst>
            <a:ext uri="{FF2B5EF4-FFF2-40B4-BE49-F238E27FC236}">
              <a16:creationId xmlns:a16="http://schemas.microsoft.com/office/drawing/2014/main" id="{00000000-0008-0000-04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10884217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579</xdr:row>
      <xdr:rowOff>28575</xdr:rowOff>
    </xdr:from>
    <xdr:to>
      <xdr:col>4</xdr:col>
      <xdr:colOff>470927</xdr:colOff>
      <xdr:row>580</xdr:row>
      <xdr:rowOff>285750</xdr:rowOff>
    </xdr:to>
    <xdr:pic>
      <xdr:nvPicPr>
        <xdr:cNvPr id="37" name="36 Imagen" descr="44 AÑOS">
          <a:extLst>
            <a:ext uri="{FF2B5EF4-FFF2-40B4-BE49-F238E27FC236}">
              <a16:creationId xmlns:a16="http://schemas.microsoft.com/office/drawing/2014/main" id="{00000000-0008-0000-0400-00002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0886122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613</xdr:row>
      <xdr:rowOff>9525</xdr:rowOff>
    </xdr:from>
    <xdr:to>
      <xdr:col>6</xdr:col>
      <xdr:colOff>704850</xdr:colOff>
      <xdr:row>614</xdr:row>
      <xdr:rowOff>289076</xdr:rowOff>
    </xdr:to>
    <xdr:pic>
      <xdr:nvPicPr>
        <xdr:cNvPr id="38" name="37 Imagen" descr="NEIVA UNIDA">
          <a:extLst>
            <a:ext uri="{FF2B5EF4-FFF2-40B4-BE49-F238E27FC236}">
              <a16:creationId xmlns:a16="http://schemas.microsoft.com/office/drawing/2014/main" id="{00000000-0008-0000-04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11517630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613</xdr:row>
      <xdr:rowOff>28575</xdr:rowOff>
    </xdr:from>
    <xdr:to>
      <xdr:col>4</xdr:col>
      <xdr:colOff>470927</xdr:colOff>
      <xdr:row>614</xdr:row>
      <xdr:rowOff>285750</xdr:rowOff>
    </xdr:to>
    <xdr:pic>
      <xdr:nvPicPr>
        <xdr:cNvPr id="39" name="38 Imagen" descr="44 AÑOS">
          <a:extLst>
            <a:ext uri="{FF2B5EF4-FFF2-40B4-BE49-F238E27FC236}">
              <a16:creationId xmlns:a16="http://schemas.microsoft.com/office/drawing/2014/main" id="{00000000-0008-0000-0400-00002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1519535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647</xdr:row>
      <xdr:rowOff>9525</xdr:rowOff>
    </xdr:from>
    <xdr:to>
      <xdr:col>6</xdr:col>
      <xdr:colOff>704850</xdr:colOff>
      <xdr:row>648</xdr:row>
      <xdr:rowOff>289076</xdr:rowOff>
    </xdr:to>
    <xdr:pic>
      <xdr:nvPicPr>
        <xdr:cNvPr id="40" name="39 Imagen" descr="NEIVA UNIDA">
          <a:extLst>
            <a:ext uri="{FF2B5EF4-FFF2-40B4-BE49-F238E27FC236}">
              <a16:creationId xmlns:a16="http://schemas.microsoft.com/office/drawing/2014/main" id="{00000000-0008-0000-04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12151042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647</xdr:row>
      <xdr:rowOff>28575</xdr:rowOff>
    </xdr:from>
    <xdr:to>
      <xdr:col>4</xdr:col>
      <xdr:colOff>470927</xdr:colOff>
      <xdr:row>648</xdr:row>
      <xdr:rowOff>285750</xdr:rowOff>
    </xdr:to>
    <xdr:pic>
      <xdr:nvPicPr>
        <xdr:cNvPr id="41" name="40 Imagen" descr="44 AÑOS">
          <a:extLst>
            <a:ext uri="{FF2B5EF4-FFF2-40B4-BE49-F238E27FC236}">
              <a16:creationId xmlns:a16="http://schemas.microsoft.com/office/drawing/2014/main" id="{00000000-0008-0000-0400-00002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2152947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681</xdr:row>
      <xdr:rowOff>9525</xdr:rowOff>
    </xdr:from>
    <xdr:to>
      <xdr:col>6</xdr:col>
      <xdr:colOff>704850</xdr:colOff>
      <xdr:row>682</xdr:row>
      <xdr:rowOff>289076</xdr:rowOff>
    </xdr:to>
    <xdr:pic>
      <xdr:nvPicPr>
        <xdr:cNvPr id="42" name="41 Imagen" descr="NEIVA UNIDA">
          <a:extLst>
            <a:ext uri="{FF2B5EF4-FFF2-40B4-BE49-F238E27FC236}">
              <a16:creationId xmlns:a16="http://schemas.microsoft.com/office/drawing/2014/main" id="{00000000-0008-0000-04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12784455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681</xdr:row>
      <xdr:rowOff>28575</xdr:rowOff>
    </xdr:from>
    <xdr:to>
      <xdr:col>4</xdr:col>
      <xdr:colOff>470927</xdr:colOff>
      <xdr:row>682</xdr:row>
      <xdr:rowOff>285750</xdr:rowOff>
    </xdr:to>
    <xdr:pic>
      <xdr:nvPicPr>
        <xdr:cNvPr id="43" name="42 Imagen" descr="44 AÑOS">
          <a:extLst>
            <a:ext uri="{FF2B5EF4-FFF2-40B4-BE49-F238E27FC236}">
              <a16:creationId xmlns:a16="http://schemas.microsoft.com/office/drawing/2014/main" id="{00000000-0008-0000-0400-00002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2786360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715</xdr:row>
      <xdr:rowOff>9525</xdr:rowOff>
    </xdr:from>
    <xdr:to>
      <xdr:col>6</xdr:col>
      <xdr:colOff>704850</xdr:colOff>
      <xdr:row>716</xdr:row>
      <xdr:rowOff>289076</xdr:rowOff>
    </xdr:to>
    <xdr:pic>
      <xdr:nvPicPr>
        <xdr:cNvPr id="44" name="43 Imagen" descr="NEIVA UNIDA">
          <a:extLst>
            <a:ext uri="{FF2B5EF4-FFF2-40B4-BE49-F238E27FC236}">
              <a16:creationId xmlns:a16="http://schemas.microsoft.com/office/drawing/2014/main" id="{00000000-0008-0000-04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13417867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715</xdr:row>
      <xdr:rowOff>28575</xdr:rowOff>
    </xdr:from>
    <xdr:to>
      <xdr:col>4</xdr:col>
      <xdr:colOff>470927</xdr:colOff>
      <xdr:row>716</xdr:row>
      <xdr:rowOff>285750</xdr:rowOff>
    </xdr:to>
    <xdr:pic>
      <xdr:nvPicPr>
        <xdr:cNvPr id="45" name="44 Imagen" descr="44 AÑOS">
          <a:extLst>
            <a:ext uri="{FF2B5EF4-FFF2-40B4-BE49-F238E27FC236}">
              <a16:creationId xmlns:a16="http://schemas.microsoft.com/office/drawing/2014/main" id="{00000000-0008-0000-0400-00002D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3419772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749</xdr:row>
      <xdr:rowOff>9525</xdr:rowOff>
    </xdr:from>
    <xdr:to>
      <xdr:col>6</xdr:col>
      <xdr:colOff>704850</xdr:colOff>
      <xdr:row>750</xdr:row>
      <xdr:rowOff>289076</xdr:rowOff>
    </xdr:to>
    <xdr:pic>
      <xdr:nvPicPr>
        <xdr:cNvPr id="46" name="45 Imagen" descr="NEIVA UNIDA">
          <a:extLst>
            <a:ext uri="{FF2B5EF4-FFF2-40B4-BE49-F238E27FC236}">
              <a16:creationId xmlns:a16="http://schemas.microsoft.com/office/drawing/2014/main" id="{00000000-0008-0000-04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14051280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749</xdr:row>
      <xdr:rowOff>28575</xdr:rowOff>
    </xdr:from>
    <xdr:to>
      <xdr:col>4</xdr:col>
      <xdr:colOff>470927</xdr:colOff>
      <xdr:row>750</xdr:row>
      <xdr:rowOff>285750</xdr:rowOff>
    </xdr:to>
    <xdr:pic>
      <xdr:nvPicPr>
        <xdr:cNvPr id="47" name="46 Imagen" descr="44 AÑOS">
          <a:extLst>
            <a:ext uri="{FF2B5EF4-FFF2-40B4-BE49-F238E27FC236}">
              <a16:creationId xmlns:a16="http://schemas.microsoft.com/office/drawing/2014/main" id="{00000000-0008-0000-0400-00002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4053185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783</xdr:row>
      <xdr:rowOff>9525</xdr:rowOff>
    </xdr:from>
    <xdr:to>
      <xdr:col>6</xdr:col>
      <xdr:colOff>704850</xdr:colOff>
      <xdr:row>784</xdr:row>
      <xdr:rowOff>289076</xdr:rowOff>
    </xdr:to>
    <xdr:pic>
      <xdr:nvPicPr>
        <xdr:cNvPr id="48" name="47 Imagen" descr="NEIVA UNIDA">
          <a:extLst>
            <a:ext uri="{FF2B5EF4-FFF2-40B4-BE49-F238E27FC236}">
              <a16:creationId xmlns:a16="http://schemas.microsoft.com/office/drawing/2014/main" id="{00000000-0008-0000-04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14684692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783</xdr:row>
      <xdr:rowOff>28575</xdr:rowOff>
    </xdr:from>
    <xdr:to>
      <xdr:col>4</xdr:col>
      <xdr:colOff>470927</xdr:colOff>
      <xdr:row>784</xdr:row>
      <xdr:rowOff>285750</xdr:rowOff>
    </xdr:to>
    <xdr:pic>
      <xdr:nvPicPr>
        <xdr:cNvPr id="49" name="48 Imagen" descr="44 AÑOS">
          <a:extLst>
            <a:ext uri="{FF2B5EF4-FFF2-40B4-BE49-F238E27FC236}">
              <a16:creationId xmlns:a16="http://schemas.microsoft.com/office/drawing/2014/main" id="{00000000-0008-0000-0400-000031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4686597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817</xdr:row>
      <xdr:rowOff>9525</xdr:rowOff>
    </xdr:from>
    <xdr:to>
      <xdr:col>6</xdr:col>
      <xdr:colOff>704850</xdr:colOff>
      <xdr:row>818</xdr:row>
      <xdr:rowOff>289076</xdr:rowOff>
    </xdr:to>
    <xdr:pic>
      <xdr:nvPicPr>
        <xdr:cNvPr id="50" name="49 Imagen" descr="NEIVA UNIDA">
          <a:extLst>
            <a:ext uri="{FF2B5EF4-FFF2-40B4-BE49-F238E27FC236}">
              <a16:creationId xmlns:a16="http://schemas.microsoft.com/office/drawing/2014/main" id="{00000000-0008-0000-04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15318105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817</xdr:row>
      <xdr:rowOff>28575</xdr:rowOff>
    </xdr:from>
    <xdr:to>
      <xdr:col>4</xdr:col>
      <xdr:colOff>470927</xdr:colOff>
      <xdr:row>818</xdr:row>
      <xdr:rowOff>285750</xdr:rowOff>
    </xdr:to>
    <xdr:pic>
      <xdr:nvPicPr>
        <xdr:cNvPr id="51" name="50 Imagen" descr="44 AÑOS">
          <a:extLst>
            <a:ext uri="{FF2B5EF4-FFF2-40B4-BE49-F238E27FC236}">
              <a16:creationId xmlns:a16="http://schemas.microsoft.com/office/drawing/2014/main" id="{00000000-0008-0000-0400-00003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5320010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851</xdr:row>
      <xdr:rowOff>9525</xdr:rowOff>
    </xdr:from>
    <xdr:to>
      <xdr:col>6</xdr:col>
      <xdr:colOff>704850</xdr:colOff>
      <xdr:row>852</xdr:row>
      <xdr:rowOff>289076</xdr:rowOff>
    </xdr:to>
    <xdr:pic>
      <xdr:nvPicPr>
        <xdr:cNvPr id="52" name="51 Imagen" descr="NEIVA UNIDA">
          <a:extLst>
            <a:ext uri="{FF2B5EF4-FFF2-40B4-BE49-F238E27FC236}">
              <a16:creationId xmlns:a16="http://schemas.microsoft.com/office/drawing/2014/main" id="{00000000-0008-0000-04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15951517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851</xdr:row>
      <xdr:rowOff>28575</xdr:rowOff>
    </xdr:from>
    <xdr:to>
      <xdr:col>4</xdr:col>
      <xdr:colOff>470927</xdr:colOff>
      <xdr:row>852</xdr:row>
      <xdr:rowOff>285750</xdr:rowOff>
    </xdr:to>
    <xdr:pic>
      <xdr:nvPicPr>
        <xdr:cNvPr id="53" name="52 Imagen" descr="44 AÑOS">
          <a:extLst>
            <a:ext uri="{FF2B5EF4-FFF2-40B4-BE49-F238E27FC236}">
              <a16:creationId xmlns:a16="http://schemas.microsoft.com/office/drawing/2014/main" id="{00000000-0008-0000-0400-00003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5953422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885</xdr:row>
      <xdr:rowOff>9525</xdr:rowOff>
    </xdr:from>
    <xdr:to>
      <xdr:col>6</xdr:col>
      <xdr:colOff>704850</xdr:colOff>
      <xdr:row>886</xdr:row>
      <xdr:rowOff>289076</xdr:rowOff>
    </xdr:to>
    <xdr:pic>
      <xdr:nvPicPr>
        <xdr:cNvPr id="54" name="53 Imagen" descr="NEIVA UNIDA">
          <a:extLst>
            <a:ext uri="{FF2B5EF4-FFF2-40B4-BE49-F238E27FC236}">
              <a16:creationId xmlns:a16="http://schemas.microsoft.com/office/drawing/2014/main" id="{00000000-0008-0000-04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16584930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885</xdr:row>
      <xdr:rowOff>28575</xdr:rowOff>
    </xdr:from>
    <xdr:to>
      <xdr:col>4</xdr:col>
      <xdr:colOff>470927</xdr:colOff>
      <xdr:row>886</xdr:row>
      <xdr:rowOff>285750</xdr:rowOff>
    </xdr:to>
    <xdr:pic>
      <xdr:nvPicPr>
        <xdr:cNvPr id="55" name="54 Imagen" descr="44 AÑOS">
          <a:extLst>
            <a:ext uri="{FF2B5EF4-FFF2-40B4-BE49-F238E27FC236}">
              <a16:creationId xmlns:a16="http://schemas.microsoft.com/office/drawing/2014/main" id="{00000000-0008-0000-0400-00003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6586835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919</xdr:row>
      <xdr:rowOff>9525</xdr:rowOff>
    </xdr:from>
    <xdr:to>
      <xdr:col>6</xdr:col>
      <xdr:colOff>704850</xdr:colOff>
      <xdr:row>920</xdr:row>
      <xdr:rowOff>289076</xdr:rowOff>
    </xdr:to>
    <xdr:pic>
      <xdr:nvPicPr>
        <xdr:cNvPr id="56" name="55 Imagen" descr="NEIVA UNIDA">
          <a:extLst>
            <a:ext uri="{FF2B5EF4-FFF2-40B4-BE49-F238E27FC236}">
              <a16:creationId xmlns:a16="http://schemas.microsoft.com/office/drawing/2014/main" id="{00000000-0008-0000-04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17218342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919</xdr:row>
      <xdr:rowOff>28575</xdr:rowOff>
    </xdr:from>
    <xdr:to>
      <xdr:col>4</xdr:col>
      <xdr:colOff>470927</xdr:colOff>
      <xdr:row>920</xdr:row>
      <xdr:rowOff>285750</xdr:rowOff>
    </xdr:to>
    <xdr:pic>
      <xdr:nvPicPr>
        <xdr:cNvPr id="57" name="56 Imagen" descr="44 AÑOS">
          <a:extLst>
            <a:ext uri="{FF2B5EF4-FFF2-40B4-BE49-F238E27FC236}">
              <a16:creationId xmlns:a16="http://schemas.microsoft.com/office/drawing/2014/main" id="{00000000-0008-0000-0400-00003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7220247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91109</xdr:colOff>
      <xdr:row>0</xdr:row>
      <xdr:rowOff>49695</xdr:rowOff>
    </xdr:from>
    <xdr:to>
      <xdr:col>0</xdr:col>
      <xdr:colOff>1319834</xdr:colOff>
      <xdr:row>4</xdr:row>
      <xdr:rowOff>8282</xdr:rowOff>
    </xdr:to>
    <xdr:sp macro="" textlink="">
      <xdr:nvSpPr>
        <xdr:cNvPr id="58" name="57 Flecha izquierda">
          <a:hlinkClick xmlns:r="http://schemas.openxmlformats.org/officeDocument/2006/relationships" r:id="rId3"/>
          <a:extLst>
            <a:ext uri="{FF2B5EF4-FFF2-40B4-BE49-F238E27FC236}">
              <a16:creationId xmlns:a16="http://schemas.microsoft.com/office/drawing/2014/main" id="{00000000-0008-0000-0400-00003A000000}"/>
            </a:ext>
          </a:extLst>
        </xdr:cNvPr>
        <xdr:cNvSpPr/>
      </xdr:nvSpPr>
      <xdr:spPr>
        <a:xfrm>
          <a:off x="91109" y="49695"/>
          <a:ext cx="1228725" cy="606287"/>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5</xdr:col>
      <xdr:colOff>8282</xdr:colOff>
      <xdr:row>0</xdr:row>
      <xdr:rowOff>41414</xdr:rowOff>
    </xdr:from>
    <xdr:to>
      <xdr:col>6</xdr:col>
      <xdr:colOff>530087</xdr:colOff>
      <xdr:row>4</xdr:row>
      <xdr:rowOff>91109</xdr:rowOff>
    </xdr:to>
    <xdr:sp macro="" textlink="">
      <xdr:nvSpPr>
        <xdr:cNvPr id="59" name="58 Flecha derecha">
          <a:hlinkClick xmlns:r="http://schemas.openxmlformats.org/officeDocument/2006/relationships" r:id="rId4"/>
          <a:extLst>
            <a:ext uri="{FF2B5EF4-FFF2-40B4-BE49-F238E27FC236}">
              <a16:creationId xmlns:a16="http://schemas.microsoft.com/office/drawing/2014/main" id="{00000000-0008-0000-0400-00003B000000}"/>
            </a:ext>
          </a:extLst>
        </xdr:cNvPr>
        <xdr:cNvSpPr/>
      </xdr:nvSpPr>
      <xdr:spPr>
        <a:xfrm>
          <a:off x="4532657" y="41414"/>
          <a:ext cx="1302855" cy="697395"/>
        </a:xfrm>
        <a:prstGeom prst="rightArrow">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400" b="1"/>
            <a:t>MATERIALES</a:t>
          </a:r>
        </a:p>
      </xdr:txBody>
    </xdr:sp>
    <xdr:clientData/>
  </xdr:twoCellAnchor>
  <xdr:twoCellAnchor>
    <xdr:from>
      <xdr:col>3</xdr:col>
      <xdr:colOff>107673</xdr:colOff>
      <xdr:row>0</xdr:row>
      <xdr:rowOff>49696</xdr:rowOff>
    </xdr:from>
    <xdr:to>
      <xdr:col>4</xdr:col>
      <xdr:colOff>563216</xdr:colOff>
      <xdr:row>4</xdr:row>
      <xdr:rowOff>49695</xdr:rowOff>
    </xdr:to>
    <xdr:sp macro="" textlink="">
      <xdr:nvSpPr>
        <xdr:cNvPr id="60" name="59 Flecha derecha">
          <a:hlinkClick xmlns:r="http://schemas.openxmlformats.org/officeDocument/2006/relationships" r:id="rId5"/>
          <a:extLst>
            <a:ext uri="{FF2B5EF4-FFF2-40B4-BE49-F238E27FC236}">
              <a16:creationId xmlns:a16="http://schemas.microsoft.com/office/drawing/2014/main" id="{00000000-0008-0000-0400-00003C000000}"/>
            </a:ext>
          </a:extLst>
        </xdr:cNvPr>
        <xdr:cNvSpPr/>
      </xdr:nvSpPr>
      <xdr:spPr>
        <a:xfrm>
          <a:off x="2984223" y="49696"/>
          <a:ext cx="1265168" cy="647699"/>
        </a:xfrm>
        <a:prstGeom prst="rightArrow">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600" b="1"/>
            <a:t>EQUIPOS</a:t>
          </a:r>
          <a:endParaRPr lang="es-ES" sz="1400" b="1"/>
        </a:p>
      </xdr:txBody>
    </xdr:sp>
    <xdr:clientData/>
  </xdr:twoCellAnchor>
  <xdr:twoCellAnchor>
    <xdr:from>
      <xdr:col>1</xdr:col>
      <xdr:colOff>11596</xdr:colOff>
      <xdr:row>0</xdr:row>
      <xdr:rowOff>44725</xdr:rowOff>
    </xdr:from>
    <xdr:to>
      <xdr:col>2</xdr:col>
      <xdr:colOff>478321</xdr:colOff>
      <xdr:row>4</xdr:row>
      <xdr:rowOff>3312</xdr:rowOff>
    </xdr:to>
    <xdr:sp macro="" textlink="">
      <xdr:nvSpPr>
        <xdr:cNvPr id="61" name="60 Flecha izquierda">
          <a:hlinkClick xmlns:r="http://schemas.openxmlformats.org/officeDocument/2006/relationships" r:id="rId6"/>
          <a:extLst>
            <a:ext uri="{FF2B5EF4-FFF2-40B4-BE49-F238E27FC236}">
              <a16:creationId xmlns:a16="http://schemas.microsoft.com/office/drawing/2014/main" id="{00000000-0008-0000-0400-00003D000000}"/>
            </a:ext>
          </a:extLst>
        </xdr:cNvPr>
        <xdr:cNvSpPr/>
      </xdr:nvSpPr>
      <xdr:spPr>
        <a:xfrm>
          <a:off x="1392721" y="44725"/>
          <a:ext cx="1219200" cy="606287"/>
        </a:xfrm>
        <a:prstGeom prst="left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300" b="1"/>
            <a:t>Analisis Basi.</a:t>
          </a:r>
        </a:p>
      </xdr:txBody>
    </xdr:sp>
    <xdr:clientData/>
  </xdr:twoCellAnchor>
  <xdr:twoCellAnchor>
    <xdr:from>
      <xdr:col>4</xdr:col>
      <xdr:colOff>523875</xdr:colOff>
      <xdr:row>953</xdr:row>
      <xdr:rowOff>9525</xdr:rowOff>
    </xdr:from>
    <xdr:to>
      <xdr:col>6</xdr:col>
      <xdr:colOff>704850</xdr:colOff>
      <xdr:row>954</xdr:row>
      <xdr:rowOff>289076</xdr:rowOff>
    </xdr:to>
    <xdr:pic>
      <xdr:nvPicPr>
        <xdr:cNvPr id="62" name="61 Imagen" descr="NEIVA UNIDA">
          <a:extLst>
            <a:ext uri="{FF2B5EF4-FFF2-40B4-BE49-F238E27FC236}">
              <a16:creationId xmlns:a16="http://schemas.microsoft.com/office/drawing/2014/main" id="{00000000-0008-0000-0400-00003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17886045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953</xdr:row>
      <xdr:rowOff>28575</xdr:rowOff>
    </xdr:from>
    <xdr:to>
      <xdr:col>4</xdr:col>
      <xdr:colOff>470927</xdr:colOff>
      <xdr:row>954</xdr:row>
      <xdr:rowOff>285750</xdr:rowOff>
    </xdr:to>
    <xdr:pic>
      <xdr:nvPicPr>
        <xdr:cNvPr id="63" name="62 Imagen" descr="44 AÑOS">
          <a:extLst>
            <a:ext uri="{FF2B5EF4-FFF2-40B4-BE49-F238E27FC236}">
              <a16:creationId xmlns:a16="http://schemas.microsoft.com/office/drawing/2014/main" id="{00000000-0008-0000-0400-00003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17887950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523876</xdr:colOff>
      <xdr:row>987</xdr:row>
      <xdr:rowOff>9525</xdr:rowOff>
    </xdr:from>
    <xdr:to>
      <xdr:col>6</xdr:col>
      <xdr:colOff>578828</xdr:colOff>
      <xdr:row>988</xdr:row>
      <xdr:rowOff>245399</xdr:rowOff>
    </xdr:to>
    <xdr:pic>
      <xdr:nvPicPr>
        <xdr:cNvPr id="64" name="63 Imagen" descr="NEIVA UNIDA">
          <a:extLst>
            <a:ext uri="{FF2B5EF4-FFF2-40B4-BE49-F238E27FC236}">
              <a16:creationId xmlns:a16="http://schemas.microsoft.com/office/drawing/2014/main" id="{00000000-0008-0000-0400-00004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1" y="185680350"/>
          <a:ext cx="1674202" cy="5787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987</xdr:row>
      <xdr:rowOff>28575</xdr:rowOff>
    </xdr:from>
    <xdr:to>
      <xdr:col>4</xdr:col>
      <xdr:colOff>359019</xdr:colOff>
      <xdr:row>988</xdr:row>
      <xdr:rowOff>229582</xdr:rowOff>
    </xdr:to>
    <xdr:pic>
      <xdr:nvPicPr>
        <xdr:cNvPr id="65" name="64 Imagen" descr="44 AÑOS">
          <a:extLst>
            <a:ext uri="{FF2B5EF4-FFF2-40B4-BE49-F238E27FC236}">
              <a16:creationId xmlns:a16="http://schemas.microsoft.com/office/drawing/2014/main" id="{00000000-0008-0000-0400-000041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62275" y="185699400"/>
          <a:ext cx="1082919" cy="5439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1297</xdr:row>
      <xdr:rowOff>0</xdr:rowOff>
    </xdr:from>
    <xdr:to>
      <xdr:col>4</xdr:col>
      <xdr:colOff>505558</xdr:colOff>
      <xdr:row>1298</xdr:row>
      <xdr:rowOff>271096</xdr:rowOff>
    </xdr:to>
    <xdr:pic>
      <xdr:nvPicPr>
        <xdr:cNvPr id="66" name="65 Imagen" descr="44 AÑOS">
          <a:extLst>
            <a:ext uri="{FF2B5EF4-FFF2-40B4-BE49-F238E27FC236}">
              <a16:creationId xmlns:a16="http://schemas.microsoft.com/office/drawing/2014/main" id="{00000000-0008-0000-0400-00004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76550" y="246983250"/>
          <a:ext cx="1315183" cy="6139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1330</xdr:row>
      <xdr:rowOff>168519</xdr:rowOff>
    </xdr:from>
    <xdr:to>
      <xdr:col>4</xdr:col>
      <xdr:colOff>556846</xdr:colOff>
      <xdr:row>1332</xdr:row>
      <xdr:rowOff>271095</xdr:rowOff>
    </xdr:to>
    <xdr:pic>
      <xdr:nvPicPr>
        <xdr:cNvPr id="67" name="66 Imagen" descr="44 AÑOS">
          <a:extLst>
            <a:ext uri="{FF2B5EF4-FFF2-40B4-BE49-F238E27FC236}">
              <a16:creationId xmlns:a16="http://schemas.microsoft.com/office/drawing/2014/main" id="{00000000-0008-0000-0400-00004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76550" y="253438269"/>
          <a:ext cx="1366471" cy="616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571500</xdr:colOff>
      <xdr:row>1297</xdr:row>
      <xdr:rowOff>21981</xdr:rowOff>
    </xdr:from>
    <xdr:to>
      <xdr:col>6</xdr:col>
      <xdr:colOff>752475</xdr:colOff>
      <xdr:row>1298</xdr:row>
      <xdr:rowOff>301531</xdr:rowOff>
    </xdr:to>
    <xdr:pic>
      <xdr:nvPicPr>
        <xdr:cNvPr id="68" name="67 Imagen" descr="NEIVA UNIDA">
          <a:extLst>
            <a:ext uri="{FF2B5EF4-FFF2-40B4-BE49-F238E27FC236}">
              <a16:creationId xmlns:a16="http://schemas.microsoft.com/office/drawing/2014/main" id="{00000000-0008-0000-04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57675" y="247005231"/>
          <a:ext cx="1800225" cy="62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637442</xdr:colOff>
      <xdr:row>1331</xdr:row>
      <xdr:rowOff>7327</xdr:rowOff>
    </xdr:from>
    <xdr:to>
      <xdr:col>6</xdr:col>
      <xdr:colOff>818417</xdr:colOff>
      <xdr:row>1332</xdr:row>
      <xdr:rowOff>286878</xdr:rowOff>
    </xdr:to>
    <xdr:pic>
      <xdr:nvPicPr>
        <xdr:cNvPr id="69" name="68 Imagen" descr="NEIVA UNIDA">
          <a:extLst>
            <a:ext uri="{FF2B5EF4-FFF2-40B4-BE49-F238E27FC236}">
              <a16:creationId xmlns:a16="http://schemas.microsoft.com/office/drawing/2014/main" id="{00000000-0008-0000-04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3617" y="253448527"/>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655759</xdr:colOff>
      <xdr:row>1365</xdr:row>
      <xdr:rowOff>31506</xdr:rowOff>
    </xdr:from>
    <xdr:to>
      <xdr:col>6</xdr:col>
      <xdr:colOff>836734</xdr:colOff>
      <xdr:row>1367</xdr:row>
      <xdr:rowOff>3326</xdr:rowOff>
    </xdr:to>
    <xdr:pic>
      <xdr:nvPicPr>
        <xdr:cNvPr id="70" name="69 Imagen" descr="NEIVA UNIDA">
          <a:extLst>
            <a:ext uri="{FF2B5EF4-FFF2-40B4-BE49-F238E27FC236}">
              <a16:creationId xmlns:a16="http://schemas.microsoft.com/office/drawing/2014/main" id="{00000000-0008-0000-0400-00004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41934" y="259930656"/>
          <a:ext cx="1800225" cy="619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1365</xdr:row>
      <xdr:rowOff>28575</xdr:rowOff>
    </xdr:from>
    <xdr:to>
      <xdr:col>4</xdr:col>
      <xdr:colOff>470927</xdr:colOff>
      <xdr:row>1366</xdr:row>
      <xdr:rowOff>285750</xdr:rowOff>
    </xdr:to>
    <xdr:pic>
      <xdr:nvPicPr>
        <xdr:cNvPr id="71" name="70 Imagen" descr="44 AÑOS">
          <a:extLst>
            <a:ext uri="{FF2B5EF4-FFF2-40B4-BE49-F238E27FC236}">
              <a16:creationId xmlns:a16="http://schemas.microsoft.com/office/drawing/2014/main" id="{00000000-0008-0000-0400-00004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62275" y="25992772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689463</xdr:colOff>
      <xdr:row>1067</xdr:row>
      <xdr:rowOff>26289</xdr:rowOff>
    </xdr:from>
    <xdr:to>
      <xdr:col>6</xdr:col>
      <xdr:colOff>742950</xdr:colOff>
      <xdr:row>1068</xdr:row>
      <xdr:rowOff>259037</xdr:rowOff>
    </xdr:to>
    <xdr:pic>
      <xdr:nvPicPr>
        <xdr:cNvPr id="72" name="71 Imagen" descr="NEIVA UNIDA">
          <a:extLst>
            <a:ext uri="{FF2B5EF4-FFF2-40B4-BE49-F238E27FC236}">
              <a16:creationId xmlns:a16="http://schemas.microsoft.com/office/drawing/2014/main" id="{00000000-0008-0000-04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75638" y="201613389"/>
          <a:ext cx="1672737" cy="575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1067</xdr:row>
      <xdr:rowOff>28575</xdr:rowOff>
    </xdr:from>
    <xdr:to>
      <xdr:col>4</xdr:col>
      <xdr:colOff>470927</xdr:colOff>
      <xdr:row>1068</xdr:row>
      <xdr:rowOff>285750</xdr:rowOff>
    </xdr:to>
    <xdr:pic>
      <xdr:nvPicPr>
        <xdr:cNvPr id="73" name="72 Imagen" descr="44 AÑOS">
          <a:extLst>
            <a:ext uri="{FF2B5EF4-FFF2-40B4-BE49-F238E27FC236}">
              <a16:creationId xmlns:a16="http://schemas.microsoft.com/office/drawing/2014/main" id="{00000000-0008-0000-0400-00004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20161567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1182</xdr:row>
      <xdr:rowOff>9525</xdr:rowOff>
    </xdr:from>
    <xdr:to>
      <xdr:col>6</xdr:col>
      <xdr:colOff>704850</xdr:colOff>
      <xdr:row>1183</xdr:row>
      <xdr:rowOff>289076</xdr:rowOff>
    </xdr:to>
    <xdr:pic>
      <xdr:nvPicPr>
        <xdr:cNvPr id="74" name="73 Imagen" descr="NEIVA UNIDA">
          <a:extLst>
            <a:ext uri="{FF2B5EF4-FFF2-40B4-BE49-F238E27FC236}">
              <a16:creationId xmlns:a16="http://schemas.microsoft.com/office/drawing/2014/main" id="{00000000-0008-0000-04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22433280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1182</xdr:row>
      <xdr:rowOff>28575</xdr:rowOff>
    </xdr:from>
    <xdr:to>
      <xdr:col>4</xdr:col>
      <xdr:colOff>470927</xdr:colOff>
      <xdr:row>1183</xdr:row>
      <xdr:rowOff>285750</xdr:rowOff>
    </xdr:to>
    <xdr:pic>
      <xdr:nvPicPr>
        <xdr:cNvPr id="75" name="74 Imagen" descr="44 AÑOS">
          <a:extLst>
            <a:ext uri="{FF2B5EF4-FFF2-40B4-BE49-F238E27FC236}">
              <a16:creationId xmlns:a16="http://schemas.microsoft.com/office/drawing/2014/main" id="{00000000-0008-0000-0400-00004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22435185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1027</xdr:row>
      <xdr:rowOff>9525</xdr:rowOff>
    </xdr:from>
    <xdr:to>
      <xdr:col>6</xdr:col>
      <xdr:colOff>704850</xdr:colOff>
      <xdr:row>1028</xdr:row>
      <xdr:rowOff>289076</xdr:rowOff>
    </xdr:to>
    <xdr:pic>
      <xdr:nvPicPr>
        <xdr:cNvPr id="76" name="75 Imagen" descr="NEIVA UNIDA">
          <a:extLst>
            <a:ext uri="{FF2B5EF4-FFF2-40B4-BE49-F238E27FC236}">
              <a16:creationId xmlns:a16="http://schemas.microsoft.com/office/drawing/2014/main" id="{00000000-0008-0000-0400-00004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10050" y="19363372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1027</xdr:row>
      <xdr:rowOff>28575</xdr:rowOff>
    </xdr:from>
    <xdr:to>
      <xdr:col>4</xdr:col>
      <xdr:colOff>470927</xdr:colOff>
      <xdr:row>1028</xdr:row>
      <xdr:rowOff>285750</xdr:rowOff>
    </xdr:to>
    <xdr:pic>
      <xdr:nvPicPr>
        <xdr:cNvPr id="77" name="76 Imagen" descr="44 AÑOS">
          <a:extLst>
            <a:ext uri="{FF2B5EF4-FFF2-40B4-BE49-F238E27FC236}">
              <a16:creationId xmlns:a16="http://schemas.microsoft.com/office/drawing/2014/main" id="{00000000-0008-0000-0400-00004D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62275" y="19365277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1106</xdr:row>
      <xdr:rowOff>9525</xdr:rowOff>
    </xdr:from>
    <xdr:to>
      <xdr:col>6</xdr:col>
      <xdr:colOff>704850</xdr:colOff>
      <xdr:row>1107</xdr:row>
      <xdr:rowOff>289076</xdr:rowOff>
    </xdr:to>
    <xdr:pic>
      <xdr:nvPicPr>
        <xdr:cNvPr id="78" name="77 Imagen" descr="NEIVA UNIDA">
          <a:extLst>
            <a:ext uri="{FF2B5EF4-FFF2-40B4-BE49-F238E27FC236}">
              <a16:creationId xmlns:a16="http://schemas.microsoft.com/office/drawing/2014/main" id="{00000000-0008-0000-0400-00004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10050" y="20928330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1106</xdr:row>
      <xdr:rowOff>28575</xdr:rowOff>
    </xdr:from>
    <xdr:to>
      <xdr:col>4</xdr:col>
      <xdr:colOff>470927</xdr:colOff>
      <xdr:row>1107</xdr:row>
      <xdr:rowOff>285750</xdr:rowOff>
    </xdr:to>
    <xdr:pic>
      <xdr:nvPicPr>
        <xdr:cNvPr id="79" name="78 Imagen" descr="44 AÑOS">
          <a:extLst>
            <a:ext uri="{FF2B5EF4-FFF2-40B4-BE49-F238E27FC236}">
              <a16:creationId xmlns:a16="http://schemas.microsoft.com/office/drawing/2014/main" id="{00000000-0008-0000-0400-00004F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62275" y="20930235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1144</xdr:row>
      <xdr:rowOff>9525</xdr:rowOff>
    </xdr:from>
    <xdr:to>
      <xdr:col>6</xdr:col>
      <xdr:colOff>704850</xdr:colOff>
      <xdr:row>1145</xdr:row>
      <xdr:rowOff>289076</xdr:rowOff>
    </xdr:to>
    <xdr:pic>
      <xdr:nvPicPr>
        <xdr:cNvPr id="80" name="79 Imagen" descr="NEIVA UNIDA">
          <a:extLst>
            <a:ext uri="{FF2B5EF4-FFF2-40B4-BE49-F238E27FC236}">
              <a16:creationId xmlns:a16="http://schemas.microsoft.com/office/drawing/2014/main" id="{00000000-0008-0000-0400-00005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10050" y="21680805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1144</xdr:row>
      <xdr:rowOff>28575</xdr:rowOff>
    </xdr:from>
    <xdr:to>
      <xdr:col>4</xdr:col>
      <xdr:colOff>470927</xdr:colOff>
      <xdr:row>1145</xdr:row>
      <xdr:rowOff>285750</xdr:rowOff>
    </xdr:to>
    <xdr:pic>
      <xdr:nvPicPr>
        <xdr:cNvPr id="81" name="80 Imagen" descr="44 AÑOS">
          <a:extLst>
            <a:ext uri="{FF2B5EF4-FFF2-40B4-BE49-F238E27FC236}">
              <a16:creationId xmlns:a16="http://schemas.microsoft.com/office/drawing/2014/main" id="{00000000-0008-0000-0400-000051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62275" y="21682710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1221</xdr:row>
      <xdr:rowOff>9525</xdr:rowOff>
    </xdr:from>
    <xdr:to>
      <xdr:col>6</xdr:col>
      <xdr:colOff>704850</xdr:colOff>
      <xdr:row>1222</xdr:row>
      <xdr:rowOff>289076</xdr:rowOff>
    </xdr:to>
    <xdr:pic>
      <xdr:nvPicPr>
        <xdr:cNvPr id="82" name="81 Imagen" descr="NEIVA UNIDA">
          <a:extLst>
            <a:ext uri="{FF2B5EF4-FFF2-40B4-BE49-F238E27FC236}">
              <a16:creationId xmlns:a16="http://schemas.microsoft.com/office/drawing/2014/main" id="{00000000-0008-0000-04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23200042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1221</xdr:row>
      <xdr:rowOff>28575</xdr:rowOff>
    </xdr:from>
    <xdr:to>
      <xdr:col>4</xdr:col>
      <xdr:colOff>470927</xdr:colOff>
      <xdr:row>1222</xdr:row>
      <xdr:rowOff>285750</xdr:rowOff>
    </xdr:to>
    <xdr:pic>
      <xdr:nvPicPr>
        <xdr:cNvPr id="83" name="82 Imagen" descr="44 AÑOS">
          <a:extLst>
            <a:ext uri="{FF2B5EF4-FFF2-40B4-BE49-F238E27FC236}">
              <a16:creationId xmlns:a16="http://schemas.microsoft.com/office/drawing/2014/main" id="{00000000-0008-0000-0400-00005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23201947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1259</xdr:row>
      <xdr:rowOff>9525</xdr:rowOff>
    </xdr:from>
    <xdr:to>
      <xdr:col>6</xdr:col>
      <xdr:colOff>704850</xdr:colOff>
      <xdr:row>1260</xdr:row>
      <xdr:rowOff>289076</xdr:rowOff>
    </xdr:to>
    <xdr:pic>
      <xdr:nvPicPr>
        <xdr:cNvPr id="84" name="83 Imagen" descr="NEIVA UNIDA">
          <a:extLst>
            <a:ext uri="{FF2B5EF4-FFF2-40B4-BE49-F238E27FC236}">
              <a16:creationId xmlns:a16="http://schemas.microsoft.com/office/drawing/2014/main" id="{00000000-0008-0000-04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050" y="23949660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1259</xdr:row>
      <xdr:rowOff>28575</xdr:rowOff>
    </xdr:from>
    <xdr:to>
      <xdr:col>4</xdr:col>
      <xdr:colOff>470927</xdr:colOff>
      <xdr:row>1260</xdr:row>
      <xdr:rowOff>285750</xdr:rowOff>
    </xdr:to>
    <xdr:pic>
      <xdr:nvPicPr>
        <xdr:cNvPr id="85" name="84 Imagen" descr="44 AÑOS">
          <a:extLst>
            <a:ext uri="{FF2B5EF4-FFF2-40B4-BE49-F238E27FC236}">
              <a16:creationId xmlns:a16="http://schemas.microsoft.com/office/drawing/2014/main" id="{00000000-0008-0000-0400-00005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239515650"/>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655759</xdr:colOff>
      <xdr:row>1397</xdr:row>
      <xdr:rowOff>31506</xdr:rowOff>
    </xdr:from>
    <xdr:to>
      <xdr:col>6</xdr:col>
      <xdr:colOff>836734</xdr:colOff>
      <xdr:row>1399</xdr:row>
      <xdr:rowOff>3326</xdr:rowOff>
    </xdr:to>
    <xdr:pic>
      <xdr:nvPicPr>
        <xdr:cNvPr id="86" name="85 Imagen" descr="NEIVA UNIDA">
          <a:extLst>
            <a:ext uri="{FF2B5EF4-FFF2-40B4-BE49-F238E27FC236}">
              <a16:creationId xmlns:a16="http://schemas.microsoft.com/office/drawing/2014/main" id="{00000000-0008-0000-04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1934" y="266198106"/>
          <a:ext cx="1800225" cy="619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1397</xdr:row>
      <xdr:rowOff>28575</xdr:rowOff>
    </xdr:from>
    <xdr:to>
      <xdr:col>4</xdr:col>
      <xdr:colOff>470927</xdr:colOff>
      <xdr:row>1398</xdr:row>
      <xdr:rowOff>285750</xdr:rowOff>
    </xdr:to>
    <xdr:pic>
      <xdr:nvPicPr>
        <xdr:cNvPr id="87" name="86 Imagen" descr="44 AÑOS">
          <a:extLst>
            <a:ext uri="{FF2B5EF4-FFF2-40B4-BE49-F238E27FC236}">
              <a16:creationId xmlns:a16="http://schemas.microsoft.com/office/drawing/2014/main" id="{00000000-0008-0000-0400-00005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2275" y="266195175"/>
          <a:ext cx="11948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323850</xdr:colOff>
      <xdr:row>0</xdr:row>
      <xdr:rowOff>57150</xdr:rowOff>
    </xdr:from>
    <xdr:to>
      <xdr:col>2</xdr:col>
      <xdr:colOff>1552575</xdr:colOff>
      <xdr:row>0</xdr:row>
      <xdr:rowOff>934811</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52525" y="57150"/>
          <a:ext cx="1228725" cy="877661"/>
        </a:xfrm>
        <a:prstGeom prst="rect">
          <a:avLst/>
        </a:prstGeom>
      </xdr:spPr>
    </xdr:pic>
    <xdr:clientData/>
  </xdr:twoCellAnchor>
  <xdr:oneCellAnchor>
    <xdr:from>
      <xdr:col>1</xdr:col>
      <xdr:colOff>608052</xdr:colOff>
      <xdr:row>419</xdr:row>
      <xdr:rowOff>0</xdr:rowOff>
    </xdr:from>
    <xdr:ext cx="184731" cy="264560"/>
    <xdr:sp macro="" textlink="">
      <xdr:nvSpPr>
        <xdr:cNvPr id="3" name="673 CuadroTexto">
          <a:extLst>
            <a:ext uri="{FF2B5EF4-FFF2-40B4-BE49-F238E27FC236}">
              <a16:creationId xmlns:a16="http://schemas.microsoft.com/office/drawing/2014/main" id="{00000000-0008-0000-0500-000003000000}"/>
            </a:ext>
          </a:extLst>
        </xdr:cNvPr>
        <xdr:cNvSpPr txBox="1"/>
      </xdr:nvSpPr>
      <xdr:spPr>
        <a:xfrm>
          <a:off x="827127"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4" name="919 CuadroTexto">
          <a:extLst>
            <a:ext uri="{FF2B5EF4-FFF2-40B4-BE49-F238E27FC236}">
              <a16:creationId xmlns:a16="http://schemas.microsoft.com/office/drawing/2014/main" id="{00000000-0008-0000-0500-000004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5" name="921 CuadroTexto">
          <a:extLst>
            <a:ext uri="{FF2B5EF4-FFF2-40B4-BE49-F238E27FC236}">
              <a16:creationId xmlns:a16="http://schemas.microsoft.com/office/drawing/2014/main" id="{00000000-0008-0000-0500-000005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6" name="995 CuadroTexto">
          <a:extLst>
            <a:ext uri="{FF2B5EF4-FFF2-40B4-BE49-F238E27FC236}">
              <a16:creationId xmlns:a16="http://schemas.microsoft.com/office/drawing/2014/main" id="{00000000-0008-0000-0500-000006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7" name="997 CuadroTexto">
          <a:extLst>
            <a:ext uri="{FF2B5EF4-FFF2-40B4-BE49-F238E27FC236}">
              <a16:creationId xmlns:a16="http://schemas.microsoft.com/office/drawing/2014/main" id="{00000000-0008-0000-0500-000007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419</xdr:row>
      <xdr:rowOff>0</xdr:rowOff>
    </xdr:from>
    <xdr:ext cx="184731" cy="264560"/>
    <xdr:sp macro="" textlink="">
      <xdr:nvSpPr>
        <xdr:cNvPr id="8" name="1940 CuadroTexto">
          <a:extLst>
            <a:ext uri="{FF2B5EF4-FFF2-40B4-BE49-F238E27FC236}">
              <a16:creationId xmlns:a16="http://schemas.microsoft.com/office/drawing/2014/main" id="{00000000-0008-0000-0500-000008000000}"/>
            </a:ext>
          </a:extLst>
        </xdr:cNvPr>
        <xdr:cNvSpPr txBox="1"/>
      </xdr:nvSpPr>
      <xdr:spPr>
        <a:xfrm>
          <a:off x="827127"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9" name="2584 CuadroTexto">
          <a:extLst>
            <a:ext uri="{FF2B5EF4-FFF2-40B4-BE49-F238E27FC236}">
              <a16:creationId xmlns:a16="http://schemas.microsoft.com/office/drawing/2014/main" id="{00000000-0008-0000-0500-000009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0" name="2585 CuadroTexto">
          <a:extLst>
            <a:ext uri="{FF2B5EF4-FFF2-40B4-BE49-F238E27FC236}">
              <a16:creationId xmlns:a16="http://schemas.microsoft.com/office/drawing/2014/main" id="{00000000-0008-0000-0500-00000A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1" name="2586 CuadroTexto">
          <a:extLst>
            <a:ext uri="{FF2B5EF4-FFF2-40B4-BE49-F238E27FC236}">
              <a16:creationId xmlns:a16="http://schemas.microsoft.com/office/drawing/2014/main" id="{00000000-0008-0000-0500-00000B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2" name="2587 CuadroTexto">
          <a:extLst>
            <a:ext uri="{FF2B5EF4-FFF2-40B4-BE49-F238E27FC236}">
              <a16:creationId xmlns:a16="http://schemas.microsoft.com/office/drawing/2014/main" id="{00000000-0008-0000-0500-00000C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3" name="2588 CuadroTexto">
          <a:extLst>
            <a:ext uri="{FF2B5EF4-FFF2-40B4-BE49-F238E27FC236}">
              <a16:creationId xmlns:a16="http://schemas.microsoft.com/office/drawing/2014/main" id="{00000000-0008-0000-0500-00000D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4" name="2589 CuadroTexto">
          <a:extLst>
            <a:ext uri="{FF2B5EF4-FFF2-40B4-BE49-F238E27FC236}">
              <a16:creationId xmlns:a16="http://schemas.microsoft.com/office/drawing/2014/main" id="{00000000-0008-0000-0500-00000E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5" name="240 CuadroTexto">
          <a:extLst>
            <a:ext uri="{FF2B5EF4-FFF2-40B4-BE49-F238E27FC236}">
              <a16:creationId xmlns:a16="http://schemas.microsoft.com/office/drawing/2014/main" id="{00000000-0008-0000-0500-00000F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6" name="241 CuadroTexto">
          <a:extLst>
            <a:ext uri="{FF2B5EF4-FFF2-40B4-BE49-F238E27FC236}">
              <a16:creationId xmlns:a16="http://schemas.microsoft.com/office/drawing/2014/main" id="{00000000-0008-0000-0500-000010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7" name="246 CuadroTexto">
          <a:extLst>
            <a:ext uri="{FF2B5EF4-FFF2-40B4-BE49-F238E27FC236}">
              <a16:creationId xmlns:a16="http://schemas.microsoft.com/office/drawing/2014/main" id="{00000000-0008-0000-0500-000011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8" name="247 CuadroTexto">
          <a:extLst>
            <a:ext uri="{FF2B5EF4-FFF2-40B4-BE49-F238E27FC236}">
              <a16:creationId xmlns:a16="http://schemas.microsoft.com/office/drawing/2014/main" id="{00000000-0008-0000-0500-000012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9" name="248 CuadroTexto">
          <a:extLst>
            <a:ext uri="{FF2B5EF4-FFF2-40B4-BE49-F238E27FC236}">
              <a16:creationId xmlns:a16="http://schemas.microsoft.com/office/drawing/2014/main" id="{00000000-0008-0000-0500-000013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20" name="249 CuadroTexto">
          <a:extLst>
            <a:ext uri="{FF2B5EF4-FFF2-40B4-BE49-F238E27FC236}">
              <a16:creationId xmlns:a16="http://schemas.microsoft.com/office/drawing/2014/main" id="{00000000-0008-0000-0500-000014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419</xdr:row>
      <xdr:rowOff>0</xdr:rowOff>
    </xdr:from>
    <xdr:ext cx="184731" cy="264560"/>
    <xdr:sp macro="" textlink="">
      <xdr:nvSpPr>
        <xdr:cNvPr id="21" name="673 CuadroTexto">
          <a:extLst>
            <a:ext uri="{FF2B5EF4-FFF2-40B4-BE49-F238E27FC236}">
              <a16:creationId xmlns:a16="http://schemas.microsoft.com/office/drawing/2014/main" id="{00000000-0008-0000-0500-000015000000}"/>
            </a:ext>
          </a:extLst>
        </xdr:cNvPr>
        <xdr:cNvSpPr txBox="1"/>
      </xdr:nvSpPr>
      <xdr:spPr>
        <a:xfrm>
          <a:off x="827127"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22" name="919 CuadroTexto">
          <a:extLst>
            <a:ext uri="{FF2B5EF4-FFF2-40B4-BE49-F238E27FC236}">
              <a16:creationId xmlns:a16="http://schemas.microsoft.com/office/drawing/2014/main" id="{00000000-0008-0000-0500-000016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23" name="921 CuadroTexto">
          <a:extLst>
            <a:ext uri="{FF2B5EF4-FFF2-40B4-BE49-F238E27FC236}">
              <a16:creationId xmlns:a16="http://schemas.microsoft.com/office/drawing/2014/main" id="{00000000-0008-0000-0500-000017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24" name="995 CuadroTexto">
          <a:extLst>
            <a:ext uri="{FF2B5EF4-FFF2-40B4-BE49-F238E27FC236}">
              <a16:creationId xmlns:a16="http://schemas.microsoft.com/office/drawing/2014/main" id="{00000000-0008-0000-0500-000018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25" name="997 CuadroTexto">
          <a:extLst>
            <a:ext uri="{FF2B5EF4-FFF2-40B4-BE49-F238E27FC236}">
              <a16:creationId xmlns:a16="http://schemas.microsoft.com/office/drawing/2014/main" id="{00000000-0008-0000-0500-000019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419</xdr:row>
      <xdr:rowOff>0</xdr:rowOff>
    </xdr:from>
    <xdr:ext cx="184731" cy="264560"/>
    <xdr:sp macro="" textlink="">
      <xdr:nvSpPr>
        <xdr:cNvPr id="26" name="1940 CuadroTexto">
          <a:extLst>
            <a:ext uri="{FF2B5EF4-FFF2-40B4-BE49-F238E27FC236}">
              <a16:creationId xmlns:a16="http://schemas.microsoft.com/office/drawing/2014/main" id="{00000000-0008-0000-0500-00001A000000}"/>
            </a:ext>
          </a:extLst>
        </xdr:cNvPr>
        <xdr:cNvSpPr txBox="1"/>
      </xdr:nvSpPr>
      <xdr:spPr>
        <a:xfrm>
          <a:off x="827127"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27" name="2584 CuadroTexto">
          <a:extLst>
            <a:ext uri="{FF2B5EF4-FFF2-40B4-BE49-F238E27FC236}">
              <a16:creationId xmlns:a16="http://schemas.microsoft.com/office/drawing/2014/main" id="{00000000-0008-0000-0500-00001B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28" name="2585 CuadroTexto">
          <a:extLst>
            <a:ext uri="{FF2B5EF4-FFF2-40B4-BE49-F238E27FC236}">
              <a16:creationId xmlns:a16="http://schemas.microsoft.com/office/drawing/2014/main" id="{00000000-0008-0000-0500-00001C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29" name="2586 CuadroTexto">
          <a:extLst>
            <a:ext uri="{FF2B5EF4-FFF2-40B4-BE49-F238E27FC236}">
              <a16:creationId xmlns:a16="http://schemas.microsoft.com/office/drawing/2014/main" id="{00000000-0008-0000-0500-00001D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30" name="2587 CuadroTexto">
          <a:extLst>
            <a:ext uri="{FF2B5EF4-FFF2-40B4-BE49-F238E27FC236}">
              <a16:creationId xmlns:a16="http://schemas.microsoft.com/office/drawing/2014/main" id="{00000000-0008-0000-0500-00001E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31" name="2588 CuadroTexto">
          <a:extLst>
            <a:ext uri="{FF2B5EF4-FFF2-40B4-BE49-F238E27FC236}">
              <a16:creationId xmlns:a16="http://schemas.microsoft.com/office/drawing/2014/main" id="{00000000-0008-0000-0500-00001F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32" name="2589 CuadroTexto">
          <a:extLst>
            <a:ext uri="{FF2B5EF4-FFF2-40B4-BE49-F238E27FC236}">
              <a16:creationId xmlns:a16="http://schemas.microsoft.com/office/drawing/2014/main" id="{00000000-0008-0000-0500-000020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33" name="240 CuadroTexto">
          <a:extLst>
            <a:ext uri="{FF2B5EF4-FFF2-40B4-BE49-F238E27FC236}">
              <a16:creationId xmlns:a16="http://schemas.microsoft.com/office/drawing/2014/main" id="{00000000-0008-0000-0500-000021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34" name="241 CuadroTexto">
          <a:extLst>
            <a:ext uri="{FF2B5EF4-FFF2-40B4-BE49-F238E27FC236}">
              <a16:creationId xmlns:a16="http://schemas.microsoft.com/office/drawing/2014/main" id="{00000000-0008-0000-0500-000022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35" name="246 CuadroTexto">
          <a:extLst>
            <a:ext uri="{FF2B5EF4-FFF2-40B4-BE49-F238E27FC236}">
              <a16:creationId xmlns:a16="http://schemas.microsoft.com/office/drawing/2014/main" id="{00000000-0008-0000-0500-000023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36" name="247 CuadroTexto">
          <a:extLst>
            <a:ext uri="{FF2B5EF4-FFF2-40B4-BE49-F238E27FC236}">
              <a16:creationId xmlns:a16="http://schemas.microsoft.com/office/drawing/2014/main" id="{00000000-0008-0000-0500-000024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37" name="248 CuadroTexto">
          <a:extLst>
            <a:ext uri="{FF2B5EF4-FFF2-40B4-BE49-F238E27FC236}">
              <a16:creationId xmlns:a16="http://schemas.microsoft.com/office/drawing/2014/main" id="{00000000-0008-0000-0500-000025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38" name="249 CuadroTexto">
          <a:extLst>
            <a:ext uri="{FF2B5EF4-FFF2-40B4-BE49-F238E27FC236}">
              <a16:creationId xmlns:a16="http://schemas.microsoft.com/office/drawing/2014/main" id="{00000000-0008-0000-0500-000026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39" name="2429 CuadroTexto">
          <a:extLst>
            <a:ext uri="{FF2B5EF4-FFF2-40B4-BE49-F238E27FC236}">
              <a16:creationId xmlns:a16="http://schemas.microsoft.com/office/drawing/2014/main" id="{00000000-0008-0000-0500-000027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40" name="2430 CuadroTexto">
          <a:extLst>
            <a:ext uri="{FF2B5EF4-FFF2-40B4-BE49-F238E27FC236}">
              <a16:creationId xmlns:a16="http://schemas.microsoft.com/office/drawing/2014/main" id="{00000000-0008-0000-0500-000028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41" name="2431 CuadroTexto">
          <a:extLst>
            <a:ext uri="{FF2B5EF4-FFF2-40B4-BE49-F238E27FC236}">
              <a16:creationId xmlns:a16="http://schemas.microsoft.com/office/drawing/2014/main" id="{00000000-0008-0000-0500-000029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42" name="2432 CuadroTexto">
          <a:extLst>
            <a:ext uri="{FF2B5EF4-FFF2-40B4-BE49-F238E27FC236}">
              <a16:creationId xmlns:a16="http://schemas.microsoft.com/office/drawing/2014/main" id="{00000000-0008-0000-0500-00002A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43" name="2433 CuadroTexto">
          <a:extLst>
            <a:ext uri="{FF2B5EF4-FFF2-40B4-BE49-F238E27FC236}">
              <a16:creationId xmlns:a16="http://schemas.microsoft.com/office/drawing/2014/main" id="{00000000-0008-0000-0500-00002B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44" name="2434 CuadroTexto">
          <a:extLst>
            <a:ext uri="{FF2B5EF4-FFF2-40B4-BE49-F238E27FC236}">
              <a16:creationId xmlns:a16="http://schemas.microsoft.com/office/drawing/2014/main" id="{00000000-0008-0000-0500-00002C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45" name="2584 CuadroTexto">
          <a:extLst>
            <a:ext uri="{FF2B5EF4-FFF2-40B4-BE49-F238E27FC236}">
              <a16:creationId xmlns:a16="http://schemas.microsoft.com/office/drawing/2014/main" id="{00000000-0008-0000-0500-00002D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46" name="2585 CuadroTexto">
          <a:extLst>
            <a:ext uri="{FF2B5EF4-FFF2-40B4-BE49-F238E27FC236}">
              <a16:creationId xmlns:a16="http://schemas.microsoft.com/office/drawing/2014/main" id="{00000000-0008-0000-0500-00002E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47" name="2586 CuadroTexto">
          <a:extLst>
            <a:ext uri="{FF2B5EF4-FFF2-40B4-BE49-F238E27FC236}">
              <a16:creationId xmlns:a16="http://schemas.microsoft.com/office/drawing/2014/main" id="{00000000-0008-0000-0500-00002F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48" name="2587 CuadroTexto">
          <a:extLst>
            <a:ext uri="{FF2B5EF4-FFF2-40B4-BE49-F238E27FC236}">
              <a16:creationId xmlns:a16="http://schemas.microsoft.com/office/drawing/2014/main" id="{00000000-0008-0000-0500-000030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49" name="2588 CuadroTexto">
          <a:extLst>
            <a:ext uri="{FF2B5EF4-FFF2-40B4-BE49-F238E27FC236}">
              <a16:creationId xmlns:a16="http://schemas.microsoft.com/office/drawing/2014/main" id="{00000000-0008-0000-0500-000031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50" name="2589 CuadroTexto">
          <a:extLst>
            <a:ext uri="{FF2B5EF4-FFF2-40B4-BE49-F238E27FC236}">
              <a16:creationId xmlns:a16="http://schemas.microsoft.com/office/drawing/2014/main" id="{00000000-0008-0000-0500-000032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51" name="240 CuadroTexto">
          <a:extLst>
            <a:ext uri="{FF2B5EF4-FFF2-40B4-BE49-F238E27FC236}">
              <a16:creationId xmlns:a16="http://schemas.microsoft.com/office/drawing/2014/main" id="{00000000-0008-0000-0500-000033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52" name="241 CuadroTexto">
          <a:extLst>
            <a:ext uri="{FF2B5EF4-FFF2-40B4-BE49-F238E27FC236}">
              <a16:creationId xmlns:a16="http://schemas.microsoft.com/office/drawing/2014/main" id="{00000000-0008-0000-0500-000034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53" name="246 CuadroTexto">
          <a:extLst>
            <a:ext uri="{FF2B5EF4-FFF2-40B4-BE49-F238E27FC236}">
              <a16:creationId xmlns:a16="http://schemas.microsoft.com/office/drawing/2014/main" id="{00000000-0008-0000-0500-000035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54" name="247 CuadroTexto">
          <a:extLst>
            <a:ext uri="{FF2B5EF4-FFF2-40B4-BE49-F238E27FC236}">
              <a16:creationId xmlns:a16="http://schemas.microsoft.com/office/drawing/2014/main" id="{00000000-0008-0000-0500-000036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55" name="248 CuadroTexto">
          <a:extLst>
            <a:ext uri="{FF2B5EF4-FFF2-40B4-BE49-F238E27FC236}">
              <a16:creationId xmlns:a16="http://schemas.microsoft.com/office/drawing/2014/main" id="{00000000-0008-0000-0500-000037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56" name="249 CuadroTexto">
          <a:extLst>
            <a:ext uri="{FF2B5EF4-FFF2-40B4-BE49-F238E27FC236}">
              <a16:creationId xmlns:a16="http://schemas.microsoft.com/office/drawing/2014/main" id="{00000000-0008-0000-0500-000038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57" name="2429 CuadroTexto">
          <a:extLst>
            <a:ext uri="{FF2B5EF4-FFF2-40B4-BE49-F238E27FC236}">
              <a16:creationId xmlns:a16="http://schemas.microsoft.com/office/drawing/2014/main" id="{00000000-0008-0000-0500-000039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58" name="2430 CuadroTexto">
          <a:extLst>
            <a:ext uri="{FF2B5EF4-FFF2-40B4-BE49-F238E27FC236}">
              <a16:creationId xmlns:a16="http://schemas.microsoft.com/office/drawing/2014/main" id="{00000000-0008-0000-0500-00003A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59" name="2431 CuadroTexto">
          <a:extLst>
            <a:ext uri="{FF2B5EF4-FFF2-40B4-BE49-F238E27FC236}">
              <a16:creationId xmlns:a16="http://schemas.microsoft.com/office/drawing/2014/main" id="{00000000-0008-0000-0500-00003B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60" name="2432 CuadroTexto">
          <a:extLst>
            <a:ext uri="{FF2B5EF4-FFF2-40B4-BE49-F238E27FC236}">
              <a16:creationId xmlns:a16="http://schemas.microsoft.com/office/drawing/2014/main" id="{00000000-0008-0000-0500-00003C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61" name="2433 CuadroTexto">
          <a:extLst>
            <a:ext uri="{FF2B5EF4-FFF2-40B4-BE49-F238E27FC236}">
              <a16:creationId xmlns:a16="http://schemas.microsoft.com/office/drawing/2014/main" id="{00000000-0008-0000-0500-00003D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62" name="2434 CuadroTexto">
          <a:extLst>
            <a:ext uri="{FF2B5EF4-FFF2-40B4-BE49-F238E27FC236}">
              <a16:creationId xmlns:a16="http://schemas.microsoft.com/office/drawing/2014/main" id="{00000000-0008-0000-0500-00003E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63" name="2584 CuadroTexto">
          <a:extLst>
            <a:ext uri="{FF2B5EF4-FFF2-40B4-BE49-F238E27FC236}">
              <a16:creationId xmlns:a16="http://schemas.microsoft.com/office/drawing/2014/main" id="{00000000-0008-0000-0500-00003F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64" name="2585 CuadroTexto">
          <a:extLst>
            <a:ext uri="{FF2B5EF4-FFF2-40B4-BE49-F238E27FC236}">
              <a16:creationId xmlns:a16="http://schemas.microsoft.com/office/drawing/2014/main" id="{00000000-0008-0000-0500-000040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65" name="2586 CuadroTexto">
          <a:extLst>
            <a:ext uri="{FF2B5EF4-FFF2-40B4-BE49-F238E27FC236}">
              <a16:creationId xmlns:a16="http://schemas.microsoft.com/office/drawing/2014/main" id="{00000000-0008-0000-0500-000041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66" name="2587 CuadroTexto">
          <a:extLst>
            <a:ext uri="{FF2B5EF4-FFF2-40B4-BE49-F238E27FC236}">
              <a16:creationId xmlns:a16="http://schemas.microsoft.com/office/drawing/2014/main" id="{00000000-0008-0000-0500-000042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67" name="2588 CuadroTexto">
          <a:extLst>
            <a:ext uri="{FF2B5EF4-FFF2-40B4-BE49-F238E27FC236}">
              <a16:creationId xmlns:a16="http://schemas.microsoft.com/office/drawing/2014/main" id="{00000000-0008-0000-0500-000043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68" name="2589 CuadroTexto">
          <a:extLst>
            <a:ext uri="{FF2B5EF4-FFF2-40B4-BE49-F238E27FC236}">
              <a16:creationId xmlns:a16="http://schemas.microsoft.com/office/drawing/2014/main" id="{00000000-0008-0000-0500-000044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69" name="240 CuadroTexto">
          <a:extLst>
            <a:ext uri="{FF2B5EF4-FFF2-40B4-BE49-F238E27FC236}">
              <a16:creationId xmlns:a16="http://schemas.microsoft.com/office/drawing/2014/main" id="{00000000-0008-0000-0500-000045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70" name="241 CuadroTexto">
          <a:extLst>
            <a:ext uri="{FF2B5EF4-FFF2-40B4-BE49-F238E27FC236}">
              <a16:creationId xmlns:a16="http://schemas.microsoft.com/office/drawing/2014/main" id="{00000000-0008-0000-0500-000046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71" name="246 CuadroTexto">
          <a:extLst>
            <a:ext uri="{FF2B5EF4-FFF2-40B4-BE49-F238E27FC236}">
              <a16:creationId xmlns:a16="http://schemas.microsoft.com/office/drawing/2014/main" id="{00000000-0008-0000-0500-000047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72" name="247 CuadroTexto">
          <a:extLst>
            <a:ext uri="{FF2B5EF4-FFF2-40B4-BE49-F238E27FC236}">
              <a16:creationId xmlns:a16="http://schemas.microsoft.com/office/drawing/2014/main" id="{00000000-0008-0000-0500-000048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73" name="248 CuadroTexto">
          <a:extLst>
            <a:ext uri="{FF2B5EF4-FFF2-40B4-BE49-F238E27FC236}">
              <a16:creationId xmlns:a16="http://schemas.microsoft.com/office/drawing/2014/main" id="{00000000-0008-0000-0500-000049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74" name="249 CuadroTexto">
          <a:extLst>
            <a:ext uri="{FF2B5EF4-FFF2-40B4-BE49-F238E27FC236}">
              <a16:creationId xmlns:a16="http://schemas.microsoft.com/office/drawing/2014/main" id="{00000000-0008-0000-0500-00004A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421</xdr:row>
      <xdr:rowOff>0</xdr:rowOff>
    </xdr:from>
    <xdr:ext cx="184731" cy="264560"/>
    <xdr:sp macro="" textlink="">
      <xdr:nvSpPr>
        <xdr:cNvPr id="75" name="673 CuadroTexto">
          <a:extLst>
            <a:ext uri="{FF2B5EF4-FFF2-40B4-BE49-F238E27FC236}">
              <a16:creationId xmlns:a16="http://schemas.microsoft.com/office/drawing/2014/main" id="{00000000-0008-0000-0500-00004B000000}"/>
            </a:ext>
          </a:extLst>
        </xdr:cNvPr>
        <xdr:cNvSpPr txBox="1"/>
      </xdr:nvSpPr>
      <xdr:spPr>
        <a:xfrm>
          <a:off x="827127"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76" name="919 CuadroTexto">
          <a:extLst>
            <a:ext uri="{FF2B5EF4-FFF2-40B4-BE49-F238E27FC236}">
              <a16:creationId xmlns:a16="http://schemas.microsoft.com/office/drawing/2014/main" id="{00000000-0008-0000-0500-00004C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77" name="921 CuadroTexto">
          <a:extLst>
            <a:ext uri="{FF2B5EF4-FFF2-40B4-BE49-F238E27FC236}">
              <a16:creationId xmlns:a16="http://schemas.microsoft.com/office/drawing/2014/main" id="{00000000-0008-0000-0500-00004D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78" name="995 CuadroTexto">
          <a:extLst>
            <a:ext uri="{FF2B5EF4-FFF2-40B4-BE49-F238E27FC236}">
              <a16:creationId xmlns:a16="http://schemas.microsoft.com/office/drawing/2014/main" id="{00000000-0008-0000-0500-00004E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421</xdr:row>
      <xdr:rowOff>0</xdr:rowOff>
    </xdr:from>
    <xdr:ext cx="184731" cy="264560"/>
    <xdr:sp macro="" textlink="">
      <xdr:nvSpPr>
        <xdr:cNvPr id="79" name="1940 CuadroTexto">
          <a:extLst>
            <a:ext uri="{FF2B5EF4-FFF2-40B4-BE49-F238E27FC236}">
              <a16:creationId xmlns:a16="http://schemas.microsoft.com/office/drawing/2014/main" id="{00000000-0008-0000-0500-00004F000000}"/>
            </a:ext>
          </a:extLst>
        </xdr:cNvPr>
        <xdr:cNvSpPr txBox="1"/>
      </xdr:nvSpPr>
      <xdr:spPr>
        <a:xfrm>
          <a:off x="827127"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twoCellAnchor>
    <xdr:from>
      <xdr:col>2</xdr:col>
      <xdr:colOff>520023</xdr:colOff>
      <xdr:row>420</xdr:row>
      <xdr:rowOff>2388</xdr:rowOff>
    </xdr:from>
    <xdr:to>
      <xdr:col>2</xdr:col>
      <xdr:colOff>520818</xdr:colOff>
      <xdr:row>420</xdr:row>
      <xdr:rowOff>2388</xdr:rowOff>
    </xdr:to>
    <xdr:cxnSp macro="">
      <xdr:nvCxnSpPr>
        <xdr:cNvPr id="80" name="1888 Conector recto">
          <a:extLst>
            <a:ext uri="{FF2B5EF4-FFF2-40B4-BE49-F238E27FC236}">
              <a16:creationId xmlns:a16="http://schemas.microsoft.com/office/drawing/2014/main" id="{00000000-0008-0000-0500-000050000000}"/>
            </a:ext>
          </a:extLst>
        </xdr:cNvPr>
        <xdr:cNvCxnSpPr/>
      </xdr:nvCxnSpPr>
      <xdr:spPr>
        <a:xfrm rot="5400000">
          <a:off x="1349096" y="178843390"/>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1627</xdr:colOff>
      <xdr:row>421</xdr:row>
      <xdr:rowOff>0</xdr:rowOff>
    </xdr:from>
    <xdr:ext cx="184731" cy="264560"/>
    <xdr:sp macro="" textlink="">
      <xdr:nvSpPr>
        <xdr:cNvPr id="81" name="2584 CuadroTexto">
          <a:extLst>
            <a:ext uri="{FF2B5EF4-FFF2-40B4-BE49-F238E27FC236}">
              <a16:creationId xmlns:a16="http://schemas.microsoft.com/office/drawing/2014/main" id="{00000000-0008-0000-0500-000051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82" name="2585 CuadroTexto">
          <a:extLst>
            <a:ext uri="{FF2B5EF4-FFF2-40B4-BE49-F238E27FC236}">
              <a16:creationId xmlns:a16="http://schemas.microsoft.com/office/drawing/2014/main" id="{00000000-0008-0000-0500-000052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83" name="2586 CuadroTexto">
          <a:extLst>
            <a:ext uri="{FF2B5EF4-FFF2-40B4-BE49-F238E27FC236}">
              <a16:creationId xmlns:a16="http://schemas.microsoft.com/office/drawing/2014/main" id="{00000000-0008-0000-0500-000053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84" name="2587 CuadroTexto">
          <a:extLst>
            <a:ext uri="{FF2B5EF4-FFF2-40B4-BE49-F238E27FC236}">
              <a16:creationId xmlns:a16="http://schemas.microsoft.com/office/drawing/2014/main" id="{00000000-0008-0000-0500-000054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85" name="2588 CuadroTexto">
          <a:extLst>
            <a:ext uri="{FF2B5EF4-FFF2-40B4-BE49-F238E27FC236}">
              <a16:creationId xmlns:a16="http://schemas.microsoft.com/office/drawing/2014/main" id="{00000000-0008-0000-0500-000055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86" name="2589 CuadroTexto">
          <a:extLst>
            <a:ext uri="{FF2B5EF4-FFF2-40B4-BE49-F238E27FC236}">
              <a16:creationId xmlns:a16="http://schemas.microsoft.com/office/drawing/2014/main" id="{00000000-0008-0000-0500-000056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87" name="240 CuadroTexto">
          <a:extLst>
            <a:ext uri="{FF2B5EF4-FFF2-40B4-BE49-F238E27FC236}">
              <a16:creationId xmlns:a16="http://schemas.microsoft.com/office/drawing/2014/main" id="{00000000-0008-0000-0500-000057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88" name="241 CuadroTexto">
          <a:extLst>
            <a:ext uri="{FF2B5EF4-FFF2-40B4-BE49-F238E27FC236}">
              <a16:creationId xmlns:a16="http://schemas.microsoft.com/office/drawing/2014/main" id="{00000000-0008-0000-0500-000058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89" name="246 CuadroTexto">
          <a:extLst>
            <a:ext uri="{FF2B5EF4-FFF2-40B4-BE49-F238E27FC236}">
              <a16:creationId xmlns:a16="http://schemas.microsoft.com/office/drawing/2014/main" id="{00000000-0008-0000-0500-000059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90" name="2584 CuadroTexto">
          <a:extLst>
            <a:ext uri="{FF2B5EF4-FFF2-40B4-BE49-F238E27FC236}">
              <a16:creationId xmlns:a16="http://schemas.microsoft.com/office/drawing/2014/main" id="{00000000-0008-0000-0500-00005A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91" name="2585 CuadroTexto">
          <a:extLst>
            <a:ext uri="{FF2B5EF4-FFF2-40B4-BE49-F238E27FC236}">
              <a16:creationId xmlns:a16="http://schemas.microsoft.com/office/drawing/2014/main" id="{00000000-0008-0000-0500-00005B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92" name="2586 CuadroTexto">
          <a:extLst>
            <a:ext uri="{FF2B5EF4-FFF2-40B4-BE49-F238E27FC236}">
              <a16:creationId xmlns:a16="http://schemas.microsoft.com/office/drawing/2014/main" id="{00000000-0008-0000-0500-00005C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93" name="2587 CuadroTexto">
          <a:extLst>
            <a:ext uri="{FF2B5EF4-FFF2-40B4-BE49-F238E27FC236}">
              <a16:creationId xmlns:a16="http://schemas.microsoft.com/office/drawing/2014/main" id="{00000000-0008-0000-0500-00005D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94" name="2588 CuadroTexto">
          <a:extLst>
            <a:ext uri="{FF2B5EF4-FFF2-40B4-BE49-F238E27FC236}">
              <a16:creationId xmlns:a16="http://schemas.microsoft.com/office/drawing/2014/main" id="{00000000-0008-0000-0500-00005E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95" name="2589 CuadroTexto">
          <a:extLst>
            <a:ext uri="{FF2B5EF4-FFF2-40B4-BE49-F238E27FC236}">
              <a16:creationId xmlns:a16="http://schemas.microsoft.com/office/drawing/2014/main" id="{00000000-0008-0000-0500-00005F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96" name="240 CuadroTexto">
          <a:extLst>
            <a:ext uri="{FF2B5EF4-FFF2-40B4-BE49-F238E27FC236}">
              <a16:creationId xmlns:a16="http://schemas.microsoft.com/office/drawing/2014/main" id="{00000000-0008-0000-0500-000060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97" name="241 CuadroTexto">
          <a:extLst>
            <a:ext uri="{FF2B5EF4-FFF2-40B4-BE49-F238E27FC236}">
              <a16:creationId xmlns:a16="http://schemas.microsoft.com/office/drawing/2014/main" id="{00000000-0008-0000-0500-000061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98" name="246 CuadroTexto">
          <a:extLst>
            <a:ext uri="{FF2B5EF4-FFF2-40B4-BE49-F238E27FC236}">
              <a16:creationId xmlns:a16="http://schemas.microsoft.com/office/drawing/2014/main" id="{00000000-0008-0000-0500-000062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99" name="247 CuadroTexto">
          <a:extLst>
            <a:ext uri="{FF2B5EF4-FFF2-40B4-BE49-F238E27FC236}">
              <a16:creationId xmlns:a16="http://schemas.microsoft.com/office/drawing/2014/main" id="{00000000-0008-0000-0500-000063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00" name="248 CuadroTexto">
          <a:extLst>
            <a:ext uri="{FF2B5EF4-FFF2-40B4-BE49-F238E27FC236}">
              <a16:creationId xmlns:a16="http://schemas.microsoft.com/office/drawing/2014/main" id="{00000000-0008-0000-0500-000064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01" name="249 CuadroTexto">
          <a:extLst>
            <a:ext uri="{FF2B5EF4-FFF2-40B4-BE49-F238E27FC236}">
              <a16:creationId xmlns:a16="http://schemas.microsoft.com/office/drawing/2014/main" id="{00000000-0008-0000-0500-000065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02" name="2429 CuadroTexto">
          <a:extLst>
            <a:ext uri="{FF2B5EF4-FFF2-40B4-BE49-F238E27FC236}">
              <a16:creationId xmlns:a16="http://schemas.microsoft.com/office/drawing/2014/main" id="{00000000-0008-0000-0500-000066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03" name="2430 CuadroTexto">
          <a:extLst>
            <a:ext uri="{FF2B5EF4-FFF2-40B4-BE49-F238E27FC236}">
              <a16:creationId xmlns:a16="http://schemas.microsoft.com/office/drawing/2014/main" id="{00000000-0008-0000-0500-000067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04" name="2431 CuadroTexto">
          <a:extLst>
            <a:ext uri="{FF2B5EF4-FFF2-40B4-BE49-F238E27FC236}">
              <a16:creationId xmlns:a16="http://schemas.microsoft.com/office/drawing/2014/main" id="{00000000-0008-0000-0500-000068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05" name="2432 CuadroTexto">
          <a:extLst>
            <a:ext uri="{FF2B5EF4-FFF2-40B4-BE49-F238E27FC236}">
              <a16:creationId xmlns:a16="http://schemas.microsoft.com/office/drawing/2014/main" id="{00000000-0008-0000-0500-000069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06" name="2433 CuadroTexto">
          <a:extLst>
            <a:ext uri="{FF2B5EF4-FFF2-40B4-BE49-F238E27FC236}">
              <a16:creationId xmlns:a16="http://schemas.microsoft.com/office/drawing/2014/main" id="{00000000-0008-0000-0500-00006A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07" name="2434 CuadroTexto">
          <a:extLst>
            <a:ext uri="{FF2B5EF4-FFF2-40B4-BE49-F238E27FC236}">
              <a16:creationId xmlns:a16="http://schemas.microsoft.com/office/drawing/2014/main" id="{00000000-0008-0000-0500-00006B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08" name="2584 CuadroTexto">
          <a:extLst>
            <a:ext uri="{FF2B5EF4-FFF2-40B4-BE49-F238E27FC236}">
              <a16:creationId xmlns:a16="http://schemas.microsoft.com/office/drawing/2014/main" id="{00000000-0008-0000-0500-00006C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09" name="2585 CuadroTexto">
          <a:extLst>
            <a:ext uri="{FF2B5EF4-FFF2-40B4-BE49-F238E27FC236}">
              <a16:creationId xmlns:a16="http://schemas.microsoft.com/office/drawing/2014/main" id="{00000000-0008-0000-0500-00006D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10" name="2586 CuadroTexto">
          <a:extLst>
            <a:ext uri="{FF2B5EF4-FFF2-40B4-BE49-F238E27FC236}">
              <a16:creationId xmlns:a16="http://schemas.microsoft.com/office/drawing/2014/main" id="{00000000-0008-0000-0500-00006E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11" name="2587 CuadroTexto">
          <a:extLst>
            <a:ext uri="{FF2B5EF4-FFF2-40B4-BE49-F238E27FC236}">
              <a16:creationId xmlns:a16="http://schemas.microsoft.com/office/drawing/2014/main" id="{00000000-0008-0000-0500-00006F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12" name="2588 CuadroTexto">
          <a:extLst>
            <a:ext uri="{FF2B5EF4-FFF2-40B4-BE49-F238E27FC236}">
              <a16:creationId xmlns:a16="http://schemas.microsoft.com/office/drawing/2014/main" id="{00000000-0008-0000-0500-000070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13" name="2589 CuadroTexto">
          <a:extLst>
            <a:ext uri="{FF2B5EF4-FFF2-40B4-BE49-F238E27FC236}">
              <a16:creationId xmlns:a16="http://schemas.microsoft.com/office/drawing/2014/main" id="{00000000-0008-0000-0500-000071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14" name="240 CuadroTexto">
          <a:extLst>
            <a:ext uri="{FF2B5EF4-FFF2-40B4-BE49-F238E27FC236}">
              <a16:creationId xmlns:a16="http://schemas.microsoft.com/office/drawing/2014/main" id="{00000000-0008-0000-0500-000072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15" name="241 CuadroTexto">
          <a:extLst>
            <a:ext uri="{FF2B5EF4-FFF2-40B4-BE49-F238E27FC236}">
              <a16:creationId xmlns:a16="http://schemas.microsoft.com/office/drawing/2014/main" id="{00000000-0008-0000-0500-000073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16" name="246 CuadroTexto">
          <a:extLst>
            <a:ext uri="{FF2B5EF4-FFF2-40B4-BE49-F238E27FC236}">
              <a16:creationId xmlns:a16="http://schemas.microsoft.com/office/drawing/2014/main" id="{00000000-0008-0000-0500-000074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17" name="247 CuadroTexto">
          <a:extLst>
            <a:ext uri="{FF2B5EF4-FFF2-40B4-BE49-F238E27FC236}">
              <a16:creationId xmlns:a16="http://schemas.microsoft.com/office/drawing/2014/main" id="{00000000-0008-0000-0500-000075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18" name="248 CuadroTexto">
          <a:extLst>
            <a:ext uri="{FF2B5EF4-FFF2-40B4-BE49-F238E27FC236}">
              <a16:creationId xmlns:a16="http://schemas.microsoft.com/office/drawing/2014/main" id="{00000000-0008-0000-0500-000076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19" name="249 CuadroTexto">
          <a:extLst>
            <a:ext uri="{FF2B5EF4-FFF2-40B4-BE49-F238E27FC236}">
              <a16:creationId xmlns:a16="http://schemas.microsoft.com/office/drawing/2014/main" id="{00000000-0008-0000-0500-000077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20" name="2429 CuadroTexto">
          <a:extLst>
            <a:ext uri="{FF2B5EF4-FFF2-40B4-BE49-F238E27FC236}">
              <a16:creationId xmlns:a16="http://schemas.microsoft.com/office/drawing/2014/main" id="{00000000-0008-0000-0500-000078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21" name="2430 CuadroTexto">
          <a:extLst>
            <a:ext uri="{FF2B5EF4-FFF2-40B4-BE49-F238E27FC236}">
              <a16:creationId xmlns:a16="http://schemas.microsoft.com/office/drawing/2014/main" id="{00000000-0008-0000-0500-000079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22" name="2431 CuadroTexto">
          <a:extLst>
            <a:ext uri="{FF2B5EF4-FFF2-40B4-BE49-F238E27FC236}">
              <a16:creationId xmlns:a16="http://schemas.microsoft.com/office/drawing/2014/main" id="{00000000-0008-0000-0500-00007A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23" name="2432 CuadroTexto">
          <a:extLst>
            <a:ext uri="{FF2B5EF4-FFF2-40B4-BE49-F238E27FC236}">
              <a16:creationId xmlns:a16="http://schemas.microsoft.com/office/drawing/2014/main" id="{00000000-0008-0000-0500-00007B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24" name="2433 CuadroTexto">
          <a:extLst>
            <a:ext uri="{FF2B5EF4-FFF2-40B4-BE49-F238E27FC236}">
              <a16:creationId xmlns:a16="http://schemas.microsoft.com/office/drawing/2014/main" id="{00000000-0008-0000-0500-00007C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25" name="2434 CuadroTexto">
          <a:extLst>
            <a:ext uri="{FF2B5EF4-FFF2-40B4-BE49-F238E27FC236}">
              <a16:creationId xmlns:a16="http://schemas.microsoft.com/office/drawing/2014/main" id="{00000000-0008-0000-0500-00007D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26" name="2584 CuadroTexto">
          <a:extLst>
            <a:ext uri="{FF2B5EF4-FFF2-40B4-BE49-F238E27FC236}">
              <a16:creationId xmlns:a16="http://schemas.microsoft.com/office/drawing/2014/main" id="{00000000-0008-0000-0500-00007E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27" name="2585 CuadroTexto">
          <a:extLst>
            <a:ext uri="{FF2B5EF4-FFF2-40B4-BE49-F238E27FC236}">
              <a16:creationId xmlns:a16="http://schemas.microsoft.com/office/drawing/2014/main" id="{00000000-0008-0000-0500-00007F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28" name="2586 CuadroTexto">
          <a:extLst>
            <a:ext uri="{FF2B5EF4-FFF2-40B4-BE49-F238E27FC236}">
              <a16:creationId xmlns:a16="http://schemas.microsoft.com/office/drawing/2014/main" id="{00000000-0008-0000-0500-000080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29" name="2587 CuadroTexto">
          <a:extLst>
            <a:ext uri="{FF2B5EF4-FFF2-40B4-BE49-F238E27FC236}">
              <a16:creationId xmlns:a16="http://schemas.microsoft.com/office/drawing/2014/main" id="{00000000-0008-0000-0500-000081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30" name="2588 CuadroTexto">
          <a:extLst>
            <a:ext uri="{FF2B5EF4-FFF2-40B4-BE49-F238E27FC236}">
              <a16:creationId xmlns:a16="http://schemas.microsoft.com/office/drawing/2014/main" id="{00000000-0008-0000-0500-000082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31" name="2589 CuadroTexto">
          <a:extLst>
            <a:ext uri="{FF2B5EF4-FFF2-40B4-BE49-F238E27FC236}">
              <a16:creationId xmlns:a16="http://schemas.microsoft.com/office/drawing/2014/main" id="{00000000-0008-0000-0500-000083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32" name="240 CuadroTexto">
          <a:extLst>
            <a:ext uri="{FF2B5EF4-FFF2-40B4-BE49-F238E27FC236}">
              <a16:creationId xmlns:a16="http://schemas.microsoft.com/office/drawing/2014/main" id="{00000000-0008-0000-0500-000084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33" name="241 CuadroTexto">
          <a:extLst>
            <a:ext uri="{FF2B5EF4-FFF2-40B4-BE49-F238E27FC236}">
              <a16:creationId xmlns:a16="http://schemas.microsoft.com/office/drawing/2014/main" id="{00000000-0008-0000-0500-000085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34" name="246 CuadroTexto">
          <a:extLst>
            <a:ext uri="{FF2B5EF4-FFF2-40B4-BE49-F238E27FC236}">
              <a16:creationId xmlns:a16="http://schemas.microsoft.com/office/drawing/2014/main" id="{00000000-0008-0000-0500-000086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35" name="247 CuadroTexto">
          <a:extLst>
            <a:ext uri="{FF2B5EF4-FFF2-40B4-BE49-F238E27FC236}">
              <a16:creationId xmlns:a16="http://schemas.microsoft.com/office/drawing/2014/main" id="{00000000-0008-0000-0500-000087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36" name="248 CuadroTexto">
          <a:extLst>
            <a:ext uri="{FF2B5EF4-FFF2-40B4-BE49-F238E27FC236}">
              <a16:creationId xmlns:a16="http://schemas.microsoft.com/office/drawing/2014/main" id="{00000000-0008-0000-0500-000088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421</xdr:row>
      <xdr:rowOff>0</xdr:rowOff>
    </xdr:from>
    <xdr:ext cx="184731" cy="264560"/>
    <xdr:sp macro="" textlink="">
      <xdr:nvSpPr>
        <xdr:cNvPr id="137" name="249 CuadroTexto">
          <a:extLst>
            <a:ext uri="{FF2B5EF4-FFF2-40B4-BE49-F238E27FC236}">
              <a16:creationId xmlns:a16="http://schemas.microsoft.com/office/drawing/2014/main" id="{00000000-0008-0000-0500-000089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twoCellAnchor>
    <xdr:from>
      <xdr:col>2</xdr:col>
      <xdr:colOff>520023</xdr:colOff>
      <xdr:row>421</xdr:row>
      <xdr:rowOff>2388</xdr:rowOff>
    </xdr:from>
    <xdr:to>
      <xdr:col>2</xdr:col>
      <xdr:colOff>520818</xdr:colOff>
      <xdr:row>421</xdr:row>
      <xdr:rowOff>2388</xdr:rowOff>
    </xdr:to>
    <xdr:cxnSp macro="">
      <xdr:nvCxnSpPr>
        <xdr:cNvPr id="138" name="1888 Conector recto">
          <a:extLst>
            <a:ext uri="{FF2B5EF4-FFF2-40B4-BE49-F238E27FC236}">
              <a16:creationId xmlns:a16="http://schemas.microsoft.com/office/drawing/2014/main" id="{00000000-0008-0000-0500-00008A000000}"/>
            </a:ext>
          </a:extLst>
        </xdr:cNvPr>
        <xdr:cNvCxnSpPr/>
      </xdr:nvCxnSpPr>
      <xdr:spPr>
        <a:xfrm rot="5400000">
          <a:off x="1349096" y="178976740"/>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1627</xdr:colOff>
      <xdr:row>420</xdr:row>
      <xdr:rowOff>0</xdr:rowOff>
    </xdr:from>
    <xdr:ext cx="184731" cy="264560"/>
    <xdr:sp macro="" textlink="">
      <xdr:nvSpPr>
        <xdr:cNvPr id="139" name="2584 CuadroTexto">
          <a:extLst>
            <a:ext uri="{FF2B5EF4-FFF2-40B4-BE49-F238E27FC236}">
              <a16:creationId xmlns:a16="http://schemas.microsoft.com/office/drawing/2014/main" id="{00000000-0008-0000-0500-00008B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40" name="2585 CuadroTexto">
          <a:extLst>
            <a:ext uri="{FF2B5EF4-FFF2-40B4-BE49-F238E27FC236}">
              <a16:creationId xmlns:a16="http://schemas.microsoft.com/office/drawing/2014/main" id="{00000000-0008-0000-0500-00008C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41" name="2586 CuadroTexto">
          <a:extLst>
            <a:ext uri="{FF2B5EF4-FFF2-40B4-BE49-F238E27FC236}">
              <a16:creationId xmlns:a16="http://schemas.microsoft.com/office/drawing/2014/main" id="{00000000-0008-0000-0500-00008D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42" name="2587 CuadroTexto">
          <a:extLst>
            <a:ext uri="{FF2B5EF4-FFF2-40B4-BE49-F238E27FC236}">
              <a16:creationId xmlns:a16="http://schemas.microsoft.com/office/drawing/2014/main" id="{00000000-0008-0000-0500-00008E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43" name="2588 CuadroTexto">
          <a:extLst>
            <a:ext uri="{FF2B5EF4-FFF2-40B4-BE49-F238E27FC236}">
              <a16:creationId xmlns:a16="http://schemas.microsoft.com/office/drawing/2014/main" id="{00000000-0008-0000-0500-00008F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44" name="2589 CuadroTexto">
          <a:extLst>
            <a:ext uri="{FF2B5EF4-FFF2-40B4-BE49-F238E27FC236}">
              <a16:creationId xmlns:a16="http://schemas.microsoft.com/office/drawing/2014/main" id="{00000000-0008-0000-0500-000090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45" name="240 CuadroTexto">
          <a:extLst>
            <a:ext uri="{FF2B5EF4-FFF2-40B4-BE49-F238E27FC236}">
              <a16:creationId xmlns:a16="http://schemas.microsoft.com/office/drawing/2014/main" id="{00000000-0008-0000-0500-000091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46" name="241 CuadroTexto">
          <a:extLst>
            <a:ext uri="{FF2B5EF4-FFF2-40B4-BE49-F238E27FC236}">
              <a16:creationId xmlns:a16="http://schemas.microsoft.com/office/drawing/2014/main" id="{00000000-0008-0000-0500-000092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47" name="246 CuadroTexto">
          <a:extLst>
            <a:ext uri="{FF2B5EF4-FFF2-40B4-BE49-F238E27FC236}">
              <a16:creationId xmlns:a16="http://schemas.microsoft.com/office/drawing/2014/main" id="{00000000-0008-0000-0500-000093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48" name="247 CuadroTexto">
          <a:extLst>
            <a:ext uri="{FF2B5EF4-FFF2-40B4-BE49-F238E27FC236}">
              <a16:creationId xmlns:a16="http://schemas.microsoft.com/office/drawing/2014/main" id="{00000000-0008-0000-0500-000094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49" name="248 CuadroTexto">
          <a:extLst>
            <a:ext uri="{FF2B5EF4-FFF2-40B4-BE49-F238E27FC236}">
              <a16:creationId xmlns:a16="http://schemas.microsoft.com/office/drawing/2014/main" id="{00000000-0008-0000-0500-000095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420</xdr:row>
      <xdr:rowOff>0</xdr:rowOff>
    </xdr:from>
    <xdr:ext cx="184731" cy="264560"/>
    <xdr:sp macro="" textlink="">
      <xdr:nvSpPr>
        <xdr:cNvPr id="150" name="249 CuadroTexto">
          <a:extLst>
            <a:ext uri="{FF2B5EF4-FFF2-40B4-BE49-F238E27FC236}">
              <a16:creationId xmlns:a16="http://schemas.microsoft.com/office/drawing/2014/main" id="{00000000-0008-0000-0500-000096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51" name="2584 CuadroTexto">
          <a:extLst>
            <a:ext uri="{FF2B5EF4-FFF2-40B4-BE49-F238E27FC236}">
              <a16:creationId xmlns:a16="http://schemas.microsoft.com/office/drawing/2014/main" id="{00000000-0008-0000-0500-000097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52" name="2585 CuadroTexto">
          <a:extLst>
            <a:ext uri="{FF2B5EF4-FFF2-40B4-BE49-F238E27FC236}">
              <a16:creationId xmlns:a16="http://schemas.microsoft.com/office/drawing/2014/main" id="{00000000-0008-0000-0500-000098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53" name="2586 CuadroTexto">
          <a:extLst>
            <a:ext uri="{FF2B5EF4-FFF2-40B4-BE49-F238E27FC236}">
              <a16:creationId xmlns:a16="http://schemas.microsoft.com/office/drawing/2014/main" id="{00000000-0008-0000-0500-000099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54" name="2587 CuadroTexto">
          <a:extLst>
            <a:ext uri="{FF2B5EF4-FFF2-40B4-BE49-F238E27FC236}">
              <a16:creationId xmlns:a16="http://schemas.microsoft.com/office/drawing/2014/main" id="{00000000-0008-0000-0500-00009A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55" name="2588 CuadroTexto">
          <a:extLst>
            <a:ext uri="{FF2B5EF4-FFF2-40B4-BE49-F238E27FC236}">
              <a16:creationId xmlns:a16="http://schemas.microsoft.com/office/drawing/2014/main" id="{00000000-0008-0000-0500-00009B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419</xdr:row>
      <xdr:rowOff>0</xdr:rowOff>
    </xdr:from>
    <xdr:ext cx="184731" cy="264560"/>
    <xdr:sp macro="" textlink="">
      <xdr:nvSpPr>
        <xdr:cNvPr id="156" name="2589 CuadroTexto">
          <a:extLst>
            <a:ext uri="{FF2B5EF4-FFF2-40B4-BE49-F238E27FC236}">
              <a16:creationId xmlns:a16="http://schemas.microsoft.com/office/drawing/2014/main" id="{00000000-0008-0000-0500-00009C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323850</xdr:colOff>
      <xdr:row>0</xdr:row>
      <xdr:rowOff>57150</xdr:rowOff>
    </xdr:from>
    <xdr:to>
      <xdr:col>2</xdr:col>
      <xdr:colOff>1552575</xdr:colOff>
      <xdr:row>0</xdr:row>
      <xdr:rowOff>934811</xdr:rowOff>
    </xdr:to>
    <xdr:pic>
      <xdr:nvPicPr>
        <xdr:cNvPr id="8" name="Imagen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52525" y="57150"/>
          <a:ext cx="1228725" cy="877661"/>
        </a:xfrm>
        <a:prstGeom prst="rect">
          <a:avLst/>
        </a:prstGeom>
      </xdr:spPr>
    </xdr:pic>
    <xdr:clientData/>
  </xdr:twoCellAnchor>
  <xdr:oneCellAnchor>
    <xdr:from>
      <xdr:col>1</xdr:col>
      <xdr:colOff>608052</xdr:colOff>
      <xdr:row>119</xdr:row>
      <xdr:rowOff>0</xdr:rowOff>
    </xdr:from>
    <xdr:ext cx="184731" cy="264560"/>
    <xdr:sp macro="" textlink="">
      <xdr:nvSpPr>
        <xdr:cNvPr id="4" name="673 CuadroTexto">
          <a:extLst>
            <a:ext uri="{FF2B5EF4-FFF2-40B4-BE49-F238E27FC236}">
              <a16:creationId xmlns:a16="http://schemas.microsoft.com/office/drawing/2014/main" id="{00000000-0008-0000-0600-000004000000}"/>
            </a:ext>
          </a:extLst>
        </xdr:cNvPr>
        <xdr:cNvSpPr txBox="1"/>
      </xdr:nvSpPr>
      <xdr:spPr>
        <a:xfrm>
          <a:off x="868402"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6" name="919 CuadroTexto">
          <a:extLst>
            <a:ext uri="{FF2B5EF4-FFF2-40B4-BE49-F238E27FC236}">
              <a16:creationId xmlns:a16="http://schemas.microsoft.com/office/drawing/2014/main" id="{00000000-0008-0000-0600-000006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7" name="921 CuadroTexto">
          <a:extLst>
            <a:ext uri="{FF2B5EF4-FFF2-40B4-BE49-F238E27FC236}">
              <a16:creationId xmlns:a16="http://schemas.microsoft.com/office/drawing/2014/main" id="{00000000-0008-0000-0600-000007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9" name="995 CuadroTexto">
          <a:extLst>
            <a:ext uri="{FF2B5EF4-FFF2-40B4-BE49-F238E27FC236}">
              <a16:creationId xmlns:a16="http://schemas.microsoft.com/office/drawing/2014/main" id="{00000000-0008-0000-0600-000009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0" name="997 CuadroTexto">
          <a:extLst>
            <a:ext uri="{FF2B5EF4-FFF2-40B4-BE49-F238E27FC236}">
              <a16:creationId xmlns:a16="http://schemas.microsoft.com/office/drawing/2014/main" id="{00000000-0008-0000-0600-00000A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119</xdr:row>
      <xdr:rowOff>0</xdr:rowOff>
    </xdr:from>
    <xdr:ext cx="184731" cy="264560"/>
    <xdr:sp macro="" textlink="">
      <xdr:nvSpPr>
        <xdr:cNvPr id="11" name="1940 CuadroTexto">
          <a:extLst>
            <a:ext uri="{FF2B5EF4-FFF2-40B4-BE49-F238E27FC236}">
              <a16:creationId xmlns:a16="http://schemas.microsoft.com/office/drawing/2014/main" id="{00000000-0008-0000-0600-00000B000000}"/>
            </a:ext>
          </a:extLst>
        </xdr:cNvPr>
        <xdr:cNvSpPr txBox="1"/>
      </xdr:nvSpPr>
      <xdr:spPr>
        <a:xfrm>
          <a:off x="868402"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2" name="2584 CuadroTexto">
          <a:extLst>
            <a:ext uri="{FF2B5EF4-FFF2-40B4-BE49-F238E27FC236}">
              <a16:creationId xmlns:a16="http://schemas.microsoft.com/office/drawing/2014/main" id="{00000000-0008-0000-0600-00000C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3" name="2585 CuadroTexto">
          <a:extLst>
            <a:ext uri="{FF2B5EF4-FFF2-40B4-BE49-F238E27FC236}">
              <a16:creationId xmlns:a16="http://schemas.microsoft.com/office/drawing/2014/main" id="{00000000-0008-0000-0600-00000D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4" name="2586 CuadroTexto">
          <a:extLst>
            <a:ext uri="{FF2B5EF4-FFF2-40B4-BE49-F238E27FC236}">
              <a16:creationId xmlns:a16="http://schemas.microsoft.com/office/drawing/2014/main" id="{00000000-0008-0000-0600-00000E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5" name="2587 CuadroTexto">
          <a:extLst>
            <a:ext uri="{FF2B5EF4-FFF2-40B4-BE49-F238E27FC236}">
              <a16:creationId xmlns:a16="http://schemas.microsoft.com/office/drawing/2014/main" id="{00000000-0008-0000-0600-00000F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6" name="2588 CuadroTexto">
          <a:extLst>
            <a:ext uri="{FF2B5EF4-FFF2-40B4-BE49-F238E27FC236}">
              <a16:creationId xmlns:a16="http://schemas.microsoft.com/office/drawing/2014/main" id="{00000000-0008-0000-0600-000010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7" name="2589 CuadroTexto">
          <a:extLst>
            <a:ext uri="{FF2B5EF4-FFF2-40B4-BE49-F238E27FC236}">
              <a16:creationId xmlns:a16="http://schemas.microsoft.com/office/drawing/2014/main" id="{00000000-0008-0000-0600-000011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8" name="240 CuadroTexto">
          <a:extLst>
            <a:ext uri="{FF2B5EF4-FFF2-40B4-BE49-F238E27FC236}">
              <a16:creationId xmlns:a16="http://schemas.microsoft.com/office/drawing/2014/main" id="{00000000-0008-0000-0600-000012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9" name="241 CuadroTexto">
          <a:extLst>
            <a:ext uri="{FF2B5EF4-FFF2-40B4-BE49-F238E27FC236}">
              <a16:creationId xmlns:a16="http://schemas.microsoft.com/office/drawing/2014/main" id="{00000000-0008-0000-0600-000013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20" name="246 CuadroTexto">
          <a:extLst>
            <a:ext uri="{FF2B5EF4-FFF2-40B4-BE49-F238E27FC236}">
              <a16:creationId xmlns:a16="http://schemas.microsoft.com/office/drawing/2014/main" id="{00000000-0008-0000-0600-000014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21" name="247 CuadroTexto">
          <a:extLst>
            <a:ext uri="{FF2B5EF4-FFF2-40B4-BE49-F238E27FC236}">
              <a16:creationId xmlns:a16="http://schemas.microsoft.com/office/drawing/2014/main" id="{00000000-0008-0000-0600-000015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22" name="248 CuadroTexto">
          <a:extLst>
            <a:ext uri="{FF2B5EF4-FFF2-40B4-BE49-F238E27FC236}">
              <a16:creationId xmlns:a16="http://schemas.microsoft.com/office/drawing/2014/main" id="{00000000-0008-0000-0600-000016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23" name="249 CuadroTexto">
          <a:extLst>
            <a:ext uri="{FF2B5EF4-FFF2-40B4-BE49-F238E27FC236}">
              <a16:creationId xmlns:a16="http://schemas.microsoft.com/office/drawing/2014/main" id="{00000000-0008-0000-0600-000017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119</xdr:row>
      <xdr:rowOff>0</xdr:rowOff>
    </xdr:from>
    <xdr:ext cx="184731" cy="264560"/>
    <xdr:sp macro="" textlink="">
      <xdr:nvSpPr>
        <xdr:cNvPr id="24" name="673 CuadroTexto">
          <a:extLst>
            <a:ext uri="{FF2B5EF4-FFF2-40B4-BE49-F238E27FC236}">
              <a16:creationId xmlns:a16="http://schemas.microsoft.com/office/drawing/2014/main" id="{00000000-0008-0000-0600-000018000000}"/>
            </a:ext>
          </a:extLst>
        </xdr:cNvPr>
        <xdr:cNvSpPr txBox="1"/>
      </xdr:nvSpPr>
      <xdr:spPr>
        <a:xfrm>
          <a:off x="868402"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25" name="919 CuadroTexto">
          <a:extLst>
            <a:ext uri="{FF2B5EF4-FFF2-40B4-BE49-F238E27FC236}">
              <a16:creationId xmlns:a16="http://schemas.microsoft.com/office/drawing/2014/main" id="{00000000-0008-0000-0600-000019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26" name="921 CuadroTexto">
          <a:extLst>
            <a:ext uri="{FF2B5EF4-FFF2-40B4-BE49-F238E27FC236}">
              <a16:creationId xmlns:a16="http://schemas.microsoft.com/office/drawing/2014/main" id="{00000000-0008-0000-0600-00001A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27" name="995 CuadroTexto">
          <a:extLst>
            <a:ext uri="{FF2B5EF4-FFF2-40B4-BE49-F238E27FC236}">
              <a16:creationId xmlns:a16="http://schemas.microsoft.com/office/drawing/2014/main" id="{00000000-0008-0000-0600-00001B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28" name="997 CuadroTexto">
          <a:extLst>
            <a:ext uri="{FF2B5EF4-FFF2-40B4-BE49-F238E27FC236}">
              <a16:creationId xmlns:a16="http://schemas.microsoft.com/office/drawing/2014/main" id="{00000000-0008-0000-0600-00001C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119</xdr:row>
      <xdr:rowOff>0</xdr:rowOff>
    </xdr:from>
    <xdr:ext cx="184731" cy="264560"/>
    <xdr:sp macro="" textlink="">
      <xdr:nvSpPr>
        <xdr:cNvPr id="29" name="1940 CuadroTexto">
          <a:extLst>
            <a:ext uri="{FF2B5EF4-FFF2-40B4-BE49-F238E27FC236}">
              <a16:creationId xmlns:a16="http://schemas.microsoft.com/office/drawing/2014/main" id="{00000000-0008-0000-0600-00001D000000}"/>
            </a:ext>
          </a:extLst>
        </xdr:cNvPr>
        <xdr:cNvSpPr txBox="1"/>
      </xdr:nvSpPr>
      <xdr:spPr>
        <a:xfrm>
          <a:off x="868402"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30" name="2584 CuadroTexto">
          <a:extLst>
            <a:ext uri="{FF2B5EF4-FFF2-40B4-BE49-F238E27FC236}">
              <a16:creationId xmlns:a16="http://schemas.microsoft.com/office/drawing/2014/main" id="{00000000-0008-0000-0600-00001E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31" name="2585 CuadroTexto">
          <a:extLst>
            <a:ext uri="{FF2B5EF4-FFF2-40B4-BE49-F238E27FC236}">
              <a16:creationId xmlns:a16="http://schemas.microsoft.com/office/drawing/2014/main" id="{00000000-0008-0000-0600-00001F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32" name="2586 CuadroTexto">
          <a:extLst>
            <a:ext uri="{FF2B5EF4-FFF2-40B4-BE49-F238E27FC236}">
              <a16:creationId xmlns:a16="http://schemas.microsoft.com/office/drawing/2014/main" id="{00000000-0008-0000-0600-000020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33" name="2587 CuadroTexto">
          <a:extLst>
            <a:ext uri="{FF2B5EF4-FFF2-40B4-BE49-F238E27FC236}">
              <a16:creationId xmlns:a16="http://schemas.microsoft.com/office/drawing/2014/main" id="{00000000-0008-0000-0600-000021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34" name="2588 CuadroTexto">
          <a:extLst>
            <a:ext uri="{FF2B5EF4-FFF2-40B4-BE49-F238E27FC236}">
              <a16:creationId xmlns:a16="http://schemas.microsoft.com/office/drawing/2014/main" id="{00000000-0008-0000-0600-000022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35" name="2589 CuadroTexto">
          <a:extLst>
            <a:ext uri="{FF2B5EF4-FFF2-40B4-BE49-F238E27FC236}">
              <a16:creationId xmlns:a16="http://schemas.microsoft.com/office/drawing/2014/main" id="{00000000-0008-0000-0600-000023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36" name="240 CuadroTexto">
          <a:extLst>
            <a:ext uri="{FF2B5EF4-FFF2-40B4-BE49-F238E27FC236}">
              <a16:creationId xmlns:a16="http://schemas.microsoft.com/office/drawing/2014/main" id="{00000000-0008-0000-0600-000024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37" name="241 CuadroTexto">
          <a:extLst>
            <a:ext uri="{FF2B5EF4-FFF2-40B4-BE49-F238E27FC236}">
              <a16:creationId xmlns:a16="http://schemas.microsoft.com/office/drawing/2014/main" id="{00000000-0008-0000-0600-000025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38" name="246 CuadroTexto">
          <a:extLst>
            <a:ext uri="{FF2B5EF4-FFF2-40B4-BE49-F238E27FC236}">
              <a16:creationId xmlns:a16="http://schemas.microsoft.com/office/drawing/2014/main" id="{00000000-0008-0000-0600-000026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39" name="247 CuadroTexto">
          <a:extLst>
            <a:ext uri="{FF2B5EF4-FFF2-40B4-BE49-F238E27FC236}">
              <a16:creationId xmlns:a16="http://schemas.microsoft.com/office/drawing/2014/main" id="{00000000-0008-0000-0600-000027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40" name="248 CuadroTexto">
          <a:extLst>
            <a:ext uri="{FF2B5EF4-FFF2-40B4-BE49-F238E27FC236}">
              <a16:creationId xmlns:a16="http://schemas.microsoft.com/office/drawing/2014/main" id="{00000000-0008-0000-0600-000028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41" name="249 CuadroTexto">
          <a:extLst>
            <a:ext uri="{FF2B5EF4-FFF2-40B4-BE49-F238E27FC236}">
              <a16:creationId xmlns:a16="http://schemas.microsoft.com/office/drawing/2014/main" id="{00000000-0008-0000-0600-000029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42" name="2429 CuadroTexto">
          <a:extLst>
            <a:ext uri="{FF2B5EF4-FFF2-40B4-BE49-F238E27FC236}">
              <a16:creationId xmlns:a16="http://schemas.microsoft.com/office/drawing/2014/main" id="{00000000-0008-0000-0600-00002A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43" name="2430 CuadroTexto">
          <a:extLst>
            <a:ext uri="{FF2B5EF4-FFF2-40B4-BE49-F238E27FC236}">
              <a16:creationId xmlns:a16="http://schemas.microsoft.com/office/drawing/2014/main" id="{00000000-0008-0000-0600-00002B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44" name="2431 CuadroTexto">
          <a:extLst>
            <a:ext uri="{FF2B5EF4-FFF2-40B4-BE49-F238E27FC236}">
              <a16:creationId xmlns:a16="http://schemas.microsoft.com/office/drawing/2014/main" id="{00000000-0008-0000-0600-00002C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45" name="2432 CuadroTexto">
          <a:extLst>
            <a:ext uri="{FF2B5EF4-FFF2-40B4-BE49-F238E27FC236}">
              <a16:creationId xmlns:a16="http://schemas.microsoft.com/office/drawing/2014/main" id="{00000000-0008-0000-0600-00002D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46" name="2433 CuadroTexto">
          <a:extLst>
            <a:ext uri="{FF2B5EF4-FFF2-40B4-BE49-F238E27FC236}">
              <a16:creationId xmlns:a16="http://schemas.microsoft.com/office/drawing/2014/main" id="{00000000-0008-0000-0600-00002E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47" name="2434 CuadroTexto">
          <a:extLst>
            <a:ext uri="{FF2B5EF4-FFF2-40B4-BE49-F238E27FC236}">
              <a16:creationId xmlns:a16="http://schemas.microsoft.com/office/drawing/2014/main" id="{00000000-0008-0000-0600-00002F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48" name="2584 CuadroTexto">
          <a:extLst>
            <a:ext uri="{FF2B5EF4-FFF2-40B4-BE49-F238E27FC236}">
              <a16:creationId xmlns:a16="http://schemas.microsoft.com/office/drawing/2014/main" id="{00000000-0008-0000-0600-000030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49" name="2585 CuadroTexto">
          <a:extLst>
            <a:ext uri="{FF2B5EF4-FFF2-40B4-BE49-F238E27FC236}">
              <a16:creationId xmlns:a16="http://schemas.microsoft.com/office/drawing/2014/main" id="{00000000-0008-0000-0600-000031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50" name="2586 CuadroTexto">
          <a:extLst>
            <a:ext uri="{FF2B5EF4-FFF2-40B4-BE49-F238E27FC236}">
              <a16:creationId xmlns:a16="http://schemas.microsoft.com/office/drawing/2014/main" id="{00000000-0008-0000-0600-000032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51" name="2587 CuadroTexto">
          <a:extLst>
            <a:ext uri="{FF2B5EF4-FFF2-40B4-BE49-F238E27FC236}">
              <a16:creationId xmlns:a16="http://schemas.microsoft.com/office/drawing/2014/main" id="{00000000-0008-0000-0600-000033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52" name="2588 CuadroTexto">
          <a:extLst>
            <a:ext uri="{FF2B5EF4-FFF2-40B4-BE49-F238E27FC236}">
              <a16:creationId xmlns:a16="http://schemas.microsoft.com/office/drawing/2014/main" id="{00000000-0008-0000-0600-000034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53" name="2589 CuadroTexto">
          <a:extLst>
            <a:ext uri="{FF2B5EF4-FFF2-40B4-BE49-F238E27FC236}">
              <a16:creationId xmlns:a16="http://schemas.microsoft.com/office/drawing/2014/main" id="{00000000-0008-0000-0600-000035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54" name="240 CuadroTexto">
          <a:extLst>
            <a:ext uri="{FF2B5EF4-FFF2-40B4-BE49-F238E27FC236}">
              <a16:creationId xmlns:a16="http://schemas.microsoft.com/office/drawing/2014/main" id="{00000000-0008-0000-0600-000036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55" name="241 CuadroTexto">
          <a:extLst>
            <a:ext uri="{FF2B5EF4-FFF2-40B4-BE49-F238E27FC236}">
              <a16:creationId xmlns:a16="http://schemas.microsoft.com/office/drawing/2014/main" id="{00000000-0008-0000-0600-000037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56" name="246 CuadroTexto">
          <a:extLst>
            <a:ext uri="{FF2B5EF4-FFF2-40B4-BE49-F238E27FC236}">
              <a16:creationId xmlns:a16="http://schemas.microsoft.com/office/drawing/2014/main" id="{00000000-0008-0000-0600-000038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57" name="247 CuadroTexto">
          <a:extLst>
            <a:ext uri="{FF2B5EF4-FFF2-40B4-BE49-F238E27FC236}">
              <a16:creationId xmlns:a16="http://schemas.microsoft.com/office/drawing/2014/main" id="{00000000-0008-0000-0600-000039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58" name="248 CuadroTexto">
          <a:extLst>
            <a:ext uri="{FF2B5EF4-FFF2-40B4-BE49-F238E27FC236}">
              <a16:creationId xmlns:a16="http://schemas.microsoft.com/office/drawing/2014/main" id="{00000000-0008-0000-0600-00003A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59" name="249 CuadroTexto">
          <a:extLst>
            <a:ext uri="{FF2B5EF4-FFF2-40B4-BE49-F238E27FC236}">
              <a16:creationId xmlns:a16="http://schemas.microsoft.com/office/drawing/2014/main" id="{00000000-0008-0000-0600-00003B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60" name="2429 CuadroTexto">
          <a:extLst>
            <a:ext uri="{FF2B5EF4-FFF2-40B4-BE49-F238E27FC236}">
              <a16:creationId xmlns:a16="http://schemas.microsoft.com/office/drawing/2014/main" id="{00000000-0008-0000-0600-00003C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61" name="2430 CuadroTexto">
          <a:extLst>
            <a:ext uri="{FF2B5EF4-FFF2-40B4-BE49-F238E27FC236}">
              <a16:creationId xmlns:a16="http://schemas.microsoft.com/office/drawing/2014/main" id="{00000000-0008-0000-0600-00003D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62" name="2431 CuadroTexto">
          <a:extLst>
            <a:ext uri="{FF2B5EF4-FFF2-40B4-BE49-F238E27FC236}">
              <a16:creationId xmlns:a16="http://schemas.microsoft.com/office/drawing/2014/main" id="{00000000-0008-0000-0600-00003E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63" name="2432 CuadroTexto">
          <a:extLst>
            <a:ext uri="{FF2B5EF4-FFF2-40B4-BE49-F238E27FC236}">
              <a16:creationId xmlns:a16="http://schemas.microsoft.com/office/drawing/2014/main" id="{00000000-0008-0000-0600-00003F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64" name="2433 CuadroTexto">
          <a:extLst>
            <a:ext uri="{FF2B5EF4-FFF2-40B4-BE49-F238E27FC236}">
              <a16:creationId xmlns:a16="http://schemas.microsoft.com/office/drawing/2014/main" id="{00000000-0008-0000-0600-000040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65" name="2434 CuadroTexto">
          <a:extLst>
            <a:ext uri="{FF2B5EF4-FFF2-40B4-BE49-F238E27FC236}">
              <a16:creationId xmlns:a16="http://schemas.microsoft.com/office/drawing/2014/main" id="{00000000-0008-0000-0600-000041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66" name="2584 CuadroTexto">
          <a:extLst>
            <a:ext uri="{FF2B5EF4-FFF2-40B4-BE49-F238E27FC236}">
              <a16:creationId xmlns:a16="http://schemas.microsoft.com/office/drawing/2014/main" id="{00000000-0008-0000-0600-000042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67" name="2585 CuadroTexto">
          <a:extLst>
            <a:ext uri="{FF2B5EF4-FFF2-40B4-BE49-F238E27FC236}">
              <a16:creationId xmlns:a16="http://schemas.microsoft.com/office/drawing/2014/main" id="{00000000-0008-0000-0600-000043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68" name="2586 CuadroTexto">
          <a:extLst>
            <a:ext uri="{FF2B5EF4-FFF2-40B4-BE49-F238E27FC236}">
              <a16:creationId xmlns:a16="http://schemas.microsoft.com/office/drawing/2014/main" id="{00000000-0008-0000-0600-000044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69" name="2587 CuadroTexto">
          <a:extLst>
            <a:ext uri="{FF2B5EF4-FFF2-40B4-BE49-F238E27FC236}">
              <a16:creationId xmlns:a16="http://schemas.microsoft.com/office/drawing/2014/main" id="{00000000-0008-0000-0600-000045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70" name="2588 CuadroTexto">
          <a:extLst>
            <a:ext uri="{FF2B5EF4-FFF2-40B4-BE49-F238E27FC236}">
              <a16:creationId xmlns:a16="http://schemas.microsoft.com/office/drawing/2014/main" id="{00000000-0008-0000-0600-000046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71" name="2589 CuadroTexto">
          <a:extLst>
            <a:ext uri="{FF2B5EF4-FFF2-40B4-BE49-F238E27FC236}">
              <a16:creationId xmlns:a16="http://schemas.microsoft.com/office/drawing/2014/main" id="{00000000-0008-0000-0600-000047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72" name="240 CuadroTexto">
          <a:extLst>
            <a:ext uri="{FF2B5EF4-FFF2-40B4-BE49-F238E27FC236}">
              <a16:creationId xmlns:a16="http://schemas.microsoft.com/office/drawing/2014/main" id="{00000000-0008-0000-0600-000048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73" name="241 CuadroTexto">
          <a:extLst>
            <a:ext uri="{FF2B5EF4-FFF2-40B4-BE49-F238E27FC236}">
              <a16:creationId xmlns:a16="http://schemas.microsoft.com/office/drawing/2014/main" id="{00000000-0008-0000-0600-000049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74" name="246 CuadroTexto">
          <a:extLst>
            <a:ext uri="{FF2B5EF4-FFF2-40B4-BE49-F238E27FC236}">
              <a16:creationId xmlns:a16="http://schemas.microsoft.com/office/drawing/2014/main" id="{00000000-0008-0000-0600-00004A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75" name="247 CuadroTexto">
          <a:extLst>
            <a:ext uri="{FF2B5EF4-FFF2-40B4-BE49-F238E27FC236}">
              <a16:creationId xmlns:a16="http://schemas.microsoft.com/office/drawing/2014/main" id="{00000000-0008-0000-0600-00004B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76" name="248 CuadroTexto">
          <a:extLst>
            <a:ext uri="{FF2B5EF4-FFF2-40B4-BE49-F238E27FC236}">
              <a16:creationId xmlns:a16="http://schemas.microsoft.com/office/drawing/2014/main" id="{00000000-0008-0000-0600-00004C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77" name="249 CuadroTexto">
          <a:extLst>
            <a:ext uri="{FF2B5EF4-FFF2-40B4-BE49-F238E27FC236}">
              <a16:creationId xmlns:a16="http://schemas.microsoft.com/office/drawing/2014/main" id="{00000000-0008-0000-0600-00004D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121</xdr:row>
      <xdr:rowOff>0</xdr:rowOff>
    </xdr:from>
    <xdr:ext cx="184731" cy="264560"/>
    <xdr:sp macro="" textlink="">
      <xdr:nvSpPr>
        <xdr:cNvPr id="78" name="673 CuadroTexto">
          <a:extLst>
            <a:ext uri="{FF2B5EF4-FFF2-40B4-BE49-F238E27FC236}">
              <a16:creationId xmlns:a16="http://schemas.microsoft.com/office/drawing/2014/main" id="{00000000-0008-0000-0600-00004E000000}"/>
            </a:ext>
          </a:extLst>
        </xdr:cNvPr>
        <xdr:cNvSpPr txBox="1"/>
      </xdr:nvSpPr>
      <xdr:spPr>
        <a:xfrm>
          <a:off x="868402"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79" name="919 CuadroTexto">
          <a:extLst>
            <a:ext uri="{FF2B5EF4-FFF2-40B4-BE49-F238E27FC236}">
              <a16:creationId xmlns:a16="http://schemas.microsoft.com/office/drawing/2014/main" id="{00000000-0008-0000-0600-00004F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80" name="921 CuadroTexto">
          <a:extLst>
            <a:ext uri="{FF2B5EF4-FFF2-40B4-BE49-F238E27FC236}">
              <a16:creationId xmlns:a16="http://schemas.microsoft.com/office/drawing/2014/main" id="{00000000-0008-0000-0600-000050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81" name="995 CuadroTexto">
          <a:extLst>
            <a:ext uri="{FF2B5EF4-FFF2-40B4-BE49-F238E27FC236}">
              <a16:creationId xmlns:a16="http://schemas.microsoft.com/office/drawing/2014/main" id="{00000000-0008-0000-0600-000051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121</xdr:row>
      <xdr:rowOff>0</xdr:rowOff>
    </xdr:from>
    <xdr:ext cx="184731" cy="264560"/>
    <xdr:sp macro="" textlink="">
      <xdr:nvSpPr>
        <xdr:cNvPr id="82" name="1940 CuadroTexto">
          <a:extLst>
            <a:ext uri="{FF2B5EF4-FFF2-40B4-BE49-F238E27FC236}">
              <a16:creationId xmlns:a16="http://schemas.microsoft.com/office/drawing/2014/main" id="{00000000-0008-0000-0600-000052000000}"/>
            </a:ext>
          </a:extLst>
        </xdr:cNvPr>
        <xdr:cNvSpPr txBox="1"/>
      </xdr:nvSpPr>
      <xdr:spPr>
        <a:xfrm>
          <a:off x="868402"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twoCellAnchor>
    <xdr:from>
      <xdr:col>2</xdr:col>
      <xdr:colOff>520023</xdr:colOff>
      <xdr:row>120</xdr:row>
      <xdr:rowOff>2388</xdr:rowOff>
    </xdr:from>
    <xdr:to>
      <xdr:col>2</xdr:col>
      <xdr:colOff>520818</xdr:colOff>
      <xdr:row>120</xdr:row>
      <xdr:rowOff>2388</xdr:rowOff>
    </xdr:to>
    <xdr:cxnSp macro="">
      <xdr:nvCxnSpPr>
        <xdr:cNvPr id="83" name="1888 Conector recto">
          <a:extLst>
            <a:ext uri="{FF2B5EF4-FFF2-40B4-BE49-F238E27FC236}">
              <a16:creationId xmlns:a16="http://schemas.microsoft.com/office/drawing/2014/main" id="{00000000-0008-0000-0600-000053000000}"/>
            </a:ext>
          </a:extLst>
        </xdr:cNvPr>
        <xdr:cNvCxnSpPr/>
      </xdr:nvCxnSpPr>
      <xdr:spPr>
        <a:xfrm rot="5400000">
          <a:off x="1390371" y="174341240"/>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1627</xdr:colOff>
      <xdr:row>121</xdr:row>
      <xdr:rowOff>0</xdr:rowOff>
    </xdr:from>
    <xdr:ext cx="184731" cy="264560"/>
    <xdr:sp macro="" textlink="">
      <xdr:nvSpPr>
        <xdr:cNvPr id="84" name="2584 CuadroTexto">
          <a:extLst>
            <a:ext uri="{FF2B5EF4-FFF2-40B4-BE49-F238E27FC236}">
              <a16:creationId xmlns:a16="http://schemas.microsoft.com/office/drawing/2014/main" id="{00000000-0008-0000-0600-000054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85" name="2585 CuadroTexto">
          <a:extLst>
            <a:ext uri="{FF2B5EF4-FFF2-40B4-BE49-F238E27FC236}">
              <a16:creationId xmlns:a16="http://schemas.microsoft.com/office/drawing/2014/main" id="{00000000-0008-0000-0600-000055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86" name="2586 CuadroTexto">
          <a:extLst>
            <a:ext uri="{FF2B5EF4-FFF2-40B4-BE49-F238E27FC236}">
              <a16:creationId xmlns:a16="http://schemas.microsoft.com/office/drawing/2014/main" id="{00000000-0008-0000-0600-000056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87" name="2587 CuadroTexto">
          <a:extLst>
            <a:ext uri="{FF2B5EF4-FFF2-40B4-BE49-F238E27FC236}">
              <a16:creationId xmlns:a16="http://schemas.microsoft.com/office/drawing/2014/main" id="{00000000-0008-0000-0600-000057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88" name="2588 CuadroTexto">
          <a:extLst>
            <a:ext uri="{FF2B5EF4-FFF2-40B4-BE49-F238E27FC236}">
              <a16:creationId xmlns:a16="http://schemas.microsoft.com/office/drawing/2014/main" id="{00000000-0008-0000-0600-000058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89" name="2589 CuadroTexto">
          <a:extLst>
            <a:ext uri="{FF2B5EF4-FFF2-40B4-BE49-F238E27FC236}">
              <a16:creationId xmlns:a16="http://schemas.microsoft.com/office/drawing/2014/main" id="{00000000-0008-0000-0600-000059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90" name="240 CuadroTexto">
          <a:extLst>
            <a:ext uri="{FF2B5EF4-FFF2-40B4-BE49-F238E27FC236}">
              <a16:creationId xmlns:a16="http://schemas.microsoft.com/office/drawing/2014/main" id="{00000000-0008-0000-0600-00005A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91" name="241 CuadroTexto">
          <a:extLst>
            <a:ext uri="{FF2B5EF4-FFF2-40B4-BE49-F238E27FC236}">
              <a16:creationId xmlns:a16="http://schemas.microsoft.com/office/drawing/2014/main" id="{00000000-0008-0000-0600-00005B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92" name="246 CuadroTexto">
          <a:extLst>
            <a:ext uri="{FF2B5EF4-FFF2-40B4-BE49-F238E27FC236}">
              <a16:creationId xmlns:a16="http://schemas.microsoft.com/office/drawing/2014/main" id="{00000000-0008-0000-0600-00005C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93" name="2584 CuadroTexto">
          <a:extLst>
            <a:ext uri="{FF2B5EF4-FFF2-40B4-BE49-F238E27FC236}">
              <a16:creationId xmlns:a16="http://schemas.microsoft.com/office/drawing/2014/main" id="{00000000-0008-0000-0600-00005D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94" name="2585 CuadroTexto">
          <a:extLst>
            <a:ext uri="{FF2B5EF4-FFF2-40B4-BE49-F238E27FC236}">
              <a16:creationId xmlns:a16="http://schemas.microsoft.com/office/drawing/2014/main" id="{00000000-0008-0000-0600-00005E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95" name="2586 CuadroTexto">
          <a:extLst>
            <a:ext uri="{FF2B5EF4-FFF2-40B4-BE49-F238E27FC236}">
              <a16:creationId xmlns:a16="http://schemas.microsoft.com/office/drawing/2014/main" id="{00000000-0008-0000-0600-00005F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96" name="2587 CuadroTexto">
          <a:extLst>
            <a:ext uri="{FF2B5EF4-FFF2-40B4-BE49-F238E27FC236}">
              <a16:creationId xmlns:a16="http://schemas.microsoft.com/office/drawing/2014/main" id="{00000000-0008-0000-0600-000060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97" name="2588 CuadroTexto">
          <a:extLst>
            <a:ext uri="{FF2B5EF4-FFF2-40B4-BE49-F238E27FC236}">
              <a16:creationId xmlns:a16="http://schemas.microsoft.com/office/drawing/2014/main" id="{00000000-0008-0000-0600-000061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98" name="2589 CuadroTexto">
          <a:extLst>
            <a:ext uri="{FF2B5EF4-FFF2-40B4-BE49-F238E27FC236}">
              <a16:creationId xmlns:a16="http://schemas.microsoft.com/office/drawing/2014/main" id="{00000000-0008-0000-0600-000062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99" name="240 CuadroTexto">
          <a:extLst>
            <a:ext uri="{FF2B5EF4-FFF2-40B4-BE49-F238E27FC236}">
              <a16:creationId xmlns:a16="http://schemas.microsoft.com/office/drawing/2014/main" id="{00000000-0008-0000-0600-000063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00" name="241 CuadroTexto">
          <a:extLst>
            <a:ext uri="{FF2B5EF4-FFF2-40B4-BE49-F238E27FC236}">
              <a16:creationId xmlns:a16="http://schemas.microsoft.com/office/drawing/2014/main" id="{00000000-0008-0000-0600-000064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01" name="246 CuadroTexto">
          <a:extLst>
            <a:ext uri="{FF2B5EF4-FFF2-40B4-BE49-F238E27FC236}">
              <a16:creationId xmlns:a16="http://schemas.microsoft.com/office/drawing/2014/main" id="{00000000-0008-0000-0600-000065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02" name="247 CuadroTexto">
          <a:extLst>
            <a:ext uri="{FF2B5EF4-FFF2-40B4-BE49-F238E27FC236}">
              <a16:creationId xmlns:a16="http://schemas.microsoft.com/office/drawing/2014/main" id="{00000000-0008-0000-0600-000066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03" name="248 CuadroTexto">
          <a:extLst>
            <a:ext uri="{FF2B5EF4-FFF2-40B4-BE49-F238E27FC236}">
              <a16:creationId xmlns:a16="http://schemas.microsoft.com/office/drawing/2014/main" id="{00000000-0008-0000-0600-000067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04" name="249 CuadroTexto">
          <a:extLst>
            <a:ext uri="{FF2B5EF4-FFF2-40B4-BE49-F238E27FC236}">
              <a16:creationId xmlns:a16="http://schemas.microsoft.com/office/drawing/2014/main" id="{00000000-0008-0000-0600-000068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05" name="2429 CuadroTexto">
          <a:extLst>
            <a:ext uri="{FF2B5EF4-FFF2-40B4-BE49-F238E27FC236}">
              <a16:creationId xmlns:a16="http://schemas.microsoft.com/office/drawing/2014/main" id="{00000000-0008-0000-0600-000069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06" name="2430 CuadroTexto">
          <a:extLst>
            <a:ext uri="{FF2B5EF4-FFF2-40B4-BE49-F238E27FC236}">
              <a16:creationId xmlns:a16="http://schemas.microsoft.com/office/drawing/2014/main" id="{00000000-0008-0000-0600-00006A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07" name="2431 CuadroTexto">
          <a:extLst>
            <a:ext uri="{FF2B5EF4-FFF2-40B4-BE49-F238E27FC236}">
              <a16:creationId xmlns:a16="http://schemas.microsoft.com/office/drawing/2014/main" id="{00000000-0008-0000-0600-00006B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08" name="2432 CuadroTexto">
          <a:extLst>
            <a:ext uri="{FF2B5EF4-FFF2-40B4-BE49-F238E27FC236}">
              <a16:creationId xmlns:a16="http://schemas.microsoft.com/office/drawing/2014/main" id="{00000000-0008-0000-0600-00006C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09" name="2433 CuadroTexto">
          <a:extLst>
            <a:ext uri="{FF2B5EF4-FFF2-40B4-BE49-F238E27FC236}">
              <a16:creationId xmlns:a16="http://schemas.microsoft.com/office/drawing/2014/main" id="{00000000-0008-0000-0600-00006D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10" name="2434 CuadroTexto">
          <a:extLst>
            <a:ext uri="{FF2B5EF4-FFF2-40B4-BE49-F238E27FC236}">
              <a16:creationId xmlns:a16="http://schemas.microsoft.com/office/drawing/2014/main" id="{00000000-0008-0000-0600-00006E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11" name="2584 CuadroTexto">
          <a:extLst>
            <a:ext uri="{FF2B5EF4-FFF2-40B4-BE49-F238E27FC236}">
              <a16:creationId xmlns:a16="http://schemas.microsoft.com/office/drawing/2014/main" id="{00000000-0008-0000-0600-00006F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12" name="2585 CuadroTexto">
          <a:extLst>
            <a:ext uri="{FF2B5EF4-FFF2-40B4-BE49-F238E27FC236}">
              <a16:creationId xmlns:a16="http://schemas.microsoft.com/office/drawing/2014/main" id="{00000000-0008-0000-0600-000070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13" name="2586 CuadroTexto">
          <a:extLst>
            <a:ext uri="{FF2B5EF4-FFF2-40B4-BE49-F238E27FC236}">
              <a16:creationId xmlns:a16="http://schemas.microsoft.com/office/drawing/2014/main" id="{00000000-0008-0000-0600-000071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14" name="2587 CuadroTexto">
          <a:extLst>
            <a:ext uri="{FF2B5EF4-FFF2-40B4-BE49-F238E27FC236}">
              <a16:creationId xmlns:a16="http://schemas.microsoft.com/office/drawing/2014/main" id="{00000000-0008-0000-0600-000072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15" name="2588 CuadroTexto">
          <a:extLst>
            <a:ext uri="{FF2B5EF4-FFF2-40B4-BE49-F238E27FC236}">
              <a16:creationId xmlns:a16="http://schemas.microsoft.com/office/drawing/2014/main" id="{00000000-0008-0000-0600-000073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16" name="2589 CuadroTexto">
          <a:extLst>
            <a:ext uri="{FF2B5EF4-FFF2-40B4-BE49-F238E27FC236}">
              <a16:creationId xmlns:a16="http://schemas.microsoft.com/office/drawing/2014/main" id="{00000000-0008-0000-0600-000074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17" name="240 CuadroTexto">
          <a:extLst>
            <a:ext uri="{FF2B5EF4-FFF2-40B4-BE49-F238E27FC236}">
              <a16:creationId xmlns:a16="http://schemas.microsoft.com/office/drawing/2014/main" id="{00000000-0008-0000-0600-000075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18" name="241 CuadroTexto">
          <a:extLst>
            <a:ext uri="{FF2B5EF4-FFF2-40B4-BE49-F238E27FC236}">
              <a16:creationId xmlns:a16="http://schemas.microsoft.com/office/drawing/2014/main" id="{00000000-0008-0000-0600-000076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19" name="246 CuadroTexto">
          <a:extLst>
            <a:ext uri="{FF2B5EF4-FFF2-40B4-BE49-F238E27FC236}">
              <a16:creationId xmlns:a16="http://schemas.microsoft.com/office/drawing/2014/main" id="{00000000-0008-0000-0600-000077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20" name="247 CuadroTexto">
          <a:extLst>
            <a:ext uri="{FF2B5EF4-FFF2-40B4-BE49-F238E27FC236}">
              <a16:creationId xmlns:a16="http://schemas.microsoft.com/office/drawing/2014/main" id="{00000000-0008-0000-0600-000078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21" name="248 CuadroTexto">
          <a:extLst>
            <a:ext uri="{FF2B5EF4-FFF2-40B4-BE49-F238E27FC236}">
              <a16:creationId xmlns:a16="http://schemas.microsoft.com/office/drawing/2014/main" id="{00000000-0008-0000-0600-000079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22" name="249 CuadroTexto">
          <a:extLst>
            <a:ext uri="{FF2B5EF4-FFF2-40B4-BE49-F238E27FC236}">
              <a16:creationId xmlns:a16="http://schemas.microsoft.com/office/drawing/2014/main" id="{00000000-0008-0000-0600-00007A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23" name="2429 CuadroTexto">
          <a:extLst>
            <a:ext uri="{FF2B5EF4-FFF2-40B4-BE49-F238E27FC236}">
              <a16:creationId xmlns:a16="http://schemas.microsoft.com/office/drawing/2014/main" id="{00000000-0008-0000-0600-00007B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24" name="2430 CuadroTexto">
          <a:extLst>
            <a:ext uri="{FF2B5EF4-FFF2-40B4-BE49-F238E27FC236}">
              <a16:creationId xmlns:a16="http://schemas.microsoft.com/office/drawing/2014/main" id="{00000000-0008-0000-0600-00007C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25" name="2431 CuadroTexto">
          <a:extLst>
            <a:ext uri="{FF2B5EF4-FFF2-40B4-BE49-F238E27FC236}">
              <a16:creationId xmlns:a16="http://schemas.microsoft.com/office/drawing/2014/main" id="{00000000-0008-0000-0600-00007D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26" name="2432 CuadroTexto">
          <a:extLst>
            <a:ext uri="{FF2B5EF4-FFF2-40B4-BE49-F238E27FC236}">
              <a16:creationId xmlns:a16="http://schemas.microsoft.com/office/drawing/2014/main" id="{00000000-0008-0000-0600-00007E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27" name="2433 CuadroTexto">
          <a:extLst>
            <a:ext uri="{FF2B5EF4-FFF2-40B4-BE49-F238E27FC236}">
              <a16:creationId xmlns:a16="http://schemas.microsoft.com/office/drawing/2014/main" id="{00000000-0008-0000-0600-00007F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28" name="2434 CuadroTexto">
          <a:extLst>
            <a:ext uri="{FF2B5EF4-FFF2-40B4-BE49-F238E27FC236}">
              <a16:creationId xmlns:a16="http://schemas.microsoft.com/office/drawing/2014/main" id="{00000000-0008-0000-0600-000080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29" name="2584 CuadroTexto">
          <a:extLst>
            <a:ext uri="{FF2B5EF4-FFF2-40B4-BE49-F238E27FC236}">
              <a16:creationId xmlns:a16="http://schemas.microsoft.com/office/drawing/2014/main" id="{00000000-0008-0000-0600-000081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30" name="2585 CuadroTexto">
          <a:extLst>
            <a:ext uri="{FF2B5EF4-FFF2-40B4-BE49-F238E27FC236}">
              <a16:creationId xmlns:a16="http://schemas.microsoft.com/office/drawing/2014/main" id="{00000000-0008-0000-0600-000082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31" name="2586 CuadroTexto">
          <a:extLst>
            <a:ext uri="{FF2B5EF4-FFF2-40B4-BE49-F238E27FC236}">
              <a16:creationId xmlns:a16="http://schemas.microsoft.com/office/drawing/2014/main" id="{00000000-0008-0000-0600-000083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32" name="2587 CuadroTexto">
          <a:extLst>
            <a:ext uri="{FF2B5EF4-FFF2-40B4-BE49-F238E27FC236}">
              <a16:creationId xmlns:a16="http://schemas.microsoft.com/office/drawing/2014/main" id="{00000000-0008-0000-0600-000084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33" name="2588 CuadroTexto">
          <a:extLst>
            <a:ext uri="{FF2B5EF4-FFF2-40B4-BE49-F238E27FC236}">
              <a16:creationId xmlns:a16="http://schemas.microsoft.com/office/drawing/2014/main" id="{00000000-0008-0000-0600-000085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34" name="2589 CuadroTexto">
          <a:extLst>
            <a:ext uri="{FF2B5EF4-FFF2-40B4-BE49-F238E27FC236}">
              <a16:creationId xmlns:a16="http://schemas.microsoft.com/office/drawing/2014/main" id="{00000000-0008-0000-0600-000086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35" name="240 CuadroTexto">
          <a:extLst>
            <a:ext uri="{FF2B5EF4-FFF2-40B4-BE49-F238E27FC236}">
              <a16:creationId xmlns:a16="http://schemas.microsoft.com/office/drawing/2014/main" id="{00000000-0008-0000-0600-000087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36" name="241 CuadroTexto">
          <a:extLst>
            <a:ext uri="{FF2B5EF4-FFF2-40B4-BE49-F238E27FC236}">
              <a16:creationId xmlns:a16="http://schemas.microsoft.com/office/drawing/2014/main" id="{00000000-0008-0000-0600-000088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37" name="246 CuadroTexto">
          <a:extLst>
            <a:ext uri="{FF2B5EF4-FFF2-40B4-BE49-F238E27FC236}">
              <a16:creationId xmlns:a16="http://schemas.microsoft.com/office/drawing/2014/main" id="{00000000-0008-0000-0600-000089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38" name="247 CuadroTexto">
          <a:extLst>
            <a:ext uri="{FF2B5EF4-FFF2-40B4-BE49-F238E27FC236}">
              <a16:creationId xmlns:a16="http://schemas.microsoft.com/office/drawing/2014/main" id="{00000000-0008-0000-0600-00008A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39" name="248 CuadroTexto">
          <a:extLst>
            <a:ext uri="{FF2B5EF4-FFF2-40B4-BE49-F238E27FC236}">
              <a16:creationId xmlns:a16="http://schemas.microsoft.com/office/drawing/2014/main" id="{00000000-0008-0000-0600-00008B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121</xdr:row>
      <xdr:rowOff>0</xdr:rowOff>
    </xdr:from>
    <xdr:ext cx="184731" cy="264560"/>
    <xdr:sp macro="" textlink="">
      <xdr:nvSpPr>
        <xdr:cNvPr id="140" name="249 CuadroTexto">
          <a:extLst>
            <a:ext uri="{FF2B5EF4-FFF2-40B4-BE49-F238E27FC236}">
              <a16:creationId xmlns:a16="http://schemas.microsoft.com/office/drawing/2014/main" id="{00000000-0008-0000-0600-00008C000000}"/>
            </a:ext>
          </a:extLst>
        </xdr:cNvPr>
        <xdr:cNvSpPr txBox="1"/>
      </xdr:nvSpPr>
      <xdr:spPr>
        <a:xfrm>
          <a:off x="871577" y="17447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twoCellAnchor>
    <xdr:from>
      <xdr:col>2</xdr:col>
      <xdr:colOff>520023</xdr:colOff>
      <xdr:row>121</xdr:row>
      <xdr:rowOff>2388</xdr:rowOff>
    </xdr:from>
    <xdr:to>
      <xdr:col>2</xdr:col>
      <xdr:colOff>520818</xdr:colOff>
      <xdr:row>121</xdr:row>
      <xdr:rowOff>2388</xdr:rowOff>
    </xdr:to>
    <xdr:cxnSp macro="">
      <xdr:nvCxnSpPr>
        <xdr:cNvPr id="141" name="1888 Conector recto">
          <a:extLst>
            <a:ext uri="{FF2B5EF4-FFF2-40B4-BE49-F238E27FC236}">
              <a16:creationId xmlns:a16="http://schemas.microsoft.com/office/drawing/2014/main" id="{00000000-0008-0000-0600-00008D000000}"/>
            </a:ext>
          </a:extLst>
        </xdr:cNvPr>
        <xdr:cNvCxnSpPr/>
      </xdr:nvCxnSpPr>
      <xdr:spPr>
        <a:xfrm rot="5400000">
          <a:off x="1390371" y="174474590"/>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1627</xdr:colOff>
      <xdr:row>120</xdr:row>
      <xdr:rowOff>0</xdr:rowOff>
    </xdr:from>
    <xdr:ext cx="184731" cy="264560"/>
    <xdr:sp macro="" textlink="">
      <xdr:nvSpPr>
        <xdr:cNvPr id="142" name="2584 CuadroTexto">
          <a:extLst>
            <a:ext uri="{FF2B5EF4-FFF2-40B4-BE49-F238E27FC236}">
              <a16:creationId xmlns:a16="http://schemas.microsoft.com/office/drawing/2014/main" id="{00000000-0008-0000-0600-00008E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43" name="2585 CuadroTexto">
          <a:extLst>
            <a:ext uri="{FF2B5EF4-FFF2-40B4-BE49-F238E27FC236}">
              <a16:creationId xmlns:a16="http://schemas.microsoft.com/office/drawing/2014/main" id="{00000000-0008-0000-0600-00008F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44" name="2586 CuadroTexto">
          <a:extLst>
            <a:ext uri="{FF2B5EF4-FFF2-40B4-BE49-F238E27FC236}">
              <a16:creationId xmlns:a16="http://schemas.microsoft.com/office/drawing/2014/main" id="{00000000-0008-0000-0600-000090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45" name="2587 CuadroTexto">
          <a:extLst>
            <a:ext uri="{FF2B5EF4-FFF2-40B4-BE49-F238E27FC236}">
              <a16:creationId xmlns:a16="http://schemas.microsoft.com/office/drawing/2014/main" id="{00000000-0008-0000-0600-000091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46" name="2588 CuadroTexto">
          <a:extLst>
            <a:ext uri="{FF2B5EF4-FFF2-40B4-BE49-F238E27FC236}">
              <a16:creationId xmlns:a16="http://schemas.microsoft.com/office/drawing/2014/main" id="{00000000-0008-0000-0600-000092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47" name="2589 CuadroTexto">
          <a:extLst>
            <a:ext uri="{FF2B5EF4-FFF2-40B4-BE49-F238E27FC236}">
              <a16:creationId xmlns:a16="http://schemas.microsoft.com/office/drawing/2014/main" id="{00000000-0008-0000-0600-000093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48" name="240 CuadroTexto">
          <a:extLst>
            <a:ext uri="{FF2B5EF4-FFF2-40B4-BE49-F238E27FC236}">
              <a16:creationId xmlns:a16="http://schemas.microsoft.com/office/drawing/2014/main" id="{00000000-0008-0000-0600-000094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49" name="241 CuadroTexto">
          <a:extLst>
            <a:ext uri="{FF2B5EF4-FFF2-40B4-BE49-F238E27FC236}">
              <a16:creationId xmlns:a16="http://schemas.microsoft.com/office/drawing/2014/main" id="{00000000-0008-0000-0600-000095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50" name="246 CuadroTexto">
          <a:extLst>
            <a:ext uri="{FF2B5EF4-FFF2-40B4-BE49-F238E27FC236}">
              <a16:creationId xmlns:a16="http://schemas.microsoft.com/office/drawing/2014/main" id="{00000000-0008-0000-0600-000096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51" name="247 CuadroTexto">
          <a:extLst>
            <a:ext uri="{FF2B5EF4-FFF2-40B4-BE49-F238E27FC236}">
              <a16:creationId xmlns:a16="http://schemas.microsoft.com/office/drawing/2014/main" id="{00000000-0008-0000-0600-000097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52" name="248 CuadroTexto">
          <a:extLst>
            <a:ext uri="{FF2B5EF4-FFF2-40B4-BE49-F238E27FC236}">
              <a16:creationId xmlns:a16="http://schemas.microsoft.com/office/drawing/2014/main" id="{00000000-0008-0000-0600-000098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120</xdr:row>
      <xdr:rowOff>0</xdr:rowOff>
    </xdr:from>
    <xdr:ext cx="184731" cy="264560"/>
    <xdr:sp macro="" textlink="">
      <xdr:nvSpPr>
        <xdr:cNvPr id="153" name="249 CuadroTexto">
          <a:extLst>
            <a:ext uri="{FF2B5EF4-FFF2-40B4-BE49-F238E27FC236}">
              <a16:creationId xmlns:a16="http://schemas.microsoft.com/office/drawing/2014/main" id="{00000000-0008-0000-0600-000099000000}"/>
            </a:ext>
          </a:extLst>
        </xdr:cNvPr>
        <xdr:cNvSpPr txBox="1"/>
      </xdr:nvSpPr>
      <xdr:spPr>
        <a:xfrm>
          <a:off x="871577" y="17433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54" name="2584 CuadroTexto">
          <a:extLst>
            <a:ext uri="{FF2B5EF4-FFF2-40B4-BE49-F238E27FC236}">
              <a16:creationId xmlns:a16="http://schemas.microsoft.com/office/drawing/2014/main" id="{00000000-0008-0000-0600-00009A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55" name="2585 CuadroTexto">
          <a:extLst>
            <a:ext uri="{FF2B5EF4-FFF2-40B4-BE49-F238E27FC236}">
              <a16:creationId xmlns:a16="http://schemas.microsoft.com/office/drawing/2014/main" id="{00000000-0008-0000-0600-00009B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56" name="2586 CuadroTexto">
          <a:extLst>
            <a:ext uri="{FF2B5EF4-FFF2-40B4-BE49-F238E27FC236}">
              <a16:creationId xmlns:a16="http://schemas.microsoft.com/office/drawing/2014/main" id="{00000000-0008-0000-0600-00009C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57" name="2587 CuadroTexto">
          <a:extLst>
            <a:ext uri="{FF2B5EF4-FFF2-40B4-BE49-F238E27FC236}">
              <a16:creationId xmlns:a16="http://schemas.microsoft.com/office/drawing/2014/main" id="{00000000-0008-0000-0600-00009D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58" name="2588 CuadroTexto">
          <a:extLst>
            <a:ext uri="{FF2B5EF4-FFF2-40B4-BE49-F238E27FC236}">
              <a16:creationId xmlns:a16="http://schemas.microsoft.com/office/drawing/2014/main" id="{00000000-0008-0000-0600-00009E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119</xdr:row>
      <xdr:rowOff>0</xdr:rowOff>
    </xdr:from>
    <xdr:ext cx="184731" cy="264560"/>
    <xdr:sp macro="" textlink="">
      <xdr:nvSpPr>
        <xdr:cNvPr id="159" name="2589 CuadroTexto">
          <a:extLst>
            <a:ext uri="{FF2B5EF4-FFF2-40B4-BE49-F238E27FC236}">
              <a16:creationId xmlns:a16="http://schemas.microsoft.com/office/drawing/2014/main" id="{00000000-0008-0000-0600-00009F000000}"/>
            </a:ext>
          </a:extLst>
        </xdr:cNvPr>
        <xdr:cNvSpPr txBox="1"/>
      </xdr:nvSpPr>
      <xdr:spPr>
        <a:xfrm>
          <a:off x="871577" y="174155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xdr:col>
      <xdr:colOff>608052</xdr:colOff>
      <xdr:row>295</xdr:row>
      <xdr:rowOff>0</xdr:rowOff>
    </xdr:from>
    <xdr:ext cx="184731" cy="264560"/>
    <xdr:sp macro="" textlink="">
      <xdr:nvSpPr>
        <xdr:cNvPr id="3" name="673 CuadroTexto">
          <a:extLst>
            <a:ext uri="{FF2B5EF4-FFF2-40B4-BE49-F238E27FC236}">
              <a16:creationId xmlns:a16="http://schemas.microsoft.com/office/drawing/2014/main" id="{00000000-0008-0000-0700-000003000000}"/>
            </a:ext>
          </a:extLst>
        </xdr:cNvPr>
        <xdr:cNvSpPr txBox="1"/>
      </xdr:nvSpPr>
      <xdr:spPr>
        <a:xfrm>
          <a:off x="827127"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4" name="919 CuadroTexto">
          <a:extLst>
            <a:ext uri="{FF2B5EF4-FFF2-40B4-BE49-F238E27FC236}">
              <a16:creationId xmlns:a16="http://schemas.microsoft.com/office/drawing/2014/main" id="{00000000-0008-0000-0700-000004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5" name="921 CuadroTexto">
          <a:extLst>
            <a:ext uri="{FF2B5EF4-FFF2-40B4-BE49-F238E27FC236}">
              <a16:creationId xmlns:a16="http://schemas.microsoft.com/office/drawing/2014/main" id="{00000000-0008-0000-0700-000005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6" name="995 CuadroTexto">
          <a:extLst>
            <a:ext uri="{FF2B5EF4-FFF2-40B4-BE49-F238E27FC236}">
              <a16:creationId xmlns:a16="http://schemas.microsoft.com/office/drawing/2014/main" id="{00000000-0008-0000-0700-000006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7" name="997 CuadroTexto">
          <a:extLst>
            <a:ext uri="{FF2B5EF4-FFF2-40B4-BE49-F238E27FC236}">
              <a16:creationId xmlns:a16="http://schemas.microsoft.com/office/drawing/2014/main" id="{00000000-0008-0000-0700-000007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295</xdr:row>
      <xdr:rowOff>0</xdr:rowOff>
    </xdr:from>
    <xdr:ext cx="184731" cy="264560"/>
    <xdr:sp macro="" textlink="">
      <xdr:nvSpPr>
        <xdr:cNvPr id="8" name="1940 CuadroTexto">
          <a:extLst>
            <a:ext uri="{FF2B5EF4-FFF2-40B4-BE49-F238E27FC236}">
              <a16:creationId xmlns:a16="http://schemas.microsoft.com/office/drawing/2014/main" id="{00000000-0008-0000-0700-000008000000}"/>
            </a:ext>
          </a:extLst>
        </xdr:cNvPr>
        <xdr:cNvSpPr txBox="1"/>
      </xdr:nvSpPr>
      <xdr:spPr>
        <a:xfrm>
          <a:off x="827127"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9" name="2584 CuadroTexto">
          <a:extLst>
            <a:ext uri="{FF2B5EF4-FFF2-40B4-BE49-F238E27FC236}">
              <a16:creationId xmlns:a16="http://schemas.microsoft.com/office/drawing/2014/main" id="{00000000-0008-0000-0700-000009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0" name="2585 CuadroTexto">
          <a:extLst>
            <a:ext uri="{FF2B5EF4-FFF2-40B4-BE49-F238E27FC236}">
              <a16:creationId xmlns:a16="http://schemas.microsoft.com/office/drawing/2014/main" id="{00000000-0008-0000-0700-00000A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1" name="2586 CuadroTexto">
          <a:extLst>
            <a:ext uri="{FF2B5EF4-FFF2-40B4-BE49-F238E27FC236}">
              <a16:creationId xmlns:a16="http://schemas.microsoft.com/office/drawing/2014/main" id="{00000000-0008-0000-0700-00000B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2" name="2587 CuadroTexto">
          <a:extLst>
            <a:ext uri="{FF2B5EF4-FFF2-40B4-BE49-F238E27FC236}">
              <a16:creationId xmlns:a16="http://schemas.microsoft.com/office/drawing/2014/main" id="{00000000-0008-0000-0700-00000C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3" name="2588 CuadroTexto">
          <a:extLst>
            <a:ext uri="{FF2B5EF4-FFF2-40B4-BE49-F238E27FC236}">
              <a16:creationId xmlns:a16="http://schemas.microsoft.com/office/drawing/2014/main" id="{00000000-0008-0000-0700-00000D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4" name="2589 CuadroTexto">
          <a:extLst>
            <a:ext uri="{FF2B5EF4-FFF2-40B4-BE49-F238E27FC236}">
              <a16:creationId xmlns:a16="http://schemas.microsoft.com/office/drawing/2014/main" id="{00000000-0008-0000-0700-00000E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5" name="240 CuadroTexto">
          <a:extLst>
            <a:ext uri="{FF2B5EF4-FFF2-40B4-BE49-F238E27FC236}">
              <a16:creationId xmlns:a16="http://schemas.microsoft.com/office/drawing/2014/main" id="{00000000-0008-0000-0700-00000F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6" name="241 CuadroTexto">
          <a:extLst>
            <a:ext uri="{FF2B5EF4-FFF2-40B4-BE49-F238E27FC236}">
              <a16:creationId xmlns:a16="http://schemas.microsoft.com/office/drawing/2014/main" id="{00000000-0008-0000-0700-000010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7" name="246 CuadroTexto">
          <a:extLst>
            <a:ext uri="{FF2B5EF4-FFF2-40B4-BE49-F238E27FC236}">
              <a16:creationId xmlns:a16="http://schemas.microsoft.com/office/drawing/2014/main" id="{00000000-0008-0000-0700-000011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8" name="247 CuadroTexto">
          <a:extLst>
            <a:ext uri="{FF2B5EF4-FFF2-40B4-BE49-F238E27FC236}">
              <a16:creationId xmlns:a16="http://schemas.microsoft.com/office/drawing/2014/main" id="{00000000-0008-0000-0700-000012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9" name="248 CuadroTexto">
          <a:extLst>
            <a:ext uri="{FF2B5EF4-FFF2-40B4-BE49-F238E27FC236}">
              <a16:creationId xmlns:a16="http://schemas.microsoft.com/office/drawing/2014/main" id="{00000000-0008-0000-0700-000013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20" name="249 CuadroTexto">
          <a:extLst>
            <a:ext uri="{FF2B5EF4-FFF2-40B4-BE49-F238E27FC236}">
              <a16:creationId xmlns:a16="http://schemas.microsoft.com/office/drawing/2014/main" id="{00000000-0008-0000-0700-000014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295</xdr:row>
      <xdr:rowOff>0</xdr:rowOff>
    </xdr:from>
    <xdr:ext cx="184731" cy="264560"/>
    <xdr:sp macro="" textlink="">
      <xdr:nvSpPr>
        <xdr:cNvPr id="21" name="673 CuadroTexto">
          <a:extLst>
            <a:ext uri="{FF2B5EF4-FFF2-40B4-BE49-F238E27FC236}">
              <a16:creationId xmlns:a16="http://schemas.microsoft.com/office/drawing/2014/main" id="{00000000-0008-0000-0700-000015000000}"/>
            </a:ext>
          </a:extLst>
        </xdr:cNvPr>
        <xdr:cNvSpPr txBox="1"/>
      </xdr:nvSpPr>
      <xdr:spPr>
        <a:xfrm>
          <a:off x="827127"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22" name="919 CuadroTexto">
          <a:extLst>
            <a:ext uri="{FF2B5EF4-FFF2-40B4-BE49-F238E27FC236}">
              <a16:creationId xmlns:a16="http://schemas.microsoft.com/office/drawing/2014/main" id="{00000000-0008-0000-0700-000016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23" name="921 CuadroTexto">
          <a:extLst>
            <a:ext uri="{FF2B5EF4-FFF2-40B4-BE49-F238E27FC236}">
              <a16:creationId xmlns:a16="http://schemas.microsoft.com/office/drawing/2014/main" id="{00000000-0008-0000-0700-000017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24" name="995 CuadroTexto">
          <a:extLst>
            <a:ext uri="{FF2B5EF4-FFF2-40B4-BE49-F238E27FC236}">
              <a16:creationId xmlns:a16="http://schemas.microsoft.com/office/drawing/2014/main" id="{00000000-0008-0000-0700-000018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25" name="997 CuadroTexto">
          <a:extLst>
            <a:ext uri="{FF2B5EF4-FFF2-40B4-BE49-F238E27FC236}">
              <a16:creationId xmlns:a16="http://schemas.microsoft.com/office/drawing/2014/main" id="{00000000-0008-0000-0700-000019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295</xdr:row>
      <xdr:rowOff>0</xdr:rowOff>
    </xdr:from>
    <xdr:ext cx="184731" cy="264560"/>
    <xdr:sp macro="" textlink="">
      <xdr:nvSpPr>
        <xdr:cNvPr id="26" name="1940 CuadroTexto">
          <a:extLst>
            <a:ext uri="{FF2B5EF4-FFF2-40B4-BE49-F238E27FC236}">
              <a16:creationId xmlns:a16="http://schemas.microsoft.com/office/drawing/2014/main" id="{00000000-0008-0000-0700-00001A000000}"/>
            </a:ext>
          </a:extLst>
        </xdr:cNvPr>
        <xdr:cNvSpPr txBox="1"/>
      </xdr:nvSpPr>
      <xdr:spPr>
        <a:xfrm>
          <a:off x="827127"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27" name="2584 CuadroTexto">
          <a:extLst>
            <a:ext uri="{FF2B5EF4-FFF2-40B4-BE49-F238E27FC236}">
              <a16:creationId xmlns:a16="http://schemas.microsoft.com/office/drawing/2014/main" id="{00000000-0008-0000-0700-00001B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28" name="2585 CuadroTexto">
          <a:extLst>
            <a:ext uri="{FF2B5EF4-FFF2-40B4-BE49-F238E27FC236}">
              <a16:creationId xmlns:a16="http://schemas.microsoft.com/office/drawing/2014/main" id="{00000000-0008-0000-0700-00001C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29" name="2586 CuadroTexto">
          <a:extLst>
            <a:ext uri="{FF2B5EF4-FFF2-40B4-BE49-F238E27FC236}">
              <a16:creationId xmlns:a16="http://schemas.microsoft.com/office/drawing/2014/main" id="{00000000-0008-0000-0700-00001D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30" name="2587 CuadroTexto">
          <a:extLst>
            <a:ext uri="{FF2B5EF4-FFF2-40B4-BE49-F238E27FC236}">
              <a16:creationId xmlns:a16="http://schemas.microsoft.com/office/drawing/2014/main" id="{00000000-0008-0000-0700-00001E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31" name="2588 CuadroTexto">
          <a:extLst>
            <a:ext uri="{FF2B5EF4-FFF2-40B4-BE49-F238E27FC236}">
              <a16:creationId xmlns:a16="http://schemas.microsoft.com/office/drawing/2014/main" id="{00000000-0008-0000-0700-00001F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32" name="2589 CuadroTexto">
          <a:extLst>
            <a:ext uri="{FF2B5EF4-FFF2-40B4-BE49-F238E27FC236}">
              <a16:creationId xmlns:a16="http://schemas.microsoft.com/office/drawing/2014/main" id="{00000000-0008-0000-0700-000020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33" name="240 CuadroTexto">
          <a:extLst>
            <a:ext uri="{FF2B5EF4-FFF2-40B4-BE49-F238E27FC236}">
              <a16:creationId xmlns:a16="http://schemas.microsoft.com/office/drawing/2014/main" id="{00000000-0008-0000-0700-000021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34" name="241 CuadroTexto">
          <a:extLst>
            <a:ext uri="{FF2B5EF4-FFF2-40B4-BE49-F238E27FC236}">
              <a16:creationId xmlns:a16="http://schemas.microsoft.com/office/drawing/2014/main" id="{00000000-0008-0000-0700-000022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35" name="246 CuadroTexto">
          <a:extLst>
            <a:ext uri="{FF2B5EF4-FFF2-40B4-BE49-F238E27FC236}">
              <a16:creationId xmlns:a16="http://schemas.microsoft.com/office/drawing/2014/main" id="{00000000-0008-0000-0700-000023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36" name="247 CuadroTexto">
          <a:extLst>
            <a:ext uri="{FF2B5EF4-FFF2-40B4-BE49-F238E27FC236}">
              <a16:creationId xmlns:a16="http://schemas.microsoft.com/office/drawing/2014/main" id="{00000000-0008-0000-0700-000024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37" name="248 CuadroTexto">
          <a:extLst>
            <a:ext uri="{FF2B5EF4-FFF2-40B4-BE49-F238E27FC236}">
              <a16:creationId xmlns:a16="http://schemas.microsoft.com/office/drawing/2014/main" id="{00000000-0008-0000-0700-000025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38" name="249 CuadroTexto">
          <a:extLst>
            <a:ext uri="{FF2B5EF4-FFF2-40B4-BE49-F238E27FC236}">
              <a16:creationId xmlns:a16="http://schemas.microsoft.com/office/drawing/2014/main" id="{00000000-0008-0000-0700-000026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39" name="2429 CuadroTexto">
          <a:extLst>
            <a:ext uri="{FF2B5EF4-FFF2-40B4-BE49-F238E27FC236}">
              <a16:creationId xmlns:a16="http://schemas.microsoft.com/office/drawing/2014/main" id="{00000000-0008-0000-0700-000027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40" name="2430 CuadroTexto">
          <a:extLst>
            <a:ext uri="{FF2B5EF4-FFF2-40B4-BE49-F238E27FC236}">
              <a16:creationId xmlns:a16="http://schemas.microsoft.com/office/drawing/2014/main" id="{00000000-0008-0000-0700-000028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41" name="2431 CuadroTexto">
          <a:extLst>
            <a:ext uri="{FF2B5EF4-FFF2-40B4-BE49-F238E27FC236}">
              <a16:creationId xmlns:a16="http://schemas.microsoft.com/office/drawing/2014/main" id="{00000000-0008-0000-0700-000029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42" name="2432 CuadroTexto">
          <a:extLst>
            <a:ext uri="{FF2B5EF4-FFF2-40B4-BE49-F238E27FC236}">
              <a16:creationId xmlns:a16="http://schemas.microsoft.com/office/drawing/2014/main" id="{00000000-0008-0000-0700-00002A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43" name="2433 CuadroTexto">
          <a:extLst>
            <a:ext uri="{FF2B5EF4-FFF2-40B4-BE49-F238E27FC236}">
              <a16:creationId xmlns:a16="http://schemas.microsoft.com/office/drawing/2014/main" id="{00000000-0008-0000-0700-00002B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44" name="2434 CuadroTexto">
          <a:extLst>
            <a:ext uri="{FF2B5EF4-FFF2-40B4-BE49-F238E27FC236}">
              <a16:creationId xmlns:a16="http://schemas.microsoft.com/office/drawing/2014/main" id="{00000000-0008-0000-0700-00002C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45" name="2584 CuadroTexto">
          <a:extLst>
            <a:ext uri="{FF2B5EF4-FFF2-40B4-BE49-F238E27FC236}">
              <a16:creationId xmlns:a16="http://schemas.microsoft.com/office/drawing/2014/main" id="{00000000-0008-0000-0700-00002D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46" name="2585 CuadroTexto">
          <a:extLst>
            <a:ext uri="{FF2B5EF4-FFF2-40B4-BE49-F238E27FC236}">
              <a16:creationId xmlns:a16="http://schemas.microsoft.com/office/drawing/2014/main" id="{00000000-0008-0000-0700-00002E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47" name="2586 CuadroTexto">
          <a:extLst>
            <a:ext uri="{FF2B5EF4-FFF2-40B4-BE49-F238E27FC236}">
              <a16:creationId xmlns:a16="http://schemas.microsoft.com/office/drawing/2014/main" id="{00000000-0008-0000-0700-00002F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48" name="2587 CuadroTexto">
          <a:extLst>
            <a:ext uri="{FF2B5EF4-FFF2-40B4-BE49-F238E27FC236}">
              <a16:creationId xmlns:a16="http://schemas.microsoft.com/office/drawing/2014/main" id="{00000000-0008-0000-0700-000030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49" name="2588 CuadroTexto">
          <a:extLst>
            <a:ext uri="{FF2B5EF4-FFF2-40B4-BE49-F238E27FC236}">
              <a16:creationId xmlns:a16="http://schemas.microsoft.com/office/drawing/2014/main" id="{00000000-0008-0000-0700-000031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50" name="2589 CuadroTexto">
          <a:extLst>
            <a:ext uri="{FF2B5EF4-FFF2-40B4-BE49-F238E27FC236}">
              <a16:creationId xmlns:a16="http://schemas.microsoft.com/office/drawing/2014/main" id="{00000000-0008-0000-0700-000032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51" name="240 CuadroTexto">
          <a:extLst>
            <a:ext uri="{FF2B5EF4-FFF2-40B4-BE49-F238E27FC236}">
              <a16:creationId xmlns:a16="http://schemas.microsoft.com/office/drawing/2014/main" id="{00000000-0008-0000-0700-000033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52" name="241 CuadroTexto">
          <a:extLst>
            <a:ext uri="{FF2B5EF4-FFF2-40B4-BE49-F238E27FC236}">
              <a16:creationId xmlns:a16="http://schemas.microsoft.com/office/drawing/2014/main" id="{00000000-0008-0000-0700-000034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53" name="246 CuadroTexto">
          <a:extLst>
            <a:ext uri="{FF2B5EF4-FFF2-40B4-BE49-F238E27FC236}">
              <a16:creationId xmlns:a16="http://schemas.microsoft.com/office/drawing/2014/main" id="{00000000-0008-0000-0700-000035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54" name="247 CuadroTexto">
          <a:extLst>
            <a:ext uri="{FF2B5EF4-FFF2-40B4-BE49-F238E27FC236}">
              <a16:creationId xmlns:a16="http://schemas.microsoft.com/office/drawing/2014/main" id="{00000000-0008-0000-0700-000036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55" name="248 CuadroTexto">
          <a:extLst>
            <a:ext uri="{FF2B5EF4-FFF2-40B4-BE49-F238E27FC236}">
              <a16:creationId xmlns:a16="http://schemas.microsoft.com/office/drawing/2014/main" id="{00000000-0008-0000-0700-000037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56" name="249 CuadroTexto">
          <a:extLst>
            <a:ext uri="{FF2B5EF4-FFF2-40B4-BE49-F238E27FC236}">
              <a16:creationId xmlns:a16="http://schemas.microsoft.com/office/drawing/2014/main" id="{00000000-0008-0000-0700-000038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57" name="2429 CuadroTexto">
          <a:extLst>
            <a:ext uri="{FF2B5EF4-FFF2-40B4-BE49-F238E27FC236}">
              <a16:creationId xmlns:a16="http://schemas.microsoft.com/office/drawing/2014/main" id="{00000000-0008-0000-0700-000039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58" name="2430 CuadroTexto">
          <a:extLst>
            <a:ext uri="{FF2B5EF4-FFF2-40B4-BE49-F238E27FC236}">
              <a16:creationId xmlns:a16="http://schemas.microsoft.com/office/drawing/2014/main" id="{00000000-0008-0000-0700-00003A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59" name="2431 CuadroTexto">
          <a:extLst>
            <a:ext uri="{FF2B5EF4-FFF2-40B4-BE49-F238E27FC236}">
              <a16:creationId xmlns:a16="http://schemas.microsoft.com/office/drawing/2014/main" id="{00000000-0008-0000-0700-00003B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60" name="2432 CuadroTexto">
          <a:extLst>
            <a:ext uri="{FF2B5EF4-FFF2-40B4-BE49-F238E27FC236}">
              <a16:creationId xmlns:a16="http://schemas.microsoft.com/office/drawing/2014/main" id="{00000000-0008-0000-0700-00003C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61" name="2433 CuadroTexto">
          <a:extLst>
            <a:ext uri="{FF2B5EF4-FFF2-40B4-BE49-F238E27FC236}">
              <a16:creationId xmlns:a16="http://schemas.microsoft.com/office/drawing/2014/main" id="{00000000-0008-0000-0700-00003D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62" name="2434 CuadroTexto">
          <a:extLst>
            <a:ext uri="{FF2B5EF4-FFF2-40B4-BE49-F238E27FC236}">
              <a16:creationId xmlns:a16="http://schemas.microsoft.com/office/drawing/2014/main" id="{00000000-0008-0000-0700-00003E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63" name="2584 CuadroTexto">
          <a:extLst>
            <a:ext uri="{FF2B5EF4-FFF2-40B4-BE49-F238E27FC236}">
              <a16:creationId xmlns:a16="http://schemas.microsoft.com/office/drawing/2014/main" id="{00000000-0008-0000-0700-00003F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64" name="2585 CuadroTexto">
          <a:extLst>
            <a:ext uri="{FF2B5EF4-FFF2-40B4-BE49-F238E27FC236}">
              <a16:creationId xmlns:a16="http://schemas.microsoft.com/office/drawing/2014/main" id="{00000000-0008-0000-0700-000040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65" name="2586 CuadroTexto">
          <a:extLst>
            <a:ext uri="{FF2B5EF4-FFF2-40B4-BE49-F238E27FC236}">
              <a16:creationId xmlns:a16="http://schemas.microsoft.com/office/drawing/2014/main" id="{00000000-0008-0000-0700-000041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66" name="2587 CuadroTexto">
          <a:extLst>
            <a:ext uri="{FF2B5EF4-FFF2-40B4-BE49-F238E27FC236}">
              <a16:creationId xmlns:a16="http://schemas.microsoft.com/office/drawing/2014/main" id="{00000000-0008-0000-0700-000042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67" name="2588 CuadroTexto">
          <a:extLst>
            <a:ext uri="{FF2B5EF4-FFF2-40B4-BE49-F238E27FC236}">
              <a16:creationId xmlns:a16="http://schemas.microsoft.com/office/drawing/2014/main" id="{00000000-0008-0000-0700-000043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68" name="2589 CuadroTexto">
          <a:extLst>
            <a:ext uri="{FF2B5EF4-FFF2-40B4-BE49-F238E27FC236}">
              <a16:creationId xmlns:a16="http://schemas.microsoft.com/office/drawing/2014/main" id="{00000000-0008-0000-0700-000044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69" name="240 CuadroTexto">
          <a:extLst>
            <a:ext uri="{FF2B5EF4-FFF2-40B4-BE49-F238E27FC236}">
              <a16:creationId xmlns:a16="http://schemas.microsoft.com/office/drawing/2014/main" id="{00000000-0008-0000-0700-000045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70" name="241 CuadroTexto">
          <a:extLst>
            <a:ext uri="{FF2B5EF4-FFF2-40B4-BE49-F238E27FC236}">
              <a16:creationId xmlns:a16="http://schemas.microsoft.com/office/drawing/2014/main" id="{00000000-0008-0000-0700-000046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71" name="246 CuadroTexto">
          <a:extLst>
            <a:ext uri="{FF2B5EF4-FFF2-40B4-BE49-F238E27FC236}">
              <a16:creationId xmlns:a16="http://schemas.microsoft.com/office/drawing/2014/main" id="{00000000-0008-0000-0700-000047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72" name="247 CuadroTexto">
          <a:extLst>
            <a:ext uri="{FF2B5EF4-FFF2-40B4-BE49-F238E27FC236}">
              <a16:creationId xmlns:a16="http://schemas.microsoft.com/office/drawing/2014/main" id="{00000000-0008-0000-0700-000048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73" name="248 CuadroTexto">
          <a:extLst>
            <a:ext uri="{FF2B5EF4-FFF2-40B4-BE49-F238E27FC236}">
              <a16:creationId xmlns:a16="http://schemas.microsoft.com/office/drawing/2014/main" id="{00000000-0008-0000-0700-000049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74" name="249 CuadroTexto">
          <a:extLst>
            <a:ext uri="{FF2B5EF4-FFF2-40B4-BE49-F238E27FC236}">
              <a16:creationId xmlns:a16="http://schemas.microsoft.com/office/drawing/2014/main" id="{00000000-0008-0000-0700-00004A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297</xdr:row>
      <xdr:rowOff>0</xdr:rowOff>
    </xdr:from>
    <xdr:ext cx="184731" cy="264560"/>
    <xdr:sp macro="" textlink="">
      <xdr:nvSpPr>
        <xdr:cNvPr id="75" name="673 CuadroTexto">
          <a:extLst>
            <a:ext uri="{FF2B5EF4-FFF2-40B4-BE49-F238E27FC236}">
              <a16:creationId xmlns:a16="http://schemas.microsoft.com/office/drawing/2014/main" id="{00000000-0008-0000-0700-00004B000000}"/>
            </a:ext>
          </a:extLst>
        </xdr:cNvPr>
        <xdr:cNvSpPr txBox="1"/>
      </xdr:nvSpPr>
      <xdr:spPr>
        <a:xfrm>
          <a:off x="827127"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76" name="919 CuadroTexto">
          <a:extLst>
            <a:ext uri="{FF2B5EF4-FFF2-40B4-BE49-F238E27FC236}">
              <a16:creationId xmlns:a16="http://schemas.microsoft.com/office/drawing/2014/main" id="{00000000-0008-0000-0700-00004C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77" name="921 CuadroTexto">
          <a:extLst>
            <a:ext uri="{FF2B5EF4-FFF2-40B4-BE49-F238E27FC236}">
              <a16:creationId xmlns:a16="http://schemas.microsoft.com/office/drawing/2014/main" id="{00000000-0008-0000-0700-00004D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78" name="995 CuadroTexto">
          <a:extLst>
            <a:ext uri="{FF2B5EF4-FFF2-40B4-BE49-F238E27FC236}">
              <a16:creationId xmlns:a16="http://schemas.microsoft.com/office/drawing/2014/main" id="{00000000-0008-0000-0700-00004E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297</xdr:row>
      <xdr:rowOff>0</xdr:rowOff>
    </xdr:from>
    <xdr:ext cx="184731" cy="264560"/>
    <xdr:sp macro="" textlink="">
      <xdr:nvSpPr>
        <xdr:cNvPr id="79" name="1940 CuadroTexto">
          <a:extLst>
            <a:ext uri="{FF2B5EF4-FFF2-40B4-BE49-F238E27FC236}">
              <a16:creationId xmlns:a16="http://schemas.microsoft.com/office/drawing/2014/main" id="{00000000-0008-0000-0700-00004F000000}"/>
            </a:ext>
          </a:extLst>
        </xdr:cNvPr>
        <xdr:cNvSpPr txBox="1"/>
      </xdr:nvSpPr>
      <xdr:spPr>
        <a:xfrm>
          <a:off x="827127"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81" name="2584 CuadroTexto">
          <a:extLst>
            <a:ext uri="{FF2B5EF4-FFF2-40B4-BE49-F238E27FC236}">
              <a16:creationId xmlns:a16="http://schemas.microsoft.com/office/drawing/2014/main" id="{00000000-0008-0000-0700-000051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82" name="2585 CuadroTexto">
          <a:extLst>
            <a:ext uri="{FF2B5EF4-FFF2-40B4-BE49-F238E27FC236}">
              <a16:creationId xmlns:a16="http://schemas.microsoft.com/office/drawing/2014/main" id="{00000000-0008-0000-0700-000052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83" name="2586 CuadroTexto">
          <a:extLst>
            <a:ext uri="{FF2B5EF4-FFF2-40B4-BE49-F238E27FC236}">
              <a16:creationId xmlns:a16="http://schemas.microsoft.com/office/drawing/2014/main" id="{00000000-0008-0000-0700-000053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84" name="2587 CuadroTexto">
          <a:extLst>
            <a:ext uri="{FF2B5EF4-FFF2-40B4-BE49-F238E27FC236}">
              <a16:creationId xmlns:a16="http://schemas.microsoft.com/office/drawing/2014/main" id="{00000000-0008-0000-0700-000054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85" name="2588 CuadroTexto">
          <a:extLst>
            <a:ext uri="{FF2B5EF4-FFF2-40B4-BE49-F238E27FC236}">
              <a16:creationId xmlns:a16="http://schemas.microsoft.com/office/drawing/2014/main" id="{00000000-0008-0000-0700-000055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86" name="2589 CuadroTexto">
          <a:extLst>
            <a:ext uri="{FF2B5EF4-FFF2-40B4-BE49-F238E27FC236}">
              <a16:creationId xmlns:a16="http://schemas.microsoft.com/office/drawing/2014/main" id="{00000000-0008-0000-0700-000056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87" name="240 CuadroTexto">
          <a:extLst>
            <a:ext uri="{FF2B5EF4-FFF2-40B4-BE49-F238E27FC236}">
              <a16:creationId xmlns:a16="http://schemas.microsoft.com/office/drawing/2014/main" id="{00000000-0008-0000-0700-000057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88" name="241 CuadroTexto">
          <a:extLst>
            <a:ext uri="{FF2B5EF4-FFF2-40B4-BE49-F238E27FC236}">
              <a16:creationId xmlns:a16="http://schemas.microsoft.com/office/drawing/2014/main" id="{00000000-0008-0000-0700-000058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89" name="246 CuadroTexto">
          <a:extLst>
            <a:ext uri="{FF2B5EF4-FFF2-40B4-BE49-F238E27FC236}">
              <a16:creationId xmlns:a16="http://schemas.microsoft.com/office/drawing/2014/main" id="{00000000-0008-0000-0700-000059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90" name="2584 CuadroTexto">
          <a:extLst>
            <a:ext uri="{FF2B5EF4-FFF2-40B4-BE49-F238E27FC236}">
              <a16:creationId xmlns:a16="http://schemas.microsoft.com/office/drawing/2014/main" id="{00000000-0008-0000-0700-00005A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91" name="2585 CuadroTexto">
          <a:extLst>
            <a:ext uri="{FF2B5EF4-FFF2-40B4-BE49-F238E27FC236}">
              <a16:creationId xmlns:a16="http://schemas.microsoft.com/office/drawing/2014/main" id="{00000000-0008-0000-0700-00005B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92" name="2586 CuadroTexto">
          <a:extLst>
            <a:ext uri="{FF2B5EF4-FFF2-40B4-BE49-F238E27FC236}">
              <a16:creationId xmlns:a16="http://schemas.microsoft.com/office/drawing/2014/main" id="{00000000-0008-0000-0700-00005C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93" name="2587 CuadroTexto">
          <a:extLst>
            <a:ext uri="{FF2B5EF4-FFF2-40B4-BE49-F238E27FC236}">
              <a16:creationId xmlns:a16="http://schemas.microsoft.com/office/drawing/2014/main" id="{00000000-0008-0000-0700-00005D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94" name="2588 CuadroTexto">
          <a:extLst>
            <a:ext uri="{FF2B5EF4-FFF2-40B4-BE49-F238E27FC236}">
              <a16:creationId xmlns:a16="http://schemas.microsoft.com/office/drawing/2014/main" id="{00000000-0008-0000-0700-00005E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95" name="2589 CuadroTexto">
          <a:extLst>
            <a:ext uri="{FF2B5EF4-FFF2-40B4-BE49-F238E27FC236}">
              <a16:creationId xmlns:a16="http://schemas.microsoft.com/office/drawing/2014/main" id="{00000000-0008-0000-0700-00005F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96" name="240 CuadroTexto">
          <a:extLst>
            <a:ext uri="{FF2B5EF4-FFF2-40B4-BE49-F238E27FC236}">
              <a16:creationId xmlns:a16="http://schemas.microsoft.com/office/drawing/2014/main" id="{00000000-0008-0000-0700-000060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97" name="241 CuadroTexto">
          <a:extLst>
            <a:ext uri="{FF2B5EF4-FFF2-40B4-BE49-F238E27FC236}">
              <a16:creationId xmlns:a16="http://schemas.microsoft.com/office/drawing/2014/main" id="{00000000-0008-0000-0700-000061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98" name="246 CuadroTexto">
          <a:extLst>
            <a:ext uri="{FF2B5EF4-FFF2-40B4-BE49-F238E27FC236}">
              <a16:creationId xmlns:a16="http://schemas.microsoft.com/office/drawing/2014/main" id="{00000000-0008-0000-0700-000062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99" name="247 CuadroTexto">
          <a:extLst>
            <a:ext uri="{FF2B5EF4-FFF2-40B4-BE49-F238E27FC236}">
              <a16:creationId xmlns:a16="http://schemas.microsoft.com/office/drawing/2014/main" id="{00000000-0008-0000-0700-000063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00" name="248 CuadroTexto">
          <a:extLst>
            <a:ext uri="{FF2B5EF4-FFF2-40B4-BE49-F238E27FC236}">
              <a16:creationId xmlns:a16="http://schemas.microsoft.com/office/drawing/2014/main" id="{00000000-0008-0000-0700-000064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01" name="249 CuadroTexto">
          <a:extLst>
            <a:ext uri="{FF2B5EF4-FFF2-40B4-BE49-F238E27FC236}">
              <a16:creationId xmlns:a16="http://schemas.microsoft.com/office/drawing/2014/main" id="{00000000-0008-0000-0700-000065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02" name="2429 CuadroTexto">
          <a:extLst>
            <a:ext uri="{FF2B5EF4-FFF2-40B4-BE49-F238E27FC236}">
              <a16:creationId xmlns:a16="http://schemas.microsoft.com/office/drawing/2014/main" id="{00000000-0008-0000-0700-000066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03" name="2430 CuadroTexto">
          <a:extLst>
            <a:ext uri="{FF2B5EF4-FFF2-40B4-BE49-F238E27FC236}">
              <a16:creationId xmlns:a16="http://schemas.microsoft.com/office/drawing/2014/main" id="{00000000-0008-0000-0700-000067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04" name="2431 CuadroTexto">
          <a:extLst>
            <a:ext uri="{FF2B5EF4-FFF2-40B4-BE49-F238E27FC236}">
              <a16:creationId xmlns:a16="http://schemas.microsoft.com/office/drawing/2014/main" id="{00000000-0008-0000-0700-000068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05" name="2432 CuadroTexto">
          <a:extLst>
            <a:ext uri="{FF2B5EF4-FFF2-40B4-BE49-F238E27FC236}">
              <a16:creationId xmlns:a16="http://schemas.microsoft.com/office/drawing/2014/main" id="{00000000-0008-0000-0700-000069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06" name="2433 CuadroTexto">
          <a:extLst>
            <a:ext uri="{FF2B5EF4-FFF2-40B4-BE49-F238E27FC236}">
              <a16:creationId xmlns:a16="http://schemas.microsoft.com/office/drawing/2014/main" id="{00000000-0008-0000-0700-00006A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07" name="2434 CuadroTexto">
          <a:extLst>
            <a:ext uri="{FF2B5EF4-FFF2-40B4-BE49-F238E27FC236}">
              <a16:creationId xmlns:a16="http://schemas.microsoft.com/office/drawing/2014/main" id="{00000000-0008-0000-0700-00006B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08" name="2584 CuadroTexto">
          <a:extLst>
            <a:ext uri="{FF2B5EF4-FFF2-40B4-BE49-F238E27FC236}">
              <a16:creationId xmlns:a16="http://schemas.microsoft.com/office/drawing/2014/main" id="{00000000-0008-0000-0700-00006C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09" name="2585 CuadroTexto">
          <a:extLst>
            <a:ext uri="{FF2B5EF4-FFF2-40B4-BE49-F238E27FC236}">
              <a16:creationId xmlns:a16="http://schemas.microsoft.com/office/drawing/2014/main" id="{00000000-0008-0000-0700-00006D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10" name="2586 CuadroTexto">
          <a:extLst>
            <a:ext uri="{FF2B5EF4-FFF2-40B4-BE49-F238E27FC236}">
              <a16:creationId xmlns:a16="http://schemas.microsoft.com/office/drawing/2014/main" id="{00000000-0008-0000-0700-00006E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11" name="2587 CuadroTexto">
          <a:extLst>
            <a:ext uri="{FF2B5EF4-FFF2-40B4-BE49-F238E27FC236}">
              <a16:creationId xmlns:a16="http://schemas.microsoft.com/office/drawing/2014/main" id="{00000000-0008-0000-0700-00006F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12" name="2588 CuadroTexto">
          <a:extLst>
            <a:ext uri="{FF2B5EF4-FFF2-40B4-BE49-F238E27FC236}">
              <a16:creationId xmlns:a16="http://schemas.microsoft.com/office/drawing/2014/main" id="{00000000-0008-0000-0700-000070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13" name="2589 CuadroTexto">
          <a:extLst>
            <a:ext uri="{FF2B5EF4-FFF2-40B4-BE49-F238E27FC236}">
              <a16:creationId xmlns:a16="http://schemas.microsoft.com/office/drawing/2014/main" id="{00000000-0008-0000-0700-000071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14" name="240 CuadroTexto">
          <a:extLst>
            <a:ext uri="{FF2B5EF4-FFF2-40B4-BE49-F238E27FC236}">
              <a16:creationId xmlns:a16="http://schemas.microsoft.com/office/drawing/2014/main" id="{00000000-0008-0000-0700-000072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15" name="241 CuadroTexto">
          <a:extLst>
            <a:ext uri="{FF2B5EF4-FFF2-40B4-BE49-F238E27FC236}">
              <a16:creationId xmlns:a16="http://schemas.microsoft.com/office/drawing/2014/main" id="{00000000-0008-0000-0700-000073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16" name="246 CuadroTexto">
          <a:extLst>
            <a:ext uri="{FF2B5EF4-FFF2-40B4-BE49-F238E27FC236}">
              <a16:creationId xmlns:a16="http://schemas.microsoft.com/office/drawing/2014/main" id="{00000000-0008-0000-0700-000074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17" name="247 CuadroTexto">
          <a:extLst>
            <a:ext uri="{FF2B5EF4-FFF2-40B4-BE49-F238E27FC236}">
              <a16:creationId xmlns:a16="http://schemas.microsoft.com/office/drawing/2014/main" id="{00000000-0008-0000-0700-000075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18" name="248 CuadroTexto">
          <a:extLst>
            <a:ext uri="{FF2B5EF4-FFF2-40B4-BE49-F238E27FC236}">
              <a16:creationId xmlns:a16="http://schemas.microsoft.com/office/drawing/2014/main" id="{00000000-0008-0000-0700-000076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19" name="249 CuadroTexto">
          <a:extLst>
            <a:ext uri="{FF2B5EF4-FFF2-40B4-BE49-F238E27FC236}">
              <a16:creationId xmlns:a16="http://schemas.microsoft.com/office/drawing/2014/main" id="{00000000-0008-0000-0700-000077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20" name="2429 CuadroTexto">
          <a:extLst>
            <a:ext uri="{FF2B5EF4-FFF2-40B4-BE49-F238E27FC236}">
              <a16:creationId xmlns:a16="http://schemas.microsoft.com/office/drawing/2014/main" id="{00000000-0008-0000-0700-000078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21" name="2430 CuadroTexto">
          <a:extLst>
            <a:ext uri="{FF2B5EF4-FFF2-40B4-BE49-F238E27FC236}">
              <a16:creationId xmlns:a16="http://schemas.microsoft.com/office/drawing/2014/main" id="{00000000-0008-0000-0700-000079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22" name="2431 CuadroTexto">
          <a:extLst>
            <a:ext uri="{FF2B5EF4-FFF2-40B4-BE49-F238E27FC236}">
              <a16:creationId xmlns:a16="http://schemas.microsoft.com/office/drawing/2014/main" id="{00000000-0008-0000-0700-00007A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23" name="2432 CuadroTexto">
          <a:extLst>
            <a:ext uri="{FF2B5EF4-FFF2-40B4-BE49-F238E27FC236}">
              <a16:creationId xmlns:a16="http://schemas.microsoft.com/office/drawing/2014/main" id="{00000000-0008-0000-0700-00007B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24" name="2433 CuadroTexto">
          <a:extLst>
            <a:ext uri="{FF2B5EF4-FFF2-40B4-BE49-F238E27FC236}">
              <a16:creationId xmlns:a16="http://schemas.microsoft.com/office/drawing/2014/main" id="{00000000-0008-0000-0700-00007C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25" name="2434 CuadroTexto">
          <a:extLst>
            <a:ext uri="{FF2B5EF4-FFF2-40B4-BE49-F238E27FC236}">
              <a16:creationId xmlns:a16="http://schemas.microsoft.com/office/drawing/2014/main" id="{00000000-0008-0000-0700-00007D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26" name="2584 CuadroTexto">
          <a:extLst>
            <a:ext uri="{FF2B5EF4-FFF2-40B4-BE49-F238E27FC236}">
              <a16:creationId xmlns:a16="http://schemas.microsoft.com/office/drawing/2014/main" id="{00000000-0008-0000-0700-00007E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27" name="2585 CuadroTexto">
          <a:extLst>
            <a:ext uri="{FF2B5EF4-FFF2-40B4-BE49-F238E27FC236}">
              <a16:creationId xmlns:a16="http://schemas.microsoft.com/office/drawing/2014/main" id="{00000000-0008-0000-0700-00007F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28" name="2586 CuadroTexto">
          <a:extLst>
            <a:ext uri="{FF2B5EF4-FFF2-40B4-BE49-F238E27FC236}">
              <a16:creationId xmlns:a16="http://schemas.microsoft.com/office/drawing/2014/main" id="{00000000-0008-0000-0700-000080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29" name="2587 CuadroTexto">
          <a:extLst>
            <a:ext uri="{FF2B5EF4-FFF2-40B4-BE49-F238E27FC236}">
              <a16:creationId xmlns:a16="http://schemas.microsoft.com/office/drawing/2014/main" id="{00000000-0008-0000-0700-000081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30" name="2588 CuadroTexto">
          <a:extLst>
            <a:ext uri="{FF2B5EF4-FFF2-40B4-BE49-F238E27FC236}">
              <a16:creationId xmlns:a16="http://schemas.microsoft.com/office/drawing/2014/main" id="{00000000-0008-0000-0700-000082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31" name="2589 CuadroTexto">
          <a:extLst>
            <a:ext uri="{FF2B5EF4-FFF2-40B4-BE49-F238E27FC236}">
              <a16:creationId xmlns:a16="http://schemas.microsoft.com/office/drawing/2014/main" id="{00000000-0008-0000-0700-000083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32" name="240 CuadroTexto">
          <a:extLst>
            <a:ext uri="{FF2B5EF4-FFF2-40B4-BE49-F238E27FC236}">
              <a16:creationId xmlns:a16="http://schemas.microsoft.com/office/drawing/2014/main" id="{00000000-0008-0000-0700-000084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33" name="241 CuadroTexto">
          <a:extLst>
            <a:ext uri="{FF2B5EF4-FFF2-40B4-BE49-F238E27FC236}">
              <a16:creationId xmlns:a16="http://schemas.microsoft.com/office/drawing/2014/main" id="{00000000-0008-0000-0700-000085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34" name="246 CuadroTexto">
          <a:extLst>
            <a:ext uri="{FF2B5EF4-FFF2-40B4-BE49-F238E27FC236}">
              <a16:creationId xmlns:a16="http://schemas.microsoft.com/office/drawing/2014/main" id="{00000000-0008-0000-0700-000086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35" name="247 CuadroTexto">
          <a:extLst>
            <a:ext uri="{FF2B5EF4-FFF2-40B4-BE49-F238E27FC236}">
              <a16:creationId xmlns:a16="http://schemas.microsoft.com/office/drawing/2014/main" id="{00000000-0008-0000-0700-000087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36" name="248 CuadroTexto">
          <a:extLst>
            <a:ext uri="{FF2B5EF4-FFF2-40B4-BE49-F238E27FC236}">
              <a16:creationId xmlns:a16="http://schemas.microsoft.com/office/drawing/2014/main" id="{00000000-0008-0000-0700-000088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37" name="249 CuadroTexto">
          <a:extLst>
            <a:ext uri="{FF2B5EF4-FFF2-40B4-BE49-F238E27FC236}">
              <a16:creationId xmlns:a16="http://schemas.microsoft.com/office/drawing/2014/main" id="{00000000-0008-0000-0700-000089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39" name="2584 CuadroTexto">
          <a:extLst>
            <a:ext uri="{FF2B5EF4-FFF2-40B4-BE49-F238E27FC236}">
              <a16:creationId xmlns:a16="http://schemas.microsoft.com/office/drawing/2014/main" id="{00000000-0008-0000-0700-00008B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40" name="2585 CuadroTexto">
          <a:extLst>
            <a:ext uri="{FF2B5EF4-FFF2-40B4-BE49-F238E27FC236}">
              <a16:creationId xmlns:a16="http://schemas.microsoft.com/office/drawing/2014/main" id="{00000000-0008-0000-0700-00008C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41" name="2586 CuadroTexto">
          <a:extLst>
            <a:ext uri="{FF2B5EF4-FFF2-40B4-BE49-F238E27FC236}">
              <a16:creationId xmlns:a16="http://schemas.microsoft.com/office/drawing/2014/main" id="{00000000-0008-0000-0700-00008D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42" name="2587 CuadroTexto">
          <a:extLst>
            <a:ext uri="{FF2B5EF4-FFF2-40B4-BE49-F238E27FC236}">
              <a16:creationId xmlns:a16="http://schemas.microsoft.com/office/drawing/2014/main" id="{00000000-0008-0000-0700-00008E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43" name="2588 CuadroTexto">
          <a:extLst>
            <a:ext uri="{FF2B5EF4-FFF2-40B4-BE49-F238E27FC236}">
              <a16:creationId xmlns:a16="http://schemas.microsoft.com/office/drawing/2014/main" id="{00000000-0008-0000-0700-00008F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44" name="2589 CuadroTexto">
          <a:extLst>
            <a:ext uri="{FF2B5EF4-FFF2-40B4-BE49-F238E27FC236}">
              <a16:creationId xmlns:a16="http://schemas.microsoft.com/office/drawing/2014/main" id="{00000000-0008-0000-0700-000090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45" name="240 CuadroTexto">
          <a:extLst>
            <a:ext uri="{FF2B5EF4-FFF2-40B4-BE49-F238E27FC236}">
              <a16:creationId xmlns:a16="http://schemas.microsoft.com/office/drawing/2014/main" id="{00000000-0008-0000-0700-000091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46" name="241 CuadroTexto">
          <a:extLst>
            <a:ext uri="{FF2B5EF4-FFF2-40B4-BE49-F238E27FC236}">
              <a16:creationId xmlns:a16="http://schemas.microsoft.com/office/drawing/2014/main" id="{00000000-0008-0000-0700-000092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47" name="246 CuadroTexto">
          <a:extLst>
            <a:ext uri="{FF2B5EF4-FFF2-40B4-BE49-F238E27FC236}">
              <a16:creationId xmlns:a16="http://schemas.microsoft.com/office/drawing/2014/main" id="{00000000-0008-0000-0700-000093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48" name="247 CuadroTexto">
          <a:extLst>
            <a:ext uri="{FF2B5EF4-FFF2-40B4-BE49-F238E27FC236}">
              <a16:creationId xmlns:a16="http://schemas.microsoft.com/office/drawing/2014/main" id="{00000000-0008-0000-0700-000094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49" name="248 CuadroTexto">
          <a:extLst>
            <a:ext uri="{FF2B5EF4-FFF2-40B4-BE49-F238E27FC236}">
              <a16:creationId xmlns:a16="http://schemas.microsoft.com/office/drawing/2014/main" id="{00000000-0008-0000-0700-000095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51" name="2584 CuadroTexto">
          <a:extLst>
            <a:ext uri="{FF2B5EF4-FFF2-40B4-BE49-F238E27FC236}">
              <a16:creationId xmlns:a16="http://schemas.microsoft.com/office/drawing/2014/main" id="{00000000-0008-0000-0700-000097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52" name="2585 CuadroTexto">
          <a:extLst>
            <a:ext uri="{FF2B5EF4-FFF2-40B4-BE49-F238E27FC236}">
              <a16:creationId xmlns:a16="http://schemas.microsoft.com/office/drawing/2014/main" id="{00000000-0008-0000-0700-000098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53" name="2586 CuadroTexto">
          <a:extLst>
            <a:ext uri="{FF2B5EF4-FFF2-40B4-BE49-F238E27FC236}">
              <a16:creationId xmlns:a16="http://schemas.microsoft.com/office/drawing/2014/main" id="{00000000-0008-0000-0700-000099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54" name="2587 CuadroTexto">
          <a:extLst>
            <a:ext uri="{FF2B5EF4-FFF2-40B4-BE49-F238E27FC236}">
              <a16:creationId xmlns:a16="http://schemas.microsoft.com/office/drawing/2014/main" id="{00000000-0008-0000-0700-00009A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55" name="2588 CuadroTexto">
          <a:extLst>
            <a:ext uri="{FF2B5EF4-FFF2-40B4-BE49-F238E27FC236}">
              <a16:creationId xmlns:a16="http://schemas.microsoft.com/office/drawing/2014/main" id="{00000000-0008-0000-0700-00009B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299</xdr:row>
      <xdr:rowOff>0</xdr:rowOff>
    </xdr:from>
    <xdr:ext cx="184731" cy="264560"/>
    <xdr:sp macro="" textlink="">
      <xdr:nvSpPr>
        <xdr:cNvPr id="156" name="2589 CuadroTexto">
          <a:extLst>
            <a:ext uri="{FF2B5EF4-FFF2-40B4-BE49-F238E27FC236}">
              <a16:creationId xmlns:a16="http://schemas.microsoft.com/office/drawing/2014/main" id="{00000000-0008-0000-0700-00009C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8</xdr:col>
      <xdr:colOff>657225</xdr:colOff>
      <xdr:row>40</xdr:row>
      <xdr:rowOff>47625</xdr:rowOff>
    </xdr:from>
    <xdr:ext cx="4019550" cy="457200"/>
    <xdr:pic>
      <xdr:nvPicPr>
        <xdr:cNvPr id="2" name="image4.png">
          <a:extLst>
            <a:ext uri="{FF2B5EF4-FFF2-40B4-BE49-F238E27FC236}">
              <a16:creationId xmlns:a16="http://schemas.microsoft.com/office/drawing/2014/main" id="{00000000-0008-0000-1100-000002000000}"/>
            </a:ext>
          </a:extLst>
        </xdr:cNvPr>
        <xdr:cNvPicPr preferRelativeResize="0"/>
      </xdr:nvPicPr>
      <xdr:blipFill>
        <a:blip xmlns:r="http://schemas.openxmlformats.org/officeDocument/2006/relationships" r:embed="rId1" cstate="print"/>
        <a:stretch>
          <a:fillRect/>
        </a:stretch>
      </xdr:blipFill>
      <xdr:spPr>
        <a:xfrm>
          <a:off x="6905625" y="6686550"/>
          <a:ext cx="4019550" cy="457200"/>
        </a:xfrm>
        <a:prstGeom prst="rect">
          <a:avLst/>
        </a:prstGeom>
        <a:noFill/>
      </xdr:spPr>
    </xdr:pic>
    <xdr:clientData fLocksWithSheet="0"/>
  </xdr:oneCellAnchor>
  <xdr:oneCellAnchor>
    <xdr:from>
      <xdr:col>8</xdr:col>
      <xdr:colOff>657225</xdr:colOff>
      <xdr:row>85</xdr:row>
      <xdr:rowOff>0</xdr:rowOff>
    </xdr:from>
    <xdr:ext cx="4019550" cy="457200"/>
    <xdr:pic>
      <xdr:nvPicPr>
        <xdr:cNvPr id="3" name="image4.png">
          <a:extLst>
            <a:ext uri="{FF2B5EF4-FFF2-40B4-BE49-F238E27FC236}">
              <a16:creationId xmlns:a16="http://schemas.microsoft.com/office/drawing/2014/main" id="{00000000-0008-0000-1100-000003000000}"/>
            </a:ext>
          </a:extLst>
        </xdr:cNvPr>
        <xdr:cNvPicPr preferRelativeResize="0"/>
      </xdr:nvPicPr>
      <xdr:blipFill>
        <a:blip xmlns:r="http://schemas.openxmlformats.org/officeDocument/2006/relationships" r:embed="rId1" cstate="print"/>
        <a:stretch>
          <a:fillRect/>
        </a:stretch>
      </xdr:blipFill>
      <xdr:spPr>
        <a:xfrm>
          <a:off x="6905625" y="29127450"/>
          <a:ext cx="4019550" cy="457200"/>
        </a:xfrm>
        <a:prstGeom prst="rect">
          <a:avLst/>
        </a:prstGeom>
        <a:noFill/>
      </xdr:spPr>
    </xdr:pic>
    <xdr:clientData fLocksWithSheet="0"/>
  </xdr:oneCellAnchor>
  <xdr:oneCellAnchor>
    <xdr:from>
      <xdr:col>8</xdr:col>
      <xdr:colOff>657225</xdr:colOff>
      <xdr:row>131</xdr:row>
      <xdr:rowOff>47625</xdr:rowOff>
    </xdr:from>
    <xdr:ext cx="4019550" cy="457200"/>
    <xdr:pic>
      <xdr:nvPicPr>
        <xdr:cNvPr id="4" name="image4.png">
          <a:extLst>
            <a:ext uri="{FF2B5EF4-FFF2-40B4-BE49-F238E27FC236}">
              <a16:creationId xmlns:a16="http://schemas.microsoft.com/office/drawing/2014/main" id="{00000000-0008-0000-1100-000004000000}"/>
            </a:ext>
          </a:extLst>
        </xdr:cNvPr>
        <xdr:cNvPicPr preferRelativeResize="0"/>
      </xdr:nvPicPr>
      <xdr:blipFill>
        <a:blip xmlns:r="http://schemas.openxmlformats.org/officeDocument/2006/relationships" r:embed="rId1" cstate="print"/>
        <a:stretch>
          <a:fillRect/>
        </a:stretch>
      </xdr:blipFill>
      <xdr:spPr>
        <a:xfrm>
          <a:off x="6905625" y="60236100"/>
          <a:ext cx="4019550" cy="457200"/>
        </a:xfrm>
        <a:prstGeom prst="rect">
          <a:avLst/>
        </a:prstGeom>
        <a:noFill/>
      </xdr:spPr>
    </xdr:pic>
    <xdr:clientData fLocksWithSheet="0"/>
  </xdr:oneCellAnchor>
  <xdr:oneCellAnchor>
    <xdr:from>
      <xdr:col>8</xdr:col>
      <xdr:colOff>657225</xdr:colOff>
      <xdr:row>176</xdr:row>
      <xdr:rowOff>47625</xdr:rowOff>
    </xdr:from>
    <xdr:ext cx="4019550" cy="457200"/>
    <xdr:pic>
      <xdr:nvPicPr>
        <xdr:cNvPr id="5" name="image4.png">
          <a:extLst>
            <a:ext uri="{FF2B5EF4-FFF2-40B4-BE49-F238E27FC236}">
              <a16:creationId xmlns:a16="http://schemas.microsoft.com/office/drawing/2014/main" id="{00000000-0008-0000-1100-000005000000}"/>
            </a:ext>
          </a:extLst>
        </xdr:cNvPr>
        <xdr:cNvPicPr preferRelativeResize="0"/>
      </xdr:nvPicPr>
      <xdr:blipFill>
        <a:blip xmlns:r="http://schemas.openxmlformats.org/officeDocument/2006/relationships" r:embed="rId1" cstate="print"/>
        <a:stretch>
          <a:fillRect/>
        </a:stretch>
      </xdr:blipFill>
      <xdr:spPr>
        <a:xfrm>
          <a:off x="6905625" y="67837050"/>
          <a:ext cx="4019550" cy="457200"/>
        </a:xfrm>
        <a:prstGeom prst="rect">
          <a:avLst/>
        </a:prstGeom>
        <a:noFill/>
      </xdr:spPr>
    </xdr:pic>
    <xdr:clientData fLocksWithSheet="0"/>
  </xdr:oneCellAnchor>
  <xdr:oneCellAnchor>
    <xdr:from>
      <xdr:col>8</xdr:col>
      <xdr:colOff>657225</xdr:colOff>
      <xdr:row>220</xdr:row>
      <xdr:rowOff>47625</xdr:rowOff>
    </xdr:from>
    <xdr:ext cx="4019550" cy="457200"/>
    <xdr:pic>
      <xdr:nvPicPr>
        <xdr:cNvPr id="6" name="image4.png">
          <a:extLst>
            <a:ext uri="{FF2B5EF4-FFF2-40B4-BE49-F238E27FC236}">
              <a16:creationId xmlns:a16="http://schemas.microsoft.com/office/drawing/2014/main" id="{00000000-0008-0000-1100-000006000000}"/>
            </a:ext>
          </a:extLst>
        </xdr:cNvPr>
        <xdr:cNvPicPr preferRelativeResize="0"/>
      </xdr:nvPicPr>
      <xdr:blipFill>
        <a:blip xmlns:r="http://schemas.openxmlformats.org/officeDocument/2006/relationships" r:embed="rId1" cstate="print"/>
        <a:stretch>
          <a:fillRect/>
        </a:stretch>
      </xdr:blipFill>
      <xdr:spPr>
        <a:xfrm>
          <a:off x="6905625" y="82838925"/>
          <a:ext cx="4019550" cy="457200"/>
        </a:xfrm>
        <a:prstGeom prst="rect">
          <a:avLst/>
        </a:prstGeom>
        <a:noFill/>
      </xdr:spPr>
    </xdr:pic>
    <xdr:clientData fLocksWithSheet="0"/>
  </xdr:oneCellAnchor>
  <xdr:oneCellAnchor>
    <xdr:from>
      <xdr:col>8</xdr:col>
      <xdr:colOff>657225</xdr:colOff>
      <xdr:row>265</xdr:row>
      <xdr:rowOff>47625</xdr:rowOff>
    </xdr:from>
    <xdr:ext cx="4019550" cy="457200"/>
    <xdr:pic>
      <xdr:nvPicPr>
        <xdr:cNvPr id="7" name="image4.png">
          <a:extLst>
            <a:ext uri="{FF2B5EF4-FFF2-40B4-BE49-F238E27FC236}">
              <a16:creationId xmlns:a16="http://schemas.microsoft.com/office/drawing/2014/main" id="{00000000-0008-0000-1100-000007000000}"/>
            </a:ext>
          </a:extLst>
        </xdr:cNvPr>
        <xdr:cNvPicPr preferRelativeResize="0"/>
      </xdr:nvPicPr>
      <xdr:blipFill>
        <a:blip xmlns:r="http://schemas.openxmlformats.org/officeDocument/2006/relationships" r:embed="rId1" cstate="print"/>
        <a:stretch>
          <a:fillRect/>
        </a:stretch>
      </xdr:blipFill>
      <xdr:spPr>
        <a:xfrm>
          <a:off x="6905625" y="97840800"/>
          <a:ext cx="4019550" cy="457200"/>
        </a:xfrm>
        <a:prstGeom prst="rect">
          <a:avLst/>
        </a:prstGeom>
        <a:noFill/>
      </xdr:spPr>
    </xdr:pic>
    <xdr:clientData fLocksWithSheet="0"/>
  </xdr:oneCellAnchor>
  <xdr:oneCellAnchor>
    <xdr:from>
      <xdr:col>8</xdr:col>
      <xdr:colOff>657225</xdr:colOff>
      <xdr:row>400</xdr:row>
      <xdr:rowOff>47625</xdr:rowOff>
    </xdr:from>
    <xdr:ext cx="4019550" cy="457200"/>
    <xdr:pic>
      <xdr:nvPicPr>
        <xdr:cNvPr id="8" name="image4.png">
          <a:extLst>
            <a:ext uri="{FF2B5EF4-FFF2-40B4-BE49-F238E27FC236}">
              <a16:creationId xmlns:a16="http://schemas.microsoft.com/office/drawing/2014/main" id="{00000000-0008-0000-1100-000008000000}"/>
            </a:ext>
          </a:extLst>
        </xdr:cNvPr>
        <xdr:cNvPicPr preferRelativeResize="0"/>
      </xdr:nvPicPr>
      <xdr:blipFill>
        <a:blip xmlns:r="http://schemas.openxmlformats.org/officeDocument/2006/relationships" r:embed="rId1" cstate="print"/>
        <a:stretch>
          <a:fillRect/>
        </a:stretch>
      </xdr:blipFill>
      <xdr:spPr>
        <a:xfrm>
          <a:off x="6829425" y="46424850"/>
          <a:ext cx="4019550" cy="457200"/>
        </a:xfrm>
        <a:prstGeom prst="rect">
          <a:avLst/>
        </a:prstGeom>
        <a:noFill/>
      </xdr:spPr>
    </xdr:pic>
    <xdr:clientData fLocksWithSheet="0"/>
  </xdr:oneCellAnchor>
  <xdr:oneCellAnchor>
    <xdr:from>
      <xdr:col>8</xdr:col>
      <xdr:colOff>657225</xdr:colOff>
      <xdr:row>487</xdr:row>
      <xdr:rowOff>47625</xdr:rowOff>
    </xdr:from>
    <xdr:ext cx="4019550" cy="457200"/>
    <xdr:pic>
      <xdr:nvPicPr>
        <xdr:cNvPr id="10" name="image4.png">
          <a:extLst>
            <a:ext uri="{FF2B5EF4-FFF2-40B4-BE49-F238E27FC236}">
              <a16:creationId xmlns:a16="http://schemas.microsoft.com/office/drawing/2014/main" id="{00000000-0008-0000-1100-00000A000000}"/>
            </a:ext>
          </a:extLst>
        </xdr:cNvPr>
        <xdr:cNvPicPr preferRelativeResize="0"/>
      </xdr:nvPicPr>
      <xdr:blipFill>
        <a:blip xmlns:r="http://schemas.openxmlformats.org/officeDocument/2006/relationships" r:embed="rId1" cstate="print"/>
        <a:stretch>
          <a:fillRect/>
        </a:stretch>
      </xdr:blipFill>
      <xdr:spPr>
        <a:xfrm>
          <a:off x="6829425" y="54568725"/>
          <a:ext cx="4019550" cy="457200"/>
        </a:xfrm>
        <a:prstGeom prst="rect">
          <a:avLst/>
        </a:prstGeom>
        <a:noFill/>
      </xdr:spPr>
    </xdr:pic>
    <xdr:clientData fLocksWithSheet="0"/>
  </xdr:oneCellAnchor>
  <xdr:oneCellAnchor>
    <xdr:from>
      <xdr:col>8</xdr:col>
      <xdr:colOff>657225</xdr:colOff>
      <xdr:row>615</xdr:row>
      <xdr:rowOff>47625</xdr:rowOff>
    </xdr:from>
    <xdr:ext cx="4019550" cy="457200"/>
    <xdr:pic>
      <xdr:nvPicPr>
        <xdr:cNvPr id="11" name="image4.png">
          <a:extLst>
            <a:ext uri="{FF2B5EF4-FFF2-40B4-BE49-F238E27FC236}">
              <a16:creationId xmlns:a16="http://schemas.microsoft.com/office/drawing/2014/main" id="{00000000-0008-0000-1100-00000B000000}"/>
            </a:ext>
          </a:extLst>
        </xdr:cNvPr>
        <xdr:cNvPicPr preferRelativeResize="0"/>
      </xdr:nvPicPr>
      <xdr:blipFill>
        <a:blip xmlns:r="http://schemas.openxmlformats.org/officeDocument/2006/relationships" r:embed="rId1" cstate="print"/>
        <a:stretch>
          <a:fillRect/>
        </a:stretch>
      </xdr:blipFill>
      <xdr:spPr>
        <a:xfrm>
          <a:off x="6829425" y="54568725"/>
          <a:ext cx="4019550" cy="457200"/>
        </a:xfrm>
        <a:prstGeom prst="rect">
          <a:avLst/>
        </a:prstGeom>
        <a:noFill/>
      </xdr:spPr>
    </xdr:pic>
    <xdr:clientData fLocksWithSheet="0"/>
  </xdr:oneCellAnchor>
  <xdr:oneCellAnchor>
    <xdr:from>
      <xdr:col>8</xdr:col>
      <xdr:colOff>657225</xdr:colOff>
      <xdr:row>660</xdr:row>
      <xdr:rowOff>47625</xdr:rowOff>
    </xdr:from>
    <xdr:ext cx="4019550" cy="457200"/>
    <xdr:pic>
      <xdr:nvPicPr>
        <xdr:cNvPr id="13" name="image4.png">
          <a:extLst>
            <a:ext uri="{FF2B5EF4-FFF2-40B4-BE49-F238E27FC236}">
              <a16:creationId xmlns:a16="http://schemas.microsoft.com/office/drawing/2014/main" id="{00000000-0008-0000-1100-00000D000000}"/>
            </a:ext>
          </a:extLst>
        </xdr:cNvPr>
        <xdr:cNvPicPr preferRelativeResize="0"/>
      </xdr:nvPicPr>
      <xdr:blipFill>
        <a:blip xmlns:r="http://schemas.openxmlformats.org/officeDocument/2006/relationships" r:embed="rId1" cstate="print"/>
        <a:stretch>
          <a:fillRect/>
        </a:stretch>
      </xdr:blipFill>
      <xdr:spPr>
        <a:xfrm>
          <a:off x="6829425" y="77590650"/>
          <a:ext cx="4019550" cy="457200"/>
        </a:xfrm>
        <a:prstGeom prst="rect">
          <a:avLst/>
        </a:prstGeom>
        <a:noFill/>
      </xdr:spPr>
    </xdr:pic>
    <xdr:clientData fLocksWithSheet="0"/>
  </xdr:oneCellAnchor>
  <xdr:oneCellAnchor>
    <xdr:from>
      <xdr:col>8</xdr:col>
      <xdr:colOff>657225</xdr:colOff>
      <xdr:row>705</xdr:row>
      <xdr:rowOff>47625</xdr:rowOff>
    </xdr:from>
    <xdr:ext cx="4019550" cy="457200"/>
    <xdr:pic>
      <xdr:nvPicPr>
        <xdr:cNvPr id="14" name="image4.png">
          <a:extLst>
            <a:ext uri="{FF2B5EF4-FFF2-40B4-BE49-F238E27FC236}">
              <a16:creationId xmlns:a16="http://schemas.microsoft.com/office/drawing/2014/main" id="{00000000-0008-0000-1100-00000E000000}"/>
            </a:ext>
          </a:extLst>
        </xdr:cNvPr>
        <xdr:cNvPicPr preferRelativeResize="0"/>
      </xdr:nvPicPr>
      <xdr:blipFill>
        <a:blip xmlns:r="http://schemas.openxmlformats.org/officeDocument/2006/relationships" r:embed="rId1" cstate="print"/>
        <a:stretch>
          <a:fillRect/>
        </a:stretch>
      </xdr:blipFill>
      <xdr:spPr>
        <a:xfrm>
          <a:off x="6829425" y="85210650"/>
          <a:ext cx="4019550" cy="457200"/>
        </a:xfrm>
        <a:prstGeom prst="rect">
          <a:avLst/>
        </a:prstGeom>
        <a:noFill/>
      </xdr:spPr>
    </xdr:pic>
    <xdr:clientData fLocksWithSheet="0"/>
  </xdr:oneCellAnchor>
  <xdr:oneCellAnchor>
    <xdr:from>
      <xdr:col>8</xdr:col>
      <xdr:colOff>657225</xdr:colOff>
      <xdr:row>798</xdr:row>
      <xdr:rowOff>47625</xdr:rowOff>
    </xdr:from>
    <xdr:ext cx="4019550" cy="457200"/>
    <xdr:pic>
      <xdr:nvPicPr>
        <xdr:cNvPr id="16" name="image4.png">
          <a:extLst>
            <a:ext uri="{FF2B5EF4-FFF2-40B4-BE49-F238E27FC236}">
              <a16:creationId xmlns:a16="http://schemas.microsoft.com/office/drawing/2014/main" id="{00000000-0008-0000-1100-000010000000}"/>
            </a:ext>
          </a:extLst>
        </xdr:cNvPr>
        <xdr:cNvPicPr preferRelativeResize="0"/>
      </xdr:nvPicPr>
      <xdr:blipFill>
        <a:blip xmlns:r="http://schemas.openxmlformats.org/officeDocument/2006/relationships" r:embed="rId1" cstate="print"/>
        <a:stretch>
          <a:fillRect/>
        </a:stretch>
      </xdr:blipFill>
      <xdr:spPr>
        <a:xfrm>
          <a:off x="6924675" y="100450650"/>
          <a:ext cx="4019550" cy="457200"/>
        </a:xfrm>
        <a:prstGeom prst="rect">
          <a:avLst/>
        </a:prstGeom>
        <a:noFill/>
      </xdr:spPr>
    </xdr:pic>
    <xdr:clientData fLocksWithSheet="0"/>
  </xdr:oneCellAnchor>
  <xdr:oneCellAnchor>
    <xdr:from>
      <xdr:col>8</xdr:col>
      <xdr:colOff>657225</xdr:colOff>
      <xdr:row>846</xdr:row>
      <xdr:rowOff>47625</xdr:rowOff>
    </xdr:from>
    <xdr:ext cx="4019550" cy="457200"/>
    <xdr:pic>
      <xdr:nvPicPr>
        <xdr:cNvPr id="17" name="image4.png">
          <a:extLst>
            <a:ext uri="{FF2B5EF4-FFF2-40B4-BE49-F238E27FC236}">
              <a16:creationId xmlns:a16="http://schemas.microsoft.com/office/drawing/2014/main" id="{00000000-0008-0000-1100-000011000000}"/>
            </a:ext>
          </a:extLst>
        </xdr:cNvPr>
        <xdr:cNvPicPr preferRelativeResize="0"/>
      </xdr:nvPicPr>
      <xdr:blipFill>
        <a:blip xmlns:r="http://schemas.openxmlformats.org/officeDocument/2006/relationships" r:embed="rId1" cstate="print"/>
        <a:stretch>
          <a:fillRect/>
        </a:stretch>
      </xdr:blipFill>
      <xdr:spPr>
        <a:xfrm>
          <a:off x="6924675" y="108794550"/>
          <a:ext cx="4019550" cy="457200"/>
        </a:xfrm>
        <a:prstGeom prst="rect">
          <a:avLst/>
        </a:prstGeom>
        <a:noFill/>
      </xdr:spPr>
    </xdr:pic>
    <xdr:clientData fLocksWithSheet="0"/>
  </xdr:oneCellAnchor>
  <xdr:oneCellAnchor>
    <xdr:from>
      <xdr:col>8</xdr:col>
      <xdr:colOff>657225</xdr:colOff>
      <xdr:row>894</xdr:row>
      <xdr:rowOff>47625</xdr:rowOff>
    </xdr:from>
    <xdr:ext cx="4019550" cy="457200"/>
    <xdr:pic>
      <xdr:nvPicPr>
        <xdr:cNvPr id="18" name="image4.png">
          <a:extLst>
            <a:ext uri="{FF2B5EF4-FFF2-40B4-BE49-F238E27FC236}">
              <a16:creationId xmlns:a16="http://schemas.microsoft.com/office/drawing/2014/main" id="{00000000-0008-0000-1100-000012000000}"/>
            </a:ext>
          </a:extLst>
        </xdr:cNvPr>
        <xdr:cNvPicPr preferRelativeResize="0"/>
      </xdr:nvPicPr>
      <xdr:blipFill>
        <a:blip xmlns:r="http://schemas.openxmlformats.org/officeDocument/2006/relationships" r:embed="rId1" cstate="print"/>
        <a:stretch>
          <a:fillRect/>
        </a:stretch>
      </xdr:blipFill>
      <xdr:spPr>
        <a:xfrm>
          <a:off x="6924675" y="117138450"/>
          <a:ext cx="4019550" cy="457200"/>
        </a:xfrm>
        <a:prstGeom prst="rect">
          <a:avLst/>
        </a:prstGeom>
        <a:noFill/>
      </xdr:spPr>
    </xdr:pic>
    <xdr:clientData fLocksWithSheet="0"/>
  </xdr:oneCellAnchor>
  <xdr:oneCellAnchor>
    <xdr:from>
      <xdr:col>8</xdr:col>
      <xdr:colOff>657225</xdr:colOff>
      <xdr:row>942</xdr:row>
      <xdr:rowOff>47625</xdr:rowOff>
    </xdr:from>
    <xdr:ext cx="4019550" cy="457200"/>
    <xdr:pic>
      <xdr:nvPicPr>
        <xdr:cNvPr id="19" name="image4.png">
          <a:extLst>
            <a:ext uri="{FF2B5EF4-FFF2-40B4-BE49-F238E27FC236}">
              <a16:creationId xmlns:a16="http://schemas.microsoft.com/office/drawing/2014/main" id="{00000000-0008-0000-1100-000013000000}"/>
            </a:ext>
          </a:extLst>
        </xdr:cNvPr>
        <xdr:cNvPicPr preferRelativeResize="0"/>
      </xdr:nvPicPr>
      <xdr:blipFill>
        <a:blip xmlns:r="http://schemas.openxmlformats.org/officeDocument/2006/relationships" r:embed="rId1" cstate="print"/>
        <a:stretch>
          <a:fillRect/>
        </a:stretch>
      </xdr:blipFill>
      <xdr:spPr>
        <a:xfrm>
          <a:off x="6924675" y="125482350"/>
          <a:ext cx="4019550" cy="457200"/>
        </a:xfrm>
        <a:prstGeom prst="rect">
          <a:avLst/>
        </a:prstGeom>
        <a:noFill/>
      </xdr:spPr>
    </xdr:pic>
    <xdr:clientData fLocksWithSheet="0"/>
  </xdr:oneCellAnchor>
  <xdr:oneCellAnchor>
    <xdr:from>
      <xdr:col>8</xdr:col>
      <xdr:colOff>657225</xdr:colOff>
      <xdr:row>990</xdr:row>
      <xdr:rowOff>47625</xdr:rowOff>
    </xdr:from>
    <xdr:ext cx="4019550" cy="457200"/>
    <xdr:pic>
      <xdr:nvPicPr>
        <xdr:cNvPr id="20" name="image4.png">
          <a:extLst>
            <a:ext uri="{FF2B5EF4-FFF2-40B4-BE49-F238E27FC236}">
              <a16:creationId xmlns:a16="http://schemas.microsoft.com/office/drawing/2014/main" id="{00000000-0008-0000-1100-000014000000}"/>
            </a:ext>
          </a:extLst>
        </xdr:cNvPr>
        <xdr:cNvPicPr preferRelativeResize="0"/>
      </xdr:nvPicPr>
      <xdr:blipFill>
        <a:blip xmlns:r="http://schemas.openxmlformats.org/officeDocument/2006/relationships" r:embed="rId1" cstate="print"/>
        <a:stretch>
          <a:fillRect/>
        </a:stretch>
      </xdr:blipFill>
      <xdr:spPr>
        <a:xfrm>
          <a:off x="6924675" y="133826250"/>
          <a:ext cx="4019550" cy="457200"/>
        </a:xfrm>
        <a:prstGeom prst="rect">
          <a:avLst/>
        </a:prstGeom>
        <a:noFill/>
      </xdr:spPr>
    </xdr:pic>
    <xdr:clientData fLocksWithSheet="0"/>
  </xdr:oneCellAnchor>
  <xdr:oneCellAnchor>
    <xdr:from>
      <xdr:col>8</xdr:col>
      <xdr:colOff>657225</xdr:colOff>
      <xdr:row>355</xdr:row>
      <xdr:rowOff>47625</xdr:rowOff>
    </xdr:from>
    <xdr:ext cx="4019550" cy="457200"/>
    <xdr:pic>
      <xdr:nvPicPr>
        <xdr:cNvPr id="22" name="image4.png">
          <a:extLst>
            <a:ext uri="{FF2B5EF4-FFF2-40B4-BE49-F238E27FC236}">
              <a16:creationId xmlns:a16="http://schemas.microsoft.com/office/drawing/2014/main" id="{00000000-0008-0000-1100-000016000000}"/>
            </a:ext>
          </a:extLst>
        </xdr:cNvPr>
        <xdr:cNvPicPr preferRelativeResize="0"/>
      </xdr:nvPicPr>
      <xdr:blipFill>
        <a:blip xmlns:r="http://schemas.openxmlformats.org/officeDocument/2006/relationships" r:embed="rId1" cstate="print"/>
        <a:stretch>
          <a:fillRect/>
        </a:stretch>
      </xdr:blipFill>
      <xdr:spPr>
        <a:xfrm>
          <a:off x="7164705" y="46262925"/>
          <a:ext cx="4019550" cy="457200"/>
        </a:xfrm>
        <a:prstGeom prst="rect">
          <a:avLst/>
        </a:prstGeom>
        <a:noFill/>
      </xdr:spPr>
    </xdr:pic>
    <xdr:clientData fLocksWithSheet="0"/>
  </xdr:oneCellAnchor>
  <xdr:oneCellAnchor>
    <xdr:from>
      <xdr:col>8</xdr:col>
      <xdr:colOff>657225</xdr:colOff>
      <xdr:row>310</xdr:row>
      <xdr:rowOff>47625</xdr:rowOff>
    </xdr:from>
    <xdr:ext cx="4019550" cy="457200"/>
    <xdr:pic>
      <xdr:nvPicPr>
        <xdr:cNvPr id="23" name="image4.png">
          <a:extLst>
            <a:ext uri="{FF2B5EF4-FFF2-40B4-BE49-F238E27FC236}">
              <a16:creationId xmlns:a16="http://schemas.microsoft.com/office/drawing/2014/main" id="{00000000-0008-0000-1100-000017000000}"/>
            </a:ext>
          </a:extLst>
        </xdr:cNvPr>
        <xdr:cNvPicPr preferRelativeResize="0"/>
      </xdr:nvPicPr>
      <xdr:blipFill>
        <a:blip xmlns:r="http://schemas.openxmlformats.org/officeDocument/2006/relationships" r:embed="rId1" cstate="print"/>
        <a:stretch>
          <a:fillRect/>
        </a:stretch>
      </xdr:blipFill>
      <xdr:spPr>
        <a:xfrm>
          <a:off x="7164705" y="46262925"/>
          <a:ext cx="4019550" cy="457200"/>
        </a:xfrm>
        <a:prstGeom prst="rect">
          <a:avLst/>
        </a:prstGeom>
        <a:noFill/>
      </xdr:spPr>
    </xdr:pic>
    <xdr:clientData fLocksWithSheet="0"/>
  </xdr:oneCellAnchor>
  <xdr:oneCellAnchor>
    <xdr:from>
      <xdr:col>8</xdr:col>
      <xdr:colOff>657225</xdr:colOff>
      <xdr:row>445</xdr:row>
      <xdr:rowOff>47625</xdr:rowOff>
    </xdr:from>
    <xdr:ext cx="4019550" cy="457200"/>
    <xdr:pic>
      <xdr:nvPicPr>
        <xdr:cNvPr id="24" name="image4.png">
          <a:extLst>
            <a:ext uri="{FF2B5EF4-FFF2-40B4-BE49-F238E27FC236}">
              <a16:creationId xmlns:a16="http://schemas.microsoft.com/office/drawing/2014/main" id="{00000000-0008-0000-1100-000018000000}"/>
            </a:ext>
          </a:extLst>
        </xdr:cNvPr>
        <xdr:cNvPicPr preferRelativeResize="0"/>
      </xdr:nvPicPr>
      <xdr:blipFill>
        <a:blip xmlns:r="http://schemas.openxmlformats.org/officeDocument/2006/relationships" r:embed="rId1" cstate="print"/>
        <a:stretch>
          <a:fillRect/>
        </a:stretch>
      </xdr:blipFill>
      <xdr:spPr>
        <a:xfrm>
          <a:off x="7164705" y="69648705"/>
          <a:ext cx="4019550" cy="457200"/>
        </a:xfrm>
        <a:prstGeom prst="rect">
          <a:avLst/>
        </a:prstGeom>
        <a:noFill/>
      </xdr:spPr>
    </xdr:pic>
    <xdr:clientData fLocksWithSheet="0"/>
  </xdr:oneCellAnchor>
  <xdr:oneCellAnchor>
    <xdr:from>
      <xdr:col>8</xdr:col>
      <xdr:colOff>657225</xdr:colOff>
      <xdr:row>529</xdr:row>
      <xdr:rowOff>47625</xdr:rowOff>
    </xdr:from>
    <xdr:ext cx="4019550" cy="457200"/>
    <xdr:pic>
      <xdr:nvPicPr>
        <xdr:cNvPr id="25" name="image4.png">
          <a:extLst>
            <a:ext uri="{FF2B5EF4-FFF2-40B4-BE49-F238E27FC236}">
              <a16:creationId xmlns:a16="http://schemas.microsoft.com/office/drawing/2014/main" id="{00000000-0008-0000-1100-000019000000}"/>
            </a:ext>
          </a:extLst>
        </xdr:cNvPr>
        <xdr:cNvPicPr preferRelativeResize="0"/>
      </xdr:nvPicPr>
      <xdr:blipFill>
        <a:blip xmlns:r="http://schemas.openxmlformats.org/officeDocument/2006/relationships" r:embed="rId1" cstate="print"/>
        <a:stretch>
          <a:fillRect/>
        </a:stretch>
      </xdr:blipFill>
      <xdr:spPr>
        <a:xfrm>
          <a:off x="7164705" y="84622005"/>
          <a:ext cx="4019550" cy="457200"/>
        </a:xfrm>
        <a:prstGeom prst="rect">
          <a:avLst/>
        </a:prstGeom>
        <a:noFill/>
      </xdr:spPr>
    </xdr:pic>
    <xdr:clientData fLocksWithSheet="0"/>
  </xdr:oneCellAnchor>
  <xdr:oneCellAnchor>
    <xdr:from>
      <xdr:col>8</xdr:col>
      <xdr:colOff>657225</xdr:colOff>
      <xdr:row>570</xdr:row>
      <xdr:rowOff>47625</xdr:rowOff>
    </xdr:from>
    <xdr:ext cx="4019550" cy="457200"/>
    <xdr:pic>
      <xdr:nvPicPr>
        <xdr:cNvPr id="26" name="image4.png">
          <a:extLst>
            <a:ext uri="{FF2B5EF4-FFF2-40B4-BE49-F238E27FC236}">
              <a16:creationId xmlns:a16="http://schemas.microsoft.com/office/drawing/2014/main" id="{00000000-0008-0000-1100-00001A000000}"/>
            </a:ext>
          </a:extLst>
        </xdr:cNvPr>
        <xdr:cNvPicPr preferRelativeResize="0"/>
      </xdr:nvPicPr>
      <xdr:blipFill>
        <a:blip xmlns:r="http://schemas.openxmlformats.org/officeDocument/2006/relationships" r:embed="rId1" cstate="print"/>
        <a:stretch>
          <a:fillRect/>
        </a:stretch>
      </xdr:blipFill>
      <xdr:spPr>
        <a:xfrm>
          <a:off x="7164705" y="91685745"/>
          <a:ext cx="4019550" cy="457200"/>
        </a:xfrm>
        <a:prstGeom prst="rect">
          <a:avLst/>
        </a:prstGeom>
        <a:noFill/>
      </xdr:spPr>
    </xdr:pic>
    <xdr:clientData fLocksWithSheet="0"/>
  </xdr:oneCellAnchor>
  <xdr:oneCellAnchor>
    <xdr:from>
      <xdr:col>8</xdr:col>
      <xdr:colOff>657225</xdr:colOff>
      <xdr:row>1034</xdr:row>
      <xdr:rowOff>47625</xdr:rowOff>
    </xdr:from>
    <xdr:ext cx="4019550" cy="457200"/>
    <xdr:pic>
      <xdr:nvPicPr>
        <xdr:cNvPr id="27" name="image4.png">
          <a:extLst>
            <a:ext uri="{FF2B5EF4-FFF2-40B4-BE49-F238E27FC236}">
              <a16:creationId xmlns:a16="http://schemas.microsoft.com/office/drawing/2014/main" id="{00000000-0008-0000-1100-00001B000000}"/>
            </a:ext>
          </a:extLst>
        </xdr:cNvPr>
        <xdr:cNvPicPr preferRelativeResize="0"/>
      </xdr:nvPicPr>
      <xdr:blipFill>
        <a:blip xmlns:r="http://schemas.openxmlformats.org/officeDocument/2006/relationships" r:embed="rId1" cstate="print"/>
        <a:stretch>
          <a:fillRect/>
        </a:stretch>
      </xdr:blipFill>
      <xdr:spPr>
        <a:xfrm>
          <a:off x="7164705" y="106140885"/>
          <a:ext cx="4019550" cy="457200"/>
        </a:xfrm>
        <a:prstGeom prst="rect">
          <a:avLst/>
        </a:prstGeom>
        <a:noFill/>
      </xdr:spPr>
    </xdr:pic>
    <xdr:clientData fLocksWithSheet="0"/>
  </xdr:oneCellAnchor>
  <xdr:oneCellAnchor>
    <xdr:from>
      <xdr:col>8</xdr:col>
      <xdr:colOff>657225</xdr:colOff>
      <xdr:row>1078</xdr:row>
      <xdr:rowOff>47625</xdr:rowOff>
    </xdr:from>
    <xdr:ext cx="4019550" cy="457200"/>
    <xdr:pic>
      <xdr:nvPicPr>
        <xdr:cNvPr id="28" name="image4.png">
          <a:extLst>
            <a:ext uri="{FF2B5EF4-FFF2-40B4-BE49-F238E27FC236}">
              <a16:creationId xmlns:a16="http://schemas.microsoft.com/office/drawing/2014/main" id="{00000000-0008-0000-1100-00001C000000}"/>
            </a:ext>
          </a:extLst>
        </xdr:cNvPr>
        <xdr:cNvPicPr preferRelativeResize="0"/>
      </xdr:nvPicPr>
      <xdr:blipFill>
        <a:blip xmlns:r="http://schemas.openxmlformats.org/officeDocument/2006/relationships" r:embed="rId1" cstate="print"/>
        <a:stretch>
          <a:fillRect/>
        </a:stretch>
      </xdr:blipFill>
      <xdr:spPr>
        <a:xfrm>
          <a:off x="7164705" y="177441225"/>
          <a:ext cx="4019550" cy="457200"/>
        </a:xfrm>
        <a:prstGeom prst="rect">
          <a:avLst/>
        </a:prstGeom>
        <a:noFill/>
      </xdr:spPr>
    </xdr:pic>
    <xdr:clientData fLocksWithSheet="0"/>
  </xdr:oneCellAnchor>
  <xdr:oneCellAnchor>
    <xdr:from>
      <xdr:col>8</xdr:col>
      <xdr:colOff>657225</xdr:colOff>
      <xdr:row>1122</xdr:row>
      <xdr:rowOff>47625</xdr:rowOff>
    </xdr:from>
    <xdr:ext cx="4019550" cy="457200"/>
    <xdr:pic>
      <xdr:nvPicPr>
        <xdr:cNvPr id="29" name="image4.png">
          <a:extLst>
            <a:ext uri="{FF2B5EF4-FFF2-40B4-BE49-F238E27FC236}">
              <a16:creationId xmlns:a16="http://schemas.microsoft.com/office/drawing/2014/main" id="{00000000-0008-0000-1100-00001D000000}"/>
            </a:ext>
          </a:extLst>
        </xdr:cNvPr>
        <xdr:cNvPicPr preferRelativeResize="0"/>
      </xdr:nvPicPr>
      <xdr:blipFill>
        <a:blip xmlns:r="http://schemas.openxmlformats.org/officeDocument/2006/relationships" r:embed="rId1" cstate="print"/>
        <a:stretch>
          <a:fillRect/>
        </a:stretch>
      </xdr:blipFill>
      <xdr:spPr>
        <a:xfrm>
          <a:off x="7164705" y="184840245"/>
          <a:ext cx="4019550" cy="457200"/>
        </a:xfrm>
        <a:prstGeom prst="rect">
          <a:avLst/>
        </a:prstGeom>
        <a:noFill/>
      </xdr:spPr>
    </xdr:pic>
    <xdr:clientData fLocksWithSheet="0"/>
  </xdr:oneCellAnchor>
  <xdr:oneCellAnchor>
    <xdr:from>
      <xdr:col>8</xdr:col>
      <xdr:colOff>657225</xdr:colOff>
      <xdr:row>1166</xdr:row>
      <xdr:rowOff>47625</xdr:rowOff>
    </xdr:from>
    <xdr:ext cx="4019550" cy="457200"/>
    <xdr:pic>
      <xdr:nvPicPr>
        <xdr:cNvPr id="30" name="image4.png">
          <a:extLst>
            <a:ext uri="{FF2B5EF4-FFF2-40B4-BE49-F238E27FC236}">
              <a16:creationId xmlns:a16="http://schemas.microsoft.com/office/drawing/2014/main" id="{00000000-0008-0000-1100-00001E000000}"/>
            </a:ext>
          </a:extLst>
        </xdr:cNvPr>
        <xdr:cNvPicPr preferRelativeResize="0"/>
      </xdr:nvPicPr>
      <xdr:blipFill>
        <a:blip xmlns:r="http://schemas.openxmlformats.org/officeDocument/2006/relationships" r:embed="rId1" cstate="print"/>
        <a:stretch>
          <a:fillRect/>
        </a:stretch>
      </xdr:blipFill>
      <xdr:spPr>
        <a:xfrm>
          <a:off x="7164705" y="192239265"/>
          <a:ext cx="4019550" cy="457200"/>
        </a:xfrm>
        <a:prstGeom prst="rect">
          <a:avLst/>
        </a:prstGeom>
        <a:noFill/>
      </xdr:spPr>
    </xdr:pic>
    <xdr:clientData fLocksWithSheet="0"/>
  </xdr:oneCellAnchor>
  <xdr:oneCellAnchor>
    <xdr:from>
      <xdr:col>8</xdr:col>
      <xdr:colOff>657225</xdr:colOff>
      <xdr:row>1210</xdr:row>
      <xdr:rowOff>47625</xdr:rowOff>
    </xdr:from>
    <xdr:ext cx="4019550" cy="457200"/>
    <xdr:pic>
      <xdr:nvPicPr>
        <xdr:cNvPr id="31" name="image4.png">
          <a:extLst>
            <a:ext uri="{FF2B5EF4-FFF2-40B4-BE49-F238E27FC236}">
              <a16:creationId xmlns:a16="http://schemas.microsoft.com/office/drawing/2014/main" id="{00000000-0008-0000-1100-00001F000000}"/>
            </a:ext>
          </a:extLst>
        </xdr:cNvPr>
        <xdr:cNvPicPr preferRelativeResize="0"/>
      </xdr:nvPicPr>
      <xdr:blipFill>
        <a:blip xmlns:r="http://schemas.openxmlformats.org/officeDocument/2006/relationships" r:embed="rId1" cstate="print"/>
        <a:stretch>
          <a:fillRect/>
        </a:stretch>
      </xdr:blipFill>
      <xdr:spPr>
        <a:xfrm>
          <a:off x="7164705" y="199638285"/>
          <a:ext cx="4019550" cy="457200"/>
        </a:xfrm>
        <a:prstGeom prst="rect">
          <a:avLst/>
        </a:prstGeom>
        <a:noFill/>
      </xdr:spPr>
    </xdr:pic>
    <xdr:clientData fLocksWithSheet="0"/>
  </xdr:oneCellAnchor>
  <xdr:oneCellAnchor>
    <xdr:from>
      <xdr:col>8</xdr:col>
      <xdr:colOff>657225</xdr:colOff>
      <xdr:row>1259</xdr:row>
      <xdr:rowOff>47625</xdr:rowOff>
    </xdr:from>
    <xdr:ext cx="4019550" cy="457200"/>
    <xdr:pic>
      <xdr:nvPicPr>
        <xdr:cNvPr id="32" name="image4.png">
          <a:extLst>
            <a:ext uri="{FF2B5EF4-FFF2-40B4-BE49-F238E27FC236}">
              <a16:creationId xmlns:a16="http://schemas.microsoft.com/office/drawing/2014/main" id="{00000000-0008-0000-1100-000020000000}"/>
            </a:ext>
          </a:extLst>
        </xdr:cNvPr>
        <xdr:cNvPicPr preferRelativeResize="0"/>
      </xdr:nvPicPr>
      <xdr:blipFill>
        <a:blip xmlns:r="http://schemas.openxmlformats.org/officeDocument/2006/relationships" r:embed="rId1" cstate="print"/>
        <a:stretch>
          <a:fillRect/>
        </a:stretch>
      </xdr:blipFill>
      <xdr:spPr>
        <a:xfrm>
          <a:off x="7164705" y="207037305"/>
          <a:ext cx="4019550" cy="457200"/>
        </a:xfrm>
        <a:prstGeom prst="rect">
          <a:avLst/>
        </a:prstGeom>
        <a:noFill/>
      </xdr:spPr>
    </xdr:pic>
    <xdr:clientData fLocksWithSheet="0"/>
  </xdr:oneCellAnchor>
  <xdr:oneCellAnchor>
    <xdr:from>
      <xdr:col>8</xdr:col>
      <xdr:colOff>657225</xdr:colOff>
      <xdr:row>1308</xdr:row>
      <xdr:rowOff>47625</xdr:rowOff>
    </xdr:from>
    <xdr:ext cx="4019550" cy="457200"/>
    <xdr:pic>
      <xdr:nvPicPr>
        <xdr:cNvPr id="33" name="image4.png">
          <a:extLst>
            <a:ext uri="{FF2B5EF4-FFF2-40B4-BE49-F238E27FC236}">
              <a16:creationId xmlns:a16="http://schemas.microsoft.com/office/drawing/2014/main" id="{00000000-0008-0000-1100-000021000000}"/>
            </a:ext>
          </a:extLst>
        </xdr:cNvPr>
        <xdr:cNvPicPr preferRelativeResize="0"/>
      </xdr:nvPicPr>
      <xdr:blipFill>
        <a:blip xmlns:r="http://schemas.openxmlformats.org/officeDocument/2006/relationships" r:embed="rId1" cstate="print"/>
        <a:stretch>
          <a:fillRect/>
        </a:stretch>
      </xdr:blipFill>
      <xdr:spPr>
        <a:xfrm>
          <a:off x="7164705" y="215274525"/>
          <a:ext cx="4019550" cy="457200"/>
        </a:xfrm>
        <a:prstGeom prst="rect">
          <a:avLst/>
        </a:prstGeom>
        <a:noFill/>
      </xdr:spPr>
    </xdr:pic>
    <xdr:clientData fLocksWithSheet="0"/>
  </xdr:oneCellAnchor>
  <xdr:oneCellAnchor>
    <xdr:from>
      <xdr:col>8</xdr:col>
      <xdr:colOff>657225</xdr:colOff>
      <xdr:row>1357</xdr:row>
      <xdr:rowOff>47625</xdr:rowOff>
    </xdr:from>
    <xdr:ext cx="4019550" cy="457200"/>
    <xdr:pic>
      <xdr:nvPicPr>
        <xdr:cNvPr id="34" name="image4.png">
          <a:extLst>
            <a:ext uri="{FF2B5EF4-FFF2-40B4-BE49-F238E27FC236}">
              <a16:creationId xmlns:a16="http://schemas.microsoft.com/office/drawing/2014/main" id="{00000000-0008-0000-1100-000022000000}"/>
            </a:ext>
          </a:extLst>
        </xdr:cNvPr>
        <xdr:cNvPicPr preferRelativeResize="0"/>
      </xdr:nvPicPr>
      <xdr:blipFill>
        <a:blip xmlns:r="http://schemas.openxmlformats.org/officeDocument/2006/relationships" r:embed="rId1" cstate="print"/>
        <a:stretch>
          <a:fillRect/>
        </a:stretch>
      </xdr:blipFill>
      <xdr:spPr>
        <a:xfrm>
          <a:off x="7164705" y="223511745"/>
          <a:ext cx="4019550" cy="457200"/>
        </a:xfrm>
        <a:prstGeom prst="rect">
          <a:avLst/>
        </a:prstGeom>
        <a:noFill/>
      </xdr:spPr>
    </xdr:pic>
    <xdr:clientData fLocksWithSheet="0"/>
  </xdr:oneCellAnchor>
  <xdr:oneCellAnchor>
    <xdr:from>
      <xdr:col>8</xdr:col>
      <xdr:colOff>657225</xdr:colOff>
      <xdr:row>1406</xdr:row>
      <xdr:rowOff>47625</xdr:rowOff>
    </xdr:from>
    <xdr:ext cx="4019550" cy="457200"/>
    <xdr:pic>
      <xdr:nvPicPr>
        <xdr:cNvPr id="35" name="image4.png">
          <a:extLst>
            <a:ext uri="{FF2B5EF4-FFF2-40B4-BE49-F238E27FC236}">
              <a16:creationId xmlns:a16="http://schemas.microsoft.com/office/drawing/2014/main" id="{00000000-0008-0000-1100-000023000000}"/>
            </a:ext>
          </a:extLst>
        </xdr:cNvPr>
        <xdr:cNvPicPr preferRelativeResize="0"/>
      </xdr:nvPicPr>
      <xdr:blipFill>
        <a:blip xmlns:r="http://schemas.openxmlformats.org/officeDocument/2006/relationships" r:embed="rId1" cstate="print"/>
        <a:stretch>
          <a:fillRect/>
        </a:stretch>
      </xdr:blipFill>
      <xdr:spPr>
        <a:xfrm>
          <a:off x="7164705" y="231748965"/>
          <a:ext cx="4019550" cy="457200"/>
        </a:xfrm>
        <a:prstGeom prst="rect">
          <a:avLst/>
        </a:prstGeom>
        <a:noFill/>
      </xdr:spPr>
    </xdr:pic>
    <xdr:clientData fLocksWithSheet="0"/>
  </xdr:oneCellAnchor>
  <xdr:oneCellAnchor>
    <xdr:from>
      <xdr:col>8</xdr:col>
      <xdr:colOff>657225</xdr:colOff>
      <xdr:row>1455</xdr:row>
      <xdr:rowOff>47625</xdr:rowOff>
    </xdr:from>
    <xdr:ext cx="4019550" cy="457200"/>
    <xdr:pic>
      <xdr:nvPicPr>
        <xdr:cNvPr id="36" name="image4.png">
          <a:extLst>
            <a:ext uri="{FF2B5EF4-FFF2-40B4-BE49-F238E27FC236}">
              <a16:creationId xmlns:a16="http://schemas.microsoft.com/office/drawing/2014/main" id="{00000000-0008-0000-1100-000024000000}"/>
            </a:ext>
          </a:extLst>
        </xdr:cNvPr>
        <xdr:cNvPicPr preferRelativeResize="0"/>
      </xdr:nvPicPr>
      <xdr:blipFill>
        <a:blip xmlns:r="http://schemas.openxmlformats.org/officeDocument/2006/relationships" r:embed="rId1" cstate="print"/>
        <a:stretch>
          <a:fillRect/>
        </a:stretch>
      </xdr:blipFill>
      <xdr:spPr>
        <a:xfrm>
          <a:off x="7164705" y="239986185"/>
          <a:ext cx="4019550" cy="457200"/>
        </a:xfrm>
        <a:prstGeom prst="rect">
          <a:avLst/>
        </a:prstGeom>
        <a:noFill/>
      </xdr:spPr>
    </xdr:pic>
    <xdr:clientData fLocksWithSheet="0"/>
  </xdr:oneCellAnchor>
  <xdr:oneCellAnchor>
    <xdr:from>
      <xdr:col>8</xdr:col>
      <xdr:colOff>657225</xdr:colOff>
      <xdr:row>1504</xdr:row>
      <xdr:rowOff>47625</xdr:rowOff>
    </xdr:from>
    <xdr:ext cx="4019550" cy="457200"/>
    <xdr:pic>
      <xdr:nvPicPr>
        <xdr:cNvPr id="37" name="image4.png">
          <a:extLst>
            <a:ext uri="{FF2B5EF4-FFF2-40B4-BE49-F238E27FC236}">
              <a16:creationId xmlns:a16="http://schemas.microsoft.com/office/drawing/2014/main" id="{00000000-0008-0000-1100-000025000000}"/>
            </a:ext>
          </a:extLst>
        </xdr:cNvPr>
        <xdr:cNvPicPr preferRelativeResize="0"/>
      </xdr:nvPicPr>
      <xdr:blipFill>
        <a:blip xmlns:r="http://schemas.openxmlformats.org/officeDocument/2006/relationships" r:embed="rId1" cstate="print"/>
        <a:stretch>
          <a:fillRect/>
        </a:stretch>
      </xdr:blipFill>
      <xdr:spPr>
        <a:xfrm>
          <a:off x="7164705" y="248223405"/>
          <a:ext cx="4019550" cy="457200"/>
        </a:xfrm>
        <a:prstGeom prst="rect">
          <a:avLst/>
        </a:prstGeom>
        <a:noFill/>
      </xdr:spPr>
    </xdr:pic>
    <xdr:clientData fLocksWithSheet="0"/>
  </xdr:oneCellAnchor>
  <xdr:oneCellAnchor>
    <xdr:from>
      <xdr:col>8</xdr:col>
      <xdr:colOff>657225</xdr:colOff>
      <xdr:row>1553</xdr:row>
      <xdr:rowOff>47625</xdr:rowOff>
    </xdr:from>
    <xdr:ext cx="4019550" cy="457200"/>
    <xdr:pic>
      <xdr:nvPicPr>
        <xdr:cNvPr id="38" name="image4.png">
          <a:extLst>
            <a:ext uri="{FF2B5EF4-FFF2-40B4-BE49-F238E27FC236}">
              <a16:creationId xmlns:a16="http://schemas.microsoft.com/office/drawing/2014/main" id="{00000000-0008-0000-1100-000026000000}"/>
            </a:ext>
          </a:extLst>
        </xdr:cNvPr>
        <xdr:cNvPicPr preferRelativeResize="0"/>
      </xdr:nvPicPr>
      <xdr:blipFill>
        <a:blip xmlns:r="http://schemas.openxmlformats.org/officeDocument/2006/relationships" r:embed="rId1" cstate="print"/>
        <a:stretch>
          <a:fillRect/>
        </a:stretch>
      </xdr:blipFill>
      <xdr:spPr>
        <a:xfrm>
          <a:off x="7164705" y="256460625"/>
          <a:ext cx="4019550" cy="457200"/>
        </a:xfrm>
        <a:prstGeom prst="rect">
          <a:avLst/>
        </a:prstGeom>
        <a:noFill/>
      </xdr:spPr>
    </xdr:pic>
    <xdr:clientData fLocksWithSheet="0"/>
  </xdr:oneCellAnchor>
  <xdr:oneCellAnchor>
    <xdr:from>
      <xdr:col>8</xdr:col>
      <xdr:colOff>657225</xdr:colOff>
      <xdr:row>1602</xdr:row>
      <xdr:rowOff>47625</xdr:rowOff>
    </xdr:from>
    <xdr:ext cx="4019550" cy="457200"/>
    <xdr:pic>
      <xdr:nvPicPr>
        <xdr:cNvPr id="39" name="image4.png">
          <a:extLst>
            <a:ext uri="{FF2B5EF4-FFF2-40B4-BE49-F238E27FC236}">
              <a16:creationId xmlns:a16="http://schemas.microsoft.com/office/drawing/2014/main" id="{00000000-0008-0000-1100-000027000000}"/>
            </a:ext>
          </a:extLst>
        </xdr:cNvPr>
        <xdr:cNvPicPr preferRelativeResize="0"/>
      </xdr:nvPicPr>
      <xdr:blipFill>
        <a:blip xmlns:r="http://schemas.openxmlformats.org/officeDocument/2006/relationships" r:embed="rId1" cstate="print"/>
        <a:stretch>
          <a:fillRect/>
        </a:stretch>
      </xdr:blipFill>
      <xdr:spPr>
        <a:xfrm>
          <a:off x="7164705" y="264697845"/>
          <a:ext cx="4019550" cy="457200"/>
        </a:xfrm>
        <a:prstGeom prst="rect">
          <a:avLst/>
        </a:prstGeom>
        <a:noFill/>
      </xdr:spPr>
    </xdr:pic>
    <xdr:clientData fLocksWithSheet="0"/>
  </xdr:oneCellAnchor>
  <xdr:oneCellAnchor>
    <xdr:from>
      <xdr:col>8</xdr:col>
      <xdr:colOff>657225</xdr:colOff>
      <xdr:row>1651</xdr:row>
      <xdr:rowOff>47625</xdr:rowOff>
    </xdr:from>
    <xdr:ext cx="4019550" cy="457200"/>
    <xdr:pic>
      <xdr:nvPicPr>
        <xdr:cNvPr id="40" name="image4.png">
          <a:extLst>
            <a:ext uri="{FF2B5EF4-FFF2-40B4-BE49-F238E27FC236}">
              <a16:creationId xmlns:a16="http://schemas.microsoft.com/office/drawing/2014/main" id="{00000000-0008-0000-1100-000028000000}"/>
            </a:ext>
          </a:extLst>
        </xdr:cNvPr>
        <xdr:cNvPicPr preferRelativeResize="0"/>
      </xdr:nvPicPr>
      <xdr:blipFill>
        <a:blip xmlns:r="http://schemas.openxmlformats.org/officeDocument/2006/relationships" r:embed="rId1" cstate="print"/>
        <a:stretch>
          <a:fillRect/>
        </a:stretch>
      </xdr:blipFill>
      <xdr:spPr>
        <a:xfrm>
          <a:off x="7164705" y="272935065"/>
          <a:ext cx="4019550" cy="457200"/>
        </a:xfrm>
        <a:prstGeom prst="rect">
          <a:avLst/>
        </a:prstGeom>
        <a:noFill/>
      </xdr:spPr>
    </xdr:pic>
    <xdr:clientData fLocksWithSheet="0"/>
  </xdr:oneCellAnchor>
  <xdr:oneCellAnchor>
    <xdr:from>
      <xdr:col>8</xdr:col>
      <xdr:colOff>657225</xdr:colOff>
      <xdr:row>1700</xdr:row>
      <xdr:rowOff>47625</xdr:rowOff>
    </xdr:from>
    <xdr:ext cx="4019550" cy="457200"/>
    <xdr:pic>
      <xdr:nvPicPr>
        <xdr:cNvPr id="41" name="image4.png">
          <a:extLst>
            <a:ext uri="{FF2B5EF4-FFF2-40B4-BE49-F238E27FC236}">
              <a16:creationId xmlns:a16="http://schemas.microsoft.com/office/drawing/2014/main" id="{00000000-0008-0000-1100-000029000000}"/>
            </a:ext>
          </a:extLst>
        </xdr:cNvPr>
        <xdr:cNvPicPr preferRelativeResize="0"/>
      </xdr:nvPicPr>
      <xdr:blipFill>
        <a:blip xmlns:r="http://schemas.openxmlformats.org/officeDocument/2006/relationships" r:embed="rId1" cstate="print"/>
        <a:stretch>
          <a:fillRect/>
        </a:stretch>
      </xdr:blipFill>
      <xdr:spPr>
        <a:xfrm>
          <a:off x="7164705" y="272935065"/>
          <a:ext cx="4019550" cy="457200"/>
        </a:xfrm>
        <a:prstGeom prst="rect">
          <a:avLst/>
        </a:prstGeom>
        <a:noFill/>
      </xdr:spPr>
    </xdr:pic>
    <xdr:clientData fLocksWithSheet="0"/>
  </xdr:oneCellAnchor>
  <xdr:oneCellAnchor>
    <xdr:from>
      <xdr:col>8</xdr:col>
      <xdr:colOff>657225</xdr:colOff>
      <xdr:row>1749</xdr:row>
      <xdr:rowOff>47625</xdr:rowOff>
    </xdr:from>
    <xdr:ext cx="4019550" cy="457200"/>
    <xdr:pic>
      <xdr:nvPicPr>
        <xdr:cNvPr id="42" name="image4.png">
          <a:extLst>
            <a:ext uri="{FF2B5EF4-FFF2-40B4-BE49-F238E27FC236}">
              <a16:creationId xmlns:a16="http://schemas.microsoft.com/office/drawing/2014/main" id="{00000000-0008-0000-1100-00002A000000}"/>
            </a:ext>
          </a:extLst>
        </xdr:cNvPr>
        <xdr:cNvPicPr preferRelativeResize="0"/>
      </xdr:nvPicPr>
      <xdr:blipFill>
        <a:blip xmlns:r="http://schemas.openxmlformats.org/officeDocument/2006/relationships" r:embed="rId1" cstate="print"/>
        <a:stretch>
          <a:fillRect/>
        </a:stretch>
      </xdr:blipFill>
      <xdr:spPr>
        <a:xfrm>
          <a:off x="7164705" y="289409505"/>
          <a:ext cx="4019550" cy="457200"/>
        </a:xfrm>
        <a:prstGeom prst="rect">
          <a:avLst/>
        </a:prstGeom>
        <a:noFill/>
      </xdr:spPr>
    </xdr:pic>
    <xdr:clientData fLocksWithSheet="0"/>
  </xdr:oneCellAnchor>
  <xdr:oneCellAnchor>
    <xdr:from>
      <xdr:col>8</xdr:col>
      <xdr:colOff>657225</xdr:colOff>
      <xdr:row>1798</xdr:row>
      <xdr:rowOff>47625</xdr:rowOff>
    </xdr:from>
    <xdr:ext cx="4019550" cy="457200"/>
    <xdr:pic>
      <xdr:nvPicPr>
        <xdr:cNvPr id="43" name="image4.png">
          <a:extLst>
            <a:ext uri="{FF2B5EF4-FFF2-40B4-BE49-F238E27FC236}">
              <a16:creationId xmlns:a16="http://schemas.microsoft.com/office/drawing/2014/main" id="{00000000-0008-0000-1100-00002B000000}"/>
            </a:ext>
          </a:extLst>
        </xdr:cNvPr>
        <xdr:cNvPicPr preferRelativeResize="0"/>
      </xdr:nvPicPr>
      <xdr:blipFill>
        <a:blip xmlns:r="http://schemas.openxmlformats.org/officeDocument/2006/relationships" r:embed="rId1" cstate="print"/>
        <a:stretch>
          <a:fillRect/>
        </a:stretch>
      </xdr:blipFill>
      <xdr:spPr>
        <a:xfrm>
          <a:off x="7164705" y="297646725"/>
          <a:ext cx="4019550" cy="457200"/>
        </a:xfrm>
        <a:prstGeom prst="rect">
          <a:avLst/>
        </a:prstGeom>
        <a:noFill/>
      </xdr:spPr>
    </xdr:pic>
    <xdr:clientData fLocksWithSheet="0"/>
  </xdr:oneCellAnchor>
  <xdr:oneCellAnchor>
    <xdr:from>
      <xdr:col>8</xdr:col>
      <xdr:colOff>657225</xdr:colOff>
      <xdr:row>1852</xdr:row>
      <xdr:rowOff>47625</xdr:rowOff>
    </xdr:from>
    <xdr:ext cx="4019550" cy="457200"/>
    <xdr:pic>
      <xdr:nvPicPr>
        <xdr:cNvPr id="44" name="image4.png">
          <a:extLst>
            <a:ext uri="{FF2B5EF4-FFF2-40B4-BE49-F238E27FC236}">
              <a16:creationId xmlns:a16="http://schemas.microsoft.com/office/drawing/2014/main" id="{00000000-0008-0000-1100-00002C000000}"/>
            </a:ext>
          </a:extLst>
        </xdr:cNvPr>
        <xdr:cNvPicPr preferRelativeResize="0"/>
      </xdr:nvPicPr>
      <xdr:blipFill>
        <a:blip xmlns:r="http://schemas.openxmlformats.org/officeDocument/2006/relationships" r:embed="rId1" cstate="print"/>
        <a:stretch>
          <a:fillRect/>
        </a:stretch>
      </xdr:blipFill>
      <xdr:spPr>
        <a:xfrm>
          <a:off x="7164705" y="305883945"/>
          <a:ext cx="4019550" cy="457200"/>
        </a:xfrm>
        <a:prstGeom prst="rect">
          <a:avLst/>
        </a:prstGeom>
        <a:noFill/>
      </xdr:spPr>
    </xdr:pic>
    <xdr:clientData fLocksWithSheet="0"/>
  </xdr:oneCellAnchor>
  <xdr:oneCellAnchor>
    <xdr:from>
      <xdr:col>8</xdr:col>
      <xdr:colOff>657225</xdr:colOff>
      <xdr:row>1906</xdr:row>
      <xdr:rowOff>47625</xdr:rowOff>
    </xdr:from>
    <xdr:ext cx="4019550" cy="457200"/>
    <xdr:pic>
      <xdr:nvPicPr>
        <xdr:cNvPr id="45" name="image4.png">
          <a:extLst>
            <a:ext uri="{FF2B5EF4-FFF2-40B4-BE49-F238E27FC236}">
              <a16:creationId xmlns:a16="http://schemas.microsoft.com/office/drawing/2014/main" id="{00000000-0008-0000-1100-00002D000000}"/>
            </a:ext>
          </a:extLst>
        </xdr:cNvPr>
        <xdr:cNvPicPr preferRelativeResize="0"/>
      </xdr:nvPicPr>
      <xdr:blipFill>
        <a:blip xmlns:r="http://schemas.openxmlformats.org/officeDocument/2006/relationships" r:embed="rId1" cstate="print"/>
        <a:stretch>
          <a:fillRect/>
        </a:stretch>
      </xdr:blipFill>
      <xdr:spPr>
        <a:xfrm>
          <a:off x="7164705" y="314959365"/>
          <a:ext cx="4019550" cy="457200"/>
        </a:xfrm>
        <a:prstGeom prst="rect">
          <a:avLst/>
        </a:prstGeom>
        <a:noFill/>
      </xdr:spPr>
    </xdr:pic>
    <xdr:clientData fLocksWithSheet="0"/>
  </xdr:oneCellAnchor>
  <xdr:oneCellAnchor>
    <xdr:from>
      <xdr:col>8</xdr:col>
      <xdr:colOff>657225</xdr:colOff>
      <xdr:row>1960</xdr:row>
      <xdr:rowOff>47625</xdr:rowOff>
    </xdr:from>
    <xdr:ext cx="4019550" cy="457200"/>
    <xdr:pic>
      <xdr:nvPicPr>
        <xdr:cNvPr id="46" name="image4.png">
          <a:extLst>
            <a:ext uri="{FF2B5EF4-FFF2-40B4-BE49-F238E27FC236}">
              <a16:creationId xmlns:a16="http://schemas.microsoft.com/office/drawing/2014/main" id="{00000000-0008-0000-1100-00002E000000}"/>
            </a:ext>
          </a:extLst>
        </xdr:cNvPr>
        <xdr:cNvPicPr preferRelativeResize="0"/>
      </xdr:nvPicPr>
      <xdr:blipFill>
        <a:blip xmlns:r="http://schemas.openxmlformats.org/officeDocument/2006/relationships" r:embed="rId1" cstate="print"/>
        <a:stretch>
          <a:fillRect/>
        </a:stretch>
      </xdr:blipFill>
      <xdr:spPr>
        <a:xfrm>
          <a:off x="7164705" y="324034785"/>
          <a:ext cx="4019550" cy="457200"/>
        </a:xfrm>
        <a:prstGeom prst="rect">
          <a:avLst/>
        </a:prstGeom>
        <a:noFill/>
      </xdr:spPr>
    </xdr:pic>
    <xdr:clientData fLocksWithSheet="0"/>
  </xdr:oneCellAnchor>
  <xdr:oneCellAnchor>
    <xdr:from>
      <xdr:col>8</xdr:col>
      <xdr:colOff>657225</xdr:colOff>
      <xdr:row>2014</xdr:row>
      <xdr:rowOff>47625</xdr:rowOff>
    </xdr:from>
    <xdr:ext cx="4019550" cy="457200"/>
    <xdr:pic>
      <xdr:nvPicPr>
        <xdr:cNvPr id="47" name="image4.png">
          <a:extLst>
            <a:ext uri="{FF2B5EF4-FFF2-40B4-BE49-F238E27FC236}">
              <a16:creationId xmlns:a16="http://schemas.microsoft.com/office/drawing/2014/main" id="{00000000-0008-0000-1100-00002F000000}"/>
            </a:ext>
          </a:extLst>
        </xdr:cNvPr>
        <xdr:cNvPicPr preferRelativeResize="0"/>
      </xdr:nvPicPr>
      <xdr:blipFill>
        <a:blip xmlns:r="http://schemas.openxmlformats.org/officeDocument/2006/relationships" r:embed="rId1" cstate="print"/>
        <a:stretch>
          <a:fillRect/>
        </a:stretch>
      </xdr:blipFill>
      <xdr:spPr>
        <a:xfrm>
          <a:off x="7164705" y="333110205"/>
          <a:ext cx="4019550" cy="457200"/>
        </a:xfrm>
        <a:prstGeom prst="rect">
          <a:avLst/>
        </a:prstGeom>
        <a:noFill/>
      </xdr:spPr>
    </xdr:pic>
    <xdr:clientData fLocksWithSheet="0"/>
  </xdr:oneCellAnchor>
  <xdr:oneCellAnchor>
    <xdr:from>
      <xdr:col>8</xdr:col>
      <xdr:colOff>657225</xdr:colOff>
      <xdr:row>2068</xdr:row>
      <xdr:rowOff>47625</xdr:rowOff>
    </xdr:from>
    <xdr:ext cx="4019550" cy="457200"/>
    <xdr:pic>
      <xdr:nvPicPr>
        <xdr:cNvPr id="48" name="image4.png">
          <a:extLst>
            <a:ext uri="{FF2B5EF4-FFF2-40B4-BE49-F238E27FC236}">
              <a16:creationId xmlns:a16="http://schemas.microsoft.com/office/drawing/2014/main" id="{00000000-0008-0000-1100-000030000000}"/>
            </a:ext>
          </a:extLst>
        </xdr:cNvPr>
        <xdr:cNvPicPr preferRelativeResize="0"/>
      </xdr:nvPicPr>
      <xdr:blipFill>
        <a:blip xmlns:r="http://schemas.openxmlformats.org/officeDocument/2006/relationships" r:embed="rId1" cstate="print"/>
        <a:stretch>
          <a:fillRect/>
        </a:stretch>
      </xdr:blipFill>
      <xdr:spPr>
        <a:xfrm>
          <a:off x="7164705" y="342185625"/>
          <a:ext cx="4019550" cy="457200"/>
        </a:xfrm>
        <a:prstGeom prst="rect">
          <a:avLst/>
        </a:prstGeom>
        <a:noFill/>
      </xdr:spPr>
    </xdr:pic>
    <xdr:clientData fLocksWithSheet="0"/>
  </xdr:oneCellAnchor>
  <xdr:oneCellAnchor>
    <xdr:from>
      <xdr:col>8</xdr:col>
      <xdr:colOff>657225</xdr:colOff>
      <xdr:row>2110</xdr:row>
      <xdr:rowOff>47625</xdr:rowOff>
    </xdr:from>
    <xdr:ext cx="4019550" cy="457200"/>
    <xdr:pic>
      <xdr:nvPicPr>
        <xdr:cNvPr id="49" name="image4.png">
          <a:extLst>
            <a:ext uri="{FF2B5EF4-FFF2-40B4-BE49-F238E27FC236}">
              <a16:creationId xmlns:a16="http://schemas.microsoft.com/office/drawing/2014/main" id="{00000000-0008-0000-1100-000031000000}"/>
            </a:ext>
          </a:extLst>
        </xdr:cNvPr>
        <xdr:cNvPicPr preferRelativeResize="0"/>
      </xdr:nvPicPr>
      <xdr:blipFill>
        <a:blip xmlns:r="http://schemas.openxmlformats.org/officeDocument/2006/relationships" r:embed="rId1" cstate="print"/>
        <a:stretch>
          <a:fillRect/>
        </a:stretch>
      </xdr:blipFill>
      <xdr:spPr>
        <a:xfrm>
          <a:off x="7164705" y="89011125"/>
          <a:ext cx="4019550" cy="457200"/>
        </a:xfrm>
        <a:prstGeom prst="rect">
          <a:avLst/>
        </a:prstGeom>
        <a:noFill/>
      </xdr:spPr>
    </xdr:pic>
    <xdr:clientData fLocksWithSheet="0"/>
  </xdr:oneCellAnchor>
  <xdr:oneCellAnchor>
    <xdr:from>
      <xdr:col>8</xdr:col>
      <xdr:colOff>657225</xdr:colOff>
      <xdr:row>2164</xdr:row>
      <xdr:rowOff>47625</xdr:rowOff>
    </xdr:from>
    <xdr:ext cx="4019550" cy="457200"/>
    <xdr:pic>
      <xdr:nvPicPr>
        <xdr:cNvPr id="50" name="image4.png">
          <a:extLst>
            <a:ext uri="{FF2B5EF4-FFF2-40B4-BE49-F238E27FC236}">
              <a16:creationId xmlns:a16="http://schemas.microsoft.com/office/drawing/2014/main" id="{00000000-0008-0000-1100-000032000000}"/>
            </a:ext>
          </a:extLst>
        </xdr:cNvPr>
        <xdr:cNvPicPr preferRelativeResize="0"/>
      </xdr:nvPicPr>
      <xdr:blipFill>
        <a:blip xmlns:r="http://schemas.openxmlformats.org/officeDocument/2006/relationships" r:embed="rId1" cstate="print"/>
        <a:stretch>
          <a:fillRect/>
        </a:stretch>
      </xdr:blipFill>
      <xdr:spPr>
        <a:xfrm>
          <a:off x="7164705" y="348586425"/>
          <a:ext cx="4019550" cy="457200"/>
        </a:xfrm>
        <a:prstGeom prst="rect">
          <a:avLst/>
        </a:prstGeom>
        <a:noFill/>
      </xdr:spPr>
    </xdr:pic>
    <xdr:clientData fLocksWithSheet="0"/>
  </xdr:oneCellAnchor>
  <xdr:oneCellAnchor>
    <xdr:from>
      <xdr:col>8</xdr:col>
      <xdr:colOff>657225</xdr:colOff>
      <xdr:row>2218</xdr:row>
      <xdr:rowOff>47625</xdr:rowOff>
    </xdr:from>
    <xdr:ext cx="4019550" cy="457200"/>
    <xdr:pic>
      <xdr:nvPicPr>
        <xdr:cNvPr id="51" name="image4.png">
          <a:extLst>
            <a:ext uri="{FF2B5EF4-FFF2-40B4-BE49-F238E27FC236}">
              <a16:creationId xmlns:a16="http://schemas.microsoft.com/office/drawing/2014/main" id="{00000000-0008-0000-1100-000033000000}"/>
            </a:ext>
          </a:extLst>
        </xdr:cNvPr>
        <xdr:cNvPicPr preferRelativeResize="0"/>
      </xdr:nvPicPr>
      <xdr:blipFill>
        <a:blip xmlns:r="http://schemas.openxmlformats.org/officeDocument/2006/relationships" r:embed="rId1" cstate="print"/>
        <a:stretch>
          <a:fillRect/>
        </a:stretch>
      </xdr:blipFill>
      <xdr:spPr>
        <a:xfrm>
          <a:off x="7164705" y="364725585"/>
          <a:ext cx="4019550" cy="457200"/>
        </a:xfrm>
        <a:prstGeom prst="rect">
          <a:avLst/>
        </a:prstGeom>
        <a:noFill/>
      </xdr:spPr>
    </xdr:pic>
    <xdr:clientData fLocksWithSheet="0"/>
  </xdr:oneCellAnchor>
  <xdr:oneCellAnchor>
    <xdr:from>
      <xdr:col>8</xdr:col>
      <xdr:colOff>657225</xdr:colOff>
      <xdr:row>2272</xdr:row>
      <xdr:rowOff>47625</xdr:rowOff>
    </xdr:from>
    <xdr:ext cx="4019550" cy="457200"/>
    <xdr:pic>
      <xdr:nvPicPr>
        <xdr:cNvPr id="52" name="image4.png">
          <a:extLst>
            <a:ext uri="{FF2B5EF4-FFF2-40B4-BE49-F238E27FC236}">
              <a16:creationId xmlns:a16="http://schemas.microsoft.com/office/drawing/2014/main" id="{00000000-0008-0000-1100-000034000000}"/>
            </a:ext>
          </a:extLst>
        </xdr:cNvPr>
        <xdr:cNvPicPr preferRelativeResize="0"/>
      </xdr:nvPicPr>
      <xdr:blipFill>
        <a:blip xmlns:r="http://schemas.openxmlformats.org/officeDocument/2006/relationships" r:embed="rId1" cstate="print"/>
        <a:stretch>
          <a:fillRect/>
        </a:stretch>
      </xdr:blipFill>
      <xdr:spPr>
        <a:xfrm>
          <a:off x="7164705" y="373801005"/>
          <a:ext cx="4019550" cy="457200"/>
        </a:xfrm>
        <a:prstGeom prst="rect">
          <a:avLst/>
        </a:prstGeom>
        <a:noFill/>
      </xdr:spPr>
    </xdr:pic>
    <xdr:clientData fLocksWithSheet="0"/>
  </xdr:oneCellAnchor>
  <xdr:oneCellAnchor>
    <xdr:from>
      <xdr:col>8</xdr:col>
      <xdr:colOff>657225</xdr:colOff>
      <xdr:row>2326</xdr:row>
      <xdr:rowOff>47625</xdr:rowOff>
    </xdr:from>
    <xdr:ext cx="4019550" cy="457200"/>
    <xdr:pic>
      <xdr:nvPicPr>
        <xdr:cNvPr id="53" name="image4.png">
          <a:extLst>
            <a:ext uri="{FF2B5EF4-FFF2-40B4-BE49-F238E27FC236}">
              <a16:creationId xmlns:a16="http://schemas.microsoft.com/office/drawing/2014/main" id="{00000000-0008-0000-1100-000035000000}"/>
            </a:ext>
          </a:extLst>
        </xdr:cNvPr>
        <xdr:cNvPicPr preferRelativeResize="0"/>
      </xdr:nvPicPr>
      <xdr:blipFill>
        <a:blip xmlns:r="http://schemas.openxmlformats.org/officeDocument/2006/relationships" r:embed="rId1" cstate="print"/>
        <a:stretch>
          <a:fillRect/>
        </a:stretch>
      </xdr:blipFill>
      <xdr:spPr>
        <a:xfrm>
          <a:off x="7164705" y="382876425"/>
          <a:ext cx="4019550" cy="457200"/>
        </a:xfrm>
        <a:prstGeom prst="rect">
          <a:avLst/>
        </a:prstGeom>
        <a:noFill/>
      </xdr:spPr>
    </xdr:pic>
    <xdr:clientData fLocksWithSheet="0"/>
  </xdr:oneCellAnchor>
  <xdr:oneCellAnchor>
    <xdr:from>
      <xdr:col>8</xdr:col>
      <xdr:colOff>657225</xdr:colOff>
      <xdr:row>2380</xdr:row>
      <xdr:rowOff>47625</xdr:rowOff>
    </xdr:from>
    <xdr:ext cx="4019550" cy="457200"/>
    <xdr:pic>
      <xdr:nvPicPr>
        <xdr:cNvPr id="54" name="image4.png">
          <a:extLst>
            <a:ext uri="{FF2B5EF4-FFF2-40B4-BE49-F238E27FC236}">
              <a16:creationId xmlns:a16="http://schemas.microsoft.com/office/drawing/2014/main" id="{00000000-0008-0000-1100-000036000000}"/>
            </a:ext>
          </a:extLst>
        </xdr:cNvPr>
        <xdr:cNvPicPr preferRelativeResize="0"/>
      </xdr:nvPicPr>
      <xdr:blipFill>
        <a:blip xmlns:r="http://schemas.openxmlformats.org/officeDocument/2006/relationships" r:embed="rId1" cstate="print"/>
        <a:stretch>
          <a:fillRect/>
        </a:stretch>
      </xdr:blipFill>
      <xdr:spPr>
        <a:xfrm>
          <a:off x="7164705" y="391951845"/>
          <a:ext cx="4019550" cy="457200"/>
        </a:xfrm>
        <a:prstGeom prst="rect">
          <a:avLst/>
        </a:prstGeom>
        <a:noFill/>
      </xdr:spPr>
    </xdr:pic>
    <xdr:clientData fLocksWithSheet="0"/>
  </xdr:oneCellAnchor>
  <xdr:oneCellAnchor>
    <xdr:from>
      <xdr:col>8</xdr:col>
      <xdr:colOff>657225</xdr:colOff>
      <xdr:row>2434</xdr:row>
      <xdr:rowOff>47625</xdr:rowOff>
    </xdr:from>
    <xdr:ext cx="4019550" cy="457200"/>
    <xdr:pic>
      <xdr:nvPicPr>
        <xdr:cNvPr id="55" name="image4.png">
          <a:extLst>
            <a:ext uri="{FF2B5EF4-FFF2-40B4-BE49-F238E27FC236}">
              <a16:creationId xmlns:a16="http://schemas.microsoft.com/office/drawing/2014/main" id="{00000000-0008-0000-1100-000037000000}"/>
            </a:ext>
          </a:extLst>
        </xdr:cNvPr>
        <xdr:cNvPicPr preferRelativeResize="0"/>
      </xdr:nvPicPr>
      <xdr:blipFill>
        <a:blip xmlns:r="http://schemas.openxmlformats.org/officeDocument/2006/relationships" r:embed="rId1" cstate="print"/>
        <a:stretch>
          <a:fillRect/>
        </a:stretch>
      </xdr:blipFill>
      <xdr:spPr>
        <a:xfrm>
          <a:off x="7164705" y="401027265"/>
          <a:ext cx="4019550" cy="457200"/>
        </a:xfrm>
        <a:prstGeom prst="rect">
          <a:avLst/>
        </a:prstGeom>
        <a:noFill/>
      </xdr:spPr>
    </xdr:pic>
    <xdr:clientData fLocksWithSheet="0"/>
  </xdr:oneCellAnchor>
  <xdr:oneCellAnchor>
    <xdr:from>
      <xdr:col>8</xdr:col>
      <xdr:colOff>657225</xdr:colOff>
      <xdr:row>2478</xdr:row>
      <xdr:rowOff>47625</xdr:rowOff>
    </xdr:from>
    <xdr:ext cx="4019550" cy="457200"/>
    <xdr:pic>
      <xdr:nvPicPr>
        <xdr:cNvPr id="57" name="image4.png">
          <a:extLst>
            <a:ext uri="{FF2B5EF4-FFF2-40B4-BE49-F238E27FC236}">
              <a16:creationId xmlns:a16="http://schemas.microsoft.com/office/drawing/2014/main" id="{00000000-0008-0000-1100-000039000000}"/>
            </a:ext>
          </a:extLst>
        </xdr:cNvPr>
        <xdr:cNvPicPr preferRelativeResize="0"/>
      </xdr:nvPicPr>
      <xdr:blipFill>
        <a:blip xmlns:r="http://schemas.openxmlformats.org/officeDocument/2006/relationships" r:embed="rId1" cstate="print"/>
        <a:stretch>
          <a:fillRect/>
        </a:stretch>
      </xdr:blipFill>
      <xdr:spPr>
        <a:xfrm>
          <a:off x="7164705" y="126166245"/>
          <a:ext cx="4019550" cy="457200"/>
        </a:xfrm>
        <a:prstGeom prst="rect">
          <a:avLst/>
        </a:prstGeom>
        <a:noFill/>
      </xdr:spPr>
    </xdr:pic>
    <xdr:clientData fLocksWithSheet="0"/>
  </xdr:oneCellAnchor>
  <xdr:oneCellAnchor>
    <xdr:from>
      <xdr:col>8</xdr:col>
      <xdr:colOff>657225</xdr:colOff>
      <xdr:row>2532</xdr:row>
      <xdr:rowOff>47625</xdr:rowOff>
    </xdr:from>
    <xdr:ext cx="4019550" cy="457200"/>
    <xdr:pic>
      <xdr:nvPicPr>
        <xdr:cNvPr id="58" name="image4.png">
          <a:extLst>
            <a:ext uri="{FF2B5EF4-FFF2-40B4-BE49-F238E27FC236}">
              <a16:creationId xmlns:a16="http://schemas.microsoft.com/office/drawing/2014/main" id="{00000000-0008-0000-1100-00003A000000}"/>
            </a:ext>
          </a:extLst>
        </xdr:cNvPr>
        <xdr:cNvPicPr preferRelativeResize="0"/>
      </xdr:nvPicPr>
      <xdr:blipFill>
        <a:blip xmlns:r="http://schemas.openxmlformats.org/officeDocument/2006/relationships" r:embed="rId1" cstate="print"/>
        <a:stretch>
          <a:fillRect/>
        </a:stretch>
      </xdr:blipFill>
      <xdr:spPr>
        <a:xfrm>
          <a:off x="7164705" y="401027265"/>
          <a:ext cx="4019550" cy="457200"/>
        </a:xfrm>
        <a:prstGeom prst="rect">
          <a:avLst/>
        </a:prstGeom>
        <a:noFill/>
      </xdr:spPr>
    </xdr:pic>
    <xdr:clientData fLocksWithSheet="0"/>
  </xdr:oneCellAnchor>
  <xdr:oneCellAnchor>
    <xdr:from>
      <xdr:col>8</xdr:col>
      <xdr:colOff>657225</xdr:colOff>
      <xdr:row>2587</xdr:row>
      <xdr:rowOff>47625</xdr:rowOff>
    </xdr:from>
    <xdr:ext cx="4019550" cy="457200"/>
    <xdr:pic>
      <xdr:nvPicPr>
        <xdr:cNvPr id="59" name="image4.png">
          <a:extLst>
            <a:ext uri="{FF2B5EF4-FFF2-40B4-BE49-F238E27FC236}">
              <a16:creationId xmlns:a16="http://schemas.microsoft.com/office/drawing/2014/main" id="{00000000-0008-0000-1100-00003B000000}"/>
            </a:ext>
          </a:extLst>
        </xdr:cNvPr>
        <xdr:cNvPicPr preferRelativeResize="0"/>
      </xdr:nvPicPr>
      <xdr:blipFill>
        <a:blip xmlns:r="http://schemas.openxmlformats.org/officeDocument/2006/relationships" r:embed="rId1" cstate="print"/>
        <a:stretch>
          <a:fillRect/>
        </a:stretch>
      </xdr:blipFill>
      <xdr:spPr>
        <a:xfrm>
          <a:off x="7164705" y="410102685"/>
          <a:ext cx="4019550" cy="457200"/>
        </a:xfrm>
        <a:prstGeom prst="rect">
          <a:avLst/>
        </a:prstGeom>
        <a:noFill/>
      </xdr:spPr>
    </xdr:pic>
    <xdr:clientData fLocksWithSheet="0"/>
  </xdr:oneCellAnchor>
  <xdr:oneCellAnchor>
    <xdr:from>
      <xdr:col>8</xdr:col>
      <xdr:colOff>657225</xdr:colOff>
      <xdr:row>2641</xdr:row>
      <xdr:rowOff>47625</xdr:rowOff>
    </xdr:from>
    <xdr:ext cx="4019550" cy="457200"/>
    <xdr:pic>
      <xdr:nvPicPr>
        <xdr:cNvPr id="60" name="image4.png">
          <a:extLst>
            <a:ext uri="{FF2B5EF4-FFF2-40B4-BE49-F238E27FC236}">
              <a16:creationId xmlns:a16="http://schemas.microsoft.com/office/drawing/2014/main" id="{00000000-0008-0000-1100-00003C000000}"/>
            </a:ext>
          </a:extLst>
        </xdr:cNvPr>
        <xdr:cNvPicPr preferRelativeResize="0"/>
      </xdr:nvPicPr>
      <xdr:blipFill>
        <a:blip xmlns:r="http://schemas.openxmlformats.org/officeDocument/2006/relationships" r:embed="rId1" cstate="print"/>
        <a:stretch>
          <a:fillRect/>
        </a:stretch>
      </xdr:blipFill>
      <xdr:spPr>
        <a:xfrm>
          <a:off x="7164705" y="435820185"/>
          <a:ext cx="4019550" cy="457200"/>
        </a:xfrm>
        <a:prstGeom prst="rect">
          <a:avLst/>
        </a:prstGeom>
        <a:noFill/>
      </xdr:spPr>
    </xdr:pic>
    <xdr:clientData fLocksWithSheet="0"/>
  </xdr:oneCellAnchor>
  <xdr:oneCellAnchor>
    <xdr:from>
      <xdr:col>8</xdr:col>
      <xdr:colOff>657225</xdr:colOff>
      <xdr:row>2690</xdr:row>
      <xdr:rowOff>47625</xdr:rowOff>
    </xdr:from>
    <xdr:ext cx="4019550" cy="457200"/>
    <xdr:pic>
      <xdr:nvPicPr>
        <xdr:cNvPr id="61" name="image4.png">
          <a:extLst>
            <a:ext uri="{FF2B5EF4-FFF2-40B4-BE49-F238E27FC236}">
              <a16:creationId xmlns:a16="http://schemas.microsoft.com/office/drawing/2014/main" id="{00000000-0008-0000-1100-00003D000000}"/>
            </a:ext>
          </a:extLst>
        </xdr:cNvPr>
        <xdr:cNvPicPr preferRelativeResize="0"/>
      </xdr:nvPicPr>
      <xdr:blipFill>
        <a:blip xmlns:r="http://schemas.openxmlformats.org/officeDocument/2006/relationships" r:embed="rId1" cstate="print"/>
        <a:stretch>
          <a:fillRect/>
        </a:stretch>
      </xdr:blipFill>
      <xdr:spPr>
        <a:xfrm>
          <a:off x="7164705" y="286734885"/>
          <a:ext cx="4019550" cy="457200"/>
        </a:xfrm>
        <a:prstGeom prst="rect">
          <a:avLst/>
        </a:prstGeom>
        <a:noFill/>
      </xdr:spPr>
    </xdr:pic>
    <xdr:clientData fLocksWithSheet="0"/>
  </xdr:oneCellAnchor>
  <xdr:oneCellAnchor>
    <xdr:from>
      <xdr:col>8</xdr:col>
      <xdr:colOff>657225</xdr:colOff>
      <xdr:row>2744</xdr:row>
      <xdr:rowOff>47625</xdr:rowOff>
    </xdr:from>
    <xdr:ext cx="4019550" cy="457200"/>
    <xdr:pic>
      <xdr:nvPicPr>
        <xdr:cNvPr id="63" name="image4.png">
          <a:extLst>
            <a:ext uri="{FF2B5EF4-FFF2-40B4-BE49-F238E27FC236}">
              <a16:creationId xmlns:a16="http://schemas.microsoft.com/office/drawing/2014/main" id="{00000000-0008-0000-1100-00003F000000}"/>
            </a:ext>
          </a:extLst>
        </xdr:cNvPr>
        <xdr:cNvPicPr preferRelativeResize="0"/>
      </xdr:nvPicPr>
      <xdr:blipFill>
        <a:blip xmlns:r="http://schemas.openxmlformats.org/officeDocument/2006/relationships" r:embed="rId1" cstate="print"/>
        <a:stretch>
          <a:fillRect/>
        </a:stretch>
      </xdr:blipFill>
      <xdr:spPr>
        <a:xfrm>
          <a:off x="7164705" y="426577125"/>
          <a:ext cx="4019550" cy="457200"/>
        </a:xfrm>
        <a:prstGeom prst="rect">
          <a:avLst/>
        </a:prstGeom>
        <a:noFill/>
      </xdr:spPr>
    </xdr:pic>
    <xdr:clientData fLocksWithSheet="0"/>
  </xdr:oneCellAnchor>
  <xdr:oneCellAnchor>
    <xdr:from>
      <xdr:col>8</xdr:col>
      <xdr:colOff>657225</xdr:colOff>
      <xdr:row>2798</xdr:row>
      <xdr:rowOff>47625</xdr:rowOff>
    </xdr:from>
    <xdr:ext cx="4019550" cy="457200"/>
    <xdr:pic>
      <xdr:nvPicPr>
        <xdr:cNvPr id="64" name="image4.png">
          <a:extLst>
            <a:ext uri="{FF2B5EF4-FFF2-40B4-BE49-F238E27FC236}">
              <a16:creationId xmlns:a16="http://schemas.microsoft.com/office/drawing/2014/main" id="{00000000-0008-0000-1100-000040000000}"/>
            </a:ext>
          </a:extLst>
        </xdr:cNvPr>
        <xdr:cNvPicPr preferRelativeResize="0"/>
      </xdr:nvPicPr>
      <xdr:blipFill>
        <a:blip xmlns:r="http://schemas.openxmlformats.org/officeDocument/2006/relationships" r:embed="rId1" cstate="print"/>
        <a:stretch>
          <a:fillRect/>
        </a:stretch>
      </xdr:blipFill>
      <xdr:spPr>
        <a:xfrm>
          <a:off x="7164705" y="462208245"/>
          <a:ext cx="4019550" cy="457200"/>
        </a:xfrm>
        <a:prstGeom prst="rect">
          <a:avLst/>
        </a:prstGeom>
        <a:noFill/>
      </xdr:spPr>
    </xdr:pic>
    <xdr:clientData fLocksWithSheet="0"/>
  </xdr:oneCellAnchor>
  <xdr:oneCellAnchor>
    <xdr:from>
      <xdr:col>8</xdr:col>
      <xdr:colOff>657225</xdr:colOff>
      <xdr:row>2845</xdr:row>
      <xdr:rowOff>47625</xdr:rowOff>
    </xdr:from>
    <xdr:ext cx="4019550" cy="457200"/>
    <xdr:pic>
      <xdr:nvPicPr>
        <xdr:cNvPr id="62" name="image4.png">
          <a:extLst>
            <a:ext uri="{FF2B5EF4-FFF2-40B4-BE49-F238E27FC236}">
              <a16:creationId xmlns:a16="http://schemas.microsoft.com/office/drawing/2014/main" id="{00000000-0008-0000-1100-00003E000000}"/>
            </a:ext>
          </a:extLst>
        </xdr:cNvPr>
        <xdr:cNvPicPr preferRelativeResize="0"/>
      </xdr:nvPicPr>
      <xdr:blipFill>
        <a:blip xmlns:r="http://schemas.openxmlformats.org/officeDocument/2006/relationships" r:embed="rId1" cstate="print"/>
        <a:stretch>
          <a:fillRect/>
        </a:stretch>
      </xdr:blipFill>
      <xdr:spPr>
        <a:xfrm>
          <a:off x="7164705" y="167367585"/>
          <a:ext cx="4019550" cy="457200"/>
        </a:xfrm>
        <a:prstGeom prst="rect">
          <a:avLst/>
        </a:prstGeom>
        <a:noFill/>
      </xdr:spPr>
    </xdr:pic>
    <xdr:clientData fLocksWithSheet="0"/>
  </xdr:oneCellAnchor>
  <xdr:oneCellAnchor>
    <xdr:from>
      <xdr:col>8</xdr:col>
      <xdr:colOff>657225</xdr:colOff>
      <xdr:row>2892</xdr:row>
      <xdr:rowOff>47625</xdr:rowOff>
    </xdr:from>
    <xdr:ext cx="4019550" cy="457200"/>
    <xdr:pic>
      <xdr:nvPicPr>
        <xdr:cNvPr id="65" name="image4.png">
          <a:extLst>
            <a:ext uri="{FF2B5EF4-FFF2-40B4-BE49-F238E27FC236}">
              <a16:creationId xmlns:a16="http://schemas.microsoft.com/office/drawing/2014/main" id="{00000000-0008-0000-1100-000041000000}"/>
            </a:ext>
          </a:extLst>
        </xdr:cNvPr>
        <xdr:cNvPicPr preferRelativeResize="0"/>
      </xdr:nvPicPr>
      <xdr:blipFill>
        <a:blip xmlns:r="http://schemas.openxmlformats.org/officeDocument/2006/relationships" r:embed="rId1" cstate="print"/>
        <a:stretch>
          <a:fillRect/>
        </a:stretch>
      </xdr:blipFill>
      <xdr:spPr>
        <a:xfrm>
          <a:off x="7164705" y="479185605"/>
          <a:ext cx="4019550" cy="457200"/>
        </a:xfrm>
        <a:prstGeom prst="rect">
          <a:avLst/>
        </a:prstGeom>
        <a:noFill/>
      </xdr:spPr>
    </xdr:pic>
    <xdr:clientData fLocksWithSheet="0"/>
  </xdr:oneCellAnchor>
  <xdr:oneCellAnchor>
    <xdr:from>
      <xdr:col>8</xdr:col>
      <xdr:colOff>657225</xdr:colOff>
      <xdr:row>2950</xdr:row>
      <xdr:rowOff>47625</xdr:rowOff>
    </xdr:from>
    <xdr:ext cx="4019550" cy="457200"/>
    <xdr:pic>
      <xdr:nvPicPr>
        <xdr:cNvPr id="66" name="image4.png">
          <a:extLst>
            <a:ext uri="{FF2B5EF4-FFF2-40B4-BE49-F238E27FC236}">
              <a16:creationId xmlns:a16="http://schemas.microsoft.com/office/drawing/2014/main" id="{00000000-0008-0000-1100-000042000000}"/>
            </a:ext>
          </a:extLst>
        </xdr:cNvPr>
        <xdr:cNvPicPr preferRelativeResize="0"/>
      </xdr:nvPicPr>
      <xdr:blipFill>
        <a:blip xmlns:r="http://schemas.openxmlformats.org/officeDocument/2006/relationships" r:embed="rId1" cstate="print"/>
        <a:stretch>
          <a:fillRect/>
        </a:stretch>
      </xdr:blipFill>
      <xdr:spPr>
        <a:xfrm>
          <a:off x="7164705" y="487087545"/>
          <a:ext cx="4019550" cy="457200"/>
        </a:xfrm>
        <a:prstGeom prst="rect">
          <a:avLst/>
        </a:prstGeom>
        <a:noFill/>
      </xdr:spPr>
    </xdr:pic>
    <xdr:clientData fLocksWithSheet="0"/>
  </xdr:oneCellAnchor>
  <xdr:oneCellAnchor>
    <xdr:from>
      <xdr:col>8</xdr:col>
      <xdr:colOff>657225</xdr:colOff>
      <xdr:row>3000</xdr:row>
      <xdr:rowOff>47625</xdr:rowOff>
    </xdr:from>
    <xdr:ext cx="4019550" cy="457200"/>
    <xdr:pic>
      <xdr:nvPicPr>
        <xdr:cNvPr id="67" name="image4.png">
          <a:extLst>
            <a:ext uri="{FF2B5EF4-FFF2-40B4-BE49-F238E27FC236}">
              <a16:creationId xmlns:a16="http://schemas.microsoft.com/office/drawing/2014/main" id="{00000000-0008-0000-1100-000043000000}"/>
            </a:ext>
          </a:extLst>
        </xdr:cNvPr>
        <xdr:cNvPicPr preferRelativeResize="0"/>
      </xdr:nvPicPr>
      <xdr:blipFill>
        <a:blip xmlns:r="http://schemas.openxmlformats.org/officeDocument/2006/relationships" r:embed="rId1" cstate="print"/>
        <a:stretch>
          <a:fillRect/>
        </a:stretch>
      </xdr:blipFill>
      <xdr:spPr>
        <a:xfrm>
          <a:off x="7164705" y="496833525"/>
          <a:ext cx="4019550" cy="45720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14</xdr:col>
      <xdr:colOff>47625</xdr:colOff>
      <xdr:row>4</xdr:row>
      <xdr:rowOff>0</xdr:rowOff>
    </xdr:from>
    <xdr:ext cx="666750" cy="304800"/>
    <xdr:sp macro="" textlink="">
      <xdr:nvSpPr>
        <xdr:cNvPr id="2" name="Shape 9">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flipH="1">
          <a:off x="9782175" y="647700"/>
          <a:ext cx="666750" cy="304800"/>
        </a:xfrm>
        <a:prstGeom prst="roundRect">
          <a:avLst>
            <a:gd name="adj" fmla="val 16667"/>
          </a:avLst>
        </a:prstGeom>
        <a:solidFill>
          <a:srgbClr val="00B050"/>
        </a:solidFill>
        <a:ln w="9525" cap="flat" cmpd="sng">
          <a:solidFill>
            <a:srgbClr val="00000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lt1"/>
            </a:buClr>
            <a:buSzPts val="1000"/>
            <a:buFont typeface="Century Gothic"/>
            <a:buNone/>
          </a:pPr>
          <a:r>
            <a:rPr lang="en-US" sz="1000">
              <a:solidFill>
                <a:schemeClr val="lt1"/>
              </a:solidFill>
              <a:latin typeface="Century Gothic"/>
              <a:ea typeface="Century Gothic"/>
              <a:cs typeface="Century Gothic"/>
              <a:sym typeface="Century Gothic"/>
            </a:rPr>
            <a:t>INICIO</a:t>
          </a:r>
          <a:endParaRPr sz="1400"/>
        </a:p>
      </xdr:txBody>
    </xdr:sp>
    <xdr:clientData fLocksWithSheet="0"/>
  </xdr:oneCellAnchor>
  <xdr:oneCellAnchor>
    <xdr:from>
      <xdr:col>10</xdr:col>
      <xdr:colOff>28575</xdr:colOff>
      <xdr:row>57</xdr:row>
      <xdr:rowOff>76200</xdr:rowOff>
    </xdr:from>
    <xdr:ext cx="3143250" cy="361950"/>
    <xdr:pic>
      <xdr:nvPicPr>
        <xdr:cNvPr id="3" name="image4.png">
          <a:extLst>
            <a:ext uri="{FF2B5EF4-FFF2-40B4-BE49-F238E27FC236}">
              <a16:creationId xmlns:a16="http://schemas.microsoft.com/office/drawing/2014/main" id="{00000000-0008-0000-0800-000003000000}"/>
            </a:ext>
          </a:extLst>
        </xdr:cNvPr>
        <xdr:cNvPicPr preferRelativeResize="0"/>
      </xdr:nvPicPr>
      <xdr:blipFill>
        <a:blip xmlns:r="http://schemas.openxmlformats.org/officeDocument/2006/relationships" r:embed="rId2" cstate="print"/>
        <a:stretch>
          <a:fillRect/>
        </a:stretch>
      </xdr:blipFill>
      <xdr:spPr>
        <a:xfrm>
          <a:off x="6981825" y="9467850"/>
          <a:ext cx="3143250" cy="3619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15</xdr:col>
      <xdr:colOff>76200</xdr:colOff>
      <xdr:row>22</xdr:row>
      <xdr:rowOff>57150</xdr:rowOff>
    </xdr:from>
    <xdr:to>
      <xdr:col>17</xdr:col>
      <xdr:colOff>428625</xdr:colOff>
      <xdr:row>24</xdr:row>
      <xdr:rowOff>66675</xdr:rowOff>
    </xdr:to>
    <xdr:pic>
      <xdr:nvPicPr>
        <xdr:cNvPr id="2" name="Imagen 1">
          <a:extLst>
            <a:ext uri="{FF2B5EF4-FFF2-40B4-BE49-F238E27FC236}">
              <a16:creationId xmlns:a16="http://schemas.microsoft.com/office/drawing/2014/main" id="{E0D574E0-4CC2-4A15-807B-04AED3478503}"/>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2153900" y="4591050"/>
          <a:ext cx="1876425"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114300</xdr:colOff>
      <xdr:row>4</xdr:row>
      <xdr:rowOff>38497</xdr:rowOff>
    </xdr:from>
    <xdr:to>
      <xdr:col>21</xdr:col>
      <xdr:colOff>714375</xdr:colOff>
      <xdr:row>14</xdr:row>
      <xdr:rowOff>113517</xdr:rowOff>
    </xdr:to>
    <xdr:pic>
      <xdr:nvPicPr>
        <xdr:cNvPr id="3" name="Imagen 2">
          <a:extLst>
            <a:ext uri="{FF2B5EF4-FFF2-40B4-BE49-F238E27FC236}">
              <a16:creationId xmlns:a16="http://schemas.microsoft.com/office/drawing/2014/main" id="{19E30453-0AD1-79BE-6669-0531B76BC15A}"/>
            </a:ext>
          </a:extLst>
        </xdr:cNvPr>
        <xdr:cNvPicPr>
          <a:picLocks noChangeAspect="1"/>
        </xdr:cNvPicPr>
      </xdr:nvPicPr>
      <xdr:blipFill>
        <a:blip xmlns:r="http://schemas.openxmlformats.org/officeDocument/2006/relationships" r:embed="rId2"/>
        <a:stretch>
          <a:fillRect/>
        </a:stretch>
      </xdr:blipFill>
      <xdr:spPr>
        <a:xfrm>
          <a:off x="12192000" y="829072"/>
          <a:ext cx="5172075" cy="1732370"/>
        </a:xfrm>
        <a:prstGeom prst="rect">
          <a:avLst/>
        </a:prstGeom>
      </xdr:spPr>
    </xdr:pic>
    <xdr:clientData/>
  </xdr:twoCellAnchor>
  <xdr:twoCellAnchor editAs="oneCell">
    <xdr:from>
      <xdr:col>15</xdr:col>
      <xdr:colOff>200025</xdr:colOff>
      <xdr:row>28</xdr:row>
      <xdr:rowOff>10692</xdr:rowOff>
    </xdr:from>
    <xdr:to>
      <xdr:col>21</xdr:col>
      <xdr:colOff>571500</xdr:colOff>
      <xdr:row>38</xdr:row>
      <xdr:rowOff>67145</xdr:rowOff>
    </xdr:to>
    <xdr:pic>
      <xdr:nvPicPr>
        <xdr:cNvPr id="4" name="Imagen 3">
          <a:extLst>
            <a:ext uri="{FF2B5EF4-FFF2-40B4-BE49-F238E27FC236}">
              <a16:creationId xmlns:a16="http://schemas.microsoft.com/office/drawing/2014/main" id="{F6162663-EAB7-52AE-9C68-89B04FCF2352}"/>
            </a:ext>
          </a:extLst>
        </xdr:cNvPr>
        <xdr:cNvPicPr>
          <a:picLocks noChangeAspect="1"/>
        </xdr:cNvPicPr>
      </xdr:nvPicPr>
      <xdr:blipFill>
        <a:blip xmlns:r="http://schemas.openxmlformats.org/officeDocument/2006/relationships" r:embed="rId3"/>
        <a:stretch>
          <a:fillRect/>
        </a:stretch>
      </xdr:blipFill>
      <xdr:spPr>
        <a:xfrm>
          <a:off x="12277725" y="5163717"/>
          <a:ext cx="4943475" cy="171380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323850</xdr:colOff>
      <xdr:row>0</xdr:row>
      <xdr:rowOff>57150</xdr:rowOff>
    </xdr:from>
    <xdr:to>
      <xdr:col>2</xdr:col>
      <xdr:colOff>1552575</xdr:colOff>
      <xdr:row>0</xdr:row>
      <xdr:rowOff>934811</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52525" y="57150"/>
          <a:ext cx="1228725" cy="877661"/>
        </a:xfrm>
        <a:prstGeom prst="rect">
          <a:avLst/>
        </a:prstGeom>
      </xdr:spPr>
    </xdr:pic>
    <xdr:clientData/>
  </xdr:twoCellAnchor>
  <xdr:oneCellAnchor>
    <xdr:from>
      <xdr:col>1</xdr:col>
      <xdr:colOff>608052</xdr:colOff>
      <xdr:row>68</xdr:row>
      <xdr:rowOff>0</xdr:rowOff>
    </xdr:from>
    <xdr:ext cx="184731" cy="264560"/>
    <xdr:sp macro="" textlink="">
      <xdr:nvSpPr>
        <xdr:cNvPr id="3" name="673 CuadroTexto">
          <a:extLst>
            <a:ext uri="{FF2B5EF4-FFF2-40B4-BE49-F238E27FC236}">
              <a16:creationId xmlns:a16="http://schemas.microsoft.com/office/drawing/2014/main" id="{00000000-0008-0000-0900-000003000000}"/>
            </a:ext>
          </a:extLst>
        </xdr:cNvPr>
        <xdr:cNvSpPr txBox="1"/>
      </xdr:nvSpPr>
      <xdr:spPr>
        <a:xfrm>
          <a:off x="827127"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4" name="919 CuadroTexto">
          <a:extLst>
            <a:ext uri="{FF2B5EF4-FFF2-40B4-BE49-F238E27FC236}">
              <a16:creationId xmlns:a16="http://schemas.microsoft.com/office/drawing/2014/main" id="{00000000-0008-0000-0900-000004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5" name="921 CuadroTexto">
          <a:extLst>
            <a:ext uri="{FF2B5EF4-FFF2-40B4-BE49-F238E27FC236}">
              <a16:creationId xmlns:a16="http://schemas.microsoft.com/office/drawing/2014/main" id="{00000000-0008-0000-0900-000005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6" name="995 CuadroTexto">
          <a:extLst>
            <a:ext uri="{FF2B5EF4-FFF2-40B4-BE49-F238E27FC236}">
              <a16:creationId xmlns:a16="http://schemas.microsoft.com/office/drawing/2014/main" id="{00000000-0008-0000-0900-000006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7" name="997 CuadroTexto">
          <a:extLst>
            <a:ext uri="{FF2B5EF4-FFF2-40B4-BE49-F238E27FC236}">
              <a16:creationId xmlns:a16="http://schemas.microsoft.com/office/drawing/2014/main" id="{00000000-0008-0000-0900-000007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68</xdr:row>
      <xdr:rowOff>0</xdr:rowOff>
    </xdr:from>
    <xdr:ext cx="184731" cy="264560"/>
    <xdr:sp macro="" textlink="">
      <xdr:nvSpPr>
        <xdr:cNvPr id="8" name="1940 CuadroTexto">
          <a:extLst>
            <a:ext uri="{FF2B5EF4-FFF2-40B4-BE49-F238E27FC236}">
              <a16:creationId xmlns:a16="http://schemas.microsoft.com/office/drawing/2014/main" id="{00000000-0008-0000-0900-000008000000}"/>
            </a:ext>
          </a:extLst>
        </xdr:cNvPr>
        <xdr:cNvSpPr txBox="1"/>
      </xdr:nvSpPr>
      <xdr:spPr>
        <a:xfrm>
          <a:off x="827127"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9" name="2584 CuadroTexto">
          <a:extLst>
            <a:ext uri="{FF2B5EF4-FFF2-40B4-BE49-F238E27FC236}">
              <a16:creationId xmlns:a16="http://schemas.microsoft.com/office/drawing/2014/main" id="{00000000-0008-0000-0900-000009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0" name="2585 CuadroTexto">
          <a:extLst>
            <a:ext uri="{FF2B5EF4-FFF2-40B4-BE49-F238E27FC236}">
              <a16:creationId xmlns:a16="http://schemas.microsoft.com/office/drawing/2014/main" id="{00000000-0008-0000-0900-00000A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1" name="2586 CuadroTexto">
          <a:extLst>
            <a:ext uri="{FF2B5EF4-FFF2-40B4-BE49-F238E27FC236}">
              <a16:creationId xmlns:a16="http://schemas.microsoft.com/office/drawing/2014/main" id="{00000000-0008-0000-0900-00000B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2" name="2587 CuadroTexto">
          <a:extLst>
            <a:ext uri="{FF2B5EF4-FFF2-40B4-BE49-F238E27FC236}">
              <a16:creationId xmlns:a16="http://schemas.microsoft.com/office/drawing/2014/main" id="{00000000-0008-0000-0900-00000C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3" name="2588 CuadroTexto">
          <a:extLst>
            <a:ext uri="{FF2B5EF4-FFF2-40B4-BE49-F238E27FC236}">
              <a16:creationId xmlns:a16="http://schemas.microsoft.com/office/drawing/2014/main" id="{00000000-0008-0000-0900-00000D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4" name="2589 CuadroTexto">
          <a:extLst>
            <a:ext uri="{FF2B5EF4-FFF2-40B4-BE49-F238E27FC236}">
              <a16:creationId xmlns:a16="http://schemas.microsoft.com/office/drawing/2014/main" id="{00000000-0008-0000-0900-00000E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5" name="240 CuadroTexto">
          <a:extLst>
            <a:ext uri="{FF2B5EF4-FFF2-40B4-BE49-F238E27FC236}">
              <a16:creationId xmlns:a16="http://schemas.microsoft.com/office/drawing/2014/main" id="{00000000-0008-0000-0900-00000F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6" name="241 CuadroTexto">
          <a:extLst>
            <a:ext uri="{FF2B5EF4-FFF2-40B4-BE49-F238E27FC236}">
              <a16:creationId xmlns:a16="http://schemas.microsoft.com/office/drawing/2014/main" id="{00000000-0008-0000-0900-000010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7" name="246 CuadroTexto">
          <a:extLst>
            <a:ext uri="{FF2B5EF4-FFF2-40B4-BE49-F238E27FC236}">
              <a16:creationId xmlns:a16="http://schemas.microsoft.com/office/drawing/2014/main" id="{00000000-0008-0000-0900-000011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8" name="247 CuadroTexto">
          <a:extLst>
            <a:ext uri="{FF2B5EF4-FFF2-40B4-BE49-F238E27FC236}">
              <a16:creationId xmlns:a16="http://schemas.microsoft.com/office/drawing/2014/main" id="{00000000-0008-0000-0900-000012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9" name="248 CuadroTexto">
          <a:extLst>
            <a:ext uri="{FF2B5EF4-FFF2-40B4-BE49-F238E27FC236}">
              <a16:creationId xmlns:a16="http://schemas.microsoft.com/office/drawing/2014/main" id="{00000000-0008-0000-0900-000013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20" name="249 CuadroTexto">
          <a:extLst>
            <a:ext uri="{FF2B5EF4-FFF2-40B4-BE49-F238E27FC236}">
              <a16:creationId xmlns:a16="http://schemas.microsoft.com/office/drawing/2014/main" id="{00000000-0008-0000-0900-000014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68</xdr:row>
      <xdr:rowOff>0</xdr:rowOff>
    </xdr:from>
    <xdr:ext cx="184731" cy="264560"/>
    <xdr:sp macro="" textlink="">
      <xdr:nvSpPr>
        <xdr:cNvPr id="21" name="673 CuadroTexto">
          <a:extLst>
            <a:ext uri="{FF2B5EF4-FFF2-40B4-BE49-F238E27FC236}">
              <a16:creationId xmlns:a16="http://schemas.microsoft.com/office/drawing/2014/main" id="{00000000-0008-0000-0900-000015000000}"/>
            </a:ext>
          </a:extLst>
        </xdr:cNvPr>
        <xdr:cNvSpPr txBox="1"/>
      </xdr:nvSpPr>
      <xdr:spPr>
        <a:xfrm>
          <a:off x="827127"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22" name="919 CuadroTexto">
          <a:extLst>
            <a:ext uri="{FF2B5EF4-FFF2-40B4-BE49-F238E27FC236}">
              <a16:creationId xmlns:a16="http://schemas.microsoft.com/office/drawing/2014/main" id="{00000000-0008-0000-0900-000016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23" name="921 CuadroTexto">
          <a:extLst>
            <a:ext uri="{FF2B5EF4-FFF2-40B4-BE49-F238E27FC236}">
              <a16:creationId xmlns:a16="http://schemas.microsoft.com/office/drawing/2014/main" id="{00000000-0008-0000-0900-000017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24" name="995 CuadroTexto">
          <a:extLst>
            <a:ext uri="{FF2B5EF4-FFF2-40B4-BE49-F238E27FC236}">
              <a16:creationId xmlns:a16="http://schemas.microsoft.com/office/drawing/2014/main" id="{00000000-0008-0000-0900-000018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25" name="997 CuadroTexto">
          <a:extLst>
            <a:ext uri="{FF2B5EF4-FFF2-40B4-BE49-F238E27FC236}">
              <a16:creationId xmlns:a16="http://schemas.microsoft.com/office/drawing/2014/main" id="{00000000-0008-0000-0900-000019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68</xdr:row>
      <xdr:rowOff>0</xdr:rowOff>
    </xdr:from>
    <xdr:ext cx="184731" cy="264560"/>
    <xdr:sp macro="" textlink="">
      <xdr:nvSpPr>
        <xdr:cNvPr id="26" name="1940 CuadroTexto">
          <a:extLst>
            <a:ext uri="{FF2B5EF4-FFF2-40B4-BE49-F238E27FC236}">
              <a16:creationId xmlns:a16="http://schemas.microsoft.com/office/drawing/2014/main" id="{00000000-0008-0000-0900-00001A000000}"/>
            </a:ext>
          </a:extLst>
        </xdr:cNvPr>
        <xdr:cNvSpPr txBox="1"/>
      </xdr:nvSpPr>
      <xdr:spPr>
        <a:xfrm>
          <a:off x="827127"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27" name="2584 CuadroTexto">
          <a:extLst>
            <a:ext uri="{FF2B5EF4-FFF2-40B4-BE49-F238E27FC236}">
              <a16:creationId xmlns:a16="http://schemas.microsoft.com/office/drawing/2014/main" id="{00000000-0008-0000-0900-00001B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28" name="2585 CuadroTexto">
          <a:extLst>
            <a:ext uri="{FF2B5EF4-FFF2-40B4-BE49-F238E27FC236}">
              <a16:creationId xmlns:a16="http://schemas.microsoft.com/office/drawing/2014/main" id="{00000000-0008-0000-0900-00001C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29" name="2586 CuadroTexto">
          <a:extLst>
            <a:ext uri="{FF2B5EF4-FFF2-40B4-BE49-F238E27FC236}">
              <a16:creationId xmlns:a16="http://schemas.microsoft.com/office/drawing/2014/main" id="{00000000-0008-0000-0900-00001D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30" name="2587 CuadroTexto">
          <a:extLst>
            <a:ext uri="{FF2B5EF4-FFF2-40B4-BE49-F238E27FC236}">
              <a16:creationId xmlns:a16="http://schemas.microsoft.com/office/drawing/2014/main" id="{00000000-0008-0000-0900-00001E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31" name="2588 CuadroTexto">
          <a:extLst>
            <a:ext uri="{FF2B5EF4-FFF2-40B4-BE49-F238E27FC236}">
              <a16:creationId xmlns:a16="http://schemas.microsoft.com/office/drawing/2014/main" id="{00000000-0008-0000-0900-00001F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32" name="2589 CuadroTexto">
          <a:extLst>
            <a:ext uri="{FF2B5EF4-FFF2-40B4-BE49-F238E27FC236}">
              <a16:creationId xmlns:a16="http://schemas.microsoft.com/office/drawing/2014/main" id="{00000000-0008-0000-0900-000020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33" name="240 CuadroTexto">
          <a:extLst>
            <a:ext uri="{FF2B5EF4-FFF2-40B4-BE49-F238E27FC236}">
              <a16:creationId xmlns:a16="http://schemas.microsoft.com/office/drawing/2014/main" id="{00000000-0008-0000-0900-000021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34" name="241 CuadroTexto">
          <a:extLst>
            <a:ext uri="{FF2B5EF4-FFF2-40B4-BE49-F238E27FC236}">
              <a16:creationId xmlns:a16="http://schemas.microsoft.com/office/drawing/2014/main" id="{00000000-0008-0000-0900-000022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35" name="246 CuadroTexto">
          <a:extLst>
            <a:ext uri="{FF2B5EF4-FFF2-40B4-BE49-F238E27FC236}">
              <a16:creationId xmlns:a16="http://schemas.microsoft.com/office/drawing/2014/main" id="{00000000-0008-0000-0900-000023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36" name="247 CuadroTexto">
          <a:extLst>
            <a:ext uri="{FF2B5EF4-FFF2-40B4-BE49-F238E27FC236}">
              <a16:creationId xmlns:a16="http://schemas.microsoft.com/office/drawing/2014/main" id="{00000000-0008-0000-0900-000024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37" name="248 CuadroTexto">
          <a:extLst>
            <a:ext uri="{FF2B5EF4-FFF2-40B4-BE49-F238E27FC236}">
              <a16:creationId xmlns:a16="http://schemas.microsoft.com/office/drawing/2014/main" id="{00000000-0008-0000-0900-000025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38" name="249 CuadroTexto">
          <a:extLst>
            <a:ext uri="{FF2B5EF4-FFF2-40B4-BE49-F238E27FC236}">
              <a16:creationId xmlns:a16="http://schemas.microsoft.com/office/drawing/2014/main" id="{00000000-0008-0000-0900-000026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39" name="2429 CuadroTexto">
          <a:extLst>
            <a:ext uri="{FF2B5EF4-FFF2-40B4-BE49-F238E27FC236}">
              <a16:creationId xmlns:a16="http://schemas.microsoft.com/office/drawing/2014/main" id="{00000000-0008-0000-0900-000027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40" name="2430 CuadroTexto">
          <a:extLst>
            <a:ext uri="{FF2B5EF4-FFF2-40B4-BE49-F238E27FC236}">
              <a16:creationId xmlns:a16="http://schemas.microsoft.com/office/drawing/2014/main" id="{00000000-0008-0000-0900-000028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41" name="2431 CuadroTexto">
          <a:extLst>
            <a:ext uri="{FF2B5EF4-FFF2-40B4-BE49-F238E27FC236}">
              <a16:creationId xmlns:a16="http://schemas.microsoft.com/office/drawing/2014/main" id="{00000000-0008-0000-0900-000029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42" name="2432 CuadroTexto">
          <a:extLst>
            <a:ext uri="{FF2B5EF4-FFF2-40B4-BE49-F238E27FC236}">
              <a16:creationId xmlns:a16="http://schemas.microsoft.com/office/drawing/2014/main" id="{00000000-0008-0000-0900-00002A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43" name="2433 CuadroTexto">
          <a:extLst>
            <a:ext uri="{FF2B5EF4-FFF2-40B4-BE49-F238E27FC236}">
              <a16:creationId xmlns:a16="http://schemas.microsoft.com/office/drawing/2014/main" id="{00000000-0008-0000-0900-00002B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44" name="2434 CuadroTexto">
          <a:extLst>
            <a:ext uri="{FF2B5EF4-FFF2-40B4-BE49-F238E27FC236}">
              <a16:creationId xmlns:a16="http://schemas.microsoft.com/office/drawing/2014/main" id="{00000000-0008-0000-0900-00002C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45" name="2584 CuadroTexto">
          <a:extLst>
            <a:ext uri="{FF2B5EF4-FFF2-40B4-BE49-F238E27FC236}">
              <a16:creationId xmlns:a16="http://schemas.microsoft.com/office/drawing/2014/main" id="{00000000-0008-0000-0900-00002D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46" name="2585 CuadroTexto">
          <a:extLst>
            <a:ext uri="{FF2B5EF4-FFF2-40B4-BE49-F238E27FC236}">
              <a16:creationId xmlns:a16="http://schemas.microsoft.com/office/drawing/2014/main" id="{00000000-0008-0000-0900-00002E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47" name="2586 CuadroTexto">
          <a:extLst>
            <a:ext uri="{FF2B5EF4-FFF2-40B4-BE49-F238E27FC236}">
              <a16:creationId xmlns:a16="http://schemas.microsoft.com/office/drawing/2014/main" id="{00000000-0008-0000-0900-00002F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48" name="2587 CuadroTexto">
          <a:extLst>
            <a:ext uri="{FF2B5EF4-FFF2-40B4-BE49-F238E27FC236}">
              <a16:creationId xmlns:a16="http://schemas.microsoft.com/office/drawing/2014/main" id="{00000000-0008-0000-0900-000030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49" name="2588 CuadroTexto">
          <a:extLst>
            <a:ext uri="{FF2B5EF4-FFF2-40B4-BE49-F238E27FC236}">
              <a16:creationId xmlns:a16="http://schemas.microsoft.com/office/drawing/2014/main" id="{00000000-0008-0000-0900-000031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50" name="2589 CuadroTexto">
          <a:extLst>
            <a:ext uri="{FF2B5EF4-FFF2-40B4-BE49-F238E27FC236}">
              <a16:creationId xmlns:a16="http://schemas.microsoft.com/office/drawing/2014/main" id="{00000000-0008-0000-0900-000032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51" name="240 CuadroTexto">
          <a:extLst>
            <a:ext uri="{FF2B5EF4-FFF2-40B4-BE49-F238E27FC236}">
              <a16:creationId xmlns:a16="http://schemas.microsoft.com/office/drawing/2014/main" id="{00000000-0008-0000-0900-000033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52" name="241 CuadroTexto">
          <a:extLst>
            <a:ext uri="{FF2B5EF4-FFF2-40B4-BE49-F238E27FC236}">
              <a16:creationId xmlns:a16="http://schemas.microsoft.com/office/drawing/2014/main" id="{00000000-0008-0000-0900-000034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53" name="246 CuadroTexto">
          <a:extLst>
            <a:ext uri="{FF2B5EF4-FFF2-40B4-BE49-F238E27FC236}">
              <a16:creationId xmlns:a16="http://schemas.microsoft.com/office/drawing/2014/main" id="{00000000-0008-0000-0900-000035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54" name="247 CuadroTexto">
          <a:extLst>
            <a:ext uri="{FF2B5EF4-FFF2-40B4-BE49-F238E27FC236}">
              <a16:creationId xmlns:a16="http://schemas.microsoft.com/office/drawing/2014/main" id="{00000000-0008-0000-0900-000036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55" name="248 CuadroTexto">
          <a:extLst>
            <a:ext uri="{FF2B5EF4-FFF2-40B4-BE49-F238E27FC236}">
              <a16:creationId xmlns:a16="http://schemas.microsoft.com/office/drawing/2014/main" id="{00000000-0008-0000-0900-000037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56" name="249 CuadroTexto">
          <a:extLst>
            <a:ext uri="{FF2B5EF4-FFF2-40B4-BE49-F238E27FC236}">
              <a16:creationId xmlns:a16="http://schemas.microsoft.com/office/drawing/2014/main" id="{00000000-0008-0000-0900-000038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57" name="2429 CuadroTexto">
          <a:extLst>
            <a:ext uri="{FF2B5EF4-FFF2-40B4-BE49-F238E27FC236}">
              <a16:creationId xmlns:a16="http://schemas.microsoft.com/office/drawing/2014/main" id="{00000000-0008-0000-0900-000039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58" name="2430 CuadroTexto">
          <a:extLst>
            <a:ext uri="{FF2B5EF4-FFF2-40B4-BE49-F238E27FC236}">
              <a16:creationId xmlns:a16="http://schemas.microsoft.com/office/drawing/2014/main" id="{00000000-0008-0000-0900-00003A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59" name="2431 CuadroTexto">
          <a:extLst>
            <a:ext uri="{FF2B5EF4-FFF2-40B4-BE49-F238E27FC236}">
              <a16:creationId xmlns:a16="http://schemas.microsoft.com/office/drawing/2014/main" id="{00000000-0008-0000-0900-00003B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60" name="2432 CuadroTexto">
          <a:extLst>
            <a:ext uri="{FF2B5EF4-FFF2-40B4-BE49-F238E27FC236}">
              <a16:creationId xmlns:a16="http://schemas.microsoft.com/office/drawing/2014/main" id="{00000000-0008-0000-0900-00003C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61" name="2433 CuadroTexto">
          <a:extLst>
            <a:ext uri="{FF2B5EF4-FFF2-40B4-BE49-F238E27FC236}">
              <a16:creationId xmlns:a16="http://schemas.microsoft.com/office/drawing/2014/main" id="{00000000-0008-0000-0900-00003D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62" name="2434 CuadroTexto">
          <a:extLst>
            <a:ext uri="{FF2B5EF4-FFF2-40B4-BE49-F238E27FC236}">
              <a16:creationId xmlns:a16="http://schemas.microsoft.com/office/drawing/2014/main" id="{00000000-0008-0000-0900-00003E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63" name="2584 CuadroTexto">
          <a:extLst>
            <a:ext uri="{FF2B5EF4-FFF2-40B4-BE49-F238E27FC236}">
              <a16:creationId xmlns:a16="http://schemas.microsoft.com/office/drawing/2014/main" id="{00000000-0008-0000-0900-00003F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64" name="2585 CuadroTexto">
          <a:extLst>
            <a:ext uri="{FF2B5EF4-FFF2-40B4-BE49-F238E27FC236}">
              <a16:creationId xmlns:a16="http://schemas.microsoft.com/office/drawing/2014/main" id="{00000000-0008-0000-0900-000040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65" name="2586 CuadroTexto">
          <a:extLst>
            <a:ext uri="{FF2B5EF4-FFF2-40B4-BE49-F238E27FC236}">
              <a16:creationId xmlns:a16="http://schemas.microsoft.com/office/drawing/2014/main" id="{00000000-0008-0000-0900-000041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66" name="2587 CuadroTexto">
          <a:extLst>
            <a:ext uri="{FF2B5EF4-FFF2-40B4-BE49-F238E27FC236}">
              <a16:creationId xmlns:a16="http://schemas.microsoft.com/office/drawing/2014/main" id="{00000000-0008-0000-0900-000042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67" name="2588 CuadroTexto">
          <a:extLst>
            <a:ext uri="{FF2B5EF4-FFF2-40B4-BE49-F238E27FC236}">
              <a16:creationId xmlns:a16="http://schemas.microsoft.com/office/drawing/2014/main" id="{00000000-0008-0000-0900-000043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68" name="2589 CuadroTexto">
          <a:extLst>
            <a:ext uri="{FF2B5EF4-FFF2-40B4-BE49-F238E27FC236}">
              <a16:creationId xmlns:a16="http://schemas.microsoft.com/office/drawing/2014/main" id="{00000000-0008-0000-0900-000044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69" name="240 CuadroTexto">
          <a:extLst>
            <a:ext uri="{FF2B5EF4-FFF2-40B4-BE49-F238E27FC236}">
              <a16:creationId xmlns:a16="http://schemas.microsoft.com/office/drawing/2014/main" id="{00000000-0008-0000-0900-000045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70" name="241 CuadroTexto">
          <a:extLst>
            <a:ext uri="{FF2B5EF4-FFF2-40B4-BE49-F238E27FC236}">
              <a16:creationId xmlns:a16="http://schemas.microsoft.com/office/drawing/2014/main" id="{00000000-0008-0000-0900-000046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71" name="246 CuadroTexto">
          <a:extLst>
            <a:ext uri="{FF2B5EF4-FFF2-40B4-BE49-F238E27FC236}">
              <a16:creationId xmlns:a16="http://schemas.microsoft.com/office/drawing/2014/main" id="{00000000-0008-0000-0900-000047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72" name="247 CuadroTexto">
          <a:extLst>
            <a:ext uri="{FF2B5EF4-FFF2-40B4-BE49-F238E27FC236}">
              <a16:creationId xmlns:a16="http://schemas.microsoft.com/office/drawing/2014/main" id="{00000000-0008-0000-0900-000048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73" name="248 CuadroTexto">
          <a:extLst>
            <a:ext uri="{FF2B5EF4-FFF2-40B4-BE49-F238E27FC236}">
              <a16:creationId xmlns:a16="http://schemas.microsoft.com/office/drawing/2014/main" id="{00000000-0008-0000-0900-000049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74" name="249 CuadroTexto">
          <a:extLst>
            <a:ext uri="{FF2B5EF4-FFF2-40B4-BE49-F238E27FC236}">
              <a16:creationId xmlns:a16="http://schemas.microsoft.com/office/drawing/2014/main" id="{00000000-0008-0000-0900-00004A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70</xdr:row>
      <xdr:rowOff>0</xdr:rowOff>
    </xdr:from>
    <xdr:ext cx="184731" cy="264560"/>
    <xdr:sp macro="" textlink="">
      <xdr:nvSpPr>
        <xdr:cNvPr id="75" name="673 CuadroTexto">
          <a:extLst>
            <a:ext uri="{FF2B5EF4-FFF2-40B4-BE49-F238E27FC236}">
              <a16:creationId xmlns:a16="http://schemas.microsoft.com/office/drawing/2014/main" id="{00000000-0008-0000-0900-00004B000000}"/>
            </a:ext>
          </a:extLst>
        </xdr:cNvPr>
        <xdr:cNvSpPr txBox="1"/>
      </xdr:nvSpPr>
      <xdr:spPr>
        <a:xfrm>
          <a:off x="827127"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76" name="919 CuadroTexto">
          <a:extLst>
            <a:ext uri="{FF2B5EF4-FFF2-40B4-BE49-F238E27FC236}">
              <a16:creationId xmlns:a16="http://schemas.microsoft.com/office/drawing/2014/main" id="{00000000-0008-0000-0900-00004C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77" name="921 CuadroTexto">
          <a:extLst>
            <a:ext uri="{FF2B5EF4-FFF2-40B4-BE49-F238E27FC236}">
              <a16:creationId xmlns:a16="http://schemas.microsoft.com/office/drawing/2014/main" id="{00000000-0008-0000-0900-00004D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78" name="995 CuadroTexto">
          <a:extLst>
            <a:ext uri="{FF2B5EF4-FFF2-40B4-BE49-F238E27FC236}">
              <a16:creationId xmlns:a16="http://schemas.microsoft.com/office/drawing/2014/main" id="{00000000-0008-0000-0900-00004E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608052</xdr:colOff>
      <xdr:row>70</xdr:row>
      <xdr:rowOff>0</xdr:rowOff>
    </xdr:from>
    <xdr:ext cx="184731" cy="264560"/>
    <xdr:sp macro="" textlink="">
      <xdr:nvSpPr>
        <xdr:cNvPr id="79" name="1940 CuadroTexto">
          <a:extLst>
            <a:ext uri="{FF2B5EF4-FFF2-40B4-BE49-F238E27FC236}">
              <a16:creationId xmlns:a16="http://schemas.microsoft.com/office/drawing/2014/main" id="{00000000-0008-0000-0900-00004F000000}"/>
            </a:ext>
          </a:extLst>
        </xdr:cNvPr>
        <xdr:cNvSpPr txBox="1"/>
      </xdr:nvSpPr>
      <xdr:spPr>
        <a:xfrm>
          <a:off x="827127"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twoCellAnchor>
    <xdr:from>
      <xdr:col>2</xdr:col>
      <xdr:colOff>520023</xdr:colOff>
      <xdr:row>69</xdr:row>
      <xdr:rowOff>2388</xdr:rowOff>
    </xdr:from>
    <xdr:to>
      <xdr:col>2</xdr:col>
      <xdr:colOff>520818</xdr:colOff>
      <xdr:row>69</xdr:row>
      <xdr:rowOff>2388</xdr:rowOff>
    </xdr:to>
    <xdr:cxnSp macro="">
      <xdr:nvCxnSpPr>
        <xdr:cNvPr id="80" name="1888 Conector recto">
          <a:extLst>
            <a:ext uri="{FF2B5EF4-FFF2-40B4-BE49-F238E27FC236}">
              <a16:creationId xmlns:a16="http://schemas.microsoft.com/office/drawing/2014/main" id="{00000000-0008-0000-0900-000050000000}"/>
            </a:ext>
          </a:extLst>
        </xdr:cNvPr>
        <xdr:cNvCxnSpPr/>
      </xdr:nvCxnSpPr>
      <xdr:spPr>
        <a:xfrm rot="5400000">
          <a:off x="1349096" y="178843390"/>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1627</xdr:colOff>
      <xdr:row>70</xdr:row>
      <xdr:rowOff>0</xdr:rowOff>
    </xdr:from>
    <xdr:ext cx="184731" cy="264560"/>
    <xdr:sp macro="" textlink="">
      <xdr:nvSpPr>
        <xdr:cNvPr id="81" name="2584 CuadroTexto">
          <a:extLst>
            <a:ext uri="{FF2B5EF4-FFF2-40B4-BE49-F238E27FC236}">
              <a16:creationId xmlns:a16="http://schemas.microsoft.com/office/drawing/2014/main" id="{00000000-0008-0000-0900-000051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82" name="2585 CuadroTexto">
          <a:extLst>
            <a:ext uri="{FF2B5EF4-FFF2-40B4-BE49-F238E27FC236}">
              <a16:creationId xmlns:a16="http://schemas.microsoft.com/office/drawing/2014/main" id="{00000000-0008-0000-0900-000052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83" name="2586 CuadroTexto">
          <a:extLst>
            <a:ext uri="{FF2B5EF4-FFF2-40B4-BE49-F238E27FC236}">
              <a16:creationId xmlns:a16="http://schemas.microsoft.com/office/drawing/2014/main" id="{00000000-0008-0000-0900-000053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84" name="2587 CuadroTexto">
          <a:extLst>
            <a:ext uri="{FF2B5EF4-FFF2-40B4-BE49-F238E27FC236}">
              <a16:creationId xmlns:a16="http://schemas.microsoft.com/office/drawing/2014/main" id="{00000000-0008-0000-0900-000054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85" name="2588 CuadroTexto">
          <a:extLst>
            <a:ext uri="{FF2B5EF4-FFF2-40B4-BE49-F238E27FC236}">
              <a16:creationId xmlns:a16="http://schemas.microsoft.com/office/drawing/2014/main" id="{00000000-0008-0000-0900-000055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86" name="2589 CuadroTexto">
          <a:extLst>
            <a:ext uri="{FF2B5EF4-FFF2-40B4-BE49-F238E27FC236}">
              <a16:creationId xmlns:a16="http://schemas.microsoft.com/office/drawing/2014/main" id="{00000000-0008-0000-0900-000056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87" name="240 CuadroTexto">
          <a:extLst>
            <a:ext uri="{FF2B5EF4-FFF2-40B4-BE49-F238E27FC236}">
              <a16:creationId xmlns:a16="http://schemas.microsoft.com/office/drawing/2014/main" id="{00000000-0008-0000-0900-000057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88" name="241 CuadroTexto">
          <a:extLst>
            <a:ext uri="{FF2B5EF4-FFF2-40B4-BE49-F238E27FC236}">
              <a16:creationId xmlns:a16="http://schemas.microsoft.com/office/drawing/2014/main" id="{00000000-0008-0000-0900-000058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89" name="246 CuadroTexto">
          <a:extLst>
            <a:ext uri="{FF2B5EF4-FFF2-40B4-BE49-F238E27FC236}">
              <a16:creationId xmlns:a16="http://schemas.microsoft.com/office/drawing/2014/main" id="{00000000-0008-0000-0900-000059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90" name="2584 CuadroTexto">
          <a:extLst>
            <a:ext uri="{FF2B5EF4-FFF2-40B4-BE49-F238E27FC236}">
              <a16:creationId xmlns:a16="http://schemas.microsoft.com/office/drawing/2014/main" id="{00000000-0008-0000-0900-00005A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91" name="2585 CuadroTexto">
          <a:extLst>
            <a:ext uri="{FF2B5EF4-FFF2-40B4-BE49-F238E27FC236}">
              <a16:creationId xmlns:a16="http://schemas.microsoft.com/office/drawing/2014/main" id="{00000000-0008-0000-0900-00005B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92" name="2586 CuadroTexto">
          <a:extLst>
            <a:ext uri="{FF2B5EF4-FFF2-40B4-BE49-F238E27FC236}">
              <a16:creationId xmlns:a16="http://schemas.microsoft.com/office/drawing/2014/main" id="{00000000-0008-0000-0900-00005C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93" name="2587 CuadroTexto">
          <a:extLst>
            <a:ext uri="{FF2B5EF4-FFF2-40B4-BE49-F238E27FC236}">
              <a16:creationId xmlns:a16="http://schemas.microsoft.com/office/drawing/2014/main" id="{00000000-0008-0000-0900-00005D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94" name="2588 CuadroTexto">
          <a:extLst>
            <a:ext uri="{FF2B5EF4-FFF2-40B4-BE49-F238E27FC236}">
              <a16:creationId xmlns:a16="http://schemas.microsoft.com/office/drawing/2014/main" id="{00000000-0008-0000-0900-00005E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95" name="2589 CuadroTexto">
          <a:extLst>
            <a:ext uri="{FF2B5EF4-FFF2-40B4-BE49-F238E27FC236}">
              <a16:creationId xmlns:a16="http://schemas.microsoft.com/office/drawing/2014/main" id="{00000000-0008-0000-0900-00005F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96" name="240 CuadroTexto">
          <a:extLst>
            <a:ext uri="{FF2B5EF4-FFF2-40B4-BE49-F238E27FC236}">
              <a16:creationId xmlns:a16="http://schemas.microsoft.com/office/drawing/2014/main" id="{00000000-0008-0000-0900-000060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97" name="241 CuadroTexto">
          <a:extLst>
            <a:ext uri="{FF2B5EF4-FFF2-40B4-BE49-F238E27FC236}">
              <a16:creationId xmlns:a16="http://schemas.microsoft.com/office/drawing/2014/main" id="{00000000-0008-0000-0900-000061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98" name="246 CuadroTexto">
          <a:extLst>
            <a:ext uri="{FF2B5EF4-FFF2-40B4-BE49-F238E27FC236}">
              <a16:creationId xmlns:a16="http://schemas.microsoft.com/office/drawing/2014/main" id="{00000000-0008-0000-0900-000062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99" name="247 CuadroTexto">
          <a:extLst>
            <a:ext uri="{FF2B5EF4-FFF2-40B4-BE49-F238E27FC236}">
              <a16:creationId xmlns:a16="http://schemas.microsoft.com/office/drawing/2014/main" id="{00000000-0008-0000-0900-000063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00" name="248 CuadroTexto">
          <a:extLst>
            <a:ext uri="{FF2B5EF4-FFF2-40B4-BE49-F238E27FC236}">
              <a16:creationId xmlns:a16="http://schemas.microsoft.com/office/drawing/2014/main" id="{00000000-0008-0000-0900-000064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01" name="249 CuadroTexto">
          <a:extLst>
            <a:ext uri="{FF2B5EF4-FFF2-40B4-BE49-F238E27FC236}">
              <a16:creationId xmlns:a16="http://schemas.microsoft.com/office/drawing/2014/main" id="{00000000-0008-0000-0900-000065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02" name="2429 CuadroTexto">
          <a:extLst>
            <a:ext uri="{FF2B5EF4-FFF2-40B4-BE49-F238E27FC236}">
              <a16:creationId xmlns:a16="http://schemas.microsoft.com/office/drawing/2014/main" id="{00000000-0008-0000-0900-000066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03" name="2430 CuadroTexto">
          <a:extLst>
            <a:ext uri="{FF2B5EF4-FFF2-40B4-BE49-F238E27FC236}">
              <a16:creationId xmlns:a16="http://schemas.microsoft.com/office/drawing/2014/main" id="{00000000-0008-0000-0900-000067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04" name="2431 CuadroTexto">
          <a:extLst>
            <a:ext uri="{FF2B5EF4-FFF2-40B4-BE49-F238E27FC236}">
              <a16:creationId xmlns:a16="http://schemas.microsoft.com/office/drawing/2014/main" id="{00000000-0008-0000-0900-000068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05" name="2432 CuadroTexto">
          <a:extLst>
            <a:ext uri="{FF2B5EF4-FFF2-40B4-BE49-F238E27FC236}">
              <a16:creationId xmlns:a16="http://schemas.microsoft.com/office/drawing/2014/main" id="{00000000-0008-0000-0900-000069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06" name="2433 CuadroTexto">
          <a:extLst>
            <a:ext uri="{FF2B5EF4-FFF2-40B4-BE49-F238E27FC236}">
              <a16:creationId xmlns:a16="http://schemas.microsoft.com/office/drawing/2014/main" id="{00000000-0008-0000-0900-00006A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07" name="2434 CuadroTexto">
          <a:extLst>
            <a:ext uri="{FF2B5EF4-FFF2-40B4-BE49-F238E27FC236}">
              <a16:creationId xmlns:a16="http://schemas.microsoft.com/office/drawing/2014/main" id="{00000000-0008-0000-0900-00006B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08" name="2584 CuadroTexto">
          <a:extLst>
            <a:ext uri="{FF2B5EF4-FFF2-40B4-BE49-F238E27FC236}">
              <a16:creationId xmlns:a16="http://schemas.microsoft.com/office/drawing/2014/main" id="{00000000-0008-0000-0900-00006C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09" name="2585 CuadroTexto">
          <a:extLst>
            <a:ext uri="{FF2B5EF4-FFF2-40B4-BE49-F238E27FC236}">
              <a16:creationId xmlns:a16="http://schemas.microsoft.com/office/drawing/2014/main" id="{00000000-0008-0000-0900-00006D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10" name="2586 CuadroTexto">
          <a:extLst>
            <a:ext uri="{FF2B5EF4-FFF2-40B4-BE49-F238E27FC236}">
              <a16:creationId xmlns:a16="http://schemas.microsoft.com/office/drawing/2014/main" id="{00000000-0008-0000-0900-00006E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11" name="2587 CuadroTexto">
          <a:extLst>
            <a:ext uri="{FF2B5EF4-FFF2-40B4-BE49-F238E27FC236}">
              <a16:creationId xmlns:a16="http://schemas.microsoft.com/office/drawing/2014/main" id="{00000000-0008-0000-0900-00006F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12" name="2588 CuadroTexto">
          <a:extLst>
            <a:ext uri="{FF2B5EF4-FFF2-40B4-BE49-F238E27FC236}">
              <a16:creationId xmlns:a16="http://schemas.microsoft.com/office/drawing/2014/main" id="{00000000-0008-0000-0900-000070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13" name="2589 CuadroTexto">
          <a:extLst>
            <a:ext uri="{FF2B5EF4-FFF2-40B4-BE49-F238E27FC236}">
              <a16:creationId xmlns:a16="http://schemas.microsoft.com/office/drawing/2014/main" id="{00000000-0008-0000-0900-000071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14" name="240 CuadroTexto">
          <a:extLst>
            <a:ext uri="{FF2B5EF4-FFF2-40B4-BE49-F238E27FC236}">
              <a16:creationId xmlns:a16="http://schemas.microsoft.com/office/drawing/2014/main" id="{00000000-0008-0000-0900-000072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15" name="241 CuadroTexto">
          <a:extLst>
            <a:ext uri="{FF2B5EF4-FFF2-40B4-BE49-F238E27FC236}">
              <a16:creationId xmlns:a16="http://schemas.microsoft.com/office/drawing/2014/main" id="{00000000-0008-0000-0900-000073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16" name="246 CuadroTexto">
          <a:extLst>
            <a:ext uri="{FF2B5EF4-FFF2-40B4-BE49-F238E27FC236}">
              <a16:creationId xmlns:a16="http://schemas.microsoft.com/office/drawing/2014/main" id="{00000000-0008-0000-0900-000074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17" name="247 CuadroTexto">
          <a:extLst>
            <a:ext uri="{FF2B5EF4-FFF2-40B4-BE49-F238E27FC236}">
              <a16:creationId xmlns:a16="http://schemas.microsoft.com/office/drawing/2014/main" id="{00000000-0008-0000-0900-000075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18" name="248 CuadroTexto">
          <a:extLst>
            <a:ext uri="{FF2B5EF4-FFF2-40B4-BE49-F238E27FC236}">
              <a16:creationId xmlns:a16="http://schemas.microsoft.com/office/drawing/2014/main" id="{00000000-0008-0000-0900-000076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19" name="249 CuadroTexto">
          <a:extLst>
            <a:ext uri="{FF2B5EF4-FFF2-40B4-BE49-F238E27FC236}">
              <a16:creationId xmlns:a16="http://schemas.microsoft.com/office/drawing/2014/main" id="{00000000-0008-0000-0900-000077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20" name="2429 CuadroTexto">
          <a:extLst>
            <a:ext uri="{FF2B5EF4-FFF2-40B4-BE49-F238E27FC236}">
              <a16:creationId xmlns:a16="http://schemas.microsoft.com/office/drawing/2014/main" id="{00000000-0008-0000-0900-000078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21" name="2430 CuadroTexto">
          <a:extLst>
            <a:ext uri="{FF2B5EF4-FFF2-40B4-BE49-F238E27FC236}">
              <a16:creationId xmlns:a16="http://schemas.microsoft.com/office/drawing/2014/main" id="{00000000-0008-0000-0900-000079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22" name="2431 CuadroTexto">
          <a:extLst>
            <a:ext uri="{FF2B5EF4-FFF2-40B4-BE49-F238E27FC236}">
              <a16:creationId xmlns:a16="http://schemas.microsoft.com/office/drawing/2014/main" id="{00000000-0008-0000-0900-00007A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23" name="2432 CuadroTexto">
          <a:extLst>
            <a:ext uri="{FF2B5EF4-FFF2-40B4-BE49-F238E27FC236}">
              <a16:creationId xmlns:a16="http://schemas.microsoft.com/office/drawing/2014/main" id="{00000000-0008-0000-0900-00007B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24" name="2433 CuadroTexto">
          <a:extLst>
            <a:ext uri="{FF2B5EF4-FFF2-40B4-BE49-F238E27FC236}">
              <a16:creationId xmlns:a16="http://schemas.microsoft.com/office/drawing/2014/main" id="{00000000-0008-0000-0900-00007C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25" name="2434 CuadroTexto">
          <a:extLst>
            <a:ext uri="{FF2B5EF4-FFF2-40B4-BE49-F238E27FC236}">
              <a16:creationId xmlns:a16="http://schemas.microsoft.com/office/drawing/2014/main" id="{00000000-0008-0000-0900-00007D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26" name="2584 CuadroTexto">
          <a:extLst>
            <a:ext uri="{FF2B5EF4-FFF2-40B4-BE49-F238E27FC236}">
              <a16:creationId xmlns:a16="http://schemas.microsoft.com/office/drawing/2014/main" id="{00000000-0008-0000-0900-00007E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27" name="2585 CuadroTexto">
          <a:extLst>
            <a:ext uri="{FF2B5EF4-FFF2-40B4-BE49-F238E27FC236}">
              <a16:creationId xmlns:a16="http://schemas.microsoft.com/office/drawing/2014/main" id="{00000000-0008-0000-0900-00007F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28" name="2586 CuadroTexto">
          <a:extLst>
            <a:ext uri="{FF2B5EF4-FFF2-40B4-BE49-F238E27FC236}">
              <a16:creationId xmlns:a16="http://schemas.microsoft.com/office/drawing/2014/main" id="{00000000-0008-0000-0900-000080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29" name="2587 CuadroTexto">
          <a:extLst>
            <a:ext uri="{FF2B5EF4-FFF2-40B4-BE49-F238E27FC236}">
              <a16:creationId xmlns:a16="http://schemas.microsoft.com/office/drawing/2014/main" id="{00000000-0008-0000-0900-000081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30" name="2588 CuadroTexto">
          <a:extLst>
            <a:ext uri="{FF2B5EF4-FFF2-40B4-BE49-F238E27FC236}">
              <a16:creationId xmlns:a16="http://schemas.microsoft.com/office/drawing/2014/main" id="{00000000-0008-0000-0900-000082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31" name="2589 CuadroTexto">
          <a:extLst>
            <a:ext uri="{FF2B5EF4-FFF2-40B4-BE49-F238E27FC236}">
              <a16:creationId xmlns:a16="http://schemas.microsoft.com/office/drawing/2014/main" id="{00000000-0008-0000-0900-000083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32" name="240 CuadroTexto">
          <a:extLst>
            <a:ext uri="{FF2B5EF4-FFF2-40B4-BE49-F238E27FC236}">
              <a16:creationId xmlns:a16="http://schemas.microsoft.com/office/drawing/2014/main" id="{00000000-0008-0000-0900-000084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33" name="241 CuadroTexto">
          <a:extLst>
            <a:ext uri="{FF2B5EF4-FFF2-40B4-BE49-F238E27FC236}">
              <a16:creationId xmlns:a16="http://schemas.microsoft.com/office/drawing/2014/main" id="{00000000-0008-0000-0900-000085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34" name="246 CuadroTexto">
          <a:extLst>
            <a:ext uri="{FF2B5EF4-FFF2-40B4-BE49-F238E27FC236}">
              <a16:creationId xmlns:a16="http://schemas.microsoft.com/office/drawing/2014/main" id="{00000000-0008-0000-0900-000086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35" name="247 CuadroTexto">
          <a:extLst>
            <a:ext uri="{FF2B5EF4-FFF2-40B4-BE49-F238E27FC236}">
              <a16:creationId xmlns:a16="http://schemas.microsoft.com/office/drawing/2014/main" id="{00000000-0008-0000-0900-000087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36" name="248 CuadroTexto">
          <a:extLst>
            <a:ext uri="{FF2B5EF4-FFF2-40B4-BE49-F238E27FC236}">
              <a16:creationId xmlns:a16="http://schemas.microsoft.com/office/drawing/2014/main" id="{00000000-0008-0000-0900-000088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70</xdr:row>
      <xdr:rowOff>0</xdr:rowOff>
    </xdr:from>
    <xdr:ext cx="184731" cy="264560"/>
    <xdr:sp macro="" textlink="">
      <xdr:nvSpPr>
        <xdr:cNvPr id="137" name="249 CuadroTexto">
          <a:extLst>
            <a:ext uri="{FF2B5EF4-FFF2-40B4-BE49-F238E27FC236}">
              <a16:creationId xmlns:a16="http://schemas.microsoft.com/office/drawing/2014/main" id="{00000000-0008-0000-0900-000089000000}"/>
            </a:ext>
          </a:extLst>
        </xdr:cNvPr>
        <xdr:cNvSpPr txBox="1"/>
      </xdr:nvSpPr>
      <xdr:spPr>
        <a:xfrm>
          <a:off x="830302" y="178974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twoCellAnchor>
    <xdr:from>
      <xdr:col>2</xdr:col>
      <xdr:colOff>520023</xdr:colOff>
      <xdr:row>70</xdr:row>
      <xdr:rowOff>2388</xdr:rowOff>
    </xdr:from>
    <xdr:to>
      <xdr:col>2</xdr:col>
      <xdr:colOff>520818</xdr:colOff>
      <xdr:row>70</xdr:row>
      <xdr:rowOff>2388</xdr:rowOff>
    </xdr:to>
    <xdr:cxnSp macro="">
      <xdr:nvCxnSpPr>
        <xdr:cNvPr id="138" name="1888 Conector recto">
          <a:extLst>
            <a:ext uri="{FF2B5EF4-FFF2-40B4-BE49-F238E27FC236}">
              <a16:creationId xmlns:a16="http://schemas.microsoft.com/office/drawing/2014/main" id="{00000000-0008-0000-0900-00008A000000}"/>
            </a:ext>
          </a:extLst>
        </xdr:cNvPr>
        <xdr:cNvCxnSpPr/>
      </xdr:nvCxnSpPr>
      <xdr:spPr>
        <a:xfrm rot="5400000">
          <a:off x="1349096" y="178976740"/>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1627</xdr:colOff>
      <xdr:row>69</xdr:row>
      <xdr:rowOff>0</xdr:rowOff>
    </xdr:from>
    <xdr:ext cx="184731" cy="264560"/>
    <xdr:sp macro="" textlink="">
      <xdr:nvSpPr>
        <xdr:cNvPr id="139" name="2584 CuadroTexto">
          <a:extLst>
            <a:ext uri="{FF2B5EF4-FFF2-40B4-BE49-F238E27FC236}">
              <a16:creationId xmlns:a16="http://schemas.microsoft.com/office/drawing/2014/main" id="{00000000-0008-0000-0900-00008B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40" name="2585 CuadroTexto">
          <a:extLst>
            <a:ext uri="{FF2B5EF4-FFF2-40B4-BE49-F238E27FC236}">
              <a16:creationId xmlns:a16="http://schemas.microsoft.com/office/drawing/2014/main" id="{00000000-0008-0000-0900-00008C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41" name="2586 CuadroTexto">
          <a:extLst>
            <a:ext uri="{FF2B5EF4-FFF2-40B4-BE49-F238E27FC236}">
              <a16:creationId xmlns:a16="http://schemas.microsoft.com/office/drawing/2014/main" id="{00000000-0008-0000-0900-00008D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42" name="2587 CuadroTexto">
          <a:extLst>
            <a:ext uri="{FF2B5EF4-FFF2-40B4-BE49-F238E27FC236}">
              <a16:creationId xmlns:a16="http://schemas.microsoft.com/office/drawing/2014/main" id="{00000000-0008-0000-0900-00008E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43" name="2588 CuadroTexto">
          <a:extLst>
            <a:ext uri="{FF2B5EF4-FFF2-40B4-BE49-F238E27FC236}">
              <a16:creationId xmlns:a16="http://schemas.microsoft.com/office/drawing/2014/main" id="{00000000-0008-0000-0900-00008F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44" name="2589 CuadroTexto">
          <a:extLst>
            <a:ext uri="{FF2B5EF4-FFF2-40B4-BE49-F238E27FC236}">
              <a16:creationId xmlns:a16="http://schemas.microsoft.com/office/drawing/2014/main" id="{00000000-0008-0000-0900-000090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45" name="240 CuadroTexto">
          <a:extLst>
            <a:ext uri="{FF2B5EF4-FFF2-40B4-BE49-F238E27FC236}">
              <a16:creationId xmlns:a16="http://schemas.microsoft.com/office/drawing/2014/main" id="{00000000-0008-0000-0900-000091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46" name="241 CuadroTexto">
          <a:extLst>
            <a:ext uri="{FF2B5EF4-FFF2-40B4-BE49-F238E27FC236}">
              <a16:creationId xmlns:a16="http://schemas.microsoft.com/office/drawing/2014/main" id="{00000000-0008-0000-0900-000092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47" name="246 CuadroTexto">
          <a:extLst>
            <a:ext uri="{FF2B5EF4-FFF2-40B4-BE49-F238E27FC236}">
              <a16:creationId xmlns:a16="http://schemas.microsoft.com/office/drawing/2014/main" id="{00000000-0008-0000-0900-000093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48" name="247 CuadroTexto">
          <a:extLst>
            <a:ext uri="{FF2B5EF4-FFF2-40B4-BE49-F238E27FC236}">
              <a16:creationId xmlns:a16="http://schemas.microsoft.com/office/drawing/2014/main" id="{00000000-0008-0000-0900-000094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49" name="248 CuadroTexto">
          <a:extLst>
            <a:ext uri="{FF2B5EF4-FFF2-40B4-BE49-F238E27FC236}">
              <a16:creationId xmlns:a16="http://schemas.microsoft.com/office/drawing/2014/main" id="{00000000-0008-0000-0900-000095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69</xdr:row>
      <xdr:rowOff>0</xdr:rowOff>
    </xdr:from>
    <xdr:ext cx="184731" cy="264560"/>
    <xdr:sp macro="" textlink="">
      <xdr:nvSpPr>
        <xdr:cNvPr id="150" name="249 CuadroTexto">
          <a:extLst>
            <a:ext uri="{FF2B5EF4-FFF2-40B4-BE49-F238E27FC236}">
              <a16:creationId xmlns:a16="http://schemas.microsoft.com/office/drawing/2014/main" id="{00000000-0008-0000-0900-000096000000}"/>
            </a:ext>
          </a:extLst>
        </xdr:cNvPr>
        <xdr:cNvSpPr txBox="1"/>
      </xdr:nvSpPr>
      <xdr:spPr>
        <a:xfrm>
          <a:off x="830302" y="17884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51" name="2584 CuadroTexto">
          <a:extLst>
            <a:ext uri="{FF2B5EF4-FFF2-40B4-BE49-F238E27FC236}">
              <a16:creationId xmlns:a16="http://schemas.microsoft.com/office/drawing/2014/main" id="{00000000-0008-0000-0900-000097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52" name="2585 CuadroTexto">
          <a:extLst>
            <a:ext uri="{FF2B5EF4-FFF2-40B4-BE49-F238E27FC236}">
              <a16:creationId xmlns:a16="http://schemas.microsoft.com/office/drawing/2014/main" id="{00000000-0008-0000-0900-000098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53" name="2586 CuadroTexto">
          <a:extLst>
            <a:ext uri="{FF2B5EF4-FFF2-40B4-BE49-F238E27FC236}">
              <a16:creationId xmlns:a16="http://schemas.microsoft.com/office/drawing/2014/main" id="{00000000-0008-0000-0900-000099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54" name="2587 CuadroTexto">
          <a:extLst>
            <a:ext uri="{FF2B5EF4-FFF2-40B4-BE49-F238E27FC236}">
              <a16:creationId xmlns:a16="http://schemas.microsoft.com/office/drawing/2014/main" id="{00000000-0008-0000-0900-00009A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55" name="2588 CuadroTexto">
          <a:extLst>
            <a:ext uri="{FF2B5EF4-FFF2-40B4-BE49-F238E27FC236}">
              <a16:creationId xmlns:a16="http://schemas.microsoft.com/office/drawing/2014/main" id="{00000000-0008-0000-0900-00009B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68</xdr:row>
      <xdr:rowOff>0</xdr:rowOff>
    </xdr:from>
    <xdr:ext cx="184731" cy="264560"/>
    <xdr:sp macro="" textlink="">
      <xdr:nvSpPr>
        <xdr:cNvPr id="156" name="2589 CuadroTexto">
          <a:extLst>
            <a:ext uri="{FF2B5EF4-FFF2-40B4-BE49-F238E27FC236}">
              <a16:creationId xmlns:a16="http://schemas.microsoft.com/office/drawing/2014/main" id="{00000000-0008-0000-0900-00009C000000}"/>
            </a:ext>
          </a:extLst>
        </xdr:cNvPr>
        <xdr:cNvSpPr txBox="1"/>
      </xdr:nvSpPr>
      <xdr:spPr>
        <a:xfrm>
          <a:off x="830302" y="17865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wsDr>
</file>

<file path=xl/drawings/drawing9.xml><?xml version="1.0" encoding="utf-8"?>
<xdr:wsDr xmlns:xdr="http://schemas.openxmlformats.org/drawingml/2006/spreadsheetDrawing" xmlns:a="http://schemas.openxmlformats.org/drawingml/2006/main">
  <xdr:twoCellAnchor editAs="oneCell">
    <xdr:from>
      <xdr:col>2</xdr:col>
      <xdr:colOff>457200</xdr:colOff>
      <xdr:row>0</xdr:row>
      <xdr:rowOff>95250</xdr:rowOff>
    </xdr:from>
    <xdr:to>
      <xdr:col>2</xdr:col>
      <xdr:colOff>1685925</xdr:colOff>
      <xdr:row>0</xdr:row>
      <xdr:rowOff>972911</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4450" y="95250"/>
          <a:ext cx="1228725" cy="877661"/>
        </a:xfrm>
        <a:prstGeom prst="rect">
          <a:avLst/>
        </a:prstGeom>
      </xdr:spPr>
    </xdr:pic>
    <xdr:clientData/>
  </xdr:twoCellAnchor>
  <xdr:oneCellAnchor>
    <xdr:from>
      <xdr:col>1</xdr:col>
      <xdr:colOff>538202</xdr:colOff>
      <xdr:row>1746</xdr:row>
      <xdr:rowOff>0</xdr:rowOff>
    </xdr:from>
    <xdr:ext cx="184731" cy="264560"/>
    <xdr:sp macro="" textlink="">
      <xdr:nvSpPr>
        <xdr:cNvPr id="3" name="673 CuadroTexto">
          <a:extLst>
            <a:ext uri="{FF2B5EF4-FFF2-40B4-BE49-F238E27FC236}">
              <a16:creationId xmlns:a16="http://schemas.microsoft.com/office/drawing/2014/main" id="{00000000-0008-0000-0A00-000003000000}"/>
            </a:ext>
          </a:extLst>
        </xdr:cNvPr>
        <xdr:cNvSpPr txBox="1"/>
      </xdr:nvSpPr>
      <xdr:spPr>
        <a:xfrm>
          <a:off x="85252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4" name="919 CuadroTexto">
          <a:extLst>
            <a:ext uri="{FF2B5EF4-FFF2-40B4-BE49-F238E27FC236}">
              <a16:creationId xmlns:a16="http://schemas.microsoft.com/office/drawing/2014/main" id="{00000000-0008-0000-0A00-000004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5" name="921 CuadroTexto">
          <a:extLst>
            <a:ext uri="{FF2B5EF4-FFF2-40B4-BE49-F238E27FC236}">
              <a16:creationId xmlns:a16="http://schemas.microsoft.com/office/drawing/2014/main" id="{00000000-0008-0000-0A00-000005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6" name="995 CuadroTexto">
          <a:extLst>
            <a:ext uri="{FF2B5EF4-FFF2-40B4-BE49-F238E27FC236}">
              <a16:creationId xmlns:a16="http://schemas.microsoft.com/office/drawing/2014/main" id="{00000000-0008-0000-0A00-000006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7" name="997 CuadroTexto">
          <a:extLst>
            <a:ext uri="{FF2B5EF4-FFF2-40B4-BE49-F238E27FC236}">
              <a16:creationId xmlns:a16="http://schemas.microsoft.com/office/drawing/2014/main" id="{00000000-0008-0000-0A00-000007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538202</xdr:colOff>
      <xdr:row>1746</xdr:row>
      <xdr:rowOff>0</xdr:rowOff>
    </xdr:from>
    <xdr:ext cx="184731" cy="264560"/>
    <xdr:sp macro="" textlink="">
      <xdr:nvSpPr>
        <xdr:cNvPr id="8" name="1940 CuadroTexto">
          <a:extLst>
            <a:ext uri="{FF2B5EF4-FFF2-40B4-BE49-F238E27FC236}">
              <a16:creationId xmlns:a16="http://schemas.microsoft.com/office/drawing/2014/main" id="{00000000-0008-0000-0A00-000008000000}"/>
            </a:ext>
          </a:extLst>
        </xdr:cNvPr>
        <xdr:cNvSpPr txBox="1"/>
      </xdr:nvSpPr>
      <xdr:spPr>
        <a:xfrm>
          <a:off x="85252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9" name="2584 CuadroTexto">
          <a:extLst>
            <a:ext uri="{FF2B5EF4-FFF2-40B4-BE49-F238E27FC236}">
              <a16:creationId xmlns:a16="http://schemas.microsoft.com/office/drawing/2014/main" id="{00000000-0008-0000-0A00-000009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0" name="2585 CuadroTexto">
          <a:extLst>
            <a:ext uri="{FF2B5EF4-FFF2-40B4-BE49-F238E27FC236}">
              <a16:creationId xmlns:a16="http://schemas.microsoft.com/office/drawing/2014/main" id="{00000000-0008-0000-0A00-00000A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1" name="2586 CuadroTexto">
          <a:extLst>
            <a:ext uri="{FF2B5EF4-FFF2-40B4-BE49-F238E27FC236}">
              <a16:creationId xmlns:a16="http://schemas.microsoft.com/office/drawing/2014/main" id="{00000000-0008-0000-0A00-00000B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2" name="2587 CuadroTexto">
          <a:extLst>
            <a:ext uri="{FF2B5EF4-FFF2-40B4-BE49-F238E27FC236}">
              <a16:creationId xmlns:a16="http://schemas.microsoft.com/office/drawing/2014/main" id="{00000000-0008-0000-0A00-00000C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3" name="2588 CuadroTexto">
          <a:extLst>
            <a:ext uri="{FF2B5EF4-FFF2-40B4-BE49-F238E27FC236}">
              <a16:creationId xmlns:a16="http://schemas.microsoft.com/office/drawing/2014/main" id="{00000000-0008-0000-0A00-00000D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4" name="2589 CuadroTexto">
          <a:extLst>
            <a:ext uri="{FF2B5EF4-FFF2-40B4-BE49-F238E27FC236}">
              <a16:creationId xmlns:a16="http://schemas.microsoft.com/office/drawing/2014/main" id="{00000000-0008-0000-0A00-00000E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5" name="240 CuadroTexto">
          <a:extLst>
            <a:ext uri="{FF2B5EF4-FFF2-40B4-BE49-F238E27FC236}">
              <a16:creationId xmlns:a16="http://schemas.microsoft.com/office/drawing/2014/main" id="{00000000-0008-0000-0A00-00000F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6" name="241 CuadroTexto">
          <a:extLst>
            <a:ext uri="{FF2B5EF4-FFF2-40B4-BE49-F238E27FC236}">
              <a16:creationId xmlns:a16="http://schemas.microsoft.com/office/drawing/2014/main" id="{00000000-0008-0000-0A00-000010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7" name="246 CuadroTexto">
          <a:extLst>
            <a:ext uri="{FF2B5EF4-FFF2-40B4-BE49-F238E27FC236}">
              <a16:creationId xmlns:a16="http://schemas.microsoft.com/office/drawing/2014/main" id="{00000000-0008-0000-0A00-000011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8" name="247 CuadroTexto">
          <a:extLst>
            <a:ext uri="{FF2B5EF4-FFF2-40B4-BE49-F238E27FC236}">
              <a16:creationId xmlns:a16="http://schemas.microsoft.com/office/drawing/2014/main" id="{00000000-0008-0000-0A00-000012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9" name="248 CuadroTexto">
          <a:extLst>
            <a:ext uri="{FF2B5EF4-FFF2-40B4-BE49-F238E27FC236}">
              <a16:creationId xmlns:a16="http://schemas.microsoft.com/office/drawing/2014/main" id="{00000000-0008-0000-0A00-000013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20" name="249 CuadroTexto">
          <a:extLst>
            <a:ext uri="{FF2B5EF4-FFF2-40B4-BE49-F238E27FC236}">
              <a16:creationId xmlns:a16="http://schemas.microsoft.com/office/drawing/2014/main" id="{00000000-0008-0000-0A00-000014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538202</xdr:colOff>
      <xdr:row>1746</xdr:row>
      <xdr:rowOff>0</xdr:rowOff>
    </xdr:from>
    <xdr:ext cx="184731" cy="264560"/>
    <xdr:sp macro="" textlink="">
      <xdr:nvSpPr>
        <xdr:cNvPr id="21" name="673 CuadroTexto">
          <a:extLst>
            <a:ext uri="{FF2B5EF4-FFF2-40B4-BE49-F238E27FC236}">
              <a16:creationId xmlns:a16="http://schemas.microsoft.com/office/drawing/2014/main" id="{00000000-0008-0000-0A00-000015000000}"/>
            </a:ext>
          </a:extLst>
        </xdr:cNvPr>
        <xdr:cNvSpPr txBox="1"/>
      </xdr:nvSpPr>
      <xdr:spPr>
        <a:xfrm>
          <a:off x="85252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22" name="919 CuadroTexto">
          <a:extLst>
            <a:ext uri="{FF2B5EF4-FFF2-40B4-BE49-F238E27FC236}">
              <a16:creationId xmlns:a16="http://schemas.microsoft.com/office/drawing/2014/main" id="{00000000-0008-0000-0A00-000016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23" name="921 CuadroTexto">
          <a:extLst>
            <a:ext uri="{FF2B5EF4-FFF2-40B4-BE49-F238E27FC236}">
              <a16:creationId xmlns:a16="http://schemas.microsoft.com/office/drawing/2014/main" id="{00000000-0008-0000-0A00-000017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24" name="995 CuadroTexto">
          <a:extLst>
            <a:ext uri="{FF2B5EF4-FFF2-40B4-BE49-F238E27FC236}">
              <a16:creationId xmlns:a16="http://schemas.microsoft.com/office/drawing/2014/main" id="{00000000-0008-0000-0A00-000018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25" name="997 CuadroTexto">
          <a:extLst>
            <a:ext uri="{FF2B5EF4-FFF2-40B4-BE49-F238E27FC236}">
              <a16:creationId xmlns:a16="http://schemas.microsoft.com/office/drawing/2014/main" id="{00000000-0008-0000-0A00-000019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538202</xdr:colOff>
      <xdr:row>1746</xdr:row>
      <xdr:rowOff>0</xdr:rowOff>
    </xdr:from>
    <xdr:ext cx="184731" cy="264560"/>
    <xdr:sp macro="" textlink="">
      <xdr:nvSpPr>
        <xdr:cNvPr id="26" name="1940 CuadroTexto">
          <a:extLst>
            <a:ext uri="{FF2B5EF4-FFF2-40B4-BE49-F238E27FC236}">
              <a16:creationId xmlns:a16="http://schemas.microsoft.com/office/drawing/2014/main" id="{00000000-0008-0000-0A00-00001A000000}"/>
            </a:ext>
          </a:extLst>
        </xdr:cNvPr>
        <xdr:cNvSpPr txBox="1"/>
      </xdr:nvSpPr>
      <xdr:spPr>
        <a:xfrm>
          <a:off x="85252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27" name="2584 CuadroTexto">
          <a:extLst>
            <a:ext uri="{FF2B5EF4-FFF2-40B4-BE49-F238E27FC236}">
              <a16:creationId xmlns:a16="http://schemas.microsoft.com/office/drawing/2014/main" id="{00000000-0008-0000-0A00-00001B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28" name="2585 CuadroTexto">
          <a:extLst>
            <a:ext uri="{FF2B5EF4-FFF2-40B4-BE49-F238E27FC236}">
              <a16:creationId xmlns:a16="http://schemas.microsoft.com/office/drawing/2014/main" id="{00000000-0008-0000-0A00-00001C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29" name="2586 CuadroTexto">
          <a:extLst>
            <a:ext uri="{FF2B5EF4-FFF2-40B4-BE49-F238E27FC236}">
              <a16:creationId xmlns:a16="http://schemas.microsoft.com/office/drawing/2014/main" id="{00000000-0008-0000-0A00-00001D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30" name="2587 CuadroTexto">
          <a:extLst>
            <a:ext uri="{FF2B5EF4-FFF2-40B4-BE49-F238E27FC236}">
              <a16:creationId xmlns:a16="http://schemas.microsoft.com/office/drawing/2014/main" id="{00000000-0008-0000-0A00-00001E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31" name="2588 CuadroTexto">
          <a:extLst>
            <a:ext uri="{FF2B5EF4-FFF2-40B4-BE49-F238E27FC236}">
              <a16:creationId xmlns:a16="http://schemas.microsoft.com/office/drawing/2014/main" id="{00000000-0008-0000-0A00-00001F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32" name="2589 CuadroTexto">
          <a:extLst>
            <a:ext uri="{FF2B5EF4-FFF2-40B4-BE49-F238E27FC236}">
              <a16:creationId xmlns:a16="http://schemas.microsoft.com/office/drawing/2014/main" id="{00000000-0008-0000-0A00-000020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33" name="240 CuadroTexto">
          <a:extLst>
            <a:ext uri="{FF2B5EF4-FFF2-40B4-BE49-F238E27FC236}">
              <a16:creationId xmlns:a16="http://schemas.microsoft.com/office/drawing/2014/main" id="{00000000-0008-0000-0A00-000021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34" name="241 CuadroTexto">
          <a:extLst>
            <a:ext uri="{FF2B5EF4-FFF2-40B4-BE49-F238E27FC236}">
              <a16:creationId xmlns:a16="http://schemas.microsoft.com/office/drawing/2014/main" id="{00000000-0008-0000-0A00-000022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35" name="246 CuadroTexto">
          <a:extLst>
            <a:ext uri="{FF2B5EF4-FFF2-40B4-BE49-F238E27FC236}">
              <a16:creationId xmlns:a16="http://schemas.microsoft.com/office/drawing/2014/main" id="{00000000-0008-0000-0A00-000023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36" name="247 CuadroTexto">
          <a:extLst>
            <a:ext uri="{FF2B5EF4-FFF2-40B4-BE49-F238E27FC236}">
              <a16:creationId xmlns:a16="http://schemas.microsoft.com/office/drawing/2014/main" id="{00000000-0008-0000-0A00-000024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37" name="248 CuadroTexto">
          <a:extLst>
            <a:ext uri="{FF2B5EF4-FFF2-40B4-BE49-F238E27FC236}">
              <a16:creationId xmlns:a16="http://schemas.microsoft.com/office/drawing/2014/main" id="{00000000-0008-0000-0A00-000025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38" name="249 CuadroTexto">
          <a:extLst>
            <a:ext uri="{FF2B5EF4-FFF2-40B4-BE49-F238E27FC236}">
              <a16:creationId xmlns:a16="http://schemas.microsoft.com/office/drawing/2014/main" id="{00000000-0008-0000-0A00-000026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39" name="2429 CuadroTexto">
          <a:extLst>
            <a:ext uri="{FF2B5EF4-FFF2-40B4-BE49-F238E27FC236}">
              <a16:creationId xmlns:a16="http://schemas.microsoft.com/office/drawing/2014/main" id="{00000000-0008-0000-0A00-000027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40" name="2430 CuadroTexto">
          <a:extLst>
            <a:ext uri="{FF2B5EF4-FFF2-40B4-BE49-F238E27FC236}">
              <a16:creationId xmlns:a16="http://schemas.microsoft.com/office/drawing/2014/main" id="{00000000-0008-0000-0A00-000028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41" name="2431 CuadroTexto">
          <a:extLst>
            <a:ext uri="{FF2B5EF4-FFF2-40B4-BE49-F238E27FC236}">
              <a16:creationId xmlns:a16="http://schemas.microsoft.com/office/drawing/2014/main" id="{00000000-0008-0000-0A00-000029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42" name="2432 CuadroTexto">
          <a:extLst>
            <a:ext uri="{FF2B5EF4-FFF2-40B4-BE49-F238E27FC236}">
              <a16:creationId xmlns:a16="http://schemas.microsoft.com/office/drawing/2014/main" id="{00000000-0008-0000-0A00-00002A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43" name="2433 CuadroTexto">
          <a:extLst>
            <a:ext uri="{FF2B5EF4-FFF2-40B4-BE49-F238E27FC236}">
              <a16:creationId xmlns:a16="http://schemas.microsoft.com/office/drawing/2014/main" id="{00000000-0008-0000-0A00-00002B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44" name="2434 CuadroTexto">
          <a:extLst>
            <a:ext uri="{FF2B5EF4-FFF2-40B4-BE49-F238E27FC236}">
              <a16:creationId xmlns:a16="http://schemas.microsoft.com/office/drawing/2014/main" id="{00000000-0008-0000-0A00-00002C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45" name="2584 CuadroTexto">
          <a:extLst>
            <a:ext uri="{FF2B5EF4-FFF2-40B4-BE49-F238E27FC236}">
              <a16:creationId xmlns:a16="http://schemas.microsoft.com/office/drawing/2014/main" id="{00000000-0008-0000-0A00-00002D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46" name="2585 CuadroTexto">
          <a:extLst>
            <a:ext uri="{FF2B5EF4-FFF2-40B4-BE49-F238E27FC236}">
              <a16:creationId xmlns:a16="http://schemas.microsoft.com/office/drawing/2014/main" id="{00000000-0008-0000-0A00-00002E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47" name="2586 CuadroTexto">
          <a:extLst>
            <a:ext uri="{FF2B5EF4-FFF2-40B4-BE49-F238E27FC236}">
              <a16:creationId xmlns:a16="http://schemas.microsoft.com/office/drawing/2014/main" id="{00000000-0008-0000-0A00-00002F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48" name="2587 CuadroTexto">
          <a:extLst>
            <a:ext uri="{FF2B5EF4-FFF2-40B4-BE49-F238E27FC236}">
              <a16:creationId xmlns:a16="http://schemas.microsoft.com/office/drawing/2014/main" id="{00000000-0008-0000-0A00-000030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49" name="2588 CuadroTexto">
          <a:extLst>
            <a:ext uri="{FF2B5EF4-FFF2-40B4-BE49-F238E27FC236}">
              <a16:creationId xmlns:a16="http://schemas.microsoft.com/office/drawing/2014/main" id="{00000000-0008-0000-0A00-000031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50" name="2589 CuadroTexto">
          <a:extLst>
            <a:ext uri="{FF2B5EF4-FFF2-40B4-BE49-F238E27FC236}">
              <a16:creationId xmlns:a16="http://schemas.microsoft.com/office/drawing/2014/main" id="{00000000-0008-0000-0A00-000032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51" name="240 CuadroTexto">
          <a:extLst>
            <a:ext uri="{FF2B5EF4-FFF2-40B4-BE49-F238E27FC236}">
              <a16:creationId xmlns:a16="http://schemas.microsoft.com/office/drawing/2014/main" id="{00000000-0008-0000-0A00-000033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52" name="241 CuadroTexto">
          <a:extLst>
            <a:ext uri="{FF2B5EF4-FFF2-40B4-BE49-F238E27FC236}">
              <a16:creationId xmlns:a16="http://schemas.microsoft.com/office/drawing/2014/main" id="{00000000-0008-0000-0A00-000034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53" name="246 CuadroTexto">
          <a:extLst>
            <a:ext uri="{FF2B5EF4-FFF2-40B4-BE49-F238E27FC236}">
              <a16:creationId xmlns:a16="http://schemas.microsoft.com/office/drawing/2014/main" id="{00000000-0008-0000-0A00-000035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54" name="247 CuadroTexto">
          <a:extLst>
            <a:ext uri="{FF2B5EF4-FFF2-40B4-BE49-F238E27FC236}">
              <a16:creationId xmlns:a16="http://schemas.microsoft.com/office/drawing/2014/main" id="{00000000-0008-0000-0A00-000036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55" name="248 CuadroTexto">
          <a:extLst>
            <a:ext uri="{FF2B5EF4-FFF2-40B4-BE49-F238E27FC236}">
              <a16:creationId xmlns:a16="http://schemas.microsoft.com/office/drawing/2014/main" id="{00000000-0008-0000-0A00-000037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56" name="249 CuadroTexto">
          <a:extLst>
            <a:ext uri="{FF2B5EF4-FFF2-40B4-BE49-F238E27FC236}">
              <a16:creationId xmlns:a16="http://schemas.microsoft.com/office/drawing/2014/main" id="{00000000-0008-0000-0A00-000038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57" name="2429 CuadroTexto">
          <a:extLst>
            <a:ext uri="{FF2B5EF4-FFF2-40B4-BE49-F238E27FC236}">
              <a16:creationId xmlns:a16="http://schemas.microsoft.com/office/drawing/2014/main" id="{00000000-0008-0000-0A00-000039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58" name="2430 CuadroTexto">
          <a:extLst>
            <a:ext uri="{FF2B5EF4-FFF2-40B4-BE49-F238E27FC236}">
              <a16:creationId xmlns:a16="http://schemas.microsoft.com/office/drawing/2014/main" id="{00000000-0008-0000-0A00-00003A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59" name="2431 CuadroTexto">
          <a:extLst>
            <a:ext uri="{FF2B5EF4-FFF2-40B4-BE49-F238E27FC236}">
              <a16:creationId xmlns:a16="http://schemas.microsoft.com/office/drawing/2014/main" id="{00000000-0008-0000-0A00-00003B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60" name="2432 CuadroTexto">
          <a:extLst>
            <a:ext uri="{FF2B5EF4-FFF2-40B4-BE49-F238E27FC236}">
              <a16:creationId xmlns:a16="http://schemas.microsoft.com/office/drawing/2014/main" id="{00000000-0008-0000-0A00-00003C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61" name="2433 CuadroTexto">
          <a:extLst>
            <a:ext uri="{FF2B5EF4-FFF2-40B4-BE49-F238E27FC236}">
              <a16:creationId xmlns:a16="http://schemas.microsoft.com/office/drawing/2014/main" id="{00000000-0008-0000-0A00-00003D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62" name="2434 CuadroTexto">
          <a:extLst>
            <a:ext uri="{FF2B5EF4-FFF2-40B4-BE49-F238E27FC236}">
              <a16:creationId xmlns:a16="http://schemas.microsoft.com/office/drawing/2014/main" id="{00000000-0008-0000-0A00-00003E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63" name="2584 CuadroTexto">
          <a:extLst>
            <a:ext uri="{FF2B5EF4-FFF2-40B4-BE49-F238E27FC236}">
              <a16:creationId xmlns:a16="http://schemas.microsoft.com/office/drawing/2014/main" id="{00000000-0008-0000-0A00-00003F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64" name="2585 CuadroTexto">
          <a:extLst>
            <a:ext uri="{FF2B5EF4-FFF2-40B4-BE49-F238E27FC236}">
              <a16:creationId xmlns:a16="http://schemas.microsoft.com/office/drawing/2014/main" id="{00000000-0008-0000-0A00-000040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65" name="2586 CuadroTexto">
          <a:extLst>
            <a:ext uri="{FF2B5EF4-FFF2-40B4-BE49-F238E27FC236}">
              <a16:creationId xmlns:a16="http://schemas.microsoft.com/office/drawing/2014/main" id="{00000000-0008-0000-0A00-000041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66" name="2587 CuadroTexto">
          <a:extLst>
            <a:ext uri="{FF2B5EF4-FFF2-40B4-BE49-F238E27FC236}">
              <a16:creationId xmlns:a16="http://schemas.microsoft.com/office/drawing/2014/main" id="{00000000-0008-0000-0A00-000042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67" name="2588 CuadroTexto">
          <a:extLst>
            <a:ext uri="{FF2B5EF4-FFF2-40B4-BE49-F238E27FC236}">
              <a16:creationId xmlns:a16="http://schemas.microsoft.com/office/drawing/2014/main" id="{00000000-0008-0000-0A00-000043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68" name="2589 CuadroTexto">
          <a:extLst>
            <a:ext uri="{FF2B5EF4-FFF2-40B4-BE49-F238E27FC236}">
              <a16:creationId xmlns:a16="http://schemas.microsoft.com/office/drawing/2014/main" id="{00000000-0008-0000-0A00-000044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69" name="240 CuadroTexto">
          <a:extLst>
            <a:ext uri="{FF2B5EF4-FFF2-40B4-BE49-F238E27FC236}">
              <a16:creationId xmlns:a16="http://schemas.microsoft.com/office/drawing/2014/main" id="{00000000-0008-0000-0A00-000045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70" name="241 CuadroTexto">
          <a:extLst>
            <a:ext uri="{FF2B5EF4-FFF2-40B4-BE49-F238E27FC236}">
              <a16:creationId xmlns:a16="http://schemas.microsoft.com/office/drawing/2014/main" id="{00000000-0008-0000-0A00-000046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71" name="246 CuadroTexto">
          <a:extLst>
            <a:ext uri="{FF2B5EF4-FFF2-40B4-BE49-F238E27FC236}">
              <a16:creationId xmlns:a16="http://schemas.microsoft.com/office/drawing/2014/main" id="{00000000-0008-0000-0A00-000047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72" name="247 CuadroTexto">
          <a:extLst>
            <a:ext uri="{FF2B5EF4-FFF2-40B4-BE49-F238E27FC236}">
              <a16:creationId xmlns:a16="http://schemas.microsoft.com/office/drawing/2014/main" id="{00000000-0008-0000-0A00-000048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73" name="248 CuadroTexto">
          <a:extLst>
            <a:ext uri="{FF2B5EF4-FFF2-40B4-BE49-F238E27FC236}">
              <a16:creationId xmlns:a16="http://schemas.microsoft.com/office/drawing/2014/main" id="{00000000-0008-0000-0A00-000049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74" name="249 CuadroTexto">
          <a:extLst>
            <a:ext uri="{FF2B5EF4-FFF2-40B4-BE49-F238E27FC236}">
              <a16:creationId xmlns:a16="http://schemas.microsoft.com/office/drawing/2014/main" id="{00000000-0008-0000-0A00-00004A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538202</xdr:colOff>
      <xdr:row>1748</xdr:row>
      <xdr:rowOff>0</xdr:rowOff>
    </xdr:from>
    <xdr:ext cx="184731" cy="264560"/>
    <xdr:sp macro="" textlink="">
      <xdr:nvSpPr>
        <xdr:cNvPr id="75" name="673 CuadroTexto">
          <a:extLst>
            <a:ext uri="{FF2B5EF4-FFF2-40B4-BE49-F238E27FC236}">
              <a16:creationId xmlns:a16="http://schemas.microsoft.com/office/drawing/2014/main" id="{00000000-0008-0000-0A00-00004B000000}"/>
            </a:ext>
          </a:extLst>
        </xdr:cNvPr>
        <xdr:cNvSpPr txBox="1"/>
      </xdr:nvSpPr>
      <xdr:spPr>
        <a:xfrm>
          <a:off x="85252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76" name="919 CuadroTexto">
          <a:extLst>
            <a:ext uri="{FF2B5EF4-FFF2-40B4-BE49-F238E27FC236}">
              <a16:creationId xmlns:a16="http://schemas.microsoft.com/office/drawing/2014/main" id="{00000000-0008-0000-0A00-00004C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77" name="921 CuadroTexto">
          <a:extLst>
            <a:ext uri="{FF2B5EF4-FFF2-40B4-BE49-F238E27FC236}">
              <a16:creationId xmlns:a16="http://schemas.microsoft.com/office/drawing/2014/main" id="{00000000-0008-0000-0A00-00004D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78" name="995 CuadroTexto">
          <a:extLst>
            <a:ext uri="{FF2B5EF4-FFF2-40B4-BE49-F238E27FC236}">
              <a16:creationId xmlns:a16="http://schemas.microsoft.com/office/drawing/2014/main" id="{00000000-0008-0000-0A00-00004E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538202</xdr:colOff>
      <xdr:row>1748</xdr:row>
      <xdr:rowOff>0</xdr:rowOff>
    </xdr:from>
    <xdr:ext cx="184731" cy="264560"/>
    <xdr:sp macro="" textlink="">
      <xdr:nvSpPr>
        <xdr:cNvPr id="79" name="1940 CuadroTexto">
          <a:extLst>
            <a:ext uri="{FF2B5EF4-FFF2-40B4-BE49-F238E27FC236}">
              <a16:creationId xmlns:a16="http://schemas.microsoft.com/office/drawing/2014/main" id="{00000000-0008-0000-0A00-00004F000000}"/>
            </a:ext>
          </a:extLst>
        </xdr:cNvPr>
        <xdr:cNvSpPr txBox="1"/>
      </xdr:nvSpPr>
      <xdr:spPr>
        <a:xfrm>
          <a:off x="85252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twoCellAnchor>
    <xdr:from>
      <xdr:col>2</xdr:col>
      <xdr:colOff>1992309</xdr:colOff>
      <xdr:row>1747</xdr:row>
      <xdr:rowOff>1592</xdr:rowOff>
    </xdr:from>
    <xdr:to>
      <xdr:col>2</xdr:col>
      <xdr:colOff>1993104</xdr:colOff>
      <xdr:row>1747</xdr:row>
      <xdr:rowOff>1592</xdr:rowOff>
    </xdr:to>
    <xdr:cxnSp macro="">
      <xdr:nvCxnSpPr>
        <xdr:cNvPr id="80" name="1790 Conector recto">
          <a:extLst>
            <a:ext uri="{FF2B5EF4-FFF2-40B4-BE49-F238E27FC236}">
              <a16:creationId xmlns:a16="http://schemas.microsoft.com/office/drawing/2014/main" id="{00000000-0008-0000-0A00-000050000000}"/>
            </a:ext>
          </a:extLst>
        </xdr:cNvPr>
        <xdr:cNvCxnSpPr/>
      </xdr:nvCxnSpPr>
      <xdr:spPr>
        <a:xfrm rot="5400000">
          <a:off x="2764232" y="405870969"/>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142871</xdr:colOff>
      <xdr:row>1747</xdr:row>
      <xdr:rowOff>4</xdr:rowOff>
    </xdr:from>
    <xdr:to>
      <xdr:col>3</xdr:col>
      <xdr:colOff>142872</xdr:colOff>
      <xdr:row>1747</xdr:row>
      <xdr:rowOff>4</xdr:rowOff>
    </xdr:to>
    <xdr:cxnSp macro="">
      <xdr:nvCxnSpPr>
        <xdr:cNvPr id="81" name="1802 Conector recto">
          <a:extLst>
            <a:ext uri="{FF2B5EF4-FFF2-40B4-BE49-F238E27FC236}">
              <a16:creationId xmlns:a16="http://schemas.microsoft.com/office/drawing/2014/main" id="{00000000-0008-0000-0A00-000051000000}"/>
            </a:ext>
          </a:extLst>
        </xdr:cNvPr>
        <xdr:cNvCxnSpPr/>
      </xdr:nvCxnSpPr>
      <xdr:spPr>
        <a:xfrm rot="16200000" flipH="1">
          <a:off x="2905122" y="405869778"/>
          <a:ext cx="0" cy="1"/>
        </a:xfrm>
        <a:prstGeom prst="line">
          <a:avLst/>
        </a:prstGeom>
        <a:ln w="285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520819</xdr:colOff>
      <xdr:row>1747</xdr:row>
      <xdr:rowOff>1592</xdr:rowOff>
    </xdr:from>
    <xdr:to>
      <xdr:col>2</xdr:col>
      <xdr:colOff>521614</xdr:colOff>
      <xdr:row>1747</xdr:row>
      <xdr:rowOff>1592</xdr:rowOff>
    </xdr:to>
    <xdr:cxnSp macro="">
      <xdr:nvCxnSpPr>
        <xdr:cNvPr id="82" name="1888 Conector recto">
          <a:extLst>
            <a:ext uri="{FF2B5EF4-FFF2-40B4-BE49-F238E27FC236}">
              <a16:creationId xmlns:a16="http://schemas.microsoft.com/office/drawing/2014/main" id="{00000000-0008-0000-0A00-000052000000}"/>
            </a:ext>
          </a:extLst>
        </xdr:cNvPr>
        <xdr:cNvCxnSpPr/>
      </xdr:nvCxnSpPr>
      <xdr:spPr>
        <a:xfrm rot="5400000">
          <a:off x="1378467" y="405870969"/>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1627</xdr:colOff>
      <xdr:row>1748</xdr:row>
      <xdr:rowOff>0</xdr:rowOff>
    </xdr:from>
    <xdr:ext cx="184731" cy="264560"/>
    <xdr:sp macro="" textlink="">
      <xdr:nvSpPr>
        <xdr:cNvPr id="83" name="2584 CuadroTexto">
          <a:extLst>
            <a:ext uri="{FF2B5EF4-FFF2-40B4-BE49-F238E27FC236}">
              <a16:creationId xmlns:a16="http://schemas.microsoft.com/office/drawing/2014/main" id="{00000000-0008-0000-0A00-000053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84" name="2585 CuadroTexto">
          <a:extLst>
            <a:ext uri="{FF2B5EF4-FFF2-40B4-BE49-F238E27FC236}">
              <a16:creationId xmlns:a16="http://schemas.microsoft.com/office/drawing/2014/main" id="{00000000-0008-0000-0A00-000054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85" name="2586 CuadroTexto">
          <a:extLst>
            <a:ext uri="{FF2B5EF4-FFF2-40B4-BE49-F238E27FC236}">
              <a16:creationId xmlns:a16="http://schemas.microsoft.com/office/drawing/2014/main" id="{00000000-0008-0000-0A00-000055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86" name="2587 CuadroTexto">
          <a:extLst>
            <a:ext uri="{FF2B5EF4-FFF2-40B4-BE49-F238E27FC236}">
              <a16:creationId xmlns:a16="http://schemas.microsoft.com/office/drawing/2014/main" id="{00000000-0008-0000-0A00-000056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87" name="2588 CuadroTexto">
          <a:extLst>
            <a:ext uri="{FF2B5EF4-FFF2-40B4-BE49-F238E27FC236}">
              <a16:creationId xmlns:a16="http://schemas.microsoft.com/office/drawing/2014/main" id="{00000000-0008-0000-0A00-000057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88" name="2589 CuadroTexto">
          <a:extLst>
            <a:ext uri="{FF2B5EF4-FFF2-40B4-BE49-F238E27FC236}">
              <a16:creationId xmlns:a16="http://schemas.microsoft.com/office/drawing/2014/main" id="{00000000-0008-0000-0A00-000058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89" name="240 CuadroTexto">
          <a:extLst>
            <a:ext uri="{FF2B5EF4-FFF2-40B4-BE49-F238E27FC236}">
              <a16:creationId xmlns:a16="http://schemas.microsoft.com/office/drawing/2014/main" id="{00000000-0008-0000-0A00-000059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90" name="241 CuadroTexto">
          <a:extLst>
            <a:ext uri="{FF2B5EF4-FFF2-40B4-BE49-F238E27FC236}">
              <a16:creationId xmlns:a16="http://schemas.microsoft.com/office/drawing/2014/main" id="{00000000-0008-0000-0A00-00005A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91" name="246 CuadroTexto">
          <a:extLst>
            <a:ext uri="{FF2B5EF4-FFF2-40B4-BE49-F238E27FC236}">
              <a16:creationId xmlns:a16="http://schemas.microsoft.com/office/drawing/2014/main" id="{00000000-0008-0000-0A00-00005B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92" name="2584 CuadroTexto">
          <a:extLst>
            <a:ext uri="{FF2B5EF4-FFF2-40B4-BE49-F238E27FC236}">
              <a16:creationId xmlns:a16="http://schemas.microsoft.com/office/drawing/2014/main" id="{00000000-0008-0000-0A00-00005C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93" name="2585 CuadroTexto">
          <a:extLst>
            <a:ext uri="{FF2B5EF4-FFF2-40B4-BE49-F238E27FC236}">
              <a16:creationId xmlns:a16="http://schemas.microsoft.com/office/drawing/2014/main" id="{00000000-0008-0000-0A00-00005D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94" name="2586 CuadroTexto">
          <a:extLst>
            <a:ext uri="{FF2B5EF4-FFF2-40B4-BE49-F238E27FC236}">
              <a16:creationId xmlns:a16="http://schemas.microsoft.com/office/drawing/2014/main" id="{00000000-0008-0000-0A00-00005E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95" name="2587 CuadroTexto">
          <a:extLst>
            <a:ext uri="{FF2B5EF4-FFF2-40B4-BE49-F238E27FC236}">
              <a16:creationId xmlns:a16="http://schemas.microsoft.com/office/drawing/2014/main" id="{00000000-0008-0000-0A00-00005F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96" name="2588 CuadroTexto">
          <a:extLst>
            <a:ext uri="{FF2B5EF4-FFF2-40B4-BE49-F238E27FC236}">
              <a16:creationId xmlns:a16="http://schemas.microsoft.com/office/drawing/2014/main" id="{00000000-0008-0000-0A00-000060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97" name="2589 CuadroTexto">
          <a:extLst>
            <a:ext uri="{FF2B5EF4-FFF2-40B4-BE49-F238E27FC236}">
              <a16:creationId xmlns:a16="http://schemas.microsoft.com/office/drawing/2014/main" id="{00000000-0008-0000-0A00-000061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98" name="240 CuadroTexto">
          <a:extLst>
            <a:ext uri="{FF2B5EF4-FFF2-40B4-BE49-F238E27FC236}">
              <a16:creationId xmlns:a16="http://schemas.microsoft.com/office/drawing/2014/main" id="{00000000-0008-0000-0A00-000062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99" name="241 CuadroTexto">
          <a:extLst>
            <a:ext uri="{FF2B5EF4-FFF2-40B4-BE49-F238E27FC236}">
              <a16:creationId xmlns:a16="http://schemas.microsoft.com/office/drawing/2014/main" id="{00000000-0008-0000-0A00-000063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00" name="246 CuadroTexto">
          <a:extLst>
            <a:ext uri="{FF2B5EF4-FFF2-40B4-BE49-F238E27FC236}">
              <a16:creationId xmlns:a16="http://schemas.microsoft.com/office/drawing/2014/main" id="{00000000-0008-0000-0A00-000064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01" name="247 CuadroTexto">
          <a:extLst>
            <a:ext uri="{FF2B5EF4-FFF2-40B4-BE49-F238E27FC236}">
              <a16:creationId xmlns:a16="http://schemas.microsoft.com/office/drawing/2014/main" id="{00000000-0008-0000-0A00-000065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02" name="248 CuadroTexto">
          <a:extLst>
            <a:ext uri="{FF2B5EF4-FFF2-40B4-BE49-F238E27FC236}">
              <a16:creationId xmlns:a16="http://schemas.microsoft.com/office/drawing/2014/main" id="{00000000-0008-0000-0A00-000066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03" name="249 CuadroTexto">
          <a:extLst>
            <a:ext uri="{FF2B5EF4-FFF2-40B4-BE49-F238E27FC236}">
              <a16:creationId xmlns:a16="http://schemas.microsoft.com/office/drawing/2014/main" id="{00000000-0008-0000-0A00-000067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04" name="2429 CuadroTexto">
          <a:extLst>
            <a:ext uri="{FF2B5EF4-FFF2-40B4-BE49-F238E27FC236}">
              <a16:creationId xmlns:a16="http://schemas.microsoft.com/office/drawing/2014/main" id="{00000000-0008-0000-0A00-000068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05" name="2430 CuadroTexto">
          <a:extLst>
            <a:ext uri="{FF2B5EF4-FFF2-40B4-BE49-F238E27FC236}">
              <a16:creationId xmlns:a16="http://schemas.microsoft.com/office/drawing/2014/main" id="{00000000-0008-0000-0A00-000069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06" name="2431 CuadroTexto">
          <a:extLst>
            <a:ext uri="{FF2B5EF4-FFF2-40B4-BE49-F238E27FC236}">
              <a16:creationId xmlns:a16="http://schemas.microsoft.com/office/drawing/2014/main" id="{00000000-0008-0000-0A00-00006A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07" name="2432 CuadroTexto">
          <a:extLst>
            <a:ext uri="{FF2B5EF4-FFF2-40B4-BE49-F238E27FC236}">
              <a16:creationId xmlns:a16="http://schemas.microsoft.com/office/drawing/2014/main" id="{00000000-0008-0000-0A00-00006B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08" name="2433 CuadroTexto">
          <a:extLst>
            <a:ext uri="{FF2B5EF4-FFF2-40B4-BE49-F238E27FC236}">
              <a16:creationId xmlns:a16="http://schemas.microsoft.com/office/drawing/2014/main" id="{00000000-0008-0000-0A00-00006C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09" name="2434 CuadroTexto">
          <a:extLst>
            <a:ext uri="{FF2B5EF4-FFF2-40B4-BE49-F238E27FC236}">
              <a16:creationId xmlns:a16="http://schemas.microsoft.com/office/drawing/2014/main" id="{00000000-0008-0000-0A00-00006D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10" name="2584 CuadroTexto">
          <a:extLst>
            <a:ext uri="{FF2B5EF4-FFF2-40B4-BE49-F238E27FC236}">
              <a16:creationId xmlns:a16="http://schemas.microsoft.com/office/drawing/2014/main" id="{00000000-0008-0000-0A00-00006E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11" name="2585 CuadroTexto">
          <a:extLst>
            <a:ext uri="{FF2B5EF4-FFF2-40B4-BE49-F238E27FC236}">
              <a16:creationId xmlns:a16="http://schemas.microsoft.com/office/drawing/2014/main" id="{00000000-0008-0000-0A00-00006F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12" name="2586 CuadroTexto">
          <a:extLst>
            <a:ext uri="{FF2B5EF4-FFF2-40B4-BE49-F238E27FC236}">
              <a16:creationId xmlns:a16="http://schemas.microsoft.com/office/drawing/2014/main" id="{00000000-0008-0000-0A00-000070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13" name="2587 CuadroTexto">
          <a:extLst>
            <a:ext uri="{FF2B5EF4-FFF2-40B4-BE49-F238E27FC236}">
              <a16:creationId xmlns:a16="http://schemas.microsoft.com/office/drawing/2014/main" id="{00000000-0008-0000-0A00-000071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14" name="2588 CuadroTexto">
          <a:extLst>
            <a:ext uri="{FF2B5EF4-FFF2-40B4-BE49-F238E27FC236}">
              <a16:creationId xmlns:a16="http://schemas.microsoft.com/office/drawing/2014/main" id="{00000000-0008-0000-0A00-000072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15" name="2589 CuadroTexto">
          <a:extLst>
            <a:ext uri="{FF2B5EF4-FFF2-40B4-BE49-F238E27FC236}">
              <a16:creationId xmlns:a16="http://schemas.microsoft.com/office/drawing/2014/main" id="{00000000-0008-0000-0A00-000073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16" name="240 CuadroTexto">
          <a:extLst>
            <a:ext uri="{FF2B5EF4-FFF2-40B4-BE49-F238E27FC236}">
              <a16:creationId xmlns:a16="http://schemas.microsoft.com/office/drawing/2014/main" id="{00000000-0008-0000-0A00-000074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17" name="241 CuadroTexto">
          <a:extLst>
            <a:ext uri="{FF2B5EF4-FFF2-40B4-BE49-F238E27FC236}">
              <a16:creationId xmlns:a16="http://schemas.microsoft.com/office/drawing/2014/main" id="{00000000-0008-0000-0A00-000075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18" name="246 CuadroTexto">
          <a:extLst>
            <a:ext uri="{FF2B5EF4-FFF2-40B4-BE49-F238E27FC236}">
              <a16:creationId xmlns:a16="http://schemas.microsoft.com/office/drawing/2014/main" id="{00000000-0008-0000-0A00-000076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19" name="247 CuadroTexto">
          <a:extLst>
            <a:ext uri="{FF2B5EF4-FFF2-40B4-BE49-F238E27FC236}">
              <a16:creationId xmlns:a16="http://schemas.microsoft.com/office/drawing/2014/main" id="{00000000-0008-0000-0A00-000077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20" name="248 CuadroTexto">
          <a:extLst>
            <a:ext uri="{FF2B5EF4-FFF2-40B4-BE49-F238E27FC236}">
              <a16:creationId xmlns:a16="http://schemas.microsoft.com/office/drawing/2014/main" id="{00000000-0008-0000-0A00-000078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21" name="249 CuadroTexto">
          <a:extLst>
            <a:ext uri="{FF2B5EF4-FFF2-40B4-BE49-F238E27FC236}">
              <a16:creationId xmlns:a16="http://schemas.microsoft.com/office/drawing/2014/main" id="{00000000-0008-0000-0A00-000079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22" name="2429 CuadroTexto">
          <a:extLst>
            <a:ext uri="{FF2B5EF4-FFF2-40B4-BE49-F238E27FC236}">
              <a16:creationId xmlns:a16="http://schemas.microsoft.com/office/drawing/2014/main" id="{00000000-0008-0000-0A00-00007A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23" name="2430 CuadroTexto">
          <a:extLst>
            <a:ext uri="{FF2B5EF4-FFF2-40B4-BE49-F238E27FC236}">
              <a16:creationId xmlns:a16="http://schemas.microsoft.com/office/drawing/2014/main" id="{00000000-0008-0000-0A00-00007B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24" name="2431 CuadroTexto">
          <a:extLst>
            <a:ext uri="{FF2B5EF4-FFF2-40B4-BE49-F238E27FC236}">
              <a16:creationId xmlns:a16="http://schemas.microsoft.com/office/drawing/2014/main" id="{00000000-0008-0000-0A00-00007C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25" name="2432 CuadroTexto">
          <a:extLst>
            <a:ext uri="{FF2B5EF4-FFF2-40B4-BE49-F238E27FC236}">
              <a16:creationId xmlns:a16="http://schemas.microsoft.com/office/drawing/2014/main" id="{00000000-0008-0000-0A00-00007D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26" name="2433 CuadroTexto">
          <a:extLst>
            <a:ext uri="{FF2B5EF4-FFF2-40B4-BE49-F238E27FC236}">
              <a16:creationId xmlns:a16="http://schemas.microsoft.com/office/drawing/2014/main" id="{00000000-0008-0000-0A00-00007E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27" name="2434 CuadroTexto">
          <a:extLst>
            <a:ext uri="{FF2B5EF4-FFF2-40B4-BE49-F238E27FC236}">
              <a16:creationId xmlns:a16="http://schemas.microsoft.com/office/drawing/2014/main" id="{00000000-0008-0000-0A00-00007F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28" name="2584 CuadroTexto">
          <a:extLst>
            <a:ext uri="{FF2B5EF4-FFF2-40B4-BE49-F238E27FC236}">
              <a16:creationId xmlns:a16="http://schemas.microsoft.com/office/drawing/2014/main" id="{00000000-0008-0000-0A00-000080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29" name="2585 CuadroTexto">
          <a:extLst>
            <a:ext uri="{FF2B5EF4-FFF2-40B4-BE49-F238E27FC236}">
              <a16:creationId xmlns:a16="http://schemas.microsoft.com/office/drawing/2014/main" id="{00000000-0008-0000-0A00-000081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30" name="2586 CuadroTexto">
          <a:extLst>
            <a:ext uri="{FF2B5EF4-FFF2-40B4-BE49-F238E27FC236}">
              <a16:creationId xmlns:a16="http://schemas.microsoft.com/office/drawing/2014/main" id="{00000000-0008-0000-0A00-000082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31" name="2587 CuadroTexto">
          <a:extLst>
            <a:ext uri="{FF2B5EF4-FFF2-40B4-BE49-F238E27FC236}">
              <a16:creationId xmlns:a16="http://schemas.microsoft.com/office/drawing/2014/main" id="{00000000-0008-0000-0A00-000083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32" name="2588 CuadroTexto">
          <a:extLst>
            <a:ext uri="{FF2B5EF4-FFF2-40B4-BE49-F238E27FC236}">
              <a16:creationId xmlns:a16="http://schemas.microsoft.com/office/drawing/2014/main" id="{00000000-0008-0000-0A00-000084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33" name="2589 CuadroTexto">
          <a:extLst>
            <a:ext uri="{FF2B5EF4-FFF2-40B4-BE49-F238E27FC236}">
              <a16:creationId xmlns:a16="http://schemas.microsoft.com/office/drawing/2014/main" id="{00000000-0008-0000-0A00-000085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34" name="240 CuadroTexto">
          <a:extLst>
            <a:ext uri="{FF2B5EF4-FFF2-40B4-BE49-F238E27FC236}">
              <a16:creationId xmlns:a16="http://schemas.microsoft.com/office/drawing/2014/main" id="{00000000-0008-0000-0A00-000086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35" name="241 CuadroTexto">
          <a:extLst>
            <a:ext uri="{FF2B5EF4-FFF2-40B4-BE49-F238E27FC236}">
              <a16:creationId xmlns:a16="http://schemas.microsoft.com/office/drawing/2014/main" id="{00000000-0008-0000-0A00-000087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36" name="246 CuadroTexto">
          <a:extLst>
            <a:ext uri="{FF2B5EF4-FFF2-40B4-BE49-F238E27FC236}">
              <a16:creationId xmlns:a16="http://schemas.microsoft.com/office/drawing/2014/main" id="{00000000-0008-0000-0A00-000088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37" name="247 CuadroTexto">
          <a:extLst>
            <a:ext uri="{FF2B5EF4-FFF2-40B4-BE49-F238E27FC236}">
              <a16:creationId xmlns:a16="http://schemas.microsoft.com/office/drawing/2014/main" id="{00000000-0008-0000-0A00-000089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38" name="248 CuadroTexto">
          <a:extLst>
            <a:ext uri="{FF2B5EF4-FFF2-40B4-BE49-F238E27FC236}">
              <a16:creationId xmlns:a16="http://schemas.microsoft.com/office/drawing/2014/main" id="{00000000-0008-0000-0A00-00008A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1748</xdr:row>
      <xdr:rowOff>0</xdr:rowOff>
    </xdr:from>
    <xdr:ext cx="184731" cy="264560"/>
    <xdr:sp macro="" textlink="">
      <xdr:nvSpPr>
        <xdr:cNvPr id="139" name="249 CuadroTexto">
          <a:extLst>
            <a:ext uri="{FF2B5EF4-FFF2-40B4-BE49-F238E27FC236}">
              <a16:creationId xmlns:a16="http://schemas.microsoft.com/office/drawing/2014/main" id="{00000000-0008-0000-0A00-00008B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twoCellAnchor>
    <xdr:from>
      <xdr:col>2</xdr:col>
      <xdr:colOff>1992309</xdr:colOff>
      <xdr:row>1748</xdr:row>
      <xdr:rowOff>1592</xdr:rowOff>
    </xdr:from>
    <xdr:to>
      <xdr:col>2</xdr:col>
      <xdr:colOff>1993104</xdr:colOff>
      <xdr:row>1748</xdr:row>
      <xdr:rowOff>1592</xdr:rowOff>
    </xdr:to>
    <xdr:cxnSp macro="">
      <xdr:nvCxnSpPr>
        <xdr:cNvPr id="140" name="1790 Conector recto">
          <a:extLst>
            <a:ext uri="{FF2B5EF4-FFF2-40B4-BE49-F238E27FC236}">
              <a16:creationId xmlns:a16="http://schemas.microsoft.com/office/drawing/2014/main" id="{00000000-0008-0000-0A00-00008C000000}"/>
            </a:ext>
          </a:extLst>
        </xdr:cNvPr>
        <xdr:cNvCxnSpPr/>
      </xdr:nvCxnSpPr>
      <xdr:spPr>
        <a:xfrm rot="5400000">
          <a:off x="2764232" y="406061469"/>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142871</xdr:colOff>
      <xdr:row>1748</xdr:row>
      <xdr:rowOff>4</xdr:rowOff>
    </xdr:from>
    <xdr:to>
      <xdr:col>3</xdr:col>
      <xdr:colOff>142872</xdr:colOff>
      <xdr:row>1748</xdr:row>
      <xdr:rowOff>4</xdr:rowOff>
    </xdr:to>
    <xdr:cxnSp macro="">
      <xdr:nvCxnSpPr>
        <xdr:cNvPr id="141" name="1802 Conector recto">
          <a:extLst>
            <a:ext uri="{FF2B5EF4-FFF2-40B4-BE49-F238E27FC236}">
              <a16:creationId xmlns:a16="http://schemas.microsoft.com/office/drawing/2014/main" id="{00000000-0008-0000-0A00-00008D000000}"/>
            </a:ext>
          </a:extLst>
        </xdr:cNvPr>
        <xdr:cNvCxnSpPr/>
      </xdr:nvCxnSpPr>
      <xdr:spPr>
        <a:xfrm rot="16200000" flipH="1">
          <a:off x="2905122" y="406060278"/>
          <a:ext cx="0" cy="1"/>
        </a:xfrm>
        <a:prstGeom prst="line">
          <a:avLst/>
        </a:prstGeom>
        <a:ln w="285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520819</xdr:colOff>
      <xdr:row>1748</xdr:row>
      <xdr:rowOff>1592</xdr:rowOff>
    </xdr:from>
    <xdr:to>
      <xdr:col>2</xdr:col>
      <xdr:colOff>521614</xdr:colOff>
      <xdr:row>1748</xdr:row>
      <xdr:rowOff>1592</xdr:rowOff>
    </xdr:to>
    <xdr:cxnSp macro="">
      <xdr:nvCxnSpPr>
        <xdr:cNvPr id="142" name="1888 Conector recto">
          <a:extLst>
            <a:ext uri="{FF2B5EF4-FFF2-40B4-BE49-F238E27FC236}">
              <a16:creationId xmlns:a16="http://schemas.microsoft.com/office/drawing/2014/main" id="{00000000-0008-0000-0A00-00008E000000}"/>
            </a:ext>
          </a:extLst>
        </xdr:cNvPr>
        <xdr:cNvCxnSpPr/>
      </xdr:nvCxnSpPr>
      <xdr:spPr>
        <a:xfrm rot="5400000">
          <a:off x="1378467" y="406061469"/>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1627</xdr:colOff>
      <xdr:row>1747</xdr:row>
      <xdr:rowOff>0</xdr:rowOff>
    </xdr:from>
    <xdr:ext cx="184731" cy="264560"/>
    <xdr:sp macro="" textlink="">
      <xdr:nvSpPr>
        <xdr:cNvPr id="143" name="2584 CuadroTexto">
          <a:extLst>
            <a:ext uri="{FF2B5EF4-FFF2-40B4-BE49-F238E27FC236}">
              <a16:creationId xmlns:a16="http://schemas.microsoft.com/office/drawing/2014/main" id="{00000000-0008-0000-0A00-00008F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44" name="2585 CuadroTexto">
          <a:extLst>
            <a:ext uri="{FF2B5EF4-FFF2-40B4-BE49-F238E27FC236}">
              <a16:creationId xmlns:a16="http://schemas.microsoft.com/office/drawing/2014/main" id="{00000000-0008-0000-0A00-000090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45" name="2586 CuadroTexto">
          <a:extLst>
            <a:ext uri="{FF2B5EF4-FFF2-40B4-BE49-F238E27FC236}">
              <a16:creationId xmlns:a16="http://schemas.microsoft.com/office/drawing/2014/main" id="{00000000-0008-0000-0A00-000091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46" name="2587 CuadroTexto">
          <a:extLst>
            <a:ext uri="{FF2B5EF4-FFF2-40B4-BE49-F238E27FC236}">
              <a16:creationId xmlns:a16="http://schemas.microsoft.com/office/drawing/2014/main" id="{00000000-0008-0000-0A00-000092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47" name="2588 CuadroTexto">
          <a:extLst>
            <a:ext uri="{FF2B5EF4-FFF2-40B4-BE49-F238E27FC236}">
              <a16:creationId xmlns:a16="http://schemas.microsoft.com/office/drawing/2014/main" id="{00000000-0008-0000-0A00-000093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48" name="2589 CuadroTexto">
          <a:extLst>
            <a:ext uri="{FF2B5EF4-FFF2-40B4-BE49-F238E27FC236}">
              <a16:creationId xmlns:a16="http://schemas.microsoft.com/office/drawing/2014/main" id="{00000000-0008-0000-0A00-000094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49" name="240 CuadroTexto">
          <a:extLst>
            <a:ext uri="{FF2B5EF4-FFF2-40B4-BE49-F238E27FC236}">
              <a16:creationId xmlns:a16="http://schemas.microsoft.com/office/drawing/2014/main" id="{00000000-0008-0000-0A00-000095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50" name="241 CuadroTexto">
          <a:extLst>
            <a:ext uri="{FF2B5EF4-FFF2-40B4-BE49-F238E27FC236}">
              <a16:creationId xmlns:a16="http://schemas.microsoft.com/office/drawing/2014/main" id="{00000000-0008-0000-0A00-000096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51" name="246 CuadroTexto">
          <a:extLst>
            <a:ext uri="{FF2B5EF4-FFF2-40B4-BE49-F238E27FC236}">
              <a16:creationId xmlns:a16="http://schemas.microsoft.com/office/drawing/2014/main" id="{00000000-0008-0000-0A00-000097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52" name="247 CuadroTexto">
          <a:extLst>
            <a:ext uri="{FF2B5EF4-FFF2-40B4-BE49-F238E27FC236}">
              <a16:creationId xmlns:a16="http://schemas.microsoft.com/office/drawing/2014/main" id="{00000000-0008-0000-0A00-000098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53" name="248 CuadroTexto">
          <a:extLst>
            <a:ext uri="{FF2B5EF4-FFF2-40B4-BE49-F238E27FC236}">
              <a16:creationId xmlns:a16="http://schemas.microsoft.com/office/drawing/2014/main" id="{00000000-0008-0000-0A00-000099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1747</xdr:row>
      <xdr:rowOff>0</xdr:rowOff>
    </xdr:from>
    <xdr:ext cx="184731" cy="264560"/>
    <xdr:sp macro="" textlink="">
      <xdr:nvSpPr>
        <xdr:cNvPr id="154" name="249 CuadroTexto">
          <a:extLst>
            <a:ext uri="{FF2B5EF4-FFF2-40B4-BE49-F238E27FC236}">
              <a16:creationId xmlns:a16="http://schemas.microsoft.com/office/drawing/2014/main" id="{00000000-0008-0000-0A00-00009A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55" name="2584 CuadroTexto">
          <a:extLst>
            <a:ext uri="{FF2B5EF4-FFF2-40B4-BE49-F238E27FC236}">
              <a16:creationId xmlns:a16="http://schemas.microsoft.com/office/drawing/2014/main" id="{00000000-0008-0000-0A00-00009B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56" name="2585 CuadroTexto">
          <a:extLst>
            <a:ext uri="{FF2B5EF4-FFF2-40B4-BE49-F238E27FC236}">
              <a16:creationId xmlns:a16="http://schemas.microsoft.com/office/drawing/2014/main" id="{00000000-0008-0000-0A00-00009C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57" name="2586 CuadroTexto">
          <a:extLst>
            <a:ext uri="{FF2B5EF4-FFF2-40B4-BE49-F238E27FC236}">
              <a16:creationId xmlns:a16="http://schemas.microsoft.com/office/drawing/2014/main" id="{00000000-0008-0000-0A00-00009D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58" name="2587 CuadroTexto">
          <a:extLst>
            <a:ext uri="{FF2B5EF4-FFF2-40B4-BE49-F238E27FC236}">
              <a16:creationId xmlns:a16="http://schemas.microsoft.com/office/drawing/2014/main" id="{00000000-0008-0000-0A00-00009E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59" name="2588 CuadroTexto">
          <a:extLst>
            <a:ext uri="{FF2B5EF4-FFF2-40B4-BE49-F238E27FC236}">
              <a16:creationId xmlns:a16="http://schemas.microsoft.com/office/drawing/2014/main" id="{00000000-0008-0000-0A00-00009F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1746</xdr:row>
      <xdr:rowOff>0</xdr:rowOff>
    </xdr:from>
    <xdr:ext cx="184731" cy="264560"/>
    <xdr:sp macro="" textlink="">
      <xdr:nvSpPr>
        <xdr:cNvPr id="160" name="2589 CuadroTexto">
          <a:extLst>
            <a:ext uri="{FF2B5EF4-FFF2-40B4-BE49-F238E27FC236}">
              <a16:creationId xmlns:a16="http://schemas.microsoft.com/office/drawing/2014/main" id="{00000000-0008-0000-0A00-0000A0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wsDr>
</file>

<file path=xl/drawings/drawing10.xml><?xml version="1.0" encoding="utf-8"?>
<xdr:wsDr xmlns:xdr="http://schemas.openxmlformats.org/drawingml/2006/spreadsheetDrawing" xmlns:a="http://schemas.openxmlformats.org/drawingml/2006/main">
  <xdr:twoCellAnchor editAs="oneCell">
    <xdr:from>
      <xdr:col>2</xdr:col>
      <xdr:colOff>457200</xdr:colOff>
      <xdr:row>0</xdr:row>
      <xdr:rowOff>95250</xdr:rowOff>
    </xdr:from>
    <xdr:to>
      <xdr:col>2</xdr:col>
      <xdr:colOff>1685925</xdr:colOff>
      <xdr:row>0</xdr:row>
      <xdr:rowOff>972911</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4450" y="95250"/>
          <a:ext cx="1228725" cy="877661"/>
        </a:xfrm>
        <a:prstGeom prst="rect">
          <a:avLst/>
        </a:prstGeom>
      </xdr:spPr>
    </xdr:pic>
    <xdr:clientData/>
  </xdr:twoCellAnchor>
  <xdr:oneCellAnchor>
    <xdr:from>
      <xdr:col>1</xdr:col>
      <xdr:colOff>538202</xdr:colOff>
      <xdr:row>309</xdr:row>
      <xdr:rowOff>0</xdr:rowOff>
    </xdr:from>
    <xdr:ext cx="184731" cy="264560"/>
    <xdr:sp macro="" textlink="">
      <xdr:nvSpPr>
        <xdr:cNvPr id="3" name="673 CuadroTexto">
          <a:extLst>
            <a:ext uri="{FF2B5EF4-FFF2-40B4-BE49-F238E27FC236}">
              <a16:creationId xmlns:a16="http://schemas.microsoft.com/office/drawing/2014/main" id="{00000000-0008-0000-0B00-000003000000}"/>
            </a:ext>
          </a:extLst>
        </xdr:cNvPr>
        <xdr:cNvSpPr txBox="1"/>
      </xdr:nvSpPr>
      <xdr:spPr>
        <a:xfrm>
          <a:off x="85252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4" name="919 CuadroTexto">
          <a:extLst>
            <a:ext uri="{FF2B5EF4-FFF2-40B4-BE49-F238E27FC236}">
              <a16:creationId xmlns:a16="http://schemas.microsoft.com/office/drawing/2014/main" id="{00000000-0008-0000-0B00-000004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5" name="921 CuadroTexto">
          <a:extLst>
            <a:ext uri="{FF2B5EF4-FFF2-40B4-BE49-F238E27FC236}">
              <a16:creationId xmlns:a16="http://schemas.microsoft.com/office/drawing/2014/main" id="{00000000-0008-0000-0B00-000005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6" name="995 CuadroTexto">
          <a:extLst>
            <a:ext uri="{FF2B5EF4-FFF2-40B4-BE49-F238E27FC236}">
              <a16:creationId xmlns:a16="http://schemas.microsoft.com/office/drawing/2014/main" id="{00000000-0008-0000-0B00-000006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7" name="997 CuadroTexto">
          <a:extLst>
            <a:ext uri="{FF2B5EF4-FFF2-40B4-BE49-F238E27FC236}">
              <a16:creationId xmlns:a16="http://schemas.microsoft.com/office/drawing/2014/main" id="{00000000-0008-0000-0B00-000007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538202</xdr:colOff>
      <xdr:row>309</xdr:row>
      <xdr:rowOff>0</xdr:rowOff>
    </xdr:from>
    <xdr:ext cx="184731" cy="264560"/>
    <xdr:sp macro="" textlink="">
      <xdr:nvSpPr>
        <xdr:cNvPr id="8" name="1940 CuadroTexto">
          <a:extLst>
            <a:ext uri="{FF2B5EF4-FFF2-40B4-BE49-F238E27FC236}">
              <a16:creationId xmlns:a16="http://schemas.microsoft.com/office/drawing/2014/main" id="{00000000-0008-0000-0B00-000008000000}"/>
            </a:ext>
          </a:extLst>
        </xdr:cNvPr>
        <xdr:cNvSpPr txBox="1"/>
      </xdr:nvSpPr>
      <xdr:spPr>
        <a:xfrm>
          <a:off x="85252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9" name="2584 CuadroTexto">
          <a:extLst>
            <a:ext uri="{FF2B5EF4-FFF2-40B4-BE49-F238E27FC236}">
              <a16:creationId xmlns:a16="http://schemas.microsoft.com/office/drawing/2014/main" id="{00000000-0008-0000-0B00-000009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0" name="2585 CuadroTexto">
          <a:extLst>
            <a:ext uri="{FF2B5EF4-FFF2-40B4-BE49-F238E27FC236}">
              <a16:creationId xmlns:a16="http://schemas.microsoft.com/office/drawing/2014/main" id="{00000000-0008-0000-0B00-00000A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1" name="2586 CuadroTexto">
          <a:extLst>
            <a:ext uri="{FF2B5EF4-FFF2-40B4-BE49-F238E27FC236}">
              <a16:creationId xmlns:a16="http://schemas.microsoft.com/office/drawing/2014/main" id="{00000000-0008-0000-0B00-00000B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2" name="2587 CuadroTexto">
          <a:extLst>
            <a:ext uri="{FF2B5EF4-FFF2-40B4-BE49-F238E27FC236}">
              <a16:creationId xmlns:a16="http://schemas.microsoft.com/office/drawing/2014/main" id="{00000000-0008-0000-0B00-00000C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3" name="2588 CuadroTexto">
          <a:extLst>
            <a:ext uri="{FF2B5EF4-FFF2-40B4-BE49-F238E27FC236}">
              <a16:creationId xmlns:a16="http://schemas.microsoft.com/office/drawing/2014/main" id="{00000000-0008-0000-0B00-00000D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4" name="2589 CuadroTexto">
          <a:extLst>
            <a:ext uri="{FF2B5EF4-FFF2-40B4-BE49-F238E27FC236}">
              <a16:creationId xmlns:a16="http://schemas.microsoft.com/office/drawing/2014/main" id="{00000000-0008-0000-0B00-00000E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5" name="240 CuadroTexto">
          <a:extLst>
            <a:ext uri="{FF2B5EF4-FFF2-40B4-BE49-F238E27FC236}">
              <a16:creationId xmlns:a16="http://schemas.microsoft.com/office/drawing/2014/main" id="{00000000-0008-0000-0B00-00000F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6" name="241 CuadroTexto">
          <a:extLst>
            <a:ext uri="{FF2B5EF4-FFF2-40B4-BE49-F238E27FC236}">
              <a16:creationId xmlns:a16="http://schemas.microsoft.com/office/drawing/2014/main" id="{00000000-0008-0000-0B00-000010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7" name="246 CuadroTexto">
          <a:extLst>
            <a:ext uri="{FF2B5EF4-FFF2-40B4-BE49-F238E27FC236}">
              <a16:creationId xmlns:a16="http://schemas.microsoft.com/office/drawing/2014/main" id="{00000000-0008-0000-0B00-000011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8" name="247 CuadroTexto">
          <a:extLst>
            <a:ext uri="{FF2B5EF4-FFF2-40B4-BE49-F238E27FC236}">
              <a16:creationId xmlns:a16="http://schemas.microsoft.com/office/drawing/2014/main" id="{00000000-0008-0000-0B00-000012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9" name="248 CuadroTexto">
          <a:extLst>
            <a:ext uri="{FF2B5EF4-FFF2-40B4-BE49-F238E27FC236}">
              <a16:creationId xmlns:a16="http://schemas.microsoft.com/office/drawing/2014/main" id="{00000000-0008-0000-0B00-000013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20" name="249 CuadroTexto">
          <a:extLst>
            <a:ext uri="{FF2B5EF4-FFF2-40B4-BE49-F238E27FC236}">
              <a16:creationId xmlns:a16="http://schemas.microsoft.com/office/drawing/2014/main" id="{00000000-0008-0000-0B00-000014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538202</xdr:colOff>
      <xdr:row>309</xdr:row>
      <xdr:rowOff>0</xdr:rowOff>
    </xdr:from>
    <xdr:ext cx="184731" cy="264560"/>
    <xdr:sp macro="" textlink="">
      <xdr:nvSpPr>
        <xdr:cNvPr id="21" name="673 CuadroTexto">
          <a:extLst>
            <a:ext uri="{FF2B5EF4-FFF2-40B4-BE49-F238E27FC236}">
              <a16:creationId xmlns:a16="http://schemas.microsoft.com/office/drawing/2014/main" id="{00000000-0008-0000-0B00-000015000000}"/>
            </a:ext>
          </a:extLst>
        </xdr:cNvPr>
        <xdr:cNvSpPr txBox="1"/>
      </xdr:nvSpPr>
      <xdr:spPr>
        <a:xfrm>
          <a:off x="85252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22" name="919 CuadroTexto">
          <a:extLst>
            <a:ext uri="{FF2B5EF4-FFF2-40B4-BE49-F238E27FC236}">
              <a16:creationId xmlns:a16="http://schemas.microsoft.com/office/drawing/2014/main" id="{00000000-0008-0000-0B00-000016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23" name="921 CuadroTexto">
          <a:extLst>
            <a:ext uri="{FF2B5EF4-FFF2-40B4-BE49-F238E27FC236}">
              <a16:creationId xmlns:a16="http://schemas.microsoft.com/office/drawing/2014/main" id="{00000000-0008-0000-0B00-000017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24" name="995 CuadroTexto">
          <a:extLst>
            <a:ext uri="{FF2B5EF4-FFF2-40B4-BE49-F238E27FC236}">
              <a16:creationId xmlns:a16="http://schemas.microsoft.com/office/drawing/2014/main" id="{00000000-0008-0000-0B00-000018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25" name="997 CuadroTexto">
          <a:extLst>
            <a:ext uri="{FF2B5EF4-FFF2-40B4-BE49-F238E27FC236}">
              <a16:creationId xmlns:a16="http://schemas.microsoft.com/office/drawing/2014/main" id="{00000000-0008-0000-0B00-000019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538202</xdr:colOff>
      <xdr:row>309</xdr:row>
      <xdr:rowOff>0</xdr:rowOff>
    </xdr:from>
    <xdr:ext cx="184731" cy="264560"/>
    <xdr:sp macro="" textlink="">
      <xdr:nvSpPr>
        <xdr:cNvPr id="26" name="1940 CuadroTexto">
          <a:extLst>
            <a:ext uri="{FF2B5EF4-FFF2-40B4-BE49-F238E27FC236}">
              <a16:creationId xmlns:a16="http://schemas.microsoft.com/office/drawing/2014/main" id="{00000000-0008-0000-0B00-00001A000000}"/>
            </a:ext>
          </a:extLst>
        </xdr:cNvPr>
        <xdr:cNvSpPr txBox="1"/>
      </xdr:nvSpPr>
      <xdr:spPr>
        <a:xfrm>
          <a:off x="85252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27" name="2584 CuadroTexto">
          <a:extLst>
            <a:ext uri="{FF2B5EF4-FFF2-40B4-BE49-F238E27FC236}">
              <a16:creationId xmlns:a16="http://schemas.microsoft.com/office/drawing/2014/main" id="{00000000-0008-0000-0B00-00001B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28" name="2585 CuadroTexto">
          <a:extLst>
            <a:ext uri="{FF2B5EF4-FFF2-40B4-BE49-F238E27FC236}">
              <a16:creationId xmlns:a16="http://schemas.microsoft.com/office/drawing/2014/main" id="{00000000-0008-0000-0B00-00001C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29" name="2586 CuadroTexto">
          <a:extLst>
            <a:ext uri="{FF2B5EF4-FFF2-40B4-BE49-F238E27FC236}">
              <a16:creationId xmlns:a16="http://schemas.microsoft.com/office/drawing/2014/main" id="{00000000-0008-0000-0B00-00001D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30" name="2587 CuadroTexto">
          <a:extLst>
            <a:ext uri="{FF2B5EF4-FFF2-40B4-BE49-F238E27FC236}">
              <a16:creationId xmlns:a16="http://schemas.microsoft.com/office/drawing/2014/main" id="{00000000-0008-0000-0B00-00001E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31" name="2588 CuadroTexto">
          <a:extLst>
            <a:ext uri="{FF2B5EF4-FFF2-40B4-BE49-F238E27FC236}">
              <a16:creationId xmlns:a16="http://schemas.microsoft.com/office/drawing/2014/main" id="{00000000-0008-0000-0B00-00001F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32" name="2589 CuadroTexto">
          <a:extLst>
            <a:ext uri="{FF2B5EF4-FFF2-40B4-BE49-F238E27FC236}">
              <a16:creationId xmlns:a16="http://schemas.microsoft.com/office/drawing/2014/main" id="{00000000-0008-0000-0B00-000020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33" name="240 CuadroTexto">
          <a:extLst>
            <a:ext uri="{FF2B5EF4-FFF2-40B4-BE49-F238E27FC236}">
              <a16:creationId xmlns:a16="http://schemas.microsoft.com/office/drawing/2014/main" id="{00000000-0008-0000-0B00-000021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34" name="241 CuadroTexto">
          <a:extLst>
            <a:ext uri="{FF2B5EF4-FFF2-40B4-BE49-F238E27FC236}">
              <a16:creationId xmlns:a16="http://schemas.microsoft.com/office/drawing/2014/main" id="{00000000-0008-0000-0B00-000022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35" name="246 CuadroTexto">
          <a:extLst>
            <a:ext uri="{FF2B5EF4-FFF2-40B4-BE49-F238E27FC236}">
              <a16:creationId xmlns:a16="http://schemas.microsoft.com/office/drawing/2014/main" id="{00000000-0008-0000-0B00-000023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36" name="247 CuadroTexto">
          <a:extLst>
            <a:ext uri="{FF2B5EF4-FFF2-40B4-BE49-F238E27FC236}">
              <a16:creationId xmlns:a16="http://schemas.microsoft.com/office/drawing/2014/main" id="{00000000-0008-0000-0B00-000024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37" name="248 CuadroTexto">
          <a:extLst>
            <a:ext uri="{FF2B5EF4-FFF2-40B4-BE49-F238E27FC236}">
              <a16:creationId xmlns:a16="http://schemas.microsoft.com/office/drawing/2014/main" id="{00000000-0008-0000-0B00-000025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38" name="249 CuadroTexto">
          <a:extLst>
            <a:ext uri="{FF2B5EF4-FFF2-40B4-BE49-F238E27FC236}">
              <a16:creationId xmlns:a16="http://schemas.microsoft.com/office/drawing/2014/main" id="{00000000-0008-0000-0B00-000026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39" name="2429 CuadroTexto">
          <a:extLst>
            <a:ext uri="{FF2B5EF4-FFF2-40B4-BE49-F238E27FC236}">
              <a16:creationId xmlns:a16="http://schemas.microsoft.com/office/drawing/2014/main" id="{00000000-0008-0000-0B00-000027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40" name="2430 CuadroTexto">
          <a:extLst>
            <a:ext uri="{FF2B5EF4-FFF2-40B4-BE49-F238E27FC236}">
              <a16:creationId xmlns:a16="http://schemas.microsoft.com/office/drawing/2014/main" id="{00000000-0008-0000-0B00-000028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41" name="2431 CuadroTexto">
          <a:extLst>
            <a:ext uri="{FF2B5EF4-FFF2-40B4-BE49-F238E27FC236}">
              <a16:creationId xmlns:a16="http://schemas.microsoft.com/office/drawing/2014/main" id="{00000000-0008-0000-0B00-000029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42" name="2432 CuadroTexto">
          <a:extLst>
            <a:ext uri="{FF2B5EF4-FFF2-40B4-BE49-F238E27FC236}">
              <a16:creationId xmlns:a16="http://schemas.microsoft.com/office/drawing/2014/main" id="{00000000-0008-0000-0B00-00002A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43" name="2433 CuadroTexto">
          <a:extLst>
            <a:ext uri="{FF2B5EF4-FFF2-40B4-BE49-F238E27FC236}">
              <a16:creationId xmlns:a16="http://schemas.microsoft.com/office/drawing/2014/main" id="{00000000-0008-0000-0B00-00002B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44" name="2434 CuadroTexto">
          <a:extLst>
            <a:ext uri="{FF2B5EF4-FFF2-40B4-BE49-F238E27FC236}">
              <a16:creationId xmlns:a16="http://schemas.microsoft.com/office/drawing/2014/main" id="{00000000-0008-0000-0B00-00002C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45" name="2584 CuadroTexto">
          <a:extLst>
            <a:ext uri="{FF2B5EF4-FFF2-40B4-BE49-F238E27FC236}">
              <a16:creationId xmlns:a16="http://schemas.microsoft.com/office/drawing/2014/main" id="{00000000-0008-0000-0B00-00002D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46" name="2585 CuadroTexto">
          <a:extLst>
            <a:ext uri="{FF2B5EF4-FFF2-40B4-BE49-F238E27FC236}">
              <a16:creationId xmlns:a16="http://schemas.microsoft.com/office/drawing/2014/main" id="{00000000-0008-0000-0B00-00002E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47" name="2586 CuadroTexto">
          <a:extLst>
            <a:ext uri="{FF2B5EF4-FFF2-40B4-BE49-F238E27FC236}">
              <a16:creationId xmlns:a16="http://schemas.microsoft.com/office/drawing/2014/main" id="{00000000-0008-0000-0B00-00002F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48" name="2587 CuadroTexto">
          <a:extLst>
            <a:ext uri="{FF2B5EF4-FFF2-40B4-BE49-F238E27FC236}">
              <a16:creationId xmlns:a16="http://schemas.microsoft.com/office/drawing/2014/main" id="{00000000-0008-0000-0B00-000030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49" name="2588 CuadroTexto">
          <a:extLst>
            <a:ext uri="{FF2B5EF4-FFF2-40B4-BE49-F238E27FC236}">
              <a16:creationId xmlns:a16="http://schemas.microsoft.com/office/drawing/2014/main" id="{00000000-0008-0000-0B00-000031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50" name="2589 CuadroTexto">
          <a:extLst>
            <a:ext uri="{FF2B5EF4-FFF2-40B4-BE49-F238E27FC236}">
              <a16:creationId xmlns:a16="http://schemas.microsoft.com/office/drawing/2014/main" id="{00000000-0008-0000-0B00-000032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51" name="240 CuadroTexto">
          <a:extLst>
            <a:ext uri="{FF2B5EF4-FFF2-40B4-BE49-F238E27FC236}">
              <a16:creationId xmlns:a16="http://schemas.microsoft.com/office/drawing/2014/main" id="{00000000-0008-0000-0B00-000033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52" name="241 CuadroTexto">
          <a:extLst>
            <a:ext uri="{FF2B5EF4-FFF2-40B4-BE49-F238E27FC236}">
              <a16:creationId xmlns:a16="http://schemas.microsoft.com/office/drawing/2014/main" id="{00000000-0008-0000-0B00-000034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53" name="246 CuadroTexto">
          <a:extLst>
            <a:ext uri="{FF2B5EF4-FFF2-40B4-BE49-F238E27FC236}">
              <a16:creationId xmlns:a16="http://schemas.microsoft.com/office/drawing/2014/main" id="{00000000-0008-0000-0B00-000035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54" name="247 CuadroTexto">
          <a:extLst>
            <a:ext uri="{FF2B5EF4-FFF2-40B4-BE49-F238E27FC236}">
              <a16:creationId xmlns:a16="http://schemas.microsoft.com/office/drawing/2014/main" id="{00000000-0008-0000-0B00-000036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55" name="248 CuadroTexto">
          <a:extLst>
            <a:ext uri="{FF2B5EF4-FFF2-40B4-BE49-F238E27FC236}">
              <a16:creationId xmlns:a16="http://schemas.microsoft.com/office/drawing/2014/main" id="{00000000-0008-0000-0B00-000037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56" name="249 CuadroTexto">
          <a:extLst>
            <a:ext uri="{FF2B5EF4-FFF2-40B4-BE49-F238E27FC236}">
              <a16:creationId xmlns:a16="http://schemas.microsoft.com/office/drawing/2014/main" id="{00000000-0008-0000-0B00-000038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57" name="2429 CuadroTexto">
          <a:extLst>
            <a:ext uri="{FF2B5EF4-FFF2-40B4-BE49-F238E27FC236}">
              <a16:creationId xmlns:a16="http://schemas.microsoft.com/office/drawing/2014/main" id="{00000000-0008-0000-0B00-000039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58" name="2430 CuadroTexto">
          <a:extLst>
            <a:ext uri="{FF2B5EF4-FFF2-40B4-BE49-F238E27FC236}">
              <a16:creationId xmlns:a16="http://schemas.microsoft.com/office/drawing/2014/main" id="{00000000-0008-0000-0B00-00003A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59" name="2431 CuadroTexto">
          <a:extLst>
            <a:ext uri="{FF2B5EF4-FFF2-40B4-BE49-F238E27FC236}">
              <a16:creationId xmlns:a16="http://schemas.microsoft.com/office/drawing/2014/main" id="{00000000-0008-0000-0B00-00003B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60" name="2432 CuadroTexto">
          <a:extLst>
            <a:ext uri="{FF2B5EF4-FFF2-40B4-BE49-F238E27FC236}">
              <a16:creationId xmlns:a16="http://schemas.microsoft.com/office/drawing/2014/main" id="{00000000-0008-0000-0B00-00003C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61" name="2433 CuadroTexto">
          <a:extLst>
            <a:ext uri="{FF2B5EF4-FFF2-40B4-BE49-F238E27FC236}">
              <a16:creationId xmlns:a16="http://schemas.microsoft.com/office/drawing/2014/main" id="{00000000-0008-0000-0B00-00003D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62" name="2434 CuadroTexto">
          <a:extLst>
            <a:ext uri="{FF2B5EF4-FFF2-40B4-BE49-F238E27FC236}">
              <a16:creationId xmlns:a16="http://schemas.microsoft.com/office/drawing/2014/main" id="{00000000-0008-0000-0B00-00003E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63" name="2584 CuadroTexto">
          <a:extLst>
            <a:ext uri="{FF2B5EF4-FFF2-40B4-BE49-F238E27FC236}">
              <a16:creationId xmlns:a16="http://schemas.microsoft.com/office/drawing/2014/main" id="{00000000-0008-0000-0B00-00003F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64" name="2585 CuadroTexto">
          <a:extLst>
            <a:ext uri="{FF2B5EF4-FFF2-40B4-BE49-F238E27FC236}">
              <a16:creationId xmlns:a16="http://schemas.microsoft.com/office/drawing/2014/main" id="{00000000-0008-0000-0B00-000040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65" name="2586 CuadroTexto">
          <a:extLst>
            <a:ext uri="{FF2B5EF4-FFF2-40B4-BE49-F238E27FC236}">
              <a16:creationId xmlns:a16="http://schemas.microsoft.com/office/drawing/2014/main" id="{00000000-0008-0000-0B00-000041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66" name="2587 CuadroTexto">
          <a:extLst>
            <a:ext uri="{FF2B5EF4-FFF2-40B4-BE49-F238E27FC236}">
              <a16:creationId xmlns:a16="http://schemas.microsoft.com/office/drawing/2014/main" id="{00000000-0008-0000-0B00-000042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67" name="2588 CuadroTexto">
          <a:extLst>
            <a:ext uri="{FF2B5EF4-FFF2-40B4-BE49-F238E27FC236}">
              <a16:creationId xmlns:a16="http://schemas.microsoft.com/office/drawing/2014/main" id="{00000000-0008-0000-0B00-000043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68" name="2589 CuadroTexto">
          <a:extLst>
            <a:ext uri="{FF2B5EF4-FFF2-40B4-BE49-F238E27FC236}">
              <a16:creationId xmlns:a16="http://schemas.microsoft.com/office/drawing/2014/main" id="{00000000-0008-0000-0B00-000044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69" name="240 CuadroTexto">
          <a:extLst>
            <a:ext uri="{FF2B5EF4-FFF2-40B4-BE49-F238E27FC236}">
              <a16:creationId xmlns:a16="http://schemas.microsoft.com/office/drawing/2014/main" id="{00000000-0008-0000-0B00-000045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70" name="241 CuadroTexto">
          <a:extLst>
            <a:ext uri="{FF2B5EF4-FFF2-40B4-BE49-F238E27FC236}">
              <a16:creationId xmlns:a16="http://schemas.microsoft.com/office/drawing/2014/main" id="{00000000-0008-0000-0B00-000046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71" name="246 CuadroTexto">
          <a:extLst>
            <a:ext uri="{FF2B5EF4-FFF2-40B4-BE49-F238E27FC236}">
              <a16:creationId xmlns:a16="http://schemas.microsoft.com/office/drawing/2014/main" id="{00000000-0008-0000-0B00-000047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72" name="247 CuadroTexto">
          <a:extLst>
            <a:ext uri="{FF2B5EF4-FFF2-40B4-BE49-F238E27FC236}">
              <a16:creationId xmlns:a16="http://schemas.microsoft.com/office/drawing/2014/main" id="{00000000-0008-0000-0B00-000048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73" name="248 CuadroTexto">
          <a:extLst>
            <a:ext uri="{FF2B5EF4-FFF2-40B4-BE49-F238E27FC236}">
              <a16:creationId xmlns:a16="http://schemas.microsoft.com/office/drawing/2014/main" id="{00000000-0008-0000-0B00-000049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74" name="249 CuadroTexto">
          <a:extLst>
            <a:ext uri="{FF2B5EF4-FFF2-40B4-BE49-F238E27FC236}">
              <a16:creationId xmlns:a16="http://schemas.microsoft.com/office/drawing/2014/main" id="{00000000-0008-0000-0B00-00004A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538202</xdr:colOff>
      <xdr:row>311</xdr:row>
      <xdr:rowOff>0</xdr:rowOff>
    </xdr:from>
    <xdr:ext cx="184731" cy="264560"/>
    <xdr:sp macro="" textlink="">
      <xdr:nvSpPr>
        <xdr:cNvPr id="75" name="673 CuadroTexto">
          <a:extLst>
            <a:ext uri="{FF2B5EF4-FFF2-40B4-BE49-F238E27FC236}">
              <a16:creationId xmlns:a16="http://schemas.microsoft.com/office/drawing/2014/main" id="{00000000-0008-0000-0B00-00004B000000}"/>
            </a:ext>
          </a:extLst>
        </xdr:cNvPr>
        <xdr:cNvSpPr txBox="1"/>
      </xdr:nvSpPr>
      <xdr:spPr>
        <a:xfrm>
          <a:off x="85252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76" name="919 CuadroTexto">
          <a:extLst>
            <a:ext uri="{FF2B5EF4-FFF2-40B4-BE49-F238E27FC236}">
              <a16:creationId xmlns:a16="http://schemas.microsoft.com/office/drawing/2014/main" id="{00000000-0008-0000-0B00-00004C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77" name="921 CuadroTexto">
          <a:extLst>
            <a:ext uri="{FF2B5EF4-FFF2-40B4-BE49-F238E27FC236}">
              <a16:creationId xmlns:a16="http://schemas.microsoft.com/office/drawing/2014/main" id="{00000000-0008-0000-0B00-00004D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78" name="995 CuadroTexto">
          <a:extLst>
            <a:ext uri="{FF2B5EF4-FFF2-40B4-BE49-F238E27FC236}">
              <a16:creationId xmlns:a16="http://schemas.microsoft.com/office/drawing/2014/main" id="{00000000-0008-0000-0B00-00004E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538202</xdr:colOff>
      <xdr:row>311</xdr:row>
      <xdr:rowOff>0</xdr:rowOff>
    </xdr:from>
    <xdr:ext cx="184731" cy="264560"/>
    <xdr:sp macro="" textlink="">
      <xdr:nvSpPr>
        <xdr:cNvPr id="79" name="1940 CuadroTexto">
          <a:extLst>
            <a:ext uri="{FF2B5EF4-FFF2-40B4-BE49-F238E27FC236}">
              <a16:creationId xmlns:a16="http://schemas.microsoft.com/office/drawing/2014/main" id="{00000000-0008-0000-0B00-00004F000000}"/>
            </a:ext>
          </a:extLst>
        </xdr:cNvPr>
        <xdr:cNvSpPr txBox="1"/>
      </xdr:nvSpPr>
      <xdr:spPr>
        <a:xfrm>
          <a:off x="85252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twoCellAnchor>
    <xdr:from>
      <xdr:col>2</xdr:col>
      <xdr:colOff>1992309</xdr:colOff>
      <xdr:row>310</xdr:row>
      <xdr:rowOff>1592</xdr:rowOff>
    </xdr:from>
    <xdr:to>
      <xdr:col>2</xdr:col>
      <xdr:colOff>1993104</xdr:colOff>
      <xdr:row>310</xdr:row>
      <xdr:rowOff>1592</xdr:rowOff>
    </xdr:to>
    <xdr:cxnSp macro="">
      <xdr:nvCxnSpPr>
        <xdr:cNvPr id="80" name="1790 Conector recto">
          <a:extLst>
            <a:ext uri="{FF2B5EF4-FFF2-40B4-BE49-F238E27FC236}">
              <a16:creationId xmlns:a16="http://schemas.microsoft.com/office/drawing/2014/main" id="{00000000-0008-0000-0B00-000050000000}"/>
            </a:ext>
          </a:extLst>
        </xdr:cNvPr>
        <xdr:cNvCxnSpPr/>
      </xdr:nvCxnSpPr>
      <xdr:spPr>
        <a:xfrm rot="5400000">
          <a:off x="2764232" y="405870969"/>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142871</xdr:colOff>
      <xdr:row>310</xdr:row>
      <xdr:rowOff>4</xdr:rowOff>
    </xdr:from>
    <xdr:to>
      <xdr:col>3</xdr:col>
      <xdr:colOff>142872</xdr:colOff>
      <xdr:row>310</xdr:row>
      <xdr:rowOff>4</xdr:rowOff>
    </xdr:to>
    <xdr:cxnSp macro="">
      <xdr:nvCxnSpPr>
        <xdr:cNvPr id="81" name="1802 Conector recto">
          <a:extLst>
            <a:ext uri="{FF2B5EF4-FFF2-40B4-BE49-F238E27FC236}">
              <a16:creationId xmlns:a16="http://schemas.microsoft.com/office/drawing/2014/main" id="{00000000-0008-0000-0B00-000051000000}"/>
            </a:ext>
          </a:extLst>
        </xdr:cNvPr>
        <xdr:cNvCxnSpPr/>
      </xdr:nvCxnSpPr>
      <xdr:spPr>
        <a:xfrm rot="16200000" flipH="1">
          <a:off x="2905122" y="405869778"/>
          <a:ext cx="0" cy="1"/>
        </a:xfrm>
        <a:prstGeom prst="line">
          <a:avLst/>
        </a:prstGeom>
        <a:ln w="285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520819</xdr:colOff>
      <xdr:row>310</xdr:row>
      <xdr:rowOff>1592</xdr:rowOff>
    </xdr:from>
    <xdr:to>
      <xdr:col>2</xdr:col>
      <xdr:colOff>521614</xdr:colOff>
      <xdr:row>310</xdr:row>
      <xdr:rowOff>1592</xdr:rowOff>
    </xdr:to>
    <xdr:cxnSp macro="">
      <xdr:nvCxnSpPr>
        <xdr:cNvPr id="82" name="1888 Conector recto">
          <a:extLst>
            <a:ext uri="{FF2B5EF4-FFF2-40B4-BE49-F238E27FC236}">
              <a16:creationId xmlns:a16="http://schemas.microsoft.com/office/drawing/2014/main" id="{00000000-0008-0000-0B00-000052000000}"/>
            </a:ext>
          </a:extLst>
        </xdr:cNvPr>
        <xdr:cNvCxnSpPr/>
      </xdr:nvCxnSpPr>
      <xdr:spPr>
        <a:xfrm rot="5400000">
          <a:off x="1378467" y="405870969"/>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1627</xdr:colOff>
      <xdr:row>311</xdr:row>
      <xdr:rowOff>0</xdr:rowOff>
    </xdr:from>
    <xdr:ext cx="184731" cy="264560"/>
    <xdr:sp macro="" textlink="">
      <xdr:nvSpPr>
        <xdr:cNvPr id="83" name="2584 CuadroTexto">
          <a:extLst>
            <a:ext uri="{FF2B5EF4-FFF2-40B4-BE49-F238E27FC236}">
              <a16:creationId xmlns:a16="http://schemas.microsoft.com/office/drawing/2014/main" id="{00000000-0008-0000-0B00-000053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84" name="2585 CuadroTexto">
          <a:extLst>
            <a:ext uri="{FF2B5EF4-FFF2-40B4-BE49-F238E27FC236}">
              <a16:creationId xmlns:a16="http://schemas.microsoft.com/office/drawing/2014/main" id="{00000000-0008-0000-0B00-000054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85" name="2586 CuadroTexto">
          <a:extLst>
            <a:ext uri="{FF2B5EF4-FFF2-40B4-BE49-F238E27FC236}">
              <a16:creationId xmlns:a16="http://schemas.microsoft.com/office/drawing/2014/main" id="{00000000-0008-0000-0B00-000055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86" name="2587 CuadroTexto">
          <a:extLst>
            <a:ext uri="{FF2B5EF4-FFF2-40B4-BE49-F238E27FC236}">
              <a16:creationId xmlns:a16="http://schemas.microsoft.com/office/drawing/2014/main" id="{00000000-0008-0000-0B00-000056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87" name="2588 CuadroTexto">
          <a:extLst>
            <a:ext uri="{FF2B5EF4-FFF2-40B4-BE49-F238E27FC236}">
              <a16:creationId xmlns:a16="http://schemas.microsoft.com/office/drawing/2014/main" id="{00000000-0008-0000-0B00-000057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88" name="2589 CuadroTexto">
          <a:extLst>
            <a:ext uri="{FF2B5EF4-FFF2-40B4-BE49-F238E27FC236}">
              <a16:creationId xmlns:a16="http://schemas.microsoft.com/office/drawing/2014/main" id="{00000000-0008-0000-0B00-000058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89" name="240 CuadroTexto">
          <a:extLst>
            <a:ext uri="{FF2B5EF4-FFF2-40B4-BE49-F238E27FC236}">
              <a16:creationId xmlns:a16="http://schemas.microsoft.com/office/drawing/2014/main" id="{00000000-0008-0000-0B00-000059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90" name="241 CuadroTexto">
          <a:extLst>
            <a:ext uri="{FF2B5EF4-FFF2-40B4-BE49-F238E27FC236}">
              <a16:creationId xmlns:a16="http://schemas.microsoft.com/office/drawing/2014/main" id="{00000000-0008-0000-0B00-00005A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91" name="246 CuadroTexto">
          <a:extLst>
            <a:ext uri="{FF2B5EF4-FFF2-40B4-BE49-F238E27FC236}">
              <a16:creationId xmlns:a16="http://schemas.microsoft.com/office/drawing/2014/main" id="{00000000-0008-0000-0B00-00005B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92" name="2584 CuadroTexto">
          <a:extLst>
            <a:ext uri="{FF2B5EF4-FFF2-40B4-BE49-F238E27FC236}">
              <a16:creationId xmlns:a16="http://schemas.microsoft.com/office/drawing/2014/main" id="{00000000-0008-0000-0B00-00005C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93" name="2585 CuadroTexto">
          <a:extLst>
            <a:ext uri="{FF2B5EF4-FFF2-40B4-BE49-F238E27FC236}">
              <a16:creationId xmlns:a16="http://schemas.microsoft.com/office/drawing/2014/main" id="{00000000-0008-0000-0B00-00005D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94" name="2586 CuadroTexto">
          <a:extLst>
            <a:ext uri="{FF2B5EF4-FFF2-40B4-BE49-F238E27FC236}">
              <a16:creationId xmlns:a16="http://schemas.microsoft.com/office/drawing/2014/main" id="{00000000-0008-0000-0B00-00005E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95" name="2587 CuadroTexto">
          <a:extLst>
            <a:ext uri="{FF2B5EF4-FFF2-40B4-BE49-F238E27FC236}">
              <a16:creationId xmlns:a16="http://schemas.microsoft.com/office/drawing/2014/main" id="{00000000-0008-0000-0B00-00005F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96" name="2588 CuadroTexto">
          <a:extLst>
            <a:ext uri="{FF2B5EF4-FFF2-40B4-BE49-F238E27FC236}">
              <a16:creationId xmlns:a16="http://schemas.microsoft.com/office/drawing/2014/main" id="{00000000-0008-0000-0B00-000060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97" name="2589 CuadroTexto">
          <a:extLst>
            <a:ext uri="{FF2B5EF4-FFF2-40B4-BE49-F238E27FC236}">
              <a16:creationId xmlns:a16="http://schemas.microsoft.com/office/drawing/2014/main" id="{00000000-0008-0000-0B00-000061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98" name="240 CuadroTexto">
          <a:extLst>
            <a:ext uri="{FF2B5EF4-FFF2-40B4-BE49-F238E27FC236}">
              <a16:creationId xmlns:a16="http://schemas.microsoft.com/office/drawing/2014/main" id="{00000000-0008-0000-0B00-000062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99" name="241 CuadroTexto">
          <a:extLst>
            <a:ext uri="{FF2B5EF4-FFF2-40B4-BE49-F238E27FC236}">
              <a16:creationId xmlns:a16="http://schemas.microsoft.com/office/drawing/2014/main" id="{00000000-0008-0000-0B00-000063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00" name="246 CuadroTexto">
          <a:extLst>
            <a:ext uri="{FF2B5EF4-FFF2-40B4-BE49-F238E27FC236}">
              <a16:creationId xmlns:a16="http://schemas.microsoft.com/office/drawing/2014/main" id="{00000000-0008-0000-0B00-000064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01" name="247 CuadroTexto">
          <a:extLst>
            <a:ext uri="{FF2B5EF4-FFF2-40B4-BE49-F238E27FC236}">
              <a16:creationId xmlns:a16="http://schemas.microsoft.com/office/drawing/2014/main" id="{00000000-0008-0000-0B00-000065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02" name="248 CuadroTexto">
          <a:extLst>
            <a:ext uri="{FF2B5EF4-FFF2-40B4-BE49-F238E27FC236}">
              <a16:creationId xmlns:a16="http://schemas.microsoft.com/office/drawing/2014/main" id="{00000000-0008-0000-0B00-000066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03" name="249 CuadroTexto">
          <a:extLst>
            <a:ext uri="{FF2B5EF4-FFF2-40B4-BE49-F238E27FC236}">
              <a16:creationId xmlns:a16="http://schemas.microsoft.com/office/drawing/2014/main" id="{00000000-0008-0000-0B00-000067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04" name="2429 CuadroTexto">
          <a:extLst>
            <a:ext uri="{FF2B5EF4-FFF2-40B4-BE49-F238E27FC236}">
              <a16:creationId xmlns:a16="http://schemas.microsoft.com/office/drawing/2014/main" id="{00000000-0008-0000-0B00-000068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05" name="2430 CuadroTexto">
          <a:extLst>
            <a:ext uri="{FF2B5EF4-FFF2-40B4-BE49-F238E27FC236}">
              <a16:creationId xmlns:a16="http://schemas.microsoft.com/office/drawing/2014/main" id="{00000000-0008-0000-0B00-000069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06" name="2431 CuadroTexto">
          <a:extLst>
            <a:ext uri="{FF2B5EF4-FFF2-40B4-BE49-F238E27FC236}">
              <a16:creationId xmlns:a16="http://schemas.microsoft.com/office/drawing/2014/main" id="{00000000-0008-0000-0B00-00006A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07" name="2432 CuadroTexto">
          <a:extLst>
            <a:ext uri="{FF2B5EF4-FFF2-40B4-BE49-F238E27FC236}">
              <a16:creationId xmlns:a16="http://schemas.microsoft.com/office/drawing/2014/main" id="{00000000-0008-0000-0B00-00006B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08" name="2433 CuadroTexto">
          <a:extLst>
            <a:ext uri="{FF2B5EF4-FFF2-40B4-BE49-F238E27FC236}">
              <a16:creationId xmlns:a16="http://schemas.microsoft.com/office/drawing/2014/main" id="{00000000-0008-0000-0B00-00006C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09" name="2434 CuadroTexto">
          <a:extLst>
            <a:ext uri="{FF2B5EF4-FFF2-40B4-BE49-F238E27FC236}">
              <a16:creationId xmlns:a16="http://schemas.microsoft.com/office/drawing/2014/main" id="{00000000-0008-0000-0B00-00006D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10" name="2584 CuadroTexto">
          <a:extLst>
            <a:ext uri="{FF2B5EF4-FFF2-40B4-BE49-F238E27FC236}">
              <a16:creationId xmlns:a16="http://schemas.microsoft.com/office/drawing/2014/main" id="{00000000-0008-0000-0B00-00006E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11" name="2585 CuadroTexto">
          <a:extLst>
            <a:ext uri="{FF2B5EF4-FFF2-40B4-BE49-F238E27FC236}">
              <a16:creationId xmlns:a16="http://schemas.microsoft.com/office/drawing/2014/main" id="{00000000-0008-0000-0B00-00006F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12" name="2586 CuadroTexto">
          <a:extLst>
            <a:ext uri="{FF2B5EF4-FFF2-40B4-BE49-F238E27FC236}">
              <a16:creationId xmlns:a16="http://schemas.microsoft.com/office/drawing/2014/main" id="{00000000-0008-0000-0B00-000070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13" name="2587 CuadroTexto">
          <a:extLst>
            <a:ext uri="{FF2B5EF4-FFF2-40B4-BE49-F238E27FC236}">
              <a16:creationId xmlns:a16="http://schemas.microsoft.com/office/drawing/2014/main" id="{00000000-0008-0000-0B00-000071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14" name="2588 CuadroTexto">
          <a:extLst>
            <a:ext uri="{FF2B5EF4-FFF2-40B4-BE49-F238E27FC236}">
              <a16:creationId xmlns:a16="http://schemas.microsoft.com/office/drawing/2014/main" id="{00000000-0008-0000-0B00-000072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15" name="2589 CuadroTexto">
          <a:extLst>
            <a:ext uri="{FF2B5EF4-FFF2-40B4-BE49-F238E27FC236}">
              <a16:creationId xmlns:a16="http://schemas.microsoft.com/office/drawing/2014/main" id="{00000000-0008-0000-0B00-000073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16" name="240 CuadroTexto">
          <a:extLst>
            <a:ext uri="{FF2B5EF4-FFF2-40B4-BE49-F238E27FC236}">
              <a16:creationId xmlns:a16="http://schemas.microsoft.com/office/drawing/2014/main" id="{00000000-0008-0000-0B00-000074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17" name="241 CuadroTexto">
          <a:extLst>
            <a:ext uri="{FF2B5EF4-FFF2-40B4-BE49-F238E27FC236}">
              <a16:creationId xmlns:a16="http://schemas.microsoft.com/office/drawing/2014/main" id="{00000000-0008-0000-0B00-000075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18" name="246 CuadroTexto">
          <a:extLst>
            <a:ext uri="{FF2B5EF4-FFF2-40B4-BE49-F238E27FC236}">
              <a16:creationId xmlns:a16="http://schemas.microsoft.com/office/drawing/2014/main" id="{00000000-0008-0000-0B00-000076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19" name="247 CuadroTexto">
          <a:extLst>
            <a:ext uri="{FF2B5EF4-FFF2-40B4-BE49-F238E27FC236}">
              <a16:creationId xmlns:a16="http://schemas.microsoft.com/office/drawing/2014/main" id="{00000000-0008-0000-0B00-000077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20" name="248 CuadroTexto">
          <a:extLst>
            <a:ext uri="{FF2B5EF4-FFF2-40B4-BE49-F238E27FC236}">
              <a16:creationId xmlns:a16="http://schemas.microsoft.com/office/drawing/2014/main" id="{00000000-0008-0000-0B00-000078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21" name="249 CuadroTexto">
          <a:extLst>
            <a:ext uri="{FF2B5EF4-FFF2-40B4-BE49-F238E27FC236}">
              <a16:creationId xmlns:a16="http://schemas.microsoft.com/office/drawing/2014/main" id="{00000000-0008-0000-0B00-000079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22" name="2429 CuadroTexto">
          <a:extLst>
            <a:ext uri="{FF2B5EF4-FFF2-40B4-BE49-F238E27FC236}">
              <a16:creationId xmlns:a16="http://schemas.microsoft.com/office/drawing/2014/main" id="{00000000-0008-0000-0B00-00007A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23" name="2430 CuadroTexto">
          <a:extLst>
            <a:ext uri="{FF2B5EF4-FFF2-40B4-BE49-F238E27FC236}">
              <a16:creationId xmlns:a16="http://schemas.microsoft.com/office/drawing/2014/main" id="{00000000-0008-0000-0B00-00007B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24" name="2431 CuadroTexto">
          <a:extLst>
            <a:ext uri="{FF2B5EF4-FFF2-40B4-BE49-F238E27FC236}">
              <a16:creationId xmlns:a16="http://schemas.microsoft.com/office/drawing/2014/main" id="{00000000-0008-0000-0B00-00007C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25" name="2432 CuadroTexto">
          <a:extLst>
            <a:ext uri="{FF2B5EF4-FFF2-40B4-BE49-F238E27FC236}">
              <a16:creationId xmlns:a16="http://schemas.microsoft.com/office/drawing/2014/main" id="{00000000-0008-0000-0B00-00007D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26" name="2433 CuadroTexto">
          <a:extLst>
            <a:ext uri="{FF2B5EF4-FFF2-40B4-BE49-F238E27FC236}">
              <a16:creationId xmlns:a16="http://schemas.microsoft.com/office/drawing/2014/main" id="{00000000-0008-0000-0B00-00007E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27" name="2434 CuadroTexto">
          <a:extLst>
            <a:ext uri="{FF2B5EF4-FFF2-40B4-BE49-F238E27FC236}">
              <a16:creationId xmlns:a16="http://schemas.microsoft.com/office/drawing/2014/main" id="{00000000-0008-0000-0B00-00007F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28" name="2584 CuadroTexto">
          <a:extLst>
            <a:ext uri="{FF2B5EF4-FFF2-40B4-BE49-F238E27FC236}">
              <a16:creationId xmlns:a16="http://schemas.microsoft.com/office/drawing/2014/main" id="{00000000-0008-0000-0B00-000080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29" name="2585 CuadroTexto">
          <a:extLst>
            <a:ext uri="{FF2B5EF4-FFF2-40B4-BE49-F238E27FC236}">
              <a16:creationId xmlns:a16="http://schemas.microsoft.com/office/drawing/2014/main" id="{00000000-0008-0000-0B00-000081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30" name="2586 CuadroTexto">
          <a:extLst>
            <a:ext uri="{FF2B5EF4-FFF2-40B4-BE49-F238E27FC236}">
              <a16:creationId xmlns:a16="http://schemas.microsoft.com/office/drawing/2014/main" id="{00000000-0008-0000-0B00-000082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31" name="2587 CuadroTexto">
          <a:extLst>
            <a:ext uri="{FF2B5EF4-FFF2-40B4-BE49-F238E27FC236}">
              <a16:creationId xmlns:a16="http://schemas.microsoft.com/office/drawing/2014/main" id="{00000000-0008-0000-0B00-000083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32" name="2588 CuadroTexto">
          <a:extLst>
            <a:ext uri="{FF2B5EF4-FFF2-40B4-BE49-F238E27FC236}">
              <a16:creationId xmlns:a16="http://schemas.microsoft.com/office/drawing/2014/main" id="{00000000-0008-0000-0B00-000084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33" name="2589 CuadroTexto">
          <a:extLst>
            <a:ext uri="{FF2B5EF4-FFF2-40B4-BE49-F238E27FC236}">
              <a16:creationId xmlns:a16="http://schemas.microsoft.com/office/drawing/2014/main" id="{00000000-0008-0000-0B00-000085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34" name="240 CuadroTexto">
          <a:extLst>
            <a:ext uri="{FF2B5EF4-FFF2-40B4-BE49-F238E27FC236}">
              <a16:creationId xmlns:a16="http://schemas.microsoft.com/office/drawing/2014/main" id="{00000000-0008-0000-0B00-000086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35" name="241 CuadroTexto">
          <a:extLst>
            <a:ext uri="{FF2B5EF4-FFF2-40B4-BE49-F238E27FC236}">
              <a16:creationId xmlns:a16="http://schemas.microsoft.com/office/drawing/2014/main" id="{00000000-0008-0000-0B00-000087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36" name="246 CuadroTexto">
          <a:extLst>
            <a:ext uri="{FF2B5EF4-FFF2-40B4-BE49-F238E27FC236}">
              <a16:creationId xmlns:a16="http://schemas.microsoft.com/office/drawing/2014/main" id="{00000000-0008-0000-0B00-000088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37" name="247 CuadroTexto">
          <a:extLst>
            <a:ext uri="{FF2B5EF4-FFF2-40B4-BE49-F238E27FC236}">
              <a16:creationId xmlns:a16="http://schemas.microsoft.com/office/drawing/2014/main" id="{00000000-0008-0000-0B00-000089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38" name="248 CuadroTexto">
          <a:extLst>
            <a:ext uri="{FF2B5EF4-FFF2-40B4-BE49-F238E27FC236}">
              <a16:creationId xmlns:a16="http://schemas.microsoft.com/office/drawing/2014/main" id="{00000000-0008-0000-0B00-00008A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311</xdr:row>
      <xdr:rowOff>0</xdr:rowOff>
    </xdr:from>
    <xdr:ext cx="184731" cy="264560"/>
    <xdr:sp macro="" textlink="">
      <xdr:nvSpPr>
        <xdr:cNvPr id="139" name="249 CuadroTexto">
          <a:extLst>
            <a:ext uri="{FF2B5EF4-FFF2-40B4-BE49-F238E27FC236}">
              <a16:creationId xmlns:a16="http://schemas.microsoft.com/office/drawing/2014/main" id="{00000000-0008-0000-0B00-00008B000000}"/>
            </a:ext>
          </a:extLst>
        </xdr:cNvPr>
        <xdr:cNvSpPr txBox="1"/>
      </xdr:nvSpPr>
      <xdr:spPr>
        <a:xfrm>
          <a:off x="858877" y="40606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twoCellAnchor>
    <xdr:from>
      <xdr:col>2</xdr:col>
      <xdr:colOff>1992309</xdr:colOff>
      <xdr:row>311</xdr:row>
      <xdr:rowOff>1592</xdr:rowOff>
    </xdr:from>
    <xdr:to>
      <xdr:col>2</xdr:col>
      <xdr:colOff>1993104</xdr:colOff>
      <xdr:row>311</xdr:row>
      <xdr:rowOff>1592</xdr:rowOff>
    </xdr:to>
    <xdr:cxnSp macro="">
      <xdr:nvCxnSpPr>
        <xdr:cNvPr id="140" name="1790 Conector recto">
          <a:extLst>
            <a:ext uri="{FF2B5EF4-FFF2-40B4-BE49-F238E27FC236}">
              <a16:creationId xmlns:a16="http://schemas.microsoft.com/office/drawing/2014/main" id="{00000000-0008-0000-0B00-00008C000000}"/>
            </a:ext>
          </a:extLst>
        </xdr:cNvPr>
        <xdr:cNvCxnSpPr/>
      </xdr:nvCxnSpPr>
      <xdr:spPr>
        <a:xfrm rot="5400000">
          <a:off x="2764232" y="406061469"/>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142871</xdr:colOff>
      <xdr:row>311</xdr:row>
      <xdr:rowOff>4</xdr:rowOff>
    </xdr:from>
    <xdr:to>
      <xdr:col>3</xdr:col>
      <xdr:colOff>142872</xdr:colOff>
      <xdr:row>311</xdr:row>
      <xdr:rowOff>4</xdr:rowOff>
    </xdr:to>
    <xdr:cxnSp macro="">
      <xdr:nvCxnSpPr>
        <xdr:cNvPr id="141" name="1802 Conector recto">
          <a:extLst>
            <a:ext uri="{FF2B5EF4-FFF2-40B4-BE49-F238E27FC236}">
              <a16:creationId xmlns:a16="http://schemas.microsoft.com/office/drawing/2014/main" id="{00000000-0008-0000-0B00-00008D000000}"/>
            </a:ext>
          </a:extLst>
        </xdr:cNvPr>
        <xdr:cNvCxnSpPr/>
      </xdr:nvCxnSpPr>
      <xdr:spPr>
        <a:xfrm rot="16200000" flipH="1">
          <a:off x="2905122" y="406060278"/>
          <a:ext cx="0" cy="1"/>
        </a:xfrm>
        <a:prstGeom prst="line">
          <a:avLst/>
        </a:prstGeom>
        <a:ln w="285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520819</xdr:colOff>
      <xdr:row>311</xdr:row>
      <xdr:rowOff>1592</xdr:rowOff>
    </xdr:from>
    <xdr:to>
      <xdr:col>2</xdr:col>
      <xdr:colOff>521614</xdr:colOff>
      <xdr:row>311</xdr:row>
      <xdr:rowOff>1592</xdr:rowOff>
    </xdr:to>
    <xdr:cxnSp macro="">
      <xdr:nvCxnSpPr>
        <xdr:cNvPr id="142" name="1888 Conector recto">
          <a:extLst>
            <a:ext uri="{FF2B5EF4-FFF2-40B4-BE49-F238E27FC236}">
              <a16:creationId xmlns:a16="http://schemas.microsoft.com/office/drawing/2014/main" id="{00000000-0008-0000-0B00-00008E000000}"/>
            </a:ext>
          </a:extLst>
        </xdr:cNvPr>
        <xdr:cNvCxnSpPr/>
      </xdr:nvCxnSpPr>
      <xdr:spPr>
        <a:xfrm rot="5400000">
          <a:off x="1378467" y="406061469"/>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1627</xdr:colOff>
      <xdr:row>310</xdr:row>
      <xdr:rowOff>0</xdr:rowOff>
    </xdr:from>
    <xdr:ext cx="184731" cy="264560"/>
    <xdr:sp macro="" textlink="">
      <xdr:nvSpPr>
        <xdr:cNvPr id="143" name="2584 CuadroTexto">
          <a:extLst>
            <a:ext uri="{FF2B5EF4-FFF2-40B4-BE49-F238E27FC236}">
              <a16:creationId xmlns:a16="http://schemas.microsoft.com/office/drawing/2014/main" id="{00000000-0008-0000-0B00-00008F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44" name="2585 CuadroTexto">
          <a:extLst>
            <a:ext uri="{FF2B5EF4-FFF2-40B4-BE49-F238E27FC236}">
              <a16:creationId xmlns:a16="http://schemas.microsoft.com/office/drawing/2014/main" id="{00000000-0008-0000-0B00-000090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45" name="2586 CuadroTexto">
          <a:extLst>
            <a:ext uri="{FF2B5EF4-FFF2-40B4-BE49-F238E27FC236}">
              <a16:creationId xmlns:a16="http://schemas.microsoft.com/office/drawing/2014/main" id="{00000000-0008-0000-0B00-000091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46" name="2587 CuadroTexto">
          <a:extLst>
            <a:ext uri="{FF2B5EF4-FFF2-40B4-BE49-F238E27FC236}">
              <a16:creationId xmlns:a16="http://schemas.microsoft.com/office/drawing/2014/main" id="{00000000-0008-0000-0B00-000092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47" name="2588 CuadroTexto">
          <a:extLst>
            <a:ext uri="{FF2B5EF4-FFF2-40B4-BE49-F238E27FC236}">
              <a16:creationId xmlns:a16="http://schemas.microsoft.com/office/drawing/2014/main" id="{00000000-0008-0000-0B00-000093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48" name="2589 CuadroTexto">
          <a:extLst>
            <a:ext uri="{FF2B5EF4-FFF2-40B4-BE49-F238E27FC236}">
              <a16:creationId xmlns:a16="http://schemas.microsoft.com/office/drawing/2014/main" id="{00000000-0008-0000-0B00-000094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49" name="240 CuadroTexto">
          <a:extLst>
            <a:ext uri="{FF2B5EF4-FFF2-40B4-BE49-F238E27FC236}">
              <a16:creationId xmlns:a16="http://schemas.microsoft.com/office/drawing/2014/main" id="{00000000-0008-0000-0B00-000095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50" name="241 CuadroTexto">
          <a:extLst>
            <a:ext uri="{FF2B5EF4-FFF2-40B4-BE49-F238E27FC236}">
              <a16:creationId xmlns:a16="http://schemas.microsoft.com/office/drawing/2014/main" id="{00000000-0008-0000-0B00-000096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51" name="246 CuadroTexto">
          <a:extLst>
            <a:ext uri="{FF2B5EF4-FFF2-40B4-BE49-F238E27FC236}">
              <a16:creationId xmlns:a16="http://schemas.microsoft.com/office/drawing/2014/main" id="{00000000-0008-0000-0B00-000097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52" name="247 CuadroTexto">
          <a:extLst>
            <a:ext uri="{FF2B5EF4-FFF2-40B4-BE49-F238E27FC236}">
              <a16:creationId xmlns:a16="http://schemas.microsoft.com/office/drawing/2014/main" id="{00000000-0008-0000-0B00-000098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53" name="248 CuadroTexto">
          <a:extLst>
            <a:ext uri="{FF2B5EF4-FFF2-40B4-BE49-F238E27FC236}">
              <a16:creationId xmlns:a16="http://schemas.microsoft.com/office/drawing/2014/main" id="{00000000-0008-0000-0B00-000099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310</xdr:row>
      <xdr:rowOff>0</xdr:rowOff>
    </xdr:from>
    <xdr:ext cx="184731" cy="264560"/>
    <xdr:sp macro="" textlink="">
      <xdr:nvSpPr>
        <xdr:cNvPr id="154" name="249 CuadroTexto">
          <a:extLst>
            <a:ext uri="{FF2B5EF4-FFF2-40B4-BE49-F238E27FC236}">
              <a16:creationId xmlns:a16="http://schemas.microsoft.com/office/drawing/2014/main" id="{00000000-0008-0000-0B00-00009A000000}"/>
            </a:ext>
          </a:extLst>
        </xdr:cNvPr>
        <xdr:cNvSpPr txBox="1"/>
      </xdr:nvSpPr>
      <xdr:spPr>
        <a:xfrm>
          <a:off x="858877" y="4058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55" name="2584 CuadroTexto">
          <a:extLst>
            <a:ext uri="{FF2B5EF4-FFF2-40B4-BE49-F238E27FC236}">
              <a16:creationId xmlns:a16="http://schemas.microsoft.com/office/drawing/2014/main" id="{00000000-0008-0000-0B00-00009B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56" name="2585 CuadroTexto">
          <a:extLst>
            <a:ext uri="{FF2B5EF4-FFF2-40B4-BE49-F238E27FC236}">
              <a16:creationId xmlns:a16="http://schemas.microsoft.com/office/drawing/2014/main" id="{00000000-0008-0000-0B00-00009C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57" name="2586 CuadroTexto">
          <a:extLst>
            <a:ext uri="{FF2B5EF4-FFF2-40B4-BE49-F238E27FC236}">
              <a16:creationId xmlns:a16="http://schemas.microsoft.com/office/drawing/2014/main" id="{00000000-0008-0000-0B00-00009D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58" name="2587 CuadroTexto">
          <a:extLst>
            <a:ext uri="{FF2B5EF4-FFF2-40B4-BE49-F238E27FC236}">
              <a16:creationId xmlns:a16="http://schemas.microsoft.com/office/drawing/2014/main" id="{00000000-0008-0000-0B00-00009E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59" name="2588 CuadroTexto">
          <a:extLst>
            <a:ext uri="{FF2B5EF4-FFF2-40B4-BE49-F238E27FC236}">
              <a16:creationId xmlns:a16="http://schemas.microsoft.com/office/drawing/2014/main" id="{00000000-0008-0000-0B00-00009F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309</xdr:row>
      <xdr:rowOff>0</xdr:rowOff>
    </xdr:from>
    <xdr:ext cx="184731" cy="264560"/>
    <xdr:sp macro="" textlink="">
      <xdr:nvSpPr>
        <xdr:cNvPr id="160" name="2589 CuadroTexto">
          <a:extLst>
            <a:ext uri="{FF2B5EF4-FFF2-40B4-BE49-F238E27FC236}">
              <a16:creationId xmlns:a16="http://schemas.microsoft.com/office/drawing/2014/main" id="{00000000-0008-0000-0B00-0000A0000000}"/>
            </a:ext>
          </a:extLst>
        </xdr:cNvPr>
        <xdr:cNvSpPr txBox="1"/>
      </xdr:nvSpPr>
      <xdr:spPr>
        <a:xfrm>
          <a:off x="858877" y="405679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4</xdr:col>
      <xdr:colOff>523875</xdr:colOff>
      <xdr:row>1</xdr:row>
      <xdr:rowOff>9525</xdr:rowOff>
    </xdr:from>
    <xdr:to>
      <xdr:col>6</xdr:col>
      <xdr:colOff>704850</xdr:colOff>
      <xdr:row>2</xdr:row>
      <xdr:rowOff>289076</xdr:rowOff>
    </xdr:to>
    <xdr:pic>
      <xdr:nvPicPr>
        <xdr:cNvPr id="2" name="1 Imagen" descr="NEIVA UNIDA">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10125" y="180975"/>
          <a:ext cx="170497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xdr:row>
      <xdr:rowOff>28575</xdr:rowOff>
    </xdr:from>
    <xdr:to>
      <xdr:col>4</xdr:col>
      <xdr:colOff>470927</xdr:colOff>
      <xdr:row>2</xdr:row>
      <xdr:rowOff>285750</xdr:rowOff>
    </xdr:to>
    <xdr:pic>
      <xdr:nvPicPr>
        <xdr:cNvPr id="3" name="2 Imagen" descr="44 AÑOS">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09975" y="200025"/>
          <a:ext cx="1147202"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1</xdr:row>
      <xdr:rowOff>38099</xdr:rowOff>
    </xdr:from>
    <xdr:to>
      <xdr:col>8</xdr:col>
      <xdr:colOff>704850</xdr:colOff>
      <xdr:row>3</xdr:row>
      <xdr:rowOff>28574</xdr:rowOff>
    </xdr:to>
    <xdr:sp macro="" textlink="">
      <xdr:nvSpPr>
        <xdr:cNvPr id="4" name="3 Flecha izquierda">
          <a:hlinkClick xmlns:r="http://schemas.openxmlformats.org/officeDocument/2006/relationships" r:id="rId3"/>
          <a:extLst>
            <a:ext uri="{FF2B5EF4-FFF2-40B4-BE49-F238E27FC236}">
              <a16:creationId xmlns:a16="http://schemas.microsoft.com/office/drawing/2014/main" id="{00000000-0008-0000-0C00-000004000000}"/>
            </a:ext>
          </a:extLst>
        </xdr:cNvPr>
        <xdr:cNvSpPr/>
      </xdr:nvSpPr>
      <xdr:spPr>
        <a:xfrm>
          <a:off x="6810375" y="209549"/>
          <a:ext cx="1228725" cy="6381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wsDr>
</file>

<file path=xl/drawings/drawing12.xml><?xml version="1.0" encoding="utf-8"?>
<xdr:wsDr xmlns:xdr="http://schemas.openxmlformats.org/drawingml/2006/spreadsheetDrawing" xmlns:a="http://schemas.openxmlformats.org/drawingml/2006/main">
  <xdr:oneCellAnchor>
    <xdr:from>
      <xdr:col>8</xdr:col>
      <xdr:colOff>57150</xdr:colOff>
      <xdr:row>4</xdr:row>
      <xdr:rowOff>0</xdr:rowOff>
    </xdr:from>
    <xdr:ext cx="657225" cy="295275"/>
    <xdr:sp macro="" textlink="">
      <xdr:nvSpPr>
        <xdr:cNvPr id="2" name="Shape 12">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flipH="1">
          <a:off x="5619750" y="647700"/>
          <a:ext cx="657225" cy="295275"/>
        </a:xfrm>
        <a:prstGeom prst="roundRect">
          <a:avLst>
            <a:gd name="adj" fmla="val 16667"/>
          </a:avLst>
        </a:prstGeom>
        <a:solidFill>
          <a:srgbClr val="00B050"/>
        </a:solidFill>
        <a:ln w="9525" cap="flat" cmpd="sng">
          <a:solidFill>
            <a:srgbClr val="00000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lt1"/>
            </a:buClr>
            <a:buSzPts val="1000"/>
            <a:buFont typeface="Century Gothic"/>
            <a:buNone/>
          </a:pPr>
          <a:r>
            <a:rPr lang="en-US" sz="1000">
              <a:solidFill>
                <a:schemeClr val="lt1"/>
              </a:solidFill>
              <a:latin typeface="Century Gothic"/>
              <a:ea typeface="Century Gothic"/>
              <a:cs typeface="Century Gothic"/>
              <a:sym typeface="Century Gothic"/>
            </a:rPr>
            <a:t>INICIO</a:t>
          </a:r>
          <a:endParaRPr sz="1400"/>
        </a:p>
      </xdr:txBody>
    </xdr:sp>
    <xdr:clientData fLocksWithSheet="0"/>
  </xdr:oneCellAnchor>
  <xdr:oneCellAnchor>
    <xdr:from>
      <xdr:col>3</xdr:col>
      <xdr:colOff>704850</xdr:colOff>
      <xdr:row>68</xdr:row>
      <xdr:rowOff>47625</xdr:rowOff>
    </xdr:from>
    <xdr:ext cx="3400425" cy="400050"/>
    <xdr:pic>
      <xdr:nvPicPr>
        <xdr:cNvPr id="3" name="image4.png">
          <a:extLst>
            <a:ext uri="{FF2B5EF4-FFF2-40B4-BE49-F238E27FC236}">
              <a16:creationId xmlns:a16="http://schemas.microsoft.com/office/drawing/2014/main" id="{00000000-0008-0000-0D00-000003000000}"/>
            </a:ext>
          </a:extLst>
        </xdr:cNvPr>
        <xdr:cNvPicPr preferRelativeResize="0"/>
      </xdr:nvPicPr>
      <xdr:blipFill>
        <a:blip xmlns:r="http://schemas.openxmlformats.org/officeDocument/2006/relationships" r:embed="rId2" cstate="print"/>
        <a:stretch>
          <a:fillRect/>
        </a:stretch>
      </xdr:blipFill>
      <xdr:spPr>
        <a:xfrm>
          <a:off x="2781300" y="11058525"/>
          <a:ext cx="3400425" cy="400050"/>
        </a:xfrm>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10</xdr:col>
      <xdr:colOff>571500</xdr:colOff>
      <xdr:row>5</xdr:row>
      <xdr:rowOff>0</xdr:rowOff>
    </xdr:from>
    <xdr:ext cx="247650" cy="333375"/>
    <xdr:sp macro="" textlink="">
      <xdr:nvSpPr>
        <xdr:cNvPr id="2" name="Shape 13">
          <a:extLst>
            <a:ext uri="{FF2B5EF4-FFF2-40B4-BE49-F238E27FC236}">
              <a16:creationId xmlns:a16="http://schemas.microsoft.com/office/drawing/2014/main" id="{00000000-0008-0000-0E00-000002000000}"/>
            </a:ext>
          </a:extLst>
        </xdr:cNvPr>
        <xdr:cNvSpPr txBox="1"/>
      </xdr:nvSpPr>
      <xdr:spPr>
        <a:xfrm>
          <a:off x="7524750" y="809625"/>
          <a:ext cx="247650" cy="3333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571500</xdr:colOff>
      <xdr:row>5</xdr:row>
      <xdr:rowOff>0</xdr:rowOff>
    </xdr:from>
    <xdr:ext cx="247650" cy="333375"/>
    <xdr:sp macro="" textlink="">
      <xdr:nvSpPr>
        <xdr:cNvPr id="3" name="Shape 13">
          <a:extLst>
            <a:ext uri="{FF2B5EF4-FFF2-40B4-BE49-F238E27FC236}">
              <a16:creationId xmlns:a16="http://schemas.microsoft.com/office/drawing/2014/main" id="{00000000-0008-0000-0E00-000003000000}"/>
            </a:ext>
          </a:extLst>
        </xdr:cNvPr>
        <xdr:cNvSpPr txBox="1"/>
      </xdr:nvSpPr>
      <xdr:spPr>
        <a:xfrm>
          <a:off x="1962150" y="809625"/>
          <a:ext cx="247650" cy="3333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571500</xdr:colOff>
      <xdr:row>5</xdr:row>
      <xdr:rowOff>0</xdr:rowOff>
    </xdr:from>
    <xdr:ext cx="247650" cy="333375"/>
    <xdr:sp macro="" textlink="">
      <xdr:nvSpPr>
        <xdr:cNvPr id="4" name="Shape 13">
          <a:extLst>
            <a:ext uri="{FF2B5EF4-FFF2-40B4-BE49-F238E27FC236}">
              <a16:creationId xmlns:a16="http://schemas.microsoft.com/office/drawing/2014/main" id="{00000000-0008-0000-0E00-000004000000}"/>
            </a:ext>
          </a:extLst>
        </xdr:cNvPr>
        <xdr:cNvSpPr txBox="1"/>
      </xdr:nvSpPr>
      <xdr:spPr>
        <a:xfrm>
          <a:off x="1962150" y="809625"/>
          <a:ext cx="247650" cy="3333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9</xdr:col>
      <xdr:colOff>571500</xdr:colOff>
      <xdr:row>5</xdr:row>
      <xdr:rowOff>0</xdr:rowOff>
    </xdr:from>
    <xdr:ext cx="247650" cy="333375"/>
    <xdr:sp macro="" textlink="">
      <xdr:nvSpPr>
        <xdr:cNvPr id="5" name="Shape 13">
          <a:extLst>
            <a:ext uri="{FF2B5EF4-FFF2-40B4-BE49-F238E27FC236}">
              <a16:creationId xmlns:a16="http://schemas.microsoft.com/office/drawing/2014/main" id="{00000000-0008-0000-0E00-000005000000}"/>
            </a:ext>
          </a:extLst>
        </xdr:cNvPr>
        <xdr:cNvSpPr txBox="1"/>
      </xdr:nvSpPr>
      <xdr:spPr>
        <a:xfrm>
          <a:off x="6829425" y="809625"/>
          <a:ext cx="247650" cy="3333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16</xdr:col>
      <xdr:colOff>47625</xdr:colOff>
      <xdr:row>4</xdr:row>
      <xdr:rowOff>0</xdr:rowOff>
    </xdr:from>
    <xdr:ext cx="666750" cy="304800"/>
    <xdr:sp macro="" textlink="">
      <xdr:nvSpPr>
        <xdr:cNvPr id="6" name="Shape 14">
          <a:hlinkClick xmlns:r="http://schemas.openxmlformats.org/officeDocument/2006/relationships" r:id="rId1"/>
          <a:extLst>
            <a:ext uri="{FF2B5EF4-FFF2-40B4-BE49-F238E27FC236}">
              <a16:creationId xmlns:a16="http://schemas.microsoft.com/office/drawing/2014/main" id="{00000000-0008-0000-0E00-000006000000}"/>
            </a:ext>
          </a:extLst>
        </xdr:cNvPr>
        <xdr:cNvSpPr/>
      </xdr:nvSpPr>
      <xdr:spPr>
        <a:xfrm flipH="1">
          <a:off x="11172825" y="647700"/>
          <a:ext cx="666750" cy="304800"/>
        </a:xfrm>
        <a:prstGeom prst="roundRect">
          <a:avLst>
            <a:gd name="adj" fmla="val 16667"/>
          </a:avLst>
        </a:prstGeom>
        <a:solidFill>
          <a:srgbClr val="00B050"/>
        </a:solidFill>
        <a:ln w="9525" cap="flat" cmpd="sng">
          <a:solidFill>
            <a:srgbClr val="00000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lt1"/>
            </a:buClr>
            <a:buSzPts val="1000"/>
            <a:buFont typeface="Century Gothic"/>
            <a:buNone/>
          </a:pPr>
          <a:r>
            <a:rPr lang="en-US" sz="1000">
              <a:solidFill>
                <a:schemeClr val="lt1"/>
              </a:solidFill>
              <a:latin typeface="Century Gothic"/>
              <a:ea typeface="Century Gothic"/>
              <a:cs typeface="Century Gothic"/>
              <a:sym typeface="Century Gothic"/>
            </a:rPr>
            <a:t>INICIO</a:t>
          </a:r>
          <a:endParaRPr sz="1400"/>
        </a:p>
      </xdr:txBody>
    </xdr:sp>
    <xdr:clientData fLocksWithSheet="0"/>
  </xdr:oneCellAnchor>
  <xdr:oneCellAnchor>
    <xdr:from>
      <xdr:col>11</xdr:col>
      <xdr:colOff>657225</xdr:colOff>
      <xdr:row>25</xdr:row>
      <xdr:rowOff>47625</xdr:rowOff>
    </xdr:from>
    <xdr:ext cx="3400425" cy="400050"/>
    <xdr:pic>
      <xdr:nvPicPr>
        <xdr:cNvPr id="7" name="image4.png">
          <a:extLst>
            <a:ext uri="{FF2B5EF4-FFF2-40B4-BE49-F238E27FC236}">
              <a16:creationId xmlns:a16="http://schemas.microsoft.com/office/drawing/2014/main" id="{00000000-0008-0000-0E00-000007000000}"/>
            </a:ext>
          </a:extLst>
        </xdr:cNvPr>
        <xdr:cNvPicPr preferRelativeResize="0"/>
      </xdr:nvPicPr>
      <xdr:blipFill>
        <a:blip xmlns:r="http://schemas.openxmlformats.org/officeDocument/2006/relationships" r:embed="rId2" cstate="print"/>
        <a:stretch>
          <a:fillRect/>
        </a:stretch>
      </xdr:blipFill>
      <xdr:spPr>
        <a:xfrm>
          <a:off x="8305800" y="4095750"/>
          <a:ext cx="3400425" cy="400050"/>
        </a:xfrm>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dr:oneCellAnchor>
    <xdr:from>
      <xdr:col>7</xdr:col>
      <xdr:colOff>581025</xdr:colOff>
      <xdr:row>7</xdr:row>
      <xdr:rowOff>0</xdr:rowOff>
    </xdr:from>
    <xdr:ext cx="238125" cy="323850"/>
    <xdr:sp macro="" textlink="">
      <xdr:nvSpPr>
        <xdr:cNvPr id="2" name="Shape 10">
          <a:extLst>
            <a:ext uri="{FF2B5EF4-FFF2-40B4-BE49-F238E27FC236}">
              <a16:creationId xmlns:a16="http://schemas.microsoft.com/office/drawing/2014/main" id="{00000000-0008-0000-0F00-000002000000}"/>
            </a:ext>
          </a:extLst>
        </xdr:cNvPr>
        <xdr:cNvSpPr txBox="1"/>
      </xdr:nvSpPr>
      <xdr:spPr>
        <a:xfrm>
          <a:off x="5448300" y="1133475"/>
          <a:ext cx="238125" cy="3238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14</xdr:col>
      <xdr:colOff>47625</xdr:colOff>
      <xdr:row>4</xdr:row>
      <xdr:rowOff>0</xdr:rowOff>
    </xdr:from>
    <xdr:ext cx="666750" cy="304800"/>
    <xdr:sp macro="" textlink="">
      <xdr:nvSpPr>
        <xdr:cNvPr id="3" name="Shape 11">
          <a:hlinkClick xmlns:r="http://schemas.openxmlformats.org/officeDocument/2006/relationships" r:id="rId1"/>
          <a:extLst>
            <a:ext uri="{FF2B5EF4-FFF2-40B4-BE49-F238E27FC236}">
              <a16:creationId xmlns:a16="http://schemas.microsoft.com/office/drawing/2014/main" id="{00000000-0008-0000-0F00-000003000000}"/>
            </a:ext>
          </a:extLst>
        </xdr:cNvPr>
        <xdr:cNvSpPr/>
      </xdr:nvSpPr>
      <xdr:spPr>
        <a:xfrm flipH="1">
          <a:off x="9782175" y="647700"/>
          <a:ext cx="666750" cy="304800"/>
        </a:xfrm>
        <a:prstGeom prst="roundRect">
          <a:avLst>
            <a:gd name="adj" fmla="val 16667"/>
          </a:avLst>
        </a:prstGeom>
        <a:solidFill>
          <a:srgbClr val="00B050"/>
        </a:solidFill>
        <a:ln w="9525" cap="flat" cmpd="sng">
          <a:solidFill>
            <a:srgbClr val="00000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lt1"/>
            </a:buClr>
            <a:buSzPts val="1000"/>
            <a:buFont typeface="Century Gothic"/>
            <a:buNone/>
          </a:pPr>
          <a:r>
            <a:rPr lang="en-US" sz="1000">
              <a:solidFill>
                <a:schemeClr val="lt1"/>
              </a:solidFill>
              <a:latin typeface="Century Gothic"/>
              <a:ea typeface="Century Gothic"/>
              <a:cs typeface="Century Gothic"/>
              <a:sym typeface="Century Gothic"/>
            </a:rPr>
            <a:t>INICIO</a:t>
          </a:r>
          <a:endParaRPr sz="1400"/>
        </a:p>
      </xdr:txBody>
    </xdr:sp>
    <xdr:clientData fLocksWithSheet="0"/>
  </xdr:oneCellAnchor>
  <xdr:oneCellAnchor>
    <xdr:from>
      <xdr:col>10</xdr:col>
      <xdr:colOff>28575</xdr:colOff>
      <xdr:row>36</xdr:row>
      <xdr:rowOff>38100</xdr:rowOff>
    </xdr:from>
    <xdr:ext cx="3143250" cy="409575"/>
    <xdr:pic>
      <xdr:nvPicPr>
        <xdr:cNvPr id="4" name="image4.png">
          <a:extLst>
            <a:ext uri="{FF2B5EF4-FFF2-40B4-BE49-F238E27FC236}">
              <a16:creationId xmlns:a16="http://schemas.microsoft.com/office/drawing/2014/main" id="{00000000-0008-0000-0F00-000004000000}"/>
            </a:ext>
          </a:extLst>
        </xdr:cNvPr>
        <xdr:cNvPicPr preferRelativeResize="0"/>
      </xdr:nvPicPr>
      <xdr:blipFill>
        <a:blip xmlns:r="http://schemas.openxmlformats.org/officeDocument/2006/relationships" r:embed="rId2" cstate="print"/>
        <a:stretch>
          <a:fillRect/>
        </a:stretch>
      </xdr:blipFill>
      <xdr:spPr>
        <a:xfrm>
          <a:off x="6981825" y="5867400"/>
          <a:ext cx="3143250" cy="409575"/>
        </a:xfrm>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dr:twoCellAnchor>
    <xdr:from>
      <xdr:col>0</xdr:col>
      <xdr:colOff>190500</xdr:colOff>
      <xdr:row>372</xdr:row>
      <xdr:rowOff>40822</xdr:rowOff>
    </xdr:from>
    <xdr:to>
      <xdr:col>3</xdr:col>
      <xdr:colOff>146957</xdr:colOff>
      <xdr:row>373</xdr:row>
      <xdr:rowOff>326573</xdr:rowOff>
    </xdr:to>
    <xdr:pic>
      <xdr:nvPicPr>
        <xdr:cNvPr id="2" name="Imagen 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a:stretch>
          <a:fillRect/>
        </a:stretch>
      </xdr:blipFill>
      <xdr:spPr>
        <a:xfrm>
          <a:off x="190500" y="802822"/>
          <a:ext cx="699407" cy="485776"/>
        </a:xfrm>
        <a:prstGeom prst="rect">
          <a:avLst/>
        </a:prstGeom>
      </xdr:spPr>
    </xdr:pic>
    <xdr:clientData/>
  </xdr:twoCellAnchor>
  <xdr:twoCellAnchor>
    <xdr:from>
      <xdr:col>0</xdr:col>
      <xdr:colOff>190500</xdr:colOff>
      <xdr:row>409</xdr:row>
      <xdr:rowOff>40822</xdr:rowOff>
    </xdr:from>
    <xdr:to>
      <xdr:col>3</xdr:col>
      <xdr:colOff>146957</xdr:colOff>
      <xdr:row>410</xdr:row>
      <xdr:rowOff>326573</xdr:rowOff>
    </xdr:to>
    <xdr:pic>
      <xdr:nvPicPr>
        <xdr:cNvPr id="6" name="Imagen 5">
          <a:extLst>
            <a:ext uri="{FF2B5EF4-FFF2-40B4-BE49-F238E27FC236}">
              <a16:creationId xmlns:a16="http://schemas.microsoft.com/office/drawing/2014/main" id="{00000000-0008-0000-1200-000006000000}"/>
            </a:ext>
          </a:extLst>
        </xdr:cNvPr>
        <xdr:cNvPicPr>
          <a:picLocks noChangeAspect="1"/>
        </xdr:cNvPicPr>
      </xdr:nvPicPr>
      <xdr:blipFill>
        <a:blip xmlns:r="http://schemas.openxmlformats.org/officeDocument/2006/relationships" r:embed="rId1"/>
        <a:stretch>
          <a:fillRect/>
        </a:stretch>
      </xdr:blipFill>
      <xdr:spPr>
        <a:xfrm>
          <a:off x="190500" y="802822"/>
          <a:ext cx="699407" cy="485776"/>
        </a:xfrm>
        <a:prstGeom prst="rect">
          <a:avLst/>
        </a:prstGeom>
      </xdr:spPr>
    </xdr:pic>
    <xdr:clientData/>
  </xdr:twoCellAnchor>
  <xdr:twoCellAnchor>
    <xdr:from>
      <xdr:col>0</xdr:col>
      <xdr:colOff>190500</xdr:colOff>
      <xdr:row>447</xdr:row>
      <xdr:rowOff>40822</xdr:rowOff>
    </xdr:from>
    <xdr:to>
      <xdr:col>3</xdr:col>
      <xdr:colOff>146957</xdr:colOff>
      <xdr:row>448</xdr:row>
      <xdr:rowOff>326573</xdr:rowOff>
    </xdr:to>
    <xdr:pic>
      <xdr:nvPicPr>
        <xdr:cNvPr id="8" name="Imagen 7">
          <a:extLst>
            <a:ext uri="{FF2B5EF4-FFF2-40B4-BE49-F238E27FC236}">
              <a16:creationId xmlns:a16="http://schemas.microsoft.com/office/drawing/2014/main" id="{00000000-0008-0000-1200-000008000000}"/>
            </a:ext>
          </a:extLst>
        </xdr:cNvPr>
        <xdr:cNvPicPr>
          <a:picLocks noChangeAspect="1"/>
        </xdr:cNvPicPr>
      </xdr:nvPicPr>
      <xdr:blipFill>
        <a:blip xmlns:r="http://schemas.openxmlformats.org/officeDocument/2006/relationships" r:embed="rId1"/>
        <a:stretch>
          <a:fillRect/>
        </a:stretch>
      </xdr:blipFill>
      <xdr:spPr>
        <a:xfrm>
          <a:off x="190500" y="9194347"/>
          <a:ext cx="699407" cy="371476"/>
        </a:xfrm>
        <a:prstGeom prst="rect">
          <a:avLst/>
        </a:prstGeom>
      </xdr:spPr>
    </xdr:pic>
    <xdr:clientData/>
  </xdr:twoCellAnchor>
  <xdr:oneCellAnchor>
    <xdr:from>
      <xdr:col>1</xdr:col>
      <xdr:colOff>180975</xdr:colOff>
      <xdr:row>456</xdr:row>
      <xdr:rowOff>46988</xdr:rowOff>
    </xdr:from>
    <xdr:ext cx="5553075" cy="2630037"/>
    <xdr:pic>
      <xdr:nvPicPr>
        <xdr:cNvPr id="9" name="Imagen 8">
          <a:extLst>
            <a:ext uri="{FF2B5EF4-FFF2-40B4-BE49-F238E27FC236}">
              <a16:creationId xmlns:a16="http://schemas.microsoft.com/office/drawing/2014/main" id="{00000000-0008-0000-1200-000009000000}"/>
            </a:ext>
          </a:extLst>
        </xdr:cNvPr>
        <xdr:cNvPicPr>
          <a:picLocks noChangeAspect="1"/>
        </xdr:cNvPicPr>
      </xdr:nvPicPr>
      <xdr:blipFill>
        <a:blip xmlns:r="http://schemas.openxmlformats.org/officeDocument/2006/relationships" r:embed="rId2"/>
        <a:stretch>
          <a:fillRect/>
        </a:stretch>
      </xdr:blipFill>
      <xdr:spPr>
        <a:xfrm>
          <a:off x="428625" y="93296738"/>
          <a:ext cx="5553075" cy="2630037"/>
        </a:xfrm>
        <a:prstGeom prst="rect">
          <a:avLst/>
        </a:prstGeom>
      </xdr:spPr>
    </xdr:pic>
    <xdr:clientData/>
  </xdr:oneCellAnchor>
  <xdr:twoCellAnchor>
    <xdr:from>
      <xdr:col>0</xdr:col>
      <xdr:colOff>190500</xdr:colOff>
      <xdr:row>485</xdr:row>
      <xdr:rowOff>40822</xdr:rowOff>
    </xdr:from>
    <xdr:to>
      <xdr:col>3</xdr:col>
      <xdr:colOff>146957</xdr:colOff>
      <xdr:row>486</xdr:row>
      <xdr:rowOff>326573</xdr:rowOff>
    </xdr:to>
    <xdr:pic>
      <xdr:nvPicPr>
        <xdr:cNvPr id="10" name="Imagen 9">
          <a:extLst>
            <a:ext uri="{FF2B5EF4-FFF2-40B4-BE49-F238E27FC236}">
              <a16:creationId xmlns:a16="http://schemas.microsoft.com/office/drawing/2014/main" id="{00000000-0008-0000-1200-00000A000000}"/>
            </a:ext>
          </a:extLst>
        </xdr:cNvPr>
        <xdr:cNvPicPr>
          <a:picLocks noChangeAspect="1"/>
        </xdr:cNvPicPr>
      </xdr:nvPicPr>
      <xdr:blipFill>
        <a:blip xmlns:r="http://schemas.openxmlformats.org/officeDocument/2006/relationships" r:embed="rId1"/>
        <a:stretch>
          <a:fillRect/>
        </a:stretch>
      </xdr:blipFill>
      <xdr:spPr>
        <a:xfrm>
          <a:off x="190500" y="17585872"/>
          <a:ext cx="699407" cy="371476"/>
        </a:xfrm>
        <a:prstGeom prst="rect">
          <a:avLst/>
        </a:prstGeom>
      </xdr:spPr>
    </xdr:pic>
    <xdr:clientData/>
  </xdr:twoCellAnchor>
  <xdr:oneCellAnchor>
    <xdr:from>
      <xdr:col>1</xdr:col>
      <xdr:colOff>114300</xdr:colOff>
      <xdr:row>494</xdr:row>
      <xdr:rowOff>94613</xdr:rowOff>
    </xdr:from>
    <xdr:ext cx="4560636" cy="2160000"/>
    <xdr:pic>
      <xdr:nvPicPr>
        <xdr:cNvPr id="11" name="Imagen 10">
          <a:extLst>
            <a:ext uri="{FF2B5EF4-FFF2-40B4-BE49-F238E27FC236}">
              <a16:creationId xmlns:a16="http://schemas.microsoft.com/office/drawing/2014/main" id="{00000000-0008-0000-1200-00000B000000}"/>
            </a:ext>
          </a:extLst>
        </xdr:cNvPr>
        <xdr:cNvPicPr>
          <a:picLocks noChangeAspect="1"/>
        </xdr:cNvPicPr>
      </xdr:nvPicPr>
      <xdr:blipFill>
        <a:blip xmlns:r="http://schemas.openxmlformats.org/officeDocument/2006/relationships" r:embed="rId2"/>
        <a:stretch>
          <a:fillRect/>
        </a:stretch>
      </xdr:blipFill>
      <xdr:spPr>
        <a:xfrm>
          <a:off x="361950" y="101221538"/>
          <a:ext cx="4560636" cy="2160000"/>
        </a:xfrm>
        <a:prstGeom prst="rect">
          <a:avLst/>
        </a:prstGeom>
      </xdr:spPr>
    </xdr:pic>
    <xdr:clientData/>
  </xdr:oneCellAnchor>
  <xdr:twoCellAnchor>
    <xdr:from>
      <xdr:col>0</xdr:col>
      <xdr:colOff>190500</xdr:colOff>
      <xdr:row>561</xdr:row>
      <xdr:rowOff>40822</xdr:rowOff>
    </xdr:from>
    <xdr:to>
      <xdr:col>3</xdr:col>
      <xdr:colOff>146957</xdr:colOff>
      <xdr:row>562</xdr:row>
      <xdr:rowOff>326573</xdr:rowOff>
    </xdr:to>
    <xdr:pic>
      <xdr:nvPicPr>
        <xdr:cNvPr id="12" name="Imagen 11">
          <a:extLst>
            <a:ext uri="{FF2B5EF4-FFF2-40B4-BE49-F238E27FC236}">
              <a16:creationId xmlns:a16="http://schemas.microsoft.com/office/drawing/2014/main" id="{00000000-0008-0000-1200-00000C000000}"/>
            </a:ext>
          </a:extLst>
        </xdr:cNvPr>
        <xdr:cNvPicPr>
          <a:picLocks noChangeAspect="1"/>
        </xdr:cNvPicPr>
      </xdr:nvPicPr>
      <xdr:blipFill>
        <a:blip xmlns:r="http://schemas.openxmlformats.org/officeDocument/2006/relationships" r:embed="rId1"/>
        <a:stretch>
          <a:fillRect/>
        </a:stretch>
      </xdr:blipFill>
      <xdr:spPr>
        <a:xfrm>
          <a:off x="190500" y="25434472"/>
          <a:ext cx="699407" cy="371476"/>
        </a:xfrm>
        <a:prstGeom prst="rect">
          <a:avLst/>
        </a:prstGeom>
      </xdr:spPr>
    </xdr:pic>
    <xdr:clientData/>
  </xdr:twoCellAnchor>
  <xdr:oneCellAnchor>
    <xdr:from>
      <xdr:col>1</xdr:col>
      <xdr:colOff>47625</xdr:colOff>
      <xdr:row>572</xdr:row>
      <xdr:rowOff>75563</xdr:rowOff>
    </xdr:from>
    <xdr:ext cx="5553075" cy="2630037"/>
    <xdr:pic>
      <xdr:nvPicPr>
        <xdr:cNvPr id="13" name="Imagen 12">
          <a:extLst>
            <a:ext uri="{FF2B5EF4-FFF2-40B4-BE49-F238E27FC236}">
              <a16:creationId xmlns:a16="http://schemas.microsoft.com/office/drawing/2014/main" id="{00000000-0008-0000-1200-00000D000000}"/>
            </a:ext>
          </a:extLst>
        </xdr:cNvPr>
        <xdr:cNvPicPr>
          <a:picLocks noChangeAspect="1"/>
        </xdr:cNvPicPr>
      </xdr:nvPicPr>
      <xdr:blipFill>
        <a:blip xmlns:r="http://schemas.openxmlformats.org/officeDocument/2006/relationships" r:embed="rId2"/>
        <a:stretch>
          <a:fillRect/>
        </a:stretch>
      </xdr:blipFill>
      <xdr:spPr>
        <a:xfrm>
          <a:off x="295275" y="27602813"/>
          <a:ext cx="5553075" cy="2630037"/>
        </a:xfrm>
        <a:prstGeom prst="rect">
          <a:avLst/>
        </a:prstGeom>
      </xdr:spPr>
    </xdr:pic>
    <xdr:clientData/>
  </xdr:oneCellAnchor>
  <xdr:twoCellAnchor>
    <xdr:from>
      <xdr:col>0</xdr:col>
      <xdr:colOff>190500</xdr:colOff>
      <xdr:row>637</xdr:row>
      <xdr:rowOff>40822</xdr:rowOff>
    </xdr:from>
    <xdr:to>
      <xdr:col>3</xdr:col>
      <xdr:colOff>146957</xdr:colOff>
      <xdr:row>638</xdr:row>
      <xdr:rowOff>326573</xdr:rowOff>
    </xdr:to>
    <xdr:pic>
      <xdr:nvPicPr>
        <xdr:cNvPr id="14" name="Imagen 13">
          <a:extLst>
            <a:ext uri="{FF2B5EF4-FFF2-40B4-BE49-F238E27FC236}">
              <a16:creationId xmlns:a16="http://schemas.microsoft.com/office/drawing/2014/main" id="{00000000-0008-0000-1200-00000E000000}"/>
            </a:ext>
          </a:extLst>
        </xdr:cNvPr>
        <xdr:cNvPicPr>
          <a:picLocks noChangeAspect="1"/>
        </xdr:cNvPicPr>
      </xdr:nvPicPr>
      <xdr:blipFill>
        <a:blip xmlns:r="http://schemas.openxmlformats.org/officeDocument/2006/relationships" r:embed="rId1"/>
        <a:stretch>
          <a:fillRect/>
        </a:stretch>
      </xdr:blipFill>
      <xdr:spPr>
        <a:xfrm>
          <a:off x="190500" y="32883022"/>
          <a:ext cx="699407" cy="371476"/>
        </a:xfrm>
        <a:prstGeom prst="rect">
          <a:avLst/>
        </a:prstGeom>
      </xdr:spPr>
    </xdr:pic>
    <xdr:clientData/>
  </xdr:twoCellAnchor>
  <xdr:twoCellAnchor>
    <xdr:from>
      <xdr:col>0</xdr:col>
      <xdr:colOff>190500</xdr:colOff>
      <xdr:row>675</xdr:row>
      <xdr:rowOff>40822</xdr:rowOff>
    </xdr:from>
    <xdr:to>
      <xdr:col>3</xdr:col>
      <xdr:colOff>146957</xdr:colOff>
      <xdr:row>676</xdr:row>
      <xdr:rowOff>326573</xdr:rowOff>
    </xdr:to>
    <xdr:pic>
      <xdr:nvPicPr>
        <xdr:cNvPr id="16" name="Imagen 15">
          <a:extLst>
            <a:ext uri="{FF2B5EF4-FFF2-40B4-BE49-F238E27FC236}">
              <a16:creationId xmlns:a16="http://schemas.microsoft.com/office/drawing/2014/main" id="{00000000-0008-0000-1200-000010000000}"/>
            </a:ext>
          </a:extLst>
        </xdr:cNvPr>
        <xdr:cNvPicPr>
          <a:picLocks noChangeAspect="1"/>
        </xdr:cNvPicPr>
      </xdr:nvPicPr>
      <xdr:blipFill>
        <a:blip xmlns:r="http://schemas.openxmlformats.org/officeDocument/2006/relationships" r:embed="rId1"/>
        <a:stretch>
          <a:fillRect/>
        </a:stretch>
      </xdr:blipFill>
      <xdr:spPr>
        <a:xfrm>
          <a:off x="190500" y="40722097"/>
          <a:ext cx="699407" cy="371476"/>
        </a:xfrm>
        <a:prstGeom prst="rect">
          <a:avLst/>
        </a:prstGeom>
      </xdr:spPr>
    </xdr:pic>
    <xdr:clientData/>
  </xdr:twoCellAnchor>
  <xdr:oneCellAnchor>
    <xdr:from>
      <xdr:col>2</xdr:col>
      <xdr:colOff>9525</xdr:colOff>
      <xdr:row>684</xdr:row>
      <xdr:rowOff>46988</xdr:rowOff>
    </xdr:from>
    <xdr:ext cx="5320742" cy="1962787"/>
    <xdr:pic>
      <xdr:nvPicPr>
        <xdr:cNvPr id="17" name="Imagen 16">
          <a:extLst>
            <a:ext uri="{FF2B5EF4-FFF2-40B4-BE49-F238E27FC236}">
              <a16:creationId xmlns:a16="http://schemas.microsoft.com/office/drawing/2014/main" id="{00000000-0008-0000-1200-000011000000}"/>
            </a:ext>
          </a:extLst>
        </xdr:cNvPr>
        <xdr:cNvPicPr>
          <a:picLocks noChangeAspect="1"/>
        </xdr:cNvPicPr>
      </xdr:nvPicPr>
      <xdr:blipFill>
        <a:blip xmlns:r="http://schemas.openxmlformats.org/officeDocument/2006/relationships" r:embed="rId2"/>
        <a:stretch>
          <a:fillRect/>
        </a:stretch>
      </xdr:blipFill>
      <xdr:spPr>
        <a:xfrm>
          <a:off x="504825" y="141197963"/>
          <a:ext cx="5320742" cy="1962787"/>
        </a:xfrm>
        <a:prstGeom prst="rect">
          <a:avLst/>
        </a:prstGeom>
      </xdr:spPr>
    </xdr:pic>
    <xdr:clientData/>
  </xdr:oneCellAnchor>
  <xdr:twoCellAnchor>
    <xdr:from>
      <xdr:col>0</xdr:col>
      <xdr:colOff>190500</xdr:colOff>
      <xdr:row>2</xdr:row>
      <xdr:rowOff>40822</xdr:rowOff>
    </xdr:from>
    <xdr:to>
      <xdr:col>3</xdr:col>
      <xdr:colOff>146957</xdr:colOff>
      <xdr:row>3</xdr:row>
      <xdr:rowOff>326573</xdr:rowOff>
    </xdr:to>
    <xdr:pic>
      <xdr:nvPicPr>
        <xdr:cNvPr id="18" name="Imagen 17">
          <a:extLst>
            <a:ext uri="{FF2B5EF4-FFF2-40B4-BE49-F238E27FC236}">
              <a16:creationId xmlns:a16="http://schemas.microsoft.com/office/drawing/2014/main" id="{00000000-0008-0000-1200-000012000000}"/>
            </a:ext>
          </a:extLst>
        </xdr:cNvPr>
        <xdr:cNvPicPr>
          <a:picLocks noChangeAspect="1"/>
        </xdr:cNvPicPr>
      </xdr:nvPicPr>
      <xdr:blipFill>
        <a:blip xmlns:r="http://schemas.openxmlformats.org/officeDocument/2006/relationships" r:embed="rId1"/>
        <a:stretch>
          <a:fillRect/>
        </a:stretch>
      </xdr:blipFill>
      <xdr:spPr>
        <a:xfrm>
          <a:off x="190500" y="6803572"/>
          <a:ext cx="699407" cy="485776"/>
        </a:xfrm>
        <a:prstGeom prst="rect">
          <a:avLst/>
        </a:prstGeom>
      </xdr:spPr>
    </xdr:pic>
    <xdr:clientData/>
  </xdr:twoCellAnchor>
  <xdr:twoCellAnchor>
    <xdr:from>
      <xdr:col>0</xdr:col>
      <xdr:colOff>190500</xdr:colOff>
      <xdr:row>39</xdr:row>
      <xdr:rowOff>40822</xdr:rowOff>
    </xdr:from>
    <xdr:to>
      <xdr:col>3</xdr:col>
      <xdr:colOff>146957</xdr:colOff>
      <xdr:row>40</xdr:row>
      <xdr:rowOff>326573</xdr:rowOff>
    </xdr:to>
    <xdr:pic>
      <xdr:nvPicPr>
        <xdr:cNvPr id="20" name="Imagen 19">
          <a:extLst>
            <a:ext uri="{FF2B5EF4-FFF2-40B4-BE49-F238E27FC236}">
              <a16:creationId xmlns:a16="http://schemas.microsoft.com/office/drawing/2014/main" id="{00000000-0008-0000-1200-000014000000}"/>
            </a:ext>
          </a:extLst>
        </xdr:cNvPr>
        <xdr:cNvPicPr>
          <a:picLocks noChangeAspect="1"/>
        </xdr:cNvPicPr>
      </xdr:nvPicPr>
      <xdr:blipFill>
        <a:blip xmlns:r="http://schemas.openxmlformats.org/officeDocument/2006/relationships" r:embed="rId1"/>
        <a:stretch>
          <a:fillRect/>
        </a:stretch>
      </xdr:blipFill>
      <xdr:spPr>
        <a:xfrm>
          <a:off x="190500" y="450397"/>
          <a:ext cx="699407" cy="371476"/>
        </a:xfrm>
        <a:prstGeom prst="rect">
          <a:avLst/>
        </a:prstGeom>
      </xdr:spPr>
    </xdr:pic>
    <xdr:clientData/>
  </xdr:twoCellAnchor>
  <xdr:twoCellAnchor>
    <xdr:from>
      <xdr:col>0</xdr:col>
      <xdr:colOff>190500</xdr:colOff>
      <xdr:row>76</xdr:row>
      <xdr:rowOff>40822</xdr:rowOff>
    </xdr:from>
    <xdr:to>
      <xdr:col>3</xdr:col>
      <xdr:colOff>146957</xdr:colOff>
      <xdr:row>77</xdr:row>
      <xdr:rowOff>326573</xdr:rowOff>
    </xdr:to>
    <xdr:pic>
      <xdr:nvPicPr>
        <xdr:cNvPr id="21" name="Imagen 20">
          <a:extLst>
            <a:ext uri="{FF2B5EF4-FFF2-40B4-BE49-F238E27FC236}">
              <a16:creationId xmlns:a16="http://schemas.microsoft.com/office/drawing/2014/main" id="{00000000-0008-0000-1200-000015000000}"/>
            </a:ext>
          </a:extLst>
        </xdr:cNvPr>
        <xdr:cNvPicPr>
          <a:picLocks noChangeAspect="1"/>
        </xdr:cNvPicPr>
      </xdr:nvPicPr>
      <xdr:blipFill>
        <a:blip xmlns:r="http://schemas.openxmlformats.org/officeDocument/2006/relationships" r:embed="rId1"/>
        <a:stretch>
          <a:fillRect/>
        </a:stretch>
      </xdr:blipFill>
      <xdr:spPr>
        <a:xfrm>
          <a:off x="190500" y="8003722"/>
          <a:ext cx="699407" cy="371476"/>
        </a:xfrm>
        <a:prstGeom prst="rect">
          <a:avLst/>
        </a:prstGeom>
      </xdr:spPr>
    </xdr:pic>
    <xdr:clientData/>
  </xdr:twoCellAnchor>
  <xdr:twoCellAnchor>
    <xdr:from>
      <xdr:col>0</xdr:col>
      <xdr:colOff>190500</xdr:colOff>
      <xdr:row>113</xdr:row>
      <xdr:rowOff>40822</xdr:rowOff>
    </xdr:from>
    <xdr:to>
      <xdr:col>3</xdr:col>
      <xdr:colOff>146957</xdr:colOff>
      <xdr:row>114</xdr:row>
      <xdr:rowOff>326573</xdr:rowOff>
    </xdr:to>
    <xdr:pic>
      <xdr:nvPicPr>
        <xdr:cNvPr id="22" name="Imagen 21">
          <a:extLst>
            <a:ext uri="{FF2B5EF4-FFF2-40B4-BE49-F238E27FC236}">
              <a16:creationId xmlns:a16="http://schemas.microsoft.com/office/drawing/2014/main" id="{00000000-0008-0000-1200-000016000000}"/>
            </a:ext>
          </a:extLst>
        </xdr:cNvPr>
        <xdr:cNvPicPr>
          <a:picLocks noChangeAspect="1"/>
        </xdr:cNvPicPr>
      </xdr:nvPicPr>
      <xdr:blipFill>
        <a:blip xmlns:r="http://schemas.openxmlformats.org/officeDocument/2006/relationships" r:embed="rId1"/>
        <a:stretch>
          <a:fillRect/>
        </a:stretch>
      </xdr:blipFill>
      <xdr:spPr>
        <a:xfrm>
          <a:off x="190500" y="15290347"/>
          <a:ext cx="699407" cy="371476"/>
        </a:xfrm>
        <a:prstGeom prst="rect">
          <a:avLst/>
        </a:prstGeom>
      </xdr:spPr>
    </xdr:pic>
    <xdr:clientData/>
  </xdr:twoCellAnchor>
  <xdr:twoCellAnchor>
    <xdr:from>
      <xdr:col>0</xdr:col>
      <xdr:colOff>190500</xdr:colOff>
      <xdr:row>150</xdr:row>
      <xdr:rowOff>40822</xdr:rowOff>
    </xdr:from>
    <xdr:to>
      <xdr:col>3</xdr:col>
      <xdr:colOff>146957</xdr:colOff>
      <xdr:row>151</xdr:row>
      <xdr:rowOff>326573</xdr:rowOff>
    </xdr:to>
    <xdr:pic>
      <xdr:nvPicPr>
        <xdr:cNvPr id="23" name="Imagen 22">
          <a:extLst>
            <a:ext uri="{FF2B5EF4-FFF2-40B4-BE49-F238E27FC236}">
              <a16:creationId xmlns:a16="http://schemas.microsoft.com/office/drawing/2014/main" id="{00000000-0008-0000-1200-000017000000}"/>
            </a:ext>
          </a:extLst>
        </xdr:cNvPr>
        <xdr:cNvPicPr>
          <a:picLocks noChangeAspect="1"/>
        </xdr:cNvPicPr>
      </xdr:nvPicPr>
      <xdr:blipFill>
        <a:blip xmlns:r="http://schemas.openxmlformats.org/officeDocument/2006/relationships" r:embed="rId1"/>
        <a:stretch>
          <a:fillRect/>
        </a:stretch>
      </xdr:blipFill>
      <xdr:spPr>
        <a:xfrm>
          <a:off x="190500" y="22576972"/>
          <a:ext cx="699407" cy="371476"/>
        </a:xfrm>
        <a:prstGeom prst="rect">
          <a:avLst/>
        </a:prstGeom>
      </xdr:spPr>
    </xdr:pic>
    <xdr:clientData/>
  </xdr:twoCellAnchor>
  <xdr:twoCellAnchor>
    <xdr:from>
      <xdr:col>0</xdr:col>
      <xdr:colOff>190500</xdr:colOff>
      <xdr:row>187</xdr:row>
      <xdr:rowOff>40822</xdr:rowOff>
    </xdr:from>
    <xdr:to>
      <xdr:col>3</xdr:col>
      <xdr:colOff>146957</xdr:colOff>
      <xdr:row>188</xdr:row>
      <xdr:rowOff>326573</xdr:rowOff>
    </xdr:to>
    <xdr:pic>
      <xdr:nvPicPr>
        <xdr:cNvPr id="24" name="Imagen 23">
          <a:extLst>
            <a:ext uri="{FF2B5EF4-FFF2-40B4-BE49-F238E27FC236}">
              <a16:creationId xmlns:a16="http://schemas.microsoft.com/office/drawing/2014/main" id="{00000000-0008-0000-1200-000018000000}"/>
            </a:ext>
          </a:extLst>
        </xdr:cNvPr>
        <xdr:cNvPicPr>
          <a:picLocks noChangeAspect="1"/>
        </xdr:cNvPicPr>
      </xdr:nvPicPr>
      <xdr:blipFill>
        <a:blip xmlns:r="http://schemas.openxmlformats.org/officeDocument/2006/relationships" r:embed="rId1"/>
        <a:stretch>
          <a:fillRect/>
        </a:stretch>
      </xdr:blipFill>
      <xdr:spPr>
        <a:xfrm>
          <a:off x="190500" y="29863597"/>
          <a:ext cx="699407" cy="371476"/>
        </a:xfrm>
        <a:prstGeom prst="rect">
          <a:avLst/>
        </a:prstGeom>
      </xdr:spPr>
    </xdr:pic>
    <xdr:clientData/>
  </xdr:twoCellAnchor>
  <xdr:twoCellAnchor>
    <xdr:from>
      <xdr:col>0</xdr:col>
      <xdr:colOff>190500</xdr:colOff>
      <xdr:row>224</xdr:row>
      <xdr:rowOff>40822</xdr:rowOff>
    </xdr:from>
    <xdr:to>
      <xdr:col>3</xdr:col>
      <xdr:colOff>146957</xdr:colOff>
      <xdr:row>225</xdr:row>
      <xdr:rowOff>326573</xdr:rowOff>
    </xdr:to>
    <xdr:pic>
      <xdr:nvPicPr>
        <xdr:cNvPr id="25" name="Imagen 24">
          <a:extLst>
            <a:ext uri="{FF2B5EF4-FFF2-40B4-BE49-F238E27FC236}">
              <a16:creationId xmlns:a16="http://schemas.microsoft.com/office/drawing/2014/main" id="{00000000-0008-0000-1200-000019000000}"/>
            </a:ext>
          </a:extLst>
        </xdr:cNvPr>
        <xdr:cNvPicPr>
          <a:picLocks noChangeAspect="1"/>
        </xdr:cNvPicPr>
      </xdr:nvPicPr>
      <xdr:blipFill>
        <a:blip xmlns:r="http://schemas.openxmlformats.org/officeDocument/2006/relationships" r:embed="rId1"/>
        <a:stretch>
          <a:fillRect/>
        </a:stretch>
      </xdr:blipFill>
      <xdr:spPr>
        <a:xfrm>
          <a:off x="190500" y="37150222"/>
          <a:ext cx="699407" cy="371476"/>
        </a:xfrm>
        <a:prstGeom prst="rect">
          <a:avLst/>
        </a:prstGeom>
      </xdr:spPr>
    </xdr:pic>
    <xdr:clientData/>
  </xdr:twoCellAnchor>
  <xdr:twoCellAnchor>
    <xdr:from>
      <xdr:col>0</xdr:col>
      <xdr:colOff>190500</xdr:colOff>
      <xdr:row>261</xdr:row>
      <xdr:rowOff>40822</xdr:rowOff>
    </xdr:from>
    <xdr:to>
      <xdr:col>3</xdr:col>
      <xdr:colOff>146957</xdr:colOff>
      <xdr:row>262</xdr:row>
      <xdr:rowOff>326573</xdr:rowOff>
    </xdr:to>
    <xdr:pic>
      <xdr:nvPicPr>
        <xdr:cNvPr id="26" name="Imagen 25">
          <a:extLst>
            <a:ext uri="{FF2B5EF4-FFF2-40B4-BE49-F238E27FC236}">
              <a16:creationId xmlns:a16="http://schemas.microsoft.com/office/drawing/2014/main" id="{00000000-0008-0000-1200-00001A000000}"/>
            </a:ext>
          </a:extLst>
        </xdr:cNvPr>
        <xdr:cNvPicPr>
          <a:picLocks noChangeAspect="1"/>
        </xdr:cNvPicPr>
      </xdr:nvPicPr>
      <xdr:blipFill>
        <a:blip xmlns:r="http://schemas.openxmlformats.org/officeDocument/2006/relationships" r:embed="rId1"/>
        <a:stretch>
          <a:fillRect/>
        </a:stretch>
      </xdr:blipFill>
      <xdr:spPr>
        <a:xfrm>
          <a:off x="190500" y="44636872"/>
          <a:ext cx="699407" cy="371476"/>
        </a:xfrm>
        <a:prstGeom prst="rect">
          <a:avLst/>
        </a:prstGeom>
      </xdr:spPr>
    </xdr:pic>
    <xdr:clientData/>
  </xdr:twoCellAnchor>
  <xdr:twoCellAnchor>
    <xdr:from>
      <xdr:col>0</xdr:col>
      <xdr:colOff>190500</xdr:colOff>
      <xdr:row>298</xdr:row>
      <xdr:rowOff>40822</xdr:rowOff>
    </xdr:from>
    <xdr:to>
      <xdr:col>3</xdr:col>
      <xdr:colOff>146957</xdr:colOff>
      <xdr:row>299</xdr:row>
      <xdr:rowOff>326573</xdr:rowOff>
    </xdr:to>
    <xdr:pic>
      <xdr:nvPicPr>
        <xdr:cNvPr id="27" name="Imagen 26">
          <a:extLst>
            <a:ext uri="{FF2B5EF4-FFF2-40B4-BE49-F238E27FC236}">
              <a16:creationId xmlns:a16="http://schemas.microsoft.com/office/drawing/2014/main" id="{00000000-0008-0000-1200-00001B000000}"/>
            </a:ext>
          </a:extLst>
        </xdr:cNvPr>
        <xdr:cNvPicPr>
          <a:picLocks noChangeAspect="1"/>
        </xdr:cNvPicPr>
      </xdr:nvPicPr>
      <xdr:blipFill>
        <a:blip xmlns:r="http://schemas.openxmlformats.org/officeDocument/2006/relationships" r:embed="rId1"/>
        <a:stretch>
          <a:fillRect/>
        </a:stretch>
      </xdr:blipFill>
      <xdr:spPr>
        <a:xfrm>
          <a:off x="190500" y="52123522"/>
          <a:ext cx="699407" cy="371476"/>
        </a:xfrm>
        <a:prstGeom prst="rect">
          <a:avLst/>
        </a:prstGeom>
      </xdr:spPr>
    </xdr:pic>
    <xdr:clientData/>
  </xdr:twoCellAnchor>
  <xdr:twoCellAnchor>
    <xdr:from>
      <xdr:col>0</xdr:col>
      <xdr:colOff>190500</xdr:colOff>
      <xdr:row>335</xdr:row>
      <xdr:rowOff>40822</xdr:rowOff>
    </xdr:from>
    <xdr:to>
      <xdr:col>3</xdr:col>
      <xdr:colOff>146957</xdr:colOff>
      <xdr:row>336</xdr:row>
      <xdr:rowOff>326573</xdr:rowOff>
    </xdr:to>
    <xdr:pic>
      <xdr:nvPicPr>
        <xdr:cNvPr id="28" name="Imagen 27">
          <a:extLst>
            <a:ext uri="{FF2B5EF4-FFF2-40B4-BE49-F238E27FC236}">
              <a16:creationId xmlns:a16="http://schemas.microsoft.com/office/drawing/2014/main" id="{00000000-0008-0000-1200-00001C000000}"/>
            </a:ext>
          </a:extLst>
        </xdr:cNvPr>
        <xdr:cNvPicPr>
          <a:picLocks noChangeAspect="1"/>
        </xdr:cNvPicPr>
      </xdr:nvPicPr>
      <xdr:blipFill>
        <a:blip xmlns:r="http://schemas.openxmlformats.org/officeDocument/2006/relationships" r:embed="rId1"/>
        <a:stretch>
          <a:fillRect/>
        </a:stretch>
      </xdr:blipFill>
      <xdr:spPr>
        <a:xfrm>
          <a:off x="190500" y="59410147"/>
          <a:ext cx="699407" cy="371476"/>
        </a:xfrm>
        <a:prstGeom prst="rect">
          <a:avLst/>
        </a:prstGeom>
      </xdr:spPr>
    </xdr:pic>
    <xdr:clientData/>
  </xdr:twoCellAnchor>
  <xdr:twoCellAnchor>
    <xdr:from>
      <xdr:col>0</xdr:col>
      <xdr:colOff>190500</xdr:colOff>
      <xdr:row>599</xdr:row>
      <xdr:rowOff>40822</xdr:rowOff>
    </xdr:from>
    <xdr:to>
      <xdr:col>3</xdr:col>
      <xdr:colOff>146957</xdr:colOff>
      <xdr:row>600</xdr:row>
      <xdr:rowOff>326573</xdr:rowOff>
    </xdr:to>
    <xdr:pic>
      <xdr:nvPicPr>
        <xdr:cNvPr id="29" name="Imagen 28">
          <a:extLst>
            <a:ext uri="{FF2B5EF4-FFF2-40B4-BE49-F238E27FC236}">
              <a16:creationId xmlns:a16="http://schemas.microsoft.com/office/drawing/2014/main" id="{00000000-0008-0000-1200-00001D000000}"/>
            </a:ext>
          </a:extLst>
        </xdr:cNvPr>
        <xdr:cNvPicPr>
          <a:picLocks noChangeAspect="1"/>
        </xdr:cNvPicPr>
      </xdr:nvPicPr>
      <xdr:blipFill>
        <a:blip xmlns:r="http://schemas.openxmlformats.org/officeDocument/2006/relationships" r:embed="rId1"/>
        <a:stretch>
          <a:fillRect/>
        </a:stretch>
      </xdr:blipFill>
      <xdr:spPr>
        <a:xfrm>
          <a:off x="190500" y="106416022"/>
          <a:ext cx="699407" cy="371476"/>
        </a:xfrm>
        <a:prstGeom prst="rect">
          <a:avLst/>
        </a:prstGeom>
      </xdr:spPr>
    </xdr:pic>
    <xdr:clientData/>
  </xdr:twoCellAnchor>
  <xdr:oneCellAnchor>
    <xdr:from>
      <xdr:col>1</xdr:col>
      <xdr:colOff>47625</xdr:colOff>
      <xdr:row>610</xdr:row>
      <xdr:rowOff>75563</xdr:rowOff>
    </xdr:from>
    <xdr:ext cx="5553075" cy="2630037"/>
    <xdr:pic>
      <xdr:nvPicPr>
        <xdr:cNvPr id="30" name="Imagen 29">
          <a:extLst>
            <a:ext uri="{FF2B5EF4-FFF2-40B4-BE49-F238E27FC236}">
              <a16:creationId xmlns:a16="http://schemas.microsoft.com/office/drawing/2014/main" id="{00000000-0008-0000-1200-00001E000000}"/>
            </a:ext>
          </a:extLst>
        </xdr:cNvPr>
        <xdr:cNvPicPr>
          <a:picLocks noChangeAspect="1"/>
        </xdr:cNvPicPr>
      </xdr:nvPicPr>
      <xdr:blipFill>
        <a:blip xmlns:r="http://schemas.openxmlformats.org/officeDocument/2006/relationships" r:embed="rId2"/>
        <a:stretch>
          <a:fillRect/>
        </a:stretch>
      </xdr:blipFill>
      <xdr:spPr>
        <a:xfrm>
          <a:off x="295275" y="108784388"/>
          <a:ext cx="5553075" cy="2630037"/>
        </a:xfrm>
        <a:prstGeom prst="rect">
          <a:avLst/>
        </a:prstGeom>
      </xdr:spPr>
    </xdr:pic>
    <xdr:clientData/>
  </xdr:oneCellAnchor>
  <xdr:twoCellAnchor>
    <xdr:from>
      <xdr:col>0</xdr:col>
      <xdr:colOff>190500</xdr:colOff>
      <xdr:row>715</xdr:row>
      <xdr:rowOff>40822</xdr:rowOff>
    </xdr:from>
    <xdr:to>
      <xdr:col>3</xdr:col>
      <xdr:colOff>146957</xdr:colOff>
      <xdr:row>716</xdr:row>
      <xdr:rowOff>326573</xdr:rowOff>
    </xdr:to>
    <xdr:pic>
      <xdr:nvPicPr>
        <xdr:cNvPr id="31" name="Imagen 30">
          <a:extLst>
            <a:ext uri="{FF2B5EF4-FFF2-40B4-BE49-F238E27FC236}">
              <a16:creationId xmlns:a16="http://schemas.microsoft.com/office/drawing/2014/main" id="{00000000-0008-0000-1200-00001F000000}"/>
            </a:ext>
          </a:extLst>
        </xdr:cNvPr>
        <xdr:cNvPicPr>
          <a:picLocks noChangeAspect="1"/>
        </xdr:cNvPicPr>
      </xdr:nvPicPr>
      <xdr:blipFill>
        <a:blip xmlns:r="http://schemas.openxmlformats.org/officeDocument/2006/relationships" r:embed="rId1"/>
        <a:stretch>
          <a:fillRect/>
        </a:stretch>
      </xdr:blipFill>
      <xdr:spPr>
        <a:xfrm>
          <a:off x="190500" y="129590347"/>
          <a:ext cx="699407" cy="371476"/>
        </a:xfrm>
        <a:prstGeom prst="rect">
          <a:avLst/>
        </a:prstGeom>
      </xdr:spPr>
    </xdr:pic>
    <xdr:clientData/>
  </xdr:twoCellAnchor>
  <xdr:twoCellAnchor editAs="oneCell">
    <xdr:from>
      <xdr:col>1</xdr:col>
      <xdr:colOff>66676</xdr:colOff>
      <xdr:row>725</xdr:row>
      <xdr:rowOff>142876</xdr:rowOff>
    </xdr:from>
    <xdr:to>
      <xdr:col>24</xdr:col>
      <xdr:colOff>102580</xdr:colOff>
      <xdr:row>738</xdr:row>
      <xdr:rowOff>1</xdr:rowOff>
    </xdr:to>
    <xdr:pic>
      <xdr:nvPicPr>
        <xdr:cNvPr id="38" name="Imagen 37">
          <a:extLst>
            <a:ext uri="{FF2B5EF4-FFF2-40B4-BE49-F238E27FC236}">
              <a16:creationId xmlns:a16="http://schemas.microsoft.com/office/drawing/2014/main" id="{00000000-0008-0000-1200-000026000000}"/>
            </a:ext>
          </a:extLst>
        </xdr:cNvPr>
        <xdr:cNvPicPr>
          <a:picLocks noChangeAspect="1"/>
        </xdr:cNvPicPr>
      </xdr:nvPicPr>
      <xdr:blipFill>
        <a:blip xmlns:r="http://schemas.openxmlformats.org/officeDocument/2006/relationships" r:embed="rId3"/>
        <a:stretch>
          <a:fillRect/>
        </a:stretch>
      </xdr:blipFill>
      <xdr:spPr>
        <a:xfrm>
          <a:off x="314326" y="140074651"/>
          <a:ext cx="5731854" cy="2457450"/>
        </a:xfrm>
        <a:prstGeom prst="rect">
          <a:avLst/>
        </a:prstGeom>
      </xdr:spPr>
    </xdr:pic>
    <xdr:clientData/>
  </xdr:twoCellAnchor>
  <xdr:twoCellAnchor editAs="oneCell">
    <xdr:from>
      <xdr:col>0</xdr:col>
      <xdr:colOff>133350</xdr:colOff>
      <xdr:row>739</xdr:row>
      <xdr:rowOff>142875</xdr:rowOff>
    </xdr:from>
    <xdr:to>
      <xdr:col>23</xdr:col>
      <xdr:colOff>161925</xdr:colOff>
      <xdr:row>748</xdr:row>
      <xdr:rowOff>178694</xdr:rowOff>
    </xdr:to>
    <xdr:pic>
      <xdr:nvPicPr>
        <xdr:cNvPr id="39" name="Imagen 38">
          <a:extLst>
            <a:ext uri="{FF2B5EF4-FFF2-40B4-BE49-F238E27FC236}">
              <a16:creationId xmlns:a16="http://schemas.microsoft.com/office/drawing/2014/main" id="{00000000-0008-0000-1200-000027000000}"/>
            </a:ext>
          </a:extLst>
        </xdr:cNvPr>
        <xdr:cNvPicPr>
          <a:picLocks noChangeAspect="1"/>
        </xdr:cNvPicPr>
      </xdr:nvPicPr>
      <xdr:blipFill>
        <a:blip xmlns:r="http://schemas.openxmlformats.org/officeDocument/2006/relationships" r:embed="rId4"/>
        <a:stretch>
          <a:fillRect/>
        </a:stretch>
      </xdr:blipFill>
      <xdr:spPr>
        <a:xfrm>
          <a:off x="133350" y="142875000"/>
          <a:ext cx="5724525" cy="1836044"/>
        </a:xfrm>
        <a:prstGeom prst="rect">
          <a:avLst/>
        </a:prstGeom>
      </xdr:spPr>
    </xdr:pic>
    <xdr:clientData/>
  </xdr:twoCellAnchor>
  <xdr:twoCellAnchor>
    <xdr:from>
      <xdr:col>0</xdr:col>
      <xdr:colOff>190500</xdr:colOff>
      <xdr:row>783</xdr:row>
      <xdr:rowOff>40822</xdr:rowOff>
    </xdr:from>
    <xdr:to>
      <xdr:col>3</xdr:col>
      <xdr:colOff>146957</xdr:colOff>
      <xdr:row>784</xdr:row>
      <xdr:rowOff>326573</xdr:rowOff>
    </xdr:to>
    <xdr:pic>
      <xdr:nvPicPr>
        <xdr:cNvPr id="40" name="Imagen 39">
          <a:extLst>
            <a:ext uri="{FF2B5EF4-FFF2-40B4-BE49-F238E27FC236}">
              <a16:creationId xmlns:a16="http://schemas.microsoft.com/office/drawing/2014/main" id="{00000000-0008-0000-1200-000028000000}"/>
            </a:ext>
          </a:extLst>
        </xdr:cNvPr>
        <xdr:cNvPicPr>
          <a:picLocks noChangeAspect="1"/>
        </xdr:cNvPicPr>
      </xdr:nvPicPr>
      <xdr:blipFill>
        <a:blip xmlns:r="http://schemas.openxmlformats.org/officeDocument/2006/relationships" r:embed="rId1"/>
        <a:stretch>
          <a:fillRect/>
        </a:stretch>
      </xdr:blipFill>
      <xdr:spPr>
        <a:xfrm>
          <a:off x="190500" y="129590347"/>
          <a:ext cx="699407" cy="371476"/>
        </a:xfrm>
        <a:prstGeom prst="rect">
          <a:avLst/>
        </a:prstGeom>
      </xdr:spPr>
    </xdr:pic>
    <xdr:clientData/>
  </xdr:twoCellAnchor>
  <xdr:twoCellAnchor>
    <xdr:from>
      <xdr:col>0</xdr:col>
      <xdr:colOff>190500</xdr:colOff>
      <xdr:row>824</xdr:row>
      <xdr:rowOff>40822</xdr:rowOff>
    </xdr:from>
    <xdr:to>
      <xdr:col>3</xdr:col>
      <xdr:colOff>146957</xdr:colOff>
      <xdr:row>825</xdr:row>
      <xdr:rowOff>326573</xdr:rowOff>
    </xdr:to>
    <xdr:pic>
      <xdr:nvPicPr>
        <xdr:cNvPr id="46" name="Imagen 45">
          <a:extLst>
            <a:ext uri="{FF2B5EF4-FFF2-40B4-BE49-F238E27FC236}">
              <a16:creationId xmlns:a16="http://schemas.microsoft.com/office/drawing/2014/main" id="{00000000-0008-0000-1200-00002E000000}"/>
            </a:ext>
          </a:extLst>
        </xdr:cNvPr>
        <xdr:cNvPicPr>
          <a:picLocks noChangeAspect="1"/>
        </xdr:cNvPicPr>
      </xdr:nvPicPr>
      <xdr:blipFill>
        <a:blip xmlns:r="http://schemas.openxmlformats.org/officeDocument/2006/relationships" r:embed="rId1"/>
        <a:stretch>
          <a:fillRect/>
        </a:stretch>
      </xdr:blipFill>
      <xdr:spPr>
        <a:xfrm>
          <a:off x="190500" y="159536947"/>
          <a:ext cx="699407" cy="371476"/>
        </a:xfrm>
        <a:prstGeom prst="rect">
          <a:avLst/>
        </a:prstGeom>
      </xdr:spPr>
    </xdr:pic>
    <xdr:clientData/>
  </xdr:twoCellAnchor>
  <xdr:twoCellAnchor>
    <xdr:from>
      <xdr:col>0</xdr:col>
      <xdr:colOff>190500</xdr:colOff>
      <xdr:row>865</xdr:row>
      <xdr:rowOff>40822</xdr:rowOff>
    </xdr:from>
    <xdr:to>
      <xdr:col>3</xdr:col>
      <xdr:colOff>146957</xdr:colOff>
      <xdr:row>866</xdr:row>
      <xdr:rowOff>326573</xdr:rowOff>
    </xdr:to>
    <xdr:pic>
      <xdr:nvPicPr>
        <xdr:cNvPr id="54" name="Imagen 53">
          <a:extLst>
            <a:ext uri="{FF2B5EF4-FFF2-40B4-BE49-F238E27FC236}">
              <a16:creationId xmlns:a16="http://schemas.microsoft.com/office/drawing/2014/main" id="{00000000-0008-0000-1200-000036000000}"/>
            </a:ext>
          </a:extLst>
        </xdr:cNvPr>
        <xdr:cNvPicPr>
          <a:picLocks noChangeAspect="1"/>
        </xdr:cNvPicPr>
      </xdr:nvPicPr>
      <xdr:blipFill>
        <a:blip xmlns:r="http://schemas.openxmlformats.org/officeDocument/2006/relationships" r:embed="rId1"/>
        <a:stretch>
          <a:fillRect/>
        </a:stretch>
      </xdr:blipFill>
      <xdr:spPr>
        <a:xfrm>
          <a:off x="190500" y="167585572"/>
          <a:ext cx="699407" cy="371476"/>
        </a:xfrm>
        <a:prstGeom prst="rect">
          <a:avLst/>
        </a:prstGeom>
      </xdr:spPr>
    </xdr:pic>
    <xdr:clientData/>
  </xdr:twoCellAnchor>
  <xdr:twoCellAnchor editAs="oneCell">
    <xdr:from>
      <xdr:col>0</xdr:col>
      <xdr:colOff>180975</xdr:colOff>
      <xdr:row>875</xdr:row>
      <xdr:rowOff>76200</xdr:rowOff>
    </xdr:from>
    <xdr:to>
      <xdr:col>11</xdr:col>
      <xdr:colOff>47987</xdr:colOff>
      <xdr:row>883</xdr:row>
      <xdr:rowOff>76449</xdr:rowOff>
    </xdr:to>
    <xdr:pic>
      <xdr:nvPicPr>
        <xdr:cNvPr id="60" name="Imagen 59">
          <a:extLst>
            <a:ext uri="{FF2B5EF4-FFF2-40B4-BE49-F238E27FC236}">
              <a16:creationId xmlns:a16="http://schemas.microsoft.com/office/drawing/2014/main" id="{00000000-0008-0000-1200-00003C000000}"/>
            </a:ext>
          </a:extLst>
        </xdr:cNvPr>
        <xdr:cNvPicPr>
          <a:picLocks noChangeAspect="1"/>
        </xdr:cNvPicPr>
      </xdr:nvPicPr>
      <xdr:blipFill>
        <a:blip xmlns:r="http://schemas.openxmlformats.org/officeDocument/2006/relationships" r:embed="rId5"/>
        <a:stretch>
          <a:fillRect/>
        </a:stretch>
      </xdr:blipFill>
      <xdr:spPr>
        <a:xfrm>
          <a:off x="180975" y="178508025"/>
          <a:ext cx="2591162" cy="1781424"/>
        </a:xfrm>
        <a:prstGeom prst="rect">
          <a:avLst/>
        </a:prstGeom>
      </xdr:spPr>
    </xdr:pic>
    <xdr:clientData/>
  </xdr:twoCellAnchor>
  <xdr:twoCellAnchor editAs="oneCell">
    <xdr:from>
      <xdr:col>13</xdr:col>
      <xdr:colOff>209550</xdr:colOff>
      <xdr:row>874</xdr:row>
      <xdr:rowOff>152400</xdr:rowOff>
    </xdr:from>
    <xdr:to>
      <xdr:col>22</xdr:col>
      <xdr:colOff>95545</xdr:colOff>
      <xdr:row>884</xdr:row>
      <xdr:rowOff>162231</xdr:rowOff>
    </xdr:to>
    <xdr:pic>
      <xdr:nvPicPr>
        <xdr:cNvPr id="61" name="Imagen 60">
          <a:extLst>
            <a:ext uri="{FF2B5EF4-FFF2-40B4-BE49-F238E27FC236}">
              <a16:creationId xmlns:a16="http://schemas.microsoft.com/office/drawing/2014/main" id="{00000000-0008-0000-1200-00003D000000}"/>
            </a:ext>
          </a:extLst>
        </xdr:cNvPr>
        <xdr:cNvPicPr>
          <a:picLocks noChangeAspect="1"/>
        </xdr:cNvPicPr>
      </xdr:nvPicPr>
      <xdr:blipFill>
        <a:blip xmlns:r="http://schemas.openxmlformats.org/officeDocument/2006/relationships" r:embed="rId6"/>
        <a:stretch>
          <a:fillRect/>
        </a:stretch>
      </xdr:blipFill>
      <xdr:spPr>
        <a:xfrm>
          <a:off x="3429000" y="178384200"/>
          <a:ext cx="2114845" cy="2191056"/>
        </a:xfrm>
        <a:prstGeom prst="rect">
          <a:avLst/>
        </a:prstGeom>
      </xdr:spPr>
    </xdr:pic>
    <xdr:clientData/>
  </xdr:twoCellAnchor>
  <xdr:twoCellAnchor editAs="oneCell">
    <xdr:from>
      <xdr:col>2</xdr:col>
      <xdr:colOff>114301</xdr:colOff>
      <xdr:row>885</xdr:row>
      <xdr:rowOff>114300</xdr:rowOff>
    </xdr:from>
    <xdr:to>
      <xdr:col>13</xdr:col>
      <xdr:colOff>58981</xdr:colOff>
      <xdr:row>895</xdr:row>
      <xdr:rowOff>190500</xdr:rowOff>
    </xdr:to>
    <xdr:pic>
      <xdr:nvPicPr>
        <xdr:cNvPr id="62" name="Imagen 61">
          <a:extLst>
            <a:ext uri="{FF2B5EF4-FFF2-40B4-BE49-F238E27FC236}">
              <a16:creationId xmlns:a16="http://schemas.microsoft.com/office/drawing/2014/main" id="{00000000-0008-0000-1200-00003E000000}"/>
            </a:ext>
          </a:extLst>
        </xdr:cNvPr>
        <xdr:cNvPicPr>
          <a:picLocks noChangeAspect="1"/>
        </xdr:cNvPicPr>
      </xdr:nvPicPr>
      <xdr:blipFill>
        <a:blip xmlns:r="http://schemas.openxmlformats.org/officeDocument/2006/relationships" r:embed="rId7"/>
        <a:stretch>
          <a:fillRect/>
        </a:stretch>
      </xdr:blipFill>
      <xdr:spPr>
        <a:xfrm>
          <a:off x="609601" y="180546375"/>
          <a:ext cx="2668830" cy="2076450"/>
        </a:xfrm>
        <a:prstGeom prst="rect">
          <a:avLst/>
        </a:prstGeom>
      </xdr:spPr>
    </xdr:pic>
    <xdr:clientData/>
  </xdr:twoCellAnchor>
  <xdr:twoCellAnchor>
    <xdr:from>
      <xdr:col>0</xdr:col>
      <xdr:colOff>190500</xdr:colOff>
      <xdr:row>906</xdr:row>
      <xdr:rowOff>40822</xdr:rowOff>
    </xdr:from>
    <xdr:to>
      <xdr:col>3</xdr:col>
      <xdr:colOff>146957</xdr:colOff>
      <xdr:row>907</xdr:row>
      <xdr:rowOff>326573</xdr:rowOff>
    </xdr:to>
    <xdr:pic>
      <xdr:nvPicPr>
        <xdr:cNvPr id="63" name="Imagen 62">
          <a:extLst>
            <a:ext uri="{FF2B5EF4-FFF2-40B4-BE49-F238E27FC236}">
              <a16:creationId xmlns:a16="http://schemas.microsoft.com/office/drawing/2014/main" id="{00000000-0008-0000-1200-00003F000000}"/>
            </a:ext>
          </a:extLst>
        </xdr:cNvPr>
        <xdr:cNvPicPr>
          <a:picLocks noChangeAspect="1"/>
        </xdr:cNvPicPr>
      </xdr:nvPicPr>
      <xdr:blipFill>
        <a:blip xmlns:r="http://schemas.openxmlformats.org/officeDocument/2006/relationships" r:embed="rId1"/>
        <a:stretch>
          <a:fillRect/>
        </a:stretch>
      </xdr:blipFill>
      <xdr:spPr>
        <a:xfrm>
          <a:off x="190500" y="176539072"/>
          <a:ext cx="699407" cy="371476"/>
        </a:xfrm>
        <a:prstGeom prst="rect">
          <a:avLst/>
        </a:prstGeom>
      </xdr:spPr>
    </xdr:pic>
    <xdr:clientData/>
  </xdr:twoCellAnchor>
  <xdr:twoCellAnchor editAs="oneCell">
    <xdr:from>
      <xdr:col>2</xdr:col>
      <xdr:colOff>38100</xdr:colOff>
      <xdr:row>915</xdr:row>
      <xdr:rowOff>190500</xdr:rowOff>
    </xdr:from>
    <xdr:to>
      <xdr:col>22</xdr:col>
      <xdr:colOff>152400</xdr:colOff>
      <xdr:row>928</xdr:row>
      <xdr:rowOff>121661</xdr:rowOff>
    </xdr:to>
    <xdr:pic>
      <xdr:nvPicPr>
        <xdr:cNvPr id="67" name="Imagen 66">
          <a:extLst>
            <a:ext uri="{FF2B5EF4-FFF2-40B4-BE49-F238E27FC236}">
              <a16:creationId xmlns:a16="http://schemas.microsoft.com/office/drawing/2014/main" id="{00000000-0008-0000-1200-000043000000}"/>
            </a:ext>
          </a:extLst>
        </xdr:cNvPr>
        <xdr:cNvPicPr>
          <a:picLocks noChangeAspect="1"/>
        </xdr:cNvPicPr>
      </xdr:nvPicPr>
      <xdr:blipFill>
        <a:blip xmlns:r="http://schemas.openxmlformats.org/officeDocument/2006/relationships" r:embed="rId8"/>
        <a:stretch>
          <a:fillRect/>
        </a:stretch>
      </xdr:blipFill>
      <xdr:spPr>
        <a:xfrm>
          <a:off x="533400" y="186651900"/>
          <a:ext cx="5067300" cy="2893436"/>
        </a:xfrm>
        <a:prstGeom prst="rect">
          <a:avLst/>
        </a:prstGeom>
      </xdr:spPr>
    </xdr:pic>
    <xdr:clientData/>
  </xdr:twoCellAnchor>
  <xdr:twoCellAnchor>
    <xdr:from>
      <xdr:col>0</xdr:col>
      <xdr:colOff>190500</xdr:colOff>
      <xdr:row>947</xdr:row>
      <xdr:rowOff>40822</xdr:rowOff>
    </xdr:from>
    <xdr:to>
      <xdr:col>3</xdr:col>
      <xdr:colOff>146957</xdr:colOff>
      <xdr:row>948</xdr:row>
      <xdr:rowOff>326573</xdr:rowOff>
    </xdr:to>
    <xdr:pic>
      <xdr:nvPicPr>
        <xdr:cNvPr id="68" name="Imagen 67">
          <a:extLst>
            <a:ext uri="{FF2B5EF4-FFF2-40B4-BE49-F238E27FC236}">
              <a16:creationId xmlns:a16="http://schemas.microsoft.com/office/drawing/2014/main" id="{00000000-0008-0000-1200-000044000000}"/>
            </a:ext>
          </a:extLst>
        </xdr:cNvPr>
        <xdr:cNvPicPr>
          <a:picLocks noChangeAspect="1"/>
        </xdr:cNvPicPr>
      </xdr:nvPicPr>
      <xdr:blipFill>
        <a:blip xmlns:r="http://schemas.openxmlformats.org/officeDocument/2006/relationships" r:embed="rId1"/>
        <a:stretch>
          <a:fillRect/>
        </a:stretch>
      </xdr:blipFill>
      <xdr:spPr>
        <a:xfrm>
          <a:off x="190500" y="184768672"/>
          <a:ext cx="699407" cy="371476"/>
        </a:xfrm>
        <a:prstGeom prst="rect">
          <a:avLst/>
        </a:prstGeom>
      </xdr:spPr>
    </xdr:pic>
    <xdr:clientData/>
  </xdr:twoCellAnchor>
  <xdr:twoCellAnchor editAs="oneCell">
    <xdr:from>
      <xdr:col>7</xdr:col>
      <xdr:colOff>66675</xdr:colOff>
      <xdr:row>960</xdr:row>
      <xdr:rowOff>161925</xdr:rowOff>
    </xdr:from>
    <xdr:to>
      <xdr:col>17</xdr:col>
      <xdr:colOff>152758</xdr:colOff>
      <xdr:row>974</xdr:row>
      <xdr:rowOff>38474</xdr:rowOff>
    </xdr:to>
    <xdr:pic>
      <xdr:nvPicPr>
        <xdr:cNvPr id="70" name="Imagen 69">
          <a:extLst>
            <a:ext uri="{FF2B5EF4-FFF2-40B4-BE49-F238E27FC236}">
              <a16:creationId xmlns:a16="http://schemas.microsoft.com/office/drawing/2014/main" id="{00000000-0008-0000-1200-000046000000}"/>
            </a:ext>
          </a:extLst>
        </xdr:cNvPr>
        <xdr:cNvPicPr>
          <a:picLocks noChangeAspect="1"/>
        </xdr:cNvPicPr>
      </xdr:nvPicPr>
      <xdr:blipFill>
        <a:blip xmlns:r="http://schemas.openxmlformats.org/officeDocument/2006/relationships" r:embed="rId9"/>
        <a:stretch>
          <a:fillRect/>
        </a:stretch>
      </xdr:blipFill>
      <xdr:spPr>
        <a:xfrm>
          <a:off x="1800225" y="198986775"/>
          <a:ext cx="2562583" cy="2676899"/>
        </a:xfrm>
        <a:prstGeom prst="rect">
          <a:avLst/>
        </a:prstGeom>
      </xdr:spPr>
    </xdr:pic>
    <xdr:clientData/>
  </xdr:twoCellAnchor>
  <xdr:twoCellAnchor>
    <xdr:from>
      <xdr:col>0</xdr:col>
      <xdr:colOff>190500</xdr:colOff>
      <xdr:row>988</xdr:row>
      <xdr:rowOff>40822</xdr:rowOff>
    </xdr:from>
    <xdr:to>
      <xdr:col>3</xdr:col>
      <xdr:colOff>146957</xdr:colOff>
      <xdr:row>989</xdr:row>
      <xdr:rowOff>326573</xdr:rowOff>
    </xdr:to>
    <xdr:pic>
      <xdr:nvPicPr>
        <xdr:cNvPr id="71" name="Imagen 70">
          <a:extLst>
            <a:ext uri="{FF2B5EF4-FFF2-40B4-BE49-F238E27FC236}">
              <a16:creationId xmlns:a16="http://schemas.microsoft.com/office/drawing/2014/main" id="{00000000-0008-0000-1200-000047000000}"/>
            </a:ext>
          </a:extLst>
        </xdr:cNvPr>
        <xdr:cNvPicPr>
          <a:picLocks noChangeAspect="1"/>
        </xdr:cNvPicPr>
      </xdr:nvPicPr>
      <xdr:blipFill>
        <a:blip xmlns:r="http://schemas.openxmlformats.org/officeDocument/2006/relationships" r:embed="rId1"/>
        <a:stretch>
          <a:fillRect/>
        </a:stretch>
      </xdr:blipFill>
      <xdr:spPr>
        <a:xfrm>
          <a:off x="190500" y="193179247"/>
          <a:ext cx="699407" cy="371476"/>
        </a:xfrm>
        <a:prstGeom prst="rect">
          <a:avLst/>
        </a:prstGeom>
      </xdr:spPr>
    </xdr:pic>
    <xdr:clientData/>
  </xdr:twoCellAnchor>
  <xdr:twoCellAnchor editAs="oneCell">
    <xdr:from>
      <xdr:col>1</xdr:col>
      <xdr:colOff>66675</xdr:colOff>
      <xdr:row>998</xdr:row>
      <xdr:rowOff>68898</xdr:rowOff>
    </xdr:from>
    <xdr:to>
      <xdr:col>11</xdr:col>
      <xdr:colOff>86124</xdr:colOff>
      <xdr:row>1006</xdr:row>
      <xdr:rowOff>76486</xdr:rowOff>
    </xdr:to>
    <xdr:pic>
      <xdr:nvPicPr>
        <xdr:cNvPr id="73" name="Imagen 72">
          <a:extLst>
            <a:ext uri="{FF2B5EF4-FFF2-40B4-BE49-F238E27FC236}">
              <a16:creationId xmlns:a16="http://schemas.microsoft.com/office/drawing/2014/main" id="{00000000-0008-0000-1200-000049000000}"/>
            </a:ext>
          </a:extLst>
        </xdr:cNvPr>
        <xdr:cNvPicPr>
          <a:picLocks noChangeAspect="1"/>
        </xdr:cNvPicPr>
      </xdr:nvPicPr>
      <xdr:blipFill>
        <a:blip xmlns:r="http://schemas.openxmlformats.org/officeDocument/2006/relationships" r:embed="rId10"/>
        <a:stretch>
          <a:fillRect/>
        </a:stretch>
      </xdr:blipFill>
      <xdr:spPr>
        <a:xfrm>
          <a:off x="314325" y="203189523"/>
          <a:ext cx="2495949" cy="1788763"/>
        </a:xfrm>
        <a:prstGeom prst="rect">
          <a:avLst/>
        </a:prstGeom>
      </xdr:spPr>
    </xdr:pic>
    <xdr:clientData/>
  </xdr:twoCellAnchor>
  <xdr:twoCellAnchor editAs="oneCell">
    <xdr:from>
      <xdr:col>11</xdr:col>
      <xdr:colOff>228600</xdr:colOff>
      <xdr:row>998</xdr:row>
      <xdr:rowOff>91060</xdr:rowOff>
    </xdr:from>
    <xdr:to>
      <xdr:col>23</xdr:col>
      <xdr:colOff>180975</xdr:colOff>
      <xdr:row>1012</xdr:row>
      <xdr:rowOff>76661</xdr:rowOff>
    </xdr:to>
    <xdr:pic>
      <xdr:nvPicPr>
        <xdr:cNvPr id="74" name="Imagen 73">
          <a:extLst>
            <a:ext uri="{FF2B5EF4-FFF2-40B4-BE49-F238E27FC236}">
              <a16:creationId xmlns:a16="http://schemas.microsoft.com/office/drawing/2014/main" id="{00000000-0008-0000-1200-00004A000000}"/>
            </a:ext>
          </a:extLst>
        </xdr:cNvPr>
        <xdr:cNvPicPr>
          <a:picLocks noChangeAspect="1"/>
        </xdr:cNvPicPr>
      </xdr:nvPicPr>
      <xdr:blipFill>
        <a:blip xmlns:r="http://schemas.openxmlformats.org/officeDocument/2006/relationships" r:embed="rId11"/>
        <a:stretch>
          <a:fillRect/>
        </a:stretch>
      </xdr:blipFill>
      <xdr:spPr>
        <a:xfrm>
          <a:off x="2952750" y="203211685"/>
          <a:ext cx="2924175" cy="2966926"/>
        </a:xfrm>
        <a:prstGeom prst="rect">
          <a:avLst/>
        </a:prstGeom>
      </xdr:spPr>
    </xdr:pic>
    <xdr:clientData/>
  </xdr:twoCellAnchor>
  <xdr:twoCellAnchor>
    <xdr:from>
      <xdr:col>0</xdr:col>
      <xdr:colOff>190500</xdr:colOff>
      <xdr:row>1029</xdr:row>
      <xdr:rowOff>40822</xdr:rowOff>
    </xdr:from>
    <xdr:to>
      <xdr:col>3</xdr:col>
      <xdr:colOff>146957</xdr:colOff>
      <xdr:row>1030</xdr:row>
      <xdr:rowOff>326573</xdr:rowOff>
    </xdr:to>
    <xdr:pic>
      <xdr:nvPicPr>
        <xdr:cNvPr id="75" name="Imagen 74">
          <a:extLst>
            <a:ext uri="{FF2B5EF4-FFF2-40B4-BE49-F238E27FC236}">
              <a16:creationId xmlns:a16="http://schemas.microsoft.com/office/drawing/2014/main" id="{00000000-0008-0000-1200-00004B000000}"/>
            </a:ext>
          </a:extLst>
        </xdr:cNvPr>
        <xdr:cNvPicPr>
          <a:picLocks noChangeAspect="1"/>
        </xdr:cNvPicPr>
      </xdr:nvPicPr>
      <xdr:blipFill>
        <a:blip xmlns:r="http://schemas.openxmlformats.org/officeDocument/2006/relationships" r:embed="rId1"/>
        <a:stretch>
          <a:fillRect/>
        </a:stretch>
      </xdr:blipFill>
      <xdr:spPr>
        <a:xfrm>
          <a:off x="190500" y="201227872"/>
          <a:ext cx="699407" cy="371476"/>
        </a:xfrm>
        <a:prstGeom prst="rect">
          <a:avLst/>
        </a:prstGeom>
      </xdr:spPr>
    </xdr:pic>
    <xdr:clientData/>
  </xdr:twoCellAnchor>
  <xdr:twoCellAnchor editAs="oneCell">
    <xdr:from>
      <xdr:col>2</xdr:col>
      <xdr:colOff>171450</xdr:colOff>
      <xdr:row>1039</xdr:row>
      <xdr:rowOff>161925</xdr:rowOff>
    </xdr:from>
    <xdr:to>
      <xdr:col>11</xdr:col>
      <xdr:colOff>143182</xdr:colOff>
      <xdr:row>1053</xdr:row>
      <xdr:rowOff>133737</xdr:rowOff>
    </xdr:to>
    <xdr:pic>
      <xdr:nvPicPr>
        <xdr:cNvPr id="78" name="Imagen 77">
          <a:extLst>
            <a:ext uri="{FF2B5EF4-FFF2-40B4-BE49-F238E27FC236}">
              <a16:creationId xmlns:a16="http://schemas.microsoft.com/office/drawing/2014/main" id="{00000000-0008-0000-1200-00004E000000}"/>
            </a:ext>
          </a:extLst>
        </xdr:cNvPr>
        <xdr:cNvPicPr>
          <a:picLocks noChangeAspect="1"/>
        </xdr:cNvPicPr>
      </xdr:nvPicPr>
      <xdr:blipFill>
        <a:blip xmlns:r="http://schemas.openxmlformats.org/officeDocument/2006/relationships" r:embed="rId12"/>
        <a:stretch>
          <a:fillRect/>
        </a:stretch>
      </xdr:blipFill>
      <xdr:spPr>
        <a:xfrm>
          <a:off x="666750" y="211693125"/>
          <a:ext cx="2200582" cy="2772162"/>
        </a:xfrm>
        <a:prstGeom prst="rect">
          <a:avLst/>
        </a:prstGeom>
      </xdr:spPr>
    </xdr:pic>
    <xdr:clientData/>
  </xdr:twoCellAnchor>
  <xdr:twoCellAnchor>
    <xdr:from>
      <xdr:col>0</xdr:col>
      <xdr:colOff>190500</xdr:colOff>
      <xdr:row>1070</xdr:row>
      <xdr:rowOff>40822</xdr:rowOff>
    </xdr:from>
    <xdr:to>
      <xdr:col>3</xdr:col>
      <xdr:colOff>146957</xdr:colOff>
      <xdr:row>1071</xdr:row>
      <xdr:rowOff>326573</xdr:rowOff>
    </xdr:to>
    <xdr:pic>
      <xdr:nvPicPr>
        <xdr:cNvPr id="79" name="Imagen 78">
          <a:extLst>
            <a:ext uri="{FF2B5EF4-FFF2-40B4-BE49-F238E27FC236}">
              <a16:creationId xmlns:a16="http://schemas.microsoft.com/office/drawing/2014/main" id="{00000000-0008-0000-1200-00004F000000}"/>
            </a:ext>
          </a:extLst>
        </xdr:cNvPr>
        <xdr:cNvPicPr>
          <a:picLocks noChangeAspect="1"/>
        </xdr:cNvPicPr>
      </xdr:nvPicPr>
      <xdr:blipFill>
        <a:blip xmlns:r="http://schemas.openxmlformats.org/officeDocument/2006/relationships" r:embed="rId1"/>
        <a:stretch>
          <a:fillRect/>
        </a:stretch>
      </xdr:blipFill>
      <xdr:spPr>
        <a:xfrm>
          <a:off x="190500" y="209638447"/>
          <a:ext cx="699407" cy="371476"/>
        </a:xfrm>
        <a:prstGeom prst="rect">
          <a:avLst/>
        </a:prstGeom>
      </xdr:spPr>
    </xdr:pic>
    <xdr:clientData/>
  </xdr:twoCellAnchor>
  <xdr:twoCellAnchor editAs="oneCell">
    <xdr:from>
      <xdr:col>1</xdr:col>
      <xdr:colOff>142875</xdr:colOff>
      <xdr:row>1079</xdr:row>
      <xdr:rowOff>161925</xdr:rowOff>
    </xdr:from>
    <xdr:to>
      <xdr:col>15</xdr:col>
      <xdr:colOff>219075</xdr:colOff>
      <xdr:row>1096</xdr:row>
      <xdr:rowOff>174993</xdr:rowOff>
    </xdr:to>
    <xdr:pic>
      <xdr:nvPicPr>
        <xdr:cNvPr id="81" name="Imagen 80">
          <a:extLst>
            <a:ext uri="{FF2B5EF4-FFF2-40B4-BE49-F238E27FC236}">
              <a16:creationId xmlns:a16="http://schemas.microsoft.com/office/drawing/2014/main" id="{00000000-0008-0000-1200-000051000000}"/>
            </a:ext>
          </a:extLst>
        </xdr:cNvPr>
        <xdr:cNvPicPr>
          <a:picLocks noChangeAspect="1"/>
        </xdr:cNvPicPr>
      </xdr:nvPicPr>
      <xdr:blipFill>
        <a:blip xmlns:r="http://schemas.openxmlformats.org/officeDocument/2006/relationships" r:embed="rId13"/>
        <a:stretch>
          <a:fillRect/>
        </a:stretch>
      </xdr:blipFill>
      <xdr:spPr>
        <a:xfrm>
          <a:off x="390525" y="219722700"/>
          <a:ext cx="3543300" cy="3594468"/>
        </a:xfrm>
        <a:prstGeom prst="rect">
          <a:avLst/>
        </a:prstGeom>
      </xdr:spPr>
    </xdr:pic>
    <xdr:clientData/>
  </xdr:twoCellAnchor>
  <xdr:twoCellAnchor>
    <xdr:from>
      <xdr:col>0</xdr:col>
      <xdr:colOff>190500</xdr:colOff>
      <xdr:row>1111</xdr:row>
      <xdr:rowOff>40822</xdr:rowOff>
    </xdr:from>
    <xdr:to>
      <xdr:col>3</xdr:col>
      <xdr:colOff>146957</xdr:colOff>
      <xdr:row>1112</xdr:row>
      <xdr:rowOff>326573</xdr:rowOff>
    </xdr:to>
    <xdr:pic>
      <xdr:nvPicPr>
        <xdr:cNvPr id="82" name="Imagen 81">
          <a:extLst>
            <a:ext uri="{FF2B5EF4-FFF2-40B4-BE49-F238E27FC236}">
              <a16:creationId xmlns:a16="http://schemas.microsoft.com/office/drawing/2014/main" id="{00000000-0008-0000-1200-000052000000}"/>
            </a:ext>
          </a:extLst>
        </xdr:cNvPr>
        <xdr:cNvPicPr>
          <a:picLocks noChangeAspect="1"/>
        </xdr:cNvPicPr>
      </xdr:nvPicPr>
      <xdr:blipFill>
        <a:blip xmlns:r="http://schemas.openxmlformats.org/officeDocument/2006/relationships" r:embed="rId1"/>
        <a:stretch>
          <a:fillRect/>
        </a:stretch>
      </xdr:blipFill>
      <xdr:spPr>
        <a:xfrm>
          <a:off x="190500" y="217868047"/>
          <a:ext cx="699407" cy="371476"/>
        </a:xfrm>
        <a:prstGeom prst="rect">
          <a:avLst/>
        </a:prstGeom>
      </xdr:spPr>
    </xdr:pic>
    <xdr:clientData/>
  </xdr:twoCellAnchor>
  <xdr:twoCellAnchor editAs="oneCell">
    <xdr:from>
      <xdr:col>5</xdr:col>
      <xdr:colOff>47625</xdr:colOff>
      <xdr:row>1122</xdr:row>
      <xdr:rowOff>85725</xdr:rowOff>
    </xdr:from>
    <xdr:to>
      <xdr:col>19</xdr:col>
      <xdr:colOff>105267</xdr:colOff>
      <xdr:row>1138</xdr:row>
      <xdr:rowOff>190961</xdr:rowOff>
    </xdr:to>
    <xdr:pic>
      <xdr:nvPicPr>
        <xdr:cNvPr id="84" name="Imagen 83">
          <a:extLst>
            <a:ext uri="{FF2B5EF4-FFF2-40B4-BE49-F238E27FC236}">
              <a16:creationId xmlns:a16="http://schemas.microsoft.com/office/drawing/2014/main" id="{00000000-0008-0000-1200-000054000000}"/>
            </a:ext>
          </a:extLst>
        </xdr:cNvPr>
        <xdr:cNvPicPr>
          <a:picLocks noChangeAspect="1"/>
        </xdr:cNvPicPr>
      </xdr:nvPicPr>
      <xdr:blipFill>
        <a:blip xmlns:r="http://schemas.openxmlformats.org/officeDocument/2006/relationships" r:embed="rId14"/>
        <a:stretch>
          <a:fillRect/>
        </a:stretch>
      </xdr:blipFill>
      <xdr:spPr>
        <a:xfrm>
          <a:off x="1285875" y="228276150"/>
          <a:ext cx="3524742" cy="3305636"/>
        </a:xfrm>
        <a:prstGeom prst="rect">
          <a:avLst/>
        </a:prstGeom>
      </xdr:spPr>
    </xdr:pic>
    <xdr:clientData/>
  </xdr:twoCellAnchor>
  <xdr:twoCellAnchor>
    <xdr:from>
      <xdr:col>0</xdr:col>
      <xdr:colOff>190500</xdr:colOff>
      <xdr:row>1152</xdr:row>
      <xdr:rowOff>40822</xdr:rowOff>
    </xdr:from>
    <xdr:to>
      <xdr:col>3</xdr:col>
      <xdr:colOff>146957</xdr:colOff>
      <xdr:row>1153</xdr:row>
      <xdr:rowOff>326573</xdr:rowOff>
    </xdr:to>
    <xdr:pic>
      <xdr:nvPicPr>
        <xdr:cNvPr id="85" name="Imagen 84">
          <a:extLst>
            <a:ext uri="{FF2B5EF4-FFF2-40B4-BE49-F238E27FC236}">
              <a16:creationId xmlns:a16="http://schemas.microsoft.com/office/drawing/2014/main" id="{00000000-0008-0000-1200-000055000000}"/>
            </a:ext>
          </a:extLst>
        </xdr:cNvPr>
        <xdr:cNvPicPr>
          <a:picLocks noChangeAspect="1"/>
        </xdr:cNvPicPr>
      </xdr:nvPicPr>
      <xdr:blipFill>
        <a:blip xmlns:r="http://schemas.openxmlformats.org/officeDocument/2006/relationships" r:embed="rId1"/>
        <a:stretch>
          <a:fillRect/>
        </a:stretch>
      </xdr:blipFill>
      <xdr:spPr>
        <a:xfrm>
          <a:off x="190500" y="74335822"/>
          <a:ext cx="699407" cy="485776"/>
        </a:xfrm>
        <a:prstGeom prst="rect">
          <a:avLst/>
        </a:prstGeom>
      </xdr:spPr>
    </xdr:pic>
    <xdr:clientData/>
  </xdr:twoCellAnchor>
  <xdr:twoCellAnchor editAs="oneCell">
    <xdr:from>
      <xdr:col>0</xdr:col>
      <xdr:colOff>238125</xdr:colOff>
      <xdr:row>1161</xdr:row>
      <xdr:rowOff>104775</xdr:rowOff>
    </xdr:from>
    <xdr:to>
      <xdr:col>11</xdr:col>
      <xdr:colOff>152768</xdr:colOff>
      <xdr:row>1180</xdr:row>
      <xdr:rowOff>105305</xdr:rowOff>
    </xdr:to>
    <xdr:pic>
      <xdr:nvPicPr>
        <xdr:cNvPr id="87" name="Imagen 86">
          <a:extLst>
            <a:ext uri="{FF2B5EF4-FFF2-40B4-BE49-F238E27FC236}">
              <a16:creationId xmlns:a16="http://schemas.microsoft.com/office/drawing/2014/main" id="{00000000-0008-0000-1200-000057000000}"/>
            </a:ext>
          </a:extLst>
        </xdr:cNvPr>
        <xdr:cNvPicPr>
          <a:picLocks noChangeAspect="1"/>
        </xdr:cNvPicPr>
      </xdr:nvPicPr>
      <xdr:blipFill>
        <a:blip xmlns:r="http://schemas.openxmlformats.org/officeDocument/2006/relationships" r:embed="rId15"/>
        <a:stretch>
          <a:fillRect/>
        </a:stretch>
      </xdr:blipFill>
      <xdr:spPr>
        <a:xfrm>
          <a:off x="238125" y="240277650"/>
          <a:ext cx="2638793" cy="3801005"/>
        </a:xfrm>
        <a:prstGeom prst="rect">
          <a:avLst/>
        </a:prstGeom>
      </xdr:spPr>
    </xdr:pic>
    <xdr:clientData/>
  </xdr:twoCellAnchor>
  <xdr:twoCellAnchor editAs="oneCell">
    <xdr:from>
      <xdr:col>12</xdr:col>
      <xdr:colOff>38100</xdr:colOff>
      <xdr:row>1162</xdr:row>
      <xdr:rowOff>66675</xdr:rowOff>
    </xdr:from>
    <xdr:to>
      <xdr:col>21</xdr:col>
      <xdr:colOff>124148</xdr:colOff>
      <xdr:row>1180</xdr:row>
      <xdr:rowOff>105283</xdr:rowOff>
    </xdr:to>
    <xdr:pic>
      <xdr:nvPicPr>
        <xdr:cNvPr id="88" name="Imagen 87">
          <a:extLst>
            <a:ext uri="{FF2B5EF4-FFF2-40B4-BE49-F238E27FC236}">
              <a16:creationId xmlns:a16="http://schemas.microsoft.com/office/drawing/2014/main" id="{00000000-0008-0000-1200-000058000000}"/>
            </a:ext>
          </a:extLst>
        </xdr:cNvPr>
        <xdr:cNvPicPr>
          <a:picLocks noChangeAspect="1"/>
        </xdr:cNvPicPr>
      </xdr:nvPicPr>
      <xdr:blipFill>
        <a:blip xmlns:r="http://schemas.openxmlformats.org/officeDocument/2006/relationships" r:embed="rId16"/>
        <a:stretch>
          <a:fillRect/>
        </a:stretch>
      </xdr:blipFill>
      <xdr:spPr>
        <a:xfrm>
          <a:off x="3009900" y="240439575"/>
          <a:ext cx="2314898" cy="3639058"/>
        </a:xfrm>
        <a:prstGeom prst="rect">
          <a:avLst/>
        </a:prstGeom>
      </xdr:spPr>
    </xdr:pic>
    <xdr:clientData/>
  </xdr:twoCellAnchor>
  <xdr:twoCellAnchor>
    <xdr:from>
      <xdr:col>0</xdr:col>
      <xdr:colOff>190500</xdr:colOff>
      <xdr:row>1189</xdr:row>
      <xdr:rowOff>40822</xdr:rowOff>
    </xdr:from>
    <xdr:to>
      <xdr:col>3</xdr:col>
      <xdr:colOff>146957</xdr:colOff>
      <xdr:row>1190</xdr:row>
      <xdr:rowOff>326573</xdr:rowOff>
    </xdr:to>
    <xdr:pic>
      <xdr:nvPicPr>
        <xdr:cNvPr id="89" name="Imagen 88">
          <a:extLst>
            <a:ext uri="{FF2B5EF4-FFF2-40B4-BE49-F238E27FC236}">
              <a16:creationId xmlns:a16="http://schemas.microsoft.com/office/drawing/2014/main" id="{00000000-0008-0000-1200-000059000000}"/>
            </a:ext>
          </a:extLst>
        </xdr:cNvPr>
        <xdr:cNvPicPr>
          <a:picLocks noChangeAspect="1"/>
        </xdr:cNvPicPr>
      </xdr:nvPicPr>
      <xdr:blipFill>
        <a:blip xmlns:r="http://schemas.openxmlformats.org/officeDocument/2006/relationships" r:embed="rId1"/>
        <a:stretch>
          <a:fillRect/>
        </a:stretch>
      </xdr:blipFill>
      <xdr:spPr>
        <a:xfrm>
          <a:off x="190500" y="234327247"/>
          <a:ext cx="699407" cy="371476"/>
        </a:xfrm>
        <a:prstGeom prst="rect">
          <a:avLst/>
        </a:prstGeom>
      </xdr:spPr>
    </xdr:pic>
    <xdr:clientData/>
  </xdr:twoCellAnchor>
  <xdr:twoCellAnchor editAs="oneCell">
    <xdr:from>
      <xdr:col>0</xdr:col>
      <xdr:colOff>171450</xdr:colOff>
      <xdr:row>383</xdr:row>
      <xdr:rowOff>142875</xdr:rowOff>
    </xdr:from>
    <xdr:to>
      <xdr:col>24</xdr:col>
      <xdr:colOff>190500</xdr:colOff>
      <xdr:row>394</xdr:row>
      <xdr:rowOff>100650</xdr:rowOff>
    </xdr:to>
    <xdr:pic>
      <xdr:nvPicPr>
        <xdr:cNvPr id="19" name="Imagen 18">
          <a:extLst>
            <a:ext uri="{FF2B5EF4-FFF2-40B4-BE49-F238E27FC236}">
              <a16:creationId xmlns:a16="http://schemas.microsoft.com/office/drawing/2014/main" id="{00000000-0008-0000-1200-000013000000}"/>
            </a:ext>
          </a:extLst>
        </xdr:cNvPr>
        <xdr:cNvPicPr>
          <a:picLocks noChangeAspect="1"/>
        </xdr:cNvPicPr>
      </xdr:nvPicPr>
      <xdr:blipFill>
        <a:blip xmlns:r="http://schemas.openxmlformats.org/officeDocument/2006/relationships" r:embed="rId17"/>
        <a:stretch>
          <a:fillRect/>
        </a:stretch>
      </xdr:blipFill>
      <xdr:spPr>
        <a:xfrm>
          <a:off x="171450" y="77333475"/>
          <a:ext cx="5962650" cy="2520000"/>
        </a:xfrm>
        <a:prstGeom prst="rect">
          <a:avLst/>
        </a:prstGeom>
      </xdr:spPr>
    </xdr:pic>
    <xdr:clientData/>
  </xdr:twoCellAnchor>
  <xdr:twoCellAnchor editAs="oneCell">
    <xdr:from>
      <xdr:col>0</xdr:col>
      <xdr:colOff>171451</xdr:colOff>
      <xdr:row>418</xdr:row>
      <xdr:rowOff>38100</xdr:rowOff>
    </xdr:from>
    <xdr:to>
      <xdr:col>24</xdr:col>
      <xdr:colOff>175647</xdr:colOff>
      <xdr:row>426</xdr:row>
      <xdr:rowOff>53025</xdr:rowOff>
    </xdr:to>
    <xdr:pic>
      <xdr:nvPicPr>
        <xdr:cNvPr id="33" name="Imagen 32">
          <a:extLst>
            <a:ext uri="{FF2B5EF4-FFF2-40B4-BE49-F238E27FC236}">
              <a16:creationId xmlns:a16="http://schemas.microsoft.com/office/drawing/2014/main" id="{00000000-0008-0000-1200-000021000000}"/>
            </a:ext>
          </a:extLst>
        </xdr:cNvPr>
        <xdr:cNvPicPr>
          <a:picLocks noChangeAspect="1"/>
        </xdr:cNvPicPr>
      </xdr:nvPicPr>
      <xdr:blipFill>
        <a:blip xmlns:r="http://schemas.openxmlformats.org/officeDocument/2006/relationships" r:embed="rId18"/>
        <a:stretch>
          <a:fillRect/>
        </a:stretch>
      </xdr:blipFill>
      <xdr:spPr>
        <a:xfrm>
          <a:off x="171451" y="84867750"/>
          <a:ext cx="5947796" cy="2520000"/>
        </a:xfrm>
        <a:prstGeom prst="rect">
          <a:avLst/>
        </a:prstGeom>
      </xdr:spPr>
    </xdr:pic>
    <xdr:clientData/>
  </xdr:twoCellAnchor>
  <xdr:twoCellAnchor editAs="oneCell">
    <xdr:from>
      <xdr:col>5</xdr:col>
      <xdr:colOff>219075</xdr:colOff>
      <xdr:row>425</xdr:row>
      <xdr:rowOff>47625</xdr:rowOff>
    </xdr:from>
    <xdr:to>
      <xdr:col>22</xdr:col>
      <xdr:colOff>51174</xdr:colOff>
      <xdr:row>437</xdr:row>
      <xdr:rowOff>167325</xdr:rowOff>
    </xdr:to>
    <xdr:pic>
      <xdr:nvPicPr>
        <xdr:cNvPr id="34" name="Imagen 33">
          <a:extLst>
            <a:ext uri="{FF2B5EF4-FFF2-40B4-BE49-F238E27FC236}">
              <a16:creationId xmlns:a16="http://schemas.microsoft.com/office/drawing/2014/main" id="{00000000-0008-0000-1200-000022000000}"/>
            </a:ext>
          </a:extLst>
        </xdr:cNvPr>
        <xdr:cNvPicPr>
          <a:picLocks noChangeAspect="1"/>
        </xdr:cNvPicPr>
      </xdr:nvPicPr>
      <xdr:blipFill>
        <a:blip xmlns:r="http://schemas.openxmlformats.org/officeDocument/2006/relationships" r:embed="rId19"/>
        <a:stretch>
          <a:fillRect/>
        </a:stretch>
      </xdr:blipFill>
      <xdr:spPr>
        <a:xfrm>
          <a:off x="1457325" y="87182325"/>
          <a:ext cx="4042149" cy="2520000"/>
        </a:xfrm>
        <a:prstGeom prst="rect">
          <a:avLst/>
        </a:prstGeom>
      </xdr:spPr>
    </xdr:pic>
    <xdr:clientData/>
  </xdr:twoCellAnchor>
  <xdr:twoCellAnchor editAs="oneCell">
    <xdr:from>
      <xdr:col>4</xdr:col>
      <xdr:colOff>200025</xdr:colOff>
      <xdr:row>464</xdr:row>
      <xdr:rowOff>47625</xdr:rowOff>
    </xdr:from>
    <xdr:to>
      <xdr:col>21</xdr:col>
      <xdr:colOff>13062</xdr:colOff>
      <xdr:row>476</xdr:row>
      <xdr:rowOff>167325</xdr:rowOff>
    </xdr:to>
    <xdr:pic>
      <xdr:nvPicPr>
        <xdr:cNvPr id="72" name="Imagen 71">
          <a:extLst>
            <a:ext uri="{FF2B5EF4-FFF2-40B4-BE49-F238E27FC236}">
              <a16:creationId xmlns:a16="http://schemas.microsoft.com/office/drawing/2014/main" id="{00000000-0008-0000-1200-000048000000}"/>
            </a:ext>
          </a:extLst>
        </xdr:cNvPr>
        <xdr:cNvPicPr>
          <a:picLocks noChangeAspect="1"/>
        </xdr:cNvPicPr>
      </xdr:nvPicPr>
      <xdr:blipFill>
        <a:blip xmlns:r="http://schemas.openxmlformats.org/officeDocument/2006/relationships" r:embed="rId20"/>
        <a:stretch>
          <a:fillRect/>
        </a:stretch>
      </xdr:blipFill>
      <xdr:spPr>
        <a:xfrm>
          <a:off x="1190625" y="95259525"/>
          <a:ext cx="4023087" cy="2520000"/>
        </a:xfrm>
        <a:prstGeom prst="rect">
          <a:avLst/>
        </a:prstGeom>
      </xdr:spPr>
    </xdr:pic>
    <xdr:clientData/>
  </xdr:twoCellAnchor>
  <xdr:twoCellAnchor editAs="oneCell">
    <xdr:from>
      <xdr:col>4</xdr:col>
      <xdr:colOff>9525</xdr:colOff>
      <xdr:row>502</xdr:row>
      <xdr:rowOff>38100</xdr:rowOff>
    </xdr:from>
    <xdr:to>
      <xdr:col>19</xdr:col>
      <xdr:colOff>176291</xdr:colOff>
      <xdr:row>514</xdr:row>
      <xdr:rowOff>157800</xdr:rowOff>
    </xdr:to>
    <xdr:pic>
      <xdr:nvPicPr>
        <xdr:cNvPr id="36" name="Imagen 35">
          <a:extLst>
            <a:ext uri="{FF2B5EF4-FFF2-40B4-BE49-F238E27FC236}">
              <a16:creationId xmlns:a16="http://schemas.microsoft.com/office/drawing/2014/main" id="{00000000-0008-0000-1200-000024000000}"/>
            </a:ext>
          </a:extLst>
        </xdr:cNvPr>
        <xdr:cNvPicPr>
          <a:picLocks noChangeAspect="1"/>
        </xdr:cNvPicPr>
      </xdr:nvPicPr>
      <xdr:blipFill>
        <a:blip xmlns:r="http://schemas.openxmlformats.org/officeDocument/2006/relationships" r:embed="rId21"/>
        <a:stretch>
          <a:fillRect/>
        </a:stretch>
      </xdr:blipFill>
      <xdr:spPr>
        <a:xfrm>
          <a:off x="1000125" y="103108125"/>
          <a:ext cx="3881516" cy="2520000"/>
        </a:xfrm>
        <a:prstGeom prst="rect">
          <a:avLst/>
        </a:prstGeom>
      </xdr:spPr>
    </xdr:pic>
    <xdr:clientData/>
  </xdr:twoCellAnchor>
  <xdr:twoCellAnchor>
    <xdr:from>
      <xdr:col>0</xdr:col>
      <xdr:colOff>190500</xdr:colOff>
      <xdr:row>523</xdr:row>
      <xdr:rowOff>40822</xdr:rowOff>
    </xdr:from>
    <xdr:to>
      <xdr:col>3</xdr:col>
      <xdr:colOff>146957</xdr:colOff>
      <xdr:row>524</xdr:row>
      <xdr:rowOff>326573</xdr:rowOff>
    </xdr:to>
    <xdr:pic>
      <xdr:nvPicPr>
        <xdr:cNvPr id="76" name="Imagen 75">
          <a:extLst>
            <a:ext uri="{FF2B5EF4-FFF2-40B4-BE49-F238E27FC236}">
              <a16:creationId xmlns:a16="http://schemas.microsoft.com/office/drawing/2014/main" id="{00000000-0008-0000-1200-00004C000000}"/>
            </a:ext>
          </a:extLst>
        </xdr:cNvPr>
        <xdr:cNvPicPr>
          <a:picLocks noChangeAspect="1"/>
        </xdr:cNvPicPr>
      </xdr:nvPicPr>
      <xdr:blipFill>
        <a:blip xmlns:r="http://schemas.openxmlformats.org/officeDocument/2006/relationships" r:embed="rId1"/>
        <a:stretch>
          <a:fillRect/>
        </a:stretch>
      </xdr:blipFill>
      <xdr:spPr>
        <a:xfrm>
          <a:off x="190500" y="99710422"/>
          <a:ext cx="699407" cy="363856"/>
        </a:xfrm>
        <a:prstGeom prst="rect">
          <a:avLst/>
        </a:prstGeom>
      </xdr:spPr>
    </xdr:pic>
    <xdr:clientData/>
  </xdr:twoCellAnchor>
  <xdr:oneCellAnchor>
    <xdr:from>
      <xdr:col>1</xdr:col>
      <xdr:colOff>114300</xdr:colOff>
      <xdr:row>532</xdr:row>
      <xdr:rowOff>94613</xdr:rowOff>
    </xdr:from>
    <xdr:ext cx="4560636" cy="2160000"/>
    <xdr:pic>
      <xdr:nvPicPr>
        <xdr:cNvPr id="77" name="Imagen 76">
          <a:extLst>
            <a:ext uri="{FF2B5EF4-FFF2-40B4-BE49-F238E27FC236}">
              <a16:creationId xmlns:a16="http://schemas.microsoft.com/office/drawing/2014/main" id="{00000000-0008-0000-1200-00004D000000}"/>
            </a:ext>
          </a:extLst>
        </xdr:cNvPr>
        <xdr:cNvPicPr>
          <a:picLocks noChangeAspect="1"/>
        </xdr:cNvPicPr>
      </xdr:nvPicPr>
      <xdr:blipFill>
        <a:blip xmlns:r="http://schemas.openxmlformats.org/officeDocument/2006/relationships" r:embed="rId2"/>
        <a:stretch>
          <a:fillRect/>
        </a:stretch>
      </xdr:blipFill>
      <xdr:spPr>
        <a:xfrm>
          <a:off x="361950" y="101507288"/>
          <a:ext cx="4560636" cy="2160000"/>
        </a:xfrm>
        <a:prstGeom prst="rect">
          <a:avLst/>
        </a:prstGeom>
      </xdr:spPr>
    </xdr:pic>
    <xdr:clientData/>
  </xdr:oneCellAnchor>
  <xdr:twoCellAnchor editAs="oneCell">
    <xdr:from>
      <xdr:col>4</xdr:col>
      <xdr:colOff>114301</xdr:colOff>
      <xdr:row>538</xdr:row>
      <xdr:rowOff>238125</xdr:rowOff>
    </xdr:from>
    <xdr:to>
      <xdr:col>21</xdr:col>
      <xdr:colOff>49794</xdr:colOff>
      <xdr:row>551</xdr:row>
      <xdr:rowOff>110175</xdr:rowOff>
    </xdr:to>
    <xdr:pic>
      <xdr:nvPicPr>
        <xdr:cNvPr id="37" name="Imagen 36">
          <a:extLst>
            <a:ext uri="{FF2B5EF4-FFF2-40B4-BE49-F238E27FC236}">
              <a16:creationId xmlns:a16="http://schemas.microsoft.com/office/drawing/2014/main" id="{00000000-0008-0000-1200-000025000000}"/>
            </a:ext>
          </a:extLst>
        </xdr:cNvPr>
        <xdr:cNvPicPr>
          <a:picLocks noChangeAspect="1"/>
        </xdr:cNvPicPr>
      </xdr:nvPicPr>
      <xdr:blipFill>
        <a:blip xmlns:r="http://schemas.openxmlformats.org/officeDocument/2006/relationships" r:embed="rId22"/>
        <a:stretch>
          <a:fillRect/>
        </a:stretch>
      </xdr:blipFill>
      <xdr:spPr>
        <a:xfrm>
          <a:off x="1104901" y="111252000"/>
          <a:ext cx="4145543" cy="2520000"/>
        </a:xfrm>
        <a:prstGeom prst="rect">
          <a:avLst/>
        </a:prstGeom>
      </xdr:spPr>
    </xdr:pic>
    <xdr:clientData/>
  </xdr:twoCellAnchor>
  <xdr:twoCellAnchor editAs="oneCell">
    <xdr:from>
      <xdr:col>0</xdr:col>
      <xdr:colOff>114300</xdr:colOff>
      <xdr:row>648</xdr:row>
      <xdr:rowOff>19050</xdr:rowOff>
    </xdr:from>
    <xdr:to>
      <xdr:col>24</xdr:col>
      <xdr:colOff>103530</xdr:colOff>
      <xdr:row>660</xdr:row>
      <xdr:rowOff>138750</xdr:rowOff>
    </xdr:to>
    <xdr:pic>
      <xdr:nvPicPr>
        <xdr:cNvPr id="41" name="Imagen 40">
          <a:extLst>
            <a:ext uri="{FF2B5EF4-FFF2-40B4-BE49-F238E27FC236}">
              <a16:creationId xmlns:a16="http://schemas.microsoft.com/office/drawing/2014/main" id="{00000000-0008-0000-1200-000029000000}"/>
            </a:ext>
          </a:extLst>
        </xdr:cNvPr>
        <xdr:cNvPicPr>
          <a:picLocks noChangeAspect="1"/>
        </xdr:cNvPicPr>
      </xdr:nvPicPr>
      <xdr:blipFill>
        <a:blip xmlns:r="http://schemas.openxmlformats.org/officeDocument/2006/relationships" r:embed="rId23"/>
        <a:stretch>
          <a:fillRect/>
        </a:stretch>
      </xdr:blipFill>
      <xdr:spPr>
        <a:xfrm>
          <a:off x="114300" y="133902450"/>
          <a:ext cx="5932830" cy="2520000"/>
        </a:xfrm>
        <a:prstGeom prst="rect">
          <a:avLst/>
        </a:prstGeom>
      </xdr:spPr>
    </xdr:pic>
    <xdr:clientData/>
  </xdr:twoCellAnchor>
  <xdr:twoCellAnchor editAs="oneCell">
    <xdr:from>
      <xdr:col>0</xdr:col>
      <xdr:colOff>171450</xdr:colOff>
      <xdr:row>693</xdr:row>
      <xdr:rowOff>66675</xdr:rowOff>
    </xdr:from>
    <xdr:to>
      <xdr:col>24</xdr:col>
      <xdr:colOff>142875</xdr:colOff>
      <xdr:row>705</xdr:row>
      <xdr:rowOff>186375</xdr:rowOff>
    </xdr:to>
    <xdr:pic>
      <xdr:nvPicPr>
        <xdr:cNvPr id="43" name="Imagen 42">
          <a:extLst>
            <a:ext uri="{FF2B5EF4-FFF2-40B4-BE49-F238E27FC236}">
              <a16:creationId xmlns:a16="http://schemas.microsoft.com/office/drawing/2014/main" id="{00000000-0008-0000-1200-00002B000000}"/>
            </a:ext>
          </a:extLst>
        </xdr:cNvPr>
        <xdr:cNvPicPr>
          <a:picLocks noChangeAspect="1"/>
        </xdr:cNvPicPr>
      </xdr:nvPicPr>
      <xdr:blipFill>
        <a:blip xmlns:r="http://schemas.openxmlformats.org/officeDocument/2006/relationships" r:embed="rId24"/>
        <a:stretch>
          <a:fillRect/>
        </a:stretch>
      </xdr:blipFill>
      <xdr:spPr>
        <a:xfrm>
          <a:off x="171450" y="143017875"/>
          <a:ext cx="5915025" cy="2520000"/>
        </a:xfrm>
        <a:prstGeom prst="rect">
          <a:avLst/>
        </a:prstGeom>
      </xdr:spPr>
    </xdr:pic>
    <xdr:clientData/>
  </xdr:twoCellAnchor>
  <xdr:twoCellAnchor editAs="oneCell">
    <xdr:from>
      <xdr:col>0</xdr:col>
      <xdr:colOff>152400</xdr:colOff>
      <xdr:row>794</xdr:row>
      <xdr:rowOff>133350</xdr:rowOff>
    </xdr:from>
    <xdr:to>
      <xdr:col>24</xdr:col>
      <xdr:colOff>180269</xdr:colOff>
      <xdr:row>809</xdr:row>
      <xdr:rowOff>12975</xdr:rowOff>
    </xdr:to>
    <xdr:pic>
      <xdr:nvPicPr>
        <xdr:cNvPr id="44" name="Imagen 43">
          <a:extLst>
            <a:ext uri="{FF2B5EF4-FFF2-40B4-BE49-F238E27FC236}">
              <a16:creationId xmlns:a16="http://schemas.microsoft.com/office/drawing/2014/main" id="{00000000-0008-0000-1200-00002C000000}"/>
            </a:ext>
          </a:extLst>
        </xdr:cNvPr>
        <xdr:cNvPicPr>
          <a:picLocks noChangeAspect="1"/>
        </xdr:cNvPicPr>
      </xdr:nvPicPr>
      <xdr:blipFill>
        <a:blip xmlns:r="http://schemas.openxmlformats.org/officeDocument/2006/relationships" r:embed="rId25"/>
        <a:stretch>
          <a:fillRect/>
        </a:stretch>
      </xdr:blipFill>
      <xdr:spPr>
        <a:xfrm>
          <a:off x="152400" y="163449000"/>
          <a:ext cx="5971469" cy="2880000"/>
        </a:xfrm>
        <a:prstGeom prst="rect">
          <a:avLst/>
        </a:prstGeom>
      </xdr:spPr>
    </xdr:pic>
    <xdr:clientData/>
  </xdr:twoCellAnchor>
  <xdr:oneCellAnchor>
    <xdr:from>
      <xdr:col>1</xdr:col>
      <xdr:colOff>142875</xdr:colOff>
      <xdr:row>836</xdr:row>
      <xdr:rowOff>285750</xdr:rowOff>
    </xdr:from>
    <xdr:ext cx="5553075" cy="2630037"/>
    <xdr:pic>
      <xdr:nvPicPr>
        <xdr:cNvPr id="86" name="Imagen 85">
          <a:extLst>
            <a:ext uri="{FF2B5EF4-FFF2-40B4-BE49-F238E27FC236}">
              <a16:creationId xmlns:a16="http://schemas.microsoft.com/office/drawing/2014/main" id="{00000000-0008-0000-1200-000056000000}"/>
            </a:ext>
          </a:extLst>
        </xdr:cNvPr>
        <xdr:cNvPicPr>
          <a:picLocks noChangeAspect="1"/>
        </xdr:cNvPicPr>
      </xdr:nvPicPr>
      <xdr:blipFill>
        <a:blip xmlns:r="http://schemas.openxmlformats.org/officeDocument/2006/relationships" r:embed="rId2"/>
        <a:stretch>
          <a:fillRect/>
        </a:stretch>
      </xdr:blipFill>
      <xdr:spPr>
        <a:xfrm>
          <a:off x="390525" y="172431075"/>
          <a:ext cx="5553075" cy="2630037"/>
        </a:xfrm>
        <a:prstGeom prst="rect">
          <a:avLst/>
        </a:prstGeom>
      </xdr:spPr>
    </xdr:pic>
    <xdr:clientData/>
  </xdr:oneCellAnchor>
  <xdr:twoCellAnchor editAs="oneCell">
    <xdr:from>
      <xdr:col>1</xdr:col>
      <xdr:colOff>175260</xdr:colOff>
      <xdr:row>1199</xdr:row>
      <xdr:rowOff>160021</xdr:rowOff>
    </xdr:from>
    <xdr:to>
      <xdr:col>23</xdr:col>
      <xdr:colOff>43140</xdr:colOff>
      <xdr:row>1213</xdr:row>
      <xdr:rowOff>129856</xdr:rowOff>
    </xdr:to>
    <xdr:pic>
      <xdr:nvPicPr>
        <xdr:cNvPr id="3" name="Imagen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26"/>
        <a:stretch>
          <a:fillRect/>
        </a:stretch>
      </xdr:blipFill>
      <xdr:spPr>
        <a:xfrm>
          <a:off x="426720" y="246110761"/>
          <a:ext cx="5400000" cy="2743515"/>
        </a:xfrm>
        <a:prstGeom prst="rect">
          <a:avLst/>
        </a:prstGeom>
      </xdr:spPr>
    </xdr:pic>
    <xdr:clientData/>
  </xdr:twoCellAnchor>
  <xdr:twoCellAnchor>
    <xdr:from>
      <xdr:col>0</xdr:col>
      <xdr:colOff>190500</xdr:colOff>
      <xdr:row>1226</xdr:row>
      <xdr:rowOff>40822</xdr:rowOff>
    </xdr:from>
    <xdr:to>
      <xdr:col>3</xdr:col>
      <xdr:colOff>146957</xdr:colOff>
      <xdr:row>1227</xdr:row>
      <xdr:rowOff>326573</xdr:rowOff>
    </xdr:to>
    <xdr:pic>
      <xdr:nvPicPr>
        <xdr:cNvPr id="66" name="Imagen 65">
          <a:extLst>
            <a:ext uri="{FF2B5EF4-FFF2-40B4-BE49-F238E27FC236}">
              <a16:creationId xmlns:a16="http://schemas.microsoft.com/office/drawing/2014/main" id="{00000000-0008-0000-1200-000042000000}"/>
            </a:ext>
          </a:extLst>
        </xdr:cNvPr>
        <xdr:cNvPicPr>
          <a:picLocks noChangeAspect="1"/>
        </xdr:cNvPicPr>
      </xdr:nvPicPr>
      <xdr:blipFill>
        <a:blip xmlns:r="http://schemas.openxmlformats.org/officeDocument/2006/relationships" r:embed="rId1"/>
        <a:stretch>
          <a:fillRect/>
        </a:stretch>
      </xdr:blipFill>
      <xdr:spPr>
        <a:xfrm>
          <a:off x="190500" y="243873202"/>
          <a:ext cx="710837" cy="361951"/>
        </a:xfrm>
        <a:prstGeom prst="rect">
          <a:avLst/>
        </a:prstGeom>
      </xdr:spPr>
    </xdr:pic>
    <xdr:clientData/>
  </xdr:twoCellAnchor>
  <xdr:twoCellAnchor>
    <xdr:from>
      <xdr:col>0</xdr:col>
      <xdr:colOff>190500</xdr:colOff>
      <xdr:row>1263</xdr:row>
      <xdr:rowOff>25582</xdr:rowOff>
    </xdr:from>
    <xdr:to>
      <xdr:col>3</xdr:col>
      <xdr:colOff>146957</xdr:colOff>
      <xdr:row>1264</xdr:row>
      <xdr:rowOff>189413</xdr:rowOff>
    </xdr:to>
    <xdr:pic>
      <xdr:nvPicPr>
        <xdr:cNvPr id="80" name="Imagen 79">
          <a:extLst>
            <a:ext uri="{FF2B5EF4-FFF2-40B4-BE49-F238E27FC236}">
              <a16:creationId xmlns:a16="http://schemas.microsoft.com/office/drawing/2014/main" id="{00000000-0008-0000-1200-000050000000}"/>
            </a:ext>
          </a:extLst>
        </xdr:cNvPr>
        <xdr:cNvPicPr>
          <a:picLocks noChangeAspect="1"/>
        </xdr:cNvPicPr>
      </xdr:nvPicPr>
      <xdr:blipFill>
        <a:blip xmlns:r="http://schemas.openxmlformats.org/officeDocument/2006/relationships" r:embed="rId1"/>
        <a:stretch>
          <a:fillRect/>
        </a:stretch>
      </xdr:blipFill>
      <xdr:spPr>
        <a:xfrm>
          <a:off x="190500" y="259006522"/>
          <a:ext cx="710837" cy="361951"/>
        </a:xfrm>
        <a:prstGeom prst="rect">
          <a:avLst/>
        </a:prstGeom>
      </xdr:spPr>
    </xdr:pic>
    <xdr:clientData/>
  </xdr:twoCellAnchor>
  <xdr:twoCellAnchor editAs="oneCell">
    <xdr:from>
      <xdr:col>0</xdr:col>
      <xdr:colOff>76201</xdr:colOff>
      <xdr:row>1273</xdr:row>
      <xdr:rowOff>0</xdr:rowOff>
    </xdr:from>
    <xdr:to>
      <xdr:col>24</xdr:col>
      <xdr:colOff>146620</xdr:colOff>
      <xdr:row>1289</xdr:row>
      <xdr:rowOff>70080</xdr:rowOff>
    </xdr:to>
    <xdr:pic>
      <xdr:nvPicPr>
        <xdr:cNvPr id="4" name="Imagen 3">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27"/>
        <a:stretch>
          <a:fillRect/>
        </a:stretch>
      </xdr:blipFill>
      <xdr:spPr>
        <a:xfrm>
          <a:off x="76201" y="261099300"/>
          <a:ext cx="6105459" cy="3240000"/>
        </a:xfrm>
        <a:prstGeom prst="rect">
          <a:avLst/>
        </a:prstGeom>
      </xdr:spPr>
    </xdr:pic>
    <xdr:clientData/>
  </xdr:twoCellAnchor>
  <xdr:twoCellAnchor editAs="oneCell">
    <xdr:from>
      <xdr:col>0</xdr:col>
      <xdr:colOff>106680</xdr:colOff>
      <xdr:row>1310</xdr:row>
      <xdr:rowOff>152400</xdr:rowOff>
    </xdr:from>
    <xdr:to>
      <xdr:col>24</xdr:col>
      <xdr:colOff>194599</xdr:colOff>
      <xdr:row>1325</xdr:row>
      <xdr:rowOff>60600</xdr:rowOff>
    </xdr:to>
    <xdr:pic>
      <xdr:nvPicPr>
        <xdr:cNvPr id="5" name="Imagen 4">
          <a:extLst>
            <a:ext uri="{FF2B5EF4-FFF2-40B4-BE49-F238E27FC236}">
              <a16:creationId xmlns:a16="http://schemas.microsoft.com/office/drawing/2014/main" id="{00000000-0008-0000-1200-000005000000}"/>
            </a:ext>
          </a:extLst>
        </xdr:cNvPr>
        <xdr:cNvPicPr>
          <a:picLocks noChangeAspect="1"/>
        </xdr:cNvPicPr>
      </xdr:nvPicPr>
      <xdr:blipFill>
        <a:blip xmlns:r="http://schemas.openxmlformats.org/officeDocument/2006/relationships" r:embed="rId28"/>
        <a:stretch>
          <a:fillRect/>
        </a:stretch>
      </xdr:blipFill>
      <xdr:spPr>
        <a:xfrm>
          <a:off x="106680" y="267065760"/>
          <a:ext cx="6122959" cy="2880000"/>
        </a:xfrm>
        <a:prstGeom prst="rect">
          <a:avLst/>
        </a:prstGeom>
      </xdr:spPr>
    </xdr:pic>
    <xdr:clientData/>
  </xdr:twoCellAnchor>
  <xdr:twoCellAnchor>
    <xdr:from>
      <xdr:col>0</xdr:col>
      <xdr:colOff>190500</xdr:colOff>
      <xdr:row>1337</xdr:row>
      <xdr:rowOff>25582</xdr:rowOff>
    </xdr:from>
    <xdr:to>
      <xdr:col>3</xdr:col>
      <xdr:colOff>146957</xdr:colOff>
      <xdr:row>1338</xdr:row>
      <xdr:rowOff>189413</xdr:rowOff>
    </xdr:to>
    <xdr:pic>
      <xdr:nvPicPr>
        <xdr:cNvPr id="83" name="Imagen 82">
          <a:extLst>
            <a:ext uri="{FF2B5EF4-FFF2-40B4-BE49-F238E27FC236}">
              <a16:creationId xmlns:a16="http://schemas.microsoft.com/office/drawing/2014/main" id="{00000000-0008-0000-1200-000053000000}"/>
            </a:ext>
          </a:extLst>
        </xdr:cNvPr>
        <xdr:cNvPicPr>
          <a:picLocks noChangeAspect="1"/>
        </xdr:cNvPicPr>
      </xdr:nvPicPr>
      <xdr:blipFill>
        <a:blip xmlns:r="http://schemas.openxmlformats.org/officeDocument/2006/relationships" r:embed="rId1"/>
        <a:stretch>
          <a:fillRect/>
        </a:stretch>
      </xdr:blipFill>
      <xdr:spPr>
        <a:xfrm>
          <a:off x="190500" y="273713122"/>
          <a:ext cx="710837" cy="361951"/>
        </a:xfrm>
        <a:prstGeom prst="rect">
          <a:avLst/>
        </a:prstGeom>
      </xdr:spPr>
    </xdr:pic>
    <xdr:clientData/>
  </xdr:twoCellAnchor>
  <xdr:twoCellAnchor>
    <xdr:from>
      <xdr:col>0</xdr:col>
      <xdr:colOff>190500</xdr:colOff>
      <xdr:row>1300</xdr:row>
      <xdr:rowOff>25582</xdr:rowOff>
    </xdr:from>
    <xdr:to>
      <xdr:col>3</xdr:col>
      <xdr:colOff>146957</xdr:colOff>
      <xdr:row>1301</xdr:row>
      <xdr:rowOff>189413</xdr:rowOff>
    </xdr:to>
    <xdr:pic>
      <xdr:nvPicPr>
        <xdr:cNvPr id="91" name="Imagen 90">
          <a:extLst>
            <a:ext uri="{FF2B5EF4-FFF2-40B4-BE49-F238E27FC236}">
              <a16:creationId xmlns:a16="http://schemas.microsoft.com/office/drawing/2014/main" id="{00000000-0008-0000-1200-00005B000000}"/>
            </a:ext>
          </a:extLst>
        </xdr:cNvPr>
        <xdr:cNvPicPr>
          <a:picLocks noChangeAspect="1"/>
        </xdr:cNvPicPr>
      </xdr:nvPicPr>
      <xdr:blipFill>
        <a:blip xmlns:r="http://schemas.openxmlformats.org/officeDocument/2006/relationships" r:embed="rId1"/>
        <a:stretch>
          <a:fillRect/>
        </a:stretch>
      </xdr:blipFill>
      <xdr:spPr>
        <a:xfrm>
          <a:off x="190500" y="273713122"/>
          <a:ext cx="710837" cy="361951"/>
        </a:xfrm>
        <a:prstGeom prst="rect">
          <a:avLst/>
        </a:prstGeom>
      </xdr:spPr>
    </xdr:pic>
    <xdr:clientData/>
  </xdr:twoCellAnchor>
  <xdr:twoCellAnchor editAs="oneCell">
    <xdr:from>
      <xdr:col>0</xdr:col>
      <xdr:colOff>99060</xdr:colOff>
      <xdr:row>1349</xdr:row>
      <xdr:rowOff>38100</xdr:rowOff>
    </xdr:from>
    <xdr:to>
      <xdr:col>24</xdr:col>
      <xdr:colOff>186979</xdr:colOff>
      <xdr:row>1363</xdr:row>
      <xdr:rowOff>144420</xdr:rowOff>
    </xdr:to>
    <xdr:pic>
      <xdr:nvPicPr>
        <xdr:cNvPr id="92" name="Imagen 91">
          <a:extLst>
            <a:ext uri="{FF2B5EF4-FFF2-40B4-BE49-F238E27FC236}">
              <a16:creationId xmlns:a16="http://schemas.microsoft.com/office/drawing/2014/main" id="{00000000-0008-0000-1200-00005C000000}"/>
            </a:ext>
          </a:extLst>
        </xdr:cNvPr>
        <xdr:cNvPicPr>
          <a:picLocks noChangeAspect="1"/>
        </xdr:cNvPicPr>
      </xdr:nvPicPr>
      <xdr:blipFill>
        <a:blip xmlns:r="http://schemas.openxmlformats.org/officeDocument/2006/relationships" r:embed="rId28"/>
        <a:stretch>
          <a:fillRect/>
        </a:stretch>
      </xdr:blipFill>
      <xdr:spPr>
        <a:xfrm>
          <a:off x="99060" y="276880320"/>
          <a:ext cx="6122959" cy="2880000"/>
        </a:xfrm>
        <a:prstGeom prst="rect">
          <a:avLst/>
        </a:prstGeom>
      </xdr:spPr>
    </xdr:pic>
    <xdr:clientData/>
  </xdr:twoCellAnchor>
  <xdr:twoCellAnchor>
    <xdr:from>
      <xdr:col>0</xdr:col>
      <xdr:colOff>190500</xdr:colOff>
      <xdr:row>1375</xdr:row>
      <xdr:rowOff>25582</xdr:rowOff>
    </xdr:from>
    <xdr:to>
      <xdr:col>3</xdr:col>
      <xdr:colOff>146957</xdr:colOff>
      <xdr:row>1376</xdr:row>
      <xdr:rowOff>189413</xdr:rowOff>
    </xdr:to>
    <xdr:pic>
      <xdr:nvPicPr>
        <xdr:cNvPr id="93" name="Imagen 92">
          <a:extLst>
            <a:ext uri="{FF2B5EF4-FFF2-40B4-BE49-F238E27FC236}">
              <a16:creationId xmlns:a16="http://schemas.microsoft.com/office/drawing/2014/main" id="{00000000-0008-0000-1200-00005D000000}"/>
            </a:ext>
          </a:extLst>
        </xdr:cNvPr>
        <xdr:cNvPicPr>
          <a:picLocks noChangeAspect="1"/>
        </xdr:cNvPicPr>
      </xdr:nvPicPr>
      <xdr:blipFill>
        <a:blip xmlns:r="http://schemas.openxmlformats.org/officeDocument/2006/relationships" r:embed="rId1"/>
        <a:stretch>
          <a:fillRect/>
        </a:stretch>
      </xdr:blipFill>
      <xdr:spPr>
        <a:xfrm>
          <a:off x="190500" y="274155082"/>
          <a:ext cx="710837" cy="361951"/>
        </a:xfrm>
        <a:prstGeom prst="rect">
          <a:avLst/>
        </a:prstGeom>
      </xdr:spPr>
    </xdr:pic>
    <xdr:clientData/>
  </xdr:twoCellAnchor>
  <xdr:oneCellAnchor>
    <xdr:from>
      <xdr:col>0</xdr:col>
      <xdr:colOff>99060</xdr:colOff>
      <xdr:row>1387</xdr:row>
      <xdr:rowOff>38100</xdr:rowOff>
    </xdr:from>
    <xdr:ext cx="6122959" cy="2880000"/>
    <xdr:pic>
      <xdr:nvPicPr>
        <xdr:cNvPr id="94" name="Imagen 93">
          <a:extLst>
            <a:ext uri="{FF2B5EF4-FFF2-40B4-BE49-F238E27FC236}">
              <a16:creationId xmlns:a16="http://schemas.microsoft.com/office/drawing/2014/main" id="{00000000-0008-0000-1200-00005E000000}"/>
            </a:ext>
          </a:extLst>
        </xdr:cNvPr>
        <xdr:cNvPicPr>
          <a:picLocks noChangeAspect="1"/>
        </xdr:cNvPicPr>
      </xdr:nvPicPr>
      <xdr:blipFill>
        <a:blip xmlns:r="http://schemas.openxmlformats.org/officeDocument/2006/relationships" r:embed="rId28"/>
        <a:stretch>
          <a:fillRect/>
        </a:stretch>
      </xdr:blipFill>
      <xdr:spPr>
        <a:xfrm>
          <a:off x="99060" y="276880320"/>
          <a:ext cx="6122959" cy="2880000"/>
        </a:xfrm>
        <a:prstGeom prst="rect">
          <a:avLst/>
        </a:prstGeom>
      </xdr:spPr>
    </xdr:pic>
    <xdr:clientData/>
  </xdr:oneCellAnchor>
  <xdr:twoCellAnchor>
    <xdr:from>
      <xdr:col>0</xdr:col>
      <xdr:colOff>190500</xdr:colOff>
      <xdr:row>1413</xdr:row>
      <xdr:rowOff>25582</xdr:rowOff>
    </xdr:from>
    <xdr:to>
      <xdr:col>3</xdr:col>
      <xdr:colOff>146957</xdr:colOff>
      <xdr:row>1414</xdr:row>
      <xdr:rowOff>189413</xdr:rowOff>
    </xdr:to>
    <xdr:pic>
      <xdr:nvPicPr>
        <xdr:cNvPr id="95" name="Imagen 94">
          <a:extLst>
            <a:ext uri="{FF2B5EF4-FFF2-40B4-BE49-F238E27FC236}">
              <a16:creationId xmlns:a16="http://schemas.microsoft.com/office/drawing/2014/main" id="{00000000-0008-0000-1200-00005F000000}"/>
            </a:ext>
          </a:extLst>
        </xdr:cNvPr>
        <xdr:cNvPicPr>
          <a:picLocks noChangeAspect="1"/>
        </xdr:cNvPicPr>
      </xdr:nvPicPr>
      <xdr:blipFill>
        <a:blip xmlns:r="http://schemas.openxmlformats.org/officeDocument/2006/relationships" r:embed="rId1"/>
        <a:stretch>
          <a:fillRect/>
        </a:stretch>
      </xdr:blipFill>
      <xdr:spPr>
        <a:xfrm>
          <a:off x="190500" y="259006522"/>
          <a:ext cx="710837" cy="361951"/>
        </a:xfrm>
        <a:prstGeom prst="rect">
          <a:avLst/>
        </a:prstGeom>
      </xdr:spPr>
    </xdr:pic>
    <xdr:clientData/>
  </xdr:twoCellAnchor>
  <xdr:twoCellAnchor editAs="oneCell">
    <xdr:from>
      <xdr:col>0</xdr:col>
      <xdr:colOff>76200</xdr:colOff>
      <xdr:row>1423</xdr:row>
      <xdr:rowOff>0</xdr:rowOff>
    </xdr:from>
    <xdr:to>
      <xdr:col>24</xdr:col>
      <xdr:colOff>178978</xdr:colOff>
      <xdr:row>1438</xdr:row>
      <xdr:rowOff>88200</xdr:rowOff>
    </xdr:to>
    <xdr:pic>
      <xdr:nvPicPr>
        <xdr:cNvPr id="7" name="Imagen 6">
          <a:extLst>
            <a:ext uri="{FF2B5EF4-FFF2-40B4-BE49-F238E27FC236}">
              <a16:creationId xmlns:a16="http://schemas.microsoft.com/office/drawing/2014/main" id="{00000000-0008-0000-1200-000007000000}"/>
            </a:ext>
          </a:extLst>
        </xdr:cNvPr>
        <xdr:cNvPicPr>
          <a:picLocks noChangeAspect="1"/>
        </xdr:cNvPicPr>
      </xdr:nvPicPr>
      <xdr:blipFill>
        <a:blip xmlns:r="http://schemas.openxmlformats.org/officeDocument/2006/relationships" r:embed="rId29"/>
        <a:stretch>
          <a:fillRect/>
        </a:stretch>
      </xdr:blipFill>
      <xdr:spPr>
        <a:xfrm>
          <a:off x="76200" y="292166040"/>
          <a:ext cx="6137818" cy="3060000"/>
        </a:xfrm>
        <a:prstGeom prst="rect">
          <a:avLst/>
        </a:prstGeom>
      </xdr:spPr>
    </xdr:pic>
    <xdr:clientData/>
  </xdr:twoCellAnchor>
  <xdr:twoCellAnchor>
    <xdr:from>
      <xdr:col>0</xdr:col>
      <xdr:colOff>190500</xdr:colOff>
      <xdr:row>1450</xdr:row>
      <xdr:rowOff>25582</xdr:rowOff>
    </xdr:from>
    <xdr:to>
      <xdr:col>3</xdr:col>
      <xdr:colOff>146957</xdr:colOff>
      <xdr:row>1451</xdr:row>
      <xdr:rowOff>189413</xdr:rowOff>
    </xdr:to>
    <xdr:pic>
      <xdr:nvPicPr>
        <xdr:cNvPr id="97" name="Imagen 96">
          <a:extLst>
            <a:ext uri="{FF2B5EF4-FFF2-40B4-BE49-F238E27FC236}">
              <a16:creationId xmlns:a16="http://schemas.microsoft.com/office/drawing/2014/main" id="{00000000-0008-0000-1200-000061000000}"/>
            </a:ext>
          </a:extLst>
        </xdr:cNvPr>
        <xdr:cNvPicPr>
          <a:picLocks noChangeAspect="1"/>
        </xdr:cNvPicPr>
      </xdr:nvPicPr>
      <xdr:blipFill>
        <a:blip xmlns:r="http://schemas.openxmlformats.org/officeDocument/2006/relationships" r:embed="rId1"/>
        <a:stretch>
          <a:fillRect/>
        </a:stretch>
      </xdr:blipFill>
      <xdr:spPr>
        <a:xfrm>
          <a:off x="190500" y="297655162"/>
          <a:ext cx="710837" cy="361951"/>
        </a:xfrm>
        <a:prstGeom prst="rect">
          <a:avLst/>
        </a:prstGeom>
      </xdr:spPr>
    </xdr:pic>
    <xdr:clientData/>
  </xdr:twoCellAnchor>
  <xdr:twoCellAnchor editAs="oneCell">
    <xdr:from>
      <xdr:col>0</xdr:col>
      <xdr:colOff>91441</xdr:colOff>
      <xdr:row>1462</xdr:row>
      <xdr:rowOff>160020</xdr:rowOff>
    </xdr:from>
    <xdr:to>
      <xdr:col>24</xdr:col>
      <xdr:colOff>123999</xdr:colOff>
      <xdr:row>1480</xdr:row>
      <xdr:rowOff>13860</xdr:rowOff>
    </xdr:to>
    <xdr:pic>
      <xdr:nvPicPr>
        <xdr:cNvPr id="15" name="Imagen 14">
          <a:extLst>
            <a:ext uri="{FF2B5EF4-FFF2-40B4-BE49-F238E27FC236}">
              <a16:creationId xmlns:a16="http://schemas.microsoft.com/office/drawing/2014/main" id="{00000000-0008-0000-1200-00000F000000}"/>
            </a:ext>
          </a:extLst>
        </xdr:cNvPr>
        <xdr:cNvPicPr>
          <a:picLocks noChangeAspect="1"/>
        </xdr:cNvPicPr>
      </xdr:nvPicPr>
      <xdr:blipFill>
        <a:blip xmlns:r="http://schemas.openxmlformats.org/officeDocument/2006/relationships" r:embed="rId30"/>
        <a:stretch>
          <a:fillRect/>
        </a:stretch>
      </xdr:blipFill>
      <xdr:spPr>
        <a:xfrm>
          <a:off x="91441" y="300266100"/>
          <a:ext cx="6067598" cy="3420000"/>
        </a:xfrm>
        <a:prstGeom prst="rect">
          <a:avLst/>
        </a:prstGeom>
      </xdr:spPr>
    </xdr:pic>
    <xdr:clientData/>
  </xdr:twoCellAnchor>
  <xdr:twoCellAnchor>
    <xdr:from>
      <xdr:col>0</xdr:col>
      <xdr:colOff>190500</xdr:colOff>
      <xdr:row>1494</xdr:row>
      <xdr:rowOff>17962</xdr:rowOff>
    </xdr:from>
    <xdr:to>
      <xdr:col>3</xdr:col>
      <xdr:colOff>146957</xdr:colOff>
      <xdr:row>1495</xdr:row>
      <xdr:rowOff>181793</xdr:rowOff>
    </xdr:to>
    <xdr:pic>
      <xdr:nvPicPr>
        <xdr:cNvPr id="100" name="Imagen 99">
          <a:extLst>
            <a:ext uri="{FF2B5EF4-FFF2-40B4-BE49-F238E27FC236}">
              <a16:creationId xmlns:a16="http://schemas.microsoft.com/office/drawing/2014/main" id="{00000000-0008-0000-1200-000064000000}"/>
            </a:ext>
          </a:extLst>
        </xdr:cNvPr>
        <xdr:cNvPicPr>
          <a:picLocks noChangeAspect="1"/>
        </xdr:cNvPicPr>
      </xdr:nvPicPr>
      <xdr:blipFill>
        <a:blip xmlns:r="http://schemas.openxmlformats.org/officeDocument/2006/relationships" r:embed="rId1"/>
        <a:stretch>
          <a:fillRect/>
        </a:stretch>
      </xdr:blipFill>
      <xdr:spPr>
        <a:xfrm>
          <a:off x="190500" y="306570562"/>
          <a:ext cx="710837" cy="361951"/>
        </a:xfrm>
        <a:prstGeom prst="rect">
          <a:avLst/>
        </a:prstGeom>
      </xdr:spPr>
    </xdr:pic>
    <xdr:clientData/>
  </xdr:twoCellAnchor>
  <xdr:twoCellAnchor editAs="oneCell">
    <xdr:from>
      <xdr:col>2</xdr:col>
      <xdr:colOff>106680</xdr:colOff>
      <xdr:row>1504</xdr:row>
      <xdr:rowOff>160021</xdr:rowOff>
    </xdr:from>
    <xdr:to>
      <xdr:col>23</xdr:col>
      <xdr:colOff>226020</xdr:colOff>
      <xdr:row>1520</xdr:row>
      <xdr:rowOff>29836</xdr:rowOff>
    </xdr:to>
    <xdr:pic>
      <xdr:nvPicPr>
        <xdr:cNvPr id="103" name="Imagen 102">
          <a:extLst>
            <a:ext uri="{FF2B5EF4-FFF2-40B4-BE49-F238E27FC236}">
              <a16:creationId xmlns:a16="http://schemas.microsoft.com/office/drawing/2014/main" id="{00000000-0008-0000-1200-000067000000}"/>
            </a:ext>
          </a:extLst>
        </xdr:cNvPr>
        <xdr:cNvPicPr>
          <a:picLocks noChangeAspect="1"/>
        </xdr:cNvPicPr>
      </xdr:nvPicPr>
      <xdr:blipFill>
        <a:blip xmlns:r="http://schemas.openxmlformats.org/officeDocument/2006/relationships" r:embed="rId31"/>
        <a:stretch>
          <a:fillRect/>
        </a:stretch>
      </xdr:blipFill>
      <xdr:spPr>
        <a:xfrm>
          <a:off x="609600" y="309227221"/>
          <a:ext cx="5400000" cy="3039735"/>
        </a:xfrm>
        <a:prstGeom prst="rect">
          <a:avLst/>
        </a:prstGeom>
      </xdr:spPr>
    </xdr:pic>
    <xdr:clientData/>
  </xdr:twoCellAnchor>
  <xdr:twoCellAnchor editAs="oneCell">
    <xdr:from>
      <xdr:col>3</xdr:col>
      <xdr:colOff>68580</xdr:colOff>
      <xdr:row>1521</xdr:row>
      <xdr:rowOff>83820</xdr:rowOff>
    </xdr:from>
    <xdr:to>
      <xdr:col>23</xdr:col>
      <xdr:colOff>201881</xdr:colOff>
      <xdr:row>1534</xdr:row>
      <xdr:rowOff>28260</xdr:rowOff>
    </xdr:to>
    <xdr:pic>
      <xdr:nvPicPr>
        <xdr:cNvPr id="104" name="Imagen 103">
          <a:extLst>
            <a:ext uri="{FF2B5EF4-FFF2-40B4-BE49-F238E27FC236}">
              <a16:creationId xmlns:a16="http://schemas.microsoft.com/office/drawing/2014/main" id="{00000000-0008-0000-1200-000068000000}"/>
            </a:ext>
          </a:extLst>
        </xdr:cNvPr>
        <xdr:cNvPicPr>
          <a:picLocks noChangeAspect="1"/>
        </xdr:cNvPicPr>
      </xdr:nvPicPr>
      <xdr:blipFill>
        <a:blip xmlns:r="http://schemas.openxmlformats.org/officeDocument/2006/relationships" r:embed="rId32"/>
        <a:stretch>
          <a:fillRect/>
        </a:stretch>
      </xdr:blipFill>
      <xdr:spPr>
        <a:xfrm>
          <a:off x="822960" y="312519060"/>
          <a:ext cx="5162501" cy="2520000"/>
        </a:xfrm>
        <a:prstGeom prst="rect">
          <a:avLst/>
        </a:prstGeom>
      </xdr:spPr>
    </xdr:pic>
    <xdr:clientData/>
  </xdr:twoCellAnchor>
  <xdr:twoCellAnchor editAs="oneCell">
    <xdr:from>
      <xdr:col>1</xdr:col>
      <xdr:colOff>114300</xdr:colOff>
      <xdr:row>1537</xdr:row>
      <xdr:rowOff>68580</xdr:rowOff>
    </xdr:from>
    <xdr:to>
      <xdr:col>22</xdr:col>
      <xdr:colOff>233640</xdr:colOff>
      <xdr:row>1549</xdr:row>
      <xdr:rowOff>41768</xdr:rowOff>
    </xdr:to>
    <xdr:pic>
      <xdr:nvPicPr>
        <xdr:cNvPr id="105" name="Imagen 104">
          <a:extLst>
            <a:ext uri="{FF2B5EF4-FFF2-40B4-BE49-F238E27FC236}">
              <a16:creationId xmlns:a16="http://schemas.microsoft.com/office/drawing/2014/main" id="{00000000-0008-0000-1200-000069000000}"/>
            </a:ext>
          </a:extLst>
        </xdr:cNvPr>
        <xdr:cNvPicPr>
          <a:picLocks noChangeAspect="1"/>
        </xdr:cNvPicPr>
      </xdr:nvPicPr>
      <xdr:blipFill>
        <a:blip xmlns:r="http://schemas.openxmlformats.org/officeDocument/2006/relationships" r:embed="rId33"/>
        <a:stretch>
          <a:fillRect/>
        </a:stretch>
      </xdr:blipFill>
      <xdr:spPr>
        <a:xfrm>
          <a:off x="365760" y="315673740"/>
          <a:ext cx="5400000" cy="2350628"/>
        </a:xfrm>
        <a:prstGeom prst="rect">
          <a:avLst/>
        </a:prstGeom>
      </xdr:spPr>
    </xdr:pic>
    <xdr:clientData/>
  </xdr:twoCellAnchor>
  <xdr:twoCellAnchor>
    <xdr:from>
      <xdr:col>0</xdr:col>
      <xdr:colOff>190500</xdr:colOff>
      <xdr:row>1562</xdr:row>
      <xdr:rowOff>17962</xdr:rowOff>
    </xdr:from>
    <xdr:to>
      <xdr:col>3</xdr:col>
      <xdr:colOff>146957</xdr:colOff>
      <xdr:row>1563</xdr:row>
      <xdr:rowOff>181793</xdr:rowOff>
    </xdr:to>
    <xdr:pic>
      <xdr:nvPicPr>
        <xdr:cNvPr id="106" name="Imagen 105">
          <a:extLst>
            <a:ext uri="{FF2B5EF4-FFF2-40B4-BE49-F238E27FC236}">
              <a16:creationId xmlns:a16="http://schemas.microsoft.com/office/drawing/2014/main" id="{00000000-0008-0000-1200-00006A000000}"/>
            </a:ext>
          </a:extLst>
        </xdr:cNvPr>
        <xdr:cNvPicPr>
          <a:picLocks noChangeAspect="1"/>
        </xdr:cNvPicPr>
      </xdr:nvPicPr>
      <xdr:blipFill>
        <a:blip xmlns:r="http://schemas.openxmlformats.org/officeDocument/2006/relationships" r:embed="rId1"/>
        <a:stretch>
          <a:fillRect/>
        </a:stretch>
      </xdr:blipFill>
      <xdr:spPr>
        <a:xfrm>
          <a:off x="190500" y="320705662"/>
          <a:ext cx="710837" cy="361951"/>
        </a:xfrm>
        <a:prstGeom prst="rect">
          <a:avLst/>
        </a:prstGeom>
      </xdr:spPr>
    </xdr:pic>
    <xdr:clientData/>
  </xdr:twoCellAnchor>
  <xdr:twoCellAnchor>
    <xdr:from>
      <xdr:col>0</xdr:col>
      <xdr:colOff>190500</xdr:colOff>
      <xdr:row>1603</xdr:row>
      <xdr:rowOff>17962</xdr:rowOff>
    </xdr:from>
    <xdr:to>
      <xdr:col>3</xdr:col>
      <xdr:colOff>146957</xdr:colOff>
      <xdr:row>1604</xdr:row>
      <xdr:rowOff>181793</xdr:rowOff>
    </xdr:to>
    <xdr:pic>
      <xdr:nvPicPr>
        <xdr:cNvPr id="108" name="Imagen 107">
          <a:extLst>
            <a:ext uri="{FF2B5EF4-FFF2-40B4-BE49-F238E27FC236}">
              <a16:creationId xmlns:a16="http://schemas.microsoft.com/office/drawing/2014/main" id="{00000000-0008-0000-1200-00006C000000}"/>
            </a:ext>
          </a:extLst>
        </xdr:cNvPr>
        <xdr:cNvPicPr>
          <a:picLocks noChangeAspect="1"/>
        </xdr:cNvPicPr>
      </xdr:nvPicPr>
      <xdr:blipFill>
        <a:blip xmlns:r="http://schemas.openxmlformats.org/officeDocument/2006/relationships" r:embed="rId1"/>
        <a:stretch>
          <a:fillRect/>
        </a:stretch>
      </xdr:blipFill>
      <xdr:spPr>
        <a:xfrm>
          <a:off x="190500" y="320705662"/>
          <a:ext cx="710837" cy="361951"/>
        </a:xfrm>
        <a:prstGeom prst="rect">
          <a:avLst/>
        </a:prstGeom>
      </xdr:spPr>
    </xdr:pic>
    <xdr:clientData/>
  </xdr:twoCellAnchor>
  <xdr:twoCellAnchor>
    <xdr:from>
      <xdr:col>0</xdr:col>
      <xdr:colOff>190500</xdr:colOff>
      <xdr:row>1644</xdr:row>
      <xdr:rowOff>17962</xdr:rowOff>
    </xdr:from>
    <xdr:to>
      <xdr:col>3</xdr:col>
      <xdr:colOff>146957</xdr:colOff>
      <xdr:row>1645</xdr:row>
      <xdr:rowOff>181793</xdr:rowOff>
    </xdr:to>
    <xdr:pic>
      <xdr:nvPicPr>
        <xdr:cNvPr id="109" name="Imagen 108">
          <a:extLst>
            <a:ext uri="{FF2B5EF4-FFF2-40B4-BE49-F238E27FC236}">
              <a16:creationId xmlns:a16="http://schemas.microsoft.com/office/drawing/2014/main" id="{00000000-0008-0000-1200-00006D000000}"/>
            </a:ext>
          </a:extLst>
        </xdr:cNvPr>
        <xdr:cNvPicPr>
          <a:picLocks noChangeAspect="1"/>
        </xdr:cNvPicPr>
      </xdr:nvPicPr>
      <xdr:blipFill>
        <a:blip xmlns:r="http://schemas.openxmlformats.org/officeDocument/2006/relationships" r:embed="rId1"/>
        <a:stretch>
          <a:fillRect/>
        </a:stretch>
      </xdr:blipFill>
      <xdr:spPr>
        <a:xfrm>
          <a:off x="190500" y="329095282"/>
          <a:ext cx="710837" cy="361951"/>
        </a:xfrm>
        <a:prstGeom prst="rect">
          <a:avLst/>
        </a:prstGeom>
      </xdr:spPr>
    </xdr:pic>
    <xdr:clientData/>
  </xdr:twoCellAnchor>
  <xdr:twoCellAnchor>
    <xdr:from>
      <xdr:col>0</xdr:col>
      <xdr:colOff>190500</xdr:colOff>
      <xdr:row>1685</xdr:row>
      <xdr:rowOff>17962</xdr:rowOff>
    </xdr:from>
    <xdr:to>
      <xdr:col>3</xdr:col>
      <xdr:colOff>146957</xdr:colOff>
      <xdr:row>1686</xdr:row>
      <xdr:rowOff>181793</xdr:rowOff>
    </xdr:to>
    <xdr:pic>
      <xdr:nvPicPr>
        <xdr:cNvPr id="110" name="Imagen 109">
          <a:extLst>
            <a:ext uri="{FF2B5EF4-FFF2-40B4-BE49-F238E27FC236}">
              <a16:creationId xmlns:a16="http://schemas.microsoft.com/office/drawing/2014/main" id="{00000000-0008-0000-1200-00006E000000}"/>
            </a:ext>
          </a:extLst>
        </xdr:cNvPr>
        <xdr:cNvPicPr>
          <a:picLocks noChangeAspect="1"/>
        </xdr:cNvPicPr>
      </xdr:nvPicPr>
      <xdr:blipFill>
        <a:blip xmlns:r="http://schemas.openxmlformats.org/officeDocument/2006/relationships" r:embed="rId1"/>
        <a:stretch>
          <a:fillRect/>
        </a:stretch>
      </xdr:blipFill>
      <xdr:spPr>
        <a:xfrm>
          <a:off x="190500" y="337484902"/>
          <a:ext cx="710837" cy="361951"/>
        </a:xfrm>
        <a:prstGeom prst="rect">
          <a:avLst/>
        </a:prstGeom>
      </xdr:spPr>
    </xdr:pic>
    <xdr:clientData/>
  </xdr:twoCellAnchor>
  <xdr:twoCellAnchor editAs="oneCell">
    <xdr:from>
      <xdr:col>0</xdr:col>
      <xdr:colOff>83820</xdr:colOff>
      <xdr:row>1697</xdr:row>
      <xdr:rowOff>99060</xdr:rowOff>
    </xdr:from>
    <xdr:to>
      <xdr:col>24</xdr:col>
      <xdr:colOff>171739</xdr:colOff>
      <xdr:row>1712</xdr:row>
      <xdr:rowOff>7260</xdr:rowOff>
    </xdr:to>
    <xdr:pic>
      <xdr:nvPicPr>
        <xdr:cNvPr id="111" name="Imagen 110">
          <a:extLst>
            <a:ext uri="{FF2B5EF4-FFF2-40B4-BE49-F238E27FC236}">
              <a16:creationId xmlns:a16="http://schemas.microsoft.com/office/drawing/2014/main" id="{00000000-0008-0000-1200-00006F000000}"/>
            </a:ext>
          </a:extLst>
        </xdr:cNvPr>
        <xdr:cNvPicPr>
          <a:picLocks noChangeAspect="1"/>
        </xdr:cNvPicPr>
      </xdr:nvPicPr>
      <xdr:blipFill>
        <a:blip xmlns:r="http://schemas.openxmlformats.org/officeDocument/2006/relationships" r:embed="rId28"/>
        <a:stretch>
          <a:fillRect/>
        </a:stretch>
      </xdr:blipFill>
      <xdr:spPr>
        <a:xfrm>
          <a:off x="83820" y="348470220"/>
          <a:ext cx="6122959" cy="2880000"/>
        </a:xfrm>
        <a:prstGeom prst="rect">
          <a:avLst/>
        </a:prstGeom>
      </xdr:spPr>
    </xdr:pic>
    <xdr:clientData/>
  </xdr:twoCellAnchor>
  <xdr:twoCellAnchor>
    <xdr:from>
      <xdr:col>0</xdr:col>
      <xdr:colOff>190500</xdr:colOff>
      <xdr:row>1726</xdr:row>
      <xdr:rowOff>17962</xdr:rowOff>
    </xdr:from>
    <xdr:to>
      <xdr:col>3</xdr:col>
      <xdr:colOff>146957</xdr:colOff>
      <xdr:row>1727</xdr:row>
      <xdr:rowOff>181793</xdr:rowOff>
    </xdr:to>
    <xdr:pic>
      <xdr:nvPicPr>
        <xdr:cNvPr id="112" name="Imagen 111">
          <a:extLst>
            <a:ext uri="{FF2B5EF4-FFF2-40B4-BE49-F238E27FC236}">
              <a16:creationId xmlns:a16="http://schemas.microsoft.com/office/drawing/2014/main" id="{00000000-0008-0000-1200-000070000000}"/>
            </a:ext>
          </a:extLst>
        </xdr:cNvPr>
        <xdr:cNvPicPr>
          <a:picLocks noChangeAspect="1"/>
        </xdr:cNvPicPr>
      </xdr:nvPicPr>
      <xdr:blipFill>
        <a:blip xmlns:r="http://schemas.openxmlformats.org/officeDocument/2006/relationships" r:embed="rId1"/>
        <a:stretch>
          <a:fillRect/>
        </a:stretch>
      </xdr:blipFill>
      <xdr:spPr>
        <a:xfrm>
          <a:off x="190500" y="345874522"/>
          <a:ext cx="710837" cy="361951"/>
        </a:xfrm>
        <a:prstGeom prst="rect">
          <a:avLst/>
        </a:prstGeom>
      </xdr:spPr>
    </xdr:pic>
    <xdr:clientData/>
  </xdr:twoCellAnchor>
  <xdr:twoCellAnchor>
    <xdr:from>
      <xdr:col>0</xdr:col>
      <xdr:colOff>190500</xdr:colOff>
      <xdr:row>1767</xdr:row>
      <xdr:rowOff>17962</xdr:rowOff>
    </xdr:from>
    <xdr:to>
      <xdr:col>3</xdr:col>
      <xdr:colOff>146957</xdr:colOff>
      <xdr:row>1768</xdr:row>
      <xdr:rowOff>181793</xdr:rowOff>
    </xdr:to>
    <xdr:pic>
      <xdr:nvPicPr>
        <xdr:cNvPr id="114" name="Imagen 113">
          <a:extLst>
            <a:ext uri="{FF2B5EF4-FFF2-40B4-BE49-F238E27FC236}">
              <a16:creationId xmlns:a16="http://schemas.microsoft.com/office/drawing/2014/main" id="{00000000-0008-0000-1200-000072000000}"/>
            </a:ext>
          </a:extLst>
        </xdr:cNvPr>
        <xdr:cNvPicPr>
          <a:picLocks noChangeAspect="1"/>
        </xdr:cNvPicPr>
      </xdr:nvPicPr>
      <xdr:blipFill>
        <a:blip xmlns:r="http://schemas.openxmlformats.org/officeDocument/2006/relationships" r:embed="rId1"/>
        <a:stretch>
          <a:fillRect/>
        </a:stretch>
      </xdr:blipFill>
      <xdr:spPr>
        <a:xfrm>
          <a:off x="190500" y="354264142"/>
          <a:ext cx="710837" cy="361951"/>
        </a:xfrm>
        <a:prstGeom prst="rect">
          <a:avLst/>
        </a:prstGeom>
      </xdr:spPr>
    </xdr:pic>
    <xdr:clientData/>
  </xdr:twoCellAnchor>
  <xdr:twoCellAnchor editAs="oneCell">
    <xdr:from>
      <xdr:col>1</xdr:col>
      <xdr:colOff>106680</xdr:colOff>
      <xdr:row>1738</xdr:row>
      <xdr:rowOff>7620</xdr:rowOff>
    </xdr:from>
    <xdr:to>
      <xdr:col>22</xdr:col>
      <xdr:colOff>226020</xdr:colOff>
      <xdr:row>1753</xdr:row>
      <xdr:rowOff>87994</xdr:rowOff>
    </xdr:to>
    <xdr:pic>
      <xdr:nvPicPr>
        <xdr:cNvPr id="35" name="Imagen 34">
          <a:extLst>
            <a:ext uri="{FF2B5EF4-FFF2-40B4-BE49-F238E27FC236}">
              <a16:creationId xmlns:a16="http://schemas.microsoft.com/office/drawing/2014/main" id="{00000000-0008-0000-1200-000023000000}"/>
            </a:ext>
          </a:extLst>
        </xdr:cNvPr>
        <xdr:cNvPicPr>
          <a:picLocks noChangeAspect="1"/>
        </xdr:cNvPicPr>
      </xdr:nvPicPr>
      <xdr:blipFill>
        <a:blip xmlns:r="http://schemas.openxmlformats.org/officeDocument/2006/relationships" r:embed="rId34"/>
        <a:stretch>
          <a:fillRect/>
        </a:stretch>
      </xdr:blipFill>
      <xdr:spPr>
        <a:xfrm>
          <a:off x="358140" y="356768400"/>
          <a:ext cx="5400000" cy="3052174"/>
        </a:xfrm>
        <a:prstGeom prst="rect">
          <a:avLst/>
        </a:prstGeom>
      </xdr:spPr>
    </xdr:pic>
    <xdr:clientData/>
  </xdr:twoCellAnchor>
  <xdr:twoCellAnchor editAs="oneCell">
    <xdr:from>
      <xdr:col>0</xdr:col>
      <xdr:colOff>83820</xdr:colOff>
      <xdr:row>1779</xdr:row>
      <xdr:rowOff>99059</xdr:rowOff>
    </xdr:from>
    <xdr:to>
      <xdr:col>24</xdr:col>
      <xdr:colOff>168780</xdr:colOff>
      <xdr:row>1793</xdr:row>
      <xdr:rowOff>178755</xdr:rowOff>
    </xdr:to>
    <xdr:pic>
      <xdr:nvPicPr>
        <xdr:cNvPr id="42" name="Imagen 41">
          <a:extLst>
            <a:ext uri="{FF2B5EF4-FFF2-40B4-BE49-F238E27FC236}">
              <a16:creationId xmlns:a16="http://schemas.microsoft.com/office/drawing/2014/main" id="{00000000-0008-0000-1200-00002A000000}"/>
            </a:ext>
          </a:extLst>
        </xdr:cNvPr>
        <xdr:cNvPicPr>
          <a:picLocks noChangeAspect="1"/>
        </xdr:cNvPicPr>
      </xdr:nvPicPr>
      <xdr:blipFill>
        <a:blip xmlns:r="http://schemas.openxmlformats.org/officeDocument/2006/relationships" r:embed="rId35"/>
        <a:stretch>
          <a:fillRect/>
        </a:stretch>
      </xdr:blipFill>
      <xdr:spPr>
        <a:xfrm>
          <a:off x="83820" y="365249459"/>
          <a:ext cx="6120000" cy="2853376"/>
        </a:xfrm>
        <a:prstGeom prst="rect">
          <a:avLst/>
        </a:prstGeom>
      </xdr:spPr>
    </xdr:pic>
    <xdr:clientData/>
  </xdr:twoCellAnchor>
  <xdr:twoCellAnchor>
    <xdr:from>
      <xdr:col>0</xdr:col>
      <xdr:colOff>190500</xdr:colOff>
      <xdr:row>1808</xdr:row>
      <xdr:rowOff>17962</xdr:rowOff>
    </xdr:from>
    <xdr:to>
      <xdr:col>3</xdr:col>
      <xdr:colOff>146957</xdr:colOff>
      <xdr:row>1809</xdr:row>
      <xdr:rowOff>181793</xdr:rowOff>
    </xdr:to>
    <xdr:pic>
      <xdr:nvPicPr>
        <xdr:cNvPr id="115" name="Imagen 114">
          <a:extLst>
            <a:ext uri="{FF2B5EF4-FFF2-40B4-BE49-F238E27FC236}">
              <a16:creationId xmlns:a16="http://schemas.microsoft.com/office/drawing/2014/main" id="{00000000-0008-0000-1200-000073000000}"/>
            </a:ext>
          </a:extLst>
        </xdr:cNvPr>
        <xdr:cNvPicPr>
          <a:picLocks noChangeAspect="1"/>
        </xdr:cNvPicPr>
      </xdr:nvPicPr>
      <xdr:blipFill>
        <a:blip xmlns:r="http://schemas.openxmlformats.org/officeDocument/2006/relationships" r:embed="rId1"/>
        <a:stretch>
          <a:fillRect/>
        </a:stretch>
      </xdr:blipFill>
      <xdr:spPr>
        <a:xfrm>
          <a:off x="190500" y="362653762"/>
          <a:ext cx="710837" cy="361951"/>
        </a:xfrm>
        <a:prstGeom prst="rect">
          <a:avLst/>
        </a:prstGeom>
      </xdr:spPr>
    </xdr:pic>
    <xdr:clientData/>
  </xdr:twoCellAnchor>
  <xdr:twoCellAnchor>
    <xdr:from>
      <xdr:col>0</xdr:col>
      <xdr:colOff>190500</xdr:colOff>
      <xdr:row>1849</xdr:row>
      <xdr:rowOff>17962</xdr:rowOff>
    </xdr:from>
    <xdr:to>
      <xdr:col>3</xdr:col>
      <xdr:colOff>146957</xdr:colOff>
      <xdr:row>1850</xdr:row>
      <xdr:rowOff>181793</xdr:rowOff>
    </xdr:to>
    <xdr:pic>
      <xdr:nvPicPr>
        <xdr:cNvPr id="117" name="Imagen 116">
          <a:extLst>
            <a:ext uri="{FF2B5EF4-FFF2-40B4-BE49-F238E27FC236}">
              <a16:creationId xmlns:a16="http://schemas.microsoft.com/office/drawing/2014/main" id="{00000000-0008-0000-1200-000075000000}"/>
            </a:ext>
          </a:extLst>
        </xdr:cNvPr>
        <xdr:cNvPicPr>
          <a:picLocks noChangeAspect="1"/>
        </xdr:cNvPicPr>
      </xdr:nvPicPr>
      <xdr:blipFill>
        <a:blip xmlns:r="http://schemas.openxmlformats.org/officeDocument/2006/relationships" r:embed="rId1"/>
        <a:stretch>
          <a:fillRect/>
        </a:stretch>
      </xdr:blipFill>
      <xdr:spPr>
        <a:xfrm>
          <a:off x="190500" y="371043382"/>
          <a:ext cx="710837" cy="361951"/>
        </a:xfrm>
        <a:prstGeom prst="rect">
          <a:avLst/>
        </a:prstGeom>
      </xdr:spPr>
    </xdr:pic>
    <xdr:clientData/>
  </xdr:twoCellAnchor>
  <xdr:twoCellAnchor editAs="oneCell">
    <xdr:from>
      <xdr:col>0</xdr:col>
      <xdr:colOff>91440</xdr:colOff>
      <xdr:row>1859</xdr:row>
      <xdr:rowOff>30480</xdr:rowOff>
    </xdr:from>
    <xdr:to>
      <xdr:col>24</xdr:col>
      <xdr:colOff>176400</xdr:colOff>
      <xdr:row>1880</xdr:row>
      <xdr:rowOff>51578</xdr:rowOff>
    </xdr:to>
    <xdr:pic>
      <xdr:nvPicPr>
        <xdr:cNvPr id="48" name="Imagen 47">
          <a:extLst>
            <a:ext uri="{FF2B5EF4-FFF2-40B4-BE49-F238E27FC236}">
              <a16:creationId xmlns:a16="http://schemas.microsoft.com/office/drawing/2014/main" id="{00000000-0008-0000-1200-000030000000}"/>
            </a:ext>
          </a:extLst>
        </xdr:cNvPr>
        <xdr:cNvPicPr>
          <a:picLocks noChangeAspect="1"/>
        </xdr:cNvPicPr>
      </xdr:nvPicPr>
      <xdr:blipFill>
        <a:blip xmlns:r="http://schemas.openxmlformats.org/officeDocument/2006/relationships" r:embed="rId36"/>
        <a:stretch>
          <a:fillRect/>
        </a:stretch>
      </xdr:blipFill>
      <xdr:spPr>
        <a:xfrm>
          <a:off x="91440" y="381563880"/>
          <a:ext cx="6120000" cy="4181618"/>
        </a:xfrm>
        <a:prstGeom prst="rect">
          <a:avLst/>
        </a:prstGeom>
      </xdr:spPr>
    </xdr:pic>
    <xdr:clientData/>
  </xdr:twoCellAnchor>
  <xdr:twoCellAnchor>
    <xdr:from>
      <xdr:col>0</xdr:col>
      <xdr:colOff>190500</xdr:colOff>
      <xdr:row>1890</xdr:row>
      <xdr:rowOff>17962</xdr:rowOff>
    </xdr:from>
    <xdr:to>
      <xdr:col>3</xdr:col>
      <xdr:colOff>146957</xdr:colOff>
      <xdr:row>1891</xdr:row>
      <xdr:rowOff>181793</xdr:rowOff>
    </xdr:to>
    <xdr:pic>
      <xdr:nvPicPr>
        <xdr:cNvPr id="96" name="Imagen 95">
          <a:extLst>
            <a:ext uri="{FF2B5EF4-FFF2-40B4-BE49-F238E27FC236}">
              <a16:creationId xmlns:a16="http://schemas.microsoft.com/office/drawing/2014/main" id="{00000000-0008-0000-1200-000060000000}"/>
            </a:ext>
          </a:extLst>
        </xdr:cNvPr>
        <xdr:cNvPicPr>
          <a:picLocks noChangeAspect="1"/>
        </xdr:cNvPicPr>
      </xdr:nvPicPr>
      <xdr:blipFill>
        <a:blip xmlns:r="http://schemas.openxmlformats.org/officeDocument/2006/relationships" r:embed="rId1"/>
        <a:stretch>
          <a:fillRect/>
        </a:stretch>
      </xdr:blipFill>
      <xdr:spPr>
        <a:xfrm>
          <a:off x="190500" y="379433002"/>
          <a:ext cx="710837" cy="361951"/>
        </a:xfrm>
        <a:prstGeom prst="rect">
          <a:avLst/>
        </a:prstGeom>
      </xdr:spPr>
    </xdr:pic>
    <xdr:clientData/>
  </xdr:twoCellAnchor>
  <xdr:twoCellAnchor editAs="oneCell">
    <xdr:from>
      <xdr:col>1</xdr:col>
      <xdr:colOff>7620</xdr:colOff>
      <xdr:row>1903</xdr:row>
      <xdr:rowOff>114300</xdr:rowOff>
    </xdr:from>
    <xdr:to>
      <xdr:col>22</xdr:col>
      <xdr:colOff>126960</xdr:colOff>
      <xdr:row>1919</xdr:row>
      <xdr:rowOff>153076</xdr:rowOff>
    </xdr:to>
    <xdr:pic>
      <xdr:nvPicPr>
        <xdr:cNvPr id="32" name="Imagen 31">
          <a:extLst>
            <a:ext uri="{FF2B5EF4-FFF2-40B4-BE49-F238E27FC236}">
              <a16:creationId xmlns:a16="http://schemas.microsoft.com/office/drawing/2014/main" id="{00000000-0008-0000-1200-000020000000}"/>
            </a:ext>
          </a:extLst>
        </xdr:cNvPr>
        <xdr:cNvPicPr>
          <a:picLocks noChangeAspect="1"/>
        </xdr:cNvPicPr>
      </xdr:nvPicPr>
      <xdr:blipFill>
        <a:blip xmlns:r="http://schemas.openxmlformats.org/officeDocument/2006/relationships" r:embed="rId37"/>
        <a:stretch>
          <a:fillRect/>
        </a:stretch>
      </xdr:blipFill>
      <xdr:spPr>
        <a:xfrm>
          <a:off x="259080" y="390845040"/>
          <a:ext cx="5400000" cy="3208696"/>
        </a:xfrm>
        <a:prstGeom prst="rect">
          <a:avLst/>
        </a:prstGeom>
      </xdr:spPr>
    </xdr:pic>
    <xdr:clientData/>
  </xdr:twoCellAnchor>
  <xdr:twoCellAnchor>
    <xdr:from>
      <xdr:col>0</xdr:col>
      <xdr:colOff>190500</xdr:colOff>
      <xdr:row>1931</xdr:row>
      <xdr:rowOff>17962</xdr:rowOff>
    </xdr:from>
    <xdr:to>
      <xdr:col>3</xdr:col>
      <xdr:colOff>146957</xdr:colOff>
      <xdr:row>1932</xdr:row>
      <xdr:rowOff>181793</xdr:rowOff>
    </xdr:to>
    <xdr:pic>
      <xdr:nvPicPr>
        <xdr:cNvPr id="99" name="Imagen 98">
          <a:extLst>
            <a:ext uri="{FF2B5EF4-FFF2-40B4-BE49-F238E27FC236}">
              <a16:creationId xmlns:a16="http://schemas.microsoft.com/office/drawing/2014/main" id="{00000000-0008-0000-1200-000063000000}"/>
            </a:ext>
          </a:extLst>
        </xdr:cNvPr>
        <xdr:cNvPicPr>
          <a:picLocks noChangeAspect="1"/>
        </xdr:cNvPicPr>
      </xdr:nvPicPr>
      <xdr:blipFill>
        <a:blip xmlns:r="http://schemas.openxmlformats.org/officeDocument/2006/relationships" r:embed="rId1"/>
        <a:stretch>
          <a:fillRect/>
        </a:stretch>
      </xdr:blipFill>
      <xdr:spPr>
        <a:xfrm>
          <a:off x="190500" y="387822622"/>
          <a:ext cx="710837" cy="361951"/>
        </a:xfrm>
        <a:prstGeom prst="rect">
          <a:avLst/>
        </a:prstGeom>
      </xdr:spPr>
    </xdr:pic>
    <xdr:clientData/>
  </xdr:twoCellAnchor>
  <xdr:twoCellAnchor>
    <xdr:from>
      <xdr:col>0</xdr:col>
      <xdr:colOff>190500</xdr:colOff>
      <xdr:row>1972</xdr:row>
      <xdr:rowOff>17962</xdr:rowOff>
    </xdr:from>
    <xdr:to>
      <xdr:col>3</xdr:col>
      <xdr:colOff>146957</xdr:colOff>
      <xdr:row>1973</xdr:row>
      <xdr:rowOff>181793</xdr:rowOff>
    </xdr:to>
    <xdr:pic>
      <xdr:nvPicPr>
        <xdr:cNvPr id="102" name="Imagen 101">
          <a:extLst>
            <a:ext uri="{FF2B5EF4-FFF2-40B4-BE49-F238E27FC236}">
              <a16:creationId xmlns:a16="http://schemas.microsoft.com/office/drawing/2014/main" id="{00000000-0008-0000-1200-000066000000}"/>
            </a:ext>
          </a:extLst>
        </xdr:cNvPr>
        <xdr:cNvPicPr>
          <a:picLocks noChangeAspect="1"/>
        </xdr:cNvPicPr>
      </xdr:nvPicPr>
      <xdr:blipFill>
        <a:blip xmlns:r="http://schemas.openxmlformats.org/officeDocument/2006/relationships" r:embed="rId1"/>
        <a:stretch>
          <a:fillRect/>
        </a:stretch>
      </xdr:blipFill>
      <xdr:spPr>
        <a:xfrm>
          <a:off x="190500" y="396425602"/>
          <a:ext cx="710837" cy="361951"/>
        </a:xfrm>
        <a:prstGeom prst="rect">
          <a:avLst/>
        </a:prstGeom>
      </xdr:spPr>
    </xdr:pic>
    <xdr:clientData/>
  </xdr:twoCellAnchor>
  <xdr:twoCellAnchor editAs="oneCell">
    <xdr:from>
      <xdr:col>1</xdr:col>
      <xdr:colOff>220980</xdr:colOff>
      <xdr:row>1817</xdr:row>
      <xdr:rowOff>30481</xdr:rowOff>
    </xdr:from>
    <xdr:to>
      <xdr:col>23</xdr:col>
      <xdr:colOff>88860</xdr:colOff>
      <xdr:row>1832</xdr:row>
      <xdr:rowOff>136100</xdr:rowOff>
    </xdr:to>
    <xdr:pic>
      <xdr:nvPicPr>
        <xdr:cNvPr id="49" name="Imagen 48">
          <a:extLst>
            <a:ext uri="{FF2B5EF4-FFF2-40B4-BE49-F238E27FC236}">
              <a16:creationId xmlns:a16="http://schemas.microsoft.com/office/drawing/2014/main" id="{00000000-0008-0000-1200-000031000000}"/>
            </a:ext>
          </a:extLst>
        </xdr:cNvPr>
        <xdr:cNvPicPr>
          <a:picLocks noChangeAspect="1"/>
        </xdr:cNvPicPr>
      </xdr:nvPicPr>
      <xdr:blipFill>
        <a:blip xmlns:r="http://schemas.openxmlformats.org/officeDocument/2006/relationships" r:embed="rId38"/>
        <a:stretch>
          <a:fillRect/>
        </a:stretch>
      </xdr:blipFill>
      <xdr:spPr>
        <a:xfrm>
          <a:off x="472440" y="372976141"/>
          <a:ext cx="5400000" cy="3077419"/>
        </a:xfrm>
        <a:prstGeom prst="rect">
          <a:avLst/>
        </a:prstGeom>
      </xdr:spPr>
    </xdr:pic>
    <xdr:clientData/>
  </xdr:twoCellAnchor>
  <xdr:twoCellAnchor editAs="oneCell">
    <xdr:from>
      <xdr:col>5</xdr:col>
      <xdr:colOff>68580</xdr:colOff>
      <xdr:row>1829</xdr:row>
      <xdr:rowOff>160020</xdr:rowOff>
    </xdr:from>
    <xdr:to>
      <xdr:col>19</xdr:col>
      <xdr:colOff>148140</xdr:colOff>
      <xdr:row>1840</xdr:row>
      <xdr:rowOff>153443</xdr:rowOff>
    </xdr:to>
    <xdr:pic>
      <xdr:nvPicPr>
        <xdr:cNvPr id="45" name="Imagen 44">
          <a:extLst>
            <a:ext uri="{FF2B5EF4-FFF2-40B4-BE49-F238E27FC236}">
              <a16:creationId xmlns:a16="http://schemas.microsoft.com/office/drawing/2014/main" id="{00000000-0008-0000-1200-00002D000000}"/>
            </a:ext>
          </a:extLst>
        </xdr:cNvPr>
        <xdr:cNvPicPr>
          <a:picLocks noChangeAspect="1"/>
        </xdr:cNvPicPr>
      </xdr:nvPicPr>
      <xdr:blipFill>
        <a:blip xmlns:r="http://schemas.openxmlformats.org/officeDocument/2006/relationships" r:embed="rId39"/>
        <a:stretch>
          <a:fillRect/>
        </a:stretch>
      </xdr:blipFill>
      <xdr:spPr>
        <a:xfrm>
          <a:off x="1325880" y="375483120"/>
          <a:ext cx="3600000" cy="2172743"/>
        </a:xfrm>
        <a:prstGeom prst="rect">
          <a:avLst/>
        </a:prstGeom>
      </xdr:spPr>
    </xdr:pic>
    <xdr:clientData/>
  </xdr:twoCellAnchor>
  <xdr:twoCellAnchor editAs="oneCell">
    <xdr:from>
      <xdr:col>2</xdr:col>
      <xdr:colOff>0</xdr:colOff>
      <xdr:row>1984</xdr:row>
      <xdr:rowOff>68580</xdr:rowOff>
    </xdr:from>
    <xdr:to>
      <xdr:col>23</xdr:col>
      <xdr:colOff>119340</xdr:colOff>
      <xdr:row>1999</xdr:row>
      <xdr:rowOff>65366</xdr:rowOff>
    </xdr:to>
    <xdr:pic>
      <xdr:nvPicPr>
        <xdr:cNvPr id="50" name="Imagen 49">
          <a:extLst>
            <a:ext uri="{FF2B5EF4-FFF2-40B4-BE49-F238E27FC236}">
              <a16:creationId xmlns:a16="http://schemas.microsoft.com/office/drawing/2014/main" id="{00000000-0008-0000-1200-000032000000}"/>
            </a:ext>
          </a:extLst>
        </xdr:cNvPr>
        <xdr:cNvPicPr>
          <a:picLocks noChangeAspect="1"/>
        </xdr:cNvPicPr>
      </xdr:nvPicPr>
      <xdr:blipFill>
        <a:blip xmlns:r="http://schemas.openxmlformats.org/officeDocument/2006/relationships" r:embed="rId40"/>
        <a:stretch>
          <a:fillRect/>
        </a:stretch>
      </xdr:blipFill>
      <xdr:spPr>
        <a:xfrm>
          <a:off x="502920" y="407807160"/>
          <a:ext cx="5400000" cy="2968586"/>
        </a:xfrm>
        <a:prstGeom prst="rect">
          <a:avLst/>
        </a:prstGeom>
      </xdr:spPr>
    </xdr:pic>
    <xdr:clientData/>
  </xdr:twoCellAnchor>
  <xdr:twoCellAnchor>
    <xdr:from>
      <xdr:col>0</xdr:col>
      <xdr:colOff>190500</xdr:colOff>
      <xdr:row>2013</xdr:row>
      <xdr:rowOff>17962</xdr:rowOff>
    </xdr:from>
    <xdr:to>
      <xdr:col>3</xdr:col>
      <xdr:colOff>146957</xdr:colOff>
      <xdr:row>2014</xdr:row>
      <xdr:rowOff>181793</xdr:rowOff>
    </xdr:to>
    <xdr:pic>
      <xdr:nvPicPr>
        <xdr:cNvPr id="113" name="Imagen 112">
          <a:extLst>
            <a:ext uri="{FF2B5EF4-FFF2-40B4-BE49-F238E27FC236}">
              <a16:creationId xmlns:a16="http://schemas.microsoft.com/office/drawing/2014/main" id="{00000000-0008-0000-1200-000071000000}"/>
            </a:ext>
          </a:extLst>
        </xdr:cNvPr>
        <xdr:cNvPicPr>
          <a:picLocks noChangeAspect="1"/>
        </xdr:cNvPicPr>
      </xdr:nvPicPr>
      <xdr:blipFill>
        <a:blip xmlns:r="http://schemas.openxmlformats.org/officeDocument/2006/relationships" r:embed="rId1"/>
        <a:stretch>
          <a:fillRect/>
        </a:stretch>
      </xdr:blipFill>
      <xdr:spPr>
        <a:xfrm>
          <a:off x="190500" y="405028582"/>
          <a:ext cx="710837" cy="361951"/>
        </a:xfrm>
        <a:prstGeom prst="rect">
          <a:avLst/>
        </a:prstGeom>
      </xdr:spPr>
    </xdr:pic>
    <xdr:clientData/>
  </xdr:twoCellAnchor>
  <xdr:twoCellAnchor editAs="oneCell">
    <xdr:from>
      <xdr:col>0</xdr:col>
      <xdr:colOff>114300</xdr:colOff>
      <xdr:row>2025</xdr:row>
      <xdr:rowOff>38100</xdr:rowOff>
    </xdr:from>
    <xdr:to>
      <xdr:col>24</xdr:col>
      <xdr:colOff>199260</xdr:colOff>
      <xdr:row>2042</xdr:row>
      <xdr:rowOff>124352</xdr:rowOff>
    </xdr:to>
    <xdr:pic>
      <xdr:nvPicPr>
        <xdr:cNvPr id="51" name="Imagen 50">
          <a:extLst>
            <a:ext uri="{FF2B5EF4-FFF2-40B4-BE49-F238E27FC236}">
              <a16:creationId xmlns:a16="http://schemas.microsoft.com/office/drawing/2014/main" id="{00000000-0008-0000-1200-000033000000}"/>
            </a:ext>
          </a:extLst>
        </xdr:cNvPr>
        <xdr:cNvPicPr>
          <a:picLocks noChangeAspect="1"/>
        </xdr:cNvPicPr>
      </xdr:nvPicPr>
      <xdr:blipFill>
        <a:blip xmlns:r="http://schemas.openxmlformats.org/officeDocument/2006/relationships" r:embed="rId41"/>
        <a:stretch>
          <a:fillRect/>
        </a:stretch>
      </xdr:blipFill>
      <xdr:spPr>
        <a:xfrm>
          <a:off x="114300" y="416379660"/>
          <a:ext cx="6120000" cy="3454292"/>
        </a:xfrm>
        <a:prstGeom prst="rect">
          <a:avLst/>
        </a:prstGeom>
      </xdr:spPr>
    </xdr:pic>
    <xdr:clientData/>
  </xdr:twoCellAnchor>
  <xdr:twoCellAnchor>
    <xdr:from>
      <xdr:col>0</xdr:col>
      <xdr:colOff>190500</xdr:colOff>
      <xdr:row>2054</xdr:row>
      <xdr:rowOff>17962</xdr:rowOff>
    </xdr:from>
    <xdr:to>
      <xdr:col>3</xdr:col>
      <xdr:colOff>146957</xdr:colOff>
      <xdr:row>2055</xdr:row>
      <xdr:rowOff>181793</xdr:rowOff>
    </xdr:to>
    <xdr:pic>
      <xdr:nvPicPr>
        <xdr:cNvPr id="118" name="Imagen 117">
          <a:extLst>
            <a:ext uri="{FF2B5EF4-FFF2-40B4-BE49-F238E27FC236}">
              <a16:creationId xmlns:a16="http://schemas.microsoft.com/office/drawing/2014/main" id="{00000000-0008-0000-1200-000076000000}"/>
            </a:ext>
          </a:extLst>
        </xdr:cNvPr>
        <xdr:cNvPicPr>
          <a:picLocks noChangeAspect="1"/>
        </xdr:cNvPicPr>
      </xdr:nvPicPr>
      <xdr:blipFill>
        <a:blip xmlns:r="http://schemas.openxmlformats.org/officeDocument/2006/relationships" r:embed="rId1"/>
        <a:stretch>
          <a:fillRect/>
        </a:stretch>
      </xdr:blipFill>
      <xdr:spPr>
        <a:xfrm>
          <a:off x="190500" y="413631562"/>
          <a:ext cx="710837" cy="361951"/>
        </a:xfrm>
        <a:prstGeom prst="rect">
          <a:avLst/>
        </a:prstGeom>
      </xdr:spPr>
    </xdr:pic>
    <xdr:clientData/>
  </xdr:twoCellAnchor>
  <xdr:twoCellAnchor editAs="oneCell">
    <xdr:from>
      <xdr:col>1</xdr:col>
      <xdr:colOff>22860</xdr:colOff>
      <xdr:row>2065</xdr:row>
      <xdr:rowOff>152401</xdr:rowOff>
    </xdr:from>
    <xdr:to>
      <xdr:col>24</xdr:col>
      <xdr:colOff>3090</xdr:colOff>
      <xdr:row>2082</xdr:row>
      <xdr:rowOff>44870</xdr:rowOff>
    </xdr:to>
    <xdr:pic>
      <xdr:nvPicPr>
        <xdr:cNvPr id="53" name="Imagen 52">
          <a:extLst>
            <a:ext uri="{FF2B5EF4-FFF2-40B4-BE49-F238E27FC236}">
              <a16:creationId xmlns:a16="http://schemas.microsoft.com/office/drawing/2014/main" id="{00000000-0008-0000-1200-000035000000}"/>
            </a:ext>
          </a:extLst>
        </xdr:cNvPr>
        <xdr:cNvPicPr>
          <a:picLocks noChangeAspect="1"/>
        </xdr:cNvPicPr>
      </xdr:nvPicPr>
      <xdr:blipFill>
        <a:blip xmlns:r="http://schemas.openxmlformats.org/officeDocument/2006/relationships" r:embed="rId42"/>
        <a:stretch>
          <a:fillRect/>
        </a:stretch>
      </xdr:blipFill>
      <xdr:spPr>
        <a:xfrm>
          <a:off x="274320" y="424898821"/>
          <a:ext cx="5760000" cy="3260509"/>
        </a:xfrm>
        <a:prstGeom prst="rect">
          <a:avLst/>
        </a:prstGeom>
      </xdr:spPr>
    </xdr:pic>
    <xdr:clientData/>
  </xdr:twoCellAnchor>
  <xdr:twoCellAnchor>
    <xdr:from>
      <xdr:col>0</xdr:col>
      <xdr:colOff>190500</xdr:colOff>
      <xdr:row>2095</xdr:row>
      <xdr:rowOff>17962</xdr:rowOff>
    </xdr:from>
    <xdr:to>
      <xdr:col>3</xdr:col>
      <xdr:colOff>146957</xdr:colOff>
      <xdr:row>2096</xdr:row>
      <xdr:rowOff>181793</xdr:rowOff>
    </xdr:to>
    <xdr:pic>
      <xdr:nvPicPr>
        <xdr:cNvPr id="120" name="Imagen 119">
          <a:extLst>
            <a:ext uri="{FF2B5EF4-FFF2-40B4-BE49-F238E27FC236}">
              <a16:creationId xmlns:a16="http://schemas.microsoft.com/office/drawing/2014/main" id="{00000000-0008-0000-1200-000078000000}"/>
            </a:ext>
          </a:extLst>
        </xdr:cNvPr>
        <xdr:cNvPicPr>
          <a:picLocks noChangeAspect="1"/>
        </xdr:cNvPicPr>
      </xdr:nvPicPr>
      <xdr:blipFill>
        <a:blip xmlns:r="http://schemas.openxmlformats.org/officeDocument/2006/relationships" r:embed="rId1"/>
        <a:stretch>
          <a:fillRect/>
        </a:stretch>
      </xdr:blipFill>
      <xdr:spPr>
        <a:xfrm>
          <a:off x="190500" y="422234542"/>
          <a:ext cx="710837" cy="361951"/>
        </a:xfrm>
        <a:prstGeom prst="rect">
          <a:avLst/>
        </a:prstGeom>
      </xdr:spPr>
    </xdr:pic>
    <xdr:clientData/>
  </xdr:twoCellAnchor>
  <xdr:twoCellAnchor editAs="oneCell">
    <xdr:from>
      <xdr:col>0</xdr:col>
      <xdr:colOff>76200</xdr:colOff>
      <xdr:row>2105</xdr:row>
      <xdr:rowOff>152400</xdr:rowOff>
    </xdr:from>
    <xdr:to>
      <xdr:col>24</xdr:col>
      <xdr:colOff>161160</xdr:colOff>
      <xdr:row>2123</xdr:row>
      <xdr:rowOff>154293</xdr:rowOff>
    </xdr:to>
    <xdr:pic>
      <xdr:nvPicPr>
        <xdr:cNvPr id="55" name="Imagen 54">
          <a:extLst>
            <a:ext uri="{FF2B5EF4-FFF2-40B4-BE49-F238E27FC236}">
              <a16:creationId xmlns:a16="http://schemas.microsoft.com/office/drawing/2014/main" id="{00000000-0008-0000-1200-000037000000}"/>
            </a:ext>
          </a:extLst>
        </xdr:cNvPr>
        <xdr:cNvPicPr>
          <a:picLocks noChangeAspect="1"/>
        </xdr:cNvPicPr>
      </xdr:nvPicPr>
      <xdr:blipFill>
        <a:blip xmlns:r="http://schemas.openxmlformats.org/officeDocument/2006/relationships" r:embed="rId43"/>
        <a:stretch>
          <a:fillRect/>
        </a:stretch>
      </xdr:blipFill>
      <xdr:spPr>
        <a:xfrm>
          <a:off x="76200" y="433303680"/>
          <a:ext cx="6120000" cy="3568053"/>
        </a:xfrm>
        <a:prstGeom prst="rect">
          <a:avLst/>
        </a:prstGeom>
      </xdr:spPr>
    </xdr:pic>
    <xdr:clientData/>
  </xdr:twoCellAnchor>
  <xdr:twoCellAnchor>
    <xdr:from>
      <xdr:col>0</xdr:col>
      <xdr:colOff>190500</xdr:colOff>
      <xdr:row>2136</xdr:row>
      <xdr:rowOff>17962</xdr:rowOff>
    </xdr:from>
    <xdr:to>
      <xdr:col>3</xdr:col>
      <xdr:colOff>146957</xdr:colOff>
      <xdr:row>2137</xdr:row>
      <xdr:rowOff>181793</xdr:rowOff>
    </xdr:to>
    <xdr:pic>
      <xdr:nvPicPr>
        <xdr:cNvPr id="122" name="Imagen 121">
          <a:extLst>
            <a:ext uri="{FF2B5EF4-FFF2-40B4-BE49-F238E27FC236}">
              <a16:creationId xmlns:a16="http://schemas.microsoft.com/office/drawing/2014/main" id="{00000000-0008-0000-1200-00007A000000}"/>
            </a:ext>
          </a:extLst>
        </xdr:cNvPr>
        <xdr:cNvPicPr>
          <a:picLocks noChangeAspect="1"/>
        </xdr:cNvPicPr>
      </xdr:nvPicPr>
      <xdr:blipFill>
        <a:blip xmlns:r="http://schemas.openxmlformats.org/officeDocument/2006/relationships" r:embed="rId1"/>
        <a:stretch>
          <a:fillRect/>
        </a:stretch>
      </xdr:blipFill>
      <xdr:spPr>
        <a:xfrm>
          <a:off x="190500" y="430837522"/>
          <a:ext cx="710837" cy="361951"/>
        </a:xfrm>
        <a:prstGeom prst="rect">
          <a:avLst/>
        </a:prstGeom>
      </xdr:spPr>
    </xdr:pic>
    <xdr:clientData/>
  </xdr:twoCellAnchor>
  <xdr:twoCellAnchor editAs="oneCell">
    <xdr:from>
      <xdr:col>0</xdr:col>
      <xdr:colOff>152400</xdr:colOff>
      <xdr:row>2147</xdr:row>
      <xdr:rowOff>60961</xdr:rowOff>
    </xdr:from>
    <xdr:to>
      <xdr:col>23</xdr:col>
      <xdr:colOff>128820</xdr:colOff>
      <xdr:row>2165</xdr:row>
      <xdr:rowOff>51065</xdr:rowOff>
    </xdr:to>
    <xdr:pic>
      <xdr:nvPicPr>
        <xdr:cNvPr id="56" name="Imagen 55">
          <a:extLst>
            <a:ext uri="{FF2B5EF4-FFF2-40B4-BE49-F238E27FC236}">
              <a16:creationId xmlns:a16="http://schemas.microsoft.com/office/drawing/2014/main" id="{00000000-0008-0000-1200-000038000000}"/>
            </a:ext>
          </a:extLst>
        </xdr:cNvPr>
        <xdr:cNvPicPr>
          <a:picLocks noChangeAspect="1"/>
        </xdr:cNvPicPr>
      </xdr:nvPicPr>
      <xdr:blipFill>
        <a:blip xmlns:r="http://schemas.openxmlformats.org/officeDocument/2006/relationships" r:embed="rId44"/>
        <a:stretch>
          <a:fillRect/>
        </a:stretch>
      </xdr:blipFill>
      <xdr:spPr>
        <a:xfrm>
          <a:off x="152400" y="442013341"/>
          <a:ext cx="5760000" cy="3556264"/>
        </a:xfrm>
        <a:prstGeom prst="rect">
          <a:avLst/>
        </a:prstGeom>
      </xdr:spPr>
    </xdr:pic>
    <xdr:clientData/>
  </xdr:twoCellAnchor>
  <xdr:twoCellAnchor>
    <xdr:from>
      <xdr:col>0</xdr:col>
      <xdr:colOff>190500</xdr:colOff>
      <xdr:row>2177</xdr:row>
      <xdr:rowOff>17962</xdr:rowOff>
    </xdr:from>
    <xdr:to>
      <xdr:col>3</xdr:col>
      <xdr:colOff>146957</xdr:colOff>
      <xdr:row>2178</xdr:row>
      <xdr:rowOff>181793</xdr:rowOff>
    </xdr:to>
    <xdr:pic>
      <xdr:nvPicPr>
        <xdr:cNvPr id="124" name="Imagen 123">
          <a:extLst>
            <a:ext uri="{FF2B5EF4-FFF2-40B4-BE49-F238E27FC236}">
              <a16:creationId xmlns:a16="http://schemas.microsoft.com/office/drawing/2014/main" id="{00000000-0008-0000-1200-00007C000000}"/>
            </a:ext>
          </a:extLst>
        </xdr:cNvPr>
        <xdr:cNvPicPr>
          <a:picLocks noChangeAspect="1"/>
        </xdr:cNvPicPr>
      </xdr:nvPicPr>
      <xdr:blipFill>
        <a:blip xmlns:r="http://schemas.openxmlformats.org/officeDocument/2006/relationships" r:embed="rId1"/>
        <a:stretch>
          <a:fillRect/>
        </a:stretch>
      </xdr:blipFill>
      <xdr:spPr>
        <a:xfrm>
          <a:off x="190500" y="439440502"/>
          <a:ext cx="710837" cy="361951"/>
        </a:xfrm>
        <a:prstGeom prst="rect">
          <a:avLst/>
        </a:prstGeom>
      </xdr:spPr>
    </xdr:pic>
    <xdr:clientData/>
  </xdr:twoCellAnchor>
  <xdr:twoCellAnchor editAs="oneCell">
    <xdr:from>
      <xdr:col>0</xdr:col>
      <xdr:colOff>198120</xdr:colOff>
      <xdr:row>2187</xdr:row>
      <xdr:rowOff>106681</xdr:rowOff>
    </xdr:from>
    <xdr:to>
      <xdr:col>23</xdr:col>
      <xdr:colOff>174540</xdr:colOff>
      <xdr:row>2208</xdr:row>
      <xdr:rowOff>84871</xdr:rowOff>
    </xdr:to>
    <xdr:pic>
      <xdr:nvPicPr>
        <xdr:cNvPr id="57" name="Imagen 56">
          <a:extLst>
            <a:ext uri="{FF2B5EF4-FFF2-40B4-BE49-F238E27FC236}">
              <a16:creationId xmlns:a16="http://schemas.microsoft.com/office/drawing/2014/main" id="{00000000-0008-0000-1200-000039000000}"/>
            </a:ext>
          </a:extLst>
        </xdr:cNvPr>
        <xdr:cNvPicPr>
          <a:picLocks noChangeAspect="1"/>
        </xdr:cNvPicPr>
      </xdr:nvPicPr>
      <xdr:blipFill>
        <a:blip xmlns:r="http://schemas.openxmlformats.org/officeDocument/2006/relationships" r:embed="rId45"/>
        <a:stretch>
          <a:fillRect/>
        </a:stretch>
      </xdr:blipFill>
      <xdr:spPr>
        <a:xfrm>
          <a:off x="198120" y="450463921"/>
          <a:ext cx="5760000" cy="4138710"/>
        </a:xfrm>
        <a:prstGeom prst="rect">
          <a:avLst/>
        </a:prstGeom>
      </xdr:spPr>
    </xdr:pic>
    <xdr:clientData/>
  </xdr:twoCellAnchor>
  <xdr:twoCellAnchor>
    <xdr:from>
      <xdr:col>0</xdr:col>
      <xdr:colOff>190500</xdr:colOff>
      <xdr:row>2218</xdr:row>
      <xdr:rowOff>17962</xdr:rowOff>
    </xdr:from>
    <xdr:to>
      <xdr:col>3</xdr:col>
      <xdr:colOff>146957</xdr:colOff>
      <xdr:row>2219</xdr:row>
      <xdr:rowOff>181793</xdr:rowOff>
    </xdr:to>
    <xdr:pic>
      <xdr:nvPicPr>
        <xdr:cNvPr id="126" name="Imagen 125">
          <a:extLst>
            <a:ext uri="{FF2B5EF4-FFF2-40B4-BE49-F238E27FC236}">
              <a16:creationId xmlns:a16="http://schemas.microsoft.com/office/drawing/2014/main" id="{00000000-0008-0000-1200-00007E000000}"/>
            </a:ext>
          </a:extLst>
        </xdr:cNvPr>
        <xdr:cNvPicPr>
          <a:picLocks noChangeAspect="1"/>
        </xdr:cNvPicPr>
      </xdr:nvPicPr>
      <xdr:blipFill>
        <a:blip xmlns:r="http://schemas.openxmlformats.org/officeDocument/2006/relationships" r:embed="rId1"/>
        <a:stretch>
          <a:fillRect/>
        </a:stretch>
      </xdr:blipFill>
      <xdr:spPr>
        <a:xfrm>
          <a:off x="190500" y="448043482"/>
          <a:ext cx="710837" cy="361951"/>
        </a:xfrm>
        <a:prstGeom prst="rect">
          <a:avLst/>
        </a:prstGeom>
      </xdr:spPr>
    </xdr:pic>
    <xdr:clientData/>
  </xdr:twoCellAnchor>
  <xdr:twoCellAnchor editAs="oneCell">
    <xdr:from>
      <xdr:col>0</xdr:col>
      <xdr:colOff>91440</xdr:colOff>
      <xdr:row>2228</xdr:row>
      <xdr:rowOff>60961</xdr:rowOff>
    </xdr:from>
    <xdr:to>
      <xdr:col>24</xdr:col>
      <xdr:colOff>176400</xdr:colOff>
      <xdr:row>2247</xdr:row>
      <xdr:rowOff>64401</xdr:rowOff>
    </xdr:to>
    <xdr:pic>
      <xdr:nvPicPr>
        <xdr:cNvPr id="58" name="Imagen 57">
          <a:extLst>
            <a:ext uri="{FF2B5EF4-FFF2-40B4-BE49-F238E27FC236}">
              <a16:creationId xmlns:a16="http://schemas.microsoft.com/office/drawing/2014/main" id="{00000000-0008-0000-1200-00003A000000}"/>
            </a:ext>
          </a:extLst>
        </xdr:cNvPr>
        <xdr:cNvPicPr>
          <a:picLocks noChangeAspect="1"/>
        </xdr:cNvPicPr>
      </xdr:nvPicPr>
      <xdr:blipFill>
        <a:blip xmlns:r="http://schemas.openxmlformats.org/officeDocument/2006/relationships" r:embed="rId46"/>
        <a:stretch>
          <a:fillRect/>
        </a:stretch>
      </xdr:blipFill>
      <xdr:spPr>
        <a:xfrm>
          <a:off x="91440" y="459021181"/>
          <a:ext cx="6120000" cy="3767720"/>
        </a:xfrm>
        <a:prstGeom prst="rect">
          <a:avLst/>
        </a:prstGeom>
      </xdr:spPr>
    </xdr:pic>
    <xdr:clientData/>
  </xdr:twoCellAnchor>
  <xdr:twoCellAnchor>
    <xdr:from>
      <xdr:col>0</xdr:col>
      <xdr:colOff>190500</xdr:colOff>
      <xdr:row>2259</xdr:row>
      <xdr:rowOff>17962</xdr:rowOff>
    </xdr:from>
    <xdr:to>
      <xdr:col>3</xdr:col>
      <xdr:colOff>146957</xdr:colOff>
      <xdr:row>2260</xdr:row>
      <xdr:rowOff>181793</xdr:rowOff>
    </xdr:to>
    <xdr:pic>
      <xdr:nvPicPr>
        <xdr:cNvPr id="128" name="Imagen 127">
          <a:extLst>
            <a:ext uri="{FF2B5EF4-FFF2-40B4-BE49-F238E27FC236}">
              <a16:creationId xmlns:a16="http://schemas.microsoft.com/office/drawing/2014/main" id="{00000000-0008-0000-1200-000080000000}"/>
            </a:ext>
          </a:extLst>
        </xdr:cNvPr>
        <xdr:cNvPicPr>
          <a:picLocks noChangeAspect="1"/>
        </xdr:cNvPicPr>
      </xdr:nvPicPr>
      <xdr:blipFill>
        <a:blip xmlns:r="http://schemas.openxmlformats.org/officeDocument/2006/relationships" r:embed="rId1"/>
        <a:stretch>
          <a:fillRect/>
        </a:stretch>
      </xdr:blipFill>
      <xdr:spPr>
        <a:xfrm>
          <a:off x="190500" y="456646462"/>
          <a:ext cx="710837" cy="361951"/>
        </a:xfrm>
        <a:prstGeom prst="rect">
          <a:avLst/>
        </a:prstGeom>
      </xdr:spPr>
    </xdr:pic>
    <xdr:clientData/>
  </xdr:twoCellAnchor>
  <xdr:twoCellAnchor>
    <xdr:from>
      <xdr:col>0</xdr:col>
      <xdr:colOff>190500</xdr:colOff>
      <xdr:row>2300</xdr:row>
      <xdr:rowOff>17962</xdr:rowOff>
    </xdr:from>
    <xdr:to>
      <xdr:col>3</xdr:col>
      <xdr:colOff>146957</xdr:colOff>
      <xdr:row>2301</xdr:row>
      <xdr:rowOff>181793</xdr:rowOff>
    </xdr:to>
    <xdr:pic>
      <xdr:nvPicPr>
        <xdr:cNvPr id="130" name="Imagen 129">
          <a:extLst>
            <a:ext uri="{FF2B5EF4-FFF2-40B4-BE49-F238E27FC236}">
              <a16:creationId xmlns:a16="http://schemas.microsoft.com/office/drawing/2014/main" id="{00000000-0008-0000-1200-000082000000}"/>
            </a:ext>
          </a:extLst>
        </xdr:cNvPr>
        <xdr:cNvPicPr>
          <a:picLocks noChangeAspect="1"/>
        </xdr:cNvPicPr>
      </xdr:nvPicPr>
      <xdr:blipFill>
        <a:blip xmlns:r="http://schemas.openxmlformats.org/officeDocument/2006/relationships" r:embed="rId1"/>
        <a:stretch>
          <a:fillRect/>
        </a:stretch>
      </xdr:blipFill>
      <xdr:spPr>
        <a:xfrm>
          <a:off x="190500" y="465249442"/>
          <a:ext cx="710837" cy="361951"/>
        </a:xfrm>
        <a:prstGeom prst="rect">
          <a:avLst/>
        </a:prstGeom>
      </xdr:spPr>
    </xdr:pic>
    <xdr:clientData/>
  </xdr:twoCellAnchor>
  <xdr:twoCellAnchor editAs="oneCell">
    <xdr:from>
      <xdr:col>1</xdr:col>
      <xdr:colOff>15240</xdr:colOff>
      <xdr:row>2271</xdr:row>
      <xdr:rowOff>160020</xdr:rowOff>
    </xdr:from>
    <xdr:to>
      <xdr:col>23</xdr:col>
      <xdr:colOff>243120</xdr:colOff>
      <xdr:row>2287</xdr:row>
      <xdr:rowOff>161196</xdr:rowOff>
    </xdr:to>
    <xdr:pic>
      <xdr:nvPicPr>
        <xdr:cNvPr id="59" name="Imagen 58">
          <a:extLst>
            <a:ext uri="{FF2B5EF4-FFF2-40B4-BE49-F238E27FC236}">
              <a16:creationId xmlns:a16="http://schemas.microsoft.com/office/drawing/2014/main" id="{00000000-0008-0000-1200-00003B000000}"/>
            </a:ext>
          </a:extLst>
        </xdr:cNvPr>
        <xdr:cNvPicPr>
          <a:picLocks noChangeAspect="1"/>
        </xdr:cNvPicPr>
      </xdr:nvPicPr>
      <xdr:blipFill>
        <a:blip xmlns:r="http://schemas.openxmlformats.org/officeDocument/2006/relationships" r:embed="rId47"/>
        <a:stretch>
          <a:fillRect/>
        </a:stretch>
      </xdr:blipFill>
      <xdr:spPr>
        <a:xfrm>
          <a:off x="266700" y="467921340"/>
          <a:ext cx="5760000" cy="3171096"/>
        </a:xfrm>
        <a:prstGeom prst="rect">
          <a:avLst/>
        </a:prstGeom>
      </xdr:spPr>
    </xdr:pic>
    <xdr:clientData/>
  </xdr:twoCellAnchor>
  <xdr:twoCellAnchor editAs="oneCell">
    <xdr:from>
      <xdr:col>0</xdr:col>
      <xdr:colOff>213360</xdr:colOff>
      <xdr:row>2313</xdr:row>
      <xdr:rowOff>152400</xdr:rowOff>
    </xdr:from>
    <xdr:to>
      <xdr:col>23</xdr:col>
      <xdr:colOff>189780</xdr:colOff>
      <xdr:row>2330</xdr:row>
      <xdr:rowOff>102827</xdr:rowOff>
    </xdr:to>
    <xdr:pic>
      <xdr:nvPicPr>
        <xdr:cNvPr id="64" name="Imagen 63">
          <a:extLst>
            <a:ext uri="{FF2B5EF4-FFF2-40B4-BE49-F238E27FC236}">
              <a16:creationId xmlns:a16="http://schemas.microsoft.com/office/drawing/2014/main" id="{00000000-0008-0000-1200-000040000000}"/>
            </a:ext>
          </a:extLst>
        </xdr:cNvPr>
        <xdr:cNvPicPr>
          <a:picLocks noChangeAspect="1"/>
        </xdr:cNvPicPr>
      </xdr:nvPicPr>
      <xdr:blipFill>
        <a:blip xmlns:r="http://schemas.openxmlformats.org/officeDocument/2006/relationships" r:embed="rId48"/>
        <a:stretch>
          <a:fillRect/>
        </a:stretch>
      </xdr:blipFill>
      <xdr:spPr>
        <a:xfrm>
          <a:off x="213360" y="476516700"/>
          <a:ext cx="5760000" cy="3318467"/>
        </a:xfrm>
        <a:prstGeom prst="rect">
          <a:avLst/>
        </a:prstGeom>
      </xdr:spPr>
    </xdr:pic>
    <xdr:clientData/>
  </xdr:twoCellAnchor>
  <xdr:twoCellAnchor>
    <xdr:from>
      <xdr:col>0</xdr:col>
      <xdr:colOff>190500</xdr:colOff>
      <xdr:row>2341</xdr:row>
      <xdr:rowOff>17962</xdr:rowOff>
    </xdr:from>
    <xdr:to>
      <xdr:col>3</xdr:col>
      <xdr:colOff>146957</xdr:colOff>
      <xdr:row>2342</xdr:row>
      <xdr:rowOff>181793</xdr:rowOff>
    </xdr:to>
    <xdr:pic>
      <xdr:nvPicPr>
        <xdr:cNvPr id="131" name="Imagen 130">
          <a:extLst>
            <a:ext uri="{FF2B5EF4-FFF2-40B4-BE49-F238E27FC236}">
              <a16:creationId xmlns:a16="http://schemas.microsoft.com/office/drawing/2014/main" id="{00000000-0008-0000-1200-000083000000}"/>
            </a:ext>
          </a:extLst>
        </xdr:cNvPr>
        <xdr:cNvPicPr>
          <a:picLocks noChangeAspect="1"/>
        </xdr:cNvPicPr>
      </xdr:nvPicPr>
      <xdr:blipFill>
        <a:blip xmlns:r="http://schemas.openxmlformats.org/officeDocument/2006/relationships" r:embed="rId1"/>
        <a:stretch>
          <a:fillRect/>
        </a:stretch>
      </xdr:blipFill>
      <xdr:spPr>
        <a:xfrm>
          <a:off x="190500" y="473654302"/>
          <a:ext cx="710837" cy="361951"/>
        </a:xfrm>
        <a:prstGeom prst="rect">
          <a:avLst/>
        </a:prstGeom>
      </xdr:spPr>
    </xdr:pic>
    <xdr:clientData/>
  </xdr:twoCellAnchor>
  <xdr:twoCellAnchor editAs="oneCell">
    <xdr:from>
      <xdr:col>0</xdr:col>
      <xdr:colOff>83820</xdr:colOff>
      <xdr:row>2354</xdr:row>
      <xdr:rowOff>1</xdr:rowOff>
    </xdr:from>
    <xdr:to>
      <xdr:col>24</xdr:col>
      <xdr:colOff>168780</xdr:colOff>
      <xdr:row>2369</xdr:row>
      <xdr:rowOff>125143</xdr:rowOff>
    </xdr:to>
    <xdr:pic>
      <xdr:nvPicPr>
        <xdr:cNvPr id="65" name="Imagen 64">
          <a:extLst>
            <a:ext uri="{FF2B5EF4-FFF2-40B4-BE49-F238E27FC236}">
              <a16:creationId xmlns:a16="http://schemas.microsoft.com/office/drawing/2014/main" id="{00000000-0008-0000-1200-000041000000}"/>
            </a:ext>
          </a:extLst>
        </xdr:cNvPr>
        <xdr:cNvPicPr>
          <a:picLocks noChangeAspect="1"/>
        </xdr:cNvPicPr>
      </xdr:nvPicPr>
      <xdr:blipFill>
        <a:blip xmlns:r="http://schemas.openxmlformats.org/officeDocument/2006/relationships" r:embed="rId49"/>
        <a:stretch>
          <a:fillRect/>
        </a:stretch>
      </xdr:blipFill>
      <xdr:spPr>
        <a:xfrm>
          <a:off x="83820" y="484769161"/>
          <a:ext cx="6120000" cy="3096942"/>
        </a:xfrm>
        <a:prstGeom prst="rect">
          <a:avLst/>
        </a:prstGeom>
      </xdr:spPr>
    </xdr:pic>
    <xdr:clientData/>
  </xdr:twoCellAnchor>
  <xdr:twoCellAnchor>
    <xdr:from>
      <xdr:col>0</xdr:col>
      <xdr:colOff>190500</xdr:colOff>
      <xdr:row>2382</xdr:row>
      <xdr:rowOff>17962</xdr:rowOff>
    </xdr:from>
    <xdr:to>
      <xdr:col>3</xdr:col>
      <xdr:colOff>146957</xdr:colOff>
      <xdr:row>2383</xdr:row>
      <xdr:rowOff>181793</xdr:rowOff>
    </xdr:to>
    <xdr:pic>
      <xdr:nvPicPr>
        <xdr:cNvPr id="133" name="Imagen 132">
          <a:extLst>
            <a:ext uri="{FF2B5EF4-FFF2-40B4-BE49-F238E27FC236}">
              <a16:creationId xmlns:a16="http://schemas.microsoft.com/office/drawing/2014/main" id="{00000000-0008-0000-1200-000085000000}"/>
            </a:ext>
          </a:extLst>
        </xdr:cNvPr>
        <xdr:cNvPicPr>
          <a:picLocks noChangeAspect="1"/>
        </xdr:cNvPicPr>
      </xdr:nvPicPr>
      <xdr:blipFill>
        <a:blip xmlns:r="http://schemas.openxmlformats.org/officeDocument/2006/relationships" r:embed="rId1"/>
        <a:stretch>
          <a:fillRect/>
        </a:stretch>
      </xdr:blipFill>
      <xdr:spPr>
        <a:xfrm>
          <a:off x="190500" y="482059162"/>
          <a:ext cx="710837" cy="361951"/>
        </a:xfrm>
        <a:prstGeom prst="rect">
          <a:avLst/>
        </a:prstGeom>
      </xdr:spPr>
    </xdr:pic>
    <xdr:clientData/>
  </xdr:twoCellAnchor>
  <xdr:twoCellAnchor editAs="oneCell">
    <xdr:from>
      <xdr:col>0</xdr:col>
      <xdr:colOff>99060</xdr:colOff>
      <xdr:row>2393</xdr:row>
      <xdr:rowOff>38100</xdr:rowOff>
    </xdr:from>
    <xdr:to>
      <xdr:col>24</xdr:col>
      <xdr:colOff>184020</xdr:colOff>
      <xdr:row>2410</xdr:row>
      <xdr:rowOff>167202</xdr:rowOff>
    </xdr:to>
    <xdr:pic>
      <xdr:nvPicPr>
        <xdr:cNvPr id="69" name="Imagen 68">
          <a:extLst>
            <a:ext uri="{FF2B5EF4-FFF2-40B4-BE49-F238E27FC236}">
              <a16:creationId xmlns:a16="http://schemas.microsoft.com/office/drawing/2014/main" id="{00000000-0008-0000-1200-000045000000}"/>
            </a:ext>
          </a:extLst>
        </xdr:cNvPr>
        <xdr:cNvPicPr>
          <a:picLocks noChangeAspect="1"/>
        </xdr:cNvPicPr>
      </xdr:nvPicPr>
      <xdr:blipFill>
        <a:blip xmlns:r="http://schemas.openxmlformats.org/officeDocument/2006/relationships" r:embed="rId50"/>
        <a:stretch>
          <a:fillRect/>
        </a:stretch>
      </xdr:blipFill>
      <xdr:spPr>
        <a:xfrm>
          <a:off x="99060" y="492815880"/>
          <a:ext cx="6120000" cy="3497142"/>
        </a:xfrm>
        <a:prstGeom prst="rect">
          <a:avLst/>
        </a:prstGeom>
      </xdr:spPr>
    </xdr:pic>
    <xdr:clientData/>
  </xdr:twoCellAnchor>
  <xdr:twoCellAnchor>
    <xdr:from>
      <xdr:col>0</xdr:col>
      <xdr:colOff>190500</xdr:colOff>
      <xdr:row>2423</xdr:row>
      <xdr:rowOff>17962</xdr:rowOff>
    </xdr:from>
    <xdr:to>
      <xdr:col>3</xdr:col>
      <xdr:colOff>146957</xdr:colOff>
      <xdr:row>2424</xdr:row>
      <xdr:rowOff>181793</xdr:rowOff>
    </xdr:to>
    <xdr:pic>
      <xdr:nvPicPr>
        <xdr:cNvPr id="121" name="Imagen 120">
          <a:extLst>
            <a:ext uri="{FF2B5EF4-FFF2-40B4-BE49-F238E27FC236}">
              <a16:creationId xmlns:a16="http://schemas.microsoft.com/office/drawing/2014/main" id="{00000000-0008-0000-1200-000079000000}"/>
            </a:ext>
          </a:extLst>
        </xdr:cNvPr>
        <xdr:cNvPicPr>
          <a:picLocks noChangeAspect="1"/>
        </xdr:cNvPicPr>
      </xdr:nvPicPr>
      <xdr:blipFill>
        <a:blip xmlns:r="http://schemas.openxmlformats.org/officeDocument/2006/relationships" r:embed="rId1"/>
        <a:stretch>
          <a:fillRect/>
        </a:stretch>
      </xdr:blipFill>
      <xdr:spPr>
        <a:xfrm>
          <a:off x="190500" y="492292822"/>
          <a:ext cx="710837" cy="361951"/>
        </a:xfrm>
        <a:prstGeom prst="rect">
          <a:avLst/>
        </a:prstGeom>
      </xdr:spPr>
    </xdr:pic>
    <xdr:clientData/>
  </xdr:twoCellAnchor>
  <xdr:twoCellAnchor editAs="oneCell">
    <xdr:from>
      <xdr:col>1</xdr:col>
      <xdr:colOff>68580</xdr:colOff>
      <xdr:row>2434</xdr:row>
      <xdr:rowOff>137160</xdr:rowOff>
    </xdr:from>
    <xdr:to>
      <xdr:col>22</xdr:col>
      <xdr:colOff>187920</xdr:colOff>
      <xdr:row>2452</xdr:row>
      <xdr:rowOff>181496</xdr:rowOff>
    </xdr:to>
    <xdr:pic>
      <xdr:nvPicPr>
        <xdr:cNvPr id="47" name="Imagen 46">
          <a:extLst>
            <a:ext uri="{FF2B5EF4-FFF2-40B4-BE49-F238E27FC236}">
              <a16:creationId xmlns:a16="http://schemas.microsoft.com/office/drawing/2014/main" id="{00000000-0008-0000-1200-00002F000000}"/>
            </a:ext>
          </a:extLst>
        </xdr:cNvPr>
        <xdr:cNvPicPr>
          <a:picLocks noChangeAspect="1"/>
        </xdr:cNvPicPr>
      </xdr:nvPicPr>
      <xdr:blipFill>
        <a:blip xmlns:r="http://schemas.openxmlformats.org/officeDocument/2006/relationships" r:embed="rId51"/>
        <a:stretch>
          <a:fillRect/>
        </a:stretch>
      </xdr:blipFill>
      <xdr:spPr>
        <a:xfrm>
          <a:off x="320040" y="503148600"/>
          <a:ext cx="5400000" cy="3610496"/>
        </a:xfrm>
        <a:prstGeom prst="rect">
          <a:avLst/>
        </a:prstGeom>
      </xdr:spPr>
    </xdr:pic>
    <xdr:clientData/>
  </xdr:twoCellAnchor>
  <xdr:twoCellAnchor>
    <xdr:from>
      <xdr:col>0</xdr:col>
      <xdr:colOff>190500</xdr:colOff>
      <xdr:row>2464</xdr:row>
      <xdr:rowOff>17962</xdr:rowOff>
    </xdr:from>
    <xdr:to>
      <xdr:col>3</xdr:col>
      <xdr:colOff>146957</xdr:colOff>
      <xdr:row>2465</xdr:row>
      <xdr:rowOff>181793</xdr:rowOff>
    </xdr:to>
    <xdr:pic>
      <xdr:nvPicPr>
        <xdr:cNvPr id="125" name="Imagen 124">
          <a:extLst>
            <a:ext uri="{FF2B5EF4-FFF2-40B4-BE49-F238E27FC236}">
              <a16:creationId xmlns:a16="http://schemas.microsoft.com/office/drawing/2014/main" id="{00000000-0008-0000-1200-00007D000000}"/>
            </a:ext>
          </a:extLst>
        </xdr:cNvPr>
        <xdr:cNvPicPr>
          <a:picLocks noChangeAspect="1"/>
        </xdr:cNvPicPr>
      </xdr:nvPicPr>
      <xdr:blipFill>
        <a:blip xmlns:r="http://schemas.openxmlformats.org/officeDocument/2006/relationships" r:embed="rId1"/>
        <a:stretch>
          <a:fillRect/>
        </a:stretch>
      </xdr:blipFill>
      <xdr:spPr>
        <a:xfrm>
          <a:off x="190500" y="500697682"/>
          <a:ext cx="710837" cy="361951"/>
        </a:xfrm>
        <a:prstGeom prst="rect">
          <a:avLst/>
        </a:prstGeom>
      </xdr:spPr>
    </xdr:pic>
    <xdr:clientData/>
  </xdr:twoCellAnchor>
  <xdr:twoCellAnchor editAs="oneCell">
    <xdr:from>
      <xdr:col>0</xdr:col>
      <xdr:colOff>83820</xdr:colOff>
      <xdr:row>2475</xdr:row>
      <xdr:rowOff>175260</xdr:rowOff>
    </xdr:from>
    <xdr:to>
      <xdr:col>24</xdr:col>
      <xdr:colOff>168780</xdr:colOff>
      <xdr:row>2490</xdr:row>
      <xdr:rowOff>10024</xdr:rowOff>
    </xdr:to>
    <xdr:pic>
      <xdr:nvPicPr>
        <xdr:cNvPr id="52" name="Imagen 51">
          <a:extLst>
            <a:ext uri="{FF2B5EF4-FFF2-40B4-BE49-F238E27FC236}">
              <a16:creationId xmlns:a16="http://schemas.microsoft.com/office/drawing/2014/main" id="{00000000-0008-0000-1200-000034000000}"/>
            </a:ext>
          </a:extLst>
        </xdr:cNvPr>
        <xdr:cNvPicPr>
          <a:picLocks noChangeAspect="1"/>
        </xdr:cNvPicPr>
      </xdr:nvPicPr>
      <xdr:blipFill>
        <a:blip xmlns:r="http://schemas.openxmlformats.org/officeDocument/2006/relationships" r:embed="rId52"/>
        <a:stretch>
          <a:fillRect/>
        </a:stretch>
      </xdr:blipFill>
      <xdr:spPr>
        <a:xfrm>
          <a:off x="83820" y="511591560"/>
          <a:ext cx="6120000" cy="2806564"/>
        </a:xfrm>
        <a:prstGeom prst="rect">
          <a:avLst/>
        </a:prstGeom>
      </xdr:spPr>
    </xdr:pic>
    <xdr:clientData/>
  </xdr:twoCellAnchor>
  <xdr:twoCellAnchor>
    <xdr:from>
      <xdr:col>0</xdr:col>
      <xdr:colOff>190500</xdr:colOff>
      <xdr:row>2505</xdr:row>
      <xdr:rowOff>17962</xdr:rowOff>
    </xdr:from>
    <xdr:to>
      <xdr:col>3</xdr:col>
      <xdr:colOff>146957</xdr:colOff>
      <xdr:row>2506</xdr:row>
      <xdr:rowOff>181793</xdr:rowOff>
    </xdr:to>
    <xdr:pic>
      <xdr:nvPicPr>
        <xdr:cNvPr id="129" name="Imagen 128">
          <a:extLst>
            <a:ext uri="{FF2B5EF4-FFF2-40B4-BE49-F238E27FC236}">
              <a16:creationId xmlns:a16="http://schemas.microsoft.com/office/drawing/2014/main" id="{00000000-0008-0000-1200-000081000000}"/>
            </a:ext>
          </a:extLst>
        </xdr:cNvPr>
        <xdr:cNvPicPr>
          <a:picLocks noChangeAspect="1"/>
        </xdr:cNvPicPr>
      </xdr:nvPicPr>
      <xdr:blipFill>
        <a:blip xmlns:r="http://schemas.openxmlformats.org/officeDocument/2006/relationships" r:embed="rId1"/>
        <a:stretch>
          <a:fillRect/>
        </a:stretch>
      </xdr:blipFill>
      <xdr:spPr>
        <a:xfrm>
          <a:off x="190500" y="509102542"/>
          <a:ext cx="710837" cy="361951"/>
        </a:xfrm>
        <a:prstGeom prst="rect">
          <a:avLst/>
        </a:prstGeom>
      </xdr:spPr>
    </xdr:pic>
    <xdr:clientData/>
  </xdr:twoCellAnchor>
  <xdr:twoCellAnchor editAs="oneCell">
    <xdr:from>
      <xdr:col>1</xdr:col>
      <xdr:colOff>175260</xdr:colOff>
      <xdr:row>2516</xdr:row>
      <xdr:rowOff>152401</xdr:rowOff>
    </xdr:from>
    <xdr:to>
      <xdr:col>23</xdr:col>
      <xdr:colOff>43140</xdr:colOff>
      <xdr:row>2534</xdr:row>
      <xdr:rowOff>157462</xdr:rowOff>
    </xdr:to>
    <xdr:pic>
      <xdr:nvPicPr>
        <xdr:cNvPr id="90" name="Imagen 89">
          <a:extLst>
            <a:ext uri="{FF2B5EF4-FFF2-40B4-BE49-F238E27FC236}">
              <a16:creationId xmlns:a16="http://schemas.microsoft.com/office/drawing/2014/main" id="{00000000-0008-0000-1200-00005A000000}"/>
            </a:ext>
          </a:extLst>
        </xdr:cNvPr>
        <xdr:cNvPicPr>
          <a:picLocks noChangeAspect="1"/>
        </xdr:cNvPicPr>
      </xdr:nvPicPr>
      <xdr:blipFill>
        <a:blip xmlns:r="http://schemas.openxmlformats.org/officeDocument/2006/relationships" r:embed="rId53"/>
        <a:stretch>
          <a:fillRect/>
        </a:stretch>
      </xdr:blipFill>
      <xdr:spPr>
        <a:xfrm>
          <a:off x="426720" y="519973561"/>
          <a:ext cx="5400000" cy="3571221"/>
        </a:xfrm>
        <a:prstGeom prst="rect">
          <a:avLst/>
        </a:prstGeom>
      </xdr:spPr>
    </xdr:pic>
    <xdr:clientData/>
  </xdr:twoCellAnchor>
  <xdr:twoCellAnchor>
    <xdr:from>
      <xdr:col>0</xdr:col>
      <xdr:colOff>190500</xdr:colOff>
      <xdr:row>2546</xdr:row>
      <xdr:rowOff>17962</xdr:rowOff>
    </xdr:from>
    <xdr:to>
      <xdr:col>3</xdr:col>
      <xdr:colOff>146957</xdr:colOff>
      <xdr:row>2547</xdr:row>
      <xdr:rowOff>181793</xdr:rowOff>
    </xdr:to>
    <xdr:pic>
      <xdr:nvPicPr>
        <xdr:cNvPr id="134" name="Imagen 133">
          <a:extLst>
            <a:ext uri="{FF2B5EF4-FFF2-40B4-BE49-F238E27FC236}">
              <a16:creationId xmlns:a16="http://schemas.microsoft.com/office/drawing/2014/main" id="{00000000-0008-0000-1200-000086000000}"/>
            </a:ext>
          </a:extLst>
        </xdr:cNvPr>
        <xdr:cNvPicPr>
          <a:picLocks noChangeAspect="1"/>
        </xdr:cNvPicPr>
      </xdr:nvPicPr>
      <xdr:blipFill>
        <a:blip xmlns:r="http://schemas.openxmlformats.org/officeDocument/2006/relationships" r:embed="rId1"/>
        <a:stretch>
          <a:fillRect/>
        </a:stretch>
      </xdr:blipFill>
      <xdr:spPr>
        <a:xfrm>
          <a:off x="190500" y="517507402"/>
          <a:ext cx="710837" cy="361951"/>
        </a:xfrm>
        <a:prstGeom prst="rect">
          <a:avLst/>
        </a:prstGeom>
      </xdr:spPr>
    </xdr:pic>
    <xdr:clientData/>
  </xdr:twoCellAnchor>
  <xdr:twoCellAnchor editAs="oneCell">
    <xdr:from>
      <xdr:col>0</xdr:col>
      <xdr:colOff>68580</xdr:colOff>
      <xdr:row>2557</xdr:row>
      <xdr:rowOff>137160</xdr:rowOff>
    </xdr:from>
    <xdr:to>
      <xdr:col>24</xdr:col>
      <xdr:colOff>153540</xdr:colOff>
      <xdr:row>2572</xdr:row>
      <xdr:rowOff>129350</xdr:rowOff>
    </xdr:to>
    <xdr:pic>
      <xdr:nvPicPr>
        <xdr:cNvPr id="98" name="Imagen 97">
          <a:extLst>
            <a:ext uri="{FF2B5EF4-FFF2-40B4-BE49-F238E27FC236}">
              <a16:creationId xmlns:a16="http://schemas.microsoft.com/office/drawing/2014/main" id="{00000000-0008-0000-1200-000062000000}"/>
            </a:ext>
          </a:extLst>
        </xdr:cNvPr>
        <xdr:cNvPicPr>
          <a:picLocks noChangeAspect="1"/>
        </xdr:cNvPicPr>
      </xdr:nvPicPr>
      <xdr:blipFill>
        <a:blip xmlns:r="http://schemas.openxmlformats.org/officeDocument/2006/relationships" r:embed="rId54"/>
        <a:stretch>
          <a:fillRect/>
        </a:stretch>
      </xdr:blipFill>
      <xdr:spPr>
        <a:xfrm>
          <a:off x="68580" y="528363180"/>
          <a:ext cx="6120000" cy="2963990"/>
        </a:xfrm>
        <a:prstGeom prst="rect">
          <a:avLst/>
        </a:prstGeom>
      </xdr:spPr>
    </xdr:pic>
    <xdr:clientData/>
  </xdr:twoCellAnchor>
  <xdr:twoCellAnchor>
    <xdr:from>
      <xdr:col>0</xdr:col>
      <xdr:colOff>190500</xdr:colOff>
      <xdr:row>2624</xdr:row>
      <xdr:rowOff>40822</xdr:rowOff>
    </xdr:from>
    <xdr:to>
      <xdr:col>3</xdr:col>
      <xdr:colOff>146957</xdr:colOff>
      <xdr:row>2625</xdr:row>
      <xdr:rowOff>326573</xdr:rowOff>
    </xdr:to>
    <xdr:pic>
      <xdr:nvPicPr>
        <xdr:cNvPr id="136" name="Imagen 135">
          <a:extLst>
            <a:ext uri="{FF2B5EF4-FFF2-40B4-BE49-F238E27FC236}">
              <a16:creationId xmlns:a16="http://schemas.microsoft.com/office/drawing/2014/main" id="{00000000-0008-0000-1200-000088000000}"/>
            </a:ext>
          </a:extLst>
        </xdr:cNvPr>
        <xdr:cNvPicPr>
          <a:picLocks noChangeAspect="1"/>
        </xdr:cNvPicPr>
      </xdr:nvPicPr>
      <xdr:blipFill>
        <a:blip xmlns:r="http://schemas.openxmlformats.org/officeDocument/2006/relationships" r:embed="rId1"/>
        <a:stretch>
          <a:fillRect/>
        </a:stretch>
      </xdr:blipFill>
      <xdr:spPr>
        <a:xfrm>
          <a:off x="190500" y="114683722"/>
          <a:ext cx="710837" cy="361951"/>
        </a:xfrm>
        <a:prstGeom prst="rect">
          <a:avLst/>
        </a:prstGeom>
      </xdr:spPr>
    </xdr:pic>
    <xdr:clientData/>
  </xdr:twoCellAnchor>
  <xdr:twoCellAnchor>
    <xdr:from>
      <xdr:col>0</xdr:col>
      <xdr:colOff>190500</xdr:colOff>
      <xdr:row>2662</xdr:row>
      <xdr:rowOff>40822</xdr:rowOff>
    </xdr:from>
    <xdr:to>
      <xdr:col>3</xdr:col>
      <xdr:colOff>146957</xdr:colOff>
      <xdr:row>2663</xdr:row>
      <xdr:rowOff>326573</xdr:rowOff>
    </xdr:to>
    <xdr:pic>
      <xdr:nvPicPr>
        <xdr:cNvPr id="138" name="Imagen 137">
          <a:extLst>
            <a:ext uri="{FF2B5EF4-FFF2-40B4-BE49-F238E27FC236}">
              <a16:creationId xmlns:a16="http://schemas.microsoft.com/office/drawing/2014/main" id="{00000000-0008-0000-1200-00008A000000}"/>
            </a:ext>
          </a:extLst>
        </xdr:cNvPr>
        <xdr:cNvPicPr>
          <a:picLocks noChangeAspect="1"/>
        </xdr:cNvPicPr>
      </xdr:nvPicPr>
      <xdr:blipFill>
        <a:blip xmlns:r="http://schemas.openxmlformats.org/officeDocument/2006/relationships" r:embed="rId1"/>
        <a:stretch>
          <a:fillRect/>
        </a:stretch>
      </xdr:blipFill>
      <xdr:spPr>
        <a:xfrm>
          <a:off x="190500" y="122509462"/>
          <a:ext cx="710837" cy="361951"/>
        </a:xfrm>
        <a:prstGeom prst="rect">
          <a:avLst/>
        </a:prstGeom>
      </xdr:spPr>
    </xdr:pic>
    <xdr:clientData/>
  </xdr:twoCellAnchor>
  <xdr:twoCellAnchor>
    <xdr:from>
      <xdr:col>0</xdr:col>
      <xdr:colOff>190500</xdr:colOff>
      <xdr:row>2587</xdr:row>
      <xdr:rowOff>25582</xdr:rowOff>
    </xdr:from>
    <xdr:to>
      <xdr:col>3</xdr:col>
      <xdr:colOff>146957</xdr:colOff>
      <xdr:row>2588</xdr:row>
      <xdr:rowOff>189413</xdr:rowOff>
    </xdr:to>
    <xdr:pic>
      <xdr:nvPicPr>
        <xdr:cNvPr id="141" name="Imagen 140">
          <a:extLst>
            <a:ext uri="{FF2B5EF4-FFF2-40B4-BE49-F238E27FC236}">
              <a16:creationId xmlns:a16="http://schemas.microsoft.com/office/drawing/2014/main" id="{00000000-0008-0000-1200-00008D000000}"/>
            </a:ext>
          </a:extLst>
        </xdr:cNvPr>
        <xdr:cNvPicPr>
          <a:picLocks noChangeAspect="1"/>
        </xdr:cNvPicPr>
      </xdr:nvPicPr>
      <xdr:blipFill>
        <a:blip xmlns:r="http://schemas.openxmlformats.org/officeDocument/2006/relationships" r:embed="rId1"/>
        <a:stretch>
          <a:fillRect/>
        </a:stretch>
      </xdr:blipFill>
      <xdr:spPr>
        <a:xfrm>
          <a:off x="190500" y="267159922"/>
          <a:ext cx="710837" cy="361951"/>
        </a:xfrm>
        <a:prstGeom prst="rect">
          <a:avLst/>
        </a:prstGeom>
      </xdr:spPr>
    </xdr:pic>
    <xdr:clientData/>
  </xdr:twoCellAnchor>
  <xdr:twoCellAnchor editAs="oneCell">
    <xdr:from>
      <xdr:col>0</xdr:col>
      <xdr:colOff>190500</xdr:colOff>
      <xdr:row>2597</xdr:row>
      <xdr:rowOff>7620</xdr:rowOff>
    </xdr:from>
    <xdr:to>
      <xdr:col>22</xdr:col>
      <xdr:colOff>58380</xdr:colOff>
      <xdr:row>2615</xdr:row>
      <xdr:rowOff>51956</xdr:rowOff>
    </xdr:to>
    <xdr:pic>
      <xdr:nvPicPr>
        <xdr:cNvPr id="142" name="Imagen 141">
          <a:extLst>
            <a:ext uri="{FF2B5EF4-FFF2-40B4-BE49-F238E27FC236}">
              <a16:creationId xmlns:a16="http://schemas.microsoft.com/office/drawing/2014/main" id="{00000000-0008-0000-1200-00008E000000}"/>
            </a:ext>
          </a:extLst>
        </xdr:cNvPr>
        <xdr:cNvPicPr>
          <a:picLocks noChangeAspect="1"/>
        </xdr:cNvPicPr>
      </xdr:nvPicPr>
      <xdr:blipFill>
        <a:blip xmlns:r="http://schemas.openxmlformats.org/officeDocument/2006/relationships" r:embed="rId51"/>
        <a:stretch>
          <a:fillRect/>
        </a:stretch>
      </xdr:blipFill>
      <xdr:spPr>
        <a:xfrm>
          <a:off x="190500" y="536425140"/>
          <a:ext cx="5400000" cy="3610496"/>
        </a:xfrm>
        <a:prstGeom prst="rect">
          <a:avLst/>
        </a:prstGeom>
      </xdr:spPr>
    </xdr:pic>
    <xdr:clientData/>
  </xdr:twoCellAnchor>
  <xdr:twoCellAnchor editAs="oneCell">
    <xdr:from>
      <xdr:col>0</xdr:col>
      <xdr:colOff>236220</xdr:colOff>
      <xdr:row>2634</xdr:row>
      <xdr:rowOff>152400</xdr:rowOff>
    </xdr:from>
    <xdr:to>
      <xdr:col>22</xdr:col>
      <xdr:colOff>104100</xdr:colOff>
      <xdr:row>2653</xdr:row>
      <xdr:rowOff>793</xdr:rowOff>
    </xdr:to>
    <xdr:pic>
      <xdr:nvPicPr>
        <xdr:cNvPr id="143" name="Imagen 142">
          <a:extLst>
            <a:ext uri="{FF2B5EF4-FFF2-40B4-BE49-F238E27FC236}">
              <a16:creationId xmlns:a16="http://schemas.microsoft.com/office/drawing/2014/main" id="{00000000-0008-0000-1200-00008F000000}"/>
            </a:ext>
          </a:extLst>
        </xdr:cNvPr>
        <xdr:cNvPicPr>
          <a:picLocks noChangeAspect="1"/>
        </xdr:cNvPicPr>
      </xdr:nvPicPr>
      <xdr:blipFill>
        <a:blip xmlns:r="http://schemas.openxmlformats.org/officeDocument/2006/relationships" r:embed="rId51"/>
        <a:stretch>
          <a:fillRect/>
        </a:stretch>
      </xdr:blipFill>
      <xdr:spPr>
        <a:xfrm>
          <a:off x="236220" y="544136580"/>
          <a:ext cx="5400000" cy="3610496"/>
        </a:xfrm>
        <a:prstGeom prst="rect">
          <a:avLst/>
        </a:prstGeom>
      </xdr:spPr>
    </xdr:pic>
    <xdr:clientData/>
  </xdr:twoCellAnchor>
  <xdr:twoCellAnchor editAs="oneCell">
    <xdr:from>
      <xdr:col>0</xdr:col>
      <xdr:colOff>243840</xdr:colOff>
      <xdr:row>2671</xdr:row>
      <xdr:rowOff>182880</xdr:rowOff>
    </xdr:from>
    <xdr:to>
      <xdr:col>22</xdr:col>
      <xdr:colOff>111720</xdr:colOff>
      <xdr:row>2690</xdr:row>
      <xdr:rowOff>29096</xdr:rowOff>
    </xdr:to>
    <xdr:pic>
      <xdr:nvPicPr>
        <xdr:cNvPr id="144" name="Imagen 143">
          <a:extLst>
            <a:ext uri="{FF2B5EF4-FFF2-40B4-BE49-F238E27FC236}">
              <a16:creationId xmlns:a16="http://schemas.microsoft.com/office/drawing/2014/main" id="{00000000-0008-0000-1200-000090000000}"/>
            </a:ext>
          </a:extLst>
        </xdr:cNvPr>
        <xdr:cNvPicPr>
          <a:picLocks noChangeAspect="1"/>
        </xdr:cNvPicPr>
      </xdr:nvPicPr>
      <xdr:blipFill>
        <a:blip xmlns:r="http://schemas.openxmlformats.org/officeDocument/2006/relationships" r:embed="rId51"/>
        <a:stretch>
          <a:fillRect/>
        </a:stretch>
      </xdr:blipFill>
      <xdr:spPr>
        <a:xfrm>
          <a:off x="243840" y="551794680"/>
          <a:ext cx="5400000" cy="3610496"/>
        </a:xfrm>
        <a:prstGeom prst="rect">
          <a:avLst/>
        </a:prstGeom>
      </xdr:spPr>
    </xdr:pic>
    <xdr:clientData/>
  </xdr:twoCellAnchor>
  <xdr:twoCellAnchor>
    <xdr:from>
      <xdr:col>0</xdr:col>
      <xdr:colOff>190500</xdr:colOff>
      <xdr:row>2700</xdr:row>
      <xdr:rowOff>17962</xdr:rowOff>
    </xdr:from>
    <xdr:to>
      <xdr:col>3</xdr:col>
      <xdr:colOff>146957</xdr:colOff>
      <xdr:row>2701</xdr:row>
      <xdr:rowOff>181793</xdr:rowOff>
    </xdr:to>
    <xdr:pic>
      <xdr:nvPicPr>
        <xdr:cNvPr id="145" name="Imagen 144">
          <a:extLst>
            <a:ext uri="{FF2B5EF4-FFF2-40B4-BE49-F238E27FC236}">
              <a16:creationId xmlns:a16="http://schemas.microsoft.com/office/drawing/2014/main" id="{00000000-0008-0000-1200-000091000000}"/>
            </a:ext>
          </a:extLst>
        </xdr:cNvPr>
        <xdr:cNvPicPr>
          <a:picLocks noChangeAspect="1"/>
        </xdr:cNvPicPr>
      </xdr:nvPicPr>
      <xdr:blipFill>
        <a:blip xmlns:r="http://schemas.openxmlformats.org/officeDocument/2006/relationships" r:embed="rId1"/>
        <a:stretch>
          <a:fillRect/>
        </a:stretch>
      </xdr:blipFill>
      <xdr:spPr>
        <a:xfrm>
          <a:off x="190500" y="526095142"/>
          <a:ext cx="710837" cy="361951"/>
        </a:xfrm>
        <a:prstGeom prst="rect">
          <a:avLst/>
        </a:prstGeom>
      </xdr:spPr>
    </xdr:pic>
    <xdr:clientData/>
  </xdr:twoCellAnchor>
  <xdr:twoCellAnchor editAs="oneCell">
    <xdr:from>
      <xdr:col>0</xdr:col>
      <xdr:colOff>99060</xdr:colOff>
      <xdr:row>2711</xdr:row>
      <xdr:rowOff>137161</xdr:rowOff>
    </xdr:from>
    <xdr:to>
      <xdr:col>24</xdr:col>
      <xdr:colOff>184020</xdr:colOff>
      <xdr:row>2726</xdr:row>
      <xdr:rowOff>112933</xdr:rowOff>
    </xdr:to>
    <xdr:pic>
      <xdr:nvPicPr>
        <xdr:cNvPr id="101" name="Imagen 100">
          <a:extLst>
            <a:ext uri="{FF2B5EF4-FFF2-40B4-BE49-F238E27FC236}">
              <a16:creationId xmlns:a16="http://schemas.microsoft.com/office/drawing/2014/main" id="{00000000-0008-0000-1200-000065000000}"/>
            </a:ext>
          </a:extLst>
        </xdr:cNvPr>
        <xdr:cNvPicPr>
          <a:picLocks noChangeAspect="1"/>
        </xdr:cNvPicPr>
      </xdr:nvPicPr>
      <xdr:blipFill>
        <a:blip xmlns:r="http://schemas.openxmlformats.org/officeDocument/2006/relationships" r:embed="rId55"/>
        <a:stretch>
          <a:fillRect/>
        </a:stretch>
      </xdr:blipFill>
      <xdr:spPr>
        <a:xfrm>
          <a:off x="99060" y="560138581"/>
          <a:ext cx="6120000" cy="2947572"/>
        </a:xfrm>
        <a:prstGeom prst="rect">
          <a:avLst/>
        </a:prstGeom>
      </xdr:spPr>
    </xdr:pic>
    <xdr:clientData/>
  </xdr:twoCellAnchor>
  <xdr:twoCellAnchor>
    <xdr:from>
      <xdr:col>0</xdr:col>
      <xdr:colOff>190500</xdr:colOff>
      <xdr:row>2741</xdr:row>
      <xdr:rowOff>17962</xdr:rowOff>
    </xdr:from>
    <xdr:to>
      <xdr:col>3</xdr:col>
      <xdr:colOff>146957</xdr:colOff>
      <xdr:row>2742</xdr:row>
      <xdr:rowOff>181793</xdr:rowOff>
    </xdr:to>
    <xdr:pic>
      <xdr:nvPicPr>
        <xdr:cNvPr id="147" name="Imagen 146">
          <a:extLst>
            <a:ext uri="{FF2B5EF4-FFF2-40B4-BE49-F238E27FC236}">
              <a16:creationId xmlns:a16="http://schemas.microsoft.com/office/drawing/2014/main" id="{00000000-0008-0000-1200-000093000000}"/>
            </a:ext>
          </a:extLst>
        </xdr:cNvPr>
        <xdr:cNvPicPr>
          <a:picLocks noChangeAspect="1"/>
        </xdr:cNvPicPr>
      </xdr:nvPicPr>
      <xdr:blipFill>
        <a:blip xmlns:r="http://schemas.openxmlformats.org/officeDocument/2006/relationships" r:embed="rId1"/>
        <a:stretch>
          <a:fillRect/>
        </a:stretch>
      </xdr:blipFill>
      <xdr:spPr>
        <a:xfrm>
          <a:off x="190500" y="557687662"/>
          <a:ext cx="710837" cy="361951"/>
        </a:xfrm>
        <a:prstGeom prst="rect">
          <a:avLst/>
        </a:prstGeom>
      </xdr:spPr>
    </xdr:pic>
    <xdr:clientData/>
  </xdr:twoCellAnchor>
  <xdr:twoCellAnchor editAs="oneCell">
    <xdr:from>
      <xdr:col>1</xdr:col>
      <xdr:colOff>144780</xdr:colOff>
      <xdr:row>2751</xdr:row>
      <xdr:rowOff>22860</xdr:rowOff>
    </xdr:from>
    <xdr:to>
      <xdr:col>24</xdr:col>
      <xdr:colOff>121200</xdr:colOff>
      <xdr:row>2769</xdr:row>
      <xdr:rowOff>143993</xdr:rowOff>
    </xdr:to>
    <xdr:pic>
      <xdr:nvPicPr>
        <xdr:cNvPr id="107" name="Imagen 106">
          <a:extLst>
            <a:ext uri="{FF2B5EF4-FFF2-40B4-BE49-F238E27FC236}">
              <a16:creationId xmlns:a16="http://schemas.microsoft.com/office/drawing/2014/main" id="{00000000-0008-0000-1200-00006B000000}"/>
            </a:ext>
          </a:extLst>
        </xdr:cNvPr>
        <xdr:cNvPicPr>
          <a:picLocks noChangeAspect="1"/>
        </xdr:cNvPicPr>
      </xdr:nvPicPr>
      <xdr:blipFill>
        <a:blip xmlns:r="http://schemas.openxmlformats.org/officeDocument/2006/relationships" r:embed="rId56"/>
        <a:stretch>
          <a:fillRect/>
        </a:stretch>
      </xdr:blipFill>
      <xdr:spPr>
        <a:xfrm>
          <a:off x="396240" y="568231020"/>
          <a:ext cx="5760000" cy="3687293"/>
        </a:xfrm>
        <a:prstGeom prst="rect">
          <a:avLst/>
        </a:prstGeom>
      </xdr:spPr>
    </xdr:pic>
    <xdr:clientData/>
  </xdr:twoCellAnchor>
  <xdr:twoCellAnchor>
    <xdr:from>
      <xdr:col>0</xdr:col>
      <xdr:colOff>190500</xdr:colOff>
      <xdr:row>2782</xdr:row>
      <xdr:rowOff>17962</xdr:rowOff>
    </xdr:from>
    <xdr:to>
      <xdr:col>3</xdr:col>
      <xdr:colOff>146957</xdr:colOff>
      <xdr:row>2783</xdr:row>
      <xdr:rowOff>181793</xdr:rowOff>
    </xdr:to>
    <xdr:pic>
      <xdr:nvPicPr>
        <xdr:cNvPr id="149" name="Imagen 148">
          <a:extLst>
            <a:ext uri="{FF2B5EF4-FFF2-40B4-BE49-F238E27FC236}">
              <a16:creationId xmlns:a16="http://schemas.microsoft.com/office/drawing/2014/main" id="{00000000-0008-0000-1200-000095000000}"/>
            </a:ext>
          </a:extLst>
        </xdr:cNvPr>
        <xdr:cNvPicPr>
          <a:picLocks noChangeAspect="1"/>
        </xdr:cNvPicPr>
      </xdr:nvPicPr>
      <xdr:blipFill>
        <a:blip xmlns:r="http://schemas.openxmlformats.org/officeDocument/2006/relationships" r:embed="rId1"/>
        <a:stretch>
          <a:fillRect/>
        </a:stretch>
      </xdr:blipFill>
      <xdr:spPr>
        <a:xfrm>
          <a:off x="190500" y="566092522"/>
          <a:ext cx="710837" cy="361951"/>
        </a:xfrm>
        <a:prstGeom prst="rect">
          <a:avLst/>
        </a:prstGeom>
      </xdr:spPr>
    </xdr:pic>
    <xdr:clientData/>
  </xdr:twoCellAnchor>
  <xdr:twoCellAnchor>
    <xdr:from>
      <xdr:col>0</xdr:col>
      <xdr:colOff>190500</xdr:colOff>
      <xdr:row>2823</xdr:row>
      <xdr:rowOff>17962</xdr:rowOff>
    </xdr:from>
    <xdr:to>
      <xdr:col>3</xdr:col>
      <xdr:colOff>146957</xdr:colOff>
      <xdr:row>2824</xdr:row>
      <xdr:rowOff>181793</xdr:rowOff>
    </xdr:to>
    <xdr:pic>
      <xdr:nvPicPr>
        <xdr:cNvPr id="151" name="Imagen 150">
          <a:extLst>
            <a:ext uri="{FF2B5EF4-FFF2-40B4-BE49-F238E27FC236}">
              <a16:creationId xmlns:a16="http://schemas.microsoft.com/office/drawing/2014/main" id="{00000000-0008-0000-1200-000097000000}"/>
            </a:ext>
          </a:extLst>
        </xdr:cNvPr>
        <xdr:cNvPicPr>
          <a:picLocks noChangeAspect="1"/>
        </xdr:cNvPicPr>
      </xdr:nvPicPr>
      <xdr:blipFill>
        <a:blip xmlns:r="http://schemas.openxmlformats.org/officeDocument/2006/relationships" r:embed="rId1"/>
        <a:stretch>
          <a:fillRect/>
        </a:stretch>
      </xdr:blipFill>
      <xdr:spPr>
        <a:xfrm>
          <a:off x="190500" y="574497382"/>
          <a:ext cx="710837" cy="361951"/>
        </a:xfrm>
        <a:prstGeom prst="rect">
          <a:avLst/>
        </a:prstGeom>
      </xdr:spPr>
    </xdr:pic>
    <xdr:clientData/>
  </xdr:twoCellAnchor>
  <xdr:twoCellAnchor>
    <xdr:from>
      <xdr:col>0</xdr:col>
      <xdr:colOff>190500</xdr:colOff>
      <xdr:row>2864</xdr:row>
      <xdr:rowOff>17962</xdr:rowOff>
    </xdr:from>
    <xdr:to>
      <xdr:col>3</xdr:col>
      <xdr:colOff>146957</xdr:colOff>
      <xdr:row>2865</xdr:row>
      <xdr:rowOff>181793</xdr:rowOff>
    </xdr:to>
    <xdr:pic>
      <xdr:nvPicPr>
        <xdr:cNvPr id="152" name="Imagen 151">
          <a:extLst>
            <a:ext uri="{FF2B5EF4-FFF2-40B4-BE49-F238E27FC236}">
              <a16:creationId xmlns:a16="http://schemas.microsoft.com/office/drawing/2014/main" id="{00000000-0008-0000-1200-000098000000}"/>
            </a:ext>
          </a:extLst>
        </xdr:cNvPr>
        <xdr:cNvPicPr>
          <a:picLocks noChangeAspect="1"/>
        </xdr:cNvPicPr>
      </xdr:nvPicPr>
      <xdr:blipFill>
        <a:blip xmlns:r="http://schemas.openxmlformats.org/officeDocument/2006/relationships" r:embed="rId1"/>
        <a:stretch>
          <a:fillRect/>
        </a:stretch>
      </xdr:blipFill>
      <xdr:spPr>
        <a:xfrm>
          <a:off x="190500" y="583283242"/>
          <a:ext cx="710837" cy="361951"/>
        </a:xfrm>
        <a:prstGeom prst="rect">
          <a:avLst/>
        </a:prstGeom>
      </xdr:spPr>
    </xdr:pic>
    <xdr:clientData/>
  </xdr:twoCellAnchor>
  <xdr:twoCellAnchor editAs="oneCell">
    <xdr:from>
      <xdr:col>2</xdr:col>
      <xdr:colOff>83820</xdr:colOff>
      <xdr:row>2873</xdr:row>
      <xdr:rowOff>99060</xdr:rowOff>
    </xdr:from>
    <xdr:to>
      <xdr:col>23</xdr:col>
      <xdr:colOff>203160</xdr:colOff>
      <xdr:row>2896</xdr:row>
      <xdr:rowOff>69573</xdr:rowOff>
    </xdr:to>
    <xdr:pic>
      <xdr:nvPicPr>
        <xdr:cNvPr id="153" name="Imagen 152">
          <a:extLst>
            <a:ext uri="{FF2B5EF4-FFF2-40B4-BE49-F238E27FC236}">
              <a16:creationId xmlns:a16="http://schemas.microsoft.com/office/drawing/2014/main" id="{00000000-0008-0000-1200-000099000000}"/>
            </a:ext>
          </a:extLst>
        </xdr:cNvPr>
        <xdr:cNvPicPr>
          <a:picLocks noChangeAspect="1"/>
        </xdr:cNvPicPr>
      </xdr:nvPicPr>
      <xdr:blipFill>
        <a:blip xmlns:r="http://schemas.openxmlformats.org/officeDocument/2006/relationships" r:embed="rId57"/>
        <a:stretch>
          <a:fillRect/>
        </a:stretch>
      </xdr:blipFill>
      <xdr:spPr>
        <a:xfrm>
          <a:off x="586740" y="593704680"/>
          <a:ext cx="5400000" cy="4527273"/>
        </a:xfrm>
        <a:prstGeom prst="rect">
          <a:avLst/>
        </a:prstGeom>
      </xdr:spPr>
    </xdr:pic>
    <xdr:clientData/>
  </xdr:twoCellAnchor>
  <xdr:twoCellAnchor editAs="oneCell">
    <xdr:from>
      <xdr:col>2</xdr:col>
      <xdr:colOff>121920</xdr:colOff>
      <xdr:row>2832</xdr:row>
      <xdr:rowOff>160020</xdr:rowOff>
    </xdr:from>
    <xdr:to>
      <xdr:col>23</xdr:col>
      <xdr:colOff>241260</xdr:colOff>
      <xdr:row>2855</xdr:row>
      <xdr:rowOff>66352</xdr:rowOff>
    </xdr:to>
    <xdr:pic>
      <xdr:nvPicPr>
        <xdr:cNvPr id="116" name="Imagen 115">
          <a:extLst>
            <a:ext uri="{FF2B5EF4-FFF2-40B4-BE49-F238E27FC236}">
              <a16:creationId xmlns:a16="http://schemas.microsoft.com/office/drawing/2014/main" id="{00000000-0008-0000-1200-000074000000}"/>
            </a:ext>
          </a:extLst>
        </xdr:cNvPr>
        <xdr:cNvPicPr>
          <a:picLocks noChangeAspect="1"/>
        </xdr:cNvPicPr>
      </xdr:nvPicPr>
      <xdr:blipFill>
        <a:blip xmlns:r="http://schemas.openxmlformats.org/officeDocument/2006/relationships" r:embed="rId58"/>
        <a:stretch>
          <a:fillRect/>
        </a:stretch>
      </xdr:blipFill>
      <xdr:spPr>
        <a:xfrm>
          <a:off x="624840" y="585360780"/>
          <a:ext cx="5400000" cy="4463092"/>
        </a:xfrm>
        <a:prstGeom prst="rect">
          <a:avLst/>
        </a:prstGeom>
      </xdr:spPr>
    </xdr:pic>
    <xdr:clientData/>
  </xdr:twoCellAnchor>
  <xdr:twoCellAnchor>
    <xdr:from>
      <xdr:col>0</xdr:col>
      <xdr:colOff>190500</xdr:colOff>
      <xdr:row>2905</xdr:row>
      <xdr:rowOff>17962</xdr:rowOff>
    </xdr:from>
    <xdr:to>
      <xdr:col>3</xdr:col>
      <xdr:colOff>146957</xdr:colOff>
      <xdr:row>2906</xdr:row>
      <xdr:rowOff>181793</xdr:rowOff>
    </xdr:to>
    <xdr:pic>
      <xdr:nvPicPr>
        <xdr:cNvPr id="154" name="Imagen 153">
          <a:extLst>
            <a:ext uri="{FF2B5EF4-FFF2-40B4-BE49-F238E27FC236}">
              <a16:creationId xmlns:a16="http://schemas.microsoft.com/office/drawing/2014/main" id="{00000000-0008-0000-1200-00009A000000}"/>
            </a:ext>
          </a:extLst>
        </xdr:cNvPr>
        <xdr:cNvPicPr>
          <a:picLocks noChangeAspect="1"/>
        </xdr:cNvPicPr>
      </xdr:nvPicPr>
      <xdr:blipFill>
        <a:blip xmlns:r="http://schemas.openxmlformats.org/officeDocument/2006/relationships" r:embed="rId1"/>
        <a:stretch>
          <a:fillRect/>
        </a:stretch>
      </xdr:blipFill>
      <xdr:spPr>
        <a:xfrm>
          <a:off x="190500" y="591688102"/>
          <a:ext cx="710837" cy="361951"/>
        </a:xfrm>
        <a:prstGeom prst="rect">
          <a:avLst/>
        </a:prstGeom>
      </xdr:spPr>
    </xdr:pic>
    <xdr:clientData/>
  </xdr:twoCellAnchor>
  <xdr:twoCellAnchor editAs="oneCell">
    <xdr:from>
      <xdr:col>3</xdr:col>
      <xdr:colOff>182880</xdr:colOff>
      <xdr:row>2916</xdr:row>
      <xdr:rowOff>144780</xdr:rowOff>
    </xdr:from>
    <xdr:to>
      <xdr:col>21</xdr:col>
      <xdr:colOff>606</xdr:colOff>
      <xdr:row>2934</xdr:row>
      <xdr:rowOff>17625</xdr:rowOff>
    </xdr:to>
    <xdr:pic>
      <xdr:nvPicPr>
        <xdr:cNvPr id="119" name="Imagen 118">
          <a:extLst>
            <a:ext uri="{FF2B5EF4-FFF2-40B4-BE49-F238E27FC236}">
              <a16:creationId xmlns:a16="http://schemas.microsoft.com/office/drawing/2014/main" id="{00000000-0008-0000-1200-000077000000}"/>
            </a:ext>
          </a:extLst>
        </xdr:cNvPr>
        <xdr:cNvPicPr>
          <a:picLocks noChangeAspect="1"/>
        </xdr:cNvPicPr>
      </xdr:nvPicPr>
      <xdr:blipFill>
        <a:blip xmlns:r="http://schemas.openxmlformats.org/officeDocument/2006/relationships" r:embed="rId59"/>
        <a:stretch>
          <a:fillRect/>
        </a:stretch>
      </xdr:blipFill>
      <xdr:spPr>
        <a:xfrm>
          <a:off x="937260" y="602551500"/>
          <a:ext cx="4344006" cy="3439005"/>
        </a:xfrm>
        <a:prstGeom prst="rect">
          <a:avLst/>
        </a:prstGeom>
      </xdr:spPr>
    </xdr:pic>
    <xdr:clientData/>
  </xdr:twoCellAnchor>
  <xdr:twoCellAnchor>
    <xdr:from>
      <xdr:col>0</xdr:col>
      <xdr:colOff>190500</xdr:colOff>
      <xdr:row>2946</xdr:row>
      <xdr:rowOff>17962</xdr:rowOff>
    </xdr:from>
    <xdr:to>
      <xdr:col>3</xdr:col>
      <xdr:colOff>146957</xdr:colOff>
      <xdr:row>2947</xdr:row>
      <xdr:rowOff>181793</xdr:rowOff>
    </xdr:to>
    <xdr:pic>
      <xdr:nvPicPr>
        <xdr:cNvPr id="156" name="Imagen 155">
          <a:extLst>
            <a:ext uri="{FF2B5EF4-FFF2-40B4-BE49-F238E27FC236}">
              <a16:creationId xmlns:a16="http://schemas.microsoft.com/office/drawing/2014/main" id="{00000000-0008-0000-1200-00009C000000}"/>
            </a:ext>
          </a:extLst>
        </xdr:cNvPr>
        <xdr:cNvPicPr>
          <a:picLocks noChangeAspect="1"/>
        </xdr:cNvPicPr>
      </xdr:nvPicPr>
      <xdr:blipFill>
        <a:blip xmlns:r="http://schemas.openxmlformats.org/officeDocument/2006/relationships" r:embed="rId1"/>
        <a:stretch>
          <a:fillRect/>
        </a:stretch>
      </xdr:blipFill>
      <xdr:spPr>
        <a:xfrm>
          <a:off x="190500" y="600092962"/>
          <a:ext cx="710837" cy="361951"/>
        </a:xfrm>
        <a:prstGeom prst="rect">
          <a:avLst/>
        </a:prstGeom>
      </xdr:spPr>
    </xdr:pic>
    <xdr:clientData/>
  </xdr:twoCellAnchor>
  <xdr:twoCellAnchor editAs="oneCell">
    <xdr:from>
      <xdr:col>2</xdr:col>
      <xdr:colOff>91440</xdr:colOff>
      <xdr:row>2957</xdr:row>
      <xdr:rowOff>106680</xdr:rowOff>
    </xdr:from>
    <xdr:to>
      <xdr:col>21</xdr:col>
      <xdr:colOff>181654</xdr:colOff>
      <xdr:row>2975</xdr:row>
      <xdr:rowOff>170052</xdr:rowOff>
    </xdr:to>
    <xdr:pic>
      <xdr:nvPicPr>
        <xdr:cNvPr id="158" name="Imagen 157">
          <a:extLst>
            <a:ext uri="{FF2B5EF4-FFF2-40B4-BE49-F238E27FC236}">
              <a16:creationId xmlns:a16="http://schemas.microsoft.com/office/drawing/2014/main" id="{00000000-0008-0000-1200-00009E000000}"/>
            </a:ext>
          </a:extLst>
        </xdr:cNvPr>
        <xdr:cNvPicPr>
          <a:picLocks noChangeAspect="1"/>
        </xdr:cNvPicPr>
      </xdr:nvPicPr>
      <xdr:blipFill>
        <a:blip xmlns:r="http://schemas.openxmlformats.org/officeDocument/2006/relationships" r:embed="rId60"/>
        <a:stretch>
          <a:fillRect/>
        </a:stretch>
      </xdr:blipFill>
      <xdr:spPr>
        <a:xfrm>
          <a:off x="594360" y="610918260"/>
          <a:ext cx="4867954" cy="3629532"/>
        </a:xfrm>
        <a:prstGeom prst="rect">
          <a:avLst/>
        </a:prstGeom>
      </xdr:spPr>
    </xdr:pic>
    <xdr:clientData/>
  </xdr:twoCellAnchor>
  <xdr:twoCellAnchor>
    <xdr:from>
      <xdr:col>0</xdr:col>
      <xdr:colOff>190500</xdr:colOff>
      <xdr:row>2987</xdr:row>
      <xdr:rowOff>17962</xdr:rowOff>
    </xdr:from>
    <xdr:to>
      <xdr:col>3</xdr:col>
      <xdr:colOff>146957</xdr:colOff>
      <xdr:row>2988</xdr:row>
      <xdr:rowOff>181793</xdr:rowOff>
    </xdr:to>
    <xdr:pic>
      <xdr:nvPicPr>
        <xdr:cNvPr id="148" name="Imagen 147">
          <a:extLst>
            <a:ext uri="{FF2B5EF4-FFF2-40B4-BE49-F238E27FC236}">
              <a16:creationId xmlns:a16="http://schemas.microsoft.com/office/drawing/2014/main" id="{00000000-0008-0000-1200-000094000000}"/>
            </a:ext>
          </a:extLst>
        </xdr:cNvPr>
        <xdr:cNvPicPr>
          <a:picLocks noChangeAspect="1"/>
        </xdr:cNvPicPr>
      </xdr:nvPicPr>
      <xdr:blipFill>
        <a:blip xmlns:r="http://schemas.openxmlformats.org/officeDocument/2006/relationships" r:embed="rId1"/>
        <a:stretch>
          <a:fillRect/>
        </a:stretch>
      </xdr:blipFill>
      <xdr:spPr>
        <a:xfrm>
          <a:off x="190500" y="608497822"/>
          <a:ext cx="710837" cy="361951"/>
        </a:xfrm>
        <a:prstGeom prst="rect">
          <a:avLst/>
        </a:prstGeom>
      </xdr:spPr>
    </xdr:pic>
    <xdr:clientData/>
  </xdr:twoCellAnchor>
  <xdr:twoCellAnchor editAs="oneCell">
    <xdr:from>
      <xdr:col>0</xdr:col>
      <xdr:colOff>91440</xdr:colOff>
      <xdr:row>2998</xdr:row>
      <xdr:rowOff>76200</xdr:rowOff>
    </xdr:from>
    <xdr:to>
      <xdr:col>24</xdr:col>
      <xdr:colOff>176400</xdr:colOff>
      <xdr:row>3018</xdr:row>
      <xdr:rowOff>22460</xdr:rowOff>
    </xdr:to>
    <xdr:pic>
      <xdr:nvPicPr>
        <xdr:cNvPr id="123" name="Imagen 122">
          <a:extLst>
            <a:ext uri="{FF2B5EF4-FFF2-40B4-BE49-F238E27FC236}">
              <a16:creationId xmlns:a16="http://schemas.microsoft.com/office/drawing/2014/main" id="{00000000-0008-0000-1200-00007B000000}"/>
            </a:ext>
          </a:extLst>
        </xdr:cNvPr>
        <xdr:cNvPicPr>
          <a:picLocks noChangeAspect="1"/>
        </xdr:cNvPicPr>
      </xdr:nvPicPr>
      <xdr:blipFill>
        <a:blip xmlns:r="http://schemas.openxmlformats.org/officeDocument/2006/relationships" r:embed="rId61"/>
        <a:stretch>
          <a:fillRect/>
        </a:stretch>
      </xdr:blipFill>
      <xdr:spPr>
        <a:xfrm>
          <a:off x="91440" y="619292640"/>
          <a:ext cx="6120000" cy="3908660"/>
        </a:xfrm>
        <a:prstGeom prst="rect">
          <a:avLst/>
        </a:prstGeom>
      </xdr:spPr>
    </xdr:pic>
    <xdr:clientData/>
  </xdr:twoCellAnchor>
  <xdr:twoCellAnchor>
    <xdr:from>
      <xdr:col>0</xdr:col>
      <xdr:colOff>190500</xdr:colOff>
      <xdr:row>3028</xdr:row>
      <xdr:rowOff>17962</xdr:rowOff>
    </xdr:from>
    <xdr:to>
      <xdr:col>3</xdr:col>
      <xdr:colOff>146957</xdr:colOff>
      <xdr:row>3029</xdr:row>
      <xdr:rowOff>181793</xdr:rowOff>
    </xdr:to>
    <xdr:pic>
      <xdr:nvPicPr>
        <xdr:cNvPr id="159" name="Imagen 158">
          <a:extLst>
            <a:ext uri="{FF2B5EF4-FFF2-40B4-BE49-F238E27FC236}">
              <a16:creationId xmlns:a16="http://schemas.microsoft.com/office/drawing/2014/main" id="{00000000-0008-0000-1200-00009F000000}"/>
            </a:ext>
          </a:extLst>
        </xdr:cNvPr>
        <xdr:cNvPicPr>
          <a:picLocks noChangeAspect="1"/>
        </xdr:cNvPicPr>
      </xdr:nvPicPr>
      <xdr:blipFill>
        <a:blip xmlns:r="http://schemas.openxmlformats.org/officeDocument/2006/relationships" r:embed="rId1"/>
        <a:stretch>
          <a:fillRect/>
        </a:stretch>
      </xdr:blipFill>
      <xdr:spPr>
        <a:xfrm>
          <a:off x="190500" y="616902682"/>
          <a:ext cx="710837" cy="361951"/>
        </a:xfrm>
        <a:prstGeom prst="rect">
          <a:avLst/>
        </a:prstGeom>
      </xdr:spPr>
    </xdr:pic>
    <xdr:clientData/>
  </xdr:twoCellAnchor>
  <xdr:twoCellAnchor editAs="oneCell">
    <xdr:from>
      <xdr:col>0</xdr:col>
      <xdr:colOff>53340</xdr:colOff>
      <xdr:row>3038</xdr:row>
      <xdr:rowOff>167640</xdr:rowOff>
    </xdr:from>
    <xdr:to>
      <xdr:col>24</xdr:col>
      <xdr:colOff>138300</xdr:colOff>
      <xdr:row>3056</xdr:row>
      <xdr:rowOff>98624</xdr:rowOff>
    </xdr:to>
    <xdr:pic>
      <xdr:nvPicPr>
        <xdr:cNvPr id="127" name="Imagen 126">
          <a:extLst>
            <a:ext uri="{FF2B5EF4-FFF2-40B4-BE49-F238E27FC236}">
              <a16:creationId xmlns:a16="http://schemas.microsoft.com/office/drawing/2014/main" id="{00000000-0008-0000-1200-00007F000000}"/>
            </a:ext>
          </a:extLst>
        </xdr:cNvPr>
        <xdr:cNvPicPr>
          <a:picLocks noChangeAspect="1"/>
        </xdr:cNvPicPr>
      </xdr:nvPicPr>
      <xdr:blipFill>
        <a:blip xmlns:r="http://schemas.openxmlformats.org/officeDocument/2006/relationships" r:embed="rId62"/>
        <a:stretch>
          <a:fillRect/>
        </a:stretch>
      </xdr:blipFill>
      <xdr:spPr>
        <a:xfrm>
          <a:off x="53340" y="627590820"/>
          <a:ext cx="6120000" cy="3497144"/>
        </a:xfrm>
        <a:prstGeom prst="rect">
          <a:avLst/>
        </a:prstGeom>
      </xdr:spPr>
    </xdr:pic>
    <xdr:clientData/>
  </xdr:twoCellAnchor>
  <xdr:twoCellAnchor>
    <xdr:from>
      <xdr:col>0</xdr:col>
      <xdr:colOff>190500</xdr:colOff>
      <xdr:row>3069</xdr:row>
      <xdr:rowOff>17962</xdr:rowOff>
    </xdr:from>
    <xdr:to>
      <xdr:col>3</xdr:col>
      <xdr:colOff>146957</xdr:colOff>
      <xdr:row>3070</xdr:row>
      <xdr:rowOff>181793</xdr:rowOff>
    </xdr:to>
    <xdr:pic>
      <xdr:nvPicPr>
        <xdr:cNvPr id="161" name="Imagen 160">
          <a:extLst>
            <a:ext uri="{FF2B5EF4-FFF2-40B4-BE49-F238E27FC236}">
              <a16:creationId xmlns:a16="http://schemas.microsoft.com/office/drawing/2014/main" id="{00000000-0008-0000-1200-0000A1000000}"/>
            </a:ext>
          </a:extLst>
        </xdr:cNvPr>
        <xdr:cNvPicPr>
          <a:picLocks noChangeAspect="1"/>
        </xdr:cNvPicPr>
      </xdr:nvPicPr>
      <xdr:blipFill>
        <a:blip xmlns:r="http://schemas.openxmlformats.org/officeDocument/2006/relationships" r:embed="rId1"/>
        <a:stretch>
          <a:fillRect/>
        </a:stretch>
      </xdr:blipFill>
      <xdr:spPr>
        <a:xfrm>
          <a:off x="190500" y="625307542"/>
          <a:ext cx="710837" cy="361951"/>
        </a:xfrm>
        <a:prstGeom prst="rect">
          <a:avLst/>
        </a:prstGeom>
      </xdr:spPr>
    </xdr:pic>
    <xdr:clientData/>
  </xdr:twoCellAnchor>
  <xdr:twoCellAnchor editAs="oneCell">
    <xdr:from>
      <xdr:col>1</xdr:col>
      <xdr:colOff>99060</xdr:colOff>
      <xdr:row>3080</xdr:row>
      <xdr:rowOff>167640</xdr:rowOff>
    </xdr:from>
    <xdr:to>
      <xdr:col>22</xdr:col>
      <xdr:colOff>218400</xdr:colOff>
      <xdr:row>3097</xdr:row>
      <xdr:rowOff>37312</xdr:rowOff>
    </xdr:to>
    <xdr:pic>
      <xdr:nvPicPr>
        <xdr:cNvPr id="132" name="Imagen 131">
          <a:extLst>
            <a:ext uri="{FF2B5EF4-FFF2-40B4-BE49-F238E27FC236}">
              <a16:creationId xmlns:a16="http://schemas.microsoft.com/office/drawing/2014/main" id="{00000000-0008-0000-1200-000084000000}"/>
            </a:ext>
          </a:extLst>
        </xdr:cNvPr>
        <xdr:cNvPicPr>
          <a:picLocks noChangeAspect="1"/>
        </xdr:cNvPicPr>
      </xdr:nvPicPr>
      <xdr:blipFill>
        <a:blip xmlns:r="http://schemas.openxmlformats.org/officeDocument/2006/relationships" r:embed="rId63"/>
        <a:stretch>
          <a:fillRect/>
        </a:stretch>
      </xdr:blipFill>
      <xdr:spPr>
        <a:xfrm>
          <a:off x="350520" y="636193800"/>
          <a:ext cx="5400000" cy="3237712"/>
        </a:xfrm>
        <a:prstGeom prst="rect">
          <a:avLst/>
        </a:prstGeom>
      </xdr:spPr>
    </xdr:pic>
    <xdr:clientData/>
  </xdr:twoCellAnchor>
  <xdr:twoCellAnchor>
    <xdr:from>
      <xdr:col>0</xdr:col>
      <xdr:colOff>190500</xdr:colOff>
      <xdr:row>3110</xdr:row>
      <xdr:rowOff>17962</xdr:rowOff>
    </xdr:from>
    <xdr:to>
      <xdr:col>3</xdr:col>
      <xdr:colOff>146957</xdr:colOff>
      <xdr:row>3111</xdr:row>
      <xdr:rowOff>181793</xdr:rowOff>
    </xdr:to>
    <xdr:pic>
      <xdr:nvPicPr>
        <xdr:cNvPr id="163" name="Imagen 162">
          <a:extLst>
            <a:ext uri="{FF2B5EF4-FFF2-40B4-BE49-F238E27FC236}">
              <a16:creationId xmlns:a16="http://schemas.microsoft.com/office/drawing/2014/main" id="{00000000-0008-0000-1200-0000A3000000}"/>
            </a:ext>
          </a:extLst>
        </xdr:cNvPr>
        <xdr:cNvPicPr>
          <a:picLocks noChangeAspect="1"/>
        </xdr:cNvPicPr>
      </xdr:nvPicPr>
      <xdr:blipFill>
        <a:blip xmlns:r="http://schemas.openxmlformats.org/officeDocument/2006/relationships" r:embed="rId1"/>
        <a:stretch>
          <a:fillRect/>
        </a:stretch>
      </xdr:blipFill>
      <xdr:spPr>
        <a:xfrm>
          <a:off x="190500" y="633712402"/>
          <a:ext cx="710837" cy="361951"/>
        </a:xfrm>
        <a:prstGeom prst="rect">
          <a:avLst/>
        </a:prstGeom>
      </xdr:spPr>
    </xdr:pic>
    <xdr:clientData/>
  </xdr:twoCellAnchor>
  <xdr:twoCellAnchor editAs="oneCell">
    <xdr:from>
      <xdr:col>0</xdr:col>
      <xdr:colOff>91440</xdr:colOff>
      <xdr:row>3121</xdr:row>
      <xdr:rowOff>91439</xdr:rowOff>
    </xdr:from>
    <xdr:to>
      <xdr:col>24</xdr:col>
      <xdr:colOff>176400</xdr:colOff>
      <xdr:row>3139</xdr:row>
      <xdr:rowOff>414</xdr:rowOff>
    </xdr:to>
    <xdr:pic>
      <xdr:nvPicPr>
        <xdr:cNvPr id="135" name="Imagen 134">
          <a:extLst>
            <a:ext uri="{FF2B5EF4-FFF2-40B4-BE49-F238E27FC236}">
              <a16:creationId xmlns:a16="http://schemas.microsoft.com/office/drawing/2014/main" id="{00000000-0008-0000-1200-000087000000}"/>
            </a:ext>
          </a:extLst>
        </xdr:cNvPr>
        <xdr:cNvPicPr>
          <a:picLocks noChangeAspect="1"/>
        </xdr:cNvPicPr>
      </xdr:nvPicPr>
      <xdr:blipFill>
        <a:blip xmlns:r="http://schemas.openxmlformats.org/officeDocument/2006/relationships" r:embed="rId64"/>
        <a:stretch>
          <a:fillRect/>
        </a:stretch>
      </xdr:blipFill>
      <xdr:spPr>
        <a:xfrm>
          <a:off x="91440" y="644522459"/>
          <a:ext cx="6120000" cy="3472958"/>
        </a:xfrm>
        <a:prstGeom prst="rect">
          <a:avLst/>
        </a:prstGeom>
      </xdr:spPr>
    </xdr:pic>
    <xdr:clientData/>
  </xdr:twoCellAnchor>
  <xdr:twoCellAnchor>
    <xdr:from>
      <xdr:col>0</xdr:col>
      <xdr:colOff>190500</xdr:colOff>
      <xdr:row>3151</xdr:row>
      <xdr:rowOff>25582</xdr:rowOff>
    </xdr:from>
    <xdr:to>
      <xdr:col>3</xdr:col>
      <xdr:colOff>146957</xdr:colOff>
      <xdr:row>3152</xdr:row>
      <xdr:rowOff>189413</xdr:rowOff>
    </xdr:to>
    <xdr:pic>
      <xdr:nvPicPr>
        <xdr:cNvPr id="165" name="Imagen 164">
          <a:extLst>
            <a:ext uri="{FF2B5EF4-FFF2-40B4-BE49-F238E27FC236}">
              <a16:creationId xmlns:a16="http://schemas.microsoft.com/office/drawing/2014/main" id="{00000000-0008-0000-1200-0000A5000000}"/>
            </a:ext>
          </a:extLst>
        </xdr:cNvPr>
        <xdr:cNvPicPr>
          <a:picLocks noChangeAspect="1"/>
        </xdr:cNvPicPr>
      </xdr:nvPicPr>
      <xdr:blipFill>
        <a:blip xmlns:r="http://schemas.openxmlformats.org/officeDocument/2006/relationships" r:embed="rId1"/>
        <a:stretch>
          <a:fillRect/>
        </a:stretch>
      </xdr:blipFill>
      <xdr:spPr>
        <a:xfrm>
          <a:off x="190500" y="534515242"/>
          <a:ext cx="710837" cy="361951"/>
        </a:xfrm>
        <a:prstGeom prst="rect">
          <a:avLst/>
        </a:prstGeom>
      </xdr:spPr>
    </xdr:pic>
    <xdr:clientData/>
  </xdr:twoCellAnchor>
  <xdr:twoCellAnchor editAs="oneCell">
    <xdr:from>
      <xdr:col>1</xdr:col>
      <xdr:colOff>68580</xdr:colOff>
      <xdr:row>3160</xdr:row>
      <xdr:rowOff>190500</xdr:rowOff>
    </xdr:from>
    <xdr:to>
      <xdr:col>22</xdr:col>
      <xdr:colOff>187920</xdr:colOff>
      <xdr:row>3178</xdr:row>
      <xdr:rowOff>73158</xdr:rowOff>
    </xdr:to>
    <xdr:pic>
      <xdr:nvPicPr>
        <xdr:cNvPr id="167" name="Imagen 166">
          <a:extLst>
            <a:ext uri="{FF2B5EF4-FFF2-40B4-BE49-F238E27FC236}">
              <a16:creationId xmlns:a16="http://schemas.microsoft.com/office/drawing/2014/main" id="{00000000-0008-0000-1200-0000A7000000}"/>
            </a:ext>
          </a:extLst>
        </xdr:cNvPr>
        <xdr:cNvPicPr>
          <a:picLocks noChangeAspect="1"/>
        </xdr:cNvPicPr>
      </xdr:nvPicPr>
      <xdr:blipFill>
        <a:blip xmlns:r="http://schemas.openxmlformats.org/officeDocument/2006/relationships" r:embed="rId61"/>
        <a:stretch>
          <a:fillRect/>
        </a:stretch>
      </xdr:blipFill>
      <xdr:spPr>
        <a:xfrm>
          <a:off x="320040" y="652614900"/>
          <a:ext cx="5400000" cy="3448818"/>
        </a:xfrm>
        <a:prstGeom prst="rect">
          <a:avLst/>
        </a:prstGeom>
      </xdr:spPr>
    </xdr:pic>
    <xdr:clientData/>
  </xdr:twoCellAnchor>
  <xdr:twoCellAnchor>
    <xdr:from>
      <xdr:col>0</xdr:col>
      <xdr:colOff>190500</xdr:colOff>
      <xdr:row>3188</xdr:row>
      <xdr:rowOff>40822</xdr:rowOff>
    </xdr:from>
    <xdr:to>
      <xdr:col>3</xdr:col>
      <xdr:colOff>146957</xdr:colOff>
      <xdr:row>3189</xdr:row>
      <xdr:rowOff>326573</xdr:rowOff>
    </xdr:to>
    <xdr:pic>
      <xdr:nvPicPr>
        <xdr:cNvPr id="168" name="Imagen 167">
          <a:extLst>
            <a:ext uri="{FF2B5EF4-FFF2-40B4-BE49-F238E27FC236}">
              <a16:creationId xmlns:a16="http://schemas.microsoft.com/office/drawing/2014/main" id="{00000000-0008-0000-1200-0000A8000000}"/>
            </a:ext>
          </a:extLst>
        </xdr:cNvPr>
        <xdr:cNvPicPr>
          <a:picLocks noChangeAspect="1"/>
        </xdr:cNvPicPr>
      </xdr:nvPicPr>
      <xdr:blipFill>
        <a:blip xmlns:r="http://schemas.openxmlformats.org/officeDocument/2006/relationships" r:embed="rId1"/>
        <a:stretch>
          <a:fillRect/>
        </a:stretch>
      </xdr:blipFill>
      <xdr:spPr>
        <a:xfrm>
          <a:off x="190500" y="542074282"/>
          <a:ext cx="710837" cy="361951"/>
        </a:xfrm>
        <a:prstGeom prst="rect">
          <a:avLst/>
        </a:prstGeom>
      </xdr:spPr>
    </xdr:pic>
    <xdr:clientData/>
  </xdr:twoCellAnchor>
  <xdr:twoCellAnchor>
    <xdr:from>
      <xdr:col>0</xdr:col>
      <xdr:colOff>190500</xdr:colOff>
      <xdr:row>3226</xdr:row>
      <xdr:rowOff>40822</xdr:rowOff>
    </xdr:from>
    <xdr:to>
      <xdr:col>3</xdr:col>
      <xdr:colOff>146957</xdr:colOff>
      <xdr:row>3227</xdr:row>
      <xdr:rowOff>326573</xdr:rowOff>
    </xdr:to>
    <xdr:pic>
      <xdr:nvPicPr>
        <xdr:cNvPr id="169" name="Imagen 168">
          <a:extLst>
            <a:ext uri="{FF2B5EF4-FFF2-40B4-BE49-F238E27FC236}">
              <a16:creationId xmlns:a16="http://schemas.microsoft.com/office/drawing/2014/main" id="{00000000-0008-0000-1200-0000A9000000}"/>
            </a:ext>
          </a:extLst>
        </xdr:cNvPr>
        <xdr:cNvPicPr>
          <a:picLocks noChangeAspect="1"/>
        </xdr:cNvPicPr>
      </xdr:nvPicPr>
      <xdr:blipFill>
        <a:blip xmlns:r="http://schemas.openxmlformats.org/officeDocument/2006/relationships" r:embed="rId1"/>
        <a:stretch>
          <a:fillRect/>
        </a:stretch>
      </xdr:blipFill>
      <xdr:spPr>
        <a:xfrm>
          <a:off x="190500" y="549900022"/>
          <a:ext cx="710837" cy="361951"/>
        </a:xfrm>
        <a:prstGeom prst="rect">
          <a:avLst/>
        </a:prstGeom>
      </xdr:spPr>
    </xdr:pic>
    <xdr:clientData/>
  </xdr:twoCellAnchor>
  <xdr:twoCellAnchor editAs="oneCell">
    <xdr:from>
      <xdr:col>1</xdr:col>
      <xdr:colOff>91440</xdr:colOff>
      <xdr:row>3198</xdr:row>
      <xdr:rowOff>114300</xdr:rowOff>
    </xdr:from>
    <xdr:to>
      <xdr:col>22</xdr:col>
      <xdr:colOff>210780</xdr:colOff>
      <xdr:row>3215</xdr:row>
      <xdr:rowOff>195078</xdr:rowOff>
    </xdr:to>
    <xdr:pic>
      <xdr:nvPicPr>
        <xdr:cNvPr id="172" name="Imagen 171">
          <a:extLst>
            <a:ext uri="{FF2B5EF4-FFF2-40B4-BE49-F238E27FC236}">
              <a16:creationId xmlns:a16="http://schemas.microsoft.com/office/drawing/2014/main" id="{00000000-0008-0000-1200-0000AC000000}"/>
            </a:ext>
          </a:extLst>
        </xdr:cNvPr>
        <xdr:cNvPicPr>
          <a:picLocks noChangeAspect="1"/>
        </xdr:cNvPicPr>
      </xdr:nvPicPr>
      <xdr:blipFill>
        <a:blip xmlns:r="http://schemas.openxmlformats.org/officeDocument/2006/relationships" r:embed="rId61"/>
        <a:stretch>
          <a:fillRect/>
        </a:stretch>
      </xdr:blipFill>
      <xdr:spPr>
        <a:xfrm>
          <a:off x="342900" y="660303480"/>
          <a:ext cx="5400000" cy="3448818"/>
        </a:xfrm>
        <a:prstGeom prst="rect">
          <a:avLst/>
        </a:prstGeom>
      </xdr:spPr>
    </xdr:pic>
    <xdr:clientData/>
  </xdr:twoCellAnchor>
  <xdr:twoCellAnchor editAs="oneCell">
    <xdr:from>
      <xdr:col>0</xdr:col>
      <xdr:colOff>182880</xdr:colOff>
      <xdr:row>3236</xdr:row>
      <xdr:rowOff>38100</xdr:rowOff>
    </xdr:from>
    <xdr:to>
      <xdr:col>22</xdr:col>
      <xdr:colOff>50760</xdr:colOff>
      <xdr:row>3253</xdr:row>
      <xdr:rowOff>118878</xdr:rowOff>
    </xdr:to>
    <xdr:pic>
      <xdr:nvPicPr>
        <xdr:cNvPr id="173" name="Imagen 172">
          <a:extLst>
            <a:ext uri="{FF2B5EF4-FFF2-40B4-BE49-F238E27FC236}">
              <a16:creationId xmlns:a16="http://schemas.microsoft.com/office/drawing/2014/main" id="{00000000-0008-0000-1200-0000AD000000}"/>
            </a:ext>
          </a:extLst>
        </xdr:cNvPr>
        <xdr:cNvPicPr>
          <a:picLocks noChangeAspect="1"/>
        </xdr:cNvPicPr>
      </xdr:nvPicPr>
      <xdr:blipFill>
        <a:blip xmlns:r="http://schemas.openxmlformats.org/officeDocument/2006/relationships" r:embed="rId61"/>
        <a:stretch>
          <a:fillRect/>
        </a:stretch>
      </xdr:blipFill>
      <xdr:spPr>
        <a:xfrm>
          <a:off x="182880" y="668053020"/>
          <a:ext cx="5400000" cy="3448818"/>
        </a:xfrm>
        <a:prstGeom prst="rect">
          <a:avLst/>
        </a:prstGeom>
      </xdr:spPr>
    </xdr:pic>
    <xdr:clientData/>
  </xdr:twoCellAnchor>
  <xdr:twoCellAnchor>
    <xdr:from>
      <xdr:col>0</xdr:col>
      <xdr:colOff>190500</xdr:colOff>
      <xdr:row>3264</xdr:row>
      <xdr:rowOff>17962</xdr:rowOff>
    </xdr:from>
    <xdr:to>
      <xdr:col>3</xdr:col>
      <xdr:colOff>146957</xdr:colOff>
      <xdr:row>3265</xdr:row>
      <xdr:rowOff>181793</xdr:rowOff>
    </xdr:to>
    <xdr:pic>
      <xdr:nvPicPr>
        <xdr:cNvPr id="174" name="Imagen 173">
          <a:extLst>
            <a:ext uri="{FF2B5EF4-FFF2-40B4-BE49-F238E27FC236}">
              <a16:creationId xmlns:a16="http://schemas.microsoft.com/office/drawing/2014/main" id="{00000000-0008-0000-1200-0000AE000000}"/>
            </a:ext>
          </a:extLst>
        </xdr:cNvPr>
        <xdr:cNvPicPr>
          <a:picLocks noChangeAspect="1"/>
        </xdr:cNvPicPr>
      </xdr:nvPicPr>
      <xdr:blipFill>
        <a:blip xmlns:r="http://schemas.openxmlformats.org/officeDocument/2006/relationships" r:embed="rId1"/>
        <a:stretch>
          <a:fillRect/>
        </a:stretch>
      </xdr:blipFill>
      <xdr:spPr>
        <a:xfrm>
          <a:off x="190500" y="642117262"/>
          <a:ext cx="710837" cy="361951"/>
        </a:xfrm>
        <a:prstGeom prst="rect">
          <a:avLst/>
        </a:prstGeom>
      </xdr:spPr>
    </xdr:pic>
    <xdr:clientData/>
  </xdr:twoCellAnchor>
  <xdr:twoCellAnchor>
    <xdr:from>
      <xdr:col>0</xdr:col>
      <xdr:colOff>190500</xdr:colOff>
      <xdr:row>3305</xdr:row>
      <xdr:rowOff>17962</xdr:rowOff>
    </xdr:from>
    <xdr:to>
      <xdr:col>3</xdr:col>
      <xdr:colOff>146957</xdr:colOff>
      <xdr:row>3306</xdr:row>
      <xdr:rowOff>181793</xdr:rowOff>
    </xdr:to>
    <xdr:pic>
      <xdr:nvPicPr>
        <xdr:cNvPr id="176" name="Imagen 175">
          <a:extLst>
            <a:ext uri="{FF2B5EF4-FFF2-40B4-BE49-F238E27FC236}">
              <a16:creationId xmlns:a16="http://schemas.microsoft.com/office/drawing/2014/main" id="{00000000-0008-0000-1200-0000B0000000}"/>
            </a:ext>
          </a:extLst>
        </xdr:cNvPr>
        <xdr:cNvPicPr>
          <a:picLocks noChangeAspect="1"/>
        </xdr:cNvPicPr>
      </xdr:nvPicPr>
      <xdr:blipFill>
        <a:blip xmlns:r="http://schemas.openxmlformats.org/officeDocument/2006/relationships" r:embed="rId1"/>
        <a:stretch>
          <a:fillRect/>
        </a:stretch>
      </xdr:blipFill>
      <xdr:spPr>
        <a:xfrm>
          <a:off x="190500" y="673709782"/>
          <a:ext cx="710837" cy="361951"/>
        </a:xfrm>
        <a:prstGeom prst="rect">
          <a:avLst/>
        </a:prstGeom>
      </xdr:spPr>
    </xdr:pic>
    <xdr:clientData/>
  </xdr:twoCellAnchor>
  <xdr:twoCellAnchor editAs="oneCell">
    <xdr:from>
      <xdr:col>1</xdr:col>
      <xdr:colOff>15240</xdr:colOff>
      <xdr:row>3275</xdr:row>
      <xdr:rowOff>182881</xdr:rowOff>
    </xdr:from>
    <xdr:to>
      <xdr:col>23</xdr:col>
      <xdr:colOff>243120</xdr:colOff>
      <xdr:row>3292</xdr:row>
      <xdr:rowOff>172839</xdr:rowOff>
    </xdr:to>
    <xdr:pic>
      <xdr:nvPicPr>
        <xdr:cNvPr id="137" name="Imagen 136">
          <a:extLst>
            <a:ext uri="{FF2B5EF4-FFF2-40B4-BE49-F238E27FC236}">
              <a16:creationId xmlns:a16="http://schemas.microsoft.com/office/drawing/2014/main" id="{00000000-0008-0000-1200-000089000000}"/>
            </a:ext>
          </a:extLst>
        </xdr:cNvPr>
        <xdr:cNvPicPr>
          <a:picLocks noChangeAspect="1"/>
        </xdr:cNvPicPr>
      </xdr:nvPicPr>
      <xdr:blipFill>
        <a:blip xmlns:r="http://schemas.openxmlformats.org/officeDocument/2006/relationships" r:embed="rId65"/>
        <a:stretch>
          <a:fillRect/>
        </a:stretch>
      </xdr:blipFill>
      <xdr:spPr>
        <a:xfrm>
          <a:off x="266700" y="676206421"/>
          <a:ext cx="5760000" cy="3357998"/>
        </a:xfrm>
        <a:prstGeom prst="rect">
          <a:avLst/>
        </a:prstGeom>
      </xdr:spPr>
    </xdr:pic>
    <xdr:clientData/>
  </xdr:twoCellAnchor>
  <xdr:twoCellAnchor editAs="oneCell">
    <xdr:from>
      <xdr:col>1</xdr:col>
      <xdr:colOff>7620</xdr:colOff>
      <xdr:row>3316</xdr:row>
      <xdr:rowOff>137160</xdr:rowOff>
    </xdr:from>
    <xdr:to>
      <xdr:col>23</xdr:col>
      <xdr:colOff>235500</xdr:colOff>
      <xdr:row>3333</xdr:row>
      <xdr:rowOff>164384</xdr:rowOff>
    </xdr:to>
    <xdr:pic>
      <xdr:nvPicPr>
        <xdr:cNvPr id="139" name="Imagen 138">
          <a:extLst>
            <a:ext uri="{FF2B5EF4-FFF2-40B4-BE49-F238E27FC236}">
              <a16:creationId xmlns:a16="http://schemas.microsoft.com/office/drawing/2014/main" id="{00000000-0008-0000-1200-00008B000000}"/>
            </a:ext>
          </a:extLst>
        </xdr:cNvPr>
        <xdr:cNvPicPr>
          <a:picLocks noChangeAspect="1"/>
        </xdr:cNvPicPr>
      </xdr:nvPicPr>
      <xdr:blipFill>
        <a:blip xmlns:r="http://schemas.openxmlformats.org/officeDocument/2006/relationships" r:embed="rId66"/>
        <a:stretch>
          <a:fillRect/>
        </a:stretch>
      </xdr:blipFill>
      <xdr:spPr>
        <a:xfrm>
          <a:off x="259080" y="684565560"/>
          <a:ext cx="5760000" cy="3395264"/>
        </a:xfrm>
        <a:prstGeom prst="rect">
          <a:avLst/>
        </a:prstGeom>
      </xdr:spPr>
    </xdr:pic>
    <xdr:clientData/>
  </xdr:twoCellAnchor>
  <xdr:twoCellAnchor>
    <xdr:from>
      <xdr:col>0</xdr:col>
      <xdr:colOff>190500</xdr:colOff>
      <xdr:row>3346</xdr:row>
      <xdr:rowOff>17962</xdr:rowOff>
    </xdr:from>
    <xdr:to>
      <xdr:col>3</xdr:col>
      <xdr:colOff>146957</xdr:colOff>
      <xdr:row>3347</xdr:row>
      <xdr:rowOff>181793</xdr:rowOff>
    </xdr:to>
    <xdr:pic>
      <xdr:nvPicPr>
        <xdr:cNvPr id="177" name="Imagen 176">
          <a:extLst>
            <a:ext uri="{FF2B5EF4-FFF2-40B4-BE49-F238E27FC236}">
              <a16:creationId xmlns:a16="http://schemas.microsoft.com/office/drawing/2014/main" id="{00000000-0008-0000-1200-0000B1000000}"/>
            </a:ext>
          </a:extLst>
        </xdr:cNvPr>
        <xdr:cNvPicPr>
          <a:picLocks noChangeAspect="1"/>
        </xdr:cNvPicPr>
      </xdr:nvPicPr>
      <xdr:blipFill>
        <a:blip xmlns:r="http://schemas.openxmlformats.org/officeDocument/2006/relationships" r:embed="rId1"/>
        <a:stretch>
          <a:fillRect/>
        </a:stretch>
      </xdr:blipFill>
      <xdr:spPr>
        <a:xfrm>
          <a:off x="190500" y="673709782"/>
          <a:ext cx="710837" cy="361951"/>
        </a:xfrm>
        <a:prstGeom prst="rect">
          <a:avLst/>
        </a:prstGeom>
      </xdr:spPr>
    </xdr:pic>
    <xdr:clientData/>
  </xdr:twoCellAnchor>
  <xdr:twoCellAnchor>
    <xdr:from>
      <xdr:col>0</xdr:col>
      <xdr:colOff>190500</xdr:colOff>
      <xdr:row>3387</xdr:row>
      <xdr:rowOff>17962</xdr:rowOff>
    </xdr:from>
    <xdr:to>
      <xdr:col>3</xdr:col>
      <xdr:colOff>146957</xdr:colOff>
      <xdr:row>3388</xdr:row>
      <xdr:rowOff>181793</xdr:rowOff>
    </xdr:to>
    <xdr:pic>
      <xdr:nvPicPr>
        <xdr:cNvPr id="179" name="Imagen 178">
          <a:extLst>
            <a:ext uri="{FF2B5EF4-FFF2-40B4-BE49-F238E27FC236}">
              <a16:creationId xmlns:a16="http://schemas.microsoft.com/office/drawing/2014/main" id="{00000000-0008-0000-1200-0000B3000000}"/>
            </a:ext>
          </a:extLst>
        </xdr:cNvPr>
        <xdr:cNvPicPr>
          <a:picLocks noChangeAspect="1"/>
        </xdr:cNvPicPr>
      </xdr:nvPicPr>
      <xdr:blipFill>
        <a:blip xmlns:r="http://schemas.openxmlformats.org/officeDocument/2006/relationships" r:embed="rId1"/>
        <a:stretch>
          <a:fillRect/>
        </a:stretch>
      </xdr:blipFill>
      <xdr:spPr>
        <a:xfrm>
          <a:off x="190500" y="690519502"/>
          <a:ext cx="710837" cy="361951"/>
        </a:xfrm>
        <a:prstGeom prst="rect">
          <a:avLst/>
        </a:prstGeom>
      </xdr:spPr>
    </xdr:pic>
    <xdr:clientData/>
  </xdr:twoCellAnchor>
  <xdr:twoCellAnchor>
    <xdr:from>
      <xdr:col>0</xdr:col>
      <xdr:colOff>190500</xdr:colOff>
      <xdr:row>3428</xdr:row>
      <xdr:rowOff>17962</xdr:rowOff>
    </xdr:from>
    <xdr:to>
      <xdr:col>3</xdr:col>
      <xdr:colOff>146957</xdr:colOff>
      <xdr:row>3429</xdr:row>
      <xdr:rowOff>181793</xdr:rowOff>
    </xdr:to>
    <xdr:pic>
      <xdr:nvPicPr>
        <xdr:cNvPr id="180" name="Imagen 179">
          <a:extLst>
            <a:ext uri="{FF2B5EF4-FFF2-40B4-BE49-F238E27FC236}">
              <a16:creationId xmlns:a16="http://schemas.microsoft.com/office/drawing/2014/main" id="{00000000-0008-0000-1200-0000B4000000}"/>
            </a:ext>
          </a:extLst>
        </xdr:cNvPr>
        <xdr:cNvPicPr>
          <a:picLocks noChangeAspect="1"/>
        </xdr:cNvPicPr>
      </xdr:nvPicPr>
      <xdr:blipFill>
        <a:blip xmlns:r="http://schemas.openxmlformats.org/officeDocument/2006/relationships" r:embed="rId1"/>
        <a:stretch>
          <a:fillRect/>
        </a:stretch>
      </xdr:blipFill>
      <xdr:spPr>
        <a:xfrm>
          <a:off x="190500" y="698924362"/>
          <a:ext cx="710837" cy="361951"/>
        </a:xfrm>
        <a:prstGeom prst="rect">
          <a:avLst/>
        </a:prstGeom>
      </xdr:spPr>
    </xdr:pic>
    <xdr:clientData/>
  </xdr:twoCellAnchor>
  <xdr:twoCellAnchor>
    <xdr:from>
      <xdr:col>0</xdr:col>
      <xdr:colOff>190500</xdr:colOff>
      <xdr:row>3469</xdr:row>
      <xdr:rowOff>17962</xdr:rowOff>
    </xdr:from>
    <xdr:to>
      <xdr:col>3</xdr:col>
      <xdr:colOff>146957</xdr:colOff>
      <xdr:row>3470</xdr:row>
      <xdr:rowOff>181793</xdr:rowOff>
    </xdr:to>
    <xdr:pic>
      <xdr:nvPicPr>
        <xdr:cNvPr id="181" name="Imagen 180">
          <a:extLst>
            <a:ext uri="{FF2B5EF4-FFF2-40B4-BE49-F238E27FC236}">
              <a16:creationId xmlns:a16="http://schemas.microsoft.com/office/drawing/2014/main" id="{00000000-0008-0000-1200-0000B5000000}"/>
            </a:ext>
          </a:extLst>
        </xdr:cNvPr>
        <xdr:cNvPicPr>
          <a:picLocks noChangeAspect="1"/>
        </xdr:cNvPicPr>
      </xdr:nvPicPr>
      <xdr:blipFill>
        <a:blip xmlns:r="http://schemas.openxmlformats.org/officeDocument/2006/relationships" r:embed="rId1"/>
        <a:stretch>
          <a:fillRect/>
        </a:stretch>
      </xdr:blipFill>
      <xdr:spPr>
        <a:xfrm>
          <a:off x="190500" y="707329222"/>
          <a:ext cx="710837" cy="361951"/>
        </a:xfrm>
        <a:prstGeom prst="rect">
          <a:avLst/>
        </a:prstGeom>
      </xdr:spPr>
    </xdr:pic>
    <xdr:clientData/>
  </xdr:twoCellAnchor>
  <xdr:twoCellAnchor>
    <xdr:from>
      <xdr:col>0</xdr:col>
      <xdr:colOff>190500</xdr:colOff>
      <xdr:row>3510</xdr:row>
      <xdr:rowOff>17962</xdr:rowOff>
    </xdr:from>
    <xdr:to>
      <xdr:col>3</xdr:col>
      <xdr:colOff>146957</xdr:colOff>
      <xdr:row>3511</xdr:row>
      <xdr:rowOff>181793</xdr:rowOff>
    </xdr:to>
    <xdr:pic>
      <xdr:nvPicPr>
        <xdr:cNvPr id="182" name="Imagen 181">
          <a:extLst>
            <a:ext uri="{FF2B5EF4-FFF2-40B4-BE49-F238E27FC236}">
              <a16:creationId xmlns:a16="http://schemas.microsoft.com/office/drawing/2014/main" id="{00000000-0008-0000-1200-0000B6000000}"/>
            </a:ext>
          </a:extLst>
        </xdr:cNvPr>
        <xdr:cNvPicPr>
          <a:picLocks noChangeAspect="1"/>
        </xdr:cNvPicPr>
      </xdr:nvPicPr>
      <xdr:blipFill>
        <a:blip xmlns:r="http://schemas.openxmlformats.org/officeDocument/2006/relationships" r:embed="rId1"/>
        <a:stretch>
          <a:fillRect/>
        </a:stretch>
      </xdr:blipFill>
      <xdr:spPr>
        <a:xfrm>
          <a:off x="190500" y="715734082"/>
          <a:ext cx="710837" cy="361951"/>
        </a:xfrm>
        <a:prstGeom prst="rect">
          <a:avLst/>
        </a:prstGeom>
      </xdr:spPr>
    </xdr:pic>
    <xdr:clientData/>
  </xdr:twoCellAnchor>
  <xdr:twoCellAnchor editAs="oneCell">
    <xdr:from>
      <xdr:col>1</xdr:col>
      <xdr:colOff>76200</xdr:colOff>
      <xdr:row>3521</xdr:row>
      <xdr:rowOff>129540</xdr:rowOff>
    </xdr:from>
    <xdr:to>
      <xdr:col>22</xdr:col>
      <xdr:colOff>195540</xdr:colOff>
      <xdr:row>3539</xdr:row>
      <xdr:rowOff>12198</xdr:rowOff>
    </xdr:to>
    <xdr:pic>
      <xdr:nvPicPr>
        <xdr:cNvPr id="183" name="Imagen 182">
          <a:extLst>
            <a:ext uri="{FF2B5EF4-FFF2-40B4-BE49-F238E27FC236}">
              <a16:creationId xmlns:a16="http://schemas.microsoft.com/office/drawing/2014/main" id="{00000000-0008-0000-1200-0000B7000000}"/>
            </a:ext>
          </a:extLst>
        </xdr:cNvPr>
        <xdr:cNvPicPr>
          <a:picLocks noChangeAspect="1"/>
        </xdr:cNvPicPr>
      </xdr:nvPicPr>
      <xdr:blipFill>
        <a:blip xmlns:r="http://schemas.openxmlformats.org/officeDocument/2006/relationships" r:embed="rId61"/>
        <a:stretch>
          <a:fillRect/>
        </a:stretch>
      </xdr:blipFill>
      <xdr:spPr>
        <a:xfrm>
          <a:off x="327660" y="726582240"/>
          <a:ext cx="5400000" cy="3448818"/>
        </a:xfrm>
        <a:prstGeom prst="rect">
          <a:avLst/>
        </a:prstGeom>
      </xdr:spPr>
    </xdr:pic>
    <xdr:clientData/>
  </xdr:twoCellAnchor>
  <xdr:twoCellAnchor>
    <xdr:from>
      <xdr:col>0</xdr:col>
      <xdr:colOff>190500</xdr:colOff>
      <xdr:row>3551</xdr:row>
      <xdr:rowOff>17962</xdr:rowOff>
    </xdr:from>
    <xdr:to>
      <xdr:col>3</xdr:col>
      <xdr:colOff>146957</xdr:colOff>
      <xdr:row>3552</xdr:row>
      <xdr:rowOff>181793</xdr:rowOff>
    </xdr:to>
    <xdr:pic>
      <xdr:nvPicPr>
        <xdr:cNvPr id="184" name="Imagen 183">
          <a:extLst>
            <a:ext uri="{FF2B5EF4-FFF2-40B4-BE49-F238E27FC236}">
              <a16:creationId xmlns:a16="http://schemas.microsoft.com/office/drawing/2014/main" id="{00000000-0008-0000-1200-0000B8000000}"/>
            </a:ext>
          </a:extLst>
        </xdr:cNvPr>
        <xdr:cNvPicPr>
          <a:picLocks noChangeAspect="1"/>
        </xdr:cNvPicPr>
      </xdr:nvPicPr>
      <xdr:blipFill>
        <a:blip xmlns:r="http://schemas.openxmlformats.org/officeDocument/2006/relationships" r:embed="rId1"/>
        <a:stretch>
          <a:fillRect/>
        </a:stretch>
      </xdr:blipFill>
      <xdr:spPr>
        <a:xfrm>
          <a:off x="190500" y="724138942"/>
          <a:ext cx="710837" cy="361951"/>
        </a:xfrm>
        <a:prstGeom prst="rect">
          <a:avLst/>
        </a:prstGeom>
      </xdr:spPr>
    </xdr:pic>
    <xdr:clientData/>
  </xdr:twoCellAnchor>
  <xdr:twoCellAnchor editAs="oneCell">
    <xdr:from>
      <xdr:col>1</xdr:col>
      <xdr:colOff>68580</xdr:colOff>
      <xdr:row>3560</xdr:row>
      <xdr:rowOff>160020</xdr:rowOff>
    </xdr:from>
    <xdr:to>
      <xdr:col>22</xdr:col>
      <xdr:colOff>187920</xdr:colOff>
      <xdr:row>3583</xdr:row>
      <xdr:rowOff>56556</xdr:rowOff>
    </xdr:to>
    <xdr:pic>
      <xdr:nvPicPr>
        <xdr:cNvPr id="140" name="Imagen 139">
          <a:extLst>
            <a:ext uri="{FF2B5EF4-FFF2-40B4-BE49-F238E27FC236}">
              <a16:creationId xmlns:a16="http://schemas.microsoft.com/office/drawing/2014/main" id="{00000000-0008-0000-1200-00008C000000}"/>
            </a:ext>
          </a:extLst>
        </xdr:cNvPr>
        <xdr:cNvPicPr>
          <a:picLocks noChangeAspect="1"/>
        </xdr:cNvPicPr>
      </xdr:nvPicPr>
      <xdr:blipFill>
        <a:blip xmlns:r="http://schemas.openxmlformats.org/officeDocument/2006/relationships" r:embed="rId67"/>
        <a:stretch>
          <a:fillRect/>
        </a:stretch>
      </xdr:blipFill>
      <xdr:spPr>
        <a:xfrm>
          <a:off x="320040" y="734621340"/>
          <a:ext cx="5400000" cy="4453296"/>
        </a:xfrm>
        <a:prstGeom prst="rect">
          <a:avLst/>
        </a:prstGeom>
      </xdr:spPr>
    </xdr:pic>
    <xdr:clientData/>
  </xdr:twoCellAnchor>
  <xdr:twoCellAnchor>
    <xdr:from>
      <xdr:col>0</xdr:col>
      <xdr:colOff>190500</xdr:colOff>
      <xdr:row>3592</xdr:row>
      <xdr:rowOff>17962</xdr:rowOff>
    </xdr:from>
    <xdr:to>
      <xdr:col>3</xdr:col>
      <xdr:colOff>146957</xdr:colOff>
      <xdr:row>3593</xdr:row>
      <xdr:rowOff>181793</xdr:rowOff>
    </xdr:to>
    <xdr:pic>
      <xdr:nvPicPr>
        <xdr:cNvPr id="186" name="Imagen 185">
          <a:extLst>
            <a:ext uri="{FF2B5EF4-FFF2-40B4-BE49-F238E27FC236}">
              <a16:creationId xmlns:a16="http://schemas.microsoft.com/office/drawing/2014/main" id="{00000000-0008-0000-1200-0000BA000000}"/>
            </a:ext>
          </a:extLst>
        </xdr:cNvPr>
        <xdr:cNvPicPr>
          <a:picLocks noChangeAspect="1"/>
        </xdr:cNvPicPr>
      </xdr:nvPicPr>
      <xdr:blipFill>
        <a:blip xmlns:r="http://schemas.openxmlformats.org/officeDocument/2006/relationships" r:embed="rId1"/>
        <a:stretch>
          <a:fillRect/>
        </a:stretch>
      </xdr:blipFill>
      <xdr:spPr>
        <a:xfrm>
          <a:off x="190500" y="732543802"/>
          <a:ext cx="710837" cy="361951"/>
        </a:xfrm>
        <a:prstGeom prst="rect">
          <a:avLst/>
        </a:prstGeom>
      </xdr:spPr>
    </xdr:pic>
    <xdr:clientData/>
  </xdr:twoCellAnchor>
  <xdr:twoCellAnchor editAs="oneCell">
    <xdr:from>
      <xdr:col>1</xdr:col>
      <xdr:colOff>220980</xdr:colOff>
      <xdr:row>3603</xdr:row>
      <xdr:rowOff>0</xdr:rowOff>
    </xdr:from>
    <xdr:to>
      <xdr:col>23</xdr:col>
      <xdr:colOff>88860</xdr:colOff>
      <xdr:row>3620</xdr:row>
      <xdr:rowOff>174253</xdr:rowOff>
    </xdr:to>
    <xdr:pic>
      <xdr:nvPicPr>
        <xdr:cNvPr id="188" name="Imagen 187">
          <a:extLst>
            <a:ext uri="{FF2B5EF4-FFF2-40B4-BE49-F238E27FC236}">
              <a16:creationId xmlns:a16="http://schemas.microsoft.com/office/drawing/2014/main" id="{00000000-0008-0000-1200-0000BC000000}"/>
            </a:ext>
          </a:extLst>
        </xdr:cNvPr>
        <xdr:cNvPicPr>
          <a:picLocks noChangeAspect="1"/>
        </xdr:cNvPicPr>
      </xdr:nvPicPr>
      <xdr:blipFill>
        <a:blip xmlns:r="http://schemas.openxmlformats.org/officeDocument/2006/relationships" r:embed="rId68"/>
        <a:stretch>
          <a:fillRect/>
        </a:stretch>
      </xdr:blipFill>
      <xdr:spPr>
        <a:xfrm>
          <a:off x="472440" y="743262420"/>
          <a:ext cx="5400000" cy="3542293"/>
        </a:xfrm>
        <a:prstGeom prst="rect">
          <a:avLst/>
        </a:prstGeom>
      </xdr:spPr>
    </xdr:pic>
    <xdr:clientData/>
  </xdr:twoCellAnchor>
  <xdr:twoCellAnchor>
    <xdr:from>
      <xdr:col>0</xdr:col>
      <xdr:colOff>190500</xdr:colOff>
      <xdr:row>3633</xdr:row>
      <xdr:rowOff>17962</xdr:rowOff>
    </xdr:from>
    <xdr:to>
      <xdr:col>3</xdr:col>
      <xdr:colOff>146957</xdr:colOff>
      <xdr:row>3634</xdr:row>
      <xdr:rowOff>181793</xdr:rowOff>
    </xdr:to>
    <xdr:pic>
      <xdr:nvPicPr>
        <xdr:cNvPr id="189" name="Imagen 188">
          <a:extLst>
            <a:ext uri="{FF2B5EF4-FFF2-40B4-BE49-F238E27FC236}">
              <a16:creationId xmlns:a16="http://schemas.microsoft.com/office/drawing/2014/main" id="{00000000-0008-0000-1200-0000BD000000}"/>
            </a:ext>
          </a:extLst>
        </xdr:cNvPr>
        <xdr:cNvPicPr>
          <a:picLocks noChangeAspect="1"/>
        </xdr:cNvPicPr>
      </xdr:nvPicPr>
      <xdr:blipFill>
        <a:blip xmlns:r="http://schemas.openxmlformats.org/officeDocument/2006/relationships" r:embed="rId1"/>
        <a:stretch>
          <a:fillRect/>
        </a:stretch>
      </xdr:blipFill>
      <xdr:spPr>
        <a:xfrm>
          <a:off x="190500" y="740948662"/>
          <a:ext cx="710837" cy="361951"/>
        </a:xfrm>
        <a:prstGeom prst="rect">
          <a:avLst/>
        </a:prstGeom>
      </xdr:spPr>
    </xdr:pic>
    <xdr:clientData/>
  </xdr:twoCellAnchor>
  <xdr:twoCellAnchor editAs="oneCell">
    <xdr:from>
      <xdr:col>1</xdr:col>
      <xdr:colOff>15240</xdr:colOff>
      <xdr:row>3644</xdr:row>
      <xdr:rowOff>22860</xdr:rowOff>
    </xdr:from>
    <xdr:to>
      <xdr:col>23</xdr:col>
      <xdr:colOff>141760</xdr:colOff>
      <xdr:row>3662</xdr:row>
      <xdr:rowOff>95758</xdr:rowOff>
    </xdr:to>
    <xdr:pic>
      <xdr:nvPicPr>
        <xdr:cNvPr id="191" name="Imagen 190">
          <a:extLst>
            <a:ext uri="{FF2B5EF4-FFF2-40B4-BE49-F238E27FC236}">
              <a16:creationId xmlns:a16="http://schemas.microsoft.com/office/drawing/2014/main" id="{00000000-0008-0000-1200-0000BF000000}"/>
            </a:ext>
          </a:extLst>
        </xdr:cNvPr>
        <xdr:cNvPicPr>
          <a:picLocks noChangeAspect="1"/>
        </xdr:cNvPicPr>
      </xdr:nvPicPr>
      <xdr:blipFill>
        <a:blip xmlns:r="http://schemas.openxmlformats.org/officeDocument/2006/relationships" r:embed="rId69"/>
        <a:stretch>
          <a:fillRect/>
        </a:stretch>
      </xdr:blipFill>
      <xdr:spPr>
        <a:xfrm>
          <a:off x="266700" y="751690140"/>
          <a:ext cx="5658640" cy="3639058"/>
        </a:xfrm>
        <a:prstGeom prst="rect">
          <a:avLst/>
        </a:prstGeom>
      </xdr:spPr>
    </xdr:pic>
    <xdr:clientData/>
  </xdr:twoCellAnchor>
  <xdr:twoCellAnchor>
    <xdr:from>
      <xdr:col>0</xdr:col>
      <xdr:colOff>190500</xdr:colOff>
      <xdr:row>3674</xdr:row>
      <xdr:rowOff>17962</xdr:rowOff>
    </xdr:from>
    <xdr:to>
      <xdr:col>3</xdr:col>
      <xdr:colOff>146957</xdr:colOff>
      <xdr:row>3675</xdr:row>
      <xdr:rowOff>181793</xdr:rowOff>
    </xdr:to>
    <xdr:pic>
      <xdr:nvPicPr>
        <xdr:cNvPr id="192" name="Imagen 191">
          <a:extLst>
            <a:ext uri="{FF2B5EF4-FFF2-40B4-BE49-F238E27FC236}">
              <a16:creationId xmlns:a16="http://schemas.microsoft.com/office/drawing/2014/main" id="{00000000-0008-0000-1200-0000C0000000}"/>
            </a:ext>
          </a:extLst>
        </xdr:cNvPr>
        <xdr:cNvPicPr>
          <a:picLocks noChangeAspect="1"/>
        </xdr:cNvPicPr>
      </xdr:nvPicPr>
      <xdr:blipFill>
        <a:blip xmlns:r="http://schemas.openxmlformats.org/officeDocument/2006/relationships" r:embed="rId1"/>
        <a:stretch>
          <a:fillRect/>
        </a:stretch>
      </xdr:blipFill>
      <xdr:spPr>
        <a:xfrm>
          <a:off x="190500" y="749353522"/>
          <a:ext cx="710837" cy="361951"/>
        </a:xfrm>
        <a:prstGeom prst="rect">
          <a:avLst/>
        </a:prstGeom>
      </xdr:spPr>
    </xdr:pic>
    <xdr:clientData/>
  </xdr:twoCellAnchor>
  <xdr:twoCellAnchor editAs="oneCell">
    <xdr:from>
      <xdr:col>2</xdr:col>
      <xdr:colOff>228600</xdr:colOff>
      <xdr:row>3688</xdr:row>
      <xdr:rowOff>68580</xdr:rowOff>
    </xdr:from>
    <xdr:to>
      <xdr:col>20</xdr:col>
      <xdr:colOff>189221</xdr:colOff>
      <xdr:row>3703</xdr:row>
      <xdr:rowOff>49942</xdr:rowOff>
    </xdr:to>
    <xdr:pic>
      <xdr:nvPicPr>
        <xdr:cNvPr id="194" name="Imagen 193">
          <a:extLst>
            <a:ext uri="{FF2B5EF4-FFF2-40B4-BE49-F238E27FC236}">
              <a16:creationId xmlns:a16="http://schemas.microsoft.com/office/drawing/2014/main" id="{00000000-0008-0000-1200-0000C2000000}"/>
            </a:ext>
          </a:extLst>
        </xdr:cNvPr>
        <xdr:cNvPicPr>
          <a:picLocks noChangeAspect="1"/>
        </xdr:cNvPicPr>
      </xdr:nvPicPr>
      <xdr:blipFill>
        <a:blip xmlns:r="http://schemas.openxmlformats.org/officeDocument/2006/relationships" r:embed="rId70"/>
        <a:stretch>
          <a:fillRect/>
        </a:stretch>
      </xdr:blipFill>
      <xdr:spPr>
        <a:xfrm>
          <a:off x="731520" y="760735080"/>
          <a:ext cx="4486901" cy="2953162"/>
        </a:xfrm>
        <a:prstGeom prst="rect">
          <a:avLst/>
        </a:prstGeom>
      </xdr:spPr>
    </xdr:pic>
    <xdr:clientData/>
  </xdr:twoCellAnchor>
  <xdr:twoCellAnchor>
    <xdr:from>
      <xdr:col>0</xdr:col>
      <xdr:colOff>190500</xdr:colOff>
      <xdr:row>3715</xdr:row>
      <xdr:rowOff>17962</xdr:rowOff>
    </xdr:from>
    <xdr:to>
      <xdr:col>3</xdr:col>
      <xdr:colOff>146957</xdr:colOff>
      <xdr:row>3716</xdr:row>
      <xdr:rowOff>181793</xdr:rowOff>
    </xdr:to>
    <xdr:pic>
      <xdr:nvPicPr>
        <xdr:cNvPr id="195" name="Imagen 194">
          <a:extLst>
            <a:ext uri="{FF2B5EF4-FFF2-40B4-BE49-F238E27FC236}">
              <a16:creationId xmlns:a16="http://schemas.microsoft.com/office/drawing/2014/main" id="{00000000-0008-0000-1200-0000C3000000}"/>
            </a:ext>
          </a:extLst>
        </xdr:cNvPr>
        <xdr:cNvPicPr>
          <a:picLocks noChangeAspect="1"/>
        </xdr:cNvPicPr>
      </xdr:nvPicPr>
      <xdr:blipFill>
        <a:blip xmlns:r="http://schemas.openxmlformats.org/officeDocument/2006/relationships" r:embed="rId1"/>
        <a:stretch>
          <a:fillRect/>
        </a:stretch>
      </xdr:blipFill>
      <xdr:spPr>
        <a:xfrm>
          <a:off x="190500" y="757758382"/>
          <a:ext cx="710837" cy="361951"/>
        </a:xfrm>
        <a:prstGeom prst="rect">
          <a:avLst/>
        </a:prstGeom>
      </xdr:spPr>
    </xdr:pic>
    <xdr:clientData/>
  </xdr:twoCellAnchor>
  <xdr:twoCellAnchor editAs="oneCell">
    <xdr:from>
      <xdr:col>2</xdr:col>
      <xdr:colOff>213360</xdr:colOff>
      <xdr:row>3727</xdr:row>
      <xdr:rowOff>129540</xdr:rowOff>
    </xdr:from>
    <xdr:to>
      <xdr:col>22</xdr:col>
      <xdr:colOff>90220</xdr:colOff>
      <xdr:row>3743</xdr:row>
      <xdr:rowOff>55677</xdr:rowOff>
    </xdr:to>
    <xdr:pic>
      <xdr:nvPicPr>
        <xdr:cNvPr id="197" name="Imagen 196">
          <a:extLst>
            <a:ext uri="{FF2B5EF4-FFF2-40B4-BE49-F238E27FC236}">
              <a16:creationId xmlns:a16="http://schemas.microsoft.com/office/drawing/2014/main" id="{00000000-0008-0000-1200-0000C5000000}"/>
            </a:ext>
          </a:extLst>
        </xdr:cNvPr>
        <xdr:cNvPicPr>
          <a:picLocks noChangeAspect="1"/>
        </xdr:cNvPicPr>
      </xdr:nvPicPr>
      <xdr:blipFill>
        <a:blip xmlns:r="http://schemas.openxmlformats.org/officeDocument/2006/relationships" r:embed="rId71"/>
        <a:stretch>
          <a:fillRect/>
        </a:stretch>
      </xdr:blipFill>
      <xdr:spPr>
        <a:xfrm>
          <a:off x="716280" y="769185660"/>
          <a:ext cx="4906060" cy="3096057"/>
        </a:xfrm>
        <a:prstGeom prst="rect">
          <a:avLst/>
        </a:prstGeom>
      </xdr:spPr>
    </xdr:pic>
    <xdr:clientData/>
  </xdr:twoCellAnchor>
  <xdr:twoCellAnchor>
    <xdr:from>
      <xdr:col>0</xdr:col>
      <xdr:colOff>190500</xdr:colOff>
      <xdr:row>3756</xdr:row>
      <xdr:rowOff>17962</xdr:rowOff>
    </xdr:from>
    <xdr:to>
      <xdr:col>3</xdr:col>
      <xdr:colOff>146957</xdr:colOff>
      <xdr:row>3757</xdr:row>
      <xdr:rowOff>181793</xdr:rowOff>
    </xdr:to>
    <xdr:pic>
      <xdr:nvPicPr>
        <xdr:cNvPr id="198" name="Imagen 197">
          <a:extLst>
            <a:ext uri="{FF2B5EF4-FFF2-40B4-BE49-F238E27FC236}">
              <a16:creationId xmlns:a16="http://schemas.microsoft.com/office/drawing/2014/main" id="{00000000-0008-0000-1200-0000C6000000}"/>
            </a:ext>
          </a:extLst>
        </xdr:cNvPr>
        <xdr:cNvPicPr>
          <a:picLocks noChangeAspect="1"/>
        </xdr:cNvPicPr>
      </xdr:nvPicPr>
      <xdr:blipFill>
        <a:blip xmlns:r="http://schemas.openxmlformats.org/officeDocument/2006/relationships" r:embed="rId1"/>
        <a:stretch>
          <a:fillRect/>
        </a:stretch>
      </xdr:blipFill>
      <xdr:spPr>
        <a:xfrm>
          <a:off x="190500" y="766353742"/>
          <a:ext cx="710837" cy="361951"/>
        </a:xfrm>
        <a:prstGeom prst="rect">
          <a:avLst/>
        </a:prstGeom>
      </xdr:spPr>
    </xdr:pic>
    <xdr:clientData/>
  </xdr:twoCellAnchor>
  <xdr:twoCellAnchor editAs="oneCell">
    <xdr:from>
      <xdr:col>1</xdr:col>
      <xdr:colOff>160020</xdr:colOff>
      <xdr:row>3767</xdr:row>
      <xdr:rowOff>137160</xdr:rowOff>
    </xdr:from>
    <xdr:to>
      <xdr:col>23</xdr:col>
      <xdr:colOff>27900</xdr:colOff>
      <xdr:row>3786</xdr:row>
      <xdr:rowOff>30944</xdr:rowOff>
    </xdr:to>
    <xdr:pic>
      <xdr:nvPicPr>
        <xdr:cNvPr id="200" name="Imagen 199">
          <a:extLst>
            <a:ext uri="{FF2B5EF4-FFF2-40B4-BE49-F238E27FC236}">
              <a16:creationId xmlns:a16="http://schemas.microsoft.com/office/drawing/2014/main" id="{00000000-0008-0000-1200-0000C8000000}"/>
            </a:ext>
          </a:extLst>
        </xdr:cNvPr>
        <xdr:cNvPicPr>
          <a:picLocks noChangeAspect="1"/>
        </xdr:cNvPicPr>
      </xdr:nvPicPr>
      <xdr:blipFill>
        <a:blip xmlns:r="http://schemas.openxmlformats.org/officeDocument/2006/relationships" r:embed="rId72"/>
        <a:stretch>
          <a:fillRect/>
        </a:stretch>
      </xdr:blipFill>
      <xdr:spPr>
        <a:xfrm>
          <a:off x="411480" y="777400020"/>
          <a:ext cx="5400000" cy="3658064"/>
        </a:xfrm>
        <a:prstGeom prst="rect">
          <a:avLst/>
        </a:prstGeom>
      </xdr:spPr>
    </xdr:pic>
    <xdr:clientData/>
  </xdr:twoCellAnchor>
  <xdr:twoCellAnchor>
    <xdr:from>
      <xdr:col>0</xdr:col>
      <xdr:colOff>190500</xdr:colOff>
      <xdr:row>3797</xdr:row>
      <xdr:rowOff>17962</xdr:rowOff>
    </xdr:from>
    <xdr:to>
      <xdr:col>3</xdr:col>
      <xdr:colOff>146957</xdr:colOff>
      <xdr:row>3798</xdr:row>
      <xdr:rowOff>181793</xdr:rowOff>
    </xdr:to>
    <xdr:pic>
      <xdr:nvPicPr>
        <xdr:cNvPr id="201" name="Imagen 200">
          <a:extLst>
            <a:ext uri="{FF2B5EF4-FFF2-40B4-BE49-F238E27FC236}">
              <a16:creationId xmlns:a16="http://schemas.microsoft.com/office/drawing/2014/main" id="{00000000-0008-0000-1200-0000C9000000}"/>
            </a:ext>
          </a:extLst>
        </xdr:cNvPr>
        <xdr:cNvPicPr>
          <a:picLocks noChangeAspect="1"/>
        </xdr:cNvPicPr>
      </xdr:nvPicPr>
      <xdr:blipFill>
        <a:blip xmlns:r="http://schemas.openxmlformats.org/officeDocument/2006/relationships" r:embed="rId1"/>
        <a:stretch>
          <a:fillRect/>
        </a:stretch>
      </xdr:blipFill>
      <xdr:spPr>
        <a:xfrm>
          <a:off x="190500" y="774949102"/>
          <a:ext cx="710837" cy="361951"/>
        </a:xfrm>
        <a:prstGeom prst="rect">
          <a:avLst/>
        </a:prstGeom>
      </xdr:spPr>
    </xdr:pic>
    <xdr:clientData/>
  </xdr:twoCellAnchor>
  <xdr:twoCellAnchor editAs="oneCell">
    <xdr:from>
      <xdr:col>1</xdr:col>
      <xdr:colOff>160020</xdr:colOff>
      <xdr:row>3810</xdr:row>
      <xdr:rowOff>76201</xdr:rowOff>
    </xdr:from>
    <xdr:to>
      <xdr:col>23</xdr:col>
      <xdr:colOff>27900</xdr:colOff>
      <xdr:row>3826</xdr:row>
      <xdr:rowOff>49565</xdr:rowOff>
    </xdr:to>
    <xdr:pic>
      <xdr:nvPicPr>
        <xdr:cNvPr id="203" name="Imagen 202">
          <a:extLst>
            <a:ext uri="{FF2B5EF4-FFF2-40B4-BE49-F238E27FC236}">
              <a16:creationId xmlns:a16="http://schemas.microsoft.com/office/drawing/2014/main" id="{00000000-0008-0000-1200-0000CB000000}"/>
            </a:ext>
          </a:extLst>
        </xdr:cNvPr>
        <xdr:cNvPicPr>
          <a:picLocks noChangeAspect="1"/>
        </xdr:cNvPicPr>
      </xdr:nvPicPr>
      <xdr:blipFill>
        <a:blip xmlns:r="http://schemas.openxmlformats.org/officeDocument/2006/relationships" r:embed="rId73"/>
        <a:stretch>
          <a:fillRect/>
        </a:stretch>
      </xdr:blipFill>
      <xdr:spPr>
        <a:xfrm>
          <a:off x="411480" y="786140161"/>
          <a:ext cx="5400000" cy="3143284"/>
        </a:xfrm>
        <a:prstGeom prst="rect">
          <a:avLst/>
        </a:prstGeom>
      </xdr:spPr>
    </xdr:pic>
    <xdr:clientData/>
  </xdr:twoCellAnchor>
  <xdr:twoCellAnchor>
    <xdr:from>
      <xdr:col>0</xdr:col>
      <xdr:colOff>190500</xdr:colOff>
      <xdr:row>3838</xdr:row>
      <xdr:rowOff>17962</xdr:rowOff>
    </xdr:from>
    <xdr:to>
      <xdr:col>3</xdr:col>
      <xdr:colOff>146957</xdr:colOff>
      <xdr:row>3839</xdr:row>
      <xdr:rowOff>181793</xdr:rowOff>
    </xdr:to>
    <xdr:pic>
      <xdr:nvPicPr>
        <xdr:cNvPr id="204" name="Imagen 203">
          <a:extLst>
            <a:ext uri="{FF2B5EF4-FFF2-40B4-BE49-F238E27FC236}">
              <a16:creationId xmlns:a16="http://schemas.microsoft.com/office/drawing/2014/main" id="{00000000-0008-0000-1200-0000CC000000}"/>
            </a:ext>
          </a:extLst>
        </xdr:cNvPr>
        <xdr:cNvPicPr>
          <a:picLocks noChangeAspect="1"/>
        </xdr:cNvPicPr>
      </xdr:nvPicPr>
      <xdr:blipFill>
        <a:blip xmlns:r="http://schemas.openxmlformats.org/officeDocument/2006/relationships" r:embed="rId1"/>
        <a:stretch>
          <a:fillRect/>
        </a:stretch>
      </xdr:blipFill>
      <xdr:spPr>
        <a:xfrm>
          <a:off x="190500" y="783353962"/>
          <a:ext cx="710837" cy="361951"/>
        </a:xfrm>
        <a:prstGeom prst="rect">
          <a:avLst/>
        </a:prstGeom>
      </xdr:spPr>
    </xdr:pic>
    <xdr:clientData/>
  </xdr:twoCellAnchor>
  <xdr:twoCellAnchor editAs="oneCell">
    <xdr:from>
      <xdr:col>1</xdr:col>
      <xdr:colOff>99060</xdr:colOff>
      <xdr:row>3850</xdr:row>
      <xdr:rowOff>106681</xdr:rowOff>
    </xdr:from>
    <xdr:to>
      <xdr:col>22</xdr:col>
      <xdr:colOff>218400</xdr:colOff>
      <xdr:row>3866</xdr:row>
      <xdr:rowOff>34018</xdr:rowOff>
    </xdr:to>
    <xdr:pic>
      <xdr:nvPicPr>
        <xdr:cNvPr id="206" name="Imagen 205">
          <a:extLst>
            <a:ext uri="{FF2B5EF4-FFF2-40B4-BE49-F238E27FC236}">
              <a16:creationId xmlns:a16="http://schemas.microsoft.com/office/drawing/2014/main" id="{00000000-0008-0000-1200-0000CE000000}"/>
            </a:ext>
          </a:extLst>
        </xdr:cNvPr>
        <xdr:cNvPicPr>
          <a:picLocks noChangeAspect="1"/>
        </xdr:cNvPicPr>
      </xdr:nvPicPr>
      <xdr:blipFill>
        <a:blip xmlns:r="http://schemas.openxmlformats.org/officeDocument/2006/relationships" r:embed="rId74"/>
        <a:stretch>
          <a:fillRect/>
        </a:stretch>
      </xdr:blipFill>
      <xdr:spPr>
        <a:xfrm>
          <a:off x="350520" y="794377381"/>
          <a:ext cx="5400000" cy="3097257"/>
        </a:xfrm>
        <a:prstGeom prst="rect">
          <a:avLst/>
        </a:prstGeom>
      </xdr:spPr>
    </xdr:pic>
    <xdr:clientData/>
  </xdr:twoCellAnchor>
  <xdr:twoCellAnchor>
    <xdr:from>
      <xdr:col>0</xdr:col>
      <xdr:colOff>190500</xdr:colOff>
      <xdr:row>3879</xdr:row>
      <xdr:rowOff>17962</xdr:rowOff>
    </xdr:from>
    <xdr:to>
      <xdr:col>3</xdr:col>
      <xdr:colOff>146957</xdr:colOff>
      <xdr:row>3880</xdr:row>
      <xdr:rowOff>181793</xdr:rowOff>
    </xdr:to>
    <xdr:pic>
      <xdr:nvPicPr>
        <xdr:cNvPr id="207" name="Imagen 206">
          <a:extLst>
            <a:ext uri="{FF2B5EF4-FFF2-40B4-BE49-F238E27FC236}">
              <a16:creationId xmlns:a16="http://schemas.microsoft.com/office/drawing/2014/main" id="{00000000-0008-0000-1200-0000CF000000}"/>
            </a:ext>
          </a:extLst>
        </xdr:cNvPr>
        <xdr:cNvPicPr>
          <a:picLocks noChangeAspect="1"/>
        </xdr:cNvPicPr>
      </xdr:nvPicPr>
      <xdr:blipFill>
        <a:blip xmlns:r="http://schemas.openxmlformats.org/officeDocument/2006/relationships" r:embed="rId1"/>
        <a:stretch>
          <a:fillRect/>
        </a:stretch>
      </xdr:blipFill>
      <xdr:spPr>
        <a:xfrm>
          <a:off x="190500" y="791758822"/>
          <a:ext cx="710837" cy="361951"/>
        </a:xfrm>
        <a:prstGeom prst="rect">
          <a:avLst/>
        </a:prstGeom>
      </xdr:spPr>
    </xdr:pic>
    <xdr:clientData/>
  </xdr:twoCellAnchor>
  <xdr:twoCellAnchor editAs="oneCell">
    <xdr:from>
      <xdr:col>1</xdr:col>
      <xdr:colOff>83820</xdr:colOff>
      <xdr:row>3891</xdr:row>
      <xdr:rowOff>22860</xdr:rowOff>
    </xdr:from>
    <xdr:to>
      <xdr:col>22</xdr:col>
      <xdr:colOff>203160</xdr:colOff>
      <xdr:row>3905</xdr:row>
      <xdr:rowOff>147818</xdr:rowOff>
    </xdr:to>
    <xdr:pic>
      <xdr:nvPicPr>
        <xdr:cNvPr id="209" name="Imagen 208">
          <a:extLst>
            <a:ext uri="{FF2B5EF4-FFF2-40B4-BE49-F238E27FC236}">
              <a16:creationId xmlns:a16="http://schemas.microsoft.com/office/drawing/2014/main" id="{00000000-0008-0000-1200-0000D1000000}"/>
            </a:ext>
          </a:extLst>
        </xdr:cNvPr>
        <xdr:cNvPicPr>
          <a:picLocks noChangeAspect="1"/>
        </xdr:cNvPicPr>
      </xdr:nvPicPr>
      <xdr:blipFill>
        <a:blip xmlns:r="http://schemas.openxmlformats.org/officeDocument/2006/relationships" r:embed="rId75"/>
        <a:stretch>
          <a:fillRect/>
        </a:stretch>
      </xdr:blipFill>
      <xdr:spPr>
        <a:xfrm>
          <a:off x="335280" y="802698420"/>
          <a:ext cx="5400000" cy="2898638"/>
        </a:xfrm>
        <a:prstGeom prst="rect">
          <a:avLst/>
        </a:prstGeom>
      </xdr:spPr>
    </xdr:pic>
    <xdr:clientData/>
  </xdr:twoCellAnchor>
  <xdr:twoCellAnchor>
    <xdr:from>
      <xdr:col>0</xdr:col>
      <xdr:colOff>190500</xdr:colOff>
      <xdr:row>3920</xdr:row>
      <xdr:rowOff>17962</xdr:rowOff>
    </xdr:from>
    <xdr:to>
      <xdr:col>3</xdr:col>
      <xdr:colOff>146957</xdr:colOff>
      <xdr:row>3921</xdr:row>
      <xdr:rowOff>181793</xdr:rowOff>
    </xdr:to>
    <xdr:pic>
      <xdr:nvPicPr>
        <xdr:cNvPr id="210" name="Imagen 209">
          <a:extLst>
            <a:ext uri="{FF2B5EF4-FFF2-40B4-BE49-F238E27FC236}">
              <a16:creationId xmlns:a16="http://schemas.microsoft.com/office/drawing/2014/main" id="{00000000-0008-0000-1200-0000D2000000}"/>
            </a:ext>
          </a:extLst>
        </xdr:cNvPr>
        <xdr:cNvPicPr>
          <a:picLocks noChangeAspect="1"/>
        </xdr:cNvPicPr>
      </xdr:nvPicPr>
      <xdr:blipFill>
        <a:blip xmlns:r="http://schemas.openxmlformats.org/officeDocument/2006/relationships" r:embed="rId1"/>
        <a:stretch>
          <a:fillRect/>
        </a:stretch>
      </xdr:blipFill>
      <xdr:spPr>
        <a:xfrm>
          <a:off x="190500" y="800163682"/>
          <a:ext cx="710837" cy="361951"/>
        </a:xfrm>
        <a:prstGeom prst="rect">
          <a:avLst/>
        </a:prstGeom>
      </xdr:spPr>
    </xdr:pic>
    <xdr:clientData/>
  </xdr:twoCellAnchor>
  <xdr:twoCellAnchor editAs="oneCell">
    <xdr:from>
      <xdr:col>2</xdr:col>
      <xdr:colOff>15240</xdr:colOff>
      <xdr:row>3931</xdr:row>
      <xdr:rowOff>76200</xdr:rowOff>
    </xdr:from>
    <xdr:to>
      <xdr:col>23</xdr:col>
      <xdr:colOff>134580</xdr:colOff>
      <xdr:row>3948</xdr:row>
      <xdr:rowOff>162040</xdr:rowOff>
    </xdr:to>
    <xdr:pic>
      <xdr:nvPicPr>
        <xdr:cNvPr id="212" name="Imagen 211">
          <a:extLst>
            <a:ext uri="{FF2B5EF4-FFF2-40B4-BE49-F238E27FC236}">
              <a16:creationId xmlns:a16="http://schemas.microsoft.com/office/drawing/2014/main" id="{00000000-0008-0000-1200-0000D4000000}"/>
            </a:ext>
          </a:extLst>
        </xdr:cNvPr>
        <xdr:cNvPicPr>
          <a:picLocks noChangeAspect="1"/>
        </xdr:cNvPicPr>
      </xdr:nvPicPr>
      <xdr:blipFill>
        <a:blip xmlns:r="http://schemas.openxmlformats.org/officeDocument/2006/relationships" r:embed="rId76"/>
        <a:stretch>
          <a:fillRect/>
        </a:stretch>
      </xdr:blipFill>
      <xdr:spPr>
        <a:xfrm>
          <a:off x="518160" y="810958500"/>
          <a:ext cx="5400000" cy="3453880"/>
        </a:xfrm>
        <a:prstGeom prst="rect">
          <a:avLst/>
        </a:prstGeom>
      </xdr:spPr>
    </xdr:pic>
    <xdr:clientData/>
  </xdr:twoCellAnchor>
  <xdr:twoCellAnchor>
    <xdr:from>
      <xdr:col>0</xdr:col>
      <xdr:colOff>190500</xdr:colOff>
      <xdr:row>3961</xdr:row>
      <xdr:rowOff>17962</xdr:rowOff>
    </xdr:from>
    <xdr:to>
      <xdr:col>3</xdr:col>
      <xdr:colOff>146957</xdr:colOff>
      <xdr:row>3962</xdr:row>
      <xdr:rowOff>181793</xdr:rowOff>
    </xdr:to>
    <xdr:pic>
      <xdr:nvPicPr>
        <xdr:cNvPr id="213" name="Imagen 212">
          <a:extLst>
            <a:ext uri="{FF2B5EF4-FFF2-40B4-BE49-F238E27FC236}">
              <a16:creationId xmlns:a16="http://schemas.microsoft.com/office/drawing/2014/main" id="{00000000-0008-0000-1200-0000D5000000}"/>
            </a:ext>
          </a:extLst>
        </xdr:cNvPr>
        <xdr:cNvPicPr>
          <a:picLocks noChangeAspect="1"/>
        </xdr:cNvPicPr>
      </xdr:nvPicPr>
      <xdr:blipFill>
        <a:blip xmlns:r="http://schemas.openxmlformats.org/officeDocument/2006/relationships" r:embed="rId1"/>
        <a:stretch>
          <a:fillRect/>
        </a:stretch>
      </xdr:blipFill>
      <xdr:spPr>
        <a:xfrm>
          <a:off x="190500" y="808568542"/>
          <a:ext cx="710837" cy="361951"/>
        </a:xfrm>
        <a:prstGeom prst="rect">
          <a:avLst/>
        </a:prstGeom>
      </xdr:spPr>
    </xdr:pic>
    <xdr:clientData/>
  </xdr:twoCellAnchor>
  <xdr:twoCellAnchor>
    <xdr:from>
      <xdr:col>0</xdr:col>
      <xdr:colOff>190500</xdr:colOff>
      <xdr:row>4002</xdr:row>
      <xdr:rowOff>17962</xdr:rowOff>
    </xdr:from>
    <xdr:to>
      <xdr:col>3</xdr:col>
      <xdr:colOff>146957</xdr:colOff>
      <xdr:row>4003</xdr:row>
      <xdr:rowOff>181793</xdr:rowOff>
    </xdr:to>
    <xdr:pic>
      <xdr:nvPicPr>
        <xdr:cNvPr id="216" name="Imagen 215">
          <a:extLst>
            <a:ext uri="{FF2B5EF4-FFF2-40B4-BE49-F238E27FC236}">
              <a16:creationId xmlns:a16="http://schemas.microsoft.com/office/drawing/2014/main" id="{00000000-0008-0000-1200-0000D8000000}"/>
            </a:ext>
          </a:extLst>
        </xdr:cNvPr>
        <xdr:cNvPicPr>
          <a:picLocks noChangeAspect="1"/>
        </xdr:cNvPicPr>
      </xdr:nvPicPr>
      <xdr:blipFill>
        <a:blip xmlns:r="http://schemas.openxmlformats.org/officeDocument/2006/relationships" r:embed="rId1"/>
        <a:stretch>
          <a:fillRect/>
        </a:stretch>
      </xdr:blipFill>
      <xdr:spPr>
        <a:xfrm>
          <a:off x="190500" y="816973402"/>
          <a:ext cx="710837" cy="361951"/>
        </a:xfrm>
        <a:prstGeom prst="rect">
          <a:avLst/>
        </a:prstGeom>
      </xdr:spPr>
    </xdr:pic>
    <xdr:clientData/>
  </xdr:twoCellAnchor>
  <xdr:twoCellAnchor editAs="oneCell">
    <xdr:from>
      <xdr:col>1</xdr:col>
      <xdr:colOff>144780</xdr:colOff>
      <xdr:row>4013</xdr:row>
      <xdr:rowOff>91441</xdr:rowOff>
    </xdr:from>
    <xdr:to>
      <xdr:col>23</xdr:col>
      <xdr:colOff>12660</xdr:colOff>
      <xdr:row>4032</xdr:row>
      <xdr:rowOff>60816</xdr:rowOff>
    </xdr:to>
    <xdr:pic>
      <xdr:nvPicPr>
        <xdr:cNvPr id="218" name="Imagen 217">
          <a:extLst>
            <a:ext uri="{FF2B5EF4-FFF2-40B4-BE49-F238E27FC236}">
              <a16:creationId xmlns:a16="http://schemas.microsoft.com/office/drawing/2014/main" id="{00000000-0008-0000-1200-0000DA000000}"/>
            </a:ext>
          </a:extLst>
        </xdr:cNvPr>
        <xdr:cNvPicPr>
          <a:picLocks noChangeAspect="1"/>
        </xdr:cNvPicPr>
      </xdr:nvPicPr>
      <xdr:blipFill>
        <a:blip xmlns:r="http://schemas.openxmlformats.org/officeDocument/2006/relationships" r:embed="rId77"/>
        <a:stretch>
          <a:fillRect/>
        </a:stretch>
      </xdr:blipFill>
      <xdr:spPr>
        <a:xfrm>
          <a:off x="396240" y="827973961"/>
          <a:ext cx="5400000" cy="3733655"/>
        </a:xfrm>
        <a:prstGeom prst="rect">
          <a:avLst/>
        </a:prstGeom>
      </xdr:spPr>
    </xdr:pic>
    <xdr:clientData/>
  </xdr:twoCellAnchor>
  <xdr:twoCellAnchor>
    <xdr:from>
      <xdr:col>0</xdr:col>
      <xdr:colOff>190500</xdr:colOff>
      <xdr:row>4043</xdr:row>
      <xdr:rowOff>25582</xdr:rowOff>
    </xdr:from>
    <xdr:to>
      <xdr:col>3</xdr:col>
      <xdr:colOff>146957</xdr:colOff>
      <xdr:row>4044</xdr:row>
      <xdr:rowOff>189413</xdr:rowOff>
    </xdr:to>
    <xdr:pic>
      <xdr:nvPicPr>
        <xdr:cNvPr id="219" name="Imagen 218">
          <a:extLst>
            <a:ext uri="{FF2B5EF4-FFF2-40B4-BE49-F238E27FC236}">
              <a16:creationId xmlns:a16="http://schemas.microsoft.com/office/drawing/2014/main" id="{00000000-0008-0000-1200-0000DB000000}"/>
            </a:ext>
          </a:extLst>
        </xdr:cNvPr>
        <xdr:cNvPicPr>
          <a:picLocks noChangeAspect="1"/>
        </xdr:cNvPicPr>
      </xdr:nvPicPr>
      <xdr:blipFill>
        <a:blip xmlns:r="http://schemas.openxmlformats.org/officeDocument/2006/relationships" r:embed="rId1"/>
        <a:stretch>
          <a:fillRect/>
        </a:stretch>
      </xdr:blipFill>
      <xdr:spPr>
        <a:xfrm>
          <a:off x="190500" y="650537362"/>
          <a:ext cx="710837" cy="361951"/>
        </a:xfrm>
        <a:prstGeom prst="rect">
          <a:avLst/>
        </a:prstGeom>
      </xdr:spPr>
    </xdr:pic>
    <xdr:clientData/>
  </xdr:twoCellAnchor>
  <xdr:twoCellAnchor editAs="oneCell">
    <xdr:from>
      <xdr:col>1</xdr:col>
      <xdr:colOff>45720</xdr:colOff>
      <xdr:row>4054</xdr:row>
      <xdr:rowOff>68580</xdr:rowOff>
    </xdr:from>
    <xdr:to>
      <xdr:col>22</xdr:col>
      <xdr:colOff>165060</xdr:colOff>
      <xdr:row>4068</xdr:row>
      <xdr:rowOff>193538</xdr:rowOff>
    </xdr:to>
    <xdr:pic>
      <xdr:nvPicPr>
        <xdr:cNvPr id="221" name="Imagen 220">
          <a:extLst>
            <a:ext uri="{FF2B5EF4-FFF2-40B4-BE49-F238E27FC236}">
              <a16:creationId xmlns:a16="http://schemas.microsoft.com/office/drawing/2014/main" id="{00000000-0008-0000-1200-0000DD000000}"/>
            </a:ext>
          </a:extLst>
        </xdr:cNvPr>
        <xdr:cNvPicPr>
          <a:picLocks noChangeAspect="1"/>
        </xdr:cNvPicPr>
      </xdr:nvPicPr>
      <xdr:blipFill>
        <a:blip xmlns:r="http://schemas.openxmlformats.org/officeDocument/2006/relationships" r:embed="rId75"/>
        <a:stretch>
          <a:fillRect/>
        </a:stretch>
      </xdr:blipFill>
      <xdr:spPr>
        <a:xfrm>
          <a:off x="297180" y="836340720"/>
          <a:ext cx="5400000" cy="2898638"/>
        </a:xfrm>
        <a:prstGeom prst="rect">
          <a:avLst/>
        </a:prstGeom>
      </xdr:spPr>
    </xdr:pic>
    <xdr:clientData/>
  </xdr:twoCellAnchor>
  <xdr:twoCellAnchor>
    <xdr:from>
      <xdr:col>0</xdr:col>
      <xdr:colOff>190500</xdr:colOff>
      <xdr:row>4121</xdr:row>
      <xdr:rowOff>40822</xdr:rowOff>
    </xdr:from>
    <xdr:to>
      <xdr:col>3</xdr:col>
      <xdr:colOff>146957</xdr:colOff>
      <xdr:row>4122</xdr:row>
      <xdr:rowOff>326573</xdr:rowOff>
    </xdr:to>
    <xdr:pic>
      <xdr:nvPicPr>
        <xdr:cNvPr id="222" name="Imagen 221">
          <a:extLst>
            <a:ext uri="{FF2B5EF4-FFF2-40B4-BE49-F238E27FC236}">
              <a16:creationId xmlns:a16="http://schemas.microsoft.com/office/drawing/2014/main" id="{00000000-0008-0000-1200-0000DE000000}"/>
            </a:ext>
          </a:extLst>
        </xdr:cNvPr>
        <xdr:cNvPicPr>
          <a:picLocks noChangeAspect="1"/>
        </xdr:cNvPicPr>
      </xdr:nvPicPr>
      <xdr:blipFill>
        <a:blip xmlns:r="http://schemas.openxmlformats.org/officeDocument/2006/relationships" r:embed="rId1"/>
        <a:stretch>
          <a:fillRect/>
        </a:stretch>
      </xdr:blipFill>
      <xdr:spPr>
        <a:xfrm>
          <a:off x="190500" y="658096402"/>
          <a:ext cx="710837" cy="361951"/>
        </a:xfrm>
        <a:prstGeom prst="rect">
          <a:avLst/>
        </a:prstGeom>
      </xdr:spPr>
    </xdr:pic>
    <xdr:clientData/>
  </xdr:twoCellAnchor>
  <xdr:twoCellAnchor>
    <xdr:from>
      <xdr:col>0</xdr:col>
      <xdr:colOff>190500</xdr:colOff>
      <xdr:row>4159</xdr:row>
      <xdr:rowOff>40822</xdr:rowOff>
    </xdr:from>
    <xdr:to>
      <xdr:col>3</xdr:col>
      <xdr:colOff>146957</xdr:colOff>
      <xdr:row>4160</xdr:row>
      <xdr:rowOff>326573</xdr:rowOff>
    </xdr:to>
    <xdr:pic>
      <xdr:nvPicPr>
        <xdr:cNvPr id="223" name="Imagen 222">
          <a:extLst>
            <a:ext uri="{FF2B5EF4-FFF2-40B4-BE49-F238E27FC236}">
              <a16:creationId xmlns:a16="http://schemas.microsoft.com/office/drawing/2014/main" id="{00000000-0008-0000-1200-0000DF000000}"/>
            </a:ext>
          </a:extLst>
        </xdr:cNvPr>
        <xdr:cNvPicPr>
          <a:picLocks noChangeAspect="1"/>
        </xdr:cNvPicPr>
      </xdr:nvPicPr>
      <xdr:blipFill>
        <a:blip xmlns:r="http://schemas.openxmlformats.org/officeDocument/2006/relationships" r:embed="rId1"/>
        <a:stretch>
          <a:fillRect/>
        </a:stretch>
      </xdr:blipFill>
      <xdr:spPr>
        <a:xfrm>
          <a:off x="190500" y="665922142"/>
          <a:ext cx="710837" cy="361951"/>
        </a:xfrm>
        <a:prstGeom prst="rect">
          <a:avLst/>
        </a:prstGeom>
      </xdr:spPr>
    </xdr:pic>
    <xdr:clientData/>
  </xdr:twoCellAnchor>
  <xdr:twoCellAnchor editAs="oneCell">
    <xdr:from>
      <xdr:col>2</xdr:col>
      <xdr:colOff>0</xdr:colOff>
      <xdr:row>4131</xdr:row>
      <xdr:rowOff>152400</xdr:rowOff>
    </xdr:from>
    <xdr:to>
      <xdr:col>23</xdr:col>
      <xdr:colOff>119340</xdr:colOff>
      <xdr:row>4146</xdr:row>
      <xdr:rowOff>79238</xdr:rowOff>
    </xdr:to>
    <xdr:pic>
      <xdr:nvPicPr>
        <xdr:cNvPr id="226" name="Imagen 225">
          <a:extLst>
            <a:ext uri="{FF2B5EF4-FFF2-40B4-BE49-F238E27FC236}">
              <a16:creationId xmlns:a16="http://schemas.microsoft.com/office/drawing/2014/main" id="{00000000-0008-0000-1200-0000E2000000}"/>
            </a:ext>
          </a:extLst>
        </xdr:cNvPr>
        <xdr:cNvPicPr>
          <a:picLocks noChangeAspect="1"/>
        </xdr:cNvPicPr>
      </xdr:nvPicPr>
      <xdr:blipFill>
        <a:blip xmlns:r="http://schemas.openxmlformats.org/officeDocument/2006/relationships" r:embed="rId75"/>
        <a:stretch>
          <a:fillRect/>
        </a:stretch>
      </xdr:blipFill>
      <xdr:spPr>
        <a:xfrm>
          <a:off x="502920" y="843793080"/>
          <a:ext cx="5400000" cy="2898638"/>
        </a:xfrm>
        <a:prstGeom prst="rect">
          <a:avLst/>
        </a:prstGeom>
      </xdr:spPr>
    </xdr:pic>
    <xdr:clientData/>
  </xdr:twoCellAnchor>
  <xdr:twoCellAnchor editAs="oneCell">
    <xdr:from>
      <xdr:col>1</xdr:col>
      <xdr:colOff>198120</xdr:colOff>
      <xdr:row>4171</xdr:row>
      <xdr:rowOff>114300</xdr:rowOff>
    </xdr:from>
    <xdr:to>
      <xdr:col>23</xdr:col>
      <xdr:colOff>66000</xdr:colOff>
      <xdr:row>4186</xdr:row>
      <xdr:rowOff>41138</xdr:rowOff>
    </xdr:to>
    <xdr:pic>
      <xdr:nvPicPr>
        <xdr:cNvPr id="227" name="Imagen 226">
          <a:extLst>
            <a:ext uri="{FF2B5EF4-FFF2-40B4-BE49-F238E27FC236}">
              <a16:creationId xmlns:a16="http://schemas.microsoft.com/office/drawing/2014/main" id="{00000000-0008-0000-1200-0000E3000000}"/>
            </a:ext>
          </a:extLst>
        </xdr:cNvPr>
        <xdr:cNvPicPr>
          <a:picLocks noChangeAspect="1"/>
        </xdr:cNvPicPr>
      </xdr:nvPicPr>
      <xdr:blipFill>
        <a:blip xmlns:r="http://schemas.openxmlformats.org/officeDocument/2006/relationships" r:embed="rId75"/>
        <a:stretch>
          <a:fillRect/>
        </a:stretch>
      </xdr:blipFill>
      <xdr:spPr>
        <a:xfrm>
          <a:off x="449580" y="851976960"/>
          <a:ext cx="5400000" cy="2898638"/>
        </a:xfrm>
        <a:prstGeom prst="rect">
          <a:avLst/>
        </a:prstGeom>
      </xdr:spPr>
    </xdr:pic>
    <xdr:clientData/>
  </xdr:twoCellAnchor>
  <xdr:twoCellAnchor>
    <xdr:from>
      <xdr:col>0</xdr:col>
      <xdr:colOff>190500</xdr:colOff>
      <xdr:row>4197</xdr:row>
      <xdr:rowOff>17962</xdr:rowOff>
    </xdr:from>
    <xdr:to>
      <xdr:col>3</xdr:col>
      <xdr:colOff>146957</xdr:colOff>
      <xdr:row>4198</xdr:row>
      <xdr:rowOff>181793</xdr:rowOff>
    </xdr:to>
    <xdr:pic>
      <xdr:nvPicPr>
        <xdr:cNvPr id="228" name="Imagen 227">
          <a:extLst>
            <a:ext uri="{FF2B5EF4-FFF2-40B4-BE49-F238E27FC236}">
              <a16:creationId xmlns:a16="http://schemas.microsoft.com/office/drawing/2014/main" id="{00000000-0008-0000-1200-0000E4000000}"/>
            </a:ext>
          </a:extLst>
        </xdr:cNvPr>
        <xdr:cNvPicPr>
          <a:picLocks noChangeAspect="1"/>
        </xdr:cNvPicPr>
      </xdr:nvPicPr>
      <xdr:blipFill>
        <a:blip xmlns:r="http://schemas.openxmlformats.org/officeDocument/2006/relationships" r:embed="rId1"/>
        <a:stretch>
          <a:fillRect/>
        </a:stretch>
      </xdr:blipFill>
      <xdr:spPr>
        <a:xfrm>
          <a:off x="190500" y="825568762"/>
          <a:ext cx="710837" cy="361951"/>
        </a:xfrm>
        <a:prstGeom prst="rect">
          <a:avLst/>
        </a:prstGeom>
      </xdr:spPr>
    </xdr:pic>
    <xdr:clientData/>
  </xdr:twoCellAnchor>
  <xdr:twoCellAnchor editAs="oneCell">
    <xdr:from>
      <xdr:col>1</xdr:col>
      <xdr:colOff>175260</xdr:colOff>
      <xdr:row>4208</xdr:row>
      <xdr:rowOff>129540</xdr:rowOff>
    </xdr:from>
    <xdr:to>
      <xdr:col>23</xdr:col>
      <xdr:colOff>43140</xdr:colOff>
      <xdr:row>4224</xdr:row>
      <xdr:rowOff>62332</xdr:rowOff>
    </xdr:to>
    <xdr:pic>
      <xdr:nvPicPr>
        <xdr:cNvPr id="230" name="Imagen 229">
          <a:extLst>
            <a:ext uri="{FF2B5EF4-FFF2-40B4-BE49-F238E27FC236}">
              <a16:creationId xmlns:a16="http://schemas.microsoft.com/office/drawing/2014/main" id="{00000000-0008-0000-1200-0000E6000000}"/>
            </a:ext>
          </a:extLst>
        </xdr:cNvPr>
        <xdr:cNvPicPr>
          <a:picLocks noChangeAspect="1"/>
        </xdr:cNvPicPr>
      </xdr:nvPicPr>
      <xdr:blipFill>
        <a:blip xmlns:r="http://schemas.openxmlformats.org/officeDocument/2006/relationships" r:embed="rId78"/>
        <a:stretch>
          <a:fillRect/>
        </a:stretch>
      </xdr:blipFill>
      <xdr:spPr>
        <a:xfrm>
          <a:off x="426720" y="859604580"/>
          <a:ext cx="5400000" cy="3102712"/>
        </a:xfrm>
        <a:prstGeom prst="rect">
          <a:avLst/>
        </a:prstGeom>
      </xdr:spPr>
    </xdr:pic>
    <xdr:clientData/>
  </xdr:twoCellAnchor>
  <xdr:twoCellAnchor>
    <xdr:from>
      <xdr:col>0</xdr:col>
      <xdr:colOff>190500</xdr:colOff>
      <xdr:row>4238</xdr:row>
      <xdr:rowOff>17962</xdr:rowOff>
    </xdr:from>
    <xdr:to>
      <xdr:col>3</xdr:col>
      <xdr:colOff>146957</xdr:colOff>
      <xdr:row>4239</xdr:row>
      <xdr:rowOff>181793</xdr:rowOff>
    </xdr:to>
    <xdr:pic>
      <xdr:nvPicPr>
        <xdr:cNvPr id="231" name="Imagen 230">
          <a:extLst>
            <a:ext uri="{FF2B5EF4-FFF2-40B4-BE49-F238E27FC236}">
              <a16:creationId xmlns:a16="http://schemas.microsoft.com/office/drawing/2014/main" id="{00000000-0008-0000-1200-0000E7000000}"/>
            </a:ext>
          </a:extLst>
        </xdr:cNvPr>
        <xdr:cNvPicPr>
          <a:picLocks noChangeAspect="1"/>
        </xdr:cNvPicPr>
      </xdr:nvPicPr>
      <xdr:blipFill>
        <a:blip xmlns:r="http://schemas.openxmlformats.org/officeDocument/2006/relationships" r:embed="rId1"/>
        <a:stretch>
          <a:fillRect/>
        </a:stretch>
      </xdr:blipFill>
      <xdr:spPr>
        <a:xfrm>
          <a:off x="190500" y="857161282"/>
          <a:ext cx="710837" cy="361951"/>
        </a:xfrm>
        <a:prstGeom prst="rect">
          <a:avLst/>
        </a:prstGeom>
      </xdr:spPr>
    </xdr:pic>
    <xdr:clientData/>
  </xdr:twoCellAnchor>
  <xdr:twoCellAnchor editAs="oneCell">
    <xdr:from>
      <xdr:col>0</xdr:col>
      <xdr:colOff>60960</xdr:colOff>
      <xdr:row>4251</xdr:row>
      <xdr:rowOff>114300</xdr:rowOff>
    </xdr:from>
    <xdr:to>
      <xdr:col>24</xdr:col>
      <xdr:colOff>145920</xdr:colOff>
      <xdr:row>4264</xdr:row>
      <xdr:rowOff>90100</xdr:rowOff>
    </xdr:to>
    <xdr:pic>
      <xdr:nvPicPr>
        <xdr:cNvPr id="233" name="Imagen 232">
          <a:extLst>
            <a:ext uri="{FF2B5EF4-FFF2-40B4-BE49-F238E27FC236}">
              <a16:creationId xmlns:a16="http://schemas.microsoft.com/office/drawing/2014/main" id="{00000000-0008-0000-1200-0000E9000000}"/>
            </a:ext>
          </a:extLst>
        </xdr:cNvPr>
        <xdr:cNvPicPr>
          <a:picLocks noChangeAspect="1"/>
        </xdr:cNvPicPr>
      </xdr:nvPicPr>
      <xdr:blipFill>
        <a:blip xmlns:r="http://schemas.openxmlformats.org/officeDocument/2006/relationships" r:embed="rId79"/>
        <a:stretch>
          <a:fillRect/>
        </a:stretch>
      </xdr:blipFill>
      <xdr:spPr>
        <a:xfrm>
          <a:off x="60960" y="868390440"/>
          <a:ext cx="6120000" cy="2551360"/>
        </a:xfrm>
        <a:prstGeom prst="rect">
          <a:avLst/>
        </a:prstGeom>
      </xdr:spPr>
    </xdr:pic>
    <xdr:clientData/>
  </xdr:twoCellAnchor>
  <xdr:twoCellAnchor>
    <xdr:from>
      <xdr:col>0</xdr:col>
      <xdr:colOff>190500</xdr:colOff>
      <xdr:row>4279</xdr:row>
      <xdr:rowOff>17962</xdr:rowOff>
    </xdr:from>
    <xdr:to>
      <xdr:col>3</xdr:col>
      <xdr:colOff>146957</xdr:colOff>
      <xdr:row>4280</xdr:row>
      <xdr:rowOff>181793</xdr:rowOff>
    </xdr:to>
    <xdr:pic>
      <xdr:nvPicPr>
        <xdr:cNvPr id="234" name="Imagen 233">
          <a:extLst>
            <a:ext uri="{FF2B5EF4-FFF2-40B4-BE49-F238E27FC236}">
              <a16:creationId xmlns:a16="http://schemas.microsoft.com/office/drawing/2014/main" id="{00000000-0008-0000-1200-0000EA000000}"/>
            </a:ext>
          </a:extLst>
        </xdr:cNvPr>
        <xdr:cNvPicPr>
          <a:picLocks noChangeAspect="1"/>
        </xdr:cNvPicPr>
      </xdr:nvPicPr>
      <xdr:blipFill>
        <a:blip xmlns:r="http://schemas.openxmlformats.org/officeDocument/2006/relationships" r:embed="rId1"/>
        <a:stretch>
          <a:fillRect/>
        </a:stretch>
      </xdr:blipFill>
      <xdr:spPr>
        <a:xfrm>
          <a:off x="190500" y="865566142"/>
          <a:ext cx="710837" cy="361951"/>
        </a:xfrm>
        <a:prstGeom prst="rect">
          <a:avLst/>
        </a:prstGeom>
      </xdr:spPr>
    </xdr:pic>
    <xdr:clientData/>
  </xdr:twoCellAnchor>
  <xdr:twoCellAnchor>
    <xdr:from>
      <xdr:col>0</xdr:col>
      <xdr:colOff>190500</xdr:colOff>
      <xdr:row>4320</xdr:row>
      <xdr:rowOff>17962</xdr:rowOff>
    </xdr:from>
    <xdr:to>
      <xdr:col>3</xdr:col>
      <xdr:colOff>146957</xdr:colOff>
      <xdr:row>4321</xdr:row>
      <xdr:rowOff>181793</xdr:rowOff>
    </xdr:to>
    <xdr:pic>
      <xdr:nvPicPr>
        <xdr:cNvPr id="236" name="Imagen 235">
          <a:extLst>
            <a:ext uri="{FF2B5EF4-FFF2-40B4-BE49-F238E27FC236}">
              <a16:creationId xmlns:a16="http://schemas.microsoft.com/office/drawing/2014/main" id="{00000000-0008-0000-1200-0000EC000000}"/>
            </a:ext>
          </a:extLst>
        </xdr:cNvPr>
        <xdr:cNvPicPr>
          <a:picLocks noChangeAspect="1"/>
        </xdr:cNvPicPr>
      </xdr:nvPicPr>
      <xdr:blipFill>
        <a:blip xmlns:r="http://schemas.openxmlformats.org/officeDocument/2006/relationships" r:embed="rId1"/>
        <a:stretch>
          <a:fillRect/>
        </a:stretch>
      </xdr:blipFill>
      <xdr:spPr>
        <a:xfrm>
          <a:off x="190500" y="873971002"/>
          <a:ext cx="710837" cy="361951"/>
        </a:xfrm>
        <a:prstGeom prst="rect">
          <a:avLst/>
        </a:prstGeom>
      </xdr:spPr>
    </xdr:pic>
    <xdr:clientData/>
  </xdr:twoCellAnchor>
  <xdr:twoCellAnchor editAs="oneCell">
    <xdr:from>
      <xdr:col>1</xdr:col>
      <xdr:colOff>30480</xdr:colOff>
      <xdr:row>4335</xdr:row>
      <xdr:rowOff>68580</xdr:rowOff>
    </xdr:from>
    <xdr:to>
      <xdr:col>22</xdr:col>
      <xdr:colOff>149820</xdr:colOff>
      <xdr:row>4347</xdr:row>
      <xdr:rowOff>161565</xdr:rowOff>
    </xdr:to>
    <xdr:pic>
      <xdr:nvPicPr>
        <xdr:cNvPr id="237" name="Imagen 236">
          <a:extLst>
            <a:ext uri="{FF2B5EF4-FFF2-40B4-BE49-F238E27FC236}">
              <a16:creationId xmlns:a16="http://schemas.microsoft.com/office/drawing/2014/main" id="{00000000-0008-0000-1200-0000ED000000}"/>
            </a:ext>
          </a:extLst>
        </xdr:cNvPr>
        <xdr:cNvPicPr>
          <a:picLocks noChangeAspect="1"/>
        </xdr:cNvPicPr>
      </xdr:nvPicPr>
      <xdr:blipFill>
        <a:blip xmlns:r="http://schemas.openxmlformats.org/officeDocument/2006/relationships" r:embed="rId80"/>
        <a:stretch>
          <a:fillRect/>
        </a:stretch>
      </xdr:blipFill>
      <xdr:spPr>
        <a:xfrm>
          <a:off x="281940" y="885550680"/>
          <a:ext cx="5400000" cy="2470425"/>
        </a:xfrm>
        <a:prstGeom prst="rect">
          <a:avLst/>
        </a:prstGeom>
      </xdr:spPr>
    </xdr:pic>
    <xdr:clientData/>
  </xdr:twoCellAnchor>
  <xdr:twoCellAnchor>
    <xdr:from>
      <xdr:col>0</xdr:col>
      <xdr:colOff>190500</xdr:colOff>
      <xdr:row>4361</xdr:row>
      <xdr:rowOff>17962</xdr:rowOff>
    </xdr:from>
    <xdr:to>
      <xdr:col>3</xdr:col>
      <xdr:colOff>146957</xdr:colOff>
      <xdr:row>4362</xdr:row>
      <xdr:rowOff>181793</xdr:rowOff>
    </xdr:to>
    <xdr:pic>
      <xdr:nvPicPr>
        <xdr:cNvPr id="238" name="Imagen 237">
          <a:extLst>
            <a:ext uri="{FF2B5EF4-FFF2-40B4-BE49-F238E27FC236}">
              <a16:creationId xmlns:a16="http://schemas.microsoft.com/office/drawing/2014/main" id="{00000000-0008-0000-1200-0000EE000000}"/>
            </a:ext>
          </a:extLst>
        </xdr:cNvPr>
        <xdr:cNvPicPr>
          <a:picLocks noChangeAspect="1"/>
        </xdr:cNvPicPr>
      </xdr:nvPicPr>
      <xdr:blipFill>
        <a:blip xmlns:r="http://schemas.openxmlformats.org/officeDocument/2006/relationships" r:embed="rId1"/>
        <a:stretch>
          <a:fillRect/>
        </a:stretch>
      </xdr:blipFill>
      <xdr:spPr>
        <a:xfrm>
          <a:off x="190500" y="882375862"/>
          <a:ext cx="710837" cy="361951"/>
        </a:xfrm>
        <a:prstGeom prst="rect">
          <a:avLst/>
        </a:prstGeom>
      </xdr:spPr>
    </xdr:pic>
    <xdr:clientData/>
  </xdr:twoCellAnchor>
  <xdr:twoCellAnchor editAs="oneCell">
    <xdr:from>
      <xdr:col>0</xdr:col>
      <xdr:colOff>76200</xdr:colOff>
      <xdr:row>4374</xdr:row>
      <xdr:rowOff>129539</xdr:rowOff>
    </xdr:from>
    <xdr:to>
      <xdr:col>24</xdr:col>
      <xdr:colOff>161160</xdr:colOff>
      <xdr:row>4387</xdr:row>
      <xdr:rowOff>183350</xdr:rowOff>
    </xdr:to>
    <xdr:pic>
      <xdr:nvPicPr>
        <xdr:cNvPr id="240" name="Imagen 239">
          <a:extLst>
            <a:ext uri="{FF2B5EF4-FFF2-40B4-BE49-F238E27FC236}">
              <a16:creationId xmlns:a16="http://schemas.microsoft.com/office/drawing/2014/main" id="{00000000-0008-0000-1200-0000F0000000}"/>
            </a:ext>
          </a:extLst>
        </xdr:cNvPr>
        <xdr:cNvPicPr>
          <a:picLocks noChangeAspect="1"/>
        </xdr:cNvPicPr>
      </xdr:nvPicPr>
      <xdr:blipFill>
        <a:blip xmlns:r="http://schemas.openxmlformats.org/officeDocument/2006/relationships" r:embed="rId81"/>
        <a:stretch>
          <a:fillRect/>
        </a:stretch>
      </xdr:blipFill>
      <xdr:spPr>
        <a:xfrm>
          <a:off x="76200" y="893620259"/>
          <a:ext cx="6120000" cy="2629371"/>
        </a:xfrm>
        <a:prstGeom prst="rect">
          <a:avLst/>
        </a:prstGeom>
      </xdr:spPr>
    </xdr:pic>
    <xdr:clientData/>
  </xdr:twoCellAnchor>
  <xdr:twoCellAnchor>
    <xdr:from>
      <xdr:col>0</xdr:col>
      <xdr:colOff>190500</xdr:colOff>
      <xdr:row>4402</xdr:row>
      <xdr:rowOff>17962</xdr:rowOff>
    </xdr:from>
    <xdr:to>
      <xdr:col>3</xdr:col>
      <xdr:colOff>146957</xdr:colOff>
      <xdr:row>4403</xdr:row>
      <xdr:rowOff>181793</xdr:rowOff>
    </xdr:to>
    <xdr:pic>
      <xdr:nvPicPr>
        <xdr:cNvPr id="211" name="Imagen 210">
          <a:extLst>
            <a:ext uri="{FF2B5EF4-FFF2-40B4-BE49-F238E27FC236}">
              <a16:creationId xmlns:a16="http://schemas.microsoft.com/office/drawing/2014/main" id="{00000000-0008-0000-1200-0000D3000000}"/>
            </a:ext>
          </a:extLst>
        </xdr:cNvPr>
        <xdr:cNvPicPr>
          <a:picLocks noChangeAspect="1"/>
        </xdr:cNvPicPr>
      </xdr:nvPicPr>
      <xdr:blipFill>
        <a:blip xmlns:r="http://schemas.openxmlformats.org/officeDocument/2006/relationships" r:embed="rId1"/>
        <a:stretch>
          <a:fillRect/>
        </a:stretch>
      </xdr:blipFill>
      <xdr:spPr>
        <a:xfrm>
          <a:off x="190500" y="890780722"/>
          <a:ext cx="710837" cy="361951"/>
        </a:xfrm>
        <a:prstGeom prst="rect">
          <a:avLst/>
        </a:prstGeom>
      </xdr:spPr>
    </xdr:pic>
    <xdr:clientData/>
  </xdr:twoCellAnchor>
  <xdr:twoCellAnchor editAs="oneCell">
    <xdr:from>
      <xdr:col>0</xdr:col>
      <xdr:colOff>190500</xdr:colOff>
      <xdr:row>4415</xdr:row>
      <xdr:rowOff>60960</xdr:rowOff>
    </xdr:from>
    <xdr:to>
      <xdr:col>23</xdr:col>
      <xdr:colOff>166920</xdr:colOff>
      <xdr:row>4429</xdr:row>
      <xdr:rowOff>32195</xdr:rowOff>
    </xdr:to>
    <xdr:pic>
      <xdr:nvPicPr>
        <xdr:cNvPr id="146" name="Imagen 145">
          <a:extLst>
            <a:ext uri="{FF2B5EF4-FFF2-40B4-BE49-F238E27FC236}">
              <a16:creationId xmlns:a16="http://schemas.microsoft.com/office/drawing/2014/main" id="{00000000-0008-0000-1200-000092000000}"/>
            </a:ext>
          </a:extLst>
        </xdr:cNvPr>
        <xdr:cNvPicPr>
          <a:picLocks noChangeAspect="1"/>
        </xdr:cNvPicPr>
      </xdr:nvPicPr>
      <xdr:blipFill>
        <a:blip xmlns:r="http://schemas.openxmlformats.org/officeDocument/2006/relationships" r:embed="rId82"/>
        <a:stretch>
          <a:fillRect/>
        </a:stretch>
      </xdr:blipFill>
      <xdr:spPr>
        <a:xfrm>
          <a:off x="190500" y="901956540"/>
          <a:ext cx="5760000" cy="2744915"/>
        </a:xfrm>
        <a:prstGeom prst="rect">
          <a:avLst/>
        </a:prstGeom>
      </xdr:spPr>
    </xdr:pic>
    <xdr:clientData/>
  </xdr:twoCellAnchor>
  <xdr:twoCellAnchor>
    <xdr:from>
      <xdr:col>0</xdr:col>
      <xdr:colOff>190500</xdr:colOff>
      <xdr:row>4443</xdr:row>
      <xdr:rowOff>17962</xdr:rowOff>
    </xdr:from>
    <xdr:to>
      <xdr:col>3</xdr:col>
      <xdr:colOff>146957</xdr:colOff>
      <xdr:row>4444</xdr:row>
      <xdr:rowOff>181793</xdr:rowOff>
    </xdr:to>
    <xdr:pic>
      <xdr:nvPicPr>
        <xdr:cNvPr id="220" name="Imagen 219">
          <a:extLst>
            <a:ext uri="{FF2B5EF4-FFF2-40B4-BE49-F238E27FC236}">
              <a16:creationId xmlns:a16="http://schemas.microsoft.com/office/drawing/2014/main" id="{00000000-0008-0000-1200-0000DC000000}"/>
            </a:ext>
          </a:extLst>
        </xdr:cNvPr>
        <xdr:cNvPicPr>
          <a:picLocks noChangeAspect="1"/>
        </xdr:cNvPicPr>
      </xdr:nvPicPr>
      <xdr:blipFill>
        <a:blip xmlns:r="http://schemas.openxmlformats.org/officeDocument/2006/relationships" r:embed="rId1"/>
        <a:stretch>
          <a:fillRect/>
        </a:stretch>
      </xdr:blipFill>
      <xdr:spPr>
        <a:xfrm>
          <a:off x="190500" y="899185582"/>
          <a:ext cx="710837" cy="361951"/>
        </a:xfrm>
        <a:prstGeom prst="rect">
          <a:avLst/>
        </a:prstGeom>
      </xdr:spPr>
    </xdr:pic>
    <xdr:clientData/>
  </xdr:twoCellAnchor>
  <xdr:twoCellAnchor editAs="oneCell">
    <xdr:from>
      <xdr:col>0</xdr:col>
      <xdr:colOff>167640</xdr:colOff>
      <xdr:row>4453</xdr:row>
      <xdr:rowOff>22860</xdr:rowOff>
    </xdr:from>
    <xdr:to>
      <xdr:col>23</xdr:col>
      <xdr:colOff>144060</xdr:colOff>
      <xdr:row>4474</xdr:row>
      <xdr:rowOff>127558</xdr:rowOff>
    </xdr:to>
    <xdr:pic>
      <xdr:nvPicPr>
        <xdr:cNvPr id="150" name="Imagen 149">
          <a:extLst>
            <a:ext uri="{FF2B5EF4-FFF2-40B4-BE49-F238E27FC236}">
              <a16:creationId xmlns:a16="http://schemas.microsoft.com/office/drawing/2014/main" id="{00000000-0008-0000-1200-000096000000}"/>
            </a:ext>
          </a:extLst>
        </xdr:cNvPr>
        <xdr:cNvPicPr>
          <a:picLocks noChangeAspect="1"/>
        </xdr:cNvPicPr>
      </xdr:nvPicPr>
      <xdr:blipFill>
        <a:blip xmlns:r="http://schemas.openxmlformats.org/officeDocument/2006/relationships" r:embed="rId83"/>
        <a:stretch>
          <a:fillRect/>
        </a:stretch>
      </xdr:blipFill>
      <xdr:spPr>
        <a:xfrm>
          <a:off x="167640" y="909919440"/>
          <a:ext cx="5760000" cy="4265218"/>
        </a:xfrm>
        <a:prstGeom prst="rect">
          <a:avLst/>
        </a:prstGeom>
      </xdr:spPr>
    </xdr:pic>
    <xdr:clientData/>
  </xdr:twoCellAnchor>
  <xdr:twoCellAnchor>
    <xdr:from>
      <xdr:col>0</xdr:col>
      <xdr:colOff>190500</xdr:colOff>
      <xdr:row>4484</xdr:row>
      <xdr:rowOff>17962</xdr:rowOff>
    </xdr:from>
    <xdr:to>
      <xdr:col>3</xdr:col>
      <xdr:colOff>146957</xdr:colOff>
      <xdr:row>4485</xdr:row>
      <xdr:rowOff>181793</xdr:rowOff>
    </xdr:to>
    <xdr:pic>
      <xdr:nvPicPr>
        <xdr:cNvPr id="225" name="Imagen 224">
          <a:extLst>
            <a:ext uri="{FF2B5EF4-FFF2-40B4-BE49-F238E27FC236}">
              <a16:creationId xmlns:a16="http://schemas.microsoft.com/office/drawing/2014/main" id="{00000000-0008-0000-1200-0000E1000000}"/>
            </a:ext>
          </a:extLst>
        </xdr:cNvPr>
        <xdr:cNvPicPr>
          <a:picLocks noChangeAspect="1"/>
        </xdr:cNvPicPr>
      </xdr:nvPicPr>
      <xdr:blipFill>
        <a:blip xmlns:r="http://schemas.openxmlformats.org/officeDocument/2006/relationships" r:embed="rId1"/>
        <a:stretch>
          <a:fillRect/>
        </a:stretch>
      </xdr:blipFill>
      <xdr:spPr>
        <a:xfrm>
          <a:off x="190500" y="907590442"/>
          <a:ext cx="710837" cy="361951"/>
        </a:xfrm>
        <a:prstGeom prst="rect">
          <a:avLst/>
        </a:prstGeom>
      </xdr:spPr>
    </xdr:pic>
    <xdr:clientData/>
  </xdr:twoCellAnchor>
  <xdr:twoCellAnchor editAs="oneCell">
    <xdr:from>
      <xdr:col>0</xdr:col>
      <xdr:colOff>243840</xdr:colOff>
      <xdr:row>4495</xdr:row>
      <xdr:rowOff>144780</xdr:rowOff>
    </xdr:from>
    <xdr:to>
      <xdr:col>23</xdr:col>
      <xdr:colOff>220260</xdr:colOff>
      <xdr:row>4512</xdr:row>
      <xdr:rowOff>138448</xdr:rowOff>
    </xdr:to>
    <xdr:pic>
      <xdr:nvPicPr>
        <xdr:cNvPr id="155" name="Imagen 154">
          <a:extLst>
            <a:ext uri="{FF2B5EF4-FFF2-40B4-BE49-F238E27FC236}">
              <a16:creationId xmlns:a16="http://schemas.microsoft.com/office/drawing/2014/main" id="{00000000-0008-0000-1200-00009B000000}"/>
            </a:ext>
          </a:extLst>
        </xdr:cNvPr>
        <xdr:cNvPicPr>
          <a:picLocks noChangeAspect="1"/>
        </xdr:cNvPicPr>
      </xdr:nvPicPr>
      <xdr:blipFill>
        <a:blip xmlns:r="http://schemas.openxmlformats.org/officeDocument/2006/relationships" r:embed="rId84"/>
        <a:stretch>
          <a:fillRect/>
        </a:stretch>
      </xdr:blipFill>
      <xdr:spPr>
        <a:xfrm>
          <a:off x="243840" y="918644340"/>
          <a:ext cx="5760000" cy="3361708"/>
        </a:xfrm>
        <a:prstGeom prst="rect">
          <a:avLst/>
        </a:prstGeom>
      </xdr:spPr>
    </xdr:pic>
    <xdr:clientData/>
  </xdr:twoCellAnchor>
  <xdr:twoCellAnchor>
    <xdr:from>
      <xdr:col>0</xdr:col>
      <xdr:colOff>190500</xdr:colOff>
      <xdr:row>4525</xdr:row>
      <xdr:rowOff>17962</xdr:rowOff>
    </xdr:from>
    <xdr:to>
      <xdr:col>3</xdr:col>
      <xdr:colOff>146957</xdr:colOff>
      <xdr:row>4526</xdr:row>
      <xdr:rowOff>181793</xdr:rowOff>
    </xdr:to>
    <xdr:pic>
      <xdr:nvPicPr>
        <xdr:cNvPr id="232" name="Imagen 231">
          <a:extLst>
            <a:ext uri="{FF2B5EF4-FFF2-40B4-BE49-F238E27FC236}">
              <a16:creationId xmlns:a16="http://schemas.microsoft.com/office/drawing/2014/main" id="{00000000-0008-0000-1200-0000E8000000}"/>
            </a:ext>
          </a:extLst>
        </xdr:cNvPr>
        <xdr:cNvPicPr>
          <a:picLocks noChangeAspect="1"/>
        </xdr:cNvPicPr>
      </xdr:nvPicPr>
      <xdr:blipFill>
        <a:blip xmlns:r="http://schemas.openxmlformats.org/officeDocument/2006/relationships" r:embed="rId1"/>
        <a:stretch>
          <a:fillRect/>
        </a:stretch>
      </xdr:blipFill>
      <xdr:spPr>
        <a:xfrm>
          <a:off x="190500" y="916185802"/>
          <a:ext cx="710837" cy="361951"/>
        </a:xfrm>
        <a:prstGeom prst="rect">
          <a:avLst/>
        </a:prstGeom>
      </xdr:spPr>
    </xdr:pic>
    <xdr:clientData/>
  </xdr:twoCellAnchor>
  <xdr:twoCellAnchor editAs="oneCell">
    <xdr:from>
      <xdr:col>0</xdr:col>
      <xdr:colOff>160020</xdr:colOff>
      <xdr:row>4536</xdr:row>
      <xdr:rowOff>175260</xdr:rowOff>
    </xdr:from>
    <xdr:to>
      <xdr:col>23</xdr:col>
      <xdr:colOff>136440</xdr:colOff>
      <xdr:row>4552</xdr:row>
      <xdr:rowOff>6085</xdr:rowOff>
    </xdr:to>
    <xdr:pic>
      <xdr:nvPicPr>
        <xdr:cNvPr id="157" name="Imagen 156">
          <a:extLst>
            <a:ext uri="{FF2B5EF4-FFF2-40B4-BE49-F238E27FC236}">
              <a16:creationId xmlns:a16="http://schemas.microsoft.com/office/drawing/2014/main" id="{00000000-0008-0000-1200-00009D000000}"/>
            </a:ext>
          </a:extLst>
        </xdr:cNvPr>
        <xdr:cNvPicPr>
          <a:picLocks noChangeAspect="1"/>
        </xdr:cNvPicPr>
      </xdr:nvPicPr>
      <xdr:blipFill>
        <a:blip xmlns:r="http://schemas.openxmlformats.org/officeDocument/2006/relationships" r:embed="rId85"/>
        <a:stretch>
          <a:fillRect/>
        </a:stretch>
      </xdr:blipFill>
      <xdr:spPr>
        <a:xfrm>
          <a:off x="160020" y="927079680"/>
          <a:ext cx="5760000" cy="3000745"/>
        </a:xfrm>
        <a:prstGeom prst="rect">
          <a:avLst/>
        </a:prstGeom>
      </xdr:spPr>
    </xdr:pic>
    <xdr:clientData/>
  </xdr:twoCellAnchor>
  <xdr:twoCellAnchor>
    <xdr:from>
      <xdr:col>0</xdr:col>
      <xdr:colOff>190500</xdr:colOff>
      <xdr:row>4566</xdr:row>
      <xdr:rowOff>17962</xdr:rowOff>
    </xdr:from>
    <xdr:to>
      <xdr:col>3</xdr:col>
      <xdr:colOff>146957</xdr:colOff>
      <xdr:row>4567</xdr:row>
      <xdr:rowOff>181793</xdr:rowOff>
    </xdr:to>
    <xdr:pic>
      <xdr:nvPicPr>
        <xdr:cNvPr id="239" name="Imagen 238">
          <a:extLst>
            <a:ext uri="{FF2B5EF4-FFF2-40B4-BE49-F238E27FC236}">
              <a16:creationId xmlns:a16="http://schemas.microsoft.com/office/drawing/2014/main" id="{00000000-0008-0000-1200-0000EF000000}"/>
            </a:ext>
          </a:extLst>
        </xdr:cNvPr>
        <xdr:cNvPicPr>
          <a:picLocks noChangeAspect="1"/>
        </xdr:cNvPicPr>
      </xdr:nvPicPr>
      <xdr:blipFill>
        <a:blip xmlns:r="http://schemas.openxmlformats.org/officeDocument/2006/relationships" r:embed="rId1"/>
        <a:stretch>
          <a:fillRect/>
        </a:stretch>
      </xdr:blipFill>
      <xdr:spPr>
        <a:xfrm>
          <a:off x="190500" y="924590662"/>
          <a:ext cx="710837" cy="361951"/>
        </a:xfrm>
        <a:prstGeom prst="rect">
          <a:avLst/>
        </a:prstGeom>
      </xdr:spPr>
    </xdr:pic>
    <xdr:clientData/>
  </xdr:twoCellAnchor>
  <xdr:twoCellAnchor editAs="oneCell">
    <xdr:from>
      <xdr:col>0</xdr:col>
      <xdr:colOff>205740</xdr:colOff>
      <xdr:row>4578</xdr:row>
      <xdr:rowOff>175261</xdr:rowOff>
    </xdr:from>
    <xdr:to>
      <xdr:col>23</xdr:col>
      <xdr:colOff>182160</xdr:colOff>
      <xdr:row>4591</xdr:row>
      <xdr:rowOff>88530</xdr:rowOff>
    </xdr:to>
    <xdr:pic>
      <xdr:nvPicPr>
        <xdr:cNvPr id="160" name="Imagen 159">
          <a:extLst>
            <a:ext uri="{FF2B5EF4-FFF2-40B4-BE49-F238E27FC236}">
              <a16:creationId xmlns:a16="http://schemas.microsoft.com/office/drawing/2014/main" id="{00000000-0008-0000-1200-0000A0000000}"/>
            </a:ext>
          </a:extLst>
        </xdr:cNvPr>
        <xdr:cNvPicPr>
          <a:picLocks noChangeAspect="1"/>
        </xdr:cNvPicPr>
      </xdr:nvPicPr>
      <xdr:blipFill>
        <a:blip xmlns:r="http://schemas.openxmlformats.org/officeDocument/2006/relationships" r:embed="rId86"/>
        <a:stretch>
          <a:fillRect/>
        </a:stretch>
      </xdr:blipFill>
      <xdr:spPr>
        <a:xfrm>
          <a:off x="205740" y="935682661"/>
          <a:ext cx="5760000" cy="2488829"/>
        </a:xfrm>
        <a:prstGeom prst="rect">
          <a:avLst/>
        </a:prstGeom>
      </xdr:spPr>
    </xdr:pic>
    <xdr:clientData/>
  </xdr:twoCellAnchor>
  <xdr:twoCellAnchor editAs="oneCell">
    <xdr:from>
      <xdr:col>0</xdr:col>
      <xdr:colOff>167640</xdr:colOff>
      <xdr:row>3974</xdr:row>
      <xdr:rowOff>121920</xdr:rowOff>
    </xdr:from>
    <xdr:to>
      <xdr:col>23</xdr:col>
      <xdr:colOff>144060</xdr:colOff>
      <xdr:row>3991</xdr:row>
      <xdr:rowOff>112558</xdr:rowOff>
    </xdr:to>
    <xdr:pic>
      <xdr:nvPicPr>
        <xdr:cNvPr id="162" name="Imagen 161">
          <a:extLst>
            <a:ext uri="{FF2B5EF4-FFF2-40B4-BE49-F238E27FC236}">
              <a16:creationId xmlns:a16="http://schemas.microsoft.com/office/drawing/2014/main" id="{00000000-0008-0000-1200-0000A2000000}"/>
            </a:ext>
          </a:extLst>
        </xdr:cNvPr>
        <xdr:cNvPicPr>
          <a:picLocks noChangeAspect="1"/>
        </xdr:cNvPicPr>
      </xdr:nvPicPr>
      <xdr:blipFill>
        <a:blip xmlns:r="http://schemas.openxmlformats.org/officeDocument/2006/relationships" r:embed="rId87"/>
        <a:stretch>
          <a:fillRect/>
        </a:stretch>
      </xdr:blipFill>
      <xdr:spPr>
        <a:xfrm>
          <a:off x="167640" y="819995820"/>
          <a:ext cx="5760000" cy="3358678"/>
        </a:xfrm>
        <a:prstGeom prst="rect">
          <a:avLst/>
        </a:prstGeom>
      </xdr:spPr>
    </xdr:pic>
    <xdr:clientData/>
  </xdr:twoCellAnchor>
  <xdr:twoCellAnchor>
    <xdr:from>
      <xdr:col>0</xdr:col>
      <xdr:colOff>190500</xdr:colOff>
      <xdr:row>4080</xdr:row>
      <xdr:rowOff>17962</xdr:rowOff>
    </xdr:from>
    <xdr:to>
      <xdr:col>3</xdr:col>
      <xdr:colOff>146957</xdr:colOff>
      <xdr:row>4081</xdr:row>
      <xdr:rowOff>181793</xdr:rowOff>
    </xdr:to>
    <xdr:pic>
      <xdr:nvPicPr>
        <xdr:cNvPr id="242" name="Imagen 241">
          <a:extLst>
            <a:ext uri="{FF2B5EF4-FFF2-40B4-BE49-F238E27FC236}">
              <a16:creationId xmlns:a16="http://schemas.microsoft.com/office/drawing/2014/main" id="{00000000-0008-0000-1200-0000F2000000}"/>
            </a:ext>
          </a:extLst>
        </xdr:cNvPr>
        <xdr:cNvPicPr>
          <a:picLocks noChangeAspect="1"/>
        </xdr:cNvPicPr>
      </xdr:nvPicPr>
      <xdr:blipFill>
        <a:blip xmlns:r="http://schemas.openxmlformats.org/officeDocument/2006/relationships" r:embed="rId1"/>
        <a:stretch>
          <a:fillRect/>
        </a:stretch>
      </xdr:blipFill>
      <xdr:spPr>
        <a:xfrm>
          <a:off x="190500" y="816973402"/>
          <a:ext cx="710837" cy="361951"/>
        </a:xfrm>
        <a:prstGeom prst="rect">
          <a:avLst/>
        </a:prstGeom>
      </xdr:spPr>
    </xdr:pic>
    <xdr:clientData/>
  </xdr:twoCellAnchor>
  <xdr:twoCellAnchor>
    <xdr:from>
      <xdr:col>0</xdr:col>
      <xdr:colOff>190500</xdr:colOff>
      <xdr:row>4607</xdr:row>
      <xdr:rowOff>17962</xdr:rowOff>
    </xdr:from>
    <xdr:to>
      <xdr:col>3</xdr:col>
      <xdr:colOff>146957</xdr:colOff>
      <xdr:row>4608</xdr:row>
      <xdr:rowOff>181793</xdr:rowOff>
    </xdr:to>
    <xdr:pic>
      <xdr:nvPicPr>
        <xdr:cNvPr id="244" name="Imagen 243">
          <a:extLst>
            <a:ext uri="{FF2B5EF4-FFF2-40B4-BE49-F238E27FC236}">
              <a16:creationId xmlns:a16="http://schemas.microsoft.com/office/drawing/2014/main" id="{00000000-0008-0000-1200-0000F4000000}"/>
            </a:ext>
          </a:extLst>
        </xdr:cNvPr>
        <xdr:cNvPicPr>
          <a:picLocks noChangeAspect="1"/>
        </xdr:cNvPicPr>
      </xdr:nvPicPr>
      <xdr:blipFill>
        <a:blip xmlns:r="http://schemas.openxmlformats.org/officeDocument/2006/relationships" r:embed="rId1"/>
        <a:stretch>
          <a:fillRect/>
        </a:stretch>
      </xdr:blipFill>
      <xdr:spPr>
        <a:xfrm>
          <a:off x="190500" y="941590882"/>
          <a:ext cx="710837" cy="361951"/>
        </a:xfrm>
        <a:prstGeom prst="rect">
          <a:avLst/>
        </a:prstGeom>
      </xdr:spPr>
    </xdr:pic>
    <xdr:clientData/>
  </xdr:twoCellAnchor>
  <xdr:twoCellAnchor editAs="oneCell">
    <xdr:from>
      <xdr:col>0</xdr:col>
      <xdr:colOff>236220</xdr:colOff>
      <xdr:row>4618</xdr:row>
      <xdr:rowOff>160021</xdr:rowOff>
    </xdr:from>
    <xdr:to>
      <xdr:col>23</xdr:col>
      <xdr:colOff>212640</xdr:colOff>
      <xdr:row>4634</xdr:row>
      <xdr:rowOff>118700</xdr:rowOff>
    </xdr:to>
    <xdr:pic>
      <xdr:nvPicPr>
        <xdr:cNvPr id="164" name="Imagen 163">
          <a:extLst>
            <a:ext uri="{FF2B5EF4-FFF2-40B4-BE49-F238E27FC236}">
              <a16:creationId xmlns:a16="http://schemas.microsoft.com/office/drawing/2014/main" id="{00000000-0008-0000-1200-0000A4000000}"/>
            </a:ext>
          </a:extLst>
        </xdr:cNvPr>
        <xdr:cNvPicPr>
          <a:picLocks noChangeAspect="1"/>
        </xdr:cNvPicPr>
      </xdr:nvPicPr>
      <xdr:blipFill>
        <a:blip xmlns:r="http://schemas.openxmlformats.org/officeDocument/2006/relationships" r:embed="rId88"/>
        <a:stretch>
          <a:fillRect/>
        </a:stretch>
      </xdr:blipFill>
      <xdr:spPr>
        <a:xfrm>
          <a:off x="236220" y="952469521"/>
          <a:ext cx="5760000" cy="3128599"/>
        </a:xfrm>
        <a:prstGeom prst="rect">
          <a:avLst/>
        </a:prstGeom>
      </xdr:spPr>
    </xdr:pic>
    <xdr:clientData/>
  </xdr:twoCellAnchor>
  <xdr:twoCellAnchor>
    <xdr:from>
      <xdr:col>0</xdr:col>
      <xdr:colOff>190500</xdr:colOff>
      <xdr:row>4648</xdr:row>
      <xdr:rowOff>17962</xdr:rowOff>
    </xdr:from>
    <xdr:to>
      <xdr:col>3</xdr:col>
      <xdr:colOff>146957</xdr:colOff>
      <xdr:row>4649</xdr:row>
      <xdr:rowOff>181793</xdr:rowOff>
    </xdr:to>
    <xdr:pic>
      <xdr:nvPicPr>
        <xdr:cNvPr id="246" name="Imagen 245">
          <a:extLst>
            <a:ext uri="{FF2B5EF4-FFF2-40B4-BE49-F238E27FC236}">
              <a16:creationId xmlns:a16="http://schemas.microsoft.com/office/drawing/2014/main" id="{00000000-0008-0000-1200-0000F6000000}"/>
            </a:ext>
          </a:extLst>
        </xdr:cNvPr>
        <xdr:cNvPicPr>
          <a:picLocks noChangeAspect="1"/>
        </xdr:cNvPicPr>
      </xdr:nvPicPr>
      <xdr:blipFill>
        <a:blip xmlns:r="http://schemas.openxmlformats.org/officeDocument/2006/relationships" r:embed="rId1"/>
        <a:stretch>
          <a:fillRect/>
        </a:stretch>
      </xdr:blipFill>
      <xdr:spPr>
        <a:xfrm>
          <a:off x="190500" y="949995742"/>
          <a:ext cx="710837" cy="361951"/>
        </a:xfrm>
        <a:prstGeom prst="rect">
          <a:avLst/>
        </a:prstGeom>
      </xdr:spPr>
    </xdr:pic>
    <xdr:clientData/>
  </xdr:twoCellAnchor>
  <xdr:twoCellAnchor editAs="oneCell">
    <xdr:from>
      <xdr:col>0</xdr:col>
      <xdr:colOff>167640</xdr:colOff>
      <xdr:row>4663</xdr:row>
      <xdr:rowOff>91440</xdr:rowOff>
    </xdr:from>
    <xdr:to>
      <xdr:col>23</xdr:col>
      <xdr:colOff>144060</xdr:colOff>
      <xdr:row>4676</xdr:row>
      <xdr:rowOff>133580</xdr:rowOff>
    </xdr:to>
    <xdr:pic>
      <xdr:nvPicPr>
        <xdr:cNvPr id="166" name="Imagen 165">
          <a:extLst>
            <a:ext uri="{FF2B5EF4-FFF2-40B4-BE49-F238E27FC236}">
              <a16:creationId xmlns:a16="http://schemas.microsoft.com/office/drawing/2014/main" id="{00000000-0008-0000-1200-0000A6000000}"/>
            </a:ext>
          </a:extLst>
        </xdr:cNvPr>
        <xdr:cNvPicPr>
          <a:picLocks noChangeAspect="1"/>
        </xdr:cNvPicPr>
      </xdr:nvPicPr>
      <xdr:blipFill>
        <a:blip xmlns:r="http://schemas.openxmlformats.org/officeDocument/2006/relationships" r:embed="rId89"/>
        <a:stretch>
          <a:fillRect/>
        </a:stretch>
      </xdr:blipFill>
      <xdr:spPr>
        <a:xfrm>
          <a:off x="167640" y="961598280"/>
          <a:ext cx="5760000" cy="2617700"/>
        </a:xfrm>
        <a:prstGeom prst="rect">
          <a:avLst/>
        </a:prstGeom>
      </xdr:spPr>
    </xdr:pic>
    <xdr:clientData/>
  </xdr:twoCellAnchor>
  <xdr:twoCellAnchor>
    <xdr:from>
      <xdr:col>0</xdr:col>
      <xdr:colOff>190500</xdr:colOff>
      <xdr:row>4689</xdr:row>
      <xdr:rowOff>17962</xdr:rowOff>
    </xdr:from>
    <xdr:to>
      <xdr:col>3</xdr:col>
      <xdr:colOff>146957</xdr:colOff>
      <xdr:row>4690</xdr:row>
      <xdr:rowOff>181793</xdr:rowOff>
    </xdr:to>
    <xdr:pic>
      <xdr:nvPicPr>
        <xdr:cNvPr id="248" name="Imagen 247">
          <a:extLst>
            <a:ext uri="{FF2B5EF4-FFF2-40B4-BE49-F238E27FC236}">
              <a16:creationId xmlns:a16="http://schemas.microsoft.com/office/drawing/2014/main" id="{00000000-0008-0000-1200-0000F8000000}"/>
            </a:ext>
          </a:extLst>
        </xdr:cNvPr>
        <xdr:cNvPicPr>
          <a:picLocks noChangeAspect="1"/>
        </xdr:cNvPicPr>
      </xdr:nvPicPr>
      <xdr:blipFill>
        <a:blip xmlns:r="http://schemas.openxmlformats.org/officeDocument/2006/relationships" r:embed="rId1"/>
        <a:stretch>
          <a:fillRect/>
        </a:stretch>
      </xdr:blipFill>
      <xdr:spPr>
        <a:xfrm>
          <a:off x="190500" y="958400602"/>
          <a:ext cx="710837" cy="361951"/>
        </a:xfrm>
        <a:prstGeom prst="rect">
          <a:avLst/>
        </a:prstGeom>
      </xdr:spPr>
    </xdr:pic>
    <xdr:clientData/>
  </xdr:twoCellAnchor>
  <xdr:twoCellAnchor editAs="oneCell">
    <xdr:from>
      <xdr:col>1</xdr:col>
      <xdr:colOff>22860</xdr:colOff>
      <xdr:row>4701</xdr:row>
      <xdr:rowOff>76200</xdr:rowOff>
    </xdr:from>
    <xdr:to>
      <xdr:col>24</xdr:col>
      <xdr:colOff>3090</xdr:colOff>
      <xdr:row>4716</xdr:row>
      <xdr:rowOff>78014</xdr:rowOff>
    </xdr:to>
    <xdr:pic>
      <xdr:nvPicPr>
        <xdr:cNvPr id="170" name="Imagen 169">
          <a:extLst>
            <a:ext uri="{FF2B5EF4-FFF2-40B4-BE49-F238E27FC236}">
              <a16:creationId xmlns:a16="http://schemas.microsoft.com/office/drawing/2014/main" id="{00000000-0008-0000-1200-0000AA000000}"/>
            </a:ext>
          </a:extLst>
        </xdr:cNvPr>
        <xdr:cNvPicPr>
          <a:picLocks noChangeAspect="1"/>
        </xdr:cNvPicPr>
      </xdr:nvPicPr>
      <xdr:blipFill>
        <a:blip xmlns:r="http://schemas.openxmlformats.org/officeDocument/2006/relationships" r:embed="rId90"/>
        <a:stretch>
          <a:fillRect/>
        </a:stretch>
      </xdr:blipFill>
      <xdr:spPr>
        <a:xfrm>
          <a:off x="274320" y="969393540"/>
          <a:ext cx="5760000" cy="2973614"/>
        </a:xfrm>
        <a:prstGeom prst="rect">
          <a:avLst/>
        </a:prstGeom>
      </xdr:spPr>
    </xdr:pic>
    <xdr:clientData/>
  </xdr:twoCellAnchor>
  <xdr:twoCellAnchor>
    <xdr:from>
      <xdr:col>0</xdr:col>
      <xdr:colOff>190500</xdr:colOff>
      <xdr:row>4730</xdr:row>
      <xdr:rowOff>17962</xdr:rowOff>
    </xdr:from>
    <xdr:to>
      <xdr:col>3</xdr:col>
      <xdr:colOff>146957</xdr:colOff>
      <xdr:row>4731</xdr:row>
      <xdr:rowOff>181793</xdr:rowOff>
    </xdr:to>
    <xdr:pic>
      <xdr:nvPicPr>
        <xdr:cNvPr id="250" name="Imagen 249">
          <a:extLst>
            <a:ext uri="{FF2B5EF4-FFF2-40B4-BE49-F238E27FC236}">
              <a16:creationId xmlns:a16="http://schemas.microsoft.com/office/drawing/2014/main" id="{00000000-0008-0000-1200-0000FA000000}"/>
            </a:ext>
          </a:extLst>
        </xdr:cNvPr>
        <xdr:cNvPicPr>
          <a:picLocks noChangeAspect="1"/>
        </xdr:cNvPicPr>
      </xdr:nvPicPr>
      <xdr:blipFill>
        <a:blip xmlns:r="http://schemas.openxmlformats.org/officeDocument/2006/relationships" r:embed="rId1"/>
        <a:stretch>
          <a:fillRect/>
        </a:stretch>
      </xdr:blipFill>
      <xdr:spPr>
        <a:xfrm>
          <a:off x="190500" y="966805462"/>
          <a:ext cx="710837" cy="361951"/>
        </a:xfrm>
        <a:prstGeom prst="rect">
          <a:avLst/>
        </a:prstGeom>
      </xdr:spPr>
    </xdr:pic>
    <xdr:clientData/>
  </xdr:twoCellAnchor>
  <xdr:twoCellAnchor>
    <xdr:from>
      <xdr:col>0</xdr:col>
      <xdr:colOff>190500</xdr:colOff>
      <xdr:row>4771</xdr:row>
      <xdr:rowOff>17962</xdr:rowOff>
    </xdr:from>
    <xdr:to>
      <xdr:col>3</xdr:col>
      <xdr:colOff>146957</xdr:colOff>
      <xdr:row>4772</xdr:row>
      <xdr:rowOff>181793</xdr:rowOff>
    </xdr:to>
    <xdr:pic>
      <xdr:nvPicPr>
        <xdr:cNvPr id="252" name="Imagen 251">
          <a:extLst>
            <a:ext uri="{FF2B5EF4-FFF2-40B4-BE49-F238E27FC236}">
              <a16:creationId xmlns:a16="http://schemas.microsoft.com/office/drawing/2014/main" id="{00000000-0008-0000-1200-0000FC000000}"/>
            </a:ext>
          </a:extLst>
        </xdr:cNvPr>
        <xdr:cNvPicPr>
          <a:picLocks noChangeAspect="1"/>
        </xdr:cNvPicPr>
      </xdr:nvPicPr>
      <xdr:blipFill>
        <a:blip xmlns:r="http://schemas.openxmlformats.org/officeDocument/2006/relationships" r:embed="rId1"/>
        <a:stretch>
          <a:fillRect/>
        </a:stretch>
      </xdr:blipFill>
      <xdr:spPr>
        <a:xfrm>
          <a:off x="190500" y="975210322"/>
          <a:ext cx="710837" cy="361951"/>
        </a:xfrm>
        <a:prstGeom prst="rect">
          <a:avLst/>
        </a:prstGeom>
      </xdr:spPr>
    </xdr:pic>
    <xdr:clientData/>
  </xdr:twoCellAnchor>
  <xdr:twoCellAnchor>
    <xdr:from>
      <xdr:col>0</xdr:col>
      <xdr:colOff>190500</xdr:colOff>
      <xdr:row>4812</xdr:row>
      <xdr:rowOff>17962</xdr:rowOff>
    </xdr:from>
    <xdr:to>
      <xdr:col>3</xdr:col>
      <xdr:colOff>146957</xdr:colOff>
      <xdr:row>4813</xdr:row>
      <xdr:rowOff>181793</xdr:rowOff>
    </xdr:to>
    <xdr:pic>
      <xdr:nvPicPr>
        <xdr:cNvPr id="254" name="Imagen 253">
          <a:extLst>
            <a:ext uri="{FF2B5EF4-FFF2-40B4-BE49-F238E27FC236}">
              <a16:creationId xmlns:a16="http://schemas.microsoft.com/office/drawing/2014/main" id="{00000000-0008-0000-1200-0000FE000000}"/>
            </a:ext>
          </a:extLst>
        </xdr:cNvPr>
        <xdr:cNvPicPr>
          <a:picLocks noChangeAspect="1"/>
        </xdr:cNvPicPr>
      </xdr:nvPicPr>
      <xdr:blipFill>
        <a:blip xmlns:r="http://schemas.openxmlformats.org/officeDocument/2006/relationships" r:embed="rId1"/>
        <a:stretch>
          <a:fillRect/>
        </a:stretch>
      </xdr:blipFill>
      <xdr:spPr>
        <a:xfrm>
          <a:off x="190500" y="992020042"/>
          <a:ext cx="710837" cy="361951"/>
        </a:xfrm>
        <a:prstGeom prst="rect">
          <a:avLst/>
        </a:prstGeom>
      </xdr:spPr>
    </xdr:pic>
    <xdr:clientData/>
  </xdr:twoCellAnchor>
  <xdr:twoCellAnchor>
    <xdr:from>
      <xdr:col>0</xdr:col>
      <xdr:colOff>190500</xdr:colOff>
      <xdr:row>4853</xdr:row>
      <xdr:rowOff>17962</xdr:rowOff>
    </xdr:from>
    <xdr:to>
      <xdr:col>3</xdr:col>
      <xdr:colOff>146957</xdr:colOff>
      <xdr:row>4854</xdr:row>
      <xdr:rowOff>181793</xdr:rowOff>
    </xdr:to>
    <xdr:pic>
      <xdr:nvPicPr>
        <xdr:cNvPr id="255" name="Imagen 254">
          <a:extLst>
            <a:ext uri="{FF2B5EF4-FFF2-40B4-BE49-F238E27FC236}">
              <a16:creationId xmlns:a16="http://schemas.microsoft.com/office/drawing/2014/main" id="{00000000-0008-0000-1200-0000FF000000}"/>
            </a:ext>
          </a:extLst>
        </xdr:cNvPr>
        <xdr:cNvPicPr>
          <a:picLocks noChangeAspect="1"/>
        </xdr:cNvPicPr>
      </xdr:nvPicPr>
      <xdr:blipFill>
        <a:blip xmlns:r="http://schemas.openxmlformats.org/officeDocument/2006/relationships" r:embed="rId1"/>
        <a:stretch>
          <a:fillRect/>
        </a:stretch>
      </xdr:blipFill>
      <xdr:spPr>
        <a:xfrm>
          <a:off x="190500" y="1000424902"/>
          <a:ext cx="710837" cy="361951"/>
        </a:xfrm>
        <a:prstGeom prst="rect">
          <a:avLst/>
        </a:prstGeom>
      </xdr:spPr>
    </xdr:pic>
    <xdr:clientData/>
  </xdr:twoCellAnchor>
  <xdr:twoCellAnchor>
    <xdr:from>
      <xdr:col>0</xdr:col>
      <xdr:colOff>190500</xdr:colOff>
      <xdr:row>4894</xdr:row>
      <xdr:rowOff>17962</xdr:rowOff>
    </xdr:from>
    <xdr:to>
      <xdr:col>3</xdr:col>
      <xdr:colOff>146957</xdr:colOff>
      <xdr:row>4895</xdr:row>
      <xdr:rowOff>181793</xdr:rowOff>
    </xdr:to>
    <xdr:pic>
      <xdr:nvPicPr>
        <xdr:cNvPr id="235" name="Imagen 234">
          <a:extLst>
            <a:ext uri="{FF2B5EF4-FFF2-40B4-BE49-F238E27FC236}">
              <a16:creationId xmlns:a16="http://schemas.microsoft.com/office/drawing/2014/main" id="{00000000-0008-0000-1200-0000EB000000}"/>
            </a:ext>
          </a:extLst>
        </xdr:cNvPr>
        <xdr:cNvPicPr>
          <a:picLocks noChangeAspect="1"/>
        </xdr:cNvPicPr>
      </xdr:nvPicPr>
      <xdr:blipFill>
        <a:blip xmlns:r="http://schemas.openxmlformats.org/officeDocument/2006/relationships" r:embed="rId1"/>
        <a:stretch>
          <a:fillRect/>
        </a:stretch>
      </xdr:blipFill>
      <xdr:spPr>
        <a:xfrm>
          <a:off x="190500" y="1009226002"/>
          <a:ext cx="710837" cy="361951"/>
        </a:xfrm>
        <a:prstGeom prst="rect">
          <a:avLst/>
        </a:prstGeom>
      </xdr:spPr>
    </xdr:pic>
    <xdr:clientData/>
  </xdr:twoCellAnchor>
  <xdr:twoCellAnchor editAs="oneCell">
    <xdr:from>
      <xdr:col>1</xdr:col>
      <xdr:colOff>76200</xdr:colOff>
      <xdr:row>4866</xdr:row>
      <xdr:rowOff>0</xdr:rowOff>
    </xdr:from>
    <xdr:to>
      <xdr:col>22</xdr:col>
      <xdr:colOff>195540</xdr:colOff>
      <xdr:row>4882</xdr:row>
      <xdr:rowOff>154618</xdr:rowOff>
    </xdr:to>
    <xdr:pic>
      <xdr:nvPicPr>
        <xdr:cNvPr id="171" name="Imagen 170">
          <a:extLst>
            <a:ext uri="{FF2B5EF4-FFF2-40B4-BE49-F238E27FC236}">
              <a16:creationId xmlns:a16="http://schemas.microsoft.com/office/drawing/2014/main" id="{00000000-0008-0000-1200-0000AB000000}"/>
            </a:ext>
          </a:extLst>
        </xdr:cNvPr>
        <xdr:cNvPicPr>
          <a:picLocks noChangeAspect="1"/>
        </xdr:cNvPicPr>
      </xdr:nvPicPr>
      <xdr:blipFill>
        <a:blip xmlns:r="http://schemas.openxmlformats.org/officeDocument/2006/relationships" r:embed="rId91"/>
        <a:stretch>
          <a:fillRect/>
        </a:stretch>
      </xdr:blipFill>
      <xdr:spPr>
        <a:xfrm>
          <a:off x="327660" y="1012126500"/>
          <a:ext cx="5400000" cy="3324538"/>
        </a:xfrm>
        <a:prstGeom prst="rect">
          <a:avLst/>
        </a:prstGeom>
      </xdr:spPr>
    </xdr:pic>
    <xdr:clientData/>
  </xdr:twoCellAnchor>
  <xdr:twoCellAnchor editAs="oneCell">
    <xdr:from>
      <xdr:col>0</xdr:col>
      <xdr:colOff>220980</xdr:colOff>
      <xdr:row>4908</xdr:row>
      <xdr:rowOff>114300</xdr:rowOff>
    </xdr:from>
    <xdr:to>
      <xdr:col>23</xdr:col>
      <xdr:colOff>197400</xdr:colOff>
      <xdr:row>4921</xdr:row>
      <xdr:rowOff>144240</xdr:rowOff>
    </xdr:to>
    <xdr:pic>
      <xdr:nvPicPr>
        <xdr:cNvPr id="175" name="Imagen 174">
          <a:extLst>
            <a:ext uri="{FF2B5EF4-FFF2-40B4-BE49-F238E27FC236}">
              <a16:creationId xmlns:a16="http://schemas.microsoft.com/office/drawing/2014/main" id="{00000000-0008-0000-1200-0000AF000000}"/>
            </a:ext>
          </a:extLst>
        </xdr:cNvPr>
        <xdr:cNvPicPr>
          <a:picLocks noChangeAspect="1"/>
        </xdr:cNvPicPr>
      </xdr:nvPicPr>
      <xdr:blipFill>
        <a:blip xmlns:r="http://schemas.openxmlformats.org/officeDocument/2006/relationships" r:embed="rId92"/>
        <a:stretch>
          <a:fillRect/>
        </a:stretch>
      </xdr:blipFill>
      <xdr:spPr>
        <a:xfrm>
          <a:off x="220980" y="1021034280"/>
          <a:ext cx="5760000" cy="2605500"/>
        </a:xfrm>
        <a:prstGeom prst="rect">
          <a:avLst/>
        </a:prstGeom>
      </xdr:spPr>
    </xdr:pic>
    <xdr:clientData/>
  </xdr:twoCellAnchor>
  <xdr:twoCellAnchor>
    <xdr:from>
      <xdr:col>0</xdr:col>
      <xdr:colOff>190500</xdr:colOff>
      <xdr:row>4935</xdr:row>
      <xdr:rowOff>17962</xdr:rowOff>
    </xdr:from>
    <xdr:to>
      <xdr:col>3</xdr:col>
      <xdr:colOff>146957</xdr:colOff>
      <xdr:row>4936</xdr:row>
      <xdr:rowOff>181793</xdr:rowOff>
    </xdr:to>
    <xdr:pic>
      <xdr:nvPicPr>
        <xdr:cNvPr id="241" name="Imagen 240">
          <a:extLst>
            <a:ext uri="{FF2B5EF4-FFF2-40B4-BE49-F238E27FC236}">
              <a16:creationId xmlns:a16="http://schemas.microsoft.com/office/drawing/2014/main" id="{00000000-0008-0000-1200-0000F1000000}"/>
            </a:ext>
          </a:extLst>
        </xdr:cNvPr>
        <xdr:cNvPicPr>
          <a:picLocks noChangeAspect="1"/>
        </xdr:cNvPicPr>
      </xdr:nvPicPr>
      <xdr:blipFill>
        <a:blip xmlns:r="http://schemas.openxmlformats.org/officeDocument/2006/relationships" r:embed="rId1"/>
        <a:stretch>
          <a:fillRect/>
        </a:stretch>
      </xdr:blipFill>
      <xdr:spPr>
        <a:xfrm>
          <a:off x="190500" y="1017821362"/>
          <a:ext cx="710837" cy="361951"/>
        </a:xfrm>
        <a:prstGeom prst="rect">
          <a:avLst/>
        </a:prstGeom>
      </xdr:spPr>
    </xdr:pic>
    <xdr:clientData/>
  </xdr:twoCellAnchor>
  <xdr:twoCellAnchor editAs="oneCell">
    <xdr:from>
      <xdr:col>0</xdr:col>
      <xdr:colOff>129540</xdr:colOff>
      <xdr:row>4092</xdr:row>
      <xdr:rowOff>129540</xdr:rowOff>
    </xdr:from>
    <xdr:to>
      <xdr:col>23</xdr:col>
      <xdr:colOff>105960</xdr:colOff>
      <xdr:row>4109</xdr:row>
      <xdr:rowOff>111858</xdr:rowOff>
    </xdr:to>
    <xdr:pic>
      <xdr:nvPicPr>
        <xdr:cNvPr id="178" name="Imagen 177">
          <a:extLst>
            <a:ext uri="{FF2B5EF4-FFF2-40B4-BE49-F238E27FC236}">
              <a16:creationId xmlns:a16="http://schemas.microsoft.com/office/drawing/2014/main" id="{00000000-0008-0000-1200-0000B2000000}"/>
            </a:ext>
          </a:extLst>
        </xdr:cNvPr>
        <xdr:cNvPicPr>
          <a:picLocks noChangeAspect="1"/>
        </xdr:cNvPicPr>
      </xdr:nvPicPr>
      <xdr:blipFill>
        <a:blip xmlns:r="http://schemas.openxmlformats.org/officeDocument/2006/relationships" r:embed="rId93"/>
        <a:stretch>
          <a:fillRect/>
        </a:stretch>
      </xdr:blipFill>
      <xdr:spPr>
        <a:xfrm>
          <a:off x="129540" y="844417920"/>
          <a:ext cx="5760000" cy="3350358"/>
        </a:xfrm>
        <a:prstGeom prst="rect">
          <a:avLst/>
        </a:prstGeom>
      </xdr:spPr>
    </xdr:pic>
    <xdr:clientData/>
  </xdr:twoCellAnchor>
  <xdr:twoCellAnchor>
    <xdr:from>
      <xdr:col>0</xdr:col>
      <xdr:colOff>190500</xdr:colOff>
      <xdr:row>4976</xdr:row>
      <xdr:rowOff>25582</xdr:rowOff>
    </xdr:from>
    <xdr:to>
      <xdr:col>3</xdr:col>
      <xdr:colOff>146957</xdr:colOff>
      <xdr:row>4977</xdr:row>
      <xdr:rowOff>189413</xdr:rowOff>
    </xdr:to>
    <xdr:pic>
      <xdr:nvPicPr>
        <xdr:cNvPr id="247" name="Imagen 246">
          <a:extLst>
            <a:ext uri="{FF2B5EF4-FFF2-40B4-BE49-F238E27FC236}">
              <a16:creationId xmlns:a16="http://schemas.microsoft.com/office/drawing/2014/main" id="{00000000-0008-0000-1200-0000F7000000}"/>
            </a:ext>
          </a:extLst>
        </xdr:cNvPr>
        <xdr:cNvPicPr>
          <a:picLocks noChangeAspect="1"/>
        </xdr:cNvPicPr>
      </xdr:nvPicPr>
      <xdr:blipFill>
        <a:blip xmlns:r="http://schemas.openxmlformats.org/officeDocument/2006/relationships" r:embed="rId1"/>
        <a:stretch>
          <a:fillRect/>
        </a:stretch>
      </xdr:blipFill>
      <xdr:spPr>
        <a:xfrm>
          <a:off x="190500" y="834004102"/>
          <a:ext cx="710837" cy="361951"/>
        </a:xfrm>
        <a:prstGeom prst="rect">
          <a:avLst/>
        </a:prstGeom>
      </xdr:spPr>
    </xdr:pic>
    <xdr:clientData/>
  </xdr:twoCellAnchor>
  <xdr:twoCellAnchor editAs="oneCell">
    <xdr:from>
      <xdr:col>0</xdr:col>
      <xdr:colOff>213360</xdr:colOff>
      <xdr:row>4949</xdr:row>
      <xdr:rowOff>160020</xdr:rowOff>
    </xdr:from>
    <xdr:to>
      <xdr:col>23</xdr:col>
      <xdr:colOff>189780</xdr:colOff>
      <xdr:row>4964</xdr:row>
      <xdr:rowOff>77407</xdr:rowOff>
    </xdr:to>
    <xdr:pic>
      <xdr:nvPicPr>
        <xdr:cNvPr id="185" name="Imagen 184">
          <a:extLst>
            <a:ext uri="{FF2B5EF4-FFF2-40B4-BE49-F238E27FC236}">
              <a16:creationId xmlns:a16="http://schemas.microsoft.com/office/drawing/2014/main" id="{00000000-0008-0000-1200-0000B9000000}"/>
            </a:ext>
          </a:extLst>
        </xdr:cNvPr>
        <xdr:cNvPicPr>
          <a:picLocks noChangeAspect="1"/>
        </xdr:cNvPicPr>
      </xdr:nvPicPr>
      <xdr:blipFill>
        <a:blip xmlns:r="http://schemas.openxmlformats.org/officeDocument/2006/relationships" r:embed="rId94"/>
        <a:stretch>
          <a:fillRect/>
        </a:stretch>
      </xdr:blipFill>
      <xdr:spPr>
        <a:xfrm>
          <a:off x="213360" y="1029484860"/>
          <a:ext cx="5760000" cy="2889187"/>
        </a:xfrm>
        <a:prstGeom prst="rect">
          <a:avLst/>
        </a:prstGeom>
      </xdr:spPr>
    </xdr:pic>
    <xdr:clientData/>
  </xdr:twoCellAnchor>
  <xdr:twoCellAnchor>
    <xdr:from>
      <xdr:col>0</xdr:col>
      <xdr:colOff>190500</xdr:colOff>
      <xdr:row>5013</xdr:row>
      <xdr:rowOff>40822</xdr:rowOff>
    </xdr:from>
    <xdr:to>
      <xdr:col>3</xdr:col>
      <xdr:colOff>146957</xdr:colOff>
      <xdr:row>5014</xdr:row>
      <xdr:rowOff>326573</xdr:rowOff>
    </xdr:to>
    <xdr:pic>
      <xdr:nvPicPr>
        <xdr:cNvPr id="251" name="Imagen 250">
          <a:extLst>
            <a:ext uri="{FF2B5EF4-FFF2-40B4-BE49-F238E27FC236}">
              <a16:creationId xmlns:a16="http://schemas.microsoft.com/office/drawing/2014/main" id="{00000000-0008-0000-1200-0000FB000000}"/>
            </a:ext>
          </a:extLst>
        </xdr:cNvPr>
        <xdr:cNvPicPr>
          <a:picLocks noChangeAspect="1"/>
        </xdr:cNvPicPr>
      </xdr:nvPicPr>
      <xdr:blipFill>
        <a:blip xmlns:r="http://schemas.openxmlformats.org/officeDocument/2006/relationships" r:embed="rId1"/>
        <a:stretch>
          <a:fillRect/>
        </a:stretch>
      </xdr:blipFill>
      <xdr:spPr>
        <a:xfrm>
          <a:off x="190500" y="850158502"/>
          <a:ext cx="710837" cy="361951"/>
        </a:xfrm>
        <a:prstGeom prst="rect">
          <a:avLst/>
        </a:prstGeom>
      </xdr:spPr>
    </xdr:pic>
    <xdr:clientData/>
  </xdr:twoCellAnchor>
  <xdr:twoCellAnchor>
    <xdr:from>
      <xdr:col>0</xdr:col>
      <xdr:colOff>190500</xdr:colOff>
      <xdr:row>5051</xdr:row>
      <xdr:rowOff>40822</xdr:rowOff>
    </xdr:from>
    <xdr:to>
      <xdr:col>3</xdr:col>
      <xdr:colOff>146957</xdr:colOff>
      <xdr:row>5052</xdr:row>
      <xdr:rowOff>326573</xdr:rowOff>
    </xdr:to>
    <xdr:pic>
      <xdr:nvPicPr>
        <xdr:cNvPr id="256" name="Imagen 255">
          <a:extLst>
            <a:ext uri="{FF2B5EF4-FFF2-40B4-BE49-F238E27FC236}">
              <a16:creationId xmlns:a16="http://schemas.microsoft.com/office/drawing/2014/main" id="{00000000-0008-0000-1200-000000010000}"/>
            </a:ext>
          </a:extLst>
        </xdr:cNvPr>
        <xdr:cNvPicPr>
          <a:picLocks noChangeAspect="1"/>
        </xdr:cNvPicPr>
      </xdr:nvPicPr>
      <xdr:blipFill>
        <a:blip xmlns:r="http://schemas.openxmlformats.org/officeDocument/2006/relationships" r:embed="rId1"/>
        <a:stretch>
          <a:fillRect/>
        </a:stretch>
      </xdr:blipFill>
      <xdr:spPr>
        <a:xfrm>
          <a:off x="190500" y="857984242"/>
          <a:ext cx="710837" cy="361951"/>
        </a:xfrm>
        <a:prstGeom prst="rect">
          <a:avLst/>
        </a:prstGeom>
      </xdr:spPr>
    </xdr:pic>
    <xdr:clientData/>
  </xdr:twoCellAnchor>
  <xdr:twoCellAnchor editAs="oneCell">
    <xdr:from>
      <xdr:col>1</xdr:col>
      <xdr:colOff>53340</xdr:colOff>
      <xdr:row>4986</xdr:row>
      <xdr:rowOff>91440</xdr:rowOff>
    </xdr:from>
    <xdr:to>
      <xdr:col>22</xdr:col>
      <xdr:colOff>172680</xdr:colOff>
      <xdr:row>5003</xdr:row>
      <xdr:rowOff>47938</xdr:rowOff>
    </xdr:to>
    <xdr:pic>
      <xdr:nvPicPr>
        <xdr:cNvPr id="259" name="Imagen 258">
          <a:extLst>
            <a:ext uri="{FF2B5EF4-FFF2-40B4-BE49-F238E27FC236}">
              <a16:creationId xmlns:a16="http://schemas.microsoft.com/office/drawing/2014/main" id="{00000000-0008-0000-1200-000003010000}"/>
            </a:ext>
          </a:extLst>
        </xdr:cNvPr>
        <xdr:cNvPicPr>
          <a:picLocks noChangeAspect="1"/>
        </xdr:cNvPicPr>
      </xdr:nvPicPr>
      <xdr:blipFill>
        <a:blip xmlns:r="http://schemas.openxmlformats.org/officeDocument/2006/relationships" r:embed="rId91"/>
        <a:stretch>
          <a:fillRect/>
        </a:stretch>
      </xdr:blipFill>
      <xdr:spPr>
        <a:xfrm>
          <a:off x="304800" y="1037013420"/>
          <a:ext cx="5400000" cy="3324538"/>
        </a:xfrm>
        <a:prstGeom prst="rect">
          <a:avLst/>
        </a:prstGeom>
      </xdr:spPr>
    </xdr:pic>
    <xdr:clientData/>
  </xdr:twoCellAnchor>
  <xdr:twoCellAnchor editAs="oneCell">
    <xdr:from>
      <xdr:col>1</xdr:col>
      <xdr:colOff>30480</xdr:colOff>
      <xdr:row>5024</xdr:row>
      <xdr:rowOff>22860</xdr:rowOff>
    </xdr:from>
    <xdr:to>
      <xdr:col>22</xdr:col>
      <xdr:colOff>149820</xdr:colOff>
      <xdr:row>5040</xdr:row>
      <xdr:rowOff>177478</xdr:rowOff>
    </xdr:to>
    <xdr:pic>
      <xdr:nvPicPr>
        <xdr:cNvPr id="260" name="Imagen 259">
          <a:extLst>
            <a:ext uri="{FF2B5EF4-FFF2-40B4-BE49-F238E27FC236}">
              <a16:creationId xmlns:a16="http://schemas.microsoft.com/office/drawing/2014/main" id="{00000000-0008-0000-1200-000004010000}"/>
            </a:ext>
          </a:extLst>
        </xdr:cNvPr>
        <xdr:cNvPicPr>
          <a:picLocks noChangeAspect="1"/>
        </xdr:cNvPicPr>
      </xdr:nvPicPr>
      <xdr:blipFill>
        <a:blip xmlns:r="http://schemas.openxmlformats.org/officeDocument/2006/relationships" r:embed="rId91"/>
        <a:stretch>
          <a:fillRect/>
        </a:stretch>
      </xdr:blipFill>
      <xdr:spPr>
        <a:xfrm>
          <a:off x="281940" y="1044709620"/>
          <a:ext cx="5400000" cy="3324538"/>
        </a:xfrm>
        <a:prstGeom prst="rect">
          <a:avLst/>
        </a:prstGeom>
      </xdr:spPr>
    </xdr:pic>
    <xdr:clientData/>
  </xdr:twoCellAnchor>
  <xdr:twoCellAnchor editAs="oneCell">
    <xdr:from>
      <xdr:col>1</xdr:col>
      <xdr:colOff>152400</xdr:colOff>
      <xdr:row>5062</xdr:row>
      <xdr:rowOff>60960</xdr:rowOff>
    </xdr:from>
    <xdr:to>
      <xdr:col>23</xdr:col>
      <xdr:colOff>20280</xdr:colOff>
      <xdr:row>5079</xdr:row>
      <xdr:rowOff>17458</xdr:rowOff>
    </xdr:to>
    <xdr:pic>
      <xdr:nvPicPr>
        <xdr:cNvPr id="261" name="Imagen 260">
          <a:extLst>
            <a:ext uri="{FF2B5EF4-FFF2-40B4-BE49-F238E27FC236}">
              <a16:creationId xmlns:a16="http://schemas.microsoft.com/office/drawing/2014/main" id="{00000000-0008-0000-1200-000005010000}"/>
            </a:ext>
          </a:extLst>
        </xdr:cNvPr>
        <xdr:cNvPicPr>
          <a:picLocks noChangeAspect="1"/>
        </xdr:cNvPicPr>
      </xdr:nvPicPr>
      <xdr:blipFill>
        <a:blip xmlns:r="http://schemas.openxmlformats.org/officeDocument/2006/relationships" r:embed="rId91"/>
        <a:stretch>
          <a:fillRect/>
        </a:stretch>
      </xdr:blipFill>
      <xdr:spPr>
        <a:xfrm>
          <a:off x="403860" y="1052573460"/>
          <a:ext cx="5400000" cy="3324538"/>
        </a:xfrm>
        <a:prstGeom prst="rect">
          <a:avLst/>
        </a:prstGeom>
      </xdr:spPr>
    </xdr:pic>
    <xdr:clientData/>
  </xdr:twoCellAnchor>
  <xdr:twoCellAnchor>
    <xdr:from>
      <xdr:col>0</xdr:col>
      <xdr:colOff>190500</xdr:colOff>
      <xdr:row>5089</xdr:row>
      <xdr:rowOff>17962</xdr:rowOff>
    </xdr:from>
    <xdr:to>
      <xdr:col>3</xdr:col>
      <xdr:colOff>146957</xdr:colOff>
      <xdr:row>5090</xdr:row>
      <xdr:rowOff>181793</xdr:rowOff>
    </xdr:to>
    <xdr:pic>
      <xdr:nvPicPr>
        <xdr:cNvPr id="262" name="Imagen 261">
          <a:extLst>
            <a:ext uri="{FF2B5EF4-FFF2-40B4-BE49-F238E27FC236}">
              <a16:creationId xmlns:a16="http://schemas.microsoft.com/office/drawing/2014/main" id="{00000000-0008-0000-1200-000006010000}"/>
            </a:ext>
          </a:extLst>
        </xdr:cNvPr>
        <xdr:cNvPicPr>
          <a:picLocks noChangeAspect="1"/>
        </xdr:cNvPicPr>
      </xdr:nvPicPr>
      <xdr:blipFill>
        <a:blip xmlns:r="http://schemas.openxmlformats.org/officeDocument/2006/relationships" r:embed="rId1"/>
        <a:stretch>
          <a:fillRect/>
        </a:stretch>
      </xdr:blipFill>
      <xdr:spPr>
        <a:xfrm>
          <a:off x="190500" y="1026416722"/>
          <a:ext cx="710837" cy="361951"/>
        </a:xfrm>
        <a:prstGeom prst="rect">
          <a:avLst/>
        </a:prstGeom>
      </xdr:spPr>
    </xdr:pic>
    <xdr:clientData/>
  </xdr:twoCellAnchor>
  <xdr:twoCellAnchor>
    <xdr:from>
      <xdr:col>0</xdr:col>
      <xdr:colOff>190500</xdr:colOff>
      <xdr:row>5130</xdr:row>
      <xdr:rowOff>17962</xdr:rowOff>
    </xdr:from>
    <xdr:to>
      <xdr:col>3</xdr:col>
      <xdr:colOff>146957</xdr:colOff>
      <xdr:row>5131</xdr:row>
      <xdr:rowOff>181793</xdr:rowOff>
    </xdr:to>
    <xdr:pic>
      <xdr:nvPicPr>
        <xdr:cNvPr id="264" name="Imagen 263">
          <a:extLst>
            <a:ext uri="{FF2B5EF4-FFF2-40B4-BE49-F238E27FC236}">
              <a16:creationId xmlns:a16="http://schemas.microsoft.com/office/drawing/2014/main" id="{00000000-0008-0000-1200-000008010000}"/>
            </a:ext>
          </a:extLst>
        </xdr:cNvPr>
        <xdr:cNvPicPr>
          <a:picLocks noChangeAspect="1"/>
        </xdr:cNvPicPr>
      </xdr:nvPicPr>
      <xdr:blipFill>
        <a:blip xmlns:r="http://schemas.openxmlformats.org/officeDocument/2006/relationships" r:embed="rId1"/>
        <a:stretch>
          <a:fillRect/>
        </a:stretch>
      </xdr:blipFill>
      <xdr:spPr>
        <a:xfrm>
          <a:off x="190500" y="1058009242"/>
          <a:ext cx="710837" cy="361951"/>
        </a:xfrm>
        <a:prstGeom prst="rect">
          <a:avLst/>
        </a:prstGeom>
      </xdr:spPr>
    </xdr:pic>
    <xdr:clientData/>
  </xdr:twoCellAnchor>
  <xdr:twoCellAnchor editAs="oneCell">
    <xdr:from>
      <xdr:col>0</xdr:col>
      <xdr:colOff>228600</xdr:colOff>
      <xdr:row>5102</xdr:row>
      <xdr:rowOff>91440</xdr:rowOff>
    </xdr:from>
    <xdr:to>
      <xdr:col>23</xdr:col>
      <xdr:colOff>205020</xdr:colOff>
      <xdr:row>5116</xdr:row>
      <xdr:rowOff>93664</xdr:rowOff>
    </xdr:to>
    <xdr:pic>
      <xdr:nvPicPr>
        <xdr:cNvPr id="187" name="Imagen 186">
          <a:extLst>
            <a:ext uri="{FF2B5EF4-FFF2-40B4-BE49-F238E27FC236}">
              <a16:creationId xmlns:a16="http://schemas.microsoft.com/office/drawing/2014/main" id="{00000000-0008-0000-1200-0000BB000000}"/>
            </a:ext>
          </a:extLst>
        </xdr:cNvPr>
        <xdr:cNvPicPr>
          <a:picLocks noChangeAspect="1"/>
        </xdr:cNvPicPr>
      </xdr:nvPicPr>
      <xdr:blipFill>
        <a:blip xmlns:r="http://schemas.openxmlformats.org/officeDocument/2006/relationships" r:embed="rId95"/>
        <a:stretch>
          <a:fillRect/>
        </a:stretch>
      </xdr:blipFill>
      <xdr:spPr>
        <a:xfrm>
          <a:off x="228600" y="1060810680"/>
          <a:ext cx="5760000" cy="2775904"/>
        </a:xfrm>
        <a:prstGeom prst="rect">
          <a:avLst/>
        </a:prstGeom>
      </xdr:spPr>
    </xdr:pic>
    <xdr:clientData/>
  </xdr:twoCellAnchor>
  <xdr:twoCellAnchor>
    <xdr:from>
      <xdr:col>0</xdr:col>
      <xdr:colOff>190500</xdr:colOff>
      <xdr:row>5171</xdr:row>
      <xdr:rowOff>17962</xdr:rowOff>
    </xdr:from>
    <xdr:to>
      <xdr:col>3</xdr:col>
      <xdr:colOff>146957</xdr:colOff>
      <xdr:row>5172</xdr:row>
      <xdr:rowOff>181793</xdr:rowOff>
    </xdr:to>
    <xdr:pic>
      <xdr:nvPicPr>
        <xdr:cNvPr id="266" name="Imagen 265">
          <a:extLst>
            <a:ext uri="{FF2B5EF4-FFF2-40B4-BE49-F238E27FC236}">
              <a16:creationId xmlns:a16="http://schemas.microsoft.com/office/drawing/2014/main" id="{00000000-0008-0000-1200-00000A010000}"/>
            </a:ext>
          </a:extLst>
        </xdr:cNvPr>
        <xdr:cNvPicPr>
          <a:picLocks noChangeAspect="1"/>
        </xdr:cNvPicPr>
      </xdr:nvPicPr>
      <xdr:blipFill>
        <a:blip xmlns:r="http://schemas.openxmlformats.org/officeDocument/2006/relationships" r:embed="rId1"/>
        <a:stretch>
          <a:fillRect/>
        </a:stretch>
      </xdr:blipFill>
      <xdr:spPr>
        <a:xfrm>
          <a:off x="190500" y="1066414102"/>
          <a:ext cx="710837" cy="361951"/>
        </a:xfrm>
        <a:prstGeom prst="rect">
          <a:avLst/>
        </a:prstGeom>
      </xdr:spPr>
    </xdr:pic>
    <xdr:clientData/>
  </xdr:twoCellAnchor>
  <xdr:twoCellAnchor editAs="oneCell">
    <xdr:from>
      <xdr:col>1</xdr:col>
      <xdr:colOff>83820</xdr:colOff>
      <xdr:row>5141</xdr:row>
      <xdr:rowOff>99060</xdr:rowOff>
    </xdr:from>
    <xdr:to>
      <xdr:col>24</xdr:col>
      <xdr:colOff>60240</xdr:colOff>
      <xdr:row>5159</xdr:row>
      <xdr:rowOff>31695</xdr:rowOff>
    </xdr:to>
    <xdr:pic>
      <xdr:nvPicPr>
        <xdr:cNvPr id="190" name="Imagen 189">
          <a:extLst>
            <a:ext uri="{FF2B5EF4-FFF2-40B4-BE49-F238E27FC236}">
              <a16:creationId xmlns:a16="http://schemas.microsoft.com/office/drawing/2014/main" id="{00000000-0008-0000-1200-0000BE000000}"/>
            </a:ext>
          </a:extLst>
        </xdr:cNvPr>
        <xdr:cNvPicPr>
          <a:picLocks noChangeAspect="1"/>
        </xdr:cNvPicPr>
      </xdr:nvPicPr>
      <xdr:blipFill>
        <a:blip xmlns:r="http://schemas.openxmlformats.org/officeDocument/2006/relationships" r:embed="rId96"/>
        <a:stretch>
          <a:fillRect/>
        </a:stretch>
      </xdr:blipFill>
      <xdr:spPr>
        <a:xfrm>
          <a:off x="335280" y="1068826920"/>
          <a:ext cx="5760000" cy="3498795"/>
        </a:xfrm>
        <a:prstGeom prst="rect">
          <a:avLst/>
        </a:prstGeom>
      </xdr:spPr>
    </xdr:pic>
    <xdr:clientData/>
  </xdr:twoCellAnchor>
  <xdr:twoCellAnchor>
    <xdr:from>
      <xdr:col>0</xdr:col>
      <xdr:colOff>190500</xdr:colOff>
      <xdr:row>5212</xdr:row>
      <xdr:rowOff>17962</xdr:rowOff>
    </xdr:from>
    <xdr:to>
      <xdr:col>3</xdr:col>
      <xdr:colOff>146957</xdr:colOff>
      <xdr:row>5213</xdr:row>
      <xdr:rowOff>181793</xdr:rowOff>
    </xdr:to>
    <xdr:pic>
      <xdr:nvPicPr>
        <xdr:cNvPr id="267" name="Imagen 266">
          <a:extLst>
            <a:ext uri="{FF2B5EF4-FFF2-40B4-BE49-F238E27FC236}">
              <a16:creationId xmlns:a16="http://schemas.microsoft.com/office/drawing/2014/main" id="{00000000-0008-0000-1200-00000B010000}"/>
            </a:ext>
          </a:extLst>
        </xdr:cNvPr>
        <xdr:cNvPicPr>
          <a:picLocks noChangeAspect="1"/>
        </xdr:cNvPicPr>
      </xdr:nvPicPr>
      <xdr:blipFill>
        <a:blip xmlns:r="http://schemas.openxmlformats.org/officeDocument/2006/relationships" r:embed="rId1"/>
        <a:stretch>
          <a:fillRect/>
        </a:stretch>
      </xdr:blipFill>
      <xdr:spPr>
        <a:xfrm>
          <a:off x="190500" y="1074818962"/>
          <a:ext cx="710837" cy="361951"/>
        </a:xfrm>
        <a:prstGeom prst="rect">
          <a:avLst/>
        </a:prstGeom>
      </xdr:spPr>
    </xdr:pic>
    <xdr:clientData/>
  </xdr:twoCellAnchor>
  <xdr:twoCellAnchor>
    <xdr:from>
      <xdr:col>0</xdr:col>
      <xdr:colOff>190500</xdr:colOff>
      <xdr:row>5253</xdr:row>
      <xdr:rowOff>17962</xdr:rowOff>
    </xdr:from>
    <xdr:to>
      <xdr:col>3</xdr:col>
      <xdr:colOff>146957</xdr:colOff>
      <xdr:row>5254</xdr:row>
      <xdr:rowOff>181793</xdr:rowOff>
    </xdr:to>
    <xdr:pic>
      <xdr:nvPicPr>
        <xdr:cNvPr id="268" name="Imagen 267">
          <a:extLst>
            <a:ext uri="{FF2B5EF4-FFF2-40B4-BE49-F238E27FC236}">
              <a16:creationId xmlns:a16="http://schemas.microsoft.com/office/drawing/2014/main" id="{00000000-0008-0000-1200-00000C010000}"/>
            </a:ext>
          </a:extLst>
        </xdr:cNvPr>
        <xdr:cNvPicPr>
          <a:picLocks noChangeAspect="1"/>
        </xdr:cNvPicPr>
      </xdr:nvPicPr>
      <xdr:blipFill>
        <a:blip xmlns:r="http://schemas.openxmlformats.org/officeDocument/2006/relationships" r:embed="rId1"/>
        <a:stretch>
          <a:fillRect/>
        </a:stretch>
      </xdr:blipFill>
      <xdr:spPr>
        <a:xfrm>
          <a:off x="190500" y="1083223822"/>
          <a:ext cx="710837" cy="361951"/>
        </a:xfrm>
        <a:prstGeom prst="rect">
          <a:avLst/>
        </a:prstGeom>
      </xdr:spPr>
    </xdr:pic>
    <xdr:clientData/>
  </xdr:twoCellAnchor>
  <xdr:twoCellAnchor editAs="oneCell">
    <xdr:from>
      <xdr:col>0</xdr:col>
      <xdr:colOff>213360</xdr:colOff>
      <xdr:row>5224</xdr:row>
      <xdr:rowOff>0</xdr:rowOff>
    </xdr:from>
    <xdr:to>
      <xdr:col>23</xdr:col>
      <xdr:colOff>189780</xdr:colOff>
      <xdr:row>5241</xdr:row>
      <xdr:rowOff>224</xdr:rowOff>
    </xdr:to>
    <xdr:pic>
      <xdr:nvPicPr>
        <xdr:cNvPr id="193" name="Imagen 192">
          <a:extLst>
            <a:ext uri="{FF2B5EF4-FFF2-40B4-BE49-F238E27FC236}">
              <a16:creationId xmlns:a16="http://schemas.microsoft.com/office/drawing/2014/main" id="{00000000-0008-0000-1200-0000C1000000}"/>
            </a:ext>
          </a:extLst>
        </xdr:cNvPr>
        <xdr:cNvPicPr>
          <a:picLocks noChangeAspect="1"/>
        </xdr:cNvPicPr>
      </xdr:nvPicPr>
      <xdr:blipFill>
        <a:blip xmlns:r="http://schemas.openxmlformats.org/officeDocument/2006/relationships" r:embed="rId97"/>
        <a:stretch>
          <a:fillRect/>
        </a:stretch>
      </xdr:blipFill>
      <xdr:spPr>
        <a:xfrm>
          <a:off x="213360" y="1085735700"/>
          <a:ext cx="5760000" cy="3366087"/>
        </a:xfrm>
        <a:prstGeom prst="rect">
          <a:avLst/>
        </a:prstGeom>
      </xdr:spPr>
    </xdr:pic>
    <xdr:clientData/>
  </xdr:twoCellAnchor>
  <xdr:twoCellAnchor editAs="oneCell">
    <xdr:from>
      <xdr:col>1</xdr:col>
      <xdr:colOff>0</xdr:colOff>
      <xdr:row>5264</xdr:row>
      <xdr:rowOff>76201</xdr:rowOff>
    </xdr:from>
    <xdr:to>
      <xdr:col>23</xdr:col>
      <xdr:colOff>227880</xdr:colOff>
      <xdr:row>5282</xdr:row>
      <xdr:rowOff>135958</xdr:rowOff>
    </xdr:to>
    <xdr:pic>
      <xdr:nvPicPr>
        <xdr:cNvPr id="196" name="Imagen 195">
          <a:extLst>
            <a:ext uri="{FF2B5EF4-FFF2-40B4-BE49-F238E27FC236}">
              <a16:creationId xmlns:a16="http://schemas.microsoft.com/office/drawing/2014/main" id="{00000000-0008-0000-1200-0000C4000000}"/>
            </a:ext>
          </a:extLst>
        </xdr:cNvPr>
        <xdr:cNvPicPr>
          <a:picLocks noChangeAspect="1"/>
        </xdr:cNvPicPr>
      </xdr:nvPicPr>
      <xdr:blipFill>
        <a:blip xmlns:r="http://schemas.openxmlformats.org/officeDocument/2006/relationships" r:embed="rId98"/>
        <a:stretch>
          <a:fillRect/>
        </a:stretch>
      </xdr:blipFill>
      <xdr:spPr>
        <a:xfrm>
          <a:off x="251460" y="1094018641"/>
          <a:ext cx="5760000" cy="3625917"/>
        </a:xfrm>
        <a:prstGeom prst="rect">
          <a:avLst/>
        </a:prstGeom>
      </xdr:spPr>
    </xdr:pic>
    <xdr:clientData/>
  </xdr:twoCellAnchor>
  <xdr:twoCellAnchor>
    <xdr:from>
      <xdr:col>0</xdr:col>
      <xdr:colOff>190500</xdr:colOff>
      <xdr:row>5294</xdr:row>
      <xdr:rowOff>17962</xdr:rowOff>
    </xdr:from>
    <xdr:to>
      <xdr:col>3</xdr:col>
      <xdr:colOff>146957</xdr:colOff>
      <xdr:row>5295</xdr:row>
      <xdr:rowOff>181793</xdr:rowOff>
    </xdr:to>
    <xdr:pic>
      <xdr:nvPicPr>
        <xdr:cNvPr id="269" name="Imagen 268">
          <a:extLst>
            <a:ext uri="{FF2B5EF4-FFF2-40B4-BE49-F238E27FC236}">
              <a16:creationId xmlns:a16="http://schemas.microsoft.com/office/drawing/2014/main" id="{00000000-0008-0000-1200-00000D010000}"/>
            </a:ext>
          </a:extLst>
        </xdr:cNvPr>
        <xdr:cNvPicPr>
          <a:picLocks noChangeAspect="1"/>
        </xdr:cNvPicPr>
      </xdr:nvPicPr>
      <xdr:blipFill>
        <a:blip xmlns:r="http://schemas.openxmlformats.org/officeDocument/2006/relationships" r:embed="rId1"/>
        <a:stretch>
          <a:fillRect/>
        </a:stretch>
      </xdr:blipFill>
      <xdr:spPr>
        <a:xfrm>
          <a:off x="190500" y="1091628682"/>
          <a:ext cx="710837" cy="361951"/>
        </a:xfrm>
        <a:prstGeom prst="rect">
          <a:avLst/>
        </a:prstGeom>
      </xdr:spPr>
    </xdr:pic>
    <xdr:clientData/>
  </xdr:twoCellAnchor>
  <xdr:twoCellAnchor editAs="oneCell">
    <xdr:from>
      <xdr:col>1</xdr:col>
      <xdr:colOff>0</xdr:colOff>
      <xdr:row>5305</xdr:row>
      <xdr:rowOff>83820</xdr:rowOff>
    </xdr:from>
    <xdr:to>
      <xdr:col>23</xdr:col>
      <xdr:colOff>227880</xdr:colOff>
      <xdr:row>5323</xdr:row>
      <xdr:rowOff>98627</xdr:rowOff>
    </xdr:to>
    <xdr:pic>
      <xdr:nvPicPr>
        <xdr:cNvPr id="199" name="Imagen 198">
          <a:extLst>
            <a:ext uri="{FF2B5EF4-FFF2-40B4-BE49-F238E27FC236}">
              <a16:creationId xmlns:a16="http://schemas.microsoft.com/office/drawing/2014/main" id="{00000000-0008-0000-1200-0000C7000000}"/>
            </a:ext>
          </a:extLst>
        </xdr:cNvPr>
        <xdr:cNvPicPr>
          <a:picLocks noChangeAspect="1"/>
        </xdr:cNvPicPr>
      </xdr:nvPicPr>
      <xdr:blipFill>
        <a:blip xmlns:r="http://schemas.openxmlformats.org/officeDocument/2006/relationships" r:embed="rId99"/>
        <a:stretch>
          <a:fillRect/>
        </a:stretch>
      </xdr:blipFill>
      <xdr:spPr>
        <a:xfrm>
          <a:off x="251460" y="1102431120"/>
          <a:ext cx="5760000" cy="3580967"/>
        </a:xfrm>
        <a:prstGeom prst="rect">
          <a:avLst/>
        </a:prstGeom>
      </xdr:spPr>
    </xdr:pic>
    <xdr:clientData/>
  </xdr:twoCellAnchor>
  <xdr:twoCellAnchor>
    <xdr:from>
      <xdr:col>0</xdr:col>
      <xdr:colOff>190500</xdr:colOff>
      <xdr:row>5335</xdr:row>
      <xdr:rowOff>17962</xdr:rowOff>
    </xdr:from>
    <xdr:to>
      <xdr:col>3</xdr:col>
      <xdr:colOff>146957</xdr:colOff>
      <xdr:row>5336</xdr:row>
      <xdr:rowOff>181793</xdr:rowOff>
    </xdr:to>
    <xdr:pic>
      <xdr:nvPicPr>
        <xdr:cNvPr id="271" name="Imagen 270">
          <a:extLst>
            <a:ext uri="{FF2B5EF4-FFF2-40B4-BE49-F238E27FC236}">
              <a16:creationId xmlns:a16="http://schemas.microsoft.com/office/drawing/2014/main" id="{00000000-0008-0000-1200-00000F010000}"/>
            </a:ext>
          </a:extLst>
        </xdr:cNvPr>
        <xdr:cNvPicPr>
          <a:picLocks noChangeAspect="1"/>
        </xdr:cNvPicPr>
      </xdr:nvPicPr>
      <xdr:blipFill>
        <a:blip xmlns:r="http://schemas.openxmlformats.org/officeDocument/2006/relationships" r:embed="rId1"/>
        <a:stretch>
          <a:fillRect/>
        </a:stretch>
      </xdr:blipFill>
      <xdr:spPr>
        <a:xfrm>
          <a:off x="190500" y="1100033542"/>
          <a:ext cx="710837" cy="361951"/>
        </a:xfrm>
        <a:prstGeom prst="rect">
          <a:avLst/>
        </a:prstGeom>
      </xdr:spPr>
    </xdr:pic>
    <xdr:clientData/>
  </xdr:twoCellAnchor>
  <xdr:twoCellAnchor editAs="oneCell">
    <xdr:from>
      <xdr:col>1</xdr:col>
      <xdr:colOff>45720</xdr:colOff>
      <xdr:row>5345</xdr:row>
      <xdr:rowOff>167640</xdr:rowOff>
    </xdr:from>
    <xdr:to>
      <xdr:col>24</xdr:col>
      <xdr:colOff>22140</xdr:colOff>
      <xdr:row>5363</xdr:row>
      <xdr:rowOff>18096</xdr:rowOff>
    </xdr:to>
    <xdr:pic>
      <xdr:nvPicPr>
        <xdr:cNvPr id="202" name="Imagen 201">
          <a:extLst>
            <a:ext uri="{FF2B5EF4-FFF2-40B4-BE49-F238E27FC236}">
              <a16:creationId xmlns:a16="http://schemas.microsoft.com/office/drawing/2014/main" id="{00000000-0008-0000-1200-0000CA000000}"/>
            </a:ext>
          </a:extLst>
        </xdr:cNvPr>
        <xdr:cNvPicPr>
          <a:picLocks noChangeAspect="1"/>
        </xdr:cNvPicPr>
      </xdr:nvPicPr>
      <xdr:blipFill>
        <a:blip xmlns:r="http://schemas.openxmlformats.org/officeDocument/2006/relationships" r:embed="rId100"/>
        <a:stretch>
          <a:fillRect/>
        </a:stretch>
      </xdr:blipFill>
      <xdr:spPr>
        <a:xfrm>
          <a:off x="297180" y="1110721680"/>
          <a:ext cx="5760000" cy="3416616"/>
        </a:xfrm>
        <a:prstGeom prst="rect">
          <a:avLst/>
        </a:prstGeom>
      </xdr:spPr>
    </xdr:pic>
    <xdr:clientData/>
  </xdr:twoCellAnchor>
  <xdr:twoCellAnchor>
    <xdr:from>
      <xdr:col>0</xdr:col>
      <xdr:colOff>190500</xdr:colOff>
      <xdr:row>5376</xdr:row>
      <xdr:rowOff>17962</xdr:rowOff>
    </xdr:from>
    <xdr:to>
      <xdr:col>3</xdr:col>
      <xdr:colOff>146957</xdr:colOff>
      <xdr:row>5377</xdr:row>
      <xdr:rowOff>181793</xdr:rowOff>
    </xdr:to>
    <xdr:pic>
      <xdr:nvPicPr>
        <xdr:cNvPr id="273" name="Imagen 272">
          <a:extLst>
            <a:ext uri="{FF2B5EF4-FFF2-40B4-BE49-F238E27FC236}">
              <a16:creationId xmlns:a16="http://schemas.microsoft.com/office/drawing/2014/main" id="{00000000-0008-0000-1200-000011010000}"/>
            </a:ext>
          </a:extLst>
        </xdr:cNvPr>
        <xdr:cNvPicPr>
          <a:picLocks noChangeAspect="1"/>
        </xdr:cNvPicPr>
      </xdr:nvPicPr>
      <xdr:blipFill>
        <a:blip xmlns:r="http://schemas.openxmlformats.org/officeDocument/2006/relationships" r:embed="rId1"/>
        <a:stretch>
          <a:fillRect/>
        </a:stretch>
      </xdr:blipFill>
      <xdr:spPr>
        <a:xfrm>
          <a:off x="190500" y="1108438402"/>
          <a:ext cx="710837" cy="361951"/>
        </a:xfrm>
        <a:prstGeom prst="rect">
          <a:avLst/>
        </a:prstGeom>
      </xdr:spPr>
    </xdr:pic>
    <xdr:clientData/>
  </xdr:twoCellAnchor>
  <xdr:twoCellAnchor editAs="oneCell">
    <xdr:from>
      <xdr:col>0</xdr:col>
      <xdr:colOff>198120</xdr:colOff>
      <xdr:row>5387</xdr:row>
      <xdr:rowOff>129541</xdr:rowOff>
    </xdr:from>
    <xdr:to>
      <xdr:col>23</xdr:col>
      <xdr:colOff>174540</xdr:colOff>
      <xdr:row>5405</xdr:row>
      <xdr:rowOff>8236</xdr:rowOff>
    </xdr:to>
    <xdr:pic>
      <xdr:nvPicPr>
        <xdr:cNvPr id="205" name="Imagen 204">
          <a:extLst>
            <a:ext uri="{FF2B5EF4-FFF2-40B4-BE49-F238E27FC236}">
              <a16:creationId xmlns:a16="http://schemas.microsoft.com/office/drawing/2014/main" id="{00000000-0008-0000-1200-0000CD000000}"/>
            </a:ext>
          </a:extLst>
        </xdr:cNvPr>
        <xdr:cNvPicPr>
          <a:picLocks noChangeAspect="1"/>
        </xdr:cNvPicPr>
      </xdr:nvPicPr>
      <xdr:blipFill>
        <a:blip xmlns:r="http://schemas.openxmlformats.org/officeDocument/2006/relationships" r:embed="rId101"/>
        <a:stretch>
          <a:fillRect/>
        </a:stretch>
      </xdr:blipFill>
      <xdr:spPr>
        <a:xfrm>
          <a:off x="198120" y="1119286561"/>
          <a:ext cx="5760000" cy="3444855"/>
        </a:xfrm>
        <a:prstGeom prst="rect">
          <a:avLst/>
        </a:prstGeom>
      </xdr:spPr>
    </xdr:pic>
    <xdr:clientData/>
  </xdr:twoCellAnchor>
  <xdr:twoCellAnchor>
    <xdr:from>
      <xdr:col>0</xdr:col>
      <xdr:colOff>190500</xdr:colOff>
      <xdr:row>5417</xdr:row>
      <xdr:rowOff>17962</xdr:rowOff>
    </xdr:from>
    <xdr:to>
      <xdr:col>3</xdr:col>
      <xdr:colOff>146957</xdr:colOff>
      <xdr:row>5418</xdr:row>
      <xdr:rowOff>181793</xdr:rowOff>
    </xdr:to>
    <xdr:pic>
      <xdr:nvPicPr>
        <xdr:cNvPr id="275" name="Imagen 274">
          <a:extLst>
            <a:ext uri="{FF2B5EF4-FFF2-40B4-BE49-F238E27FC236}">
              <a16:creationId xmlns:a16="http://schemas.microsoft.com/office/drawing/2014/main" id="{00000000-0008-0000-1200-000013010000}"/>
            </a:ext>
          </a:extLst>
        </xdr:cNvPr>
        <xdr:cNvPicPr>
          <a:picLocks noChangeAspect="1"/>
        </xdr:cNvPicPr>
      </xdr:nvPicPr>
      <xdr:blipFill>
        <a:blip xmlns:r="http://schemas.openxmlformats.org/officeDocument/2006/relationships" r:embed="rId1"/>
        <a:stretch>
          <a:fillRect/>
        </a:stretch>
      </xdr:blipFill>
      <xdr:spPr>
        <a:xfrm>
          <a:off x="190500" y="1116843262"/>
          <a:ext cx="710837" cy="361951"/>
        </a:xfrm>
        <a:prstGeom prst="rect">
          <a:avLst/>
        </a:prstGeom>
      </xdr:spPr>
    </xdr:pic>
    <xdr:clientData/>
  </xdr:twoCellAnchor>
  <xdr:twoCellAnchor editAs="oneCell">
    <xdr:from>
      <xdr:col>1</xdr:col>
      <xdr:colOff>22860</xdr:colOff>
      <xdr:row>5428</xdr:row>
      <xdr:rowOff>167641</xdr:rowOff>
    </xdr:from>
    <xdr:to>
      <xdr:col>24</xdr:col>
      <xdr:colOff>3090</xdr:colOff>
      <xdr:row>5446</xdr:row>
      <xdr:rowOff>159570</xdr:rowOff>
    </xdr:to>
    <xdr:pic>
      <xdr:nvPicPr>
        <xdr:cNvPr id="208" name="Imagen 207">
          <a:extLst>
            <a:ext uri="{FF2B5EF4-FFF2-40B4-BE49-F238E27FC236}">
              <a16:creationId xmlns:a16="http://schemas.microsoft.com/office/drawing/2014/main" id="{00000000-0008-0000-1200-0000D0000000}"/>
            </a:ext>
          </a:extLst>
        </xdr:cNvPr>
        <xdr:cNvPicPr>
          <a:picLocks noChangeAspect="1"/>
        </xdr:cNvPicPr>
      </xdr:nvPicPr>
      <xdr:blipFill>
        <a:blip xmlns:r="http://schemas.openxmlformats.org/officeDocument/2006/relationships" r:embed="rId102"/>
        <a:stretch>
          <a:fillRect/>
        </a:stretch>
      </xdr:blipFill>
      <xdr:spPr>
        <a:xfrm>
          <a:off x="274320" y="1127729521"/>
          <a:ext cx="5760000" cy="3558089"/>
        </a:xfrm>
        <a:prstGeom prst="rect">
          <a:avLst/>
        </a:prstGeom>
      </xdr:spPr>
    </xdr:pic>
    <xdr:clientData/>
  </xdr:twoCellAnchor>
  <xdr:twoCellAnchor>
    <xdr:from>
      <xdr:col>0</xdr:col>
      <xdr:colOff>190500</xdr:colOff>
      <xdr:row>5458</xdr:row>
      <xdr:rowOff>17962</xdr:rowOff>
    </xdr:from>
    <xdr:to>
      <xdr:col>3</xdr:col>
      <xdr:colOff>146957</xdr:colOff>
      <xdr:row>5459</xdr:row>
      <xdr:rowOff>181793</xdr:rowOff>
    </xdr:to>
    <xdr:pic>
      <xdr:nvPicPr>
        <xdr:cNvPr id="277" name="Imagen 276">
          <a:extLst>
            <a:ext uri="{FF2B5EF4-FFF2-40B4-BE49-F238E27FC236}">
              <a16:creationId xmlns:a16="http://schemas.microsoft.com/office/drawing/2014/main" id="{00000000-0008-0000-1200-000015010000}"/>
            </a:ext>
          </a:extLst>
        </xdr:cNvPr>
        <xdr:cNvPicPr>
          <a:picLocks noChangeAspect="1"/>
        </xdr:cNvPicPr>
      </xdr:nvPicPr>
      <xdr:blipFill>
        <a:blip xmlns:r="http://schemas.openxmlformats.org/officeDocument/2006/relationships" r:embed="rId1"/>
        <a:stretch>
          <a:fillRect/>
        </a:stretch>
      </xdr:blipFill>
      <xdr:spPr>
        <a:xfrm>
          <a:off x="190500" y="1125248122"/>
          <a:ext cx="710837" cy="361951"/>
        </a:xfrm>
        <a:prstGeom prst="rect">
          <a:avLst/>
        </a:prstGeom>
      </xdr:spPr>
    </xdr:pic>
    <xdr:clientData/>
  </xdr:twoCellAnchor>
  <xdr:twoCellAnchor editAs="oneCell">
    <xdr:from>
      <xdr:col>0</xdr:col>
      <xdr:colOff>121920</xdr:colOff>
      <xdr:row>5469</xdr:row>
      <xdr:rowOff>121920</xdr:rowOff>
    </xdr:from>
    <xdr:to>
      <xdr:col>23</xdr:col>
      <xdr:colOff>98340</xdr:colOff>
      <xdr:row>5487</xdr:row>
      <xdr:rowOff>6707</xdr:rowOff>
    </xdr:to>
    <xdr:pic>
      <xdr:nvPicPr>
        <xdr:cNvPr id="214" name="Imagen 213">
          <a:extLst>
            <a:ext uri="{FF2B5EF4-FFF2-40B4-BE49-F238E27FC236}">
              <a16:creationId xmlns:a16="http://schemas.microsoft.com/office/drawing/2014/main" id="{00000000-0008-0000-1200-0000D6000000}"/>
            </a:ext>
          </a:extLst>
        </xdr:cNvPr>
        <xdr:cNvPicPr>
          <a:picLocks noChangeAspect="1"/>
        </xdr:cNvPicPr>
      </xdr:nvPicPr>
      <xdr:blipFill>
        <a:blip xmlns:r="http://schemas.openxmlformats.org/officeDocument/2006/relationships" r:embed="rId103"/>
        <a:stretch>
          <a:fillRect/>
        </a:stretch>
      </xdr:blipFill>
      <xdr:spPr>
        <a:xfrm>
          <a:off x="121920" y="1136088660"/>
          <a:ext cx="5760000" cy="3450947"/>
        </a:xfrm>
        <a:prstGeom prst="rect">
          <a:avLst/>
        </a:prstGeom>
      </xdr:spPr>
    </xdr:pic>
    <xdr:clientData/>
  </xdr:twoCellAnchor>
  <xdr:twoCellAnchor>
    <xdr:from>
      <xdr:col>0</xdr:col>
      <xdr:colOff>190500</xdr:colOff>
      <xdr:row>5499</xdr:row>
      <xdr:rowOff>17962</xdr:rowOff>
    </xdr:from>
    <xdr:to>
      <xdr:col>3</xdr:col>
      <xdr:colOff>146957</xdr:colOff>
      <xdr:row>5500</xdr:row>
      <xdr:rowOff>181793</xdr:rowOff>
    </xdr:to>
    <xdr:pic>
      <xdr:nvPicPr>
        <xdr:cNvPr id="279" name="Imagen 278">
          <a:extLst>
            <a:ext uri="{FF2B5EF4-FFF2-40B4-BE49-F238E27FC236}">
              <a16:creationId xmlns:a16="http://schemas.microsoft.com/office/drawing/2014/main" id="{00000000-0008-0000-1200-000017010000}"/>
            </a:ext>
          </a:extLst>
        </xdr:cNvPr>
        <xdr:cNvPicPr>
          <a:picLocks noChangeAspect="1"/>
        </xdr:cNvPicPr>
      </xdr:nvPicPr>
      <xdr:blipFill>
        <a:blip xmlns:r="http://schemas.openxmlformats.org/officeDocument/2006/relationships" r:embed="rId1"/>
        <a:stretch>
          <a:fillRect/>
        </a:stretch>
      </xdr:blipFill>
      <xdr:spPr>
        <a:xfrm>
          <a:off x="190500" y="1133652982"/>
          <a:ext cx="710837" cy="361951"/>
        </a:xfrm>
        <a:prstGeom prst="rect">
          <a:avLst/>
        </a:prstGeom>
      </xdr:spPr>
    </xdr:pic>
    <xdr:clientData/>
  </xdr:twoCellAnchor>
  <xdr:twoCellAnchor editAs="oneCell">
    <xdr:from>
      <xdr:col>0</xdr:col>
      <xdr:colOff>213360</xdr:colOff>
      <xdr:row>5510</xdr:row>
      <xdr:rowOff>182881</xdr:rowOff>
    </xdr:from>
    <xdr:to>
      <xdr:col>23</xdr:col>
      <xdr:colOff>189780</xdr:colOff>
      <xdr:row>5526</xdr:row>
      <xdr:rowOff>172596</xdr:rowOff>
    </xdr:to>
    <xdr:pic>
      <xdr:nvPicPr>
        <xdr:cNvPr id="215" name="Imagen 214">
          <a:extLst>
            <a:ext uri="{FF2B5EF4-FFF2-40B4-BE49-F238E27FC236}">
              <a16:creationId xmlns:a16="http://schemas.microsoft.com/office/drawing/2014/main" id="{00000000-0008-0000-1200-0000D7000000}"/>
            </a:ext>
          </a:extLst>
        </xdr:cNvPr>
        <xdr:cNvPicPr>
          <a:picLocks noChangeAspect="1"/>
        </xdr:cNvPicPr>
      </xdr:nvPicPr>
      <xdr:blipFill>
        <a:blip xmlns:r="http://schemas.openxmlformats.org/officeDocument/2006/relationships" r:embed="rId104"/>
        <a:stretch>
          <a:fillRect/>
        </a:stretch>
      </xdr:blipFill>
      <xdr:spPr>
        <a:xfrm>
          <a:off x="213360" y="1144554481"/>
          <a:ext cx="5760000" cy="3159635"/>
        </a:xfrm>
        <a:prstGeom prst="rect">
          <a:avLst/>
        </a:prstGeom>
      </xdr:spPr>
    </xdr:pic>
    <xdr:clientData/>
  </xdr:twoCellAnchor>
  <xdr:twoCellAnchor>
    <xdr:from>
      <xdr:col>0</xdr:col>
      <xdr:colOff>190500</xdr:colOff>
      <xdr:row>5540</xdr:row>
      <xdr:rowOff>17962</xdr:rowOff>
    </xdr:from>
    <xdr:to>
      <xdr:col>3</xdr:col>
      <xdr:colOff>146957</xdr:colOff>
      <xdr:row>5541</xdr:row>
      <xdr:rowOff>181793</xdr:rowOff>
    </xdr:to>
    <xdr:pic>
      <xdr:nvPicPr>
        <xdr:cNvPr id="281" name="Imagen 280">
          <a:extLst>
            <a:ext uri="{FF2B5EF4-FFF2-40B4-BE49-F238E27FC236}">
              <a16:creationId xmlns:a16="http://schemas.microsoft.com/office/drawing/2014/main" id="{00000000-0008-0000-1200-000019010000}"/>
            </a:ext>
          </a:extLst>
        </xdr:cNvPr>
        <xdr:cNvPicPr>
          <a:picLocks noChangeAspect="1"/>
        </xdr:cNvPicPr>
      </xdr:nvPicPr>
      <xdr:blipFill>
        <a:blip xmlns:r="http://schemas.openxmlformats.org/officeDocument/2006/relationships" r:embed="rId1"/>
        <a:stretch>
          <a:fillRect/>
        </a:stretch>
      </xdr:blipFill>
      <xdr:spPr>
        <a:xfrm>
          <a:off x="190500" y="1142057842"/>
          <a:ext cx="710837" cy="361951"/>
        </a:xfrm>
        <a:prstGeom prst="rect">
          <a:avLst/>
        </a:prstGeom>
      </xdr:spPr>
    </xdr:pic>
    <xdr:clientData/>
  </xdr:twoCellAnchor>
  <xdr:twoCellAnchor editAs="oneCell">
    <xdr:from>
      <xdr:col>1</xdr:col>
      <xdr:colOff>76200</xdr:colOff>
      <xdr:row>5552</xdr:row>
      <xdr:rowOff>99060</xdr:rowOff>
    </xdr:from>
    <xdr:to>
      <xdr:col>24</xdr:col>
      <xdr:colOff>52620</xdr:colOff>
      <xdr:row>5569</xdr:row>
      <xdr:rowOff>5125</xdr:rowOff>
    </xdr:to>
    <xdr:pic>
      <xdr:nvPicPr>
        <xdr:cNvPr id="217" name="Imagen 216">
          <a:extLst>
            <a:ext uri="{FF2B5EF4-FFF2-40B4-BE49-F238E27FC236}">
              <a16:creationId xmlns:a16="http://schemas.microsoft.com/office/drawing/2014/main" id="{00000000-0008-0000-1200-0000D9000000}"/>
            </a:ext>
          </a:extLst>
        </xdr:cNvPr>
        <xdr:cNvPicPr>
          <a:picLocks noChangeAspect="1"/>
        </xdr:cNvPicPr>
      </xdr:nvPicPr>
      <xdr:blipFill>
        <a:blip xmlns:r="http://schemas.openxmlformats.org/officeDocument/2006/relationships" r:embed="rId105"/>
        <a:stretch>
          <a:fillRect/>
        </a:stretch>
      </xdr:blipFill>
      <xdr:spPr>
        <a:xfrm>
          <a:off x="327660" y="1153073640"/>
          <a:ext cx="5760000" cy="3274105"/>
        </a:xfrm>
        <a:prstGeom prst="rect">
          <a:avLst/>
        </a:prstGeom>
      </xdr:spPr>
    </xdr:pic>
    <xdr:clientData/>
  </xdr:twoCellAnchor>
  <xdr:twoCellAnchor>
    <xdr:from>
      <xdr:col>0</xdr:col>
      <xdr:colOff>190500</xdr:colOff>
      <xdr:row>5581</xdr:row>
      <xdr:rowOff>17962</xdr:rowOff>
    </xdr:from>
    <xdr:to>
      <xdr:col>3</xdr:col>
      <xdr:colOff>146957</xdr:colOff>
      <xdr:row>5582</xdr:row>
      <xdr:rowOff>181793</xdr:rowOff>
    </xdr:to>
    <xdr:pic>
      <xdr:nvPicPr>
        <xdr:cNvPr id="283" name="Imagen 282">
          <a:extLst>
            <a:ext uri="{FF2B5EF4-FFF2-40B4-BE49-F238E27FC236}">
              <a16:creationId xmlns:a16="http://schemas.microsoft.com/office/drawing/2014/main" id="{00000000-0008-0000-1200-00001B010000}"/>
            </a:ext>
          </a:extLst>
        </xdr:cNvPr>
        <xdr:cNvPicPr>
          <a:picLocks noChangeAspect="1"/>
        </xdr:cNvPicPr>
      </xdr:nvPicPr>
      <xdr:blipFill>
        <a:blip xmlns:r="http://schemas.openxmlformats.org/officeDocument/2006/relationships" r:embed="rId1"/>
        <a:stretch>
          <a:fillRect/>
        </a:stretch>
      </xdr:blipFill>
      <xdr:spPr>
        <a:xfrm>
          <a:off x="190500" y="1150462702"/>
          <a:ext cx="710837" cy="361951"/>
        </a:xfrm>
        <a:prstGeom prst="rect">
          <a:avLst/>
        </a:prstGeom>
      </xdr:spPr>
    </xdr:pic>
    <xdr:clientData/>
  </xdr:twoCellAnchor>
  <xdr:twoCellAnchor>
    <xdr:from>
      <xdr:col>0</xdr:col>
      <xdr:colOff>190500</xdr:colOff>
      <xdr:row>5622</xdr:row>
      <xdr:rowOff>17962</xdr:rowOff>
    </xdr:from>
    <xdr:to>
      <xdr:col>3</xdr:col>
      <xdr:colOff>146957</xdr:colOff>
      <xdr:row>5623</xdr:row>
      <xdr:rowOff>181793</xdr:rowOff>
    </xdr:to>
    <xdr:pic>
      <xdr:nvPicPr>
        <xdr:cNvPr id="285" name="Imagen 284">
          <a:extLst>
            <a:ext uri="{FF2B5EF4-FFF2-40B4-BE49-F238E27FC236}">
              <a16:creationId xmlns:a16="http://schemas.microsoft.com/office/drawing/2014/main" id="{00000000-0008-0000-1200-00001D010000}"/>
            </a:ext>
          </a:extLst>
        </xdr:cNvPr>
        <xdr:cNvPicPr>
          <a:picLocks noChangeAspect="1"/>
        </xdr:cNvPicPr>
      </xdr:nvPicPr>
      <xdr:blipFill>
        <a:blip xmlns:r="http://schemas.openxmlformats.org/officeDocument/2006/relationships" r:embed="rId1"/>
        <a:stretch>
          <a:fillRect/>
        </a:stretch>
      </xdr:blipFill>
      <xdr:spPr>
        <a:xfrm>
          <a:off x="190500" y="1158867562"/>
          <a:ext cx="710837" cy="361951"/>
        </a:xfrm>
        <a:prstGeom prst="rect">
          <a:avLst/>
        </a:prstGeom>
      </xdr:spPr>
    </xdr:pic>
    <xdr:clientData/>
  </xdr:twoCellAnchor>
  <xdr:twoCellAnchor>
    <xdr:from>
      <xdr:col>0</xdr:col>
      <xdr:colOff>190500</xdr:colOff>
      <xdr:row>5663</xdr:row>
      <xdr:rowOff>17962</xdr:rowOff>
    </xdr:from>
    <xdr:to>
      <xdr:col>3</xdr:col>
      <xdr:colOff>146957</xdr:colOff>
      <xdr:row>5664</xdr:row>
      <xdr:rowOff>181793</xdr:rowOff>
    </xdr:to>
    <xdr:pic>
      <xdr:nvPicPr>
        <xdr:cNvPr id="286" name="Imagen 285">
          <a:extLst>
            <a:ext uri="{FF2B5EF4-FFF2-40B4-BE49-F238E27FC236}">
              <a16:creationId xmlns:a16="http://schemas.microsoft.com/office/drawing/2014/main" id="{00000000-0008-0000-1200-00001E010000}"/>
            </a:ext>
          </a:extLst>
        </xdr:cNvPr>
        <xdr:cNvPicPr>
          <a:picLocks noChangeAspect="1"/>
        </xdr:cNvPicPr>
      </xdr:nvPicPr>
      <xdr:blipFill>
        <a:blip xmlns:r="http://schemas.openxmlformats.org/officeDocument/2006/relationships" r:embed="rId1"/>
        <a:stretch>
          <a:fillRect/>
        </a:stretch>
      </xdr:blipFill>
      <xdr:spPr>
        <a:xfrm>
          <a:off x="190500" y="1167455302"/>
          <a:ext cx="710837" cy="361951"/>
        </a:xfrm>
        <a:prstGeom prst="rect">
          <a:avLst/>
        </a:prstGeom>
      </xdr:spPr>
    </xdr:pic>
    <xdr:clientData/>
  </xdr:twoCellAnchor>
  <xdr:twoCellAnchor>
    <xdr:from>
      <xdr:col>0</xdr:col>
      <xdr:colOff>190500</xdr:colOff>
      <xdr:row>5704</xdr:row>
      <xdr:rowOff>17962</xdr:rowOff>
    </xdr:from>
    <xdr:to>
      <xdr:col>3</xdr:col>
      <xdr:colOff>146957</xdr:colOff>
      <xdr:row>5705</xdr:row>
      <xdr:rowOff>181793</xdr:rowOff>
    </xdr:to>
    <xdr:pic>
      <xdr:nvPicPr>
        <xdr:cNvPr id="287" name="Imagen 286">
          <a:extLst>
            <a:ext uri="{FF2B5EF4-FFF2-40B4-BE49-F238E27FC236}">
              <a16:creationId xmlns:a16="http://schemas.microsoft.com/office/drawing/2014/main" id="{00000000-0008-0000-1200-00001F010000}"/>
            </a:ext>
          </a:extLst>
        </xdr:cNvPr>
        <xdr:cNvPicPr>
          <a:picLocks noChangeAspect="1"/>
        </xdr:cNvPicPr>
      </xdr:nvPicPr>
      <xdr:blipFill>
        <a:blip xmlns:r="http://schemas.openxmlformats.org/officeDocument/2006/relationships" r:embed="rId1"/>
        <a:stretch>
          <a:fillRect/>
        </a:stretch>
      </xdr:blipFill>
      <xdr:spPr>
        <a:xfrm>
          <a:off x="190500" y="1176043042"/>
          <a:ext cx="710837" cy="361951"/>
        </a:xfrm>
        <a:prstGeom prst="rect">
          <a:avLst/>
        </a:prstGeom>
      </xdr:spPr>
    </xdr:pic>
    <xdr:clientData/>
  </xdr:twoCellAnchor>
  <xdr:twoCellAnchor>
    <xdr:from>
      <xdr:col>0</xdr:col>
      <xdr:colOff>190500</xdr:colOff>
      <xdr:row>5745</xdr:row>
      <xdr:rowOff>17962</xdr:rowOff>
    </xdr:from>
    <xdr:to>
      <xdr:col>3</xdr:col>
      <xdr:colOff>146957</xdr:colOff>
      <xdr:row>5746</xdr:row>
      <xdr:rowOff>181793</xdr:rowOff>
    </xdr:to>
    <xdr:pic>
      <xdr:nvPicPr>
        <xdr:cNvPr id="288" name="Imagen 287">
          <a:extLst>
            <a:ext uri="{FF2B5EF4-FFF2-40B4-BE49-F238E27FC236}">
              <a16:creationId xmlns:a16="http://schemas.microsoft.com/office/drawing/2014/main" id="{00000000-0008-0000-1200-000020010000}"/>
            </a:ext>
          </a:extLst>
        </xdr:cNvPr>
        <xdr:cNvPicPr>
          <a:picLocks noChangeAspect="1"/>
        </xdr:cNvPicPr>
      </xdr:nvPicPr>
      <xdr:blipFill>
        <a:blip xmlns:r="http://schemas.openxmlformats.org/officeDocument/2006/relationships" r:embed="rId1"/>
        <a:stretch>
          <a:fillRect/>
        </a:stretch>
      </xdr:blipFill>
      <xdr:spPr>
        <a:xfrm>
          <a:off x="190500" y="1184630782"/>
          <a:ext cx="710837" cy="361951"/>
        </a:xfrm>
        <a:prstGeom prst="rect">
          <a:avLst/>
        </a:prstGeom>
      </xdr:spPr>
    </xdr:pic>
    <xdr:clientData/>
  </xdr:twoCellAnchor>
  <xdr:twoCellAnchor>
    <xdr:from>
      <xdr:col>0</xdr:col>
      <xdr:colOff>190500</xdr:colOff>
      <xdr:row>5786</xdr:row>
      <xdr:rowOff>40822</xdr:rowOff>
    </xdr:from>
    <xdr:to>
      <xdr:col>3</xdr:col>
      <xdr:colOff>146957</xdr:colOff>
      <xdr:row>5787</xdr:row>
      <xdr:rowOff>326573</xdr:rowOff>
    </xdr:to>
    <xdr:pic>
      <xdr:nvPicPr>
        <xdr:cNvPr id="289" name="Imagen 288">
          <a:extLst>
            <a:ext uri="{FF2B5EF4-FFF2-40B4-BE49-F238E27FC236}">
              <a16:creationId xmlns:a16="http://schemas.microsoft.com/office/drawing/2014/main" id="{00000000-0008-0000-1200-000021010000}"/>
            </a:ext>
          </a:extLst>
        </xdr:cNvPr>
        <xdr:cNvPicPr>
          <a:picLocks noChangeAspect="1"/>
        </xdr:cNvPicPr>
      </xdr:nvPicPr>
      <xdr:blipFill>
        <a:blip xmlns:r="http://schemas.openxmlformats.org/officeDocument/2006/relationships" r:embed="rId1"/>
        <a:stretch>
          <a:fillRect/>
        </a:stretch>
      </xdr:blipFill>
      <xdr:spPr>
        <a:xfrm>
          <a:off x="190500" y="1042395862"/>
          <a:ext cx="710837" cy="361951"/>
        </a:xfrm>
        <a:prstGeom prst="rect">
          <a:avLst/>
        </a:prstGeom>
      </xdr:spPr>
    </xdr:pic>
    <xdr:clientData/>
  </xdr:twoCellAnchor>
  <xdr:twoCellAnchor>
    <xdr:from>
      <xdr:col>0</xdr:col>
      <xdr:colOff>190500</xdr:colOff>
      <xdr:row>5824</xdr:row>
      <xdr:rowOff>40822</xdr:rowOff>
    </xdr:from>
    <xdr:to>
      <xdr:col>3</xdr:col>
      <xdr:colOff>146957</xdr:colOff>
      <xdr:row>5825</xdr:row>
      <xdr:rowOff>326573</xdr:rowOff>
    </xdr:to>
    <xdr:pic>
      <xdr:nvPicPr>
        <xdr:cNvPr id="290" name="Imagen 289">
          <a:extLst>
            <a:ext uri="{FF2B5EF4-FFF2-40B4-BE49-F238E27FC236}">
              <a16:creationId xmlns:a16="http://schemas.microsoft.com/office/drawing/2014/main" id="{00000000-0008-0000-1200-000022010000}"/>
            </a:ext>
          </a:extLst>
        </xdr:cNvPr>
        <xdr:cNvPicPr>
          <a:picLocks noChangeAspect="1"/>
        </xdr:cNvPicPr>
      </xdr:nvPicPr>
      <xdr:blipFill>
        <a:blip xmlns:r="http://schemas.openxmlformats.org/officeDocument/2006/relationships" r:embed="rId1"/>
        <a:stretch>
          <a:fillRect/>
        </a:stretch>
      </xdr:blipFill>
      <xdr:spPr>
        <a:xfrm>
          <a:off x="190500" y="1050221602"/>
          <a:ext cx="710837" cy="361951"/>
        </a:xfrm>
        <a:prstGeom prst="rect">
          <a:avLst/>
        </a:prstGeom>
      </xdr:spPr>
    </xdr:pic>
    <xdr:clientData/>
  </xdr:twoCellAnchor>
  <xdr:twoCellAnchor>
    <xdr:from>
      <xdr:col>0</xdr:col>
      <xdr:colOff>190500</xdr:colOff>
      <xdr:row>5862</xdr:row>
      <xdr:rowOff>17962</xdr:rowOff>
    </xdr:from>
    <xdr:to>
      <xdr:col>3</xdr:col>
      <xdr:colOff>146957</xdr:colOff>
      <xdr:row>5863</xdr:row>
      <xdr:rowOff>181793</xdr:rowOff>
    </xdr:to>
    <xdr:pic>
      <xdr:nvPicPr>
        <xdr:cNvPr id="293" name="Imagen 292">
          <a:extLst>
            <a:ext uri="{FF2B5EF4-FFF2-40B4-BE49-F238E27FC236}">
              <a16:creationId xmlns:a16="http://schemas.microsoft.com/office/drawing/2014/main" id="{00000000-0008-0000-1200-000025010000}"/>
            </a:ext>
          </a:extLst>
        </xdr:cNvPr>
        <xdr:cNvPicPr>
          <a:picLocks noChangeAspect="1"/>
        </xdr:cNvPicPr>
      </xdr:nvPicPr>
      <xdr:blipFill>
        <a:blip xmlns:r="http://schemas.openxmlformats.org/officeDocument/2006/relationships" r:embed="rId1"/>
        <a:stretch>
          <a:fillRect/>
        </a:stretch>
      </xdr:blipFill>
      <xdr:spPr>
        <a:xfrm>
          <a:off x="190500" y="1158867562"/>
          <a:ext cx="710837" cy="361951"/>
        </a:xfrm>
        <a:prstGeom prst="rect">
          <a:avLst/>
        </a:prstGeom>
      </xdr:spPr>
    </xdr:pic>
    <xdr:clientData/>
  </xdr:twoCellAnchor>
  <xdr:twoCellAnchor>
    <xdr:from>
      <xdr:col>0</xdr:col>
      <xdr:colOff>190500</xdr:colOff>
      <xdr:row>5903</xdr:row>
      <xdr:rowOff>17962</xdr:rowOff>
    </xdr:from>
    <xdr:to>
      <xdr:col>3</xdr:col>
      <xdr:colOff>146957</xdr:colOff>
      <xdr:row>5904</xdr:row>
      <xdr:rowOff>181793</xdr:rowOff>
    </xdr:to>
    <xdr:pic>
      <xdr:nvPicPr>
        <xdr:cNvPr id="294" name="Imagen 293">
          <a:extLst>
            <a:ext uri="{FF2B5EF4-FFF2-40B4-BE49-F238E27FC236}">
              <a16:creationId xmlns:a16="http://schemas.microsoft.com/office/drawing/2014/main" id="{00000000-0008-0000-1200-000026010000}"/>
            </a:ext>
          </a:extLst>
        </xdr:cNvPr>
        <xdr:cNvPicPr>
          <a:picLocks noChangeAspect="1"/>
        </xdr:cNvPicPr>
      </xdr:nvPicPr>
      <xdr:blipFill>
        <a:blip xmlns:r="http://schemas.openxmlformats.org/officeDocument/2006/relationships" r:embed="rId1"/>
        <a:stretch>
          <a:fillRect/>
        </a:stretch>
      </xdr:blipFill>
      <xdr:spPr>
        <a:xfrm>
          <a:off x="190500" y="1217396782"/>
          <a:ext cx="710837" cy="361951"/>
        </a:xfrm>
        <a:prstGeom prst="rect">
          <a:avLst/>
        </a:prstGeom>
      </xdr:spPr>
    </xdr:pic>
    <xdr:clientData/>
  </xdr:twoCellAnchor>
  <xdr:twoCellAnchor>
    <xdr:from>
      <xdr:col>0</xdr:col>
      <xdr:colOff>190500</xdr:colOff>
      <xdr:row>5944</xdr:row>
      <xdr:rowOff>17962</xdr:rowOff>
    </xdr:from>
    <xdr:to>
      <xdr:col>3</xdr:col>
      <xdr:colOff>146957</xdr:colOff>
      <xdr:row>5945</xdr:row>
      <xdr:rowOff>181793</xdr:rowOff>
    </xdr:to>
    <xdr:pic>
      <xdr:nvPicPr>
        <xdr:cNvPr id="295" name="Imagen 294">
          <a:extLst>
            <a:ext uri="{FF2B5EF4-FFF2-40B4-BE49-F238E27FC236}">
              <a16:creationId xmlns:a16="http://schemas.microsoft.com/office/drawing/2014/main" id="{00000000-0008-0000-1200-000027010000}"/>
            </a:ext>
          </a:extLst>
        </xdr:cNvPr>
        <xdr:cNvPicPr>
          <a:picLocks noChangeAspect="1"/>
        </xdr:cNvPicPr>
      </xdr:nvPicPr>
      <xdr:blipFill>
        <a:blip xmlns:r="http://schemas.openxmlformats.org/officeDocument/2006/relationships" r:embed="rId1"/>
        <a:stretch>
          <a:fillRect/>
        </a:stretch>
      </xdr:blipFill>
      <xdr:spPr>
        <a:xfrm>
          <a:off x="190500" y="1225984522"/>
          <a:ext cx="710837" cy="361951"/>
        </a:xfrm>
        <a:prstGeom prst="rect">
          <a:avLst/>
        </a:prstGeom>
      </xdr:spPr>
    </xdr:pic>
    <xdr:clientData/>
  </xdr:twoCellAnchor>
  <xdr:twoCellAnchor>
    <xdr:from>
      <xdr:col>0</xdr:col>
      <xdr:colOff>190500</xdr:colOff>
      <xdr:row>5985</xdr:row>
      <xdr:rowOff>17962</xdr:rowOff>
    </xdr:from>
    <xdr:to>
      <xdr:col>3</xdr:col>
      <xdr:colOff>146957</xdr:colOff>
      <xdr:row>5986</xdr:row>
      <xdr:rowOff>181793</xdr:rowOff>
    </xdr:to>
    <xdr:pic>
      <xdr:nvPicPr>
        <xdr:cNvPr id="276" name="Imagen 275">
          <a:extLst>
            <a:ext uri="{FF2B5EF4-FFF2-40B4-BE49-F238E27FC236}">
              <a16:creationId xmlns:a16="http://schemas.microsoft.com/office/drawing/2014/main" id="{00000000-0008-0000-1200-000014010000}"/>
            </a:ext>
          </a:extLst>
        </xdr:cNvPr>
        <xdr:cNvPicPr>
          <a:picLocks noChangeAspect="1"/>
        </xdr:cNvPicPr>
      </xdr:nvPicPr>
      <xdr:blipFill>
        <a:blip xmlns:r="http://schemas.openxmlformats.org/officeDocument/2006/relationships" r:embed="rId1"/>
        <a:stretch>
          <a:fillRect/>
        </a:stretch>
      </xdr:blipFill>
      <xdr:spPr>
        <a:xfrm>
          <a:off x="190500" y="1226167402"/>
          <a:ext cx="710837" cy="361951"/>
        </a:xfrm>
        <a:prstGeom prst="rect">
          <a:avLst/>
        </a:prstGeom>
      </xdr:spPr>
    </xdr:pic>
    <xdr:clientData/>
  </xdr:twoCellAnchor>
  <xdr:twoCellAnchor editAs="oneCell">
    <xdr:from>
      <xdr:col>1</xdr:col>
      <xdr:colOff>205740</xdr:colOff>
      <xdr:row>5996</xdr:row>
      <xdr:rowOff>53340</xdr:rowOff>
    </xdr:from>
    <xdr:to>
      <xdr:col>23</xdr:col>
      <xdr:colOff>73620</xdr:colOff>
      <xdr:row>6013</xdr:row>
      <xdr:rowOff>14274</xdr:rowOff>
    </xdr:to>
    <xdr:pic>
      <xdr:nvPicPr>
        <xdr:cNvPr id="278" name="Imagen 277">
          <a:extLst>
            <a:ext uri="{FF2B5EF4-FFF2-40B4-BE49-F238E27FC236}">
              <a16:creationId xmlns:a16="http://schemas.microsoft.com/office/drawing/2014/main" id="{00000000-0008-0000-1200-000016010000}"/>
            </a:ext>
          </a:extLst>
        </xdr:cNvPr>
        <xdr:cNvPicPr>
          <a:picLocks noChangeAspect="1"/>
        </xdr:cNvPicPr>
      </xdr:nvPicPr>
      <xdr:blipFill>
        <a:blip xmlns:r="http://schemas.openxmlformats.org/officeDocument/2006/relationships" r:embed="rId106"/>
        <a:stretch>
          <a:fillRect/>
        </a:stretch>
      </xdr:blipFill>
      <xdr:spPr>
        <a:xfrm>
          <a:off x="457200" y="1237305120"/>
          <a:ext cx="5400000" cy="3328974"/>
        </a:xfrm>
        <a:prstGeom prst="rect">
          <a:avLst/>
        </a:prstGeom>
      </xdr:spPr>
    </xdr:pic>
    <xdr:clientData/>
  </xdr:twoCellAnchor>
  <xdr:twoCellAnchor>
    <xdr:from>
      <xdr:col>0</xdr:col>
      <xdr:colOff>190500</xdr:colOff>
      <xdr:row>6026</xdr:row>
      <xdr:rowOff>17962</xdr:rowOff>
    </xdr:from>
    <xdr:to>
      <xdr:col>3</xdr:col>
      <xdr:colOff>146957</xdr:colOff>
      <xdr:row>6027</xdr:row>
      <xdr:rowOff>181793</xdr:rowOff>
    </xdr:to>
    <xdr:pic>
      <xdr:nvPicPr>
        <xdr:cNvPr id="280" name="Imagen 279">
          <a:extLst>
            <a:ext uri="{FF2B5EF4-FFF2-40B4-BE49-F238E27FC236}">
              <a16:creationId xmlns:a16="http://schemas.microsoft.com/office/drawing/2014/main" id="{00000000-0008-0000-1200-000018010000}"/>
            </a:ext>
          </a:extLst>
        </xdr:cNvPr>
        <xdr:cNvPicPr>
          <a:picLocks noChangeAspect="1"/>
        </xdr:cNvPicPr>
      </xdr:nvPicPr>
      <xdr:blipFill>
        <a:blip xmlns:r="http://schemas.openxmlformats.org/officeDocument/2006/relationships" r:embed="rId1"/>
        <a:stretch>
          <a:fillRect/>
        </a:stretch>
      </xdr:blipFill>
      <xdr:spPr>
        <a:xfrm>
          <a:off x="190500" y="1234755142"/>
          <a:ext cx="710837" cy="361951"/>
        </a:xfrm>
        <a:prstGeom prst="rect">
          <a:avLst/>
        </a:prstGeom>
      </xdr:spPr>
    </xdr:pic>
    <xdr:clientData/>
  </xdr:twoCellAnchor>
  <xdr:twoCellAnchor>
    <xdr:from>
      <xdr:col>0</xdr:col>
      <xdr:colOff>190500</xdr:colOff>
      <xdr:row>6067</xdr:row>
      <xdr:rowOff>17962</xdr:rowOff>
    </xdr:from>
    <xdr:to>
      <xdr:col>3</xdr:col>
      <xdr:colOff>146957</xdr:colOff>
      <xdr:row>6068</xdr:row>
      <xdr:rowOff>181793</xdr:rowOff>
    </xdr:to>
    <xdr:pic>
      <xdr:nvPicPr>
        <xdr:cNvPr id="284" name="Imagen 283">
          <a:extLst>
            <a:ext uri="{FF2B5EF4-FFF2-40B4-BE49-F238E27FC236}">
              <a16:creationId xmlns:a16="http://schemas.microsoft.com/office/drawing/2014/main" id="{00000000-0008-0000-1200-00001C010000}"/>
            </a:ext>
          </a:extLst>
        </xdr:cNvPr>
        <xdr:cNvPicPr>
          <a:picLocks noChangeAspect="1"/>
        </xdr:cNvPicPr>
      </xdr:nvPicPr>
      <xdr:blipFill>
        <a:blip xmlns:r="http://schemas.openxmlformats.org/officeDocument/2006/relationships" r:embed="rId1"/>
        <a:stretch>
          <a:fillRect/>
        </a:stretch>
      </xdr:blipFill>
      <xdr:spPr>
        <a:xfrm>
          <a:off x="190500" y="1233674191"/>
          <a:ext cx="707571" cy="359773"/>
        </a:xfrm>
        <a:prstGeom prst="rect">
          <a:avLst/>
        </a:prstGeom>
      </xdr:spPr>
    </xdr:pic>
    <xdr:clientData/>
  </xdr:twoCellAnchor>
  <xdr:twoCellAnchor>
    <xdr:from>
      <xdr:col>0</xdr:col>
      <xdr:colOff>190500</xdr:colOff>
      <xdr:row>6108</xdr:row>
      <xdr:rowOff>17962</xdr:rowOff>
    </xdr:from>
    <xdr:to>
      <xdr:col>3</xdr:col>
      <xdr:colOff>146957</xdr:colOff>
      <xdr:row>6109</xdr:row>
      <xdr:rowOff>181793</xdr:rowOff>
    </xdr:to>
    <xdr:pic>
      <xdr:nvPicPr>
        <xdr:cNvPr id="291" name="Imagen 290">
          <a:extLst>
            <a:ext uri="{FF2B5EF4-FFF2-40B4-BE49-F238E27FC236}">
              <a16:creationId xmlns:a16="http://schemas.microsoft.com/office/drawing/2014/main" id="{00000000-0008-0000-1200-000023010000}"/>
            </a:ext>
          </a:extLst>
        </xdr:cNvPr>
        <xdr:cNvPicPr>
          <a:picLocks noChangeAspect="1"/>
        </xdr:cNvPicPr>
      </xdr:nvPicPr>
      <xdr:blipFill>
        <a:blip xmlns:r="http://schemas.openxmlformats.org/officeDocument/2006/relationships" r:embed="rId1"/>
        <a:stretch>
          <a:fillRect/>
        </a:stretch>
      </xdr:blipFill>
      <xdr:spPr>
        <a:xfrm>
          <a:off x="190500" y="1250424103"/>
          <a:ext cx="709492" cy="361055"/>
        </a:xfrm>
        <a:prstGeom prst="rect">
          <a:avLst/>
        </a:prstGeom>
      </xdr:spPr>
    </xdr:pic>
    <xdr:clientData/>
  </xdr:twoCellAnchor>
  <xdr:twoCellAnchor>
    <xdr:from>
      <xdr:col>0</xdr:col>
      <xdr:colOff>190500</xdr:colOff>
      <xdr:row>6149</xdr:row>
      <xdr:rowOff>17962</xdr:rowOff>
    </xdr:from>
    <xdr:to>
      <xdr:col>3</xdr:col>
      <xdr:colOff>146957</xdr:colOff>
      <xdr:row>6150</xdr:row>
      <xdr:rowOff>181793</xdr:rowOff>
    </xdr:to>
    <xdr:pic>
      <xdr:nvPicPr>
        <xdr:cNvPr id="292" name="Imagen 291">
          <a:extLst>
            <a:ext uri="{FF2B5EF4-FFF2-40B4-BE49-F238E27FC236}">
              <a16:creationId xmlns:a16="http://schemas.microsoft.com/office/drawing/2014/main" id="{00000000-0008-0000-1200-000024010000}"/>
            </a:ext>
          </a:extLst>
        </xdr:cNvPr>
        <xdr:cNvPicPr>
          <a:picLocks noChangeAspect="1"/>
        </xdr:cNvPicPr>
      </xdr:nvPicPr>
      <xdr:blipFill>
        <a:blip xmlns:r="http://schemas.openxmlformats.org/officeDocument/2006/relationships" r:embed="rId1"/>
        <a:stretch>
          <a:fillRect/>
        </a:stretch>
      </xdr:blipFill>
      <xdr:spPr>
        <a:xfrm>
          <a:off x="190500" y="1259003327"/>
          <a:ext cx="709492" cy="361054"/>
        </a:xfrm>
        <a:prstGeom prst="rect">
          <a:avLst/>
        </a:prstGeom>
      </xdr:spPr>
    </xdr:pic>
    <xdr:clientData/>
  </xdr:twoCellAnchor>
  <xdr:twoCellAnchor>
    <xdr:from>
      <xdr:col>0</xdr:col>
      <xdr:colOff>190500</xdr:colOff>
      <xdr:row>6190</xdr:row>
      <xdr:rowOff>17962</xdr:rowOff>
    </xdr:from>
    <xdr:to>
      <xdr:col>3</xdr:col>
      <xdr:colOff>146957</xdr:colOff>
      <xdr:row>6191</xdr:row>
      <xdr:rowOff>181793</xdr:rowOff>
    </xdr:to>
    <xdr:pic>
      <xdr:nvPicPr>
        <xdr:cNvPr id="296" name="Imagen 295">
          <a:extLst>
            <a:ext uri="{FF2B5EF4-FFF2-40B4-BE49-F238E27FC236}">
              <a16:creationId xmlns:a16="http://schemas.microsoft.com/office/drawing/2014/main" id="{00000000-0008-0000-1200-000028010000}"/>
            </a:ext>
          </a:extLst>
        </xdr:cNvPr>
        <xdr:cNvPicPr>
          <a:picLocks noChangeAspect="1"/>
        </xdr:cNvPicPr>
      </xdr:nvPicPr>
      <xdr:blipFill>
        <a:blip xmlns:r="http://schemas.openxmlformats.org/officeDocument/2006/relationships" r:embed="rId1"/>
        <a:stretch>
          <a:fillRect/>
        </a:stretch>
      </xdr:blipFill>
      <xdr:spPr>
        <a:xfrm>
          <a:off x="190500" y="1267582550"/>
          <a:ext cx="709492" cy="361055"/>
        </a:xfrm>
        <a:prstGeom prst="rect">
          <a:avLst/>
        </a:prstGeom>
      </xdr:spPr>
    </xdr:pic>
    <xdr:clientData/>
  </xdr:twoCellAnchor>
  <xdr:twoCellAnchor>
    <xdr:from>
      <xdr:col>0</xdr:col>
      <xdr:colOff>190500</xdr:colOff>
      <xdr:row>6231</xdr:row>
      <xdr:rowOff>17962</xdr:rowOff>
    </xdr:from>
    <xdr:to>
      <xdr:col>3</xdr:col>
      <xdr:colOff>146957</xdr:colOff>
      <xdr:row>6232</xdr:row>
      <xdr:rowOff>181793</xdr:rowOff>
    </xdr:to>
    <xdr:pic>
      <xdr:nvPicPr>
        <xdr:cNvPr id="297" name="Imagen 296">
          <a:extLst>
            <a:ext uri="{FF2B5EF4-FFF2-40B4-BE49-F238E27FC236}">
              <a16:creationId xmlns:a16="http://schemas.microsoft.com/office/drawing/2014/main" id="{00000000-0008-0000-1200-000029010000}"/>
            </a:ext>
          </a:extLst>
        </xdr:cNvPr>
        <xdr:cNvPicPr>
          <a:picLocks noChangeAspect="1"/>
        </xdr:cNvPicPr>
      </xdr:nvPicPr>
      <xdr:blipFill>
        <a:blip xmlns:r="http://schemas.openxmlformats.org/officeDocument/2006/relationships" r:embed="rId1"/>
        <a:stretch>
          <a:fillRect/>
        </a:stretch>
      </xdr:blipFill>
      <xdr:spPr>
        <a:xfrm>
          <a:off x="190500" y="1276161774"/>
          <a:ext cx="709492" cy="361054"/>
        </a:xfrm>
        <a:prstGeom prst="rect">
          <a:avLst/>
        </a:prstGeom>
      </xdr:spPr>
    </xdr:pic>
    <xdr:clientData/>
  </xdr:twoCellAnchor>
  <xdr:twoCellAnchor>
    <xdr:from>
      <xdr:col>0</xdr:col>
      <xdr:colOff>190500</xdr:colOff>
      <xdr:row>6272</xdr:row>
      <xdr:rowOff>17962</xdr:rowOff>
    </xdr:from>
    <xdr:to>
      <xdr:col>3</xdr:col>
      <xdr:colOff>146957</xdr:colOff>
      <xdr:row>6273</xdr:row>
      <xdr:rowOff>181793</xdr:rowOff>
    </xdr:to>
    <xdr:pic>
      <xdr:nvPicPr>
        <xdr:cNvPr id="298" name="Imagen 297">
          <a:extLst>
            <a:ext uri="{FF2B5EF4-FFF2-40B4-BE49-F238E27FC236}">
              <a16:creationId xmlns:a16="http://schemas.microsoft.com/office/drawing/2014/main" id="{00000000-0008-0000-1200-00002A010000}"/>
            </a:ext>
          </a:extLst>
        </xdr:cNvPr>
        <xdr:cNvPicPr>
          <a:picLocks noChangeAspect="1"/>
        </xdr:cNvPicPr>
      </xdr:nvPicPr>
      <xdr:blipFill>
        <a:blip xmlns:r="http://schemas.openxmlformats.org/officeDocument/2006/relationships" r:embed="rId1"/>
        <a:stretch>
          <a:fillRect/>
        </a:stretch>
      </xdr:blipFill>
      <xdr:spPr>
        <a:xfrm>
          <a:off x="190500" y="1284740997"/>
          <a:ext cx="709492" cy="361055"/>
        </a:xfrm>
        <a:prstGeom prst="rect">
          <a:avLst/>
        </a:prstGeom>
      </xdr:spPr>
    </xdr:pic>
    <xdr:clientData/>
  </xdr:twoCellAnchor>
  <xdr:twoCellAnchor>
    <xdr:from>
      <xdr:col>0</xdr:col>
      <xdr:colOff>190500</xdr:colOff>
      <xdr:row>6313</xdr:row>
      <xdr:rowOff>17962</xdr:rowOff>
    </xdr:from>
    <xdr:to>
      <xdr:col>3</xdr:col>
      <xdr:colOff>146957</xdr:colOff>
      <xdr:row>6314</xdr:row>
      <xdr:rowOff>181793</xdr:rowOff>
    </xdr:to>
    <xdr:pic>
      <xdr:nvPicPr>
        <xdr:cNvPr id="299" name="Imagen 298">
          <a:extLst>
            <a:ext uri="{FF2B5EF4-FFF2-40B4-BE49-F238E27FC236}">
              <a16:creationId xmlns:a16="http://schemas.microsoft.com/office/drawing/2014/main" id="{00000000-0008-0000-1200-00002B010000}"/>
            </a:ext>
          </a:extLst>
        </xdr:cNvPr>
        <xdr:cNvPicPr>
          <a:picLocks noChangeAspect="1"/>
        </xdr:cNvPicPr>
      </xdr:nvPicPr>
      <xdr:blipFill>
        <a:blip xmlns:r="http://schemas.openxmlformats.org/officeDocument/2006/relationships" r:embed="rId1"/>
        <a:stretch>
          <a:fillRect/>
        </a:stretch>
      </xdr:blipFill>
      <xdr:spPr>
        <a:xfrm>
          <a:off x="190500" y="1293320221"/>
          <a:ext cx="709492" cy="361054"/>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oneCellAnchor>
    <xdr:from>
      <xdr:col>9</xdr:col>
      <xdr:colOff>657225</xdr:colOff>
      <xdr:row>69</xdr:row>
      <xdr:rowOff>47625</xdr:rowOff>
    </xdr:from>
    <xdr:ext cx="3543300" cy="400050"/>
    <xdr:pic>
      <xdr:nvPicPr>
        <xdr:cNvPr id="2" name="image4.png">
          <a:extLst>
            <a:ext uri="{FF2B5EF4-FFF2-40B4-BE49-F238E27FC236}">
              <a16:creationId xmlns:a16="http://schemas.microsoft.com/office/drawing/2014/main" id="{00000000-0008-0000-1300-000002000000}"/>
            </a:ext>
          </a:extLst>
        </xdr:cNvPr>
        <xdr:cNvPicPr preferRelativeResize="0"/>
      </xdr:nvPicPr>
      <xdr:blipFill>
        <a:blip xmlns:r="http://schemas.openxmlformats.org/officeDocument/2006/relationships" r:embed="rId1" cstate="print"/>
        <a:stretch>
          <a:fillRect/>
        </a:stretch>
      </xdr:blipFill>
      <xdr:spPr>
        <a:xfrm>
          <a:off x="7086600" y="11220450"/>
          <a:ext cx="3543300" cy="400050"/>
        </a:xfrm>
        <a:prstGeom prst="rect">
          <a:avLst/>
        </a:prstGeom>
        <a:noFill/>
      </xdr:spPr>
    </xdr:pic>
    <xdr:clientData fLocksWithSheet="0"/>
  </xdr:oneCellAnchor>
</xdr:wsDr>
</file>

<file path=xl/drawings/drawing17.xml><?xml version="1.0" encoding="utf-8"?>
<xdr:wsDr xmlns:xdr="http://schemas.openxmlformats.org/drawingml/2006/spreadsheetDrawing" xmlns:a="http://schemas.openxmlformats.org/drawingml/2006/main">
  <xdr:twoCellAnchor editAs="oneCell">
    <xdr:from>
      <xdr:col>2</xdr:col>
      <xdr:colOff>457200</xdr:colOff>
      <xdr:row>0</xdr:row>
      <xdr:rowOff>95250</xdr:rowOff>
    </xdr:from>
    <xdr:to>
      <xdr:col>2</xdr:col>
      <xdr:colOff>1685925</xdr:colOff>
      <xdr:row>0</xdr:row>
      <xdr:rowOff>972911</xdr:rowOff>
    </xdr:to>
    <xdr:pic>
      <xdr:nvPicPr>
        <xdr:cNvPr id="7" name="Imagen 6">
          <a:extLst>
            <a:ext uri="{FF2B5EF4-FFF2-40B4-BE49-F238E27FC236}">
              <a16:creationId xmlns:a16="http://schemas.microsoft.com/office/drawing/2014/main" id="{00000000-0008-0000-14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4450" y="95250"/>
          <a:ext cx="1228725" cy="877661"/>
        </a:xfrm>
        <a:prstGeom prst="rect">
          <a:avLst/>
        </a:prstGeom>
      </xdr:spPr>
    </xdr:pic>
    <xdr:clientData/>
  </xdr:twoCellAnchor>
  <xdr:oneCellAnchor>
    <xdr:from>
      <xdr:col>1</xdr:col>
      <xdr:colOff>538202</xdr:colOff>
      <xdr:row>170</xdr:row>
      <xdr:rowOff>0</xdr:rowOff>
    </xdr:from>
    <xdr:ext cx="184731" cy="264560"/>
    <xdr:sp macro="" textlink="">
      <xdr:nvSpPr>
        <xdr:cNvPr id="4" name="673 CuadroTexto">
          <a:extLst>
            <a:ext uri="{FF2B5EF4-FFF2-40B4-BE49-F238E27FC236}">
              <a16:creationId xmlns:a16="http://schemas.microsoft.com/office/drawing/2014/main" id="{00000000-0008-0000-1400-000004000000}"/>
            </a:ext>
          </a:extLst>
        </xdr:cNvPr>
        <xdr:cNvSpPr txBox="1"/>
      </xdr:nvSpPr>
      <xdr:spPr>
        <a:xfrm>
          <a:off x="900152"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5" name="919 CuadroTexto">
          <a:extLst>
            <a:ext uri="{FF2B5EF4-FFF2-40B4-BE49-F238E27FC236}">
              <a16:creationId xmlns:a16="http://schemas.microsoft.com/office/drawing/2014/main" id="{00000000-0008-0000-1400-000005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6" name="921 CuadroTexto">
          <a:extLst>
            <a:ext uri="{FF2B5EF4-FFF2-40B4-BE49-F238E27FC236}">
              <a16:creationId xmlns:a16="http://schemas.microsoft.com/office/drawing/2014/main" id="{00000000-0008-0000-1400-000006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8" name="995 CuadroTexto">
          <a:extLst>
            <a:ext uri="{FF2B5EF4-FFF2-40B4-BE49-F238E27FC236}">
              <a16:creationId xmlns:a16="http://schemas.microsoft.com/office/drawing/2014/main" id="{00000000-0008-0000-1400-000008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9" name="997 CuadroTexto">
          <a:extLst>
            <a:ext uri="{FF2B5EF4-FFF2-40B4-BE49-F238E27FC236}">
              <a16:creationId xmlns:a16="http://schemas.microsoft.com/office/drawing/2014/main" id="{00000000-0008-0000-1400-000009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538202</xdr:colOff>
      <xdr:row>170</xdr:row>
      <xdr:rowOff>0</xdr:rowOff>
    </xdr:from>
    <xdr:ext cx="184731" cy="264560"/>
    <xdr:sp macro="" textlink="">
      <xdr:nvSpPr>
        <xdr:cNvPr id="10" name="1940 CuadroTexto">
          <a:extLst>
            <a:ext uri="{FF2B5EF4-FFF2-40B4-BE49-F238E27FC236}">
              <a16:creationId xmlns:a16="http://schemas.microsoft.com/office/drawing/2014/main" id="{00000000-0008-0000-1400-00000A000000}"/>
            </a:ext>
          </a:extLst>
        </xdr:cNvPr>
        <xdr:cNvSpPr txBox="1"/>
      </xdr:nvSpPr>
      <xdr:spPr>
        <a:xfrm>
          <a:off x="900152"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1" name="2584 CuadroTexto">
          <a:extLst>
            <a:ext uri="{FF2B5EF4-FFF2-40B4-BE49-F238E27FC236}">
              <a16:creationId xmlns:a16="http://schemas.microsoft.com/office/drawing/2014/main" id="{00000000-0008-0000-1400-00000B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2" name="2585 CuadroTexto">
          <a:extLst>
            <a:ext uri="{FF2B5EF4-FFF2-40B4-BE49-F238E27FC236}">
              <a16:creationId xmlns:a16="http://schemas.microsoft.com/office/drawing/2014/main" id="{00000000-0008-0000-1400-00000C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3" name="2586 CuadroTexto">
          <a:extLst>
            <a:ext uri="{FF2B5EF4-FFF2-40B4-BE49-F238E27FC236}">
              <a16:creationId xmlns:a16="http://schemas.microsoft.com/office/drawing/2014/main" id="{00000000-0008-0000-1400-00000D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4" name="2587 CuadroTexto">
          <a:extLst>
            <a:ext uri="{FF2B5EF4-FFF2-40B4-BE49-F238E27FC236}">
              <a16:creationId xmlns:a16="http://schemas.microsoft.com/office/drawing/2014/main" id="{00000000-0008-0000-1400-00000E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5" name="2588 CuadroTexto">
          <a:extLst>
            <a:ext uri="{FF2B5EF4-FFF2-40B4-BE49-F238E27FC236}">
              <a16:creationId xmlns:a16="http://schemas.microsoft.com/office/drawing/2014/main" id="{00000000-0008-0000-1400-00000F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6" name="2589 CuadroTexto">
          <a:extLst>
            <a:ext uri="{FF2B5EF4-FFF2-40B4-BE49-F238E27FC236}">
              <a16:creationId xmlns:a16="http://schemas.microsoft.com/office/drawing/2014/main" id="{00000000-0008-0000-1400-000010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7" name="240 CuadroTexto">
          <a:extLst>
            <a:ext uri="{FF2B5EF4-FFF2-40B4-BE49-F238E27FC236}">
              <a16:creationId xmlns:a16="http://schemas.microsoft.com/office/drawing/2014/main" id="{00000000-0008-0000-1400-000011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8" name="241 CuadroTexto">
          <a:extLst>
            <a:ext uri="{FF2B5EF4-FFF2-40B4-BE49-F238E27FC236}">
              <a16:creationId xmlns:a16="http://schemas.microsoft.com/office/drawing/2014/main" id="{00000000-0008-0000-1400-000012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9" name="246 CuadroTexto">
          <a:extLst>
            <a:ext uri="{FF2B5EF4-FFF2-40B4-BE49-F238E27FC236}">
              <a16:creationId xmlns:a16="http://schemas.microsoft.com/office/drawing/2014/main" id="{00000000-0008-0000-1400-000013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20" name="247 CuadroTexto">
          <a:extLst>
            <a:ext uri="{FF2B5EF4-FFF2-40B4-BE49-F238E27FC236}">
              <a16:creationId xmlns:a16="http://schemas.microsoft.com/office/drawing/2014/main" id="{00000000-0008-0000-1400-000014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21" name="248 CuadroTexto">
          <a:extLst>
            <a:ext uri="{FF2B5EF4-FFF2-40B4-BE49-F238E27FC236}">
              <a16:creationId xmlns:a16="http://schemas.microsoft.com/office/drawing/2014/main" id="{00000000-0008-0000-1400-000015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22" name="249 CuadroTexto">
          <a:extLst>
            <a:ext uri="{FF2B5EF4-FFF2-40B4-BE49-F238E27FC236}">
              <a16:creationId xmlns:a16="http://schemas.microsoft.com/office/drawing/2014/main" id="{00000000-0008-0000-1400-000016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538202</xdr:colOff>
      <xdr:row>170</xdr:row>
      <xdr:rowOff>0</xdr:rowOff>
    </xdr:from>
    <xdr:ext cx="184731" cy="264560"/>
    <xdr:sp macro="" textlink="">
      <xdr:nvSpPr>
        <xdr:cNvPr id="23" name="673 CuadroTexto">
          <a:extLst>
            <a:ext uri="{FF2B5EF4-FFF2-40B4-BE49-F238E27FC236}">
              <a16:creationId xmlns:a16="http://schemas.microsoft.com/office/drawing/2014/main" id="{00000000-0008-0000-1400-000017000000}"/>
            </a:ext>
          </a:extLst>
        </xdr:cNvPr>
        <xdr:cNvSpPr txBox="1"/>
      </xdr:nvSpPr>
      <xdr:spPr>
        <a:xfrm>
          <a:off x="900152"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24" name="919 CuadroTexto">
          <a:extLst>
            <a:ext uri="{FF2B5EF4-FFF2-40B4-BE49-F238E27FC236}">
              <a16:creationId xmlns:a16="http://schemas.microsoft.com/office/drawing/2014/main" id="{00000000-0008-0000-1400-000018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25" name="921 CuadroTexto">
          <a:extLst>
            <a:ext uri="{FF2B5EF4-FFF2-40B4-BE49-F238E27FC236}">
              <a16:creationId xmlns:a16="http://schemas.microsoft.com/office/drawing/2014/main" id="{00000000-0008-0000-1400-000019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26" name="995 CuadroTexto">
          <a:extLst>
            <a:ext uri="{FF2B5EF4-FFF2-40B4-BE49-F238E27FC236}">
              <a16:creationId xmlns:a16="http://schemas.microsoft.com/office/drawing/2014/main" id="{00000000-0008-0000-1400-00001A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27" name="997 CuadroTexto">
          <a:extLst>
            <a:ext uri="{FF2B5EF4-FFF2-40B4-BE49-F238E27FC236}">
              <a16:creationId xmlns:a16="http://schemas.microsoft.com/office/drawing/2014/main" id="{00000000-0008-0000-1400-00001B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538202</xdr:colOff>
      <xdr:row>170</xdr:row>
      <xdr:rowOff>0</xdr:rowOff>
    </xdr:from>
    <xdr:ext cx="184731" cy="264560"/>
    <xdr:sp macro="" textlink="">
      <xdr:nvSpPr>
        <xdr:cNvPr id="28" name="1940 CuadroTexto">
          <a:extLst>
            <a:ext uri="{FF2B5EF4-FFF2-40B4-BE49-F238E27FC236}">
              <a16:creationId xmlns:a16="http://schemas.microsoft.com/office/drawing/2014/main" id="{00000000-0008-0000-1400-00001C000000}"/>
            </a:ext>
          </a:extLst>
        </xdr:cNvPr>
        <xdr:cNvSpPr txBox="1"/>
      </xdr:nvSpPr>
      <xdr:spPr>
        <a:xfrm>
          <a:off x="900152"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29" name="2584 CuadroTexto">
          <a:extLst>
            <a:ext uri="{FF2B5EF4-FFF2-40B4-BE49-F238E27FC236}">
              <a16:creationId xmlns:a16="http://schemas.microsoft.com/office/drawing/2014/main" id="{00000000-0008-0000-1400-00001D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30" name="2585 CuadroTexto">
          <a:extLst>
            <a:ext uri="{FF2B5EF4-FFF2-40B4-BE49-F238E27FC236}">
              <a16:creationId xmlns:a16="http://schemas.microsoft.com/office/drawing/2014/main" id="{00000000-0008-0000-1400-00001E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31" name="2586 CuadroTexto">
          <a:extLst>
            <a:ext uri="{FF2B5EF4-FFF2-40B4-BE49-F238E27FC236}">
              <a16:creationId xmlns:a16="http://schemas.microsoft.com/office/drawing/2014/main" id="{00000000-0008-0000-1400-00001F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32" name="2587 CuadroTexto">
          <a:extLst>
            <a:ext uri="{FF2B5EF4-FFF2-40B4-BE49-F238E27FC236}">
              <a16:creationId xmlns:a16="http://schemas.microsoft.com/office/drawing/2014/main" id="{00000000-0008-0000-1400-000020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33" name="2588 CuadroTexto">
          <a:extLst>
            <a:ext uri="{FF2B5EF4-FFF2-40B4-BE49-F238E27FC236}">
              <a16:creationId xmlns:a16="http://schemas.microsoft.com/office/drawing/2014/main" id="{00000000-0008-0000-1400-000021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34" name="2589 CuadroTexto">
          <a:extLst>
            <a:ext uri="{FF2B5EF4-FFF2-40B4-BE49-F238E27FC236}">
              <a16:creationId xmlns:a16="http://schemas.microsoft.com/office/drawing/2014/main" id="{00000000-0008-0000-1400-000022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35" name="240 CuadroTexto">
          <a:extLst>
            <a:ext uri="{FF2B5EF4-FFF2-40B4-BE49-F238E27FC236}">
              <a16:creationId xmlns:a16="http://schemas.microsoft.com/office/drawing/2014/main" id="{00000000-0008-0000-1400-000023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36" name="241 CuadroTexto">
          <a:extLst>
            <a:ext uri="{FF2B5EF4-FFF2-40B4-BE49-F238E27FC236}">
              <a16:creationId xmlns:a16="http://schemas.microsoft.com/office/drawing/2014/main" id="{00000000-0008-0000-1400-000024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37" name="246 CuadroTexto">
          <a:extLst>
            <a:ext uri="{FF2B5EF4-FFF2-40B4-BE49-F238E27FC236}">
              <a16:creationId xmlns:a16="http://schemas.microsoft.com/office/drawing/2014/main" id="{00000000-0008-0000-1400-000025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38" name="247 CuadroTexto">
          <a:extLst>
            <a:ext uri="{FF2B5EF4-FFF2-40B4-BE49-F238E27FC236}">
              <a16:creationId xmlns:a16="http://schemas.microsoft.com/office/drawing/2014/main" id="{00000000-0008-0000-1400-000026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39" name="248 CuadroTexto">
          <a:extLst>
            <a:ext uri="{FF2B5EF4-FFF2-40B4-BE49-F238E27FC236}">
              <a16:creationId xmlns:a16="http://schemas.microsoft.com/office/drawing/2014/main" id="{00000000-0008-0000-1400-000027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40" name="249 CuadroTexto">
          <a:extLst>
            <a:ext uri="{FF2B5EF4-FFF2-40B4-BE49-F238E27FC236}">
              <a16:creationId xmlns:a16="http://schemas.microsoft.com/office/drawing/2014/main" id="{00000000-0008-0000-1400-000028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41" name="2429 CuadroTexto">
          <a:extLst>
            <a:ext uri="{FF2B5EF4-FFF2-40B4-BE49-F238E27FC236}">
              <a16:creationId xmlns:a16="http://schemas.microsoft.com/office/drawing/2014/main" id="{00000000-0008-0000-1400-000029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42" name="2430 CuadroTexto">
          <a:extLst>
            <a:ext uri="{FF2B5EF4-FFF2-40B4-BE49-F238E27FC236}">
              <a16:creationId xmlns:a16="http://schemas.microsoft.com/office/drawing/2014/main" id="{00000000-0008-0000-1400-00002A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43" name="2431 CuadroTexto">
          <a:extLst>
            <a:ext uri="{FF2B5EF4-FFF2-40B4-BE49-F238E27FC236}">
              <a16:creationId xmlns:a16="http://schemas.microsoft.com/office/drawing/2014/main" id="{00000000-0008-0000-1400-00002B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44" name="2432 CuadroTexto">
          <a:extLst>
            <a:ext uri="{FF2B5EF4-FFF2-40B4-BE49-F238E27FC236}">
              <a16:creationId xmlns:a16="http://schemas.microsoft.com/office/drawing/2014/main" id="{00000000-0008-0000-1400-00002C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45" name="2433 CuadroTexto">
          <a:extLst>
            <a:ext uri="{FF2B5EF4-FFF2-40B4-BE49-F238E27FC236}">
              <a16:creationId xmlns:a16="http://schemas.microsoft.com/office/drawing/2014/main" id="{00000000-0008-0000-1400-00002D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46" name="2434 CuadroTexto">
          <a:extLst>
            <a:ext uri="{FF2B5EF4-FFF2-40B4-BE49-F238E27FC236}">
              <a16:creationId xmlns:a16="http://schemas.microsoft.com/office/drawing/2014/main" id="{00000000-0008-0000-1400-00002E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47" name="2584 CuadroTexto">
          <a:extLst>
            <a:ext uri="{FF2B5EF4-FFF2-40B4-BE49-F238E27FC236}">
              <a16:creationId xmlns:a16="http://schemas.microsoft.com/office/drawing/2014/main" id="{00000000-0008-0000-1400-00002F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48" name="2585 CuadroTexto">
          <a:extLst>
            <a:ext uri="{FF2B5EF4-FFF2-40B4-BE49-F238E27FC236}">
              <a16:creationId xmlns:a16="http://schemas.microsoft.com/office/drawing/2014/main" id="{00000000-0008-0000-1400-000030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49" name="2586 CuadroTexto">
          <a:extLst>
            <a:ext uri="{FF2B5EF4-FFF2-40B4-BE49-F238E27FC236}">
              <a16:creationId xmlns:a16="http://schemas.microsoft.com/office/drawing/2014/main" id="{00000000-0008-0000-1400-000031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50" name="2587 CuadroTexto">
          <a:extLst>
            <a:ext uri="{FF2B5EF4-FFF2-40B4-BE49-F238E27FC236}">
              <a16:creationId xmlns:a16="http://schemas.microsoft.com/office/drawing/2014/main" id="{00000000-0008-0000-1400-000032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51" name="2588 CuadroTexto">
          <a:extLst>
            <a:ext uri="{FF2B5EF4-FFF2-40B4-BE49-F238E27FC236}">
              <a16:creationId xmlns:a16="http://schemas.microsoft.com/office/drawing/2014/main" id="{00000000-0008-0000-1400-000033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52" name="2589 CuadroTexto">
          <a:extLst>
            <a:ext uri="{FF2B5EF4-FFF2-40B4-BE49-F238E27FC236}">
              <a16:creationId xmlns:a16="http://schemas.microsoft.com/office/drawing/2014/main" id="{00000000-0008-0000-1400-000034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53" name="240 CuadroTexto">
          <a:extLst>
            <a:ext uri="{FF2B5EF4-FFF2-40B4-BE49-F238E27FC236}">
              <a16:creationId xmlns:a16="http://schemas.microsoft.com/office/drawing/2014/main" id="{00000000-0008-0000-1400-000035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54" name="241 CuadroTexto">
          <a:extLst>
            <a:ext uri="{FF2B5EF4-FFF2-40B4-BE49-F238E27FC236}">
              <a16:creationId xmlns:a16="http://schemas.microsoft.com/office/drawing/2014/main" id="{00000000-0008-0000-1400-000036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55" name="246 CuadroTexto">
          <a:extLst>
            <a:ext uri="{FF2B5EF4-FFF2-40B4-BE49-F238E27FC236}">
              <a16:creationId xmlns:a16="http://schemas.microsoft.com/office/drawing/2014/main" id="{00000000-0008-0000-1400-000037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56" name="247 CuadroTexto">
          <a:extLst>
            <a:ext uri="{FF2B5EF4-FFF2-40B4-BE49-F238E27FC236}">
              <a16:creationId xmlns:a16="http://schemas.microsoft.com/office/drawing/2014/main" id="{00000000-0008-0000-1400-000038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57" name="248 CuadroTexto">
          <a:extLst>
            <a:ext uri="{FF2B5EF4-FFF2-40B4-BE49-F238E27FC236}">
              <a16:creationId xmlns:a16="http://schemas.microsoft.com/office/drawing/2014/main" id="{00000000-0008-0000-1400-000039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58" name="249 CuadroTexto">
          <a:extLst>
            <a:ext uri="{FF2B5EF4-FFF2-40B4-BE49-F238E27FC236}">
              <a16:creationId xmlns:a16="http://schemas.microsoft.com/office/drawing/2014/main" id="{00000000-0008-0000-1400-00003A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59" name="2429 CuadroTexto">
          <a:extLst>
            <a:ext uri="{FF2B5EF4-FFF2-40B4-BE49-F238E27FC236}">
              <a16:creationId xmlns:a16="http://schemas.microsoft.com/office/drawing/2014/main" id="{00000000-0008-0000-1400-00003B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60" name="2430 CuadroTexto">
          <a:extLst>
            <a:ext uri="{FF2B5EF4-FFF2-40B4-BE49-F238E27FC236}">
              <a16:creationId xmlns:a16="http://schemas.microsoft.com/office/drawing/2014/main" id="{00000000-0008-0000-1400-00003C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61" name="2431 CuadroTexto">
          <a:extLst>
            <a:ext uri="{FF2B5EF4-FFF2-40B4-BE49-F238E27FC236}">
              <a16:creationId xmlns:a16="http://schemas.microsoft.com/office/drawing/2014/main" id="{00000000-0008-0000-1400-00003D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62" name="2432 CuadroTexto">
          <a:extLst>
            <a:ext uri="{FF2B5EF4-FFF2-40B4-BE49-F238E27FC236}">
              <a16:creationId xmlns:a16="http://schemas.microsoft.com/office/drawing/2014/main" id="{00000000-0008-0000-1400-00003E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63" name="2433 CuadroTexto">
          <a:extLst>
            <a:ext uri="{FF2B5EF4-FFF2-40B4-BE49-F238E27FC236}">
              <a16:creationId xmlns:a16="http://schemas.microsoft.com/office/drawing/2014/main" id="{00000000-0008-0000-1400-00003F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64" name="2434 CuadroTexto">
          <a:extLst>
            <a:ext uri="{FF2B5EF4-FFF2-40B4-BE49-F238E27FC236}">
              <a16:creationId xmlns:a16="http://schemas.microsoft.com/office/drawing/2014/main" id="{00000000-0008-0000-1400-000040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65" name="2584 CuadroTexto">
          <a:extLst>
            <a:ext uri="{FF2B5EF4-FFF2-40B4-BE49-F238E27FC236}">
              <a16:creationId xmlns:a16="http://schemas.microsoft.com/office/drawing/2014/main" id="{00000000-0008-0000-1400-000041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66" name="2585 CuadroTexto">
          <a:extLst>
            <a:ext uri="{FF2B5EF4-FFF2-40B4-BE49-F238E27FC236}">
              <a16:creationId xmlns:a16="http://schemas.microsoft.com/office/drawing/2014/main" id="{00000000-0008-0000-1400-000042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67" name="2586 CuadroTexto">
          <a:extLst>
            <a:ext uri="{FF2B5EF4-FFF2-40B4-BE49-F238E27FC236}">
              <a16:creationId xmlns:a16="http://schemas.microsoft.com/office/drawing/2014/main" id="{00000000-0008-0000-1400-000043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68" name="2587 CuadroTexto">
          <a:extLst>
            <a:ext uri="{FF2B5EF4-FFF2-40B4-BE49-F238E27FC236}">
              <a16:creationId xmlns:a16="http://schemas.microsoft.com/office/drawing/2014/main" id="{00000000-0008-0000-1400-000044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69" name="2588 CuadroTexto">
          <a:extLst>
            <a:ext uri="{FF2B5EF4-FFF2-40B4-BE49-F238E27FC236}">
              <a16:creationId xmlns:a16="http://schemas.microsoft.com/office/drawing/2014/main" id="{00000000-0008-0000-1400-000045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70" name="2589 CuadroTexto">
          <a:extLst>
            <a:ext uri="{FF2B5EF4-FFF2-40B4-BE49-F238E27FC236}">
              <a16:creationId xmlns:a16="http://schemas.microsoft.com/office/drawing/2014/main" id="{00000000-0008-0000-1400-000046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71" name="240 CuadroTexto">
          <a:extLst>
            <a:ext uri="{FF2B5EF4-FFF2-40B4-BE49-F238E27FC236}">
              <a16:creationId xmlns:a16="http://schemas.microsoft.com/office/drawing/2014/main" id="{00000000-0008-0000-1400-000047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72" name="241 CuadroTexto">
          <a:extLst>
            <a:ext uri="{FF2B5EF4-FFF2-40B4-BE49-F238E27FC236}">
              <a16:creationId xmlns:a16="http://schemas.microsoft.com/office/drawing/2014/main" id="{00000000-0008-0000-1400-000048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73" name="246 CuadroTexto">
          <a:extLst>
            <a:ext uri="{FF2B5EF4-FFF2-40B4-BE49-F238E27FC236}">
              <a16:creationId xmlns:a16="http://schemas.microsoft.com/office/drawing/2014/main" id="{00000000-0008-0000-1400-000049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74" name="247 CuadroTexto">
          <a:extLst>
            <a:ext uri="{FF2B5EF4-FFF2-40B4-BE49-F238E27FC236}">
              <a16:creationId xmlns:a16="http://schemas.microsoft.com/office/drawing/2014/main" id="{00000000-0008-0000-1400-00004A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75" name="248 CuadroTexto">
          <a:extLst>
            <a:ext uri="{FF2B5EF4-FFF2-40B4-BE49-F238E27FC236}">
              <a16:creationId xmlns:a16="http://schemas.microsoft.com/office/drawing/2014/main" id="{00000000-0008-0000-1400-00004B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76" name="249 CuadroTexto">
          <a:extLst>
            <a:ext uri="{FF2B5EF4-FFF2-40B4-BE49-F238E27FC236}">
              <a16:creationId xmlns:a16="http://schemas.microsoft.com/office/drawing/2014/main" id="{00000000-0008-0000-1400-00004C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538202</xdr:colOff>
      <xdr:row>172</xdr:row>
      <xdr:rowOff>0</xdr:rowOff>
    </xdr:from>
    <xdr:ext cx="184731" cy="264560"/>
    <xdr:sp macro="" textlink="">
      <xdr:nvSpPr>
        <xdr:cNvPr id="77" name="673 CuadroTexto">
          <a:extLst>
            <a:ext uri="{FF2B5EF4-FFF2-40B4-BE49-F238E27FC236}">
              <a16:creationId xmlns:a16="http://schemas.microsoft.com/office/drawing/2014/main" id="{00000000-0008-0000-1400-00004D000000}"/>
            </a:ext>
          </a:extLst>
        </xdr:cNvPr>
        <xdr:cNvSpPr txBox="1"/>
      </xdr:nvSpPr>
      <xdr:spPr>
        <a:xfrm>
          <a:off x="900152"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78" name="919 CuadroTexto">
          <a:extLst>
            <a:ext uri="{FF2B5EF4-FFF2-40B4-BE49-F238E27FC236}">
              <a16:creationId xmlns:a16="http://schemas.microsoft.com/office/drawing/2014/main" id="{00000000-0008-0000-1400-00004E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79" name="921 CuadroTexto">
          <a:extLst>
            <a:ext uri="{FF2B5EF4-FFF2-40B4-BE49-F238E27FC236}">
              <a16:creationId xmlns:a16="http://schemas.microsoft.com/office/drawing/2014/main" id="{00000000-0008-0000-1400-00004F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80" name="995 CuadroTexto">
          <a:extLst>
            <a:ext uri="{FF2B5EF4-FFF2-40B4-BE49-F238E27FC236}">
              <a16:creationId xmlns:a16="http://schemas.microsoft.com/office/drawing/2014/main" id="{00000000-0008-0000-1400-000050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538202</xdr:colOff>
      <xdr:row>172</xdr:row>
      <xdr:rowOff>0</xdr:rowOff>
    </xdr:from>
    <xdr:ext cx="184731" cy="264560"/>
    <xdr:sp macro="" textlink="">
      <xdr:nvSpPr>
        <xdr:cNvPr id="81" name="1940 CuadroTexto">
          <a:extLst>
            <a:ext uri="{FF2B5EF4-FFF2-40B4-BE49-F238E27FC236}">
              <a16:creationId xmlns:a16="http://schemas.microsoft.com/office/drawing/2014/main" id="{00000000-0008-0000-1400-000051000000}"/>
            </a:ext>
          </a:extLst>
        </xdr:cNvPr>
        <xdr:cNvSpPr txBox="1"/>
      </xdr:nvSpPr>
      <xdr:spPr>
        <a:xfrm>
          <a:off x="900152"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twoCellAnchor>
    <xdr:from>
      <xdr:col>2</xdr:col>
      <xdr:colOff>1992309</xdr:colOff>
      <xdr:row>171</xdr:row>
      <xdr:rowOff>1592</xdr:rowOff>
    </xdr:from>
    <xdr:to>
      <xdr:col>2</xdr:col>
      <xdr:colOff>1993104</xdr:colOff>
      <xdr:row>171</xdr:row>
      <xdr:rowOff>1592</xdr:rowOff>
    </xdr:to>
    <xdr:cxnSp macro="">
      <xdr:nvCxnSpPr>
        <xdr:cNvPr id="82" name="1790 Conector recto">
          <a:extLst>
            <a:ext uri="{FF2B5EF4-FFF2-40B4-BE49-F238E27FC236}">
              <a16:creationId xmlns:a16="http://schemas.microsoft.com/office/drawing/2014/main" id="{00000000-0008-0000-1400-000052000000}"/>
            </a:ext>
          </a:extLst>
        </xdr:cNvPr>
        <xdr:cNvCxnSpPr/>
      </xdr:nvCxnSpPr>
      <xdr:spPr>
        <a:xfrm rot="5400000">
          <a:off x="2894407" y="378975544"/>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142871</xdr:colOff>
      <xdr:row>171</xdr:row>
      <xdr:rowOff>4</xdr:rowOff>
    </xdr:from>
    <xdr:to>
      <xdr:col>3</xdr:col>
      <xdr:colOff>142872</xdr:colOff>
      <xdr:row>171</xdr:row>
      <xdr:rowOff>4</xdr:rowOff>
    </xdr:to>
    <xdr:cxnSp macro="">
      <xdr:nvCxnSpPr>
        <xdr:cNvPr id="83" name="1802 Conector recto">
          <a:extLst>
            <a:ext uri="{FF2B5EF4-FFF2-40B4-BE49-F238E27FC236}">
              <a16:creationId xmlns:a16="http://schemas.microsoft.com/office/drawing/2014/main" id="{00000000-0008-0000-1400-000053000000}"/>
            </a:ext>
          </a:extLst>
        </xdr:cNvPr>
        <xdr:cNvCxnSpPr/>
      </xdr:nvCxnSpPr>
      <xdr:spPr>
        <a:xfrm rot="16200000" flipH="1">
          <a:off x="3038472" y="378974353"/>
          <a:ext cx="0" cy="1"/>
        </a:xfrm>
        <a:prstGeom prst="line">
          <a:avLst/>
        </a:prstGeom>
        <a:ln w="285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520819</xdr:colOff>
      <xdr:row>171</xdr:row>
      <xdr:rowOff>1592</xdr:rowOff>
    </xdr:from>
    <xdr:to>
      <xdr:col>2</xdr:col>
      <xdr:colOff>521614</xdr:colOff>
      <xdr:row>171</xdr:row>
      <xdr:rowOff>1592</xdr:rowOff>
    </xdr:to>
    <xdr:cxnSp macro="">
      <xdr:nvCxnSpPr>
        <xdr:cNvPr id="84" name="1888 Conector recto">
          <a:extLst>
            <a:ext uri="{FF2B5EF4-FFF2-40B4-BE49-F238E27FC236}">
              <a16:creationId xmlns:a16="http://schemas.microsoft.com/office/drawing/2014/main" id="{00000000-0008-0000-1400-000054000000}"/>
            </a:ext>
          </a:extLst>
        </xdr:cNvPr>
        <xdr:cNvCxnSpPr/>
      </xdr:nvCxnSpPr>
      <xdr:spPr>
        <a:xfrm rot="5400000">
          <a:off x="1422917" y="378975544"/>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1627</xdr:colOff>
      <xdr:row>172</xdr:row>
      <xdr:rowOff>0</xdr:rowOff>
    </xdr:from>
    <xdr:ext cx="184731" cy="264560"/>
    <xdr:sp macro="" textlink="">
      <xdr:nvSpPr>
        <xdr:cNvPr id="85" name="2584 CuadroTexto">
          <a:extLst>
            <a:ext uri="{FF2B5EF4-FFF2-40B4-BE49-F238E27FC236}">
              <a16:creationId xmlns:a16="http://schemas.microsoft.com/office/drawing/2014/main" id="{00000000-0008-0000-1400-000055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86" name="2585 CuadroTexto">
          <a:extLst>
            <a:ext uri="{FF2B5EF4-FFF2-40B4-BE49-F238E27FC236}">
              <a16:creationId xmlns:a16="http://schemas.microsoft.com/office/drawing/2014/main" id="{00000000-0008-0000-1400-000056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87" name="2586 CuadroTexto">
          <a:extLst>
            <a:ext uri="{FF2B5EF4-FFF2-40B4-BE49-F238E27FC236}">
              <a16:creationId xmlns:a16="http://schemas.microsoft.com/office/drawing/2014/main" id="{00000000-0008-0000-1400-000057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88" name="2587 CuadroTexto">
          <a:extLst>
            <a:ext uri="{FF2B5EF4-FFF2-40B4-BE49-F238E27FC236}">
              <a16:creationId xmlns:a16="http://schemas.microsoft.com/office/drawing/2014/main" id="{00000000-0008-0000-1400-000058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89" name="2588 CuadroTexto">
          <a:extLst>
            <a:ext uri="{FF2B5EF4-FFF2-40B4-BE49-F238E27FC236}">
              <a16:creationId xmlns:a16="http://schemas.microsoft.com/office/drawing/2014/main" id="{00000000-0008-0000-1400-000059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90" name="2589 CuadroTexto">
          <a:extLst>
            <a:ext uri="{FF2B5EF4-FFF2-40B4-BE49-F238E27FC236}">
              <a16:creationId xmlns:a16="http://schemas.microsoft.com/office/drawing/2014/main" id="{00000000-0008-0000-1400-00005A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91" name="240 CuadroTexto">
          <a:extLst>
            <a:ext uri="{FF2B5EF4-FFF2-40B4-BE49-F238E27FC236}">
              <a16:creationId xmlns:a16="http://schemas.microsoft.com/office/drawing/2014/main" id="{00000000-0008-0000-1400-00005B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92" name="241 CuadroTexto">
          <a:extLst>
            <a:ext uri="{FF2B5EF4-FFF2-40B4-BE49-F238E27FC236}">
              <a16:creationId xmlns:a16="http://schemas.microsoft.com/office/drawing/2014/main" id="{00000000-0008-0000-1400-00005C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93" name="246 CuadroTexto">
          <a:extLst>
            <a:ext uri="{FF2B5EF4-FFF2-40B4-BE49-F238E27FC236}">
              <a16:creationId xmlns:a16="http://schemas.microsoft.com/office/drawing/2014/main" id="{00000000-0008-0000-1400-00005D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94" name="2584 CuadroTexto">
          <a:extLst>
            <a:ext uri="{FF2B5EF4-FFF2-40B4-BE49-F238E27FC236}">
              <a16:creationId xmlns:a16="http://schemas.microsoft.com/office/drawing/2014/main" id="{00000000-0008-0000-1400-00005E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95" name="2585 CuadroTexto">
          <a:extLst>
            <a:ext uri="{FF2B5EF4-FFF2-40B4-BE49-F238E27FC236}">
              <a16:creationId xmlns:a16="http://schemas.microsoft.com/office/drawing/2014/main" id="{00000000-0008-0000-1400-00005F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96" name="2586 CuadroTexto">
          <a:extLst>
            <a:ext uri="{FF2B5EF4-FFF2-40B4-BE49-F238E27FC236}">
              <a16:creationId xmlns:a16="http://schemas.microsoft.com/office/drawing/2014/main" id="{00000000-0008-0000-1400-000060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97" name="2587 CuadroTexto">
          <a:extLst>
            <a:ext uri="{FF2B5EF4-FFF2-40B4-BE49-F238E27FC236}">
              <a16:creationId xmlns:a16="http://schemas.microsoft.com/office/drawing/2014/main" id="{00000000-0008-0000-1400-000061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98" name="2588 CuadroTexto">
          <a:extLst>
            <a:ext uri="{FF2B5EF4-FFF2-40B4-BE49-F238E27FC236}">
              <a16:creationId xmlns:a16="http://schemas.microsoft.com/office/drawing/2014/main" id="{00000000-0008-0000-1400-000062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99" name="2589 CuadroTexto">
          <a:extLst>
            <a:ext uri="{FF2B5EF4-FFF2-40B4-BE49-F238E27FC236}">
              <a16:creationId xmlns:a16="http://schemas.microsoft.com/office/drawing/2014/main" id="{00000000-0008-0000-1400-000063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00" name="240 CuadroTexto">
          <a:extLst>
            <a:ext uri="{FF2B5EF4-FFF2-40B4-BE49-F238E27FC236}">
              <a16:creationId xmlns:a16="http://schemas.microsoft.com/office/drawing/2014/main" id="{00000000-0008-0000-1400-000064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01" name="241 CuadroTexto">
          <a:extLst>
            <a:ext uri="{FF2B5EF4-FFF2-40B4-BE49-F238E27FC236}">
              <a16:creationId xmlns:a16="http://schemas.microsoft.com/office/drawing/2014/main" id="{00000000-0008-0000-1400-000065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02" name="246 CuadroTexto">
          <a:extLst>
            <a:ext uri="{FF2B5EF4-FFF2-40B4-BE49-F238E27FC236}">
              <a16:creationId xmlns:a16="http://schemas.microsoft.com/office/drawing/2014/main" id="{00000000-0008-0000-1400-000066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03" name="247 CuadroTexto">
          <a:extLst>
            <a:ext uri="{FF2B5EF4-FFF2-40B4-BE49-F238E27FC236}">
              <a16:creationId xmlns:a16="http://schemas.microsoft.com/office/drawing/2014/main" id="{00000000-0008-0000-1400-000067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04" name="248 CuadroTexto">
          <a:extLst>
            <a:ext uri="{FF2B5EF4-FFF2-40B4-BE49-F238E27FC236}">
              <a16:creationId xmlns:a16="http://schemas.microsoft.com/office/drawing/2014/main" id="{00000000-0008-0000-1400-000068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05" name="249 CuadroTexto">
          <a:extLst>
            <a:ext uri="{FF2B5EF4-FFF2-40B4-BE49-F238E27FC236}">
              <a16:creationId xmlns:a16="http://schemas.microsoft.com/office/drawing/2014/main" id="{00000000-0008-0000-1400-000069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06" name="2429 CuadroTexto">
          <a:extLst>
            <a:ext uri="{FF2B5EF4-FFF2-40B4-BE49-F238E27FC236}">
              <a16:creationId xmlns:a16="http://schemas.microsoft.com/office/drawing/2014/main" id="{00000000-0008-0000-1400-00006A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07" name="2430 CuadroTexto">
          <a:extLst>
            <a:ext uri="{FF2B5EF4-FFF2-40B4-BE49-F238E27FC236}">
              <a16:creationId xmlns:a16="http://schemas.microsoft.com/office/drawing/2014/main" id="{00000000-0008-0000-1400-00006B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08" name="2431 CuadroTexto">
          <a:extLst>
            <a:ext uri="{FF2B5EF4-FFF2-40B4-BE49-F238E27FC236}">
              <a16:creationId xmlns:a16="http://schemas.microsoft.com/office/drawing/2014/main" id="{00000000-0008-0000-1400-00006C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09" name="2432 CuadroTexto">
          <a:extLst>
            <a:ext uri="{FF2B5EF4-FFF2-40B4-BE49-F238E27FC236}">
              <a16:creationId xmlns:a16="http://schemas.microsoft.com/office/drawing/2014/main" id="{00000000-0008-0000-1400-00006D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10" name="2433 CuadroTexto">
          <a:extLst>
            <a:ext uri="{FF2B5EF4-FFF2-40B4-BE49-F238E27FC236}">
              <a16:creationId xmlns:a16="http://schemas.microsoft.com/office/drawing/2014/main" id="{00000000-0008-0000-1400-00006E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11" name="2434 CuadroTexto">
          <a:extLst>
            <a:ext uri="{FF2B5EF4-FFF2-40B4-BE49-F238E27FC236}">
              <a16:creationId xmlns:a16="http://schemas.microsoft.com/office/drawing/2014/main" id="{00000000-0008-0000-1400-00006F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12" name="2584 CuadroTexto">
          <a:extLst>
            <a:ext uri="{FF2B5EF4-FFF2-40B4-BE49-F238E27FC236}">
              <a16:creationId xmlns:a16="http://schemas.microsoft.com/office/drawing/2014/main" id="{00000000-0008-0000-1400-000070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13" name="2585 CuadroTexto">
          <a:extLst>
            <a:ext uri="{FF2B5EF4-FFF2-40B4-BE49-F238E27FC236}">
              <a16:creationId xmlns:a16="http://schemas.microsoft.com/office/drawing/2014/main" id="{00000000-0008-0000-1400-000071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14" name="2586 CuadroTexto">
          <a:extLst>
            <a:ext uri="{FF2B5EF4-FFF2-40B4-BE49-F238E27FC236}">
              <a16:creationId xmlns:a16="http://schemas.microsoft.com/office/drawing/2014/main" id="{00000000-0008-0000-1400-000072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15" name="2587 CuadroTexto">
          <a:extLst>
            <a:ext uri="{FF2B5EF4-FFF2-40B4-BE49-F238E27FC236}">
              <a16:creationId xmlns:a16="http://schemas.microsoft.com/office/drawing/2014/main" id="{00000000-0008-0000-1400-000073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16" name="2588 CuadroTexto">
          <a:extLst>
            <a:ext uri="{FF2B5EF4-FFF2-40B4-BE49-F238E27FC236}">
              <a16:creationId xmlns:a16="http://schemas.microsoft.com/office/drawing/2014/main" id="{00000000-0008-0000-1400-000074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17" name="2589 CuadroTexto">
          <a:extLst>
            <a:ext uri="{FF2B5EF4-FFF2-40B4-BE49-F238E27FC236}">
              <a16:creationId xmlns:a16="http://schemas.microsoft.com/office/drawing/2014/main" id="{00000000-0008-0000-1400-000075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18" name="240 CuadroTexto">
          <a:extLst>
            <a:ext uri="{FF2B5EF4-FFF2-40B4-BE49-F238E27FC236}">
              <a16:creationId xmlns:a16="http://schemas.microsoft.com/office/drawing/2014/main" id="{00000000-0008-0000-1400-000076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19" name="241 CuadroTexto">
          <a:extLst>
            <a:ext uri="{FF2B5EF4-FFF2-40B4-BE49-F238E27FC236}">
              <a16:creationId xmlns:a16="http://schemas.microsoft.com/office/drawing/2014/main" id="{00000000-0008-0000-1400-000077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20" name="246 CuadroTexto">
          <a:extLst>
            <a:ext uri="{FF2B5EF4-FFF2-40B4-BE49-F238E27FC236}">
              <a16:creationId xmlns:a16="http://schemas.microsoft.com/office/drawing/2014/main" id="{00000000-0008-0000-1400-000078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21" name="247 CuadroTexto">
          <a:extLst>
            <a:ext uri="{FF2B5EF4-FFF2-40B4-BE49-F238E27FC236}">
              <a16:creationId xmlns:a16="http://schemas.microsoft.com/office/drawing/2014/main" id="{00000000-0008-0000-1400-000079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22" name="248 CuadroTexto">
          <a:extLst>
            <a:ext uri="{FF2B5EF4-FFF2-40B4-BE49-F238E27FC236}">
              <a16:creationId xmlns:a16="http://schemas.microsoft.com/office/drawing/2014/main" id="{00000000-0008-0000-1400-00007A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23" name="249 CuadroTexto">
          <a:extLst>
            <a:ext uri="{FF2B5EF4-FFF2-40B4-BE49-F238E27FC236}">
              <a16:creationId xmlns:a16="http://schemas.microsoft.com/office/drawing/2014/main" id="{00000000-0008-0000-1400-00007B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24" name="2429 CuadroTexto">
          <a:extLst>
            <a:ext uri="{FF2B5EF4-FFF2-40B4-BE49-F238E27FC236}">
              <a16:creationId xmlns:a16="http://schemas.microsoft.com/office/drawing/2014/main" id="{00000000-0008-0000-1400-00007C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25" name="2430 CuadroTexto">
          <a:extLst>
            <a:ext uri="{FF2B5EF4-FFF2-40B4-BE49-F238E27FC236}">
              <a16:creationId xmlns:a16="http://schemas.microsoft.com/office/drawing/2014/main" id="{00000000-0008-0000-1400-00007D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26" name="2431 CuadroTexto">
          <a:extLst>
            <a:ext uri="{FF2B5EF4-FFF2-40B4-BE49-F238E27FC236}">
              <a16:creationId xmlns:a16="http://schemas.microsoft.com/office/drawing/2014/main" id="{00000000-0008-0000-1400-00007E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27" name="2432 CuadroTexto">
          <a:extLst>
            <a:ext uri="{FF2B5EF4-FFF2-40B4-BE49-F238E27FC236}">
              <a16:creationId xmlns:a16="http://schemas.microsoft.com/office/drawing/2014/main" id="{00000000-0008-0000-1400-00007F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28" name="2433 CuadroTexto">
          <a:extLst>
            <a:ext uri="{FF2B5EF4-FFF2-40B4-BE49-F238E27FC236}">
              <a16:creationId xmlns:a16="http://schemas.microsoft.com/office/drawing/2014/main" id="{00000000-0008-0000-1400-000080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29" name="2434 CuadroTexto">
          <a:extLst>
            <a:ext uri="{FF2B5EF4-FFF2-40B4-BE49-F238E27FC236}">
              <a16:creationId xmlns:a16="http://schemas.microsoft.com/office/drawing/2014/main" id="{00000000-0008-0000-1400-000081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30" name="2584 CuadroTexto">
          <a:extLst>
            <a:ext uri="{FF2B5EF4-FFF2-40B4-BE49-F238E27FC236}">
              <a16:creationId xmlns:a16="http://schemas.microsoft.com/office/drawing/2014/main" id="{00000000-0008-0000-1400-000082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31" name="2585 CuadroTexto">
          <a:extLst>
            <a:ext uri="{FF2B5EF4-FFF2-40B4-BE49-F238E27FC236}">
              <a16:creationId xmlns:a16="http://schemas.microsoft.com/office/drawing/2014/main" id="{00000000-0008-0000-1400-000083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32" name="2586 CuadroTexto">
          <a:extLst>
            <a:ext uri="{FF2B5EF4-FFF2-40B4-BE49-F238E27FC236}">
              <a16:creationId xmlns:a16="http://schemas.microsoft.com/office/drawing/2014/main" id="{00000000-0008-0000-1400-000084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33" name="2587 CuadroTexto">
          <a:extLst>
            <a:ext uri="{FF2B5EF4-FFF2-40B4-BE49-F238E27FC236}">
              <a16:creationId xmlns:a16="http://schemas.microsoft.com/office/drawing/2014/main" id="{00000000-0008-0000-1400-000085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34" name="2588 CuadroTexto">
          <a:extLst>
            <a:ext uri="{FF2B5EF4-FFF2-40B4-BE49-F238E27FC236}">
              <a16:creationId xmlns:a16="http://schemas.microsoft.com/office/drawing/2014/main" id="{00000000-0008-0000-1400-000086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35" name="2589 CuadroTexto">
          <a:extLst>
            <a:ext uri="{FF2B5EF4-FFF2-40B4-BE49-F238E27FC236}">
              <a16:creationId xmlns:a16="http://schemas.microsoft.com/office/drawing/2014/main" id="{00000000-0008-0000-1400-000087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36" name="240 CuadroTexto">
          <a:extLst>
            <a:ext uri="{FF2B5EF4-FFF2-40B4-BE49-F238E27FC236}">
              <a16:creationId xmlns:a16="http://schemas.microsoft.com/office/drawing/2014/main" id="{00000000-0008-0000-1400-000088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37" name="241 CuadroTexto">
          <a:extLst>
            <a:ext uri="{FF2B5EF4-FFF2-40B4-BE49-F238E27FC236}">
              <a16:creationId xmlns:a16="http://schemas.microsoft.com/office/drawing/2014/main" id="{00000000-0008-0000-1400-000089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38" name="246 CuadroTexto">
          <a:extLst>
            <a:ext uri="{FF2B5EF4-FFF2-40B4-BE49-F238E27FC236}">
              <a16:creationId xmlns:a16="http://schemas.microsoft.com/office/drawing/2014/main" id="{00000000-0008-0000-1400-00008A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39" name="247 CuadroTexto">
          <a:extLst>
            <a:ext uri="{FF2B5EF4-FFF2-40B4-BE49-F238E27FC236}">
              <a16:creationId xmlns:a16="http://schemas.microsoft.com/office/drawing/2014/main" id="{00000000-0008-0000-1400-00008B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40" name="248 CuadroTexto">
          <a:extLst>
            <a:ext uri="{FF2B5EF4-FFF2-40B4-BE49-F238E27FC236}">
              <a16:creationId xmlns:a16="http://schemas.microsoft.com/office/drawing/2014/main" id="{00000000-0008-0000-1400-00008C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172</xdr:row>
      <xdr:rowOff>0</xdr:rowOff>
    </xdr:from>
    <xdr:ext cx="184731" cy="264560"/>
    <xdr:sp macro="" textlink="">
      <xdr:nvSpPr>
        <xdr:cNvPr id="141" name="249 CuadroTexto">
          <a:extLst>
            <a:ext uri="{FF2B5EF4-FFF2-40B4-BE49-F238E27FC236}">
              <a16:creationId xmlns:a16="http://schemas.microsoft.com/office/drawing/2014/main" id="{00000000-0008-0000-1400-00008D000000}"/>
            </a:ext>
          </a:extLst>
        </xdr:cNvPr>
        <xdr:cNvSpPr txBox="1"/>
      </xdr:nvSpPr>
      <xdr:spPr>
        <a:xfrm>
          <a:off x="903327" y="37915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twoCellAnchor>
    <xdr:from>
      <xdr:col>2</xdr:col>
      <xdr:colOff>1992309</xdr:colOff>
      <xdr:row>172</xdr:row>
      <xdr:rowOff>1592</xdr:rowOff>
    </xdr:from>
    <xdr:to>
      <xdr:col>2</xdr:col>
      <xdr:colOff>1993104</xdr:colOff>
      <xdr:row>172</xdr:row>
      <xdr:rowOff>1592</xdr:rowOff>
    </xdr:to>
    <xdr:cxnSp macro="">
      <xdr:nvCxnSpPr>
        <xdr:cNvPr id="142" name="1790 Conector recto">
          <a:extLst>
            <a:ext uri="{FF2B5EF4-FFF2-40B4-BE49-F238E27FC236}">
              <a16:creationId xmlns:a16="http://schemas.microsoft.com/office/drawing/2014/main" id="{00000000-0008-0000-1400-00008E000000}"/>
            </a:ext>
          </a:extLst>
        </xdr:cNvPr>
        <xdr:cNvCxnSpPr/>
      </xdr:nvCxnSpPr>
      <xdr:spPr>
        <a:xfrm rot="5400000">
          <a:off x="2894407" y="379159694"/>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142871</xdr:colOff>
      <xdr:row>172</xdr:row>
      <xdr:rowOff>4</xdr:rowOff>
    </xdr:from>
    <xdr:to>
      <xdr:col>3</xdr:col>
      <xdr:colOff>142872</xdr:colOff>
      <xdr:row>172</xdr:row>
      <xdr:rowOff>4</xdr:rowOff>
    </xdr:to>
    <xdr:cxnSp macro="">
      <xdr:nvCxnSpPr>
        <xdr:cNvPr id="143" name="1802 Conector recto">
          <a:extLst>
            <a:ext uri="{FF2B5EF4-FFF2-40B4-BE49-F238E27FC236}">
              <a16:creationId xmlns:a16="http://schemas.microsoft.com/office/drawing/2014/main" id="{00000000-0008-0000-1400-00008F000000}"/>
            </a:ext>
          </a:extLst>
        </xdr:cNvPr>
        <xdr:cNvCxnSpPr/>
      </xdr:nvCxnSpPr>
      <xdr:spPr>
        <a:xfrm rot="16200000" flipH="1">
          <a:off x="3038472" y="379158503"/>
          <a:ext cx="0" cy="1"/>
        </a:xfrm>
        <a:prstGeom prst="line">
          <a:avLst/>
        </a:prstGeom>
        <a:ln w="285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520819</xdr:colOff>
      <xdr:row>172</xdr:row>
      <xdr:rowOff>1592</xdr:rowOff>
    </xdr:from>
    <xdr:to>
      <xdr:col>2</xdr:col>
      <xdr:colOff>521614</xdr:colOff>
      <xdr:row>172</xdr:row>
      <xdr:rowOff>1592</xdr:rowOff>
    </xdr:to>
    <xdr:cxnSp macro="">
      <xdr:nvCxnSpPr>
        <xdr:cNvPr id="144" name="1888 Conector recto">
          <a:extLst>
            <a:ext uri="{FF2B5EF4-FFF2-40B4-BE49-F238E27FC236}">
              <a16:creationId xmlns:a16="http://schemas.microsoft.com/office/drawing/2014/main" id="{00000000-0008-0000-1400-000090000000}"/>
            </a:ext>
          </a:extLst>
        </xdr:cNvPr>
        <xdr:cNvCxnSpPr/>
      </xdr:nvCxnSpPr>
      <xdr:spPr>
        <a:xfrm rot="5400000">
          <a:off x="1422917" y="379159694"/>
          <a:ext cx="0" cy="795"/>
        </a:xfrm>
        <a:prstGeom prst="lin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1627</xdr:colOff>
      <xdr:row>171</xdr:row>
      <xdr:rowOff>0</xdr:rowOff>
    </xdr:from>
    <xdr:ext cx="184731" cy="264560"/>
    <xdr:sp macro="" textlink="">
      <xdr:nvSpPr>
        <xdr:cNvPr id="145" name="2584 CuadroTexto">
          <a:extLst>
            <a:ext uri="{FF2B5EF4-FFF2-40B4-BE49-F238E27FC236}">
              <a16:creationId xmlns:a16="http://schemas.microsoft.com/office/drawing/2014/main" id="{00000000-0008-0000-1400-000091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46" name="2585 CuadroTexto">
          <a:extLst>
            <a:ext uri="{FF2B5EF4-FFF2-40B4-BE49-F238E27FC236}">
              <a16:creationId xmlns:a16="http://schemas.microsoft.com/office/drawing/2014/main" id="{00000000-0008-0000-1400-000092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47" name="2586 CuadroTexto">
          <a:extLst>
            <a:ext uri="{FF2B5EF4-FFF2-40B4-BE49-F238E27FC236}">
              <a16:creationId xmlns:a16="http://schemas.microsoft.com/office/drawing/2014/main" id="{00000000-0008-0000-1400-000093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48" name="2587 CuadroTexto">
          <a:extLst>
            <a:ext uri="{FF2B5EF4-FFF2-40B4-BE49-F238E27FC236}">
              <a16:creationId xmlns:a16="http://schemas.microsoft.com/office/drawing/2014/main" id="{00000000-0008-0000-1400-000094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49" name="2588 CuadroTexto">
          <a:extLst>
            <a:ext uri="{FF2B5EF4-FFF2-40B4-BE49-F238E27FC236}">
              <a16:creationId xmlns:a16="http://schemas.microsoft.com/office/drawing/2014/main" id="{00000000-0008-0000-1400-000095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50" name="2589 CuadroTexto">
          <a:extLst>
            <a:ext uri="{FF2B5EF4-FFF2-40B4-BE49-F238E27FC236}">
              <a16:creationId xmlns:a16="http://schemas.microsoft.com/office/drawing/2014/main" id="{00000000-0008-0000-1400-000096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51" name="240 CuadroTexto">
          <a:extLst>
            <a:ext uri="{FF2B5EF4-FFF2-40B4-BE49-F238E27FC236}">
              <a16:creationId xmlns:a16="http://schemas.microsoft.com/office/drawing/2014/main" id="{00000000-0008-0000-1400-000097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52" name="241 CuadroTexto">
          <a:extLst>
            <a:ext uri="{FF2B5EF4-FFF2-40B4-BE49-F238E27FC236}">
              <a16:creationId xmlns:a16="http://schemas.microsoft.com/office/drawing/2014/main" id="{00000000-0008-0000-1400-000098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53" name="246 CuadroTexto">
          <a:extLst>
            <a:ext uri="{FF2B5EF4-FFF2-40B4-BE49-F238E27FC236}">
              <a16:creationId xmlns:a16="http://schemas.microsoft.com/office/drawing/2014/main" id="{00000000-0008-0000-1400-000099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54" name="247 CuadroTexto">
          <a:extLst>
            <a:ext uri="{FF2B5EF4-FFF2-40B4-BE49-F238E27FC236}">
              <a16:creationId xmlns:a16="http://schemas.microsoft.com/office/drawing/2014/main" id="{00000000-0008-0000-1400-00009A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55" name="248 CuadroTexto">
          <a:extLst>
            <a:ext uri="{FF2B5EF4-FFF2-40B4-BE49-F238E27FC236}">
              <a16:creationId xmlns:a16="http://schemas.microsoft.com/office/drawing/2014/main" id="{00000000-0008-0000-1400-00009B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171</xdr:row>
      <xdr:rowOff>0</xdr:rowOff>
    </xdr:from>
    <xdr:ext cx="184731" cy="264560"/>
    <xdr:sp macro="" textlink="">
      <xdr:nvSpPr>
        <xdr:cNvPr id="156" name="249 CuadroTexto">
          <a:extLst>
            <a:ext uri="{FF2B5EF4-FFF2-40B4-BE49-F238E27FC236}">
              <a16:creationId xmlns:a16="http://schemas.microsoft.com/office/drawing/2014/main" id="{00000000-0008-0000-1400-00009C000000}"/>
            </a:ext>
          </a:extLst>
        </xdr:cNvPr>
        <xdr:cNvSpPr txBox="1"/>
      </xdr:nvSpPr>
      <xdr:spPr>
        <a:xfrm>
          <a:off x="903327" y="378974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57" name="2584 CuadroTexto">
          <a:extLst>
            <a:ext uri="{FF2B5EF4-FFF2-40B4-BE49-F238E27FC236}">
              <a16:creationId xmlns:a16="http://schemas.microsoft.com/office/drawing/2014/main" id="{00000000-0008-0000-1400-00009D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58" name="2585 CuadroTexto">
          <a:extLst>
            <a:ext uri="{FF2B5EF4-FFF2-40B4-BE49-F238E27FC236}">
              <a16:creationId xmlns:a16="http://schemas.microsoft.com/office/drawing/2014/main" id="{00000000-0008-0000-1400-00009E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59" name="2586 CuadroTexto">
          <a:extLst>
            <a:ext uri="{FF2B5EF4-FFF2-40B4-BE49-F238E27FC236}">
              <a16:creationId xmlns:a16="http://schemas.microsoft.com/office/drawing/2014/main" id="{00000000-0008-0000-1400-00009F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60" name="2587 CuadroTexto">
          <a:extLst>
            <a:ext uri="{FF2B5EF4-FFF2-40B4-BE49-F238E27FC236}">
              <a16:creationId xmlns:a16="http://schemas.microsoft.com/office/drawing/2014/main" id="{00000000-0008-0000-1400-0000A0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61" name="2588 CuadroTexto">
          <a:extLst>
            <a:ext uri="{FF2B5EF4-FFF2-40B4-BE49-F238E27FC236}">
              <a16:creationId xmlns:a16="http://schemas.microsoft.com/office/drawing/2014/main" id="{00000000-0008-0000-1400-0000A1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2</xdr:col>
      <xdr:colOff>1627</xdr:colOff>
      <xdr:row>170</xdr:row>
      <xdr:rowOff>0</xdr:rowOff>
    </xdr:from>
    <xdr:ext cx="184731" cy="264560"/>
    <xdr:sp macro="" textlink="">
      <xdr:nvSpPr>
        <xdr:cNvPr id="162" name="2589 CuadroTexto">
          <a:extLst>
            <a:ext uri="{FF2B5EF4-FFF2-40B4-BE49-F238E27FC236}">
              <a16:creationId xmlns:a16="http://schemas.microsoft.com/office/drawing/2014/main" id="{00000000-0008-0000-1400-0000A2000000}"/>
            </a:ext>
          </a:extLst>
        </xdr:cNvPr>
        <xdr:cNvSpPr txBox="1"/>
      </xdr:nvSpPr>
      <xdr:spPr>
        <a:xfrm>
          <a:off x="903327" y="37879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wsDr>
</file>

<file path=xl/drawings/drawing18.xml><?xml version="1.0" encoding="utf-8"?>
<xdr:wsDr xmlns:xdr="http://schemas.openxmlformats.org/drawingml/2006/spreadsheetDrawing" xmlns:a="http://schemas.openxmlformats.org/drawingml/2006/main">
  <xdr:oneCellAnchor>
    <xdr:from>
      <xdr:col>0</xdr:col>
      <xdr:colOff>417552</xdr:colOff>
      <xdr:row>134</xdr:row>
      <xdr:rowOff>0</xdr:rowOff>
    </xdr:from>
    <xdr:ext cx="184731" cy="264560"/>
    <xdr:sp macro="" textlink="">
      <xdr:nvSpPr>
        <xdr:cNvPr id="155" name="673 CuadroTexto">
          <a:extLst>
            <a:ext uri="{FF2B5EF4-FFF2-40B4-BE49-F238E27FC236}">
              <a16:creationId xmlns:a16="http://schemas.microsoft.com/office/drawing/2014/main" id="{00000000-0008-0000-1500-00009B000000}"/>
            </a:ext>
          </a:extLst>
        </xdr:cNvPr>
        <xdr:cNvSpPr txBox="1"/>
      </xdr:nvSpPr>
      <xdr:spPr>
        <a:xfrm>
          <a:off x="417552"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56" name="919 CuadroTexto">
          <a:extLst>
            <a:ext uri="{FF2B5EF4-FFF2-40B4-BE49-F238E27FC236}">
              <a16:creationId xmlns:a16="http://schemas.microsoft.com/office/drawing/2014/main" id="{00000000-0008-0000-1500-00009C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57" name="921 CuadroTexto">
          <a:extLst>
            <a:ext uri="{FF2B5EF4-FFF2-40B4-BE49-F238E27FC236}">
              <a16:creationId xmlns:a16="http://schemas.microsoft.com/office/drawing/2014/main" id="{00000000-0008-0000-1500-00009D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58" name="995 CuadroTexto">
          <a:extLst>
            <a:ext uri="{FF2B5EF4-FFF2-40B4-BE49-F238E27FC236}">
              <a16:creationId xmlns:a16="http://schemas.microsoft.com/office/drawing/2014/main" id="{00000000-0008-0000-1500-00009E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59" name="997 CuadroTexto">
          <a:extLst>
            <a:ext uri="{FF2B5EF4-FFF2-40B4-BE49-F238E27FC236}">
              <a16:creationId xmlns:a16="http://schemas.microsoft.com/office/drawing/2014/main" id="{00000000-0008-0000-1500-00009F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417552</xdr:colOff>
      <xdr:row>134</xdr:row>
      <xdr:rowOff>0</xdr:rowOff>
    </xdr:from>
    <xdr:ext cx="184731" cy="264560"/>
    <xdr:sp macro="" textlink="">
      <xdr:nvSpPr>
        <xdr:cNvPr id="160" name="1940 CuadroTexto">
          <a:extLst>
            <a:ext uri="{FF2B5EF4-FFF2-40B4-BE49-F238E27FC236}">
              <a16:creationId xmlns:a16="http://schemas.microsoft.com/office/drawing/2014/main" id="{00000000-0008-0000-1500-0000A0000000}"/>
            </a:ext>
          </a:extLst>
        </xdr:cNvPr>
        <xdr:cNvSpPr txBox="1"/>
      </xdr:nvSpPr>
      <xdr:spPr>
        <a:xfrm>
          <a:off x="417552"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61" name="2584 CuadroTexto">
          <a:extLst>
            <a:ext uri="{FF2B5EF4-FFF2-40B4-BE49-F238E27FC236}">
              <a16:creationId xmlns:a16="http://schemas.microsoft.com/office/drawing/2014/main" id="{00000000-0008-0000-1500-0000A1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62" name="2585 CuadroTexto">
          <a:extLst>
            <a:ext uri="{FF2B5EF4-FFF2-40B4-BE49-F238E27FC236}">
              <a16:creationId xmlns:a16="http://schemas.microsoft.com/office/drawing/2014/main" id="{00000000-0008-0000-1500-0000A2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63" name="2586 CuadroTexto">
          <a:extLst>
            <a:ext uri="{FF2B5EF4-FFF2-40B4-BE49-F238E27FC236}">
              <a16:creationId xmlns:a16="http://schemas.microsoft.com/office/drawing/2014/main" id="{00000000-0008-0000-1500-0000A3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64" name="2587 CuadroTexto">
          <a:extLst>
            <a:ext uri="{FF2B5EF4-FFF2-40B4-BE49-F238E27FC236}">
              <a16:creationId xmlns:a16="http://schemas.microsoft.com/office/drawing/2014/main" id="{00000000-0008-0000-1500-0000A4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65" name="2588 CuadroTexto">
          <a:extLst>
            <a:ext uri="{FF2B5EF4-FFF2-40B4-BE49-F238E27FC236}">
              <a16:creationId xmlns:a16="http://schemas.microsoft.com/office/drawing/2014/main" id="{00000000-0008-0000-1500-0000A5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66" name="2589 CuadroTexto">
          <a:extLst>
            <a:ext uri="{FF2B5EF4-FFF2-40B4-BE49-F238E27FC236}">
              <a16:creationId xmlns:a16="http://schemas.microsoft.com/office/drawing/2014/main" id="{00000000-0008-0000-1500-0000A6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67" name="240 CuadroTexto">
          <a:extLst>
            <a:ext uri="{FF2B5EF4-FFF2-40B4-BE49-F238E27FC236}">
              <a16:creationId xmlns:a16="http://schemas.microsoft.com/office/drawing/2014/main" id="{00000000-0008-0000-1500-0000A7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68" name="241 CuadroTexto">
          <a:extLst>
            <a:ext uri="{FF2B5EF4-FFF2-40B4-BE49-F238E27FC236}">
              <a16:creationId xmlns:a16="http://schemas.microsoft.com/office/drawing/2014/main" id="{00000000-0008-0000-1500-0000A8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69" name="246 CuadroTexto">
          <a:extLst>
            <a:ext uri="{FF2B5EF4-FFF2-40B4-BE49-F238E27FC236}">
              <a16:creationId xmlns:a16="http://schemas.microsoft.com/office/drawing/2014/main" id="{00000000-0008-0000-1500-0000A9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70" name="247 CuadroTexto">
          <a:extLst>
            <a:ext uri="{FF2B5EF4-FFF2-40B4-BE49-F238E27FC236}">
              <a16:creationId xmlns:a16="http://schemas.microsoft.com/office/drawing/2014/main" id="{00000000-0008-0000-1500-0000AA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71" name="248 CuadroTexto">
          <a:extLst>
            <a:ext uri="{FF2B5EF4-FFF2-40B4-BE49-F238E27FC236}">
              <a16:creationId xmlns:a16="http://schemas.microsoft.com/office/drawing/2014/main" id="{00000000-0008-0000-1500-0000AB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72" name="249 CuadroTexto">
          <a:extLst>
            <a:ext uri="{FF2B5EF4-FFF2-40B4-BE49-F238E27FC236}">
              <a16:creationId xmlns:a16="http://schemas.microsoft.com/office/drawing/2014/main" id="{00000000-0008-0000-1500-0000AC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417552</xdr:colOff>
      <xdr:row>134</xdr:row>
      <xdr:rowOff>0</xdr:rowOff>
    </xdr:from>
    <xdr:ext cx="184731" cy="264560"/>
    <xdr:sp macro="" textlink="">
      <xdr:nvSpPr>
        <xdr:cNvPr id="173" name="673 CuadroTexto">
          <a:extLst>
            <a:ext uri="{FF2B5EF4-FFF2-40B4-BE49-F238E27FC236}">
              <a16:creationId xmlns:a16="http://schemas.microsoft.com/office/drawing/2014/main" id="{00000000-0008-0000-1500-0000AD000000}"/>
            </a:ext>
          </a:extLst>
        </xdr:cNvPr>
        <xdr:cNvSpPr txBox="1"/>
      </xdr:nvSpPr>
      <xdr:spPr>
        <a:xfrm>
          <a:off x="417552"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74" name="919 CuadroTexto">
          <a:extLst>
            <a:ext uri="{FF2B5EF4-FFF2-40B4-BE49-F238E27FC236}">
              <a16:creationId xmlns:a16="http://schemas.microsoft.com/office/drawing/2014/main" id="{00000000-0008-0000-1500-0000AE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75" name="921 CuadroTexto">
          <a:extLst>
            <a:ext uri="{FF2B5EF4-FFF2-40B4-BE49-F238E27FC236}">
              <a16:creationId xmlns:a16="http://schemas.microsoft.com/office/drawing/2014/main" id="{00000000-0008-0000-1500-0000AF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76" name="995 CuadroTexto">
          <a:extLst>
            <a:ext uri="{FF2B5EF4-FFF2-40B4-BE49-F238E27FC236}">
              <a16:creationId xmlns:a16="http://schemas.microsoft.com/office/drawing/2014/main" id="{00000000-0008-0000-1500-0000B0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77" name="997 CuadroTexto">
          <a:extLst>
            <a:ext uri="{FF2B5EF4-FFF2-40B4-BE49-F238E27FC236}">
              <a16:creationId xmlns:a16="http://schemas.microsoft.com/office/drawing/2014/main" id="{00000000-0008-0000-1500-0000B1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417552</xdr:colOff>
      <xdr:row>134</xdr:row>
      <xdr:rowOff>0</xdr:rowOff>
    </xdr:from>
    <xdr:ext cx="184731" cy="264560"/>
    <xdr:sp macro="" textlink="">
      <xdr:nvSpPr>
        <xdr:cNvPr id="178" name="1940 CuadroTexto">
          <a:extLst>
            <a:ext uri="{FF2B5EF4-FFF2-40B4-BE49-F238E27FC236}">
              <a16:creationId xmlns:a16="http://schemas.microsoft.com/office/drawing/2014/main" id="{00000000-0008-0000-1500-0000B2000000}"/>
            </a:ext>
          </a:extLst>
        </xdr:cNvPr>
        <xdr:cNvSpPr txBox="1"/>
      </xdr:nvSpPr>
      <xdr:spPr>
        <a:xfrm>
          <a:off x="417552"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79" name="2584 CuadroTexto">
          <a:extLst>
            <a:ext uri="{FF2B5EF4-FFF2-40B4-BE49-F238E27FC236}">
              <a16:creationId xmlns:a16="http://schemas.microsoft.com/office/drawing/2014/main" id="{00000000-0008-0000-1500-0000B3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80" name="2585 CuadroTexto">
          <a:extLst>
            <a:ext uri="{FF2B5EF4-FFF2-40B4-BE49-F238E27FC236}">
              <a16:creationId xmlns:a16="http://schemas.microsoft.com/office/drawing/2014/main" id="{00000000-0008-0000-1500-0000B4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81" name="2586 CuadroTexto">
          <a:extLst>
            <a:ext uri="{FF2B5EF4-FFF2-40B4-BE49-F238E27FC236}">
              <a16:creationId xmlns:a16="http://schemas.microsoft.com/office/drawing/2014/main" id="{00000000-0008-0000-1500-0000B5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82" name="2587 CuadroTexto">
          <a:extLst>
            <a:ext uri="{FF2B5EF4-FFF2-40B4-BE49-F238E27FC236}">
              <a16:creationId xmlns:a16="http://schemas.microsoft.com/office/drawing/2014/main" id="{00000000-0008-0000-1500-0000B6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83" name="2588 CuadroTexto">
          <a:extLst>
            <a:ext uri="{FF2B5EF4-FFF2-40B4-BE49-F238E27FC236}">
              <a16:creationId xmlns:a16="http://schemas.microsoft.com/office/drawing/2014/main" id="{00000000-0008-0000-1500-0000B7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84" name="2589 CuadroTexto">
          <a:extLst>
            <a:ext uri="{FF2B5EF4-FFF2-40B4-BE49-F238E27FC236}">
              <a16:creationId xmlns:a16="http://schemas.microsoft.com/office/drawing/2014/main" id="{00000000-0008-0000-1500-0000B8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85" name="240 CuadroTexto">
          <a:extLst>
            <a:ext uri="{FF2B5EF4-FFF2-40B4-BE49-F238E27FC236}">
              <a16:creationId xmlns:a16="http://schemas.microsoft.com/office/drawing/2014/main" id="{00000000-0008-0000-1500-0000B9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86" name="241 CuadroTexto">
          <a:extLst>
            <a:ext uri="{FF2B5EF4-FFF2-40B4-BE49-F238E27FC236}">
              <a16:creationId xmlns:a16="http://schemas.microsoft.com/office/drawing/2014/main" id="{00000000-0008-0000-1500-0000BA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87" name="246 CuadroTexto">
          <a:extLst>
            <a:ext uri="{FF2B5EF4-FFF2-40B4-BE49-F238E27FC236}">
              <a16:creationId xmlns:a16="http://schemas.microsoft.com/office/drawing/2014/main" id="{00000000-0008-0000-1500-0000BB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88" name="247 CuadroTexto">
          <a:extLst>
            <a:ext uri="{FF2B5EF4-FFF2-40B4-BE49-F238E27FC236}">
              <a16:creationId xmlns:a16="http://schemas.microsoft.com/office/drawing/2014/main" id="{00000000-0008-0000-1500-0000BC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89" name="248 CuadroTexto">
          <a:extLst>
            <a:ext uri="{FF2B5EF4-FFF2-40B4-BE49-F238E27FC236}">
              <a16:creationId xmlns:a16="http://schemas.microsoft.com/office/drawing/2014/main" id="{00000000-0008-0000-1500-0000BD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90" name="249 CuadroTexto">
          <a:extLst>
            <a:ext uri="{FF2B5EF4-FFF2-40B4-BE49-F238E27FC236}">
              <a16:creationId xmlns:a16="http://schemas.microsoft.com/office/drawing/2014/main" id="{00000000-0008-0000-1500-0000BE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91" name="2429 CuadroTexto">
          <a:extLst>
            <a:ext uri="{FF2B5EF4-FFF2-40B4-BE49-F238E27FC236}">
              <a16:creationId xmlns:a16="http://schemas.microsoft.com/office/drawing/2014/main" id="{00000000-0008-0000-1500-0000BF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92" name="2430 CuadroTexto">
          <a:extLst>
            <a:ext uri="{FF2B5EF4-FFF2-40B4-BE49-F238E27FC236}">
              <a16:creationId xmlns:a16="http://schemas.microsoft.com/office/drawing/2014/main" id="{00000000-0008-0000-1500-0000C0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93" name="2431 CuadroTexto">
          <a:extLst>
            <a:ext uri="{FF2B5EF4-FFF2-40B4-BE49-F238E27FC236}">
              <a16:creationId xmlns:a16="http://schemas.microsoft.com/office/drawing/2014/main" id="{00000000-0008-0000-1500-0000C1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94" name="2432 CuadroTexto">
          <a:extLst>
            <a:ext uri="{FF2B5EF4-FFF2-40B4-BE49-F238E27FC236}">
              <a16:creationId xmlns:a16="http://schemas.microsoft.com/office/drawing/2014/main" id="{00000000-0008-0000-1500-0000C2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95" name="2433 CuadroTexto">
          <a:extLst>
            <a:ext uri="{FF2B5EF4-FFF2-40B4-BE49-F238E27FC236}">
              <a16:creationId xmlns:a16="http://schemas.microsoft.com/office/drawing/2014/main" id="{00000000-0008-0000-1500-0000C3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196" name="2434 CuadroTexto">
          <a:extLst>
            <a:ext uri="{FF2B5EF4-FFF2-40B4-BE49-F238E27FC236}">
              <a16:creationId xmlns:a16="http://schemas.microsoft.com/office/drawing/2014/main" id="{00000000-0008-0000-1500-0000C4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197" name="2584 CuadroTexto">
          <a:extLst>
            <a:ext uri="{FF2B5EF4-FFF2-40B4-BE49-F238E27FC236}">
              <a16:creationId xmlns:a16="http://schemas.microsoft.com/office/drawing/2014/main" id="{00000000-0008-0000-1500-0000C5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198" name="2585 CuadroTexto">
          <a:extLst>
            <a:ext uri="{FF2B5EF4-FFF2-40B4-BE49-F238E27FC236}">
              <a16:creationId xmlns:a16="http://schemas.microsoft.com/office/drawing/2014/main" id="{00000000-0008-0000-1500-0000C6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199" name="2586 CuadroTexto">
          <a:extLst>
            <a:ext uri="{FF2B5EF4-FFF2-40B4-BE49-F238E27FC236}">
              <a16:creationId xmlns:a16="http://schemas.microsoft.com/office/drawing/2014/main" id="{00000000-0008-0000-1500-0000C7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00" name="2587 CuadroTexto">
          <a:extLst>
            <a:ext uri="{FF2B5EF4-FFF2-40B4-BE49-F238E27FC236}">
              <a16:creationId xmlns:a16="http://schemas.microsoft.com/office/drawing/2014/main" id="{00000000-0008-0000-1500-0000C8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01" name="2588 CuadroTexto">
          <a:extLst>
            <a:ext uri="{FF2B5EF4-FFF2-40B4-BE49-F238E27FC236}">
              <a16:creationId xmlns:a16="http://schemas.microsoft.com/office/drawing/2014/main" id="{00000000-0008-0000-1500-0000C9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02" name="2589 CuadroTexto">
          <a:extLst>
            <a:ext uri="{FF2B5EF4-FFF2-40B4-BE49-F238E27FC236}">
              <a16:creationId xmlns:a16="http://schemas.microsoft.com/office/drawing/2014/main" id="{00000000-0008-0000-1500-0000CA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03" name="240 CuadroTexto">
          <a:extLst>
            <a:ext uri="{FF2B5EF4-FFF2-40B4-BE49-F238E27FC236}">
              <a16:creationId xmlns:a16="http://schemas.microsoft.com/office/drawing/2014/main" id="{00000000-0008-0000-1500-0000CB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04" name="241 CuadroTexto">
          <a:extLst>
            <a:ext uri="{FF2B5EF4-FFF2-40B4-BE49-F238E27FC236}">
              <a16:creationId xmlns:a16="http://schemas.microsoft.com/office/drawing/2014/main" id="{00000000-0008-0000-1500-0000CC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05" name="246 CuadroTexto">
          <a:extLst>
            <a:ext uri="{FF2B5EF4-FFF2-40B4-BE49-F238E27FC236}">
              <a16:creationId xmlns:a16="http://schemas.microsoft.com/office/drawing/2014/main" id="{00000000-0008-0000-1500-0000CD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06" name="247 CuadroTexto">
          <a:extLst>
            <a:ext uri="{FF2B5EF4-FFF2-40B4-BE49-F238E27FC236}">
              <a16:creationId xmlns:a16="http://schemas.microsoft.com/office/drawing/2014/main" id="{00000000-0008-0000-1500-0000CE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07" name="248 CuadroTexto">
          <a:extLst>
            <a:ext uri="{FF2B5EF4-FFF2-40B4-BE49-F238E27FC236}">
              <a16:creationId xmlns:a16="http://schemas.microsoft.com/office/drawing/2014/main" id="{00000000-0008-0000-1500-0000CF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08" name="249 CuadroTexto">
          <a:extLst>
            <a:ext uri="{FF2B5EF4-FFF2-40B4-BE49-F238E27FC236}">
              <a16:creationId xmlns:a16="http://schemas.microsoft.com/office/drawing/2014/main" id="{00000000-0008-0000-1500-0000D0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09" name="2429 CuadroTexto">
          <a:extLst>
            <a:ext uri="{FF2B5EF4-FFF2-40B4-BE49-F238E27FC236}">
              <a16:creationId xmlns:a16="http://schemas.microsoft.com/office/drawing/2014/main" id="{00000000-0008-0000-1500-0000D1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10" name="2430 CuadroTexto">
          <a:extLst>
            <a:ext uri="{FF2B5EF4-FFF2-40B4-BE49-F238E27FC236}">
              <a16:creationId xmlns:a16="http://schemas.microsoft.com/office/drawing/2014/main" id="{00000000-0008-0000-1500-0000D2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11" name="2431 CuadroTexto">
          <a:extLst>
            <a:ext uri="{FF2B5EF4-FFF2-40B4-BE49-F238E27FC236}">
              <a16:creationId xmlns:a16="http://schemas.microsoft.com/office/drawing/2014/main" id="{00000000-0008-0000-1500-0000D3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12" name="2432 CuadroTexto">
          <a:extLst>
            <a:ext uri="{FF2B5EF4-FFF2-40B4-BE49-F238E27FC236}">
              <a16:creationId xmlns:a16="http://schemas.microsoft.com/office/drawing/2014/main" id="{00000000-0008-0000-1500-0000D4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13" name="2433 CuadroTexto">
          <a:extLst>
            <a:ext uri="{FF2B5EF4-FFF2-40B4-BE49-F238E27FC236}">
              <a16:creationId xmlns:a16="http://schemas.microsoft.com/office/drawing/2014/main" id="{00000000-0008-0000-1500-0000D5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14" name="2434 CuadroTexto">
          <a:extLst>
            <a:ext uri="{FF2B5EF4-FFF2-40B4-BE49-F238E27FC236}">
              <a16:creationId xmlns:a16="http://schemas.microsoft.com/office/drawing/2014/main" id="{00000000-0008-0000-1500-0000D6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15" name="2584 CuadroTexto">
          <a:extLst>
            <a:ext uri="{FF2B5EF4-FFF2-40B4-BE49-F238E27FC236}">
              <a16:creationId xmlns:a16="http://schemas.microsoft.com/office/drawing/2014/main" id="{00000000-0008-0000-1500-0000D7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16" name="2585 CuadroTexto">
          <a:extLst>
            <a:ext uri="{FF2B5EF4-FFF2-40B4-BE49-F238E27FC236}">
              <a16:creationId xmlns:a16="http://schemas.microsoft.com/office/drawing/2014/main" id="{00000000-0008-0000-1500-0000D8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17" name="2586 CuadroTexto">
          <a:extLst>
            <a:ext uri="{FF2B5EF4-FFF2-40B4-BE49-F238E27FC236}">
              <a16:creationId xmlns:a16="http://schemas.microsoft.com/office/drawing/2014/main" id="{00000000-0008-0000-1500-0000D9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18" name="2587 CuadroTexto">
          <a:extLst>
            <a:ext uri="{FF2B5EF4-FFF2-40B4-BE49-F238E27FC236}">
              <a16:creationId xmlns:a16="http://schemas.microsoft.com/office/drawing/2014/main" id="{00000000-0008-0000-1500-0000DA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19" name="2588 CuadroTexto">
          <a:extLst>
            <a:ext uri="{FF2B5EF4-FFF2-40B4-BE49-F238E27FC236}">
              <a16:creationId xmlns:a16="http://schemas.microsoft.com/office/drawing/2014/main" id="{00000000-0008-0000-1500-0000DB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20" name="2589 CuadroTexto">
          <a:extLst>
            <a:ext uri="{FF2B5EF4-FFF2-40B4-BE49-F238E27FC236}">
              <a16:creationId xmlns:a16="http://schemas.microsoft.com/office/drawing/2014/main" id="{00000000-0008-0000-1500-0000DC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21" name="240 CuadroTexto">
          <a:extLst>
            <a:ext uri="{FF2B5EF4-FFF2-40B4-BE49-F238E27FC236}">
              <a16:creationId xmlns:a16="http://schemas.microsoft.com/office/drawing/2014/main" id="{00000000-0008-0000-1500-0000DD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22" name="241 CuadroTexto">
          <a:extLst>
            <a:ext uri="{FF2B5EF4-FFF2-40B4-BE49-F238E27FC236}">
              <a16:creationId xmlns:a16="http://schemas.microsoft.com/office/drawing/2014/main" id="{00000000-0008-0000-1500-0000DE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23" name="246 CuadroTexto">
          <a:extLst>
            <a:ext uri="{FF2B5EF4-FFF2-40B4-BE49-F238E27FC236}">
              <a16:creationId xmlns:a16="http://schemas.microsoft.com/office/drawing/2014/main" id="{00000000-0008-0000-1500-0000DF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24" name="247 CuadroTexto">
          <a:extLst>
            <a:ext uri="{FF2B5EF4-FFF2-40B4-BE49-F238E27FC236}">
              <a16:creationId xmlns:a16="http://schemas.microsoft.com/office/drawing/2014/main" id="{00000000-0008-0000-1500-0000E0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25" name="248 CuadroTexto">
          <a:extLst>
            <a:ext uri="{FF2B5EF4-FFF2-40B4-BE49-F238E27FC236}">
              <a16:creationId xmlns:a16="http://schemas.microsoft.com/office/drawing/2014/main" id="{00000000-0008-0000-1500-0000E1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26" name="249 CuadroTexto">
          <a:extLst>
            <a:ext uri="{FF2B5EF4-FFF2-40B4-BE49-F238E27FC236}">
              <a16:creationId xmlns:a16="http://schemas.microsoft.com/office/drawing/2014/main" id="{00000000-0008-0000-1500-0000E2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417552</xdr:colOff>
      <xdr:row>136</xdr:row>
      <xdr:rowOff>0</xdr:rowOff>
    </xdr:from>
    <xdr:ext cx="184731" cy="264560"/>
    <xdr:sp macro="" textlink="">
      <xdr:nvSpPr>
        <xdr:cNvPr id="227" name="673 CuadroTexto">
          <a:extLst>
            <a:ext uri="{FF2B5EF4-FFF2-40B4-BE49-F238E27FC236}">
              <a16:creationId xmlns:a16="http://schemas.microsoft.com/office/drawing/2014/main" id="{00000000-0008-0000-1500-0000E3000000}"/>
            </a:ext>
          </a:extLst>
        </xdr:cNvPr>
        <xdr:cNvSpPr txBox="1"/>
      </xdr:nvSpPr>
      <xdr:spPr>
        <a:xfrm>
          <a:off x="417552"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28" name="919 CuadroTexto">
          <a:extLst>
            <a:ext uri="{FF2B5EF4-FFF2-40B4-BE49-F238E27FC236}">
              <a16:creationId xmlns:a16="http://schemas.microsoft.com/office/drawing/2014/main" id="{00000000-0008-0000-1500-0000E400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29" name="921 CuadroTexto">
          <a:extLst>
            <a:ext uri="{FF2B5EF4-FFF2-40B4-BE49-F238E27FC236}">
              <a16:creationId xmlns:a16="http://schemas.microsoft.com/office/drawing/2014/main" id="{00000000-0008-0000-1500-0000E500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30" name="995 CuadroTexto">
          <a:extLst>
            <a:ext uri="{FF2B5EF4-FFF2-40B4-BE49-F238E27FC236}">
              <a16:creationId xmlns:a16="http://schemas.microsoft.com/office/drawing/2014/main" id="{00000000-0008-0000-1500-0000E600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417552</xdr:colOff>
      <xdr:row>136</xdr:row>
      <xdr:rowOff>0</xdr:rowOff>
    </xdr:from>
    <xdr:ext cx="184731" cy="264560"/>
    <xdr:sp macro="" textlink="">
      <xdr:nvSpPr>
        <xdr:cNvPr id="231" name="1940 CuadroTexto">
          <a:extLst>
            <a:ext uri="{FF2B5EF4-FFF2-40B4-BE49-F238E27FC236}">
              <a16:creationId xmlns:a16="http://schemas.microsoft.com/office/drawing/2014/main" id="{00000000-0008-0000-1500-0000E7000000}"/>
            </a:ext>
          </a:extLst>
        </xdr:cNvPr>
        <xdr:cNvSpPr txBox="1"/>
      </xdr:nvSpPr>
      <xdr:spPr>
        <a:xfrm>
          <a:off x="417552"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32" name="2584 CuadroTexto">
          <a:extLst>
            <a:ext uri="{FF2B5EF4-FFF2-40B4-BE49-F238E27FC236}">
              <a16:creationId xmlns:a16="http://schemas.microsoft.com/office/drawing/2014/main" id="{00000000-0008-0000-1500-0000E800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33" name="2585 CuadroTexto">
          <a:extLst>
            <a:ext uri="{FF2B5EF4-FFF2-40B4-BE49-F238E27FC236}">
              <a16:creationId xmlns:a16="http://schemas.microsoft.com/office/drawing/2014/main" id="{00000000-0008-0000-1500-0000E900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34" name="2586 CuadroTexto">
          <a:extLst>
            <a:ext uri="{FF2B5EF4-FFF2-40B4-BE49-F238E27FC236}">
              <a16:creationId xmlns:a16="http://schemas.microsoft.com/office/drawing/2014/main" id="{00000000-0008-0000-1500-0000EA00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35" name="2587 CuadroTexto">
          <a:extLst>
            <a:ext uri="{FF2B5EF4-FFF2-40B4-BE49-F238E27FC236}">
              <a16:creationId xmlns:a16="http://schemas.microsoft.com/office/drawing/2014/main" id="{00000000-0008-0000-1500-0000EB00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36" name="2588 CuadroTexto">
          <a:extLst>
            <a:ext uri="{FF2B5EF4-FFF2-40B4-BE49-F238E27FC236}">
              <a16:creationId xmlns:a16="http://schemas.microsoft.com/office/drawing/2014/main" id="{00000000-0008-0000-1500-0000EC00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37" name="2589 CuadroTexto">
          <a:extLst>
            <a:ext uri="{FF2B5EF4-FFF2-40B4-BE49-F238E27FC236}">
              <a16:creationId xmlns:a16="http://schemas.microsoft.com/office/drawing/2014/main" id="{00000000-0008-0000-1500-0000ED00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38" name="240 CuadroTexto">
          <a:extLst>
            <a:ext uri="{FF2B5EF4-FFF2-40B4-BE49-F238E27FC236}">
              <a16:creationId xmlns:a16="http://schemas.microsoft.com/office/drawing/2014/main" id="{00000000-0008-0000-1500-0000EE00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39" name="241 CuadroTexto">
          <a:extLst>
            <a:ext uri="{FF2B5EF4-FFF2-40B4-BE49-F238E27FC236}">
              <a16:creationId xmlns:a16="http://schemas.microsoft.com/office/drawing/2014/main" id="{00000000-0008-0000-1500-0000EF00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40" name="246 CuadroTexto">
          <a:extLst>
            <a:ext uri="{FF2B5EF4-FFF2-40B4-BE49-F238E27FC236}">
              <a16:creationId xmlns:a16="http://schemas.microsoft.com/office/drawing/2014/main" id="{00000000-0008-0000-1500-0000F000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241" name="2584 CuadroTexto">
          <a:extLst>
            <a:ext uri="{FF2B5EF4-FFF2-40B4-BE49-F238E27FC236}">
              <a16:creationId xmlns:a16="http://schemas.microsoft.com/office/drawing/2014/main" id="{00000000-0008-0000-1500-0000F1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242" name="2585 CuadroTexto">
          <a:extLst>
            <a:ext uri="{FF2B5EF4-FFF2-40B4-BE49-F238E27FC236}">
              <a16:creationId xmlns:a16="http://schemas.microsoft.com/office/drawing/2014/main" id="{00000000-0008-0000-1500-0000F2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243" name="2586 CuadroTexto">
          <a:extLst>
            <a:ext uri="{FF2B5EF4-FFF2-40B4-BE49-F238E27FC236}">
              <a16:creationId xmlns:a16="http://schemas.microsoft.com/office/drawing/2014/main" id="{00000000-0008-0000-1500-0000F3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244" name="2587 CuadroTexto">
          <a:extLst>
            <a:ext uri="{FF2B5EF4-FFF2-40B4-BE49-F238E27FC236}">
              <a16:creationId xmlns:a16="http://schemas.microsoft.com/office/drawing/2014/main" id="{00000000-0008-0000-1500-0000F4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245" name="2588 CuadroTexto">
          <a:extLst>
            <a:ext uri="{FF2B5EF4-FFF2-40B4-BE49-F238E27FC236}">
              <a16:creationId xmlns:a16="http://schemas.microsoft.com/office/drawing/2014/main" id="{00000000-0008-0000-1500-0000F5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246" name="2589 CuadroTexto">
          <a:extLst>
            <a:ext uri="{FF2B5EF4-FFF2-40B4-BE49-F238E27FC236}">
              <a16:creationId xmlns:a16="http://schemas.microsoft.com/office/drawing/2014/main" id="{00000000-0008-0000-1500-0000F6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247" name="240 CuadroTexto">
          <a:extLst>
            <a:ext uri="{FF2B5EF4-FFF2-40B4-BE49-F238E27FC236}">
              <a16:creationId xmlns:a16="http://schemas.microsoft.com/office/drawing/2014/main" id="{00000000-0008-0000-1500-0000F7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248" name="241 CuadroTexto">
          <a:extLst>
            <a:ext uri="{FF2B5EF4-FFF2-40B4-BE49-F238E27FC236}">
              <a16:creationId xmlns:a16="http://schemas.microsoft.com/office/drawing/2014/main" id="{00000000-0008-0000-1500-0000F8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249" name="246 CuadroTexto">
          <a:extLst>
            <a:ext uri="{FF2B5EF4-FFF2-40B4-BE49-F238E27FC236}">
              <a16:creationId xmlns:a16="http://schemas.microsoft.com/office/drawing/2014/main" id="{00000000-0008-0000-1500-0000F9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250" name="247 CuadroTexto">
          <a:extLst>
            <a:ext uri="{FF2B5EF4-FFF2-40B4-BE49-F238E27FC236}">
              <a16:creationId xmlns:a16="http://schemas.microsoft.com/office/drawing/2014/main" id="{00000000-0008-0000-1500-0000FA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251" name="248 CuadroTexto">
          <a:extLst>
            <a:ext uri="{FF2B5EF4-FFF2-40B4-BE49-F238E27FC236}">
              <a16:creationId xmlns:a16="http://schemas.microsoft.com/office/drawing/2014/main" id="{00000000-0008-0000-1500-0000FB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252" name="249 CuadroTexto">
          <a:extLst>
            <a:ext uri="{FF2B5EF4-FFF2-40B4-BE49-F238E27FC236}">
              <a16:creationId xmlns:a16="http://schemas.microsoft.com/office/drawing/2014/main" id="{00000000-0008-0000-1500-0000FC00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53" name="2429 CuadroTexto">
          <a:extLst>
            <a:ext uri="{FF2B5EF4-FFF2-40B4-BE49-F238E27FC236}">
              <a16:creationId xmlns:a16="http://schemas.microsoft.com/office/drawing/2014/main" id="{00000000-0008-0000-1500-0000FD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54" name="2430 CuadroTexto">
          <a:extLst>
            <a:ext uri="{FF2B5EF4-FFF2-40B4-BE49-F238E27FC236}">
              <a16:creationId xmlns:a16="http://schemas.microsoft.com/office/drawing/2014/main" id="{00000000-0008-0000-1500-0000FE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55" name="2431 CuadroTexto">
          <a:extLst>
            <a:ext uri="{FF2B5EF4-FFF2-40B4-BE49-F238E27FC236}">
              <a16:creationId xmlns:a16="http://schemas.microsoft.com/office/drawing/2014/main" id="{00000000-0008-0000-1500-0000FF00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56" name="2432 CuadroTexto">
          <a:extLst>
            <a:ext uri="{FF2B5EF4-FFF2-40B4-BE49-F238E27FC236}">
              <a16:creationId xmlns:a16="http://schemas.microsoft.com/office/drawing/2014/main" id="{00000000-0008-0000-1500-00000001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57" name="2433 CuadroTexto">
          <a:extLst>
            <a:ext uri="{FF2B5EF4-FFF2-40B4-BE49-F238E27FC236}">
              <a16:creationId xmlns:a16="http://schemas.microsoft.com/office/drawing/2014/main" id="{00000000-0008-0000-1500-00000101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58" name="2434 CuadroTexto">
          <a:extLst>
            <a:ext uri="{FF2B5EF4-FFF2-40B4-BE49-F238E27FC236}">
              <a16:creationId xmlns:a16="http://schemas.microsoft.com/office/drawing/2014/main" id="{00000000-0008-0000-1500-00000201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59" name="2584 CuadroTexto">
          <a:extLst>
            <a:ext uri="{FF2B5EF4-FFF2-40B4-BE49-F238E27FC236}">
              <a16:creationId xmlns:a16="http://schemas.microsoft.com/office/drawing/2014/main" id="{00000000-0008-0000-1500-000003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60" name="2585 CuadroTexto">
          <a:extLst>
            <a:ext uri="{FF2B5EF4-FFF2-40B4-BE49-F238E27FC236}">
              <a16:creationId xmlns:a16="http://schemas.microsoft.com/office/drawing/2014/main" id="{00000000-0008-0000-1500-000004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61" name="2586 CuadroTexto">
          <a:extLst>
            <a:ext uri="{FF2B5EF4-FFF2-40B4-BE49-F238E27FC236}">
              <a16:creationId xmlns:a16="http://schemas.microsoft.com/office/drawing/2014/main" id="{00000000-0008-0000-1500-000005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62" name="2587 CuadroTexto">
          <a:extLst>
            <a:ext uri="{FF2B5EF4-FFF2-40B4-BE49-F238E27FC236}">
              <a16:creationId xmlns:a16="http://schemas.microsoft.com/office/drawing/2014/main" id="{00000000-0008-0000-1500-000006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63" name="2588 CuadroTexto">
          <a:extLst>
            <a:ext uri="{FF2B5EF4-FFF2-40B4-BE49-F238E27FC236}">
              <a16:creationId xmlns:a16="http://schemas.microsoft.com/office/drawing/2014/main" id="{00000000-0008-0000-1500-000007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64" name="2589 CuadroTexto">
          <a:extLst>
            <a:ext uri="{FF2B5EF4-FFF2-40B4-BE49-F238E27FC236}">
              <a16:creationId xmlns:a16="http://schemas.microsoft.com/office/drawing/2014/main" id="{00000000-0008-0000-1500-000008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65" name="240 CuadroTexto">
          <a:extLst>
            <a:ext uri="{FF2B5EF4-FFF2-40B4-BE49-F238E27FC236}">
              <a16:creationId xmlns:a16="http://schemas.microsoft.com/office/drawing/2014/main" id="{00000000-0008-0000-1500-000009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66" name="241 CuadroTexto">
          <a:extLst>
            <a:ext uri="{FF2B5EF4-FFF2-40B4-BE49-F238E27FC236}">
              <a16:creationId xmlns:a16="http://schemas.microsoft.com/office/drawing/2014/main" id="{00000000-0008-0000-1500-00000A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67" name="246 CuadroTexto">
          <a:extLst>
            <a:ext uri="{FF2B5EF4-FFF2-40B4-BE49-F238E27FC236}">
              <a16:creationId xmlns:a16="http://schemas.microsoft.com/office/drawing/2014/main" id="{00000000-0008-0000-1500-00000B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68" name="247 CuadroTexto">
          <a:extLst>
            <a:ext uri="{FF2B5EF4-FFF2-40B4-BE49-F238E27FC236}">
              <a16:creationId xmlns:a16="http://schemas.microsoft.com/office/drawing/2014/main" id="{00000000-0008-0000-1500-00000C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69" name="248 CuadroTexto">
          <a:extLst>
            <a:ext uri="{FF2B5EF4-FFF2-40B4-BE49-F238E27FC236}">
              <a16:creationId xmlns:a16="http://schemas.microsoft.com/office/drawing/2014/main" id="{00000000-0008-0000-1500-00000D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70" name="249 CuadroTexto">
          <a:extLst>
            <a:ext uri="{FF2B5EF4-FFF2-40B4-BE49-F238E27FC236}">
              <a16:creationId xmlns:a16="http://schemas.microsoft.com/office/drawing/2014/main" id="{00000000-0008-0000-1500-00000E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71" name="2429 CuadroTexto">
          <a:extLst>
            <a:ext uri="{FF2B5EF4-FFF2-40B4-BE49-F238E27FC236}">
              <a16:creationId xmlns:a16="http://schemas.microsoft.com/office/drawing/2014/main" id="{00000000-0008-0000-1500-00000F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72" name="2430 CuadroTexto">
          <a:extLst>
            <a:ext uri="{FF2B5EF4-FFF2-40B4-BE49-F238E27FC236}">
              <a16:creationId xmlns:a16="http://schemas.microsoft.com/office/drawing/2014/main" id="{00000000-0008-0000-1500-000010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73" name="2431 CuadroTexto">
          <a:extLst>
            <a:ext uri="{FF2B5EF4-FFF2-40B4-BE49-F238E27FC236}">
              <a16:creationId xmlns:a16="http://schemas.microsoft.com/office/drawing/2014/main" id="{00000000-0008-0000-1500-000011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74" name="2432 CuadroTexto">
          <a:extLst>
            <a:ext uri="{FF2B5EF4-FFF2-40B4-BE49-F238E27FC236}">
              <a16:creationId xmlns:a16="http://schemas.microsoft.com/office/drawing/2014/main" id="{00000000-0008-0000-1500-000012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75" name="2433 CuadroTexto">
          <a:extLst>
            <a:ext uri="{FF2B5EF4-FFF2-40B4-BE49-F238E27FC236}">
              <a16:creationId xmlns:a16="http://schemas.microsoft.com/office/drawing/2014/main" id="{00000000-0008-0000-1500-000013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76" name="2434 CuadroTexto">
          <a:extLst>
            <a:ext uri="{FF2B5EF4-FFF2-40B4-BE49-F238E27FC236}">
              <a16:creationId xmlns:a16="http://schemas.microsoft.com/office/drawing/2014/main" id="{00000000-0008-0000-1500-000014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77" name="2584 CuadroTexto">
          <a:extLst>
            <a:ext uri="{FF2B5EF4-FFF2-40B4-BE49-F238E27FC236}">
              <a16:creationId xmlns:a16="http://schemas.microsoft.com/office/drawing/2014/main" id="{00000000-0008-0000-1500-000015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78" name="2585 CuadroTexto">
          <a:extLst>
            <a:ext uri="{FF2B5EF4-FFF2-40B4-BE49-F238E27FC236}">
              <a16:creationId xmlns:a16="http://schemas.microsoft.com/office/drawing/2014/main" id="{00000000-0008-0000-1500-000016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79" name="2586 CuadroTexto">
          <a:extLst>
            <a:ext uri="{FF2B5EF4-FFF2-40B4-BE49-F238E27FC236}">
              <a16:creationId xmlns:a16="http://schemas.microsoft.com/office/drawing/2014/main" id="{00000000-0008-0000-1500-000017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80" name="2587 CuadroTexto">
          <a:extLst>
            <a:ext uri="{FF2B5EF4-FFF2-40B4-BE49-F238E27FC236}">
              <a16:creationId xmlns:a16="http://schemas.microsoft.com/office/drawing/2014/main" id="{00000000-0008-0000-1500-000018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81" name="2588 CuadroTexto">
          <a:extLst>
            <a:ext uri="{FF2B5EF4-FFF2-40B4-BE49-F238E27FC236}">
              <a16:creationId xmlns:a16="http://schemas.microsoft.com/office/drawing/2014/main" id="{00000000-0008-0000-1500-000019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82" name="2589 CuadroTexto">
          <a:extLst>
            <a:ext uri="{FF2B5EF4-FFF2-40B4-BE49-F238E27FC236}">
              <a16:creationId xmlns:a16="http://schemas.microsoft.com/office/drawing/2014/main" id="{00000000-0008-0000-1500-00001A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83" name="240 CuadroTexto">
          <a:extLst>
            <a:ext uri="{FF2B5EF4-FFF2-40B4-BE49-F238E27FC236}">
              <a16:creationId xmlns:a16="http://schemas.microsoft.com/office/drawing/2014/main" id="{00000000-0008-0000-1500-00001B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84" name="241 CuadroTexto">
          <a:extLst>
            <a:ext uri="{FF2B5EF4-FFF2-40B4-BE49-F238E27FC236}">
              <a16:creationId xmlns:a16="http://schemas.microsoft.com/office/drawing/2014/main" id="{00000000-0008-0000-1500-00001C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85" name="246 CuadroTexto">
          <a:extLst>
            <a:ext uri="{FF2B5EF4-FFF2-40B4-BE49-F238E27FC236}">
              <a16:creationId xmlns:a16="http://schemas.microsoft.com/office/drawing/2014/main" id="{00000000-0008-0000-1500-00001D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86" name="247 CuadroTexto">
          <a:extLst>
            <a:ext uri="{FF2B5EF4-FFF2-40B4-BE49-F238E27FC236}">
              <a16:creationId xmlns:a16="http://schemas.microsoft.com/office/drawing/2014/main" id="{00000000-0008-0000-1500-00001E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87" name="248 CuadroTexto">
          <a:extLst>
            <a:ext uri="{FF2B5EF4-FFF2-40B4-BE49-F238E27FC236}">
              <a16:creationId xmlns:a16="http://schemas.microsoft.com/office/drawing/2014/main" id="{00000000-0008-0000-1500-00001F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136</xdr:row>
      <xdr:rowOff>0</xdr:rowOff>
    </xdr:from>
    <xdr:ext cx="184731" cy="264560"/>
    <xdr:sp macro="" textlink="">
      <xdr:nvSpPr>
        <xdr:cNvPr id="288" name="249 CuadroTexto">
          <a:extLst>
            <a:ext uri="{FF2B5EF4-FFF2-40B4-BE49-F238E27FC236}">
              <a16:creationId xmlns:a16="http://schemas.microsoft.com/office/drawing/2014/main" id="{00000000-0008-0000-1500-000020010000}"/>
            </a:ext>
          </a:extLst>
        </xdr:cNvPr>
        <xdr:cNvSpPr txBox="1"/>
      </xdr:nvSpPr>
      <xdr:spPr>
        <a:xfrm>
          <a:off x="420727" y="11664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89" name="2584 CuadroTexto">
          <a:extLst>
            <a:ext uri="{FF2B5EF4-FFF2-40B4-BE49-F238E27FC236}">
              <a16:creationId xmlns:a16="http://schemas.microsoft.com/office/drawing/2014/main" id="{00000000-0008-0000-1500-00002101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90" name="2585 CuadroTexto">
          <a:extLst>
            <a:ext uri="{FF2B5EF4-FFF2-40B4-BE49-F238E27FC236}">
              <a16:creationId xmlns:a16="http://schemas.microsoft.com/office/drawing/2014/main" id="{00000000-0008-0000-1500-00002201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91" name="2586 CuadroTexto">
          <a:extLst>
            <a:ext uri="{FF2B5EF4-FFF2-40B4-BE49-F238E27FC236}">
              <a16:creationId xmlns:a16="http://schemas.microsoft.com/office/drawing/2014/main" id="{00000000-0008-0000-1500-00002301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92" name="2587 CuadroTexto">
          <a:extLst>
            <a:ext uri="{FF2B5EF4-FFF2-40B4-BE49-F238E27FC236}">
              <a16:creationId xmlns:a16="http://schemas.microsoft.com/office/drawing/2014/main" id="{00000000-0008-0000-1500-00002401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93" name="2588 CuadroTexto">
          <a:extLst>
            <a:ext uri="{FF2B5EF4-FFF2-40B4-BE49-F238E27FC236}">
              <a16:creationId xmlns:a16="http://schemas.microsoft.com/office/drawing/2014/main" id="{00000000-0008-0000-1500-00002501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94" name="2589 CuadroTexto">
          <a:extLst>
            <a:ext uri="{FF2B5EF4-FFF2-40B4-BE49-F238E27FC236}">
              <a16:creationId xmlns:a16="http://schemas.microsoft.com/office/drawing/2014/main" id="{00000000-0008-0000-1500-00002601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95" name="240 CuadroTexto">
          <a:extLst>
            <a:ext uri="{FF2B5EF4-FFF2-40B4-BE49-F238E27FC236}">
              <a16:creationId xmlns:a16="http://schemas.microsoft.com/office/drawing/2014/main" id="{00000000-0008-0000-1500-00002701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96" name="241 CuadroTexto">
          <a:extLst>
            <a:ext uri="{FF2B5EF4-FFF2-40B4-BE49-F238E27FC236}">
              <a16:creationId xmlns:a16="http://schemas.microsoft.com/office/drawing/2014/main" id="{00000000-0008-0000-1500-00002801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97" name="246 CuadroTexto">
          <a:extLst>
            <a:ext uri="{FF2B5EF4-FFF2-40B4-BE49-F238E27FC236}">
              <a16:creationId xmlns:a16="http://schemas.microsoft.com/office/drawing/2014/main" id="{00000000-0008-0000-1500-00002901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98" name="247 CuadroTexto">
          <a:extLst>
            <a:ext uri="{FF2B5EF4-FFF2-40B4-BE49-F238E27FC236}">
              <a16:creationId xmlns:a16="http://schemas.microsoft.com/office/drawing/2014/main" id="{00000000-0008-0000-1500-00002A01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299" name="248 CuadroTexto">
          <a:extLst>
            <a:ext uri="{FF2B5EF4-FFF2-40B4-BE49-F238E27FC236}">
              <a16:creationId xmlns:a16="http://schemas.microsoft.com/office/drawing/2014/main" id="{00000000-0008-0000-1500-00002B01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135</xdr:row>
      <xdr:rowOff>0</xdr:rowOff>
    </xdr:from>
    <xdr:ext cx="184731" cy="264560"/>
    <xdr:sp macro="" textlink="">
      <xdr:nvSpPr>
        <xdr:cNvPr id="300" name="249 CuadroTexto">
          <a:extLst>
            <a:ext uri="{FF2B5EF4-FFF2-40B4-BE49-F238E27FC236}">
              <a16:creationId xmlns:a16="http://schemas.microsoft.com/office/drawing/2014/main" id="{00000000-0008-0000-1500-00002C010000}"/>
            </a:ext>
          </a:extLst>
        </xdr:cNvPr>
        <xdr:cNvSpPr txBox="1"/>
      </xdr:nvSpPr>
      <xdr:spPr>
        <a:xfrm>
          <a:off x="420727" y="116465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301" name="2584 CuadroTexto">
          <a:extLst>
            <a:ext uri="{FF2B5EF4-FFF2-40B4-BE49-F238E27FC236}">
              <a16:creationId xmlns:a16="http://schemas.microsoft.com/office/drawing/2014/main" id="{00000000-0008-0000-1500-00002D01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302" name="2585 CuadroTexto">
          <a:extLst>
            <a:ext uri="{FF2B5EF4-FFF2-40B4-BE49-F238E27FC236}">
              <a16:creationId xmlns:a16="http://schemas.microsoft.com/office/drawing/2014/main" id="{00000000-0008-0000-1500-00002E01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303" name="2586 CuadroTexto">
          <a:extLst>
            <a:ext uri="{FF2B5EF4-FFF2-40B4-BE49-F238E27FC236}">
              <a16:creationId xmlns:a16="http://schemas.microsoft.com/office/drawing/2014/main" id="{00000000-0008-0000-1500-00002F01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304" name="2587 CuadroTexto">
          <a:extLst>
            <a:ext uri="{FF2B5EF4-FFF2-40B4-BE49-F238E27FC236}">
              <a16:creationId xmlns:a16="http://schemas.microsoft.com/office/drawing/2014/main" id="{00000000-0008-0000-1500-00003001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305" name="2588 CuadroTexto">
          <a:extLst>
            <a:ext uri="{FF2B5EF4-FFF2-40B4-BE49-F238E27FC236}">
              <a16:creationId xmlns:a16="http://schemas.microsoft.com/office/drawing/2014/main" id="{00000000-0008-0000-1500-00003101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1</xdr:col>
      <xdr:colOff>1627</xdr:colOff>
      <xdr:row>134</xdr:row>
      <xdr:rowOff>0</xdr:rowOff>
    </xdr:from>
    <xdr:ext cx="184731" cy="264560"/>
    <xdr:sp macro="" textlink="">
      <xdr:nvSpPr>
        <xdr:cNvPr id="306" name="2589 CuadroTexto">
          <a:extLst>
            <a:ext uri="{FF2B5EF4-FFF2-40B4-BE49-F238E27FC236}">
              <a16:creationId xmlns:a16="http://schemas.microsoft.com/office/drawing/2014/main" id="{00000000-0008-0000-1500-000032010000}"/>
            </a:ext>
          </a:extLst>
        </xdr:cNvPr>
        <xdr:cNvSpPr txBox="1"/>
      </xdr:nvSpPr>
      <xdr:spPr>
        <a:xfrm>
          <a:off x="420727" y="11628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wsDr>
</file>

<file path=xl/drawings/drawing19.xml><?xml version="1.0" encoding="utf-8"?>
<xdr:wsDr xmlns:xdr="http://schemas.openxmlformats.org/drawingml/2006/spreadsheetDrawing" xmlns:a="http://schemas.openxmlformats.org/drawingml/2006/main">
  <xdr:oneCellAnchor>
    <xdr:from>
      <xdr:col>0</xdr:col>
      <xdr:colOff>684252</xdr:colOff>
      <xdr:row>30</xdr:row>
      <xdr:rowOff>0</xdr:rowOff>
    </xdr:from>
    <xdr:ext cx="184731" cy="264560"/>
    <xdr:sp macro="" textlink="">
      <xdr:nvSpPr>
        <xdr:cNvPr id="3" name="673 CuadroTexto">
          <a:extLst>
            <a:ext uri="{FF2B5EF4-FFF2-40B4-BE49-F238E27FC236}">
              <a16:creationId xmlns:a16="http://schemas.microsoft.com/office/drawing/2014/main" id="{00000000-0008-0000-1600-000003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4" name="919 CuadroTexto">
          <a:extLst>
            <a:ext uri="{FF2B5EF4-FFF2-40B4-BE49-F238E27FC236}">
              <a16:creationId xmlns:a16="http://schemas.microsoft.com/office/drawing/2014/main" id="{00000000-0008-0000-1600-000004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5" name="921 CuadroTexto">
          <a:extLst>
            <a:ext uri="{FF2B5EF4-FFF2-40B4-BE49-F238E27FC236}">
              <a16:creationId xmlns:a16="http://schemas.microsoft.com/office/drawing/2014/main" id="{00000000-0008-0000-1600-000005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6" name="995 CuadroTexto">
          <a:extLst>
            <a:ext uri="{FF2B5EF4-FFF2-40B4-BE49-F238E27FC236}">
              <a16:creationId xmlns:a16="http://schemas.microsoft.com/office/drawing/2014/main" id="{00000000-0008-0000-1600-000006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7" name="997 CuadroTexto">
          <a:extLst>
            <a:ext uri="{FF2B5EF4-FFF2-40B4-BE49-F238E27FC236}">
              <a16:creationId xmlns:a16="http://schemas.microsoft.com/office/drawing/2014/main" id="{00000000-0008-0000-1600-000007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684252</xdr:colOff>
      <xdr:row>30</xdr:row>
      <xdr:rowOff>0</xdr:rowOff>
    </xdr:from>
    <xdr:ext cx="184731" cy="264560"/>
    <xdr:sp macro="" textlink="">
      <xdr:nvSpPr>
        <xdr:cNvPr id="8" name="1940 CuadroTexto">
          <a:extLst>
            <a:ext uri="{FF2B5EF4-FFF2-40B4-BE49-F238E27FC236}">
              <a16:creationId xmlns:a16="http://schemas.microsoft.com/office/drawing/2014/main" id="{00000000-0008-0000-1600-000008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 name="2584 CuadroTexto">
          <a:extLst>
            <a:ext uri="{FF2B5EF4-FFF2-40B4-BE49-F238E27FC236}">
              <a16:creationId xmlns:a16="http://schemas.microsoft.com/office/drawing/2014/main" id="{00000000-0008-0000-1600-000009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0" name="2585 CuadroTexto">
          <a:extLst>
            <a:ext uri="{FF2B5EF4-FFF2-40B4-BE49-F238E27FC236}">
              <a16:creationId xmlns:a16="http://schemas.microsoft.com/office/drawing/2014/main" id="{00000000-0008-0000-1600-00000A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1" name="2586 CuadroTexto">
          <a:extLst>
            <a:ext uri="{FF2B5EF4-FFF2-40B4-BE49-F238E27FC236}">
              <a16:creationId xmlns:a16="http://schemas.microsoft.com/office/drawing/2014/main" id="{00000000-0008-0000-1600-00000B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2" name="2587 CuadroTexto">
          <a:extLst>
            <a:ext uri="{FF2B5EF4-FFF2-40B4-BE49-F238E27FC236}">
              <a16:creationId xmlns:a16="http://schemas.microsoft.com/office/drawing/2014/main" id="{00000000-0008-0000-1600-00000C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3" name="2588 CuadroTexto">
          <a:extLst>
            <a:ext uri="{FF2B5EF4-FFF2-40B4-BE49-F238E27FC236}">
              <a16:creationId xmlns:a16="http://schemas.microsoft.com/office/drawing/2014/main" id="{00000000-0008-0000-1600-00000D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4" name="2589 CuadroTexto">
          <a:extLst>
            <a:ext uri="{FF2B5EF4-FFF2-40B4-BE49-F238E27FC236}">
              <a16:creationId xmlns:a16="http://schemas.microsoft.com/office/drawing/2014/main" id="{00000000-0008-0000-1600-00000E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5" name="240 CuadroTexto">
          <a:extLst>
            <a:ext uri="{FF2B5EF4-FFF2-40B4-BE49-F238E27FC236}">
              <a16:creationId xmlns:a16="http://schemas.microsoft.com/office/drawing/2014/main" id="{00000000-0008-0000-1600-00000F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6" name="241 CuadroTexto">
          <a:extLst>
            <a:ext uri="{FF2B5EF4-FFF2-40B4-BE49-F238E27FC236}">
              <a16:creationId xmlns:a16="http://schemas.microsoft.com/office/drawing/2014/main" id="{00000000-0008-0000-1600-000010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7" name="246 CuadroTexto">
          <a:extLst>
            <a:ext uri="{FF2B5EF4-FFF2-40B4-BE49-F238E27FC236}">
              <a16:creationId xmlns:a16="http://schemas.microsoft.com/office/drawing/2014/main" id="{00000000-0008-0000-1600-000011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8" name="247 CuadroTexto">
          <a:extLst>
            <a:ext uri="{FF2B5EF4-FFF2-40B4-BE49-F238E27FC236}">
              <a16:creationId xmlns:a16="http://schemas.microsoft.com/office/drawing/2014/main" id="{00000000-0008-0000-1600-000012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9" name="248 CuadroTexto">
          <a:extLst>
            <a:ext uri="{FF2B5EF4-FFF2-40B4-BE49-F238E27FC236}">
              <a16:creationId xmlns:a16="http://schemas.microsoft.com/office/drawing/2014/main" id="{00000000-0008-0000-1600-000013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20" name="249 CuadroTexto">
          <a:extLst>
            <a:ext uri="{FF2B5EF4-FFF2-40B4-BE49-F238E27FC236}">
              <a16:creationId xmlns:a16="http://schemas.microsoft.com/office/drawing/2014/main" id="{00000000-0008-0000-1600-000014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684252</xdr:colOff>
      <xdr:row>30</xdr:row>
      <xdr:rowOff>0</xdr:rowOff>
    </xdr:from>
    <xdr:ext cx="184731" cy="264560"/>
    <xdr:sp macro="" textlink="">
      <xdr:nvSpPr>
        <xdr:cNvPr id="21" name="673 CuadroTexto">
          <a:extLst>
            <a:ext uri="{FF2B5EF4-FFF2-40B4-BE49-F238E27FC236}">
              <a16:creationId xmlns:a16="http://schemas.microsoft.com/office/drawing/2014/main" id="{00000000-0008-0000-1600-000015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22" name="919 CuadroTexto">
          <a:extLst>
            <a:ext uri="{FF2B5EF4-FFF2-40B4-BE49-F238E27FC236}">
              <a16:creationId xmlns:a16="http://schemas.microsoft.com/office/drawing/2014/main" id="{00000000-0008-0000-1600-000016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23" name="921 CuadroTexto">
          <a:extLst>
            <a:ext uri="{FF2B5EF4-FFF2-40B4-BE49-F238E27FC236}">
              <a16:creationId xmlns:a16="http://schemas.microsoft.com/office/drawing/2014/main" id="{00000000-0008-0000-1600-000017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24" name="995 CuadroTexto">
          <a:extLst>
            <a:ext uri="{FF2B5EF4-FFF2-40B4-BE49-F238E27FC236}">
              <a16:creationId xmlns:a16="http://schemas.microsoft.com/office/drawing/2014/main" id="{00000000-0008-0000-1600-000018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25" name="997 CuadroTexto">
          <a:extLst>
            <a:ext uri="{FF2B5EF4-FFF2-40B4-BE49-F238E27FC236}">
              <a16:creationId xmlns:a16="http://schemas.microsoft.com/office/drawing/2014/main" id="{00000000-0008-0000-1600-000019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684252</xdr:colOff>
      <xdr:row>30</xdr:row>
      <xdr:rowOff>0</xdr:rowOff>
    </xdr:from>
    <xdr:ext cx="184731" cy="264560"/>
    <xdr:sp macro="" textlink="">
      <xdr:nvSpPr>
        <xdr:cNvPr id="26" name="1940 CuadroTexto">
          <a:extLst>
            <a:ext uri="{FF2B5EF4-FFF2-40B4-BE49-F238E27FC236}">
              <a16:creationId xmlns:a16="http://schemas.microsoft.com/office/drawing/2014/main" id="{00000000-0008-0000-1600-00001A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27" name="2584 CuadroTexto">
          <a:extLst>
            <a:ext uri="{FF2B5EF4-FFF2-40B4-BE49-F238E27FC236}">
              <a16:creationId xmlns:a16="http://schemas.microsoft.com/office/drawing/2014/main" id="{00000000-0008-0000-1600-00001B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28" name="2585 CuadroTexto">
          <a:extLst>
            <a:ext uri="{FF2B5EF4-FFF2-40B4-BE49-F238E27FC236}">
              <a16:creationId xmlns:a16="http://schemas.microsoft.com/office/drawing/2014/main" id="{00000000-0008-0000-1600-00001C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29" name="2586 CuadroTexto">
          <a:extLst>
            <a:ext uri="{FF2B5EF4-FFF2-40B4-BE49-F238E27FC236}">
              <a16:creationId xmlns:a16="http://schemas.microsoft.com/office/drawing/2014/main" id="{00000000-0008-0000-1600-00001D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0" name="2587 CuadroTexto">
          <a:extLst>
            <a:ext uri="{FF2B5EF4-FFF2-40B4-BE49-F238E27FC236}">
              <a16:creationId xmlns:a16="http://schemas.microsoft.com/office/drawing/2014/main" id="{00000000-0008-0000-1600-00001E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1" name="2588 CuadroTexto">
          <a:extLst>
            <a:ext uri="{FF2B5EF4-FFF2-40B4-BE49-F238E27FC236}">
              <a16:creationId xmlns:a16="http://schemas.microsoft.com/office/drawing/2014/main" id="{00000000-0008-0000-1600-00001F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2" name="2589 CuadroTexto">
          <a:extLst>
            <a:ext uri="{FF2B5EF4-FFF2-40B4-BE49-F238E27FC236}">
              <a16:creationId xmlns:a16="http://schemas.microsoft.com/office/drawing/2014/main" id="{00000000-0008-0000-1600-000020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3" name="240 CuadroTexto">
          <a:extLst>
            <a:ext uri="{FF2B5EF4-FFF2-40B4-BE49-F238E27FC236}">
              <a16:creationId xmlns:a16="http://schemas.microsoft.com/office/drawing/2014/main" id="{00000000-0008-0000-1600-000021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4" name="241 CuadroTexto">
          <a:extLst>
            <a:ext uri="{FF2B5EF4-FFF2-40B4-BE49-F238E27FC236}">
              <a16:creationId xmlns:a16="http://schemas.microsoft.com/office/drawing/2014/main" id="{00000000-0008-0000-1600-000022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5" name="246 CuadroTexto">
          <a:extLst>
            <a:ext uri="{FF2B5EF4-FFF2-40B4-BE49-F238E27FC236}">
              <a16:creationId xmlns:a16="http://schemas.microsoft.com/office/drawing/2014/main" id="{00000000-0008-0000-1600-000023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6" name="247 CuadroTexto">
          <a:extLst>
            <a:ext uri="{FF2B5EF4-FFF2-40B4-BE49-F238E27FC236}">
              <a16:creationId xmlns:a16="http://schemas.microsoft.com/office/drawing/2014/main" id="{00000000-0008-0000-1600-000024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7" name="248 CuadroTexto">
          <a:extLst>
            <a:ext uri="{FF2B5EF4-FFF2-40B4-BE49-F238E27FC236}">
              <a16:creationId xmlns:a16="http://schemas.microsoft.com/office/drawing/2014/main" id="{00000000-0008-0000-1600-000025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8" name="249 CuadroTexto">
          <a:extLst>
            <a:ext uri="{FF2B5EF4-FFF2-40B4-BE49-F238E27FC236}">
              <a16:creationId xmlns:a16="http://schemas.microsoft.com/office/drawing/2014/main" id="{00000000-0008-0000-1600-000026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9" name="2429 CuadroTexto">
          <a:extLst>
            <a:ext uri="{FF2B5EF4-FFF2-40B4-BE49-F238E27FC236}">
              <a16:creationId xmlns:a16="http://schemas.microsoft.com/office/drawing/2014/main" id="{00000000-0008-0000-1600-000027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40" name="2430 CuadroTexto">
          <a:extLst>
            <a:ext uri="{FF2B5EF4-FFF2-40B4-BE49-F238E27FC236}">
              <a16:creationId xmlns:a16="http://schemas.microsoft.com/office/drawing/2014/main" id="{00000000-0008-0000-1600-000028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41" name="2431 CuadroTexto">
          <a:extLst>
            <a:ext uri="{FF2B5EF4-FFF2-40B4-BE49-F238E27FC236}">
              <a16:creationId xmlns:a16="http://schemas.microsoft.com/office/drawing/2014/main" id="{00000000-0008-0000-1600-000029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42" name="2432 CuadroTexto">
          <a:extLst>
            <a:ext uri="{FF2B5EF4-FFF2-40B4-BE49-F238E27FC236}">
              <a16:creationId xmlns:a16="http://schemas.microsoft.com/office/drawing/2014/main" id="{00000000-0008-0000-1600-00002A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43" name="2433 CuadroTexto">
          <a:extLst>
            <a:ext uri="{FF2B5EF4-FFF2-40B4-BE49-F238E27FC236}">
              <a16:creationId xmlns:a16="http://schemas.microsoft.com/office/drawing/2014/main" id="{00000000-0008-0000-1600-00002B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44" name="2434 CuadroTexto">
          <a:extLst>
            <a:ext uri="{FF2B5EF4-FFF2-40B4-BE49-F238E27FC236}">
              <a16:creationId xmlns:a16="http://schemas.microsoft.com/office/drawing/2014/main" id="{00000000-0008-0000-1600-00002C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45" name="2584 CuadroTexto">
          <a:extLst>
            <a:ext uri="{FF2B5EF4-FFF2-40B4-BE49-F238E27FC236}">
              <a16:creationId xmlns:a16="http://schemas.microsoft.com/office/drawing/2014/main" id="{00000000-0008-0000-1600-00002D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46" name="2585 CuadroTexto">
          <a:extLst>
            <a:ext uri="{FF2B5EF4-FFF2-40B4-BE49-F238E27FC236}">
              <a16:creationId xmlns:a16="http://schemas.microsoft.com/office/drawing/2014/main" id="{00000000-0008-0000-1600-00002E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47" name="2586 CuadroTexto">
          <a:extLst>
            <a:ext uri="{FF2B5EF4-FFF2-40B4-BE49-F238E27FC236}">
              <a16:creationId xmlns:a16="http://schemas.microsoft.com/office/drawing/2014/main" id="{00000000-0008-0000-1600-00002F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48" name="2587 CuadroTexto">
          <a:extLst>
            <a:ext uri="{FF2B5EF4-FFF2-40B4-BE49-F238E27FC236}">
              <a16:creationId xmlns:a16="http://schemas.microsoft.com/office/drawing/2014/main" id="{00000000-0008-0000-1600-000030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49" name="2588 CuadroTexto">
          <a:extLst>
            <a:ext uri="{FF2B5EF4-FFF2-40B4-BE49-F238E27FC236}">
              <a16:creationId xmlns:a16="http://schemas.microsoft.com/office/drawing/2014/main" id="{00000000-0008-0000-1600-000031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50" name="2589 CuadroTexto">
          <a:extLst>
            <a:ext uri="{FF2B5EF4-FFF2-40B4-BE49-F238E27FC236}">
              <a16:creationId xmlns:a16="http://schemas.microsoft.com/office/drawing/2014/main" id="{00000000-0008-0000-1600-000032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51" name="240 CuadroTexto">
          <a:extLst>
            <a:ext uri="{FF2B5EF4-FFF2-40B4-BE49-F238E27FC236}">
              <a16:creationId xmlns:a16="http://schemas.microsoft.com/office/drawing/2014/main" id="{00000000-0008-0000-1600-000033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52" name="241 CuadroTexto">
          <a:extLst>
            <a:ext uri="{FF2B5EF4-FFF2-40B4-BE49-F238E27FC236}">
              <a16:creationId xmlns:a16="http://schemas.microsoft.com/office/drawing/2014/main" id="{00000000-0008-0000-1600-000034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53" name="246 CuadroTexto">
          <a:extLst>
            <a:ext uri="{FF2B5EF4-FFF2-40B4-BE49-F238E27FC236}">
              <a16:creationId xmlns:a16="http://schemas.microsoft.com/office/drawing/2014/main" id="{00000000-0008-0000-1600-000035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54" name="247 CuadroTexto">
          <a:extLst>
            <a:ext uri="{FF2B5EF4-FFF2-40B4-BE49-F238E27FC236}">
              <a16:creationId xmlns:a16="http://schemas.microsoft.com/office/drawing/2014/main" id="{00000000-0008-0000-1600-000036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55" name="248 CuadroTexto">
          <a:extLst>
            <a:ext uri="{FF2B5EF4-FFF2-40B4-BE49-F238E27FC236}">
              <a16:creationId xmlns:a16="http://schemas.microsoft.com/office/drawing/2014/main" id="{00000000-0008-0000-1600-000037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56" name="249 CuadroTexto">
          <a:extLst>
            <a:ext uri="{FF2B5EF4-FFF2-40B4-BE49-F238E27FC236}">
              <a16:creationId xmlns:a16="http://schemas.microsoft.com/office/drawing/2014/main" id="{00000000-0008-0000-1600-000038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57" name="2429 CuadroTexto">
          <a:extLst>
            <a:ext uri="{FF2B5EF4-FFF2-40B4-BE49-F238E27FC236}">
              <a16:creationId xmlns:a16="http://schemas.microsoft.com/office/drawing/2014/main" id="{00000000-0008-0000-1600-000039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58" name="2430 CuadroTexto">
          <a:extLst>
            <a:ext uri="{FF2B5EF4-FFF2-40B4-BE49-F238E27FC236}">
              <a16:creationId xmlns:a16="http://schemas.microsoft.com/office/drawing/2014/main" id="{00000000-0008-0000-1600-00003A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59" name="2431 CuadroTexto">
          <a:extLst>
            <a:ext uri="{FF2B5EF4-FFF2-40B4-BE49-F238E27FC236}">
              <a16:creationId xmlns:a16="http://schemas.microsoft.com/office/drawing/2014/main" id="{00000000-0008-0000-1600-00003B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60" name="2432 CuadroTexto">
          <a:extLst>
            <a:ext uri="{FF2B5EF4-FFF2-40B4-BE49-F238E27FC236}">
              <a16:creationId xmlns:a16="http://schemas.microsoft.com/office/drawing/2014/main" id="{00000000-0008-0000-1600-00003C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61" name="2433 CuadroTexto">
          <a:extLst>
            <a:ext uri="{FF2B5EF4-FFF2-40B4-BE49-F238E27FC236}">
              <a16:creationId xmlns:a16="http://schemas.microsoft.com/office/drawing/2014/main" id="{00000000-0008-0000-1600-00003D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62" name="2434 CuadroTexto">
          <a:extLst>
            <a:ext uri="{FF2B5EF4-FFF2-40B4-BE49-F238E27FC236}">
              <a16:creationId xmlns:a16="http://schemas.microsoft.com/office/drawing/2014/main" id="{00000000-0008-0000-1600-00003E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63" name="2584 CuadroTexto">
          <a:extLst>
            <a:ext uri="{FF2B5EF4-FFF2-40B4-BE49-F238E27FC236}">
              <a16:creationId xmlns:a16="http://schemas.microsoft.com/office/drawing/2014/main" id="{00000000-0008-0000-1600-00003F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64" name="2585 CuadroTexto">
          <a:extLst>
            <a:ext uri="{FF2B5EF4-FFF2-40B4-BE49-F238E27FC236}">
              <a16:creationId xmlns:a16="http://schemas.microsoft.com/office/drawing/2014/main" id="{00000000-0008-0000-1600-000040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65" name="2586 CuadroTexto">
          <a:extLst>
            <a:ext uri="{FF2B5EF4-FFF2-40B4-BE49-F238E27FC236}">
              <a16:creationId xmlns:a16="http://schemas.microsoft.com/office/drawing/2014/main" id="{00000000-0008-0000-1600-000041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66" name="2587 CuadroTexto">
          <a:extLst>
            <a:ext uri="{FF2B5EF4-FFF2-40B4-BE49-F238E27FC236}">
              <a16:creationId xmlns:a16="http://schemas.microsoft.com/office/drawing/2014/main" id="{00000000-0008-0000-1600-000042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67" name="2588 CuadroTexto">
          <a:extLst>
            <a:ext uri="{FF2B5EF4-FFF2-40B4-BE49-F238E27FC236}">
              <a16:creationId xmlns:a16="http://schemas.microsoft.com/office/drawing/2014/main" id="{00000000-0008-0000-1600-000043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68" name="2589 CuadroTexto">
          <a:extLst>
            <a:ext uri="{FF2B5EF4-FFF2-40B4-BE49-F238E27FC236}">
              <a16:creationId xmlns:a16="http://schemas.microsoft.com/office/drawing/2014/main" id="{00000000-0008-0000-1600-000044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69" name="240 CuadroTexto">
          <a:extLst>
            <a:ext uri="{FF2B5EF4-FFF2-40B4-BE49-F238E27FC236}">
              <a16:creationId xmlns:a16="http://schemas.microsoft.com/office/drawing/2014/main" id="{00000000-0008-0000-1600-000045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70" name="241 CuadroTexto">
          <a:extLst>
            <a:ext uri="{FF2B5EF4-FFF2-40B4-BE49-F238E27FC236}">
              <a16:creationId xmlns:a16="http://schemas.microsoft.com/office/drawing/2014/main" id="{00000000-0008-0000-1600-000046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71" name="246 CuadroTexto">
          <a:extLst>
            <a:ext uri="{FF2B5EF4-FFF2-40B4-BE49-F238E27FC236}">
              <a16:creationId xmlns:a16="http://schemas.microsoft.com/office/drawing/2014/main" id="{00000000-0008-0000-1600-000047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72" name="247 CuadroTexto">
          <a:extLst>
            <a:ext uri="{FF2B5EF4-FFF2-40B4-BE49-F238E27FC236}">
              <a16:creationId xmlns:a16="http://schemas.microsoft.com/office/drawing/2014/main" id="{00000000-0008-0000-1600-000048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73" name="248 CuadroTexto">
          <a:extLst>
            <a:ext uri="{FF2B5EF4-FFF2-40B4-BE49-F238E27FC236}">
              <a16:creationId xmlns:a16="http://schemas.microsoft.com/office/drawing/2014/main" id="{00000000-0008-0000-1600-000049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74" name="249 CuadroTexto">
          <a:extLst>
            <a:ext uri="{FF2B5EF4-FFF2-40B4-BE49-F238E27FC236}">
              <a16:creationId xmlns:a16="http://schemas.microsoft.com/office/drawing/2014/main" id="{00000000-0008-0000-1600-00004A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684252</xdr:colOff>
      <xdr:row>30</xdr:row>
      <xdr:rowOff>0</xdr:rowOff>
    </xdr:from>
    <xdr:ext cx="184731" cy="264560"/>
    <xdr:sp macro="" textlink="">
      <xdr:nvSpPr>
        <xdr:cNvPr id="75" name="673 CuadroTexto">
          <a:extLst>
            <a:ext uri="{FF2B5EF4-FFF2-40B4-BE49-F238E27FC236}">
              <a16:creationId xmlns:a16="http://schemas.microsoft.com/office/drawing/2014/main" id="{00000000-0008-0000-1600-00004B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76" name="919 CuadroTexto">
          <a:extLst>
            <a:ext uri="{FF2B5EF4-FFF2-40B4-BE49-F238E27FC236}">
              <a16:creationId xmlns:a16="http://schemas.microsoft.com/office/drawing/2014/main" id="{00000000-0008-0000-1600-00004C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77" name="921 CuadroTexto">
          <a:extLst>
            <a:ext uri="{FF2B5EF4-FFF2-40B4-BE49-F238E27FC236}">
              <a16:creationId xmlns:a16="http://schemas.microsoft.com/office/drawing/2014/main" id="{00000000-0008-0000-1600-00004D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78" name="995 CuadroTexto">
          <a:extLst>
            <a:ext uri="{FF2B5EF4-FFF2-40B4-BE49-F238E27FC236}">
              <a16:creationId xmlns:a16="http://schemas.microsoft.com/office/drawing/2014/main" id="{00000000-0008-0000-1600-00004E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684252</xdr:colOff>
      <xdr:row>30</xdr:row>
      <xdr:rowOff>0</xdr:rowOff>
    </xdr:from>
    <xdr:ext cx="184731" cy="264560"/>
    <xdr:sp macro="" textlink="">
      <xdr:nvSpPr>
        <xdr:cNvPr id="79" name="1940 CuadroTexto">
          <a:extLst>
            <a:ext uri="{FF2B5EF4-FFF2-40B4-BE49-F238E27FC236}">
              <a16:creationId xmlns:a16="http://schemas.microsoft.com/office/drawing/2014/main" id="{00000000-0008-0000-1600-00004F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80" name="2584 CuadroTexto">
          <a:extLst>
            <a:ext uri="{FF2B5EF4-FFF2-40B4-BE49-F238E27FC236}">
              <a16:creationId xmlns:a16="http://schemas.microsoft.com/office/drawing/2014/main" id="{00000000-0008-0000-1600-000050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81" name="2585 CuadroTexto">
          <a:extLst>
            <a:ext uri="{FF2B5EF4-FFF2-40B4-BE49-F238E27FC236}">
              <a16:creationId xmlns:a16="http://schemas.microsoft.com/office/drawing/2014/main" id="{00000000-0008-0000-1600-000051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82" name="2586 CuadroTexto">
          <a:extLst>
            <a:ext uri="{FF2B5EF4-FFF2-40B4-BE49-F238E27FC236}">
              <a16:creationId xmlns:a16="http://schemas.microsoft.com/office/drawing/2014/main" id="{00000000-0008-0000-1600-000052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83" name="2587 CuadroTexto">
          <a:extLst>
            <a:ext uri="{FF2B5EF4-FFF2-40B4-BE49-F238E27FC236}">
              <a16:creationId xmlns:a16="http://schemas.microsoft.com/office/drawing/2014/main" id="{00000000-0008-0000-1600-000053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84" name="2588 CuadroTexto">
          <a:extLst>
            <a:ext uri="{FF2B5EF4-FFF2-40B4-BE49-F238E27FC236}">
              <a16:creationId xmlns:a16="http://schemas.microsoft.com/office/drawing/2014/main" id="{00000000-0008-0000-1600-000054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85" name="2589 CuadroTexto">
          <a:extLst>
            <a:ext uri="{FF2B5EF4-FFF2-40B4-BE49-F238E27FC236}">
              <a16:creationId xmlns:a16="http://schemas.microsoft.com/office/drawing/2014/main" id="{00000000-0008-0000-1600-000055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86" name="240 CuadroTexto">
          <a:extLst>
            <a:ext uri="{FF2B5EF4-FFF2-40B4-BE49-F238E27FC236}">
              <a16:creationId xmlns:a16="http://schemas.microsoft.com/office/drawing/2014/main" id="{00000000-0008-0000-1600-000056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87" name="241 CuadroTexto">
          <a:extLst>
            <a:ext uri="{FF2B5EF4-FFF2-40B4-BE49-F238E27FC236}">
              <a16:creationId xmlns:a16="http://schemas.microsoft.com/office/drawing/2014/main" id="{00000000-0008-0000-1600-000057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88" name="246 CuadroTexto">
          <a:extLst>
            <a:ext uri="{FF2B5EF4-FFF2-40B4-BE49-F238E27FC236}">
              <a16:creationId xmlns:a16="http://schemas.microsoft.com/office/drawing/2014/main" id="{00000000-0008-0000-1600-000058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89" name="2584 CuadroTexto">
          <a:extLst>
            <a:ext uri="{FF2B5EF4-FFF2-40B4-BE49-F238E27FC236}">
              <a16:creationId xmlns:a16="http://schemas.microsoft.com/office/drawing/2014/main" id="{00000000-0008-0000-1600-000059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0" name="2585 CuadroTexto">
          <a:extLst>
            <a:ext uri="{FF2B5EF4-FFF2-40B4-BE49-F238E27FC236}">
              <a16:creationId xmlns:a16="http://schemas.microsoft.com/office/drawing/2014/main" id="{00000000-0008-0000-1600-00005A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1" name="2586 CuadroTexto">
          <a:extLst>
            <a:ext uri="{FF2B5EF4-FFF2-40B4-BE49-F238E27FC236}">
              <a16:creationId xmlns:a16="http://schemas.microsoft.com/office/drawing/2014/main" id="{00000000-0008-0000-1600-00005B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2" name="2587 CuadroTexto">
          <a:extLst>
            <a:ext uri="{FF2B5EF4-FFF2-40B4-BE49-F238E27FC236}">
              <a16:creationId xmlns:a16="http://schemas.microsoft.com/office/drawing/2014/main" id="{00000000-0008-0000-1600-00005C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3" name="2588 CuadroTexto">
          <a:extLst>
            <a:ext uri="{FF2B5EF4-FFF2-40B4-BE49-F238E27FC236}">
              <a16:creationId xmlns:a16="http://schemas.microsoft.com/office/drawing/2014/main" id="{00000000-0008-0000-1600-00005D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4" name="2589 CuadroTexto">
          <a:extLst>
            <a:ext uri="{FF2B5EF4-FFF2-40B4-BE49-F238E27FC236}">
              <a16:creationId xmlns:a16="http://schemas.microsoft.com/office/drawing/2014/main" id="{00000000-0008-0000-1600-00005E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5" name="240 CuadroTexto">
          <a:extLst>
            <a:ext uri="{FF2B5EF4-FFF2-40B4-BE49-F238E27FC236}">
              <a16:creationId xmlns:a16="http://schemas.microsoft.com/office/drawing/2014/main" id="{00000000-0008-0000-1600-00005F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6" name="241 CuadroTexto">
          <a:extLst>
            <a:ext uri="{FF2B5EF4-FFF2-40B4-BE49-F238E27FC236}">
              <a16:creationId xmlns:a16="http://schemas.microsoft.com/office/drawing/2014/main" id="{00000000-0008-0000-1600-000060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7" name="246 CuadroTexto">
          <a:extLst>
            <a:ext uri="{FF2B5EF4-FFF2-40B4-BE49-F238E27FC236}">
              <a16:creationId xmlns:a16="http://schemas.microsoft.com/office/drawing/2014/main" id="{00000000-0008-0000-1600-000061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8" name="247 CuadroTexto">
          <a:extLst>
            <a:ext uri="{FF2B5EF4-FFF2-40B4-BE49-F238E27FC236}">
              <a16:creationId xmlns:a16="http://schemas.microsoft.com/office/drawing/2014/main" id="{00000000-0008-0000-1600-000062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9" name="248 CuadroTexto">
          <a:extLst>
            <a:ext uri="{FF2B5EF4-FFF2-40B4-BE49-F238E27FC236}">
              <a16:creationId xmlns:a16="http://schemas.microsoft.com/office/drawing/2014/main" id="{00000000-0008-0000-1600-000063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00" name="249 CuadroTexto">
          <a:extLst>
            <a:ext uri="{FF2B5EF4-FFF2-40B4-BE49-F238E27FC236}">
              <a16:creationId xmlns:a16="http://schemas.microsoft.com/office/drawing/2014/main" id="{00000000-0008-0000-1600-000064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01" name="2429 CuadroTexto">
          <a:extLst>
            <a:ext uri="{FF2B5EF4-FFF2-40B4-BE49-F238E27FC236}">
              <a16:creationId xmlns:a16="http://schemas.microsoft.com/office/drawing/2014/main" id="{00000000-0008-0000-1600-000065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02" name="2430 CuadroTexto">
          <a:extLst>
            <a:ext uri="{FF2B5EF4-FFF2-40B4-BE49-F238E27FC236}">
              <a16:creationId xmlns:a16="http://schemas.microsoft.com/office/drawing/2014/main" id="{00000000-0008-0000-1600-000066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03" name="2431 CuadroTexto">
          <a:extLst>
            <a:ext uri="{FF2B5EF4-FFF2-40B4-BE49-F238E27FC236}">
              <a16:creationId xmlns:a16="http://schemas.microsoft.com/office/drawing/2014/main" id="{00000000-0008-0000-1600-000067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04" name="2432 CuadroTexto">
          <a:extLst>
            <a:ext uri="{FF2B5EF4-FFF2-40B4-BE49-F238E27FC236}">
              <a16:creationId xmlns:a16="http://schemas.microsoft.com/office/drawing/2014/main" id="{00000000-0008-0000-1600-000068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05" name="2433 CuadroTexto">
          <a:extLst>
            <a:ext uri="{FF2B5EF4-FFF2-40B4-BE49-F238E27FC236}">
              <a16:creationId xmlns:a16="http://schemas.microsoft.com/office/drawing/2014/main" id="{00000000-0008-0000-1600-000069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06" name="2434 CuadroTexto">
          <a:extLst>
            <a:ext uri="{FF2B5EF4-FFF2-40B4-BE49-F238E27FC236}">
              <a16:creationId xmlns:a16="http://schemas.microsoft.com/office/drawing/2014/main" id="{00000000-0008-0000-1600-00006A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07" name="2584 CuadroTexto">
          <a:extLst>
            <a:ext uri="{FF2B5EF4-FFF2-40B4-BE49-F238E27FC236}">
              <a16:creationId xmlns:a16="http://schemas.microsoft.com/office/drawing/2014/main" id="{00000000-0008-0000-1600-00006B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08" name="2585 CuadroTexto">
          <a:extLst>
            <a:ext uri="{FF2B5EF4-FFF2-40B4-BE49-F238E27FC236}">
              <a16:creationId xmlns:a16="http://schemas.microsoft.com/office/drawing/2014/main" id="{00000000-0008-0000-1600-00006C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09" name="2586 CuadroTexto">
          <a:extLst>
            <a:ext uri="{FF2B5EF4-FFF2-40B4-BE49-F238E27FC236}">
              <a16:creationId xmlns:a16="http://schemas.microsoft.com/office/drawing/2014/main" id="{00000000-0008-0000-1600-00006D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10" name="2587 CuadroTexto">
          <a:extLst>
            <a:ext uri="{FF2B5EF4-FFF2-40B4-BE49-F238E27FC236}">
              <a16:creationId xmlns:a16="http://schemas.microsoft.com/office/drawing/2014/main" id="{00000000-0008-0000-1600-00006E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11" name="2588 CuadroTexto">
          <a:extLst>
            <a:ext uri="{FF2B5EF4-FFF2-40B4-BE49-F238E27FC236}">
              <a16:creationId xmlns:a16="http://schemas.microsoft.com/office/drawing/2014/main" id="{00000000-0008-0000-1600-00006F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12" name="2589 CuadroTexto">
          <a:extLst>
            <a:ext uri="{FF2B5EF4-FFF2-40B4-BE49-F238E27FC236}">
              <a16:creationId xmlns:a16="http://schemas.microsoft.com/office/drawing/2014/main" id="{00000000-0008-0000-1600-000070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13" name="240 CuadroTexto">
          <a:extLst>
            <a:ext uri="{FF2B5EF4-FFF2-40B4-BE49-F238E27FC236}">
              <a16:creationId xmlns:a16="http://schemas.microsoft.com/office/drawing/2014/main" id="{00000000-0008-0000-1600-000071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14" name="241 CuadroTexto">
          <a:extLst>
            <a:ext uri="{FF2B5EF4-FFF2-40B4-BE49-F238E27FC236}">
              <a16:creationId xmlns:a16="http://schemas.microsoft.com/office/drawing/2014/main" id="{00000000-0008-0000-1600-000072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15" name="246 CuadroTexto">
          <a:extLst>
            <a:ext uri="{FF2B5EF4-FFF2-40B4-BE49-F238E27FC236}">
              <a16:creationId xmlns:a16="http://schemas.microsoft.com/office/drawing/2014/main" id="{00000000-0008-0000-1600-000073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16" name="247 CuadroTexto">
          <a:extLst>
            <a:ext uri="{FF2B5EF4-FFF2-40B4-BE49-F238E27FC236}">
              <a16:creationId xmlns:a16="http://schemas.microsoft.com/office/drawing/2014/main" id="{00000000-0008-0000-1600-000074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17" name="248 CuadroTexto">
          <a:extLst>
            <a:ext uri="{FF2B5EF4-FFF2-40B4-BE49-F238E27FC236}">
              <a16:creationId xmlns:a16="http://schemas.microsoft.com/office/drawing/2014/main" id="{00000000-0008-0000-1600-000075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18" name="249 CuadroTexto">
          <a:extLst>
            <a:ext uri="{FF2B5EF4-FFF2-40B4-BE49-F238E27FC236}">
              <a16:creationId xmlns:a16="http://schemas.microsoft.com/office/drawing/2014/main" id="{00000000-0008-0000-1600-000076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19" name="2429 CuadroTexto">
          <a:extLst>
            <a:ext uri="{FF2B5EF4-FFF2-40B4-BE49-F238E27FC236}">
              <a16:creationId xmlns:a16="http://schemas.microsoft.com/office/drawing/2014/main" id="{00000000-0008-0000-1600-000077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20" name="2430 CuadroTexto">
          <a:extLst>
            <a:ext uri="{FF2B5EF4-FFF2-40B4-BE49-F238E27FC236}">
              <a16:creationId xmlns:a16="http://schemas.microsoft.com/office/drawing/2014/main" id="{00000000-0008-0000-1600-000078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21" name="2431 CuadroTexto">
          <a:extLst>
            <a:ext uri="{FF2B5EF4-FFF2-40B4-BE49-F238E27FC236}">
              <a16:creationId xmlns:a16="http://schemas.microsoft.com/office/drawing/2014/main" id="{00000000-0008-0000-1600-000079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22" name="2432 CuadroTexto">
          <a:extLst>
            <a:ext uri="{FF2B5EF4-FFF2-40B4-BE49-F238E27FC236}">
              <a16:creationId xmlns:a16="http://schemas.microsoft.com/office/drawing/2014/main" id="{00000000-0008-0000-1600-00007A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23" name="2433 CuadroTexto">
          <a:extLst>
            <a:ext uri="{FF2B5EF4-FFF2-40B4-BE49-F238E27FC236}">
              <a16:creationId xmlns:a16="http://schemas.microsoft.com/office/drawing/2014/main" id="{00000000-0008-0000-1600-00007B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24" name="2434 CuadroTexto">
          <a:extLst>
            <a:ext uri="{FF2B5EF4-FFF2-40B4-BE49-F238E27FC236}">
              <a16:creationId xmlns:a16="http://schemas.microsoft.com/office/drawing/2014/main" id="{00000000-0008-0000-1600-00007C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25" name="2584 CuadroTexto">
          <a:extLst>
            <a:ext uri="{FF2B5EF4-FFF2-40B4-BE49-F238E27FC236}">
              <a16:creationId xmlns:a16="http://schemas.microsoft.com/office/drawing/2014/main" id="{00000000-0008-0000-1600-00007D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26" name="2585 CuadroTexto">
          <a:extLst>
            <a:ext uri="{FF2B5EF4-FFF2-40B4-BE49-F238E27FC236}">
              <a16:creationId xmlns:a16="http://schemas.microsoft.com/office/drawing/2014/main" id="{00000000-0008-0000-1600-00007E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27" name="2586 CuadroTexto">
          <a:extLst>
            <a:ext uri="{FF2B5EF4-FFF2-40B4-BE49-F238E27FC236}">
              <a16:creationId xmlns:a16="http://schemas.microsoft.com/office/drawing/2014/main" id="{00000000-0008-0000-1600-00007F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28" name="2587 CuadroTexto">
          <a:extLst>
            <a:ext uri="{FF2B5EF4-FFF2-40B4-BE49-F238E27FC236}">
              <a16:creationId xmlns:a16="http://schemas.microsoft.com/office/drawing/2014/main" id="{00000000-0008-0000-1600-000080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29" name="2588 CuadroTexto">
          <a:extLst>
            <a:ext uri="{FF2B5EF4-FFF2-40B4-BE49-F238E27FC236}">
              <a16:creationId xmlns:a16="http://schemas.microsoft.com/office/drawing/2014/main" id="{00000000-0008-0000-1600-000081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30" name="2589 CuadroTexto">
          <a:extLst>
            <a:ext uri="{FF2B5EF4-FFF2-40B4-BE49-F238E27FC236}">
              <a16:creationId xmlns:a16="http://schemas.microsoft.com/office/drawing/2014/main" id="{00000000-0008-0000-1600-000082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31" name="240 CuadroTexto">
          <a:extLst>
            <a:ext uri="{FF2B5EF4-FFF2-40B4-BE49-F238E27FC236}">
              <a16:creationId xmlns:a16="http://schemas.microsoft.com/office/drawing/2014/main" id="{00000000-0008-0000-1600-000083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32" name="241 CuadroTexto">
          <a:extLst>
            <a:ext uri="{FF2B5EF4-FFF2-40B4-BE49-F238E27FC236}">
              <a16:creationId xmlns:a16="http://schemas.microsoft.com/office/drawing/2014/main" id="{00000000-0008-0000-1600-000084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33" name="246 CuadroTexto">
          <a:extLst>
            <a:ext uri="{FF2B5EF4-FFF2-40B4-BE49-F238E27FC236}">
              <a16:creationId xmlns:a16="http://schemas.microsoft.com/office/drawing/2014/main" id="{00000000-0008-0000-1600-000085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34" name="247 CuadroTexto">
          <a:extLst>
            <a:ext uri="{FF2B5EF4-FFF2-40B4-BE49-F238E27FC236}">
              <a16:creationId xmlns:a16="http://schemas.microsoft.com/office/drawing/2014/main" id="{00000000-0008-0000-1600-000086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35" name="248 CuadroTexto">
          <a:extLst>
            <a:ext uri="{FF2B5EF4-FFF2-40B4-BE49-F238E27FC236}">
              <a16:creationId xmlns:a16="http://schemas.microsoft.com/office/drawing/2014/main" id="{00000000-0008-0000-1600-000087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36" name="249 CuadroTexto">
          <a:extLst>
            <a:ext uri="{FF2B5EF4-FFF2-40B4-BE49-F238E27FC236}">
              <a16:creationId xmlns:a16="http://schemas.microsoft.com/office/drawing/2014/main" id="{00000000-0008-0000-1600-000088000000}"/>
            </a:ext>
          </a:extLst>
        </xdr:cNvPr>
        <xdr:cNvSpPr txBox="1"/>
      </xdr:nvSpPr>
      <xdr:spPr>
        <a:xfrm>
          <a:off x="398502" y="10966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37" name="2584 CuadroTexto">
          <a:extLst>
            <a:ext uri="{FF2B5EF4-FFF2-40B4-BE49-F238E27FC236}">
              <a16:creationId xmlns:a16="http://schemas.microsoft.com/office/drawing/2014/main" id="{00000000-0008-0000-1600-000089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38" name="2585 CuadroTexto">
          <a:extLst>
            <a:ext uri="{FF2B5EF4-FFF2-40B4-BE49-F238E27FC236}">
              <a16:creationId xmlns:a16="http://schemas.microsoft.com/office/drawing/2014/main" id="{00000000-0008-0000-1600-00008A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39" name="2586 CuadroTexto">
          <a:extLst>
            <a:ext uri="{FF2B5EF4-FFF2-40B4-BE49-F238E27FC236}">
              <a16:creationId xmlns:a16="http://schemas.microsoft.com/office/drawing/2014/main" id="{00000000-0008-0000-1600-00008B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40" name="2587 CuadroTexto">
          <a:extLst>
            <a:ext uri="{FF2B5EF4-FFF2-40B4-BE49-F238E27FC236}">
              <a16:creationId xmlns:a16="http://schemas.microsoft.com/office/drawing/2014/main" id="{00000000-0008-0000-1600-00008C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41" name="2588 CuadroTexto">
          <a:extLst>
            <a:ext uri="{FF2B5EF4-FFF2-40B4-BE49-F238E27FC236}">
              <a16:creationId xmlns:a16="http://schemas.microsoft.com/office/drawing/2014/main" id="{00000000-0008-0000-1600-00008D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42" name="2589 CuadroTexto">
          <a:extLst>
            <a:ext uri="{FF2B5EF4-FFF2-40B4-BE49-F238E27FC236}">
              <a16:creationId xmlns:a16="http://schemas.microsoft.com/office/drawing/2014/main" id="{00000000-0008-0000-1600-00008E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43" name="240 CuadroTexto">
          <a:extLst>
            <a:ext uri="{FF2B5EF4-FFF2-40B4-BE49-F238E27FC236}">
              <a16:creationId xmlns:a16="http://schemas.microsoft.com/office/drawing/2014/main" id="{00000000-0008-0000-1600-00008F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44" name="241 CuadroTexto">
          <a:extLst>
            <a:ext uri="{FF2B5EF4-FFF2-40B4-BE49-F238E27FC236}">
              <a16:creationId xmlns:a16="http://schemas.microsoft.com/office/drawing/2014/main" id="{00000000-0008-0000-1600-000090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45" name="246 CuadroTexto">
          <a:extLst>
            <a:ext uri="{FF2B5EF4-FFF2-40B4-BE49-F238E27FC236}">
              <a16:creationId xmlns:a16="http://schemas.microsoft.com/office/drawing/2014/main" id="{00000000-0008-0000-1600-000091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46" name="247 CuadroTexto">
          <a:extLst>
            <a:ext uri="{FF2B5EF4-FFF2-40B4-BE49-F238E27FC236}">
              <a16:creationId xmlns:a16="http://schemas.microsoft.com/office/drawing/2014/main" id="{00000000-0008-0000-1600-000092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47" name="248 CuadroTexto">
          <a:extLst>
            <a:ext uri="{FF2B5EF4-FFF2-40B4-BE49-F238E27FC236}">
              <a16:creationId xmlns:a16="http://schemas.microsoft.com/office/drawing/2014/main" id="{00000000-0008-0000-1600-000093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48" name="249 CuadroTexto">
          <a:extLst>
            <a:ext uri="{FF2B5EF4-FFF2-40B4-BE49-F238E27FC236}">
              <a16:creationId xmlns:a16="http://schemas.microsoft.com/office/drawing/2014/main" id="{00000000-0008-0000-1600-000094000000}"/>
            </a:ext>
          </a:extLst>
        </xdr:cNvPr>
        <xdr:cNvSpPr txBox="1"/>
      </xdr:nvSpPr>
      <xdr:spPr>
        <a:xfrm>
          <a:off x="398502" y="10947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49" name="2584 CuadroTexto">
          <a:extLst>
            <a:ext uri="{FF2B5EF4-FFF2-40B4-BE49-F238E27FC236}">
              <a16:creationId xmlns:a16="http://schemas.microsoft.com/office/drawing/2014/main" id="{00000000-0008-0000-1600-000095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50" name="2585 CuadroTexto">
          <a:extLst>
            <a:ext uri="{FF2B5EF4-FFF2-40B4-BE49-F238E27FC236}">
              <a16:creationId xmlns:a16="http://schemas.microsoft.com/office/drawing/2014/main" id="{00000000-0008-0000-1600-000096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51" name="2586 CuadroTexto">
          <a:extLst>
            <a:ext uri="{FF2B5EF4-FFF2-40B4-BE49-F238E27FC236}">
              <a16:creationId xmlns:a16="http://schemas.microsoft.com/office/drawing/2014/main" id="{00000000-0008-0000-1600-000097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52" name="2587 CuadroTexto">
          <a:extLst>
            <a:ext uri="{FF2B5EF4-FFF2-40B4-BE49-F238E27FC236}">
              <a16:creationId xmlns:a16="http://schemas.microsoft.com/office/drawing/2014/main" id="{00000000-0008-0000-1600-000098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53" name="2588 CuadroTexto">
          <a:extLst>
            <a:ext uri="{FF2B5EF4-FFF2-40B4-BE49-F238E27FC236}">
              <a16:creationId xmlns:a16="http://schemas.microsoft.com/office/drawing/2014/main" id="{00000000-0008-0000-1600-000099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54" name="2589 CuadroTexto">
          <a:extLst>
            <a:ext uri="{FF2B5EF4-FFF2-40B4-BE49-F238E27FC236}">
              <a16:creationId xmlns:a16="http://schemas.microsoft.com/office/drawing/2014/main" id="{00000000-0008-0000-1600-00009A000000}"/>
            </a:ext>
          </a:extLst>
        </xdr:cNvPr>
        <xdr:cNvSpPr txBox="1"/>
      </xdr:nvSpPr>
      <xdr:spPr>
        <a:xfrm>
          <a:off x="398502" y="109280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wsDr>
</file>

<file path=xl/drawings/drawing20.xml><?xml version="1.0" encoding="utf-8"?>
<xdr:wsDr xmlns:xdr="http://schemas.openxmlformats.org/drawingml/2006/spreadsheetDrawing" xmlns:a="http://schemas.openxmlformats.org/drawingml/2006/main">
  <xdr:oneCellAnchor>
    <xdr:from>
      <xdr:col>5</xdr:col>
      <xdr:colOff>600075</xdr:colOff>
      <xdr:row>0</xdr:row>
      <xdr:rowOff>76200</xdr:rowOff>
    </xdr:from>
    <xdr:ext cx="1386840" cy="990600"/>
    <xdr:pic>
      <xdr:nvPicPr>
        <xdr:cNvPr id="5" name="Imagen 4">
          <a:extLst>
            <a:ext uri="{FF2B5EF4-FFF2-40B4-BE49-F238E27FC236}">
              <a16:creationId xmlns:a16="http://schemas.microsoft.com/office/drawing/2014/main" id="{00000000-0008-0000-17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334625" y="76200"/>
          <a:ext cx="1386840" cy="990600"/>
        </a:xfrm>
        <a:prstGeom prst="rect">
          <a:avLst/>
        </a:prstGeom>
      </xdr:spPr>
    </xdr:pic>
    <xdr:clientData/>
  </xdr:oneCellAnchor>
  <xdr:oneCellAnchor>
    <xdr:from>
      <xdr:col>0</xdr:col>
      <xdr:colOff>684252</xdr:colOff>
      <xdr:row>25</xdr:row>
      <xdr:rowOff>0</xdr:rowOff>
    </xdr:from>
    <xdr:ext cx="184731" cy="264560"/>
    <xdr:sp macro="" textlink="">
      <xdr:nvSpPr>
        <xdr:cNvPr id="161" name="673 CuadroTexto">
          <a:extLst>
            <a:ext uri="{FF2B5EF4-FFF2-40B4-BE49-F238E27FC236}">
              <a16:creationId xmlns:a16="http://schemas.microsoft.com/office/drawing/2014/main" id="{00000000-0008-0000-1700-0000A1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25</xdr:row>
      <xdr:rowOff>0</xdr:rowOff>
    </xdr:from>
    <xdr:ext cx="184731" cy="264560"/>
    <xdr:sp macro="" textlink="">
      <xdr:nvSpPr>
        <xdr:cNvPr id="162" name="919 CuadroTexto">
          <a:extLst>
            <a:ext uri="{FF2B5EF4-FFF2-40B4-BE49-F238E27FC236}">
              <a16:creationId xmlns:a16="http://schemas.microsoft.com/office/drawing/2014/main" id="{00000000-0008-0000-1700-0000A2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25</xdr:row>
      <xdr:rowOff>0</xdr:rowOff>
    </xdr:from>
    <xdr:ext cx="184731" cy="264560"/>
    <xdr:sp macro="" textlink="">
      <xdr:nvSpPr>
        <xdr:cNvPr id="163" name="921 CuadroTexto">
          <a:extLst>
            <a:ext uri="{FF2B5EF4-FFF2-40B4-BE49-F238E27FC236}">
              <a16:creationId xmlns:a16="http://schemas.microsoft.com/office/drawing/2014/main" id="{00000000-0008-0000-1700-0000A3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25</xdr:row>
      <xdr:rowOff>0</xdr:rowOff>
    </xdr:from>
    <xdr:ext cx="184731" cy="264560"/>
    <xdr:sp macro="" textlink="">
      <xdr:nvSpPr>
        <xdr:cNvPr id="164" name="995 CuadroTexto">
          <a:extLst>
            <a:ext uri="{FF2B5EF4-FFF2-40B4-BE49-F238E27FC236}">
              <a16:creationId xmlns:a16="http://schemas.microsoft.com/office/drawing/2014/main" id="{00000000-0008-0000-1700-0000A4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25</xdr:row>
      <xdr:rowOff>0</xdr:rowOff>
    </xdr:from>
    <xdr:ext cx="184731" cy="264560"/>
    <xdr:sp macro="" textlink="">
      <xdr:nvSpPr>
        <xdr:cNvPr id="165" name="997 CuadroTexto">
          <a:extLst>
            <a:ext uri="{FF2B5EF4-FFF2-40B4-BE49-F238E27FC236}">
              <a16:creationId xmlns:a16="http://schemas.microsoft.com/office/drawing/2014/main" id="{00000000-0008-0000-1700-0000A5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684252</xdr:colOff>
      <xdr:row>25</xdr:row>
      <xdr:rowOff>0</xdr:rowOff>
    </xdr:from>
    <xdr:ext cx="184731" cy="264560"/>
    <xdr:sp macro="" textlink="">
      <xdr:nvSpPr>
        <xdr:cNvPr id="166" name="1940 CuadroTexto">
          <a:extLst>
            <a:ext uri="{FF2B5EF4-FFF2-40B4-BE49-F238E27FC236}">
              <a16:creationId xmlns:a16="http://schemas.microsoft.com/office/drawing/2014/main" id="{00000000-0008-0000-1700-0000A6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67" name="2584 CuadroTexto">
          <a:extLst>
            <a:ext uri="{FF2B5EF4-FFF2-40B4-BE49-F238E27FC236}">
              <a16:creationId xmlns:a16="http://schemas.microsoft.com/office/drawing/2014/main" id="{00000000-0008-0000-1700-0000A7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68" name="2585 CuadroTexto">
          <a:extLst>
            <a:ext uri="{FF2B5EF4-FFF2-40B4-BE49-F238E27FC236}">
              <a16:creationId xmlns:a16="http://schemas.microsoft.com/office/drawing/2014/main" id="{00000000-0008-0000-1700-0000A8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69" name="2586 CuadroTexto">
          <a:extLst>
            <a:ext uri="{FF2B5EF4-FFF2-40B4-BE49-F238E27FC236}">
              <a16:creationId xmlns:a16="http://schemas.microsoft.com/office/drawing/2014/main" id="{00000000-0008-0000-1700-0000A9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70" name="2587 CuadroTexto">
          <a:extLst>
            <a:ext uri="{FF2B5EF4-FFF2-40B4-BE49-F238E27FC236}">
              <a16:creationId xmlns:a16="http://schemas.microsoft.com/office/drawing/2014/main" id="{00000000-0008-0000-1700-0000AA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71" name="2588 CuadroTexto">
          <a:extLst>
            <a:ext uri="{FF2B5EF4-FFF2-40B4-BE49-F238E27FC236}">
              <a16:creationId xmlns:a16="http://schemas.microsoft.com/office/drawing/2014/main" id="{00000000-0008-0000-1700-0000AB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72" name="2589 CuadroTexto">
          <a:extLst>
            <a:ext uri="{FF2B5EF4-FFF2-40B4-BE49-F238E27FC236}">
              <a16:creationId xmlns:a16="http://schemas.microsoft.com/office/drawing/2014/main" id="{00000000-0008-0000-1700-0000AC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73" name="240 CuadroTexto">
          <a:extLst>
            <a:ext uri="{FF2B5EF4-FFF2-40B4-BE49-F238E27FC236}">
              <a16:creationId xmlns:a16="http://schemas.microsoft.com/office/drawing/2014/main" id="{00000000-0008-0000-1700-0000AD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74" name="241 CuadroTexto">
          <a:extLst>
            <a:ext uri="{FF2B5EF4-FFF2-40B4-BE49-F238E27FC236}">
              <a16:creationId xmlns:a16="http://schemas.microsoft.com/office/drawing/2014/main" id="{00000000-0008-0000-1700-0000AE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75" name="246 CuadroTexto">
          <a:extLst>
            <a:ext uri="{FF2B5EF4-FFF2-40B4-BE49-F238E27FC236}">
              <a16:creationId xmlns:a16="http://schemas.microsoft.com/office/drawing/2014/main" id="{00000000-0008-0000-1700-0000AF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76" name="247 CuadroTexto">
          <a:extLst>
            <a:ext uri="{FF2B5EF4-FFF2-40B4-BE49-F238E27FC236}">
              <a16:creationId xmlns:a16="http://schemas.microsoft.com/office/drawing/2014/main" id="{00000000-0008-0000-1700-0000B0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77" name="248 CuadroTexto">
          <a:extLst>
            <a:ext uri="{FF2B5EF4-FFF2-40B4-BE49-F238E27FC236}">
              <a16:creationId xmlns:a16="http://schemas.microsoft.com/office/drawing/2014/main" id="{00000000-0008-0000-1700-0000B1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78" name="249 CuadroTexto">
          <a:extLst>
            <a:ext uri="{FF2B5EF4-FFF2-40B4-BE49-F238E27FC236}">
              <a16:creationId xmlns:a16="http://schemas.microsoft.com/office/drawing/2014/main" id="{00000000-0008-0000-1700-0000B2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684252</xdr:colOff>
      <xdr:row>25</xdr:row>
      <xdr:rowOff>0</xdr:rowOff>
    </xdr:from>
    <xdr:ext cx="184731" cy="264560"/>
    <xdr:sp macro="" textlink="">
      <xdr:nvSpPr>
        <xdr:cNvPr id="179" name="673 CuadroTexto">
          <a:extLst>
            <a:ext uri="{FF2B5EF4-FFF2-40B4-BE49-F238E27FC236}">
              <a16:creationId xmlns:a16="http://schemas.microsoft.com/office/drawing/2014/main" id="{00000000-0008-0000-1700-0000B3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25</xdr:row>
      <xdr:rowOff>0</xdr:rowOff>
    </xdr:from>
    <xdr:ext cx="184731" cy="264560"/>
    <xdr:sp macro="" textlink="">
      <xdr:nvSpPr>
        <xdr:cNvPr id="180" name="919 CuadroTexto">
          <a:extLst>
            <a:ext uri="{FF2B5EF4-FFF2-40B4-BE49-F238E27FC236}">
              <a16:creationId xmlns:a16="http://schemas.microsoft.com/office/drawing/2014/main" id="{00000000-0008-0000-1700-0000B4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25</xdr:row>
      <xdr:rowOff>0</xdr:rowOff>
    </xdr:from>
    <xdr:ext cx="184731" cy="264560"/>
    <xdr:sp macro="" textlink="">
      <xdr:nvSpPr>
        <xdr:cNvPr id="181" name="921 CuadroTexto">
          <a:extLst>
            <a:ext uri="{FF2B5EF4-FFF2-40B4-BE49-F238E27FC236}">
              <a16:creationId xmlns:a16="http://schemas.microsoft.com/office/drawing/2014/main" id="{00000000-0008-0000-1700-0000B5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25</xdr:row>
      <xdr:rowOff>0</xdr:rowOff>
    </xdr:from>
    <xdr:ext cx="184731" cy="264560"/>
    <xdr:sp macro="" textlink="">
      <xdr:nvSpPr>
        <xdr:cNvPr id="182" name="995 CuadroTexto">
          <a:extLst>
            <a:ext uri="{FF2B5EF4-FFF2-40B4-BE49-F238E27FC236}">
              <a16:creationId xmlns:a16="http://schemas.microsoft.com/office/drawing/2014/main" id="{00000000-0008-0000-1700-0000B6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25</xdr:row>
      <xdr:rowOff>0</xdr:rowOff>
    </xdr:from>
    <xdr:ext cx="184731" cy="264560"/>
    <xdr:sp macro="" textlink="">
      <xdr:nvSpPr>
        <xdr:cNvPr id="183" name="997 CuadroTexto">
          <a:extLst>
            <a:ext uri="{FF2B5EF4-FFF2-40B4-BE49-F238E27FC236}">
              <a16:creationId xmlns:a16="http://schemas.microsoft.com/office/drawing/2014/main" id="{00000000-0008-0000-1700-0000B7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684252</xdr:colOff>
      <xdr:row>25</xdr:row>
      <xdr:rowOff>0</xdr:rowOff>
    </xdr:from>
    <xdr:ext cx="184731" cy="264560"/>
    <xdr:sp macro="" textlink="">
      <xdr:nvSpPr>
        <xdr:cNvPr id="184" name="1940 CuadroTexto">
          <a:extLst>
            <a:ext uri="{FF2B5EF4-FFF2-40B4-BE49-F238E27FC236}">
              <a16:creationId xmlns:a16="http://schemas.microsoft.com/office/drawing/2014/main" id="{00000000-0008-0000-1700-0000B8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85" name="2584 CuadroTexto">
          <a:extLst>
            <a:ext uri="{FF2B5EF4-FFF2-40B4-BE49-F238E27FC236}">
              <a16:creationId xmlns:a16="http://schemas.microsoft.com/office/drawing/2014/main" id="{00000000-0008-0000-1700-0000B9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86" name="2585 CuadroTexto">
          <a:extLst>
            <a:ext uri="{FF2B5EF4-FFF2-40B4-BE49-F238E27FC236}">
              <a16:creationId xmlns:a16="http://schemas.microsoft.com/office/drawing/2014/main" id="{00000000-0008-0000-1700-0000BA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87" name="2586 CuadroTexto">
          <a:extLst>
            <a:ext uri="{FF2B5EF4-FFF2-40B4-BE49-F238E27FC236}">
              <a16:creationId xmlns:a16="http://schemas.microsoft.com/office/drawing/2014/main" id="{00000000-0008-0000-1700-0000BB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88" name="2587 CuadroTexto">
          <a:extLst>
            <a:ext uri="{FF2B5EF4-FFF2-40B4-BE49-F238E27FC236}">
              <a16:creationId xmlns:a16="http://schemas.microsoft.com/office/drawing/2014/main" id="{00000000-0008-0000-1700-0000BC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89" name="2588 CuadroTexto">
          <a:extLst>
            <a:ext uri="{FF2B5EF4-FFF2-40B4-BE49-F238E27FC236}">
              <a16:creationId xmlns:a16="http://schemas.microsoft.com/office/drawing/2014/main" id="{00000000-0008-0000-1700-0000BD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90" name="2589 CuadroTexto">
          <a:extLst>
            <a:ext uri="{FF2B5EF4-FFF2-40B4-BE49-F238E27FC236}">
              <a16:creationId xmlns:a16="http://schemas.microsoft.com/office/drawing/2014/main" id="{00000000-0008-0000-1700-0000BE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91" name="240 CuadroTexto">
          <a:extLst>
            <a:ext uri="{FF2B5EF4-FFF2-40B4-BE49-F238E27FC236}">
              <a16:creationId xmlns:a16="http://schemas.microsoft.com/office/drawing/2014/main" id="{00000000-0008-0000-1700-0000BF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92" name="241 CuadroTexto">
          <a:extLst>
            <a:ext uri="{FF2B5EF4-FFF2-40B4-BE49-F238E27FC236}">
              <a16:creationId xmlns:a16="http://schemas.microsoft.com/office/drawing/2014/main" id="{00000000-0008-0000-1700-0000C0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93" name="246 CuadroTexto">
          <a:extLst>
            <a:ext uri="{FF2B5EF4-FFF2-40B4-BE49-F238E27FC236}">
              <a16:creationId xmlns:a16="http://schemas.microsoft.com/office/drawing/2014/main" id="{00000000-0008-0000-1700-0000C1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94" name="247 CuadroTexto">
          <a:extLst>
            <a:ext uri="{FF2B5EF4-FFF2-40B4-BE49-F238E27FC236}">
              <a16:creationId xmlns:a16="http://schemas.microsoft.com/office/drawing/2014/main" id="{00000000-0008-0000-1700-0000C2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95" name="248 CuadroTexto">
          <a:extLst>
            <a:ext uri="{FF2B5EF4-FFF2-40B4-BE49-F238E27FC236}">
              <a16:creationId xmlns:a16="http://schemas.microsoft.com/office/drawing/2014/main" id="{00000000-0008-0000-1700-0000C3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96" name="249 CuadroTexto">
          <a:extLst>
            <a:ext uri="{FF2B5EF4-FFF2-40B4-BE49-F238E27FC236}">
              <a16:creationId xmlns:a16="http://schemas.microsoft.com/office/drawing/2014/main" id="{00000000-0008-0000-1700-0000C4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97" name="2429 CuadroTexto">
          <a:extLst>
            <a:ext uri="{FF2B5EF4-FFF2-40B4-BE49-F238E27FC236}">
              <a16:creationId xmlns:a16="http://schemas.microsoft.com/office/drawing/2014/main" id="{00000000-0008-0000-1700-0000C5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98" name="2430 CuadroTexto">
          <a:extLst>
            <a:ext uri="{FF2B5EF4-FFF2-40B4-BE49-F238E27FC236}">
              <a16:creationId xmlns:a16="http://schemas.microsoft.com/office/drawing/2014/main" id="{00000000-0008-0000-1700-0000C6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199" name="2431 CuadroTexto">
          <a:extLst>
            <a:ext uri="{FF2B5EF4-FFF2-40B4-BE49-F238E27FC236}">
              <a16:creationId xmlns:a16="http://schemas.microsoft.com/office/drawing/2014/main" id="{00000000-0008-0000-1700-0000C7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200" name="2432 CuadroTexto">
          <a:extLst>
            <a:ext uri="{FF2B5EF4-FFF2-40B4-BE49-F238E27FC236}">
              <a16:creationId xmlns:a16="http://schemas.microsoft.com/office/drawing/2014/main" id="{00000000-0008-0000-1700-0000C8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201" name="2433 CuadroTexto">
          <a:extLst>
            <a:ext uri="{FF2B5EF4-FFF2-40B4-BE49-F238E27FC236}">
              <a16:creationId xmlns:a16="http://schemas.microsoft.com/office/drawing/2014/main" id="{00000000-0008-0000-1700-0000C9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202" name="2434 CuadroTexto">
          <a:extLst>
            <a:ext uri="{FF2B5EF4-FFF2-40B4-BE49-F238E27FC236}">
              <a16:creationId xmlns:a16="http://schemas.microsoft.com/office/drawing/2014/main" id="{00000000-0008-0000-1700-0000CA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03" name="2584 CuadroTexto">
          <a:extLst>
            <a:ext uri="{FF2B5EF4-FFF2-40B4-BE49-F238E27FC236}">
              <a16:creationId xmlns:a16="http://schemas.microsoft.com/office/drawing/2014/main" id="{00000000-0008-0000-1700-0000CB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04" name="2585 CuadroTexto">
          <a:extLst>
            <a:ext uri="{FF2B5EF4-FFF2-40B4-BE49-F238E27FC236}">
              <a16:creationId xmlns:a16="http://schemas.microsoft.com/office/drawing/2014/main" id="{00000000-0008-0000-1700-0000CC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05" name="2586 CuadroTexto">
          <a:extLst>
            <a:ext uri="{FF2B5EF4-FFF2-40B4-BE49-F238E27FC236}">
              <a16:creationId xmlns:a16="http://schemas.microsoft.com/office/drawing/2014/main" id="{00000000-0008-0000-1700-0000CD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06" name="2587 CuadroTexto">
          <a:extLst>
            <a:ext uri="{FF2B5EF4-FFF2-40B4-BE49-F238E27FC236}">
              <a16:creationId xmlns:a16="http://schemas.microsoft.com/office/drawing/2014/main" id="{00000000-0008-0000-1700-0000CE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07" name="2588 CuadroTexto">
          <a:extLst>
            <a:ext uri="{FF2B5EF4-FFF2-40B4-BE49-F238E27FC236}">
              <a16:creationId xmlns:a16="http://schemas.microsoft.com/office/drawing/2014/main" id="{00000000-0008-0000-1700-0000CF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08" name="2589 CuadroTexto">
          <a:extLst>
            <a:ext uri="{FF2B5EF4-FFF2-40B4-BE49-F238E27FC236}">
              <a16:creationId xmlns:a16="http://schemas.microsoft.com/office/drawing/2014/main" id="{00000000-0008-0000-1700-0000D0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09" name="240 CuadroTexto">
          <a:extLst>
            <a:ext uri="{FF2B5EF4-FFF2-40B4-BE49-F238E27FC236}">
              <a16:creationId xmlns:a16="http://schemas.microsoft.com/office/drawing/2014/main" id="{00000000-0008-0000-1700-0000D1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10" name="241 CuadroTexto">
          <a:extLst>
            <a:ext uri="{FF2B5EF4-FFF2-40B4-BE49-F238E27FC236}">
              <a16:creationId xmlns:a16="http://schemas.microsoft.com/office/drawing/2014/main" id="{00000000-0008-0000-1700-0000D2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11" name="246 CuadroTexto">
          <a:extLst>
            <a:ext uri="{FF2B5EF4-FFF2-40B4-BE49-F238E27FC236}">
              <a16:creationId xmlns:a16="http://schemas.microsoft.com/office/drawing/2014/main" id="{00000000-0008-0000-1700-0000D3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12" name="247 CuadroTexto">
          <a:extLst>
            <a:ext uri="{FF2B5EF4-FFF2-40B4-BE49-F238E27FC236}">
              <a16:creationId xmlns:a16="http://schemas.microsoft.com/office/drawing/2014/main" id="{00000000-0008-0000-1700-0000D4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13" name="248 CuadroTexto">
          <a:extLst>
            <a:ext uri="{FF2B5EF4-FFF2-40B4-BE49-F238E27FC236}">
              <a16:creationId xmlns:a16="http://schemas.microsoft.com/office/drawing/2014/main" id="{00000000-0008-0000-1700-0000D5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14" name="249 CuadroTexto">
          <a:extLst>
            <a:ext uri="{FF2B5EF4-FFF2-40B4-BE49-F238E27FC236}">
              <a16:creationId xmlns:a16="http://schemas.microsoft.com/office/drawing/2014/main" id="{00000000-0008-0000-1700-0000D6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15" name="2429 CuadroTexto">
          <a:extLst>
            <a:ext uri="{FF2B5EF4-FFF2-40B4-BE49-F238E27FC236}">
              <a16:creationId xmlns:a16="http://schemas.microsoft.com/office/drawing/2014/main" id="{00000000-0008-0000-1700-0000D7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16" name="2430 CuadroTexto">
          <a:extLst>
            <a:ext uri="{FF2B5EF4-FFF2-40B4-BE49-F238E27FC236}">
              <a16:creationId xmlns:a16="http://schemas.microsoft.com/office/drawing/2014/main" id="{00000000-0008-0000-1700-0000D8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17" name="2431 CuadroTexto">
          <a:extLst>
            <a:ext uri="{FF2B5EF4-FFF2-40B4-BE49-F238E27FC236}">
              <a16:creationId xmlns:a16="http://schemas.microsoft.com/office/drawing/2014/main" id="{00000000-0008-0000-1700-0000D9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18" name="2432 CuadroTexto">
          <a:extLst>
            <a:ext uri="{FF2B5EF4-FFF2-40B4-BE49-F238E27FC236}">
              <a16:creationId xmlns:a16="http://schemas.microsoft.com/office/drawing/2014/main" id="{00000000-0008-0000-1700-0000DA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19" name="2433 CuadroTexto">
          <a:extLst>
            <a:ext uri="{FF2B5EF4-FFF2-40B4-BE49-F238E27FC236}">
              <a16:creationId xmlns:a16="http://schemas.microsoft.com/office/drawing/2014/main" id="{00000000-0008-0000-1700-0000DB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20" name="2434 CuadroTexto">
          <a:extLst>
            <a:ext uri="{FF2B5EF4-FFF2-40B4-BE49-F238E27FC236}">
              <a16:creationId xmlns:a16="http://schemas.microsoft.com/office/drawing/2014/main" id="{00000000-0008-0000-1700-0000DC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21" name="2584 CuadroTexto">
          <a:extLst>
            <a:ext uri="{FF2B5EF4-FFF2-40B4-BE49-F238E27FC236}">
              <a16:creationId xmlns:a16="http://schemas.microsoft.com/office/drawing/2014/main" id="{00000000-0008-0000-1700-0000DD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22" name="2585 CuadroTexto">
          <a:extLst>
            <a:ext uri="{FF2B5EF4-FFF2-40B4-BE49-F238E27FC236}">
              <a16:creationId xmlns:a16="http://schemas.microsoft.com/office/drawing/2014/main" id="{00000000-0008-0000-1700-0000DE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23" name="2586 CuadroTexto">
          <a:extLst>
            <a:ext uri="{FF2B5EF4-FFF2-40B4-BE49-F238E27FC236}">
              <a16:creationId xmlns:a16="http://schemas.microsoft.com/office/drawing/2014/main" id="{00000000-0008-0000-1700-0000DF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24" name="2587 CuadroTexto">
          <a:extLst>
            <a:ext uri="{FF2B5EF4-FFF2-40B4-BE49-F238E27FC236}">
              <a16:creationId xmlns:a16="http://schemas.microsoft.com/office/drawing/2014/main" id="{00000000-0008-0000-1700-0000E0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25" name="2588 CuadroTexto">
          <a:extLst>
            <a:ext uri="{FF2B5EF4-FFF2-40B4-BE49-F238E27FC236}">
              <a16:creationId xmlns:a16="http://schemas.microsoft.com/office/drawing/2014/main" id="{00000000-0008-0000-1700-0000E1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26" name="2589 CuadroTexto">
          <a:extLst>
            <a:ext uri="{FF2B5EF4-FFF2-40B4-BE49-F238E27FC236}">
              <a16:creationId xmlns:a16="http://schemas.microsoft.com/office/drawing/2014/main" id="{00000000-0008-0000-1700-0000E2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27" name="240 CuadroTexto">
          <a:extLst>
            <a:ext uri="{FF2B5EF4-FFF2-40B4-BE49-F238E27FC236}">
              <a16:creationId xmlns:a16="http://schemas.microsoft.com/office/drawing/2014/main" id="{00000000-0008-0000-1700-0000E3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28" name="241 CuadroTexto">
          <a:extLst>
            <a:ext uri="{FF2B5EF4-FFF2-40B4-BE49-F238E27FC236}">
              <a16:creationId xmlns:a16="http://schemas.microsoft.com/office/drawing/2014/main" id="{00000000-0008-0000-1700-0000E4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29" name="246 CuadroTexto">
          <a:extLst>
            <a:ext uri="{FF2B5EF4-FFF2-40B4-BE49-F238E27FC236}">
              <a16:creationId xmlns:a16="http://schemas.microsoft.com/office/drawing/2014/main" id="{00000000-0008-0000-1700-0000E5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30" name="247 CuadroTexto">
          <a:extLst>
            <a:ext uri="{FF2B5EF4-FFF2-40B4-BE49-F238E27FC236}">
              <a16:creationId xmlns:a16="http://schemas.microsoft.com/office/drawing/2014/main" id="{00000000-0008-0000-1700-0000E6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31" name="248 CuadroTexto">
          <a:extLst>
            <a:ext uri="{FF2B5EF4-FFF2-40B4-BE49-F238E27FC236}">
              <a16:creationId xmlns:a16="http://schemas.microsoft.com/office/drawing/2014/main" id="{00000000-0008-0000-1700-0000E7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32" name="249 CuadroTexto">
          <a:extLst>
            <a:ext uri="{FF2B5EF4-FFF2-40B4-BE49-F238E27FC236}">
              <a16:creationId xmlns:a16="http://schemas.microsoft.com/office/drawing/2014/main" id="{00000000-0008-0000-1700-0000E800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684252</xdr:colOff>
      <xdr:row>27</xdr:row>
      <xdr:rowOff>0</xdr:rowOff>
    </xdr:from>
    <xdr:ext cx="184731" cy="264560"/>
    <xdr:sp macro="" textlink="">
      <xdr:nvSpPr>
        <xdr:cNvPr id="233" name="673 CuadroTexto">
          <a:extLst>
            <a:ext uri="{FF2B5EF4-FFF2-40B4-BE49-F238E27FC236}">
              <a16:creationId xmlns:a16="http://schemas.microsoft.com/office/drawing/2014/main" id="{00000000-0008-0000-1700-0000E900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27</xdr:row>
      <xdr:rowOff>0</xdr:rowOff>
    </xdr:from>
    <xdr:ext cx="184731" cy="264560"/>
    <xdr:sp macro="" textlink="">
      <xdr:nvSpPr>
        <xdr:cNvPr id="234" name="919 CuadroTexto">
          <a:extLst>
            <a:ext uri="{FF2B5EF4-FFF2-40B4-BE49-F238E27FC236}">
              <a16:creationId xmlns:a16="http://schemas.microsoft.com/office/drawing/2014/main" id="{00000000-0008-0000-1700-0000EA00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27</xdr:row>
      <xdr:rowOff>0</xdr:rowOff>
    </xdr:from>
    <xdr:ext cx="184731" cy="264560"/>
    <xdr:sp macro="" textlink="">
      <xdr:nvSpPr>
        <xdr:cNvPr id="235" name="921 CuadroTexto">
          <a:extLst>
            <a:ext uri="{FF2B5EF4-FFF2-40B4-BE49-F238E27FC236}">
              <a16:creationId xmlns:a16="http://schemas.microsoft.com/office/drawing/2014/main" id="{00000000-0008-0000-1700-0000EB00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27</xdr:row>
      <xdr:rowOff>0</xdr:rowOff>
    </xdr:from>
    <xdr:ext cx="184731" cy="264560"/>
    <xdr:sp macro="" textlink="">
      <xdr:nvSpPr>
        <xdr:cNvPr id="236" name="995 CuadroTexto">
          <a:extLst>
            <a:ext uri="{FF2B5EF4-FFF2-40B4-BE49-F238E27FC236}">
              <a16:creationId xmlns:a16="http://schemas.microsoft.com/office/drawing/2014/main" id="{00000000-0008-0000-1700-0000EC00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684252</xdr:colOff>
      <xdr:row>27</xdr:row>
      <xdr:rowOff>0</xdr:rowOff>
    </xdr:from>
    <xdr:ext cx="184731" cy="264560"/>
    <xdr:sp macro="" textlink="">
      <xdr:nvSpPr>
        <xdr:cNvPr id="237" name="1940 CuadroTexto">
          <a:extLst>
            <a:ext uri="{FF2B5EF4-FFF2-40B4-BE49-F238E27FC236}">
              <a16:creationId xmlns:a16="http://schemas.microsoft.com/office/drawing/2014/main" id="{00000000-0008-0000-1700-0000ED00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38" name="2584 CuadroTexto">
          <a:extLst>
            <a:ext uri="{FF2B5EF4-FFF2-40B4-BE49-F238E27FC236}">
              <a16:creationId xmlns:a16="http://schemas.microsoft.com/office/drawing/2014/main" id="{00000000-0008-0000-1700-0000EE00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39" name="2585 CuadroTexto">
          <a:extLst>
            <a:ext uri="{FF2B5EF4-FFF2-40B4-BE49-F238E27FC236}">
              <a16:creationId xmlns:a16="http://schemas.microsoft.com/office/drawing/2014/main" id="{00000000-0008-0000-1700-0000EF00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40" name="2586 CuadroTexto">
          <a:extLst>
            <a:ext uri="{FF2B5EF4-FFF2-40B4-BE49-F238E27FC236}">
              <a16:creationId xmlns:a16="http://schemas.microsoft.com/office/drawing/2014/main" id="{00000000-0008-0000-1700-0000F000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41" name="2587 CuadroTexto">
          <a:extLst>
            <a:ext uri="{FF2B5EF4-FFF2-40B4-BE49-F238E27FC236}">
              <a16:creationId xmlns:a16="http://schemas.microsoft.com/office/drawing/2014/main" id="{00000000-0008-0000-1700-0000F100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42" name="2588 CuadroTexto">
          <a:extLst>
            <a:ext uri="{FF2B5EF4-FFF2-40B4-BE49-F238E27FC236}">
              <a16:creationId xmlns:a16="http://schemas.microsoft.com/office/drawing/2014/main" id="{00000000-0008-0000-1700-0000F200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43" name="2589 CuadroTexto">
          <a:extLst>
            <a:ext uri="{FF2B5EF4-FFF2-40B4-BE49-F238E27FC236}">
              <a16:creationId xmlns:a16="http://schemas.microsoft.com/office/drawing/2014/main" id="{00000000-0008-0000-1700-0000F300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44" name="240 CuadroTexto">
          <a:extLst>
            <a:ext uri="{FF2B5EF4-FFF2-40B4-BE49-F238E27FC236}">
              <a16:creationId xmlns:a16="http://schemas.microsoft.com/office/drawing/2014/main" id="{00000000-0008-0000-1700-0000F400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45" name="241 CuadroTexto">
          <a:extLst>
            <a:ext uri="{FF2B5EF4-FFF2-40B4-BE49-F238E27FC236}">
              <a16:creationId xmlns:a16="http://schemas.microsoft.com/office/drawing/2014/main" id="{00000000-0008-0000-1700-0000F500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46" name="246 CuadroTexto">
          <a:extLst>
            <a:ext uri="{FF2B5EF4-FFF2-40B4-BE49-F238E27FC236}">
              <a16:creationId xmlns:a16="http://schemas.microsoft.com/office/drawing/2014/main" id="{00000000-0008-0000-1700-0000F600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247" name="2584 CuadroTexto">
          <a:extLst>
            <a:ext uri="{FF2B5EF4-FFF2-40B4-BE49-F238E27FC236}">
              <a16:creationId xmlns:a16="http://schemas.microsoft.com/office/drawing/2014/main" id="{00000000-0008-0000-1700-0000F7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248" name="2585 CuadroTexto">
          <a:extLst>
            <a:ext uri="{FF2B5EF4-FFF2-40B4-BE49-F238E27FC236}">
              <a16:creationId xmlns:a16="http://schemas.microsoft.com/office/drawing/2014/main" id="{00000000-0008-0000-1700-0000F8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249" name="2586 CuadroTexto">
          <a:extLst>
            <a:ext uri="{FF2B5EF4-FFF2-40B4-BE49-F238E27FC236}">
              <a16:creationId xmlns:a16="http://schemas.microsoft.com/office/drawing/2014/main" id="{00000000-0008-0000-1700-0000F9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250" name="2587 CuadroTexto">
          <a:extLst>
            <a:ext uri="{FF2B5EF4-FFF2-40B4-BE49-F238E27FC236}">
              <a16:creationId xmlns:a16="http://schemas.microsoft.com/office/drawing/2014/main" id="{00000000-0008-0000-1700-0000FA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251" name="2588 CuadroTexto">
          <a:extLst>
            <a:ext uri="{FF2B5EF4-FFF2-40B4-BE49-F238E27FC236}">
              <a16:creationId xmlns:a16="http://schemas.microsoft.com/office/drawing/2014/main" id="{00000000-0008-0000-1700-0000FB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252" name="2589 CuadroTexto">
          <a:extLst>
            <a:ext uri="{FF2B5EF4-FFF2-40B4-BE49-F238E27FC236}">
              <a16:creationId xmlns:a16="http://schemas.microsoft.com/office/drawing/2014/main" id="{00000000-0008-0000-1700-0000FC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253" name="240 CuadroTexto">
          <a:extLst>
            <a:ext uri="{FF2B5EF4-FFF2-40B4-BE49-F238E27FC236}">
              <a16:creationId xmlns:a16="http://schemas.microsoft.com/office/drawing/2014/main" id="{00000000-0008-0000-1700-0000FD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254" name="241 CuadroTexto">
          <a:extLst>
            <a:ext uri="{FF2B5EF4-FFF2-40B4-BE49-F238E27FC236}">
              <a16:creationId xmlns:a16="http://schemas.microsoft.com/office/drawing/2014/main" id="{00000000-0008-0000-1700-0000FE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255" name="246 CuadroTexto">
          <a:extLst>
            <a:ext uri="{FF2B5EF4-FFF2-40B4-BE49-F238E27FC236}">
              <a16:creationId xmlns:a16="http://schemas.microsoft.com/office/drawing/2014/main" id="{00000000-0008-0000-1700-0000FF00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256" name="247 CuadroTexto">
          <a:extLst>
            <a:ext uri="{FF2B5EF4-FFF2-40B4-BE49-F238E27FC236}">
              <a16:creationId xmlns:a16="http://schemas.microsoft.com/office/drawing/2014/main" id="{00000000-0008-0000-1700-00000001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257" name="248 CuadroTexto">
          <a:extLst>
            <a:ext uri="{FF2B5EF4-FFF2-40B4-BE49-F238E27FC236}">
              <a16:creationId xmlns:a16="http://schemas.microsoft.com/office/drawing/2014/main" id="{00000000-0008-0000-1700-00000101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258" name="249 CuadroTexto">
          <a:extLst>
            <a:ext uri="{FF2B5EF4-FFF2-40B4-BE49-F238E27FC236}">
              <a16:creationId xmlns:a16="http://schemas.microsoft.com/office/drawing/2014/main" id="{00000000-0008-0000-1700-00000201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59" name="2429 CuadroTexto">
          <a:extLst>
            <a:ext uri="{FF2B5EF4-FFF2-40B4-BE49-F238E27FC236}">
              <a16:creationId xmlns:a16="http://schemas.microsoft.com/office/drawing/2014/main" id="{00000000-0008-0000-1700-000003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60" name="2430 CuadroTexto">
          <a:extLst>
            <a:ext uri="{FF2B5EF4-FFF2-40B4-BE49-F238E27FC236}">
              <a16:creationId xmlns:a16="http://schemas.microsoft.com/office/drawing/2014/main" id="{00000000-0008-0000-1700-000004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61" name="2431 CuadroTexto">
          <a:extLst>
            <a:ext uri="{FF2B5EF4-FFF2-40B4-BE49-F238E27FC236}">
              <a16:creationId xmlns:a16="http://schemas.microsoft.com/office/drawing/2014/main" id="{00000000-0008-0000-1700-000005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62" name="2432 CuadroTexto">
          <a:extLst>
            <a:ext uri="{FF2B5EF4-FFF2-40B4-BE49-F238E27FC236}">
              <a16:creationId xmlns:a16="http://schemas.microsoft.com/office/drawing/2014/main" id="{00000000-0008-0000-1700-000006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63" name="2433 CuadroTexto">
          <a:extLst>
            <a:ext uri="{FF2B5EF4-FFF2-40B4-BE49-F238E27FC236}">
              <a16:creationId xmlns:a16="http://schemas.microsoft.com/office/drawing/2014/main" id="{00000000-0008-0000-1700-000007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64" name="2434 CuadroTexto">
          <a:extLst>
            <a:ext uri="{FF2B5EF4-FFF2-40B4-BE49-F238E27FC236}">
              <a16:creationId xmlns:a16="http://schemas.microsoft.com/office/drawing/2014/main" id="{00000000-0008-0000-1700-000008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65" name="2584 CuadroTexto">
          <a:extLst>
            <a:ext uri="{FF2B5EF4-FFF2-40B4-BE49-F238E27FC236}">
              <a16:creationId xmlns:a16="http://schemas.microsoft.com/office/drawing/2014/main" id="{00000000-0008-0000-1700-000009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66" name="2585 CuadroTexto">
          <a:extLst>
            <a:ext uri="{FF2B5EF4-FFF2-40B4-BE49-F238E27FC236}">
              <a16:creationId xmlns:a16="http://schemas.microsoft.com/office/drawing/2014/main" id="{00000000-0008-0000-1700-00000A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67" name="2586 CuadroTexto">
          <a:extLst>
            <a:ext uri="{FF2B5EF4-FFF2-40B4-BE49-F238E27FC236}">
              <a16:creationId xmlns:a16="http://schemas.microsoft.com/office/drawing/2014/main" id="{00000000-0008-0000-1700-00000B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68" name="2587 CuadroTexto">
          <a:extLst>
            <a:ext uri="{FF2B5EF4-FFF2-40B4-BE49-F238E27FC236}">
              <a16:creationId xmlns:a16="http://schemas.microsoft.com/office/drawing/2014/main" id="{00000000-0008-0000-1700-00000C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69" name="2588 CuadroTexto">
          <a:extLst>
            <a:ext uri="{FF2B5EF4-FFF2-40B4-BE49-F238E27FC236}">
              <a16:creationId xmlns:a16="http://schemas.microsoft.com/office/drawing/2014/main" id="{00000000-0008-0000-1700-00000D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70" name="2589 CuadroTexto">
          <a:extLst>
            <a:ext uri="{FF2B5EF4-FFF2-40B4-BE49-F238E27FC236}">
              <a16:creationId xmlns:a16="http://schemas.microsoft.com/office/drawing/2014/main" id="{00000000-0008-0000-1700-00000E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71" name="240 CuadroTexto">
          <a:extLst>
            <a:ext uri="{FF2B5EF4-FFF2-40B4-BE49-F238E27FC236}">
              <a16:creationId xmlns:a16="http://schemas.microsoft.com/office/drawing/2014/main" id="{00000000-0008-0000-1700-00000F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72" name="241 CuadroTexto">
          <a:extLst>
            <a:ext uri="{FF2B5EF4-FFF2-40B4-BE49-F238E27FC236}">
              <a16:creationId xmlns:a16="http://schemas.microsoft.com/office/drawing/2014/main" id="{00000000-0008-0000-1700-000010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73" name="246 CuadroTexto">
          <a:extLst>
            <a:ext uri="{FF2B5EF4-FFF2-40B4-BE49-F238E27FC236}">
              <a16:creationId xmlns:a16="http://schemas.microsoft.com/office/drawing/2014/main" id="{00000000-0008-0000-1700-000011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74" name="247 CuadroTexto">
          <a:extLst>
            <a:ext uri="{FF2B5EF4-FFF2-40B4-BE49-F238E27FC236}">
              <a16:creationId xmlns:a16="http://schemas.microsoft.com/office/drawing/2014/main" id="{00000000-0008-0000-1700-000012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75" name="248 CuadroTexto">
          <a:extLst>
            <a:ext uri="{FF2B5EF4-FFF2-40B4-BE49-F238E27FC236}">
              <a16:creationId xmlns:a16="http://schemas.microsoft.com/office/drawing/2014/main" id="{00000000-0008-0000-1700-000013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76" name="249 CuadroTexto">
          <a:extLst>
            <a:ext uri="{FF2B5EF4-FFF2-40B4-BE49-F238E27FC236}">
              <a16:creationId xmlns:a16="http://schemas.microsoft.com/office/drawing/2014/main" id="{00000000-0008-0000-1700-000014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77" name="2429 CuadroTexto">
          <a:extLst>
            <a:ext uri="{FF2B5EF4-FFF2-40B4-BE49-F238E27FC236}">
              <a16:creationId xmlns:a16="http://schemas.microsoft.com/office/drawing/2014/main" id="{00000000-0008-0000-1700-000015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78" name="2430 CuadroTexto">
          <a:extLst>
            <a:ext uri="{FF2B5EF4-FFF2-40B4-BE49-F238E27FC236}">
              <a16:creationId xmlns:a16="http://schemas.microsoft.com/office/drawing/2014/main" id="{00000000-0008-0000-1700-000016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79" name="2431 CuadroTexto">
          <a:extLst>
            <a:ext uri="{FF2B5EF4-FFF2-40B4-BE49-F238E27FC236}">
              <a16:creationId xmlns:a16="http://schemas.microsoft.com/office/drawing/2014/main" id="{00000000-0008-0000-1700-000017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80" name="2432 CuadroTexto">
          <a:extLst>
            <a:ext uri="{FF2B5EF4-FFF2-40B4-BE49-F238E27FC236}">
              <a16:creationId xmlns:a16="http://schemas.microsoft.com/office/drawing/2014/main" id="{00000000-0008-0000-1700-000018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81" name="2433 CuadroTexto">
          <a:extLst>
            <a:ext uri="{FF2B5EF4-FFF2-40B4-BE49-F238E27FC236}">
              <a16:creationId xmlns:a16="http://schemas.microsoft.com/office/drawing/2014/main" id="{00000000-0008-0000-1700-000019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82" name="2434 CuadroTexto">
          <a:extLst>
            <a:ext uri="{FF2B5EF4-FFF2-40B4-BE49-F238E27FC236}">
              <a16:creationId xmlns:a16="http://schemas.microsoft.com/office/drawing/2014/main" id="{00000000-0008-0000-1700-00001A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83" name="2584 CuadroTexto">
          <a:extLst>
            <a:ext uri="{FF2B5EF4-FFF2-40B4-BE49-F238E27FC236}">
              <a16:creationId xmlns:a16="http://schemas.microsoft.com/office/drawing/2014/main" id="{00000000-0008-0000-1700-00001B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84" name="2585 CuadroTexto">
          <a:extLst>
            <a:ext uri="{FF2B5EF4-FFF2-40B4-BE49-F238E27FC236}">
              <a16:creationId xmlns:a16="http://schemas.microsoft.com/office/drawing/2014/main" id="{00000000-0008-0000-1700-00001C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85" name="2586 CuadroTexto">
          <a:extLst>
            <a:ext uri="{FF2B5EF4-FFF2-40B4-BE49-F238E27FC236}">
              <a16:creationId xmlns:a16="http://schemas.microsoft.com/office/drawing/2014/main" id="{00000000-0008-0000-1700-00001D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86" name="2587 CuadroTexto">
          <a:extLst>
            <a:ext uri="{FF2B5EF4-FFF2-40B4-BE49-F238E27FC236}">
              <a16:creationId xmlns:a16="http://schemas.microsoft.com/office/drawing/2014/main" id="{00000000-0008-0000-1700-00001E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87" name="2588 CuadroTexto">
          <a:extLst>
            <a:ext uri="{FF2B5EF4-FFF2-40B4-BE49-F238E27FC236}">
              <a16:creationId xmlns:a16="http://schemas.microsoft.com/office/drawing/2014/main" id="{00000000-0008-0000-1700-00001F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88" name="2589 CuadroTexto">
          <a:extLst>
            <a:ext uri="{FF2B5EF4-FFF2-40B4-BE49-F238E27FC236}">
              <a16:creationId xmlns:a16="http://schemas.microsoft.com/office/drawing/2014/main" id="{00000000-0008-0000-1700-000020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89" name="240 CuadroTexto">
          <a:extLst>
            <a:ext uri="{FF2B5EF4-FFF2-40B4-BE49-F238E27FC236}">
              <a16:creationId xmlns:a16="http://schemas.microsoft.com/office/drawing/2014/main" id="{00000000-0008-0000-1700-000021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90" name="241 CuadroTexto">
          <a:extLst>
            <a:ext uri="{FF2B5EF4-FFF2-40B4-BE49-F238E27FC236}">
              <a16:creationId xmlns:a16="http://schemas.microsoft.com/office/drawing/2014/main" id="{00000000-0008-0000-1700-000022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91" name="246 CuadroTexto">
          <a:extLst>
            <a:ext uri="{FF2B5EF4-FFF2-40B4-BE49-F238E27FC236}">
              <a16:creationId xmlns:a16="http://schemas.microsoft.com/office/drawing/2014/main" id="{00000000-0008-0000-1700-000023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92" name="247 CuadroTexto">
          <a:extLst>
            <a:ext uri="{FF2B5EF4-FFF2-40B4-BE49-F238E27FC236}">
              <a16:creationId xmlns:a16="http://schemas.microsoft.com/office/drawing/2014/main" id="{00000000-0008-0000-1700-000024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93" name="248 CuadroTexto">
          <a:extLst>
            <a:ext uri="{FF2B5EF4-FFF2-40B4-BE49-F238E27FC236}">
              <a16:creationId xmlns:a16="http://schemas.microsoft.com/office/drawing/2014/main" id="{00000000-0008-0000-1700-000025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27</xdr:row>
      <xdr:rowOff>0</xdr:rowOff>
    </xdr:from>
    <xdr:ext cx="184731" cy="264560"/>
    <xdr:sp macro="" textlink="">
      <xdr:nvSpPr>
        <xdr:cNvPr id="294" name="249 CuadroTexto">
          <a:extLst>
            <a:ext uri="{FF2B5EF4-FFF2-40B4-BE49-F238E27FC236}">
              <a16:creationId xmlns:a16="http://schemas.microsoft.com/office/drawing/2014/main" id="{00000000-0008-0000-1700-000026010000}"/>
            </a:ext>
          </a:extLst>
        </xdr:cNvPr>
        <xdr:cNvSpPr txBox="1"/>
      </xdr:nvSpPr>
      <xdr:spPr>
        <a:xfrm>
          <a:off x="427077"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95" name="2584 CuadroTexto">
          <a:extLst>
            <a:ext uri="{FF2B5EF4-FFF2-40B4-BE49-F238E27FC236}">
              <a16:creationId xmlns:a16="http://schemas.microsoft.com/office/drawing/2014/main" id="{00000000-0008-0000-1700-000027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96" name="2585 CuadroTexto">
          <a:extLst>
            <a:ext uri="{FF2B5EF4-FFF2-40B4-BE49-F238E27FC236}">
              <a16:creationId xmlns:a16="http://schemas.microsoft.com/office/drawing/2014/main" id="{00000000-0008-0000-1700-000028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97" name="2586 CuadroTexto">
          <a:extLst>
            <a:ext uri="{FF2B5EF4-FFF2-40B4-BE49-F238E27FC236}">
              <a16:creationId xmlns:a16="http://schemas.microsoft.com/office/drawing/2014/main" id="{00000000-0008-0000-1700-000029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98" name="2587 CuadroTexto">
          <a:extLst>
            <a:ext uri="{FF2B5EF4-FFF2-40B4-BE49-F238E27FC236}">
              <a16:creationId xmlns:a16="http://schemas.microsoft.com/office/drawing/2014/main" id="{00000000-0008-0000-1700-00002A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299" name="2588 CuadroTexto">
          <a:extLst>
            <a:ext uri="{FF2B5EF4-FFF2-40B4-BE49-F238E27FC236}">
              <a16:creationId xmlns:a16="http://schemas.microsoft.com/office/drawing/2014/main" id="{00000000-0008-0000-1700-00002B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300" name="2589 CuadroTexto">
          <a:extLst>
            <a:ext uri="{FF2B5EF4-FFF2-40B4-BE49-F238E27FC236}">
              <a16:creationId xmlns:a16="http://schemas.microsoft.com/office/drawing/2014/main" id="{00000000-0008-0000-1700-00002C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301" name="240 CuadroTexto">
          <a:extLst>
            <a:ext uri="{FF2B5EF4-FFF2-40B4-BE49-F238E27FC236}">
              <a16:creationId xmlns:a16="http://schemas.microsoft.com/office/drawing/2014/main" id="{00000000-0008-0000-1700-00002D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302" name="241 CuadroTexto">
          <a:extLst>
            <a:ext uri="{FF2B5EF4-FFF2-40B4-BE49-F238E27FC236}">
              <a16:creationId xmlns:a16="http://schemas.microsoft.com/office/drawing/2014/main" id="{00000000-0008-0000-1700-00002E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303" name="246 CuadroTexto">
          <a:extLst>
            <a:ext uri="{FF2B5EF4-FFF2-40B4-BE49-F238E27FC236}">
              <a16:creationId xmlns:a16="http://schemas.microsoft.com/office/drawing/2014/main" id="{00000000-0008-0000-1700-00002F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304" name="247 CuadroTexto">
          <a:extLst>
            <a:ext uri="{FF2B5EF4-FFF2-40B4-BE49-F238E27FC236}">
              <a16:creationId xmlns:a16="http://schemas.microsoft.com/office/drawing/2014/main" id="{00000000-0008-0000-1700-000030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305" name="248 CuadroTexto">
          <a:extLst>
            <a:ext uri="{FF2B5EF4-FFF2-40B4-BE49-F238E27FC236}">
              <a16:creationId xmlns:a16="http://schemas.microsoft.com/office/drawing/2014/main" id="{00000000-0008-0000-1700-000031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26</xdr:row>
      <xdr:rowOff>0</xdr:rowOff>
    </xdr:from>
    <xdr:ext cx="184731" cy="264560"/>
    <xdr:sp macro="" textlink="">
      <xdr:nvSpPr>
        <xdr:cNvPr id="306" name="249 CuadroTexto">
          <a:extLst>
            <a:ext uri="{FF2B5EF4-FFF2-40B4-BE49-F238E27FC236}">
              <a16:creationId xmlns:a16="http://schemas.microsoft.com/office/drawing/2014/main" id="{00000000-0008-0000-1700-000032010000}"/>
            </a:ext>
          </a:extLst>
        </xdr:cNvPr>
        <xdr:cNvSpPr txBox="1"/>
      </xdr:nvSpPr>
      <xdr:spPr>
        <a:xfrm>
          <a:off x="427077" y="625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307" name="2584 CuadroTexto">
          <a:extLst>
            <a:ext uri="{FF2B5EF4-FFF2-40B4-BE49-F238E27FC236}">
              <a16:creationId xmlns:a16="http://schemas.microsoft.com/office/drawing/2014/main" id="{00000000-0008-0000-1700-00003301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308" name="2585 CuadroTexto">
          <a:extLst>
            <a:ext uri="{FF2B5EF4-FFF2-40B4-BE49-F238E27FC236}">
              <a16:creationId xmlns:a16="http://schemas.microsoft.com/office/drawing/2014/main" id="{00000000-0008-0000-1700-00003401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309" name="2586 CuadroTexto">
          <a:extLst>
            <a:ext uri="{FF2B5EF4-FFF2-40B4-BE49-F238E27FC236}">
              <a16:creationId xmlns:a16="http://schemas.microsoft.com/office/drawing/2014/main" id="{00000000-0008-0000-1700-00003501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310" name="2587 CuadroTexto">
          <a:extLst>
            <a:ext uri="{FF2B5EF4-FFF2-40B4-BE49-F238E27FC236}">
              <a16:creationId xmlns:a16="http://schemas.microsoft.com/office/drawing/2014/main" id="{00000000-0008-0000-1700-00003601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311" name="2588 CuadroTexto">
          <a:extLst>
            <a:ext uri="{FF2B5EF4-FFF2-40B4-BE49-F238E27FC236}">
              <a16:creationId xmlns:a16="http://schemas.microsoft.com/office/drawing/2014/main" id="{00000000-0008-0000-1700-00003701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25</xdr:row>
      <xdr:rowOff>0</xdr:rowOff>
    </xdr:from>
    <xdr:ext cx="184731" cy="264560"/>
    <xdr:sp macro="" textlink="">
      <xdr:nvSpPr>
        <xdr:cNvPr id="312" name="2589 CuadroTexto">
          <a:extLst>
            <a:ext uri="{FF2B5EF4-FFF2-40B4-BE49-F238E27FC236}">
              <a16:creationId xmlns:a16="http://schemas.microsoft.com/office/drawing/2014/main" id="{00000000-0008-0000-1700-000038010000}"/>
            </a:ext>
          </a:extLst>
        </xdr:cNvPr>
        <xdr:cNvSpPr txBox="1"/>
      </xdr:nvSpPr>
      <xdr:spPr>
        <a:xfrm>
          <a:off x="427077" y="607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wsDr>
</file>

<file path=xl/drawings/drawing21.xml><?xml version="1.0" encoding="utf-8"?>
<xdr:wsDr xmlns:xdr="http://schemas.openxmlformats.org/drawingml/2006/spreadsheetDrawing" xmlns:a="http://schemas.openxmlformats.org/drawingml/2006/main">
  <xdr:oneCellAnchor>
    <xdr:from>
      <xdr:col>0</xdr:col>
      <xdr:colOff>409575</xdr:colOff>
      <xdr:row>0</xdr:row>
      <xdr:rowOff>85725</xdr:rowOff>
    </xdr:from>
    <xdr:ext cx="1343025" cy="959304"/>
    <xdr:pic>
      <xdr:nvPicPr>
        <xdr:cNvPr id="2" name="Imagen 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9575" y="85725"/>
          <a:ext cx="1343025" cy="959304"/>
        </a:xfrm>
        <a:prstGeom prst="rect">
          <a:avLst/>
        </a:prstGeom>
      </xdr:spPr>
    </xdr:pic>
    <xdr:clientData/>
  </xdr:oneCellAnchor>
  <xdr:oneCellAnchor>
    <xdr:from>
      <xdr:col>0</xdr:col>
      <xdr:colOff>684252</xdr:colOff>
      <xdr:row>30</xdr:row>
      <xdr:rowOff>0</xdr:rowOff>
    </xdr:from>
    <xdr:ext cx="184731" cy="264560"/>
    <xdr:sp macro="" textlink="">
      <xdr:nvSpPr>
        <xdr:cNvPr id="3" name="673 CuadroTexto">
          <a:extLst>
            <a:ext uri="{FF2B5EF4-FFF2-40B4-BE49-F238E27FC236}">
              <a16:creationId xmlns:a16="http://schemas.microsoft.com/office/drawing/2014/main" id="{00000000-0008-0000-1800-000003000000}"/>
            </a:ext>
          </a:extLst>
        </xdr:cNvPr>
        <xdr:cNvSpPr txBox="1"/>
      </xdr:nvSpPr>
      <xdr:spPr>
        <a:xfrm>
          <a:off x="684252"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4" name="919 CuadroTexto">
          <a:extLst>
            <a:ext uri="{FF2B5EF4-FFF2-40B4-BE49-F238E27FC236}">
              <a16:creationId xmlns:a16="http://schemas.microsoft.com/office/drawing/2014/main" id="{00000000-0008-0000-1800-000004000000}"/>
            </a:ext>
          </a:extLst>
        </xdr:cNvPr>
        <xdr:cNvSpPr txBox="1"/>
      </xdr:nvSpPr>
      <xdr:spPr>
        <a:xfrm>
          <a:off x="67472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5" name="921 CuadroTexto">
          <a:extLst>
            <a:ext uri="{FF2B5EF4-FFF2-40B4-BE49-F238E27FC236}">
              <a16:creationId xmlns:a16="http://schemas.microsoft.com/office/drawing/2014/main" id="{00000000-0008-0000-1800-000005000000}"/>
            </a:ext>
          </a:extLst>
        </xdr:cNvPr>
        <xdr:cNvSpPr txBox="1"/>
      </xdr:nvSpPr>
      <xdr:spPr>
        <a:xfrm>
          <a:off x="67472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6" name="995 CuadroTexto">
          <a:extLst>
            <a:ext uri="{FF2B5EF4-FFF2-40B4-BE49-F238E27FC236}">
              <a16:creationId xmlns:a16="http://schemas.microsoft.com/office/drawing/2014/main" id="{00000000-0008-0000-1800-000006000000}"/>
            </a:ext>
          </a:extLst>
        </xdr:cNvPr>
        <xdr:cNvSpPr txBox="1"/>
      </xdr:nvSpPr>
      <xdr:spPr>
        <a:xfrm>
          <a:off x="67472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7" name="997 CuadroTexto">
          <a:extLst>
            <a:ext uri="{FF2B5EF4-FFF2-40B4-BE49-F238E27FC236}">
              <a16:creationId xmlns:a16="http://schemas.microsoft.com/office/drawing/2014/main" id="{00000000-0008-0000-1800-000007000000}"/>
            </a:ext>
          </a:extLst>
        </xdr:cNvPr>
        <xdr:cNvSpPr txBox="1"/>
      </xdr:nvSpPr>
      <xdr:spPr>
        <a:xfrm>
          <a:off x="67472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684252</xdr:colOff>
      <xdr:row>30</xdr:row>
      <xdr:rowOff>0</xdr:rowOff>
    </xdr:from>
    <xdr:ext cx="184731" cy="264560"/>
    <xdr:sp macro="" textlink="">
      <xdr:nvSpPr>
        <xdr:cNvPr id="8" name="1940 CuadroTexto">
          <a:extLst>
            <a:ext uri="{FF2B5EF4-FFF2-40B4-BE49-F238E27FC236}">
              <a16:creationId xmlns:a16="http://schemas.microsoft.com/office/drawing/2014/main" id="{00000000-0008-0000-1800-000008000000}"/>
            </a:ext>
          </a:extLst>
        </xdr:cNvPr>
        <xdr:cNvSpPr txBox="1"/>
      </xdr:nvSpPr>
      <xdr:spPr>
        <a:xfrm>
          <a:off x="684252"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 name="2584 CuadroTexto">
          <a:extLst>
            <a:ext uri="{FF2B5EF4-FFF2-40B4-BE49-F238E27FC236}">
              <a16:creationId xmlns:a16="http://schemas.microsoft.com/office/drawing/2014/main" id="{00000000-0008-0000-1800-000009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0" name="2585 CuadroTexto">
          <a:extLst>
            <a:ext uri="{FF2B5EF4-FFF2-40B4-BE49-F238E27FC236}">
              <a16:creationId xmlns:a16="http://schemas.microsoft.com/office/drawing/2014/main" id="{00000000-0008-0000-1800-00000A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1" name="2586 CuadroTexto">
          <a:extLst>
            <a:ext uri="{FF2B5EF4-FFF2-40B4-BE49-F238E27FC236}">
              <a16:creationId xmlns:a16="http://schemas.microsoft.com/office/drawing/2014/main" id="{00000000-0008-0000-1800-00000B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2" name="2587 CuadroTexto">
          <a:extLst>
            <a:ext uri="{FF2B5EF4-FFF2-40B4-BE49-F238E27FC236}">
              <a16:creationId xmlns:a16="http://schemas.microsoft.com/office/drawing/2014/main" id="{00000000-0008-0000-1800-00000C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3" name="2588 CuadroTexto">
          <a:extLst>
            <a:ext uri="{FF2B5EF4-FFF2-40B4-BE49-F238E27FC236}">
              <a16:creationId xmlns:a16="http://schemas.microsoft.com/office/drawing/2014/main" id="{00000000-0008-0000-1800-00000D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4" name="2589 CuadroTexto">
          <a:extLst>
            <a:ext uri="{FF2B5EF4-FFF2-40B4-BE49-F238E27FC236}">
              <a16:creationId xmlns:a16="http://schemas.microsoft.com/office/drawing/2014/main" id="{00000000-0008-0000-1800-00000E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5" name="240 CuadroTexto">
          <a:extLst>
            <a:ext uri="{FF2B5EF4-FFF2-40B4-BE49-F238E27FC236}">
              <a16:creationId xmlns:a16="http://schemas.microsoft.com/office/drawing/2014/main" id="{00000000-0008-0000-1800-00000F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6" name="241 CuadroTexto">
          <a:extLst>
            <a:ext uri="{FF2B5EF4-FFF2-40B4-BE49-F238E27FC236}">
              <a16:creationId xmlns:a16="http://schemas.microsoft.com/office/drawing/2014/main" id="{00000000-0008-0000-1800-000010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7" name="246 CuadroTexto">
          <a:extLst>
            <a:ext uri="{FF2B5EF4-FFF2-40B4-BE49-F238E27FC236}">
              <a16:creationId xmlns:a16="http://schemas.microsoft.com/office/drawing/2014/main" id="{00000000-0008-0000-1800-000011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8" name="247 CuadroTexto">
          <a:extLst>
            <a:ext uri="{FF2B5EF4-FFF2-40B4-BE49-F238E27FC236}">
              <a16:creationId xmlns:a16="http://schemas.microsoft.com/office/drawing/2014/main" id="{00000000-0008-0000-1800-000012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9" name="248 CuadroTexto">
          <a:extLst>
            <a:ext uri="{FF2B5EF4-FFF2-40B4-BE49-F238E27FC236}">
              <a16:creationId xmlns:a16="http://schemas.microsoft.com/office/drawing/2014/main" id="{00000000-0008-0000-1800-000013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20" name="249 CuadroTexto">
          <a:extLst>
            <a:ext uri="{FF2B5EF4-FFF2-40B4-BE49-F238E27FC236}">
              <a16:creationId xmlns:a16="http://schemas.microsoft.com/office/drawing/2014/main" id="{00000000-0008-0000-1800-000014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684252</xdr:colOff>
      <xdr:row>30</xdr:row>
      <xdr:rowOff>0</xdr:rowOff>
    </xdr:from>
    <xdr:ext cx="184731" cy="264560"/>
    <xdr:sp macro="" textlink="">
      <xdr:nvSpPr>
        <xdr:cNvPr id="21" name="673 CuadroTexto">
          <a:extLst>
            <a:ext uri="{FF2B5EF4-FFF2-40B4-BE49-F238E27FC236}">
              <a16:creationId xmlns:a16="http://schemas.microsoft.com/office/drawing/2014/main" id="{00000000-0008-0000-1800-000015000000}"/>
            </a:ext>
          </a:extLst>
        </xdr:cNvPr>
        <xdr:cNvSpPr txBox="1"/>
      </xdr:nvSpPr>
      <xdr:spPr>
        <a:xfrm>
          <a:off x="684252"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22" name="919 CuadroTexto">
          <a:extLst>
            <a:ext uri="{FF2B5EF4-FFF2-40B4-BE49-F238E27FC236}">
              <a16:creationId xmlns:a16="http://schemas.microsoft.com/office/drawing/2014/main" id="{00000000-0008-0000-1800-000016000000}"/>
            </a:ext>
          </a:extLst>
        </xdr:cNvPr>
        <xdr:cNvSpPr txBox="1"/>
      </xdr:nvSpPr>
      <xdr:spPr>
        <a:xfrm>
          <a:off x="67472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23" name="921 CuadroTexto">
          <a:extLst>
            <a:ext uri="{FF2B5EF4-FFF2-40B4-BE49-F238E27FC236}">
              <a16:creationId xmlns:a16="http://schemas.microsoft.com/office/drawing/2014/main" id="{00000000-0008-0000-1800-000017000000}"/>
            </a:ext>
          </a:extLst>
        </xdr:cNvPr>
        <xdr:cNvSpPr txBox="1"/>
      </xdr:nvSpPr>
      <xdr:spPr>
        <a:xfrm>
          <a:off x="67472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24" name="995 CuadroTexto">
          <a:extLst>
            <a:ext uri="{FF2B5EF4-FFF2-40B4-BE49-F238E27FC236}">
              <a16:creationId xmlns:a16="http://schemas.microsoft.com/office/drawing/2014/main" id="{00000000-0008-0000-1800-000018000000}"/>
            </a:ext>
          </a:extLst>
        </xdr:cNvPr>
        <xdr:cNvSpPr txBox="1"/>
      </xdr:nvSpPr>
      <xdr:spPr>
        <a:xfrm>
          <a:off x="67472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30</xdr:row>
      <xdr:rowOff>0</xdr:rowOff>
    </xdr:from>
    <xdr:ext cx="184731" cy="264560"/>
    <xdr:sp macro="" textlink="">
      <xdr:nvSpPr>
        <xdr:cNvPr id="25" name="997 CuadroTexto">
          <a:extLst>
            <a:ext uri="{FF2B5EF4-FFF2-40B4-BE49-F238E27FC236}">
              <a16:creationId xmlns:a16="http://schemas.microsoft.com/office/drawing/2014/main" id="{00000000-0008-0000-1800-000019000000}"/>
            </a:ext>
          </a:extLst>
        </xdr:cNvPr>
        <xdr:cNvSpPr txBox="1"/>
      </xdr:nvSpPr>
      <xdr:spPr>
        <a:xfrm>
          <a:off x="67472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684252</xdr:colOff>
      <xdr:row>30</xdr:row>
      <xdr:rowOff>0</xdr:rowOff>
    </xdr:from>
    <xdr:ext cx="184731" cy="264560"/>
    <xdr:sp macro="" textlink="">
      <xdr:nvSpPr>
        <xdr:cNvPr id="26" name="1940 CuadroTexto">
          <a:extLst>
            <a:ext uri="{FF2B5EF4-FFF2-40B4-BE49-F238E27FC236}">
              <a16:creationId xmlns:a16="http://schemas.microsoft.com/office/drawing/2014/main" id="{00000000-0008-0000-1800-00001A000000}"/>
            </a:ext>
          </a:extLst>
        </xdr:cNvPr>
        <xdr:cNvSpPr txBox="1"/>
      </xdr:nvSpPr>
      <xdr:spPr>
        <a:xfrm>
          <a:off x="684252"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27" name="2584 CuadroTexto">
          <a:extLst>
            <a:ext uri="{FF2B5EF4-FFF2-40B4-BE49-F238E27FC236}">
              <a16:creationId xmlns:a16="http://schemas.microsoft.com/office/drawing/2014/main" id="{00000000-0008-0000-1800-00001B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28" name="2585 CuadroTexto">
          <a:extLst>
            <a:ext uri="{FF2B5EF4-FFF2-40B4-BE49-F238E27FC236}">
              <a16:creationId xmlns:a16="http://schemas.microsoft.com/office/drawing/2014/main" id="{00000000-0008-0000-1800-00001C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29" name="2586 CuadroTexto">
          <a:extLst>
            <a:ext uri="{FF2B5EF4-FFF2-40B4-BE49-F238E27FC236}">
              <a16:creationId xmlns:a16="http://schemas.microsoft.com/office/drawing/2014/main" id="{00000000-0008-0000-1800-00001D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0" name="2587 CuadroTexto">
          <a:extLst>
            <a:ext uri="{FF2B5EF4-FFF2-40B4-BE49-F238E27FC236}">
              <a16:creationId xmlns:a16="http://schemas.microsoft.com/office/drawing/2014/main" id="{00000000-0008-0000-1800-00001E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1" name="2588 CuadroTexto">
          <a:extLst>
            <a:ext uri="{FF2B5EF4-FFF2-40B4-BE49-F238E27FC236}">
              <a16:creationId xmlns:a16="http://schemas.microsoft.com/office/drawing/2014/main" id="{00000000-0008-0000-1800-00001F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2" name="2589 CuadroTexto">
          <a:extLst>
            <a:ext uri="{FF2B5EF4-FFF2-40B4-BE49-F238E27FC236}">
              <a16:creationId xmlns:a16="http://schemas.microsoft.com/office/drawing/2014/main" id="{00000000-0008-0000-1800-000020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3" name="240 CuadroTexto">
          <a:extLst>
            <a:ext uri="{FF2B5EF4-FFF2-40B4-BE49-F238E27FC236}">
              <a16:creationId xmlns:a16="http://schemas.microsoft.com/office/drawing/2014/main" id="{00000000-0008-0000-1800-000021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4" name="241 CuadroTexto">
          <a:extLst>
            <a:ext uri="{FF2B5EF4-FFF2-40B4-BE49-F238E27FC236}">
              <a16:creationId xmlns:a16="http://schemas.microsoft.com/office/drawing/2014/main" id="{00000000-0008-0000-1800-000022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5" name="246 CuadroTexto">
          <a:extLst>
            <a:ext uri="{FF2B5EF4-FFF2-40B4-BE49-F238E27FC236}">
              <a16:creationId xmlns:a16="http://schemas.microsoft.com/office/drawing/2014/main" id="{00000000-0008-0000-1800-000023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6" name="247 CuadroTexto">
          <a:extLst>
            <a:ext uri="{FF2B5EF4-FFF2-40B4-BE49-F238E27FC236}">
              <a16:creationId xmlns:a16="http://schemas.microsoft.com/office/drawing/2014/main" id="{00000000-0008-0000-1800-000024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7" name="248 CuadroTexto">
          <a:extLst>
            <a:ext uri="{FF2B5EF4-FFF2-40B4-BE49-F238E27FC236}">
              <a16:creationId xmlns:a16="http://schemas.microsoft.com/office/drawing/2014/main" id="{00000000-0008-0000-1800-000025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8" name="249 CuadroTexto">
          <a:extLst>
            <a:ext uri="{FF2B5EF4-FFF2-40B4-BE49-F238E27FC236}">
              <a16:creationId xmlns:a16="http://schemas.microsoft.com/office/drawing/2014/main" id="{00000000-0008-0000-1800-000026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39" name="2429 CuadroTexto">
          <a:extLst>
            <a:ext uri="{FF2B5EF4-FFF2-40B4-BE49-F238E27FC236}">
              <a16:creationId xmlns:a16="http://schemas.microsoft.com/office/drawing/2014/main" id="{00000000-0008-0000-1800-000027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40" name="2430 CuadroTexto">
          <a:extLst>
            <a:ext uri="{FF2B5EF4-FFF2-40B4-BE49-F238E27FC236}">
              <a16:creationId xmlns:a16="http://schemas.microsoft.com/office/drawing/2014/main" id="{00000000-0008-0000-1800-000028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41" name="2431 CuadroTexto">
          <a:extLst>
            <a:ext uri="{FF2B5EF4-FFF2-40B4-BE49-F238E27FC236}">
              <a16:creationId xmlns:a16="http://schemas.microsoft.com/office/drawing/2014/main" id="{00000000-0008-0000-1800-000029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42" name="2432 CuadroTexto">
          <a:extLst>
            <a:ext uri="{FF2B5EF4-FFF2-40B4-BE49-F238E27FC236}">
              <a16:creationId xmlns:a16="http://schemas.microsoft.com/office/drawing/2014/main" id="{00000000-0008-0000-1800-00002A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43" name="2433 CuadroTexto">
          <a:extLst>
            <a:ext uri="{FF2B5EF4-FFF2-40B4-BE49-F238E27FC236}">
              <a16:creationId xmlns:a16="http://schemas.microsoft.com/office/drawing/2014/main" id="{00000000-0008-0000-1800-00002B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44" name="2434 CuadroTexto">
          <a:extLst>
            <a:ext uri="{FF2B5EF4-FFF2-40B4-BE49-F238E27FC236}">
              <a16:creationId xmlns:a16="http://schemas.microsoft.com/office/drawing/2014/main" id="{00000000-0008-0000-1800-00002C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45" name="2584 CuadroTexto">
          <a:extLst>
            <a:ext uri="{FF2B5EF4-FFF2-40B4-BE49-F238E27FC236}">
              <a16:creationId xmlns:a16="http://schemas.microsoft.com/office/drawing/2014/main" id="{00000000-0008-0000-1800-00002D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46" name="2585 CuadroTexto">
          <a:extLst>
            <a:ext uri="{FF2B5EF4-FFF2-40B4-BE49-F238E27FC236}">
              <a16:creationId xmlns:a16="http://schemas.microsoft.com/office/drawing/2014/main" id="{00000000-0008-0000-1800-00002E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47" name="2586 CuadroTexto">
          <a:extLst>
            <a:ext uri="{FF2B5EF4-FFF2-40B4-BE49-F238E27FC236}">
              <a16:creationId xmlns:a16="http://schemas.microsoft.com/office/drawing/2014/main" id="{00000000-0008-0000-1800-00002F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48" name="2587 CuadroTexto">
          <a:extLst>
            <a:ext uri="{FF2B5EF4-FFF2-40B4-BE49-F238E27FC236}">
              <a16:creationId xmlns:a16="http://schemas.microsoft.com/office/drawing/2014/main" id="{00000000-0008-0000-1800-000030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49" name="2588 CuadroTexto">
          <a:extLst>
            <a:ext uri="{FF2B5EF4-FFF2-40B4-BE49-F238E27FC236}">
              <a16:creationId xmlns:a16="http://schemas.microsoft.com/office/drawing/2014/main" id="{00000000-0008-0000-1800-000031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50" name="2589 CuadroTexto">
          <a:extLst>
            <a:ext uri="{FF2B5EF4-FFF2-40B4-BE49-F238E27FC236}">
              <a16:creationId xmlns:a16="http://schemas.microsoft.com/office/drawing/2014/main" id="{00000000-0008-0000-1800-000032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51" name="240 CuadroTexto">
          <a:extLst>
            <a:ext uri="{FF2B5EF4-FFF2-40B4-BE49-F238E27FC236}">
              <a16:creationId xmlns:a16="http://schemas.microsoft.com/office/drawing/2014/main" id="{00000000-0008-0000-1800-000033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52" name="241 CuadroTexto">
          <a:extLst>
            <a:ext uri="{FF2B5EF4-FFF2-40B4-BE49-F238E27FC236}">
              <a16:creationId xmlns:a16="http://schemas.microsoft.com/office/drawing/2014/main" id="{00000000-0008-0000-1800-000034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53" name="246 CuadroTexto">
          <a:extLst>
            <a:ext uri="{FF2B5EF4-FFF2-40B4-BE49-F238E27FC236}">
              <a16:creationId xmlns:a16="http://schemas.microsoft.com/office/drawing/2014/main" id="{00000000-0008-0000-1800-000035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54" name="247 CuadroTexto">
          <a:extLst>
            <a:ext uri="{FF2B5EF4-FFF2-40B4-BE49-F238E27FC236}">
              <a16:creationId xmlns:a16="http://schemas.microsoft.com/office/drawing/2014/main" id="{00000000-0008-0000-1800-000036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55" name="248 CuadroTexto">
          <a:extLst>
            <a:ext uri="{FF2B5EF4-FFF2-40B4-BE49-F238E27FC236}">
              <a16:creationId xmlns:a16="http://schemas.microsoft.com/office/drawing/2014/main" id="{00000000-0008-0000-1800-000037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56" name="249 CuadroTexto">
          <a:extLst>
            <a:ext uri="{FF2B5EF4-FFF2-40B4-BE49-F238E27FC236}">
              <a16:creationId xmlns:a16="http://schemas.microsoft.com/office/drawing/2014/main" id="{00000000-0008-0000-1800-000038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57" name="2429 CuadroTexto">
          <a:extLst>
            <a:ext uri="{FF2B5EF4-FFF2-40B4-BE49-F238E27FC236}">
              <a16:creationId xmlns:a16="http://schemas.microsoft.com/office/drawing/2014/main" id="{00000000-0008-0000-1800-000039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58" name="2430 CuadroTexto">
          <a:extLst>
            <a:ext uri="{FF2B5EF4-FFF2-40B4-BE49-F238E27FC236}">
              <a16:creationId xmlns:a16="http://schemas.microsoft.com/office/drawing/2014/main" id="{00000000-0008-0000-1800-00003A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59" name="2431 CuadroTexto">
          <a:extLst>
            <a:ext uri="{FF2B5EF4-FFF2-40B4-BE49-F238E27FC236}">
              <a16:creationId xmlns:a16="http://schemas.microsoft.com/office/drawing/2014/main" id="{00000000-0008-0000-1800-00003B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60" name="2432 CuadroTexto">
          <a:extLst>
            <a:ext uri="{FF2B5EF4-FFF2-40B4-BE49-F238E27FC236}">
              <a16:creationId xmlns:a16="http://schemas.microsoft.com/office/drawing/2014/main" id="{00000000-0008-0000-1800-00003C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61" name="2433 CuadroTexto">
          <a:extLst>
            <a:ext uri="{FF2B5EF4-FFF2-40B4-BE49-F238E27FC236}">
              <a16:creationId xmlns:a16="http://schemas.microsoft.com/office/drawing/2014/main" id="{00000000-0008-0000-1800-00003D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62" name="2434 CuadroTexto">
          <a:extLst>
            <a:ext uri="{FF2B5EF4-FFF2-40B4-BE49-F238E27FC236}">
              <a16:creationId xmlns:a16="http://schemas.microsoft.com/office/drawing/2014/main" id="{00000000-0008-0000-1800-00003E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63" name="2584 CuadroTexto">
          <a:extLst>
            <a:ext uri="{FF2B5EF4-FFF2-40B4-BE49-F238E27FC236}">
              <a16:creationId xmlns:a16="http://schemas.microsoft.com/office/drawing/2014/main" id="{00000000-0008-0000-1800-00003F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64" name="2585 CuadroTexto">
          <a:extLst>
            <a:ext uri="{FF2B5EF4-FFF2-40B4-BE49-F238E27FC236}">
              <a16:creationId xmlns:a16="http://schemas.microsoft.com/office/drawing/2014/main" id="{00000000-0008-0000-1800-000040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65" name="2586 CuadroTexto">
          <a:extLst>
            <a:ext uri="{FF2B5EF4-FFF2-40B4-BE49-F238E27FC236}">
              <a16:creationId xmlns:a16="http://schemas.microsoft.com/office/drawing/2014/main" id="{00000000-0008-0000-1800-000041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66" name="2587 CuadroTexto">
          <a:extLst>
            <a:ext uri="{FF2B5EF4-FFF2-40B4-BE49-F238E27FC236}">
              <a16:creationId xmlns:a16="http://schemas.microsoft.com/office/drawing/2014/main" id="{00000000-0008-0000-1800-000042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67" name="2588 CuadroTexto">
          <a:extLst>
            <a:ext uri="{FF2B5EF4-FFF2-40B4-BE49-F238E27FC236}">
              <a16:creationId xmlns:a16="http://schemas.microsoft.com/office/drawing/2014/main" id="{00000000-0008-0000-1800-000043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68" name="2589 CuadroTexto">
          <a:extLst>
            <a:ext uri="{FF2B5EF4-FFF2-40B4-BE49-F238E27FC236}">
              <a16:creationId xmlns:a16="http://schemas.microsoft.com/office/drawing/2014/main" id="{00000000-0008-0000-1800-000044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69" name="240 CuadroTexto">
          <a:extLst>
            <a:ext uri="{FF2B5EF4-FFF2-40B4-BE49-F238E27FC236}">
              <a16:creationId xmlns:a16="http://schemas.microsoft.com/office/drawing/2014/main" id="{00000000-0008-0000-1800-000045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70" name="241 CuadroTexto">
          <a:extLst>
            <a:ext uri="{FF2B5EF4-FFF2-40B4-BE49-F238E27FC236}">
              <a16:creationId xmlns:a16="http://schemas.microsoft.com/office/drawing/2014/main" id="{00000000-0008-0000-1800-000046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71" name="246 CuadroTexto">
          <a:extLst>
            <a:ext uri="{FF2B5EF4-FFF2-40B4-BE49-F238E27FC236}">
              <a16:creationId xmlns:a16="http://schemas.microsoft.com/office/drawing/2014/main" id="{00000000-0008-0000-1800-000047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72" name="247 CuadroTexto">
          <a:extLst>
            <a:ext uri="{FF2B5EF4-FFF2-40B4-BE49-F238E27FC236}">
              <a16:creationId xmlns:a16="http://schemas.microsoft.com/office/drawing/2014/main" id="{00000000-0008-0000-1800-000048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73" name="248 CuadroTexto">
          <a:extLst>
            <a:ext uri="{FF2B5EF4-FFF2-40B4-BE49-F238E27FC236}">
              <a16:creationId xmlns:a16="http://schemas.microsoft.com/office/drawing/2014/main" id="{00000000-0008-0000-1800-000049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74" name="249 CuadroTexto">
          <a:extLst>
            <a:ext uri="{FF2B5EF4-FFF2-40B4-BE49-F238E27FC236}">
              <a16:creationId xmlns:a16="http://schemas.microsoft.com/office/drawing/2014/main" id="{00000000-0008-0000-1800-00004A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684252</xdr:colOff>
      <xdr:row>32</xdr:row>
      <xdr:rowOff>0</xdr:rowOff>
    </xdr:from>
    <xdr:ext cx="184731" cy="264560"/>
    <xdr:sp macro="" textlink="">
      <xdr:nvSpPr>
        <xdr:cNvPr id="75" name="673 CuadroTexto">
          <a:extLst>
            <a:ext uri="{FF2B5EF4-FFF2-40B4-BE49-F238E27FC236}">
              <a16:creationId xmlns:a16="http://schemas.microsoft.com/office/drawing/2014/main" id="{00000000-0008-0000-1800-00004B000000}"/>
            </a:ext>
          </a:extLst>
        </xdr:cNvPr>
        <xdr:cNvSpPr txBox="1"/>
      </xdr:nvSpPr>
      <xdr:spPr>
        <a:xfrm>
          <a:off x="684252"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32</xdr:row>
      <xdr:rowOff>0</xdr:rowOff>
    </xdr:from>
    <xdr:ext cx="184731" cy="264560"/>
    <xdr:sp macro="" textlink="">
      <xdr:nvSpPr>
        <xdr:cNvPr id="76" name="919 CuadroTexto">
          <a:extLst>
            <a:ext uri="{FF2B5EF4-FFF2-40B4-BE49-F238E27FC236}">
              <a16:creationId xmlns:a16="http://schemas.microsoft.com/office/drawing/2014/main" id="{00000000-0008-0000-1800-00004C000000}"/>
            </a:ext>
          </a:extLst>
        </xdr:cNvPr>
        <xdr:cNvSpPr txBox="1"/>
      </xdr:nvSpPr>
      <xdr:spPr>
        <a:xfrm>
          <a:off x="67472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32</xdr:row>
      <xdr:rowOff>0</xdr:rowOff>
    </xdr:from>
    <xdr:ext cx="184731" cy="264560"/>
    <xdr:sp macro="" textlink="">
      <xdr:nvSpPr>
        <xdr:cNvPr id="77" name="921 CuadroTexto">
          <a:extLst>
            <a:ext uri="{FF2B5EF4-FFF2-40B4-BE49-F238E27FC236}">
              <a16:creationId xmlns:a16="http://schemas.microsoft.com/office/drawing/2014/main" id="{00000000-0008-0000-1800-00004D000000}"/>
            </a:ext>
          </a:extLst>
        </xdr:cNvPr>
        <xdr:cNvSpPr txBox="1"/>
      </xdr:nvSpPr>
      <xdr:spPr>
        <a:xfrm>
          <a:off x="67472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674727</xdr:colOff>
      <xdr:row>32</xdr:row>
      <xdr:rowOff>0</xdr:rowOff>
    </xdr:from>
    <xdr:ext cx="184731" cy="264560"/>
    <xdr:sp macro="" textlink="">
      <xdr:nvSpPr>
        <xdr:cNvPr id="78" name="995 CuadroTexto">
          <a:extLst>
            <a:ext uri="{FF2B5EF4-FFF2-40B4-BE49-F238E27FC236}">
              <a16:creationId xmlns:a16="http://schemas.microsoft.com/office/drawing/2014/main" id="{00000000-0008-0000-1800-00004E000000}"/>
            </a:ext>
          </a:extLst>
        </xdr:cNvPr>
        <xdr:cNvSpPr txBox="1"/>
      </xdr:nvSpPr>
      <xdr:spPr>
        <a:xfrm>
          <a:off x="67472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684252</xdr:colOff>
      <xdr:row>32</xdr:row>
      <xdr:rowOff>0</xdr:rowOff>
    </xdr:from>
    <xdr:ext cx="184731" cy="264560"/>
    <xdr:sp macro="" textlink="">
      <xdr:nvSpPr>
        <xdr:cNvPr id="79" name="1940 CuadroTexto">
          <a:extLst>
            <a:ext uri="{FF2B5EF4-FFF2-40B4-BE49-F238E27FC236}">
              <a16:creationId xmlns:a16="http://schemas.microsoft.com/office/drawing/2014/main" id="{00000000-0008-0000-1800-00004F000000}"/>
            </a:ext>
          </a:extLst>
        </xdr:cNvPr>
        <xdr:cNvSpPr txBox="1"/>
      </xdr:nvSpPr>
      <xdr:spPr>
        <a:xfrm>
          <a:off x="684252"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80" name="2584 CuadroTexto">
          <a:extLst>
            <a:ext uri="{FF2B5EF4-FFF2-40B4-BE49-F238E27FC236}">
              <a16:creationId xmlns:a16="http://schemas.microsoft.com/office/drawing/2014/main" id="{00000000-0008-0000-1800-000050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81" name="2585 CuadroTexto">
          <a:extLst>
            <a:ext uri="{FF2B5EF4-FFF2-40B4-BE49-F238E27FC236}">
              <a16:creationId xmlns:a16="http://schemas.microsoft.com/office/drawing/2014/main" id="{00000000-0008-0000-1800-000051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82" name="2586 CuadroTexto">
          <a:extLst>
            <a:ext uri="{FF2B5EF4-FFF2-40B4-BE49-F238E27FC236}">
              <a16:creationId xmlns:a16="http://schemas.microsoft.com/office/drawing/2014/main" id="{00000000-0008-0000-1800-000052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83" name="2587 CuadroTexto">
          <a:extLst>
            <a:ext uri="{FF2B5EF4-FFF2-40B4-BE49-F238E27FC236}">
              <a16:creationId xmlns:a16="http://schemas.microsoft.com/office/drawing/2014/main" id="{00000000-0008-0000-1800-000053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84" name="2588 CuadroTexto">
          <a:extLst>
            <a:ext uri="{FF2B5EF4-FFF2-40B4-BE49-F238E27FC236}">
              <a16:creationId xmlns:a16="http://schemas.microsoft.com/office/drawing/2014/main" id="{00000000-0008-0000-1800-000054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85" name="2589 CuadroTexto">
          <a:extLst>
            <a:ext uri="{FF2B5EF4-FFF2-40B4-BE49-F238E27FC236}">
              <a16:creationId xmlns:a16="http://schemas.microsoft.com/office/drawing/2014/main" id="{00000000-0008-0000-1800-000055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86" name="240 CuadroTexto">
          <a:extLst>
            <a:ext uri="{FF2B5EF4-FFF2-40B4-BE49-F238E27FC236}">
              <a16:creationId xmlns:a16="http://schemas.microsoft.com/office/drawing/2014/main" id="{00000000-0008-0000-1800-000056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87" name="241 CuadroTexto">
          <a:extLst>
            <a:ext uri="{FF2B5EF4-FFF2-40B4-BE49-F238E27FC236}">
              <a16:creationId xmlns:a16="http://schemas.microsoft.com/office/drawing/2014/main" id="{00000000-0008-0000-1800-000057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88" name="246 CuadroTexto">
          <a:extLst>
            <a:ext uri="{FF2B5EF4-FFF2-40B4-BE49-F238E27FC236}">
              <a16:creationId xmlns:a16="http://schemas.microsoft.com/office/drawing/2014/main" id="{00000000-0008-0000-1800-000058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89" name="2584 CuadroTexto">
          <a:extLst>
            <a:ext uri="{FF2B5EF4-FFF2-40B4-BE49-F238E27FC236}">
              <a16:creationId xmlns:a16="http://schemas.microsoft.com/office/drawing/2014/main" id="{00000000-0008-0000-1800-000059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0" name="2585 CuadroTexto">
          <a:extLst>
            <a:ext uri="{FF2B5EF4-FFF2-40B4-BE49-F238E27FC236}">
              <a16:creationId xmlns:a16="http://schemas.microsoft.com/office/drawing/2014/main" id="{00000000-0008-0000-1800-00005A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1" name="2586 CuadroTexto">
          <a:extLst>
            <a:ext uri="{FF2B5EF4-FFF2-40B4-BE49-F238E27FC236}">
              <a16:creationId xmlns:a16="http://schemas.microsoft.com/office/drawing/2014/main" id="{00000000-0008-0000-1800-00005B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2" name="2587 CuadroTexto">
          <a:extLst>
            <a:ext uri="{FF2B5EF4-FFF2-40B4-BE49-F238E27FC236}">
              <a16:creationId xmlns:a16="http://schemas.microsoft.com/office/drawing/2014/main" id="{00000000-0008-0000-1800-00005C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3" name="2588 CuadroTexto">
          <a:extLst>
            <a:ext uri="{FF2B5EF4-FFF2-40B4-BE49-F238E27FC236}">
              <a16:creationId xmlns:a16="http://schemas.microsoft.com/office/drawing/2014/main" id="{00000000-0008-0000-1800-00005D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4" name="2589 CuadroTexto">
          <a:extLst>
            <a:ext uri="{FF2B5EF4-FFF2-40B4-BE49-F238E27FC236}">
              <a16:creationId xmlns:a16="http://schemas.microsoft.com/office/drawing/2014/main" id="{00000000-0008-0000-1800-00005E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5" name="240 CuadroTexto">
          <a:extLst>
            <a:ext uri="{FF2B5EF4-FFF2-40B4-BE49-F238E27FC236}">
              <a16:creationId xmlns:a16="http://schemas.microsoft.com/office/drawing/2014/main" id="{00000000-0008-0000-1800-00005F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6" name="241 CuadroTexto">
          <a:extLst>
            <a:ext uri="{FF2B5EF4-FFF2-40B4-BE49-F238E27FC236}">
              <a16:creationId xmlns:a16="http://schemas.microsoft.com/office/drawing/2014/main" id="{00000000-0008-0000-1800-000060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7" name="246 CuadroTexto">
          <a:extLst>
            <a:ext uri="{FF2B5EF4-FFF2-40B4-BE49-F238E27FC236}">
              <a16:creationId xmlns:a16="http://schemas.microsoft.com/office/drawing/2014/main" id="{00000000-0008-0000-1800-000061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8" name="247 CuadroTexto">
          <a:extLst>
            <a:ext uri="{FF2B5EF4-FFF2-40B4-BE49-F238E27FC236}">
              <a16:creationId xmlns:a16="http://schemas.microsoft.com/office/drawing/2014/main" id="{00000000-0008-0000-1800-000062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99" name="248 CuadroTexto">
          <a:extLst>
            <a:ext uri="{FF2B5EF4-FFF2-40B4-BE49-F238E27FC236}">
              <a16:creationId xmlns:a16="http://schemas.microsoft.com/office/drawing/2014/main" id="{00000000-0008-0000-1800-000063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00" name="249 CuadroTexto">
          <a:extLst>
            <a:ext uri="{FF2B5EF4-FFF2-40B4-BE49-F238E27FC236}">
              <a16:creationId xmlns:a16="http://schemas.microsoft.com/office/drawing/2014/main" id="{00000000-0008-0000-1800-000064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01" name="2429 CuadroTexto">
          <a:extLst>
            <a:ext uri="{FF2B5EF4-FFF2-40B4-BE49-F238E27FC236}">
              <a16:creationId xmlns:a16="http://schemas.microsoft.com/office/drawing/2014/main" id="{00000000-0008-0000-1800-000065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02" name="2430 CuadroTexto">
          <a:extLst>
            <a:ext uri="{FF2B5EF4-FFF2-40B4-BE49-F238E27FC236}">
              <a16:creationId xmlns:a16="http://schemas.microsoft.com/office/drawing/2014/main" id="{00000000-0008-0000-1800-000066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03" name="2431 CuadroTexto">
          <a:extLst>
            <a:ext uri="{FF2B5EF4-FFF2-40B4-BE49-F238E27FC236}">
              <a16:creationId xmlns:a16="http://schemas.microsoft.com/office/drawing/2014/main" id="{00000000-0008-0000-1800-000067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04" name="2432 CuadroTexto">
          <a:extLst>
            <a:ext uri="{FF2B5EF4-FFF2-40B4-BE49-F238E27FC236}">
              <a16:creationId xmlns:a16="http://schemas.microsoft.com/office/drawing/2014/main" id="{00000000-0008-0000-1800-000068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05" name="2433 CuadroTexto">
          <a:extLst>
            <a:ext uri="{FF2B5EF4-FFF2-40B4-BE49-F238E27FC236}">
              <a16:creationId xmlns:a16="http://schemas.microsoft.com/office/drawing/2014/main" id="{00000000-0008-0000-1800-000069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06" name="2434 CuadroTexto">
          <a:extLst>
            <a:ext uri="{FF2B5EF4-FFF2-40B4-BE49-F238E27FC236}">
              <a16:creationId xmlns:a16="http://schemas.microsoft.com/office/drawing/2014/main" id="{00000000-0008-0000-1800-00006A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07" name="2584 CuadroTexto">
          <a:extLst>
            <a:ext uri="{FF2B5EF4-FFF2-40B4-BE49-F238E27FC236}">
              <a16:creationId xmlns:a16="http://schemas.microsoft.com/office/drawing/2014/main" id="{00000000-0008-0000-1800-00006B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08" name="2585 CuadroTexto">
          <a:extLst>
            <a:ext uri="{FF2B5EF4-FFF2-40B4-BE49-F238E27FC236}">
              <a16:creationId xmlns:a16="http://schemas.microsoft.com/office/drawing/2014/main" id="{00000000-0008-0000-1800-00006C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09" name="2586 CuadroTexto">
          <a:extLst>
            <a:ext uri="{FF2B5EF4-FFF2-40B4-BE49-F238E27FC236}">
              <a16:creationId xmlns:a16="http://schemas.microsoft.com/office/drawing/2014/main" id="{00000000-0008-0000-1800-00006D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10" name="2587 CuadroTexto">
          <a:extLst>
            <a:ext uri="{FF2B5EF4-FFF2-40B4-BE49-F238E27FC236}">
              <a16:creationId xmlns:a16="http://schemas.microsoft.com/office/drawing/2014/main" id="{00000000-0008-0000-1800-00006E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11" name="2588 CuadroTexto">
          <a:extLst>
            <a:ext uri="{FF2B5EF4-FFF2-40B4-BE49-F238E27FC236}">
              <a16:creationId xmlns:a16="http://schemas.microsoft.com/office/drawing/2014/main" id="{00000000-0008-0000-1800-00006F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12" name="2589 CuadroTexto">
          <a:extLst>
            <a:ext uri="{FF2B5EF4-FFF2-40B4-BE49-F238E27FC236}">
              <a16:creationId xmlns:a16="http://schemas.microsoft.com/office/drawing/2014/main" id="{00000000-0008-0000-1800-000070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13" name="240 CuadroTexto">
          <a:extLst>
            <a:ext uri="{FF2B5EF4-FFF2-40B4-BE49-F238E27FC236}">
              <a16:creationId xmlns:a16="http://schemas.microsoft.com/office/drawing/2014/main" id="{00000000-0008-0000-1800-000071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14" name="241 CuadroTexto">
          <a:extLst>
            <a:ext uri="{FF2B5EF4-FFF2-40B4-BE49-F238E27FC236}">
              <a16:creationId xmlns:a16="http://schemas.microsoft.com/office/drawing/2014/main" id="{00000000-0008-0000-1800-000072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15" name="246 CuadroTexto">
          <a:extLst>
            <a:ext uri="{FF2B5EF4-FFF2-40B4-BE49-F238E27FC236}">
              <a16:creationId xmlns:a16="http://schemas.microsoft.com/office/drawing/2014/main" id="{00000000-0008-0000-1800-000073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16" name="247 CuadroTexto">
          <a:extLst>
            <a:ext uri="{FF2B5EF4-FFF2-40B4-BE49-F238E27FC236}">
              <a16:creationId xmlns:a16="http://schemas.microsoft.com/office/drawing/2014/main" id="{00000000-0008-0000-1800-000074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17" name="248 CuadroTexto">
          <a:extLst>
            <a:ext uri="{FF2B5EF4-FFF2-40B4-BE49-F238E27FC236}">
              <a16:creationId xmlns:a16="http://schemas.microsoft.com/office/drawing/2014/main" id="{00000000-0008-0000-1800-000075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18" name="249 CuadroTexto">
          <a:extLst>
            <a:ext uri="{FF2B5EF4-FFF2-40B4-BE49-F238E27FC236}">
              <a16:creationId xmlns:a16="http://schemas.microsoft.com/office/drawing/2014/main" id="{00000000-0008-0000-1800-000076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19" name="2429 CuadroTexto">
          <a:extLst>
            <a:ext uri="{FF2B5EF4-FFF2-40B4-BE49-F238E27FC236}">
              <a16:creationId xmlns:a16="http://schemas.microsoft.com/office/drawing/2014/main" id="{00000000-0008-0000-1800-000077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20" name="2430 CuadroTexto">
          <a:extLst>
            <a:ext uri="{FF2B5EF4-FFF2-40B4-BE49-F238E27FC236}">
              <a16:creationId xmlns:a16="http://schemas.microsoft.com/office/drawing/2014/main" id="{00000000-0008-0000-1800-000078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21" name="2431 CuadroTexto">
          <a:extLst>
            <a:ext uri="{FF2B5EF4-FFF2-40B4-BE49-F238E27FC236}">
              <a16:creationId xmlns:a16="http://schemas.microsoft.com/office/drawing/2014/main" id="{00000000-0008-0000-1800-000079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22" name="2432 CuadroTexto">
          <a:extLst>
            <a:ext uri="{FF2B5EF4-FFF2-40B4-BE49-F238E27FC236}">
              <a16:creationId xmlns:a16="http://schemas.microsoft.com/office/drawing/2014/main" id="{00000000-0008-0000-1800-00007A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23" name="2433 CuadroTexto">
          <a:extLst>
            <a:ext uri="{FF2B5EF4-FFF2-40B4-BE49-F238E27FC236}">
              <a16:creationId xmlns:a16="http://schemas.microsoft.com/office/drawing/2014/main" id="{00000000-0008-0000-1800-00007B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24" name="2434 CuadroTexto">
          <a:extLst>
            <a:ext uri="{FF2B5EF4-FFF2-40B4-BE49-F238E27FC236}">
              <a16:creationId xmlns:a16="http://schemas.microsoft.com/office/drawing/2014/main" id="{00000000-0008-0000-1800-00007C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25" name="2584 CuadroTexto">
          <a:extLst>
            <a:ext uri="{FF2B5EF4-FFF2-40B4-BE49-F238E27FC236}">
              <a16:creationId xmlns:a16="http://schemas.microsoft.com/office/drawing/2014/main" id="{00000000-0008-0000-1800-00007D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26" name="2585 CuadroTexto">
          <a:extLst>
            <a:ext uri="{FF2B5EF4-FFF2-40B4-BE49-F238E27FC236}">
              <a16:creationId xmlns:a16="http://schemas.microsoft.com/office/drawing/2014/main" id="{00000000-0008-0000-1800-00007E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27" name="2586 CuadroTexto">
          <a:extLst>
            <a:ext uri="{FF2B5EF4-FFF2-40B4-BE49-F238E27FC236}">
              <a16:creationId xmlns:a16="http://schemas.microsoft.com/office/drawing/2014/main" id="{00000000-0008-0000-1800-00007F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28" name="2587 CuadroTexto">
          <a:extLst>
            <a:ext uri="{FF2B5EF4-FFF2-40B4-BE49-F238E27FC236}">
              <a16:creationId xmlns:a16="http://schemas.microsoft.com/office/drawing/2014/main" id="{00000000-0008-0000-1800-000080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29" name="2588 CuadroTexto">
          <a:extLst>
            <a:ext uri="{FF2B5EF4-FFF2-40B4-BE49-F238E27FC236}">
              <a16:creationId xmlns:a16="http://schemas.microsoft.com/office/drawing/2014/main" id="{00000000-0008-0000-1800-000081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30" name="2589 CuadroTexto">
          <a:extLst>
            <a:ext uri="{FF2B5EF4-FFF2-40B4-BE49-F238E27FC236}">
              <a16:creationId xmlns:a16="http://schemas.microsoft.com/office/drawing/2014/main" id="{00000000-0008-0000-1800-000082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31" name="240 CuadroTexto">
          <a:extLst>
            <a:ext uri="{FF2B5EF4-FFF2-40B4-BE49-F238E27FC236}">
              <a16:creationId xmlns:a16="http://schemas.microsoft.com/office/drawing/2014/main" id="{00000000-0008-0000-1800-000083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32" name="241 CuadroTexto">
          <a:extLst>
            <a:ext uri="{FF2B5EF4-FFF2-40B4-BE49-F238E27FC236}">
              <a16:creationId xmlns:a16="http://schemas.microsoft.com/office/drawing/2014/main" id="{00000000-0008-0000-1800-000084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33" name="246 CuadroTexto">
          <a:extLst>
            <a:ext uri="{FF2B5EF4-FFF2-40B4-BE49-F238E27FC236}">
              <a16:creationId xmlns:a16="http://schemas.microsoft.com/office/drawing/2014/main" id="{00000000-0008-0000-1800-000085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34" name="247 CuadroTexto">
          <a:extLst>
            <a:ext uri="{FF2B5EF4-FFF2-40B4-BE49-F238E27FC236}">
              <a16:creationId xmlns:a16="http://schemas.microsoft.com/office/drawing/2014/main" id="{00000000-0008-0000-1800-000086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35" name="248 CuadroTexto">
          <a:extLst>
            <a:ext uri="{FF2B5EF4-FFF2-40B4-BE49-F238E27FC236}">
              <a16:creationId xmlns:a16="http://schemas.microsoft.com/office/drawing/2014/main" id="{00000000-0008-0000-1800-000087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32</xdr:row>
      <xdr:rowOff>0</xdr:rowOff>
    </xdr:from>
    <xdr:ext cx="184731" cy="264560"/>
    <xdr:sp macro="" textlink="">
      <xdr:nvSpPr>
        <xdr:cNvPr id="136" name="249 CuadroTexto">
          <a:extLst>
            <a:ext uri="{FF2B5EF4-FFF2-40B4-BE49-F238E27FC236}">
              <a16:creationId xmlns:a16="http://schemas.microsoft.com/office/drawing/2014/main" id="{00000000-0008-0000-1800-000088000000}"/>
            </a:ext>
          </a:extLst>
        </xdr:cNvPr>
        <xdr:cNvSpPr txBox="1"/>
      </xdr:nvSpPr>
      <xdr:spPr>
        <a:xfrm>
          <a:off x="693777"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37" name="2584 CuadroTexto">
          <a:extLst>
            <a:ext uri="{FF2B5EF4-FFF2-40B4-BE49-F238E27FC236}">
              <a16:creationId xmlns:a16="http://schemas.microsoft.com/office/drawing/2014/main" id="{00000000-0008-0000-1800-000089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38" name="2585 CuadroTexto">
          <a:extLst>
            <a:ext uri="{FF2B5EF4-FFF2-40B4-BE49-F238E27FC236}">
              <a16:creationId xmlns:a16="http://schemas.microsoft.com/office/drawing/2014/main" id="{00000000-0008-0000-1800-00008A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39" name="2586 CuadroTexto">
          <a:extLst>
            <a:ext uri="{FF2B5EF4-FFF2-40B4-BE49-F238E27FC236}">
              <a16:creationId xmlns:a16="http://schemas.microsoft.com/office/drawing/2014/main" id="{00000000-0008-0000-1800-00008B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40" name="2587 CuadroTexto">
          <a:extLst>
            <a:ext uri="{FF2B5EF4-FFF2-40B4-BE49-F238E27FC236}">
              <a16:creationId xmlns:a16="http://schemas.microsoft.com/office/drawing/2014/main" id="{00000000-0008-0000-1800-00008C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41" name="2588 CuadroTexto">
          <a:extLst>
            <a:ext uri="{FF2B5EF4-FFF2-40B4-BE49-F238E27FC236}">
              <a16:creationId xmlns:a16="http://schemas.microsoft.com/office/drawing/2014/main" id="{00000000-0008-0000-1800-00008D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42" name="2589 CuadroTexto">
          <a:extLst>
            <a:ext uri="{FF2B5EF4-FFF2-40B4-BE49-F238E27FC236}">
              <a16:creationId xmlns:a16="http://schemas.microsoft.com/office/drawing/2014/main" id="{00000000-0008-0000-1800-00008E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43" name="240 CuadroTexto">
          <a:extLst>
            <a:ext uri="{FF2B5EF4-FFF2-40B4-BE49-F238E27FC236}">
              <a16:creationId xmlns:a16="http://schemas.microsoft.com/office/drawing/2014/main" id="{00000000-0008-0000-1800-00008F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44" name="241 CuadroTexto">
          <a:extLst>
            <a:ext uri="{FF2B5EF4-FFF2-40B4-BE49-F238E27FC236}">
              <a16:creationId xmlns:a16="http://schemas.microsoft.com/office/drawing/2014/main" id="{00000000-0008-0000-1800-000090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45" name="246 CuadroTexto">
          <a:extLst>
            <a:ext uri="{FF2B5EF4-FFF2-40B4-BE49-F238E27FC236}">
              <a16:creationId xmlns:a16="http://schemas.microsoft.com/office/drawing/2014/main" id="{00000000-0008-0000-1800-000091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46" name="247 CuadroTexto">
          <a:extLst>
            <a:ext uri="{FF2B5EF4-FFF2-40B4-BE49-F238E27FC236}">
              <a16:creationId xmlns:a16="http://schemas.microsoft.com/office/drawing/2014/main" id="{00000000-0008-0000-1800-000092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47" name="248 CuadroTexto">
          <a:extLst>
            <a:ext uri="{FF2B5EF4-FFF2-40B4-BE49-F238E27FC236}">
              <a16:creationId xmlns:a16="http://schemas.microsoft.com/office/drawing/2014/main" id="{00000000-0008-0000-1800-000093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31</xdr:row>
      <xdr:rowOff>0</xdr:rowOff>
    </xdr:from>
    <xdr:ext cx="184731" cy="264560"/>
    <xdr:sp macro="" textlink="">
      <xdr:nvSpPr>
        <xdr:cNvPr id="148" name="249 CuadroTexto">
          <a:extLst>
            <a:ext uri="{FF2B5EF4-FFF2-40B4-BE49-F238E27FC236}">
              <a16:creationId xmlns:a16="http://schemas.microsoft.com/office/drawing/2014/main" id="{00000000-0008-0000-1800-000094000000}"/>
            </a:ext>
          </a:extLst>
        </xdr:cNvPr>
        <xdr:cNvSpPr txBox="1"/>
      </xdr:nvSpPr>
      <xdr:spPr>
        <a:xfrm>
          <a:off x="693777" y="801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49" name="2584 CuadroTexto">
          <a:extLst>
            <a:ext uri="{FF2B5EF4-FFF2-40B4-BE49-F238E27FC236}">
              <a16:creationId xmlns:a16="http://schemas.microsoft.com/office/drawing/2014/main" id="{00000000-0008-0000-1800-000095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50" name="2585 CuadroTexto">
          <a:extLst>
            <a:ext uri="{FF2B5EF4-FFF2-40B4-BE49-F238E27FC236}">
              <a16:creationId xmlns:a16="http://schemas.microsoft.com/office/drawing/2014/main" id="{00000000-0008-0000-1800-000096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51" name="2586 CuadroTexto">
          <a:extLst>
            <a:ext uri="{FF2B5EF4-FFF2-40B4-BE49-F238E27FC236}">
              <a16:creationId xmlns:a16="http://schemas.microsoft.com/office/drawing/2014/main" id="{00000000-0008-0000-1800-000097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52" name="2587 CuadroTexto">
          <a:extLst>
            <a:ext uri="{FF2B5EF4-FFF2-40B4-BE49-F238E27FC236}">
              <a16:creationId xmlns:a16="http://schemas.microsoft.com/office/drawing/2014/main" id="{00000000-0008-0000-1800-000098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53" name="2588 CuadroTexto">
          <a:extLst>
            <a:ext uri="{FF2B5EF4-FFF2-40B4-BE49-F238E27FC236}">
              <a16:creationId xmlns:a16="http://schemas.microsoft.com/office/drawing/2014/main" id="{00000000-0008-0000-1800-000099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0</xdr:col>
      <xdr:colOff>693777</xdr:colOff>
      <xdr:row>30</xdr:row>
      <xdr:rowOff>0</xdr:rowOff>
    </xdr:from>
    <xdr:ext cx="184731" cy="264560"/>
    <xdr:sp macro="" textlink="">
      <xdr:nvSpPr>
        <xdr:cNvPr id="154" name="2589 CuadroTexto">
          <a:extLst>
            <a:ext uri="{FF2B5EF4-FFF2-40B4-BE49-F238E27FC236}">
              <a16:creationId xmlns:a16="http://schemas.microsoft.com/office/drawing/2014/main" id="{00000000-0008-0000-1800-00009A000000}"/>
            </a:ext>
          </a:extLst>
        </xdr:cNvPr>
        <xdr:cNvSpPr txBox="1"/>
      </xdr:nvSpPr>
      <xdr:spPr>
        <a:xfrm>
          <a:off x="693777"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wsDr>
</file>

<file path=xl/drawings/drawing22.xml><?xml version="1.0" encoding="utf-8"?>
<xdr:wsDr xmlns:xdr="http://schemas.openxmlformats.org/drawingml/2006/spreadsheetDrawing" xmlns:a="http://schemas.openxmlformats.org/drawingml/2006/main">
  <xdr:twoCellAnchor>
    <xdr:from>
      <xdr:col>4</xdr:col>
      <xdr:colOff>523875</xdr:colOff>
      <xdr:row>6</xdr:row>
      <xdr:rowOff>9525</xdr:rowOff>
    </xdr:from>
    <xdr:to>
      <xdr:col>6</xdr:col>
      <xdr:colOff>704850</xdr:colOff>
      <xdr:row>7</xdr:row>
      <xdr:rowOff>289076</xdr:rowOff>
    </xdr:to>
    <xdr:pic>
      <xdr:nvPicPr>
        <xdr:cNvPr id="2" name="1 Imagen" descr="NEIVA UNIDA">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71875" y="981075"/>
          <a:ext cx="1704975" cy="3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6</xdr:row>
      <xdr:rowOff>28575</xdr:rowOff>
    </xdr:from>
    <xdr:to>
      <xdr:col>4</xdr:col>
      <xdr:colOff>470927</xdr:colOff>
      <xdr:row>7</xdr:row>
      <xdr:rowOff>285750</xdr:rowOff>
    </xdr:to>
    <xdr:pic>
      <xdr:nvPicPr>
        <xdr:cNvPr id="3" name="2 Imagen" descr="44 AÑOS">
          <a:extLst>
            <a:ext uri="{FF2B5EF4-FFF2-40B4-BE49-F238E27FC236}">
              <a16:creationId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71725" y="1000125"/>
          <a:ext cx="1147202"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70</xdr:row>
      <xdr:rowOff>9525</xdr:rowOff>
    </xdr:from>
    <xdr:to>
      <xdr:col>6</xdr:col>
      <xdr:colOff>704850</xdr:colOff>
      <xdr:row>71</xdr:row>
      <xdr:rowOff>289076</xdr:rowOff>
    </xdr:to>
    <xdr:pic>
      <xdr:nvPicPr>
        <xdr:cNvPr id="4" name="3 Imagen" descr="NEIVA UNIDA">
          <a:extLst>
            <a:ext uri="{FF2B5EF4-FFF2-40B4-BE49-F238E27FC236}">
              <a16:creationId xmlns:a16="http://schemas.microsoft.com/office/drawing/2014/main" id="{00000000-0008-0000-19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71875" y="11344275"/>
          <a:ext cx="1704975" cy="3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70</xdr:row>
      <xdr:rowOff>28575</xdr:rowOff>
    </xdr:from>
    <xdr:to>
      <xdr:col>4</xdr:col>
      <xdr:colOff>470927</xdr:colOff>
      <xdr:row>71</xdr:row>
      <xdr:rowOff>285750</xdr:rowOff>
    </xdr:to>
    <xdr:pic>
      <xdr:nvPicPr>
        <xdr:cNvPr id="5" name="4 Imagen" descr="44 AÑOS">
          <a:extLst>
            <a:ext uri="{FF2B5EF4-FFF2-40B4-BE49-F238E27FC236}">
              <a16:creationId xmlns:a16="http://schemas.microsoft.com/office/drawing/2014/main" id="{00000000-0008-0000-19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71725" y="11363325"/>
          <a:ext cx="1147202"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102</xdr:row>
      <xdr:rowOff>9525</xdr:rowOff>
    </xdr:from>
    <xdr:to>
      <xdr:col>6</xdr:col>
      <xdr:colOff>704850</xdr:colOff>
      <xdr:row>103</xdr:row>
      <xdr:rowOff>289076</xdr:rowOff>
    </xdr:to>
    <xdr:pic>
      <xdr:nvPicPr>
        <xdr:cNvPr id="6" name="5 Imagen" descr="NEIVA UNIDA">
          <a:extLst>
            <a:ext uri="{FF2B5EF4-FFF2-40B4-BE49-F238E27FC236}">
              <a16:creationId xmlns:a16="http://schemas.microsoft.com/office/drawing/2014/main" id="{00000000-0008-0000-19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71875" y="16525875"/>
          <a:ext cx="1704975" cy="3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102</xdr:row>
      <xdr:rowOff>28575</xdr:rowOff>
    </xdr:from>
    <xdr:to>
      <xdr:col>4</xdr:col>
      <xdr:colOff>470927</xdr:colOff>
      <xdr:row>103</xdr:row>
      <xdr:rowOff>285750</xdr:rowOff>
    </xdr:to>
    <xdr:pic>
      <xdr:nvPicPr>
        <xdr:cNvPr id="7" name="6 Imagen" descr="44 AÑOS">
          <a:extLst>
            <a:ext uri="{FF2B5EF4-FFF2-40B4-BE49-F238E27FC236}">
              <a16:creationId xmlns:a16="http://schemas.microsoft.com/office/drawing/2014/main" id="{00000000-0008-0000-19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71725" y="16544925"/>
          <a:ext cx="1147202"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38</xdr:row>
      <xdr:rowOff>9525</xdr:rowOff>
    </xdr:from>
    <xdr:to>
      <xdr:col>6</xdr:col>
      <xdr:colOff>704850</xdr:colOff>
      <xdr:row>39</xdr:row>
      <xdr:rowOff>289076</xdr:rowOff>
    </xdr:to>
    <xdr:pic>
      <xdr:nvPicPr>
        <xdr:cNvPr id="10" name="9 Imagen" descr="NEIVA UNIDA">
          <a:extLst>
            <a:ext uri="{FF2B5EF4-FFF2-40B4-BE49-F238E27FC236}">
              <a16:creationId xmlns:a16="http://schemas.microsoft.com/office/drawing/2014/main" id="{00000000-0008-0000-19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71875" y="6162675"/>
          <a:ext cx="1704975" cy="3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38</xdr:row>
      <xdr:rowOff>28575</xdr:rowOff>
    </xdr:from>
    <xdr:to>
      <xdr:col>4</xdr:col>
      <xdr:colOff>470927</xdr:colOff>
      <xdr:row>39</xdr:row>
      <xdr:rowOff>285750</xdr:rowOff>
    </xdr:to>
    <xdr:pic>
      <xdr:nvPicPr>
        <xdr:cNvPr id="11" name="10 Imagen" descr="44 AÑOS">
          <a:extLst>
            <a:ext uri="{FF2B5EF4-FFF2-40B4-BE49-F238E27FC236}">
              <a16:creationId xmlns:a16="http://schemas.microsoft.com/office/drawing/2014/main" id="{00000000-0008-0000-1900-00000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71725" y="6181725"/>
          <a:ext cx="1147202"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441</xdr:row>
      <xdr:rowOff>9525</xdr:rowOff>
    </xdr:from>
    <xdr:to>
      <xdr:col>6</xdr:col>
      <xdr:colOff>704850</xdr:colOff>
      <xdr:row>442</xdr:row>
      <xdr:rowOff>289076</xdr:rowOff>
    </xdr:to>
    <xdr:pic>
      <xdr:nvPicPr>
        <xdr:cNvPr id="14" name="13 Imagen" descr="NEIVA UNIDA">
          <a:extLst>
            <a:ext uri="{FF2B5EF4-FFF2-40B4-BE49-F238E27FC236}">
              <a16:creationId xmlns:a16="http://schemas.microsoft.com/office/drawing/2014/main" id="{00000000-0008-0000-19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71875" y="71418450"/>
          <a:ext cx="1704975" cy="3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441</xdr:row>
      <xdr:rowOff>28575</xdr:rowOff>
    </xdr:from>
    <xdr:to>
      <xdr:col>4</xdr:col>
      <xdr:colOff>470927</xdr:colOff>
      <xdr:row>442</xdr:row>
      <xdr:rowOff>285750</xdr:rowOff>
    </xdr:to>
    <xdr:pic>
      <xdr:nvPicPr>
        <xdr:cNvPr id="15" name="14 Imagen" descr="44 AÑOS">
          <a:extLst>
            <a:ext uri="{FF2B5EF4-FFF2-40B4-BE49-F238E27FC236}">
              <a16:creationId xmlns:a16="http://schemas.microsoft.com/office/drawing/2014/main" id="{00000000-0008-0000-1900-00000F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71725" y="71437500"/>
          <a:ext cx="1147202"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91109</xdr:colOff>
      <xdr:row>0</xdr:row>
      <xdr:rowOff>49695</xdr:rowOff>
    </xdr:from>
    <xdr:to>
      <xdr:col>0</xdr:col>
      <xdr:colOff>1319834</xdr:colOff>
      <xdr:row>4</xdr:row>
      <xdr:rowOff>8282</xdr:rowOff>
    </xdr:to>
    <xdr:sp macro="" textlink="">
      <xdr:nvSpPr>
        <xdr:cNvPr id="16" name="15 Flecha izquierda">
          <a:hlinkClick xmlns:r="http://schemas.openxmlformats.org/officeDocument/2006/relationships" r:id="rId3"/>
          <a:extLst>
            <a:ext uri="{FF2B5EF4-FFF2-40B4-BE49-F238E27FC236}">
              <a16:creationId xmlns:a16="http://schemas.microsoft.com/office/drawing/2014/main" id="{00000000-0008-0000-1900-000010000000}"/>
            </a:ext>
          </a:extLst>
        </xdr:cNvPr>
        <xdr:cNvSpPr/>
      </xdr:nvSpPr>
      <xdr:spPr>
        <a:xfrm>
          <a:off x="91109" y="49695"/>
          <a:ext cx="666750" cy="606287"/>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5</xdr:col>
      <xdr:colOff>8282</xdr:colOff>
      <xdr:row>0</xdr:row>
      <xdr:rowOff>41414</xdr:rowOff>
    </xdr:from>
    <xdr:to>
      <xdr:col>6</xdr:col>
      <xdr:colOff>530087</xdr:colOff>
      <xdr:row>4</xdr:row>
      <xdr:rowOff>91109</xdr:rowOff>
    </xdr:to>
    <xdr:sp macro="" textlink="">
      <xdr:nvSpPr>
        <xdr:cNvPr id="17" name="16 Flecha derecha">
          <a:hlinkClick xmlns:r="http://schemas.openxmlformats.org/officeDocument/2006/relationships" r:id="rId4"/>
          <a:extLst>
            <a:ext uri="{FF2B5EF4-FFF2-40B4-BE49-F238E27FC236}">
              <a16:creationId xmlns:a16="http://schemas.microsoft.com/office/drawing/2014/main" id="{00000000-0008-0000-1900-000011000000}"/>
            </a:ext>
          </a:extLst>
        </xdr:cNvPr>
        <xdr:cNvSpPr/>
      </xdr:nvSpPr>
      <xdr:spPr>
        <a:xfrm>
          <a:off x="3818282" y="41414"/>
          <a:ext cx="1283805" cy="697395"/>
        </a:xfrm>
        <a:prstGeom prst="rightArrow">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400" b="1"/>
            <a:t>MATERIALES</a:t>
          </a:r>
        </a:p>
      </xdr:txBody>
    </xdr:sp>
    <xdr:clientData/>
  </xdr:twoCellAnchor>
  <xdr:twoCellAnchor>
    <xdr:from>
      <xdr:col>3</xdr:col>
      <xdr:colOff>107673</xdr:colOff>
      <xdr:row>0</xdr:row>
      <xdr:rowOff>49696</xdr:rowOff>
    </xdr:from>
    <xdr:to>
      <xdr:col>4</xdr:col>
      <xdr:colOff>563216</xdr:colOff>
      <xdr:row>4</xdr:row>
      <xdr:rowOff>49695</xdr:rowOff>
    </xdr:to>
    <xdr:sp macro="" textlink="">
      <xdr:nvSpPr>
        <xdr:cNvPr id="18" name="17 Flecha derecha">
          <a:hlinkClick xmlns:r="http://schemas.openxmlformats.org/officeDocument/2006/relationships" r:id="rId5"/>
          <a:extLst>
            <a:ext uri="{FF2B5EF4-FFF2-40B4-BE49-F238E27FC236}">
              <a16:creationId xmlns:a16="http://schemas.microsoft.com/office/drawing/2014/main" id="{00000000-0008-0000-1900-000012000000}"/>
            </a:ext>
          </a:extLst>
        </xdr:cNvPr>
        <xdr:cNvSpPr/>
      </xdr:nvSpPr>
      <xdr:spPr>
        <a:xfrm>
          <a:off x="2393673" y="49696"/>
          <a:ext cx="1217543" cy="647699"/>
        </a:xfrm>
        <a:prstGeom prst="rightArrow">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600" b="1"/>
            <a:t>EQUIPOS</a:t>
          </a:r>
          <a:endParaRPr lang="es-ES" sz="1400" b="1"/>
        </a:p>
      </xdr:txBody>
    </xdr:sp>
    <xdr:clientData/>
  </xdr:twoCellAnchor>
  <xdr:twoCellAnchor>
    <xdr:from>
      <xdr:col>1</xdr:col>
      <xdr:colOff>11596</xdr:colOff>
      <xdr:row>0</xdr:row>
      <xdr:rowOff>44725</xdr:rowOff>
    </xdr:from>
    <xdr:to>
      <xdr:col>2</xdr:col>
      <xdr:colOff>478321</xdr:colOff>
      <xdr:row>4</xdr:row>
      <xdr:rowOff>3312</xdr:rowOff>
    </xdr:to>
    <xdr:sp macro="" textlink="">
      <xdr:nvSpPr>
        <xdr:cNvPr id="19" name="18 Flecha izquierda">
          <a:hlinkClick xmlns:r="http://schemas.openxmlformats.org/officeDocument/2006/relationships" r:id="rId6"/>
          <a:extLst>
            <a:ext uri="{FF2B5EF4-FFF2-40B4-BE49-F238E27FC236}">
              <a16:creationId xmlns:a16="http://schemas.microsoft.com/office/drawing/2014/main" id="{00000000-0008-0000-1900-000013000000}"/>
            </a:ext>
          </a:extLst>
        </xdr:cNvPr>
        <xdr:cNvSpPr/>
      </xdr:nvSpPr>
      <xdr:spPr>
        <a:xfrm>
          <a:off x="773596" y="44725"/>
          <a:ext cx="1228725" cy="606287"/>
        </a:xfrm>
        <a:prstGeom prst="left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300" b="1"/>
            <a:t>Analisis Basi.</a:t>
          </a:r>
        </a:p>
      </xdr:txBody>
    </xdr:sp>
    <xdr:clientData/>
  </xdr:twoCellAnchor>
  <xdr:twoCellAnchor>
    <xdr:from>
      <xdr:col>4</xdr:col>
      <xdr:colOff>523875</xdr:colOff>
      <xdr:row>203</xdr:row>
      <xdr:rowOff>9525</xdr:rowOff>
    </xdr:from>
    <xdr:to>
      <xdr:col>6</xdr:col>
      <xdr:colOff>704850</xdr:colOff>
      <xdr:row>204</xdr:row>
      <xdr:rowOff>289076</xdr:rowOff>
    </xdr:to>
    <xdr:pic>
      <xdr:nvPicPr>
        <xdr:cNvPr id="20" name="19 Imagen" descr="NEIVA UNIDA">
          <a:extLst>
            <a:ext uri="{FF2B5EF4-FFF2-40B4-BE49-F238E27FC236}">
              <a16:creationId xmlns:a16="http://schemas.microsoft.com/office/drawing/2014/main" id="{00000000-0008-0000-1900-00001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71875" y="32880300"/>
          <a:ext cx="1704975" cy="3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203</xdr:row>
      <xdr:rowOff>28575</xdr:rowOff>
    </xdr:from>
    <xdr:to>
      <xdr:col>4</xdr:col>
      <xdr:colOff>470927</xdr:colOff>
      <xdr:row>204</xdr:row>
      <xdr:rowOff>285750</xdr:rowOff>
    </xdr:to>
    <xdr:pic>
      <xdr:nvPicPr>
        <xdr:cNvPr id="21" name="20 Imagen" descr="44 AÑOS">
          <a:extLst>
            <a:ext uri="{FF2B5EF4-FFF2-40B4-BE49-F238E27FC236}">
              <a16:creationId xmlns:a16="http://schemas.microsoft.com/office/drawing/2014/main" id="{00000000-0008-0000-1900-00001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71725" y="32899350"/>
          <a:ext cx="1147202"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239</xdr:row>
      <xdr:rowOff>9525</xdr:rowOff>
    </xdr:from>
    <xdr:to>
      <xdr:col>6</xdr:col>
      <xdr:colOff>704850</xdr:colOff>
      <xdr:row>240</xdr:row>
      <xdr:rowOff>289076</xdr:rowOff>
    </xdr:to>
    <xdr:pic>
      <xdr:nvPicPr>
        <xdr:cNvPr id="22" name="21 Imagen" descr="NEIVA UNIDA">
          <a:extLst>
            <a:ext uri="{FF2B5EF4-FFF2-40B4-BE49-F238E27FC236}">
              <a16:creationId xmlns:a16="http://schemas.microsoft.com/office/drawing/2014/main" id="{00000000-0008-0000-1900-00001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71875" y="38709600"/>
          <a:ext cx="1704975" cy="3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239</xdr:row>
      <xdr:rowOff>28575</xdr:rowOff>
    </xdr:from>
    <xdr:to>
      <xdr:col>4</xdr:col>
      <xdr:colOff>470927</xdr:colOff>
      <xdr:row>240</xdr:row>
      <xdr:rowOff>285750</xdr:rowOff>
    </xdr:to>
    <xdr:pic>
      <xdr:nvPicPr>
        <xdr:cNvPr id="23" name="22 Imagen" descr="44 AÑOS">
          <a:extLst>
            <a:ext uri="{FF2B5EF4-FFF2-40B4-BE49-F238E27FC236}">
              <a16:creationId xmlns:a16="http://schemas.microsoft.com/office/drawing/2014/main" id="{00000000-0008-0000-1900-00001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71725" y="38728650"/>
          <a:ext cx="1147202"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274</xdr:row>
      <xdr:rowOff>9525</xdr:rowOff>
    </xdr:from>
    <xdr:to>
      <xdr:col>6</xdr:col>
      <xdr:colOff>704850</xdr:colOff>
      <xdr:row>275</xdr:row>
      <xdr:rowOff>289076</xdr:rowOff>
    </xdr:to>
    <xdr:pic>
      <xdr:nvPicPr>
        <xdr:cNvPr id="24" name="23 Imagen" descr="NEIVA UNIDA">
          <a:extLst>
            <a:ext uri="{FF2B5EF4-FFF2-40B4-BE49-F238E27FC236}">
              <a16:creationId xmlns:a16="http://schemas.microsoft.com/office/drawing/2014/main" id="{00000000-0008-0000-1900-00001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71875" y="44376975"/>
          <a:ext cx="1704975" cy="3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274</xdr:row>
      <xdr:rowOff>28575</xdr:rowOff>
    </xdr:from>
    <xdr:to>
      <xdr:col>4</xdr:col>
      <xdr:colOff>470927</xdr:colOff>
      <xdr:row>275</xdr:row>
      <xdr:rowOff>285750</xdr:rowOff>
    </xdr:to>
    <xdr:pic>
      <xdr:nvPicPr>
        <xdr:cNvPr id="25" name="24 Imagen" descr="44 AÑOS">
          <a:extLst>
            <a:ext uri="{FF2B5EF4-FFF2-40B4-BE49-F238E27FC236}">
              <a16:creationId xmlns:a16="http://schemas.microsoft.com/office/drawing/2014/main" id="{00000000-0008-0000-1900-00001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71725" y="44396025"/>
          <a:ext cx="1147202"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308</xdr:row>
      <xdr:rowOff>9525</xdr:rowOff>
    </xdr:from>
    <xdr:to>
      <xdr:col>6</xdr:col>
      <xdr:colOff>704850</xdr:colOff>
      <xdr:row>309</xdr:row>
      <xdr:rowOff>289076</xdr:rowOff>
    </xdr:to>
    <xdr:pic>
      <xdr:nvPicPr>
        <xdr:cNvPr id="26" name="25 Imagen" descr="NEIVA UNIDA">
          <a:extLst>
            <a:ext uri="{FF2B5EF4-FFF2-40B4-BE49-F238E27FC236}">
              <a16:creationId xmlns:a16="http://schemas.microsoft.com/office/drawing/2014/main" id="{00000000-0008-0000-1900-00001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71875" y="49882425"/>
          <a:ext cx="1704975" cy="3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308</xdr:row>
      <xdr:rowOff>28575</xdr:rowOff>
    </xdr:from>
    <xdr:to>
      <xdr:col>4</xdr:col>
      <xdr:colOff>470927</xdr:colOff>
      <xdr:row>309</xdr:row>
      <xdr:rowOff>285750</xdr:rowOff>
    </xdr:to>
    <xdr:pic>
      <xdr:nvPicPr>
        <xdr:cNvPr id="27" name="26 Imagen" descr="44 AÑOS">
          <a:extLst>
            <a:ext uri="{FF2B5EF4-FFF2-40B4-BE49-F238E27FC236}">
              <a16:creationId xmlns:a16="http://schemas.microsoft.com/office/drawing/2014/main" id="{00000000-0008-0000-1900-00001B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71725" y="49901475"/>
          <a:ext cx="1147202"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345</xdr:row>
      <xdr:rowOff>9525</xdr:rowOff>
    </xdr:from>
    <xdr:to>
      <xdr:col>6</xdr:col>
      <xdr:colOff>704850</xdr:colOff>
      <xdr:row>346</xdr:row>
      <xdr:rowOff>289076</xdr:rowOff>
    </xdr:to>
    <xdr:pic>
      <xdr:nvPicPr>
        <xdr:cNvPr id="28" name="27 Imagen" descr="NEIVA UNIDA">
          <a:extLst>
            <a:ext uri="{FF2B5EF4-FFF2-40B4-BE49-F238E27FC236}">
              <a16:creationId xmlns:a16="http://schemas.microsoft.com/office/drawing/2014/main" id="{00000000-0008-0000-1900-00001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71875" y="55873650"/>
          <a:ext cx="1704975" cy="3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345</xdr:row>
      <xdr:rowOff>28575</xdr:rowOff>
    </xdr:from>
    <xdr:to>
      <xdr:col>4</xdr:col>
      <xdr:colOff>470927</xdr:colOff>
      <xdr:row>346</xdr:row>
      <xdr:rowOff>285750</xdr:rowOff>
    </xdr:to>
    <xdr:pic>
      <xdr:nvPicPr>
        <xdr:cNvPr id="29" name="28 Imagen" descr="44 AÑOS">
          <a:extLst>
            <a:ext uri="{FF2B5EF4-FFF2-40B4-BE49-F238E27FC236}">
              <a16:creationId xmlns:a16="http://schemas.microsoft.com/office/drawing/2014/main" id="{00000000-0008-0000-1900-00001D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71725" y="55892700"/>
          <a:ext cx="1147202"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377</xdr:row>
      <xdr:rowOff>9525</xdr:rowOff>
    </xdr:from>
    <xdr:to>
      <xdr:col>6</xdr:col>
      <xdr:colOff>704850</xdr:colOff>
      <xdr:row>378</xdr:row>
      <xdr:rowOff>289076</xdr:rowOff>
    </xdr:to>
    <xdr:pic>
      <xdr:nvPicPr>
        <xdr:cNvPr id="30" name="29 Imagen" descr="NEIVA UNIDA">
          <a:extLst>
            <a:ext uri="{FF2B5EF4-FFF2-40B4-BE49-F238E27FC236}">
              <a16:creationId xmlns:a16="http://schemas.microsoft.com/office/drawing/2014/main" id="{00000000-0008-0000-1900-00001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71875" y="61055250"/>
          <a:ext cx="1704975" cy="3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377</xdr:row>
      <xdr:rowOff>28575</xdr:rowOff>
    </xdr:from>
    <xdr:to>
      <xdr:col>4</xdr:col>
      <xdr:colOff>470927</xdr:colOff>
      <xdr:row>378</xdr:row>
      <xdr:rowOff>285750</xdr:rowOff>
    </xdr:to>
    <xdr:pic>
      <xdr:nvPicPr>
        <xdr:cNvPr id="31" name="30 Imagen" descr="44 AÑOS">
          <a:extLst>
            <a:ext uri="{FF2B5EF4-FFF2-40B4-BE49-F238E27FC236}">
              <a16:creationId xmlns:a16="http://schemas.microsoft.com/office/drawing/2014/main" id="{00000000-0008-0000-1900-00001F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71725" y="61074300"/>
          <a:ext cx="1147202"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408</xdr:row>
      <xdr:rowOff>9525</xdr:rowOff>
    </xdr:from>
    <xdr:to>
      <xdr:col>6</xdr:col>
      <xdr:colOff>704850</xdr:colOff>
      <xdr:row>409</xdr:row>
      <xdr:rowOff>289076</xdr:rowOff>
    </xdr:to>
    <xdr:pic>
      <xdr:nvPicPr>
        <xdr:cNvPr id="32" name="31 Imagen" descr="NEIVA UNIDA">
          <a:extLst>
            <a:ext uri="{FF2B5EF4-FFF2-40B4-BE49-F238E27FC236}">
              <a16:creationId xmlns:a16="http://schemas.microsoft.com/office/drawing/2014/main" id="{00000000-0008-0000-1900-00002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71875" y="66074925"/>
          <a:ext cx="1704975" cy="3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408</xdr:row>
      <xdr:rowOff>28575</xdr:rowOff>
    </xdr:from>
    <xdr:to>
      <xdr:col>4</xdr:col>
      <xdr:colOff>470927</xdr:colOff>
      <xdr:row>409</xdr:row>
      <xdr:rowOff>285750</xdr:rowOff>
    </xdr:to>
    <xdr:pic>
      <xdr:nvPicPr>
        <xdr:cNvPr id="33" name="32 Imagen" descr="44 AÑOS">
          <a:extLst>
            <a:ext uri="{FF2B5EF4-FFF2-40B4-BE49-F238E27FC236}">
              <a16:creationId xmlns:a16="http://schemas.microsoft.com/office/drawing/2014/main" id="{00000000-0008-0000-1900-000021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71725" y="66093975"/>
          <a:ext cx="1147202"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474</xdr:row>
      <xdr:rowOff>9525</xdr:rowOff>
    </xdr:from>
    <xdr:to>
      <xdr:col>6</xdr:col>
      <xdr:colOff>704850</xdr:colOff>
      <xdr:row>475</xdr:row>
      <xdr:rowOff>289076</xdr:rowOff>
    </xdr:to>
    <xdr:pic>
      <xdr:nvPicPr>
        <xdr:cNvPr id="34" name="33 Imagen" descr="NEIVA UNIDA">
          <a:extLst>
            <a:ext uri="{FF2B5EF4-FFF2-40B4-BE49-F238E27FC236}">
              <a16:creationId xmlns:a16="http://schemas.microsoft.com/office/drawing/2014/main" id="{00000000-0008-0000-1900-00002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71875" y="76761975"/>
          <a:ext cx="1704975" cy="3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474</xdr:row>
      <xdr:rowOff>28575</xdr:rowOff>
    </xdr:from>
    <xdr:to>
      <xdr:col>4</xdr:col>
      <xdr:colOff>470927</xdr:colOff>
      <xdr:row>475</xdr:row>
      <xdr:rowOff>285750</xdr:rowOff>
    </xdr:to>
    <xdr:pic>
      <xdr:nvPicPr>
        <xdr:cNvPr id="35" name="34 Imagen" descr="44 AÑOS">
          <a:extLst>
            <a:ext uri="{FF2B5EF4-FFF2-40B4-BE49-F238E27FC236}">
              <a16:creationId xmlns:a16="http://schemas.microsoft.com/office/drawing/2014/main" id="{00000000-0008-0000-1900-00002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71725" y="76781025"/>
          <a:ext cx="1147202"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508</xdr:row>
      <xdr:rowOff>9525</xdr:rowOff>
    </xdr:from>
    <xdr:to>
      <xdr:col>6</xdr:col>
      <xdr:colOff>704850</xdr:colOff>
      <xdr:row>509</xdr:row>
      <xdr:rowOff>289076</xdr:rowOff>
    </xdr:to>
    <xdr:pic>
      <xdr:nvPicPr>
        <xdr:cNvPr id="36" name="35 Imagen" descr="NEIVA UNIDA">
          <a:extLst>
            <a:ext uri="{FF2B5EF4-FFF2-40B4-BE49-F238E27FC236}">
              <a16:creationId xmlns:a16="http://schemas.microsoft.com/office/drawing/2014/main" id="{00000000-0008-0000-1900-00002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71875" y="82267425"/>
          <a:ext cx="1704975" cy="3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508</xdr:row>
      <xdr:rowOff>28575</xdr:rowOff>
    </xdr:from>
    <xdr:to>
      <xdr:col>4</xdr:col>
      <xdr:colOff>470927</xdr:colOff>
      <xdr:row>509</xdr:row>
      <xdr:rowOff>285750</xdr:rowOff>
    </xdr:to>
    <xdr:pic>
      <xdr:nvPicPr>
        <xdr:cNvPr id="37" name="36 Imagen" descr="44 AÑOS">
          <a:extLst>
            <a:ext uri="{FF2B5EF4-FFF2-40B4-BE49-F238E27FC236}">
              <a16:creationId xmlns:a16="http://schemas.microsoft.com/office/drawing/2014/main" id="{00000000-0008-0000-1900-00002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71725" y="82286475"/>
          <a:ext cx="1147202"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134</xdr:row>
      <xdr:rowOff>28575</xdr:rowOff>
    </xdr:from>
    <xdr:to>
      <xdr:col>6</xdr:col>
      <xdr:colOff>545523</xdr:colOff>
      <xdr:row>135</xdr:row>
      <xdr:rowOff>285751</xdr:rowOff>
    </xdr:to>
    <xdr:pic>
      <xdr:nvPicPr>
        <xdr:cNvPr id="38" name="37 Imagen">
          <a:extLst>
            <a:ext uri="{FF2B5EF4-FFF2-40B4-BE49-F238E27FC236}">
              <a16:creationId xmlns:a16="http://schemas.microsoft.com/office/drawing/2014/main" id="{00000000-0008-0000-1900-000026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495925" y="1171575"/>
          <a:ext cx="545523" cy="600076"/>
        </a:xfrm>
        <a:prstGeom prst="rect">
          <a:avLst/>
        </a:prstGeom>
      </xdr:spPr>
    </xdr:pic>
    <xdr:clientData/>
  </xdr:twoCellAnchor>
  <xdr:twoCellAnchor editAs="oneCell">
    <xdr:from>
      <xdr:col>6</xdr:col>
      <xdr:colOff>0</xdr:colOff>
      <xdr:row>166</xdr:row>
      <xdr:rowOff>19050</xdr:rowOff>
    </xdr:from>
    <xdr:to>
      <xdr:col>6</xdr:col>
      <xdr:colOff>545523</xdr:colOff>
      <xdr:row>167</xdr:row>
      <xdr:rowOff>276226</xdr:rowOff>
    </xdr:to>
    <xdr:pic>
      <xdr:nvPicPr>
        <xdr:cNvPr id="39" name="38 Imagen">
          <a:extLst>
            <a:ext uri="{FF2B5EF4-FFF2-40B4-BE49-F238E27FC236}">
              <a16:creationId xmlns:a16="http://schemas.microsoft.com/office/drawing/2014/main" id="{00000000-0008-0000-1900-000027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495925" y="7067550"/>
          <a:ext cx="545523" cy="600076"/>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xdr:from>
      <xdr:col>4</xdr:col>
      <xdr:colOff>523875</xdr:colOff>
      <xdr:row>46</xdr:row>
      <xdr:rowOff>9525</xdr:rowOff>
    </xdr:from>
    <xdr:to>
      <xdr:col>6</xdr:col>
      <xdr:colOff>704850</xdr:colOff>
      <xdr:row>47</xdr:row>
      <xdr:rowOff>289076</xdr:rowOff>
    </xdr:to>
    <xdr:pic>
      <xdr:nvPicPr>
        <xdr:cNvPr id="4" name="3 Imagen" descr="NEIVA UNIDA">
          <a:extLst>
            <a:ext uri="{FF2B5EF4-FFF2-40B4-BE49-F238E27FC236}">
              <a16:creationId xmlns:a16="http://schemas.microsoft.com/office/drawing/2014/main" id="{00000000-0008-0000-1A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86300" y="608647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46</xdr:row>
      <xdr:rowOff>28575</xdr:rowOff>
    </xdr:from>
    <xdr:to>
      <xdr:col>4</xdr:col>
      <xdr:colOff>470927</xdr:colOff>
      <xdr:row>47</xdr:row>
      <xdr:rowOff>285750</xdr:rowOff>
    </xdr:to>
    <xdr:pic>
      <xdr:nvPicPr>
        <xdr:cNvPr id="5" name="4 Imagen" descr="44 AÑOS">
          <a:extLst>
            <a:ext uri="{FF2B5EF4-FFF2-40B4-BE49-F238E27FC236}">
              <a16:creationId xmlns:a16="http://schemas.microsoft.com/office/drawing/2014/main" id="{00000000-0008-0000-1A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0425" y="6105525"/>
          <a:ext cx="12329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122</xdr:row>
      <xdr:rowOff>9525</xdr:rowOff>
    </xdr:from>
    <xdr:to>
      <xdr:col>6</xdr:col>
      <xdr:colOff>704850</xdr:colOff>
      <xdr:row>123</xdr:row>
      <xdr:rowOff>289076</xdr:rowOff>
    </xdr:to>
    <xdr:pic>
      <xdr:nvPicPr>
        <xdr:cNvPr id="8" name="7 Imagen" descr="NEIVA UNIDA">
          <a:extLst>
            <a:ext uri="{FF2B5EF4-FFF2-40B4-BE49-F238E27FC236}">
              <a16:creationId xmlns:a16="http://schemas.microsoft.com/office/drawing/2014/main" id="{00000000-0008-0000-1A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86300" y="18059400"/>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122</xdr:row>
      <xdr:rowOff>28575</xdr:rowOff>
    </xdr:from>
    <xdr:to>
      <xdr:col>4</xdr:col>
      <xdr:colOff>470927</xdr:colOff>
      <xdr:row>123</xdr:row>
      <xdr:rowOff>285750</xdr:rowOff>
    </xdr:to>
    <xdr:pic>
      <xdr:nvPicPr>
        <xdr:cNvPr id="9" name="8 Imagen" descr="44 AÑOS">
          <a:extLst>
            <a:ext uri="{FF2B5EF4-FFF2-40B4-BE49-F238E27FC236}">
              <a16:creationId xmlns:a16="http://schemas.microsoft.com/office/drawing/2014/main" id="{00000000-0008-0000-1A00-00000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0425" y="18078450"/>
          <a:ext cx="12329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157</xdr:row>
      <xdr:rowOff>9525</xdr:rowOff>
    </xdr:from>
    <xdr:to>
      <xdr:col>6</xdr:col>
      <xdr:colOff>704850</xdr:colOff>
      <xdr:row>158</xdr:row>
      <xdr:rowOff>289076</xdr:rowOff>
    </xdr:to>
    <xdr:pic>
      <xdr:nvPicPr>
        <xdr:cNvPr id="10" name="9 Imagen" descr="NEIVA UNIDA">
          <a:extLst>
            <a:ext uri="{FF2B5EF4-FFF2-40B4-BE49-F238E27FC236}">
              <a16:creationId xmlns:a16="http://schemas.microsoft.com/office/drawing/2014/main" id="{00000000-0008-0000-1A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86300" y="23993475"/>
          <a:ext cx="1800225" cy="62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157</xdr:row>
      <xdr:rowOff>28575</xdr:rowOff>
    </xdr:from>
    <xdr:to>
      <xdr:col>4</xdr:col>
      <xdr:colOff>470927</xdr:colOff>
      <xdr:row>158</xdr:row>
      <xdr:rowOff>285750</xdr:rowOff>
    </xdr:to>
    <xdr:pic>
      <xdr:nvPicPr>
        <xdr:cNvPr id="11" name="10 Imagen" descr="44 AÑOS">
          <a:extLst>
            <a:ext uri="{FF2B5EF4-FFF2-40B4-BE49-F238E27FC236}">
              <a16:creationId xmlns:a16="http://schemas.microsoft.com/office/drawing/2014/main" id="{00000000-0008-0000-1A00-00000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0425" y="24012525"/>
          <a:ext cx="1232927"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91109</xdr:colOff>
      <xdr:row>0</xdr:row>
      <xdr:rowOff>49695</xdr:rowOff>
    </xdr:from>
    <xdr:to>
      <xdr:col>0</xdr:col>
      <xdr:colOff>1319834</xdr:colOff>
      <xdr:row>4</xdr:row>
      <xdr:rowOff>8282</xdr:rowOff>
    </xdr:to>
    <xdr:sp macro="" textlink="">
      <xdr:nvSpPr>
        <xdr:cNvPr id="48" name="47 Flecha izquierda">
          <a:hlinkClick xmlns:r="http://schemas.openxmlformats.org/officeDocument/2006/relationships" r:id="rId3"/>
          <a:extLst>
            <a:ext uri="{FF2B5EF4-FFF2-40B4-BE49-F238E27FC236}">
              <a16:creationId xmlns:a16="http://schemas.microsoft.com/office/drawing/2014/main" id="{00000000-0008-0000-1A00-000030000000}"/>
            </a:ext>
          </a:extLst>
        </xdr:cNvPr>
        <xdr:cNvSpPr/>
      </xdr:nvSpPr>
      <xdr:spPr>
        <a:xfrm>
          <a:off x="91109" y="49695"/>
          <a:ext cx="1228725" cy="621196"/>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5</xdr:col>
      <xdr:colOff>8282</xdr:colOff>
      <xdr:row>0</xdr:row>
      <xdr:rowOff>41414</xdr:rowOff>
    </xdr:from>
    <xdr:to>
      <xdr:col>6</xdr:col>
      <xdr:colOff>530087</xdr:colOff>
      <xdr:row>4</xdr:row>
      <xdr:rowOff>91109</xdr:rowOff>
    </xdr:to>
    <xdr:sp macro="" textlink="">
      <xdr:nvSpPr>
        <xdr:cNvPr id="49" name="48 Flecha derecha">
          <a:hlinkClick xmlns:r="http://schemas.openxmlformats.org/officeDocument/2006/relationships" r:id="rId4"/>
          <a:extLst>
            <a:ext uri="{FF2B5EF4-FFF2-40B4-BE49-F238E27FC236}">
              <a16:creationId xmlns:a16="http://schemas.microsoft.com/office/drawing/2014/main" id="{00000000-0008-0000-1A00-000031000000}"/>
            </a:ext>
          </a:extLst>
        </xdr:cNvPr>
        <xdr:cNvSpPr/>
      </xdr:nvSpPr>
      <xdr:spPr>
        <a:xfrm>
          <a:off x="5002695" y="41414"/>
          <a:ext cx="1300370" cy="712304"/>
        </a:xfrm>
        <a:prstGeom prst="rightArrow">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400" b="1"/>
            <a:t>MATERIALES</a:t>
          </a:r>
        </a:p>
      </xdr:txBody>
    </xdr:sp>
    <xdr:clientData/>
  </xdr:twoCellAnchor>
  <xdr:twoCellAnchor>
    <xdr:from>
      <xdr:col>3</xdr:col>
      <xdr:colOff>107673</xdr:colOff>
      <xdr:row>0</xdr:row>
      <xdr:rowOff>49696</xdr:rowOff>
    </xdr:from>
    <xdr:to>
      <xdr:col>4</xdr:col>
      <xdr:colOff>563216</xdr:colOff>
      <xdr:row>4</xdr:row>
      <xdr:rowOff>49695</xdr:rowOff>
    </xdr:to>
    <xdr:sp macro="" textlink="">
      <xdr:nvSpPr>
        <xdr:cNvPr id="50" name="49 Flecha derecha">
          <a:hlinkClick xmlns:r="http://schemas.openxmlformats.org/officeDocument/2006/relationships" r:id="rId5"/>
          <a:extLst>
            <a:ext uri="{FF2B5EF4-FFF2-40B4-BE49-F238E27FC236}">
              <a16:creationId xmlns:a16="http://schemas.microsoft.com/office/drawing/2014/main" id="{00000000-0008-0000-1A00-000032000000}"/>
            </a:ext>
          </a:extLst>
        </xdr:cNvPr>
        <xdr:cNvSpPr/>
      </xdr:nvSpPr>
      <xdr:spPr>
        <a:xfrm>
          <a:off x="3420716" y="49696"/>
          <a:ext cx="1300370" cy="662608"/>
        </a:xfrm>
        <a:prstGeom prst="rightArrow">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600" b="1"/>
            <a:t>EQUIPOS</a:t>
          </a:r>
          <a:endParaRPr lang="es-ES" sz="1400" b="1"/>
        </a:p>
      </xdr:txBody>
    </xdr:sp>
    <xdr:clientData/>
  </xdr:twoCellAnchor>
  <xdr:twoCellAnchor>
    <xdr:from>
      <xdr:col>1</xdr:col>
      <xdr:colOff>11596</xdr:colOff>
      <xdr:row>0</xdr:row>
      <xdr:rowOff>44725</xdr:rowOff>
    </xdr:from>
    <xdr:to>
      <xdr:col>2</xdr:col>
      <xdr:colOff>478321</xdr:colOff>
      <xdr:row>4</xdr:row>
      <xdr:rowOff>3312</xdr:rowOff>
    </xdr:to>
    <xdr:sp macro="" textlink="">
      <xdr:nvSpPr>
        <xdr:cNvPr id="51" name="50 Flecha izquierda">
          <a:hlinkClick xmlns:r="http://schemas.openxmlformats.org/officeDocument/2006/relationships" r:id="rId6"/>
          <a:extLst>
            <a:ext uri="{FF2B5EF4-FFF2-40B4-BE49-F238E27FC236}">
              <a16:creationId xmlns:a16="http://schemas.microsoft.com/office/drawing/2014/main" id="{00000000-0008-0000-1A00-000033000000}"/>
            </a:ext>
          </a:extLst>
        </xdr:cNvPr>
        <xdr:cNvSpPr/>
      </xdr:nvSpPr>
      <xdr:spPr>
        <a:xfrm>
          <a:off x="1684683" y="44725"/>
          <a:ext cx="1228725" cy="621196"/>
        </a:xfrm>
        <a:prstGeom prst="left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300" b="1"/>
            <a:t>Analisis Basi.</a:t>
          </a:r>
        </a:p>
      </xdr:txBody>
    </xdr:sp>
    <xdr:clientData/>
  </xdr:twoCellAnchor>
  <xdr:twoCellAnchor>
    <xdr:from>
      <xdr:col>4</xdr:col>
      <xdr:colOff>523875</xdr:colOff>
      <xdr:row>194</xdr:row>
      <xdr:rowOff>9525</xdr:rowOff>
    </xdr:from>
    <xdr:to>
      <xdr:col>6</xdr:col>
      <xdr:colOff>704850</xdr:colOff>
      <xdr:row>195</xdr:row>
      <xdr:rowOff>289076</xdr:rowOff>
    </xdr:to>
    <xdr:pic>
      <xdr:nvPicPr>
        <xdr:cNvPr id="54" name="53 Imagen" descr="NEIVA UNIDA">
          <a:extLst>
            <a:ext uri="{FF2B5EF4-FFF2-40B4-BE49-F238E27FC236}">
              <a16:creationId xmlns:a16="http://schemas.microsoft.com/office/drawing/2014/main" id="{00000000-0008-0000-1A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92894" y="26276544"/>
          <a:ext cx="1800225" cy="6239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85725</xdr:colOff>
      <xdr:row>194</xdr:row>
      <xdr:rowOff>28575</xdr:rowOff>
    </xdr:from>
    <xdr:to>
      <xdr:col>4</xdr:col>
      <xdr:colOff>470927</xdr:colOff>
      <xdr:row>195</xdr:row>
      <xdr:rowOff>285750</xdr:rowOff>
    </xdr:to>
    <xdr:pic>
      <xdr:nvPicPr>
        <xdr:cNvPr id="55" name="54 Imagen" descr="44 AÑOS">
          <a:extLst>
            <a:ext uri="{FF2B5EF4-FFF2-40B4-BE49-F238E27FC236}">
              <a16:creationId xmlns:a16="http://schemas.microsoft.com/office/drawing/2014/main" id="{00000000-0008-0000-1A00-00003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4821" y="26295594"/>
          <a:ext cx="1235125" cy="6015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200025</xdr:colOff>
      <xdr:row>79</xdr:row>
      <xdr:rowOff>123825</xdr:rowOff>
    </xdr:from>
    <xdr:to>
      <xdr:col>4</xdr:col>
      <xdr:colOff>742950</xdr:colOff>
      <xdr:row>80</xdr:row>
      <xdr:rowOff>247651</xdr:rowOff>
    </xdr:to>
    <xdr:pic>
      <xdr:nvPicPr>
        <xdr:cNvPr id="17" name="2 Imagen" descr="logo agrado unido">
          <a:extLst>
            <a:ext uri="{FF2B5EF4-FFF2-40B4-BE49-F238E27FC236}">
              <a16:creationId xmlns:a16="http://schemas.microsoft.com/office/drawing/2014/main" id="{00000000-0008-0000-1A00-000011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514725" y="7172325"/>
          <a:ext cx="1390650" cy="4667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470648</xdr:colOff>
      <xdr:row>5</xdr:row>
      <xdr:rowOff>44823</xdr:rowOff>
    </xdr:from>
    <xdr:to>
      <xdr:col>5</xdr:col>
      <xdr:colOff>358681</xdr:colOff>
      <xdr:row>6</xdr:row>
      <xdr:rowOff>336176</xdr:rowOff>
    </xdr:to>
    <xdr:pic>
      <xdr:nvPicPr>
        <xdr:cNvPr id="18" name="Picture 103">
          <a:extLst>
            <a:ext uri="{FF2B5EF4-FFF2-40B4-BE49-F238E27FC236}">
              <a16:creationId xmlns:a16="http://schemas.microsoft.com/office/drawing/2014/main" id="{00000000-0008-0000-1A00-000012000000}"/>
            </a:ext>
          </a:extLst>
        </xdr:cNvPr>
        <xdr:cNvPicPr>
          <a:picLocks noChangeAspect="1" noChangeArrowheads="1"/>
        </xdr:cNvPicPr>
      </xdr:nvPicPr>
      <xdr:blipFill>
        <a:blip xmlns:r="http://schemas.openxmlformats.org/officeDocument/2006/relationships" r:embed="rId8" cstate="print"/>
        <a:srcRect/>
        <a:stretch>
          <a:fillRect/>
        </a:stretch>
      </xdr:blipFill>
      <xdr:spPr bwMode="auto">
        <a:xfrm>
          <a:off x="4639236" y="840441"/>
          <a:ext cx="728474" cy="638735"/>
        </a:xfrm>
        <a:prstGeom prst="rect">
          <a:avLst/>
        </a:prstGeom>
        <a:noFill/>
        <a:ln w="9525">
          <a:noFill/>
          <a:miter lim="800000"/>
          <a:headEnd/>
          <a:tailEnd/>
        </a:ln>
      </xdr:spPr>
    </xdr:pic>
    <xdr:clientData/>
  </xdr:twoCellAnchor>
</xdr:wsDr>
</file>

<file path=xl/drawings/drawing24.xml><?xml version="1.0" encoding="utf-8"?>
<xdr:wsDr xmlns:xdr="http://schemas.openxmlformats.org/drawingml/2006/spreadsheetDrawing" xmlns:a="http://schemas.openxmlformats.org/drawingml/2006/main">
  <xdr:twoCellAnchor>
    <xdr:from>
      <xdr:col>4</xdr:col>
      <xdr:colOff>523875</xdr:colOff>
      <xdr:row>1</xdr:row>
      <xdr:rowOff>19050</xdr:rowOff>
    </xdr:from>
    <xdr:to>
      <xdr:col>6</xdr:col>
      <xdr:colOff>704850</xdr:colOff>
      <xdr:row>2</xdr:row>
      <xdr:rowOff>276225</xdr:rowOff>
    </xdr:to>
    <xdr:pic>
      <xdr:nvPicPr>
        <xdr:cNvPr id="2" name="1 Imagen" descr="NEIVA UNIDA">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190500"/>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1</xdr:row>
      <xdr:rowOff>19050</xdr:rowOff>
    </xdr:from>
    <xdr:to>
      <xdr:col>4</xdr:col>
      <xdr:colOff>514351</xdr:colOff>
      <xdr:row>2</xdr:row>
      <xdr:rowOff>266699</xdr:rowOff>
    </xdr:to>
    <xdr:pic>
      <xdr:nvPicPr>
        <xdr:cNvPr id="3" name="2 Imagen" descr="44 AÑOS">
          <a:extLst>
            <a:ext uri="{FF2B5EF4-FFF2-40B4-BE49-F238E27FC236}">
              <a16:creationId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190500"/>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114300</xdr:colOff>
      <xdr:row>9</xdr:row>
      <xdr:rowOff>104775</xdr:rowOff>
    </xdr:from>
    <xdr:to>
      <xdr:col>9</xdr:col>
      <xdr:colOff>585227</xdr:colOff>
      <xdr:row>13</xdr:row>
      <xdr:rowOff>28575</xdr:rowOff>
    </xdr:to>
    <xdr:pic>
      <xdr:nvPicPr>
        <xdr:cNvPr id="4" name="3 Imagen" descr="44 AÑOS">
          <a:extLst>
            <a:ext uri="{FF2B5EF4-FFF2-40B4-BE49-F238E27FC236}">
              <a16:creationId xmlns:a16="http://schemas.microsoft.com/office/drawing/2014/main" id="{00000000-0008-0000-1B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96225" y="2419350"/>
          <a:ext cx="1490102"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1</xdr:row>
      <xdr:rowOff>38099</xdr:rowOff>
    </xdr:from>
    <xdr:to>
      <xdr:col>8</xdr:col>
      <xdr:colOff>704850</xdr:colOff>
      <xdr:row>3</xdr:row>
      <xdr:rowOff>28574</xdr:rowOff>
    </xdr:to>
    <xdr:sp macro="" textlink="">
      <xdr:nvSpPr>
        <xdr:cNvPr id="5" name="4 Flecha izquierda">
          <a:hlinkClick xmlns:r="http://schemas.openxmlformats.org/officeDocument/2006/relationships" r:id="rId3"/>
          <a:extLst>
            <a:ext uri="{FF2B5EF4-FFF2-40B4-BE49-F238E27FC236}">
              <a16:creationId xmlns:a16="http://schemas.microsoft.com/office/drawing/2014/main" id="{00000000-0008-0000-1B00-000005000000}"/>
            </a:ext>
          </a:extLst>
        </xdr:cNvPr>
        <xdr:cNvSpPr/>
      </xdr:nvSpPr>
      <xdr:spPr>
        <a:xfrm>
          <a:off x="7258050" y="209549"/>
          <a:ext cx="1228725" cy="6381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4</xdr:col>
      <xdr:colOff>523875</xdr:colOff>
      <xdr:row>32</xdr:row>
      <xdr:rowOff>19050</xdr:rowOff>
    </xdr:from>
    <xdr:to>
      <xdr:col>6</xdr:col>
      <xdr:colOff>704850</xdr:colOff>
      <xdr:row>33</xdr:row>
      <xdr:rowOff>276225</xdr:rowOff>
    </xdr:to>
    <xdr:pic>
      <xdr:nvPicPr>
        <xdr:cNvPr id="6" name="5 Imagen" descr="NEIVA UNIDA">
          <a:extLst>
            <a:ext uri="{FF2B5EF4-FFF2-40B4-BE49-F238E27FC236}">
              <a16:creationId xmlns:a16="http://schemas.microsoft.com/office/drawing/2014/main" id="{00000000-0008-0000-1B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6572250"/>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32</xdr:row>
      <xdr:rowOff>19050</xdr:rowOff>
    </xdr:from>
    <xdr:to>
      <xdr:col>4</xdr:col>
      <xdr:colOff>514351</xdr:colOff>
      <xdr:row>33</xdr:row>
      <xdr:rowOff>266699</xdr:rowOff>
    </xdr:to>
    <xdr:pic>
      <xdr:nvPicPr>
        <xdr:cNvPr id="7" name="6 Imagen" descr="44 AÑOS">
          <a:extLst>
            <a:ext uri="{FF2B5EF4-FFF2-40B4-BE49-F238E27FC236}">
              <a16:creationId xmlns:a16="http://schemas.microsoft.com/office/drawing/2014/main" id="{00000000-0008-0000-1B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6572250"/>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114300</xdr:colOff>
      <xdr:row>40</xdr:row>
      <xdr:rowOff>104775</xdr:rowOff>
    </xdr:from>
    <xdr:to>
      <xdr:col>9</xdr:col>
      <xdr:colOff>585227</xdr:colOff>
      <xdr:row>44</xdr:row>
      <xdr:rowOff>28575</xdr:rowOff>
    </xdr:to>
    <xdr:pic>
      <xdr:nvPicPr>
        <xdr:cNvPr id="8" name="7 Imagen" descr="44 AÑOS">
          <a:extLst>
            <a:ext uri="{FF2B5EF4-FFF2-40B4-BE49-F238E27FC236}">
              <a16:creationId xmlns:a16="http://schemas.microsoft.com/office/drawing/2014/main" id="{00000000-0008-0000-1B00-000008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96225" y="9048750"/>
          <a:ext cx="1490102"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32</xdr:row>
      <xdr:rowOff>38099</xdr:rowOff>
    </xdr:from>
    <xdr:to>
      <xdr:col>8</xdr:col>
      <xdr:colOff>704850</xdr:colOff>
      <xdr:row>34</xdr:row>
      <xdr:rowOff>28574</xdr:rowOff>
    </xdr:to>
    <xdr:sp macro="" textlink="">
      <xdr:nvSpPr>
        <xdr:cNvPr id="9" name="8 Flecha izquierda">
          <a:hlinkClick xmlns:r="http://schemas.openxmlformats.org/officeDocument/2006/relationships" r:id="rId3"/>
          <a:extLst>
            <a:ext uri="{FF2B5EF4-FFF2-40B4-BE49-F238E27FC236}">
              <a16:creationId xmlns:a16="http://schemas.microsoft.com/office/drawing/2014/main" id="{00000000-0008-0000-1B00-000009000000}"/>
            </a:ext>
          </a:extLst>
        </xdr:cNvPr>
        <xdr:cNvSpPr/>
      </xdr:nvSpPr>
      <xdr:spPr>
        <a:xfrm>
          <a:off x="7258050" y="6591299"/>
          <a:ext cx="1228725" cy="6381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4</xdr:col>
      <xdr:colOff>523875</xdr:colOff>
      <xdr:row>63</xdr:row>
      <xdr:rowOff>19050</xdr:rowOff>
    </xdr:from>
    <xdr:to>
      <xdr:col>6</xdr:col>
      <xdr:colOff>704850</xdr:colOff>
      <xdr:row>64</xdr:row>
      <xdr:rowOff>276225</xdr:rowOff>
    </xdr:to>
    <xdr:pic>
      <xdr:nvPicPr>
        <xdr:cNvPr id="10" name="9 Imagen" descr="NEIVA UNIDA">
          <a:extLst>
            <a:ext uri="{FF2B5EF4-FFF2-40B4-BE49-F238E27FC236}">
              <a16:creationId xmlns:a16="http://schemas.microsoft.com/office/drawing/2014/main" id="{00000000-0008-0000-1B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13458825"/>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63</xdr:row>
      <xdr:rowOff>19050</xdr:rowOff>
    </xdr:from>
    <xdr:to>
      <xdr:col>4</xdr:col>
      <xdr:colOff>514351</xdr:colOff>
      <xdr:row>64</xdr:row>
      <xdr:rowOff>266699</xdr:rowOff>
    </xdr:to>
    <xdr:pic>
      <xdr:nvPicPr>
        <xdr:cNvPr id="11" name="10 Imagen" descr="44 AÑOS">
          <a:extLst>
            <a:ext uri="{FF2B5EF4-FFF2-40B4-BE49-F238E27FC236}">
              <a16:creationId xmlns:a16="http://schemas.microsoft.com/office/drawing/2014/main" id="{00000000-0008-0000-1B00-00000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13458825"/>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114300</xdr:colOff>
      <xdr:row>71</xdr:row>
      <xdr:rowOff>104775</xdr:rowOff>
    </xdr:from>
    <xdr:to>
      <xdr:col>9</xdr:col>
      <xdr:colOff>585227</xdr:colOff>
      <xdr:row>75</xdr:row>
      <xdr:rowOff>28575</xdr:rowOff>
    </xdr:to>
    <xdr:pic>
      <xdr:nvPicPr>
        <xdr:cNvPr id="12" name="11 Imagen" descr="44 AÑOS">
          <a:extLst>
            <a:ext uri="{FF2B5EF4-FFF2-40B4-BE49-F238E27FC236}">
              <a16:creationId xmlns:a16="http://schemas.microsoft.com/office/drawing/2014/main" id="{00000000-0008-0000-1B00-00000C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96225" y="15935325"/>
          <a:ext cx="1490102"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63</xdr:row>
      <xdr:rowOff>38099</xdr:rowOff>
    </xdr:from>
    <xdr:to>
      <xdr:col>8</xdr:col>
      <xdr:colOff>704850</xdr:colOff>
      <xdr:row>65</xdr:row>
      <xdr:rowOff>28574</xdr:rowOff>
    </xdr:to>
    <xdr:sp macro="" textlink="">
      <xdr:nvSpPr>
        <xdr:cNvPr id="13" name="12 Flecha izquierda">
          <a:hlinkClick xmlns:r="http://schemas.openxmlformats.org/officeDocument/2006/relationships" r:id="rId3"/>
          <a:extLst>
            <a:ext uri="{FF2B5EF4-FFF2-40B4-BE49-F238E27FC236}">
              <a16:creationId xmlns:a16="http://schemas.microsoft.com/office/drawing/2014/main" id="{00000000-0008-0000-1B00-00000D000000}"/>
            </a:ext>
          </a:extLst>
        </xdr:cNvPr>
        <xdr:cNvSpPr/>
      </xdr:nvSpPr>
      <xdr:spPr>
        <a:xfrm>
          <a:off x="7258050" y="13477874"/>
          <a:ext cx="1228725" cy="6381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4</xdr:col>
      <xdr:colOff>523875</xdr:colOff>
      <xdr:row>94</xdr:row>
      <xdr:rowOff>19050</xdr:rowOff>
    </xdr:from>
    <xdr:to>
      <xdr:col>6</xdr:col>
      <xdr:colOff>704850</xdr:colOff>
      <xdr:row>95</xdr:row>
      <xdr:rowOff>276225</xdr:rowOff>
    </xdr:to>
    <xdr:pic>
      <xdr:nvPicPr>
        <xdr:cNvPr id="14" name="13 Imagen" descr="NEIVA UNIDA">
          <a:extLst>
            <a:ext uri="{FF2B5EF4-FFF2-40B4-BE49-F238E27FC236}">
              <a16:creationId xmlns:a16="http://schemas.microsoft.com/office/drawing/2014/main" id="{00000000-0008-0000-1B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20088225"/>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94</xdr:row>
      <xdr:rowOff>19050</xdr:rowOff>
    </xdr:from>
    <xdr:to>
      <xdr:col>4</xdr:col>
      <xdr:colOff>514351</xdr:colOff>
      <xdr:row>95</xdr:row>
      <xdr:rowOff>266699</xdr:rowOff>
    </xdr:to>
    <xdr:pic>
      <xdr:nvPicPr>
        <xdr:cNvPr id="15" name="14 Imagen" descr="44 AÑOS">
          <a:extLst>
            <a:ext uri="{FF2B5EF4-FFF2-40B4-BE49-F238E27FC236}">
              <a16:creationId xmlns:a16="http://schemas.microsoft.com/office/drawing/2014/main" id="{00000000-0008-0000-1B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20088225"/>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114300</xdr:colOff>
      <xdr:row>102</xdr:row>
      <xdr:rowOff>104775</xdr:rowOff>
    </xdr:from>
    <xdr:to>
      <xdr:col>9</xdr:col>
      <xdr:colOff>585227</xdr:colOff>
      <xdr:row>106</xdr:row>
      <xdr:rowOff>28575</xdr:rowOff>
    </xdr:to>
    <xdr:pic>
      <xdr:nvPicPr>
        <xdr:cNvPr id="16" name="15 Imagen" descr="44 AÑOS">
          <a:extLst>
            <a:ext uri="{FF2B5EF4-FFF2-40B4-BE49-F238E27FC236}">
              <a16:creationId xmlns:a16="http://schemas.microsoft.com/office/drawing/2014/main" id="{00000000-0008-0000-1B00-000010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96225" y="22564725"/>
          <a:ext cx="1490102"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94</xdr:row>
      <xdr:rowOff>38099</xdr:rowOff>
    </xdr:from>
    <xdr:to>
      <xdr:col>8</xdr:col>
      <xdr:colOff>704850</xdr:colOff>
      <xdr:row>96</xdr:row>
      <xdr:rowOff>28574</xdr:rowOff>
    </xdr:to>
    <xdr:sp macro="" textlink="">
      <xdr:nvSpPr>
        <xdr:cNvPr id="17" name="16 Flecha izquierda">
          <a:hlinkClick xmlns:r="http://schemas.openxmlformats.org/officeDocument/2006/relationships" r:id="rId3"/>
          <a:extLst>
            <a:ext uri="{FF2B5EF4-FFF2-40B4-BE49-F238E27FC236}">
              <a16:creationId xmlns:a16="http://schemas.microsoft.com/office/drawing/2014/main" id="{00000000-0008-0000-1B00-000011000000}"/>
            </a:ext>
          </a:extLst>
        </xdr:cNvPr>
        <xdr:cNvSpPr/>
      </xdr:nvSpPr>
      <xdr:spPr>
        <a:xfrm>
          <a:off x="7258050" y="20107274"/>
          <a:ext cx="1228725" cy="6381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4</xdr:col>
      <xdr:colOff>523875</xdr:colOff>
      <xdr:row>125</xdr:row>
      <xdr:rowOff>19050</xdr:rowOff>
    </xdr:from>
    <xdr:to>
      <xdr:col>6</xdr:col>
      <xdr:colOff>704850</xdr:colOff>
      <xdr:row>126</xdr:row>
      <xdr:rowOff>276225</xdr:rowOff>
    </xdr:to>
    <xdr:pic>
      <xdr:nvPicPr>
        <xdr:cNvPr id="18" name="17 Imagen" descr="NEIVA UNIDA">
          <a:extLst>
            <a:ext uri="{FF2B5EF4-FFF2-40B4-BE49-F238E27FC236}">
              <a16:creationId xmlns:a16="http://schemas.microsoft.com/office/drawing/2014/main" id="{00000000-0008-0000-1B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26622375"/>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125</xdr:row>
      <xdr:rowOff>19050</xdr:rowOff>
    </xdr:from>
    <xdr:to>
      <xdr:col>4</xdr:col>
      <xdr:colOff>514351</xdr:colOff>
      <xdr:row>126</xdr:row>
      <xdr:rowOff>266699</xdr:rowOff>
    </xdr:to>
    <xdr:pic>
      <xdr:nvPicPr>
        <xdr:cNvPr id="19" name="18 Imagen" descr="44 AÑOS">
          <a:extLst>
            <a:ext uri="{FF2B5EF4-FFF2-40B4-BE49-F238E27FC236}">
              <a16:creationId xmlns:a16="http://schemas.microsoft.com/office/drawing/2014/main" id="{00000000-0008-0000-1B00-00001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26622375"/>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114300</xdr:colOff>
      <xdr:row>133</xdr:row>
      <xdr:rowOff>104775</xdr:rowOff>
    </xdr:from>
    <xdr:to>
      <xdr:col>9</xdr:col>
      <xdr:colOff>585227</xdr:colOff>
      <xdr:row>137</xdr:row>
      <xdr:rowOff>28575</xdr:rowOff>
    </xdr:to>
    <xdr:pic>
      <xdr:nvPicPr>
        <xdr:cNvPr id="20" name="19 Imagen" descr="44 AÑOS">
          <a:extLst>
            <a:ext uri="{FF2B5EF4-FFF2-40B4-BE49-F238E27FC236}">
              <a16:creationId xmlns:a16="http://schemas.microsoft.com/office/drawing/2014/main" id="{00000000-0008-0000-1B00-00001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96225" y="29098875"/>
          <a:ext cx="1490102"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125</xdr:row>
      <xdr:rowOff>38099</xdr:rowOff>
    </xdr:from>
    <xdr:to>
      <xdr:col>8</xdr:col>
      <xdr:colOff>704850</xdr:colOff>
      <xdr:row>127</xdr:row>
      <xdr:rowOff>28574</xdr:rowOff>
    </xdr:to>
    <xdr:sp macro="" textlink="">
      <xdr:nvSpPr>
        <xdr:cNvPr id="21" name="20 Flecha izquierda">
          <a:hlinkClick xmlns:r="http://schemas.openxmlformats.org/officeDocument/2006/relationships" r:id="rId3"/>
          <a:extLst>
            <a:ext uri="{FF2B5EF4-FFF2-40B4-BE49-F238E27FC236}">
              <a16:creationId xmlns:a16="http://schemas.microsoft.com/office/drawing/2014/main" id="{00000000-0008-0000-1B00-000015000000}"/>
            </a:ext>
          </a:extLst>
        </xdr:cNvPr>
        <xdr:cNvSpPr/>
      </xdr:nvSpPr>
      <xdr:spPr>
        <a:xfrm>
          <a:off x="7258050" y="26641424"/>
          <a:ext cx="1228725" cy="6381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8</xdr:col>
      <xdr:colOff>114300</xdr:colOff>
      <xdr:row>163</xdr:row>
      <xdr:rowOff>104775</xdr:rowOff>
    </xdr:from>
    <xdr:to>
      <xdr:col>9</xdr:col>
      <xdr:colOff>585227</xdr:colOff>
      <xdr:row>167</xdr:row>
      <xdr:rowOff>28575</xdr:rowOff>
    </xdr:to>
    <xdr:pic>
      <xdr:nvPicPr>
        <xdr:cNvPr id="22" name="21 Imagen" descr="44 AÑOS">
          <a:extLst>
            <a:ext uri="{FF2B5EF4-FFF2-40B4-BE49-F238E27FC236}">
              <a16:creationId xmlns:a16="http://schemas.microsoft.com/office/drawing/2014/main" id="{00000000-0008-0000-1B00-00001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96225" y="35461575"/>
          <a:ext cx="1490102"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114300</xdr:colOff>
      <xdr:row>194</xdr:row>
      <xdr:rowOff>104775</xdr:rowOff>
    </xdr:from>
    <xdr:to>
      <xdr:col>9</xdr:col>
      <xdr:colOff>585227</xdr:colOff>
      <xdr:row>198</xdr:row>
      <xdr:rowOff>28575</xdr:rowOff>
    </xdr:to>
    <xdr:pic>
      <xdr:nvPicPr>
        <xdr:cNvPr id="23" name="22 Imagen" descr="44 AÑOS">
          <a:extLst>
            <a:ext uri="{FF2B5EF4-FFF2-40B4-BE49-F238E27FC236}">
              <a16:creationId xmlns:a16="http://schemas.microsoft.com/office/drawing/2014/main" id="{00000000-0008-0000-1B00-00001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96225" y="41986200"/>
          <a:ext cx="1490102"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156</xdr:row>
      <xdr:rowOff>19050</xdr:rowOff>
    </xdr:from>
    <xdr:to>
      <xdr:col>6</xdr:col>
      <xdr:colOff>704850</xdr:colOff>
      <xdr:row>157</xdr:row>
      <xdr:rowOff>276225</xdr:rowOff>
    </xdr:to>
    <xdr:pic>
      <xdr:nvPicPr>
        <xdr:cNvPr id="24" name="23 Imagen" descr="NEIVA UNIDA">
          <a:extLst>
            <a:ext uri="{FF2B5EF4-FFF2-40B4-BE49-F238E27FC236}">
              <a16:creationId xmlns:a16="http://schemas.microsoft.com/office/drawing/2014/main" id="{00000000-0008-0000-1B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33156525"/>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156</xdr:row>
      <xdr:rowOff>19050</xdr:rowOff>
    </xdr:from>
    <xdr:to>
      <xdr:col>4</xdr:col>
      <xdr:colOff>514351</xdr:colOff>
      <xdr:row>157</xdr:row>
      <xdr:rowOff>266699</xdr:rowOff>
    </xdr:to>
    <xdr:pic>
      <xdr:nvPicPr>
        <xdr:cNvPr id="25" name="24 Imagen" descr="44 AÑOS">
          <a:extLst>
            <a:ext uri="{FF2B5EF4-FFF2-40B4-BE49-F238E27FC236}">
              <a16:creationId xmlns:a16="http://schemas.microsoft.com/office/drawing/2014/main" id="{00000000-0008-0000-1B00-00001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33156525"/>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156</xdr:row>
      <xdr:rowOff>38099</xdr:rowOff>
    </xdr:from>
    <xdr:to>
      <xdr:col>8</xdr:col>
      <xdr:colOff>704850</xdr:colOff>
      <xdr:row>158</xdr:row>
      <xdr:rowOff>28574</xdr:rowOff>
    </xdr:to>
    <xdr:sp macro="" textlink="">
      <xdr:nvSpPr>
        <xdr:cNvPr id="26" name="25 Flecha izquierda">
          <a:hlinkClick xmlns:r="http://schemas.openxmlformats.org/officeDocument/2006/relationships" r:id="rId3"/>
          <a:extLst>
            <a:ext uri="{FF2B5EF4-FFF2-40B4-BE49-F238E27FC236}">
              <a16:creationId xmlns:a16="http://schemas.microsoft.com/office/drawing/2014/main" id="{00000000-0008-0000-1B00-00001A000000}"/>
            </a:ext>
          </a:extLst>
        </xdr:cNvPr>
        <xdr:cNvSpPr/>
      </xdr:nvSpPr>
      <xdr:spPr>
        <a:xfrm>
          <a:off x="7258050" y="33175574"/>
          <a:ext cx="1228725" cy="6381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4</xdr:col>
      <xdr:colOff>523875</xdr:colOff>
      <xdr:row>187</xdr:row>
      <xdr:rowOff>19050</xdr:rowOff>
    </xdr:from>
    <xdr:to>
      <xdr:col>6</xdr:col>
      <xdr:colOff>704850</xdr:colOff>
      <xdr:row>188</xdr:row>
      <xdr:rowOff>276225</xdr:rowOff>
    </xdr:to>
    <xdr:pic>
      <xdr:nvPicPr>
        <xdr:cNvPr id="27" name="26 Imagen" descr="NEIVA UNIDA">
          <a:extLst>
            <a:ext uri="{FF2B5EF4-FFF2-40B4-BE49-F238E27FC236}">
              <a16:creationId xmlns:a16="http://schemas.microsoft.com/office/drawing/2014/main" id="{00000000-0008-0000-1B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39681150"/>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187</xdr:row>
      <xdr:rowOff>19050</xdr:rowOff>
    </xdr:from>
    <xdr:to>
      <xdr:col>4</xdr:col>
      <xdr:colOff>514351</xdr:colOff>
      <xdr:row>188</xdr:row>
      <xdr:rowOff>266699</xdr:rowOff>
    </xdr:to>
    <xdr:pic>
      <xdr:nvPicPr>
        <xdr:cNvPr id="28" name="27 Imagen" descr="44 AÑOS">
          <a:extLst>
            <a:ext uri="{FF2B5EF4-FFF2-40B4-BE49-F238E27FC236}">
              <a16:creationId xmlns:a16="http://schemas.microsoft.com/office/drawing/2014/main" id="{00000000-0008-0000-1B00-00001C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39681150"/>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187</xdr:row>
      <xdr:rowOff>38099</xdr:rowOff>
    </xdr:from>
    <xdr:to>
      <xdr:col>8</xdr:col>
      <xdr:colOff>704850</xdr:colOff>
      <xdr:row>189</xdr:row>
      <xdr:rowOff>0</xdr:rowOff>
    </xdr:to>
    <xdr:sp macro="" textlink="">
      <xdr:nvSpPr>
        <xdr:cNvPr id="29" name="28 Flecha izquierda">
          <a:hlinkClick xmlns:r="http://schemas.openxmlformats.org/officeDocument/2006/relationships" r:id="rId3"/>
          <a:extLst>
            <a:ext uri="{FF2B5EF4-FFF2-40B4-BE49-F238E27FC236}">
              <a16:creationId xmlns:a16="http://schemas.microsoft.com/office/drawing/2014/main" id="{00000000-0008-0000-1B00-00001D000000}"/>
            </a:ext>
          </a:extLst>
        </xdr:cNvPr>
        <xdr:cNvSpPr/>
      </xdr:nvSpPr>
      <xdr:spPr>
        <a:xfrm>
          <a:off x="7258050" y="39700199"/>
          <a:ext cx="1228725" cy="60960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8</xdr:col>
      <xdr:colOff>114300</xdr:colOff>
      <xdr:row>224</xdr:row>
      <xdr:rowOff>104775</xdr:rowOff>
    </xdr:from>
    <xdr:to>
      <xdr:col>9</xdr:col>
      <xdr:colOff>585227</xdr:colOff>
      <xdr:row>231</xdr:row>
      <xdr:rowOff>28575</xdr:rowOff>
    </xdr:to>
    <xdr:pic>
      <xdr:nvPicPr>
        <xdr:cNvPr id="30" name="29 Imagen" descr="44 AÑOS">
          <a:extLst>
            <a:ext uri="{FF2B5EF4-FFF2-40B4-BE49-F238E27FC236}">
              <a16:creationId xmlns:a16="http://schemas.microsoft.com/office/drawing/2014/main" id="{00000000-0008-0000-1B00-00001E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96225" y="48348900"/>
          <a:ext cx="1490102" cy="1085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523875</xdr:colOff>
      <xdr:row>217</xdr:row>
      <xdr:rowOff>19050</xdr:rowOff>
    </xdr:from>
    <xdr:to>
      <xdr:col>6</xdr:col>
      <xdr:colOff>704850</xdr:colOff>
      <xdr:row>218</xdr:row>
      <xdr:rowOff>276225</xdr:rowOff>
    </xdr:to>
    <xdr:pic>
      <xdr:nvPicPr>
        <xdr:cNvPr id="31" name="30 Imagen" descr="NEIVA UNIDA">
          <a:extLst>
            <a:ext uri="{FF2B5EF4-FFF2-40B4-BE49-F238E27FC236}">
              <a16:creationId xmlns:a16="http://schemas.microsoft.com/office/drawing/2014/main" id="{00000000-0008-0000-1B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46043850"/>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217</xdr:row>
      <xdr:rowOff>19050</xdr:rowOff>
    </xdr:from>
    <xdr:to>
      <xdr:col>4</xdr:col>
      <xdr:colOff>514351</xdr:colOff>
      <xdr:row>218</xdr:row>
      <xdr:rowOff>266699</xdr:rowOff>
    </xdr:to>
    <xdr:pic>
      <xdr:nvPicPr>
        <xdr:cNvPr id="32" name="31 Imagen" descr="44 AÑOS">
          <a:extLst>
            <a:ext uri="{FF2B5EF4-FFF2-40B4-BE49-F238E27FC236}">
              <a16:creationId xmlns:a16="http://schemas.microsoft.com/office/drawing/2014/main" id="{00000000-0008-0000-1B00-000020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46043850"/>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217</xdr:row>
      <xdr:rowOff>38099</xdr:rowOff>
    </xdr:from>
    <xdr:to>
      <xdr:col>8</xdr:col>
      <xdr:colOff>704850</xdr:colOff>
      <xdr:row>219</xdr:row>
      <xdr:rowOff>0</xdr:rowOff>
    </xdr:to>
    <xdr:sp macro="" textlink="">
      <xdr:nvSpPr>
        <xdr:cNvPr id="33" name="32 Flecha izquierda">
          <a:hlinkClick xmlns:r="http://schemas.openxmlformats.org/officeDocument/2006/relationships" r:id="rId3"/>
          <a:extLst>
            <a:ext uri="{FF2B5EF4-FFF2-40B4-BE49-F238E27FC236}">
              <a16:creationId xmlns:a16="http://schemas.microsoft.com/office/drawing/2014/main" id="{00000000-0008-0000-1B00-000021000000}"/>
            </a:ext>
          </a:extLst>
        </xdr:cNvPr>
        <xdr:cNvSpPr/>
      </xdr:nvSpPr>
      <xdr:spPr>
        <a:xfrm>
          <a:off x="7258050" y="46062899"/>
          <a:ext cx="1228725" cy="60960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4</xdr:col>
      <xdr:colOff>523875</xdr:colOff>
      <xdr:row>250</xdr:row>
      <xdr:rowOff>19050</xdr:rowOff>
    </xdr:from>
    <xdr:to>
      <xdr:col>6</xdr:col>
      <xdr:colOff>704850</xdr:colOff>
      <xdr:row>251</xdr:row>
      <xdr:rowOff>276225</xdr:rowOff>
    </xdr:to>
    <xdr:pic>
      <xdr:nvPicPr>
        <xdr:cNvPr id="34" name="33 Imagen" descr="NEIVA UNIDA">
          <a:extLst>
            <a:ext uri="{FF2B5EF4-FFF2-40B4-BE49-F238E27FC236}">
              <a16:creationId xmlns:a16="http://schemas.microsoft.com/office/drawing/2014/main" id="{00000000-0008-0000-1B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52892325"/>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250</xdr:row>
      <xdr:rowOff>19050</xdr:rowOff>
    </xdr:from>
    <xdr:to>
      <xdr:col>4</xdr:col>
      <xdr:colOff>514351</xdr:colOff>
      <xdr:row>251</xdr:row>
      <xdr:rowOff>266699</xdr:rowOff>
    </xdr:to>
    <xdr:pic>
      <xdr:nvPicPr>
        <xdr:cNvPr id="35" name="34 Imagen" descr="44 AÑOS">
          <a:extLst>
            <a:ext uri="{FF2B5EF4-FFF2-40B4-BE49-F238E27FC236}">
              <a16:creationId xmlns:a16="http://schemas.microsoft.com/office/drawing/2014/main" id="{00000000-0008-0000-1B00-00002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52892325"/>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250</xdr:row>
      <xdr:rowOff>38099</xdr:rowOff>
    </xdr:from>
    <xdr:to>
      <xdr:col>8</xdr:col>
      <xdr:colOff>704850</xdr:colOff>
      <xdr:row>252</xdr:row>
      <xdr:rowOff>0</xdr:rowOff>
    </xdr:to>
    <xdr:sp macro="" textlink="">
      <xdr:nvSpPr>
        <xdr:cNvPr id="36" name="35 Flecha izquierda">
          <a:hlinkClick xmlns:r="http://schemas.openxmlformats.org/officeDocument/2006/relationships" r:id="rId3"/>
          <a:extLst>
            <a:ext uri="{FF2B5EF4-FFF2-40B4-BE49-F238E27FC236}">
              <a16:creationId xmlns:a16="http://schemas.microsoft.com/office/drawing/2014/main" id="{00000000-0008-0000-1B00-000024000000}"/>
            </a:ext>
          </a:extLst>
        </xdr:cNvPr>
        <xdr:cNvSpPr/>
      </xdr:nvSpPr>
      <xdr:spPr>
        <a:xfrm>
          <a:off x="7258050" y="52911374"/>
          <a:ext cx="1228725" cy="60960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4</xdr:col>
      <xdr:colOff>523875</xdr:colOff>
      <xdr:row>347</xdr:row>
      <xdr:rowOff>19050</xdr:rowOff>
    </xdr:from>
    <xdr:to>
      <xdr:col>6</xdr:col>
      <xdr:colOff>704850</xdr:colOff>
      <xdr:row>348</xdr:row>
      <xdr:rowOff>276225</xdr:rowOff>
    </xdr:to>
    <xdr:pic>
      <xdr:nvPicPr>
        <xdr:cNvPr id="37" name="36 Imagen" descr="NEIVA UNIDA">
          <a:extLst>
            <a:ext uri="{FF2B5EF4-FFF2-40B4-BE49-F238E27FC236}">
              <a16:creationId xmlns:a16="http://schemas.microsoft.com/office/drawing/2014/main" id="{00000000-0008-0000-1B00-00002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72847200"/>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347</xdr:row>
      <xdr:rowOff>19050</xdr:rowOff>
    </xdr:from>
    <xdr:to>
      <xdr:col>4</xdr:col>
      <xdr:colOff>514351</xdr:colOff>
      <xdr:row>348</xdr:row>
      <xdr:rowOff>266699</xdr:rowOff>
    </xdr:to>
    <xdr:pic>
      <xdr:nvPicPr>
        <xdr:cNvPr id="38" name="37 Imagen" descr="44 AÑOS">
          <a:extLst>
            <a:ext uri="{FF2B5EF4-FFF2-40B4-BE49-F238E27FC236}">
              <a16:creationId xmlns:a16="http://schemas.microsoft.com/office/drawing/2014/main" id="{00000000-0008-0000-1B00-00002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72847200"/>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347</xdr:row>
      <xdr:rowOff>38099</xdr:rowOff>
    </xdr:from>
    <xdr:to>
      <xdr:col>8</xdr:col>
      <xdr:colOff>704850</xdr:colOff>
      <xdr:row>349</xdr:row>
      <xdr:rowOff>0</xdr:rowOff>
    </xdr:to>
    <xdr:sp macro="" textlink="">
      <xdr:nvSpPr>
        <xdr:cNvPr id="39" name="38 Flecha izquierda">
          <a:hlinkClick xmlns:r="http://schemas.openxmlformats.org/officeDocument/2006/relationships" r:id="rId3"/>
          <a:extLst>
            <a:ext uri="{FF2B5EF4-FFF2-40B4-BE49-F238E27FC236}">
              <a16:creationId xmlns:a16="http://schemas.microsoft.com/office/drawing/2014/main" id="{00000000-0008-0000-1B00-000027000000}"/>
            </a:ext>
          </a:extLst>
        </xdr:cNvPr>
        <xdr:cNvSpPr/>
      </xdr:nvSpPr>
      <xdr:spPr>
        <a:xfrm>
          <a:off x="7258050" y="72866249"/>
          <a:ext cx="1228725" cy="60960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4</xdr:col>
      <xdr:colOff>523875</xdr:colOff>
      <xdr:row>414</xdr:row>
      <xdr:rowOff>19050</xdr:rowOff>
    </xdr:from>
    <xdr:to>
      <xdr:col>6</xdr:col>
      <xdr:colOff>704850</xdr:colOff>
      <xdr:row>415</xdr:row>
      <xdr:rowOff>276225</xdr:rowOff>
    </xdr:to>
    <xdr:pic>
      <xdr:nvPicPr>
        <xdr:cNvPr id="40" name="39 Imagen" descr="NEIVA UNIDA">
          <a:extLst>
            <a:ext uri="{FF2B5EF4-FFF2-40B4-BE49-F238E27FC236}">
              <a16:creationId xmlns:a16="http://schemas.microsoft.com/office/drawing/2014/main" id="{00000000-0008-0000-1B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86706075"/>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414</xdr:row>
      <xdr:rowOff>19050</xdr:rowOff>
    </xdr:from>
    <xdr:to>
      <xdr:col>4</xdr:col>
      <xdr:colOff>514351</xdr:colOff>
      <xdr:row>415</xdr:row>
      <xdr:rowOff>266699</xdr:rowOff>
    </xdr:to>
    <xdr:pic>
      <xdr:nvPicPr>
        <xdr:cNvPr id="41" name="40 Imagen" descr="44 AÑOS">
          <a:extLst>
            <a:ext uri="{FF2B5EF4-FFF2-40B4-BE49-F238E27FC236}">
              <a16:creationId xmlns:a16="http://schemas.microsoft.com/office/drawing/2014/main" id="{00000000-0008-0000-1B00-00002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86706075"/>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414</xdr:row>
      <xdr:rowOff>38099</xdr:rowOff>
    </xdr:from>
    <xdr:to>
      <xdr:col>8</xdr:col>
      <xdr:colOff>704850</xdr:colOff>
      <xdr:row>416</xdr:row>
      <xdr:rowOff>0</xdr:rowOff>
    </xdr:to>
    <xdr:sp macro="" textlink="">
      <xdr:nvSpPr>
        <xdr:cNvPr id="42" name="41 Flecha izquierda">
          <a:hlinkClick xmlns:r="http://schemas.openxmlformats.org/officeDocument/2006/relationships" r:id="rId3"/>
          <a:extLst>
            <a:ext uri="{FF2B5EF4-FFF2-40B4-BE49-F238E27FC236}">
              <a16:creationId xmlns:a16="http://schemas.microsoft.com/office/drawing/2014/main" id="{00000000-0008-0000-1B00-00002A000000}"/>
            </a:ext>
          </a:extLst>
        </xdr:cNvPr>
        <xdr:cNvSpPr/>
      </xdr:nvSpPr>
      <xdr:spPr>
        <a:xfrm>
          <a:off x="7258050" y="86725124"/>
          <a:ext cx="1228725" cy="60960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4</xdr:col>
      <xdr:colOff>523875</xdr:colOff>
      <xdr:row>283</xdr:row>
      <xdr:rowOff>19050</xdr:rowOff>
    </xdr:from>
    <xdr:to>
      <xdr:col>6</xdr:col>
      <xdr:colOff>704850</xdr:colOff>
      <xdr:row>284</xdr:row>
      <xdr:rowOff>276225</xdr:rowOff>
    </xdr:to>
    <xdr:pic>
      <xdr:nvPicPr>
        <xdr:cNvPr id="43" name="42 Imagen" descr="NEIVA UNIDA">
          <a:extLst>
            <a:ext uri="{FF2B5EF4-FFF2-40B4-BE49-F238E27FC236}">
              <a16:creationId xmlns:a16="http://schemas.microsoft.com/office/drawing/2014/main" id="{00000000-0008-0000-1B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59626500"/>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283</xdr:row>
      <xdr:rowOff>19050</xdr:rowOff>
    </xdr:from>
    <xdr:to>
      <xdr:col>4</xdr:col>
      <xdr:colOff>514351</xdr:colOff>
      <xdr:row>284</xdr:row>
      <xdr:rowOff>266699</xdr:rowOff>
    </xdr:to>
    <xdr:pic>
      <xdr:nvPicPr>
        <xdr:cNvPr id="44" name="43 Imagen" descr="44 AÑOS">
          <a:extLst>
            <a:ext uri="{FF2B5EF4-FFF2-40B4-BE49-F238E27FC236}">
              <a16:creationId xmlns:a16="http://schemas.microsoft.com/office/drawing/2014/main" id="{00000000-0008-0000-1B00-00002C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59626500"/>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283</xdr:row>
      <xdr:rowOff>38099</xdr:rowOff>
    </xdr:from>
    <xdr:to>
      <xdr:col>8</xdr:col>
      <xdr:colOff>704850</xdr:colOff>
      <xdr:row>285</xdr:row>
      <xdr:rowOff>0</xdr:rowOff>
    </xdr:to>
    <xdr:sp macro="" textlink="">
      <xdr:nvSpPr>
        <xdr:cNvPr id="45" name="44 Flecha izquierda">
          <a:hlinkClick xmlns:r="http://schemas.openxmlformats.org/officeDocument/2006/relationships" r:id="rId3"/>
          <a:extLst>
            <a:ext uri="{FF2B5EF4-FFF2-40B4-BE49-F238E27FC236}">
              <a16:creationId xmlns:a16="http://schemas.microsoft.com/office/drawing/2014/main" id="{00000000-0008-0000-1B00-00002D000000}"/>
            </a:ext>
          </a:extLst>
        </xdr:cNvPr>
        <xdr:cNvSpPr/>
      </xdr:nvSpPr>
      <xdr:spPr>
        <a:xfrm>
          <a:off x="7258050" y="59645549"/>
          <a:ext cx="1228725" cy="60960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4</xdr:col>
      <xdr:colOff>523875</xdr:colOff>
      <xdr:row>380</xdr:row>
      <xdr:rowOff>19050</xdr:rowOff>
    </xdr:from>
    <xdr:to>
      <xdr:col>6</xdr:col>
      <xdr:colOff>704850</xdr:colOff>
      <xdr:row>381</xdr:row>
      <xdr:rowOff>276225</xdr:rowOff>
    </xdr:to>
    <xdr:pic>
      <xdr:nvPicPr>
        <xdr:cNvPr id="46" name="45 Imagen" descr="NEIVA UNIDA">
          <a:extLst>
            <a:ext uri="{FF2B5EF4-FFF2-40B4-BE49-F238E27FC236}">
              <a16:creationId xmlns:a16="http://schemas.microsoft.com/office/drawing/2014/main" id="{00000000-0008-0000-1B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79695675"/>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380</xdr:row>
      <xdr:rowOff>19050</xdr:rowOff>
    </xdr:from>
    <xdr:to>
      <xdr:col>4</xdr:col>
      <xdr:colOff>514351</xdr:colOff>
      <xdr:row>381</xdr:row>
      <xdr:rowOff>266699</xdr:rowOff>
    </xdr:to>
    <xdr:pic>
      <xdr:nvPicPr>
        <xdr:cNvPr id="47" name="46 Imagen" descr="44 AÑOS">
          <a:extLst>
            <a:ext uri="{FF2B5EF4-FFF2-40B4-BE49-F238E27FC236}">
              <a16:creationId xmlns:a16="http://schemas.microsoft.com/office/drawing/2014/main" id="{00000000-0008-0000-1B00-00002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79695675"/>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380</xdr:row>
      <xdr:rowOff>38099</xdr:rowOff>
    </xdr:from>
    <xdr:to>
      <xdr:col>8</xdr:col>
      <xdr:colOff>704850</xdr:colOff>
      <xdr:row>382</xdr:row>
      <xdr:rowOff>0</xdr:rowOff>
    </xdr:to>
    <xdr:sp macro="" textlink="">
      <xdr:nvSpPr>
        <xdr:cNvPr id="48" name="47 Flecha izquierda">
          <a:hlinkClick xmlns:r="http://schemas.openxmlformats.org/officeDocument/2006/relationships" r:id="rId3"/>
          <a:extLst>
            <a:ext uri="{FF2B5EF4-FFF2-40B4-BE49-F238E27FC236}">
              <a16:creationId xmlns:a16="http://schemas.microsoft.com/office/drawing/2014/main" id="{00000000-0008-0000-1B00-000030000000}"/>
            </a:ext>
          </a:extLst>
        </xdr:cNvPr>
        <xdr:cNvSpPr/>
      </xdr:nvSpPr>
      <xdr:spPr>
        <a:xfrm>
          <a:off x="7258050" y="79714724"/>
          <a:ext cx="1228725" cy="60960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4</xdr:col>
      <xdr:colOff>523875</xdr:colOff>
      <xdr:row>315</xdr:row>
      <xdr:rowOff>19050</xdr:rowOff>
    </xdr:from>
    <xdr:to>
      <xdr:col>6</xdr:col>
      <xdr:colOff>704850</xdr:colOff>
      <xdr:row>316</xdr:row>
      <xdr:rowOff>276225</xdr:rowOff>
    </xdr:to>
    <xdr:pic>
      <xdr:nvPicPr>
        <xdr:cNvPr id="49" name="48 Imagen" descr="NEIVA UNIDA">
          <a:extLst>
            <a:ext uri="{FF2B5EF4-FFF2-40B4-BE49-F238E27FC236}">
              <a16:creationId xmlns:a16="http://schemas.microsoft.com/office/drawing/2014/main" id="{00000000-0008-0000-1B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66303525"/>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315</xdr:row>
      <xdr:rowOff>19050</xdr:rowOff>
    </xdr:from>
    <xdr:to>
      <xdr:col>4</xdr:col>
      <xdr:colOff>514351</xdr:colOff>
      <xdr:row>316</xdr:row>
      <xdr:rowOff>266699</xdr:rowOff>
    </xdr:to>
    <xdr:pic>
      <xdr:nvPicPr>
        <xdr:cNvPr id="50" name="49 Imagen" descr="44 AÑOS">
          <a:extLst>
            <a:ext uri="{FF2B5EF4-FFF2-40B4-BE49-F238E27FC236}">
              <a16:creationId xmlns:a16="http://schemas.microsoft.com/office/drawing/2014/main" id="{00000000-0008-0000-1B00-00003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66303525"/>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315</xdr:row>
      <xdr:rowOff>38099</xdr:rowOff>
    </xdr:from>
    <xdr:to>
      <xdr:col>8</xdr:col>
      <xdr:colOff>704850</xdr:colOff>
      <xdr:row>317</xdr:row>
      <xdr:rowOff>0</xdr:rowOff>
    </xdr:to>
    <xdr:sp macro="" textlink="">
      <xdr:nvSpPr>
        <xdr:cNvPr id="51" name="50 Flecha izquierda">
          <a:hlinkClick xmlns:r="http://schemas.openxmlformats.org/officeDocument/2006/relationships" r:id="rId3"/>
          <a:extLst>
            <a:ext uri="{FF2B5EF4-FFF2-40B4-BE49-F238E27FC236}">
              <a16:creationId xmlns:a16="http://schemas.microsoft.com/office/drawing/2014/main" id="{00000000-0008-0000-1B00-000033000000}"/>
            </a:ext>
          </a:extLst>
        </xdr:cNvPr>
        <xdr:cNvSpPr/>
      </xdr:nvSpPr>
      <xdr:spPr>
        <a:xfrm>
          <a:off x="7258050" y="66322574"/>
          <a:ext cx="1228725" cy="60960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4</xdr:col>
      <xdr:colOff>523875</xdr:colOff>
      <xdr:row>447</xdr:row>
      <xdr:rowOff>19050</xdr:rowOff>
    </xdr:from>
    <xdr:to>
      <xdr:col>6</xdr:col>
      <xdr:colOff>704850</xdr:colOff>
      <xdr:row>448</xdr:row>
      <xdr:rowOff>276225</xdr:rowOff>
    </xdr:to>
    <xdr:pic>
      <xdr:nvPicPr>
        <xdr:cNvPr id="52" name="51 Imagen" descr="NEIVA UNIDA">
          <a:extLst>
            <a:ext uri="{FF2B5EF4-FFF2-40B4-BE49-F238E27FC236}">
              <a16:creationId xmlns:a16="http://schemas.microsoft.com/office/drawing/2014/main" id="{00000000-0008-0000-1B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93554550"/>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447</xdr:row>
      <xdr:rowOff>19050</xdr:rowOff>
    </xdr:from>
    <xdr:to>
      <xdr:col>4</xdr:col>
      <xdr:colOff>514351</xdr:colOff>
      <xdr:row>448</xdr:row>
      <xdr:rowOff>266699</xdr:rowOff>
    </xdr:to>
    <xdr:pic>
      <xdr:nvPicPr>
        <xdr:cNvPr id="53" name="52 Imagen" descr="44 AÑOS">
          <a:extLst>
            <a:ext uri="{FF2B5EF4-FFF2-40B4-BE49-F238E27FC236}">
              <a16:creationId xmlns:a16="http://schemas.microsoft.com/office/drawing/2014/main" id="{00000000-0008-0000-1B00-00003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93554550"/>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447</xdr:row>
      <xdr:rowOff>38099</xdr:rowOff>
    </xdr:from>
    <xdr:to>
      <xdr:col>8</xdr:col>
      <xdr:colOff>704850</xdr:colOff>
      <xdr:row>449</xdr:row>
      <xdr:rowOff>0</xdr:rowOff>
    </xdr:to>
    <xdr:sp macro="" textlink="">
      <xdr:nvSpPr>
        <xdr:cNvPr id="54" name="53 Flecha izquierda">
          <a:hlinkClick xmlns:r="http://schemas.openxmlformats.org/officeDocument/2006/relationships" r:id="rId3"/>
          <a:extLst>
            <a:ext uri="{FF2B5EF4-FFF2-40B4-BE49-F238E27FC236}">
              <a16:creationId xmlns:a16="http://schemas.microsoft.com/office/drawing/2014/main" id="{00000000-0008-0000-1B00-000036000000}"/>
            </a:ext>
          </a:extLst>
        </xdr:cNvPr>
        <xdr:cNvSpPr/>
      </xdr:nvSpPr>
      <xdr:spPr>
        <a:xfrm>
          <a:off x="7258050" y="93573599"/>
          <a:ext cx="1228725" cy="60960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7</xdr:col>
      <xdr:colOff>238125</xdr:colOff>
      <xdr:row>479</xdr:row>
      <xdr:rowOff>38099</xdr:rowOff>
    </xdr:from>
    <xdr:to>
      <xdr:col>8</xdr:col>
      <xdr:colOff>704850</xdr:colOff>
      <xdr:row>481</xdr:row>
      <xdr:rowOff>0</xdr:rowOff>
    </xdr:to>
    <xdr:sp macro="" textlink="">
      <xdr:nvSpPr>
        <xdr:cNvPr id="57" name="56 Flecha izquierda">
          <a:hlinkClick xmlns:r="http://schemas.openxmlformats.org/officeDocument/2006/relationships" r:id="rId3"/>
          <a:extLst>
            <a:ext uri="{FF2B5EF4-FFF2-40B4-BE49-F238E27FC236}">
              <a16:creationId xmlns:a16="http://schemas.microsoft.com/office/drawing/2014/main" id="{00000000-0008-0000-1B00-000039000000}"/>
            </a:ext>
          </a:extLst>
        </xdr:cNvPr>
        <xdr:cNvSpPr/>
      </xdr:nvSpPr>
      <xdr:spPr>
        <a:xfrm>
          <a:off x="7258050" y="100260149"/>
          <a:ext cx="1228725" cy="60960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4</xdr:col>
      <xdr:colOff>523875</xdr:colOff>
      <xdr:row>515</xdr:row>
      <xdr:rowOff>19050</xdr:rowOff>
    </xdr:from>
    <xdr:to>
      <xdr:col>6</xdr:col>
      <xdr:colOff>704850</xdr:colOff>
      <xdr:row>516</xdr:row>
      <xdr:rowOff>276225</xdr:rowOff>
    </xdr:to>
    <xdr:pic>
      <xdr:nvPicPr>
        <xdr:cNvPr id="58" name="57 Imagen" descr="NEIVA UNIDA">
          <a:extLst>
            <a:ext uri="{FF2B5EF4-FFF2-40B4-BE49-F238E27FC236}">
              <a16:creationId xmlns:a16="http://schemas.microsoft.com/office/drawing/2014/main" id="{00000000-0008-0000-1B00-00003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0125" y="109366050"/>
          <a:ext cx="19431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9526</xdr:colOff>
      <xdr:row>515</xdr:row>
      <xdr:rowOff>19050</xdr:rowOff>
    </xdr:from>
    <xdr:to>
      <xdr:col>4</xdr:col>
      <xdr:colOff>514351</xdr:colOff>
      <xdr:row>516</xdr:row>
      <xdr:rowOff>266699</xdr:rowOff>
    </xdr:to>
    <xdr:pic>
      <xdr:nvPicPr>
        <xdr:cNvPr id="59" name="58 Imagen" descr="44 AÑOS">
          <a:extLst>
            <a:ext uri="{FF2B5EF4-FFF2-40B4-BE49-F238E27FC236}">
              <a16:creationId xmlns:a16="http://schemas.microsoft.com/office/drawing/2014/main" id="{00000000-0008-0000-1B00-00003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1" y="109366050"/>
          <a:ext cx="1371600" cy="590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238125</xdr:colOff>
      <xdr:row>515</xdr:row>
      <xdr:rowOff>38099</xdr:rowOff>
    </xdr:from>
    <xdr:to>
      <xdr:col>8</xdr:col>
      <xdr:colOff>704850</xdr:colOff>
      <xdr:row>517</xdr:row>
      <xdr:rowOff>0</xdr:rowOff>
    </xdr:to>
    <xdr:sp macro="" textlink="">
      <xdr:nvSpPr>
        <xdr:cNvPr id="60" name="59 Flecha izquierda">
          <a:hlinkClick xmlns:r="http://schemas.openxmlformats.org/officeDocument/2006/relationships" r:id="rId3"/>
          <a:extLst>
            <a:ext uri="{FF2B5EF4-FFF2-40B4-BE49-F238E27FC236}">
              <a16:creationId xmlns:a16="http://schemas.microsoft.com/office/drawing/2014/main" id="{00000000-0008-0000-1B00-00003C000000}"/>
            </a:ext>
          </a:extLst>
        </xdr:cNvPr>
        <xdr:cNvSpPr/>
      </xdr:nvSpPr>
      <xdr:spPr>
        <a:xfrm>
          <a:off x="7258050" y="109385099"/>
          <a:ext cx="1228725" cy="60960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7</xdr:col>
      <xdr:colOff>238125</xdr:colOff>
      <xdr:row>546</xdr:row>
      <xdr:rowOff>38099</xdr:rowOff>
    </xdr:from>
    <xdr:to>
      <xdr:col>8</xdr:col>
      <xdr:colOff>704850</xdr:colOff>
      <xdr:row>548</xdr:row>
      <xdr:rowOff>0</xdr:rowOff>
    </xdr:to>
    <xdr:sp macro="" textlink="">
      <xdr:nvSpPr>
        <xdr:cNvPr id="63" name="62 Flecha izquierda">
          <a:hlinkClick xmlns:r="http://schemas.openxmlformats.org/officeDocument/2006/relationships" r:id="rId3"/>
          <a:extLst>
            <a:ext uri="{FF2B5EF4-FFF2-40B4-BE49-F238E27FC236}">
              <a16:creationId xmlns:a16="http://schemas.microsoft.com/office/drawing/2014/main" id="{00000000-0008-0000-1B00-00003F000000}"/>
            </a:ext>
          </a:extLst>
        </xdr:cNvPr>
        <xdr:cNvSpPr/>
      </xdr:nvSpPr>
      <xdr:spPr>
        <a:xfrm>
          <a:off x="6771154" y="116540"/>
          <a:ext cx="1228725" cy="701489"/>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4</xdr:col>
      <xdr:colOff>470647</xdr:colOff>
      <xdr:row>479</xdr:row>
      <xdr:rowOff>56030</xdr:rowOff>
    </xdr:from>
    <xdr:to>
      <xdr:col>5</xdr:col>
      <xdr:colOff>358679</xdr:colOff>
      <xdr:row>480</xdr:row>
      <xdr:rowOff>347382</xdr:rowOff>
    </xdr:to>
    <xdr:pic>
      <xdr:nvPicPr>
        <xdr:cNvPr id="68" name="Picture 103">
          <a:extLst>
            <a:ext uri="{FF2B5EF4-FFF2-40B4-BE49-F238E27FC236}">
              <a16:creationId xmlns:a16="http://schemas.microsoft.com/office/drawing/2014/main" id="{00000000-0008-0000-1B00-000044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4336676" y="134471"/>
          <a:ext cx="728474" cy="638735"/>
        </a:xfrm>
        <a:prstGeom prst="rect">
          <a:avLst/>
        </a:prstGeom>
        <a:noFill/>
        <a:ln w="9525">
          <a:noFill/>
          <a:miter lim="800000"/>
          <a:headEnd/>
          <a:tailEnd/>
        </a:ln>
      </xdr:spPr>
    </xdr:pic>
    <xdr:clientData/>
  </xdr:twoCellAnchor>
  <xdr:twoCellAnchor>
    <xdr:from>
      <xdr:col>4</xdr:col>
      <xdr:colOff>403412</xdr:colOff>
      <xdr:row>546</xdr:row>
      <xdr:rowOff>67235</xdr:rowOff>
    </xdr:from>
    <xdr:to>
      <xdr:col>5</xdr:col>
      <xdr:colOff>291444</xdr:colOff>
      <xdr:row>547</xdr:row>
      <xdr:rowOff>358587</xdr:rowOff>
    </xdr:to>
    <xdr:pic>
      <xdr:nvPicPr>
        <xdr:cNvPr id="69" name="Picture 103">
          <a:extLst>
            <a:ext uri="{FF2B5EF4-FFF2-40B4-BE49-F238E27FC236}">
              <a16:creationId xmlns:a16="http://schemas.microsoft.com/office/drawing/2014/main" id="{00000000-0008-0000-1B00-000045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4269441" y="9076764"/>
          <a:ext cx="728474" cy="638735"/>
        </a:xfrm>
        <a:prstGeom prst="rect">
          <a:avLst/>
        </a:prstGeom>
        <a:noFill/>
        <a:ln w="9525">
          <a:noFill/>
          <a:miter lim="800000"/>
          <a:headEnd/>
          <a:tailEnd/>
        </a:ln>
      </xdr:spPr>
    </xdr:pic>
    <xdr:clientData/>
  </xdr:twoCellAnchor>
  <xdr:twoCellAnchor>
    <xdr:from>
      <xdr:col>4</xdr:col>
      <xdr:colOff>515471</xdr:colOff>
      <xdr:row>585</xdr:row>
      <xdr:rowOff>44824</xdr:rowOff>
    </xdr:from>
    <xdr:to>
      <xdr:col>5</xdr:col>
      <xdr:colOff>403503</xdr:colOff>
      <xdr:row>586</xdr:row>
      <xdr:rowOff>493059</xdr:rowOff>
    </xdr:to>
    <xdr:pic>
      <xdr:nvPicPr>
        <xdr:cNvPr id="70" name="Picture 103">
          <a:extLst>
            <a:ext uri="{FF2B5EF4-FFF2-40B4-BE49-F238E27FC236}">
              <a16:creationId xmlns:a16="http://schemas.microsoft.com/office/drawing/2014/main" id="{00000000-0008-0000-1B00-000046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4381500" y="16741589"/>
          <a:ext cx="728474" cy="638735"/>
        </a:xfrm>
        <a:prstGeom prst="rect">
          <a:avLst/>
        </a:prstGeom>
        <a:noFill/>
        <a:ln w="9525">
          <a:noFill/>
          <a:miter lim="800000"/>
          <a:headEnd/>
          <a:tailEnd/>
        </a:ln>
      </xdr:spPr>
    </xdr:pic>
    <xdr:clientData/>
  </xdr:twoCellAnchor>
</xdr:wsDr>
</file>

<file path=xl/drawings/drawing25.xml><?xml version="1.0" encoding="utf-8"?>
<xdr:wsDr xmlns:xdr="http://schemas.openxmlformats.org/drawingml/2006/spreadsheetDrawing" xmlns:a="http://schemas.openxmlformats.org/drawingml/2006/main">
  <xdr:twoCellAnchor>
    <xdr:from>
      <xdr:col>7</xdr:col>
      <xdr:colOff>238125</xdr:colOff>
      <xdr:row>1</xdr:row>
      <xdr:rowOff>38099</xdr:rowOff>
    </xdr:from>
    <xdr:to>
      <xdr:col>8</xdr:col>
      <xdr:colOff>704850</xdr:colOff>
      <xdr:row>3</xdr:row>
      <xdr:rowOff>28574</xdr:rowOff>
    </xdr:to>
    <xdr:sp macro="" textlink="">
      <xdr:nvSpPr>
        <xdr:cNvPr id="2" name="1 Flecha izquierda">
          <a:hlinkClick xmlns:r="http://schemas.openxmlformats.org/officeDocument/2006/relationships" r:id="rId1"/>
          <a:extLst>
            <a:ext uri="{FF2B5EF4-FFF2-40B4-BE49-F238E27FC236}">
              <a16:creationId xmlns:a16="http://schemas.microsoft.com/office/drawing/2014/main" id="{00000000-0008-0000-1C00-000002000000}"/>
            </a:ext>
          </a:extLst>
        </xdr:cNvPr>
        <xdr:cNvSpPr/>
      </xdr:nvSpPr>
      <xdr:spPr>
        <a:xfrm>
          <a:off x="6734175" y="209549"/>
          <a:ext cx="1228725" cy="6381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xdr:from>
      <xdr:col>7</xdr:col>
      <xdr:colOff>238125</xdr:colOff>
      <xdr:row>42</xdr:row>
      <xdr:rowOff>38099</xdr:rowOff>
    </xdr:from>
    <xdr:to>
      <xdr:col>8</xdr:col>
      <xdr:colOff>704850</xdr:colOff>
      <xdr:row>44</xdr:row>
      <xdr:rowOff>28574</xdr:rowOff>
    </xdr:to>
    <xdr:sp macro="" textlink="">
      <xdr:nvSpPr>
        <xdr:cNvPr id="3" name="2 Flecha izquierda">
          <a:hlinkClick xmlns:r="http://schemas.openxmlformats.org/officeDocument/2006/relationships" r:id="rId1"/>
          <a:extLst>
            <a:ext uri="{FF2B5EF4-FFF2-40B4-BE49-F238E27FC236}">
              <a16:creationId xmlns:a16="http://schemas.microsoft.com/office/drawing/2014/main" id="{00000000-0008-0000-1C00-000003000000}"/>
            </a:ext>
          </a:extLst>
        </xdr:cNvPr>
        <xdr:cNvSpPr/>
      </xdr:nvSpPr>
      <xdr:spPr>
        <a:xfrm>
          <a:off x="6734175" y="7419974"/>
          <a:ext cx="1228725" cy="6381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600" b="1"/>
            <a:t>VOLVER</a:t>
          </a:r>
        </a:p>
      </xdr:txBody>
    </xdr:sp>
    <xdr:clientData/>
  </xdr:twoCellAnchor>
  <xdr:twoCellAnchor editAs="oneCell">
    <xdr:from>
      <xdr:col>5</xdr:col>
      <xdr:colOff>638175</xdr:colOff>
      <xdr:row>1</xdr:row>
      <xdr:rowOff>0</xdr:rowOff>
    </xdr:from>
    <xdr:to>
      <xdr:col>6</xdr:col>
      <xdr:colOff>402648</xdr:colOff>
      <xdr:row>2</xdr:row>
      <xdr:rowOff>257176</xdr:rowOff>
    </xdr:to>
    <xdr:pic>
      <xdr:nvPicPr>
        <xdr:cNvPr id="4" name="3 Imagen">
          <a:extLst>
            <a:ext uri="{FF2B5EF4-FFF2-40B4-BE49-F238E27FC236}">
              <a16:creationId xmlns:a16="http://schemas.microsoft.com/office/drawing/2014/main" id="{00000000-0008-0000-1C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34025" y="171450"/>
          <a:ext cx="545523" cy="600076"/>
        </a:xfrm>
        <a:prstGeom prst="rect">
          <a:avLst/>
        </a:prstGeom>
      </xdr:spPr>
    </xdr:pic>
    <xdr:clientData/>
  </xdr:twoCellAnchor>
  <xdr:twoCellAnchor>
    <xdr:from>
      <xdr:col>3</xdr:col>
      <xdr:colOff>219075</xdr:colOff>
      <xdr:row>1</xdr:row>
      <xdr:rowOff>85725</xdr:rowOff>
    </xdr:from>
    <xdr:to>
      <xdr:col>4</xdr:col>
      <xdr:colOff>762000</xdr:colOff>
      <xdr:row>2</xdr:row>
      <xdr:rowOff>209551</xdr:rowOff>
    </xdr:to>
    <xdr:pic>
      <xdr:nvPicPr>
        <xdr:cNvPr id="5" name="2 Imagen" descr="logo agrado unido">
          <a:extLst>
            <a:ext uri="{FF2B5EF4-FFF2-40B4-BE49-F238E27FC236}">
              <a16:creationId xmlns:a16="http://schemas.microsoft.com/office/drawing/2014/main" id="{00000000-0008-0000-1C00-000005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467100" y="257175"/>
          <a:ext cx="1390650" cy="4667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666750</xdr:colOff>
      <xdr:row>42</xdr:row>
      <xdr:rowOff>19050</xdr:rowOff>
    </xdr:from>
    <xdr:to>
      <xdr:col>6</xdr:col>
      <xdr:colOff>431223</xdr:colOff>
      <xdr:row>43</xdr:row>
      <xdr:rowOff>276226</xdr:rowOff>
    </xdr:to>
    <xdr:pic>
      <xdr:nvPicPr>
        <xdr:cNvPr id="6" name="5 Imagen">
          <a:extLst>
            <a:ext uri="{FF2B5EF4-FFF2-40B4-BE49-F238E27FC236}">
              <a16:creationId xmlns:a16="http://schemas.microsoft.com/office/drawing/2014/main" id="{00000000-0008-0000-1C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62600" y="7296150"/>
          <a:ext cx="545523" cy="600076"/>
        </a:xfrm>
        <a:prstGeom prst="rect">
          <a:avLst/>
        </a:prstGeom>
      </xdr:spPr>
    </xdr:pic>
    <xdr:clientData/>
  </xdr:twoCellAnchor>
  <xdr:twoCellAnchor>
    <xdr:from>
      <xdr:col>3</xdr:col>
      <xdr:colOff>247650</xdr:colOff>
      <xdr:row>42</xdr:row>
      <xdr:rowOff>104775</xdr:rowOff>
    </xdr:from>
    <xdr:to>
      <xdr:col>4</xdr:col>
      <xdr:colOff>790575</xdr:colOff>
      <xdr:row>43</xdr:row>
      <xdr:rowOff>228601</xdr:rowOff>
    </xdr:to>
    <xdr:pic>
      <xdr:nvPicPr>
        <xdr:cNvPr id="7" name="2 Imagen" descr="logo agrado unido">
          <a:extLst>
            <a:ext uri="{FF2B5EF4-FFF2-40B4-BE49-F238E27FC236}">
              <a16:creationId xmlns:a16="http://schemas.microsoft.com/office/drawing/2014/main" id="{00000000-0008-0000-1C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495675" y="7381875"/>
          <a:ext cx="1390650" cy="4667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685800</xdr:colOff>
      <xdr:row>84</xdr:row>
      <xdr:rowOff>19050</xdr:rowOff>
    </xdr:from>
    <xdr:to>
      <xdr:col>6</xdr:col>
      <xdr:colOff>450273</xdr:colOff>
      <xdr:row>85</xdr:row>
      <xdr:rowOff>276226</xdr:rowOff>
    </xdr:to>
    <xdr:pic>
      <xdr:nvPicPr>
        <xdr:cNvPr id="8" name="7 Imagen">
          <a:extLst>
            <a:ext uri="{FF2B5EF4-FFF2-40B4-BE49-F238E27FC236}">
              <a16:creationId xmlns:a16="http://schemas.microsoft.com/office/drawing/2014/main" id="{00000000-0008-0000-1C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81650" y="14049375"/>
          <a:ext cx="545523" cy="600076"/>
        </a:xfrm>
        <a:prstGeom prst="rect">
          <a:avLst/>
        </a:prstGeom>
      </xdr:spPr>
    </xdr:pic>
    <xdr:clientData/>
  </xdr:twoCellAnchor>
  <xdr:twoCellAnchor>
    <xdr:from>
      <xdr:col>3</xdr:col>
      <xdr:colOff>266700</xdr:colOff>
      <xdr:row>84</xdr:row>
      <xdr:rowOff>104775</xdr:rowOff>
    </xdr:from>
    <xdr:to>
      <xdr:col>5</xdr:col>
      <xdr:colOff>9525</xdr:colOff>
      <xdr:row>85</xdr:row>
      <xdr:rowOff>228601</xdr:rowOff>
    </xdr:to>
    <xdr:pic>
      <xdr:nvPicPr>
        <xdr:cNvPr id="9" name="2 Imagen" descr="logo agrado unido">
          <a:extLst>
            <a:ext uri="{FF2B5EF4-FFF2-40B4-BE49-F238E27FC236}">
              <a16:creationId xmlns:a16="http://schemas.microsoft.com/office/drawing/2014/main" id="{00000000-0008-0000-1C00-000009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514725" y="14135100"/>
          <a:ext cx="1390650" cy="4667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xdr:from>
      <xdr:col>4</xdr:col>
      <xdr:colOff>463826</xdr:colOff>
      <xdr:row>1</xdr:row>
      <xdr:rowOff>49696</xdr:rowOff>
    </xdr:from>
    <xdr:to>
      <xdr:col>5</xdr:col>
      <xdr:colOff>414448</xdr:colOff>
      <xdr:row>2</xdr:row>
      <xdr:rowOff>412669</xdr:rowOff>
    </xdr:to>
    <xdr:pic>
      <xdr:nvPicPr>
        <xdr:cNvPr id="19" name="Picture 103">
          <a:extLst>
            <a:ext uri="{FF2B5EF4-FFF2-40B4-BE49-F238E27FC236}">
              <a16:creationId xmlns:a16="http://schemas.microsoft.com/office/drawing/2014/main" id="{00000000-0008-0000-1E00-00001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72000" y="223631"/>
          <a:ext cx="754035" cy="661147"/>
        </a:xfrm>
        <a:prstGeom prst="rect">
          <a:avLst/>
        </a:prstGeom>
        <a:noFill/>
        <a:ln w="9525">
          <a:noFill/>
          <a:miter lim="800000"/>
          <a:headEnd/>
          <a:tailEnd/>
        </a:ln>
      </xdr:spPr>
    </xdr:pic>
    <xdr:clientData/>
  </xdr:twoCellAnchor>
  <xdr:twoCellAnchor>
    <xdr:from>
      <xdr:col>4</xdr:col>
      <xdr:colOff>496957</xdr:colOff>
      <xdr:row>43</xdr:row>
      <xdr:rowOff>66261</xdr:rowOff>
    </xdr:from>
    <xdr:to>
      <xdr:col>5</xdr:col>
      <xdr:colOff>326445</xdr:colOff>
      <xdr:row>44</xdr:row>
      <xdr:rowOff>347869</xdr:rowOff>
    </xdr:to>
    <xdr:pic>
      <xdr:nvPicPr>
        <xdr:cNvPr id="20" name="Picture 103">
          <a:extLst>
            <a:ext uri="{FF2B5EF4-FFF2-40B4-BE49-F238E27FC236}">
              <a16:creationId xmlns:a16="http://schemas.microsoft.com/office/drawing/2014/main" id="{00000000-0008-0000-1E00-00001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05131" y="8671891"/>
          <a:ext cx="632901" cy="554935"/>
        </a:xfrm>
        <a:prstGeom prst="rect">
          <a:avLst/>
        </a:prstGeom>
        <a:noFill/>
        <a:ln w="9525">
          <a:noFill/>
          <a:miter lim="800000"/>
          <a:headEnd/>
          <a:tailEnd/>
        </a:ln>
      </xdr:spPr>
    </xdr:pic>
    <xdr:clientData/>
  </xdr:twoCellAnchor>
  <xdr:twoCellAnchor>
    <xdr:from>
      <xdr:col>4</xdr:col>
      <xdr:colOff>472110</xdr:colOff>
      <xdr:row>85</xdr:row>
      <xdr:rowOff>24848</xdr:rowOff>
    </xdr:from>
    <xdr:to>
      <xdr:col>5</xdr:col>
      <xdr:colOff>311043</xdr:colOff>
      <xdr:row>86</xdr:row>
      <xdr:rowOff>314739</xdr:rowOff>
    </xdr:to>
    <xdr:pic>
      <xdr:nvPicPr>
        <xdr:cNvPr id="21" name="Picture 103">
          <a:extLst>
            <a:ext uri="{FF2B5EF4-FFF2-40B4-BE49-F238E27FC236}">
              <a16:creationId xmlns:a16="http://schemas.microsoft.com/office/drawing/2014/main" id="{00000000-0008-0000-1E00-00001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80284" y="17360348"/>
          <a:ext cx="642346" cy="563217"/>
        </a:xfrm>
        <a:prstGeom prst="rect">
          <a:avLst/>
        </a:prstGeom>
        <a:noFill/>
        <a:ln w="9525">
          <a:noFill/>
          <a:miter lim="800000"/>
          <a:headEnd/>
          <a:tailEnd/>
        </a:ln>
      </xdr:spPr>
    </xdr:pic>
    <xdr:clientData/>
  </xdr:twoCellAnchor>
  <xdr:twoCellAnchor>
    <xdr:from>
      <xdr:col>4</xdr:col>
      <xdr:colOff>521805</xdr:colOff>
      <xdr:row>127</xdr:row>
      <xdr:rowOff>33130</xdr:rowOff>
    </xdr:from>
    <xdr:to>
      <xdr:col>5</xdr:col>
      <xdr:colOff>351293</xdr:colOff>
      <xdr:row>128</xdr:row>
      <xdr:rowOff>331304</xdr:rowOff>
    </xdr:to>
    <xdr:pic>
      <xdr:nvPicPr>
        <xdr:cNvPr id="22" name="Picture 103">
          <a:extLst>
            <a:ext uri="{FF2B5EF4-FFF2-40B4-BE49-F238E27FC236}">
              <a16:creationId xmlns:a16="http://schemas.microsoft.com/office/drawing/2014/main" id="{00000000-0008-0000-1E00-00001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29979" y="25493869"/>
          <a:ext cx="632901" cy="554935"/>
        </a:xfrm>
        <a:prstGeom prst="rect">
          <a:avLst/>
        </a:prstGeom>
        <a:noFill/>
        <a:ln w="9525">
          <a:noFill/>
          <a:miter lim="800000"/>
          <a:headEnd/>
          <a:tailEnd/>
        </a:ln>
      </xdr:spPr>
    </xdr:pic>
    <xdr:clientData/>
  </xdr:twoCellAnchor>
  <xdr:twoCellAnchor>
    <xdr:from>
      <xdr:col>4</xdr:col>
      <xdr:colOff>530088</xdr:colOff>
      <xdr:row>174</xdr:row>
      <xdr:rowOff>41414</xdr:rowOff>
    </xdr:from>
    <xdr:to>
      <xdr:col>5</xdr:col>
      <xdr:colOff>416254</xdr:colOff>
      <xdr:row>175</xdr:row>
      <xdr:rowOff>323023</xdr:rowOff>
    </xdr:to>
    <xdr:pic>
      <xdr:nvPicPr>
        <xdr:cNvPr id="23" name="Picture 103">
          <a:extLst>
            <a:ext uri="{FF2B5EF4-FFF2-40B4-BE49-F238E27FC236}">
              <a16:creationId xmlns:a16="http://schemas.microsoft.com/office/drawing/2014/main" id="{00000000-0008-0000-1E00-00001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38262" y="34472218"/>
          <a:ext cx="689579" cy="604631"/>
        </a:xfrm>
        <a:prstGeom prst="rect">
          <a:avLst/>
        </a:prstGeom>
        <a:noFill/>
        <a:ln w="9525">
          <a:noFill/>
          <a:miter lim="800000"/>
          <a:headEnd/>
          <a:tailEnd/>
        </a:ln>
      </xdr:spPr>
    </xdr:pic>
    <xdr:clientData/>
  </xdr:twoCellAnchor>
  <xdr:twoCellAnchor>
    <xdr:from>
      <xdr:col>4</xdr:col>
      <xdr:colOff>488675</xdr:colOff>
      <xdr:row>218</xdr:row>
      <xdr:rowOff>57980</xdr:rowOff>
    </xdr:from>
    <xdr:to>
      <xdr:col>5</xdr:col>
      <xdr:colOff>364436</xdr:colOff>
      <xdr:row>219</xdr:row>
      <xdr:rowOff>338749</xdr:rowOff>
    </xdr:to>
    <xdr:pic>
      <xdr:nvPicPr>
        <xdr:cNvPr id="24" name="Picture 103">
          <a:extLst>
            <a:ext uri="{FF2B5EF4-FFF2-40B4-BE49-F238E27FC236}">
              <a16:creationId xmlns:a16="http://schemas.microsoft.com/office/drawing/2014/main" id="{00000000-0008-0000-1E00-000018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96849" y="43003306"/>
          <a:ext cx="679174" cy="595508"/>
        </a:xfrm>
        <a:prstGeom prst="rect">
          <a:avLst/>
        </a:prstGeom>
        <a:noFill/>
        <a:ln w="9525">
          <a:noFill/>
          <a:miter lim="800000"/>
          <a:headEnd/>
          <a:tailEnd/>
        </a:ln>
      </xdr:spPr>
    </xdr:pic>
    <xdr:clientData/>
  </xdr:twoCellAnchor>
  <xdr:twoCellAnchor>
    <xdr:from>
      <xdr:col>4</xdr:col>
      <xdr:colOff>463827</xdr:colOff>
      <xdr:row>264</xdr:row>
      <xdr:rowOff>8284</xdr:rowOff>
    </xdr:from>
    <xdr:to>
      <xdr:col>5</xdr:col>
      <xdr:colOff>364435</xdr:colOff>
      <xdr:row>265</xdr:row>
      <xdr:rowOff>335687</xdr:rowOff>
    </xdr:to>
    <xdr:pic>
      <xdr:nvPicPr>
        <xdr:cNvPr id="25" name="Picture 103">
          <a:extLst>
            <a:ext uri="{FF2B5EF4-FFF2-40B4-BE49-F238E27FC236}">
              <a16:creationId xmlns:a16="http://schemas.microsoft.com/office/drawing/2014/main" id="{00000000-0008-0000-1E00-000019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72001" y="51865697"/>
          <a:ext cx="704021" cy="617294"/>
        </a:xfrm>
        <a:prstGeom prst="rect">
          <a:avLst/>
        </a:prstGeom>
        <a:noFill/>
        <a:ln w="9525">
          <a:noFill/>
          <a:miter lim="800000"/>
          <a:headEnd/>
          <a:tailEnd/>
        </a:ln>
      </xdr:spPr>
    </xdr:pic>
    <xdr:clientData/>
  </xdr:twoCellAnchor>
  <xdr:twoCellAnchor>
    <xdr:from>
      <xdr:col>4</xdr:col>
      <xdr:colOff>521806</xdr:colOff>
      <xdr:row>313</xdr:row>
      <xdr:rowOff>82827</xdr:rowOff>
    </xdr:from>
    <xdr:to>
      <xdr:col>5</xdr:col>
      <xdr:colOff>298175</xdr:colOff>
      <xdr:row>314</xdr:row>
      <xdr:rowOff>326144</xdr:rowOff>
    </xdr:to>
    <xdr:pic>
      <xdr:nvPicPr>
        <xdr:cNvPr id="26" name="Picture 103">
          <a:extLst>
            <a:ext uri="{FF2B5EF4-FFF2-40B4-BE49-F238E27FC236}">
              <a16:creationId xmlns:a16="http://schemas.microsoft.com/office/drawing/2014/main" id="{00000000-0008-0000-1E00-00001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29980" y="61200197"/>
          <a:ext cx="579782" cy="508360"/>
        </a:xfrm>
        <a:prstGeom prst="rect">
          <a:avLst/>
        </a:prstGeom>
        <a:noFill/>
        <a:ln w="9525">
          <a:noFill/>
          <a:miter lim="800000"/>
          <a:headEnd/>
          <a:tailEnd/>
        </a:ln>
      </xdr:spPr>
    </xdr:pic>
    <xdr:clientData/>
  </xdr:twoCellAnchor>
  <xdr:twoCellAnchor>
    <xdr:from>
      <xdr:col>4</xdr:col>
      <xdr:colOff>455544</xdr:colOff>
      <xdr:row>359</xdr:row>
      <xdr:rowOff>33131</xdr:rowOff>
    </xdr:from>
    <xdr:to>
      <xdr:col>5</xdr:col>
      <xdr:colOff>322816</xdr:colOff>
      <xdr:row>360</xdr:row>
      <xdr:rowOff>356153</xdr:rowOff>
    </xdr:to>
    <xdr:pic>
      <xdr:nvPicPr>
        <xdr:cNvPr id="27" name="Picture 103">
          <a:extLst>
            <a:ext uri="{FF2B5EF4-FFF2-40B4-BE49-F238E27FC236}">
              <a16:creationId xmlns:a16="http://schemas.microsoft.com/office/drawing/2014/main" id="{00000000-0008-0000-1E00-00001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63718" y="70311066"/>
          <a:ext cx="670685" cy="588065"/>
        </a:xfrm>
        <a:prstGeom prst="rect">
          <a:avLst/>
        </a:prstGeom>
        <a:noFill/>
        <a:ln w="9525">
          <a:noFill/>
          <a:miter lim="800000"/>
          <a:headEnd/>
          <a:tailEnd/>
        </a:ln>
      </xdr:spPr>
    </xdr:pic>
    <xdr:clientData/>
  </xdr:twoCellAnchor>
  <xdr:twoCellAnchor>
    <xdr:from>
      <xdr:col>4</xdr:col>
      <xdr:colOff>447262</xdr:colOff>
      <xdr:row>407</xdr:row>
      <xdr:rowOff>49696</xdr:rowOff>
    </xdr:from>
    <xdr:to>
      <xdr:col>5</xdr:col>
      <xdr:colOff>323023</xdr:colOff>
      <xdr:row>408</xdr:row>
      <xdr:rowOff>388443</xdr:rowOff>
    </xdr:to>
    <xdr:pic>
      <xdr:nvPicPr>
        <xdr:cNvPr id="28" name="Picture 103">
          <a:extLst>
            <a:ext uri="{FF2B5EF4-FFF2-40B4-BE49-F238E27FC236}">
              <a16:creationId xmlns:a16="http://schemas.microsoft.com/office/drawing/2014/main" id="{00000000-0008-0000-1E00-00001C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55436" y="79446783"/>
          <a:ext cx="679174" cy="595508"/>
        </a:xfrm>
        <a:prstGeom prst="rect">
          <a:avLst/>
        </a:prstGeom>
        <a:noFill/>
        <a:ln w="9525">
          <a:noFill/>
          <a:miter lim="800000"/>
          <a:headEnd/>
          <a:tailEnd/>
        </a:ln>
      </xdr:spPr>
    </xdr:pic>
    <xdr:clientData/>
  </xdr:twoCellAnchor>
  <xdr:twoCellAnchor>
    <xdr:from>
      <xdr:col>4</xdr:col>
      <xdr:colOff>530087</xdr:colOff>
      <xdr:row>455</xdr:row>
      <xdr:rowOff>8284</xdr:rowOff>
    </xdr:from>
    <xdr:to>
      <xdr:col>5</xdr:col>
      <xdr:colOff>416253</xdr:colOff>
      <xdr:row>456</xdr:row>
      <xdr:rowOff>323024</xdr:rowOff>
    </xdr:to>
    <xdr:pic>
      <xdr:nvPicPr>
        <xdr:cNvPr id="29" name="Picture 103">
          <a:extLst>
            <a:ext uri="{FF2B5EF4-FFF2-40B4-BE49-F238E27FC236}">
              <a16:creationId xmlns:a16="http://schemas.microsoft.com/office/drawing/2014/main" id="{00000000-0008-0000-1E00-00001D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38261" y="88524523"/>
          <a:ext cx="689579" cy="604631"/>
        </a:xfrm>
        <a:prstGeom prst="rect">
          <a:avLst/>
        </a:prstGeom>
        <a:noFill/>
        <a:ln w="9525">
          <a:noFill/>
          <a:miter lim="800000"/>
          <a:headEnd/>
          <a:tailEnd/>
        </a:ln>
      </xdr:spPr>
    </xdr:pic>
    <xdr:clientData/>
  </xdr:twoCellAnchor>
  <xdr:twoCellAnchor>
    <xdr:from>
      <xdr:col>4</xdr:col>
      <xdr:colOff>521805</xdr:colOff>
      <xdr:row>503</xdr:row>
      <xdr:rowOff>24848</xdr:rowOff>
    </xdr:from>
    <xdr:to>
      <xdr:col>5</xdr:col>
      <xdr:colOff>389283</xdr:colOff>
      <xdr:row>504</xdr:row>
      <xdr:rowOff>298354</xdr:rowOff>
    </xdr:to>
    <xdr:pic>
      <xdr:nvPicPr>
        <xdr:cNvPr id="30" name="Picture 103">
          <a:extLst>
            <a:ext uri="{FF2B5EF4-FFF2-40B4-BE49-F238E27FC236}">
              <a16:creationId xmlns:a16="http://schemas.microsoft.com/office/drawing/2014/main" id="{00000000-0008-0000-1E00-00001E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29979" y="97693370"/>
          <a:ext cx="670891" cy="588245"/>
        </a:xfrm>
        <a:prstGeom prst="rect">
          <a:avLst/>
        </a:prstGeom>
        <a:noFill/>
        <a:ln w="9525">
          <a:noFill/>
          <a:miter lim="800000"/>
          <a:headEnd/>
          <a:tailEnd/>
        </a:ln>
      </xdr:spPr>
    </xdr:pic>
    <xdr:clientData/>
  </xdr:twoCellAnchor>
  <xdr:twoCellAnchor>
    <xdr:from>
      <xdr:col>4</xdr:col>
      <xdr:colOff>513523</xdr:colOff>
      <xdr:row>551</xdr:row>
      <xdr:rowOff>24849</xdr:rowOff>
    </xdr:from>
    <xdr:to>
      <xdr:col>5</xdr:col>
      <xdr:colOff>380796</xdr:colOff>
      <xdr:row>552</xdr:row>
      <xdr:rowOff>323023</xdr:rowOff>
    </xdr:to>
    <xdr:pic>
      <xdr:nvPicPr>
        <xdr:cNvPr id="31" name="Picture 103">
          <a:extLst>
            <a:ext uri="{FF2B5EF4-FFF2-40B4-BE49-F238E27FC236}">
              <a16:creationId xmlns:a16="http://schemas.microsoft.com/office/drawing/2014/main" id="{00000000-0008-0000-1E00-00001F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21697" y="106845653"/>
          <a:ext cx="670686" cy="588066"/>
        </a:xfrm>
        <a:prstGeom prst="rect">
          <a:avLst/>
        </a:prstGeom>
        <a:noFill/>
        <a:ln w="9525">
          <a:noFill/>
          <a:miter lim="800000"/>
          <a:headEnd/>
          <a:tailEnd/>
        </a:ln>
      </xdr:spPr>
    </xdr:pic>
    <xdr:clientData/>
  </xdr:twoCellAnchor>
  <xdr:twoCellAnchor>
    <xdr:from>
      <xdr:col>4</xdr:col>
      <xdr:colOff>546652</xdr:colOff>
      <xdr:row>599</xdr:row>
      <xdr:rowOff>24848</xdr:rowOff>
    </xdr:from>
    <xdr:to>
      <xdr:col>5</xdr:col>
      <xdr:colOff>395032</xdr:colOff>
      <xdr:row>600</xdr:row>
      <xdr:rowOff>298174</xdr:rowOff>
    </xdr:to>
    <xdr:pic>
      <xdr:nvPicPr>
        <xdr:cNvPr id="32" name="Picture 103">
          <a:extLst>
            <a:ext uri="{FF2B5EF4-FFF2-40B4-BE49-F238E27FC236}">
              <a16:creationId xmlns:a16="http://schemas.microsoft.com/office/drawing/2014/main" id="{00000000-0008-0000-1E00-000020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54826" y="115890261"/>
          <a:ext cx="651793" cy="571500"/>
        </a:xfrm>
        <a:prstGeom prst="rect">
          <a:avLst/>
        </a:prstGeom>
        <a:noFill/>
        <a:ln w="9525">
          <a:noFill/>
          <a:miter lim="800000"/>
          <a:headEnd/>
          <a:tailEnd/>
        </a:ln>
      </xdr:spPr>
    </xdr:pic>
    <xdr:clientData/>
  </xdr:twoCellAnchor>
  <xdr:twoCellAnchor>
    <xdr:from>
      <xdr:col>4</xdr:col>
      <xdr:colOff>488674</xdr:colOff>
      <xdr:row>647</xdr:row>
      <xdr:rowOff>66261</xdr:rowOff>
    </xdr:from>
    <xdr:to>
      <xdr:col>5</xdr:col>
      <xdr:colOff>355946</xdr:colOff>
      <xdr:row>648</xdr:row>
      <xdr:rowOff>414131</xdr:rowOff>
    </xdr:to>
    <xdr:pic>
      <xdr:nvPicPr>
        <xdr:cNvPr id="33" name="Picture 103">
          <a:extLst>
            <a:ext uri="{FF2B5EF4-FFF2-40B4-BE49-F238E27FC236}">
              <a16:creationId xmlns:a16="http://schemas.microsoft.com/office/drawing/2014/main" id="{00000000-0008-0000-1E00-000021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96848" y="124959718"/>
          <a:ext cx="670685" cy="588065"/>
        </a:xfrm>
        <a:prstGeom prst="rect">
          <a:avLst/>
        </a:prstGeom>
        <a:noFill/>
        <a:ln w="9525">
          <a:noFill/>
          <a:miter lim="800000"/>
          <a:headEnd/>
          <a:tailEnd/>
        </a:ln>
      </xdr:spPr>
    </xdr:pic>
    <xdr:clientData/>
  </xdr:twoCellAnchor>
  <xdr:twoCellAnchor>
    <xdr:from>
      <xdr:col>4</xdr:col>
      <xdr:colOff>505239</xdr:colOff>
      <xdr:row>693</xdr:row>
      <xdr:rowOff>0</xdr:rowOff>
    </xdr:from>
    <xdr:to>
      <xdr:col>5</xdr:col>
      <xdr:colOff>455861</xdr:colOff>
      <xdr:row>694</xdr:row>
      <xdr:rowOff>404387</xdr:rowOff>
    </xdr:to>
    <xdr:pic>
      <xdr:nvPicPr>
        <xdr:cNvPr id="34" name="Picture 103">
          <a:extLst>
            <a:ext uri="{FF2B5EF4-FFF2-40B4-BE49-F238E27FC236}">
              <a16:creationId xmlns:a16="http://schemas.microsoft.com/office/drawing/2014/main" id="{00000000-0008-0000-1E00-00002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13413" y="133697870"/>
          <a:ext cx="754035" cy="661147"/>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Gigante\claudia\APU%20PLANEACION%20MUNICIPAL%20NEIVA\ing.%20CLAUDIA\PRESUPUESTO%20ANDEN%20CARRERA%204%20ENTRE%20CALLE%2021%20Y%20AV%20LA%20TOM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ARQUE\claudia\APU%20PLANEACION%20MUNICIPAL%20NEIVA\ing.%20CLAUDIA\PRESUPUESTO%20ANDEN%20CARRERA%204%20ENTRE%20CALLE%2021%20Y%20AV%20LA%20TOM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EMYS/Desktop/CARRERA%2015/CARRERA%2015%20ENTRE%20CALLE%207%20Y%20AVENIDA%20CIRCUNVALAR%20-%20SANITARIO/Users/Jairo%20Rivera/Documents/RIVERA%202010/ANALISIS%20UNITARIOS-2010/2010%20APU%20ALCANTARILLAD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PARQUE\Users\justicia13\Dropbox\CARPETAS%20COMPARTIDAS\PROYECTOS%20INDER\claudia\APU%20PLANEACION%20MUNICIPAL%20NEIVA\ing.%20CLAUDIA\Presupuesto%20%20+%20APU%20GRANJ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PARQUE\claudia\APU%20PLANEACION%20MUNICIPAL%20NEIVA\ing.%20CLAUDIA\Presupuesto%20%20+%20APU%20GRANJA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PARQUE\Users\justicia13\Dropbox\CARPETAS%20COMPARTIDAS\PROYECTOS%20INDER\claudia\APU%20PLANEACION%20MUNICIPAL%20NEIVA\PRESUPUESTO%20ANDEN%20CARRERA%204%20ENTRE%20CALLE%2021%20Y%20AV%20LA%20TOM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PARQUE\claudia\APU%20PLANEACION%20MUNICIPAL%20NEIVA\PRESUPUESTO%20ANDEN%20CARRERA%204%20ENTRE%20CALLE%2021%20Y%20AV%20LA%20TOM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EMYS\Desktop\CARRERA%2015\CARRERA%2015%20ENTRE%20CALLE%207%20Y%20AVENIDA%20CIRCUNVALAR%20-%20SANITARIO\Users\Jairo%20Rivera\Documents\RIVERA%202010\ANALISIS%20UNITARIOS-2010\2010%20APU%20ALCANTARILLAD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PARQUE\DOCUMENTACION%20ALCALDIA%20NEIVA%202011\AULA%20MULTI%20PERSONERIA%2017-ENE-2011\Presupuesto%20Auditorio%20Personeri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ING%20HECTOR%20BUITRAGO\Dropbox\Director%20EPN\2017\Proyectos\OCAD%20Dptal\1.PRESUPUESTO%20AGUAS%20RESIDUALES%20CARRERA%207%20ENTRE%20AV.%20LA%20%20TOMA%20Y%20%20%20CALLE%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PARQUE\Users\Usuario\Dropbox\DOCUMENTOS\JOHAN\NEIVA\PROYECTOS\PARQUE%20LIZBURG\PRESUPUESTO%20PARQUE%20LIZBURT%20-%20JOHAN.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Gigante\ESCRITORIO%202010\CASA%20COMUNITARIA%20SAN%20MARTIN%2021-09-2010\presupuesto%20caguan\Presupuesto%20Salon%20Comu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Documents%20and%20Settings\Administrador\Datos%20de%20programa\Microsoft\Excel\JMD\La%20plata\LA%20UNION%20Y%20EL%20CARMEN\PRESUPUEST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shortcut-targets-by-id\1ylvMTDOBJQXGfESTipbVVDsr_kZURPE8\08%20Desarrollo\2023-148\12%20Producto\Regalias\08%20Presupuesto\2025.10.23%20Presupuesto.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JMD\La%20plata\LA%20UNION%20Y%20EL%20CARMEN\PRESUPUEST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Documents%20and%20Settings\Administrador\Datos%20de%20programa\Microsoft\Excel\PRESUPUESTO%20AC%20TIERRA%20DE%20PROMISION.xls"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Desktop/201409-C0022014-APUSDPS%20(CARUPAPOLIDEP)%20V1%20SEPARADO.xlsx" TargetMode="External"/><Relationship Id="rId1" Type="http://schemas.openxmlformats.org/officeDocument/2006/relationships/externalLinkPath" Target="/Desktop/201409-C0022014-APUSDPS%20(CARUPAPOLIDEP)%20V1%20SEPARADO.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92.168.0.32\Volume_1\JOHAN%20O&#209;ATE\Alcantarillados%20Agrado\PRESUPUEST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FIPP\PROGRAMACION%20DE%20OBRA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Users\Alirio\AppData\Local\Microsoft\Windows\Temporary%20Internet%20Files\Low\Content.IE5\FBW00E03\2010%20APU%20ALCANTARILLAD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92.168.0.32\Users\DIEGO%20CARDOZO\Downloads\dise&#241;o%20elia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PRESUPUESTO%20AC%20TIERRA%20DE%20PROMISION.xls"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Procesados%20con%20consecutivo/83%20-%20Contrato%20Aguas%20del%20Huila%20E.S.P%20-%20Interventor&#237;a%20La%20Victoria/Alcantarillado/5.%20Presupuesto,%20AIU,%20Espec&#237;ficaciones%20t&#233;cnicas/APU_3_07.xls" TargetMode="External"/><Relationship Id="rId1" Type="http://schemas.openxmlformats.org/officeDocument/2006/relationships/externalLinkPath" Target="/Procesados%20con%20consecutivo/83%20-%20Contrato%20Aguas%20del%20Huila%20E.S.P%20-%20Interventor&#237;a%20La%20Victoria/Alcantarillado/5.%20Presupuesto,%20AIU,%20Espec&#237;ficaciones%20t&#233;cnicas/APU_3_0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VILLA%20TAKOA/Presupuesto/APUS%20VILLA%20TAKO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JMD\La%20plata\LA%20UNION%20Y%20EL%20CARMEN\PRESUPUESTO%2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PARQUE\JOHAN\Documents\Documents\DOCUMENTOS%20JOHAN\DISE&#209;OS%20TELLO%20-%20AULAS\PRES.%20RESTAURANTE%20C30-%20MAYO%206%20DE%20201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JOHAN\Documents\Documents\DOCUMENTOS%20JOHAN\DISE&#209;OS%20TELLO%20-%20AULAS\PRES.%20RESTAURANTE%20C30-%20MAYO%206%20DE%20201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192.168.0.32\Volume_1\AGUA%20POT.%20Y%20SAN.%20BAS\BATERIAS%20AGUAS%20DEL%20HUILA\PROYECTOS%20BATERIA%20SANITARIA%20URBANA\PRES%20PROY.%20BATERIA%20URBANA%20200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E:\AGUAS%20DEL%20HUILA%202018\APUS\APU%20TECNICA%202017\Clara\AJUSTADOS\presupuesto%20La%20Independencia%20FINAL.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Wiselo%201\Alto%20Magdalena\Piedras%20Gordas%20Tello\Convenio%20Oscar\PERFIL%20CONSOLIDADO%20UV1%20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shortcut-targets-by-id\1ylvMTDOBJQXGfESTipbVVDsr_kZURPE8\01%20Contratos\2024-836\23%20Cumbre\5%20Financiero\2025.11.11%20Presupuesto%20Cumbr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 val="1.1"/>
      <sheetName val="1.2"/>
      <sheetName val="1.3"/>
      <sheetName val="1.4"/>
      <sheetName val="1.5"/>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 val="1.1"/>
      <sheetName val="1.2"/>
      <sheetName val="1.3"/>
      <sheetName val="1.4"/>
      <sheetName val="1.5"/>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PREC-BASE"/>
      <sheetName val="O &amp; M P. Parque Recreodeportiv "/>
    </sheetNames>
    <sheetDataSet>
      <sheetData sheetId="0" refreshError="1"/>
      <sheetData sheetId="1" refreshError="1">
        <row r="2245">
          <cell r="J2245">
            <v>256280</v>
          </cell>
        </row>
        <row r="2609">
          <cell r="J2609">
            <v>324240</v>
          </cell>
        </row>
        <row r="2661">
          <cell r="J2661">
            <v>396800</v>
          </cell>
        </row>
        <row r="2713">
          <cell r="J2713">
            <v>472340</v>
          </cell>
        </row>
      </sheetData>
      <sheetData sheetId="2"/>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cell r="J61">
            <v>30000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cell r="J61">
            <v>30000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PREC-BASE"/>
    </sheetNames>
    <sheetDataSet>
      <sheetData sheetId="0" refreshError="1"/>
      <sheetData sheetId="1" refreshError="1">
        <row r="2245">
          <cell r="J2245">
            <v>256280</v>
          </cell>
        </row>
        <row r="2609">
          <cell r="J2609">
            <v>324240</v>
          </cell>
        </row>
        <row r="2661">
          <cell r="J2661">
            <v>396800</v>
          </cell>
        </row>
        <row r="2713">
          <cell r="J2713">
            <v>472340</v>
          </cell>
        </row>
      </sheetData>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 val="BD"/>
      <sheetName val="CANTIDADES DE OBRA"/>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INTERVENTORIA"/>
      <sheetName val="CRONOGRAMA"/>
      <sheetName val="PRESUP"/>
      <sheetName val="APU"/>
      <sheetName val="PREC-BASE"/>
      <sheetName val="Crecimiento Salario Minimo"/>
    </sheetNames>
    <sheetDataSet>
      <sheetData sheetId="0"/>
      <sheetData sheetId="1"/>
      <sheetData sheetId="2"/>
      <sheetData sheetId="3"/>
      <sheetData sheetId="4">
        <row r="859">
          <cell r="J859">
            <v>122400</v>
          </cell>
        </row>
        <row r="1018">
          <cell r="J1018">
            <v>102360</v>
          </cell>
        </row>
        <row r="1386">
          <cell r="J1386">
            <v>43960</v>
          </cell>
        </row>
        <row r="1594">
          <cell r="J1594">
            <v>10640</v>
          </cell>
        </row>
        <row r="1646">
          <cell r="J1646">
            <v>12920</v>
          </cell>
        </row>
        <row r="1854">
          <cell r="J1854">
            <v>14140</v>
          </cell>
        </row>
        <row r="1908">
          <cell r="J1908">
            <v>41100</v>
          </cell>
        </row>
        <row r="1961">
          <cell r="J1961">
            <v>55700</v>
          </cell>
        </row>
        <row r="2014">
          <cell r="J2014">
            <v>74600</v>
          </cell>
        </row>
        <row r="2128">
          <cell r="J2128">
            <v>159060</v>
          </cell>
        </row>
        <row r="2181">
          <cell r="J2181">
            <v>213520</v>
          </cell>
        </row>
        <row r="2234">
          <cell r="J2234">
            <v>239200</v>
          </cell>
        </row>
        <row r="2286">
          <cell r="J2286">
            <v>199840</v>
          </cell>
        </row>
        <row r="2338">
          <cell r="J2338">
            <v>212760</v>
          </cell>
        </row>
        <row r="2390">
          <cell r="J2390">
            <v>321600</v>
          </cell>
        </row>
        <row r="2442">
          <cell r="J2442">
            <v>367260</v>
          </cell>
        </row>
        <row r="2494">
          <cell r="J2494">
            <v>382040</v>
          </cell>
        </row>
        <row r="2546">
          <cell r="J2546">
            <v>488460</v>
          </cell>
        </row>
        <row r="2598">
          <cell r="J2598">
            <v>331840</v>
          </cell>
        </row>
        <row r="2650">
          <cell r="J2650">
            <v>370380</v>
          </cell>
        </row>
        <row r="2702">
          <cell r="J2702">
            <v>448140</v>
          </cell>
        </row>
        <row r="2754">
          <cell r="J2754">
            <v>582040</v>
          </cell>
        </row>
        <row r="2806">
          <cell r="J2806">
            <v>814660</v>
          </cell>
        </row>
        <row r="2858">
          <cell r="J2858">
            <v>1116380</v>
          </cell>
        </row>
        <row r="2910">
          <cell r="J2910">
            <v>1223940</v>
          </cell>
        </row>
        <row r="2962">
          <cell r="J2962">
            <v>1163460</v>
          </cell>
        </row>
        <row r="3326">
          <cell r="J3326">
            <v>2022900</v>
          </cell>
        </row>
        <row r="3378">
          <cell r="J3378">
            <v>2561680</v>
          </cell>
        </row>
        <row r="3430">
          <cell r="J3430">
            <v>2846700</v>
          </cell>
        </row>
        <row r="3482">
          <cell r="J3482">
            <v>3389920</v>
          </cell>
        </row>
        <row r="3586">
          <cell r="J3586">
            <v>2495900</v>
          </cell>
        </row>
        <row r="3638">
          <cell r="J3638">
            <v>970120</v>
          </cell>
        </row>
        <row r="3688">
          <cell r="J3688">
            <v>642180</v>
          </cell>
        </row>
        <row r="3740">
          <cell r="J3740">
            <v>995580</v>
          </cell>
        </row>
      </sheetData>
      <sheetData sheetId="5"/>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cell r="I56">
            <v>0.75</v>
          </cell>
        </row>
        <row r="57">
          <cell r="A57">
            <v>52</v>
          </cell>
          <cell r="E57">
            <v>0</v>
          </cell>
        </row>
        <row r="58">
          <cell r="A58">
            <v>53</v>
          </cell>
          <cell r="E58">
            <v>0</v>
          </cell>
        </row>
        <row r="59">
          <cell r="A59">
            <v>54</v>
          </cell>
          <cell r="E59">
            <v>0</v>
          </cell>
        </row>
        <row r="60">
          <cell r="A60">
            <v>55</v>
          </cell>
          <cell r="E60">
            <v>0</v>
          </cell>
        </row>
        <row r="61">
          <cell r="A61">
            <v>56</v>
          </cell>
          <cell r="E61">
            <v>0</v>
          </cell>
          <cell r="J61">
            <v>30000</v>
          </cell>
        </row>
        <row r="62">
          <cell r="A62">
            <v>57</v>
          </cell>
          <cell r="E62">
            <v>0</v>
          </cell>
          <cell r="J62">
            <v>20000</v>
          </cell>
        </row>
        <row r="63">
          <cell r="A63">
            <v>58</v>
          </cell>
          <cell r="E63">
            <v>0</v>
          </cell>
          <cell r="J63">
            <v>45000</v>
          </cell>
        </row>
        <row r="64">
          <cell r="A64">
            <v>59</v>
          </cell>
          <cell r="E64">
            <v>0</v>
          </cell>
          <cell r="J64">
            <v>25000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SALON COMUNAL"/>
      <sheetName val="CANTIDADES"/>
      <sheetName val="DESMONTE"/>
      <sheetName val="DEMOLICION"/>
      <sheetName val="EXCAVA"/>
      <sheetName val="LOCALIZACION Y REPLANTEO"/>
      <sheetName val="RELLENO"/>
      <sheetName val="MAMPOSTERIA"/>
      <sheetName val="CLARABOYA"/>
      <sheetName val="PAÑETE"/>
      <sheetName val="ZAPATAS"/>
      <sheetName val="COLUMNAS"/>
      <sheetName val="VIGA AEREA"/>
      <sheetName val="VIGA CORONAMIENTO"/>
      <sheetName val="PISO ESTAMPA"/>
      <sheetName val="RED"/>
      <sheetName val="TABLERO"/>
      <sheetName val="PUNTO"/>
      <sheetName val="LUMINARIA"/>
      <sheetName val="CUBIERTA"/>
      <sheetName val="ENCHAPES"/>
      <sheetName val="PUERTA"/>
      <sheetName val="MANTENIMIENTO"/>
      <sheetName val="VENTANA"/>
      <sheetName val="ESTUCO"/>
      <sheetName val="GRANIPLAST"/>
      <sheetName val="VINILO"/>
      <sheetName val="ASEO"/>
      <sheetName val="APB7"/>
      <sheetName val="APB6 "/>
      <sheetName val="Hoja33"/>
      <sheetName val="Hoja32"/>
      <sheetName val="Hoja31"/>
      <sheetName val="Hoja30"/>
      <sheetName val="Hoja29"/>
      <sheetName val="Hoja28"/>
      <sheetName val="Hoja27"/>
      <sheetName val="Hoja26"/>
      <sheetName val="Hoja25"/>
      <sheetName val="Hoja24"/>
      <sheetName val="Hoja23"/>
      <sheetName val="Hoja22"/>
      <sheetName val="Hoja21"/>
      <sheetName val="Hoja20"/>
      <sheetName val="Hoja19"/>
      <sheetName val="Hoja18"/>
      <sheetName val="Hoja17"/>
      <sheetName val="Hoja16"/>
      <sheetName val="Hoja15"/>
      <sheetName val="Hoja14"/>
      <sheetName val="Hoja13"/>
      <sheetName val="Hoja12"/>
      <sheetName val="Hoja11"/>
      <sheetName val="Hoja10"/>
      <sheetName val="Hoja9"/>
      <sheetName val="Hoja8"/>
      <sheetName val="Hoja7"/>
      <sheetName val="Hoja6"/>
      <sheetName val="Hoja5"/>
      <sheetName val="Hoja4"/>
      <sheetName val="Hoja3"/>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3000</v>
          </cell>
          <cell r="E6">
            <v>180</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25000</v>
          </cell>
          <cell r="E12">
            <v>1500</v>
          </cell>
        </row>
        <row r="13">
          <cell r="A13">
            <v>12</v>
          </cell>
          <cell r="B13" t="str">
            <v>Triturado</v>
          </cell>
          <cell r="C13" t="str">
            <v>M3</v>
          </cell>
          <cell r="D13">
            <v>56000</v>
          </cell>
          <cell r="E13">
            <v>3360</v>
          </cell>
        </row>
        <row r="14">
          <cell r="A14">
            <v>13</v>
          </cell>
          <cell r="B14" t="str">
            <v>Piedra media zonga</v>
          </cell>
          <cell r="C14" t="str">
            <v>M3</v>
          </cell>
          <cell r="D14">
            <v>35000</v>
          </cell>
          <cell r="E14">
            <v>2100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NEGRO</v>
          </cell>
          <cell r="C27" t="str">
            <v>M2</v>
          </cell>
          <cell r="D27">
            <v>38000</v>
          </cell>
          <cell r="E27">
            <v>1900</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Yeso roca</v>
          </cell>
          <cell r="C35" t="str">
            <v>KG</v>
          </cell>
          <cell r="D35">
            <v>500</v>
          </cell>
          <cell r="E35">
            <v>25</v>
          </cell>
        </row>
        <row r="36">
          <cell r="A36">
            <v>32</v>
          </cell>
          <cell r="B36" t="str">
            <v>Caolina</v>
          </cell>
          <cell r="C36" t="str">
            <v>KG</v>
          </cell>
          <cell r="D36">
            <v>1000</v>
          </cell>
          <cell r="E36">
            <v>50</v>
          </cell>
        </row>
        <row r="37">
          <cell r="A37">
            <v>33</v>
          </cell>
          <cell r="B37" t="str">
            <v>Loseta prefabricada en concreto,  e = 0,06 mts de 0,40 x 0,40 mts. Color Gris LISA</v>
          </cell>
          <cell r="C37" t="str">
            <v>M2</v>
          </cell>
          <cell r="D37">
            <v>30000</v>
          </cell>
          <cell r="E37">
            <v>1500</v>
          </cell>
        </row>
        <row r="38">
          <cell r="A38">
            <v>34</v>
          </cell>
          <cell r="B38" t="str">
            <v>Loseta prefabricada en concreto,  e = 0,06 mts de 0,40 x 0,40 mts. Color ROJO A RAYAS</v>
          </cell>
          <cell r="C38" t="str">
            <v>M2</v>
          </cell>
          <cell r="D38">
            <v>41000</v>
          </cell>
          <cell r="E38">
            <v>2050</v>
          </cell>
        </row>
        <row r="39">
          <cell r="A39">
            <v>35</v>
          </cell>
          <cell r="B39" t="str">
            <v>Loseta prefabricada en concreto,  e = 0,06 mts de 0,40 x 0,40 mts.COLOR GRIS - TOPEROL</v>
          </cell>
          <cell r="C39" t="str">
            <v>M2</v>
          </cell>
          <cell r="D39">
            <v>30000</v>
          </cell>
          <cell r="E39">
            <v>1500</v>
          </cell>
        </row>
        <row r="40">
          <cell r="A40">
            <v>36</v>
          </cell>
          <cell r="B40" t="str">
            <v>Loseta prefabricada en concreto,  e = 0,06 mts de 0,40 x 0,40 mts.COLOR GRIS A RAYAS</v>
          </cell>
          <cell r="C40" t="str">
            <v>M2</v>
          </cell>
          <cell r="D40">
            <v>30000</v>
          </cell>
          <cell r="E40">
            <v>1500</v>
          </cell>
        </row>
        <row r="41">
          <cell r="A41">
            <v>37</v>
          </cell>
          <cell r="B41" t="str">
            <v>Loseta prefabricada en concreto,  e = 0,06 mts de 0,40 x 0,40 mts.COLOR NEGRO A RAYAS</v>
          </cell>
          <cell r="C41" t="str">
            <v>M2</v>
          </cell>
          <cell r="D41">
            <v>35000</v>
          </cell>
          <cell r="E41">
            <v>1750</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OCRE LISA.</v>
          </cell>
          <cell r="C43" t="str">
            <v>M2</v>
          </cell>
          <cell r="D43">
            <v>42000</v>
          </cell>
          <cell r="E43">
            <v>2100</v>
          </cell>
        </row>
        <row r="44">
          <cell r="A44">
            <v>40</v>
          </cell>
          <cell r="B44" t="str">
            <v>Loseta prefabricada en concreto,  e = 0,06 mts de 0,40 x 0,40 mts.COLOR VERDE A RAYAS</v>
          </cell>
          <cell r="C44" t="str">
            <v>M2</v>
          </cell>
          <cell r="D44">
            <v>47000</v>
          </cell>
          <cell r="E44">
            <v>2350</v>
          </cell>
        </row>
        <row r="45">
          <cell r="A45">
            <v>41</v>
          </cell>
          <cell r="B45" t="str">
            <v>Sardinel prefabricado en concreto de 1,00 x 0,17 x 0,45 mts. Redondo</v>
          </cell>
          <cell r="C45" t="str">
            <v>UN</v>
          </cell>
          <cell r="D45">
            <v>13000</v>
          </cell>
          <cell r="E45">
            <v>650</v>
          </cell>
        </row>
        <row r="46">
          <cell r="A46">
            <v>42</v>
          </cell>
          <cell r="B46" t="str">
            <v xml:space="preserve">Pegacol </v>
          </cell>
          <cell r="C46" t="str">
            <v>KG</v>
          </cell>
          <cell r="D46">
            <v>550</v>
          </cell>
          <cell r="E46">
            <v>27.5</v>
          </cell>
        </row>
        <row r="47">
          <cell r="A47">
            <v>43</v>
          </cell>
          <cell r="B47" t="str">
            <v>FLEXA NYCON</v>
          </cell>
          <cell r="C47" t="str">
            <v>BOL</v>
          </cell>
          <cell r="D47">
            <v>25000</v>
          </cell>
          <cell r="E47">
            <v>1250</v>
          </cell>
        </row>
        <row r="48">
          <cell r="A48">
            <v>44</v>
          </cell>
          <cell r="B48" t="str">
            <v>Cañuelas prefabricadas</v>
          </cell>
          <cell r="C48" t="str">
            <v>UN</v>
          </cell>
          <cell r="D48">
            <v>15000</v>
          </cell>
          <cell r="E48">
            <v>750</v>
          </cell>
        </row>
        <row r="49">
          <cell r="A49">
            <v>45</v>
          </cell>
          <cell r="B49" t="str">
            <v>FLEXTHANE-200</v>
          </cell>
          <cell r="C49" t="str">
            <v>UN</v>
          </cell>
          <cell r="D49">
            <v>1000</v>
          </cell>
          <cell r="E49">
            <v>50</v>
          </cell>
        </row>
        <row r="50">
          <cell r="A50">
            <v>46</v>
          </cell>
          <cell r="B50" t="str">
            <v>FLEXABACKET ROOD 1/4"</v>
          </cell>
          <cell r="C50" t="str">
            <v>ML</v>
          </cell>
          <cell r="D50">
            <v>500</v>
          </cell>
          <cell r="E50">
            <v>25</v>
          </cell>
        </row>
        <row r="51">
          <cell r="A51">
            <v>47</v>
          </cell>
          <cell r="B51" t="str">
            <v>Lija de agua</v>
          </cell>
          <cell r="C51" t="str">
            <v>UN</v>
          </cell>
          <cell r="D51">
            <v>600</v>
          </cell>
          <cell r="E51">
            <v>30</v>
          </cell>
        </row>
        <row r="52">
          <cell r="A52">
            <v>48</v>
          </cell>
          <cell r="B52" t="str">
            <v xml:space="preserve">Lija </v>
          </cell>
          <cell r="C52" t="str">
            <v>UN</v>
          </cell>
          <cell r="D52">
            <v>700</v>
          </cell>
          <cell r="E52">
            <v>35</v>
          </cell>
        </row>
        <row r="53">
          <cell r="A53">
            <v>49</v>
          </cell>
          <cell r="B53" t="str">
            <v>Brocha</v>
          </cell>
          <cell r="C53" t="str">
            <v>UN</v>
          </cell>
          <cell r="D53">
            <v>4000</v>
          </cell>
          <cell r="E53">
            <v>200</v>
          </cell>
        </row>
        <row r="54">
          <cell r="A54">
            <v>50</v>
          </cell>
          <cell r="E54">
            <v>0</v>
          </cell>
        </row>
        <row r="55">
          <cell r="A55">
            <v>51</v>
          </cell>
          <cell r="E55">
            <v>0</v>
          </cell>
        </row>
        <row r="56">
          <cell r="A56">
            <v>52</v>
          </cell>
          <cell r="E56">
            <v>0</v>
          </cell>
        </row>
        <row r="57">
          <cell r="A57">
            <v>53</v>
          </cell>
          <cell r="E57">
            <v>0</v>
          </cell>
        </row>
        <row r="58">
          <cell r="A58">
            <v>54</v>
          </cell>
          <cell r="E58">
            <v>0</v>
          </cell>
        </row>
        <row r="59">
          <cell r="A59">
            <v>55</v>
          </cell>
          <cell r="E59">
            <v>0</v>
          </cell>
        </row>
        <row r="60">
          <cell r="A60">
            <v>56</v>
          </cell>
          <cell r="E60">
            <v>0</v>
          </cell>
        </row>
        <row r="61">
          <cell r="A61">
            <v>57</v>
          </cell>
          <cell r="E61">
            <v>0</v>
          </cell>
        </row>
        <row r="62">
          <cell r="A62">
            <v>58</v>
          </cell>
          <cell r="E62">
            <v>0</v>
          </cell>
        </row>
        <row r="63">
          <cell r="A63">
            <v>59</v>
          </cell>
          <cell r="E63">
            <v>0</v>
          </cell>
        </row>
        <row r="64">
          <cell r="A64">
            <v>60</v>
          </cell>
          <cell r="E64">
            <v>0</v>
          </cell>
        </row>
        <row r="65">
          <cell r="A65">
            <v>61</v>
          </cell>
          <cell r="E65">
            <v>0</v>
          </cell>
        </row>
        <row r="66">
          <cell r="A66">
            <v>62</v>
          </cell>
          <cell r="E66">
            <v>0</v>
          </cell>
        </row>
        <row r="67">
          <cell r="A67">
            <v>63</v>
          </cell>
          <cell r="E67">
            <v>0</v>
          </cell>
        </row>
        <row r="68">
          <cell r="A68">
            <v>64</v>
          </cell>
          <cell r="E68">
            <v>0</v>
          </cell>
        </row>
        <row r="69">
          <cell r="A69">
            <v>65</v>
          </cell>
          <cell r="E69">
            <v>0</v>
          </cell>
        </row>
        <row r="70">
          <cell r="A70">
            <v>66</v>
          </cell>
          <cell r="E70">
            <v>0</v>
          </cell>
        </row>
        <row r="71">
          <cell r="A71">
            <v>67</v>
          </cell>
          <cell r="E71">
            <v>0</v>
          </cell>
        </row>
        <row r="72">
          <cell r="A72">
            <v>68</v>
          </cell>
          <cell r="E72">
            <v>0</v>
          </cell>
        </row>
        <row r="73">
          <cell r="A73">
            <v>69</v>
          </cell>
          <cell r="E73">
            <v>0</v>
          </cell>
        </row>
        <row r="74">
          <cell r="A74">
            <v>70</v>
          </cell>
          <cell r="E74">
            <v>0</v>
          </cell>
        </row>
        <row r="76">
          <cell r="A76" t="str">
            <v>REF.</v>
          </cell>
          <cell r="B76" t="str">
            <v>MATERIAL GRESS</v>
          </cell>
          <cell r="C76" t="str">
            <v>UNIDAD</v>
          </cell>
          <cell r="D76" t="str">
            <v>PRECIO</v>
          </cell>
          <cell r="E76" t="str">
            <v>TRANSPORTE</v>
          </cell>
        </row>
        <row r="78">
          <cell r="A78">
            <v>71</v>
          </cell>
          <cell r="B78" t="str">
            <v>Ceramica blanca de  30X30</v>
          </cell>
          <cell r="C78" t="str">
            <v>M²</v>
          </cell>
          <cell r="D78">
            <v>20500</v>
          </cell>
          <cell r="E78">
            <v>1230</v>
          </cell>
        </row>
        <row r="79">
          <cell r="A79">
            <v>72</v>
          </cell>
          <cell r="B79" t="str">
            <v xml:space="preserve">Bloque No 4 Hueco </v>
          </cell>
          <cell r="C79" t="str">
            <v>Und</v>
          </cell>
          <cell r="D79">
            <v>480</v>
          </cell>
          <cell r="E79">
            <v>28.799999999999997</v>
          </cell>
        </row>
        <row r="80">
          <cell r="A80">
            <v>73</v>
          </cell>
          <cell r="B80" t="str">
            <v>Bloque No 5 Hueco 12X20X30</v>
          </cell>
          <cell r="C80" t="str">
            <v>Und</v>
          </cell>
          <cell r="D80">
            <v>800</v>
          </cell>
          <cell r="E80">
            <v>48</v>
          </cell>
        </row>
        <row r="81">
          <cell r="A81">
            <v>74</v>
          </cell>
          <cell r="B81" t="str">
            <v>Ladrillo Tolete</v>
          </cell>
          <cell r="C81" t="str">
            <v>Und</v>
          </cell>
          <cell r="D81">
            <v>240</v>
          </cell>
          <cell r="E81">
            <v>14.399999999999999</v>
          </cell>
        </row>
        <row r="82">
          <cell r="A82">
            <v>75</v>
          </cell>
          <cell r="B82" t="str">
            <v>Tuberia de gres, D= 6"</v>
          </cell>
          <cell r="C82" t="str">
            <v>ML</v>
          </cell>
          <cell r="E82">
            <v>0</v>
          </cell>
        </row>
        <row r="83">
          <cell r="A83">
            <v>76</v>
          </cell>
          <cell r="B83" t="str">
            <v>Adoquines de arcilla   para piso, e =.06 mt ,20 mt x,10 mt, deacuerdo a la NTC 2017.</v>
          </cell>
          <cell r="C83" t="str">
            <v>ML</v>
          </cell>
          <cell r="D83">
            <v>25000</v>
          </cell>
          <cell r="E83">
            <v>1500</v>
          </cell>
        </row>
        <row r="84">
          <cell r="A84">
            <v>77</v>
          </cell>
          <cell r="B84" t="str">
            <v>Tuberia de gres, D= 8"</v>
          </cell>
          <cell r="C84" t="str">
            <v>ML</v>
          </cell>
          <cell r="D84">
            <v>13100</v>
          </cell>
          <cell r="E84">
            <v>786</v>
          </cell>
        </row>
        <row r="85">
          <cell r="A85">
            <v>78</v>
          </cell>
          <cell r="B85" t="str">
            <v xml:space="preserve">Ladrillo a la vista semiprensado por una cara </v>
          </cell>
          <cell r="C85" t="str">
            <v>Und</v>
          </cell>
          <cell r="D85">
            <v>860</v>
          </cell>
          <cell r="E85">
            <v>51.6</v>
          </cell>
        </row>
        <row r="86">
          <cell r="A86">
            <v>79</v>
          </cell>
          <cell r="B86" t="str">
            <v>Piso en gres de 0.10 x 0.20</v>
          </cell>
          <cell r="C86" t="str">
            <v>M²</v>
          </cell>
          <cell r="D86">
            <v>12500</v>
          </cell>
          <cell r="E86">
            <v>750</v>
          </cell>
        </row>
        <row r="87">
          <cell r="A87">
            <v>80</v>
          </cell>
          <cell r="B87" t="str">
            <v>Ceramica Minimal Petroleo 45x45 Alfa</v>
          </cell>
          <cell r="C87" t="str">
            <v>M²</v>
          </cell>
          <cell r="D87">
            <v>28000</v>
          </cell>
          <cell r="E87">
            <v>1680</v>
          </cell>
        </row>
        <row r="88">
          <cell r="A88">
            <v>81</v>
          </cell>
          <cell r="B88" t="str">
            <v>Ceramica  Blanco 20x20</v>
          </cell>
          <cell r="C88" t="str">
            <v>M²</v>
          </cell>
          <cell r="D88">
            <v>13000</v>
          </cell>
          <cell r="E88">
            <v>780</v>
          </cell>
        </row>
        <row r="89">
          <cell r="A89">
            <v>82</v>
          </cell>
          <cell r="B89" t="str">
            <v xml:space="preserve">Ladrillo a la vista semiprensado por ambas caras </v>
          </cell>
          <cell r="C89" t="str">
            <v>Und</v>
          </cell>
          <cell r="D89">
            <v>1200</v>
          </cell>
          <cell r="E89">
            <v>72</v>
          </cell>
        </row>
        <row r="90">
          <cell r="A90">
            <v>83</v>
          </cell>
          <cell r="B90" t="str">
            <v>Calados</v>
          </cell>
          <cell r="C90" t="str">
            <v>Und</v>
          </cell>
          <cell r="D90">
            <v>400</v>
          </cell>
          <cell r="E90">
            <v>24</v>
          </cell>
        </row>
        <row r="91">
          <cell r="A91">
            <v>84</v>
          </cell>
          <cell r="E91">
            <v>0</v>
          </cell>
        </row>
        <row r="92">
          <cell r="A92">
            <v>85</v>
          </cell>
          <cell r="E92">
            <v>0</v>
          </cell>
        </row>
        <row r="93">
          <cell r="A93">
            <v>86</v>
          </cell>
          <cell r="E93">
            <v>0</v>
          </cell>
        </row>
        <row r="94">
          <cell r="A94">
            <v>87</v>
          </cell>
          <cell r="E94">
            <v>0</v>
          </cell>
        </row>
        <row r="95">
          <cell r="A95">
            <v>88</v>
          </cell>
          <cell r="E95">
            <v>0</v>
          </cell>
        </row>
        <row r="96">
          <cell r="A96">
            <v>89</v>
          </cell>
          <cell r="E96">
            <v>0</v>
          </cell>
        </row>
        <row r="97">
          <cell r="A97">
            <v>90</v>
          </cell>
          <cell r="E97">
            <v>0</v>
          </cell>
        </row>
        <row r="98">
          <cell r="A98">
            <v>91</v>
          </cell>
          <cell r="E98">
            <v>0</v>
          </cell>
        </row>
        <row r="99">
          <cell r="A99">
            <v>92</v>
          </cell>
          <cell r="E99">
            <v>0</v>
          </cell>
        </row>
        <row r="100">
          <cell r="A100">
            <v>93</v>
          </cell>
          <cell r="E100">
            <v>0</v>
          </cell>
        </row>
        <row r="101">
          <cell r="A101">
            <v>94</v>
          </cell>
          <cell r="E101">
            <v>0</v>
          </cell>
        </row>
        <row r="102">
          <cell r="A102">
            <v>95</v>
          </cell>
          <cell r="E102">
            <v>0</v>
          </cell>
        </row>
        <row r="103">
          <cell r="A103">
            <v>96</v>
          </cell>
          <cell r="E103">
            <v>0</v>
          </cell>
        </row>
        <row r="104">
          <cell r="A104">
            <v>97</v>
          </cell>
          <cell r="E104">
            <v>0</v>
          </cell>
        </row>
        <row r="105">
          <cell r="A105">
            <v>98</v>
          </cell>
          <cell r="E105">
            <v>0</v>
          </cell>
        </row>
        <row r="106">
          <cell r="A106">
            <v>99</v>
          </cell>
          <cell r="E106">
            <v>0</v>
          </cell>
        </row>
        <row r="107">
          <cell r="A107">
            <v>100</v>
          </cell>
          <cell r="E107">
            <v>0</v>
          </cell>
        </row>
        <row r="108">
          <cell r="A108">
            <v>101</v>
          </cell>
          <cell r="E108">
            <v>0</v>
          </cell>
        </row>
        <row r="109">
          <cell r="A109">
            <v>102</v>
          </cell>
          <cell r="E109">
            <v>0</v>
          </cell>
        </row>
        <row r="110">
          <cell r="A110">
            <v>103</v>
          </cell>
          <cell r="E110">
            <v>0</v>
          </cell>
        </row>
        <row r="111">
          <cell r="A111">
            <v>104</v>
          </cell>
          <cell r="E111">
            <v>0</v>
          </cell>
        </row>
        <row r="112">
          <cell r="A112">
            <v>105</v>
          </cell>
          <cell r="E112">
            <v>0</v>
          </cell>
        </row>
        <row r="113">
          <cell r="A113">
            <v>106</v>
          </cell>
          <cell r="E113">
            <v>0</v>
          </cell>
        </row>
        <row r="114">
          <cell r="A114">
            <v>107</v>
          </cell>
          <cell r="E114">
            <v>0</v>
          </cell>
        </row>
        <row r="115">
          <cell r="A115">
            <v>108</v>
          </cell>
          <cell r="E115">
            <v>0</v>
          </cell>
        </row>
        <row r="116">
          <cell r="A116">
            <v>109</v>
          </cell>
          <cell r="E116">
            <v>0</v>
          </cell>
        </row>
        <row r="117">
          <cell r="A117">
            <v>110</v>
          </cell>
          <cell r="E117">
            <v>0</v>
          </cell>
        </row>
        <row r="119">
          <cell r="A119" t="str">
            <v>REF.</v>
          </cell>
          <cell r="B119" t="str">
            <v>MATERIAL ELECTRICO</v>
          </cell>
          <cell r="C119" t="str">
            <v>UNIDAD</v>
          </cell>
          <cell r="D119" t="str">
            <v>PRECIO</v>
          </cell>
          <cell r="E119" t="str">
            <v>TRANSPORTE</v>
          </cell>
        </row>
        <row r="121">
          <cell r="A121">
            <v>111</v>
          </cell>
          <cell r="B121" t="str">
            <v>Poste Cemento 750 Kg x 12mrs</v>
          </cell>
          <cell r="C121" t="str">
            <v>UN</v>
          </cell>
          <cell r="E121">
            <v>0</v>
          </cell>
        </row>
        <row r="122">
          <cell r="A122">
            <v>112</v>
          </cell>
          <cell r="B122" t="str">
            <v>Cable ACSR Nº 1/0</v>
          </cell>
          <cell r="C122" t="str">
            <v>ML</v>
          </cell>
          <cell r="E122">
            <v>0</v>
          </cell>
        </row>
        <row r="123">
          <cell r="A123">
            <v>113</v>
          </cell>
          <cell r="B123" t="str">
            <v>Conectores Linea Viva</v>
          </cell>
          <cell r="C123" t="str">
            <v>UN</v>
          </cell>
          <cell r="E123">
            <v>0</v>
          </cell>
        </row>
        <row r="124">
          <cell r="A124">
            <v>114</v>
          </cell>
          <cell r="B124" t="str">
            <v>Pernos de Maquina de 10"</v>
          </cell>
          <cell r="C124" t="str">
            <v>UN</v>
          </cell>
          <cell r="E124">
            <v>0</v>
          </cell>
        </row>
        <row r="125">
          <cell r="A125">
            <v>115</v>
          </cell>
          <cell r="B125" t="str">
            <v>Cruceta Metalica de 2 1/2 x 2 1/2 x 3/16 x 2 x 1</v>
          </cell>
          <cell r="C125" t="str">
            <v>UN</v>
          </cell>
          <cell r="E125">
            <v>0</v>
          </cell>
        </row>
        <row r="126">
          <cell r="A126">
            <v>116</v>
          </cell>
          <cell r="B126" t="str">
            <v>Diagonal de 0.6mts</v>
          </cell>
          <cell r="C126" t="str">
            <v>UN</v>
          </cell>
          <cell r="E126">
            <v>0</v>
          </cell>
        </row>
        <row r="127">
          <cell r="A127">
            <v>117</v>
          </cell>
          <cell r="B127" t="str">
            <v xml:space="preserve">Aislador tipo disco de 6" </v>
          </cell>
          <cell r="C127" t="str">
            <v>UN</v>
          </cell>
          <cell r="E127">
            <v>0</v>
          </cell>
        </row>
        <row r="128">
          <cell r="A128">
            <v>118</v>
          </cell>
          <cell r="B128" t="str">
            <v>Grapa de retención</v>
          </cell>
          <cell r="C128" t="str">
            <v>UN</v>
          </cell>
          <cell r="E128">
            <v>0</v>
          </cell>
        </row>
        <row r="129">
          <cell r="A129">
            <v>119</v>
          </cell>
          <cell r="B129" t="str">
            <v>Tuercas de ojo</v>
          </cell>
          <cell r="C129" t="str">
            <v>UN</v>
          </cell>
          <cell r="E129">
            <v>0</v>
          </cell>
        </row>
        <row r="130">
          <cell r="A130">
            <v>120</v>
          </cell>
          <cell r="B130" t="str">
            <v>Collarines de 5 a 6</v>
          </cell>
          <cell r="C130" t="str">
            <v>UN</v>
          </cell>
          <cell r="E130">
            <v>0</v>
          </cell>
        </row>
        <row r="131">
          <cell r="A131">
            <v>121</v>
          </cell>
          <cell r="B131" t="str">
            <v>Cruceta para Transformador</v>
          </cell>
          <cell r="C131" t="str">
            <v>UN</v>
          </cell>
          <cell r="E131">
            <v>0</v>
          </cell>
        </row>
        <row r="132">
          <cell r="A132">
            <v>122</v>
          </cell>
          <cell r="B132" t="str">
            <v>Corta Circuitos</v>
          </cell>
          <cell r="C132" t="str">
            <v>UN</v>
          </cell>
          <cell r="E132">
            <v>0</v>
          </cell>
        </row>
        <row r="133">
          <cell r="A133">
            <v>123</v>
          </cell>
          <cell r="B133" t="str">
            <v>Para Rayos</v>
          </cell>
          <cell r="C133" t="str">
            <v>UN</v>
          </cell>
          <cell r="E133">
            <v>0</v>
          </cell>
        </row>
        <row r="134">
          <cell r="A134">
            <v>124</v>
          </cell>
          <cell r="B134" t="str">
            <v>Polo a Tierra</v>
          </cell>
          <cell r="C134" t="str">
            <v>UN</v>
          </cell>
          <cell r="E134">
            <v>0</v>
          </cell>
        </row>
        <row r="135">
          <cell r="A135">
            <v>125</v>
          </cell>
          <cell r="B135" t="str">
            <v xml:space="preserve">Transformador  </v>
          </cell>
          <cell r="C135" t="str">
            <v>UN</v>
          </cell>
          <cell r="E135">
            <v>0</v>
          </cell>
        </row>
        <row r="136">
          <cell r="A136">
            <v>126</v>
          </cell>
          <cell r="B136" t="str">
            <v>Tubo de 2"</v>
          </cell>
          <cell r="C136" t="str">
            <v>ML</v>
          </cell>
          <cell r="E136">
            <v>0</v>
          </cell>
        </row>
        <row r="137">
          <cell r="A137">
            <v>127</v>
          </cell>
          <cell r="B137" t="str">
            <v>Cable Nº 6 THHN</v>
          </cell>
          <cell r="C137" t="str">
            <v>ML</v>
          </cell>
          <cell r="E137">
            <v>0</v>
          </cell>
        </row>
        <row r="138">
          <cell r="A138">
            <v>128</v>
          </cell>
          <cell r="B138" t="str">
            <v>Caja Contador</v>
          </cell>
          <cell r="C138" t="str">
            <v>UN</v>
          </cell>
          <cell r="E138">
            <v>0</v>
          </cell>
        </row>
        <row r="139">
          <cell r="A139">
            <v>129</v>
          </cell>
          <cell r="B139" t="str">
            <v>Contador</v>
          </cell>
          <cell r="C139" t="str">
            <v>UN</v>
          </cell>
          <cell r="E139">
            <v>0</v>
          </cell>
        </row>
        <row r="140">
          <cell r="A140">
            <v>130</v>
          </cell>
          <cell r="B140" t="str">
            <v>Automatico de protección</v>
          </cell>
          <cell r="C140" t="str">
            <v>UN</v>
          </cell>
          <cell r="E140">
            <v>0</v>
          </cell>
        </row>
        <row r="141">
          <cell r="A141">
            <v>131</v>
          </cell>
          <cell r="B141" t="str">
            <v>Caja de automaticos de 2 Circuitos</v>
          </cell>
          <cell r="C141" t="str">
            <v>UN</v>
          </cell>
          <cell r="D141">
            <v>12000</v>
          </cell>
          <cell r="E141">
            <v>720</v>
          </cell>
        </row>
        <row r="142">
          <cell r="A142">
            <v>132</v>
          </cell>
          <cell r="B142" t="str">
            <v>Automaticos de 15 A.</v>
          </cell>
          <cell r="C142" t="str">
            <v>UN</v>
          </cell>
          <cell r="D142">
            <v>9000</v>
          </cell>
          <cell r="E142">
            <v>540</v>
          </cell>
        </row>
        <row r="143">
          <cell r="A143">
            <v>133</v>
          </cell>
          <cell r="B143" t="str">
            <v>Linea Tierra</v>
          </cell>
          <cell r="C143" t="str">
            <v>ML</v>
          </cell>
          <cell r="E143">
            <v>0</v>
          </cell>
        </row>
        <row r="144">
          <cell r="A144">
            <v>134</v>
          </cell>
          <cell r="B144" t="str">
            <v>Cinta Bandy de 3/4</v>
          </cell>
          <cell r="C144" t="str">
            <v>ML</v>
          </cell>
          <cell r="E144">
            <v>0</v>
          </cell>
        </row>
        <row r="145">
          <cell r="A145">
            <v>135</v>
          </cell>
          <cell r="B145" t="str">
            <v>Hebillas de 3/4</v>
          </cell>
          <cell r="C145" t="str">
            <v>UN</v>
          </cell>
          <cell r="E145">
            <v>0</v>
          </cell>
        </row>
        <row r="146">
          <cell r="A146">
            <v>136</v>
          </cell>
          <cell r="B146" t="str">
            <v>Vigetas</v>
          </cell>
          <cell r="C146" t="str">
            <v>UN</v>
          </cell>
          <cell r="E146">
            <v>0</v>
          </cell>
        </row>
        <row r="147">
          <cell r="A147">
            <v>137</v>
          </cell>
          <cell r="B147" t="str">
            <v>Varilla de 1.50mts anclaje</v>
          </cell>
          <cell r="C147" t="str">
            <v>UN</v>
          </cell>
          <cell r="E147">
            <v>0</v>
          </cell>
        </row>
        <row r="148">
          <cell r="A148">
            <v>138</v>
          </cell>
          <cell r="B148" t="str">
            <v>Arandela de 4 x 4</v>
          </cell>
          <cell r="C148" t="str">
            <v>UN</v>
          </cell>
          <cell r="E148">
            <v>0</v>
          </cell>
        </row>
        <row r="149">
          <cell r="A149">
            <v>139</v>
          </cell>
          <cell r="B149" t="str">
            <v>Arandela de 2 x 2</v>
          </cell>
          <cell r="C149" t="str">
            <v>CUARTO</v>
          </cell>
          <cell r="E149">
            <v>0</v>
          </cell>
        </row>
        <row r="150">
          <cell r="A150">
            <v>140</v>
          </cell>
          <cell r="B150" t="str">
            <v>Arandela de presion para 1 1/2</v>
          </cell>
          <cell r="C150" t="str">
            <v>UN</v>
          </cell>
          <cell r="E150">
            <v>0</v>
          </cell>
        </row>
        <row r="151">
          <cell r="A151">
            <v>141</v>
          </cell>
          <cell r="B151" t="str">
            <v>Pernos de Maquina de 2"  x 1 1/2</v>
          </cell>
          <cell r="C151" t="str">
            <v>UN</v>
          </cell>
          <cell r="E151">
            <v>0</v>
          </cell>
        </row>
        <row r="152">
          <cell r="A152">
            <v>142</v>
          </cell>
          <cell r="B152" t="str">
            <v>Cable Acero de 3/8</v>
          </cell>
          <cell r="C152" t="str">
            <v>UN</v>
          </cell>
          <cell r="E152">
            <v>0</v>
          </cell>
        </row>
        <row r="153">
          <cell r="A153">
            <v>143</v>
          </cell>
          <cell r="B153" t="str">
            <v>Aisladores Tipo Tensor</v>
          </cell>
          <cell r="C153" t="str">
            <v>UN</v>
          </cell>
          <cell r="E153">
            <v>0</v>
          </cell>
        </row>
        <row r="154">
          <cell r="A154">
            <v>144</v>
          </cell>
          <cell r="B154" t="str">
            <v>Guarda Cabos</v>
          </cell>
          <cell r="C154" t="str">
            <v>ML</v>
          </cell>
          <cell r="E154">
            <v>0</v>
          </cell>
        </row>
        <row r="155">
          <cell r="A155">
            <v>145</v>
          </cell>
          <cell r="B155" t="str">
            <v>Grapa 3 pernos</v>
          </cell>
          <cell r="C155" t="str">
            <v>ML</v>
          </cell>
          <cell r="E155">
            <v>0</v>
          </cell>
        </row>
        <row r="156">
          <cell r="A156">
            <v>146</v>
          </cell>
          <cell r="B156" t="str">
            <v>Ducto de 2"</v>
          </cell>
          <cell r="C156" t="str">
            <v>ML</v>
          </cell>
          <cell r="E156">
            <v>0</v>
          </cell>
        </row>
        <row r="157">
          <cell r="A157">
            <v>147</v>
          </cell>
          <cell r="B157" t="str">
            <v>Ducto de 1 1/2"</v>
          </cell>
          <cell r="C157" t="str">
            <v>UN</v>
          </cell>
          <cell r="E157">
            <v>0</v>
          </cell>
        </row>
        <row r="158">
          <cell r="A158">
            <v>148</v>
          </cell>
          <cell r="B158" t="str">
            <v>Curva de 1 1/2"</v>
          </cell>
          <cell r="C158" t="str">
            <v>UN</v>
          </cell>
          <cell r="E158">
            <v>0</v>
          </cell>
        </row>
        <row r="159">
          <cell r="A159">
            <v>149</v>
          </cell>
          <cell r="B159" t="str">
            <v>Tapa Col Roll 0.5 x 0.5mts</v>
          </cell>
          <cell r="C159" t="str">
            <v>UN</v>
          </cell>
          <cell r="E159">
            <v>0</v>
          </cell>
        </row>
        <row r="160">
          <cell r="A160">
            <v>150</v>
          </cell>
          <cell r="B160" t="str">
            <v>Angulo</v>
          </cell>
          <cell r="C160" t="str">
            <v>UN</v>
          </cell>
          <cell r="E160">
            <v>0</v>
          </cell>
        </row>
        <row r="161">
          <cell r="A161">
            <v>151</v>
          </cell>
          <cell r="B161" t="str">
            <v>Cable Nº 4 Alum. Encauchetado</v>
          </cell>
          <cell r="C161" t="str">
            <v>UN</v>
          </cell>
          <cell r="E161">
            <v>0</v>
          </cell>
        </row>
        <row r="162">
          <cell r="A162">
            <v>152</v>
          </cell>
          <cell r="B162" t="str">
            <v>Cable Nº 10 Cobre THHN</v>
          </cell>
          <cell r="C162" t="str">
            <v>UN</v>
          </cell>
          <cell r="E162">
            <v>0</v>
          </cell>
        </row>
        <row r="163">
          <cell r="A163">
            <v>153</v>
          </cell>
          <cell r="B163" t="str">
            <v>Conectores para Ponchar AP1</v>
          </cell>
          <cell r="C163" t="str">
            <v>CUARTO</v>
          </cell>
          <cell r="E163">
            <v>0</v>
          </cell>
        </row>
        <row r="164">
          <cell r="A164">
            <v>154</v>
          </cell>
          <cell r="B164" t="str">
            <v>Protecciones Sumergibles para empalme</v>
          </cell>
          <cell r="C164" t="str">
            <v>UN</v>
          </cell>
          <cell r="E164">
            <v>0</v>
          </cell>
        </row>
        <row r="165">
          <cell r="A165">
            <v>155</v>
          </cell>
          <cell r="B165" t="str">
            <v>Cinta Nº 33</v>
          </cell>
          <cell r="C165" t="str">
            <v>UN</v>
          </cell>
          <cell r="E165">
            <v>0</v>
          </cell>
        </row>
        <row r="166">
          <cell r="A166">
            <v>156</v>
          </cell>
          <cell r="B166" t="str">
            <v>Cinta Nº 23</v>
          </cell>
          <cell r="C166" t="str">
            <v>UN</v>
          </cell>
          <cell r="E166">
            <v>0</v>
          </cell>
        </row>
        <row r="167">
          <cell r="A167">
            <v>157</v>
          </cell>
          <cell r="B167" t="str">
            <v>Ducto de 3" corrugado 35 x 3T para cajilla</v>
          </cell>
          <cell r="C167" t="str">
            <v>UN</v>
          </cell>
          <cell r="E167">
            <v>0</v>
          </cell>
        </row>
        <row r="168">
          <cell r="A168">
            <v>158</v>
          </cell>
          <cell r="B168" t="str">
            <v>Tubo de desague A - LL</v>
          </cell>
          <cell r="C168" t="str">
            <v>ML</v>
          </cell>
          <cell r="E168">
            <v>0</v>
          </cell>
        </row>
        <row r="169">
          <cell r="A169">
            <v>159</v>
          </cell>
          <cell r="B169" t="str">
            <v>Poste metálico de 4" de diámetro, 3 mts  de altura, pintado con base metálica para instalación o anclaje en pedestal, para dos luminarias. (según diseño )</v>
          </cell>
          <cell r="C169" t="str">
            <v>UN</v>
          </cell>
          <cell r="E169">
            <v>0</v>
          </cell>
        </row>
        <row r="170">
          <cell r="A170">
            <v>160</v>
          </cell>
          <cell r="B170" t="str">
            <v>Poste metálico de 4" de diámetro, 4 mts  de altura, pintado con base metálica para instalación o anclaje en pedestal, para cuatro luminarias. (según diseño)</v>
          </cell>
          <cell r="C170" t="str">
            <v>UN</v>
          </cell>
          <cell r="E170">
            <v>0</v>
          </cell>
        </row>
        <row r="171">
          <cell r="A171">
            <v>161</v>
          </cell>
          <cell r="E171">
            <v>0</v>
          </cell>
        </row>
        <row r="172">
          <cell r="A172">
            <v>162</v>
          </cell>
          <cell r="B172" t="str">
            <v>Transformador trifásico de 15 KVA, 13200/220 voltios</v>
          </cell>
          <cell r="C172" t="str">
            <v>UN</v>
          </cell>
          <cell r="D172">
            <v>4657500</v>
          </cell>
          <cell r="E172">
            <v>279450</v>
          </cell>
        </row>
        <row r="173">
          <cell r="A173">
            <v>163</v>
          </cell>
          <cell r="B173" t="str">
            <v>Caja 5,800. 2600, octagonal.</v>
          </cell>
          <cell r="C173" t="str">
            <v>UN</v>
          </cell>
          <cell r="D173">
            <v>500</v>
          </cell>
          <cell r="E173">
            <v>30</v>
          </cell>
        </row>
        <row r="174">
          <cell r="A174">
            <v>164</v>
          </cell>
          <cell r="B174" t="str">
            <v>Toma doble, interruptor</v>
          </cell>
          <cell r="C174" t="str">
            <v>UN</v>
          </cell>
          <cell r="D174">
            <v>4000</v>
          </cell>
          <cell r="E174">
            <v>240</v>
          </cell>
        </row>
        <row r="175">
          <cell r="A175">
            <v>165</v>
          </cell>
          <cell r="E175">
            <v>0</v>
          </cell>
        </row>
        <row r="176">
          <cell r="A176">
            <v>166</v>
          </cell>
          <cell r="E176">
            <v>0</v>
          </cell>
        </row>
        <row r="177">
          <cell r="A177">
            <v>167</v>
          </cell>
          <cell r="E177">
            <v>0</v>
          </cell>
        </row>
        <row r="178">
          <cell r="A178">
            <v>168</v>
          </cell>
          <cell r="E178">
            <v>0</v>
          </cell>
        </row>
        <row r="179">
          <cell r="A179">
            <v>169</v>
          </cell>
          <cell r="E179">
            <v>0</v>
          </cell>
        </row>
        <row r="180">
          <cell r="A180">
            <v>170</v>
          </cell>
          <cell r="E180">
            <v>0</v>
          </cell>
        </row>
        <row r="181">
          <cell r="A181">
            <v>171</v>
          </cell>
          <cell r="E181">
            <v>0</v>
          </cell>
        </row>
        <row r="182">
          <cell r="A182">
            <v>172</v>
          </cell>
          <cell r="E182">
            <v>0</v>
          </cell>
        </row>
        <row r="183">
          <cell r="A183">
            <v>173</v>
          </cell>
          <cell r="E183">
            <v>0</v>
          </cell>
        </row>
        <row r="184">
          <cell r="A184">
            <v>174</v>
          </cell>
          <cell r="E184">
            <v>0</v>
          </cell>
        </row>
        <row r="185">
          <cell r="A185">
            <v>175</v>
          </cell>
          <cell r="E185">
            <v>0</v>
          </cell>
        </row>
        <row r="186">
          <cell r="A186">
            <v>176</v>
          </cell>
          <cell r="E186">
            <v>0</v>
          </cell>
        </row>
        <row r="187">
          <cell r="A187">
            <v>177</v>
          </cell>
          <cell r="E187">
            <v>0</v>
          </cell>
        </row>
        <row r="188">
          <cell r="A188">
            <v>178</v>
          </cell>
          <cell r="E188">
            <v>0</v>
          </cell>
        </row>
        <row r="189">
          <cell r="A189">
            <v>179</v>
          </cell>
          <cell r="E189">
            <v>0</v>
          </cell>
        </row>
        <row r="190">
          <cell r="A190">
            <v>180</v>
          </cell>
          <cell r="E190">
            <v>0</v>
          </cell>
        </row>
        <row r="191">
          <cell r="A191">
            <v>181</v>
          </cell>
          <cell r="E191">
            <v>0</v>
          </cell>
        </row>
        <row r="192">
          <cell r="A192">
            <v>182</v>
          </cell>
          <cell r="E192">
            <v>0</v>
          </cell>
        </row>
        <row r="193">
          <cell r="A193">
            <v>183</v>
          </cell>
          <cell r="E193">
            <v>0</v>
          </cell>
        </row>
        <row r="194">
          <cell r="A194">
            <v>184</v>
          </cell>
          <cell r="E194">
            <v>0</v>
          </cell>
        </row>
        <row r="195">
          <cell r="A195">
            <v>185</v>
          </cell>
          <cell r="E195">
            <v>0</v>
          </cell>
        </row>
        <row r="196">
          <cell r="A196">
            <v>186</v>
          </cell>
          <cell r="E196">
            <v>0</v>
          </cell>
        </row>
        <row r="197">
          <cell r="A197">
            <v>187</v>
          </cell>
          <cell r="E197">
            <v>0</v>
          </cell>
        </row>
        <row r="198">
          <cell r="A198">
            <v>188</v>
          </cell>
          <cell r="E198">
            <v>0</v>
          </cell>
        </row>
        <row r="199">
          <cell r="A199">
            <v>189</v>
          </cell>
          <cell r="E199">
            <v>0</v>
          </cell>
        </row>
        <row r="200">
          <cell r="A200">
            <v>190</v>
          </cell>
          <cell r="E200">
            <v>0</v>
          </cell>
        </row>
        <row r="202">
          <cell r="A202" t="str">
            <v>REF.</v>
          </cell>
          <cell r="B202" t="str">
            <v>MATERIAL ACEROS</v>
          </cell>
          <cell r="C202" t="str">
            <v>UNIDAD</v>
          </cell>
          <cell r="D202" t="str">
            <v>PRECIO</v>
          </cell>
          <cell r="E202" t="str">
            <v>TRANSPORTE</v>
          </cell>
        </row>
        <row r="204">
          <cell r="A204">
            <v>191</v>
          </cell>
          <cell r="B204" t="str">
            <v>Acero de refuerzo A-37  A-60</v>
          </cell>
          <cell r="C204" t="str">
            <v>KG</v>
          </cell>
          <cell r="D204">
            <v>2100</v>
          </cell>
          <cell r="E204">
            <v>126</v>
          </cell>
        </row>
        <row r="205">
          <cell r="A205">
            <v>192</v>
          </cell>
          <cell r="B205" t="str">
            <v>Acero Fy = 60.000 PSI</v>
          </cell>
          <cell r="C205" t="str">
            <v>KG</v>
          </cell>
          <cell r="D205">
            <v>2050</v>
          </cell>
          <cell r="E205">
            <v>123</v>
          </cell>
        </row>
        <row r="206">
          <cell r="A206">
            <v>193</v>
          </cell>
          <cell r="B206" t="str">
            <v>Alambre negro</v>
          </cell>
          <cell r="C206" t="str">
            <v>KG</v>
          </cell>
          <cell r="D206">
            <v>3800</v>
          </cell>
          <cell r="E206">
            <v>228</v>
          </cell>
        </row>
        <row r="207">
          <cell r="A207">
            <v>194</v>
          </cell>
          <cell r="B207" t="str">
            <v>Caneca metálica mediana, en malla tipo cafetera, pivotante, sobre paral tubular metálico, con logotipo de la Alcaldia, según diseño</v>
          </cell>
          <cell r="C207" t="str">
            <v>UN</v>
          </cell>
          <cell r="D207">
            <v>94334</v>
          </cell>
          <cell r="E207">
            <v>5660.04</v>
          </cell>
        </row>
        <row r="208">
          <cell r="A208">
            <v>195</v>
          </cell>
          <cell r="B208" t="str">
            <v>Caseta metálica para venta de dulcería  Según diseño y con logotipo de la Alcaldía.</v>
          </cell>
          <cell r="C208" t="str">
            <v>UN</v>
          </cell>
          <cell r="D208">
            <v>4485453</v>
          </cell>
          <cell r="E208">
            <v>269127.18</v>
          </cell>
        </row>
        <row r="209">
          <cell r="A209">
            <v>196</v>
          </cell>
          <cell r="B209" t="str">
            <v>Caseta metálica, para venta de revistas. Según diseño y con logotipo de la Alcaldía.</v>
          </cell>
          <cell r="C209" t="str">
            <v>UN</v>
          </cell>
          <cell r="D209">
            <v>5866830</v>
          </cell>
          <cell r="E209">
            <v>352009.8</v>
          </cell>
        </row>
        <row r="210">
          <cell r="A210">
            <v>197</v>
          </cell>
          <cell r="B210" t="str">
            <v xml:space="preserve">Estructura metalica para cabinas Telefonicas, según detalle </v>
          </cell>
          <cell r="C210" t="str">
            <v>UN</v>
          </cell>
          <cell r="E210">
            <v>0</v>
          </cell>
        </row>
        <row r="211">
          <cell r="A211">
            <v>198</v>
          </cell>
          <cell r="B211" t="str">
            <v>Estructura para aro base de pozo</v>
          </cell>
          <cell r="C211" t="str">
            <v>UN</v>
          </cell>
          <cell r="D211">
            <v>140000</v>
          </cell>
          <cell r="E211">
            <v>8400</v>
          </cell>
        </row>
        <row r="212">
          <cell r="A212">
            <v>199</v>
          </cell>
          <cell r="B212" t="str">
            <v>Estructura para tapa de pozo</v>
          </cell>
          <cell r="C212" t="str">
            <v>UN</v>
          </cell>
          <cell r="D212">
            <v>140000</v>
          </cell>
          <cell r="E212">
            <v>8400</v>
          </cell>
        </row>
        <row r="213">
          <cell r="A213">
            <v>200</v>
          </cell>
          <cell r="B213" t="str">
            <v>Hidrante tipo humedo de 3" norma AWWA-C503</v>
          </cell>
          <cell r="C213" t="str">
            <v>UN</v>
          </cell>
          <cell r="D213">
            <v>1210000</v>
          </cell>
          <cell r="E213">
            <v>72600</v>
          </cell>
        </row>
        <row r="214">
          <cell r="A214">
            <v>201</v>
          </cell>
          <cell r="B214" t="str">
            <v>Hidrante tipo humedo de 4" norma AWWA-C503</v>
          </cell>
          <cell r="C214" t="str">
            <v>UN</v>
          </cell>
          <cell r="D214">
            <v>1980000</v>
          </cell>
          <cell r="E214">
            <v>118800</v>
          </cell>
        </row>
        <row r="215">
          <cell r="A215">
            <v>202</v>
          </cell>
          <cell r="B215" t="str">
            <v xml:space="preserve">Llave de corte de 2" </v>
          </cell>
          <cell r="C215" t="str">
            <v>UN</v>
          </cell>
          <cell r="E215">
            <v>0</v>
          </cell>
        </row>
        <row r="216">
          <cell r="A216">
            <v>203</v>
          </cell>
          <cell r="B216" t="str">
            <v>Malla Electrosoldada</v>
          </cell>
          <cell r="C216" t="str">
            <v>M²</v>
          </cell>
          <cell r="D216">
            <v>16850</v>
          </cell>
          <cell r="E216">
            <v>1011</v>
          </cell>
        </row>
        <row r="217">
          <cell r="A217">
            <v>204</v>
          </cell>
          <cell r="B217" t="str">
            <v>Malla Gallinero</v>
          </cell>
          <cell r="C217" t="str">
            <v>M²</v>
          </cell>
          <cell r="D217">
            <v>1250</v>
          </cell>
          <cell r="E217">
            <v>75</v>
          </cell>
        </row>
        <row r="218">
          <cell r="A218">
            <v>205</v>
          </cell>
          <cell r="B218" t="str">
            <v>Niple Galvanizado 1/2"</v>
          </cell>
          <cell r="C218" t="str">
            <v>Und</v>
          </cell>
          <cell r="D218">
            <v>600</v>
          </cell>
          <cell r="E218">
            <v>36</v>
          </cell>
        </row>
        <row r="219">
          <cell r="A219">
            <v>206</v>
          </cell>
          <cell r="B219" t="str">
            <v>Platina de 3/16" x 1"</v>
          </cell>
          <cell r="C219" t="str">
            <v>ML</v>
          </cell>
          <cell r="D219">
            <v>3800</v>
          </cell>
          <cell r="E219">
            <v>228</v>
          </cell>
        </row>
        <row r="220">
          <cell r="A220">
            <v>207</v>
          </cell>
          <cell r="B220" t="str">
            <v>Puntillas</v>
          </cell>
          <cell r="C220" t="str">
            <v>LB</v>
          </cell>
          <cell r="D220">
            <v>1500</v>
          </cell>
          <cell r="E220">
            <v>90</v>
          </cell>
        </row>
        <row r="221">
          <cell r="A221">
            <v>208</v>
          </cell>
          <cell r="B221" t="str">
            <v>Registro de corte</v>
          </cell>
          <cell r="C221" t="str">
            <v>UN</v>
          </cell>
          <cell r="D221">
            <v>20000</v>
          </cell>
          <cell r="E221">
            <v>1200</v>
          </cell>
        </row>
        <row r="222">
          <cell r="A222">
            <v>209</v>
          </cell>
          <cell r="B222" t="str">
            <v>Registro de incorporación en bronce</v>
          </cell>
          <cell r="C222" t="str">
            <v>UN</v>
          </cell>
          <cell r="D222">
            <v>12000</v>
          </cell>
          <cell r="E222">
            <v>720</v>
          </cell>
        </row>
        <row r="223">
          <cell r="A223">
            <v>210</v>
          </cell>
          <cell r="B223" t="str">
            <v>Rejilla en angulo de 1½" x 1/4" para sumidero A. LL., según diseño EPN</v>
          </cell>
          <cell r="C223" t="str">
            <v>UN</v>
          </cell>
          <cell r="D223">
            <v>180000</v>
          </cell>
          <cell r="E223">
            <v>10800</v>
          </cell>
        </row>
        <row r="224">
          <cell r="A224">
            <v>211</v>
          </cell>
          <cell r="B224" t="str">
            <v>Rejilla en varilla de 5/8" cada 3 cm y marco en angulo de 1"x31/6", bisagrada según modelo de EPN</v>
          </cell>
          <cell r="C224" t="str">
            <v>ML</v>
          </cell>
          <cell r="E224">
            <v>0</v>
          </cell>
        </row>
        <row r="225">
          <cell r="A225">
            <v>212</v>
          </cell>
          <cell r="B225" t="str">
            <v>Tapa valvula tipo Chorote - Tráfico liviano</v>
          </cell>
          <cell r="C225" t="str">
            <v>UN</v>
          </cell>
          <cell r="D225">
            <v>85000</v>
          </cell>
          <cell r="E225">
            <v>5100</v>
          </cell>
        </row>
        <row r="226">
          <cell r="A226">
            <v>213</v>
          </cell>
          <cell r="B226" t="str">
            <v>Tee estándar de 12"x3" derivación a brida PN 10 - Hierro dúctil</v>
          </cell>
          <cell r="C226" t="str">
            <v>UN</v>
          </cell>
          <cell r="E226">
            <v>0</v>
          </cell>
        </row>
        <row r="227">
          <cell r="A227">
            <v>214</v>
          </cell>
          <cell r="B227" t="str">
            <v>Tee estándar de 12"x4" derivación a brida PN 10 - Hierro dúctil</v>
          </cell>
          <cell r="C227" t="str">
            <v>UN</v>
          </cell>
          <cell r="E227">
            <v>0</v>
          </cell>
        </row>
        <row r="228">
          <cell r="A228">
            <v>215</v>
          </cell>
          <cell r="B228" t="str">
            <v>Tee estándar de 16"x12" derivación a brida PN 10 - Hierro dúctil</v>
          </cell>
          <cell r="C228" t="str">
            <v>UN</v>
          </cell>
          <cell r="E228">
            <v>0</v>
          </cell>
        </row>
        <row r="229">
          <cell r="A229">
            <v>216</v>
          </cell>
          <cell r="B229" t="str">
            <v>Tee estándar de 8"x12" derivación a brida PN 10 - Hierro dúctil</v>
          </cell>
          <cell r="C229" t="str">
            <v>UN</v>
          </cell>
          <cell r="E229">
            <v>0</v>
          </cell>
        </row>
        <row r="230">
          <cell r="A230">
            <v>217</v>
          </cell>
          <cell r="B230" t="str">
            <v>Tee estándar de 8"x3" derivación a brida PN 10 - Hierro dúctil</v>
          </cell>
          <cell r="C230" t="str">
            <v>UN</v>
          </cell>
          <cell r="E230">
            <v>0</v>
          </cell>
        </row>
        <row r="231">
          <cell r="A231">
            <v>218</v>
          </cell>
          <cell r="B231" t="str">
            <v>Tee estándar de 8"x4" derivación a brida PN 10 - Hierro dúctil</v>
          </cell>
          <cell r="C231" t="str">
            <v>UN</v>
          </cell>
          <cell r="E231">
            <v>0</v>
          </cell>
        </row>
        <row r="232">
          <cell r="A232">
            <v>219</v>
          </cell>
          <cell r="B232" t="str">
            <v>Tee estándar de 8"x6" derivación a brida PN 10 - Hierro dúctil</v>
          </cell>
          <cell r="C232" t="str">
            <v>UN</v>
          </cell>
          <cell r="E232">
            <v>0</v>
          </cell>
        </row>
        <row r="233">
          <cell r="A233">
            <v>220</v>
          </cell>
          <cell r="B233" t="str">
            <v>TEE GALVANIZADA DE 1/2"</v>
          </cell>
          <cell r="C233" t="str">
            <v>Und</v>
          </cell>
          <cell r="D233">
            <v>600</v>
          </cell>
          <cell r="E233">
            <v>36</v>
          </cell>
        </row>
        <row r="234">
          <cell r="A234">
            <v>221</v>
          </cell>
          <cell r="B234" t="str">
            <v>Tornillo Autoperforante</v>
          </cell>
          <cell r="C234" t="str">
            <v>Und.</v>
          </cell>
          <cell r="D234">
            <v>300</v>
          </cell>
          <cell r="E234">
            <v>18</v>
          </cell>
        </row>
        <row r="235">
          <cell r="A235">
            <v>222</v>
          </cell>
          <cell r="B235" t="str">
            <v>Tornillo Fija Ala</v>
          </cell>
          <cell r="C235" t="str">
            <v>Und.</v>
          </cell>
          <cell r="D235">
            <v>1000</v>
          </cell>
          <cell r="E235">
            <v>60</v>
          </cell>
        </row>
        <row r="236">
          <cell r="A236">
            <v>223</v>
          </cell>
          <cell r="B236" t="str">
            <v>Valvula de compuerta elastica de 3" en Hierro Ductil (ASTM-A-536)</v>
          </cell>
          <cell r="C236" t="str">
            <v>UN</v>
          </cell>
          <cell r="E236">
            <v>0</v>
          </cell>
        </row>
        <row r="237">
          <cell r="A237">
            <v>224</v>
          </cell>
          <cell r="B237" t="str">
            <v>Valvula de compuerta elastica de 4" en Hierro Ductil (ASTM-A-536)</v>
          </cell>
          <cell r="C237" t="str">
            <v>UN</v>
          </cell>
          <cell r="E237">
            <v>0</v>
          </cell>
        </row>
        <row r="238">
          <cell r="A238">
            <v>225</v>
          </cell>
          <cell r="B238" t="str">
            <v>Valvula de compuerta elastica de 6" en Hierro Ductil (ASTM-A-536)</v>
          </cell>
          <cell r="C238" t="str">
            <v>UN</v>
          </cell>
          <cell r="E238">
            <v>0</v>
          </cell>
        </row>
        <row r="239">
          <cell r="A239">
            <v>226</v>
          </cell>
          <cell r="B239" t="str">
            <v>Valvula de compuerta elastica de 8" en Hierro Ductil (ASTM-A-536)</v>
          </cell>
          <cell r="C239" t="str">
            <v>UN</v>
          </cell>
          <cell r="E239">
            <v>0</v>
          </cell>
        </row>
        <row r="240">
          <cell r="A240">
            <v>227</v>
          </cell>
          <cell r="B240" t="str">
            <v>Valvula de mariposa de 16" en Hierro Ductil (ASTM-A-536) brida PN 10</v>
          </cell>
          <cell r="C240" t="str">
            <v>UN</v>
          </cell>
          <cell r="E240">
            <v>0</v>
          </cell>
        </row>
        <row r="241">
          <cell r="A241">
            <v>228</v>
          </cell>
          <cell r="B241" t="str">
            <v>Valvula de mariposa de 20" en Hierro Ductil (ASTM-A-536) brida PN 10</v>
          </cell>
          <cell r="C241" t="str">
            <v>UN</v>
          </cell>
          <cell r="E241">
            <v>0</v>
          </cell>
        </row>
        <row r="242">
          <cell r="A242">
            <v>229</v>
          </cell>
          <cell r="B242" t="str">
            <v>Hoja de Segueta</v>
          </cell>
          <cell r="C242" t="str">
            <v>UN</v>
          </cell>
          <cell r="D242">
            <v>2500</v>
          </cell>
          <cell r="E242">
            <v>150</v>
          </cell>
        </row>
        <row r="243">
          <cell r="A243">
            <v>230</v>
          </cell>
          <cell r="B243" t="str">
            <v xml:space="preserve">poste galvanizado de 2" </v>
          </cell>
          <cell r="C243" t="str">
            <v>UN</v>
          </cell>
          <cell r="D243">
            <v>78000</v>
          </cell>
          <cell r="E243">
            <v>4680</v>
          </cell>
        </row>
        <row r="244">
          <cell r="A244">
            <v>231</v>
          </cell>
          <cell r="B244" t="str">
            <v>Malla eslabonada de 2x2 cal. 10</v>
          </cell>
          <cell r="C244" t="str">
            <v>M²</v>
          </cell>
          <cell r="D244">
            <v>14500</v>
          </cell>
          <cell r="E244">
            <v>870</v>
          </cell>
        </row>
        <row r="245">
          <cell r="A245">
            <v>232</v>
          </cell>
          <cell r="B245" t="str">
            <v>Platina de 3/16" x 1"</v>
          </cell>
          <cell r="C245" t="str">
            <v>ML</v>
          </cell>
          <cell r="D245">
            <v>3800</v>
          </cell>
          <cell r="E245">
            <v>228</v>
          </cell>
        </row>
        <row r="246">
          <cell r="A246">
            <v>233</v>
          </cell>
          <cell r="B246" t="str">
            <v xml:space="preserve">angulo de 1"x1/8" </v>
          </cell>
          <cell r="E246">
            <v>0</v>
          </cell>
        </row>
        <row r="247">
          <cell r="A247">
            <v>234</v>
          </cell>
          <cell r="B247" t="str">
            <v>Hierros Ø1/2"</v>
          </cell>
          <cell r="C247" t="str">
            <v>KG</v>
          </cell>
          <cell r="D247">
            <v>2200</v>
          </cell>
          <cell r="E247">
            <v>132</v>
          </cell>
        </row>
        <row r="248">
          <cell r="A248">
            <v>235</v>
          </cell>
          <cell r="B248" t="str">
            <v>Hierros   Ø  3/8"</v>
          </cell>
          <cell r="C248" t="str">
            <v>KG</v>
          </cell>
          <cell r="D248">
            <v>2000</v>
          </cell>
          <cell r="E248">
            <v>120</v>
          </cell>
        </row>
        <row r="249">
          <cell r="A249">
            <v>236</v>
          </cell>
          <cell r="B249" t="str">
            <v>Hierros   Ø  1/4"</v>
          </cell>
          <cell r="C249" t="str">
            <v>KG</v>
          </cell>
          <cell r="D249">
            <v>2000</v>
          </cell>
          <cell r="E249">
            <v>120</v>
          </cell>
        </row>
        <row r="250">
          <cell r="A250">
            <v>237</v>
          </cell>
          <cell r="B250" t="str">
            <v>Alambre negro</v>
          </cell>
          <cell r="C250" t="str">
            <v>KG</v>
          </cell>
          <cell r="D250">
            <v>2300</v>
          </cell>
          <cell r="E250">
            <v>138</v>
          </cell>
        </row>
        <row r="251">
          <cell r="A251">
            <v>238</v>
          </cell>
          <cell r="E251">
            <v>0</v>
          </cell>
        </row>
        <row r="252">
          <cell r="A252">
            <v>239</v>
          </cell>
          <cell r="E252">
            <v>0</v>
          </cell>
        </row>
        <row r="253">
          <cell r="A253">
            <v>240</v>
          </cell>
          <cell r="E253">
            <v>0</v>
          </cell>
        </row>
        <row r="254">
          <cell r="A254">
            <v>241</v>
          </cell>
          <cell r="E254">
            <v>0</v>
          </cell>
        </row>
        <row r="255">
          <cell r="A255">
            <v>242</v>
          </cell>
          <cell r="E255">
            <v>0</v>
          </cell>
        </row>
        <row r="256">
          <cell r="A256">
            <v>243</v>
          </cell>
          <cell r="E256">
            <v>0</v>
          </cell>
        </row>
        <row r="257">
          <cell r="A257">
            <v>244</v>
          </cell>
          <cell r="E257">
            <v>0</v>
          </cell>
        </row>
        <row r="258">
          <cell r="A258">
            <v>245</v>
          </cell>
          <cell r="E258">
            <v>0</v>
          </cell>
        </row>
        <row r="259">
          <cell r="A259">
            <v>246</v>
          </cell>
          <cell r="E259">
            <v>0</v>
          </cell>
        </row>
        <row r="260">
          <cell r="A260">
            <v>247</v>
          </cell>
          <cell r="E260">
            <v>0</v>
          </cell>
        </row>
        <row r="261">
          <cell r="A261">
            <v>248</v>
          </cell>
          <cell r="E261">
            <v>0</v>
          </cell>
        </row>
        <row r="262">
          <cell r="A262">
            <v>249</v>
          </cell>
          <cell r="E262">
            <v>0</v>
          </cell>
        </row>
        <row r="263">
          <cell r="A263">
            <v>250</v>
          </cell>
          <cell r="E263">
            <v>0</v>
          </cell>
        </row>
        <row r="265">
          <cell r="A265" t="str">
            <v>REF.</v>
          </cell>
          <cell r="B265" t="str">
            <v>MATERIAL DE CUBIERTA</v>
          </cell>
          <cell r="C265" t="str">
            <v>UNIDAD</v>
          </cell>
          <cell r="D265" t="str">
            <v>PRECIO</v>
          </cell>
          <cell r="E265" t="str">
            <v>TRANSPORTE</v>
          </cell>
        </row>
        <row r="267">
          <cell r="A267">
            <v>251</v>
          </cell>
          <cell r="B267" t="str">
            <v xml:space="preserve">Amarres </v>
          </cell>
          <cell r="C267" t="str">
            <v>UN</v>
          </cell>
          <cell r="D267">
            <v>50</v>
          </cell>
          <cell r="E267">
            <v>3</v>
          </cell>
        </row>
        <row r="268">
          <cell r="A268">
            <v>252</v>
          </cell>
          <cell r="B268" t="str">
            <v>Caballete</v>
          </cell>
          <cell r="C268" t="str">
            <v>ML</v>
          </cell>
          <cell r="E268">
            <v>0</v>
          </cell>
        </row>
        <row r="269">
          <cell r="A269">
            <v>253</v>
          </cell>
          <cell r="B269" t="str">
            <v>Correas en perfil cerrado de 4x10 cal 18 de 6.00mts</v>
          </cell>
          <cell r="C269" t="str">
            <v>UN</v>
          </cell>
          <cell r="D269">
            <v>42500</v>
          </cell>
          <cell r="E269">
            <v>2550</v>
          </cell>
        </row>
        <row r="270">
          <cell r="A270">
            <v>254</v>
          </cell>
          <cell r="B270" t="str">
            <v>Ganchos</v>
          </cell>
          <cell r="C270" t="str">
            <v>UN</v>
          </cell>
          <cell r="D270">
            <v>780</v>
          </cell>
          <cell r="E270">
            <v>46.8</v>
          </cell>
        </row>
        <row r="271">
          <cell r="A271">
            <v>255</v>
          </cell>
          <cell r="B271" t="str">
            <v>Teja Termoacustic + Caballete</v>
          </cell>
          <cell r="C271" t="str">
            <v>M2</v>
          </cell>
          <cell r="D271">
            <v>24000</v>
          </cell>
          <cell r="E271">
            <v>1440</v>
          </cell>
        </row>
        <row r="272">
          <cell r="A272">
            <v>256</v>
          </cell>
          <cell r="B272" t="str">
            <v xml:space="preserve">Teja Termoacustic - color Azul </v>
          </cell>
          <cell r="C272" t="str">
            <v>M2</v>
          </cell>
          <cell r="D272">
            <v>38500</v>
          </cell>
          <cell r="E272">
            <v>2310</v>
          </cell>
        </row>
        <row r="273">
          <cell r="A273">
            <v>257</v>
          </cell>
          <cell r="B273" t="str">
            <v>Teja Termoacustic Ondulada - color Terracota</v>
          </cell>
          <cell r="C273" t="str">
            <v>M2</v>
          </cell>
          <cell r="D273">
            <v>31000</v>
          </cell>
          <cell r="E273">
            <v>1860</v>
          </cell>
        </row>
        <row r="274">
          <cell r="A274">
            <v>258</v>
          </cell>
          <cell r="B274" t="str">
            <v>Suministro e instalacion de estructura metalica. Incluye doble cercha de 23 ms. De alta en angulo de de 1" 1/2 y refuerzo en varilla de 3/8" y pintura anticorrosiva color rojo.</v>
          </cell>
          <cell r="C274" t="str">
            <v>ML</v>
          </cell>
          <cell r="D274">
            <v>70000</v>
          </cell>
          <cell r="E274">
            <v>4200</v>
          </cell>
        </row>
        <row r="275">
          <cell r="A275">
            <v>259</v>
          </cell>
          <cell r="B275" t="str">
            <v>Suministro e instalacion de correas metalicas. Incluye tubo rectangular en lamina calibre 20.</v>
          </cell>
          <cell r="C275" t="str">
            <v>ML</v>
          </cell>
          <cell r="D275">
            <v>9000</v>
          </cell>
          <cell r="E275">
            <v>540</v>
          </cell>
        </row>
        <row r="276">
          <cell r="A276">
            <v>260</v>
          </cell>
          <cell r="E276">
            <v>0</v>
          </cell>
        </row>
        <row r="277">
          <cell r="A277">
            <v>261</v>
          </cell>
          <cell r="E277">
            <v>0</v>
          </cell>
        </row>
        <row r="278">
          <cell r="A278">
            <v>262</v>
          </cell>
          <cell r="E278">
            <v>0</v>
          </cell>
        </row>
        <row r="279">
          <cell r="A279">
            <v>263</v>
          </cell>
          <cell r="E279">
            <v>0</v>
          </cell>
        </row>
        <row r="280">
          <cell r="A280">
            <v>264</v>
          </cell>
          <cell r="E280">
            <v>0</v>
          </cell>
        </row>
        <row r="281">
          <cell r="A281">
            <v>265</v>
          </cell>
          <cell r="E281">
            <v>0</v>
          </cell>
        </row>
        <row r="282">
          <cell r="A282">
            <v>266</v>
          </cell>
          <cell r="E282">
            <v>0</v>
          </cell>
        </row>
        <row r="283">
          <cell r="A283">
            <v>267</v>
          </cell>
          <cell r="E283">
            <v>0</v>
          </cell>
        </row>
        <row r="284">
          <cell r="A284">
            <v>268</v>
          </cell>
          <cell r="E284">
            <v>0</v>
          </cell>
        </row>
        <row r="285">
          <cell r="A285">
            <v>269</v>
          </cell>
          <cell r="E285">
            <v>0</v>
          </cell>
        </row>
        <row r="286">
          <cell r="A286">
            <v>270</v>
          </cell>
          <cell r="E286">
            <v>0</v>
          </cell>
        </row>
        <row r="287">
          <cell r="A287">
            <v>271</v>
          </cell>
          <cell r="E287">
            <v>0</v>
          </cell>
        </row>
        <row r="288">
          <cell r="A288">
            <v>272</v>
          </cell>
          <cell r="E288">
            <v>0</v>
          </cell>
        </row>
        <row r="289">
          <cell r="A289">
            <v>273</v>
          </cell>
          <cell r="E289">
            <v>0</v>
          </cell>
        </row>
        <row r="290">
          <cell r="A290">
            <v>274</v>
          </cell>
          <cell r="E290">
            <v>0</v>
          </cell>
        </row>
        <row r="291">
          <cell r="A291">
            <v>275</v>
          </cell>
          <cell r="E291">
            <v>0</v>
          </cell>
        </row>
        <row r="292">
          <cell r="A292">
            <v>276</v>
          </cell>
          <cell r="E292">
            <v>0</v>
          </cell>
        </row>
        <row r="293">
          <cell r="A293">
            <v>277</v>
          </cell>
          <cell r="E293">
            <v>0</v>
          </cell>
        </row>
        <row r="294">
          <cell r="A294">
            <v>278</v>
          </cell>
          <cell r="E294">
            <v>0</v>
          </cell>
        </row>
        <row r="295">
          <cell r="A295">
            <v>279</v>
          </cell>
          <cell r="E295">
            <v>0</v>
          </cell>
        </row>
        <row r="296">
          <cell r="A296">
            <v>280</v>
          </cell>
          <cell r="E296">
            <v>0</v>
          </cell>
        </row>
        <row r="298">
          <cell r="A298" t="str">
            <v>REF.</v>
          </cell>
          <cell r="B298" t="str">
            <v>MATERIAL DE PVC</v>
          </cell>
          <cell r="C298" t="str">
            <v>UNIDAD</v>
          </cell>
          <cell r="D298" t="str">
            <v>PRECIO</v>
          </cell>
          <cell r="E298" t="str">
            <v>TRANSPORTE</v>
          </cell>
        </row>
        <row r="300">
          <cell r="A300">
            <v>281</v>
          </cell>
          <cell r="B300" t="str">
            <v>Adaptador macho PF + UAD</v>
          </cell>
          <cell r="C300" t="str">
            <v>UN</v>
          </cell>
          <cell r="D300">
            <v>1166</v>
          </cell>
          <cell r="E300">
            <v>69.959999999999994</v>
          </cell>
        </row>
        <row r="301">
          <cell r="A301">
            <v>282</v>
          </cell>
          <cell r="B301" t="str">
            <v>Adaptador Novafor 6"</v>
          </cell>
          <cell r="C301" t="str">
            <v>UN</v>
          </cell>
          <cell r="D301">
            <v>17663</v>
          </cell>
          <cell r="E301">
            <v>1059.78</v>
          </cell>
        </row>
        <row r="302">
          <cell r="A302">
            <v>283</v>
          </cell>
          <cell r="B302" t="str">
            <v>Adaptador PVC-AC de 12" union Z</v>
          </cell>
          <cell r="C302" t="str">
            <v>UN</v>
          </cell>
          <cell r="D302">
            <v>268652</v>
          </cell>
          <cell r="E302">
            <v>16119.119999999999</v>
          </cell>
        </row>
        <row r="303">
          <cell r="A303">
            <v>284</v>
          </cell>
          <cell r="B303" t="str">
            <v>Adaptador PVC-AC de 3"</v>
          </cell>
          <cell r="C303" t="str">
            <v>UN</v>
          </cell>
          <cell r="D303">
            <v>16600</v>
          </cell>
          <cell r="E303">
            <v>996</v>
          </cell>
        </row>
        <row r="304">
          <cell r="A304">
            <v>285</v>
          </cell>
          <cell r="B304" t="str">
            <v>Adaptador PVC-AC de 4"</v>
          </cell>
          <cell r="C304" t="str">
            <v>UN</v>
          </cell>
          <cell r="D304">
            <v>18490</v>
          </cell>
          <cell r="E304">
            <v>1109.3999999999999</v>
          </cell>
        </row>
        <row r="305">
          <cell r="A305">
            <v>286</v>
          </cell>
          <cell r="B305" t="str">
            <v>Adaptador PVC-AC de 6" union Z</v>
          </cell>
          <cell r="C305" t="str">
            <v>UN</v>
          </cell>
          <cell r="D305">
            <v>44830</v>
          </cell>
          <cell r="E305">
            <v>2689.7999999999997</v>
          </cell>
        </row>
        <row r="306">
          <cell r="A306">
            <v>287</v>
          </cell>
          <cell r="B306" t="str">
            <v>Adaptador PVC-AC de 8" union Z</v>
          </cell>
          <cell r="C306" t="str">
            <v>UN</v>
          </cell>
          <cell r="D306">
            <v>61648</v>
          </cell>
          <cell r="E306">
            <v>3698.8799999999997</v>
          </cell>
        </row>
        <row r="307">
          <cell r="A307">
            <v>288</v>
          </cell>
          <cell r="B307" t="str">
            <v>Codo de gran radio PVC 3"x90º UZ-RDE 21</v>
          </cell>
          <cell r="C307" t="str">
            <v>UN</v>
          </cell>
          <cell r="D307">
            <v>47099</v>
          </cell>
          <cell r="E307">
            <v>2825.94</v>
          </cell>
        </row>
        <row r="308">
          <cell r="A308">
            <v>289</v>
          </cell>
          <cell r="B308" t="str">
            <v>Codo de gran radio PVC 4"x90º UZ-RDE 21</v>
          </cell>
          <cell r="C308" t="str">
            <v>UN</v>
          </cell>
          <cell r="D308">
            <v>90433</v>
          </cell>
          <cell r="E308">
            <v>5425.98</v>
          </cell>
        </row>
        <row r="309">
          <cell r="A309">
            <v>290</v>
          </cell>
          <cell r="B309" t="str">
            <v>Collar de derivación de 8" x 2"</v>
          </cell>
          <cell r="C309" t="str">
            <v>UN</v>
          </cell>
          <cell r="D309">
            <v>604406</v>
          </cell>
          <cell r="E309">
            <v>36264.36</v>
          </cell>
        </row>
        <row r="310">
          <cell r="A310">
            <v>291</v>
          </cell>
          <cell r="B310" t="str">
            <v>Collar de derivación PVC  3" x 1/2"</v>
          </cell>
          <cell r="C310" t="str">
            <v>UN</v>
          </cell>
          <cell r="D310">
            <v>11020</v>
          </cell>
          <cell r="E310">
            <v>661.19999999999993</v>
          </cell>
        </row>
        <row r="311">
          <cell r="A311">
            <v>292</v>
          </cell>
          <cell r="B311" t="str">
            <v>Lubricante para tubo PVC union mecánica</v>
          </cell>
          <cell r="C311" t="str">
            <v>LB</v>
          </cell>
          <cell r="D311">
            <v>11136</v>
          </cell>
          <cell r="E311">
            <v>668.16</v>
          </cell>
        </row>
        <row r="312">
          <cell r="A312">
            <v>293</v>
          </cell>
          <cell r="B312" t="str">
            <v>Manguera PVC  PF+UAD de 1/2"</v>
          </cell>
          <cell r="C312" t="str">
            <v>ML</v>
          </cell>
          <cell r="E312">
            <v>0</v>
          </cell>
        </row>
        <row r="313">
          <cell r="A313">
            <v>294</v>
          </cell>
          <cell r="B313" t="str">
            <v xml:space="preserve">Tapon soldar de 2" PVC </v>
          </cell>
          <cell r="C313" t="str">
            <v>UN</v>
          </cell>
          <cell r="E313">
            <v>0</v>
          </cell>
        </row>
        <row r="314">
          <cell r="A314">
            <v>295</v>
          </cell>
          <cell r="B314" t="str">
            <v xml:space="preserve">Tee PVC-RDE 21 de 3" x 3" x 2"  </v>
          </cell>
          <cell r="C314" t="str">
            <v>UN</v>
          </cell>
          <cell r="E314">
            <v>0</v>
          </cell>
        </row>
        <row r="315">
          <cell r="A315">
            <v>296</v>
          </cell>
          <cell r="B315" t="str">
            <v xml:space="preserve">Tee PVC-RDE 21 de 3" x 3" x 3"  </v>
          </cell>
          <cell r="C315" t="str">
            <v>UN</v>
          </cell>
          <cell r="E315">
            <v>0</v>
          </cell>
        </row>
        <row r="316">
          <cell r="A316">
            <v>297</v>
          </cell>
          <cell r="B316" t="str">
            <v xml:space="preserve">Tee PVC-RDE 21 de 4" x 4" x 4"  </v>
          </cell>
          <cell r="C316" t="str">
            <v>UN</v>
          </cell>
          <cell r="E316">
            <v>0</v>
          </cell>
        </row>
        <row r="317">
          <cell r="A317">
            <v>360</v>
          </cell>
          <cell r="B317" t="str">
            <v>Tubo PVC  D = 6" sello hermético NTC 3722</v>
          </cell>
          <cell r="C317" t="str">
            <v>ML</v>
          </cell>
          <cell r="E317">
            <v>0</v>
          </cell>
        </row>
        <row r="318">
          <cell r="A318">
            <v>298</v>
          </cell>
          <cell r="B318" t="str">
            <v>Tubo PVC  D = 12" sello hermético NTC 3722</v>
          </cell>
          <cell r="C318" t="str">
            <v>ML</v>
          </cell>
          <cell r="E318">
            <v>0</v>
          </cell>
        </row>
        <row r="319">
          <cell r="A319">
            <v>299</v>
          </cell>
          <cell r="B319" t="str">
            <v>Tubo PVC  D = 16" sello hermético NTC 3722</v>
          </cell>
          <cell r="C319" t="str">
            <v>ML</v>
          </cell>
          <cell r="E319">
            <v>0</v>
          </cell>
        </row>
        <row r="320">
          <cell r="A320">
            <v>300</v>
          </cell>
          <cell r="B320" t="str">
            <v>Tubo PVC  D = 20" sello hermético NTC 3722</v>
          </cell>
          <cell r="C320" t="str">
            <v>ML</v>
          </cell>
          <cell r="E320">
            <v>0</v>
          </cell>
        </row>
        <row r="321">
          <cell r="A321">
            <v>301</v>
          </cell>
          <cell r="B321" t="str">
            <v>Tubo PVC  D = 24" sello hermético NTC 3722</v>
          </cell>
          <cell r="C321" t="str">
            <v>ML</v>
          </cell>
          <cell r="E321">
            <v>0</v>
          </cell>
        </row>
        <row r="322">
          <cell r="A322">
            <v>302</v>
          </cell>
          <cell r="B322" t="str">
            <v>Tubo PVC  D= 160mm, pared estructural y sello hermético</v>
          </cell>
          <cell r="C322" t="str">
            <v>ML</v>
          </cell>
          <cell r="D322">
            <v>21103.333333333332</v>
          </cell>
          <cell r="E322">
            <v>1266.1999999999998</v>
          </cell>
        </row>
        <row r="323">
          <cell r="A323">
            <v>303</v>
          </cell>
          <cell r="B323" t="str">
            <v>Tubo PVC  D= 315mm,  pared estructural y sello hermético</v>
          </cell>
          <cell r="C323" t="str">
            <v>ML</v>
          </cell>
          <cell r="D323">
            <v>65542</v>
          </cell>
          <cell r="E323">
            <v>3932.52</v>
          </cell>
        </row>
        <row r="324">
          <cell r="A324">
            <v>304</v>
          </cell>
          <cell r="B324" t="str">
            <v xml:space="preserve">Tubo PVC  RDE 21 D= 12" union mecanica </v>
          </cell>
          <cell r="C324" t="str">
            <v>ML</v>
          </cell>
          <cell r="E324">
            <v>0</v>
          </cell>
        </row>
        <row r="325">
          <cell r="A325">
            <v>305</v>
          </cell>
          <cell r="B325" t="str">
            <v xml:space="preserve">Tubo PVC  RDE 21 D= 16" union mecanica </v>
          </cell>
          <cell r="C325" t="str">
            <v>ML</v>
          </cell>
          <cell r="E325">
            <v>0</v>
          </cell>
        </row>
        <row r="326">
          <cell r="A326">
            <v>306</v>
          </cell>
          <cell r="B326" t="str">
            <v xml:space="preserve">Tubo PVC  RDE 21 D= 2" union mecanica </v>
          </cell>
          <cell r="C326" t="str">
            <v>ML</v>
          </cell>
          <cell r="E326">
            <v>0</v>
          </cell>
        </row>
        <row r="327">
          <cell r="A327">
            <v>307</v>
          </cell>
          <cell r="B327" t="str">
            <v xml:space="preserve">Tubo PVC  RDE 21 D= 3" union mecanica </v>
          </cell>
          <cell r="C327" t="str">
            <v>ML</v>
          </cell>
          <cell r="E327">
            <v>0</v>
          </cell>
        </row>
        <row r="328">
          <cell r="A328">
            <v>308</v>
          </cell>
          <cell r="B328" t="str">
            <v xml:space="preserve">Tubo PVC  RDE 21 D= 4" union mecanica </v>
          </cell>
          <cell r="C328" t="str">
            <v>ML</v>
          </cell>
          <cell r="E328">
            <v>0</v>
          </cell>
        </row>
        <row r="329">
          <cell r="A329">
            <v>309</v>
          </cell>
          <cell r="B329" t="str">
            <v xml:space="preserve">Tubo PVC  RDE 21 D= 8" union mecanica </v>
          </cell>
          <cell r="C329" t="str">
            <v>ML</v>
          </cell>
          <cell r="E329">
            <v>0</v>
          </cell>
        </row>
        <row r="330">
          <cell r="A330">
            <v>310</v>
          </cell>
          <cell r="B330" t="str">
            <v>Tubo PVC D= 21", pared estructural y sello hermético.</v>
          </cell>
          <cell r="C330" t="str">
            <v>ML</v>
          </cell>
          <cell r="E330">
            <v>0</v>
          </cell>
        </row>
        <row r="331">
          <cell r="A331">
            <v>311</v>
          </cell>
          <cell r="B331" t="str">
            <v>Tubo PVC D= 27", pared estructural y sello hermético.</v>
          </cell>
          <cell r="C331" t="str">
            <v>ML</v>
          </cell>
          <cell r="E331">
            <v>0</v>
          </cell>
        </row>
        <row r="332">
          <cell r="A332">
            <v>312</v>
          </cell>
          <cell r="B332" t="str">
            <v>Unión para Tubería PVC de pared estructural de 27"</v>
          </cell>
          <cell r="C332" t="str">
            <v>UN</v>
          </cell>
          <cell r="E332">
            <v>0</v>
          </cell>
        </row>
        <row r="333">
          <cell r="A333">
            <v>313</v>
          </cell>
          <cell r="B333" t="str">
            <v>Unión rápida PVC 12"  RDE 21</v>
          </cell>
          <cell r="C333" t="str">
            <v>UN</v>
          </cell>
          <cell r="E333">
            <v>0</v>
          </cell>
        </row>
        <row r="334">
          <cell r="A334">
            <v>314</v>
          </cell>
          <cell r="B334" t="str">
            <v>Unión rápida PVC 2"  RDE 21</v>
          </cell>
          <cell r="C334" t="str">
            <v>UN</v>
          </cell>
          <cell r="E334">
            <v>0</v>
          </cell>
        </row>
        <row r="335">
          <cell r="A335">
            <v>315</v>
          </cell>
          <cell r="B335" t="str">
            <v>Unión rápida PVC 3"  RDE 21</v>
          </cell>
          <cell r="C335" t="str">
            <v>UN</v>
          </cell>
          <cell r="E335">
            <v>0</v>
          </cell>
        </row>
        <row r="336">
          <cell r="A336">
            <v>316</v>
          </cell>
          <cell r="B336" t="str">
            <v>Unión rápida PVC 4"  RDE 21</v>
          </cell>
          <cell r="C336" t="str">
            <v>UN</v>
          </cell>
          <cell r="E336">
            <v>0</v>
          </cell>
        </row>
        <row r="337">
          <cell r="A337">
            <v>317</v>
          </cell>
          <cell r="B337" t="str">
            <v>Unión rápida PVC 6"  RDE 21</v>
          </cell>
          <cell r="C337" t="str">
            <v>UN</v>
          </cell>
          <cell r="E337">
            <v>0</v>
          </cell>
        </row>
        <row r="338">
          <cell r="A338">
            <v>318</v>
          </cell>
          <cell r="B338" t="str">
            <v>Unión rápida PVC 8"  RDE 21</v>
          </cell>
          <cell r="C338" t="str">
            <v>UN</v>
          </cell>
          <cell r="E338">
            <v>0</v>
          </cell>
        </row>
        <row r="339">
          <cell r="A339">
            <v>319</v>
          </cell>
          <cell r="B339" t="str">
            <v>Unión reparación PVC 3"  RDE 21</v>
          </cell>
          <cell r="C339" t="str">
            <v>UN</v>
          </cell>
          <cell r="E339">
            <v>0</v>
          </cell>
        </row>
        <row r="340">
          <cell r="A340">
            <v>320</v>
          </cell>
          <cell r="B340" t="str">
            <v>Unión reparación PVC 4"  RDE 21</v>
          </cell>
          <cell r="C340" t="str">
            <v>UN</v>
          </cell>
          <cell r="E340">
            <v>0</v>
          </cell>
        </row>
        <row r="341">
          <cell r="A341">
            <v>321</v>
          </cell>
          <cell r="B341" t="str">
            <v xml:space="preserve">Union Universal de 16" </v>
          </cell>
          <cell r="C341" t="str">
            <v>UN</v>
          </cell>
          <cell r="E341">
            <v>0</v>
          </cell>
        </row>
        <row r="342">
          <cell r="A342">
            <v>322</v>
          </cell>
          <cell r="B342" t="str">
            <v xml:space="preserve">Union Universal de 20" </v>
          </cell>
          <cell r="C342" t="str">
            <v>UN</v>
          </cell>
          <cell r="E342">
            <v>0</v>
          </cell>
        </row>
        <row r="343">
          <cell r="A343">
            <v>323</v>
          </cell>
          <cell r="B343" t="str">
            <v xml:space="preserve">Unión reparación PVC 6"  </v>
          </cell>
          <cell r="C343" t="str">
            <v>UN</v>
          </cell>
          <cell r="D343">
            <v>24288</v>
          </cell>
          <cell r="E343">
            <v>1457.28</v>
          </cell>
        </row>
        <row r="344">
          <cell r="A344">
            <v>324</v>
          </cell>
          <cell r="B344" t="str">
            <v xml:space="preserve">Codo de 90º PVC de 2" </v>
          </cell>
          <cell r="C344" t="str">
            <v>UN</v>
          </cell>
          <cell r="D344">
            <v>5500</v>
          </cell>
          <cell r="E344">
            <v>330</v>
          </cell>
        </row>
        <row r="345">
          <cell r="A345">
            <v>325</v>
          </cell>
          <cell r="B345" t="str">
            <v>Tubo de PVC 2"</v>
          </cell>
          <cell r="C345" t="str">
            <v>ML</v>
          </cell>
          <cell r="D345">
            <v>6787.333333333333</v>
          </cell>
          <cell r="E345">
            <v>407.23999999999995</v>
          </cell>
        </row>
        <row r="346">
          <cell r="A346">
            <v>326</v>
          </cell>
          <cell r="B346" t="str">
            <v>Unión PVC de 2"</v>
          </cell>
          <cell r="C346" t="str">
            <v>UN</v>
          </cell>
          <cell r="D346">
            <v>2200</v>
          </cell>
          <cell r="E346">
            <v>132</v>
          </cell>
        </row>
        <row r="347">
          <cell r="A347">
            <v>327</v>
          </cell>
          <cell r="B347" t="str">
            <v>Soldadura PVC 1/4 de Gal.</v>
          </cell>
          <cell r="C347" t="str">
            <v>UN</v>
          </cell>
          <cell r="D347">
            <v>49390</v>
          </cell>
          <cell r="E347">
            <v>2963.4</v>
          </cell>
        </row>
        <row r="348">
          <cell r="A348">
            <v>328</v>
          </cell>
          <cell r="B348" t="str">
            <v>Limpiador PVC 1/4 de Gal</v>
          </cell>
          <cell r="C348" t="str">
            <v>UN</v>
          </cell>
          <cell r="D348">
            <v>23707</v>
          </cell>
          <cell r="E348">
            <v>1422.4199999999998</v>
          </cell>
        </row>
        <row r="349">
          <cell r="A349">
            <v>329</v>
          </cell>
          <cell r="B349" t="str">
            <v>Sifon de Piso 2" PVC</v>
          </cell>
          <cell r="C349" t="str">
            <v>UN</v>
          </cell>
          <cell r="D349">
            <v>4000</v>
          </cell>
          <cell r="E349">
            <v>240</v>
          </cell>
        </row>
        <row r="350">
          <cell r="A350">
            <v>330</v>
          </cell>
          <cell r="B350" t="str">
            <v>Tubo de PVC 4"</v>
          </cell>
          <cell r="C350" t="str">
            <v>ML</v>
          </cell>
          <cell r="D350">
            <v>14129.666666666666</v>
          </cell>
          <cell r="E350">
            <v>847.78</v>
          </cell>
        </row>
        <row r="351">
          <cell r="A351">
            <v>331</v>
          </cell>
          <cell r="B351" t="str">
            <v>Unión PVC de 4"</v>
          </cell>
          <cell r="C351" t="str">
            <v>UN</v>
          </cell>
          <cell r="D351">
            <v>4200</v>
          </cell>
          <cell r="E351">
            <v>252</v>
          </cell>
        </row>
        <row r="352">
          <cell r="A352">
            <v>332</v>
          </cell>
          <cell r="B352" t="str">
            <v xml:space="preserve">Codo de 90º PVC de 4" </v>
          </cell>
          <cell r="C352" t="str">
            <v>UN</v>
          </cell>
          <cell r="D352">
            <v>8018</v>
          </cell>
          <cell r="E352">
            <v>481.08</v>
          </cell>
        </row>
        <row r="353">
          <cell r="A353">
            <v>333</v>
          </cell>
          <cell r="B353" t="str">
            <v>Tubo de PVC 6"</v>
          </cell>
          <cell r="C353" t="str">
            <v>ML</v>
          </cell>
          <cell r="D353">
            <v>29923.833333333332</v>
          </cell>
          <cell r="E353">
            <v>1795.4299999999998</v>
          </cell>
        </row>
        <row r="354">
          <cell r="A354">
            <v>334</v>
          </cell>
          <cell r="B354" t="str">
            <v>Codo reventilado 90 1/8º cxc PVC</v>
          </cell>
          <cell r="C354" t="str">
            <v>UN</v>
          </cell>
          <cell r="D354">
            <v>13682</v>
          </cell>
          <cell r="E354">
            <v>820.92</v>
          </cell>
        </row>
        <row r="355">
          <cell r="A355">
            <v>335</v>
          </cell>
          <cell r="B355" t="str">
            <v>Tubo de PVC 6" ALL</v>
          </cell>
          <cell r="C355" t="str">
            <v>ML</v>
          </cell>
          <cell r="D355">
            <v>20090.5</v>
          </cell>
          <cell r="E355">
            <v>1205.43</v>
          </cell>
        </row>
        <row r="356">
          <cell r="A356">
            <v>336</v>
          </cell>
          <cell r="B356" t="str">
            <v>Tubo de PVC 4" ALL</v>
          </cell>
          <cell r="C356" t="str">
            <v>ML</v>
          </cell>
          <cell r="D356">
            <v>9963</v>
          </cell>
          <cell r="E356">
            <v>597.78</v>
          </cell>
        </row>
        <row r="357">
          <cell r="A357">
            <v>337</v>
          </cell>
          <cell r="B357" t="str">
            <v>Tubo de PVC 2" ALL</v>
          </cell>
          <cell r="C357" t="str">
            <v>ML</v>
          </cell>
          <cell r="D357">
            <v>4980</v>
          </cell>
          <cell r="E357">
            <v>298.8</v>
          </cell>
        </row>
        <row r="358">
          <cell r="A358">
            <v>338</v>
          </cell>
          <cell r="B358" t="str">
            <v xml:space="preserve">Codo de 90º PVC de 1/2" </v>
          </cell>
          <cell r="C358" t="str">
            <v>UN</v>
          </cell>
          <cell r="D358">
            <v>500</v>
          </cell>
          <cell r="E358">
            <v>30</v>
          </cell>
        </row>
        <row r="359">
          <cell r="A359">
            <v>339</v>
          </cell>
          <cell r="B359" t="str">
            <v>Tubo de PVC 1/2"</v>
          </cell>
          <cell r="C359" t="str">
            <v>ML</v>
          </cell>
          <cell r="D359">
            <v>900</v>
          </cell>
          <cell r="E359">
            <v>54</v>
          </cell>
        </row>
        <row r="360">
          <cell r="A360">
            <v>340</v>
          </cell>
          <cell r="B360" t="str">
            <v>Unión PVC de 1/2"</v>
          </cell>
          <cell r="C360" t="str">
            <v>UN</v>
          </cell>
          <cell r="D360">
            <v>350</v>
          </cell>
          <cell r="E360">
            <v>21</v>
          </cell>
        </row>
        <row r="361">
          <cell r="A361">
            <v>341</v>
          </cell>
          <cell r="B361" t="str">
            <v>Registro de 1/2"</v>
          </cell>
          <cell r="C361" t="str">
            <v>UN</v>
          </cell>
          <cell r="D361">
            <v>12500</v>
          </cell>
          <cell r="E361">
            <v>750</v>
          </cell>
        </row>
        <row r="362">
          <cell r="A362">
            <v>342</v>
          </cell>
          <cell r="B362" t="str">
            <v>Tanque plastico de 1000 litros</v>
          </cell>
          <cell r="C362" t="str">
            <v>UN</v>
          </cell>
          <cell r="D362">
            <v>180000</v>
          </cell>
          <cell r="E362">
            <v>10800</v>
          </cell>
        </row>
        <row r="363">
          <cell r="A363">
            <v>343</v>
          </cell>
          <cell r="B363" t="str">
            <v>Tee de PVC 1/2"</v>
          </cell>
          <cell r="C363" t="str">
            <v>UN</v>
          </cell>
          <cell r="D363">
            <v>650</v>
          </cell>
          <cell r="E363">
            <v>39</v>
          </cell>
        </row>
        <row r="364">
          <cell r="A364">
            <v>344</v>
          </cell>
          <cell r="B364" t="str">
            <v>Adaptador macho 1/2"</v>
          </cell>
          <cell r="C364" t="str">
            <v>UN</v>
          </cell>
          <cell r="D364">
            <v>400</v>
          </cell>
          <cell r="E364">
            <v>24</v>
          </cell>
        </row>
        <row r="365">
          <cell r="A365">
            <v>345</v>
          </cell>
          <cell r="B365" t="str">
            <v>Adaptador hembra 1/2"</v>
          </cell>
          <cell r="C365" t="str">
            <v>UN</v>
          </cell>
          <cell r="D365">
            <v>350</v>
          </cell>
          <cell r="E365">
            <v>21</v>
          </cell>
        </row>
        <row r="366">
          <cell r="A366">
            <v>346</v>
          </cell>
          <cell r="B366" t="str">
            <v>Llave terminal</v>
          </cell>
          <cell r="C366" t="str">
            <v>UN</v>
          </cell>
          <cell r="D366">
            <v>4000</v>
          </cell>
          <cell r="E366">
            <v>240</v>
          </cell>
        </row>
        <row r="367">
          <cell r="A367">
            <v>347</v>
          </cell>
          <cell r="B367" t="str">
            <v>Tubo de PVC 1/2" agujerada</v>
          </cell>
          <cell r="C367" t="str">
            <v>ML</v>
          </cell>
          <cell r="D367">
            <v>2860</v>
          </cell>
          <cell r="E367">
            <v>171.6</v>
          </cell>
        </row>
        <row r="368">
          <cell r="A368">
            <v>348</v>
          </cell>
          <cell r="E368">
            <v>0</v>
          </cell>
        </row>
        <row r="369">
          <cell r="A369">
            <v>349</v>
          </cell>
          <cell r="E369">
            <v>0</v>
          </cell>
        </row>
        <row r="370">
          <cell r="A370">
            <v>350</v>
          </cell>
          <cell r="E370">
            <v>0</v>
          </cell>
        </row>
        <row r="371">
          <cell r="A371">
            <v>351</v>
          </cell>
          <cell r="E371">
            <v>0</v>
          </cell>
        </row>
        <row r="372">
          <cell r="A372">
            <v>352</v>
          </cell>
          <cell r="E372">
            <v>0</v>
          </cell>
        </row>
        <row r="373">
          <cell r="A373">
            <v>353</v>
          </cell>
          <cell r="E373">
            <v>0</v>
          </cell>
        </row>
        <row r="374">
          <cell r="A374">
            <v>354</v>
          </cell>
          <cell r="E374">
            <v>0</v>
          </cell>
        </row>
        <row r="375">
          <cell r="A375">
            <v>355</v>
          </cell>
          <cell r="E375">
            <v>0</v>
          </cell>
        </row>
        <row r="376">
          <cell r="A376">
            <v>356</v>
          </cell>
          <cell r="E376">
            <v>0</v>
          </cell>
        </row>
        <row r="377">
          <cell r="A377">
            <v>357</v>
          </cell>
          <cell r="E377">
            <v>0</v>
          </cell>
        </row>
        <row r="378">
          <cell r="A378">
            <v>358</v>
          </cell>
          <cell r="E378">
            <v>0</v>
          </cell>
        </row>
        <row r="379">
          <cell r="A379">
            <v>359</v>
          </cell>
          <cell r="E379">
            <v>0</v>
          </cell>
        </row>
        <row r="380">
          <cell r="A380">
            <v>360</v>
          </cell>
          <cell r="E380">
            <v>0</v>
          </cell>
        </row>
        <row r="382">
          <cell r="A382" t="str">
            <v>REF.</v>
          </cell>
          <cell r="B382" t="str">
            <v>MATERIAL DE PINTURAS</v>
          </cell>
          <cell r="C382" t="str">
            <v>UNIDAD</v>
          </cell>
          <cell r="D382" t="str">
            <v>PRECIO</v>
          </cell>
          <cell r="E382" t="str">
            <v>TRANSPORTE</v>
          </cell>
        </row>
        <row r="384">
          <cell r="A384">
            <v>361</v>
          </cell>
          <cell r="B384" t="str">
            <v>Graniplast</v>
          </cell>
          <cell r="C384" t="str">
            <v>KG</v>
          </cell>
          <cell r="D384">
            <v>1600</v>
          </cell>
          <cell r="E384">
            <v>96</v>
          </cell>
        </row>
        <row r="385">
          <cell r="A385">
            <v>362</v>
          </cell>
          <cell r="B385" t="str">
            <v>Pintura en esmalte</v>
          </cell>
          <cell r="C385" t="str">
            <v>GL</v>
          </cell>
          <cell r="D385">
            <v>39000</v>
          </cell>
          <cell r="E385">
            <v>2340</v>
          </cell>
        </row>
        <row r="386">
          <cell r="A386">
            <v>363</v>
          </cell>
          <cell r="B386" t="str">
            <v>Solvente para esmalte</v>
          </cell>
          <cell r="C386" t="str">
            <v>GL</v>
          </cell>
          <cell r="D386">
            <v>6000</v>
          </cell>
          <cell r="E386">
            <v>360</v>
          </cell>
        </row>
        <row r="387">
          <cell r="A387">
            <v>364</v>
          </cell>
          <cell r="B387" t="str">
            <v>Anticoorosivo</v>
          </cell>
          <cell r="C387" t="str">
            <v>Gl</v>
          </cell>
          <cell r="D387">
            <v>36000</v>
          </cell>
          <cell r="E387">
            <v>2160</v>
          </cell>
        </row>
        <row r="388">
          <cell r="A388">
            <v>365</v>
          </cell>
          <cell r="B388" t="str">
            <v>Vinilo tipo 1</v>
          </cell>
          <cell r="C388" t="str">
            <v>Gl</v>
          </cell>
          <cell r="D388">
            <v>47000</v>
          </cell>
          <cell r="E388">
            <v>2820</v>
          </cell>
        </row>
        <row r="389">
          <cell r="A389">
            <v>366</v>
          </cell>
          <cell r="B389" t="str">
            <v>CINTA DE ENMASCARAR</v>
          </cell>
          <cell r="C389" t="str">
            <v>UND</v>
          </cell>
          <cell r="D389">
            <v>4000</v>
          </cell>
          <cell r="E389">
            <v>240</v>
          </cell>
        </row>
        <row r="390">
          <cell r="A390">
            <v>367</v>
          </cell>
          <cell r="E390">
            <v>0</v>
          </cell>
        </row>
        <row r="391">
          <cell r="A391">
            <v>368</v>
          </cell>
          <cell r="E391">
            <v>0</v>
          </cell>
        </row>
        <row r="392">
          <cell r="A392">
            <v>369</v>
          </cell>
          <cell r="E392">
            <v>0</v>
          </cell>
        </row>
        <row r="393">
          <cell r="A393">
            <v>370</v>
          </cell>
          <cell r="E393">
            <v>0</v>
          </cell>
        </row>
        <row r="394">
          <cell r="A394">
            <v>371</v>
          </cell>
          <cell r="E394">
            <v>0</v>
          </cell>
        </row>
        <row r="395">
          <cell r="A395">
            <v>372</v>
          </cell>
          <cell r="E395">
            <v>0</v>
          </cell>
        </row>
        <row r="396">
          <cell r="A396">
            <v>373</v>
          </cell>
          <cell r="E396">
            <v>0</v>
          </cell>
        </row>
        <row r="397">
          <cell r="A397">
            <v>374</v>
          </cell>
          <cell r="E397">
            <v>0</v>
          </cell>
        </row>
        <row r="398">
          <cell r="A398">
            <v>375</v>
          </cell>
          <cell r="E398">
            <v>0</v>
          </cell>
        </row>
        <row r="399">
          <cell r="A399">
            <v>376</v>
          </cell>
          <cell r="E399">
            <v>0</v>
          </cell>
        </row>
        <row r="400">
          <cell r="A400">
            <v>377</v>
          </cell>
          <cell r="E400">
            <v>0</v>
          </cell>
        </row>
        <row r="401">
          <cell r="A401">
            <v>378</v>
          </cell>
          <cell r="E401">
            <v>0</v>
          </cell>
        </row>
        <row r="402">
          <cell r="A402">
            <v>379</v>
          </cell>
          <cell r="E402">
            <v>0</v>
          </cell>
        </row>
        <row r="403">
          <cell r="A403">
            <v>380</v>
          </cell>
          <cell r="E403">
            <v>0</v>
          </cell>
        </row>
        <row r="404">
          <cell r="A404">
            <v>381</v>
          </cell>
          <cell r="E404">
            <v>0</v>
          </cell>
        </row>
        <row r="405">
          <cell r="A405">
            <v>382</v>
          </cell>
          <cell r="E405">
            <v>0</v>
          </cell>
        </row>
        <row r="406">
          <cell r="A406">
            <v>383</v>
          </cell>
          <cell r="E406">
            <v>0</v>
          </cell>
        </row>
        <row r="407">
          <cell r="A407">
            <v>384</v>
          </cell>
          <cell r="E407">
            <v>0</v>
          </cell>
        </row>
        <row r="408">
          <cell r="A408">
            <v>385</v>
          </cell>
          <cell r="E408">
            <v>0</v>
          </cell>
        </row>
        <row r="409">
          <cell r="A409">
            <v>386</v>
          </cell>
          <cell r="E409">
            <v>0</v>
          </cell>
        </row>
        <row r="410">
          <cell r="A410">
            <v>387</v>
          </cell>
          <cell r="E410">
            <v>0</v>
          </cell>
        </row>
        <row r="411">
          <cell r="A411">
            <v>388</v>
          </cell>
          <cell r="E411">
            <v>0</v>
          </cell>
        </row>
        <row r="412">
          <cell r="A412">
            <v>389</v>
          </cell>
          <cell r="E412">
            <v>0</v>
          </cell>
        </row>
        <row r="413">
          <cell r="A413">
            <v>390</v>
          </cell>
          <cell r="E413">
            <v>0</v>
          </cell>
        </row>
        <row r="415">
          <cell r="A415" t="str">
            <v>REF.</v>
          </cell>
          <cell r="B415" t="str">
            <v>MATERIAL VARIOS</v>
          </cell>
          <cell r="C415" t="str">
            <v>UNIDAD</v>
          </cell>
          <cell r="D415" t="str">
            <v>PRECIO</v>
          </cell>
          <cell r="E415" t="str">
            <v>TRANSPORTE</v>
          </cell>
        </row>
        <row r="417">
          <cell r="A417">
            <v>391</v>
          </cell>
          <cell r="B417" t="str">
            <v>Agua</v>
          </cell>
          <cell r="C417" t="str">
            <v>LT</v>
          </cell>
          <cell r="D417">
            <v>10</v>
          </cell>
          <cell r="E417">
            <v>0.6</v>
          </cell>
        </row>
        <row r="418">
          <cell r="A418">
            <v>392</v>
          </cell>
          <cell r="B418" t="str">
            <v>Arbol nativo, h &gt; 1,50 mts.</v>
          </cell>
          <cell r="C418" t="str">
            <v>UN</v>
          </cell>
          <cell r="D418">
            <v>20000</v>
          </cell>
          <cell r="E418">
            <v>1200</v>
          </cell>
        </row>
        <row r="419">
          <cell r="A419">
            <v>393</v>
          </cell>
          <cell r="B419" t="str">
            <v xml:space="preserve">Cemento asfáltico grado de penetraciòn 80-100 (debe cumplir con especificación INVIAS, art.410/02). </v>
          </cell>
          <cell r="C419" t="str">
            <v>GL</v>
          </cell>
          <cell r="D419">
            <v>4500</v>
          </cell>
          <cell r="E419">
            <v>270</v>
          </cell>
        </row>
        <row r="420">
          <cell r="A420">
            <v>394</v>
          </cell>
          <cell r="B420" t="str">
            <v>Cemento asfaltico para bacheo tipo MDC-0 debe cumplir especificaciòn INVIAS art.450/02.E=0.05</v>
          </cell>
          <cell r="C420" t="str">
            <v>M3</v>
          </cell>
          <cell r="D420">
            <v>227000</v>
          </cell>
          <cell r="E420">
            <v>13620</v>
          </cell>
        </row>
        <row r="421">
          <cell r="A421">
            <v>395</v>
          </cell>
          <cell r="B421" t="str">
            <v>Digitacion de plano, incluye impresión</v>
          </cell>
          <cell r="C421" t="str">
            <v>UN</v>
          </cell>
          <cell r="D421">
            <v>80000</v>
          </cell>
          <cell r="E421">
            <v>4800</v>
          </cell>
        </row>
        <row r="422">
          <cell r="A422">
            <v>396</v>
          </cell>
          <cell r="B422" t="str">
            <v>Imprimante para via</v>
          </cell>
          <cell r="C422" t="str">
            <v>LT</v>
          </cell>
          <cell r="D422">
            <v>920</v>
          </cell>
          <cell r="E422">
            <v>55.199999999999996</v>
          </cell>
        </row>
        <row r="423">
          <cell r="A423">
            <v>397</v>
          </cell>
          <cell r="B423" t="str">
            <v>Kit Silla Yee 300x160mm.  Incluye: silla yee, abrazadera y empaque de caucho.</v>
          </cell>
          <cell r="C423" t="str">
            <v>UN</v>
          </cell>
          <cell r="D423">
            <v>88941</v>
          </cell>
          <cell r="E423">
            <v>5336.46</v>
          </cell>
        </row>
        <row r="424">
          <cell r="A424">
            <v>398</v>
          </cell>
          <cell r="B424" t="str">
            <v>Mogador informativo</v>
          </cell>
          <cell r="C424" t="str">
            <v>UN</v>
          </cell>
          <cell r="D424">
            <v>2450000</v>
          </cell>
          <cell r="E424">
            <v>147000</v>
          </cell>
        </row>
        <row r="425">
          <cell r="A425">
            <v>399</v>
          </cell>
          <cell r="B425" t="str">
            <v>Polipropileno de color</v>
          </cell>
          <cell r="C425" t="str">
            <v>M2</v>
          </cell>
          <cell r="D425">
            <v>1900</v>
          </cell>
          <cell r="E425">
            <v>114</v>
          </cell>
        </row>
        <row r="426">
          <cell r="A426">
            <v>400</v>
          </cell>
          <cell r="B426" t="str">
            <v>Señalización horizontal: Flecha con microesfera marca 3M al 60% con pintura reflectiva tipo T. P., según norma INVIAS</v>
          </cell>
          <cell r="C426" t="str">
            <v>UN</v>
          </cell>
          <cell r="D426">
            <v>28000</v>
          </cell>
          <cell r="E426">
            <v>1680</v>
          </cell>
        </row>
        <row r="427">
          <cell r="A427">
            <v>401</v>
          </cell>
          <cell r="B427" t="str">
            <v>Señalización horizontal: Linea de cebra con microesfera marca 3M al 60% con pintura reflectiva tipo T. P., según norma INVIAS</v>
          </cell>
          <cell r="C427" t="str">
            <v>ML</v>
          </cell>
          <cell r="D427">
            <v>5000</v>
          </cell>
          <cell r="E427">
            <v>300</v>
          </cell>
        </row>
        <row r="428">
          <cell r="A428">
            <v>402</v>
          </cell>
          <cell r="B428" t="str">
            <v>Señalización Vertical: Señal preventiva o reglamentaria; en angulo 2" x 2" x 1/4", según norma INVIAS</v>
          </cell>
          <cell r="C428" t="str">
            <v>UN</v>
          </cell>
          <cell r="D428">
            <v>250000</v>
          </cell>
          <cell r="E428">
            <v>15000</v>
          </cell>
        </row>
        <row r="429">
          <cell r="A429">
            <v>403</v>
          </cell>
          <cell r="B429" t="str">
            <v>Impermeabilizante SIKA</v>
          </cell>
          <cell r="C429" t="str">
            <v>Kg</v>
          </cell>
          <cell r="D429">
            <v>68900</v>
          </cell>
          <cell r="E429">
            <v>4134</v>
          </cell>
        </row>
        <row r="430">
          <cell r="A430">
            <v>404</v>
          </cell>
          <cell r="B430" t="str">
            <v>Lavamanos Institucional Briggs</v>
          </cell>
          <cell r="C430" t="str">
            <v>UN</v>
          </cell>
          <cell r="D430">
            <v>130000</v>
          </cell>
          <cell r="E430">
            <v>7800</v>
          </cell>
        </row>
        <row r="431">
          <cell r="A431">
            <v>405</v>
          </cell>
          <cell r="B431" t="str">
            <v>Sanitario</v>
          </cell>
          <cell r="C431" t="str">
            <v>GL</v>
          </cell>
          <cell r="D431">
            <v>112000</v>
          </cell>
          <cell r="E431">
            <v>6720</v>
          </cell>
        </row>
        <row r="432">
          <cell r="A432">
            <v>406</v>
          </cell>
          <cell r="B432" t="str">
            <v>Juego de cancha multiple en tuberia de 2"</v>
          </cell>
          <cell r="C432" t="str">
            <v>GL</v>
          </cell>
          <cell r="D432">
            <v>3600000</v>
          </cell>
          <cell r="E432">
            <v>216000</v>
          </cell>
        </row>
        <row r="433">
          <cell r="A433">
            <v>407</v>
          </cell>
          <cell r="B433" t="str">
            <v>Vidrio liso 4 mm</v>
          </cell>
          <cell r="C433" t="str">
            <v>M2</v>
          </cell>
          <cell r="D433">
            <v>21500</v>
          </cell>
          <cell r="E433">
            <v>1290</v>
          </cell>
        </row>
        <row r="434">
          <cell r="A434">
            <v>408</v>
          </cell>
          <cell r="B434" t="str">
            <v>Vidrio templado de 5 mm</v>
          </cell>
          <cell r="C434" t="str">
            <v>M2</v>
          </cell>
          <cell r="D434">
            <v>23400</v>
          </cell>
          <cell r="E434">
            <v>1404</v>
          </cell>
        </row>
        <row r="435">
          <cell r="A435">
            <v>409</v>
          </cell>
          <cell r="E435">
            <v>0</v>
          </cell>
        </row>
        <row r="436">
          <cell r="A436">
            <v>410</v>
          </cell>
          <cell r="E436">
            <v>0</v>
          </cell>
        </row>
        <row r="437">
          <cell r="A437">
            <v>411</v>
          </cell>
          <cell r="E437">
            <v>0</v>
          </cell>
        </row>
        <row r="438">
          <cell r="A438">
            <v>412</v>
          </cell>
          <cell r="E438">
            <v>0</v>
          </cell>
        </row>
        <row r="439">
          <cell r="A439">
            <v>413</v>
          </cell>
          <cell r="E439">
            <v>0</v>
          </cell>
        </row>
        <row r="440">
          <cell r="A440">
            <v>414</v>
          </cell>
          <cell r="E440">
            <v>0</v>
          </cell>
        </row>
        <row r="441">
          <cell r="A441">
            <v>415</v>
          </cell>
          <cell r="E441">
            <v>0</v>
          </cell>
        </row>
        <row r="442">
          <cell r="A442">
            <v>416</v>
          </cell>
          <cell r="E442">
            <v>0</v>
          </cell>
        </row>
        <row r="443">
          <cell r="A443">
            <v>417</v>
          </cell>
          <cell r="E443">
            <v>0</v>
          </cell>
        </row>
        <row r="444">
          <cell r="A444">
            <v>418</v>
          </cell>
          <cell r="E444">
            <v>0</v>
          </cell>
        </row>
        <row r="445">
          <cell r="A445">
            <v>419</v>
          </cell>
          <cell r="E445">
            <v>0</v>
          </cell>
        </row>
        <row r="446">
          <cell r="A446">
            <v>420</v>
          </cell>
          <cell r="E446">
            <v>0</v>
          </cell>
        </row>
        <row r="447">
          <cell r="A447">
            <v>421</v>
          </cell>
          <cell r="E447">
            <v>0</v>
          </cell>
        </row>
        <row r="448">
          <cell r="A448">
            <v>422</v>
          </cell>
          <cell r="E448">
            <v>0</v>
          </cell>
        </row>
        <row r="449">
          <cell r="A449">
            <v>423</v>
          </cell>
          <cell r="E449">
            <v>0</v>
          </cell>
        </row>
        <row r="450">
          <cell r="A450">
            <v>424</v>
          </cell>
          <cell r="E450">
            <v>0</v>
          </cell>
        </row>
        <row r="451">
          <cell r="A451">
            <v>425</v>
          </cell>
          <cell r="E451">
            <v>0</v>
          </cell>
        </row>
        <row r="452">
          <cell r="A452">
            <v>426</v>
          </cell>
          <cell r="E452">
            <v>0</v>
          </cell>
        </row>
        <row r="453">
          <cell r="A453">
            <v>427</v>
          </cell>
          <cell r="E453">
            <v>0</v>
          </cell>
        </row>
        <row r="454">
          <cell r="A454">
            <v>428</v>
          </cell>
          <cell r="E454">
            <v>0</v>
          </cell>
        </row>
        <row r="455">
          <cell r="A455">
            <v>429</v>
          </cell>
          <cell r="E455">
            <v>0</v>
          </cell>
        </row>
        <row r="456">
          <cell r="A456">
            <v>430</v>
          </cell>
          <cell r="E456">
            <v>0</v>
          </cell>
        </row>
        <row r="457">
          <cell r="A457">
            <v>431</v>
          </cell>
          <cell r="E457">
            <v>0</v>
          </cell>
        </row>
        <row r="458">
          <cell r="A458">
            <v>432</v>
          </cell>
          <cell r="E458">
            <v>0</v>
          </cell>
        </row>
        <row r="459">
          <cell r="A459">
            <v>433</v>
          </cell>
          <cell r="E459">
            <v>0</v>
          </cell>
        </row>
        <row r="460">
          <cell r="A460">
            <v>434</v>
          </cell>
          <cell r="E460">
            <v>0</v>
          </cell>
        </row>
        <row r="461">
          <cell r="A461">
            <v>435</v>
          </cell>
          <cell r="E461">
            <v>0</v>
          </cell>
        </row>
        <row r="462">
          <cell r="A462">
            <v>436</v>
          </cell>
          <cell r="E462">
            <v>0</v>
          </cell>
        </row>
        <row r="463">
          <cell r="A463">
            <v>437</v>
          </cell>
          <cell r="E463">
            <v>0</v>
          </cell>
        </row>
        <row r="464">
          <cell r="A464">
            <v>438</v>
          </cell>
          <cell r="E464">
            <v>0</v>
          </cell>
        </row>
        <row r="465">
          <cell r="A465">
            <v>439</v>
          </cell>
          <cell r="E465">
            <v>0</v>
          </cell>
        </row>
        <row r="466">
          <cell r="A466">
            <v>440</v>
          </cell>
          <cell r="E466">
            <v>0</v>
          </cell>
        </row>
        <row r="467">
          <cell r="A467">
            <v>441</v>
          </cell>
          <cell r="E467">
            <v>0</v>
          </cell>
        </row>
        <row r="468">
          <cell r="A468">
            <v>442</v>
          </cell>
          <cell r="E468">
            <v>0</v>
          </cell>
        </row>
        <row r="469">
          <cell r="A469">
            <v>443</v>
          </cell>
          <cell r="E469">
            <v>0</v>
          </cell>
        </row>
        <row r="470">
          <cell r="A470">
            <v>444</v>
          </cell>
          <cell r="E470">
            <v>0</v>
          </cell>
        </row>
        <row r="471">
          <cell r="A471">
            <v>445</v>
          </cell>
          <cell r="E471">
            <v>0</v>
          </cell>
        </row>
        <row r="472">
          <cell r="A472">
            <v>446</v>
          </cell>
          <cell r="E472">
            <v>0</v>
          </cell>
        </row>
        <row r="473">
          <cell r="A473">
            <v>447</v>
          </cell>
          <cell r="E473">
            <v>0</v>
          </cell>
        </row>
        <row r="474">
          <cell r="A474">
            <v>448</v>
          </cell>
          <cell r="E474">
            <v>0</v>
          </cell>
        </row>
        <row r="475">
          <cell r="A475">
            <v>449</v>
          </cell>
          <cell r="E475">
            <v>0</v>
          </cell>
        </row>
        <row r="476">
          <cell r="A476">
            <v>450</v>
          </cell>
          <cell r="E476">
            <v>0</v>
          </cell>
        </row>
        <row r="478">
          <cell r="A478" t="str">
            <v>REF.</v>
          </cell>
          <cell r="B478" t="str">
            <v>MATERIAL CARPINTERIA METALICA</v>
          </cell>
          <cell r="C478" t="str">
            <v>UNIDAD</v>
          </cell>
          <cell r="D478" t="str">
            <v>PRECIO</v>
          </cell>
          <cell r="E478" t="str">
            <v>TRANSPORTE</v>
          </cell>
        </row>
        <row r="480">
          <cell r="A480">
            <v>451</v>
          </cell>
          <cell r="B480" t="str">
            <v>Alambre Negro</v>
          </cell>
          <cell r="C480" t="str">
            <v>KG</v>
          </cell>
          <cell r="D480">
            <v>1500</v>
          </cell>
          <cell r="E480">
            <v>90</v>
          </cell>
        </row>
        <row r="481">
          <cell r="A481">
            <v>452</v>
          </cell>
          <cell r="B481" t="str">
            <v>Angulo (según diseño)</v>
          </cell>
          <cell r="C481" t="str">
            <v>KG</v>
          </cell>
          <cell r="D481">
            <v>3100</v>
          </cell>
          <cell r="E481">
            <v>186</v>
          </cell>
        </row>
        <row r="482">
          <cell r="A482">
            <v>453</v>
          </cell>
          <cell r="B482" t="str">
            <v>Angulo 3/16"x2"</v>
          </cell>
          <cell r="C482" t="str">
            <v>ML</v>
          </cell>
          <cell r="D482">
            <v>10100</v>
          </cell>
          <cell r="E482">
            <v>606</v>
          </cell>
        </row>
        <row r="483">
          <cell r="A483">
            <v>454</v>
          </cell>
          <cell r="B483" t="str">
            <v>Angulo de 1"x1/8"</v>
          </cell>
          <cell r="C483" t="str">
            <v>ML</v>
          </cell>
          <cell r="D483">
            <v>1950</v>
          </cell>
          <cell r="E483">
            <v>117</v>
          </cell>
        </row>
        <row r="484">
          <cell r="A484">
            <v>455</v>
          </cell>
          <cell r="B484" t="str">
            <v>Angulo de 1"x1/8"</v>
          </cell>
          <cell r="C484" t="str">
            <v>ML</v>
          </cell>
          <cell r="D484">
            <v>2000</v>
          </cell>
          <cell r="E484">
            <v>120</v>
          </cell>
        </row>
        <row r="485">
          <cell r="A485">
            <v>456</v>
          </cell>
          <cell r="B485" t="str">
            <v>Angulo de 11/2" x 3/16</v>
          </cell>
          <cell r="C485" t="str">
            <v>ML</v>
          </cell>
          <cell r="D485">
            <v>6400</v>
          </cell>
          <cell r="E485">
            <v>384</v>
          </cell>
        </row>
        <row r="486">
          <cell r="A486">
            <v>457</v>
          </cell>
          <cell r="B486" t="str">
            <v>Angulo de 11/2"x1/8"</v>
          </cell>
          <cell r="C486" t="str">
            <v>ML</v>
          </cell>
          <cell r="D486">
            <v>6500</v>
          </cell>
          <cell r="E486">
            <v>390</v>
          </cell>
        </row>
        <row r="487">
          <cell r="A487">
            <v>458</v>
          </cell>
          <cell r="B487" t="str">
            <v>Angulo de 2 1/2" x 1/4</v>
          </cell>
          <cell r="C487" t="str">
            <v>ML</v>
          </cell>
          <cell r="D487">
            <v>13300</v>
          </cell>
          <cell r="E487">
            <v>798</v>
          </cell>
        </row>
        <row r="488">
          <cell r="A488">
            <v>459</v>
          </cell>
          <cell r="B488" t="str">
            <v>Angulo de 3/4"x1/8"</v>
          </cell>
          <cell r="C488" t="str">
            <v>ML</v>
          </cell>
          <cell r="D488">
            <v>1450</v>
          </cell>
          <cell r="E488">
            <v>87</v>
          </cell>
        </row>
        <row r="489">
          <cell r="A489">
            <v>460</v>
          </cell>
          <cell r="B489" t="str">
            <v>Anticorrosivo</v>
          </cell>
          <cell r="C489" t="str">
            <v>GL</v>
          </cell>
          <cell r="D489">
            <v>30000</v>
          </cell>
          <cell r="E489">
            <v>1800</v>
          </cell>
        </row>
        <row r="490">
          <cell r="A490">
            <v>461</v>
          </cell>
          <cell r="B490" t="str">
            <v xml:space="preserve">Arena </v>
          </cell>
          <cell r="C490" t="str">
            <v>M3</v>
          </cell>
          <cell r="D490">
            <v>35000</v>
          </cell>
          <cell r="E490">
            <v>2100</v>
          </cell>
        </row>
        <row r="491">
          <cell r="A491">
            <v>462</v>
          </cell>
          <cell r="B491" t="str">
            <v>Basculante tipo mariposa</v>
          </cell>
          <cell r="C491" t="str">
            <v>UN</v>
          </cell>
          <cell r="D491">
            <v>600</v>
          </cell>
          <cell r="E491">
            <v>36</v>
          </cell>
        </row>
        <row r="492">
          <cell r="A492">
            <v>463</v>
          </cell>
          <cell r="B492" t="str">
            <v>Bisagra cobre 3"</v>
          </cell>
          <cell r="C492" t="str">
            <v>UN</v>
          </cell>
          <cell r="D492">
            <v>750</v>
          </cell>
          <cell r="E492">
            <v>45</v>
          </cell>
        </row>
        <row r="493">
          <cell r="A493">
            <v>464</v>
          </cell>
          <cell r="B493" t="str">
            <v>Bisagra de 1/2"</v>
          </cell>
          <cell r="C493" t="str">
            <v>UN</v>
          </cell>
          <cell r="D493">
            <v>350</v>
          </cell>
          <cell r="E493">
            <v>21</v>
          </cell>
        </row>
        <row r="494">
          <cell r="A494">
            <v>465</v>
          </cell>
          <cell r="B494" t="str">
            <v>Bisagra de 5/8"</v>
          </cell>
          <cell r="C494" t="str">
            <v>UN</v>
          </cell>
          <cell r="D494">
            <v>500</v>
          </cell>
          <cell r="E494">
            <v>30</v>
          </cell>
        </row>
        <row r="495">
          <cell r="A495">
            <v>466</v>
          </cell>
          <cell r="B495" t="str">
            <v xml:space="preserve">Cemento Gris </v>
          </cell>
          <cell r="C495" t="str">
            <v>Saco</v>
          </cell>
          <cell r="D495">
            <v>12000</v>
          </cell>
          <cell r="E495">
            <v>720</v>
          </cell>
        </row>
        <row r="496">
          <cell r="A496">
            <v>467</v>
          </cell>
          <cell r="B496" t="str">
            <v>Chapa marca Vera sencilla</v>
          </cell>
          <cell r="C496" t="str">
            <v>UN</v>
          </cell>
          <cell r="D496">
            <v>18000</v>
          </cell>
          <cell r="E496">
            <v>1080</v>
          </cell>
        </row>
        <row r="497">
          <cell r="A497">
            <v>468</v>
          </cell>
          <cell r="B497" t="str">
            <v>Chapa marca Vera sencilla</v>
          </cell>
          <cell r="C497" t="str">
            <v>UN</v>
          </cell>
          <cell r="D497">
            <v>25200</v>
          </cell>
          <cell r="E497">
            <v>1512</v>
          </cell>
        </row>
        <row r="498">
          <cell r="A498">
            <v>469</v>
          </cell>
          <cell r="B498" t="str">
            <v>Correa tipo canal</v>
          </cell>
          <cell r="C498" t="str">
            <v>ML</v>
          </cell>
          <cell r="D498">
            <v>6600</v>
          </cell>
          <cell r="E498">
            <v>396</v>
          </cell>
        </row>
        <row r="499">
          <cell r="A499">
            <v>470</v>
          </cell>
          <cell r="B499" t="str">
            <v>Corredera</v>
          </cell>
          <cell r="C499" t="str">
            <v>UN</v>
          </cell>
          <cell r="D499">
            <v>1200</v>
          </cell>
          <cell r="E499">
            <v>72</v>
          </cell>
        </row>
        <row r="500">
          <cell r="A500">
            <v>471</v>
          </cell>
          <cell r="B500" t="str">
            <v>Corredera</v>
          </cell>
          <cell r="C500" t="str">
            <v>UN</v>
          </cell>
          <cell r="D500">
            <v>2500</v>
          </cell>
          <cell r="E500">
            <v>150</v>
          </cell>
        </row>
        <row r="501">
          <cell r="A501">
            <v>472</v>
          </cell>
          <cell r="B501" t="str">
            <v>Equipo electrico soldadura</v>
          </cell>
          <cell r="C501" t="str">
            <v>DIA</v>
          </cell>
          <cell r="D501">
            <v>30000</v>
          </cell>
          <cell r="E501">
            <v>1800</v>
          </cell>
        </row>
        <row r="502">
          <cell r="A502">
            <v>473</v>
          </cell>
          <cell r="B502" t="str">
            <v>Gasolina</v>
          </cell>
          <cell r="C502" t="str">
            <v>GL</v>
          </cell>
          <cell r="D502">
            <v>6000</v>
          </cell>
          <cell r="E502">
            <v>360</v>
          </cell>
        </row>
        <row r="503">
          <cell r="A503">
            <v>474</v>
          </cell>
          <cell r="B503" t="str">
            <v>Gravilla</v>
          </cell>
          <cell r="C503" t="str">
            <v>M3</v>
          </cell>
          <cell r="D503">
            <v>40000</v>
          </cell>
          <cell r="E503">
            <v>2400</v>
          </cell>
        </row>
        <row r="504">
          <cell r="A504">
            <v>475</v>
          </cell>
          <cell r="B504" t="str">
            <v>Lamina C.R. Cal.18</v>
          </cell>
          <cell r="C504" t="str">
            <v>UN</v>
          </cell>
          <cell r="D504">
            <v>26000</v>
          </cell>
          <cell r="E504">
            <v>1560</v>
          </cell>
        </row>
        <row r="505">
          <cell r="A505">
            <v>476</v>
          </cell>
          <cell r="B505" t="str">
            <v>Lamina C.R. Cal.20</v>
          </cell>
          <cell r="C505" t="str">
            <v>M2</v>
          </cell>
          <cell r="D505">
            <v>19800</v>
          </cell>
          <cell r="E505">
            <v>1188</v>
          </cell>
        </row>
        <row r="506">
          <cell r="A506">
            <v>477</v>
          </cell>
          <cell r="B506" t="str">
            <v>Lamina cal 16</v>
          </cell>
          <cell r="C506" t="str">
            <v>M2</v>
          </cell>
          <cell r="D506">
            <v>30500</v>
          </cell>
          <cell r="E506">
            <v>1830</v>
          </cell>
        </row>
        <row r="507">
          <cell r="A507">
            <v>478</v>
          </cell>
          <cell r="B507" t="str">
            <v>Malla eslabonada de 2x2 cal 10</v>
          </cell>
          <cell r="C507" t="str">
            <v>M2</v>
          </cell>
          <cell r="D507">
            <v>10000</v>
          </cell>
          <cell r="E507">
            <v>600</v>
          </cell>
        </row>
        <row r="508">
          <cell r="A508">
            <v>479</v>
          </cell>
          <cell r="B508" t="str">
            <v>Manija sencilla</v>
          </cell>
          <cell r="C508" t="str">
            <v>UN</v>
          </cell>
          <cell r="D508">
            <v>2000</v>
          </cell>
          <cell r="E508">
            <v>120</v>
          </cell>
        </row>
        <row r="509">
          <cell r="A509">
            <v>480</v>
          </cell>
          <cell r="B509" t="str">
            <v>Masilla</v>
          </cell>
          <cell r="C509" t="str">
            <v>GL</v>
          </cell>
          <cell r="D509">
            <v>18000</v>
          </cell>
          <cell r="E509">
            <v>1080</v>
          </cell>
        </row>
        <row r="510">
          <cell r="A510">
            <v>481</v>
          </cell>
          <cell r="B510" t="str">
            <v xml:space="preserve">Medallon de lujo </v>
          </cell>
          <cell r="C510" t="str">
            <v>UN</v>
          </cell>
          <cell r="D510">
            <v>5000</v>
          </cell>
          <cell r="E510">
            <v>300</v>
          </cell>
        </row>
        <row r="511">
          <cell r="A511">
            <v>482</v>
          </cell>
          <cell r="B511" t="str">
            <v>Pasador para puerta</v>
          </cell>
          <cell r="C511" t="str">
            <v>UN</v>
          </cell>
          <cell r="D511">
            <v>4000</v>
          </cell>
          <cell r="E511">
            <v>240</v>
          </cell>
        </row>
        <row r="512">
          <cell r="A512">
            <v>483</v>
          </cell>
          <cell r="B512" t="str">
            <v>Perno de 3/4"</v>
          </cell>
          <cell r="C512" t="str">
            <v>UN</v>
          </cell>
          <cell r="D512">
            <v>1500</v>
          </cell>
          <cell r="E512">
            <v>90</v>
          </cell>
        </row>
        <row r="513">
          <cell r="A513">
            <v>484</v>
          </cell>
          <cell r="B513" t="str">
            <v>Platina 1 1/2" x 1/8"</v>
          </cell>
          <cell r="C513" t="str">
            <v>ML</v>
          </cell>
          <cell r="D513">
            <v>1800</v>
          </cell>
          <cell r="E513">
            <v>108</v>
          </cell>
        </row>
        <row r="514">
          <cell r="A514">
            <v>485</v>
          </cell>
          <cell r="B514" t="str">
            <v>Platina 11/2" x 3/16</v>
          </cell>
          <cell r="C514" t="str">
            <v>ML</v>
          </cell>
          <cell r="D514">
            <v>3600</v>
          </cell>
          <cell r="E514">
            <v>216</v>
          </cell>
        </row>
        <row r="515">
          <cell r="A515">
            <v>486</v>
          </cell>
          <cell r="B515" t="str">
            <v>Platina de 1/2"x1/8"</v>
          </cell>
          <cell r="C515" t="str">
            <v>ML</v>
          </cell>
          <cell r="D515">
            <v>1300</v>
          </cell>
          <cell r="E515">
            <v>78</v>
          </cell>
        </row>
        <row r="516">
          <cell r="A516">
            <v>487</v>
          </cell>
          <cell r="B516" t="str">
            <v>Soldadura W.A. 6013</v>
          </cell>
          <cell r="C516" t="str">
            <v>KG</v>
          </cell>
          <cell r="D516">
            <v>4800</v>
          </cell>
          <cell r="E516">
            <v>288</v>
          </cell>
        </row>
        <row r="517">
          <cell r="A517">
            <v>488</v>
          </cell>
          <cell r="B517" t="str">
            <v>Tubo Aguas Negras 21/2"</v>
          </cell>
          <cell r="C517" t="str">
            <v>ML</v>
          </cell>
          <cell r="D517">
            <v>8550</v>
          </cell>
          <cell r="E517">
            <v>513</v>
          </cell>
        </row>
        <row r="518">
          <cell r="A518">
            <v>489</v>
          </cell>
          <cell r="B518" t="str">
            <v>Tubo cuadrado 11/2"</v>
          </cell>
          <cell r="C518" t="str">
            <v>ML</v>
          </cell>
          <cell r="D518">
            <v>2700</v>
          </cell>
          <cell r="E518">
            <v>162</v>
          </cell>
        </row>
        <row r="519">
          <cell r="A519">
            <v>490</v>
          </cell>
          <cell r="B519" t="str">
            <v>Tubo cuadrado de 1" cal 20</v>
          </cell>
          <cell r="C519" t="str">
            <v>Ml</v>
          </cell>
          <cell r="D519">
            <v>1500</v>
          </cell>
          <cell r="E519">
            <v>90</v>
          </cell>
        </row>
        <row r="520">
          <cell r="A520">
            <v>491</v>
          </cell>
          <cell r="B520" t="str">
            <v>Tubo cuadrado de 3/4"</v>
          </cell>
          <cell r="C520" t="str">
            <v>ML</v>
          </cell>
          <cell r="D520">
            <v>1350</v>
          </cell>
          <cell r="E520">
            <v>81</v>
          </cell>
        </row>
        <row r="521">
          <cell r="A521">
            <v>492</v>
          </cell>
          <cell r="B521" t="str">
            <v>Tubo de 2 x 1 cal. 20</v>
          </cell>
          <cell r="C521" t="str">
            <v>ML</v>
          </cell>
          <cell r="D521">
            <v>2500</v>
          </cell>
          <cell r="E521">
            <v>150</v>
          </cell>
        </row>
        <row r="522">
          <cell r="A522">
            <v>493</v>
          </cell>
          <cell r="B522" t="str">
            <v>Tubo en acero 3/4"</v>
          </cell>
          <cell r="C522" t="str">
            <v>ML</v>
          </cell>
          <cell r="D522">
            <v>2200</v>
          </cell>
          <cell r="E522">
            <v>132</v>
          </cell>
        </row>
        <row r="523">
          <cell r="A523">
            <v>494</v>
          </cell>
          <cell r="B523" t="str">
            <v>Tubo en acero cromado de 2"</v>
          </cell>
          <cell r="C523" t="str">
            <v>ML</v>
          </cell>
          <cell r="D523">
            <v>9100</v>
          </cell>
          <cell r="E523">
            <v>546</v>
          </cell>
        </row>
        <row r="524">
          <cell r="A524">
            <v>495</v>
          </cell>
          <cell r="B524" t="str">
            <v>Tubo galvanizado de 2"</v>
          </cell>
          <cell r="C524" t="str">
            <v>ML</v>
          </cell>
          <cell r="D524">
            <v>8000</v>
          </cell>
          <cell r="E524">
            <v>480</v>
          </cell>
        </row>
        <row r="525">
          <cell r="A525">
            <v>496</v>
          </cell>
          <cell r="B525" t="str">
            <v>tubo rectangular 10x4 Cal. 16</v>
          </cell>
          <cell r="C525" t="str">
            <v>ML</v>
          </cell>
          <cell r="D525">
            <v>9500</v>
          </cell>
          <cell r="E525">
            <v>570</v>
          </cell>
        </row>
        <row r="526">
          <cell r="A526">
            <v>497</v>
          </cell>
          <cell r="B526" t="str">
            <v>tubo rectangular 8 x 4</v>
          </cell>
          <cell r="C526" t="str">
            <v>ML</v>
          </cell>
          <cell r="D526">
            <v>4000</v>
          </cell>
          <cell r="E526">
            <v>240</v>
          </cell>
        </row>
        <row r="527">
          <cell r="A527">
            <v>498</v>
          </cell>
          <cell r="B527" t="str">
            <v>Varilla 1/4 " lisa</v>
          </cell>
          <cell r="C527" t="str">
            <v>kg</v>
          </cell>
          <cell r="D527">
            <v>2000</v>
          </cell>
          <cell r="E527">
            <v>120</v>
          </cell>
        </row>
        <row r="528">
          <cell r="A528">
            <v>499</v>
          </cell>
          <cell r="B528" t="str">
            <v>Varilla 5/8"</v>
          </cell>
          <cell r="C528" t="str">
            <v>ML</v>
          </cell>
          <cell r="D528">
            <v>2800</v>
          </cell>
          <cell r="E528">
            <v>168</v>
          </cell>
        </row>
        <row r="529">
          <cell r="A529">
            <v>500</v>
          </cell>
          <cell r="B529" t="str">
            <v>Varilla cuadrada de 10mm</v>
          </cell>
          <cell r="C529" t="str">
            <v>ML</v>
          </cell>
          <cell r="D529">
            <v>1450</v>
          </cell>
          <cell r="E529">
            <v>87</v>
          </cell>
        </row>
        <row r="530">
          <cell r="A530">
            <v>501</v>
          </cell>
          <cell r="B530" t="str">
            <v>Varilla de 1"</v>
          </cell>
          <cell r="C530" t="str">
            <v>ML</v>
          </cell>
          <cell r="D530">
            <v>10000</v>
          </cell>
          <cell r="E530">
            <v>600</v>
          </cell>
        </row>
        <row r="531">
          <cell r="A531">
            <v>502</v>
          </cell>
          <cell r="B531" t="str">
            <v>Varilla de 1/2 corrugada</v>
          </cell>
          <cell r="C531" t="str">
            <v>ML</v>
          </cell>
          <cell r="D531">
            <v>1900</v>
          </cell>
          <cell r="E531">
            <v>114</v>
          </cell>
        </row>
        <row r="532">
          <cell r="A532">
            <v>503</v>
          </cell>
          <cell r="B532" t="str">
            <v>Varilla de 1/2"</v>
          </cell>
          <cell r="C532" t="str">
            <v>ML</v>
          </cell>
          <cell r="D532">
            <v>1900</v>
          </cell>
          <cell r="E532">
            <v>114</v>
          </cell>
        </row>
        <row r="533">
          <cell r="A533">
            <v>504</v>
          </cell>
          <cell r="B533" t="str">
            <v>Varilla de 1/4 corrugada</v>
          </cell>
          <cell r="C533" t="str">
            <v>KG</v>
          </cell>
          <cell r="D533">
            <v>1900</v>
          </cell>
          <cell r="E533">
            <v>114</v>
          </cell>
        </row>
        <row r="534">
          <cell r="A534">
            <v>505</v>
          </cell>
          <cell r="B534" t="str">
            <v>Varilla de 3/8 corrugada</v>
          </cell>
          <cell r="C534" t="str">
            <v>ML</v>
          </cell>
          <cell r="D534">
            <v>1000</v>
          </cell>
          <cell r="E534">
            <v>60</v>
          </cell>
        </row>
        <row r="535">
          <cell r="A535">
            <v>506</v>
          </cell>
          <cell r="B535" t="str">
            <v>Varilla de 5/8" Corrugada</v>
          </cell>
          <cell r="C535" t="str">
            <v>ML</v>
          </cell>
          <cell r="D535">
            <v>3300</v>
          </cell>
          <cell r="E535">
            <v>198</v>
          </cell>
        </row>
        <row r="536">
          <cell r="A536">
            <v>507</v>
          </cell>
          <cell r="B536" t="str">
            <v>Cordon superior de 2" x 2" e=0.154"</v>
          </cell>
          <cell r="C536" t="str">
            <v>ML</v>
          </cell>
          <cell r="D536">
            <v>11200</v>
          </cell>
          <cell r="E536">
            <v>672</v>
          </cell>
        </row>
        <row r="537">
          <cell r="A537">
            <v>508</v>
          </cell>
          <cell r="B537" t="str">
            <v>Cordon superior de 2" x 1/8"</v>
          </cell>
          <cell r="C537" t="str">
            <v>ML</v>
          </cell>
          <cell r="D537">
            <v>10100</v>
          </cell>
          <cell r="E537">
            <v>606</v>
          </cell>
        </row>
        <row r="538">
          <cell r="A538">
            <v>509</v>
          </cell>
          <cell r="B538" t="str">
            <v>Cordon inferior de 1" x 1" e=0.095"</v>
          </cell>
          <cell r="C538" t="str">
            <v>ML</v>
          </cell>
          <cell r="D538">
            <v>8100</v>
          </cell>
          <cell r="E538">
            <v>486</v>
          </cell>
        </row>
        <row r="539">
          <cell r="A539">
            <v>510</v>
          </cell>
          <cell r="B539" t="str">
            <v xml:space="preserve">Cordon inferior de 1" x 3/16" </v>
          </cell>
          <cell r="C539" t="str">
            <v>ML</v>
          </cell>
          <cell r="D539">
            <v>7500</v>
          </cell>
          <cell r="E539">
            <v>450</v>
          </cell>
        </row>
        <row r="540">
          <cell r="A540">
            <v>511</v>
          </cell>
          <cell r="B540" t="str">
            <v>Cerpentin 1" x 1" e =0.095"</v>
          </cell>
          <cell r="C540" t="str">
            <v>ML</v>
          </cell>
          <cell r="D540">
            <v>2000</v>
          </cell>
          <cell r="E540">
            <v>120</v>
          </cell>
        </row>
        <row r="541">
          <cell r="A541">
            <v>512</v>
          </cell>
          <cell r="B541" t="str">
            <v xml:space="preserve">Cerpentin 1" x 3/16" </v>
          </cell>
          <cell r="C541" t="str">
            <v>ML</v>
          </cell>
          <cell r="D541">
            <v>2000</v>
          </cell>
          <cell r="E541">
            <v>120</v>
          </cell>
        </row>
        <row r="542">
          <cell r="A542">
            <v>513</v>
          </cell>
          <cell r="B542" t="str">
            <v>Blija</v>
          </cell>
          <cell r="C542" t="str">
            <v>ML</v>
          </cell>
          <cell r="D542">
            <v>6585</v>
          </cell>
          <cell r="E542">
            <v>395.09999999999997</v>
          </cell>
        </row>
        <row r="543">
          <cell r="A543">
            <v>514</v>
          </cell>
          <cell r="B543" t="str">
            <v>Esmalte color Blanco</v>
          </cell>
          <cell r="C543" t="str">
            <v>GL</v>
          </cell>
          <cell r="D543">
            <v>20900</v>
          </cell>
          <cell r="E543">
            <v>1254</v>
          </cell>
        </row>
        <row r="544">
          <cell r="A544">
            <v>515</v>
          </cell>
          <cell r="B544" t="str">
            <v>Medallon decorativo redondo</v>
          </cell>
          <cell r="C544" t="str">
            <v>UND</v>
          </cell>
          <cell r="D544">
            <v>5000</v>
          </cell>
          <cell r="E544">
            <v>300</v>
          </cell>
        </row>
        <row r="545">
          <cell r="A545">
            <v>516</v>
          </cell>
          <cell r="B545" t="str">
            <v>Tubo cuadrado de 3/4"</v>
          </cell>
          <cell r="C545" t="str">
            <v>ML</v>
          </cell>
          <cell r="D545">
            <v>1750</v>
          </cell>
          <cell r="E545">
            <v>105</v>
          </cell>
        </row>
        <row r="546">
          <cell r="A546">
            <v>517</v>
          </cell>
          <cell r="E546">
            <v>0</v>
          </cell>
        </row>
        <row r="547">
          <cell r="A547">
            <v>518</v>
          </cell>
          <cell r="E547">
            <v>0</v>
          </cell>
        </row>
        <row r="548">
          <cell r="A548">
            <v>519</v>
          </cell>
          <cell r="E548">
            <v>0</v>
          </cell>
        </row>
        <row r="549">
          <cell r="A549">
            <v>520</v>
          </cell>
          <cell r="E549">
            <v>0</v>
          </cell>
        </row>
        <row r="550">
          <cell r="A550">
            <v>521</v>
          </cell>
          <cell r="E550">
            <v>0</v>
          </cell>
        </row>
        <row r="551">
          <cell r="A551">
            <v>522</v>
          </cell>
          <cell r="E551">
            <v>0</v>
          </cell>
        </row>
        <row r="552">
          <cell r="A552">
            <v>523</v>
          </cell>
          <cell r="E552">
            <v>0</v>
          </cell>
        </row>
        <row r="553">
          <cell r="A553">
            <v>524</v>
          </cell>
          <cell r="E553">
            <v>0</v>
          </cell>
        </row>
        <row r="554">
          <cell r="A554">
            <v>525</v>
          </cell>
          <cell r="E554">
            <v>0</v>
          </cell>
        </row>
        <row r="555">
          <cell r="A555">
            <v>526</v>
          </cell>
          <cell r="E555">
            <v>0</v>
          </cell>
        </row>
        <row r="556">
          <cell r="A556">
            <v>527</v>
          </cell>
          <cell r="E556">
            <v>0</v>
          </cell>
        </row>
        <row r="557">
          <cell r="A557">
            <v>528</v>
          </cell>
          <cell r="E557">
            <v>0</v>
          </cell>
        </row>
        <row r="558">
          <cell r="A558">
            <v>529</v>
          </cell>
          <cell r="E558">
            <v>0</v>
          </cell>
        </row>
        <row r="559">
          <cell r="A559">
            <v>530</v>
          </cell>
          <cell r="E559">
            <v>0</v>
          </cell>
        </row>
        <row r="560">
          <cell r="A560">
            <v>531</v>
          </cell>
          <cell r="E560">
            <v>0</v>
          </cell>
        </row>
        <row r="561">
          <cell r="A561">
            <v>532</v>
          </cell>
          <cell r="E561">
            <v>0</v>
          </cell>
        </row>
        <row r="562">
          <cell r="A562">
            <v>533</v>
          </cell>
          <cell r="E562">
            <v>0</v>
          </cell>
        </row>
        <row r="563">
          <cell r="A563">
            <v>534</v>
          </cell>
          <cell r="E563">
            <v>0</v>
          </cell>
        </row>
        <row r="564">
          <cell r="A564">
            <v>535</v>
          </cell>
          <cell r="E564">
            <v>0</v>
          </cell>
        </row>
        <row r="565">
          <cell r="A565">
            <v>536</v>
          </cell>
          <cell r="E565">
            <v>0</v>
          </cell>
        </row>
        <row r="566">
          <cell r="A566">
            <v>537</v>
          </cell>
          <cell r="E566">
            <v>0</v>
          </cell>
        </row>
        <row r="567">
          <cell r="A567">
            <v>538</v>
          </cell>
          <cell r="E567">
            <v>0</v>
          </cell>
        </row>
        <row r="568">
          <cell r="A568">
            <v>539</v>
          </cell>
          <cell r="E568">
            <v>0</v>
          </cell>
        </row>
        <row r="569">
          <cell r="A569">
            <v>540</v>
          </cell>
          <cell r="E569">
            <v>0</v>
          </cell>
        </row>
        <row r="570">
          <cell r="A570">
            <v>541</v>
          </cell>
          <cell r="E570">
            <v>0</v>
          </cell>
        </row>
        <row r="571">
          <cell r="A571">
            <v>542</v>
          </cell>
          <cell r="E571">
            <v>0</v>
          </cell>
        </row>
        <row r="572">
          <cell r="A572">
            <v>543</v>
          </cell>
          <cell r="E572">
            <v>0</v>
          </cell>
        </row>
        <row r="573">
          <cell r="A573">
            <v>544</v>
          </cell>
          <cell r="E573">
            <v>0</v>
          </cell>
        </row>
        <row r="574">
          <cell r="A574">
            <v>545</v>
          </cell>
          <cell r="E574">
            <v>0</v>
          </cell>
        </row>
        <row r="575">
          <cell r="A575">
            <v>546</v>
          </cell>
          <cell r="E575">
            <v>0</v>
          </cell>
        </row>
        <row r="576">
          <cell r="A576">
            <v>547</v>
          </cell>
          <cell r="E576">
            <v>0</v>
          </cell>
        </row>
        <row r="577">
          <cell r="A577">
            <v>548</v>
          </cell>
          <cell r="E577">
            <v>0</v>
          </cell>
        </row>
        <row r="578">
          <cell r="A578">
            <v>549</v>
          </cell>
          <cell r="E578">
            <v>0</v>
          </cell>
        </row>
        <row r="579">
          <cell r="A579">
            <v>550</v>
          </cell>
          <cell r="E579">
            <v>0</v>
          </cell>
        </row>
        <row r="581">
          <cell r="A581" t="str">
            <v>REF.</v>
          </cell>
          <cell r="B581" t="str">
            <v>MATERIAL CARPINTERIA DE MADERAS</v>
          </cell>
          <cell r="C581" t="str">
            <v>UNIDAD</v>
          </cell>
          <cell r="D581" t="str">
            <v>PRECIO</v>
          </cell>
          <cell r="E581" t="str">
            <v>TRANSPORTE</v>
          </cell>
        </row>
        <row r="583">
          <cell r="A583">
            <v>551</v>
          </cell>
          <cell r="B583" t="str">
            <v>Polin</v>
          </cell>
          <cell r="C583" t="str">
            <v>ML</v>
          </cell>
          <cell r="D583">
            <v>1500</v>
          </cell>
          <cell r="E583">
            <v>90</v>
          </cell>
        </row>
        <row r="584">
          <cell r="A584">
            <v>552</v>
          </cell>
          <cell r="B584" t="str">
            <v>Tabla burra de 0.25 x 3.00 mts</v>
          </cell>
          <cell r="C584" t="str">
            <v xml:space="preserve">UN </v>
          </cell>
          <cell r="D584">
            <v>13000</v>
          </cell>
          <cell r="E584">
            <v>780</v>
          </cell>
        </row>
        <row r="585">
          <cell r="A585">
            <v>553</v>
          </cell>
          <cell r="B585" t="str">
            <v>Estacas, pintura, puntillas</v>
          </cell>
          <cell r="C585" t="str">
            <v>GLB</v>
          </cell>
          <cell r="D585">
            <v>634</v>
          </cell>
          <cell r="E585">
            <v>38.04</v>
          </cell>
        </row>
        <row r="586">
          <cell r="A586">
            <v>554</v>
          </cell>
          <cell r="B586" t="str">
            <v>Guadua</v>
          </cell>
          <cell r="C586" t="str">
            <v>ML</v>
          </cell>
          <cell r="D586">
            <v>1500</v>
          </cell>
          <cell r="E586">
            <v>90</v>
          </cell>
        </row>
        <row r="587">
          <cell r="A587">
            <v>555</v>
          </cell>
          <cell r="B587" t="str">
            <v>Liston de Madera</v>
          </cell>
          <cell r="C587" t="str">
            <v>UN</v>
          </cell>
          <cell r="D587">
            <v>650</v>
          </cell>
          <cell r="E587">
            <v>39</v>
          </cell>
        </row>
        <row r="588">
          <cell r="A588">
            <v>556</v>
          </cell>
          <cell r="B588" t="str">
            <v>Cerco de 0,05 x 0,10 x 3,00 mts.</v>
          </cell>
          <cell r="C588" t="str">
            <v>UN</v>
          </cell>
          <cell r="D588">
            <v>6000</v>
          </cell>
          <cell r="E588">
            <v>360</v>
          </cell>
        </row>
        <row r="589">
          <cell r="A589">
            <v>557</v>
          </cell>
          <cell r="B589" t="str">
            <v>Puntilla de 2"</v>
          </cell>
          <cell r="C589" t="str">
            <v>LBR</v>
          </cell>
          <cell r="D589">
            <v>1450</v>
          </cell>
          <cell r="E589">
            <v>87</v>
          </cell>
        </row>
        <row r="590">
          <cell r="A590">
            <v>558</v>
          </cell>
          <cell r="E590">
            <v>0</v>
          </cell>
        </row>
        <row r="591">
          <cell r="A591">
            <v>559</v>
          </cell>
          <cell r="E591">
            <v>0</v>
          </cell>
        </row>
        <row r="592">
          <cell r="A592">
            <v>560</v>
          </cell>
          <cell r="E592">
            <v>0</v>
          </cell>
        </row>
        <row r="593">
          <cell r="A593">
            <v>561</v>
          </cell>
          <cell r="E593">
            <v>0</v>
          </cell>
        </row>
        <row r="594">
          <cell r="A594">
            <v>562</v>
          </cell>
          <cell r="E594">
            <v>0</v>
          </cell>
        </row>
        <row r="595">
          <cell r="A595">
            <v>563</v>
          </cell>
          <cell r="E595">
            <v>0</v>
          </cell>
        </row>
        <row r="596">
          <cell r="A596">
            <v>564</v>
          </cell>
          <cell r="E596">
            <v>0</v>
          </cell>
        </row>
        <row r="597">
          <cell r="A597">
            <v>565</v>
          </cell>
          <cell r="E597">
            <v>0</v>
          </cell>
        </row>
        <row r="598">
          <cell r="A598">
            <v>566</v>
          </cell>
          <cell r="E598">
            <v>0</v>
          </cell>
        </row>
        <row r="599">
          <cell r="A599">
            <v>567</v>
          </cell>
          <cell r="E599">
            <v>0</v>
          </cell>
        </row>
        <row r="600">
          <cell r="A600">
            <v>568</v>
          </cell>
          <cell r="E600">
            <v>0</v>
          </cell>
        </row>
        <row r="601">
          <cell r="A601">
            <v>569</v>
          </cell>
          <cell r="E601">
            <v>0</v>
          </cell>
        </row>
        <row r="602">
          <cell r="A602">
            <v>570</v>
          </cell>
          <cell r="E602">
            <v>0</v>
          </cell>
        </row>
        <row r="603">
          <cell r="A603">
            <v>571</v>
          </cell>
          <cell r="E603">
            <v>0</v>
          </cell>
        </row>
        <row r="604">
          <cell r="A604">
            <v>572</v>
          </cell>
          <cell r="E604">
            <v>0</v>
          </cell>
        </row>
        <row r="605">
          <cell r="A605">
            <v>573</v>
          </cell>
          <cell r="E605">
            <v>0</v>
          </cell>
        </row>
        <row r="606">
          <cell r="A606">
            <v>574</v>
          </cell>
          <cell r="E606">
            <v>0</v>
          </cell>
        </row>
        <row r="607">
          <cell r="A607">
            <v>575</v>
          </cell>
          <cell r="E607">
            <v>0</v>
          </cell>
        </row>
        <row r="608">
          <cell r="A608">
            <v>576</v>
          </cell>
          <cell r="E608">
            <v>0</v>
          </cell>
        </row>
        <row r="609">
          <cell r="A609">
            <v>577</v>
          </cell>
          <cell r="E609">
            <v>0</v>
          </cell>
        </row>
        <row r="610">
          <cell r="A610">
            <v>578</v>
          </cell>
          <cell r="E610">
            <v>0</v>
          </cell>
        </row>
        <row r="611">
          <cell r="A611">
            <v>579</v>
          </cell>
          <cell r="E611">
            <v>0</v>
          </cell>
        </row>
        <row r="612">
          <cell r="A612">
            <v>580</v>
          </cell>
          <cell r="E612">
            <v>0</v>
          </cell>
        </row>
        <row r="613">
          <cell r="A613">
            <v>581</v>
          </cell>
          <cell r="E613">
            <v>0</v>
          </cell>
        </row>
        <row r="614">
          <cell r="A614">
            <v>582</v>
          </cell>
          <cell r="E614">
            <v>0</v>
          </cell>
        </row>
        <row r="615">
          <cell r="A615">
            <v>583</v>
          </cell>
          <cell r="E615">
            <v>0</v>
          </cell>
        </row>
        <row r="616">
          <cell r="A616">
            <v>584</v>
          </cell>
          <cell r="E616">
            <v>0</v>
          </cell>
        </row>
        <row r="617">
          <cell r="A617">
            <v>585</v>
          </cell>
          <cell r="E617">
            <v>0</v>
          </cell>
        </row>
        <row r="618">
          <cell r="A618">
            <v>586</v>
          </cell>
          <cell r="E618">
            <v>0</v>
          </cell>
        </row>
        <row r="619">
          <cell r="A619">
            <v>587</v>
          </cell>
          <cell r="E619">
            <v>0</v>
          </cell>
        </row>
        <row r="620">
          <cell r="A620">
            <v>588</v>
          </cell>
          <cell r="E620">
            <v>0</v>
          </cell>
        </row>
        <row r="621">
          <cell r="A621">
            <v>589</v>
          </cell>
          <cell r="E621">
            <v>0</v>
          </cell>
        </row>
        <row r="622">
          <cell r="A622">
            <v>590</v>
          </cell>
          <cell r="E622">
            <v>0</v>
          </cell>
        </row>
        <row r="623">
          <cell r="A623">
            <v>591</v>
          </cell>
          <cell r="E623">
            <v>0</v>
          </cell>
        </row>
        <row r="624">
          <cell r="A624">
            <v>592</v>
          </cell>
          <cell r="E624">
            <v>0</v>
          </cell>
        </row>
        <row r="625">
          <cell r="A625">
            <v>593</v>
          </cell>
          <cell r="E625">
            <v>0</v>
          </cell>
        </row>
        <row r="626">
          <cell r="A626">
            <v>594</v>
          </cell>
          <cell r="E626">
            <v>0</v>
          </cell>
        </row>
        <row r="627">
          <cell r="A627">
            <v>595</v>
          </cell>
          <cell r="E627">
            <v>0</v>
          </cell>
        </row>
        <row r="628">
          <cell r="A628">
            <v>596</v>
          </cell>
          <cell r="E628">
            <v>0</v>
          </cell>
        </row>
        <row r="629">
          <cell r="A629">
            <v>597</v>
          </cell>
          <cell r="E629">
            <v>0</v>
          </cell>
        </row>
        <row r="630">
          <cell r="A630">
            <v>598</v>
          </cell>
          <cell r="E630">
            <v>0</v>
          </cell>
        </row>
        <row r="631">
          <cell r="A631">
            <v>599</v>
          </cell>
          <cell r="E631">
            <v>0</v>
          </cell>
        </row>
        <row r="632">
          <cell r="A632">
            <v>600</v>
          </cell>
          <cell r="E632">
            <v>0</v>
          </cell>
        </row>
        <row r="633">
          <cell r="A633">
            <v>601</v>
          </cell>
          <cell r="E633">
            <v>0</v>
          </cell>
        </row>
        <row r="634">
          <cell r="A634">
            <v>602</v>
          </cell>
          <cell r="E634">
            <v>0</v>
          </cell>
        </row>
        <row r="635">
          <cell r="A635">
            <v>603</v>
          </cell>
          <cell r="E635">
            <v>0</v>
          </cell>
        </row>
        <row r="636">
          <cell r="A636">
            <v>604</v>
          </cell>
          <cell r="E636">
            <v>0</v>
          </cell>
        </row>
        <row r="637">
          <cell r="A637">
            <v>605</v>
          </cell>
          <cell r="E637">
            <v>0</v>
          </cell>
        </row>
        <row r="638">
          <cell r="A638">
            <v>606</v>
          </cell>
          <cell r="E638">
            <v>0</v>
          </cell>
        </row>
        <row r="639">
          <cell r="A639">
            <v>607</v>
          </cell>
          <cell r="E639">
            <v>0</v>
          </cell>
        </row>
        <row r="640">
          <cell r="A640">
            <v>608</v>
          </cell>
          <cell r="E640">
            <v>0</v>
          </cell>
        </row>
        <row r="641">
          <cell r="A641">
            <v>609</v>
          </cell>
          <cell r="E641">
            <v>0</v>
          </cell>
        </row>
        <row r="642">
          <cell r="A642">
            <v>610</v>
          </cell>
          <cell r="E642">
            <v>0</v>
          </cell>
        </row>
        <row r="643">
          <cell r="A643">
            <v>611</v>
          </cell>
          <cell r="E643">
            <v>0</v>
          </cell>
        </row>
        <row r="644">
          <cell r="A644">
            <v>612</v>
          </cell>
          <cell r="E644">
            <v>0</v>
          </cell>
        </row>
        <row r="645">
          <cell r="A645">
            <v>613</v>
          </cell>
          <cell r="E645">
            <v>0</v>
          </cell>
        </row>
        <row r="646">
          <cell r="A646">
            <v>614</v>
          </cell>
          <cell r="E646">
            <v>0</v>
          </cell>
        </row>
        <row r="647">
          <cell r="A647">
            <v>615</v>
          </cell>
          <cell r="E647">
            <v>0</v>
          </cell>
        </row>
        <row r="648">
          <cell r="A648">
            <v>616</v>
          </cell>
          <cell r="E648">
            <v>0</v>
          </cell>
        </row>
        <row r="649">
          <cell r="A649">
            <v>617</v>
          </cell>
          <cell r="E649">
            <v>0</v>
          </cell>
        </row>
        <row r="650">
          <cell r="A650">
            <v>618</v>
          </cell>
          <cell r="E650">
            <v>0</v>
          </cell>
        </row>
        <row r="651">
          <cell r="A651">
            <v>619</v>
          </cell>
          <cell r="E651">
            <v>0</v>
          </cell>
        </row>
        <row r="652">
          <cell r="A652">
            <v>620</v>
          </cell>
          <cell r="E652">
            <v>0</v>
          </cell>
        </row>
        <row r="653">
          <cell r="A653">
            <v>621</v>
          </cell>
          <cell r="E653">
            <v>0</v>
          </cell>
        </row>
        <row r="654">
          <cell r="A654">
            <v>622</v>
          </cell>
          <cell r="E654">
            <v>0</v>
          </cell>
        </row>
        <row r="655">
          <cell r="A655">
            <v>623</v>
          </cell>
          <cell r="E655">
            <v>0</v>
          </cell>
        </row>
        <row r="656">
          <cell r="A656">
            <v>624</v>
          </cell>
          <cell r="E656">
            <v>0</v>
          </cell>
        </row>
        <row r="657">
          <cell r="A657">
            <v>625</v>
          </cell>
          <cell r="E657">
            <v>0</v>
          </cell>
        </row>
        <row r="658">
          <cell r="A658">
            <v>626</v>
          </cell>
          <cell r="E658">
            <v>0</v>
          </cell>
        </row>
        <row r="659">
          <cell r="A659">
            <v>627</v>
          </cell>
          <cell r="E659">
            <v>0</v>
          </cell>
        </row>
        <row r="660">
          <cell r="A660">
            <v>628</v>
          </cell>
          <cell r="E660">
            <v>0</v>
          </cell>
        </row>
        <row r="661">
          <cell r="A661">
            <v>629</v>
          </cell>
          <cell r="E661">
            <v>0</v>
          </cell>
        </row>
        <row r="662">
          <cell r="A662">
            <v>630</v>
          </cell>
          <cell r="E662">
            <v>0</v>
          </cell>
        </row>
        <row r="663">
          <cell r="A663">
            <v>631</v>
          </cell>
          <cell r="E663">
            <v>0</v>
          </cell>
        </row>
        <row r="664">
          <cell r="A664">
            <v>632</v>
          </cell>
          <cell r="E664">
            <v>0</v>
          </cell>
        </row>
        <row r="665">
          <cell r="A665">
            <v>633</v>
          </cell>
          <cell r="E665">
            <v>0</v>
          </cell>
        </row>
        <row r="666">
          <cell r="A666">
            <v>634</v>
          </cell>
          <cell r="E666">
            <v>0</v>
          </cell>
        </row>
        <row r="667">
          <cell r="A667">
            <v>635</v>
          </cell>
          <cell r="E667">
            <v>0</v>
          </cell>
        </row>
        <row r="668">
          <cell r="A668">
            <v>636</v>
          </cell>
          <cell r="E668">
            <v>0</v>
          </cell>
        </row>
        <row r="669">
          <cell r="A669">
            <v>637</v>
          </cell>
          <cell r="B669" t="str">
            <v>Escoba naylon</v>
          </cell>
          <cell r="C669" t="str">
            <v>UN</v>
          </cell>
          <cell r="D669">
            <v>7700</v>
          </cell>
          <cell r="E669">
            <v>462</v>
          </cell>
        </row>
        <row r="670">
          <cell r="A670">
            <v>638</v>
          </cell>
          <cell r="B670" t="str">
            <v>Trapero</v>
          </cell>
          <cell r="C670" t="str">
            <v>UN</v>
          </cell>
          <cell r="D670">
            <v>7600</v>
          </cell>
          <cell r="E670">
            <v>456</v>
          </cell>
        </row>
        <row r="671">
          <cell r="A671">
            <v>639</v>
          </cell>
          <cell r="B671" t="str">
            <v>Guantes de caucho</v>
          </cell>
          <cell r="C671" t="str">
            <v>UN</v>
          </cell>
          <cell r="D671">
            <v>3100</v>
          </cell>
          <cell r="E671">
            <v>186</v>
          </cell>
        </row>
        <row r="672">
          <cell r="A672">
            <v>640</v>
          </cell>
          <cell r="B672" t="str">
            <v>Balletilla</v>
          </cell>
          <cell r="C672" t="str">
            <v>UN</v>
          </cell>
          <cell r="D672">
            <v>3800</v>
          </cell>
          <cell r="E672">
            <v>228</v>
          </cell>
        </row>
        <row r="673">
          <cell r="A673">
            <v>641</v>
          </cell>
          <cell r="B673" t="str">
            <v>Detergente</v>
          </cell>
          <cell r="C673" t="str">
            <v>UN</v>
          </cell>
          <cell r="D673">
            <v>2000</v>
          </cell>
          <cell r="E673">
            <v>120</v>
          </cell>
        </row>
        <row r="674">
          <cell r="A674">
            <v>642</v>
          </cell>
          <cell r="B674" t="str">
            <v>Limpiador 3 en 1</v>
          </cell>
          <cell r="C674" t="str">
            <v>BT</v>
          </cell>
          <cell r="D674">
            <v>1000</v>
          </cell>
          <cell r="E674">
            <v>60</v>
          </cell>
        </row>
        <row r="675">
          <cell r="A675">
            <v>643</v>
          </cell>
          <cell r="B675" t="str">
            <v>Thiner</v>
          </cell>
          <cell r="C675" t="str">
            <v>Gl</v>
          </cell>
          <cell r="D675">
            <v>16000</v>
          </cell>
          <cell r="E675">
            <v>960</v>
          </cell>
        </row>
        <row r="676">
          <cell r="A676">
            <v>644</v>
          </cell>
          <cell r="B676" t="str">
            <v>Cepillo naylon</v>
          </cell>
          <cell r="C676" t="str">
            <v>UN</v>
          </cell>
          <cell r="D676">
            <v>6000</v>
          </cell>
          <cell r="E676">
            <v>360</v>
          </cell>
        </row>
        <row r="677">
          <cell r="A677">
            <v>645</v>
          </cell>
          <cell r="E677">
            <v>0</v>
          </cell>
        </row>
        <row r="678">
          <cell r="A678">
            <v>646</v>
          </cell>
          <cell r="E678">
            <v>0</v>
          </cell>
        </row>
        <row r="679">
          <cell r="A679">
            <v>647</v>
          </cell>
          <cell r="E679">
            <v>0</v>
          </cell>
        </row>
        <row r="680">
          <cell r="A680">
            <v>648</v>
          </cell>
          <cell r="E680">
            <v>0</v>
          </cell>
        </row>
        <row r="681">
          <cell r="A681">
            <v>649</v>
          </cell>
          <cell r="E681">
            <v>0</v>
          </cell>
        </row>
        <row r="682">
          <cell r="E682">
            <v>0</v>
          </cell>
        </row>
        <row r="683">
          <cell r="E683">
            <v>0</v>
          </cell>
        </row>
        <row r="684">
          <cell r="E684">
            <v>0</v>
          </cell>
        </row>
        <row r="685">
          <cell r="E685">
            <v>0</v>
          </cell>
        </row>
        <row r="686">
          <cell r="E686">
            <v>0</v>
          </cell>
        </row>
        <row r="687">
          <cell r="E687">
            <v>0</v>
          </cell>
        </row>
        <row r="688">
          <cell r="A688">
            <v>656</v>
          </cell>
          <cell r="B688" t="str">
            <v>Lumininaria flurescente tipo economica de 2x48".</v>
          </cell>
          <cell r="C688" t="str">
            <v>UN</v>
          </cell>
          <cell r="D688">
            <v>50000</v>
          </cell>
          <cell r="E688">
            <v>3000</v>
          </cell>
        </row>
        <row r="689">
          <cell r="B689" t="str">
            <v>PUNTILLA 1 A 3"</v>
          </cell>
          <cell r="C689" t="str">
            <v>KG</v>
          </cell>
          <cell r="D689">
            <v>1500</v>
          </cell>
          <cell r="E689">
            <v>90</v>
          </cell>
        </row>
        <row r="690">
          <cell r="B690" t="str">
            <v>ALAMBRE NEGRO No 18</v>
          </cell>
          <cell r="C690" t="str">
            <v>KG</v>
          </cell>
          <cell r="D690">
            <v>2250</v>
          </cell>
          <cell r="E690">
            <v>135</v>
          </cell>
        </row>
        <row r="691">
          <cell r="B691" t="str">
            <v>POLIN</v>
          </cell>
          <cell r="C691" t="str">
            <v>ML</v>
          </cell>
          <cell r="D691">
            <v>1500</v>
          </cell>
          <cell r="E691">
            <v>90</v>
          </cell>
        </row>
        <row r="692">
          <cell r="B692" t="str">
            <v>CEMENTO</v>
          </cell>
          <cell r="C692" t="str">
            <v>KG</v>
          </cell>
          <cell r="D692">
            <v>300</v>
          </cell>
          <cell r="E692">
            <v>18</v>
          </cell>
        </row>
        <row r="693">
          <cell r="B693" t="str">
            <v xml:space="preserve">ARENA </v>
          </cell>
          <cell r="C693" t="str">
            <v>M³</v>
          </cell>
          <cell r="D693">
            <v>20000</v>
          </cell>
          <cell r="E693">
            <v>1200</v>
          </cell>
        </row>
        <row r="694">
          <cell r="B694" t="str">
            <v>GRAVILLA TRITURADA</v>
          </cell>
          <cell r="C694" t="str">
            <v>M³</v>
          </cell>
          <cell r="D694">
            <v>54000</v>
          </cell>
          <cell r="E694">
            <v>3240</v>
          </cell>
        </row>
        <row r="695">
          <cell r="B695" t="str">
            <v>AGUA</v>
          </cell>
          <cell r="C695" t="str">
            <v>LT</v>
          </cell>
          <cell r="D695">
            <v>5</v>
          </cell>
          <cell r="E695">
            <v>0.3</v>
          </cell>
        </row>
        <row r="696">
          <cell r="B696" t="str">
            <v xml:space="preserve">RECEBO </v>
          </cell>
          <cell r="C696" t="str">
            <v>M³</v>
          </cell>
          <cell r="D696">
            <v>16000</v>
          </cell>
          <cell r="E696">
            <v>960</v>
          </cell>
        </row>
        <row r="697">
          <cell r="B697" t="str">
            <v>HIERRO No 5</v>
          </cell>
          <cell r="C697" t="str">
            <v>KG</v>
          </cell>
          <cell r="D697">
            <v>2200</v>
          </cell>
          <cell r="E697">
            <v>132</v>
          </cell>
        </row>
        <row r="698">
          <cell r="B698" t="str">
            <v>HIERRO DE 3/8</v>
          </cell>
          <cell r="C698" t="str">
            <v>KG</v>
          </cell>
          <cell r="D698">
            <v>2200</v>
          </cell>
          <cell r="E698">
            <v>132</v>
          </cell>
        </row>
        <row r="699">
          <cell r="B699" t="str">
            <v>MALLA ELECTROSOLDADA Q2</v>
          </cell>
          <cell r="C699" t="str">
            <v>Und</v>
          </cell>
          <cell r="D699">
            <v>43000</v>
          </cell>
          <cell r="E699">
            <v>2580</v>
          </cell>
        </row>
        <row r="700">
          <cell r="B700" t="str">
            <v>LADRILLO TOLETE</v>
          </cell>
          <cell r="C700" t="str">
            <v>Und</v>
          </cell>
          <cell r="D700">
            <v>240</v>
          </cell>
          <cell r="E700">
            <v>14.399999999999999</v>
          </cell>
        </row>
        <row r="701">
          <cell r="B701" t="str">
            <v>BLOQUE No 5 HUECO 12X20X30</v>
          </cell>
          <cell r="C701" t="str">
            <v>Und</v>
          </cell>
          <cell r="D701">
            <v>670</v>
          </cell>
          <cell r="E701">
            <v>40.199999999999996</v>
          </cell>
        </row>
        <row r="702">
          <cell r="B702" t="str">
            <v>ARENA FINA</v>
          </cell>
          <cell r="C702" t="str">
            <v>M³</v>
          </cell>
          <cell r="D702">
            <v>20000</v>
          </cell>
          <cell r="E702">
            <v>1200</v>
          </cell>
        </row>
        <row r="703">
          <cell r="B703" t="str">
            <v>MALLA GALLINERO</v>
          </cell>
          <cell r="C703" t="str">
            <v>M²</v>
          </cell>
          <cell r="D703">
            <v>1250</v>
          </cell>
          <cell r="E703">
            <v>75</v>
          </cell>
        </row>
        <row r="704">
          <cell r="B704" t="str">
            <v>PINTURA EN ESMALTE</v>
          </cell>
          <cell r="C704" t="str">
            <v>GAL</v>
          </cell>
          <cell r="D704">
            <v>39600</v>
          </cell>
          <cell r="E704">
            <v>2376</v>
          </cell>
        </row>
        <row r="705">
          <cell r="B705" t="str">
            <v>VENTANA CUADRADA (0.50X0.50) INCLUYE VIDRIO</v>
          </cell>
          <cell r="C705" t="str">
            <v>Und</v>
          </cell>
          <cell r="D705">
            <v>80000</v>
          </cell>
          <cell r="E705">
            <v>4800</v>
          </cell>
        </row>
        <row r="706">
          <cell r="B706" t="str">
            <v>TEJA TERMOACUSTIC + CABELLETE</v>
          </cell>
          <cell r="C706" t="str">
            <v>M2</v>
          </cell>
          <cell r="D706">
            <v>24000</v>
          </cell>
          <cell r="E706">
            <v>1440</v>
          </cell>
        </row>
        <row r="707">
          <cell r="B707" t="str">
            <v>TORNILLO FIJA ALA</v>
          </cell>
          <cell r="C707" t="str">
            <v>Und.</v>
          </cell>
          <cell r="D707">
            <v>350</v>
          </cell>
          <cell r="E707">
            <v>21</v>
          </cell>
        </row>
        <row r="708">
          <cell r="B708" t="str">
            <v>TORNILLO AUTOPERFORANTE</v>
          </cell>
          <cell r="C708" t="str">
            <v>Und.</v>
          </cell>
          <cell r="D708">
            <v>300</v>
          </cell>
          <cell r="E708">
            <v>18</v>
          </cell>
        </row>
        <row r="709">
          <cell r="B709" t="str">
            <v>GRANIPLAST</v>
          </cell>
          <cell r="C709" t="str">
            <v>KG</v>
          </cell>
          <cell r="D709">
            <v>1200</v>
          </cell>
          <cell r="E709">
            <v>72</v>
          </cell>
        </row>
        <row r="710">
          <cell r="B710" t="str">
            <v>GRANITO #2</v>
          </cell>
          <cell r="C710" t="str">
            <v>BT</v>
          </cell>
          <cell r="D710">
            <v>6000</v>
          </cell>
          <cell r="E710">
            <v>360</v>
          </cell>
        </row>
        <row r="711">
          <cell r="B711" t="str">
            <v>TUBERIA PVC 4" SANITARIA</v>
          </cell>
          <cell r="C711" t="str">
            <v>ML</v>
          </cell>
          <cell r="D711">
            <v>6000</v>
          </cell>
          <cell r="E711">
            <v>360</v>
          </cell>
        </row>
        <row r="712">
          <cell r="B712" t="str">
            <v>ACCESORIOS</v>
          </cell>
          <cell r="C712" t="str">
            <v>Und</v>
          </cell>
          <cell r="D712">
            <v>2500</v>
          </cell>
          <cell r="E712">
            <v>150</v>
          </cell>
        </row>
        <row r="713">
          <cell r="B713" t="str">
            <v>CANALETA ACESCO 90X12</v>
          </cell>
          <cell r="C713" t="str">
            <v>ML</v>
          </cell>
          <cell r="D713">
            <v>20625</v>
          </cell>
          <cell r="E713">
            <v>1237.5</v>
          </cell>
        </row>
        <row r="714">
          <cell r="B714" t="str">
            <v>TUBOS FLUORESENTES 1.80 m</v>
          </cell>
          <cell r="C714" t="str">
            <v>Und.</v>
          </cell>
          <cell r="D714">
            <v>5000</v>
          </cell>
          <cell r="E714">
            <v>300</v>
          </cell>
        </row>
        <row r="715">
          <cell r="B715" t="str">
            <v>BALASTRA</v>
          </cell>
          <cell r="C715" t="str">
            <v>Und.</v>
          </cell>
          <cell r="D715">
            <v>27000</v>
          </cell>
          <cell r="E715">
            <v>1620</v>
          </cell>
        </row>
        <row r="716">
          <cell r="B716" t="str">
            <v>FOCKER</v>
          </cell>
          <cell r="C716" t="str">
            <v>Und.</v>
          </cell>
          <cell r="D716">
            <v>1100</v>
          </cell>
          <cell r="E716">
            <v>66</v>
          </cell>
        </row>
        <row r="717">
          <cell r="A717">
            <v>700</v>
          </cell>
          <cell r="B717" t="str">
            <v>Alambre de cobre aislado  #12</v>
          </cell>
          <cell r="C717" t="str">
            <v>ML</v>
          </cell>
          <cell r="D717">
            <v>800</v>
          </cell>
          <cell r="E717">
            <v>48</v>
          </cell>
        </row>
        <row r="718">
          <cell r="B718" t="str">
            <v>TUBO CONDUIT PVC 1/2"</v>
          </cell>
          <cell r="C718" t="str">
            <v>ML</v>
          </cell>
          <cell r="D718">
            <v>1100</v>
          </cell>
          <cell r="E718">
            <v>66</v>
          </cell>
        </row>
        <row r="719">
          <cell r="B719" t="str">
            <v>CAJILLA TACOS</v>
          </cell>
          <cell r="C719" t="str">
            <v>Und.</v>
          </cell>
          <cell r="D719">
            <v>7000</v>
          </cell>
          <cell r="E719">
            <v>420</v>
          </cell>
        </row>
        <row r="720">
          <cell r="B720" t="str">
            <v>INTERRUPTORES</v>
          </cell>
          <cell r="C720" t="str">
            <v>Und.</v>
          </cell>
          <cell r="D720">
            <v>2900</v>
          </cell>
          <cell r="E720">
            <v>174</v>
          </cell>
        </row>
        <row r="721">
          <cell r="B721" t="str">
            <v>VARILLA DE COBRE DE 1.80M D= 1/2"</v>
          </cell>
          <cell r="C721" t="str">
            <v>Und</v>
          </cell>
          <cell r="D721">
            <v>40000</v>
          </cell>
          <cell r="E721">
            <v>2400</v>
          </cell>
        </row>
        <row r="722">
          <cell r="B722" t="str">
            <v>ALAMBRE COBRE No 10</v>
          </cell>
          <cell r="C722" t="str">
            <v>ML</v>
          </cell>
          <cell r="D722">
            <v>1100</v>
          </cell>
          <cell r="E722">
            <v>66</v>
          </cell>
        </row>
        <row r="723">
          <cell r="B723" t="str">
            <v xml:space="preserve">ACOMETIDA EXTERNA </v>
          </cell>
          <cell r="C723" t="str">
            <v>GL</v>
          </cell>
          <cell r="D723">
            <v>500000</v>
          </cell>
          <cell r="E723">
            <v>30000</v>
          </cell>
        </row>
        <row r="724">
          <cell r="B724" t="str">
            <v xml:space="preserve">CANALETA EN LAMINA GALVANIZADA  0.25X0.35M, INCLUYE ANGULO Y SUPLEMENTO </v>
          </cell>
          <cell r="C724" t="str">
            <v>ML</v>
          </cell>
          <cell r="D724">
            <v>90000</v>
          </cell>
          <cell r="E724">
            <v>5400</v>
          </cell>
        </row>
        <row r="725">
          <cell r="B725" t="str">
            <v>ANGULO DE 2 1/2" X 3/16"</v>
          </cell>
          <cell r="C725" t="str">
            <v>ML</v>
          </cell>
          <cell r="D725">
            <v>71000</v>
          </cell>
          <cell r="E725">
            <v>4260</v>
          </cell>
        </row>
        <row r="726">
          <cell r="B726" t="str">
            <v>NIPLE GALVANIZADO 1/2"</v>
          </cell>
          <cell r="C726" t="str">
            <v>Und</v>
          </cell>
          <cell r="D726">
            <v>600</v>
          </cell>
          <cell r="E726">
            <v>36</v>
          </cell>
        </row>
        <row r="727">
          <cell r="B727" t="str">
            <v>DILATACION EN VIDRIO</v>
          </cell>
          <cell r="C727" t="str">
            <v>ML</v>
          </cell>
          <cell r="D727">
            <v>200</v>
          </cell>
          <cell r="E727">
            <v>12</v>
          </cell>
        </row>
        <row r="728">
          <cell r="B728" t="str">
            <v>ESTUCO PLASTICO PARA INTERIORES</v>
          </cell>
          <cell r="C728" t="str">
            <v>Gal</v>
          </cell>
          <cell r="D728">
            <v>12500</v>
          </cell>
          <cell r="E728">
            <v>750</v>
          </cell>
        </row>
        <row r="729">
          <cell r="B729" t="str">
            <v>VINILO VINILTEX TIPO I</v>
          </cell>
          <cell r="C729" t="str">
            <v>GaL</v>
          </cell>
          <cell r="D729">
            <v>41500</v>
          </cell>
          <cell r="E729">
            <v>2490</v>
          </cell>
        </row>
        <row r="730">
          <cell r="B730" t="str">
            <v>MORTERO 1:4</v>
          </cell>
          <cell r="C730" t="str">
            <v>M³</v>
          </cell>
          <cell r="D730" t="e">
            <v>#REF!</v>
          </cell>
          <cell r="E730" t="e">
            <v>#REF!</v>
          </cell>
        </row>
        <row r="731">
          <cell r="B731" t="str">
            <v>BALDOSA DUROPISO MANCESA  30X30</v>
          </cell>
          <cell r="C731" t="str">
            <v>M²</v>
          </cell>
          <cell r="D731">
            <v>20500</v>
          </cell>
          <cell r="E731">
            <v>1230</v>
          </cell>
        </row>
        <row r="732">
          <cell r="B732" t="str">
            <v>CEMENTO BLANCO</v>
          </cell>
          <cell r="C732" t="str">
            <v>KG</v>
          </cell>
          <cell r="D732">
            <v>970</v>
          </cell>
          <cell r="E732">
            <v>58.199999999999996</v>
          </cell>
        </row>
        <row r="733">
          <cell r="B733" t="str">
            <v>CONCRETO DE 3000 PSI</v>
          </cell>
          <cell r="C733" t="str">
            <v>M³</v>
          </cell>
          <cell r="D733" t="e">
            <v>#REF!</v>
          </cell>
          <cell r="E733" t="e">
            <v>#REF!</v>
          </cell>
        </row>
        <row r="734">
          <cell r="B734" t="str">
            <v>PROCTOR MODIFICADO</v>
          </cell>
          <cell r="C734" t="str">
            <v>Und</v>
          </cell>
          <cell r="D734">
            <v>70000</v>
          </cell>
          <cell r="E734">
            <v>4200</v>
          </cell>
        </row>
        <row r="735">
          <cell r="B735" t="str">
            <v>ENSAYO DE LABORATORIO</v>
          </cell>
          <cell r="C735" t="str">
            <v>M³</v>
          </cell>
          <cell r="D735">
            <v>3500</v>
          </cell>
          <cell r="E735">
            <v>210</v>
          </cell>
        </row>
        <row r="736">
          <cell r="B736" t="str">
            <v>TUBERIA PRESION PVC 1/2"</v>
          </cell>
          <cell r="C736" t="str">
            <v>ML</v>
          </cell>
          <cell r="D736">
            <v>1150</v>
          </cell>
          <cell r="E736">
            <v>69</v>
          </cell>
        </row>
        <row r="737">
          <cell r="B737" t="str">
            <v>ADAPTADOR MACHO 1/2</v>
          </cell>
          <cell r="C737" t="str">
            <v>Und</v>
          </cell>
          <cell r="D737">
            <v>300</v>
          </cell>
          <cell r="E737">
            <v>18</v>
          </cell>
        </row>
        <row r="738">
          <cell r="B738" t="str">
            <v>CODO PVC 1/2"</v>
          </cell>
          <cell r="C738" t="str">
            <v>Und</v>
          </cell>
          <cell r="D738">
            <v>300</v>
          </cell>
          <cell r="E738">
            <v>18</v>
          </cell>
        </row>
        <row r="739">
          <cell r="B739" t="str">
            <v>TEE GALVANIZADA DE 1/2"</v>
          </cell>
          <cell r="C739" t="str">
            <v>Und</v>
          </cell>
          <cell r="D739">
            <v>600</v>
          </cell>
          <cell r="E739">
            <v>36</v>
          </cell>
        </row>
        <row r="740">
          <cell r="B740" t="str">
            <v xml:space="preserve">IMPREMANTE </v>
          </cell>
          <cell r="C740" t="str">
            <v>GL</v>
          </cell>
          <cell r="D740">
            <v>22000</v>
          </cell>
          <cell r="E740">
            <v>1320</v>
          </cell>
        </row>
        <row r="741">
          <cell r="B741" t="str">
            <v>MANTO FIBERGLASS 600 XT</v>
          </cell>
          <cell r="C741" t="str">
            <v>M²</v>
          </cell>
          <cell r="D741">
            <v>11500</v>
          </cell>
          <cell r="E741">
            <v>690</v>
          </cell>
        </row>
        <row r="742">
          <cell r="B742" t="str">
            <v>CONCRETO DE 2500 PSI</v>
          </cell>
          <cell r="C742" t="str">
            <v>M³</v>
          </cell>
          <cell r="E742">
            <v>0</v>
          </cell>
        </row>
        <row r="743">
          <cell r="B743" t="str">
            <v>ENSAYO DE LABORATORIO</v>
          </cell>
          <cell r="C743" t="str">
            <v>M³</v>
          </cell>
          <cell r="D743">
            <v>5000</v>
          </cell>
          <cell r="E743">
            <v>300</v>
          </cell>
        </row>
        <row r="744">
          <cell r="B744" t="str">
            <v>TUBERIA PVC 3" SANITARIA</v>
          </cell>
          <cell r="C744" t="str">
            <v>ML</v>
          </cell>
          <cell r="D744">
            <v>4850</v>
          </cell>
          <cell r="E744">
            <v>291</v>
          </cell>
        </row>
        <row r="745">
          <cell r="B745" t="str">
            <v>CODO 3"X90 CXC SANITARIO</v>
          </cell>
          <cell r="C745" t="str">
            <v>Und</v>
          </cell>
          <cell r="D745">
            <v>3400</v>
          </cell>
          <cell r="E745">
            <v>204</v>
          </cell>
        </row>
        <row r="746">
          <cell r="B746" t="str">
            <v>CODO 4"X90 CXC SANITARIO</v>
          </cell>
          <cell r="C746" t="str">
            <v>Und</v>
          </cell>
          <cell r="D746">
            <v>5500</v>
          </cell>
          <cell r="E746">
            <v>330</v>
          </cell>
        </row>
        <row r="747">
          <cell r="B747" t="str">
            <v xml:space="preserve">LIMPIADOR PVC </v>
          </cell>
          <cell r="C747" t="str">
            <v>Und</v>
          </cell>
          <cell r="D747">
            <v>12500</v>
          </cell>
          <cell r="E747">
            <v>750</v>
          </cell>
        </row>
        <row r="748">
          <cell r="B748" t="str">
            <v>SOLDADURA PVC</v>
          </cell>
          <cell r="C748" t="str">
            <v>Und</v>
          </cell>
          <cell r="D748">
            <v>3500</v>
          </cell>
          <cell r="E748">
            <v>210</v>
          </cell>
        </row>
        <row r="749">
          <cell r="B749" t="str">
            <v>TUBERIA PVC 4" SANITARIA</v>
          </cell>
          <cell r="C749" t="str">
            <v>ML</v>
          </cell>
          <cell r="D749">
            <v>7000</v>
          </cell>
          <cell r="E749">
            <v>420</v>
          </cell>
        </row>
        <row r="750">
          <cell r="B750" t="str">
            <v xml:space="preserve">Arena </v>
          </cell>
          <cell r="C750" t="str">
            <v>M3</v>
          </cell>
          <cell r="D750">
            <v>35000</v>
          </cell>
          <cell r="E750">
            <v>2100</v>
          </cell>
        </row>
        <row r="751">
          <cell r="B751" t="str">
            <v>Gravilla</v>
          </cell>
          <cell r="C751" t="str">
            <v>M3</v>
          </cell>
          <cell r="D751">
            <v>40000</v>
          </cell>
          <cell r="E751">
            <v>2400</v>
          </cell>
        </row>
        <row r="752">
          <cell r="B752" t="str">
            <v>Varilla de 1/2"</v>
          </cell>
          <cell r="C752" t="str">
            <v>ML</v>
          </cell>
          <cell r="D752">
            <v>1900</v>
          </cell>
          <cell r="E752">
            <v>114</v>
          </cell>
        </row>
        <row r="753">
          <cell r="B753" t="str">
            <v>Platina 11/2" x 3/16</v>
          </cell>
          <cell r="C753" t="str">
            <v>ML</v>
          </cell>
          <cell r="D753">
            <v>3600</v>
          </cell>
          <cell r="E753">
            <v>216</v>
          </cell>
        </row>
        <row r="754">
          <cell r="B754" t="str">
            <v>Angulo de 2 1/2" x 1/4</v>
          </cell>
          <cell r="C754" t="str">
            <v>ML</v>
          </cell>
          <cell r="D754">
            <v>13300</v>
          </cell>
          <cell r="E754">
            <v>798</v>
          </cell>
        </row>
        <row r="755">
          <cell r="B755" t="str">
            <v>Angulo de 11/2" x 3/16</v>
          </cell>
          <cell r="C755" t="str">
            <v>ML</v>
          </cell>
          <cell r="D755">
            <v>6400</v>
          </cell>
          <cell r="E755">
            <v>384</v>
          </cell>
        </row>
        <row r="756">
          <cell r="B756" t="str">
            <v>Varilla de 5/8" Corrugada</v>
          </cell>
          <cell r="C756" t="str">
            <v>ML</v>
          </cell>
          <cell r="D756">
            <v>3300</v>
          </cell>
          <cell r="E756">
            <v>198</v>
          </cell>
        </row>
        <row r="757">
          <cell r="B757" t="str">
            <v>Corredera</v>
          </cell>
          <cell r="C757" t="str">
            <v>UN</v>
          </cell>
          <cell r="D757">
            <v>1200</v>
          </cell>
          <cell r="E757">
            <v>72</v>
          </cell>
        </row>
        <row r="758">
          <cell r="B758" t="str">
            <v>Chapa marca Vera sencilla</v>
          </cell>
          <cell r="C758" t="str">
            <v>UN</v>
          </cell>
          <cell r="D758">
            <v>25000</v>
          </cell>
          <cell r="E758">
            <v>1500</v>
          </cell>
        </row>
        <row r="759">
          <cell r="B759" t="str">
            <v>Corredera</v>
          </cell>
          <cell r="C759" t="str">
            <v>UN</v>
          </cell>
          <cell r="D759">
            <v>2500</v>
          </cell>
          <cell r="E759">
            <v>150</v>
          </cell>
        </row>
        <row r="760">
          <cell r="B760" t="str">
            <v>Angulo de 11/2"x1/8"</v>
          </cell>
          <cell r="C760" t="str">
            <v>ML</v>
          </cell>
          <cell r="D760">
            <v>6500</v>
          </cell>
          <cell r="E760">
            <v>390</v>
          </cell>
        </row>
        <row r="761">
          <cell r="B761" t="str">
            <v>Correa tipo canal</v>
          </cell>
          <cell r="C761" t="str">
            <v>ML</v>
          </cell>
          <cell r="D761">
            <v>6600</v>
          </cell>
          <cell r="E761">
            <v>396</v>
          </cell>
        </row>
        <row r="762">
          <cell r="B762" t="str">
            <v>Perno de 3/4"</v>
          </cell>
          <cell r="C762" t="str">
            <v>UN</v>
          </cell>
          <cell r="D762">
            <v>1500</v>
          </cell>
          <cell r="E762">
            <v>90</v>
          </cell>
        </row>
        <row r="763">
          <cell r="B763" t="str">
            <v>Malla eslabonada de 2x2 cal 10</v>
          </cell>
          <cell r="C763" t="str">
            <v>M2</v>
          </cell>
          <cell r="D763">
            <v>10000</v>
          </cell>
          <cell r="E763">
            <v>600</v>
          </cell>
        </row>
        <row r="764">
          <cell r="B764" t="str">
            <v>Tubo galvanizado de 2"</v>
          </cell>
          <cell r="C764" t="str">
            <v>ML</v>
          </cell>
          <cell r="D764">
            <v>8000</v>
          </cell>
          <cell r="E764">
            <v>480</v>
          </cell>
        </row>
        <row r="765">
          <cell r="B765" t="str">
            <v>Angulo de 1"x1/8"</v>
          </cell>
          <cell r="C765" t="str">
            <v>ML</v>
          </cell>
          <cell r="D765">
            <v>2000</v>
          </cell>
          <cell r="E765">
            <v>120</v>
          </cell>
        </row>
        <row r="766">
          <cell r="B766" t="str">
            <v>Platina de 1/2"x1/8"</v>
          </cell>
          <cell r="C766" t="str">
            <v>ML</v>
          </cell>
          <cell r="D766">
            <v>1300</v>
          </cell>
          <cell r="E766">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LOCALIZACION"/>
      <sheetName val="CTO BOCA 300 PSI"/>
      <sheetName val="CTO CICLOP "/>
      <sheetName val="AC 3 D 8&quot;"/>
      <sheetName val="AC 1 D 2"/>
      <sheetName val="AC 5 D 8"/>
      <sheetName val="REJILLA"/>
      <sheetName val="PVC BOC 4&quot; "/>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PTE IMP Y ESMALT"/>
      <sheetName val="CTO_BOCA_300_PSI4"/>
      <sheetName val="CTO_CICLOP_4"/>
      <sheetName val="AC_3_D_8&quot;4"/>
      <sheetName val="AC_1_D_24"/>
      <sheetName val="AC_5_D_84"/>
      <sheetName val="PVC_BOC_4&quot;_4"/>
      <sheetName val="ADAPTADOR_4&quot;4"/>
      <sheetName val="VAL_CORT_44"/>
      <sheetName val="UN_ION_4&quot;4"/>
      <sheetName val="SUMINISTRO_TUB_44"/>
      <sheetName val="INSTALACION_TUB_4&quot;4"/>
      <sheetName val="INST_TUB_3&quot;4"/>
      <sheetName val="INST_TUB_2_1,2_-_2&quot;4"/>
      <sheetName val="INST_TUB_1_1,2&quot;_-_1_1,4&quot;4"/>
      <sheetName val="INST_TUB_1&quot;_-_3,4&quot;4"/>
      <sheetName val="INST_TUB_1,2&quot;4"/>
      <sheetName val="localizacion_des4"/>
      <sheetName val="CTO_DESAR4"/>
      <sheetName val="CTO_2000PSI_SOLADO4"/>
      <sheetName val="PTE_IMP_Y_ESMALT4"/>
      <sheetName val="CTO_BOCA_300_PSI"/>
      <sheetName val="CTO_CICLOP_"/>
      <sheetName val="AC_3_D_8&quot;"/>
      <sheetName val="AC_1_D_2"/>
      <sheetName val="AC_5_D_8"/>
      <sheetName val="PVC_BOC_4&quot;_"/>
      <sheetName val="ADAPTADOR_4&quot;"/>
      <sheetName val="VAL_CORT_4"/>
      <sheetName val="UN_ION_4&quot;"/>
      <sheetName val="SUMINISTRO_TUB_4"/>
      <sheetName val="INSTALACION_TUB_4&quot;"/>
      <sheetName val="INST_TUB_3&quot;"/>
      <sheetName val="INST_TUB_2_1,2_-_2&quot;"/>
      <sheetName val="INST_TUB_1_1,2&quot;_-_1_1,4&quot;"/>
      <sheetName val="INST_TUB_1&quot;_-_3,4&quot;"/>
      <sheetName val="INST_TUB_1,2&quot;"/>
      <sheetName val="localizacion_des"/>
      <sheetName val="CTO_DESAR"/>
      <sheetName val="CTO_2000PSI_SOLADO"/>
      <sheetName val="PTE_IMP_Y_ESMALT"/>
      <sheetName val="CTO_BOCA_300_PSI1"/>
      <sheetName val="CTO_CICLOP_1"/>
      <sheetName val="AC_3_D_8&quot;1"/>
      <sheetName val="AC_1_D_21"/>
      <sheetName val="AC_5_D_81"/>
      <sheetName val="PVC_BOC_4&quot;_1"/>
      <sheetName val="ADAPTADOR_4&quot;1"/>
      <sheetName val="VAL_CORT_41"/>
      <sheetName val="UN_ION_4&quot;1"/>
      <sheetName val="SUMINISTRO_TUB_41"/>
      <sheetName val="INSTALACION_TUB_4&quot;1"/>
      <sheetName val="INST_TUB_3&quot;1"/>
      <sheetName val="INST_TUB_2_1,2_-_2&quot;1"/>
      <sheetName val="INST_TUB_1_1,2&quot;_-_1_1,4&quot;1"/>
      <sheetName val="INST_TUB_1&quot;_-_3,4&quot;1"/>
      <sheetName val="INST_TUB_1,2&quot;1"/>
      <sheetName val="localizacion_des1"/>
      <sheetName val="CTO_DESAR1"/>
      <sheetName val="CTO_2000PSI_SOLADO1"/>
      <sheetName val="PTE_IMP_Y_ESMALT1"/>
      <sheetName val="CTO_BOCA_300_PSI2"/>
      <sheetName val="CTO_CICLOP_2"/>
      <sheetName val="AC_3_D_8&quot;2"/>
      <sheetName val="AC_1_D_22"/>
      <sheetName val="AC_5_D_82"/>
      <sheetName val="PVC_BOC_4&quot;_2"/>
      <sheetName val="ADAPTADOR_4&quot;2"/>
      <sheetName val="VAL_CORT_42"/>
      <sheetName val="UN_ION_4&quot;2"/>
      <sheetName val="SUMINISTRO_TUB_42"/>
      <sheetName val="INSTALACION_TUB_4&quot;2"/>
      <sheetName val="INST_TUB_3&quot;2"/>
      <sheetName val="INST_TUB_2_1,2_-_2&quot;2"/>
      <sheetName val="INST_TUB_1_1,2&quot;_-_1_1,4&quot;2"/>
      <sheetName val="INST_TUB_1&quot;_-_3,4&quot;2"/>
      <sheetName val="INST_TUB_1,2&quot;2"/>
      <sheetName val="localizacion_des2"/>
      <sheetName val="CTO_DESAR2"/>
      <sheetName val="CTO_2000PSI_SOLADO2"/>
      <sheetName val="PTE_IMP_Y_ESMALT2"/>
      <sheetName val="CTO_BOCA_300_PSI3"/>
      <sheetName val="CTO_CICLOP_3"/>
      <sheetName val="AC_3_D_8&quot;3"/>
      <sheetName val="AC_1_D_23"/>
      <sheetName val="AC_5_D_83"/>
      <sheetName val="PVC_BOC_4&quot;_3"/>
      <sheetName val="ADAPTADOR_4&quot;3"/>
      <sheetName val="VAL_CORT_43"/>
      <sheetName val="UN_ION_4&quot;3"/>
      <sheetName val="SUMINISTRO_TUB_43"/>
      <sheetName val="INSTALACION_TUB_4&quot;3"/>
      <sheetName val="INST_TUB_3&quot;3"/>
      <sheetName val="INST_TUB_2_1,2_-_2&quot;3"/>
      <sheetName val="INST_TUB_1_1,2&quot;_-_1_1,4&quot;3"/>
      <sheetName val="INST_TUB_1&quot;_-_3,4&quot;3"/>
      <sheetName val="INST_TUB_1,2&quot;3"/>
      <sheetName val="localizacion_des3"/>
      <sheetName val="CTO_DESAR3"/>
      <sheetName val="CTO_2000PSI_SOLADO3"/>
      <sheetName val="PTE_IMP_Y_ESMALT3"/>
      <sheetName val="CTO_BOCA_300_PSI6"/>
      <sheetName val="CTO_CICLOP_6"/>
      <sheetName val="AC_3_D_8&quot;6"/>
      <sheetName val="AC_1_D_26"/>
      <sheetName val="AC_5_D_86"/>
      <sheetName val="PVC_BOC_4&quot;_6"/>
      <sheetName val="ADAPTADOR_4&quot;6"/>
      <sheetName val="VAL_CORT_46"/>
      <sheetName val="UN_ION_4&quot;6"/>
      <sheetName val="SUMINISTRO_TUB_46"/>
      <sheetName val="INSTALACION_TUB_4&quot;6"/>
      <sheetName val="INST_TUB_3&quot;6"/>
      <sheetName val="INST_TUB_2_1,2_-_2&quot;6"/>
      <sheetName val="INST_TUB_1_1,2&quot;_-_1_1,4&quot;6"/>
      <sheetName val="INST_TUB_1&quot;_-_3,4&quot;6"/>
      <sheetName val="INST_TUB_1,2&quot;6"/>
      <sheetName val="localizacion_des6"/>
      <sheetName val="CTO_DESAR6"/>
      <sheetName val="CTO_2000PSI_SOLADO6"/>
      <sheetName val="PTE_IMP_Y_ESMALT6"/>
      <sheetName val="CTO_BOCA_300_PSI5"/>
      <sheetName val="CTO_CICLOP_5"/>
      <sheetName val="AC_3_D_8&quot;5"/>
      <sheetName val="AC_1_D_25"/>
      <sheetName val="AC_5_D_85"/>
      <sheetName val="PVC_BOC_4&quot;_5"/>
      <sheetName val="ADAPTADOR_4&quot;5"/>
      <sheetName val="VAL_CORT_45"/>
      <sheetName val="UN_ION_4&quot;5"/>
      <sheetName val="SUMINISTRO_TUB_45"/>
      <sheetName val="INSTALACION_TUB_4&quot;5"/>
      <sheetName val="INST_TUB_3&quot;5"/>
      <sheetName val="INST_TUB_2_1,2_-_2&quot;5"/>
      <sheetName val="INST_TUB_1_1,2&quot;_-_1_1,4&quot;5"/>
      <sheetName val="INST_TUB_1&quot;_-_3,4&quot;5"/>
      <sheetName val="INST_TUB_1,2&quot;5"/>
      <sheetName val="localizacion_des5"/>
      <sheetName val="CTO_DESAR5"/>
      <sheetName val="CTO_2000PSI_SOLADO5"/>
      <sheetName val="PTE_IMP_Y_ESMALT5"/>
      <sheetName val="CTO_BOCA_300_PSI7"/>
      <sheetName val="CTO_CICLOP_7"/>
      <sheetName val="AC_3_D_8&quot;7"/>
      <sheetName val="AC_1_D_27"/>
      <sheetName val="AC_5_D_87"/>
      <sheetName val="PVC_BOC_4&quot;_7"/>
      <sheetName val="ADAPTADOR_4&quot;7"/>
      <sheetName val="VAL_CORT_47"/>
      <sheetName val="UN_ION_4&quot;7"/>
      <sheetName val="SUMINISTRO_TUB_47"/>
      <sheetName val="INSTALACION_TUB_4&quot;7"/>
      <sheetName val="INST_TUB_3&quot;7"/>
      <sheetName val="INST_TUB_2_1,2_-_2&quot;7"/>
      <sheetName val="INST_TUB_1_1,2&quot;_-_1_1,4&quot;7"/>
      <sheetName val="INST_TUB_1&quot;_-_3,4&quot;7"/>
      <sheetName val="INST_TUB_1,2&quot;7"/>
      <sheetName val="localizacion_des7"/>
      <sheetName val="CTO_DESAR7"/>
      <sheetName val="CTO_2000PSI_SOLADO7"/>
      <sheetName val="PTE_IMP_Y_ESMALT7"/>
      <sheetName val="CTO_BOCA_300_PSI8"/>
      <sheetName val="CTO_CICLOP_8"/>
      <sheetName val="AC_3_D_8&quot;8"/>
      <sheetName val="AC_1_D_28"/>
      <sheetName val="AC_5_D_88"/>
      <sheetName val="PVC_BOC_4&quot;_8"/>
      <sheetName val="ADAPTADOR_4&quot;8"/>
      <sheetName val="VAL_CORT_48"/>
      <sheetName val="UN_ION_4&quot;8"/>
      <sheetName val="SUMINISTRO_TUB_48"/>
      <sheetName val="INSTALACION_TUB_4&quot;8"/>
      <sheetName val="INST_TUB_3&quot;8"/>
      <sheetName val="INST_TUB_2_1,2_-_2&quot;8"/>
      <sheetName val="INST_TUB_1_1,2&quot;_-_1_1,4&quot;8"/>
      <sheetName val="INST_TUB_1&quot;_-_3,4&quot;8"/>
      <sheetName val="INST_TUB_1,2&quot;8"/>
      <sheetName val="localizacion_des8"/>
      <sheetName val="CTO_DESAR8"/>
      <sheetName val="CTO_2000PSI_SOLADO8"/>
      <sheetName val="PTE_IMP_Y_ESMALT8"/>
      <sheetName val="CTO_BOCA_300_PSI9"/>
      <sheetName val="CTO_CICLOP_9"/>
      <sheetName val="AC_3_D_8&quot;9"/>
      <sheetName val="AC_1_D_29"/>
      <sheetName val="AC_5_D_89"/>
      <sheetName val="PVC_BOC_4&quot;_9"/>
      <sheetName val="ADAPTADOR_4&quot;9"/>
      <sheetName val="VAL_CORT_49"/>
      <sheetName val="UN_ION_4&quot;9"/>
      <sheetName val="SUMINISTRO_TUB_49"/>
      <sheetName val="INSTALACION_TUB_4&quot;9"/>
      <sheetName val="INST_TUB_3&quot;9"/>
      <sheetName val="INST_TUB_2_1,2_-_2&quot;9"/>
      <sheetName val="INST_TUB_1_1,2&quot;_-_1_1,4&quot;9"/>
      <sheetName val="INST_TUB_1&quot;_-_3,4&quot;9"/>
      <sheetName val="INST_TUB_1,2&quot;9"/>
      <sheetName val="localizacion_des9"/>
      <sheetName val="CTO_DESAR9"/>
      <sheetName val="CTO_2000PSI_SOLADO9"/>
      <sheetName val="PTE_IMP_Y_ESMALT9"/>
    </sheetNames>
    <sheetDataSet>
      <sheetData sheetId="0" refreshError="1">
        <row r="1">
          <cell r="A1" t="str">
            <v>REFERENCIA</v>
          </cell>
          <cell r="G1">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01"/>
      <sheetName val="02"/>
      <sheetName val="03"/>
      <sheetName val="05"/>
      <sheetName val="06"/>
      <sheetName val="07"/>
      <sheetName val="08"/>
      <sheetName val="09"/>
      <sheetName val="9.1"/>
      <sheetName val="10"/>
      <sheetName val="11"/>
      <sheetName val="12"/>
      <sheetName val="13"/>
      <sheetName val="14"/>
      <sheetName val="14.1"/>
      <sheetName val="15"/>
      <sheetName val="16"/>
      <sheetName val="17"/>
      <sheetName val="18"/>
    </sheetNames>
    <sheetDataSet>
      <sheetData sheetId="0">
        <row r="2">
          <cell r="P2">
            <v>45933</v>
          </cell>
        </row>
      </sheetData>
      <sheetData sheetId="1"/>
      <sheetData sheetId="2">
        <row r="13">
          <cell r="G13">
            <v>6</v>
          </cell>
        </row>
      </sheetData>
      <sheetData sheetId="3"/>
      <sheetData sheetId="4"/>
      <sheetData sheetId="5">
        <row r="2">
          <cell r="H2">
            <v>2.3000000000000003</v>
          </cell>
        </row>
      </sheetData>
      <sheetData sheetId="6"/>
      <sheetData sheetId="7">
        <row r="1">
          <cell r="L1" t="str">
            <v>FECHA</v>
          </cell>
        </row>
        <row r="2">
          <cell r="L2">
            <v>45933</v>
          </cell>
        </row>
        <row r="7">
          <cell r="B7">
            <v>1</v>
          </cell>
          <cell r="C7">
            <v>2</v>
          </cell>
          <cell r="D7">
            <v>3</v>
          </cell>
          <cell r="E7">
            <v>4</v>
          </cell>
          <cell r="F7">
            <v>5</v>
          </cell>
          <cell r="G7">
            <v>6</v>
          </cell>
          <cell r="H7">
            <v>7</v>
          </cell>
          <cell r="I7">
            <v>8</v>
          </cell>
          <cell r="J7">
            <v>9</v>
          </cell>
          <cell r="K7">
            <v>10</v>
          </cell>
          <cell r="L7">
            <v>11</v>
          </cell>
          <cell r="M7">
            <v>12</v>
          </cell>
        </row>
        <row r="8">
          <cell r="B8" t="str">
            <v>NOMBRE</v>
          </cell>
          <cell r="H8" t="str">
            <v>UNIDAD</v>
          </cell>
          <cell r="I8" t="str">
            <v>EQUIPO</v>
          </cell>
          <cell r="J8" t="str">
            <v>MAT.</v>
          </cell>
          <cell r="K8" t="str">
            <v>TRANSP.</v>
          </cell>
          <cell r="L8" t="str">
            <v>M.O.</v>
          </cell>
          <cell r="M8" t="str">
            <v>COSTO</v>
          </cell>
        </row>
        <row r="9">
          <cell r="B9" t="str">
            <v>LOCALIZACIÓN Y REPLANTEO DE REDES (NO INCLUYE EQUIPO DE TOPOGRAFÍA)</v>
          </cell>
          <cell r="H9" t="str">
            <v>M</v>
          </cell>
          <cell r="I9">
            <v>52.488448593750007</v>
          </cell>
          <cell r="J9">
            <v>2058.7960000000003</v>
          </cell>
          <cell r="K9">
            <v>211.12844485937504</v>
          </cell>
          <cell r="L9">
            <v>1049.768971875</v>
          </cell>
          <cell r="M9">
            <v>3372.19</v>
          </cell>
        </row>
        <row r="10">
          <cell r="B10" t="str">
            <v>CORTE DE PAVIMENTO RÍGIDO</v>
          </cell>
          <cell r="H10" t="str">
            <v>M</v>
          </cell>
          <cell r="I10">
            <v>7962.4239562500006</v>
          </cell>
          <cell r="J10">
            <v>400</v>
          </cell>
          <cell r="K10">
            <v>836.24239562500009</v>
          </cell>
          <cell r="L10">
            <v>32659.479125000002</v>
          </cell>
          <cell r="M10">
            <v>41858.145476875005</v>
          </cell>
        </row>
        <row r="11">
          <cell r="B11" t="str">
            <v>ROTURA DE PAVIMENTO RÍGIDO</v>
          </cell>
          <cell r="H11" t="str">
            <v>M3</v>
          </cell>
          <cell r="I11">
            <v>32739.054866071427</v>
          </cell>
          <cell r="J11">
            <v>400</v>
          </cell>
          <cell r="K11">
            <v>3313.9054866071428</v>
          </cell>
          <cell r="L11">
            <v>46656.39875</v>
          </cell>
          <cell r="M11">
            <v>83109.359102678573</v>
          </cell>
        </row>
        <row r="12">
          <cell r="B12" t="str">
            <v>EXCAVACIÓN MANUAL EN MATERIAL COMÚN</v>
          </cell>
          <cell r="H12" t="str">
            <v>M3</v>
          </cell>
          <cell r="I12">
            <v>0</v>
          </cell>
          <cell r="J12">
            <v>1999.5599464285715</v>
          </cell>
          <cell r="K12">
            <v>0</v>
          </cell>
          <cell r="L12">
            <v>39991.19892857143</v>
          </cell>
          <cell r="M12">
            <v>41990.758875</v>
          </cell>
        </row>
        <row r="13">
          <cell r="B13" t="str">
            <v>EXCAVACIÓN MECÁNICA EN MATERIAL COMÚN (INCLUYE MAQUINARIA)</v>
          </cell>
          <cell r="H13" t="str">
            <v>M3</v>
          </cell>
          <cell r="I13">
            <v>21000</v>
          </cell>
          <cell r="J13">
            <v>0</v>
          </cell>
          <cell r="K13">
            <v>2100</v>
          </cell>
          <cell r="L13">
            <v>0</v>
          </cell>
          <cell r="M13">
            <v>23100</v>
          </cell>
        </row>
        <row r="14">
          <cell r="B14" t="str">
            <v>ENTIBADO EN MADERA TIPO 2; CONTINUO PARA PROFUNDIDADES DE 2,0 A 4,0 MTS PARA TERRENOS INESTABLES 5 USOS</v>
          </cell>
          <cell r="H14" t="str">
            <v>M2</v>
          </cell>
          <cell r="I14">
            <v>1360.8116302083336</v>
          </cell>
          <cell r="J14">
            <v>26648.621999999999</v>
          </cell>
          <cell r="K14">
            <v>2800.9433630208332</v>
          </cell>
          <cell r="L14">
            <v>27216.232604166667</v>
          </cell>
          <cell r="M14">
            <v>58026.609597395829</v>
          </cell>
        </row>
        <row r="15">
          <cell r="B15" t="str">
            <v>EXCAVACIÓN EN ROCA SIN EXPLOSIVOS (INCLUYE COMPRESOR, MARTILLO DEMOLEDOR)</v>
          </cell>
          <cell r="H15" t="str">
            <v>M3</v>
          </cell>
          <cell r="I15">
            <v>0</v>
          </cell>
          <cell r="J15">
            <v>58818.469788284521</v>
          </cell>
          <cell r="K15">
            <v>2940.9234894142264</v>
          </cell>
          <cell r="L15">
            <v>97607.528765690367</v>
          </cell>
          <cell r="M15">
            <v>159366.93000000002</v>
          </cell>
        </row>
        <row r="16">
          <cell r="B16" t="str">
            <v>RELLENO CON ARENA PARA BASE DE TUBERÍA</v>
          </cell>
          <cell r="H16" t="str">
            <v>M3</v>
          </cell>
          <cell r="I16">
            <v>1088.6493041666668</v>
          </cell>
          <cell r="J16">
            <v>65450</v>
          </cell>
          <cell r="K16">
            <v>135406.9445432639</v>
          </cell>
          <cell r="L16">
            <v>21772.986083333333</v>
          </cell>
          <cell r="M16">
            <v>223718.5799307639</v>
          </cell>
        </row>
        <row r="17">
          <cell r="B17" t="str">
            <v>RELLENO CON TRITURADO PASANTE DE 3/4"</v>
          </cell>
          <cell r="H17" t="str">
            <v>M3</v>
          </cell>
          <cell r="I17">
            <v>1088.6493041666668</v>
          </cell>
          <cell r="J17">
            <v>113050</v>
          </cell>
          <cell r="K17">
            <v>135406.9445432639</v>
          </cell>
          <cell r="L17">
            <v>21772.986083333333</v>
          </cell>
          <cell r="M17">
            <v>271318.57993076392</v>
          </cell>
        </row>
        <row r="18">
          <cell r="B18" t="str">
            <v>RELLENO CON SUB-BASE SEGÚN NORMA INVIAS</v>
          </cell>
          <cell r="H18" t="str">
            <v>M3</v>
          </cell>
          <cell r="I18">
            <v>9474.6677222222224</v>
          </cell>
          <cell r="J18">
            <v>116525</v>
          </cell>
          <cell r="K18">
            <v>136245.54638506947</v>
          </cell>
          <cell r="L18">
            <v>41472.354444444441</v>
          </cell>
          <cell r="M18">
            <v>303717.56855173607</v>
          </cell>
        </row>
        <row r="19">
          <cell r="B19" t="str">
            <v>RELLENO CON MATERIAL SELECCIONADO DE LA EXCAVACIÓN, COMPACTADO CON EQUIPO MECÁNICO EN CAPAS DE 0,20 m</v>
          </cell>
          <cell r="H19" t="str">
            <v>M3</v>
          </cell>
          <cell r="I19">
            <v>14156.300526704545</v>
          </cell>
          <cell r="J19">
            <v>0</v>
          </cell>
          <cell r="K19">
            <v>707.81502633522723</v>
          </cell>
          <cell r="L19">
            <v>13996.919625000002</v>
          </cell>
          <cell r="M19">
            <v>28861.035178039776</v>
          </cell>
        </row>
        <row r="20">
          <cell r="B20" t="str">
            <v>REPOSICIÓN DE PAVIMENTO RÍGIDO MR-40 EN CONCRETO DE 4000 PSI (INCLUYE JUNTAS, SELLANTE, ACERO DE REFUERZO)</v>
          </cell>
          <cell r="H20" t="str">
            <v>M3</v>
          </cell>
          <cell r="I20">
            <v>4263.905254166667</v>
          </cell>
          <cell r="J20">
            <v>1318254.6462842803</v>
          </cell>
          <cell r="K20">
            <v>46125.050746744637</v>
          </cell>
          <cell r="L20">
            <v>59098.105083333336</v>
          </cell>
          <cell r="M20">
            <v>1427741.707368525</v>
          </cell>
        </row>
        <row r="21">
          <cell r="B21" t="str">
            <v>RETIRO DE MATERIAL SOBRANTE HASTA BOTADERO AUTORIZADO (INCLUYE FACTOR DE EXPANSIÓN)</v>
          </cell>
          <cell r="H21" t="str">
            <v>M3-KM</v>
          </cell>
          <cell r="I21">
            <v>0</v>
          </cell>
          <cell r="J21">
            <v>892.5</v>
          </cell>
          <cell r="K21">
            <v>1879.1399946228782</v>
          </cell>
          <cell r="L21">
            <v>0</v>
          </cell>
          <cell r="M21">
            <v>2771.6399946228785</v>
          </cell>
        </row>
        <row r="22">
          <cell r="B22" t="str">
            <v>DISPOSICIÓN DE MATERIAL PROVENIENTE DE EXCAVACIÓN (NO INCLUYE TRANSPORTE)</v>
          </cell>
          <cell r="H22" t="str">
            <v>M3</v>
          </cell>
          <cell r="I22">
            <v>0</v>
          </cell>
          <cell r="J22">
            <v>2499</v>
          </cell>
          <cell r="K22">
            <v>0</v>
          </cell>
          <cell r="L22">
            <v>1749.6149531250003</v>
          </cell>
          <cell r="M22">
            <v>4248.62</v>
          </cell>
        </row>
        <row r="23">
          <cell r="B23" t="str">
            <v>CONSTRUCCIÓN DE PLACA DE FONDO PARA POZO DE INSPECCIÓN DE ALCANTARILLADO (INCLUYE REPLANTEO, EXCAVACIÓN, CONCRETO DE 4000 PSI, ACERO DE REFUERZO)</v>
          </cell>
          <cell r="H23" t="str">
            <v>UND</v>
          </cell>
          <cell r="I23">
            <v>2176765.6773300255</v>
          </cell>
          <cell r="J23">
            <v>7581.6647968750003</v>
          </cell>
          <cell r="K23">
            <v>0</v>
          </cell>
          <cell r="L23">
            <v>151633.29593749999</v>
          </cell>
          <cell r="M23">
            <v>2335980.6380644003</v>
          </cell>
        </row>
        <row r="24">
          <cell r="B24" t="str">
            <v>CONSTRUCCIÓN DE CILINDRO DE POZO DE INSPECCIÓN DE ALCANTARILLADO (INCLUYE CONCRETO DE 4000 PSI, ACERO DE REFUERZO)</v>
          </cell>
          <cell r="H24" t="str">
            <v>ML</v>
          </cell>
          <cell r="I24">
            <v>1701065.5395382561</v>
          </cell>
          <cell r="J24">
            <v>3032.6659187500004</v>
          </cell>
          <cell r="K24">
            <v>0</v>
          </cell>
          <cell r="L24">
            <v>60653.318375000003</v>
          </cell>
          <cell r="M24">
            <v>1764751.52</v>
          </cell>
        </row>
        <row r="25">
          <cell r="B25" t="str">
            <v>CONCRETO PARA TAPA DE 4000 PSI IMPERMEABILIZADO 280 KG/CM2 (INCLUYE FORMALETA EN MADERA)</v>
          </cell>
          <cell r="H25" t="str">
            <v>M3</v>
          </cell>
          <cell r="I25">
            <v>42774.359750000003</v>
          </cell>
          <cell r="J25">
            <v>798607.52173913037</v>
          </cell>
          <cell r="K25">
            <v>106538.7179875</v>
          </cell>
          <cell r="L25">
            <v>186625.595</v>
          </cell>
          <cell r="M25">
            <v>1134546.2</v>
          </cell>
        </row>
        <row r="26">
          <cell r="B26" t="str">
            <v>SUMINISTRO E INSTALACIÓN DE TAPA Y ARO DE SEGURIDAD PARA POZOS DE INSPECCIÓN ASTM-536 CON RESISTENCIA D400</v>
          </cell>
          <cell r="H26" t="str">
            <v>UND</v>
          </cell>
          <cell r="I26">
            <v>791900</v>
          </cell>
          <cell r="J26">
            <v>2041.2174453125001</v>
          </cell>
          <cell r="K26">
            <v>79190</v>
          </cell>
          <cell r="L26">
            <v>40824.348906250001</v>
          </cell>
          <cell r="M26">
            <v>913955.56635156251</v>
          </cell>
        </row>
        <row r="27">
          <cell r="B27" t="str">
            <v>SUMINISTRO E INSTALACIÓN PASOS PARA ESCALERA DE GATO EN VARILLA PRD-60 DE 3/4" ANTIDESLIZANTE CON ANCLAJE DENTADO, REFUERZO, Y TRANCA PIE. L=0,30 M AN= 0,30</v>
          </cell>
          <cell r="H27" t="str">
            <v>UND</v>
          </cell>
          <cell r="I27">
            <v>3530.0542958333335</v>
          </cell>
          <cell r="J27">
            <v>78000</v>
          </cell>
          <cell r="K27">
            <v>8153.0054295833334</v>
          </cell>
          <cell r="L27">
            <v>21772.986083333333</v>
          </cell>
          <cell r="M27">
            <v>111456.04580875002</v>
          </cell>
        </row>
        <row r="28">
          <cell r="B28" t="str">
            <v>SUMINISTRO DE TUBERÍA PVC DE Ø8" ALCANTARILLADO</v>
          </cell>
          <cell r="H28" t="str">
            <v>ML</v>
          </cell>
          <cell r="I28">
            <v>75144.5</v>
          </cell>
          <cell r="J28">
            <v>0</v>
          </cell>
          <cell r="K28">
            <v>7514.4500000000007</v>
          </cell>
          <cell r="L28">
            <v>0</v>
          </cell>
          <cell r="M28">
            <v>82658.95</v>
          </cell>
        </row>
        <row r="29">
          <cell r="B29" t="str">
            <v>SUMINISTRO DE TUBERÍA PVC DE Ø10" ALCANTARILLADO</v>
          </cell>
          <cell r="H29" t="str">
            <v>ML</v>
          </cell>
          <cell r="I29">
            <v>109752</v>
          </cell>
          <cell r="J29">
            <v>0</v>
          </cell>
          <cell r="K29">
            <v>10975.2</v>
          </cell>
          <cell r="L29">
            <v>0</v>
          </cell>
          <cell r="M29">
            <v>120727.2</v>
          </cell>
        </row>
        <row r="30">
          <cell r="B30" t="str">
            <v>SUMINISTRO DE TUBERÍA PVC DE Ø12" ALCANTARILLADO</v>
          </cell>
          <cell r="H30" t="str">
            <v>ML</v>
          </cell>
          <cell r="I30">
            <v>157926.33333333334</v>
          </cell>
          <cell r="J30">
            <v>0</v>
          </cell>
          <cell r="K30">
            <v>15792.633333333335</v>
          </cell>
          <cell r="L30">
            <v>0</v>
          </cell>
          <cell r="M30">
            <v>173718.96666666667</v>
          </cell>
        </row>
        <row r="31">
          <cell r="B31" t="str">
            <v>INSTALACIÓN DE TUBERÍA PVC DE Ø8"</v>
          </cell>
          <cell r="H31" t="str">
            <v>ML</v>
          </cell>
          <cell r="I31">
            <v>17829.920000000002</v>
          </cell>
          <cell r="J31">
            <v>466.5639875</v>
          </cell>
          <cell r="K31">
            <v>1782.9920000000002</v>
          </cell>
          <cell r="L31">
            <v>9331.2797499999997</v>
          </cell>
          <cell r="M31">
            <v>29410.755737500003</v>
          </cell>
        </row>
        <row r="32">
          <cell r="B32" t="str">
            <v>INSTALACIÓN DE TUBERÍA PVC DE Ø10"</v>
          </cell>
          <cell r="H32" t="str">
            <v>ML</v>
          </cell>
          <cell r="I32">
            <v>22287.4</v>
          </cell>
          <cell r="J32">
            <v>466.5639875</v>
          </cell>
          <cell r="K32">
            <v>2228.7400000000002</v>
          </cell>
          <cell r="L32">
            <v>9331.2797499999997</v>
          </cell>
          <cell r="M32">
            <v>34313.990000000005</v>
          </cell>
        </row>
        <row r="33">
          <cell r="B33" t="str">
            <v>INSTALACIÓN DE TUBERÍA PVC DE Ø12"</v>
          </cell>
          <cell r="H33" t="str">
            <v>ML</v>
          </cell>
          <cell r="I33">
            <v>26744.879999999997</v>
          </cell>
          <cell r="J33">
            <v>466.5639875</v>
          </cell>
          <cell r="K33">
            <v>2674.4879999999998</v>
          </cell>
          <cell r="L33">
            <v>9331.2797499999997</v>
          </cell>
          <cell r="M33">
            <v>39217.22</v>
          </cell>
        </row>
        <row r="34">
          <cell r="B34" t="str">
            <v>LOCALIZACIÓN Y REPLANTEO DE ESTRUCTURAS  (NO INCLUYE EQUIPO DE TOPOGRAFÍA)</v>
          </cell>
          <cell r="H34" t="str">
            <v>M2</v>
          </cell>
          <cell r="I34">
            <v>104.97689718750001</v>
          </cell>
          <cell r="J34">
            <v>2008.796</v>
          </cell>
          <cell r="K34">
            <v>211.37728971875001</v>
          </cell>
          <cell r="L34">
            <v>2099.5379437500001</v>
          </cell>
          <cell r="M34">
            <v>4424.68813065625</v>
          </cell>
        </row>
        <row r="35">
          <cell r="B35" t="str">
            <v>RELLENO TIPO II: CON RECEBO SELECCIONADO, COMPACTADO EN CAPAS DE 20 CM, PROCTOR MODIFICADO 95%, A TODO FACTOR</v>
          </cell>
          <cell r="H35" t="str">
            <v>M3</v>
          </cell>
          <cell r="I35">
            <v>10126.119976562501</v>
          </cell>
          <cell r="J35">
            <v>15470</v>
          </cell>
          <cell r="K35">
            <v>136310.69161050351</v>
          </cell>
          <cell r="L35">
            <v>17496.149531250001</v>
          </cell>
          <cell r="M35">
            <v>179402.97</v>
          </cell>
        </row>
        <row r="36">
          <cell r="B36" t="str">
            <v>CONCRETO PARA SOLADO DE 2000 PSI A TODO COSTO (140 KG/CM2)</v>
          </cell>
          <cell r="H36" t="str">
            <v>M3</v>
          </cell>
          <cell r="I36">
            <v>284650</v>
          </cell>
          <cell r="J36">
            <v>30964.248666666666</v>
          </cell>
          <cell r="K36">
            <v>153528.50447951391</v>
          </cell>
          <cell r="L36">
            <v>165889.41777777777</v>
          </cell>
          <cell r="M36">
            <v>635032.18000000005</v>
          </cell>
        </row>
        <row r="37">
          <cell r="B37" t="str">
            <v>FORMALETA METÁLICA PARA ESTRUCTURA HIDRÁULICA</v>
          </cell>
          <cell r="H37" t="str">
            <v>M2</v>
          </cell>
          <cell r="I37">
            <v>2099.5379437500001</v>
          </cell>
          <cell r="J37">
            <v>68826.416666666657</v>
          </cell>
          <cell r="K37">
            <v>6882.6416666666664</v>
          </cell>
          <cell r="L37">
            <v>41990.758875</v>
          </cell>
          <cell r="M37">
            <v>119799.35515208331</v>
          </cell>
        </row>
        <row r="38">
          <cell r="B38" t="str">
            <v>SUMINISTRO FIGURADO Y ARMADO DE ACERO DE REFUERZO 60000 PSI (INCLUYE DESPERDICIO DEL 5%)</v>
          </cell>
          <cell r="H38" t="str">
            <v>KG</v>
          </cell>
          <cell r="I38">
            <v>111.0866636904762</v>
          </cell>
          <cell r="J38">
            <v>4193.2287323943656</v>
          </cell>
          <cell r="K38">
            <v>209.6614366197183</v>
          </cell>
          <cell r="L38">
            <v>2221.7332738095238</v>
          </cell>
          <cell r="M38">
            <v>6735.72</v>
          </cell>
        </row>
        <row r="39">
          <cell r="B39" t="str">
            <v>CAJA REGISTRO DE ALCANTARILLADO 45 X 45 X 45CM EN CONCRETO DE 4000 PSI IN SITU (INCLUYE EXCAVACIÓN, ACERO DE REFUERZO 60000PSI, KIT SILLA YEE 8"X6", CODO 6" 45°, NIPLE PVC L=0,25M)</v>
          </cell>
          <cell r="H39" t="str">
            <v>UND</v>
          </cell>
          <cell r="I39">
            <v>1360.8116302083336</v>
          </cell>
          <cell r="J39">
            <v>447019.54766990425</v>
          </cell>
          <cell r="K39">
            <v>22419.017965005631</v>
          </cell>
          <cell r="L39">
            <v>27216.232604166667</v>
          </cell>
          <cell r="M39">
            <v>498015.6098692849</v>
          </cell>
        </row>
        <row r="40">
          <cell r="B40" t="str">
            <v>SUMINISTRO DE TUBERÍA PVC DE Ø6" ALCANTARILLADO</v>
          </cell>
          <cell r="H40" t="str">
            <v>ML</v>
          </cell>
          <cell r="I40">
            <v>52566.833333333336</v>
          </cell>
          <cell r="J40">
            <v>0</v>
          </cell>
          <cell r="K40">
            <v>2628.3416666666672</v>
          </cell>
          <cell r="L40">
            <v>0</v>
          </cell>
          <cell r="M40">
            <v>55195.175000000003</v>
          </cell>
        </row>
        <row r="41">
          <cell r="B41" t="str">
            <v>INSTALACIÓN DE TUBERÍA PVC DE Ø6"</v>
          </cell>
          <cell r="H41" t="str">
            <v>ML</v>
          </cell>
          <cell r="I41">
            <v>13372.439999999999</v>
          </cell>
          <cell r="J41">
            <v>424.14907954545464</v>
          </cell>
          <cell r="K41">
            <v>1337.2439999999999</v>
          </cell>
          <cell r="L41">
            <v>8482.9815909090921</v>
          </cell>
          <cell r="M41">
            <v>23616.82</v>
          </cell>
        </row>
        <row r="42">
          <cell r="B42" t="str">
            <v>CONCRETO PARA PISO DE 4000 PSI IMPERMEABILIZADO A TODO COSTO (280 KG/CM2)</v>
          </cell>
          <cell r="H42" t="str">
            <v>M3</v>
          </cell>
          <cell r="I42">
            <v>42075.359777777776</v>
          </cell>
          <cell r="J42">
            <v>455292.52173913043</v>
          </cell>
          <cell r="K42">
            <v>172925.26776453809</v>
          </cell>
          <cell r="L42">
            <v>165889.41777777777</v>
          </cell>
          <cell r="M42">
            <v>836182.56705922401</v>
          </cell>
        </row>
        <row r="43">
          <cell r="B43" t="str">
            <v>EXTENDIDO MANUAL DE TIERRAS CON MATERIAL DE LA PROPIA EXCAVACÍON</v>
          </cell>
          <cell r="H43" t="str">
            <v>M3</v>
          </cell>
          <cell r="I43">
            <v>0</v>
          </cell>
          <cell r="J43">
            <v>1049.768971875</v>
          </cell>
          <cell r="K43">
            <v>0</v>
          </cell>
          <cell r="L43">
            <v>20995.3794375</v>
          </cell>
          <cell r="M43">
            <v>22045.148409375</v>
          </cell>
        </row>
        <row r="44">
          <cell r="B44" t="str">
            <v>TRANSPORTE PARA DISPOSICIÓN DE RESIDUOS (INCLUYE CONDUCTOR)</v>
          </cell>
          <cell r="H44" t="str">
            <v>M3-KM</v>
          </cell>
          <cell r="I44">
            <v>0</v>
          </cell>
          <cell r="J44">
            <v>1653.2707407407408</v>
          </cell>
          <cell r="K44">
            <v>0</v>
          </cell>
          <cell r="L44">
            <v>225.86925388213737</v>
          </cell>
          <cell r="M44">
            <v>1879.1399946228782</v>
          </cell>
        </row>
        <row r="45">
          <cell r="B45" t="str">
            <v>CONCRETO PARA MUROS DE CILINDRO DE POZOS DE ALCANTARILLADO DE 4000 PSI IMPERMEABILIZADO DE 280 KG/CM2 (INCLUYE FORMALETA METÁLICA POR AMBOS LADOS)</v>
          </cell>
          <cell r="H45" t="str">
            <v>M3</v>
          </cell>
          <cell r="I45">
            <v>42774.359750000003</v>
          </cell>
          <cell r="J45">
            <v>543292.52173913037</v>
          </cell>
          <cell r="K45">
            <v>181795.1677617603</v>
          </cell>
          <cell r="L45">
            <v>186625.595</v>
          </cell>
          <cell r="M45">
            <v>954487.64425089071</v>
          </cell>
        </row>
        <row r="50">
          <cell r="H50" t="str">
            <v>Elaboración</v>
          </cell>
          <cell r="J50" t="str">
            <v>Deiner Alexander Obregon Palomeque</v>
          </cell>
        </row>
        <row r="51">
          <cell r="H51" t="str">
            <v>Ingeniero Civil</v>
          </cell>
          <cell r="J51" t="str">
            <v>MP: 011037-0653228 ANT</v>
          </cell>
        </row>
      </sheetData>
      <sheetData sheetId="8">
        <row r="1">
          <cell r="A1" t="str">
            <v>LOCALIZACIÓN Y REPLANTEO DE REDES (NO INCLUYE EQUIPO DE TOPOGRAFÍA)</v>
          </cell>
          <cell r="M1">
            <v>45933</v>
          </cell>
        </row>
        <row r="3">
          <cell r="A3">
            <v>1</v>
          </cell>
          <cell r="B3">
            <v>2</v>
          </cell>
          <cell r="C3">
            <v>3</v>
          </cell>
          <cell r="D3">
            <v>4</v>
          </cell>
          <cell r="E3">
            <v>5</v>
          </cell>
          <cell r="F3">
            <v>6</v>
          </cell>
          <cell r="G3">
            <v>7</v>
          </cell>
          <cell r="H3">
            <v>8</v>
          </cell>
          <cell r="I3">
            <v>9</v>
          </cell>
          <cell r="J3">
            <v>10</v>
          </cell>
          <cell r="K3">
            <v>11</v>
          </cell>
          <cell r="L3">
            <v>12</v>
          </cell>
          <cell r="M3">
            <v>13</v>
          </cell>
          <cell r="N3">
            <v>14</v>
          </cell>
        </row>
        <row r="4">
          <cell r="A4" t="str">
            <v>G001</v>
          </cell>
          <cell r="B4" t="str">
            <v>LOCALIZACIÓN Y REPLANTEO DE REDES (NO INCLUYE EQUIPO DE TOPOGRAFÍA)</v>
          </cell>
          <cell r="C4" t="str">
            <v>UNIDAD:</v>
          </cell>
          <cell r="D4" t="str">
            <v>M</v>
          </cell>
          <cell r="E4" t="str">
            <v>TOTAL</v>
          </cell>
          <cell r="F4">
            <v>3372.19</v>
          </cell>
          <cell r="G4" t="str">
            <v>EQUIPO</v>
          </cell>
          <cell r="H4">
            <v>52.488448593750007</v>
          </cell>
          <cell r="I4" t="str">
            <v>MATERIAL</v>
          </cell>
          <cell r="J4">
            <v>2058.7960000000003</v>
          </cell>
          <cell r="K4" t="str">
            <v>TRANSP.</v>
          </cell>
          <cell r="L4">
            <v>211.12844485937504</v>
          </cell>
          <cell r="M4" t="str">
            <v>M.O.</v>
          </cell>
          <cell r="N4">
            <v>1049.768971875</v>
          </cell>
        </row>
        <row r="6">
          <cell r="A6" t="str">
            <v>A - MATERIALES</v>
          </cell>
        </row>
        <row r="7">
          <cell r="A7" t="str">
            <v>DESCRIPCIÓN</v>
          </cell>
          <cell r="H7" t="str">
            <v>UNIDAD</v>
          </cell>
          <cell r="I7" t="str">
            <v>TARIFA</v>
          </cell>
          <cell r="K7" t="str">
            <v>CANTIDAD</v>
          </cell>
          <cell r="M7" t="str">
            <v>SUB - TOTAL</v>
          </cell>
        </row>
        <row r="8">
          <cell r="A8" t="str">
            <v>Estaca</v>
          </cell>
          <cell r="H8" t="str">
            <v>Unidad</v>
          </cell>
          <cell r="I8">
            <v>3075</v>
          </cell>
          <cell r="K8">
            <v>0.3</v>
          </cell>
          <cell r="M8">
            <v>922.5</v>
          </cell>
        </row>
        <row r="9">
          <cell r="A9" t="str">
            <v>Pintura en aceite</v>
          </cell>
          <cell r="H9" t="str">
            <v>Galón</v>
          </cell>
          <cell r="I9">
            <v>100912</v>
          </cell>
          <cell r="K9">
            <v>8.0000000000000002E-3</v>
          </cell>
          <cell r="M9">
            <v>807.29600000000005</v>
          </cell>
        </row>
        <row r="10">
          <cell r="A10" t="str">
            <v>Clavo de alta velocidad 1/4"X2"</v>
          </cell>
          <cell r="H10" t="str">
            <v>Libra</v>
          </cell>
          <cell r="I10">
            <v>10000</v>
          </cell>
          <cell r="K10">
            <v>1.2E-2</v>
          </cell>
          <cell r="M10">
            <v>120</v>
          </cell>
        </row>
        <row r="11">
          <cell r="A11" t="str">
            <v>Cinta señalización</v>
          </cell>
          <cell r="H11" t="str">
            <v>ml</v>
          </cell>
          <cell r="I11">
            <v>209</v>
          </cell>
          <cell r="K11">
            <v>1</v>
          </cell>
          <cell r="M11">
            <v>209</v>
          </cell>
        </row>
        <row r="12">
          <cell r="H12" t="str">
            <v/>
          </cell>
          <cell r="I12" t="str">
            <v/>
          </cell>
          <cell r="M12" t="str">
            <v/>
          </cell>
        </row>
        <row r="13">
          <cell r="K13" t="str">
            <v>SUBTOTAL</v>
          </cell>
          <cell r="M13">
            <v>2058.7960000000003</v>
          </cell>
        </row>
        <row r="15">
          <cell r="A15" t="str">
            <v>B - HERRAMIENTA, MAQUINARIA Y EQUIPO</v>
          </cell>
        </row>
        <row r="16">
          <cell r="A16" t="str">
            <v>DESCRIPCIÓN</v>
          </cell>
          <cell r="H16" t="str">
            <v>UNIDAD</v>
          </cell>
          <cell r="I16" t="str">
            <v>TARIFA</v>
          </cell>
          <cell r="K16" t="str">
            <v>CANTIDAD</v>
          </cell>
          <cell r="M16" t="str">
            <v>SUB - TOTAL</v>
          </cell>
        </row>
        <row r="17">
          <cell r="A17" t="str">
            <v>Herramienta Menor</v>
          </cell>
          <cell r="H17" t="str">
            <v>% M.O.</v>
          </cell>
          <cell r="I17">
            <v>1049.768971875</v>
          </cell>
          <cell r="K17">
            <v>0.05</v>
          </cell>
          <cell r="M17">
            <v>52.488448593750007</v>
          </cell>
        </row>
        <row r="18">
          <cell r="H18" t="str">
            <v/>
          </cell>
          <cell r="I18" t="str">
            <v/>
          </cell>
          <cell r="M18" t="str">
            <v/>
          </cell>
        </row>
        <row r="19">
          <cell r="H19" t="str">
            <v/>
          </cell>
          <cell r="I19" t="str">
            <v/>
          </cell>
          <cell r="M19" t="str">
            <v/>
          </cell>
        </row>
        <row r="20">
          <cell r="H20" t="str">
            <v/>
          </cell>
          <cell r="I20" t="str">
            <v/>
          </cell>
          <cell r="M20" t="str">
            <v/>
          </cell>
        </row>
        <row r="21">
          <cell r="H21" t="str">
            <v/>
          </cell>
          <cell r="I21" t="str">
            <v/>
          </cell>
          <cell r="M21" t="str">
            <v/>
          </cell>
        </row>
        <row r="22">
          <cell r="K22" t="str">
            <v>SUBTOTAL</v>
          </cell>
          <cell r="M22">
            <v>52.488448593750007</v>
          </cell>
        </row>
        <row r="24">
          <cell r="A24" t="str">
            <v>C - TRANSPORTE</v>
          </cell>
        </row>
        <row r="25">
          <cell r="A25" t="str">
            <v>DESCRIPCIÓN</v>
          </cell>
          <cell r="H25" t="str">
            <v>UNIDAD</v>
          </cell>
          <cell r="I25" t="str">
            <v>TARIFA</v>
          </cell>
          <cell r="K25" t="str">
            <v>CANTIDAD</v>
          </cell>
          <cell r="M25" t="str">
            <v>SUB - TOTAL</v>
          </cell>
        </row>
        <row r="26">
          <cell r="A26" t="str">
            <v>Transporte de herramienta</v>
          </cell>
          <cell r="H26" t="str">
            <v>% Mat</v>
          </cell>
          <cell r="I26">
            <v>2111.2844485937503</v>
          </cell>
          <cell r="K26">
            <v>0.1</v>
          </cell>
          <cell r="M26">
            <v>211.12844485937504</v>
          </cell>
        </row>
        <row r="27">
          <cell r="M27" t="str">
            <v/>
          </cell>
        </row>
        <row r="28">
          <cell r="M28" t="str">
            <v/>
          </cell>
        </row>
        <row r="29">
          <cell r="M29" t="str">
            <v/>
          </cell>
        </row>
        <row r="30">
          <cell r="M30" t="str">
            <v/>
          </cell>
        </row>
        <row r="31">
          <cell r="K31" t="str">
            <v>SUBTOTAL</v>
          </cell>
          <cell r="M31">
            <v>211.12844485937504</v>
          </cell>
        </row>
        <row r="33">
          <cell r="A33" t="str">
            <v>D - MANO DE OBRA</v>
          </cell>
        </row>
        <row r="34">
          <cell r="A34" t="str">
            <v>DESCRIPCIÓN</v>
          </cell>
          <cell r="H34" t="str">
            <v>UNIDAD</v>
          </cell>
          <cell r="I34" t="str">
            <v>TARIFA</v>
          </cell>
          <cell r="K34" t="str">
            <v>F.M.</v>
          </cell>
          <cell r="L34" t="str">
            <v>REND.</v>
          </cell>
          <cell r="M34" t="str">
            <v>SUB - TOTAL</v>
          </cell>
        </row>
        <row r="35">
          <cell r="A35" t="str">
            <v>Comisión de Topografía</v>
          </cell>
          <cell r="H35" t="str">
            <v>Cuadrilla</v>
          </cell>
          <cell r="I35">
            <v>213525</v>
          </cell>
          <cell r="K35">
            <v>1.96655</v>
          </cell>
          <cell r="L35">
            <v>2.5000000000000001E-3</v>
          </cell>
          <cell r="M35">
            <v>1049.768971875</v>
          </cell>
        </row>
        <row r="36">
          <cell r="H36" t="str">
            <v/>
          </cell>
          <cell r="I36" t="str">
            <v/>
          </cell>
          <cell r="K36" t="str">
            <v/>
          </cell>
          <cell r="M36" t="str">
            <v/>
          </cell>
        </row>
        <row r="37">
          <cell r="H37" t="str">
            <v/>
          </cell>
          <cell r="I37" t="str">
            <v/>
          </cell>
          <cell r="K37" t="str">
            <v/>
          </cell>
          <cell r="M37" t="str">
            <v/>
          </cell>
        </row>
        <row r="38">
          <cell r="H38" t="str">
            <v/>
          </cell>
          <cell r="I38" t="str">
            <v/>
          </cell>
          <cell r="K38" t="str">
            <v/>
          </cell>
          <cell r="M38" t="str">
            <v/>
          </cell>
        </row>
        <row r="39">
          <cell r="H39" t="str">
            <v/>
          </cell>
          <cell r="I39" t="str">
            <v/>
          </cell>
          <cell r="K39" t="str">
            <v/>
          </cell>
          <cell r="M39" t="str">
            <v/>
          </cell>
        </row>
        <row r="40">
          <cell r="K40" t="str">
            <v>SUBTOTAL</v>
          </cell>
          <cell r="M40">
            <v>1049.768971875</v>
          </cell>
        </row>
        <row r="44">
          <cell r="I44" t="str">
            <v>Elaboración</v>
          </cell>
          <cell r="K44" t="str">
            <v>Deiner Alexander Obregon Palomeque</v>
          </cell>
        </row>
        <row r="45">
          <cell r="I45" t="str">
            <v>Ingeniero Civil</v>
          </cell>
          <cell r="K45" t="str">
            <v>MP: 011037-0653228 ANT</v>
          </cell>
        </row>
        <row r="46">
          <cell r="A46" t="str">
            <v>CORTE DE PAVIMENTO RÍGIDO</v>
          </cell>
          <cell r="M46">
            <v>45933</v>
          </cell>
        </row>
        <row r="49">
          <cell r="A49" t="str">
            <v>G002</v>
          </cell>
          <cell r="B49" t="str">
            <v>CORTE DE PAVIMENTO RÍGIDO</v>
          </cell>
          <cell r="C49" t="str">
            <v>UNIDAD:</v>
          </cell>
          <cell r="D49" t="str">
            <v>M</v>
          </cell>
          <cell r="E49" t="str">
            <v>TOTAL</v>
          </cell>
          <cell r="F49">
            <v>41858.145476875005</v>
          </cell>
          <cell r="G49" t="str">
            <v>EQUIPO</v>
          </cell>
          <cell r="H49">
            <v>7962.4239562500006</v>
          </cell>
          <cell r="I49" t="str">
            <v>MATERIAL</v>
          </cell>
          <cell r="J49">
            <v>400</v>
          </cell>
          <cell r="K49" t="str">
            <v>TRANSP.</v>
          </cell>
          <cell r="L49">
            <v>836.24239562500009</v>
          </cell>
          <cell r="M49" t="str">
            <v>M.O.</v>
          </cell>
          <cell r="N49">
            <v>32659.479125000002</v>
          </cell>
        </row>
        <row r="51">
          <cell r="A51" t="str">
            <v>A - MATERIALES</v>
          </cell>
        </row>
        <row r="52">
          <cell r="A52" t="str">
            <v>DESCRIPCIÓN</v>
          </cell>
          <cell r="H52" t="str">
            <v>UNIDAD</v>
          </cell>
          <cell r="I52" t="str">
            <v>TARIFA</v>
          </cell>
          <cell r="K52" t="str">
            <v>CANTIDAD</v>
          </cell>
          <cell r="M52" t="str">
            <v>SUB - TOTAL</v>
          </cell>
        </row>
        <row r="53">
          <cell r="A53" t="str">
            <v>Agua</v>
          </cell>
          <cell r="H53" t="str">
            <v>Lt</v>
          </cell>
          <cell r="I53">
            <v>20</v>
          </cell>
          <cell r="K53">
            <v>20</v>
          </cell>
          <cell r="M53">
            <v>400</v>
          </cell>
        </row>
        <row r="54">
          <cell r="H54" t="str">
            <v/>
          </cell>
          <cell r="I54" t="str">
            <v/>
          </cell>
          <cell r="M54" t="str">
            <v/>
          </cell>
        </row>
        <row r="55">
          <cell r="H55" t="str">
            <v/>
          </cell>
          <cell r="I55" t="str">
            <v/>
          </cell>
          <cell r="M55" t="str">
            <v/>
          </cell>
        </row>
        <row r="56">
          <cell r="H56" t="str">
            <v/>
          </cell>
          <cell r="I56" t="str">
            <v/>
          </cell>
          <cell r="M56" t="str">
            <v/>
          </cell>
        </row>
        <row r="57">
          <cell r="H57" t="str">
            <v/>
          </cell>
          <cell r="I57" t="str">
            <v/>
          </cell>
          <cell r="M57" t="str">
            <v/>
          </cell>
        </row>
        <row r="58">
          <cell r="H58" t="str">
            <v/>
          </cell>
          <cell r="I58" t="str">
            <v/>
          </cell>
          <cell r="M58" t="str">
            <v/>
          </cell>
        </row>
        <row r="59">
          <cell r="K59" t="str">
            <v>SUBTOTAL</v>
          </cell>
          <cell r="M59">
            <v>400</v>
          </cell>
        </row>
        <row r="61">
          <cell r="A61" t="str">
            <v>B - HERRAMIENTA, MAQUINARIA Y EQUIPO</v>
          </cell>
        </row>
        <row r="62">
          <cell r="A62" t="str">
            <v>DESCRIPCIÓN</v>
          </cell>
          <cell r="H62" t="str">
            <v>UNIDAD</v>
          </cell>
          <cell r="I62" t="str">
            <v>TARIFA</v>
          </cell>
          <cell r="K62" t="str">
            <v>CANTIDAD</v>
          </cell>
          <cell r="M62" t="str">
            <v>SUB - TOTAL</v>
          </cell>
        </row>
        <row r="63">
          <cell r="A63" t="str">
            <v>Herramienta Menor</v>
          </cell>
          <cell r="H63" t="str">
            <v>% M.O.</v>
          </cell>
          <cell r="I63">
            <v>32659.479125000002</v>
          </cell>
          <cell r="K63">
            <v>0.05</v>
          </cell>
          <cell r="M63">
            <v>1632.9739562500001</v>
          </cell>
        </row>
        <row r="64">
          <cell r="A64" t="str">
            <v>Cortadora de disco para concreto (Incluye disco y combustible)</v>
          </cell>
          <cell r="H64" t="str">
            <v>Dia</v>
          </cell>
          <cell r="I64">
            <v>63294.5</v>
          </cell>
          <cell r="K64">
            <v>0.1</v>
          </cell>
          <cell r="M64">
            <v>6329.4500000000007</v>
          </cell>
        </row>
        <row r="65">
          <cell r="H65" t="str">
            <v/>
          </cell>
          <cell r="I65" t="str">
            <v/>
          </cell>
          <cell r="M65" t="str">
            <v/>
          </cell>
        </row>
        <row r="66">
          <cell r="H66" t="str">
            <v/>
          </cell>
          <cell r="I66" t="str">
            <v/>
          </cell>
          <cell r="M66" t="str">
            <v/>
          </cell>
        </row>
        <row r="67">
          <cell r="H67" t="str">
            <v/>
          </cell>
          <cell r="I67" t="str">
            <v/>
          </cell>
          <cell r="M67" t="str">
            <v/>
          </cell>
        </row>
        <row r="68">
          <cell r="K68" t="str">
            <v>SUBTOTAL</v>
          </cell>
          <cell r="M68">
            <v>7962.4239562500006</v>
          </cell>
        </row>
        <row r="70">
          <cell r="A70" t="str">
            <v>C - TRANSPORTE</v>
          </cell>
        </row>
        <row r="71">
          <cell r="A71" t="str">
            <v>DESCRIPCIÓN</v>
          </cell>
          <cell r="H71" t="str">
            <v>UNIDAD</v>
          </cell>
          <cell r="I71" t="str">
            <v>TARIFA</v>
          </cell>
          <cell r="K71" t="str">
            <v>CANTIDAD</v>
          </cell>
          <cell r="M71" t="str">
            <v>SUB - TOTAL</v>
          </cell>
        </row>
        <row r="72">
          <cell r="A72" t="str">
            <v>Transporte de materiales</v>
          </cell>
          <cell r="H72" t="str">
            <v>% Mat</v>
          </cell>
          <cell r="I72">
            <v>400</v>
          </cell>
          <cell r="K72">
            <v>0.1</v>
          </cell>
          <cell r="M72">
            <v>40</v>
          </cell>
        </row>
        <row r="73">
          <cell r="A73" t="str">
            <v>Transporte de herramientas y equipos</v>
          </cell>
          <cell r="H73" t="str">
            <v>% H, M, E</v>
          </cell>
          <cell r="I73">
            <v>7962.4239562500006</v>
          </cell>
          <cell r="K73">
            <v>0.1</v>
          </cell>
          <cell r="M73">
            <v>796.24239562500009</v>
          </cell>
        </row>
        <row r="74">
          <cell r="M74" t="str">
            <v/>
          </cell>
        </row>
        <row r="75">
          <cell r="M75" t="str">
            <v/>
          </cell>
        </row>
        <row r="76">
          <cell r="M76" t="str">
            <v/>
          </cell>
        </row>
        <row r="77">
          <cell r="K77" t="str">
            <v>SUBTOTAL</v>
          </cell>
          <cell r="M77">
            <v>836.24239562500009</v>
          </cell>
        </row>
        <row r="79">
          <cell r="A79" t="str">
            <v>D - MANO DE OBRA</v>
          </cell>
        </row>
        <row r="80">
          <cell r="A80" t="str">
            <v>DESCRIPCIÓN</v>
          </cell>
          <cell r="H80" t="str">
            <v>UNIDAD</v>
          </cell>
          <cell r="I80" t="str">
            <v>TARIFA</v>
          </cell>
          <cell r="K80" t="str">
            <v>F.M.</v>
          </cell>
          <cell r="L80" t="str">
            <v>REND.</v>
          </cell>
          <cell r="M80" t="str">
            <v>SUB - TOTAL</v>
          </cell>
        </row>
        <row r="81">
          <cell r="A81" t="str">
            <v>Cuadrilla 5: 1 OfcA + 1 AyuA</v>
          </cell>
          <cell r="H81" t="str">
            <v>Cuadrilla</v>
          </cell>
          <cell r="I81">
            <v>166075</v>
          </cell>
          <cell r="K81">
            <v>1.96655</v>
          </cell>
          <cell r="L81">
            <v>0.1</v>
          </cell>
          <cell r="M81">
            <v>32659.479125000002</v>
          </cell>
        </row>
        <row r="82">
          <cell r="H82" t="str">
            <v/>
          </cell>
          <cell r="I82" t="str">
            <v/>
          </cell>
          <cell r="K82" t="str">
            <v/>
          </cell>
          <cell r="M82" t="str">
            <v/>
          </cell>
        </row>
        <row r="83">
          <cell r="H83" t="str">
            <v/>
          </cell>
          <cell r="I83" t="str">
            <v/>
          </cell>
          <cell r="K83" t="str">
            <v/>
          </cell>
          <cell r="M83" t="str">
            <v/>
          </cell>
        </row>
        <row r="84">
          <cell r="H84" t="str">
            <v/>
          </cell>
          <cell r="I84" t="str">
            <v/>
          </cell>
          <cell r="K84" t="str">
            <v/>
          </cell>
          <cell r="M84" t="str">
            <v/>
          </cell>
        </row>
        <row r="85">
          <cell r="H85" t="str">
            <v/>
          </cell>
          <cell r="I85" t="str">
            <v/>
          </cell>
          <cell r="K85" t="str">
            <v/>
          </cell>
          <cell r="M85" t="str">
            <v/>
          </cell>
        </row>
        <row r="86">
          <cell r="K86" t="str">
            <v>SUBTOTAL</v>
          </cell>
          <cell r="M86">
            <v>32659.479125000002</v>
          </cell>
        </row>
        <row r="90">
          <cell r="I90" t="str">
            <v>Elaboración</v>
          </cell>
          <cell r="K90" t="str">
            <v>Deiner Alexander Obregon Palomeque</v>
          </cell>
        </row>
        <row r="91">
          <cell r="I91" t="str">
            <v>Ingeniero Civil</v>
          </cell>
          <cell r="K91" t="str">
            <v>MP: 011037-0653228 ANT</v>
          </cell>
        </row>
        <row r="92">
          <cell r="A92" t="str">
            <v>ROTURA DE PAVIMENTO RÍGIDO</v>
          </cell>
          <cell r="M92">
            <v>45933</v>
          </cell>
        </row>
        <row r="95">
          <cell r="A95" t="str">
            <v>G003</v>
          </cell>
          <cell r="B95" t="str">
            <v>ROTURA DE PAVIMENTO RÍGIDO</v>
          </cell>
          <cell r="C95" t="str">
            <v>UNIDAD:</v>
          </cell>
          <cell r="D95" t="str">
            <v>M3</v>
          </cell>
          <cell r="E95" t="str">
            <v>TOTAL</v>
          </cell>
          <cell r="F95">
            <v>83109.359102678573</v>
          </cell>
          <cell r="G95" t="str">
            <v>EQUIPO</v>
          </cell>
          <cell r="H95">
            <v>32739.054866071427</v>
          </cell>
          <cell r="I95" t="str">
            <v>MATERIAL</v>
          </cell>
          <cell r="J95">
            <v>400</v>
          </cell>
          <cell r="K95" t="str">
            <v>TRANSP.</v>
          </cell>
          <cell r="L95">
            <v>3313.9054866071428</v>
          </cell>
          <cell r="M95" t="str">
            <v>M.O.</v>
          </cell>
          <cell r="N95">
            <v>46656.39875</v>
          </cell>
        </row>
        <row r="97">
          <cell r="A97" t="str">
            <v>A - MATERIALES</v>
          </cell>
        </row>
        <row r="98">
          <cell r="A98" t="str">
            <v>DESCRIPCIÓN</v>
          </cell>
          <cell r="H98" t="str">
            <v>UNIDAD</v>
          </cell>
          <cell r="I98" t="str">
            <v>TARIFA</v>
          </cell>
          <cell r="K98" t="str">
            <v>CANTIDAD</v>
          </cell>
          <cell r="M98" t="str">
            <v>SUB - TOTAL</v>
          </cell>
        </row>
        <row r="99">
          <cell r="A99" t="str">
            <v>Agua</v>
          </cell>
          <cell r="H99" t="str">
            <v>Lt</v>
          </cell>
          <cell r="I99">
            <v>20</v>
          </cell>
          <cell r="K99">
            <v>20</v>
          </cell>
          <cell r="M99">
            <v>400</v>
          </cell>
        </row>
        <row r="100">
          <cell r="H100" t="str">
            <v/>
          </cell>
          <cell r="I100" t="str">
            <v/>
          </cell>
          <cell r="M100" t="str">
            <v/>
          </cell>
        </row>
        <row r="101">
          <cell r="H101" t="str">
            <v/>
          </cell>
          <cell r="I101" t="str">
            <v/>
          </cell>
          <cell r="M101" t="str">
            <v/>
          </cell>
        </row>
        <row r="102">
          <cell r="H102" t="str">
            <v/>
          </cell>
          <cell r="I102" t="str">
            <v/>
          </cell>
          <cell r="M102" t="str">
            <v/>
          </cell>
        </row>
        <row r="103">
          <cell r="H103" t="str">
            <v/>
          </cell>
          <cell r="I103" t="str">
            <v/>
          </cell>
          <cell r="M103" t="str">
            <v/>
          </cell>
        </row>
        <row r="104">
          <cell r="H104" t="str">
            <v/>
          </cell>
          <cell r="I104" t="str">
            <v/>
          </cell>
          <cell r="M104" t="str">
            <v/>
          </cell>
        </row>
        <row r="105">
          <cell r="K105" t="str">
            <v>SUBTOTAL</v>
          </cell>
          <cell r="M105">
            <v>400</v>
          </cell>
        </row>
        <row r="107">
          <cell r="A107" t="str">
            <v>B - HERRAMIENTA, MAQUINARIA Y EQUIPO</v>
          </cell>
        </row>
        <row r="108">
          <cell r="A108" t="str">
            <v>DESCRIPCIÓN</v>
          </cell>
          <cell r="H108" t="str">
            <v>UNIDAD</v>
          </cell>
          <cell r="I108" t="str">
            <v>TARIFA</v>
          </cell>
          <cell r="K108" t="str">
            <v>CANTIDAD</v>
          </cell>
          <cell r="M108" t="str">
            <v>SUB - TOTAL</v>
          </cell>
        </row>
        <row r="109">
          <cell r="A109" t="str">
            <v>Herramienta Menor</v>
          </cell>
          <cell r="H109" t="str">
            <v>% M.O.</v>
          </cell>
          <cell r="I109">
            <v>46656.39875</v>
          </cell>
          <cell r="K109">
            <v>0.05</v>
          </cell>
          <cell r="M109">
            <v>2332.8199374999999</v>
          </cell>
        </row>
        <row r="110">
          <cell r="A110" t="str">
            <v>Compresor para martillo demoledor</v>
          </cell>
          <cell r="H110" t="str">
            <v>Hora</v>
          </cell>
          <cell r="I110">
            <v>198300</v>
          </cell>
          <cell r="K110">
            <v>0.14285714285714285</v>
          </cell>
          <cell r="M110">
            <v>28328.571428571428</v>
          </cell>
        </row>
        <row r="111">
          <cell r="A111" t="str">
            <v>Martillo demoledor de concreto</v>
          </cell>
          <cell r="H111" t="str">
            <v>Hora</v>
          </cell>
          <cell r="I111">
            <v>14543.6445</v>
          </cell>
          <cell r="K111">
            <v>0.14285714285714285</v>
          </cell>
          <cell r="M111">
            <v>2077.6635000000001</v>
          </cell>
        </row>
        <row r="112">
          <cell r="H112" t="str">
            <v/>
          </cell>
          <cell r="I112" t="str">
            <v/>
          </cell>
          <cell r="M112" t="str">
            <v/>
          </cell>
        </row>
        <row r="113">
          <cell r="K113" t="str">
            <v>SUBTOTAL</v>
          </cell>
          <cell r="M113">
            <v>32739.054866071427</v>
          </cell>
        </row>
        <row r="115">
          <cell r="A115" t="str">
            <v>C - TRANSPORTE</v>
          </cell>
        </row>
        <row r="116">
          <cell r="A116" t="str">
            <v>DESCRIPCIÓN</v>
          </cell>
          <cell r="H116" t="str">
            <v>UNIDAD</v>
          </cell>
          <cell r="I116" t="str">
            <v>TARIFA</v>
          </cell>
          <cell r="K116" t="str">
            <v>CANTIDAD</v>
          </cell>
          <cell r="M116" t="str">
            <v>SUB - TOTAL</v>
          </cell>
        </row>
        <row r="117">
          <cell r="A117" t="str">
            <v>Transporte de materiales</v>
          </cell>
          <cell r="H117" t="str">
            <v>% Mat</v>
          </cell>
          <cell r="I117">
            <v>400</v>
          </cell>
          <cell r="K117">
            <v>0.1</v>
          </cell>
          <cell r="M117">
            <v>40</v>
          </cell>
        </row>
        <row r="118">
          <cell r="A118" t="str">
            <v>Transporte de herramientas y equipos</v>
          </cell>
          <cell r="H118" t="str">
            <v>% H, M, E</v>
          </cell>
          <cell r="I118">
            <v>32739.054866071427</v>
          </cell>
          <cell r="K118">
            <v>0.1</v>
          </cell>
          <cell r="M118">
            <v>3273.9054866071428</v>
          </cell>
        </row>
        <row r="119">
          <cell r="M119" t="str">
            <v/>
          </cell>
        </row>
        <row r="120">
          <cell r="M120" t="str">
            <v/>
          </cell>
        </row>
        <row r="121">
          <cell r="M121" t="str">
            <v/>
          </cell>
        </row>
        <row r="122">
          <cell r="K122" t="str">
            <v>SUBTOTAL</v>
          </cell>
          <cell r="M122">
            <v>3313.9054866071428</v>
          </cell>
        </row>
        <row r="124">
          <cell r="A124" t="str">
            <v>D - MANO DE OBRA</v>
          </cell>
        </row>
        <row r="125">
          <cell r="A125" t="str">
            <v>DESCRIPCIÓN</v>
          </cell>
          <cell r="H125" t="str">
            <v>UNIDAD</v>
          </cell>
          <cell r="I125" t="str">
            <v>TARIFA</v>
          </cell>
          <cell r="K125" t="str">
            <v>F.M.</v>
          </cell>
          <cell r="L125" t="str">
            <v>REND.</v>
          </cell>
          <cell r="M125" t="str">
            <v>SUB - TOTAL</v>
          </cell>
        </row>
        <row r="126">
          <cell r="A126" t="str">
            <v>Cuadrilla 5: 1 OfcA + 1 AyuA</v>
          </cell>
          <cell r="H126" t="str">
            <v>Cuadrilla</v>
          </cell>
          <cell r="I126">
            <v>166075</v>
          </cell>
          <cell r="K126">
            <v>1.96655</v>
          </cell>
          <cell r="L126">
            <v>0.14285714285714285</v>
          </cell>
          <cell r="M126">
            <v>46656.39875</v>
          </cell>
        </row>
        <row r="127">
          <cell r="H127" t="str">
            <v/>
          </cell>
          <cell r="I127" t="str">
            <v/>
          </cell>
          <cell r="K127" t="str">
            <v/>
          </cell>
          <cell r="M127" t="str">
            <v/>
          </cell>
        </row>
        <row r="128">
          <cell r="H128" t="str">
            <v/>
          </cell>
          <cell r="I128" t="str">
            <v/>
          </cell>
          <cell r="K128" t="str">
            <v/>
          </cell>
          <cell r="M128" t="str">
            <v/>
          </cell>
        </row>
        <row r="129">
          <cell r="H129" t="str">
            <v/>
          </cell>
          <cell r="I129" t="str">
            <v/>
          </cell>
          <cell r="K129" t="str">
            <v/>
          </cell>
          <cell r="M129" t="str">
            <v/>
          </cell>
        </row>
        <row r="130">
          <cell r="H130" t="str">
            <v/>
          </cell>
          <cell r="I130" t="str">
            <v/>
          </cell>
          <cell r="K130" t="str">
            <v/>
          </cell>
          <cell r="M130" t="str">
            <v/>
          </cell>
        </row>
        <row r="131">
          <cell r="K131" t="str">
            <v>SUBTOTAL</v>
          </cell>
          <cell r="M131">
            <v>46656.39875</v>
          </cell>
        </row>
        <row r="135">
          <cell r="I135" t="str">
            <v>Elaboración</v>
          </cell>
          <cell r="K135" t="str">
            <v>Deiner Alexander Obregon Palomeque</v>
          </cell>
        </row>
        <row r="136">
          <cell r="I136" t="str">
            <v>Ingeniero Civil</v>
          </cell>
          <cell r="K136" t="str">
            <v>MP: 011037-0653228 ANT</v>
          </cell>
        </row>
        <row r="137">
          <cell r="A137" t="str">
            <v>EXCAVACIÓN MANUAL EN MATERIAL COMÚN</v>
          </cell>
          <cell r="M137">
            <v>45933</v>
          </cell>
        </row>
        <row r="140">
          <cell r="A140" t="str">
            <v>G004</v>
          </cell>
          <cell r="B140" t="str">
            <v>EXCAVACIÓN MANUAL EN MATERIAL COMÚN</v>
          </cell>
          <cell r="C140" t="str">
            <v>UNIDAD:</v>
          </cell>
          <cell r="D140" t="str">
            <v>M3</v>
          </cell>
          <cell r="E140" t="str">
            <v>TOTAL</v>
          </cell>
          <cell r="F140">
            <v>41990.758875</v>
          </cell>
          <cell r="G140" t="str">
            <v>EQUIPO</v>
          </cell>
          <cell r="H140">
            <v>0</v>
          </cell>
          <cell r="I140" t="str">
            <v>MATERIAL</v>
          </cell>
          <cell r="J140">
            <v>1999.5599464285715</v>
          </cell>
          <cell r="K140" t="str">
            <v>TRANSP.</v>
          </cell>
          <cell r="L140">
            <v>0</v>
          </cell>
          <cell r="M140" t="str">
            <v>M.O.</v>
          </cell>
          <cell r="N140">
            <v>39991.19892857143</v>
          </cell>
        </row>
        <row r="142">
          <cell r="A142" t="str">
            <v>A - MATERIALES</v>
          </cell>
        </row>
        <row r="143">
          <cell r="A143" t="str">
            <v>DESCRIPCIÓN</v>
          </cell>
          <cell r="H143" t="str">
            <v>UNIDAD</v>
          </cell>
          <cell r="I143" t="str">
            <v>TARIFA</v>
          </cell>
          <cell r="K143" t="str">
            <v>CANTIDAD</v>
          </cell>
          <cell r="M143" t="str">
            <v>SUB - TOTAL</v>
          </cell>
        </row>
        <row r="144">
          <cell r="H144" t="str">
            <v/>
          </cell>
          <cell r="I144" t="str">
            <v/>
          </cell>
          <cell r="M144" t="str">
            <v/>
          </cell>
        </row>
        <row r="145">
          <cell r="H145" t="str">
            <v/>
          </cell>
          <cell r="I145" t="str">
            <v/>
          </cell>
          <cell r="M145" t="str">
            <v/>
          </cell>
        </row>
        <row r="146">
          <cell r="H146" t="str">
            <v/>
          </cell>
          <cell r="I146" t="str">
            <v/>
          </cell>
          <cell r="M146" t="str">
            <v/>
          </cell>
        </row>
        <row r="147">
          <cell r="H147" t="str">
            <v/>
          </cell>
          <cell r="I147" t="str">
            <v/>
          </cell>
          <cell r="M147" t="str">
            <v/>
          </cell>
        </row>
        <row r="148">
          <cell r="H148" t="str">
            <v/>
          </cell>
          <cell r="I148" t="str">
            <v/>
          </cell>
          <cell r="M148" t="str">
            <v/>
          </cell>
        </row>
        <row r="149">
          <cell r="K149" t="str">
            <v>SUBTOTAL</v>
          </cell>
          <cell r="M149">
            <v>0</v>
          </cell>
        </row>
        <row r="151">
          <cell r="A151" t="str">
            <v>B - HERRAMIENTA, MAQUINARIA Y EQUIPO</v>
          </cell>
        </row>
        <row r="152">
          <cell r="A152" t="str">
            <v>DESCRIPCIÓN</v>
          </cell>
          <cell r="H152" t="str">
            <v>UNIDAD</v>
          </cell>
          <cell r="I152" t="str">
            <v>TARIFA</v>
          </cell>
          <cell r="K152" t="str">
            <v>CANTIDAD</v>
          </cell>
          <cell r="M152" t="str">
            <v>SUB - TOTAL</v>
          </cell>
        </row>
        <row r="153">
          <cell r="A153" t="str">
            <v>Herramienta Menor</v>
          </cell>
          <cell r="H153" t="str">
            <v>% M.O.</v>
          </cell>
          <cell r="I153">
            <v>39991.19892857143</v>
          </cell>
          <cell r="K153">
            <v>0.05</v>
          </cell>
          <cell r="M153">
            <v>1999.5599464285715</v>
          </cell>
        </row>
        <row r="154">
          <cell r="H154" t="str">
            <v/>
          </cell>
          <cell r="I154" t="str">
            <v/>
          </cell>
          <cell r="M154" t="str">
            <v/>
          </cell>
        </row>
        <row r="155">
          <cell r="H155" t="str">
            <v/>
          </cell>
          <cell r="I155" t="str">
            <v/>
          </cell>
          <cell r="M155" t="str">
            <v/>
          </cell>
        </row>
        <row r="156">
          <cell r="H156" t="str">
            <v/>
          </cell>
          <cell r="I156" t="str">
            <v/>
          </cell>
          <cell r="M156" t="str">
            <v/>
          </cell>
        </row>
        <row r="157">
          <cell r="H157" t="str">
            <v/>
          </cell>
          <cell r="I157" t="str">
            <v/>
          </cell>
          <cell r="M157" t="str">
            <v/>
          </cell>
        </row>
        <row r="158">
          <cell r="K158" t="str">
            <v>SUBTOTAL</v>
          </cell>
          <cell r="M158">
            <v>1999.5599464285715</v>
          </cell>
        </row>
        <row r="160">
          <cell r="A160" t="str">
            <v>C - TRANSPORTE</v>
          </cell>
        </row>
        <row r="161">
          <cell r="A161" t="str">
            <v>DESCRIPCIÓN</v>
          </cell>
          <cell r="H161" t="str">
            <v>UNIDAD</v>
          </cell>
          <cell r="I161" t="str">
            <v>TARIFA</v>
          </cell>
          <cell r="K161" t="str">
            <v>CANTIDAD</v>
          </cell>
          <cell r="M161" t="str">
            <v>SUB - TOTAL</v>
          </cell>
        </row>
        <row r="162">
          <cell r="M162" t="str">
            <v/>
          </cell>
        </row>
        <row r="163">
          <cell r="M163" t="str">
            <v/>
          </cell>
        </row>
        <row r="164">
          <cell r="M164" t="str">
            <v/>
          </cell>
        </row>
        <row r="165">
          <cell r="M165" t="str">
            <v/>
          </cell>
        </row>
        <row r="166">
          <cell r="M166" t="str">
            <v/>
          </cell>
        </row>
        <row r="167">
          <cell r="K167" t="str">
            <v>SUBTOTAL</v>
          </cell>
          <cell r="M167">
            <v>0</v>
          </cell>
        </row>
        <row r="169">
          <cell r="A169" t="str">
            <v>D - MANO DE OBRA</v>
          </cell>
        </row>
        <row r="170">
          <cell r="A170" t="str">
            <v>DESCRIPCIÓN</v>
          </cell>
          <cell r="H170" t="str">
            <v>UNIDAD</v>
          </cell>
          <cell r="I170" t="str">
            <v>TARIFA</v>
          </cell>
          <cell r="K170" t="str">
            <v>F.M.</v>
          </cell>
          <cell r="L170" t="str">
            <v>REND.</v>
          </cell>
          <cell r="M170" t="str">
            <v>SUB - TOTAL</v>
          </cell>
        </row>
        <row r="171">
          <cell r="A171" t="str">
            <v>Cuadrilla 1: 1 Ayudante A</v>
          </cell>
          <cell r="H171" t="str">
            <v>Cuadrilla</v>
          </cell>
          <cell r="I171">
            <v>71175</v>
          </cell>
          <cell r="K171">
            <v>1.96655</v>
          </cell>
          <cell r="L171">
            <v>0.2857142857142857</v>
          </cell>
          <cell r="M171">
            <v>39991.19892857143</v>
          </cell>
        </row>
        <row r="172">
          <cell r="H172" t="str">
            <v/>
          </cell>
          <cell r="I172" t="str">
            <v/>
          </cell>
          <cell r="K172" t="str">
            <v/>
          </cell>
          <cell r="M172" t="str">
            <v/>
          </cell>
        </row>
        <row r="173">
          <cell r="H173" t="str">
            <v/>
          </cell>
          <cell r="K173" t="str">
            <v/>
          </cell>
          <cell r="M173" t="str">
            <v/>
          </cell>
        </row>
        <row r="174">
          <cell r="H174" t="str">
            <v/>
          </cell>
          <cell r="I174" t="str">
            <v/>
          </cell>
          <cell r="K174" t="str">
            <v/>
          </cell>
          <cell r="M174" t="str">
            <v/>
          </cell>
        </row>
        <row r="175">
          <cell r="H175" t="str">
            <v/>
          </cell>
          <cell r="I175" t="str">
            <v/>
          </cell>
          <cell r="K175" t="str">
            <v/>
          </cell>
          <cell r="M175" t="str">
            <v/>
          </cell>
        </row>
        <row r="176">
          <cell r="K176" t="str">
            <v>SUBTOTAL</v>
          </cell>
          <cell r="M176">
            <v>39991.19892857143</v>
          </cell>
        </row>
        <row r="180">
          <cell r="I180" t="str">
            <v>Elaboración</v>
          </cell>
          <cell r="K180" t="str">
            <v>Deiner Alexander Obregon Palomeque</v>
          </cell>
        </row>
        <row r="181">
          <cell r="I181" t="str">
            <v>Ingeniero Civil</v>
          </cell>
          <cell r="K181" t="str">
            <v>MP: 011037-0653228 ANT</v>
          </cell>
        </row>
        <row r="182">
          <cell r="A182" t="str">
            <v>EXCAVACIÓN MECÁNICA EN MATERIAL COMÚN (INCLUYE MAQUINARIA)</v>
          </cell>
          <cell r="M182">
            <v>45933</v>
          </cell>
        </row>
        <row r="185">
          <cell r="A185" t="str">
            <v>G005</v>
          </cell>
          <cell r="B185" t="str">
            <v>EXCAVACIÓN MECÁNICA EN MATERIAL COMÚN (INCLUYE MAQUINARIA)</v>
          </cell>
          <cell r="C185" t="str">
            <v>UNIDAD:</v>
          </cell>
          <cell r="D185" t="str">
            <v>M3</v>
          </cell>
          <cell r="E185" t="str">
            <v>TOTAL</v>
          </cell>
          <cell r="F185">
            <v>23100</v>
          </cell>
          <cell r="G185" t="str">
            <v>EQUIPO</v>
          </cell>
          <cell r="H185">
            <v>21000</v>
          </cell>
          <cell r="I185" t="str">
            <v>MATERIAL</v>
          </cell>
          <cell r="J185">
            <v>0</v>
          </cell>
          <cell r="K185" t="str">
            <v>TRANSP.</v>
          </cell>
          <cell r="L185">
            <v>2100</v>
          </cell>
          <cell r="M185" t="str">
            <v>M.O.</v>
          </cell>
          <cell r="N185">
            <v>0</v>
          </cell>
        </row>
        <row r="187">
          <cell r="A187" t="str">
            <v>A - MATERIALES</v>
          </cell>
        </row>
        <row r="188">
          <cell r="A188" t="str">
            <v>DESCRIPCIÓN</v>
          </cell>
          <cell r="H188" t="str">
            <v>UNIDAD</v>
          </cell>
          <cell r="I188" t="str">
            <v>TARIFA</v>
          </cell>
          <cell r="K188" t="str">
            <v>CANTIDAD</v>
          </cell>
          <cell r="M188" t="str">
            <v>SUB - TOTAL</v>
          </cell>
        </row>
        <row r="189">
          <cell r="H189" t="str">
            <v/>
          </cell>
          <cell r="I189" t="str">
            <v/>
          </cell>
          <cell r="M189" t="str">
            <v/>
          </cell>
        </row>
        <row r="190">
          <cell r="H190" t="str">
            <v/>
          </cell>
          <cell r="I190" t="str">
            <v/>
          </cell>
          <cell r="M190" t="str">
            <v/>
          </cell>
        </row>
        <row r="191">
          <cell r="H191" t="str">
            <v/>
          </cell>
          <cell r="I191" t="str">
            <v/>
          </cell>
          <cell r="M191" t="str">
            <v/>
          </cell>
        </row>
        <row r="192">
          <cell r="H192" t="str">
            <v/>
          </cell>
          <cell r="I192" t="str">
            <v/>
          </cell>
          <cell r="M192" t="str">
            <v/>
          </cell>
        </row>
        <row r="193">
          <cell r="H193" t="str">
            <v/>
          </cell>
          <cell r="I193" t="str">
            <v/>
          </cell>
          <cell r="M193" t="str">
            <v/>
          </cell>
        </row>
        <row r="194">
          <cell r="H194" t="str">
            <v/>
          </cell>
          <cell r="I194" t="str">
            <v/>
          </cell>
          <cell r="M194" t="str">
            <v/>
          </cell>
        </row>
        <row r="195">
          <cell r="K195" t="str">
            <v>SUBTOTAL</v>
          </cell>
          <cell r="M195">
            <v>0</v>
          </cell>
        </row>
        <row r="197">
          <cell r="A197" t="str">
            <v>B - HERRAMIENTA, MAQUINARIA Y EQUIPO</v>
          </cell>
        </row>
        <row r="198">
          <cell r="A198" t="str">
            <v>DESCRIPCIÓN</v>
          </cell>
          <cell r="H198" t="str">
            <v>UNIDAD</v>
          </cell>
          <cell r="I198" t="str">
            <v>TARIFA</v>
          </cell>
          <cell r="K198" t="str">
            <v>CANTIDAD</v>
          </cell>
          <cell r="M198" t="str">
            <v>SUB - TOTAL</v>
          </cell>
        </row>
        <row r="199">
          <cell r="A199" t="str">
            <v>Retroexcavadora de llanta, balde estandar</v>
          </cell>
          <cell r="H199" t="str">
            <v>Hora</v>
          </cell>
          <cell r="I199">
            <v>178500</v>
          </cell>
          <cell r="K199">
            <v>0.11764705882352941</v>
          </cell>
          <cell r="M199">
            <v>21000</v>
          </cell>
        </row>
        <row r="200">
          <cell r="H200" t="str">
            <v/>
          </cell>
          <cell r="I200" t="str">
            <v/>
          </cell>
          <cell r="M200" t="str">
            <v/>
          </cell>
        </row>
        <row r="201">
          <cell r="H201" t="str">
            <v/>
          </cell>
          <cell r="I201" t="str">
            <v/>
          </cell>
          <cell r="M201" t="str">
            <v/>
          </cell>
        </row>
        <row r="202">
          <cell r="H202" t="str">
            <v/>
          </cell>
          <cell r="I202" t="str">
            <v/>
          </cell>
          <cell r="M202" t="str">
            <v/>
          </cell>
        </row>
        <row r="203">
          <cell r="H203" t="str">
            <v/>
          </cell>
          <cell r="I203" t="str">
            <v/>
          </cell>
          <cell r="M203" t="str">
            <v/>
          </cell>
        </row>
        <row r="204">
          <cell r="K204" t="str">
            <v>SUBTOTAL</v>
          </cell>
          <cell r="M204">
            <v>21000</v>
          </cell>
        </row>
        <row r="206">
          <cell r="A206" t="str">
            <v>C - TRANSPORTE</v>
          </cell>
        </row>
        <row r="207">
          <cell r="A207" t="str">
            <v>DESCRIPCIÓN</v>
          </cell>
          <cell r="H207" t="str">
            <v>UNIDAD</v>
          </cell>
          <cell r="I207" t="str">
            <v>TARIFA</v>
          </cell>
          <cell r="K207" t="str">
            <v>CANTIDAD</v>
          </cell>
          <cell r="M207" t="str">
            <v>SUB - TOTAL</v>
          </cell>
        </row>
        <row r="208">
          <cell r="A208" t="str">
            <v>Transporte de equipos y herramientas</v>
          </cell>
          <cell r="H208" t="str">
            <v>% H, M, E</v>
          </cell>
          <cell r="I208">
            <v>21000</v>
          </cell>
          <cell r="K208">
            <v>0.1</v>
          </cell>
          <cell r="M208">
            <v>2100</v>
          </cell>
        </row>
        <row r="209">
          <cell r="M209" t="str">
            <v/>
          </cell>
        </row>
        <row r="210">
          <cell r="M210" t="str">
            <v/>
          </cell>
        </row>
        <row r="211">
          <cell r="M211" t="str">
            <v/>
          </cell>
        </row>
        <row r="212">
          <cell r="M212" t="str">
            <v/>
          </cell>
        </row>
        <row r="213">
          <cell r="K213" t="str">
            <v>SUBTOTAL</v>
          </cell>
          <cell r="M213">
            <v>2100</v>
          </cell>
        </row>
        <row r="215">
          <cell r="A215" t="str">
            <v>D - MANO DE OBRA</v>
          </cell>
        </row>
        <row r="216">
          <cell r="A216" t="str">
            <v>DESCRIPCIÓN</v>
          </cell>
          <cell r="H216" t="str">
            <v>UNIDAD</v>
          </cell>
          <cell r="I216" t="str">
            <v>TARIFA</v>
          </cell>
          <cell r="K216" t="str">
            <v>F.M.</v>
          </cell>
          <cell r="L216" t="str">
            <v>REND.</v>
          </cell>
          <cell r="M216" t="str">
            <v>SUB - TOTAL</v>
          </cell>
        </row>
        <row r="217">
          <cell r="H217" t="str">
            <v/>
          </cell>
          <cell r="I217" t="str">
            <v/>
          </cell>
          <cell r="K217" t="str">
            <v/>
          </cell>
          <cell r="M217" t="str">
            <v/>
          </cell>
        </row>
        <row r="218">
          <cell r="H218" t="str">
            <v/>
          </cell>
          <cell r="I218" t="str">
            <v/>
          </cell>
          <cell r="K218" t="str">
            <v/>
          </cell>
          <cell r="M218" t="str">
            <v/>
          </cell>
        </row>
        <row r="219">
          <cell r="H219" t="str">
            <v/>
          </cell>
          <cell r="I219" t="str">
            <v/>
          </cell>
          <cell r="K219" t="str">
            <v/>
          </cell>
          <cell r="M219" t="str">
            <v/>
          </cell>
        </row>
        <row r="220">
          <cell r="H220" t="str">
            <v/>
          </cell>
          <cell r="I220" t="str">
            <v/>
          </cell>
          <cell r="K220" t="str">
            <v/>
          </cell>
          <cell r="M220" t="str">
            <v/>
          </cell>
        </row>
        <row r="221">
          <cell r="H221" t="str">
            <v/>
          </cell>
          <cell r="I221" t="str">
            <v/>
          </cell>
          <cell r="K221" t="str">
            <v/>
          </cell>
          <cell r="M221" t="str">
            <v/>
          </cell>
        </row>
        <row r="222">
          <cell r="K222" t="str">
            <v>SUBTOTAL</v>
          </cell>
          <cell r="M222">
            <v>0</v>
          </cell>
        </row>
        <row r="226">
          <cell r="I226" t="str">
            <v>Elaboración</v>
          </cell>
          <cell r="K226" t="str">
            <v>Deiner Alexander Obregon Palomeque</v>
          </cell>
        </row>
        <row r="227">
          <cell r="I227" t="str">
            <v>Ingeniero Civil</v>
          </cell>
          <cell r="K227" t="str">
            <v>MP: 011037-0653228 ANT</v>
          </cell>
        </row>
        <row r="228">
          <cell r="A228" t="str">
            <v>ENTIBADO EN MADERA TIPO 2; CONTINUO PARA PROFUNDIDADES DE 2,0 A 4,0 MTS PARA TERRENOS INESTABLES 5 USOS</v>
          </cell>
          <cell r="M228">
            <v>45933</v>
          </cell>
        </row>
        <row r="231">
          <cell r="A231" t="str">
            <v>G006</v>
          </cell>
          <cell r="B231" t="str">
            <v>ENTIBADO EN MADERA TIPO 2; CONTINUO PARA PROFUNDIDADES DE 2,0 A 4,0 MTS PARA TERRENOS INESTABLES 5 USOS</v>
          </cell>
          <cell r="C231" t="str">
            <v>UNIDAD:</v>
          </cell>
          <cell r="D231" t="str">
            <v>M2</v>
          </cell>
          <cell r="E231" t="str">
            <v>TOTAL</v>
          </cell>
          <cell r="F231">
            <v>58026.609597395829</v>
          </cell>
          <cell r="G231" t="str">
            <v>EQUIPO</v>
          </cell>
          <cell r="H231">
            <v>1360.8116302083336</v>
          </cell>
          <cell r="I231" t="str">
            <v>MATERIAL</v>
          </cell>
          <cell r="J231">
            <v>26648.621999999999</v>
          </cell>
          <cell r="K231" t="str">
            <v>TRANSP.</v>
          </cell>
          <cell r="L231">
            <v>2800.9433630208332</v>
          </cell>
          <cell r="M231" t="str">
            <v>M.O.</v>
          </cell>
          <cell r="N231">
            <v>27216.232604166667</v>
          </cell>
        </row>
        <row r="233">
          <cell r="A233" t="str">
            <v>A - MATERIALES</v>
          </cell>
        </row>
        <row r="234">
          <cell r="A234" t="str">
            <v>DESCRIPCIÓN</v>
          </cell>
          <cell r="H234" t="str">
            <v>UNIDAD</v>
          </cell>
          <cell r="I234" t="str">
            <v>TARIFA</v>
          </cell>
          <cell r="K234" t="str">
            <v>CANTIDAD</v>
          </cell>
          <cell r="M234" t="str">
            <v>SUB - TOTAL</v>
          </cell>
        </row>
        <row r="235">
          <cell r="A235" t="str">
            <v>Cerco de 3x0,05x0,10</v>
          </cell>
          <cell r="H235" t="str">
            <v>Unidad</v>
          </cell>
          <cell r="I235">
            <v>21420</v>
          </cell>
          <cell r="K235">
            <v>0.52410000000000001</v>
          </cell>
          <cell r="M235">
            <v>11226.222</v>
          </cell>
        </row>
        <row r="236">
          <cell r="A236" t="str">
            <v>Puntilla de 2" c/cabeza</v>
          </cell>
          <cell r="H236" t="str">
            <v>LB</v>
          </cell>
          <cell r="I236">
            <v>5831</v>
          </cell>
          <cell r="K236">
            <v>0.4</v>
          </cell>
          <cell r="M236">
            <v>2332.4</v>
          </cell>
        </row>
        <row r="237">
          <cell r="A237" t="str">
            <v>Tabla comun de 3x0,25x0,02m</v>
          </cell>
          <cell r="H237" t="str">
            <v>Unidad</v>
          </cell>
          <cell r="I237">
            <v>26180</v>
          </cell>
          <cell r="K237">
            <v>0.5</v>
          </cell>
          <cell r="M237">
            <v>13090</v>
          </cell>
        </row>
        <row r="238">
          <cell r="H238" t="str">
            <v/>
          </cell>
          <cell r="I238" t="str">
            <v/>
          </cell>
          <cell r="M238" t="str">
            <v/>
          </cell>
        </row>
        <row r="239">
          <cell r="H239" t="str">
            <v/>
          </cell>
          <cell r="I239" t="str">
            <v/>
          </cell>
          <cell r="M239" t="str">
            <v/>
          </cell>
        </row>
        <row r="240">
          <cell r="H240" t="str">
            <v/>
          </cell>
          <cell r="I240" t="str">
            <v/>
          </cell>
          <cell r="M240" t="str">
            <v/>
          </cell>
        </row>
        <row r="241">
          <cell r="K241" t="str">
            <v>SUBTOTAL</v>
          </cell>
          <cell r="M241">
            <v>26648.621999999999</v>
          </cell>
        </row>
        <row r="243">
          <cell r="A243" t="str">
            <v>B - HERRAMIENTA, MAQUINARIA Y EQUIPO</v>
          </cell>
        </row>
        <row r="244">
          <cell r="A244" t="str">
            <v>DESCRIPCIÓN</v>
          </cell>
          <cell r="H244" t="str">
            <v>UNIDAD</v>
          </cell>
          <cell r="I244" t="str">
            <v>TARIFA</v>
          </cell>
          <cell r="K244" t="str">
            <v>CANTIDAD</v>
          </cell>
          <cell r="M244" t="str">
            <v>SUB - TOTAL</v>
          </cell>
        </row>
        <row r="245">
          <cell r="A245" t="str">
            <v>Herramienta Menor</v>
          </cell>
          <cell r="H245" t="str">
            <v>% M.O.</v>
          </cell>
          <cell r="I245">
            <v>27216.232604166667</v>
          </cell>
          <cell r="K245">
            <v>0.05</v>
          </cell>
          <cell r="M245">
            <v>1360.8116302083336</v>
          </cell>
        </row>
        <row r="246">
          <cell r="H246" t="str">
            <v/>
          </cell>
          <cell r="I246" t="str">
            <v/>
          </cell>
          <cell r="M246" t="str">
            <v/>
          </cell>
        </row>
        <row r="247">
          <cell r="H247" t="str">
            <v/>
          </cell>
          <cell r="I247" t="str">
            <v/>
          </cell>
          <cell r="M247" t="str">
            <v/>
          </cell>
        </row>
        <row r="248">
          <cell r="H248" t="str">
            <v/>
          </cell>
          <cell r="I248" t="str">
            <v/>
          </cell>
          <cell r="M248" t="str">
            <v/>
          </cell>
        </row>
        <row r="249">
          <cell r="H249" t="str">
            <v/>
          </cell>
          <cell r="I249" t="str">
            <v/>
          </cell>
          <cell r="M249" t="str">
            <v/>
          </cell>
        </row>
        <row r="250">
          <cell r="K250" t="str">
            <v>SUBTOTAL</v>
          </cell>
          <cell r="M250">
            <v>1360.8116302083336</v>
          </cell>
        </row>
        <row r="252">
          <cell r="A252" t="str">
            <v>C - TRANSPORTE</v>
          </cell>
        </row>
        <row r="253">
          <cell r="A253" t="str">
            <v>DESCRIPCIÓN</v>
          </cell>
          <cell r="H253" t="str">
            <v>UNIDAD</v>
          </cell>
          <cell r="I253" t="str">
            <v>TARIFA</v>
          </cell>
          <cell r="K253" t="str">
            <v>CANTIDAD</v>
          </cell>
          <cell r="M253" t="str">
            <v>SUB - TOTAL</v>
          </cell>
        </row>
        <row r="254">
          <cell r="A254" t="str">
            <v>Transporte de Materiales</v>
          </cell>
          <cell r="H254" t="str">
            <v>% Mat</v>
          </cell>
          <cell r="I254">
            <v>26648.621999999999</v>
          </cell>
          <cell r="K254">
            <v>0.1</v>
          </cell>
          <cell r="M254">
            <v>2664.8622</v>
          </cell>
        </row>
        <row r="255">
          <cell r="A255" t="str">
            <v>Transporte de equipos y herramientas</v>
          </cell>
          <cell r="H255" t="str">
            <v>%</v>
          </cell>
          <cell r="I255">
            <v>1360.8116302083336</v>
          </cell>
          <cell r="K255">
            <v>0.1</v>
          </cell>
          <cell r="M255">
            <v>136.08116302083337</v>
          </cell>
        </row>
        <row r="256">
          <cell r="M256" t="str">
            <v/>
          </cell>
        </row>
        <row r="257">
          <cell r="M257" t="str">
            <v/>
          </cell>
        </row>
        <row r="258">
          <cell r="M258" t="str">
            <v/>
          </cell>
        </row>
        <row r="259">
          <cell r="K259" t="str">
            <v>SUBTOTAL</v>
          </cell>
          <cell r="M259">
            <v>2800.9433630208332</v>
          </cell>
        </row>
        <row r="261">
          <cell r="A261" t="str">
            <v>D - MANO DE OBRA</v>
          </cell>
        </row>
        <row r="262">
          <cell r="A262" t="str">
            <v>DESCRIPCIÓN</v>
          </cell>
          <cell r="H262" t="str">
            <v>UNIDAD</v>
          </cell>
          <cell r="I262" t="str">
            <v>TARIFA</v>
          </cell>
          <cell r="K262" t="str">
            <v>F.M.</v>
          </cell>
          <cell r="L262" t="str">
            <v>REND.</v>
          </cell>
          <cell r="M262" t="str">
            <v>SUB - TOTAL</v>
          </cell>
        </row>
        <row r="263">
          <cell r="A263" t="str">
            <v>Cuadrilla 5: 1 OfcA + 1 AyuA</v>
          </cell>
          <cell r="H263" t="str">
            <v>Cuadrilla</v>
          </cell>
          <cell r="I263">
            <v>166075</v>
          </cell>
          <cell r="K263">
            <v>1.96655</v>
          </cell>
          <cell r="L263">
            <v>8.3333333333333329E-2</v>
          </cell>
          <cell r="M263">
            <v>27216.232604166667</v>
          </cell>
        </row>
        <row r="264">
          <cell r="H264" t="str">
            <v/>
          </cell>
          <cell r="I264" t="str">
            <v/>
          </cell>
          <cell r="K264" t="str">
            <v/>
          </cell>
          <cell r="M264" t="str">
            <v/>
          </cell>
        </row>
        <row r="265">
          <cell r="H265" t="str">
            <v/>
          </cell>
          <cell r="I265" t="str">
            <v/>
          </cell>
          <cell r="K265" t="str">
            <v/>
          </cell>
          <cell r="M265" t="str">
            <v/>
          </cell>
        </row>
        <row r="266">
          <cell r="H266" t="str">
            <v/>
          </cell>
          <cell r="I266" t="str">
            <v/>
          </cell>
          <cell r="K266" t="str">
            <v/>
          </cell>
          <cell r="M266" t="str">
            <v/>
          </cell>
        </row>
        <row r="267">
          <cell r="H267" t="str">
            <v/>
          </cell>
          <cell r="I267" t="str">
            <v/>
          </cell>
          <cell r="K267" t="str">
            <v/>
          </cell>
          <cell r="M267" t="str">
            <v/>
          </cell>
        </row>
        <row r="268">
          <cell r="K268" t="str">
            <v>SUBTOTAL</v>
          </cell>
          <cell r="M268">
            <v>27216.232604166667</v>
          </cell>
        </row>
        <row r="272">
          <cell r="I272" t="str">
            <v>Elaboración</v>
          </cell>
          <cell r="K272" t="str">
            <v>Deiner Alexander Obregon Palomeque</v>
          </cell>
        </row>
        <row r="273">
          <cell r="I273" t="str">
            <v>Ingeniero Civil</v>
          </cell>
          <cell r="K273" t="str">
            <v>MP: 011037-0653228 ANT</v>
          </cell>
        </row>
        <row r="274">
          <cell r="A274" t="str">
            <v>EXCAVACIÓN EN ROCA SIN EXPLOSIVOS (INCLUYE COMPRESOR, MARTILLO DEMOLEDOR)</v>
          </cell>
          <cell r="M274">
            <v>45933</v>
          </cell>
        </row>
        <row r="277">
          <cell r="A277" t="str">
            <v>G007</v>
          </cell>
          <cell r="B277" t="str">
            <v>EXCAVACIÓN EN ROCA SIN EXPLOSIVOS (INCLUYE COMPRESOR, MARTILLO DEMOLEDOR)</v>
          </cell>
          <cell r="C277" t="str">
            <v>UNIDAD:</v>
          </cell>
          <cell r="D277" t="str">
            <v>M3</v>
          </cell>
          <cell r="E277" t="str">
            <v>TOTAL</v>
          </cell>
          <cell r="F277">
            <v>159366.93000000002</v>
          </cell>
          <cell r="G277" t="str">
            <v>EQUIPO</v>
          </cell>
          <cell r="H277">
            <v>0</v>
          </cell>
          <cell r="I277" t="str">
            <v>MATERIAL</v>
          </cell>
          <cell r="J277">
            <v>58818.469788284521</v>
          </cell>
          <cell r="K277" t="str">
            <v>TRANSP.</v>
          </cell>
          <cell r="L277">
            <v>2940.9234894142264</v>
          </cell>
          <cell r="M277" t="str">
            <v>M.O.</v>
          </cell>
          <cell r="N277">
            <v>97607.528765690367</v>
          </cell>
        </row>
        <row r="279">
          <cell r="A279" t="str">
            <v>A - MATERIALES</v>
          </cell>
        </row>
        <row r="280">
          <cell r="A280" t="str">
            <v>DESCRIPCIÓN</v>
          </cell>
          <cell r="H280" t="str">
            <v>UNIDAD</v>
          </cell>
          <cell r="I280" t="str">
            <v>TARIFA</v>
          </cell>
          <cell r="K280" t="str">
            <v>CANTIDAD</v>
          </cell>
          <cell r="M280" t="str">
            <v>SUB - TOTAL</v>
          </cell>
        </row>
        <row r="283">
          <cell r="H283" t="str">
            <v/>
          </cell>
          <cell r="I283" t="str">
            <v/>
          </cell>
          <cell r="M283" t="str">
            <v/>
          </cell>
        </row>
        <row r="284">
          <cell r="H284" t="str">
            <v/>
          </cell>
          <cell r="I284" t="str">
            <v/>
          </cell>
          <cell r="M284" t="str">
            <v/>
          </cell>
        </row>
        <row r="285">
          <cell r="H285" t="str">
            <v/>
          </cell>
          <cell r="I285" t="str">
            <v/>
          </cell>
          <cell r="M285" t="str">
            <v/>
          </cell>
        </row>
        <row r="286">
          <cell r="H286" t="str">
            <v/>
          </cell>
          <cell r="I286" t="str">
            <v/>
          </cell>
          <cell r="M286" t="str">
            <v/>
          </cell>
        </row>
        <row r="287">
          <cell r="K287" t="str">
            <v>SUBTOTAL</v>
          </cell>
          <cell r="M287">
            <v>0</v>
          </cell>
        </row>
        <row r="289">
          <cell r="A289" t="str">
            <v>B - HERRAMIENTA, MAQUINARIA Y EQUIPO</v>
          </cell>
        </row>
        <row r="290">
          <cell r="A290" t="str">
            <v>DESCRIPCIÓN</v>
          </cell>
          <cell r="H290" t="str">
            <v>UNIDAD</v>
          </cell>
          <cell r="I290" t="str">
            <v>TARIFA</v>
          </cell>
          <cell r="K290" t="str">
            <v>CANTIDAD</v>
          </cell>
          <cell r="M290" t="str">
            <v>SUB - TOTAL</v>
          </cell>
        </row>
        <row r="291">
          <cell r="A291" t="str">
            <v>Herramienta Menor</v>
          </cell>
          <cell r="H291" t="str">
            <v>% M.O.</v>
          </cell>
          <cell r="I291">
            <v>97607.528765690367</v>
          </cell>
          <cell r="K291">
            <v>0.05</v>
          </cell>
          <cell r="M291">
            <v>4880.3764382845184</v>
          </cell>
        </row>
        <row r="292">
          <cell r="A292" t="str">
            <v>Compresor para martillo demoledor</v>
          </cell>
          <cell r="H292" t="str">
            <v>Hora</v>
          </cell>
          <cell r="I292">
            <v>198300</v>
          </cell>
          <cell r="K292">
            <v>0.25</v>
          </cell>
          <cell r="M292">
            <v>49575</v>
          </cell>
        </row>
        <row r="293">
          <cell r="A293" t="str">
            <v>Martillo demoledor de concreto</v>
          </cell>
          <cell r="H293" t="str">
            <v>Hora</v>
          </cell>
          <cell r="I293">
            <v>14543.6445</v>
          </cell>
          <cell r="K293">
            <v>0.3</v>
          </cell>
          <cell r="M293">
            <v>4363.0933500000001</v>
          </cell>
        </row>
        <row r="295">
          <cell r="H295" t="str">
            <v/>
          </cell>
          <cell r="I295" t="str">
            <v/>
          </cell>
          <cell r="M295" t="str">
            <v/>
          </cell>
        </row>
        <row r="296">
          <cell r="K296" t="str">
            <v>SUBTOTAL</v>
          </cell>
          <cell r="M296">
            <v>58818.469788284521</v>
          </cell>
        </row>
        <row r="298">
          <cell r="A298" t="str">
            <v>C - TRANSPORTE</v>
          </cell>
        </row>
        <row r="299">
          <cell r="A299" t="str">
            <v>DESCRIPCIÓN</v>
          </cell>
          <cell r="H299" t="str">
            <v>UNIDAD</v>
          </cell>
          <cell r="I299" t="str">
            <v>TARIFA</v>
          </cell>
          <cell r="K299" t="str">
            <v>CANTIDAD</v>
          </cell>
          <cell r="M299" t="str">
            <v>SUB - TOTAL</v>
          </cell>
        </row>
        <row r="300">
          <cell r="A300" t="str">
            <v>Transporte de maquinaria y equipos</v>
          </cell>
          <cell r="H300" t="str">
            <v>%</v>
          </cell>
          <cell r="I300">
            <v>58818.469788284521</v>
          </cell>
          <cell r="K300">
            <v>0.05</v>
          </cell>
          <cell r="M300">
            <v>2940.9234894142264</v>
          </cell>
        </row>
        <row r="301">
          <cell r="M301" t="str">
            <v/>
          </cell>
        </row>
        <row r="302">
          <cell r="M302" t="str">
            <v/>
          </cell>
        </row>
        <row r="303">
          <cell r="M303" t="str">
            <v/>
          </cell>
        </row>
        <row r="304">
          <cell r="K304" t="str">
            <v>SUBTOTAL</v>
          </cell>
          <cell r="M304">
            <v>2940.9234894142264</v>
          </cell>
        </row>
        <row r="306">
          <cell r="A306" t="str">
            <v>D - MANO DE OBRA</v>
          </cell>
        </row>
        <row r="307">
          <cell r="A307" t="str">
            <v>DESCRIPCIÓN</v>
          </cell>
          <cell r="H307" t="str">
            <v>UNIDAD</v>
          </cell>
          <cell r="I307" t="str">
            <v>TARIFA</v>
          </cell>
          <cell r="K307" t="str">
            <v>F.M.</v>
          </cell>
          <cell r="L307" t="str">
            <v>REND.</v>
          </cell>
          <cell r="M307" t="str">
            <v>SUB - TOTAL</v>
          </cell>
        </row>
        <row r="308">
          <cell r="A308" t="str">
            <v>Cuadrilla 6: 1 OfcA + 2 AyuA</v>
          </cell>
          <cell r="H308" t="str">
            <v>Cuadrilla</v>
          </cell>
          <cell r="I308">
            <v>237250</v>
          </cell>
          <cell r="K308">
            <v>1.96655</v>
          </cell>
          <cell r="L308">
            <v>0.20920502092050208</v>
          </cell>
          <cell r="M308">
            <v>97607.528765690367</v>
          </cell>
        </row>
        <row r="309">
          <cell r="H309" t="str">
            <v/>
          </cell>
          <cell r="I309" t="str">
            <v/>
          </cell>
          <cell r="K309" t="str">
            <v/>
          </cell>
          <cell r="M309" t="str">
            <v/>
          </cell>
        </row>
        <row r="310">
          <cell r="H310" t="str">
            <v/>
          </cell>
          <cell r="I310" t="str">
            <v/>
          </cell>
          <cell r="K310" t="str">
            <v/>
          </cell>
          <cell r="M310" t="str">
            <v/>
          </cell>
        </row>
        <row r="311">
          <cell r="H311" t="str">
            <v/>
          </cell>
          <cell r="I311" t="str">
            <v/>
          </cell>
          <cell r="K311" t="str">
            <v/>
          </cell>
          <cell r="M311" t="str">
            <v/>
          </cell>
        </row>
        <row r="312">
          <cell r="H312" t="str">
            <v/>
          </cell>
          <cell r="I312" t="str">
            <v/>
          </cell>
          <cell r="K312" t="str">
            <v/>
          </cell>
          <cell r="M312" t="str">
            <v/>
          </cell>
        </row>
        <row r="313">
          <cell r="K313" t="str">
            <v>SUBTOTAL</v>
          </cell>
          <cell r="M313">
            <v>97607.528765690367</v>
          </cell>
        </row>
        <row r="316">
          <cell r="I316" t="str">
            <v>Elaboración</v>
          </cell>
          <cell r="K316" t="str">
            <v>Deiner Alexander Obregon Palomeque</v>
          </cell>
        </row>
        <row r="317">
          <cell r="I317" t="str">
            <v>Ingeniero Civil</v>
          </cell>
          <cell r="K317" t="str">
            <v>MP: 011037-0653228 ANT</v>
          </cell>
        </row>
        <row r="318">
          <cell r="A318" t="str">
            <v>RELLENO CON ARENA PARA BASE DE TUBERÍA</v>
          </cell>
          <cell r="M318">
            <v>45933</v>
          </cell>
        </row>
        <row r="321">
          <cell r="A321" t="str">
            <v>G008</v>
          </cell>
          <cell r="B321" t="str">
            <v>RELLENO CON ARENA PARA BASE DE TUBERÍA</v>
          </cell>
          <cell r="C321" t="str">
            <v>UNIDAD:</v>
          </cell>
          <cell r="D321" t="str">
            <v>M3</v>
          </cell>
          <cell r="E321" t="str">
            <v>TOTAL</v>
          </cell>
          <cell r="F321">
            <v>223718.5799307639</v>
          </cell>
          <cell r="G321" t="str">
            <v>EQUIPO</v>
          </cell>
          <cell r="H321">
            <v>1088.6493041666668</v>
          </cell>
          <cell r="I321" t="str">
            <v>MATERIAL</v>
          </cell>
          <cell r="J321">
            <v>65450</v>
          </cell>
          <cell r="K321" t="str">
            <v>TRANSP.</v>
          </cell>
          <cell r="L321">
            <v>135406.9445432639</v>
          </cell>
          <cell r="M321" t="str">
            <v>M.O.</v>
          </cell>
          <cell r="N321">
            <v>21772.986083333333</v>
          </cell>
        </row>
        <row r="323">
          <cell r="A323" t="str">
            <v>A - MATERIALES</v>
          </cell>
        </row>
        <row r="324">
          <cell r="A324" t="str">
            <v>DESCRIPCIÓN</v>
          </cell>
          <cell r="H324" t="str">
            <v>UNIDAD</v>
          </cell>
          <cell r="I324" t="str">
            <v>TARIFA</v>
          </cell>
          <cell r="K324" t="str">
            <v>CANTIDAD</v>
          </cell>
          <cell r="M324" t="str">
            <v>SUB - TOTAL</v>
          </cell>
        </row>
        <row r="325">
          <cell r="A325" t="str">
            <v>Arena triturada pasante 3/8"</v>
          </cell>
          <cell r="H325" t="str">
            <v>m3</v>
          </cell>
          <cell r="I325">
            <v>65450</v>
          </cell>
          <cell r="K325">
            <v>1</v>
          </cell>
          <cell r="M325">
            <v>65450</v>
          </cell>
        </row>
        <row r="326">
          <cell r="H326" t="str">
            <v/>
          </cell>
          <cell r="I326" t="str">
            <v/>
          </cell>
          <cell r="M326" t="str">
            <v/>
          </cell>
        </row>
        <row r="327">
          <cell r="H327" t="str">
            <v/>
          </cell>
          <cell r="I327" t="str">
            <v/>
          </cell>
          <cell r="M327" t="str">
            <v/>
          </cell>
        </row>
        <row r="328">
          <cell r="H328" t="str">
            <v/>
          </cell>
          <cell r="I328" t="str">
            <v/>
          </cell>
          <cell r="M328" t="str">
            <v/>
          </cell>
        </row>
        <row r="329">
          <cell r="H329" t="str">
            <v/>
          </cell>
          <cell r="I329" t="str">
            <v/>
          </cell>
          <cell r="M329" t="str">
            <v/>
          </cell>
        </row>
        <row r="330">
          <cell r="H330" t="str">
            <v/>
          </cell>
          <cell r="I330" t="str">
            <v/>
          </cell>
          <cell r="M330" t="str">
            <v/>
          </cell>
        </row>
        <row r="331">
          <cell r="K331" t="str">
            <v>SUBTOTAL</v>
          </cell>
          <cell r="M331">
            <v>65450</v>
          </cell>
        </row>
        <row r="333">
          <cell r="A333" t="str">
            <v>B - HERRAMIENTA, MAQUINARIA Y EQUIPO</v>
          </cell>
        </row>
        <row r="334">
          <cell r="A334" t="str">
            <v>DESCRIPCIÓN</v>
          </cell>
          <cell r="H334" t="str">
            <v>UNIDAD</v>
          </cell>
          <cell r="I334" t="str">
            <v>TARIFA</v>
          </cell>
          <cell r="K334" t="str">
            <v>CANTIDAD</v>
          </cell>
          <cell r="M334" t="str">
            <v>SUB - TOTAL</v>
          </cell>
        </row>
        <row r="335">
          <cell r="A335" t="str">
            <v>Herramienta Menor</v>
          </cell>
          <cell r="H335" t="str">
            <v>% M.O.</v>
          </cell>
          <cell r="I335">
            <v>21772.986083333333</v>
          </cell>
          <cell r="K335">
            <v>0.05</v>
          </cell>
          <cell r="M335">
            <v>1088.6493041666668</v>
          </cell>
        </row>
        <row r="336">
          <cell r="H336" t="str">
            <v/>
          </cell>
          <cell r="I336" t="str">
            <v/>
          </cell>
          <cell r="M336" t="str">
            <v/>
          </cell>
        </row>
        <row r="337">
          <cell r="H337" t="str">
            <v/>
          </cell>
          <cell r="I337" t="str">
            <v/>
          </cell>
          <cell r="M337" t="str">
            <v/>
          </cell>
        </row>
        <row r="338">
          <cell r="H338" t="str">
            <v/>
          </cell>
          <cell r="I338" t="str">
            <v/>
          </cell>
          <cell r="M338" t="str">
            <v/>
          </cell>
        </row>
        <row r="339">
          <cell r="H339" t="str">
            <v/>
          </cell>
          <cell r="I339" t="str">
            <v/>
          </cell>
          <cell r="M339" t="str">
            <v/>
          </cell>
        </row>
        <row r="340">
          <cell r="K340" t="str">
            <v>SUBTOTAL</v>
          </cell>
          <cell r="M340">
            <v>1088.6493041666668</v>
          </cell>
        </row>
        <row r="342">
          <cell r="A342" t="str">
            <v>C - TRANSPORTE</v>
          </cell>
        </row>
        <row r="343">
          <cell r="A343" t="str">
            <v>DESCRIPCIÓN</v>
          </cell>
          <cell r="H343" t="str">
            <v>UNIDAD</v>
          </cell>
          <cell r="I343" t="str">
            <v>TARIFA</v>
          </cell>
          <cell r="K343" t="str">
            <v>CANTIDAD</v>
          </cell>
          <cell r="M343" t="str">
            <v>SUB - TOTAL</v>
          </cell>
        </row>
        <row r="344">
          <cell r="A344" t="str">
            <v>Transporte de materiales</v>
          </cell>
          <cell r="H344" t="str">
            <v>M3-KM</v>
          </cell>
          <cell r="I344">
            <v>1879.1399946228782</v>
          </cell>
          <cell r="K344">
            <v>72</v>
          </cell>
          <cell r="M344">
            <v>135298.07961284724</v>
          </cell>
        </row>
        <row r="345">
          <cell r="A345" t="str">
            <v>Transporte de equipos y herramientas</v>
          </cell>
          <cell r="H345" t="str">
            <v>%</v>
          </cell>
          <cell r="I345">
            <v>1088.6493041666668</v>
          </cell>
          <cell r="K345">
            <v>0.1</v>
          </cell>
          <cell r="M345">
            <v>108.86493041666668</v>
          </cell>
        </row>
        <row r="346">
          <cell r="M346" t="str">
            <v/>
          </cell>
        </row>
        <row r="347">
          <cell r="M347" t="str">
            <v/>
          </cell>
        </row>
        <row r="348">
          <cell r="M348" t="str">
            <v/>
          </cell>
        </row>
        <row r="349">
          <cell r="K349" t="str">
            <v>SUBTOTAL</v>
          </cell>
          <cell r="M349">
            <v>135406.9445432639</v>
          </cell>
        </row>
        <row r="351">
          <cell r="A351" t="str">
            <v>D - MANO DE OBRA</v>
          </cell>
        </row>
        <row r="352">
          <cell r="A352" t="str">
            <v>DESCRIPCIÓN</v>
          </cell>
          <cell r="H352" t="str">
            <v>UNIDAD</v>
          </cell>
          <cell r="I352" t="str">
            <v>TARIFA</v>
          </cell>
          <cell r="K352" t="str">
            <v>F.M.</v>
          </cell>
          <cell r="L352" t="str">
            <v>REND.</v>
          </cell>
          <cell r="M352" t="str">
            <v>SUB - TOTAL</v>
          </cell>
        </row>
        <row r="353">
          <cell r="A353" t="str">
            <v>Cuadrilla 5: 1 OfcA + 1 AyuA</v>
          </cell>
          <cell r="H353" t="str">
            <v>Cuadrilla</v>
          </cell>
          <cell r="I353">
            <v>166075</v>
          </cell>
          <cell r="K353">
            <v>1.96655</v>
          </cell>
          <cell r="L353">
            <v>6.6666666666666666E-2</v>
          </cell>
          <cell r="M353">
            <v>21772.986083333333</v>
          </cell>
        </row>
        <row r="354">
          <cell r="H354" t="str">
            <v/>
          </cell>
          <cell r="I354" t="str">
            <v/>
          </cell>
          <cell r="K354" t="str">
            <v/>
          </cell>
          <cell r="M354" t="str">
            <v/>
          </cell>
        </row>
        <row r="355">
          <cell r="H355" t="str">
            <v/>
          </cell>
          <cell r="I355" t="str">
            <v/>
          </cell>
          <cell r="K355" t="str">
            <v/>
          </cell>
          <cell r="M355" t="str">
            <v/>
          </cell>
        </row>
        <row r="356">
          <cell r="H356" t="str">
            <v/>
          </cell>
          <cell r="I356" t="str">
            <v/>
          </cell>
          <cell r="K356" t="str">
            <v/>
          </cell>
          <cell r="M356" t="str">
            <v/>
          </cell>
        </row>
        <row r="357">
          <cell r="H357" t="str">
            <v/>
          </cell>
          <cell r="I357" t="str">
            <v/>
          </cell>
          <cell r="K357" t="str">
            <v/>
          </cell>
          <cell r="M357" t="str">
            <v/>
          </cell>
        </row>
        <row r="358">
          <cell r="K358" t="str">
            <v>SUBTOTAL</v>
          </cell>
          <cell r="M358">
            <v>21772.986083333333</v>
          </cell>
        </row>
        <row r="362">
          <cell r="I362" t="str">
            <v>Elaboración</v>
          </cell>
          <cell r="K362" t="str">
            <v>Deiner Alexander Obregon Palomeque</v>
          </cell>
        </row>
        <row r="363">
          <cell r="I363" t="str">
            <v>Ingeniero Civil</v>
          </cell>
          <cell r="K363" t="str">
            <v>MP: 011037-0653228 ANT</v>
          </cell>
        </row>
        <row r="364">
          <cell r="A364" t="str">
            <v>RELLENO CON TRITURADO PASANTE DE 3/4"</v>
          </cell>
          <cell r="M364">
            <v>45933</v>
          </cell>
        </row>
        <row r="367">
          <cell r="A367" t="str">
            <v>G009</v>
          </cell>
          <cell r="B367" t="str">
            <v>RELLENO CON TRITURADO PASANTE DE 3/4"</v>
          </cell>
          <cell r="C367" t="str">
            <v>UNIDAD:</v>
          </cell>
          <cell r="D367" t="str">
            <v>M3</v>
          </cell>
          <cell r="E367" t="str">
            <v>TOTAL</v>
          </cell>
          <cell r="F367">
            <v>271318.57993076392</v>
          </cell>
          <cell r="G367" t="str">
            <v>EQUIPO</v>
          </cell>
          <cell r="H367">
            <v>1088.6493041666668</v>
          </cell>
          <cell r="I367" t="str">
            <v>MATERIAL</v>
          </cell>
          <cell r="J367">
            <v>113050</v>
          </cell>
          <cell r="K367" t="str">
            <v>TRANSP.</v>
          </cell>
          <cell r="L367">
            <v>135406.9445432639</v>
          </cell>
          <cell r="M367" t="str">
            <v>M.O.</v>
          </cell>
          <cell r="N367">
            <v>21772.986083333333</v>
          </cell>
        </row>
        <row r="369">
          <cell r="A369" t="str">
            <v>A - MATERIALES</v>
          </cell>
        </row>
        <row r="370">
          <cell r="A370" t="str">
            <v>DESCRIPCIÓN</v>
          </cell>
          <cell r="H370" t="str">
            <v>UNIDAD</v>
          </cell>
          <cell r="I370" t="str">
            <v>TARIFA</v>
          </cell>
          <cell r="K370" t="str">
            <v>CANTIDAD</v>
          </cell>
          <cell r="M370" t="str">
            <v>SUB - TOTAL</v>
          </cell>
        </row>
        <row r="371">
          <cell r="A371" t="str">
            <v>Triturado pasante de 3/4" retenido en 3/8"</v>
          </cell>
          <cell r="H371" t="str">
            <v>m3</v>
          </cell>
          <cell r="I371">
            <v>113050</v>
          </cell>
          <cell r="K371">
            <v>1</v>
          </cell>
          <cell r="M371">
            <v>113050</v>
          </cell>
        </row>
        <row r="372">
          <cell r="H372" t="str">
            <v/>
          </cell>
          <cell r="I372" t="str">
            <v/>
          </cell>
          <cell r="M372" t="str">
            <v/>
          </cell>
        </row>
        <row r="373">
          <cell r="H373" t="str">
            <v/>
          </cell>
          <cell r="I373" t="str">
            <v/>
          </cell>
          <cell r="M373" t="str">
            <v/>
          </cell>
        </row>
        <row r="374">
          <cell r="H374" t="str">
            <v/>
          </cell>
          <cell r="I374" t="str">
            <v/>
          </cell>
          <cell r="M374" t="str">
            <v/>
          </cell>
        </row>
        <row r="375">
          <cell r="H375" t="str">
            <v/>
          </cell>
          <cell r="I375" t="str">
            <v/>
          </cell>
          <cell r="M375" t="str">
            <v/>
          </cell>
        </row>
        <row r="376">
          <cell r="H376" t="str">
            <v/>
          </cell>
          <cell r="I376" t="str">
            <v/>
          </cell>
          <cell r="M376" t="str">
            <v/>
          </cell>
        </row>
        <row r="377">
          <cell r="K377" t="str">
            <v>SUBTOTAL</v>
          </cell>
          <cell r="M377">
            <v>113050</v>
          </cell>
        </row>
        <row r="379">
          <cell r="A379" t="str">
            <v>B - HERRAMIENTA, MAQUINARIA Y EQUIPO</v>
          </cell>
        </row>
        <row r="380">
          <cell r="A380" t="str">
            <v>DESCRIPCIÓN</v>
          </cell>
          <cell r="H380" t="str">
            <v>UNIDAD</v>
          </cell>
          <cell r="I380" t="str">
            <v>TARIFA</v>
          </cell>
          <cell r="K380" t="str">
            <v>CANTIDAD</v>
          </cell>
          <cell r="M380" t="str">
            <v>SUB - TOTAL</v>
          </cell>
        </row>
        <row r="381">
          <cell r="A381" t="str">
            <v>Herramienta Menor</v>
          </cell>
          <cell r="H381" t="str">
            <v>% M.O.</v>
          </cell>
          <cell r="I381">
            <v>21772.986083333333</v>
          </cell>
          <cell r="K381">
            <v>0.05</v>
          </cell>
          <cell r="M381">
            <v>1088.6493041666668</v>
          </cell>
        </row>
        <row r="382">
          <cell r="H382" t="str">
            <v/>
          </cell>
          <cell r="I382" t="str">
            <v/>
          </cell>
          <cell r="M382" t="str">
            <v/>
          </cell>
        </row>
        <row r="383">
          <cell r="H383" t="str">
            <v/>
          </cell>
          <cell r="I383" t="str">
            <v/>
          </cell>
          <cell r="M383" t="str">
            <v/>
          </cell>
        </row>
        <row r="384">
          <cell r="H384" t="str">
            <v/>
          </cell>
          <cell r="I384" t="str">
            <v/>
          </cell>
          <cell r="M384" t="str">
            <v/>
          </cell>
        </row>
        <row r="385">
          <cell r="H385" t="str">
            <v/>
          </cell>
          <cell r="I385" t="str">
            <v/>
          </cell>
          <cell r="M385" t="str">
            <v/>
          </cell>
        </row>
        <row r="386">
          <cell r="K386" t="str">
            <v>SUBTOTAL</v>
          </cell>
          <cell r="M386">
            <v>1088.6493041666668</v>
          </cell>
        </row>
        <row r="388">
          <cell r="A388" t="str">
            <v>C - TRANSPORTE</v>
          </cell>
        </row>
        <row r="389">
          <cell r="A389" t="str">
            <v>DESCRIPCIÓN</v>
          </cell>
          <cell r="H389" t="str">
            <v>UNIDAD</v>
          </cell>
          <cell r="I389" t="str">
            <v>TARIFA</v>
          </cell>
          <cell r="K389" t="str">
            <v>CANTIDAD</v>
          </cell>
          <cell r="M389" t="str">
            <v>SUB - TOTAL</v>
          </cell>
        </row>
        <row r="390">
          <cell r="A390" t="str">
            <v>Transporte de materiales</v>
          </cell>
          <cell r="H390" t="str">
            <v>M3-KM</v>
          </cell>
          <cell r="I390">
            <v>1879.1399946228782</v>
          </cell>
          <cell r="K390">
            <v>72</v>
          </cell>
          <cell r="M390">
            <v>135298.07961284724</v>
          </cell>
        </row>
        <row r="391">
          <cell r="A391" t="str">
            <v>Transporte de equipos y herramientas</v>
          </cell>
          <cell r="H391" t="str">
            <v>%</v>
          </cell>
          <cell r="I391">
            <v>1088.6493041666668</v>
          </cell>
          <cell r="K391">
            <v>0.1</v>
          </cell>
          <cell r="M391">
            <v>108.86493041666668</v>
          </cell>
        </row>
        <row r="392">
          <cell r="M392" t="str">
            <v/>
          </cell>
        </row>
        <row r="393">
          <cell r="M393" t="str">
            <v/>
          </cell>
        </row>
        <row r="394">
          <cell r="M394" t="str">
            <v/>
          </cell>
        </row>
        <row r="395">
          <cell r="K395" t="str">
            <v>SUBTOTAL</v>
          </cell>
          <cell r="M395">
            <v>135406.9445432639</v>
          </cell>
        </row>
        <row r="397">
          <cell r="A397" t="str">
            <v>D - MANO DE OBRA</v>
          </cell>
        </row>
        <row r="398">
          <cell r="A398" t="str">
            <v>DESCRIPCIÓN</v>
          </cell>
          <cell r="H398" t="str">
            <v>UNIDAD</v>
          </cell>
          <cell r="I398" t="str">
            <v>TARIFA</v>
          </cell>
          <cell r="K398" t="str">
            <v>F.M.</v>
          </cell>
          <cell r="L398" t="str">
            <v>REND.</v>
          </cell>
          <cell r="M398" t="str">
            <v>SUB - TOTAL</v>
          </cell>
        </row>
        <row r="399">
          <cell r="A399" t="str">
            <v>Cuadrilla 5: 1 OfcA + 1 AyuA</v>
          </cell>
          <cell r="H399" t="str">
            <v>Cuadrilla</v>
          </cell>
          <cell r="I399">
            <v>166075</v>
          </cell>
          <cell r="K399">
            <v>1.96655</v>
          </cell>
          <cell r="L399">
            <v>6.6666666666666666E-2</v>
          </cell>
          <cell r="M399">
            <v>21772.986083333333</v>
          </cell>
        </row>
        <row r="400">
          <cell r="H400" t="str">
            <v/>
          </cell>
          <cell r="I400" t="str">
            <v/>
          </cell>
          <cell r="K400" t="str">
            <v/>
          </cell>
          <cell r="M400" t="str">
            <v/>
          </cell>
        </row>
        <row r="401">
          <cell r="H401" t="str">
            <v/>
          </cell>
          <cell r="I401" t="str">
            <v/>
          </cell>
          <cell r="K401" t="str">
            <v/>
          </cell>
          <cell r="M401" t="str">
            <v/>
          </cell>
        </row>
        <row r="402">
          <cell r="H402" t="str">
            <v/>
          </cell>
          <cell r="I402" t="str">
            <v/>
          </cell>
          <cell r="K402" t="str">
            <v/>
          </cell>
          <cell r="M402" t="str">
            <v/>
          </cell>
        </row>
        <row r="403">
          <cell r="H403" t="str">
            <v/>
          </cell>
          <cell r="I403" t="str">
            <v/>
          </cell>
          <cell r="K403" t="str">
            <v/>
          </cell>
          <cell r="M403" t="str">
            <v/>
          </cell>
        </row>
        <row r="404">
          <cell r="K404" t="str">
            <v>SUBTOTAL</v>
          </cell>
          <cell r="M404">
            <v>21772.986083333333</v>
          </cell>
        </row>
        <row r="408">
          <cell r="I408" t="str">
            <v>Elaboración</v>
          </cell>
          <cell r="K408" t="str">
            <v>Deiner Alexander Obregon Palomeque</v>
          </cell>
        </row>
        <row r="409">
          <cell r="I409" t="str">
            <v>Ingeniero Civil</v>
          </cell>
          <cell r="K409" t="str">
            <v>MP: 011037-0653228 ANT</v>
          </cell>
        </row>
        <row r="410">
          <cell r="A410" t="str">
            <v>RELLENO CON SUB-BASE SEGÚN NORMA INVIAS</v>
          </cell>
          <cell r="M410">
            <v>45933</v>
          </cell>
        </row>
        <row r="413">
          <cell r="A413" t="str">
            <v>G010</v>
          </cell>
          <cell r="B413" t="str">
            <v>RELLENO CON SUB-BASE SEGÚN NORMA INVIAS</v>
          </cell>
          <cell r="C413" t="str">
            <v>UNIDAD:</v>
          </cell>
          <cell r="D413" t="str">
            <v>M3</v>
          </cell>
          <cell r="E413" t="str">
            <v>TOTAL</v>
          </cell>
          <cell r="F413">
            <v>303717.56855173607</v>
          </cell>
          <cell r="G413" t="str">
            <v>EQUIPO</v>
          </cell>
          <cell r="H413">
            <v>9474.6677222222224</v>
          </cell>
          <cell r="I413" t="str">
            <v>MATERIAL</v>
          </cell>
          <cell r="J413">
            <v>116525</v>
          </cell>
          <cell r="K413" t="str">
            <v>TRANSP.</v>
          </cell>
          <cell r="L413">
            <v>136245.54638506947</v>
          </cell>
          <cell r="M413" t="str">
            <v>M.O.</v>
          </cell>
          <cell r="N413">
            <v>41472.354444444441</v>
          </cell>
        </row>
        <row r="415">
          <cell r="A415" t="str">
            <v>A - MATERIALES</v>
          </cell>
        </row>
        <row r="416">
          <cell r="A416" t="str">
            <v>DESCRIPCIÓN</v>
          </cell>
          <cell r="H416" t="str">
            <v>UNIDAD</v>
          </cell>
          <cell r="I416" t="str">
            <v>TARIFA</v>
          </cell>
          <cell r="K416" t="str">
            <v>CANTIDAD</v>
          </cell>
          <cell r="M416" t="str">
            <v>SUB - TOTAL</v>
          </cell>
        </row>
        <row r="417">
          <cell r="A417" t="str">
            <v>Subbase granular (norma invias 320)</v>
          </cell>
          <cell r="H417" t="str">
            <v>m3</v>
          </cell>
          <cell r="I417">
            <v>89250</v>
          </cell>
          <cell r="K417">
            <v>1.3</v>
          </cell>
          <cell r="M417">
            <v>116025</v>
          </cell>
        </row>
        <row r="418">
          <cell r="A418" t="str">
            <v>Agua</v>
          </cell>
          <cell r="H418" t="str">
            <v>Lt</v>
          </cell>
          <cell r="I418">
            <v>20</v>
          </cell>
          <cell r="K418">
            <v>25</v>
          </cell>
          <cell r="M418">
            <v>500</v>
          </cell>
        </row>
        <row r="419">
          <cell r="H419" t="str">
            <v/>
          </cell>
          <cell r="I419" t="str">
            <v/>
          </cell>
          <cell r="M419" t="str">
            <v/>
          </cell>
        </row>
        <row r="420">
          <cell r="H420" t="str">
            <v/>
          </cell>
          <cell r="I420" t="str">
            <v/>
          </cell>
          <cell r="M420" t="str">
            <v/>
          </cell>
        </row>
        <row r="421">
          <cell r="H421" t="str">
            <v/>
          </cell>
          <cell r="I421" t="str">
            <v/>
          </cell>
          <cell r="M421" t="str">
            <v/>
          </cell>
        </row>
        <row r="422">
          <cell r="H422" t="str">
            <v/>
          </cell>
          <cell r="I422" t="str">
            <v/>
          </cell>
          <cell r="M422" t="str">
            <v/>
          </cell>
        </row>
        <row r="423">
          <cell r="K423" t="str">
            <v>SUBTOTAL</v>
          </cell>
          <cell r="M423">
            <v>116525</v>
          </cell>
        </row>
        <row r="425">
          <cell r="A425" t="str">
            <v>B - HERRAMIENTA, MAQUINARIA Y EQUIPO</v>
          </cell>
        </row>
        <row r="426">
          <cell r="A426" t="str">
            <v>DESCRIPCIÓN</v>
          </cell>
          <cell r="H426" t="str">
            <v>UNIDAD</v>
          </cell>
          <cell r="I426" t="str">
            <v>TARIFA</v>
          </cell>
          <cell r="K426" t="str">
            <v>CANTIDAD</v>
          </cell>
          <cell r="M426" t="str">
            <v>SUB - TOTAL</v>
          </cell>
        </row>
        <row r="427">
          <cell r="A427" t="str">
            <v>Herramienta Menor</v>
          </cell>
          <cell r="H427" t="str">
            <v>% M.O.</v>
          </cell>
          <cell r="I427">
            <v>41472.354444444441</v>
          </cell>
          <cell r="K427">
            <v>0.05</v>
          </cell>
          <cell r="M427">
            <v>2073.6177222222223</v>
          </cell>
        </row>
        <row r="428">
          <cell r="A428" t="str">
            <v>Apisonador tipo canguro, incluye combustible</v>
          </cell>
          <cell r="H428" t="str">
            <v>Dia</v>
          </cell>
          <cell r="I428">
            <v>148021</v>
          </cell>
          <cell r="K428">
            <v>0.05</v>
          </cell>
          <cell r="M428">
            <v>7401.05</v>
          </cell>
        </row>
        <row r="429">
          <cell r="H429" t="str">
            <v/>
          </cell>
          <cell r="I429" t="str">
            <v/>
          </cell>
          <cell r="M429" t="str">
            <v/>
          </cell>
        </row>
        <row r="430">
          <cell r="H430" t="str">
            <v/>
          </cell>
          <cell r="I430" t="str">
            <v/>
          </cell>
          <cell r="M430" t="str">
            <v/>
          </cell>
        </row>
        <row r="431">
          <cell r="H431" t="str">
            <v/>
          </cell>
          <cell r="I431" t="str">
            <v/>
          </cell>
          <cell r="M431" t="str">
            <v/>
          </cell>
        </row>
        <row r="432">
          <cell r="K432" t="str">
            <v>SUBTOTAL</v>
          </cell>
          <cell r="M432">
            <v>9474.6677222222224</v>
          </cell>
        </row>
        <row r="434">
          <cell r="A434" t="str">
            <v>C - TRANSPORTE</v>
          </cell>
        </row>
        <row r="435">
          <cell r="A435" t="str">
            <v>DESCRIPCIÓN</v>
          </cell>
          <cell r="H435" t="str">
            <v>UNIDAD</v>
          </cell>
          <cell r="I435" t="str">
            <v>TARIFA</v>
          </cell>
          <cell r="K435" t="str">
            <v>CANTIDAD</v>
          </cell>
          <cell r="M435" t="str">
            <v>SUB - TOTAL</v>
          </cell>
        </row>
        <row r="436">
          <cell r="A436" t="str">
            <v>Transporte de materiales</v>
          </cell>
          <cell r="H436" t="str">
            <v>M3-KM</v>
          </cell>
          <cell r="I436">
            <v>1879.1399946228782</v>
          </cell>
          <cell r="K436">
            <v>72</v>
          </cell>
          <cell r="M436">
            <v>135298.07961284724</v>
          </cell>
        </row>
        <row r="437">
          <cell r="A437" t="str">
            <v>Transporte de herramientas y equipos</v>
          </cell>
          <cell r="H437" t="str">
            <v>%H, E, M</v>
          </cell>
          <cell r="I437">
            <v>9474.6677222222224</v>
          </cell>
          <cell r="K437">
            <v>0.1</v>
          </cell>
          <cell r="M437">
            <v>947.46677222222229</v>
          </cell>
        </row>
        <row r="438">
          <cell r="M438" t="str">
            <v/>
          </cell>
        </row>
        <row r="439">
          <cell r="M439" t="str">
            <v/>
          </cell>
        </row>
        <row r="440">
          <cell r="M440" t="str">
            <v/>
          </cell>
        </row>
        <row r="441">
          <cell r="K441" t="str">
            <v>SUBTOTAL</v>
          </cell>
          <cell r="M441">
            <v>136245.54638506947</v>
          </cell>
        </row>
        <row r="443">
          <cell r="A443" t="str">
            <v>D - MANO DE OBRA</v>
          </cell>
        </row>
        <row r="444">
          <cell r="A444" t="str">
            <v>DESCRIPCIÓN</v>
          </cell>
          <cell r="H444" t="str">
            <v>UNIDAD</v>
          </cell>
          <cell r="I444" t="str">
            <v>TARIFA</v>
          </cell>
          <cell r="K444" t="str">
            <v>F.M.</v>
          </cell>
          <cell r="L444" t="str">
            <v>REND.</v>
          </cell>
          <cell r="M444" t="str">
            <v>SUB - TOTAL</v>
          </cell>
        </row>
        <row r="445">
          <cell r="A445" t="str">
            <v>Cuadrilla 8: 1 OfcA + 4 AyuA</v>
          </cell>
          <cell r="H445" t="str">
            <v>Cuadrilla</v>
          </cell>
          <cell r="I445">
            <v>379600</v>
          </cell>
          <cell r="K445">
            <v>1.96655</v>
          </cell>
          <cell r="L445">
            <v>5.5555555555555552E-2</v>
          </cell>
          <cell r="M445">
            <v>41472.354444444441</v>
          </cell>
        </row>
        <row r="446">
          <cell r="H446" t="str">
            <v/>
          </cell>
          <cell r="I446" t="str">
            <v/>
          </cell>
          <cell r="K446" t="str">
            <v/>
          </cell>
          <cell r="M446" t="str">
            <v/>
          </cell>
        </row>
        <row r="447">
          <cell r="H447" t="str">
            <v/>
          </cell>
          <cell r="I447" t="str">
            <v/>
          </cell>
          <cell r="K447" t="str">
            <v/>
          </cell>
          <cell r="M447" t="str">
            <v/>
          </cell>
        </row>
        <row r="448">
          <cell r="H448" t="str">
            <v/>
          </cell>
          <cell r="I448" t="str">
            <v/>
          </cell>
          <cell r="K448" t="str">
            <v/>
          </cell>
          <cell r="M448" t="str">
            <v/>
          </cell>
        </row>
        <row r="449">
          <cell r="H449" t="str">
            <v/>
          </cell>
          <cell r="I449" t="str">
            <v/>
          </cell>
          <cell r="K449" t="str">
            <v/>
          </cell>
          <cell r="M449" t="str">
            <v/>
          </cell>
        </row>
        <row r="450">
          <cell r="K450" t="str">
            <v>SUBTOTAL</v>
          </cell>
          <cell r="M450">
            <v>41472.354444444441</v>
          </cell>
        </row>
        <row r="454">
          <cell r="I454" t="str">
            <v>Elaboración</v>
          </cell>
          <cell r="K454" t="str">
            <v>Deiner Alexander Obregon Palomeque</v>
          </cell>
        </row>
        <row r="455">
          <cell r="I455" t="str">
            <v>Ingeniero Civil</v>
          </cell>
          <cell r="K455" t="str">
            <v>MP: 011037-0653228 ANT</v>
          </cell>
        </row>
        <row r="456">
          <cell r="A456" t="str">
            <v>RELLENO CON MATERIAL SELECCIONADO DE LA EXCAVACIÓN, COMPACTADO CON EQUIPO MECÁNICO EN CAPAS DE 0,20 m</v>
          </cell>
          <cell r="M456">
            <v>45933</v>
          </cell>
        </row>
        <row r="459">
          <cell r="A459" t="str">
            <v>G011</v>
          </cell>
          <cell r="B459" t="str">
            <v>RELLENO CON MATERIAL SELECCIONADO DE LA EXCAVACIÓN, COMPACTADO CON EQUIPO MECÁNICO EN CAPAS DE 0,20 m</v>
          </cell>
          <cell r="C459" t="str">
            <v>UNIDAD:</v>
          </cell>
          <cell r="D459" t="str">
            <v>M3</v>
          </cell>
          <cell r="E459" t="str">
            <v>TOTAL</v>
          </cell>
          <cell r="F459">
            <v>28861.035178039776</v>
          </cell>
          <cell r="G459" t="str">
            <v>EQUIPO</v>
          </cell>
          <cell r="H459">
            <v>14156.300526704545</v>
          </cell>
          <cell r="I459" t="str">
            <v>MATERIAL</v>
          </cell>
          <cell r="J459">
            <v>0</v>
          </cell>
          <cell r="K459" t="str">
            <v>TRANSP.</v>
          </cell>
          <cell r="L459">
            <v>707.81502633522723</v>
          </cell>
          <cell r="M459" t="str">
            <v>M.O.</v>
          </cell>
          <cell r="N459">
            <v>13996.919625000002</v>
          </cell>
        </row>
        <row r="461">
          <cell r="A461" t="str">
            <v>A - MATERIALES</v>
          </cell>
        </row>
        <row r="462">
          <cell r="A462" t="str">
            <v>DESCRIPCIÓN</v>
          </cell>
          <cell r="H462" t="str">
            <v>UNIDAD</v>
          </cell>
          <cell r="I462" t="str">
            <v>TARIFA</v>
          </cell>
          <cell r="K462" t="str">
            <v>CANTIDAD</v>
          </cell>
          <cell r="M462" t="str">
            <v>SUB - TOTAL</v>
          </cell>
        </row>
        <row r="463">
          <cell r="H463" t="str">
            <v/>
          </cell>
          <cell r="I463" t="str">
            <v/>
          </cell>
          <cell r="M463" t="str">
            <v/>
          </cell>
        </row>
        <row r="464">
          <cell r="H464" t="str">
            <v/>
          </cell>
          <cell r="I464" t="str">
            <v/>
          </cell>
          <cell r="M464" t="str">
            <v/>
          </cell>
        </row>
        <row r="465">
          <cell r="H465" t="str">
            <v/>
          </cell>
          <cell r="I465" t="str">
            <v/>
          </cell>
          <cell r="M465" t="str">
            <v/>
          </cell>
        </row>
        <row r="466">
          <cell r="H466" t="str">
            <v/>
          </cell>
          <cell r="I466" t="str">
            <v/>
          </cell>
          <cell r="M466" t="str">
            <v/>
          </cell>
        </row>
        <row r="467">
          <cell r="H467" t="str">
            <v/>
          </cell>
          <cell r="I467" t="str">
            <v/>
          </cell>
          <cell r="M467" t="str">
            <v/>
          </cell>
        </row>
        <row r="468">
          <cell r="K468" t="str">
            <v>SUBTOTAL</v>
          </cell>
          <cell r="M468">
            <v>0</v>
          </cell>
        </row>
        <row r="470">
          <cell r="A470" t="str">
            <v>B - HERRAMIENTA, MAQUINARIA Y EQUIPO</v>
          </cell>
        </row>
        <row r="471">
          <cell r="A471" t="str">
            <v>DESCRIPCIÓN</v>
          </cell>
          <cell r="H471" t="str">
            <v>UNIDAD</v>
          </cell>
          <cell r="I471" t="str">
            <v>TARIFA</v>
          </cell>
          <cell r="K471" t="str">
            <v>CANTIDAD</v>
          </cell>
          <cell r="M471" t="str">
            <v>SUB - TOTAL</v>
          </cell>
        </row>
        <row r="472">
          <cell r="A472" t="str">
            <v>Herramienta Menor</v>
          </cell>
          <cell r="H472" t="str">
            <v>% M.O.</v>
          </cell>
          <cell r="I472">
            <v>13996.919625000002</v>
          </cell>
          <cell r="K472">
            <v>0.05</v>
          </cell>
          <cell r="M472">
            <v>699.84598125000014</v>
          </cell>
        </row>
        <row r="473">
          <cell r="A473" t="str">
            <v>Apisonador tipo canguro, incluye combustible</v>
          </cell>
          <cell r="H473" t="str">
            <v>Dia</v>
          </cell>
          <cell r="I473">
            <v>148021</v>
          </cell>
          <cell r="K473">
            <v>9.0909090909090898E-2</v>
          </cell>
          <cell r="M473">
            <v>13456.454545454544</v>
          </cell>
        </row>
        <row r="474">
          <cell r="H474" t="str">
            <v/>
          </cell>
          <cell r="I474" t="str">
            <v/>
          </cell>
          <cell r="M474" t="str">
            <v/>
          </cell>
        </row>
        <row r="475">
          <cell r="H475" t="str">
            <v/>
          </cell>
          <cell r="I475" t="str">
            <v/>
          </cell>
          <cell r="M475" t="str">
            <v/>
          </cell>
        </row>
        <row r="476">
          <cell r="H476" t="str">
            <v/>
          </cell>
          <cell r="I476" t="str">
            <v/>
          </cell>
          <cell r="M476" t="str">
            <v/>
          </cell>
        </row>
        <row r="477">
          <cell r="K477" t="str">
            <v>SUBTOTAL</v>
          </cell>
          <cell r="M477">
            <v>14156.300526704545</v>
          </cell>
        </row>
        <row r="479">
          <cell r="A479" t="str">
            <v>C - TRANSPORTE</v>
          </cell>
        </row>
        <row r="480">
          <cell r="A480" t="str">
            <v>DESCRIPCIÓN</v>
          </cell>
          <cell r="H480" t="str">
            <v>UNIDAD</v>
          </cell>
          <cell r="I480" t="str">
            <v>TARIFA</v>
          </cell>
          <cell r="K480" t="str">
            <v>CANTIDAD</v>
          </cell>
          <cell r="M480" t="str">
            <v>SUB - TOTAL</v>
          </cell>
        </row>
        <row r="481">
          <cell r="A481" t="str">
            <v>Transporte de Maquinaria y Equipos</v>
          </cell>
          <cell r="H481" t="str">
            <v>% M y E</v>
          </cell>
          <cell r="I481">
            <v>14156.300526704545</v>
          </cell>
          <cell r="K481">
            <v>0.05</v>
          </cell>
          <cell r="M481">
            <v>707.81502633522723</v>
          </cell>
        </row>
        <row r="482">
          <cell r="M482" t="str">
            <v/>
          </cell>
        </row>
        <row r="483">
          <cell r="M483" t="str">
            <v/>
          </cell>
        </row>
        <row r="484">
          <cell r="M484" t="str">
            <v/>
          </cell>
        </row>
        <row r="485">
          <cell r="M485" t="str">
            <v/>
          </cell>
        </row>
        <row r="486">
          <cell r="K486" t="str">
            <v>SUBTOTAL</v>
          </cell>
          <cell r="M486">
            <v>707.81502633522723</v>
          </cell>
        </row>
        <row r="488">
          <cell r="A488" t="str">
            <v>D - MANO DE OBRA</v>
          </cell>
        </row>
        <row r="489">
          <cell r="A489" t="str">
            <v>DESCRIPCIÓN</v>
          </cell>
          <cell r="H489" t="str">
            <v>UNIDAD</v>
          </cell>
          <cell r="I489" t="str">
            <v>TARIFA</v>
          </cell>
          <cell r="K489" t="str">
            <v>F.M.</v>
          </cell>
          <cell r="L489" t="str">
            <v>REND.</v>
          </cell>
          <cell r="M489" t="str">
            <v>SUB - TOTAL</v>
          </cell>
        </row>
        <row r="490">
          <cell r="A490" t="str">
            <v>Cuadrilla 1: 1 Ayudante A</v>
          </cell>
          <cell r="H490" t="str">
            <v>Cuadrilla</v>
          </cell>
          <cell r="I490">
            <v>71175</v>
          </cell>
          <cell r="K490">
            <v>1.96655</v>
          </cell>
          <cell r="L490">
            <v>0.1</v>
          </cell>
          <cell r="M490">
            <v>13996.919625000002</v>
          </cell>
        </row>
        <row r="491">
          <cell r="H491" t="str">
            <v/>
          </cell>
          <cell r="I491" t="str">
            <v/>
          </cell>
          <cell r="K491" t="str">
            <v/>
          </cell>
          <cell r="M491" t="str">
            <v/>
          </cell>
        </row>
        <row r="492">
          <cell r="H492" t="str">
            <v/>
          </cell>
          <cell r="I492" t="str">
            <v/>
          </cell>
          <cell r="K492" t="str">
            <v/>
          </cell>
          <cell r="M492" t="str">
            <v/>
          </cell>
        </row>
        <row r="493">
          <cell r="H493" t="str">
            <v/>
          </cell>
          <cell r="I493" t="str">
            <v/>
          </cell>
          <cell r="K493" t="str">
            <v/>
          </cell>
          <cell r="M493" t="str">
            <v/>
          </cell>
        </row>
        <row r="494">
          <cell r="H494" t="str">
            <v/>
          </cell>
          <cell r="I494" t="str">
            <v/>
          </cell>
          <cell r="K494" t="str">
            <v/>
          </cell>
          <cell r="M494" t="str">
            <v/>
          </cell>
        </row>
        <row r="495">
          <cell r="K495" t="str">
            <v>SUBTOTAL</v>
          </cell>
          <cell r="M495">
            <v>13996.919625000002</v>
          </cell>
        </row>
        <row r="499">
          <cell r="I499" t="str">
            <v>Elaboración</v>
          </cell>
          <cell r="K499" t="str">
            <v>Deiner Alexander Obregon Palomeque</v>
          </cell>
        </row>
        <row r="500">
          <cell r="I500" t="str">
            <v>Ingeniero Civil</v>
          </cell>
          <cell r="K500" t="str">
            <v>MP: 011037-0653228 ANT</v>
          </cell>
        </row>
        <row r="501">
          <cell r="A501" t="str">
            <v>REPOSICIÓN DE PAVIMENTO RÍGIDO MR-40 EN CONCRETO DE 4000 PSI (INCLUYE JUNTAS, SELLANTE, ACERO DE REFUERZO)</v>
          </cell>
          <cell r="M501">
            <v>45933</v>
          </cell>
        </row>
        <row r="504">
          <cell r="A504" t="str">
            <v>G012</v>
          </cell>
          <cell r="B504" t="str">
            <v>REPOSICIÓN DE PAVIMENTO RÍGIDO MR-40 EN CONCRETO DE 4000 PSI (INCLUYE JUNTAS, SELLANTE, ACERO DE REFUERZO)</v>
          </cell>
          <cell r="C504" t="str">
            <v>UNIDAD:</v>
          </cell>
          <cell r="D504" t="str">
            <v>M3</v>
          </cell>
          <cell r="E504" t="str">
            <v>TOTAL</v>
          </cell>
          <cell r="F504">
            <v>1427741.707368525</v>
          </cell>
          <cell r="G504" t="str">
            <v>EQUIPO</v>
          </cell>
          <cell r="H504">
            <v>4263.905254166667</v>
          </cell>
          <cell r="I504" t="str">
            <v>MATERIAL</v>
          </cell>
          <cell r="J504">
            <v>1318254.6462842803</v>
          </cell>
          <cell r="K504" t="str">
            <v>TRANSP.</v>
          </cell>
          <cell r="L504">
            <v>46125.050746744637</v>
          </cell>
          <cell r="M504" t="str">
            <v>M.O.</v>
          </cell>
          <cell r="N504">
            <v>59098.105083333336</v>
          </cell>
        </row>
        <row r="506">
          <cell r="A506" t="str">
            <v>A - MATERIALES</v>
          </cell>
        </row>
        <row r="507">
          <cell r="A507" t="str">
            <v>DESCRIPCIÓN</v>
          </cell>
          <cell r="H507" t="str">
            <v>UNIDAD</v>
          </cell>
          <cell r="I507" t="str">
            <v>TARIFA</v>
          </cell>
          <cell r="K507" t="str">
            <v>CANTIDAD</v>
          </cell>
          <cell r="M507" t="str">
            <v>SUB - TOTAL</v>
          </cell>
        </row>
        <row r="508">
          <cell r="A508" t="str">
            <v>Concreto para piso de 4000 PSI impermeabilizado a todo costo (280 Kg/cm2)</v>
          </cell>
          <cell r="H508" t="str">
            <v>m3</v>
          </cell>
          <cell r="I508">
            <v>836182.56705922401</v>
          </cell>
          <cell r="K508">
            <v>1.03</v>
          </cell>
          <cell r="M508">
            <v>861268.04407100077</v>
          </cell>
        </row>
        <row r="509">
          <cell r="A509" t="str">
            <v>Sellante elastomérico con base en poliuretano, autonivelante</v>
          </cell>
          <cell r="H509" t="str">
            <v>ml</v>
          </cell>
          <cell r="I509">
            <v>203</v>
          </cell>
          <cell r="K509">
            <v>5.2</v>
          </cell>
          <cell r="M509">
            <v>1055.6000000000001</v>
          </cell>
        </row>
        <row r="510">
          <cell r="A510" t="str">
            <v>Aditivo acelerante</v>
          </cell>
          <cell r="H510" t="str">
            <v>Lt</v>
          </cell>
          <cell r="I510">
            <v>18647.3</v>
          </cell>
          <cell r="K510">
            <v>1</v>
          </cell>
          <cell r="M510">
            <v>18647.3</v>
          </cell>
        </row>
        <row r="511">
          <cell r="A511" t="str">
            <v>Acero de refuerzo de 60000 PSI</v>
          </cell>
          <cell r="H511" t="str">
            <v>Kg</v>
          </cell>
          <cell r="I511">
            <v>3537.8940308517772</v>
          </cell>
          <cell r="K511">
            <v>123.60000000000001</v>
          </cell>
          <cell r="M511">
            <v>437283.70221327967</v>
          </cell>
        </row>
        <row r="512">
          <cell r="H512" t="str">
            <v/>
          </cell>
          <cell r="I512" t="str">
            <v/>
          </cell>
          <cell r="M512" t="str">
            <v/>
          </cell>
        </row>
        <row r="513">
          <cell r="H513" t="str">
            <v/>
          </cell>
          <cell r="I513" t="str">
            <v/>
          </cell>
          <cell r="M513" t="str">
            <v/>
          </cell>
        </row>
        <row r="514">
          <cell r="K514" t="str">
            <v>SUBTOTAL</v>
          </cell>
          <cell r="M514">
            <v>1318254.6462842803</v>
          </cell>
        </row>
        <row r="516">
          <cell r="A516" t="str">
            <v>B - HERRAMIENTA, MAQUINARIA Y EQUIPO</v>
          </cell>
        </row>
        <row r="517">
          <cell r="A517" t="str">
            <v>DESCRIPCIÓN</v>
          </cell>
          <cell r="H517" t="str">
            <v>UNIDAD</v>
          </cell>
          <cell r="I517" t="str">
            <v>TARIFA</v>
          </cell>
          <cell r="K517" t="str">
            <v>CANTIDAD</v>
          </cell>
          <cell r="M517" t="str">
            <v>SUB - TOTAL</v>
          </cell>
        </row>
        <row r="518">
          <cell r="A518" t="str">
            <v>Herramienta Menor</v>
          </cell>
          <cell r="H518" t="str">
            <v>% M.O.</v>
          </cell>
          <cell r="I518">
            <v>59098.105083333336</v>
          </cell>
          <cell r="K518">
            <v>0.05</v>
          </cell>
          <cell r="M518">
            <v>2954.905254166667</v>
          </cell>
        </row>
        <row r="519">
          <cell r="A519" t="str">
            <v>Formaleta pavimento</v>
          </cell>
          <cell r="H519" t="str">
            <v>ml</v>
          </cell>
          <cell r="I519">
            <v>1309</v>
          </cell>
          <cell r="K519">
            <v>1</v>
          </cell>
          <cell r="M519">
            <v>1309</v>
          </cell>
        </row>
        <row r="520">
          <cell r="H520" t="str">
            <v/>
          </cell>
          <cell r="I520" t="str">
            <v/>
          </cell>
          <cell r="M520" t="str">
            <v/>
          </cell>
        </row>
        <row r="521">
          <cell r="H521" t="str">
            <v/>
          </cell>
          <cell r="I521" t="str">
            <v/>
          </cell>
          <cell r="M521" t="str">
            <v/>
          </cell>
        </row>
        <row r="522">
          <cell r="K522" t="str">
            <v>SUBTOTAL</v>
          </cell>
          <cell r="M522">
            <v>4263.905254166667</v>
          </cell>
        </row>
        <row r="524">
          <cell r="A524" t="str">
            <v>C - TRANSPORTE</v>
          </cell>
        </row>
        <row r="525">
          <cell r="A525" t="str">
            <v>DESCRIPCIÓN</v>
          </cell>
          <cell r="H525" t="str">
            <v>UNIDAD</v>
          </cell>
          <cell r="I525" t="str">
            <v>TARIFA</v>
          </cell>
          <cell r="K525" t="str">
            <v>CANTIDAD</v>
          </cell>
          <cell r="M525" t="str">
            <v>SUB - TOTAL</v>
          </cell>
        </row>
        <row r="526">
          <cell r="A526" t="str">
            <v>Transporte de materiales</v>
          </cell>
          <cell r="H526" t="str">
            <v>%Mat</v>
          </cell>
          <cell r="I526">
            <v>456986.60221327969</v>
          </cell>
          <cell r="K526">
            <v>0.1</v>
          </cell>
          <cell r="M526">
            <v>45698.660221327969</v>
          </cell>
        </row>
        <row r="527">
          <cell r="A527" t="str">
            <v>Transporte de herramientas y equipos</v>
          </cell>
          <cell r="H527" t="str">
            <v>%H, E, M</v>
          </cell>
          <cell r="I527">
            <v>4263.905254166667</v>
          </cell>
          <cell r="K527">
            <v>0.1</v>
          </cell>
          <cell r="M527">
            <v>426.39052541666672</v>
          </cell>
        </row>
        <row r="528">
          <cell r="M528" t="str">
            <v/>
          </cell>
        </row>
        <row r="529">
          <cell r="M529" t="str">
            <v/>
          </cell>
        </row>
        <row r="530">
          <cell r="M530" t="str">
            <v/>
          </cell>
        </row>
        <row r="531">
          <cell r="K531" t="str">
            <v>SUBTOTAL</v>
          </cell>
          <cell r="M531">
            <v>46125.050746744637</v>
          </cell>
        </row>
        <row r="533">
          <cell r="A533" t="str">
            <v>D - MANO DE OBRA</v>
          </cell>
        </row>
        <row r="534">
          <cell r="A534" t="str">
            <v>DESCRIPCIÓN</v>
          </cell>
          <cell r="H534" t="str">
            <v>UNIDAD</v>
          </cell>
          <cell r="I534" t="str">
            <v>TARIFA</v>
          </cell>
          <cell r="K534" t="str">
            <v>F.M.</v>
          </cell>
          <cell r="L534" t="str">
            <v>REND.</v>
          </cell>
          <cell r="M534" t="str">
            <v>SUB - TOTAL</v>
          </cell>
        </row>
        <row r="535">
          <cell r="A535" t="str">
            <v>Cuadrilla 9: 1 OfcA + 5 AyuA</v>
          </cell>
          <cell r="H535" t="str">
            <v>Cuadrilla</v>
          </cell>
          <cell r="I535">
            <v>450775</v>
          </cell>
          <cell r="K535">
            <v>1.96655</v>
          </cell>
          <cell r="L535">
            <v>6.6666666666666666E-2</v>
          </cell>
          <cell r="M535">
            <v>59098.105083333336</v>
          </cell>
        </row>
        <row r="536">
          <cell r="H536" t="str">
            <v/>
          </cell>
          <cell r="I536" t="str">
            <v/>
          </cell>
          <cell r="K536" t="str">
            <v/>
          </cell>
          <cell r="M536" t="str">
            <v/>
          </cell>
        </row>
        <row r="537">
          <cell r="H537" t="str">
            <v/>
          </cell>
          <cell r="I537" t="str">
            <v/>
          </cell>
          <cell r="K537" t="str">
            <v/>
          </cell>
          <cell r="M537" t="str">
            <v/>
          </cell>
        </row>
        <row r="538">
          <cell r="H538" t="str">
            <v/>
          </cell>
          <cell r="I538" t="str">
            <v/>
          </cell>
          <cell r="K538" t="str">
            <v/>
          </cell>
          <cell r="M538" t="str">
            <v/>
          </cell>
        </row>
        <row r="539">
          <cell r="H539" t="str">
            <v/>
          </cell>
          <cell r="I539" t="str">
            <v/>
          </cell>
          <cell r="K539" t="str">
            <v/>
          </cell>
          <cell r="M539" t="str">
            <v/>
          </cell>
        </row>
        <row r="540">
          <cell r="K540" t="str">
            <v>SUBTOTAL</v>
          </cell>
          <cell r="M540">
            <v>59098.105083333336</v>
          </cell>
        </row>
        <row r="544">
          <cell r="I544" t="str">
            <v>Elaboración</v>
          </cell>
          <cell r="K544" t="str">
            <v>Deiner Alexander Obregon Palomeque</v>
          </cell>
        </row>
        <row r="545">
          <cell r="I545" t="str">
            <v>Ingeniero Civil</v>
          </cell>
          <cell r="K545" t="str">
            <v>MP: 011037-0653228 ANT</v>
          </cell>
        </row>
        <row r="546">
          <cell r="A546" t="str">
            <v>RETIRO DE MATERIAL SOBRANTE HASTA BOTADERO AUTORIZADO (INCLUYE FACTOR DE EXPANSIÓN)</v>
          </cell>
          <cell r="M546">
            <v>45933</v>
          </cell>
        </row>
        <row r="549">
          <cell r="A549" t="str">
            <v>G013</v>
          </cell>
          <cell r="B549" t="str">
            <v>RETIRO DE MATERIAL SOBRANTE HASTA BOTADERO AUTORIZADO (INCLUYE FACTOR DE EXPANSIÓN)</v>
          </cell>
          <cell r="C549" t="str">
            <v>UNIDAD:</v>
          </cell>
          <cell r="D549" t="str">
            <v>M3-KM</v>
          </cell>
          <cell r="E549" t="str">
            <v>TOTAL</v>
          </cell>
          <cell r="F549">
            <v>2771.6399946228785</v>
          </cell>
          <cell r="G549" t="str">
            <v>EQUIPO</v>
          </cell>
          <cell r="H549">
            <v>0</v>
          </cell>
          <cell r="I549" t="str">
            <v>MATERIAL</v>
          </cell>
          <cell r="J549">
            <v>892.5</v>
          </cell>
          <cell r="K549" t="str">
            <v>TRANSP.</v>
          </cell>
          <cell r="L549">
            <v>1879.1399946228782</v>
          </cell>
          <cell r="M549" t="str">
            <v>M.O.</v>
          </cell>
          <cell r="N549">
            <v>0</v>
          </cell>
        </row>
        <row r="551">
          <cell r="A551" t="str">
            <v>A - MATERIALES</v>
          </cell>
        </row>
        <row r="552">
          <cell r="A552" t="str">
            <v>DESCRIPCIÓN</v>
          </cell>
          <cell r="H552" t="str">
            <v>UNIDAD</v>
          </cell>
          <cell r="I552" t="str">
            <v>TARIFA</v>
          </cell>
          <cell r="K552" t="str">
            <v>CANTIDAD</v>
          </cell>
          <cell r="M552" t="str">
            <v>SUB - TOTAL</v>
          </cell>
        </row>
        <row r="553">
          <cell r="H553" t="str">
            <v/>
          </cell>
          <cell r="I553" t="str">
            <v/>
          </cell>
          <cell r="M553" t="str">
            <v/>
          </cell>
        </row>
        <row r="554">
          <cell r="H554" t="str">
            <v/>
          </cell>
          <cell r="I554" t="str">
            <v/>
          </cell>
          <cell r="M554" t="str">
            <v/>
          </cell>
        </row>
        <row r="555">
          <cell r="H555" t="str">
            <v/>
          </cell>
          <cell r="I555" t="str">
            <v/>
          </cell>
          <cell r="M555" t="str">
            <v/>
          </cell>
        </row>
        <row r="556">
          <cell r="H556" t="str">
            <v/>
          </cell>
          <cell r="I556" t="str">
            <v/>
          </cell>
          <cell r="M556" t="str">
            <v/>
          </cell>
        </row>
        <row r="557">
          <cell r="H557" t="str">
            <v/>
          </cell>
          <cell r="I557" t="str">
            <v/>
          </cell>
          <cell r="M557" t="str">
            <v/>
          </cell>
        </row>
        <row r="558">
          <cell r="H558" t="str">
            <v/>
          </cell>
          <cell r="I558" t="str">
            <v/>
          </cell>
          <cell r="M558" t="str">
            <v/>
          </cell>
        </row>
        <row r="559">
          <cell r="K559" t="str">
            <v>SUBTOTAL</v>
          </cell>
          <cell r="M559">
            <v>0</v>
          </cell>
        </row>
        <row r="561">
          <cell r="A561" t="str">
            <v>B - HERRAMIENTA, MAQUINARIA Y EQUIPO</v>
          </cell>
        </row>
        <row r="562">
          <cell r="A562" t="str">
            <v>DESCRIPCIÓN</v>
          </cell>
          <cell r="H562" t="str">
            <v>UNIDAD</v>
          </cell>
          <cell r="I562" t="str">
            <v>TARIFA</v>
          </cell>
          <cell r="K562" t="str">
            <v>CANTIDAD</v>
          </cell>
          <cell r="M562" t="str">
            <v>SUB - TOTAL</v>
          </cell>
        </row>
        <row r="563">
          <cell r="A563" t="str">
            <v>Retroexcavadora de llanta, balde estandar</v>
          </cell>
          <cell r="H563" t="str">
            <v>Hora</v>
          </cell>
          <cell r="I563">
            <v>178500</v>
          </cell>
          <cell r="K563">
            <v>5.0000000000000001E-3</v>
          </cell>
          <cell r="M563">
            <v>892.5</v>
          </cell>
        </row>
        <row r="564">
          <cell r="H564" t="str">
            <v/>
          </cell>
          <cell r="I564" t="str">
            <v/>
          </cell>
          <cell r="M564" t="str">
            <v/>
          </cell>
        </row>
        <row r="565">
          <cell r="H565" t="str">
            <v/>
          </cell>
          <cell r="I565" t="str">
            <v/>
          </cell>
          <cell r="M565" t="str">
            <v/>
          </cell>
        </row>
        <row r="566">
          <cell r="H566" t="str">
            <v/>
          </cell>
          <cell r="I566" t="str">
            <v/>
          </cell>
          <cell r="M566" t="str">
            <v/>
          </cell>
        </row>
        <row r="567">
          <cell r="H567" t="str">
            <v/>
          </cell>
          <cell r="I567" t="str">
            <v/>
          </cell>
          <cell r="M567" t="str">
            <v/>
          </cell>
        </row>
        <row r="568">
          <cell r="K568" t="str">
            <v>SUBTOTAL</v>
          </cell>
          <cell r="M568">
            <v>892.5</v>
          </cell>
        </row>
        <row r="570">
          <cell r="A570" t="str">
            <v>C - TRANSPORTE</v>
          </cell>
        </row>
        <row r="571">
          <cell r="A571" t="str">
            <v>DESCRIPCIÓN</v>
          </cell>
          <cell r="H571" t="str">
            <v>UNIDAD</v>
          </cell>
          <cell r="I571" t="str">
            <v>TARIFA</v>
          </cell>
          <cell r="K571" t="str">
            <v>CANTIDAD</v>
          </cell>
          <cell r="M571" t="str">
            <v>SUB - TOTAL</v>
          </cell>
        </row>
        <row r="572">
          <cell r="A572" t="str">
            <v>Transporte de material sobrante</v>
          </cell>
          <cell r="H572" t="str">
            <v>M3/Km</v>
          </cell>
          <cell r="I572">
            <v>1879.1399946228782</v>
          </cell>
          <cell r="K572">
            <v>1</v>
          </cell>
          <cell r="M572">
            <v>1879.1399946228782</v>
          </cell>
        </row>
        <row r="573">
          <cell r="M573" t="str">
            <v/>
          </cell>
        </row>
        <row r="574">
          <cell r="M574" t="str">
            <v/>
          </cell>
        </row>
        <row r="575">
          <cell r="M575" t="str">
            <v/>
          </cell>
        </row>
        <row r="576">
          <cell r="M576" t="str">
            <v/>
          </cell>
        </row>
        <row r="577">
          <cell r="K577" t="str">
            <v>SUBTOTAL</v>
          </cell>
          <cell r="M577">
            <v>1879.1399946228782</v>
          </cell>
        </row>
        <row r="579">
          <cell r="A579" t="str">
            <v>D - MANO DE OBRA</v>
          </cell>
        </row>
        <row r="580">
          <cell r="A580" t="str">
            <v>DESCRIPCIÓN</v>
          </cell>
          <cell r="H580" t="str">
            <v>UNIDAD</v>
          </cell>
          <cell r="I580" t="str">
            <v>TARIFA</v>
          </cell>
          <cell r="K580" t="str">
            <v>F.M.</v>
          </cell>
          <cell r="L580" t="str">
            <v>REND.</v>
          </cell>
          <cell r="M580" t="str">
            <v>SUB - TOTAL</v>
          </cell>
        </row>
        <row r="581">
          <cell r="H581" t="str">
            <v/>
          </cell>
          <cell r="I581" t="str">
            <v/>
          </cell>
          <cell r="K581" t="str">
            <v/>
          </cell>
          <cell r="M581" t="str">
            <v/>
          </cell>
        </row>
        <row r="582">
          <cell r="H582" t="str">
            <v/>
          </cell>
          <cell r="I582" t="str">
            <v/>
          </cell>
          <cell r="K582" t="str">
            <v/>
          </cell>
          <cell r="M582" t="str">
            <v/>
          </cell>
        </row>
        <row r="583">
          <cell r="H583" t="str">
            <v/>
          </cell>
          <cell r="I583" t="str">
            <v/>
          </cell>
          <cell r="K583" t="str">
            <v/>
          </cell>
          <cell r="M583" t="str">
            <v/>
          </cell>
        </row>
        <row r="584">
          <cell r="H584" t="str">
            <v/>
          </cell>
          <cell r="I584" t="str">
            <v/>
          </cell>
          <cell r="K584" t="str">
            <v/>
          </cell>
          <cell r="M584" t="str">
            <v/>
          </cell>
        </row>
        <row r="585">
          <cell r="H585" t="str">
            <v/>
          </cell>
          <cell r="I585" t="str">
            <v/>
          </cell>
          <cell r="K585" t="str">
            <v/>
          </cell>
          <cell r="M585" t="str">
            <v/>
          </cell>
        </row>
        <row r="586">
          <cell r="K586" t="str">
            <v>SUBTOTAL</v>
          </cell>
          <cell r="M586">
            <v>0</v>
          </cell>
        </row>
        <row r="590">
          <cell r="I590" t="str">
            <v>Elaboración</v>
          </cell>
          <cell r="K590" t="str">
            <v>Deiner Alexander Obregon Palomeque</v>
          </cell>
        </row>
        <row r="591">
          <cell r="I591" t="str">
            <v>Ingeniero Civil</v>
          </cell>
          <cell r="K591" t="str">
            <v>MP: 011037-0653228 ANT</v>
          </cell>
        </row>
        <row r="592">
          <cell r="A592" t="str">
            <v>DISPOSICIÓN DE MATERIAL PROVENIENTE DE EXCAVACIÓN (NO INCLUYE TRANSPORTE)</v>
          </cell>
          <cell r="M592">
            <v>45933</v>
          </cell>
        </row>
        <row r="595">
          <cell r="A595" t="str">
            <v>G014</v>
          </cell>
          <cell r="B595" t="str">
            <v>DISPOSICIÓN DE MATERIAL PROVENIENTE DE EXCAVACIÓN (NO INCLUYE TRANSPORTE)</v>
          </cell>
          <cell r="C595" t="str">
            <v>UNIDAD:</v>
          </cell>
          <cell r="D595" t="str">
            <v>M3</v>
          </cell>
          <cell r="E595" t="str">
            <v>TOTAL</v>
          </cell>
          <cell r="F595">
            <v>4248.62</v>
          </cell>
          <cell r="G595" t="str">
            <v>EQUIPO</v>
          </cell>
          <cell r="H595">
            <v>0</v>
          </cell>
          <cell r="I595" t="str">
            <v>MATERIAL</v>
          </cell>
          <cell r="J595">
            <v>2499</v>
          </cell>
          <cell r="K595" t="str">
            <v>TRANSP.</v>
          </cell>
          <cell r="L595">
            <v>0</v>
          </cell>
          <cell r="M595" t="str">
            <v>M.O.</v>
          </cell>
          <cell r="N595">
            <v>1749.6149531250003</v>
          </cell>
        </row>
        <row r="597">
          <cell r="A597" t="str">
            <v>A - MATERIALES</v>
          </cell>
        </row>
        <row r="598">
          <cell r="A598" t="str">
            <v>DESCRIPCIÓN</v>
          </cell>
          <cell r="H598" t="str">
            <v>UNIDAD</v>
          </cell>
          <cell r="I598" t="str">
            <v>TARIFA</v>
          </cell>
          <cell r="K598" t="str">
            <v>CANTIDAD</v>
          </cell>
          <cell r="M598" t="str">
            <v>SUB - TOTAL</v>
          </cell>
        </row>
        <row r="599">
          <cell r="H599" t="str">
            <v/>
          </cell>
          <cell r="I599" t="str">
            <v/>
          </cell>
          <cell r="M599" t="str">
            <v/>
          </cell>
        </row>
        <row r="600">
          <cell r="H600" t="str">
            <v/>
          </cell>
          <cell r="I600" t="str">
            <v/>
          </cell>
          <cell r="M600" t="str">
            <v/>
          </cell>
        </row>
        <row r="601">
          <cell r="H601" t="str">
            <v/>
          </cell>
          <cell r="I601" t="str">
            <v/>
          </cell>
          <cell r="M601" t="str">
            <v/>
          </cell>
        </row>
        <row r="602">
          <cell r="H602" t="str">
            <v/>
          </cell>
          <cell r="I602" t="str">
            <v/>
          </cell>
          <cell r="M602" t="str">
            <v/>
          </cell>
        </row>
        <row r="603">
          <cell r="H603" t="str">
            <v/>
          </cell>
          <cell r="I603" t="str">
            <v/>
          </cell>
          <cell r="M603" t="str">
            <v/>
          </cell>
        </row>
        <row r="604">
          <cell r="H604" t="str">
            <v/>
          </cell>
          <cell r="I604" t="str">
            <v/>
          </cell>
          <cell r="M604" t="str">
            <v/>
          </cell>
        </row>
        <row r="605">
          <cell r="K605" t="str">
            <v>SUBTOTAL</v>
          </cell>
          <cell r="M605">
            <v>0</v>
          </cell>
        </row>
        <row r="607">
          <cell r="A607" t="str">
            <v>B - HERRAMIENTA, MAQUINARIA Y EQUIPO</v>
          </cell>
        </row>
        <row r="608">
          <cell r="A608" t="str">
            <v>DESCRIPCIÓN</v>
          </cell>
          <cell r="H608" t="str">
            <v>UNIDAD</v>
          </cell>
          <cell r="I608" t="str">
            <v>TARIFA</v>
          </cell>
          <cell r="K608" t="str">
            <v>CANTIDAD</v>
          </cell>
          <cell r="M608" t="str">
            <v>SUB - TOTAL</v>
          </cell>
        </row>
        <row r="609">
          <cell r="A609" t="str">
            <v>Herramienta Menor</v>
          </cell>
          <cell r="H609" t="str">
            <v>% M.O.</v>
          </cell>
          <cell r="I609">
            <v>0</v>
          </cell>
          <cell r="K609">
            <v>0.05</v>
          </cell>
          <cell r="M609">
            <v>0</v>
          </cell>
        </row>
        <row r="610">
          <cell r="A610" t="str">
            <v>Retroexcavadora de llanta, balde estandar</v>
          </cell>
          <cell r="H610" t="str">
            <v>Hora</v>
          </cell>
          <cell r="I610">
            <v>178500</v>
          </cell>
          <cell r="K610">
            <v>1.4E-2</v>
          </cell>
          <cell r="M610">
            <v>2499</v>
          </cell>
        </row>
        <row r="611">
          <cell r="H611" t="str">
            <v/>
          </cell>
          <cell r="I611" t="str">
            <v/>
          </cell>
          <cell r="M611" t="str">
            <v/>
          </cell>
        </row>
        <row r="612">
          <cell r="H612" t="str">
            <v/>
          </cell>
          <cell r="I612" t="str">
            <v/>
          </cell>
          <cell r="M612" t="str">
            <v/>
          </cell>
        </row>
        <row r="613">
          <cell r="H613" t="str">
            <v/>
          </cell>
          <cell r="I613" t="str">
            <v/>
          </cell>
          <cell r="M613" t="str">
            <v/>
          </cell>
        </row>
        <row r="614">
          <cell r="K614" t="str">
            <v>SUBTOTAL</v>
          </cell>
          <cell r="M614">
            <v>2499</v>
          </cell>
        </row>
        <row r="616">
          <cell r="A616" t="str">
            <v>C - TRANSPORTE</v>
          </cell>
        </row>
        <row r="617">
          <cell r="A617" t="str">
            <v>DESCRIPCIÓN</v>
          </cell>
          <cell r="H617" t="str">
            <v>UNIDAD</v>
          </cell>
          <cell r="I617" t="str">
            <v>TARIFA</v>
          </cell>
          <cell r="K617" t="str">
            <v>CANTIDAD</v>
          </cell>
          <cell r="M617" t="str">
            <v>SUB - TOTAL</v>
          </cell>
        </row>
        <row r="618">
          <cell r="M618" t="str">
            <v/>
          </cell>
        </row>
        <row r="619">
          <cell r="M619" t="str">
            <v/>
          </cell>
        </row>
        <row r="620">
          <cell r="M620" t="str">
            <v/>
          </cell>
        </row>
        <row r="621">
          <cell r="M621" t="str">
            <v/>
          </cell>
        </row>
        <row r="622">
          <cell r="M622" t="str">
            <v/>
          </cell>
        </row>
        <row r="623">
          <cell r="K623" t="str">
            <v>SUBTOTAL</v>
          </cell>
          <cell r="M623">
            <v>0</v>
          </cell>
        </row>
        <row r="625">
          <cell r="A625" t="str">
            <v>D - MANO DE OBRA</v>
          </cell>
        </row>
        <row r="626">
          <cell r="A626" t="str">
            <v>DESCRIPCIÓN</v>
          </cell>
          <cell r="H626" t="str">
            <v>UNIDAD</v>
          </cell>
          <cell r="I626" t="str">
            <v>TARIFA</v>
          </cell>
          <cell r="K626" t="str">
            <v>F.M.</v>
          </cell>
          <cell r="L626" t="str">
            <v>REND.</v>
          </cell>
          <cell r="M626" t="str">
            <v>SUB - TOTAL</v>
          </cell>
        </row>
        <row r="627">
          <cell r="A627" t="str">
            <v>Cuadrilla 1: 1 Ayudante A</v>
          </cell>
          <cell r="H627" t="str">
            <v>Cuadrilla</v>
          </cell>
          <cell r="I627">
            <v>71175</v>
          </cell>
          <cell r="K627">
            <v>1.96655</v>
          </cell>
          <cell r="L627">
            <v>1.2500000000000001E-2</v>
          </cell>
          <cell r="M627">
            <v>1749.6149531250003</v>
          </cell>
        </row>
        <row r="628">
          <cell r="H628" t="str">
            <v/>
          </cell>
          <cell r="I628" t="str">
            <v/>
          </cell>
          <cell r="K628" t="str">
            <v/>
          </cell>
          <cell r="M628" t="str">
            <v/>
          </cell>
        </row>
        <row r="629">
          <cell r="H629" t="str">
            <v/>
          </cell>
          <cell r="I629" t="str">
            <v/>
          </cell>
          <cell r="K629" t="str">
            <v/>
          </cell>
          <cell r="M629" t="str">
            <v/>
          </cell>
        </row>
        <row r="630">
          <cell r="H630" t="str">
            <v/>
          </cell>
          <cell r="I630" t="str">
            <v/>
          </cell>
          <cell r="K630" t="str">
            <v/>
          </cell>
          <cell r="M630" t="str">
            <v/>
          </cell>
        </row>
        <row r="631">
          <cell r="H631" t="str">
            <v/>
          </cell>
          <cell r="I631" t="str">
            <v/>
          </cell>
          <cell r="K631" t="str">
            <v/>
          </cell>
          <cell r="M631" t="str">
            <v/>
          </cell>
        </row>
        <row r="632">
          <cell r="K632" t="str">
            <v>SUBTOTAL</v>
          </cell>
          <cell r="M632">
            <v>1749.6149531250003</v>
          </cell>
        </row>
        <row r="636">
          <cell r="I636" t="str">
            <v>Elaboración</v>
          </cell>
          <cell r="K636" t="str">
            <v>Deiner Alexander Obregon Palomeque</v>
          </cell>
        </row>
        <row r="637">
          <cell r="I637" t="str">
            <v>Ingeniero Civil</v>
          </cell>
          <cell r="K637" t="str">
            <v>MP: 011037-0653228 ANT</v>
          </cell>
        </row>
        <row r="638">
          <cell r="A638" t="str">
            <v>CONSTRUCCIÓN DE PLACA DE FONDO PARA POZO DE INSPECCIÓN DE ALCANTARILLADO (INCLUYE REPLANTEO, EXCAVACIÓN, CONCRETO DE 4000 PSI, ACERO DE REFUERZO)</v>
          </cell>
          <cell r="M638">
            <v>45933</v>
          </cell>
        </row>
        <row r="641">
          <cell r="A641" t="str">
            <v>G015</v>
          </cell>
          <cell r="B641" t="str">
            <v>CONSTRUCCIÓN DE PLACA DE FONDO PARA POZO DE INSPECCIÓN DE ALCANTARILLADO (INCLUYE REPLANTEO, EXCAVACIÓN, CONCRETO DE 4000 PSI, ACERO DE REFUERZO)</v>
          </cell>
          <cell r="C641" t="str">
            <v>UNIDAD:</v>
          </cell>
          <cell r="D641" t="str">
            <v>UND</v>
          </cell>
          <cell r="E641" t="str">
            <v>TOTAL</v>
          </cell>
          <cell r="F641">
            <v>2335980.6380644003</v>
          </cell>
          <cell r="G641" t="str">
            <v>EQUIPO</v>
          </cell>
          <cell r="H641">
            <v>2176765.6773300255</v>
          </cell>
          <cell r="I641" t="str">
            <v>MATERIAL</v>
          </cell>
          <cell r="J641">
            <v>7581.6647968750003</v>
          </cell>
          <cell r="K641" t="str">
            <v>TRANSP.</v>
          </cell>
          <cell r="L641">
            <v>0</v>
          </cell>
          <cell r="M641" t="str">
            <v>M.O.</v>
          </cell>
          <cell r="N641">
            <v>151633.29593749999</v>
          </cell>
        </row>
        <row r="643">
          <cell r="A643" t="str">
            <v>A - MATERIALES</v>
          </cell>
        </row>
        <row r="644">
          <cell r="A644" t="str">
            <v>DESCRIPCIÓN</v>
          </cell>
          <cell r="H644" t="str">
            <v>UNIDAD</v>
          </cell>
          <cell r="I644" t="str">
            <v>TARIFA</v>
          </cell>
          <cell r="K644" t="str">
            <v>CANTIDAD</v>
          </cell>
          <cell r="M644" t="str">
            <v>SUB - TOTAL</v>
          </cell>
        </row>
        <row r="645">
          <cell r="A645" t="str">
            <v>Localización y replanteo de estructuras de acueductos (No incluye equipo de topografía)</v>
          </cell>
          <cell r="H645" t="str">
            <v>m2</v>
          </cell>
          <cell r="I645">
            <v>4424.68813065625</v>
          </cell>
          <cell r="K645">
            <v>3.8013360000000005</v>
          </cell>
          <cell r="M645">
            <v>16819.726279836308</v>
          </cell>
        </row>
        <row r="646">
          <cell r="A646" t="str">
            <v>Excavación manual en material común (Incluye mano de obra, equipos y materiales)</v>
          </cell>
          <cell r="H646" t="str">
            <v>m3</v>
          </cell>
          <cell r="I646">
            <v>41990.758875</v>
          </cell>
          <cell r="K646">
            <v>16.839918480000001</v>
          </cell>
          <cell r="M646">
            <v>707120.95636833657</v>
          </cell>
        </row>
        <row r="647">
          <cell r="A647" t="str">
            <v>Relleno tipo II: Con recebo seleccionado, compactado en capas de 20 cm, proctor modificado 95%, a todo factor (incluye recebo, equipos, herramientas, transporte y mano de obra)</v>
          </cell>
          <cell r="H647" t="str">
            <v>m3</v>
          </cell>
          <cell r="I647">
            <v>179402.97</v>
          </cell>
          <cell r="K647">
            <v>0.76026720000000014</v>
          </cell>
          <cell r="M647">
            <v>136394.19367358403</v>
          </cell>
        </row>
        <row r="648">
          <cell r="A648" t="str">
            <v>Concreto para solado de 2000 PSI a todo costo (140 Kg/cm2)</v>
          </cell>
          <cell r="H648" t="str">
            <v>m3</v>
          </cell>
          <cell r="I648">
            <v>635032.18000000005</v>
          </cell>
          <cell r="K648">
            <v>0.19006680000000004</v>
          </cell>
          <cell r="M648">
            <v>120698.53434962404</v>
          </cell>
        </row>
        <row r="649">
          <cell r="A649" t="str">
            <v>Concreto para piso de 4000 PSI impermeabilizado a todo costo (280 Kg/cm2)</v>
          </cell>
          <cell r="H649" t="str">
            <v>m3</v>
          </cell>
          <cell r="I649">
            <v>836182.56705922401</v>
          </cell>
          <cell r="K649">
            <v>0.68</v>
          </cell>
          <cell r="M649">
            <v>568604.14560027234</v>
          </cell>
        </row>
        <row r="650">
          <cell r="A650" t="str">
            <v>Suministro figurado y armado de acero de refuerzo 60000 PSI (Incluye desperdicio del 5%)</v>
          </cell>
          <cell r="H650" t="str">
            <v>Kg</v>
          </cell>
          <cell r="I650">
            <v>6735.72</v>
          </cell>
          <cell r="K650">
            <v>37.989943015000001</v>
          </cell>
          <cell r="M650">
            <v>255889.61896499581</v>
          </cell>
        </row>
        <row r="651">
          <cell r="A651" t="str">
            <v>Extendido manual de tierras con material de la propia excavación</v>
          </cell>
          <cell r="H651" t="str">
            <v>m3</v>
          </cell>
          <cell r="I651">
            <v>22045.148409375</v>
          </cell>
          <cell r="K651">
            <v>16.839918480000001</v>
          </cell>
          <cell r="M651">
            <v>371238.50209337671</v>
          </cell>
        </row>
        <row r="654">
          <cell r="H654" t="str">
            <v/>
          </cell>
          <cell r="I654" t="str">
            <v/>
          </cell>
          <cell r="M654" t="str">
            <v/>
          </cell>
        </row>
        <row r="655">
          <cell r="K655" t="str">
            <v>SUBTOTAL</v>
          </cell>
          <cell r="M655">
            <v>2176765.6773300255</v>
          </cell>
        </row>
        <row r="657">
          <cell r="A657" t="str">
            <v>B - HERRAMIENTA, MAQUINARIA Y EQUIPO</v>
          </cell>
        </row>
        <row r="658">
          <cell r="A658" t="str">
            <v>DESCRIPCIÓN</v>
          </cell>
          <cell r="H658" t="str">
            <v>UNIDAD</v>
          </cell>
          <cell r="I658" t="str">
            <v>TARIFA</v>
          </cell>
          <cell r="K658" t="str">
            <v>CANTIDAD</v>
          </cell>
          <cell r="M658" t="str">
            <v>SUB - TOTAL</v>
          </cell>
        </row>
        <row r="659">
          <cell r="A659" t="str">
            <v>Herramienta Menor</v>
          </cell>
          <cell r="H659" t="str">
            <v>% M.O.</v>
          </cell>
          <cell r="I659">
            <v>151633.29593749999</v>
          </cell>
          <cell r="K659">
            <v>0.05</v>
          </cell>
          <cell r="M659">
            <v>7581.6647968750003</v>
          </cell>
        </row>
        <row r="660">
          <cell r="H660" t="str">
            <v/>
          </cell>
          <cell r="I660" t="str">
            <v/>
          </cell>
          <cell r="M660" t="str">
            <v/>
          </cell>
        </row>
        <row r="661">
          <cell r="H661" t="str">
            <v/>
          </cell>
          <cell r="I661" t="str">
            <v/>
          </cell>
          <cell r="M661" t="str">
            <v/>
          </cell>
        </row>
        <row r="662">
          <cell r="H662" t="str">
            <v/>
          </cell>
          <cell r="I662" t="str">
            <v/>
          </cell>
          <cell r="M662" t="str">
            <v/>
          </cell>
        </row>
        <row r="663">
          <cell r="H663" t="str">
            <v/>
          </cell>
          <cell r="I663" t="str">
            <v/>
          </cell>
          <cell r="M663" t="str">
            <v/>
          </cell>
        </row>
        <row r="664">
          <cell r="K664" t="str">
            <v>SUBTOTAL</v>
          </cell>
          <cell r="M664">
            <v>7581.6647968750003</v>
          </cell>
        </row>
        <row r="666">
          <cell r="A666" t="str">
            <v>C - TRANSPORTE</v>
          </cell>
        </row>
        <row r="667">
          <cell r="A667" t="str">
            <v>DESCRIPCIÓN</v>
          </cell>
          <cell r="H667" t="str">
            <v>UNIDAD</v>
          </cell>
          <cell r="I667" t="str">
            <v>TARIFA</v>
          </cell>
          <cell r="K667" t="str">
            <v>CANTIDAD</v>
          </cell>
          <cell r="M667" t="str">
            <v>SUB - TOTAL</v>
          </cell>
        </row>
        <row r="668">
          <cell r="M668" t="str">
            <v/>
          </cell>
        </row>
        <row r="669">
          <cell r="M669" t="str">
            <v/>
          </cell>
        </row>
        <row r="670">
          <cell r="M670" t="str">
            <v/>
          </cell>
        </row>
        <row r="671">
          <cell r="M671" t="str">
            <v/>
          </cell>
        </row>
        <row r="672">
          <cell r="M672" t="str">
            <v/>
          </cell>
        </row>
        <row r="673">
          <cell r="K673" t="str">
            <v>SUBTOTAL</v>
          </cell>
          <cell r="M673">
            <v>0</v>
          </cell>
        </row>
        <row r="675">
          <cell r="A675" t="str">
            <v>D - MANO DE OBRA</v>
          </cell>
        </row>
        <row r="676">
          <cell r="A676" t="str">
            <v>DESCRIPCIÓN</v>
          </cell>
          <cell r="H676" t="str">
            <v>UNIDAD</v>
          </cell>
          <cell r="I676" t="str">
            <v>TARIFA</v>
          </cell>
          <cell r="K676" t="str">
            <v>F.M.</v>
          </cell>
          <cell r="L676" t="str">
            <v>REND.</v>
          </cell>
          <cell r="M676" t="str">
            <v>SUB - TOTAL</v>
          </cell>
        </row>
        <row r="677">
          <cell r="A677" t="str">
            <v>Cuadrilla 7: 1 OfcA + 3 AyuA</v>
          </cell>
          <cell r="H677" t="str">
            <v>Cuadrilla</v>
          </cell>
          <cell r="I677">
            <v>308425</v>
          </cell>
          <cell r="K677">
            <v>1.96655</v>
          </cell>
          <cell r="L677">
            <v>0.25</v>
          </cell>
          <cell r="M677">
            <v>151633.29593749999</v>
          </cell>
        </row>
        <row r="678">
          <cell r="H678" t="str">
            <v/>
          </cell>
          <cell r="I678" t="str">
            <v/>
          </cell>
          <cell r="K678" t="str">
            <v/>
          </cell>
          <cell r="M678" t="str">
            <v/>
          </cell>
        </row>
        <row r="679">
          <cell r="H679" t="str">
            <v/>
          </cell>
          <cell r="I679" t="str">
            <v/>
          </cell>
          <cell r="K679" t="str">
            <v/>
          </cell>
          <cell r="M679" t="str">
            <v/>
          </cell>
        </row>
        <row r="680">
          <cell r="K680" t="str">
            <v>SUBTOTAL</v>
          </cell>
          <cell r="M680">
            <v>151633.29593749999</v>
          </cell>
        </row>
        <row r="684">
          <cell r="I684" t="str">
            <v>Elaboración</v>
          </cell>
          <cell r="K684" t="str">
            <v>Deiner Alexander Obregon Palomeque</v>
          </cell>
        </row>
        <row r="685">
          <cell r="I685" t="str">
            <v>Ingeniero Civil</v>
          </cell>
          <cell r="K685" t="str">
            <v>MP: 011037-0653228 ANT</v>
          </cell>
        </row>
        <row r="686">
          <cell r="A686" t="str">
            <v>CONSTRUCCIÓN DE CILINDRO DE POZO DE INSPECCIÓN DE ALCANTARILLADO (INCLUYE CONCRETO DE 4000 PSI, ACERO DE REFUERZO)</v>
          </cell>
          <cell r="M686">
            <v>45933</v>
          </cell>
        </row>
        <row r="689">
          <cell r="A689" t="str">
            <v>G016</v>
          </cell>
          <cell r="B689" t="str">
            <v>CONSTRUCCIÓN DE CILINDRO DE POZO DE INSPECCIÓN DE ALCANTARILLADO (INCLUYE CONCRETO DE 4000 PSI, ACERO DE REFUERZO)</v>
          </cell>
          <cell r="C689" t="str">
            <v>UNIDAD:</v>
          </cell>
          <cell r="D689" t="str">
            <v>ML</v>
          </cell>
          <cell r="E689" t="str">
            <v>TOTAL</v>
          </cell>
          <cell r="F689">
            <v>1764751.52</v>
          </cell>
          <cell r="G689" t="str">
            <v>EQUIPO</v>
          </cell>
          <cell r="H689">
            <v>1701065.5395382561</v>
          </cell>
          <cell r="I689" t="str">
            <v>MATERIAL</v>
          </cell>
          <cell r="J689">
            <v>3032.6659187500004</v>
          </cell>
          <cell r="K689" t="str">
            <v>TRANSP.</v>
          </cell>
          <cell r="L689">
            <v>0</v>
          </cell>
          <cell r="M689" t="str">
            <v>M.O.</v>
          </cell>
          <cell r="N689">
            <v>60653.318375000003</v>
          </cell>
        </row>
        <row r="691">
          <cell r="A691" t="str">
            <v>A - MATERIALES</v>
          </cell>
        </row>
        <row r="692">
          <cell r="A692" t="str">
            <v>DESCRIPCIÓN</v>
          </cell>
          <cell r="H692" t="str">
            <v>UNIDAD</v>
          </cell>
          <cell r="I692" t="str">
            <v>TARIFA</v>
          </cell>
          <cell r="K692" t="str">
            <v>CANTIDAD</v>
          </cell>
          <cell r="M692" t="str">
            <v>SUB - TOTAL</v>
          </cell>
        </row>
        <row r="693">
          <cell r="A693" t="str">
            <v>Concreto para cilindro de pozo de 4000 PSI impermeabilizado a todo costo (280 Kg/cm2)</v>
          </cell>
          <cell r="H693" t="str">
            <v>m3</v>
          </cell>
          <cell r="I693">
            <v>954487.64425089071</v>
          </cell>
          <cell r="K693">
            <v>1.1399999999999999</v>
          </cell>
          <cell r="M693">
            <v>1088115.9144460154</v>
          </cell>
        </row>
        <row r="694">
          <cell r="A694" t="str">
            <v>Suministro de acero de refuerzo de 60000 PSI cortado y figurado</v>
          </cell>
          <cell r="H694" t="str">
            <v>Kg</v>
          </cell>
          <cell r="I694">
            <v>6735.72</v>
          </cell>
          <cell r="K694">
            <v>90.999867139999992</v>
          </cell>
          <cell r="M694">
            <v>612949.62509224075</v>
          </cell>
        </row>
        <row r="695">
          <cell r="H695" t="str">
            <v/>
          </cell>
          <cell r="I695" t="str">
            <v/>
          </cell>
          <cell r="M695" t="str">
            <v/>
          </cell>
        </row>
        <row r="696">
          <cell r="H696" t="str">
            <v/>
          </cell>
          <cell r="I696" t="str">
            <v/>
          </cell>
          <cell r="M696" t="str">
            <v/>
          </cell>
        </row>
        <row r="697">
          <cell r="H697" t="str">
            <v/>
          </cell>
          <cell r="I697" t="str">
            <v/>
          </cell>
          <cell r="M697" t="str">
            <v/>
          </cell>
        </row>
        <row r="698">
          <cell r="K698" t="str">
            <v>SUBTOTAL</v>
          </cell>
          <cell r="M698">
            <v>1701065.5395382561</v>
          </cell>
        </row>
        <row r="700">
          <cell r="A700" t="str">
            <v>B - HERRAMIENTA, MAQUINARIA Y EQUIPO</v>
          </cell>
        </row>
        <row r="701">
          <cell r="A701" t="str">
            <v>DESCRIPCIÓN</v>
          </cell>
          <cell r="H701" t="str">
            <v>UNIDAD</v>
          </cell>
          <cell r="I701" t="str">
            <v>TARIFA</v>
          </cell>
          <cell r="K701" t="str">
            <v>CANTIDAD</v>
          </cell>
          <cell r="M701" t="str">
            <v>SUB - TOTAL</v>
          </cell>
        </row>
        <row r="702">
          <cell r="A702" t="str">
            <v>Herramienta Menor</v>
          </cell>
          <cell r="H702" t="str">
            <v>% M.O.</v>
          </cell>
          <cell r="I702">
            <v>60653.318375000003</v>
          </cell>
          <cell r="K702">
            <v>0.05</v>
          </cell>
          <cell r="M702">
            <v>3032.6659187500004</v>
          </cell>
        </row>
        <row r="703">
          <cell r="H703" t="str">
            <v/>
          </cell>
          <cell r="I703" t="str">
            <v/>
          </cell>
          <cell r="M703" t="str">
            <v/>
          </cell>
        </row>
        <row r="704">
          <cell r="H704" t="str">
            <v/>
          </cell>
          <cell r="I704" t="str">
            <v/>
          </cell>
          <cell r="M704" t="str">
            <v/>
          </cell>
        </row>
        <row r="705">
          <cell r="H705" t="str">
            <v/>
          </cell>
          <cell r="I705" t="str">
            <v/>
          </cell>
          <cell r="M705" t="str">
            <v/>
          </cell>
        </row>
        <row r="706">
          <cell r="H706" t="str">
            <v/>
          </cell>
          <cell r="I706" t="str">
            <v/>
          </cell>
          <cell r="M706" t="str">
            <v/>
          </cell>
        </row>
        <row r="707">
          <cell r="K707" t="str">
            <v>SUBTOTAL</v>
          </cell>
          <cell r="M707">
            <v>3032.6659187500004</v>
          </cell>
        </row>
        <row r="709">
          <cell r="A709" t="str">
            <v>C - TRANSPORTE</v>
          </cell>
        </row>
        <row r="710">
          <cell r="A710" t="str">
            <v>DESCRIPCIÓN</v>
          </cell>
          <cell r="H710" t="str">
            <v>UNIDAD</v>
          </cell>
          <cell r="I710" t="str">
            <v>TARIFA</v>
          </cell>
          <cell r="K710" t="str">
            <v>CANTIDAD</v>
          </cell>
          <cell r="M710" t="str">
            <v>SUB - TOTAL</v>
          </cell>
        </row>
        <row r="711">
          <cell r="M711" t="str">
            <v/>
          </cell>
        </row>
        <row r="712">
          <cell r="M712" t="str">
            <v/>
          </cell>
        </row>
        <row r="713">
          <cell r="M713" t="str">
            <v/>
          </cell>
        </row>
        <row r="714">
          <cell r="M714" t="str">
            <v/>
          </cell>
        </row>
        <row r="715">
          <cell r="M715" t="str">
            <v/>
          </cell>
        </row>
        <row r="716">
          <cell r="K716" t="str">
            <v>SUBTOTAL</v>
          </cell>
          <cell r="M716">
            <v>0</v>
          </cell>
        </row>
        <row r="718">
          <cell r="A718" t="str">
            <v>D - MANO DE OBRA</v>
          </cell>
        </row>
        <row r="719">
          <cell r="A719" t="str">
            <v>DESCRIPCIÓN</v>
          </cell>
          <cell r="H719" t="str">
            <v>UNIDAD</v>
          </cell>
          <cell r="I719" t="str">
            <v>TARIFA</v>
          </cell>
          <cell r="K719" t="str">
            <v>F.M.</v>
          </cell>
          <cell r="L719" t="str">
            <v>REND.</v>
          </cell>
          <cell r="M719" t="str">
            <v>SUB - TOTAL</v>
          </cell>
        </row>
        <row r="720">
          <cell r="A720" t="str">
            <v>Cuadrilla 7: 1 OfcA + 3 AyuA</v>
          </cell>
          <cell r="H720" t="str">
            <v>Cuadrilla</v>
          </cell>
          <cell r="I720">
            <v>308425</v>
          </cell>
          <cell r="K720">
            <v>1.96655</v>
          </cell>
          <cell r="L720">
            <v>0.1</v>
          </cell>
          <cell r="M720">
            <v>60653.318375000003</v>
          </cell>
        </row>
        <row r="721">
          <cell r="H721" t="str">
            <v/>
          </cell>
          <cell r="I721" t="str">
            <v/>
          </cell>
          <cell r="K721" t="str">
            <v/>
          </cell>
          <cell r="M721" t="str">
            <v/>
          </cell>
        </row>
        <row r="722">
          <cell r="H722" t="str">
            <v/>
          </cell>
          <cell r="I722" t="str">
            <v/>
          </cell>
          <cell r="K722" t="str">
            <v/>
          </cell>
          <cell r="M722" t="str">
            <v/>
          </cell>
        </row>
        <row r="723">
          <cell r="H723" t="str">
            <v/>
          </cell>
          <cell r="I723" t="str">
            <v/>
          </cell>
          <cell r="K723" t="str">
            <v/>
          </cell>
          <cell r="M723" t="str">
            <v/>
          </cell>
        </row>
        <row r="724">
          <cell r="H724" t="str">
            <v/>
          </cell>
          <cell r="I724" t="str">
            <v/>
          </cell>
          <cell r="K724" t="str">
            <v/>
          </cell>
          <cell r="M724" t="str">
            <v/>
          </cell>
        </row>
        <row r="725">
          <cell r="K725" t="str">
            <v>SUBTOTAL</v>
          </cell>
          <cell r="M725">
            <v>60653.318375000003</v>
          </cell>
        </row>
        <row r="729">
          <cell r="I729" t="str">
            <v>Elaboración</v>
          </cell>
          <cell r="K729" t="str">
            <v>Deiner Alexander Obregon Palomeque</v>
          </cell>
        </row>
        <row r="730">
          <cell r="I730" t="str">
            <v>Ingeniero Civil</v>
          </cell>
          <cell r="K730" t="str">
            <v>MP: 011037-0653228 ANT</v>
          </cell>
        </row>
        <row r="731">
          <cell r="A731" t="str">
            <v>CONCRETO PARA TAPA DE 4000 PSI IMPERMEABILIZADO 280 KG/CM2 (INCLUYE FORMALETA EN MADERA)</v>
          </cell>
          <cell r="M731">
            <v>45933</v>
          </cell>
        </row>
        <row r="734">
          <cell r="A734" t="str">
            <v>G017</v>
          </cell>
          <cell r="B734" t="str">
            <v>CONCRETO PARA TAPA DE 4000 PSI IMPERMEABILIZADO 280 KG/CM2 (INCLUYE FORMALETA EN MADERA)</v>
          </cell>
          <cell r="C734" t="str">
            <v>UNIDAD:</v>
          </cell>
          <cell r="D734" t="str">
            <v>M3</v>
          </cell>
          <cell r="E734" t="str">
            <v>TOTAL</v>
          </cell>
          <cell r="F734">
            <v>1134546.2</v>
          </cell>
          <cell r="G734" t="str">
            <v>EQUIPO</v>
          </cell>
          <cell r="H734">
            <v>42774.359750000003</v>
          </cell>
          <cell r="I734" t="str">
            <v>MATERIAL</v>
          </cell>
          <cell r="J734">
            <v>798607.52173913037</v>
          </cell>
          <cell r="K734" t="str">
            <v>TRANSP.</v>
          </cell>
          <cell r="L734">
            <v>106538.7179875</v>
          </cell>
          <cell r="M734" t="str">
            <v>M.O.</v>
          </cell>
          <cell r="N734">
            <v>186625.595</v>
          </cell>
        </row>
        <row r="736">
          <cell r="A736" t="str">
            <v>A - MATERIALES</v>
          </cell>
        </row>
        <row r="737">
          <cell r="A737" t="str">
            <v>DESCRIPCIÓN</v>
          </cell>
          <cell r="H737" t="str">
            <v>UNIDAD</v>
          </cell>
          <cell r="I737" t="str">
            <v>TARIFA</v>
          </cell>
          <cell r="K737" t="str">
            <v>CANTIDAD</v>
          </cell>
          <cell r="M737" t="str">
            <v>SUB - TOTAL</v>
          </cell>
        </row>
        <row r="738">
          <cell r="A738" t="str">
            <v>Cemento gris</v>
          </cell>
          <cell r="H738" t="str">
            <v>Kg</v>
          </cell>
          <cell r="I738">
            <v>658</v>
          </cell>
          <cell r="K738">
            <v>425</v>
          </cell>
          <cell r="M738">
            <v>279650</v>
          </cell>
        </row>
        <row r="739">
          <cell r="A739" t="str">
            <v>Arena triturada pasante 3/8"</v>
          </cell>
          <cell r="H739" t="str">
            <v>m3</v>
          </cell>
          <cell r="I739">
            <v>65450</v>
          </cell>
          <cell r="K739">
            <v>0.57999999999999996</v>
          </cell>
          <cell r="M739">
            <v>37961</v>
          </cell>
        </row>
        <row r="740">
          <cell r="A740" t="str">
            <v>Triturado pasante de 3/4" retenido en 3/8"</v>
          </cell>
          <cell r="H740" t="str">
            <v>m3</v>
          </cell>
          <cell r="I740">
            <v>113050</v>
          </cell>
          <cell r="K740">
            <v>0.7</v>
          </cell>
          <cell r="M740">
            <v>79135</v>
          </cell>
        </row>
        <row r="741">
          <cell r="A741" t="str">
            <v>Agua</v>
          </cell>
          <cell r="H741" t="str">
            <v>Lt</v>
          </cell>
          <cell r="I741">
            <v>20</v>
          </cell>
          <cell r="K741">
            <v>200</v>
          </cell>
          <cell r="M741">
            <v>4000</v>
          </cell>
        </row>
        <row r="742">
          <cell r="A742" t="str">
            <v xml:space="preserve">Impermeabilizante plastocrete DM </v>
          </cell>
          <cell r="H742" t="str">
            <v>Kg</v>
          </cell>
          <cell r="I742">
            <v>25608.695652173916</v>
          </cell>
          <cell r="K742">
            <v>2.13</v>
          </cell>
          <cell r="M742">
            <v>54546.52173913044</v>
          </cell>
        </row>
        <row r="743">
          <cell r="A743" t="str">
            <v>Alquiler de camillas de 0,70 x 1,40m (3 dias de uso)</v>
          </cell>
          <cell r="H743" t="str">
            <v>Unidad</v>
          </cell>
          <cell r="I743">
            <v>1190</v>
          </cell>
          <cell r="K743">
            <v>156</v>
          </cell>
          <cell r="M743">
            <v>185640</v>
          </cell>
        </row>
        <row r="744">
          <cell r="A744" t="str">
            <v>Polin de 3x0,04x0,04m</v>
          </cell>
          <cell r="H744" t="str">
            <v>Unidad</v>
          </cell>
          <cell r="I744">
            <v>10710</v>
          </cell>
          <cell r="K744">
            <v>12</v>
          </cell>
          <cell r="M744">
            <v>128520</v>
          </cell>
        </row>
        <row r="745">
          <cell r="A745" t="str">
            <v>Puntilla de 2" c/cabeza</v>
          </cell>
          <cell r="H745" t="str">
            <v>LB</v>
          </cell>
          <cell r="I745">
            <v>5831</v>
          </cell>
          <cell r="K745">
            <v>5</v>
          </cell>
          <cell r="M745">
            <v>29155</v>
          </cell>
        </row>
        <row r="746">
          <cell r="H746" t="str">
            <v/>
          </cell>
          <cell r="I746" t="str">
            <v/>
          </cell>
          <cell r="M746" t="str">
            <v/>
          </cell>
        </row>
        <row r="747">
          <cell r="K747" t="str">
            <v>SUBTOTAL</v>
          </cell>
          <cell r="M747">
            <v>798607.52173913037</v>
          </cell>
        </row>
        <row r="749">
          <cell r="A749" t="str">
            <v>B - HERRAMIENTA, MAQUINARIA Y EQUIPO</v>
          </cell>
        </row>
        <row r="750">
          <cell r="A750" t="str">
            <v>DESCRIPCIÓN</v>
          </cell>
          <cell r="H750" t="str">
            <v>UNIDAD</v>
          </cell>
          <cell r="I750" t="str">
            <v>TARIFA</v>
          </cell>
          <cell r="K750" t="str">
            <v>CANTIDAD</v>
          </cell>
          <cell r="M750" t="str">
            <v>SUB - TOTAL</v>
          </cell>
        </row>
        <row r="751">
          <cell r="A751" t="str">
            <v>Herramienta Menor</v>
          </cell>
          <cell r="H751" t="str">
            <v>% M.O.</v>
          </cell>
          <cell r="I751">
            <v>186625.595</v>
          </cell>
          <cell r="K751">
            <v>0.05</v>
          </cell>
          <cell r="M751">
            <v>9331.2797499999997</v>
          </cell>
        </row>
        <row r="752">
          <cell r="A752" t="str">
            <v>Mezcladora Diesel (1.5 - 2.0 BTOS) incluye combustible</v>
          </cell>
          <cell r="H752" t="str">
            <v>Dia</v>
          </cell>
          <cell r="I752">
            <v>102014</v>
          </cell>
          <cell r="K752">
            <v>0.22</v>
          </cell>
          <cell r="M752">
            <v>22443.08</v>
          </cell>
        </row>
        <row r="753">
          <cell r="A753" t="str">
            <v>Vibrador de Mezcla (diesel) incluye combustible</v>
          </cell>
          <cell r="H753" t="str">
            <v>Dia</v>
          </cell>
          <cell r="I753">
            <v>50000</v>
          </cell>
          <cell r="K753">
            <v>0.22</v>
          </cell>
          <cell r="M753">
            <v>11000</v>
          </cell>
        </row>
        <row r="754">
          <cell r="H754" t="str">
            <v/>
          </cell>
          <cell r="I754" t="str">
            <v/>
          </cell>
          <cell r="M754" t="str">
            <v/>
          </cell>
        </row>
        <row r="755">
          <cell r="H755" t="str">
            <v/>
          </cell>
          <cell r="I755" t="str">
            <v/>
          </cell>
          <cell r="M755" t="str">
            <v/>
          </cell>
        </row>
        <row r="756">
          <cell r="K756" t="str">
            <v>SUBTOTAL</v>
          </cell>
          <cell r="M756">
            <v>42774.359750000003</v>
          </cell>
        </row>
        <row r="758">
          <cell r="A758" t="str">
            <v>C - TRANSPORTE</v>
          </cell>
        </row>
        <row r="759">
          <cell r="A759" t="str">
            <v>DESCRIPCIÓN</v>
          </cell>
          <cell r="H759" t="str">
            <v>UNIDAD</v>
          </cell>
          <cell r="I759" t="str">
            <v>TARIFA</v>
          </cell>
          <cell r="K759" t="str">
            <v>CANTIDAD</v>
          </cell>
          <cell r="M759" t="str">
            <v>SUB - TOTAL</v>
          </cell>
        </row>
        <row r="760">
          <cell r="A760" t="str">
            <v>Transporte de maquinaria y equipos</v>
          </cell>
          <cell r="H760" t="str">
            <v>% H,M,E</v>
          </cell>
          <cell r="I760">
            <v>42774.359750000003</v>
          </cell>
          <cell r="K760">
            <v>0.05</v>
          </cell>
          <cell r="M760">
            <v>2138.7179875000002</v>
          </cell>
        </row>
        <row r="761">
          <cell r="A761" t="str">
            <v>Transporte de materiales</v>
          </cell>
          <cell r="H761" t="str">
            <v>KM/M3</v>
          </cell>
          <cell r="I761">
            <v>1450</v>
          </cell>
          <cell r="K761">
            <v>72</v>
          </cell>
          <cell r="M761">
            <v>104400</v>
          </cell>
        </row>
        <row r="762">
          <cell r="M762" t="str">
            <v/>
          </cell>
        </row>
        <row r="763">
          <cell r="M763" t="str">
            <v/>
          </cell>
        </row>
        <row r="764">
          <cell r="M764" t="str">
            <v/>
          </cell>
        </row>
        <row r="765">
          <cell r="K765" t="str">
            <v>SUBTOTAL</v>
          </cell>
          <cell r="M765">
            <v>106538.7179875</v>
          </cell>
        </row>
        <row r="767">
          <cell r="A767" t="str">
            <v>D - MANO DE OBRA</v>
          </cell>
        </row>
        <row r="768">
          <cell r="A768" t="str">
            <v>DESCRIPCIÓN</v>
          </cell>
          <cell r="H768" t="str">
            <v>UNIDAD</v>
          </cell>
          <cell r="I768" t="str">
            <v>TARIFA</v>
          </cell>
          <cell r="K768" t="str">
            <v>F.M.</v>
          </cell>
          <cell r="L768" t="str">
            <v>REND.</v>
          </cell>
          <cell r="M768" t="str">
            <v>SUB - TOTAL</v>
          </cell>
        </row>
        <row r="769">
          <cell r="A769" t="str">
            <v>Cuadrilla 8: 1 OfcA + 4 AyuA</v>
          </cell>
          <cell r="H769" t="str">
            <v>Cuadrilla</v>
          </cell>
          <cell r="I769">
            <v>379600</v>
          </cell>
          <cell r="K769">
            <v>1.96655</v>
          </cell>
          <cell r="L769">
            <v>0.25</v>
          </cell>
          <cell r="M769">
            <v>186625.595</v>
          </cell>
        </row>
        <row r="770">
          <cell r="H770" t="str">
            <v/>
          </cell>
          <cell r="I770" t="str">
            <v/>
          </cell>
          <cell r="K770" t="str">
            <v/>
          </cell>
          <cell r="M770" t="str">
            <v/>
          </cell>
        </row>
        <row r="771">
          <cell r="H771" t="str">
            <v/>
          </cell>
          <cell r="I771" t="str">
            <v/>
          </cell>
          <cell r="K771" t="str">
            <v/>
          </cell>
          <cell r="M771" t="str">
            <v/>
          </cell>
        </row>
        <row r="772">
          <cell r="H772" t="str">
            <v/>
          </cell>
          <cell r="I772" t="str">
            <v/>
          </cell>
          <cell r="K772" t="str">
            <v/>
          </cell>
          <cell r="M772" t="str">
            <v/>
          </cell>
        </row>
        <row r="773">
          <cell r="H773" t="str">
            <v/>
          </cell>
          <cell r="I773" t="str">
            <v/>
          </cell>
          <cell r="K773" t="str">
            <v/>
          </cell>
          <cell r="M773" t="str">
            <v/>
          </cell>
        </row>
        <row r="774">
          <cell r="K774" t="str">
            <v>SUBTOTAL</v>
          </cell>
          <cell r="M774">
            <v>186625.595</v>
          </cell>
        </row>
        <row r="778">
          <cell r="I778" t="str">
            <v>Elaboración</v>
          </cell>
          <cell r="K778" t="str">
            <v>Deiner Alexander Obregon Palomeque</v>
          </cell>
        </row>
        <row r="779">
          <cell r="I779" t="str">
            <v>Ingeniero Civil</v>
          </cell>
          <cell r="K779" t="str">
            <v>MP: 011037-0653228 ANT</v>
          </cell>
        </row>
        <row r="780">
          <cell r="A780" t="str">
            <v>SUMINISTRO E INSTALACIÓN DE TAPA Y ARO DE SEGURIDAD PARA POZOS DE INSPECCIÓN ASTM-536 CON RESISTENCIA D400</v>
          </cell>
          <cell r="M780">
            <v>45933</v>
          </cell>
        </row>
        <row r="782">
          <cell r="A782">
            <v>1</v>
          </cell>
          <cell r="B782">
            <v>2</v>
          </cell>
          <cell r="C782">
            <v>3</v>
          </cell>
          <cell r="D782">
            <v>4</v>
          </cell>
          <cell r="E782">
            <v>5</v>
          </cell>
          <cell r="F782">
            <v>6</v>
          </cell>
          <cell r="G782">
            <v>7</v>
          </cell>
          <cell r="H782">
            <v>8</v>
          </cell>
          <cell r="I782">
            <v>9</v>
          </cell>
          <cell r="J782">
            <v>10</v>
          </cell>
          <cell r="K782">
            <v>11</v>
          </cell>
          <cell r="L782">
            <v>12</v>
          </cell>
          <cell r="M782">
            <v>13</v>
          </cell>
          <cell r="N782">
            <v>14</v>
          </cell>
        </row>
        <row r="783">
          <cell r="A783" t="str">
            <v>G018</v>
          </cell>
          <cell r="B783" t="str">
            <v>SUMINISTRO E INSTALACIÓN DE TAPA Y ARO DE SEGURIDAD PARA POZOS DE INSPECCIÓN ASTM-536 CON RESISTENCIA D400</v>
          </cell>
          <cell r="C783" t="str">
            <v>UNIDAD:</v>
          </cell>
          <cell r="D783" t="str">
            <v>UND</v>
          </cell>
          <cell r="E783" t="str">
            <v>TOTAL</v>
          </cell>
          <cell r="F783">
            <v>913955.56635156251</v>
          </cell>
          <cell r="G783" t="str">
            <v>EQUIPO</v>
          </cell>
          <cell r="H783">
            <v>791900</v>
          </cell>
          <cell r="I783" t="str">
            <v>MATERIAL</v>
          </cell>
          <cell r="J783">
            <v>2041.2174453125001</v>
          </cell>
          <cell r="K783" t="str">
            <v>TRANSP.</v>
          </cell>
          <cell r="L783">
            <v>79190</v>
          </cell>
          <cell r="M783" t="str">
            <v>M.O.</v>
          </cell>
          <cell r="N783">
            <v>40824.348906250001</v>
          </cell>
        </row>
        <row r="785">
          <cell r="A785" t="str">
            <v>A - MATERIALES</v>
          </cell>
        </row>
        <row r="786">
          <cell r="A786" t="str">
            <v>DESCRIPCIÓN</v>
          </cell>
          <cell r="H786" t="str">
            <v>UNIDAD</v>
          </cell>
          <cell r="I786" t="str">
            <v>TARIFA</v>
          </cell>
          <cell r="K786" t="str">
            <v>CANTIDAD</v>
          </cell>
          <cell r="M786" t="str">
            <v>SUB - TOTAL</v>
          </cell>
        </row>
        <row r="787">
          <cell r="A787" t="str">
            <v>Suministro e instalación de tapa y aro de seguridad para pozos de inspección ASTM-536 con resistencia D400</v>
          </cell>
          <cell r="H787" t="str">
            <v>Unidad</v>
          </cell>
          <cell r="I787">
            <v>791900</v>
          </cell>
          <cell r="K787">
            <v>1</v>
          </cell>
          <cell r="M787">
            <v>791900</v>
          </cell>
        </row>
        <row r="788">
          <cell r="H788" t="str">
            <v/>
          </cell>
          <cell r="I788" t="str">
            <v/>
          </cell>
          <cell r="M788" t="str">
            <v/>
          </cell>
        </row>
        <row r="789">
          <cell r="H789" t="str">
            <v/>
          </cell>
          <cell r="I789" t="str">
            <v/>
          </cell>
          <cell r="M789" t="str">
            <v/>
          </cell>
        </row>
        <row r="790">
          <cell r="H790" t="str">
            <v/>
          </cell>
          <cell r="I790" t="str">
            <v/>
          </cell>
          <cell r="M790" t="str">
            <v/>
          </cell>
        </row>
        <row r="791">
          <cell r="H791" t="str">
            <v/>
          </cell>
          <cell r="I791" t="str">
            <v/>
          </cell>
          <cell r="M791" t="str">
            <v/>
          </cell>
        </row>
        <row r="792">
          <cell r="K792" t="str">
            <v>SUBTOTAL</v>
          </cell>
          <cell r="M792">
            <v>791900</v>
          </cell>
        </row>
        <row r="794">
          <cell r="A794" t="str">
            <v>B - HERRAMIENTA, MAQUINARIA Y EQUIPO</v>
          </cell>
        </row>
        <row r="795">
          <cell r="A795" t="str">
            <v>DESCRIPCIÓN</v>
          </cell>
          <cell r="H795" t="str">
            <v>UNIDAD</v>
          </cell>
          <cell r="I795" t="str">
            <v>TARIFA</v>
          </cell>
          <cell r="K795" t="str">
            <v>CANTIDAD</v>
          </cell>
          <cell r="M795" t="str">
            <v>SUB - TOTAL</v>
          </cell>
        </row>
        <row r="796">
          <cell r="A796" t="str">
            <v>Herramienta Menor</v>
          </cell>
          <cell r="H796" t="str">
            <v>% M.O.</v>
          </cell>
          <cell r="I796">
            <v>40824.348906250001</v>
          </cell>
          <cell r="K796">
            <v>0.05</v>
          </cell>
          <cell r="M796">
            <v>2041.2174453125001</v>
          </cell>
        </row>
        <row r="797">
          <cell r="H797" t="str">
            <v/>
          </cell>
          <cell r="I797" t="str">
            <v/>
          </cell>
          <cell r="M797" t="str">
            <v/>
          </cell>
        </row>
        <row r="798">
          <cell r="H798" t="str">
            <v/>
          </cell>
          <cell r="I798" t="str">
            <v/>
          </cell>
          <cell r="M798" t="str">
            <v/>
          </cell>
        </row>
        <row r="799">
          <cell r="H799" t="str">
            <v/>
          </cell>
          <cell r="I799" t="str">
            <v/>
          </cell>
          <cell r="M799" t="str">
            <v/>
          </cell>
        </row>
        <row r="800">
          <cell r="H800" t="str">
            <v/>
          </cell>
          <cell r="I800" t="str">
            <v/>
          </cell>
          <cell r="M800" t="str">
            <v/>
          </cell>
        </row>
        <row r="801">
          <cell r="K801" t="str">
            <v>SUBTOTAL</v>
          </cell>
          <cell r="M801">
            <v>2041.2174453125001</v>
          </cell>
        </row>
        <row r="803">
          <cell r="A803" t="str">
            <v>C - TRANSPORTE</v>
          </cell>
        </row>
        <row r="804">
          <cell r="A804" t="str">
            <v>DESCRIPCIÓN</v>
          </cell>
          <cell r="H804" t="str">
            <v>UNIDAD</v>
          </cell>
          <cell r="I804" t="str">
            <v>TARIFA</v>
          </cell>
          <cell r="K804" t="str">
            <v>CANTIDAD</v>
          </cell>
          <cell r="M804" t="str">
            <v>SUB - TOTAL</v>
          </cell>
        </row>
        <row r="805">
          <cell r="A805" t="str">
            <v>Transporte de materiales</v>
          </cell>
          <cell r="H805" t="str">
            <v>% Mat</v>
          </cell>
          <cell r="I805">
            <v>791900</v>
          </cell>
          <cell r="K805">
            <v>0.1</v>
          </cell>
          <cell r="M805">
            <v>79190</v>
          </cell>
        </row>
        <row r="806">
          <cell r="M806" t="str">
            <v/>
          </cell>
        </row>
        <row r="807">
          <cell r="M807" t="str">
            <v/>
          </cell>
        </row>
        <row r="808">
          <cell r="M808" t="str">
            <v/>
          </cell>
        </row>
        <row r="809">
          <cell r="M809" t="str">
            <v/>
          </cell>
        </row>
        <row r="810">
          <cell r="K810" t="str">
            <v>SUBTOTAL</v>
          </cell>
          <cell r="M810">
            <v>79190</v>
          </cell>
        </row>
        <row r="812">
          <cell r="A812" t="str">
            <v>D - MANO DE OBRA</v>
          </cell>
        </row>
        <row r="813">
          <cell r="A813" t="str">
            <v>DESCRIPCIÓN</v>
          </cell>
          <cell r="H813" t="str">
            <v>UNIDAD</v>
          </cell>
          <cell r="I813" t="str">
            <v>TARIFA</v>
          </cell>
          <cell r="K813" t="str">
            <v>F.M.</v>
          </cell>
          <cell r="L813" t="str">
            <v>REND.</v>
          </cell>
          <cell r="M813" t="str">
            <v>SUB - TOTAL</v>
          </cell>
        </row>
        <row r="814">
          <cell r="A814" t="str">
            <v>Cuadrilla 5: 1 OfcA + 1 AyuA</v>
          </cell>
          <cell r="H814" t="str">
            <v>Cuadrilla</v>
          </cell>
          <cell r="I814">
            <v>166075</v>
          </cell>
          <cell r="K814">
            <v>1.96655</v>
          </cell>
          <cell r="L814">
            <v>0.125</v>
          </cell>
          <cell r="M814">
            <v>40824.348906250001</v>
          </cell>
        </row>
        <row r="815">
          <cell r="H815" t="str">
            <v/>
          </cell>
          <cell r="I815" t="str">
            <v/>
          </cell>
          <cell r="K815" t="str">
            <v/>
          </cell>
          <cell r="M815" t="str">
            <v/>
          </cell>
        </row>
        <row r="816">
          <cell r="H816" t="str">
            <v/>
          </cell>
          <cell r="I816" t="str">
            <v/>
          </cell>
          <cell r="K816" t="str">
            <v/>
          </cell>
          <cell r="M816" t="str">
            <v/>
          </cell>
        </row>
        <row r="817">
          <cell r="H817" t="str">
            <v/>
          </cell>
          <cell r="I817" t="str">
            <v/>
          </cell>
          <cell r="K817" t="str">
            <v/>
          </cell>
          <cell r="M817" t="str">
            <v/>
          </cell>
        </row>
        <row r="818">
          <cell r="H818" t="str">
            <v/>
          </cell>
          <cell r="I818" t="str">
            <v/>
          </cell>
          <cell r="K818" t="str">
            <v/>
          </cell>
          <cell r="M818" t="str">
            <v/>
          </cell>
        </row>
        <row r="819">
          <cell r="K819" t="str">
            <v>SUBTOTAL</v>
          </cell>
          <cell r="M819">
            <v>40824.348906250001</v>
          </cell>
        </row>
        <row r="823">
          <cell r="I823" t="str">
            <v>Elaboración</v>
          </cell>
          <cell r="K823" t="str">
            <v>Deiner Alexander Obregon Palomeque</v>
          </cell>
        </row>
        <row r="824">
          <cell r="I824" t="str">
            <v>Ingeniero Civil</v>
          </cell>
          <cell r="K824" t="str">
            <v>MP: 011037-0653228 ANT</v>
          </cell>
        </row>
        <row r="825">
          <cell r="A825" t="str">
            <v>SUMINISTRO E INSTALACIÓN PASOS PARA ESCALERA DE GATO EN VARILLA PRD-60 DE 3/4" ANTIDESLIZANTE CON ANCLAJE DENTADO, REFUERZO, Y TRANCA PIE. L=0,30 M AN= 0,30</v>
          </cell>
          <cell r="M825">
            <v>45933</v>
          </cell>
        </row>
        <row r="828">
          <cell r="A828" t="str">
            <v>G019</v>
          </cell>
          <cell r="B828" t="str">
            <v>SUMINISTRO E INSTALACIÓN PASOS PARA ESCALERA DE GATO EN VARILLA PRD-60 DE 3/4" ANTIDESLIZANTE CON ANCLAJE DENTADO, REFUERZO, Y TRANCA PIE. L=0,30 M AN= 0,30</v>
          </cell>
          <cell r="C828" t="str">
            <v>UNIDAD:</v>
          </cell>
          <cell r="D828" t="str">
            <v>UND</v>
          </cell>
          <cell r="E828" t="str">
            <v>TOTAL</v>
          </cell>
          <cell r="F828">
            <v>111456.04580875002</v>
          </cell>
          <cell r="G828" t="str">
            <v>EQUIPO</v>
          </cell>
          <cell r="H828">
            <v>3530.0542958333335</v>
          </cell>
          <cell r="I828" t="str">
            <v>MATERIAL</v>
          </cell>
          <cell r="J828">
            <v>78000</v>
          </cell>
          <cell r="K828" t="str">
            <v>TRANSP.</v>
          </cell>
          <cell r="L828">
            <v>8153.0054295833334</v>
          </cell>
          <cell r="M828" t="str">
            <v>M.O.</v>
          </cell>
          <cell r="N828">
            <v>21772.986083333333</v>
          </cell>
        </row>
        <row r="830">
          <cell r="A830" t="str">
            <v>A - MATERIALES</v>
          </cell>
        </row>
        <row r="831">
          <cell r="A831" t="str">
            <v>DESCRIPCIÓN</v>
          </cell>
          <cell r="H831" t="str">
            <v>UNIDAD</v>
          </cell>
          <cell r="I831" t="str">
            <v>TARIFA</v>
          </cell>
          <cell r="K831" t="str">
            <v>CANTIDAD</v>
          </cell>
          <cell r="M831" t="str">
            <v>SUB - TOTAL</v>
          </cell>
        </row>
        <row r="832">
          <cell r="A832" t="str">
            <v>Paso para escalera de gato en varilla PRD-60 de 3/4" recubierta con material de polipropileno de alto impacto antideslizante con anclaje dentado, refuerzo, y tranca pie. Longitud 0,30 m para soporte de pie y dos ancles de 0,30 m</v>
          </cell>
          <cell r="H832" t="str">
            <v>Unidad</v>
          </cell>
          <cell r="I832">
            <v>78000</v>
          </cell>
          <cell r="K832">
            <v>1</v>
          </cell>
          <cell r="M832">
            <v>78000</v>
          </cell>
        </row>
        <row r="833">
          <cell r="H833" t="str">
            <v/>
          </cell>
          <cell r="I833" t="str">
            <v/>
          </cell>
          <cell r="M833" t="str">
            <v/>
          </cell>
        </row>
        <row r="834">
          <cell r="H834" t="str">
            <v/>
          </cell>
          <cell r="I834" t="str">
            <v/>
          </cell>
          <cell r="M834" t="str">
            <v/>
          </cell>
        </row>
        <row r="835">
          <cell r="H835" t="str">
            <v/>
          </cell>
          <cell r="I835" t="str">
            <v/>
          </cell>
          <cell r="M835" t="str">
            <v/>
          </cell>
        </row>
        <row r="836">
          <cell r="H836" t="str">
            <v/>
          </cell>
          <cell r="I836" t="str">
            <v/>
          </cell>
          <cell r="M836" t="str">
            <v/>
          </cell>
        </row>
        <row r="837">
          <cell r="H837" t="str">
            <v/>
          </cell>
          <cell r="I837" t="str">
            <v/>
          </cell>
          <cell r="M837" t="str">
            <v/>
          </cell>
        </row>
        <row r="838">
          <cell r="K838" t="str">
            <v>SUBTOTAL</v>
          </cell>
          <cell r="M838">
            <v>78000</v>
          </cell>
        </row>
        <row r="840">
          <cell r="A840" t="str">
            <v>B - HERRAMIENTA, MAQUINARIA Y EQUIPO</v>
          </cell>
        </row>
        <row r="841">
          <cell r="A841" t="str">
            <v>DESCRIPCIÓN</v>
          </cell>
          <cell r="H841" t="str">
            <v>UNIDAD</v>
          </cell>
          <cell r="I841" t="str">
            <v>TARIFA</v>
          </cell>
          <cell r="K841" t="str">
            <v>CANTIDAD</v>
          </cell>
          <cell r="M841" t="str">
            <v>SUB - TOTAL</v>
          </cell>
        </row>
        <row r="842">
          <cell r="A842" t="str">
            <v>Herramienta Menor</v>
          </cell>
          <cell r="H842" t="str">
            <v>% M.O.</v>
          </cell>
          <cell r="I842">
            <v>21772.986083333333</v>
          </cell>
          <cell r="K842">
            <v>0.05</v>
          </cell>
          <cell r="M842">
            <v>1088.6493041666668</v>
          </cell>
        </row>
        <row r="843">
          <cell r="A843" t="str">
            <v>Taladro rotopercutor hasta 1 1/4"</v>
          </cell>
          <cell r="H843" t="str">
            <v>Día</v>
          </cell>
          <cell r="I843">
            <v>64442.07</v>
          </cell>
          <cell r="K843">
            <v>3.3333333333333333E-2</v>
          </cell>
          <cell r="M843">
            <v>2148.069</v>
          </cell>
        </row>
        <row r="844">
          <cell r="A844" t="str">
            <v>Compresor redondo</v>
          </cell>
          <cell r="H844" t="str">
            <v>Hora</v>
          </cell>
          <cell r="I844">
            <v>8800.0797500000008</v>
          </cell>
          <cell r="K844">
            <v>3.3333333333333333E-2</v>
          </cell>
          <cell r="M844">
            <v>293.3359916666667</v>
          </cell>
        </row>
        <row r="845">
          <cell r="H845" t="str">
            <v/>
          </cell>
          <cell r="I845" t="str">
            <v/>
          </cell>
          <cell r="M845" t="str">
            <v/>
          </cell>
        </row>
        <row r="846">
          <cell r="H846" t="str">
            <v/>
          </cell>
          <cell r="I846" t="str">
            <v/>
          </cell>
          <cell r="M846" t="str">
            <v/>
          </cell>
        </row>
        <row r="847">
          <cell r="K847" t="str">
            <v>SUBTOTAL</v>
          </cell>
          <cell r="M847">
            <v>3530.0542958333335</v>
          </cell>
        </row>
        <row r="849">
          <cell r="A849" t="str">
            <v>C - TRANSPORTE</v>
          </cell>
        </row>
        <row r="850">
          <cell r="A850" t="str">
            <v>DESCRIPCIÓN</v>
          </cell>
          <cell r="H850" t="str">
            <v>UNIDAD</v>
          </cell>
          <cell r="I850" t="str">
            <v>TARIFA</v>
          </cell>
          <cell r="K850" t="str">
            <v>CANTIDAD</v>
          </cell>
          <cell r="M850" t="str">
            <v>SUB - TOTAL</v>
          </cell>
        </row>
        <row r="851">
          <cell r="A851" t="str">
            <v>Transporte de materiales</v>
          </cell>
          <cell r="H851" t="str">
            <v>% Mat</v>
          </cell>
          <cell r="I851">
            <v>78000</v>
          </cell>
          <cell r="K851">
            <v>0.1</v>
          </cell>
          <cell r="M851">
            <v>7800</v>
          </cell>
        </row>
        <row r="852">
          <cell r="A852" t="str">
            <v>Transporte de herramientas y equipos</v>
          </cell>
          <cell r="H852" t="str">
            <v>%</v>
          </cell>
          <cell r="I852">
            <v>3530.0542958333335</v>
          </cell>
          <cell r="K852">
            <v>0.1</v>
          </cell>
          <cell r="M852">
            <v>353.00542958333335</v>
          </cell>
        </row>
        <row r="853">
          <cell r="M853" t="str">
            <v/>
          </cell>
        </row>
        <row r="854">
          <cell r="M854" t="str">
            <v/>
          </cell>
        </row>
        <row r="855">
          <cell r="M855" t="str">
            <v/>
          </cell>
        </row>
        <row r="856">
          <cell r="K856" t="str">
            <v>SUBTOTAL</v>
          </cell>
          <cell r="M856">
            <v>8153.0054295833334</v>
          </cell>
        </row>
        <row r="858">
          <cell r="A858" t="str">
            <v>D - MANO DE OBRA</v>
          </cell>
        </row>
        <row r="859">
          <cell r="A859" t="str">
            <v>DESCRIPCIÓN</v>
          </cell>
          <cell r="H859" t="str">
            <v>UNIDAD</v>
          </cell>
          <cell r="I859" t="str">
            <v>TARIFA</v>
          </cell>
          <cell r="K859" t="str">
            <v>F.M.</v>
          </cell>
          <cell r="L859" t="str">
            <v>REND.</v>
          </cell>
          <cell r="M859" t="str">
            <v>SUB - TOTAL</v>
          </cell>
        </row>
        <row r="860">
          <cell r="A860" t="str">
            <v>Cuadrilla 5: 1 OfcA + 1 AyuA</v>
          </cell>
          <cell r="H860" t="str">
            <v>Cuadrilla</v>
          </cell>
          <cell r="I860">
            <v>166075</v>
          </cell>
          <cell r="K860">
            <v>1.96655</v>
          </cell>
          <cell r="L860">
            <v>6.6666666666666666E-2</v>
          </cell>
          <cell r="M860">
            <v>21772.986083333333</v>
          </cell>
        </row>
        <row r="861">
          <cell r="H861" t="str">
            <v/>
          </cell>
          <cell r="I861" t="str">
            <v/>
          </cell>
          <cell r="K861" t="str">
            <v/>
          </cell>
          <cell r="M861" t="str">
            <v/>
          </cell>
        </row>
        <row r="862">
          <cell r="H862" t="str">
            <v/>
          </cell>
          <cell r="I862" t="str">
            <v/>
          </cell>
          <cell r="K862" t="str">
            <v/>
          </cell>
          <cell r="M862" t="str">
            <v/>
          </cell>
        </row>
        <row r="863">
          <cell r="H863" t="str">
            <v/>
          </cell>
          <cell r="I863" t="str">
            <v/>
          </cell>
          <cell r="K863" t="str">
            <v/>
          </cell>
          <cell r="M863" t="str">
            <v/>
          </cell>
        </row>
        <row r="864">
          <cell r="H864" t="str">
            <v/>
          </cell>
          <cell r="I864" t="str">
            <v/>
          </cell>
          <cell r="K864" t="str">
            <v/>
          </cell>
          <cell r="M864" t="str">
            <v/>
          </cell>
        </row>
        <row r="865">
          <cell r="K865" t="str">
            <v>SUBTOTAL</v>
          </cell>
          <cell r="M865">
            <v>21772.986083333333</v>
          </cell>
        </row>
        <row r="869">
          <cell r="I869" t="str">
            <v>Elaboración</v>
          </cell>
          <cell r="K869" t="str">
            <v>Deiner Alexander Obregon Palomeque</v>
          </cell>
        </row>
        <row r="870">
          <cell r="I870" t="str">
            <v>Ingeniero Civil</v>
          </cell>
          <cell r="K870" t="str">
            <v>MP: 011037-0653228 ANT</v>
          </cell>
        </row>
        <row r="871">
          <cell r="A871" t="str">
            <v>SUMINISTRO DE TUBERÍA PVC DE Ø8" ALCANTARILLADO</v>
          </cell>
          <cell r="M871">
            <v>45933</v>
          </cell>
        </row>
        <row r="874">
          <cell r="A874" t="str">
            <v>G020</v>
          </cell>
          <cell r="B874" t="str">
            <v>SUMINISTRO DE TUBERÍA PVC DE Ø8" ALCANTARILLADO</v>
          </cell>
          <cell r="C874" t="str">
            <v>UNIDAD:</v>
          </cell>
          <cell r="D874" t="str">
            <v>ML</v>
          </cell>
          <cell r="E874" t="str">
            <v>TOTAL</v>
          </cell>
          <cell r="F874">
            <v>82658.95</v>
          </cell>
          <cell r="G874" t="str">
            <v>EQUIPO</v>
          </cell>
          <cell r="H874">
            <v>75144.5</v>
          </cell>
          <cell r="I874" t="str">
            <v>MATERIAL</v>
          </cell>
          <cell r="J874">
            <v>0</v>
          </cell>
          <cell r="K874" t="str">
            <v>TRANSP.</v>
          </cell>
          <cell r="L874">
            <v>7514.4500000000007</v>
          </cell>
          <cell r="M874" t="str">
            <v>M.O.</v>
          </cell>
          <cell r="N874">
            <v>0</v>
          </cell>
        </row>
        <row r="876">
          <cell r="A876" t="str">
            <v>A - MATERIALES</v>
          </cell>
        </row>
        <row r="877">
          <cell r="A877" t="str">
            <v>DESCRIPCIÓN</v>
          </cell>
          <cell r="H877" t="str">
            <v>UNIDAD</v>
          </cell>
          <cell r="I877" t="str">
            <v>TARIFA</v>
          </cell>
          <cell r="K877" t="str">
            <v>CANTIDAD</v>
          </cell>
          <cell r="M877" t="str">
            <v>SUB - TOTAL</v>
          </cell>
        </row>
        <row r="878">
          <cell r="A878" t="str">
            <v>Tubería PVC Ø8" RDE 26 NOVAFORT</v>
          </cell>
          <cell r="H878" t="str">
            <v>ml</v>
          </cell>
          <cell r="I878">
            <v>75144.5</v>
          </cell>
          <cell r="K878">
            <v>1</v>
          </cell>
          <cell r="M878">
            <v>75144.5</v>
          </cell>
        </row>
        <row r="879">
          <cell r="H879" t="str">
            <v/>
          </cell>
          <cell r="I879" t="str">
            <v/>
          </cell>
          <cell r="M879" t="str">
            <v/>
          </cell>
        </row>
        <row r="880">
          <cell r="H880" t="str">
            <v/>
          </cell>
          <cell r="I880" t="str">
            <v/>
          </cell>
          <cell r="M880" t="str">
            <v/>
          </cell>
        </row>
        <row r="881">
          <cell r="H881" t="str">
            <v/>
          </cell>
          <cell r="I881" t="str">
            <v/>
          </cell>
          <cell r="M881" t="str">
            <v/>
          </cell>
        </row>
        <row r="882">
          <cell r="H882" t="str">
            <v/>
          </cell>
          <cell r="I882" t="str">
            <v/>
          </cell>
          <cell r="M882" t="str">
            <v/>
          </cell>
        </row>
        <row r="883">
          <cell r="H883" t="str">
            <v/>
          </cell>
          <cell r="I883" t="str">
            <v/>
          </cell>
          <cell r="M883" t="str">
            <v/>
          </cell>
        </row>
        <row r="884">
          <cell r="K884" t="str">
            <v>SUBTOTAL</v>
          </cell>
          <cell r="M884">
            <v>75144.5</v>
          </cell>
        </row>
        <row r="886">
          <cell r="A886" t="str">
            <v>B - HERRAMIENTA, MAQUINARIA Y EQUIPO</v>
          </cell>
        </row>
        <row r="887">
          <cell r="A887" t="str">
            <v>DESCRIPCIÓN</v>
          </cell>
          <cell r="H887" t="str">
            <v>UNIDAD</v>
          </cell>
          <cell r="I887" t="str">
            <v>TARIFA</v>
          </cell>
          <cell r="K887" t="str">
            <v>CANTIDAD</v>
          </cell>
          <cell r="M887" t="str">
            <v>SUB - TOTAL</v>
          </cell>
        </row>
        <row r="888">
          <cell r="H888" t="str">
            <v/>
          </cell>
          <cell r="M888" t="str">
            <v/>
          </cell>
        </row>
        <row r="889">
          <cell r="H889" t="str">
            <v/>
          </cell>
          <cell r="I889" t="str">
            <v/>
          </cell>
          <cell r="M889" t="str">
            <v/>
          </cell>
        </row>
        <row r="890">
          <cell r="H890" t="str">
            <v/>
          </cell>
          <cell r="I890" t="str">
            <v/>
          </cell>
          <cell r="M890" t="str">
            <v/>
          </cell>
        </row>
        <row r="891">
          <cell r="H891" t="str">
            <v/>
          </cell>
          <cell r="I891" t="str">
            <v/>
          </cell>
          <cell r="M891" t="str">
            <v/>
          </cell>
        </row>
        <row r="892">
          <cell r="H892" t="str">
            <v/>
          </cell>
          <cell r="I892" t="str">
            <v/>
          </cell>
          <cell r="M892" t="str">
            <v/>
          </cell>
        </row>
        <row r="893">
          <cell r="K893" t="str">
            <v>SUBTOTAL</v>
          </cell>
          <cell r="M893">
            <v>0</v>
          </cell>
        </row>
        <row r="895">
          <cell r="A895" t="str">
            <v>C - TRANSPORTE</v>
          </cell>
        </row>
        <row r="896">
          <cell r="A896" t="str">
            <v>DESCRIPCIÓN</v>
          </cell>
          <cell r="H896" t="str">
            <v>UNIDAD</v>
          </cell>
          <cell r="I896" t="str">
            <v>TARIFA</v>
          </cell>
          <cell r="K896" t="str">
            <v>CANTIDAD</v>
          </cell>
          <cell r="M896" t="str">
            <v>SUB - TOTAL</v>
          </cell>
        </row>
        <row r="897">
          <cell r="A897" t="str">
            <v>Transporte de materiales</v>
          </cell>
          <cell r="H897" t="str">
            <v>% Mat</v>
          </cell>
          <cell r="I897">
            <v>75144.5</v>
          </cell>
          <cell r="K897">
            <v>0.1</v>
          </cell>
          <cell r="M897">
            <v>7514.4500000000007</v>
          </cell>
        </row>
        <row r="898">
          <cell r="M898" t="str">
            <v/>
          </cell>
        </row>
        <row r="899">
          <cell r="M899" t="str">
            <v/>
          </cell>
        </row>
        <row r="900">
          <cell r="M900" t="str">
            <v/>
          </cell>
        </row>
        <row r="901">
          <cell r="M901" t="str">
            <v/>
          </cell>
        </row>
        <row r="902">
          <cell r="K902" t="str">
            <v>SUBTOTAL</v>
          </cell>
          <cell r="M902">
            <v>7514.4500000000007</v>
          </cell>
        </row>
        <row r="904">
          <cell r="A904" t="str">
            <v>D - MANO DE OBRA</v>
          </cell>
        </row>
        <row r="905">
          <cell r="A905" t="str">
            <v>DESCRIPCIÓN</v>
          </cell>
          <cell r="H905" t="str">
            <v>UNIDAD</v>
          </cell>
          <cell r="I905" t="str">
            <v>TARIFA</v>
          </cell>
          <cell r="K905" t="str">
            <v>F.M.</v>
          </cell>
          <cell r="L905" t="str">
            <v>REND.</v>
          </cell>
          <cell r="M905" t="str">
            <v>SUB - TOTAL</v>
          </cell>
        </row>
        <row r="906">
          <cell r="H906" t="str">
            <v/>
          </cell>
          <cell r="I906" t="str">
            <v/>
          </cell>
          <cell r="K906" t="str">
            <v/>
          </cell>
          <cell r="M906" t="str">
            <v/>
          </cell>
        </row>
        <row r="907">
          <cell r="H907" t="str">
            <v/>
          </cell>
          <cell r="I907" t="str">
            <v/>
          </cell>
          <cell r="K907" t="str">
            <v/>
          </cell>
          <cell r="M907" t="str">
            <v/>
          </cell>
        </row>
        <row r="908">
          <cell r="H908" t="str">
            <v/>
          </cell>
          <cell r="I908" t="str">
            <v/>
          </cell>
          <cell r="K908" t="str">
            <v/>
          </cell>
          <cell r="M908" t="str">
            <v/>
          </cell>
        </row>
        <row r="909">
          <cell r="H909" t="str">
            <v/>
          </cell>
          <cell r="I909" t="str">
            <v/>
          </cell>
          <cell r="K909" t="str">
            <v/>
          </cell>
          <cell r="M909" t="str">
            <v/>
          </cell>
        </row>
        <row r="910">
          <cell r="H910" t="str">
            <v/>
          </cell>
          <cell r="I910" t="str">
            <v/>
          </cell>
          <cell r="K910" t="str">
            <v/>
          </cell>
          <cell r="M910" t="str">
            <v/>
          </cell>
        </row>
        <row r="911">
          <cell r="K911" t="str">
            <v>SUBTOTAL</v>
          </cell>
          <cell r="M911">
            <v>0</v>
          </cell>
        </row>
        <row r="915">
          <cell r="I915" t="str">
            <v>Elaboración</v>
          </cell>
          <cell r="K915" t="str">
            <v>Deiner Alexander Obregon Palomeque</v>
          </cell>
        </row>
        <row r="916">
          <cell r="I916" t="str">
            <v>Ingeniero Civil</v>
          </cell>
          <cell r="K916" t="str">
            <v>MP: 011037-0653228 ANT</v>
          </cell>
        </row>
        <row r="917">
          <cell r="A917" t="str">
            <v>SUMINISTRO DE TUBERÍA PVC DE Ø10" ALCANTARILLADO</v>
          </cell>
          <cell r="M917">
            <v>45933</v>
          </cell>
        </row>
        <row r="920">
          <cell r="A920" t="str">
            <v>G021</v>
          </cell>
          <cell r="B920" t="str">
            <v>SUMINISTRO DE TUBERÍA PVC DE Ø10" ALCANTARILLADO</v>
          </cell>
          <cell r="C920" t="str">
            <v>UNIDAD:</v>
          </cell>
          <cell r="D920" t="str">
            <v>ML</v>
          </cell>
          <cell r="E920" t="str">
            <v>TOTAL</v>
          </cell>
          <cell r="F920">
            <v>120727.2</v>
          </cell>
          <cell r="G920" t="str">
            <v>EQUIPO</v>
          </cell>
          <cell r="H920">
            <v>109752</v>
          </cell>
          <cell r="I920" t="str">
            <v>MATERIAL</v>
          </cell>
          <cell r="J920">
            <v>0</v>
          </cell>
          <cell r="K920" t="str">
            <v>TRANSP.</v>
          </cell>
          <cell r="L920">
            <v>10975.2</v>
          </cell>
          <cell r="M920" t="str">
            <v>M.O.</v>
          </cell>
          <cell r="N920">
            <v>0</v>
          </cell>
        </row>
        <row r="922">
          <cell r="A922" t="str">
            <v>A - MATERIALES</v>
          </cell>
        </row>
        <row r="923">
          <cell r="A923" t="str">
            <v>DESCRIPCIÓN</v>
          </cell>
          <cell r="H923" t="str">
            <v>UNIDAD</v>
          </cell>
          <cell r="I923" t="str">
            <v>TARIFA</v>
          </cell>
          <cell r="K923" t="str">
            <v>CANTIDAD</v>
          </cell>
          <cell r="M923" t="str">
            <v>SUB - TOTAL</v>
          </cell>
        </row>
        <row r="924">
          <cell r="A924" t="str">
            <v>Tubería PVC Ø10" RDE 26 NOVAFORT</v>
          </cell>
          <cell r="H924" t="str">
            <v>ml</v>
          </cell>
          <cell r="I924">
            <v>109752</v>
          </cell>
          <cell r="K924">
            <v>1</v>
          </cell>
          <cell r="M924">
            <v>109752</v>
          </cell>
        </row>
        <row r="925">
          <cell r="H925" t="str">
            <v/>
          </cell>
          <cell r="I925" t="str">
            <v/>
          </cell>
          <cell r="M925" t="str">
            <v/>
          </cell>
        </row>
        <row r="926">
          <cell r="H926" t="str">
            <v/>
          </cell>
          <cell r="I926" t="str">
            <v/>
          </cell>
          <cell r="M926" t="str">
            <v/>
          </cell>
        </row>
        <row r="927">
          <cell r="H927" t="str">
            <v/>
          </cell>
          <cell r="I927" t="str">
            <v/>
          </cell>
          <cell r="M927" t="str">
            <v/>
          </cell>
        </row>
        <row r="928">
          <cell r="H928" t="str">
            <v/>
          </cell>
          <cell r="I928" t="str">
            <v/>
          </cell>
          <cell r="M928" t="str">
            <v/>
          </cell>
        </row>
        <row r="929">
          <cell r="H929" t="str">
            <v/>
          </cell>
          <cell r="I929" t="str">
            <v/>
          </cell>
          <cell r="M929" t="str">
            <v/>
          </cell>
        </row>
        <row r="930">
          <cell r="K930" t="str">
            <v>SUBTOTAL</v>
          </cell>
          <cell r="M930">
            <v>109752</v>
          </cell>
        </row>
        <row r="932">
          <cell r="A932" t="str">
            <v>B - HERRAMIENTA, MAQUINARIA Y EQUIPO</v>
          </cell>
        </row>
        <row r="933">
          <cell r="A933" t="str">
            <v>DESCRIPCIÓN</v>
          </cell>
          <cell r="H933" t="str">
            <v>UNIDAD</v>
          </cell>
          <cell r="I933" t="str">
            <v>TARIFA</v>
          </cell>
          <cell r="K933" t="str">
            <v>CANTIDAD</v>
          </cell>
          <cell r="M933" t="str">
            <v>SUB - TOTAL</v>
          </cell>
        </row>
        <row r="934">
          <cell r="H934" t="str">
            <v/>
          </cell>
          <cell r="M934" t="str">
            <v/>
          </cell>
        </row>
        <row r="935">
          <cell r="H935" t="str">
            <v/>
          </cell>
          <cell r="I935" t="str">
            <v/>
          </cell>
          <cell r="M935" t="str">
            <v/>
          </cell>
        </row>
        <row r="936">
          <cell r="H936" t="str">
            <v/>
          </cell>
          <cell r="I936" t="str">
            <v/>
          </cell>
          <cell r="M936" t="str">
            <v/>
          </cell>
        </row>
        <row r="937">
          <cell r="H937" t="str">
            <v/>
          </cell>
          <cell r="I937" t="str">
            <v/>
          </cell>
          <cell r="M937" t="str">
            <v/>
          </cell>
        </row>
        <row r="938">
          <cell r="H938" t="str">
            <v/>
          </cell>
          <cell r="I938" t="str">
            <v/>
          </cell>
          <cell r="M938" t="str">
            <v/>
          </cell>
        </row>
        <row r="939">
          <cell r="K939" t="str">
            <v>SUBTOTAL</v>
          </cell>
          <cell r="M939">
            <v>0</v>
          </cell>
        </row>
        <row r="941">
          <cell r="A941" t="str">
            <v>C - TRANSPORTE</v>
          </cell>
        </row>
        <row r="942">
          <cell r="A942" t="str">
            <v>DESCRIPCIÓN</v>
          </cell>
          <cell r="H942" t="str">
            <v>UNIDAD</v>
          </cell>
          <cell r="I942" t="str">
            <v>TARIFA</v>
          </cell>
          <cell r="K942" t="str">
            <v>CANTIDAD</v>
          </cell>
          <cell r="M942" t="str">
            <v>SUB - TOTAL</v>
          </cell>
        </row>
        <row r="943">
          <cell r="A943" t="str">
            <v>Transporte de materiales</v>
          </cell>
          <cell r="H943" t="str">
            <v>%</v>
          </cell>
          <cell r="I943">
            <v>109752</v>
          </cell>
          <cell r="K943">
            <v>0.1</v>
          </cell>
          <cell r="M943">
            <v>10975.2</v>
          </cell>
        </row>
        <row r="944">
          <cell r="M944" t="str">
            <v/>
          </cell>
        </row>
        <row r="945">
          <cell r="M945" t="str">
            <v/>
          </cell>
        </row>
        <row r="946">
          <cell r="M946" t="str">
            <v/>
          </cell>
        </row>
        <row r="947">
          <cell r="M947" t="str">
            <v/>
          </cell>
        </row>
        <row r="948">
          <cell r="K948" t="str">
            <v>SUBTOTAL</v>
          </cell>
          <cell r="M948">
            <v>10975.2</v>
          </cell>
        </row>
        <row r="950">
          <cell r="A950" t="str">
            <v>D - MANO DE OBRA</v>
          </cell>
        </row>
        <row r="951">
          <cell r="A951" t="str">
            <v>DESCRIPCIÓN</v>
          </cell>
          <cell r="H951" t="str">
            <v>UNIDAD</v>
          </cell>
          <cell r="I951" t="str">
            <v>TARIFA</v>
          </cell>
          <cell r="K951" t="str">
            <v>F.M.</v>
          </cell>
          <cell r="L951" t="str">
            <v>REND.</v>
          </cell>
          <cell r="M951" t="str">
            <v>SUB - TOTAL</v>
          </cell>
        </row>
        <row r="952">
          <cell r="H952" t="str">
            <v/>
          </cell>
          <cell r="I952" t="str">
            <v/>
          </cell>
          <cell r="K952" t="str">
            <v/>
          </cell>
          <cell r="M952" t="str">
            <v/>
          </cell>
        </row>
        <row r="953">
          <cell r="H953" t="str">
            <v/>
          </cell>
          <cell r="I953" t="str">
            <v/>
          </cell>
          <cell r="K953" t="str">
            <v/>
          </cell>
          <cell r="M953" t="str">
            <v/>
          </cell>
        </row>
        <row r="954">
          <cell r="H954" t="str">
            <v/>
          </cell>
          <cell r="I954" t="str">
            <v/>
          </cell>
          <cell r="K954" t="str">
            <v/>
          </cell>
          <cell r="M954" t="str">
            <v/>
          </cell>
        </row>
        <row r="955">
          <cell r="H955" t="str">
            <v/>
          </cell>
          <cell r="I955" t="str">
            <v/>
          </cell>
          <cell r="K955" t="str">
            <v/>
          </cell>
          <cell r="M955" t="str">
            <v/>
          </cell>
        </row>
        <row r="956">
          <cell r="H956" t="str">
            <v/>
          </cell>
          <cell r="I956" t="str">
            <v/>
          </cell>
          <cell r="K956" t="str">
            <v/>
          </cell>
          <cell r="M956" t="str">
            <v/>
          </cell>
        </row>
        <row r="957">
          <cell r="K957" t="str">
            <v>SUBTOTAL</v>
          </cell>
          <cell r="M957">
            <v>0</v>
          </cell>
        </row>
        <row r="961">
          <cell r="I961" t="str">
            <v>Elaboración</v>
          </cell>
          <cell r="K961" t="str">
            <v>Deiner Alexander Obregon Palomeque</v>
          </cell>
        </row>
        <row r="962">
          <cell r="I962" t="str">
            <v>Ingeniero Civil</v>
          </cell>
          <cell r="K962" t="str">
            <v>MP: 011037-0653228 ANT</v>
          </cell>
        </row>
        <row r="963">
          <cell r="A963" t="str">
            <v>SUMINISTRO DE TUBERÍA PVC DE Ø12" ALCANTARILLADO</v>
          </cell>
          <cell r="M963">
            <v>45933</v>
          </cell>
        </row>
        <row r="966">
          <cell r="A966" t="str">
            <v>G022</v>
          </cell>
          <cell r="B966" t="str">
            <v>SUMINISTRO DE TUBERÍA PVC DE Ø12" ALCANTARILLADO</v>
          </cell>
          <cell r="C966" t="str">
            <v>UNIDAD:</v>
          </cell>
          <cell r="D966" t="str">
            <v>ML</v>
          </cell>
          <cell r="E966" t="str">
            <v>TOTAL</v>
          </cell>
          <cell r="F966">
            <v>173718.96666666667</v>
          </cell>
          <cell r="G966" t="str">
            <v>EQUIPO</v>
          </cell>
          <cell r="H966">
            <v>157926.33333333334</v>
          </cell>
          <cell r="I966" t="str">
            <v>MATERIAL</v>
          </cell>
          <cell r="J966">
            <v>0</v>
          </cell>
          <cell r="K966" t="str">
            <v>TRANSP.</v>
          </cell>
          <cell r="L966">
            <v>15792.633333333335</v>
          </cell>
          <cell r="M966" t="str">
            <v>M.O.</v>
          </cell>
          <cell r="N966">
            <v>0</v>
          </cell>
        </row>
        <row r="968">
          <cell r="A968" t="str">
            <v>A - MATERIALES</v>
          </cell>
        </row>
        <row r="969">
          <cell r="A969" t="str">
            <v>DESCRIPCIÓN</v>
          </cell>
          <cell r="H969" t="str">
            <v>UNIDAD</v>
          </cell>
          <cell r="I969" t="str">
            <v>TARIFA</v>
          </cell>
          <cell r="K969" t="str">
            <v>CANTIDAD</v>
          </cell>
          <cell r="M969" t="str">
            <v>SUB - TOTAL</v>
          </cell>
        </row>
        <row r="970">
          <cell r="A970" t="str">
            <v>Tubería PVC Ø12" RDE 26 NOVAFORT</v>
          </cell>
          <cell r="H970" t="str">
            <v>ml</v>
          </cell>
          <cell r="I970">
            <v>157926.33333333334</v>
          </cell>
          <cell r="K970">
            <v>1</v>
          </cell>
          <cell r="M970">
            <v>157926.33333333334</v>
          </cell>
        </row>
        <row r="971">
          <cell r="H971" t="str">
            <v/>
          </cell>
          <cell r="I971" t="str">
            <v/>
          </cell>
          <cell r="M971" t="str">
            <v/>
          </cell>
        </row>
        <row r="972">
          <cell r="H972" t="str">
            <v/>
          </cell>
          <cell r="I972" t="str">
            <v/>
          </cell>
          <cell r="M972" t="str">
            <v/>
          </cell>
        </row>
        <row r="973">
          <cell r="H973" t="str">
            <v/>
          </cell>
          <cell r="I973" t="str">
            <v/>
          </cell>
          <cell r="M973" t="str">
            <v/>
          </cell>
        </row>
        <row r="974">
          <cell r="H974" t="str">
            <v/>
          </cell>
          <cell r="I974" t="str">
            <v/>
          </cell>
          <cell r="M974" t="str">
            <v/>
          </cell>
        </row>
        <row r="975">
          <cell r="H975" t="str">
            <v/>
          </cell>
          <cell r="I975" t="str">
            <v/>
          </cell>
          <cell r="M975" t="str">
            <v/>
          </cell>
        </row>
        <row r="976">
          <cell r="K976" t="str">
            <v>SUBTOTAL</v>
          </cell>
          <cell r="M976">
            <v>157926.33333333334</v>
          </cell>
        </row>
        <row r="978">
          <cell r="A978" t="str">
            <v>B - HERRAMIENTA, MAQUINARIA Y EQUIPO</v>
          </cell>
        </row>
        <row r="979">
          <cell r="A979" t="str">
            <v>DESCRIPCIÓN</v>
          </cell>
          <cell r="H979" t="str">
            <v>UNIDAD</v>
          </cell>
          <cell r="I979" t="str">
            <v>TARIFA</v>
          </cell>
          <cell r="K979" t="str">
            <v>CANTIDAD</v>
          </cell>
          <cell r="M979" t="str">
            <v>SUB - TOTAL</v>
          </cell>
        </row>
        <row r="980">
          <cell r="H980" t="str">
            <v/>
          </cell>
          <cell r="M980" t="str">
            <v/>
          </cell>
        </row>
        <row r="981">
          <cell r="H981" t="str">
            <v/>
          </cell>
          <cell r="I981" t="str">
            <v/>
          </cell>
          <cell r="M981" t="str">
            <v/>
          </cell>
        </row>
        <row r="982">
          <cell r="H982" t="str">
            <v/>
          </cell>
          <cell r="I982" t="str">
            <v/>
          </cell>
          <cell r="M982" t="str">
            <v/>
          </cell>
        </row>
        <row r="983">
          <cell r="H983" t="str">
            <v/>
          </cell>
          <cell r="I983" t="str">
            <v/>
          </cell>
          <cell r="M983" t="str">
            <v/>
          </cell>
        </row>
        <row r="984">
          <cell r="H984" t="str">
            <v/>
          </cell>
          <cell r="I984" t="str">
            <v/>
          </cell>
          <cell r="M984" t="str">
            <v/>
          </cell>
        </row>
        <row r="985">
          <cell r="K985" t="str">
            <v>SUBTOTAL</v>
          </cell>
          <cell r="M985">
            <v>0</v>
          </cell>
        </row>
        <row r="987">
          <cell r="A987" t="str">
            <v>C - TRANSPORTE</v>
          </cell>
        </row>
        <row r="988">
          <cell r="A988" t="str">
            <v>DESCRIPCIÓN</v>
          </cell>
          <cell r="H988" t="str">
            <v>UNIDAD</v>
          </cell>
          <cell r="I988" t="str">
            <v>TARIFA</v>
          </cell>
          <cell r="K988" t="str">
            <v>CANTIDAD</v>
          </cell>
          <cell r="M988" t="str">
            <v>SUB - TOTAL</v>
          </cell>
        </row>
        <row r="989">
          <cell r="A989" t="str">
            <v>Transporte de materiales</v>
          </cell>
          <cell r="H989" t="str">
            <v>%</v>
          </cell>
          <cell r="I989">
            <v>157926.33333333334</v>
          </cell>
          <cell r="K989">
            <v>0.1</v>
          </cell>
          <cell r="M989">
            <v>15792.633333333335</v>
          </cell>
        </row>
        <row r="990">
          <cell r="M990" t="str">
            <v/>
          </cell>
        </row>
        <row r="991">
          <cell r="M991" t="str">
            <v/>
          </cell>
        </row>
        <row r="992">
          <cell r="M992" t="str">
            <v/>
          </cell>
        </row>
        <row r="993">
          <cell r="M993" t="str">
            <v/>
          </cell>
        </row>
        <row r="994">
          <cell r="K994" t="str">
            <v>SUBTOTAL</v>
          </cell>
          <cell r="M994">
            <v>15792.633333333335</v>
          </cell>
        </row>
        <row r="996">
          <cell r="A996" t="str">
            <v>D - MANO DE OBRA</v>
          </cell>
        </row>
        <row r="997">
          <cell r="A997" t="str">
            <v>DESCRIPCIÓN</v>
          </cell>
          <cell r="H997" t="str">
            <v>UNIDAD</v>
          </cell>
          <cell r="I997" t="str">
            <v>TARIFA</v>
          </cell>
          <cell r="K997" t="str">
            <v>F.M.</v>
          </cell>
          <cell r="L997" t="str">
            <v>REND.</v>
          </cell>
          <cell r="M997" t="str">
            <v>SUB - TOTAL</v>
          </cell>
        </row>
        <row r="998">
          <cell r="H998" t="str">
            <v/>
          </cell>
          <cell r="I998" t="str">
            <v/>
          </cell>
          <cell r="K998" t="str">
            <v/>
          </cell>
          <cell r="M998" t="str">
            <v/>
          </cell>
        </row>
        <row r="999">
          <cell r="H999" t="str">
            <v/>
          </cell>
          <cell r="I999" t="str">
            <v/>
          </cell>
          <cell r="K999" t="str">
            <v/>
          </cell>
          <cell r="M999" t="str">
            <v/>
          </cell>
        </row>
        <row r="1000">
          <cell r="H1000" t="str">
            <v/>
          </cell>
          <cell r="I1000" t="str">
            <v/>
          </cell>
          <cell r="K1000" t="str">
            <v/>
          </cell>
          <cell r="M1000" t="str">
            <v/>
          </cell>
        </row>
        <row r="1001">
          <cell r="H1001" t="str">
            <v/>
          </cell>
          <cell r="I1001" t="str">
            <v/>
          </cell>
          <cell r="K1001" t="str">
            <v/>
          </cell>
          <cell r="M1001" t="str">
            <v/>
          </cell>
        </row>
        <row r="1002">
          <cell r="H1002" t="str">
            <v/>
          </cell>
          <cell r="I1002" t="str">
            <v/>
          </cell>
          <cell r="K1002" t="str">
            <v/>
          </cell>
          <cell r="M1002" t="str">
            <v/>
          </cell>
        </row>
        <row r="1003">
          <cell r="K1003" t="str">
            <v>SUBTOTAL</v>
          </cell>
          <cell r="M1003">
            <v>0</v>
          </cell>
        </row>
        <row r="1007">
          <cell r="I1007" t="str">
            <v>Elaboración</v>
          </cell>
          <cell r="K1007" t="str">
            <v>Deiner Alexander Obregon Palomeque</v>
          </cell>
        </row>
        <row r="1008">
          <cell r="I1008" t="str">
            <v>Ingeniero Civil</v>
          </cell>
          <cell r="K1008" t="str">
            <v>MP: 011037-0653228 ANT</v>
          </cell>
        </row>
        <row r="1009">
          <cell r="A1009" t="str">
            <v>INSTALACIÓN DE TUBERÍA PVC DE Ø8"</v>
          </cell>
          <cell r="M1009">
            <v>45933</v>
          </cell>
        </row>
        <row r="1012">
          <cell r="A1012" t="str">
            <v>G023</v>
          </cell>
          <cell r="B1012" t="str">
            <v>INSTALACIÓN DE TUBERÍA PVC DE Ø8"</v>
          </cell>
          <cell r="C1012" t="str">
            <v>UNIDAD:</v>
          </cell>
          <cell r="D1012" t="str">
            <v>ML</v>
          </cell>
          <cell r="E1012" t="str">
            <v>TOTAL</v>
          </cell>
          <cell r="F1012">
            <v>29410.755737500003</v>
          </cell>
          <cell r="G1012" t="str">
            <v>EQUIPO</v>
          </cell>
          <cell r="H1012">
            <v>17829.920000000002</v>
          </cell>
          <cell r="I1012" t="str">
            <v>MATERIAL</v>
          </cell>
          <cell r="J1012">
            <v>466.5639875</v>
          </cell>
          <cell r="K1012" t="str">
            <v>TRANSP.</v>
          </cell>
          <cell r="L1012">
            <v>1782.9920000000002</v>
          </cell>
          <cell r="M1012" t="str">
            <v>M.O.</v>
          </cell>
          <cell r="N1012">
            <v>9331.2797499999997</v>
          </cell>
        </row>
        <row r="1014">
          <cell r="A1014" t="str">
            <v>A - MATERIALES</v>
          </cell>
        </row>
        <row r="1015">
          <cell r="A1015" t="str">
            <v>DESCRIPCIÓN</v>
          </cell>
          <cell r="H1015" t="str">
            <v>UNIDAD</v>
          </cell>
          <cell r="I1015" t="str">
            <v>TARIFA</v>
          </cell>
          <cell r="K1015" t="str">
            <v>CANTIDAD</v>
          </cell>
          <cell r="M1015" t="str">
            <v>SUB - TOTAL</v>
          </cell>
        </row>
        <row r="1016">
          <cell r="A1016" t="str">
            <v>Limpiador PVC 1/4 Galon</v>
          </cell>
          <cell r="H1016" t="str">
            <v>Galón</v>
          </cell>
          <cell r="I1016">
            <v>72505</v>
          </cell>
          <cell r="K1016">
            <v>0.08</v>
          </cell>
          <cell r="M1016">
            <v>5800.4000000000005</v>
          </cell>
        </row>
        <row r="1017">
          <cell r="A1017" t="str">
            <v>Soldadura para PVC 1/4 Galon</v>
          </cell>
          <cell r="H1017" t="str">
            <v>Galón</v>
          </cell>
          <cell r="I1017">
            <v>150369</v>
          </cell>
          <cell r="K1017">
            <v>0.08</v>
          </cell>
          <cell r="M1017">
            <v>12029.52</v>
          </cell>
        </row>
        <row r="1018">
          <cell r="H1018" t="str">
            <v/>
          </cell>
          <cell r="I1018" t="str">
            <v/>
          </cell>
          <cell r="M1018" t="str">
            <v/>
          </cell>
        </row>
        <row r="1019">
          <cell r="H1019" t="str">
            <v/>
          </cell>
          <cell r="I1019" t="str">
            <v/>
          </cell>
          <cell r="M1019" t="str">
            <v/>
          </cell>
        </row>
        <row r="1020">
          <cell r="H1020" t="str">
            <v/>
          </cell>
          <cell r="I1020" t="str">
            <v/>
          </cell>
          <cell r="M1020" t="str">
            <v/>
          </cell>
        </row>
        <row r="1021">
          <cell r="H1021" t="str">
            <v/>
          </cell>
          <cell r="I1021" t="str">
            <v/>
          </cell>
          <cell r="M1021" t="str">
            <v/>
          </cell>
        </row>
        <row r="1022">
          <cell r="K1022" t="str">
            <v>SUBTOTAL</v>
          </cell>
          <cell r="M1022">
            <v>17829.920000000002</v>
          </cell>
        </row>
        <row r="1024">
          <cell r="A1024" t="str">
            <v>B - HERRAMIENTA, MAQUINARIA Y EQUIPO</v>
          </cell>
        </row>
        <row r="1025">
          <cell r="A1025" t="str">
            <v>DESCRIPCIÓN</v>
          </cell>
          <cell r="H1025" t="str">
            <v>UNIDAD</v>
          </cell>
          <cell r="I1025" t="str">
            <v>TARIFA</v>
          </cell>
          <cell r="K1025" t="str">
            <v>CANTIDAD</v>
          </cell>
          <cell r="M1025" t="str">
            <v>SUB - TOTAL</v>
          </cell>
        </row>
        <row r="1026">
          <cell r="A1026" t="str">
            <v>Herramienta Menor</v>
          </cell>
          <cell r="H1026" t="str">
            <v>% M.O.</v>
          </cell>
          <cell r="I1026">
            <v>9331.2797499999997</v>
          </cell>
          <cell r="K1026">
            <v>0.05</v>
          </cell>
          <cell r="M1026">
            <v>466.5639875</v>
          </cell>
        </row>
        <row r="1027">
          <cell r="H1027" t="str">
            <v/>
          </cell>
          <cell r="I1027" t="str">
            <v/>
          </cell>
          <cell r="M1027" t="str">
            <v/>
          </cell>
        </row>
        <row r="1028">
          <cell r="H1028" t="str">
            <v/>
          </cell>
          <cell r="I1028" t="str">
            <v/>
          </cell>
          <cell r="M1028" t="str">
            <v/>
          </cell>
        </row>
        <row r="1029">
          <cell r="H1029" t="str">
            <v/>
          </cell>
          <cell r="I1029" t="str">
            <v/>
          </cell>
          <cell r="M1029" t="str">
            <v/>
          </cell>
        </row>
        <row r="1030">
          <cell r="H1030" t="str">
            <v/>
          </cell>
          <cell r="I1030" t="str">
            <v/>
          </cell>
          <cell r="M1030" t="str">
            <v/>
          </cell>
        </row>
        <row r="1031">
          <cell r="K1031" t="str">
            <v>SUBTOTAL</v>
          </cell>
          <cell r="M1031">
            <v>466.5639875</v>
          </cell>
        </row>
        <row r="1033">
          <cell r="A1033" t="str">
            <v>C - TRANSPORTE</v>
          </cell>
        </row>
        <row r="1034">
          <cell r="A1034" t="str">
            <v>DESCRIPCIÓN</v>
          </cell>
          <cell r="H1034" t="str">
            <v>UNIDAD</v>
          </cell>
          <cell r="I1034" t="str">
            <v>TARIFA</v>
          </cell>
          <cell r="K1034" t="str">
            <v>CANTIDAD</v>
          </cell>
          <cell r="M1034" t="str">
            <v>SUB - TOTAL</v>
          </cell>
        </row>
        <row r="1035">
          <cell r="A1035" t="str">
            <v>Transporte de materiales</v>
          </cell>
          <cell r="H1035" t="str">
            <v>%</v>
          </cell>
          <cell r="I1035">
            <v>17829.920000000002</v>
          </cell>
          <cell r="K1035">
            <v>0.1</v>
          </cell>
          <cell r="M1035">
            <v>1782.9920000000002</v>
          </cell>
        </row>
        <row r="1036">
          <cell r="M1036" t="str">
            <v/>
          </cell>
        </row>
        <row r="1037">
          <cell r="M1037" t="str">
            <v/>
          </cell>
        </row>
        <row r="1038">
          <cell r="M1038" t="str">
            <v/>
          </cell>
        </row>
        <row r="1039">
          <cell r="M1039" t="str">
            <v/>
          </cell>
        </row>
        <row r="1040">
          <cell r="K1040" t="str">
            <v>SUBTOTAL</v>
          </cell>
          <cell r="M1040">
            <v>1782.9920000000002</v>
          </cell>
        </row>
        <row r="1042">
          <cell r="A1042" t="str">
            <v>D - MANO DE OBRA</v>
          </cell>
        </row>
        <row r="1043">
          <cell r="A1043" t="str">
            <v>DESCRIPCIÓN</v>
          </cell>
          <cell r="H1043" t="str">
            <v>UNIDAD</v>
          </cell>
          <cell r="I1043" t="str">
            <v>TARIFA</v>
          </cell>
          <cell r="K1043" t="str">
            <v>F.M.</v>
          </cell>
          <cell r="L1043" t="str">
            <v>REND.</v>
          </cell>
          <cell r="M1043" t="str">
            <v>SUB - TOTAL</v>
          </cell>
        </row>
        <row r="1044">
          <cell r="A1044" t="str">
            <v xml:space="preserve">Cuadrilla 2: 2 Ayudantes A </v>
          </cell>
          <cell r="H1044" t="str">
            <v>Cuadrilla</v>
          </cell>
          <cell r="I1044">
            <v>142350</v>
          </cell>
          <cell r="K1044">
            <v>1.96655</v>
          </cell>
          <cell r="L1044">
            <v>3.3333333333333333E-2</v>
          </cell>
          <cell r="M1044">
            <v>9331.2797499999997</v>
          </cell>
        </row>
        <row r="1045">
          <cell r="H1045" t="str">
            <v/>
          </cell>
          <cell r="I1045" t="str">
            <v/>
          </cell>
          <cell r="K1045" t="str">
            <v/>
          </cell>
          <cell r="M1045" t="str">
            <v/>
          </cell>
        </row>
        <row r="1046">
          <cell r="H1046" t="str">
            <v/>
          </cell>
          <cell r="I1046" t="str">
            <v/>
          </cell>
          <cell r="K1046" t="str">
            <v/>
          </cell>
          <cell r="M1046" t="str">
            <v/>
          </cell>
        </row>
        <row r="1047">
          <cell r="H1047" t="str">
            <v/>
          </cell>
          <cell r="I1047" t="str">
            <v/>
          </cell>
          <cell r="K1047" t="str">
            <v/>
          </cell>
          <cell r="M1047" t="str">
            <v/>
          </cell>
        </row>
        <row r="1048">
          <cell r="H1048" t="str">
            <v/>
          </cell>
          <cell r="I1048" t="str">
            <v/>
          </cell>
          <cell r="K1048" t="str">
            <v/>
          </cell>
          <cell r="M1048" t="str">
            <v/>
          </cell>
        </row>
        <row r="1049">
          <cell r="K1049" t="str">
            <v>SUBTOTAL</v>
          </cell>
          <cell r="M1049">
            <v>9331.2797499999997</v>
          </cell>
        </row>
        <row r="1053">
          <cell r="I1053" t="str">
            <v>Elaboración</v>
          </cell>
          <cell r="K1053" t="str">
            <v>Deiner Alexander Obregon Palomeque</v>
          </cell>
        </row>
        <row r="1054">
          <cell r="I1054" t="str">
            <v>Ingeniero Civil</v>
          </cell>
          <cell r="K1054" t="str">
            <v>MP: 011037-0653228 ANT</v>
          </cell>
        </row>
        <row r="1055">
          <cell r="A1055" t="str">
            <v>INSTALACIÓN DE TUBERÍA PVC DE Ø10"</v>
          </cell>
          <cell r="M1055">
            <v>45933</v>
          </cell>
        </row>
        <row r="1058">
          <cell r="A1058" t="str">
            <v>G024</v>
          </cell>
          <cell r="B1058" t="str">
            <v>INSTALACIÓN DE TUBERÍA PVC DE Ø10"</v>
          </cell>
          <cell r="C1058" t="str">
            <v>UNIDAD:</v>
          </cell>
          <cell r="D1058" t="str">
            <v>ML</v>
          </cell>
          <cell r="E1058" t="str">
            <v>TOTAL</v>
          </cell>
          <cell r="F1058">
            <v>34313.990000000005</v>
          </cell>
          <cell r="G1058" t="str">
            <v>EQUIPO</v>
          </cell>
          <cell r="H1058">
            <v>22287.4</v>
          </cell>
          <cell r="I1058" t="str">
            <v>MATERIAL</v>
          </cell>
          <cell r="J1058">
            <v>466.5639875</v>
          </cell>
          <cell r="K1058" t="str">
            <v>TRANSP.</v>
          </cell>
          <cell r="L1058">
            <v>2228.7400000000002</v>
          </cell>
          <cell r="M1058" t="str">
            <v>M.O.</v>
          </cell>
          <cell r="N1058">
            <v>9331.2797499999997</v>
          </cell>
        </row>
        <row r="1060">
          <cell r="A1060" t="str">
            <v>A - MATERIALES</v>
          </cell>
        </row>
        <row r="1061">
          <cell r="A1061" t="str">
            <v>DESCRIPCIÓN</v>
          </cell>
          <cell r="H1061" t="str">
            <v>UNIDAD</v>
          </cell>
          <cell r="I1061" t="str">
            <v>TARIFA</v>
          </cell>
          <cell r="K1061" t="str">
            <v>CANTIDAD</v>
          </cell>
          <cell r="M1061" t="str">
            <v>SUB - TOTAL</v>
          </cell>
        </row>
        <row r="1062">
          <cell r="A1062" t="str">
            <v>Limpiador PVC 1/4 Galon</v>
          </cell>
          <cell r="H1062" t="str">
            <v>Galón</v>
          </cell>
          <cell r="I1062">
            <v>72505</v>
          </cell>
          <cell r="K1062">
            <v>0.1</v>
          </cell>
          <cell r="M1062">
            <v>7250.5</v>
          </cell>
        </row>
        <row r="1063">
          <cell r="A1063" t="str">
            <v>Soldadura para PVC 1/4 Galon</v>
          </cell>
          <cell r="H1063" t="str">
            <v>Galón</v>
          </cell>
          <cell r="I1063">
            <v>150369</v>
          </cell>
          <cell r="K1063">
            <v>0.1</v>
          </cell>
          <cell r="M1063">
            <v>15036.900000000001</v>
          </cell>
        </row>
        <row r="1064">
          <cell r="H1064" t="str">
            <v/>
          </cell>
          <cell r="I1064" t="str">
            <v/>
          </cell>
          <cell r="M1064" t="str">
            <v/>
          </cell>
        </row>
        <row r="1065">
          <cell r="H1065" t="str">
            <v/>
          </cell>
          <cell r="I1065" t="str">
            <v/>
          </cell>
          <cell r="M1065" t="str">
            <v/>
          </cell>
        </row>
        <row r="1066">
          <cell r="H1066" t="str">
            <v/>
          </cell>
          <cell r="I1066" t="str">
            <v/>
          </cell>
          <cell r="M1066" t="str">
            <v/>
          </cell>
        </row>
        <row r="1067">
          <cell r="H1067" t="str">
            <v/>
          </cell>
          <cell r="I1067" t="str">
            <v/>
          </cell>
          <cell r="M1067" t="str">
            <v/>
          </cell>
        </row>
        <row r="1068">
          <cell r="K1068" t="str">
            <v>SUBTOTAL</v>
          </cell>
          <cell r="M1068">
            <v>22287.4</v>
          </cell>
        </row>
        <row r="1070">
          <cell r="A1070" t="str">
            <v>B - HERRAMIENTA, MAQUINARIA Y EQUIPO</v>
          </cell>
        </row>
        <row r="1071">
          <cell r="A1071" t="str">
            <v>DESCRIPCIÓN</v>
          </cell>
          <cell r="H1071" t="str">
            <v>UNIDAD</v>
          </cell>
          <cell r="I1071" t="str">
            <v>TARIFA</v>
          </cell>
          <cell r="K1071" t="str">
            <v>CANTIDAD</v>
          </cell>
          <cell r="M1071" t="str">
            <v>SUB - TOTAL</v>
          </cell>
        </row>
        <row r="1072">
          <cell r="A1072" t="str">
            <v>Herramienta Menor</v>
          </cell>
          <cell r="H1072" t="str">
            <v>% M.O.</v>
          </cell>
          <cell r="I1072">
            <v>9331.2797499999997</v>
          </cell>
          <cell r="K1072">
            <v>0.05</v>
          </cell>
          <cell r="M1072">
            <v>466.5639875</v>
          </cell>
        </row>
        <row r="1073">
          <cell r="H1073" t="str">
            <v/>
          </cell>
          <cell r="I1073" t="str">
            <v/>
          </cell>
          <cell r="M1073" t="str">
            <v/>
          </cell>
        </row>
        <row r="1074">
          <cell r="H1074" t="str">
            <v/>
          </cell>
          <cell r="I1074" t="str">
            <v/>
          </cell>
          <cell r="M1074" t="str">
            <v/>
          </cell>
        </row>
        <row r="1075">
          <cell r="H1075" t="str">
            <v/>
          </cell>
          <cell r="I1075" t="str">
            <v/>
          </cell>
          <cell r="M1075" t="str">
            <v/>
          </cell>
        </row>
        <row r="1076">
          <cell r="H1076" t="str">
            <v/>
          </cell>
          <cell r="I1076" t="str">
            <v/>
          </cell>
          <cell r="M1076" t="str">
            <v/>
          </cell>
        </row>
        <row r="1077">
          <cell r="K1077" t="str">
            <v>SUBTOTAL</v>
          </cell>
          <cell r="M1077">
            <v>466.5639875</v>
          </cell>
        </row>
        <row r="1079">
          <cell r="A1079" t="str">
            <v>C - TRANSPORTE</v>
          </cell>
        </row>
        <row r="1080">
          <cell r="A1080" t="str">
            <v>DESCRIPCIÓN</v>
          </cell>
          <cell r="H1080" t="str">
            <v>UNIDAD</v>
          </cell>
          <cell r="I1080" t="str">
            <v>TARIFA</v>
          </cell>
          <cell r="K1080" t="str">
            <v>CANTIDAD</v>
          </cell>
          <cell r="M1080" t="str">
            <v>SUB - TOTAL</v>
          </cell>
        </row>
        <row r="1081">
          <cell r="A1081" t="str">
            <v>Transporte de materiales</v>
          </cell>
          <cell r="H1081" t="str">
            <v>%</v>
          </cell>
          <cell r="I1081">
            <v>22287.4</v>
          </cell>
          <cell r="K1081">
            <v>0.1</v>
          </cell>
          <cell r="M1081">
            <v>2228.7400000000002</v>
          </cell>
        </row>
        <row r="1082">
          <cell r="M1082" t="str">
            <v/>
          </cell>
        </row>
        <row r="1083">
          <cell r="M1083" t="str">
            <v/>
          </cell>
        </row>
        <row r="1084">
          <cell r="M1084" t="str">
            <v/>
          </cell>
        </row>
        <row r="1085">
          <cell r="M1085" t="str">
            <v/>
          </cell>
        </row>
        <row r="1086">
          <cell r="K1086" t="str">
            <v>SUBTOTAL</v>
          </cell>
          <cell r="M1086">
            <v>2228.7400000000002</v>
          </cell>
        </row>
        <row r="1088">
          <cell r="A1088" t="str">
            <v>D - MANO DE OBRA</v>
          </cell>
        </row>
        <row r="1089">
          <cell r="A1089" t="str">
            <v>DESCRIPCIÓN</v>
          </cell>
          <cell r="H1089" t="str">
            <v>UNIDAD</v>
          </cell>
          <cell r="I1089" t="str">
            <v>TARIFA</v>
          </cell>
          <cell r="K1089" t="str">
            <v>F.M.</v>
          </cell>
          <cell r="L1089" t="str">
            <v>REND.</v>
          </cell>
          <cell r="M1089" t="str">
            <v>SUB - TOTAL</v>
          </cell>
        </row>
        <row r="1090">
          <cell r="A1090" t="str">
            <v xml:space="preserve">Cuadrilla 2: 2 Ayudantes A </v>
          </cell>
          <cell r="H1090" t="str">
            <v>Cuadrilla</v>
          </cell>
          <cell r="I1090">
            <v>142350</v>
          </cell>
          <cell r="K1090">
            <v>1.96655</v>
          </cell>
          <cell r="L1090">
            <v>3.3333333333333333E-2</v>
          </cell>
          <cell r="M1090">
            <v>9331.2797499999997</v>
          </cell>
        </row>
        <row r="1091">
          <cell r="H1091" t="str">
            <v/>
          </cell>
          <cell r="I1091" t="str">
            <v/>
          </cell>
          <cell r="K1091" t="str">
            <v/>
          </cell>
          <cell r="M1091" t="str">
            <v/>
          </cell>
        </row>
        <row r="1092">
          <cell r="H1092" t="str">
            <v/>
          </cell>
          <cell r="I1092" t="str">
            <v/>
          </cell>
          <cell r="K1092" t="str">
            <v/>
          </cell>
          <cell r="M1092" t="str">
            <v/>
          </cell>
        </row>
        <row r="1093">
          <cell r="H1093" t="str">
            <v/>
          </cell>
          <cell r="I1093" t="str">
            <v/>
          </cell>
          <cell r="K1093" t="str">
            <v/>
          </cell>
          <cell r="M1093" t="str">
            <v/>
          </cell>
        </row>
        <row r="1094">
          <cell r="H1094" t="str">
            <v/>
          </cell>
          <cell r="I1094" t="str">
            <v/>
          </cell>
          <cell r="K1094" t="str">
            <v/>
          </cell>
          <cell r="M1094" t="str">
            <v/>
          </cell>
        </row>
        <row r="1095">
          <cell r="K1095" t="str">
            <v>SUBTOTAL</v>
          </cell>
          <cell r="M1095">
            <v>9331.2797499999997</v>
          </cell>
        </row>
        <row r="1099">
          <cell r="I1099" t="str">
            <v>Elaboración</v>
          </cell>
          <cell r="K1099" t="str">
            <v>Deiner Alexander Obregon Palomeque</v>
          </cell>
        </row>
        <row r="1100">
          <cell r="I1100" t="str">
            <v>Ingeniero Civil</v>
          </cell>
          <cell r="K1100" t="str">
            <v>MP: 011037-0653228 ANT</v>
          </cell>
        </row>
        <row r="1101">
          <cell r="A1101" t="str">
            <v>INSTALACIÓN DE TUBERÍA PVC DE Ø12"</v>
          </cell>
          <cell r="M1101">
            <v>45933</v>
          </cell>
        </row>
        <row r="1104">
          <cell r="A1104" t="str">
            <v>G025</v>
          </cell>
          <cell r="B1104" t="str">
            <v>INSTALACIÓN DE TUBERÍA PVC DE Ø12"</v>
          </cell>
          <cell r="C1104" t="str">
            <v>UNIDAD:</v>
          </cell>
          <cell r="D1104" t="str">
            <v>ML</v>
          </cell>
          <cell r="E1104" t="str">
            <v>TOTAL</v>
          </cell>
          <cell r="F1104">
            <v>39217.22</v>
          </cell>
          <cell r="G1104" t="str">
            <v>EQUIPO</v>
          </cell>
          <cell r="H1104">
            <v>26744.879999999997</v>
          </cell>
          <cell r="I1104" t="str">
            <v>MATERIAL</v>
          </cell>
          <cell r="J1104">
            <v>466.5639875</v>
          </cell>
          <cell r="K1104" t="str">
            <v>TRANSP.</v>
          </cell>
          <cell r="L1104">
            <v>2674.4879999999998</v>
          </cell>
          <cell r="M1104" t="str">
            <v>M.O.</v>
          </cell>
          <cell r="N1104">
            <v>9331.2797499999997</v>
          </cell>
        </row>
        <row r="1106">
          <cell r="A1106" t="str">
            <v>A - MATERIALES</v>
          </cell>
        </row>
        <row r="1107">
          <cell r="A1107" t="str">
            <v>DESCRIPCIÓN</v>
          </cell>
          <cell r="H1107" t="str">
            <v>UNIDAD</v>
          </cell>
          <cell r="I1107" t="str">
            <v>TARIFA</v>
          </cell>
          <cell r="K1107" t="str">
            <v>CANTIDAD</v>
          </cell>
          <cell r="M1107" t="str">
            <v>SUB - TOTAL</v>
          </cell>
        </row>
        <row r="1108">
          <cell r="A1108" t="str">
            <v>Limpiador PVC 1/4 Galon</v>
          </cell>
          <cell r="H1108" t="str">
            <v>Galón</v>
          </cell>
          <cell r="I1108">
            <v>72505</v>
          </cell>
          <cell r="K1108">
            <v>0.12</v>
          </cell>
          <cell r="M1108">
            <v>8700.6</v>
          </cell>
        </row>
        <row r="1109">
          <cell r="A1109" t="str">
            <v>Soldadura para PVC 1/4 Galon</v>
          </cell>
          <cell r="H1109" t="str">
            <v>Galón</v>
          </cell>
          <cell r="I1109">
            <v>150369</v>
          </cell>
          <cell r="K1109">
            <v>0.12</v>
          </cell>
          <cell r="M1109">
            <v>18044.28</v>
          </cell>
        </row>
        <row r="1110">
          <cell r="H1110" t="str">
            <v/>
          </cell>
          <cell r="I1110" t="str">
            <v/>
          </cell>
          <cell r="M1110" t="str">
            <v/>
          </cell>
        </row>
        <row r="1111">
          <cell r="H1111" t="str">
            <v/>
          </cell>
          <cell r="I1111" t="str">
            <v/>
          </cell>
          <cell r="M1111" t="str">
            <v/>
          </cell>
        </row>
        <row r="1112">
          <cell r="H1112" t="str">
            <v/>
          </cell>
          <cell r="I1112" t="str">
            <v/>
          </cell>
          <cell r="M1112" t="str">
            <v/>
          </cell>
        </row>
        <row r="1113">
          <cell r="H1113" t="str">
            <v/>
          </cell>
          <cell r="I1113" t="str">
            <v/>
          </cell>
          <cell r="M1113" t="str">
            <v/>
          </cell>
        </row>
        <row r="1114">
          <cell r="K1114" t="str">
            <v>SUBTOTAL</v>
          </cell>
          <cell r="M1114">
            <v>26744.879999999997</v>
          </cell>
        </row>
        <row r="1116">
          <cell r="A1116" t="str">
            <v>B - HERRAMIENTA, MAQUINARIA Y EQUIPO</v>
          </cell>
        </row>
        <row r="1117">
          <cell r="A1117" t="str">
            <v>DESCRIPCIÓN</v>
          </cell>
          <cell r="H1117" t="str">
            <v>UNIDAD</v>
          </cell>
          <cell r="I1117" t="str">
            <v>TARIFA</v>
          </cell>
          <cell r="K1117" t="str">
            <v>CANTIDAD</v>
          </cell>
          <cell r="M1117" t="str">
            <v>SUB - TOTAL</v>
          </cell>
        </row>
        <row r="1118">
          <cell r="A1118" t="str">
            <v>Herramienta Menor</v>
          </cell>
          <cell r="H1118" t="str">
            <v>% M.O.</v>
          </cell>
          <cell r="I1118">
            <v>9331.2797499999997</v>
          </cell>
          <cell r="K1118">
            <v>0.05</v>
          </cell>
          <cell r="M1118">
            <v>466.5639875</v>
          </cell>
        </row>
        <row r="1119">
          <cell r="H1119" t="str">
            <v/>
          </cell>
          <cell r="I1119" t="str">
            <v/>
          </cell>
          <cell r="M1119" t="str">
            <v/>
          </cell>
        </row>
        <row r="1120">
          <cell r="H1120" t="str">
            <v/>
          </cell>
          <cell r="I1120" t="str">
            <v/>
          </cell>
          <cell r="M1120" t="str">
            <v/>
          </cell>
        </row>
        <row r="1121">
          <cell r="H1121" t="str">
            <v/>
          </cell>
          <cell r="I1121" t="str">
            <v/>
          </cell>
          <cell r="M1121" t="str">
            <v/>
          </cell>
        </row>
        <row r="1122">
          <cell r="H1122" t="str">
            <v/>
          </cell>
          <cell r="I1122" t="str">
            <v/>
          </cell>
          <cell r="M1122" t="str">
            <v/>
          </cell>
        </row>
        <row r="1123">
          <cell r="K1123" t="str">
            <v>SUBTOTAL</v>
          </cell>
          <cell r="M1123">
            <v>466.5639875</v>
          </cell>
        </row>
        <row r="1125">
          <cell r="A1125" t="str">
            <v>C - TRANSPORTE</v>
          </cell>
        </row>
        <row r="1126">
          <cell r="A1126" t="str">
            <v>DESCRIPCIÓN</v>
          </cell>
          <cell r="H1126" t="str">
            <v>UNIDAD</v>
          </cell>
          <cell r="I1126" t="str">
            <v>TARIFA</v>
          </cell>
          <cell r="K1126" t="str">
            <v>CANTIDAD</v>
          </cell>
          <cell r="M1126" t="str">
            <v>SUB - TOTAL</v>
          </cell>
        </row>
        <row r="1127">
          <cell r="A1127" t="str">
            <v>Transporte de materiales</v>
          </cell>
          <cell r="H1127" t="str">
            <v>%</v>
          </cell>
          <cell r="I1127">
            <v>26744.879999999997</v>
          </cell>
          <cell r="K1127">
            <v>0.1</v>
          </cell>
          <cell r="M1127">
            <v>2674.4879999999998</v>
          </cell>
        </row>
        <row r="1128">
          <cell r="M1128" t="str">
            <v/>
          </cell>
        </row>
        <row r="1129">
          <cell r="M1129" t="str">
            <v/>
          </cell>
        </row>
        <row r="1130">
          <cell r="M1130" t="str">
            <v/>
          </cell>
        </row>
        <row r="1131">
          <cell r="M1131" t="str">
            <v/>
          </cell>
        </row>
        <row r="1132">
          <cell r="K1132" t="str">
            <v>SUBTOTAL</v>
          </cell>
          <cell r="M1132">
            <v>2674.4879999999998</v>
          </cell>
        </row>
        <row r="1134">
          <cell r="A1134" t="str">
            <v>D - MANO DE OBRA</v>
          </cell>
        </row>
        <row r="1135">
          <cell r="A1135" t="str">
            <v>DESCRIPCIÓN</v>
          </cell>
          <cell r="H1135" t="str">
            <v>UNIDAD</v>
          </cell>
          <cell r="I1135" t="str">
            <v>TARIFA</v>
          </cell>
          <cell r="K1135" t="str">
            <v>F.M.</v>
          </cell>
          <cell r="L1135" t="str">
            <v>REND.</v>
          </cell>
          <cell r="M1135" t="str">
            <v>SUB - TOTAL</v>
          </cell>
        </row>
        <row r="1136">
          <cell r="A1136" t="str">
            <v xml:space="preserve">Cuadrilla 2: 2 Ayudantes A </v>
          </cell>
          <cell r="H1136" t="str">
            <v>Cuadrilla</v>
          </cell>
          <cell r="I1136">
            <v>142350</v>
          </cell>
          <cell r="K1136">
            <v>1.96655</v>
          </cell>
          <cell r="L1136">
            <v>3.3333333333333333E-2</v>
          </cell>
          <cell r="M1136">
            <v>9331.2797499999997</v>
          </cell>
        </row>
        <row r="1137">
          <cell r="H1137" t="str">
            <v/>
          </cell>
          <cell r="I1137" t="str">
            <v/>
          </cell>
          <cell r="K1137" t="str">
            <v/>
          </cell>
          <cell r="M1137" t="str">
            <v/>
          </cell>
        </row>
        <row r="1138">
          <cell r="H1138" t="str">
            <v/>
          </cell>
          <cell r="I1138" t="str">
            <v/>
          </cell>
          <cell r="K1138" t="str">
            <v/>
          </cell>
          <cell r="M1138" t="str">
            <v/>
          </cell>
        </row>
        <row r="1139">
          <cell r="H1139" t="str">
            <v/>
          </cell>
          <cell r="I1139" t="str">
            <v/>
          </cell>
          <cell r="K1139" t="str">
            <v/>
          </cell>
          <cell r="M1139" t="str">
            <v/>
          </cell>
        </row>
        <row r="1140">
          <cell r="H1140" t="str">
            <v/>
          </cell>
          <cell r="I1140" t="str">
            <v/>
          </cell>
          <cell r="K1140" t="str">
            <v/>
          </cell>
          <cell r="M1140" t="str">
            <v/>
          </cell>
        </row>
        <row r="1141">
          <cell r="K1141" t="str">
            <v>SUBTOTAL</v>
          </cell>
          <cell r="M1141">
            <v>9331.2797499999997</v>
          </cell>
        </row>
        <row r="1145">
          <cell r="I1145" t="str">
            <v>Elaboración</v>
          </cell>
          <cell r="K1145" t="str">
            <v>Deiner Alexander Obregon Palomeque</v>
          </cell>
        </row>
        <row r="1146">
          <cell r="I1146" t="str">
            <v>Ingeniero Civil</v>
          </cell>
          <cell r="K1146" t="str">
            <v>MP: 011037-0653228 ANT</v>
          </cell>
        </row>
        <row r="1147">
          <cell r="A1147" t="str">
            <v>LOCALIZACIÓN Y REPLANTEO DE ESTRUCTURAS  (NO INCLUYE EQUIPO DE TOPOGRAFÍA)</v>
          </cell>
          <cell r="M1147">
            <v>45933</v>
          </cell>
        </row>
        <row r="1149">
          <cell r="A1149">
            <v>1</v>
          </cell>
          <cell r="B1149">
            <v>2</v>
          </cell>
          <cell r="C1149">
            <v>3</v>
          </cell>
          <cell r="D1149">
            <v>4</v>
          </cell>
          <cell r="E1149">
            <v>5</v>
          </cell>
          <cell r="F1149">
            <v>6</v>
          </cell>
          <cell r="G1149">
            <v>7</v>
          </cell>
          <cell r="H1149">
            <v>8</v>
          </cell>
          <cell r="I1149">
            <v>9</v>
          </cell>
          <cell r="J1149">
            <v>10</v>
          </cell>
          <cell r="K1149">
            <v>11</v>
          </cell>
          <cell r="L1149">
            <v>12</v>
          </cell>
          <cell r="M1149">
            <v>13</v>
          </cell>
          <cell r="N1149">
            <v>14</v>
          </cell>
        </row>
        <row r="1150">
          <cell r="A1150" t="str">
            <v>G026</v>
          </cell>
          <cell r="B1150" t="str">
            <v>LOCALIZACIÓN Y REPLANTEO DE ESTRUCTURAS  (NO INCLUYE EQUIPO DE TOPOGRAFÍA)</v>
          </cell>
          <cell r="C1150" t="str">
            <v>UNIDAD:</v>
          </cell>
          <cell r="D1150" t="str">
            <v>M2</v>
          </cell>
          <cell r="E1150" t="str">
            <v>TOTAL</v>
          </cell>
          <cell r="F1150">
            <v>4424.68813065625</v>
          </cell>
          <cell r="G1150" t="str">
            <v>EQUIPO</v>
          </cell>
          <cell r="H1150">
            <v>104.97689718750001</v>
          </cell>
          <cell r="I1150" t="str">
            <v>MATERIAL</v>
          </cell>
          <cell r="J1150">
            <v>2008.796</v>
          </cell>
          <cell r="K1150" t="str">
            <v>TRANSP.</v>
          </cell>
          <cell r="L1150">
            <v>211.37728971875001</v>
          </cell>
          <cell r="M1150" t="str">
            <v>M.O.</v>
          </cell>
          <cell r="N1150">
            <v>2099.5379437500001</v>
          </cell>
        </row>
        <row r="1152">
          <cell r="A1152" t="str">
            <v>A - MATERIALES</v>
          </cell>
        </row>
        <row r="1153">
          <cell r="A1153" t="str">
            <v>DESCRIPCIÓN</v>
          </cell>
          <cell r="H1153" t="str">
            <v>UNIDAD</v>
          </cell>
          <cell r="I1153" t="str">
            <v>TARIFA</v>
          </cell>
          <cell r="K1153" t="str">
            <v>CANTIDAD</v>
          </cell>
          <cell r="M1153" t="str">
            <v>SUB - TOTAL</v>
          </cell>
        </row>
        <row r="1154">
          <cell r="A1154" t="str">
            <v>Estaca</v>
          </cell>
          <cell r="H1154" t="str">
            <v>Unidad</v>
          </cell>
          <cell r="I1154">
            <v>3075</v>
          </cell>
          <cell r="K1154">
            <v>0.3</v>
          </cell>
          <cell r="M1154">
            <v>922.5</v>
          </cell>
        </row>
        <row r="1155">
          <cell r="A1155" t="str">
            <v>Pintura en aceite</v>
          </cell>
          <cell r="H1155" t="str">
            <v>Galón</v>
          </cell>
          <cell r="I1155">
            <v>100912</v>
          </cell>
          <cell r="K1155">
            <v>8.0000000000000002E-3</v>
          </cell>
          <cell r="M1155">
            <v>807.29600000000005</v>
          </cell>
        </row>
        <row r="1156">
          <cell r="A1156" t="str">
            <v>Clavo de alta velocidad 1/4"X2"</v>
          </cell>
          <cell r="H1156" t="str">
            <v>Libra</v>
          </cell>
          <cell r="I1156">
            <v>10000</v>
          </cell>
          <cell r="K1156">
            <v>1.2E-2</v>
          </cell>
          <cell r="M1156">
            <v>120</v>
          </cell>
        </row>
        <row r="1157">
          <cell r="A1157" t="str">
            <v>Cuerda de Naylon 0.5 mm</v>
          </cell>
          <cell r="H1157" t="str">
            <v>ml</v>
          </cell>
          <cell r="I1157">
            <v>159</v>
          </cell>
          <cell r="K1157">
            <v>1</v>
          </cell>
          <cell r="M1157">
            <v>159</v>
          </cell>
        </row>
        <row r="1158">
          <cell r="H1158" t="str">
            <v/>
          </cell>
          <cell r="I1158" t="str">
            <v/>
          </cell>
          <cell r="M1158" t="str">
            <v/>
          </cell>
        </row>
        <row r="1159">
          <cell r="K1159" t="str">
            <v>SUBTOTAL</v>
          </cell>
          <cell r="M1159">
            <v>2008.796</v>
          </cell>
        </row>
        <row r="1161">
          <cell r="A1161" t="str">
            <v>B - HERRAMIENTA, MAQUINARIA Y EQUIPO</v>
          </cell>
        </row>
        <row r="1162">
          <cell r="A1162" t="str">
            <v>DESCRIPCIÓN</v>
          </cell>
          <cell r="H1162" t="str">
            <v>UNIDAD</v>
          </cell>
          <cell r="I1162" t="str">
            <v>TARIFA</v>
          </cell>
          <cell r="K1162" t="str">
            <v>CANTIDAD</v>
          </cell>
          <cell r="M1162" t="str">
            <v>SUB - TOTAL</v>
          </cell>
        </row>
        <row r="1163">
          <cell r="A1163" t="str">
            <v>Herramienta Menor</v>
          </cell>
          <cell r="H1163" t="str">
            <v>% M.O.</v>
          </cell>
          <cell r="I1163">
            <v>2099.5379437500001</v>
          </cell>
          <cell r="K1163">
            <v>0.05</v>
          </cell>
          <cell r="M1163">
            <v>104.97689718750001</v>
          </cell>
        </row>
        <row r="1164">
          <cell r="H1164" t="str">
            <v/>
          </cell>
          <cell r="I1164" t="str">
            <v/>
          </cell>
          <cell r="M1164" t="str">
            <v/>
          </cell>
        </row>
        <row r="1165">
          <cell r="H1165" t="str">
            <v/>
          </cell>
          <cell r="I1165" t="str">
            <v/>
          </cell>
          <cell r="M1165" t="str">
            <v/>
          </cell>
        </row>
        <row r="1166">
          <cell r="H1166" t="str">
            <v/>
          </cell>
          <cell r="I1166" t="str">
            <v/>
          </cell>
          <cell r="M1166" t="str">
            <v/>
          </cell>
        </row>
        <row r="1167">
          <cell r="H1167" t="str">
            <v/>
          </cell>
          <cell r="I1167" t="str">
            <v/>
          </cell>
          <cell r="M1167" t="str">
            <v/>
          </cell>
        </row>
        <row r="1168">
          <cell r="K1168" t="str">
            <v>SUBTOTAL</v>
          </cell>
          <cell r="M1168">
            <v>104.97689718750001</v>
          </cell>
        </row>
        <row r="1170">
          <cell r="A1170" t="str">
            <v>C - TRANSPORTE</v>
          </cell>
        </row>
        <row r="1171">
          <cell r="A1171" t="str">
            <v>DESCRIPCIÓN</v>
          </cell>
          <cell r="H1171" t="str">
            <v>UNIDAD</v>
          </cell>
          <cell r="I1171" t="str">
            <v>TARIFA</v>
          </cell>
          <cell r="K1171" t="str">
            <v>CANTIDAD</v>
          </cell>
          <cell r="M1171" t="str">
            <v>SUB - TOTAL</v>
          </cell>
        </row>
        <row r="1172">
          <cell r="A1172" t="str">
            <v>Transporte</v>
          </cell>
          <cell r="H1172" t="str">
            <v>%</v>
          </cell>
          <cell r="I1172">
            <v>2113.7728971874999</v>
          </cell>
          <cell r="K1172">
            <v>0.1</v>
          </cell>
          <cell r="M1172">
            <v>211.37728971875001</v>
          </cell>
        </row>
        <row r="1173">
          <cell r="M1173" t="str">
            <v/>
          </cell>
        </row>
        <row r="1174">
          <cell r="M1174" t="str">
            <v/>
          </cell>
        </row>
        <row r="1175">
          <cell r="M1175" t="str">
            <v/>
          </cell>
        </row>
        <row r="1176">
          <cell r="M1176" t="str">
            <v/>
          </cell>
        </row>
        <row r="1177">
          <cell r="K1177" t="str">
            <v>SUBTOTAL</v>
          </cell>
          <cell r="M1177">
            <v>211.37728971875001</v>
          </cell>
        </row>
        <row r="1179">
          <cell r="A1179" t="str">
            <v>D - MANO DE OBRA</v>
          </cell>
        </row>
        <row r="1180">
          <cell r="A1180" t="str">
            <v>DESCRIPCIÓN</v>
          </cell>
          <cell r="H1180" t="str">
            <v>UNIDAD</v>
          </cell>
          <cell r="I1180" t="str">
            <v>TARIFA</v>
          </cell>
          <cell r="K1180" t="str">
            <v>F.M.</v>
          </cell>
          <cell r="L1180" t="str">
            <v>REND.</v>
          </cell>
          <cell r="M1180" t="str">
            <v>SUB - TOTAL</v>
          </cell>
        </row>
        <row r="1181">
          <cell r="A1181" t="str">
            <v>Comisión de Topografía</v>
          </cell>
          <cell r="H1181" t="str">
            <v>Cuadrilla</v>
          </cell>
          <cell r="I1181">
            <v>213525</v>
          </cell>
          <cell r="K1181">
            <v>1.96655</v>
          </cell>
          <cell r="L1181">
            <v>5.0000000000000001E-3</v>
          </cell>
          <cell r="M1181">
            <v>2099.5379437500001</v>
          </cell>
        </row>
        <row r="1182">
          <cell r="H1182" t="str">
            <v/>
          </cell>
          <cell r="I1182" t="str">
            <v/>
          </cell>
          <cell r="K1182" t="str">
            <v/>
          </cell>
          <cell r="M1182" t="str">
            <v/>
          </cell>
        </row>
        <row r="1183">
          <cell r="H1183" t="str">
            <v/>
          </cell>
          <cell r="I1183" t="str">
            <v/>
          </cell>
          <cell r="K1183" t="str">
            <v/>
          </cell>
          <cell r="M1183" t="str">
            <v/>
          </cell>
        </row>
        <row r="1184">
          <cell r="H1184" t="str">
            <v/>
          </cell>
          <cell r="I1184" t="str">
            <v/>
          </cell>
          <cell r="K1184" t="str">
            <v/>
          </cell>
          <cell r="M1184" t="str">
            <v/>
          </cell>
        </row>
        <row r="1185">
          <cell r="H1185" t="str">
            <v/>
          </cell>
          <cell r="I1185" t="str">
            <v/>
          </cell>
          <cell r="K1185" t="str">
            <v/>
          </cell>
          <cell r="M1185" t="str">
            <v/>
          </cell>
        </row>
        <row r="1186">
          <cell r="K1186" t="str">
            <v>SUBTOTAL</v>
          </cell>
          <cell r="M1186">
            <v>2099.5379437500001</v>
          </cell>
        </row>
        <row r="1190">
          <cell r="I1190" t="str">
            <v>Elaboración</v>
          </cell>
          <cell r="K1190" t="str">
            <v>Deiner Alexander Obregon Palomeque</v>
          </cell>
        </row>
        <row r="1191">
          <cell r="I1191" t="str">
            <v>Ingeniero Civil</v>
          </cell>
          <cell r="K1191" t="str">
            <v>MP: 011037-0653228 ANT</v>
          </cell>
        </row>
        <row r="1192">
          <cell r="A1192" t="str">
            <v>RELLENO TIPO II: CON RECEBO SELECCIONADO, COMPACTADO EN CAPAS DE 20 CM, PROCTOR MODIFICADO 95%, A TODO FACTOR</v>
          </cell>
          <cell r="M1192">
            <v>45933</v>
          </cell>
        </row>
        <row r="1195">
          <cell r="A1195" t="str">
            <v>G027</v>
          </cell>
          <cell r="B1195" t="str">
            <v>RELLENO TIPO II: CON RECEBO SELECCIONADO, COMPACTADO EN CAPAS DE 20 CM, PROCTOR MODIFICADO 95%, A TODO FACTOR</v>
          </cell>
          <cell r="C1195" t="str">
            <v>UNIDAD:</v>
          </cell>
          <cell r="D1195" t="str">
            <v>M3</v>
          </cell>
          <cell r="E1195" t="str">
            <v>TOTAL</v>
          </cell>
          <cell r="F1195">
            <v>179402.97</v>
          </cell>
          <cell r="G1195" t="str">
            <v>EQUIPO</v>
          </cell>
          <cell r="H1195">
            <v>10126.119976562501</v>
          </cell>
          <cell r="I1195" t="str">
            <v>MATERIAL</v>
          </cell>
          <cell r="J1195">
            <v>15470</v>
          </cell>
          <cell r="K1195" t="str">
            <v>TRANSP.</v>
          </cell>
          <cell r="L1195">
            <v>136310.69161050351</v>
          </cell>
          <cell r="M1195" t="str">
            <v>M.O.</v>
          </cell>
          <cell r="N1195">
            <v>17496.149531250001</v>
          </cell>
        </row>
        <row r="1197">
          <cell r="A1197" t="str">
            <v>A - MATERIALES</v>
          </cell>
        </row>
        <row r="1198">
          <cell r="A1198" t="str">
            <v>DESCRIPCIÓN</v>
          </cell>
          <cell r="H1198" t="str">
            <v>UNIDAD</v>
          </cell>
          <cell r="I1198" t="str">
            <v>TARIFA</v>
          </cell>
          <cell r="K1198" t="str">
            <v>CANTIDAD</v>
          </cell>
          <cell r="M1198" t="str">
            <v>SUB - TOTAL</v>
          </cell>
        </row>
        <row r="1199">
          <cell r="A1199" t="str">
            <v>Recebo común</v>
          </cell>
          <cell r="H1199" t="str">
            <v>m3</v>
          </cell>
          <cell r="I1199">
            <v>11900</v>
          </cell>
          <cell r="K1199">
            <v>1.3</v>
          </cell>
          <cell r="M1199">
            <v>15470</v>
          </cell>
        </row>
        <row r="1200">
          <cell r="H1200" t="str">
            <v/>
          </cell>
          <cell r="I1200" t="str">
            <v/>
          </cell>
          <cell r="M1200" t="str">
            <v/>
          </cell>
        </row>
        <row r="1201">
          <cell r="H1201" t="str">
            <v/>
          </cell>
          <cell r="I1201" t="str">
            <v/>
          </cell>
          <cell r="M1201" t="str">
            <v/>
          </cell>
        </row>
        <row r="1202">
          <cell r="H1202" t="str">
            <v/>
          </cell>
          <cell r="I1202" t="str">
            <v/>
          </cell>
          <cell r="M1202" t="str">
            <v/>
          </cell>
        </row>
        <row r="1203">
          <cell r="H1203" t="str">
            <v/>
          </cell>
          <cell r="I1203" t="str">
            <v/>
          </cell>
          <cell r="M1203" t="str">
            <v/>
          </cell>
        </row>
        <row r="1204">
          <cell r="H1204" t="str">
            <v/>
          </cell>
          <cell r="I1204" t="str">
            <v/>
          </cell>
          <cell r="M1204" t="str">
            <v/>
          </cell>
        </row>
        <row r="1205">
          <cell r="K1205" t="str">
            <v>SUBTOTAL</v>
          </cell>
          <cell r="M1205">
            <v>15470</v>
          </cell>
        </row>
        <row r="1207">
          <cell r="A1207" t="str">
            <v>B - HERRAMIENTA, MAQUINARIA Y EQUIPO</v>
          </cell>
        </row>
        <row r="1208">
          <cell r="A1208" t="str">
            <v>DESCRIPCIÓN</v>
          </cell>
          <cell r="H1208" t="str">
            <v>UNIDAD</v>
          </cell>
          <cell r="I1208" t="str">
            <v>TARIFA</v>
          </cell>
          <cell r="K1208" t="str">
            <v>CANTIDAD</v>
          </cell>
          <cell r="M1208" t="str">
            <v>SUB - TOTAL</v>
          </cell>
        </row>
        <row r="1209">
          <cell r="A1209" t="str">
            <v>Herramienta Menor</v>
          </cell>
          <cell r="H1209" t="str">
            <v>% M.O.</v>
          </cell>
          <cell r="I1209">
            <v>17496.149531250001</v>
          </cell>
          <cell r="K1209">
            <v>0.05</v>
          </cell>
          <cell r="M1209">
            <v>874.80747656250014</v>
          </cell>
        </row>
        <row r="1210">
          <cell r="A1210" t="str">
            <v>Apisonador tipo canguro, incluye combustible</v>
          </cell>
          <cell r="H1210" t="str">
            <v>Dia</v>
          </cell>
          <cell r="I1210">
            <v>148021</v>
          </cell>
          <cell r="K1210">
            <v>6.25E-2</v>
          </cell>
          <cell r="M1210">
            <v>9251.3125</v>
          </cell>
        </row>
        <row r="1211">
          <cell r="H1211" t="str">
            <v/>
          </cell>
          <cell r="I1211" t="str">
            <v/>
          </cell>
          <cell r="M1211" t="str">
            <v/>
          </cell>
        </row>
        <row r="1212">
          <cell r="H1212" t="str">
            <v/>
          </cell>
          <cell r="I1212" t="str">
            <v/>
          </cell>
          <cell r="M1212" t="str">
            <v/>
          </cell>
        </row>
        <row r="1213">
          <cell r="H1213" t="str">
            <v/>
          </cell>
          <cell r="I1213" t="str">
            <v/>
          </cell>
          <cell r="M1213" t="str">
            <v/>
          </cell>
        </row>
        <row r="1214">
          <cell r="K1214" t="str">
            <v>SUBTOTAL</v>
          </cell>
          <cell r="M1214">
            <v>10126.119976562501</v>
          </cell>
        </row>
        <row r="1216">
          <cell r="A1216" t="str">
            <v>C - TRANSPORTE</v>
          </cell>
        </row>
        <row r="1217">
          <cell r="A1217" t="str">
            <v>DESCRIPCIÓN</v>
          </cell>
          <cell r="H1217" t="str">
            <v>UNIDAD</v>
          </cell>
          <cell r="I1217" t="str">
            <v>TARIFA</v>
          </cell>
          <cell r="K1217" t="str">
            <v>CANTIDAD</v>
          </cell>
          <cell r="M1217" t="str">
            <v>SUB - TOTAL</v>
          </cell>
        </row>
        <row r="1218">
          <cell r="A1218" t="str">
            <v>Transporte de Materiales</v>
          </cell>
          <cell r="H1218" t="str">
            <v>M3-KM</v>
          </cell>
          <cell r="I1218">
            <v>1879.1399946228782</v>
          </cell>
          <cell r="K1218">
            <v>72</v>
          </cell>
          <cell r="M1218">
            <v>135298.07961284724</v>
          </cell>
        </row>
        <row r="1219">
          <cell r="A1219" t="str">
            <v>Transporte de Maquinaria y Equipos</v>
          </cell>
          <cell r="H1219" t="str">
            <v>% M y E</v>
          </cell>
          <cell r="I1219">
            <v>10126.119976562501</v>
          </cell>
          <cell r="K1219">
            <v>0.1</v>
          </cell>
          <cell r="M1219">
            <v>1012.6119976562501</v>
          </cell>
        </row>
        <row r="1220">
          <cell r="M1220" t="str">
            <v/>
          </cell>
        </row>
        <row r="1221">
          <cell r="M1221" t="str">
            <v/>
          </cell>
        </row>
        <row r="1222">
          <cell r="M1222" t="str">
            <v/>
          </cell>
        </row>
        <row r="1223">
          <cell r="K1223" t="str">
            <v>SUBTOTAL</v>
          </cell>
          <cell r="M1223">
            <v>136310.69161050351</v>
          </cell>
        </row>
        <row r="1225">
          <cell r="A1225" t="str">
            <v>D - MANO DE OBRA</v>
          </cell>
        </row>
        <row r="1226">
          <cell r="A1226" t="str">
            <v>DESCRIPCIÓN</v>
          </cell>
          <cell r="H1226" t="str">
            <v>UNIDAD</v>
          </cell>
          <cell r="I1226" t="str">
            <v>TARIFA</v>
          </cell>
          <cell r="K1226" t="str">
            <v>F.M.</v>
          </cell>
          <cell r="L1226" t="str">
            <v>REND.</v>
          </cell>
          <cell r="M1226" t="str">
            <v>SUB - TOTAL</v>
          </cell>
        </row>
        <row r="1227">
          <cell r="A1227" t="str">
            <v xml:space="preserve">Cuadrilla 2: 2 Ayudantes A </v>
          </cell>
          <cell r="H1227" t="str">
            <v>Cuadrilla</v>
          </cell>
          <cell r="I1227">
            <v>142350</v>
          </cell>
          <cell r="K1227">
            <v>1.96655</v>
          </cell>
          <cell r="L1227">
            <v>6.25E-2</v>
          </cell>
          <cell r="M1227">
            <v>17496.149531250001</v>
          </cell>
        </row>
        <row r="1228">
          <cell r="H1228" t="str">
            <v/>
          </cell>
          <cell r="I1228" t="str">
            <v/>
          </cell>
          <cell r="K1228" t="str">
            <v/>
          </cell>
          <cell r="M1228" t="str">
            <v/>
          </cell>
        </row>
        <row r="1229">
          <cell r="H1229" t="str">
            <v/>
          </cell>
          <cell r="I1229" t="str">
            <v/>
          </cell>
          <cell r="K1229" t="str">
            <v/>
          </cell>
          <cell r="M1229" t="str">
            <v/>
          </cell>
        </row>
        <row r="1230">
          <cell r="H1230" t="str">
            <v/>
          </cell>
          <cell r="I1230" t="str">
            <v/>
          </cell>
          <cell r="K1230" t="str">
            <v/>
          </cell>
          <cell r="M1230" t="str">
            <v/>
          </cell>
        </row>
        <row r="1231">
          <cell r="H1231" t="str">
            <v/>
          </cell>
          <cell r="I1231" t="str">
            <v/>
          </cell>
          <cell r="K1231" t="str">
            <v/>
          </cell>
          <cell r="M1231" t="str">
            <v/>
          </cell>
        </row>
        <row r="1232">
          <cell r="K1232" t="str">
            <v>SUBTOTAL</v>
          </cell>
          <cell r="M1232">
            <v>17496.149531250001</v>
          </cell>
        </row>
        <row r="1236">
          <cell r="I1236" t="str">
            <v>Elaboración</v>
          </cell>
          <cell r="K1236" t="str">
            <v>Deiner Alexander Obregon Palomeque</v>
          </cell>
        </row>
        <row r="1237">
          <cell r="I1237" t="str">
            <v>Ingeniero Civil</v>
          </cell>
          <cell r="K1237" t="str">
            <v>MP: 011037-0653228 ANT</v>
          </cell>
        </row>
        <row r="1238">
          <cell r="A1238" t="str">
            <v>CONCRETO PARA SOLADO DE 2000 PSI A TODO COSTO (140 KG/CM2)</v>
          </cell>
          <cell r="M1238">
            <v>45933</v>
          </cell>
        </row>
        <row r="1241">
          <cell r="A1241" t="str">
            <v>G028</v>
          </cell>
          <cell r="B1241" t="str">
            <v>CONCRETO PARA SOLADO DE 2000 PSI A TODO COSTO (140 KG/CM2)</v>
          </cell>
          <cell r="C1241" t="str">
            <v>UNIDAD:</v>
          </cell>
          <cell r="D1241" t="str">
            <v>M3</v>
          </cell>
          <cell r="E1241" t="str">
            <v>TOTAL</v>
          </cell>
          <cell r="F1241">
            <v>635032.18000000005</v>
          </cell>
          <cell r="G1241" t="str">
            <v>EQUIPO</v>
          </cell>
          <cell r="H1241">
            <v>284650</v>
          </cell>
          <cell r="I1241" t="str">
            <v>MATERIAL</v>
          </cell>
          <cell r="J1241">
            <v>30964.248666666666</v>
          </cell>
          <cell r="K1241" t="str">
            <v>TRANSP.</v>
          </cell>
          <cell r="L1241">
            <v>153528.50447951391</v>
          </cell>
          <cell r="M1241" t="str">
            <v>M.O.</v>
          </cell>
          <cell r="N1241">
            <v>165889.41777777777</v>
          </cell>
        </row>
        <row r="1243">
          <cell r="A1243" t="str">
            <v>A - MATERIALES</v>
          </cell>
        </row>
        <row r="1244">
          <cell r="A1244" t="str">
            <v>DESCRIPCIÓN</v>
          </cell>
          <cell r="H1244" t="str">
            <v>UNIDAD</v>
          </cell>
          <cell r="I1244" t="str">
            <v>TARIFA</v>
          </cell>
          <cell r="K1244" t="str">
            <v>CANTIDAD</v>
          </cell>
          <cell r="M1244" t="str">
            <v>SUB - TOTAL</v>
          </cell>
        </row>
        <row r="1245">
          <cell r="A1245" t="str">
            <v>Cemento gris</v>
          </cell>
          <cell r="H1245" t="str">
            <v>Kg</v>
          </cell>
          <cell r="I1245">
            <v>658</v>
          </cell>
          <cell r="K1245">
            <v>230</v>
          </cell>
          <cell r="M1245">
            <v>151340</v>
          </cell>
        </row>
        <row r="1246">
          <cell r="A1246" t="str">
            <v>Arena triturada pasante 3/8"</v>
          </cell>
          <cell r="H1246" t="str">
            <v>m3</v>
          </cell>
          <cell r="I1246">
            <v>65450</v>
          </cell>
          <cell r="K1246">
            <v>0.6</v>
          </cell>
          <cell r="M1246">
            <v>39270</v>
          </cell>
        </row>
        <row r="1247">
          <cell r="A1247" t="str">
            <v>Triturado pasante de 3/4" retenido en 3/8"</v>
          </cell>
          <cell r="H1247" t="str">
            <v>m3</v>
          </cell>
          <cell r="I1247">
            <v>113050</v>
          </cell>
          <cell r="K1247">
            <v>0.8</v>
          </cell>
          <cell r="M1247">
            <v>90440</v>
          </cell>
        </row>
        <row r="1248">
          <cell r="A1248" t="str">
            <v>Agua</v>
          </cell>
          <cell r="H1248" t="str">
            <v>Lt</v>
          </cell>
          <cell r="I1248">
            <v>20</v>
          </cell>
          <cell r="K1248">
            <v>180</v>
          </cell>
          <cell r="M1248">
            <v>3600</v>
          </cell>
        </row>
        <row r="1249">
          <cell r="H1249" t="str">
            <v/>
          </cell>
          <cell r="I1249" t="str">
            <v/>
          </cell>
          <cell r="M1249" t="str">
            <v/>
          </cell>
        </row>
        <row r="1250">
          <cell r="K1250" t="str">
            <v>SUBTOTAL</v>
          </cell>
          <cell r="M1250">
            <v>284650</v>
          </cell>
        </row>
        <row r="1252">
          <cell r="A1252" t="str">
            <v>B - HERRAMIENTA, MAQUINARIA Y EQUIPO</v>
          </cell>
        </row>
        <row r="1253">
          <cell r="A1253" t="str">
            <v>DESCRIPCIÓN</v>
          </cell>
          <cell r="H1253" t="str">
            <v>UNIDAD</v>
          </cell>
          <cell r="I1253" t="str">
            <v>TARIFA</v>
          </cell>
          <cell r="K1253" t="str">
            <v>CANTIDAD</v>
          </cell>
          <cell r="M1253" t="str">
            <v>SUB - TOTAL</v>
          </cell>
        </row>
        <row r="1254">
          <cell r="A1254" t="str">
            <v>Herramienta Menor</v>
          </cell>
          <cell r="H1254" t="str">
            <v>% M.O.</v>
          </cell>
          <cell r="I1254">
            <v>165889.41777777777</v>
          </cell>
          <cell r="K1254">
            <v>0.05</v>
          </cell>
          <cell r="M1254">
            <v>8294.470888888889</v>
          </cell>
        </row>
        <row r="1255">
          <cell r="A1255" t="str">
            <v>Mezcladora Diesel (1.5 - 2.0 BTOS) incluye combustible</v>
          </cell>
          <cell r="H1255" t="str">
            <v>Dia</v>
          </cell>
          <cell r="I1255">
            <v>102014</v>
          </cell>
          <cell r="K1255">
            <v>0.22222222222222221</v>
          </cell>
          <cell r="M1255">
            <v>22669.777777777777</v>
          </cell>
        </row>
        <row r="1256">
          <cell r="H1256" t="str">
            <v/>
          </cell>
          <cell r="I1256" t="str">
            <v/>
          </cell>
          <cell r="M1256" t="str">
            <v/>
          </cell>
        </row>
        <row r="1257">
          <cell r="H1257" t="str">
            <v/>
          </cell>
          <cell r="I1257" t="str">
            <v/>
          </cell>
          <cell r="M1257" t="str">
            <v/>
          </cell>
        </row>
        <row r="1258">
          <cell r="H1258" t="str">
            <v/>
          </cell>
          <cell r="I1258" t="str">
            <v/>
          </cell>
          <cell r="M1258" t="str">
            <v/>
          </cell>
        </row>
        <row r="1259">
          <cell r="K1259" t="str">
            <v>SUBTOTAL</v>
          </cell>
          <cell r="M1259">
            <v>30964.248666666666</v>
          </cell>
        </row>
        <row r="1261">
          <cell r="A1261" t="str">
            <v>C - TRANSPORTE</v>
          </cell>
        </row>
        <row r="1262">
          <cell r="A1262" t="str">
            <v>DESCRIPCIÓN</v>
          </cell>
          <cell r="H1262" t="str">
            <v>UNIDAD</v>
          </cell>
          <cell r="I1262" t="str">
            <v>TARIFA</v>
          </cell>
          <cell r="K1262" t="str">
            <v>CANTIDAD</v>
          </cell>
          <cell r="M1262" t="str">
            <v>SUB - TOTAL</v>
          </cell>
        </row>
        <row r="1263">
          <cell r="A1263" t="str">
            <v>Transporte de equipos y maquinaria</v>
          </cell>
          <cell r="H1263" t="str">
            <v>% H,M,E</v>
          </cell>
          <cell r="I1263">
            <v>30964.248666666666</v>
          </cell>
          <cell r="K1263">
            <v>0.1</v>
          </cell>
          <cell r="M1263">
            <v>3096.4248666666667</v>
          </cell>
        </row>
        <row r="1264">
          <cell r="A1264" t="str">
            <v>Transporte de materiales de cantera</v>
          </cell>
          <cell r="H1264" t="str">
            <v>Km/M3</v>
          </cell>
          <cell r="I1264">
            <v>1879.1399946228782</v>
          </cell>
          <cell r="K1264">
            <v>72</v>
          </cell>
          <cell r="M1264">
            <v>135298.07961284724</v>
          </cell>
        </row>
        <row r="1265">
          <cell r="A1265" t="str">
            <v>Transporte de materiales de ferretería</v>
          </cell>
          <cell r="H1265" t="str">
            <v>%</v>
          </cell>
          <cell r="I1265">
            <v>151340</v>
          </cell>
          <cell r="K1265">
            <v>0.1</v>
          </cell>
          <cell r="M1265">
            <v>15134</v>
          </cell>
        </row>
        <row r="1266">
          <cell r="M1266" t="str">
            <v/>
          </cell>
        </row>
        <row r="1267">
          <cell r="M1267" t="str">
            <v/>
          </cell>
        </row>
        <row r="1268">
          <cell r="K1268" t="str">
            <v>SUBTOTAL</v>
          </cell>
          <cell r="M1268">
            <v>153528.50447951391</v>
          </cell>
        </row>
        <row r="1270">
          <cell r="A1270" t="str">
            <v>D - MANO DE OBRA</v>
          </cell>
        </row>
        <row r="1271">
          <cell r="A1271" t="str">
            <v>DESCRIPCIÓN</v>
          </cell>
          <cell r="H1271" t="str">
            <v>UNIDAD</v>
          </cell>
          <cell r="I1271" t="str">
            <v>TARIFA</v>
          </cell>
          <cell r="K1271" t="str">
            <v>F.M.</v>
          </cell>
          <cell r="L1271" t="str">
            <v>REND.</v>
          </cell>
          <cell r="M1271" t="str">
            <v>SUB - TOTAL</v>
          </cell>
        </row>
        <row r="1272">
          <cell r="A1272" t="str">
            <v>Cuadrilla 8: 1 OfcA + 4 AyuA</v>
          </cell>
          <cell r="H1272" t="str">
            <v>Cuadrilla</v>
          </cell>
          <cell r="I1272">
            <v>379600</v>
          </cell>
          <cell r="K1272">
            <v>1.96655</v>
          </cell>
          <cell r="L1272">
            <v>0.22222222222222221</v>
          </cell>
          <cell r="M1272">
            <v>165889.41777777777</v>
          </cell>
        </row>
        <row r="1273">
          <cell r="H1273" t="str">
            <v/>
          </cell>
          <cell r="I1273" t="str">
            <v/>
          </cell>
          <cell r="K1273" t="str">
            <v/>
          </cell>
          <cell r="M1273" t="str">
            <v/>
          </cell>
        </row>
        <row r="1274">
          <cell r="H1274" t="str">
            <v/>
          </cell>
          <cell r="I1274" t="str">
            <v/>
          </cell>
          <cell r="K1274" t="str">
            <v/>
          </cell>
          <cell r="M1274" t="str">
            <v/>
          </cell>
        </row>
        <row r="1275">
          <cell r="H1275" t="str">
            <v/>
          </cell>
          <cell r="I1275" t="str">
            <v/>
          </cell>
          <cell r="K1275" t="str">
            <v/>
          </cell>
          <cell r="M1275" t="str">
            <v/>
          </cell>
        </row>
        <row r="1276">
          <cell r="H1276" t="str">
            <v/>
          </cell>
          <cell r="I1276" t="str">
            <v/>
          </cell>
          <cell r="K1276" t="str">
            <v/>
          </cell>
          <cell r="M1276" t="str">
            <v/>
          </cell>
        </row>
        <row r="1277">
          <cell r="K1277" t="str">
            <v>SUBTOTAL</v>
          </cell>
          <cell r="M1277">
            <v>165889.41777777777</v>
          </cell>
        </row>
        <row r="1281">
          <cell r="I1281" t="str">
            <v>Elaboración</v>
          </cell>
          <cell r="K1281" t="str">
            <v>Deiner Alexander Obregon Palomeque</v>
          </cell>
        </row>
        <row r="1282">
          <cell r="I1282" t="str">
            <v>Ingeniero Civil</v>
          </cell>
          <cell r="K1282" t="str">
            <v>MP: 011037-0653228 ANT</v>
          </cell>
        </row>
        <row r="1283">
          <cell r="A1283" t="str">
            <v>FORMALETA METÁLICA PARA ESTRUCTURA HIDRÁULICA</v>
          </cell>
          <cell r="M1283">
            <v>45933</v>
          </cell>
        </row>
        <row r="1286">
          <cell r="A1286" t="str">
            <v>G029</v>
          </cell>
          <cell r="B1286" t="str">
            <v>FORMALETA METÁLICA PARA ESTRUCTURA HIDRÁULICA</v>
          </cell>
          <cell r="C1286" t="str">
            <v>UNIDAD:</v>
          </cell>
          <cell r="D1286" t="str">
            <v>M2</v>
          </cell>
          <cell r="E1286" t="str">
            <v>TOTAL</v>
          </cell>
          <cell r="F1286">
            <v>119799.35515208331</v>
          </cell>
          <cell r="G1286" t="str">
            <v>EQUIPO</v>
          </cell>
          <cell r="H1286">
            <v>2099.5379437500001</v>
          </cell>
          <cell r="I1286" t="str">
            <v>MATERIAL</v>
          </cell>
          <cell r="J1286">
            <v>68826.416666666657</v>
          </cell>
          <cell r="K1286" t="str">
            <v>TRANSP.</v>
          </cell>
          <cell r="L1286">
            <v>6882.6416666666664</v>
          </cell>
          <cell r="M1286" t="str">
            <v>M.O.</v>
          </cell>
          <cell r="N1286">
            <v>41990.758875</v>
          </cell>
        </row>
        <row r="1288">
          <cell r="A1288" t="str">
            <v>A - MATERIALES</v>
          </cell>
        </row>
        <row r="1289">
          <cell r="A1289" t="str">
            <v>DESCRIPCIÓN</v>
          </cell>
          <cell r="H1289" t="str">
            <v>UNIDAD</v>
          </cell>
          <cell r="I1289" t="str">
            <v>TARIFA</v>
          </cell>
          <cell r="K1289" t="str">
            <v>CANTIDAD</v>
          </cell>
          <cell r="M1289" t="str">
            <v>SUB - TOTAL</v>
          </cell>
        </row>
        <row r="1290">
          <cell r="A1290" t="str">
            <v>Abrazadera 1"</v>
          </cell>
          <cell r="H1290" t="str">
            <v>Unidad</v>
          </cell>
          <cell r="I1290">
            <v>3808</v>
          </cell>
          <cell r="K1290">
            <v>3</v>
          </cell>
          <cell r="M1290">
            <v>11424</v>
          </cell>
        </row>
        <row r="1291">
          <cell r="A1291" t="str">
            <v>Molde symons 8"x24"</v>
          </cell>
          <cell r="H1291" t="str">
            <v>Unidad</v>
          </cell>
          <cell r="I1291">
            <v>3760.07</v>
          </cell>
          <cell r="K1291">
            <v>6</v>
          </cell>
          <cell r="M1291">
            <v>22560.420000000002</v>
          </cell>
        </row>
        <row r="1292">
          <cell r="A1292" t="str">
            <v>Ganchos waler</v>
          </cell>
          <cell r="H1292" t="str">
            <v>Unidad</v>
          </cell>
          <cell r="I1292">
            <v>132.03</v>
          </cell>
          <cell r="K1292">
            <v>3</v>
          </cell>
          <cell r="M1292">
            <v>396.09000000000003</v>
          </cell>
        </row>
        <row r="1293">
          <cell r="A1293" t="str">
            <v>Tuberia acero galvanizado 1" SCH 40</v>
          </cell>
          <cell r="H1293" t="str">
            <v>ml</v>
          </cell>
          <cell r="I1293">
            <v>12891.666666666666</v>
          </cell>
          <cell r="K1293">
            <v>0.55000000000000004</v>
          </cell>
          <cell r="M1293">
            <v>7090.416666666667</v>
          </cell>
        </row>
        <row r="1294">
          <cell r="A1294" t="str">
            <v>Separadores hasta 250mm encofrado metálico-muro</v>
          </cell>
          <cell r="H1294" t="str">
            <v>Unidad</v>
          </cell>
          <cell r="I1294">
            <v>422.48</v>
          </cell>
          <cell r="K1294">
            <v>13</v>
          </cell>
          <cell r="M1294">
            <v>5492.24</v>
          </cell>
        </row>
        <row r="1295">
          <cell r="A1295" t="str">
            <v>Cuñas para encofrado metalico de muro</v>
          </cell>
          <cell r="H1295" t="str">
            <v>Unidad</v>
          </cell>
          <cell r="I1295">
            <v>485.85</v>
          </cell>
          <cell r="K1295">
            <v>45</v>
          </cell>
          <cell r="M1295">
            <v>21863.25</v>
          </cell>
        </row>
        <row r="1296">
          <cell r="I1296" t="str">
            <v/>
          </cell>
          <cell r="M1296" t="str">
            <v/>
          </cell>
        </row>
        <row r="1297">
          <cell r="H1297" t="str">
            <v/>
          </cell>
          <cell r="I1297" t="str">
            <v/>
          </cell>
          <cell r="M1297" t="str">
            <v/>
          </cell>
        </row>
        <row r="1298">
          <cell r="K1298" t="str">
            <v>SUBTOTAL</v>
          </cell>
          <cell r="M1298">
            <v>68826.416666666657</v>
          </cell>
        </row>
        <row r="1300">
          <cell r="A1300" t="str">
            <v>B - HERRAMIENTA, MAQUINARIA Y EQUIPO</v>
          </cell>
        </row>
        <row r="1301">
          <cell r="A1301" t="str">
            <v>DESCRIPCIÓN</v>
          </cell>
          <cell r="H1301" t="str">
            <v>UNIDAD</v>
          </cell>
          <cell r="I1301" t="str">
            <v>TARIFA</v>
          </cell>
          <cell r="K1301" t="str">
            <v>CANTIDAD</v>
          </cell>
          <cell r="M1301" t="str">
            <v>SUB - TOTAL</v>
          </cell>
        </row>
        <row r="1302">
          <cell r="A1302" t="str">
            <v>Herramienta Menor</v>
          </cell>
          <cell r="H1302" t="str">
            <v>% M.O.</v>
          </cell>
          <cell r="I1302">
            <v>41990.758875</v>
          </cell>
          <cell r="K1302">
            <v>0.05</v>
          </cell>
          <cell r="M1302">
            <v>2099.5379437500001</v>
          </cell>
        </row>
        <row r="1303">
          <cell r="H1303" t="str">
            <v/>
          </cell>
          <cell r="I1303" t="str">
            <v/>
          </cell>
          <cell r="M1303" t="str">
            <v/>
          </cell>
        </row>
        <row r="1304">
          <cell r="H1304" t="str">
            <v/>
          </cell>
          <cell r="I1304" t="str">
            <v/>
          </cell>
          <cell r="M1304" t="str">
            <v/>
          </cell>
        </row>
        <row r="1305">
          <cell r="H1305" t="str">
            <v/>
          </cell>
          <cell r="I1305" t="str">
            <v/>
          </cell>
          <cell r="M1305" t="str">
            <v/>
          </cell>
        </row>
        <row r="1306">
          <cell r="H1306" t="str">
            <v/>
          </cell>
          <cell r="I1306" t="str">
            <v/>
          </cell>
          <cell r="M1306" t="str">
            <v/>
          </cell>
        </row>
        <row r="1307">
          <cell r="K1307" t="str">
            <v>SUBTOTAL</v>
          </cell>
          <cell r="M1307">
            <v>2099.5379437500001</v>
          </cell>
        </row>
        <row r="1309">
          <cell r="A1309" t="str">
            <v>C - TRANSPORTE</v>
          </cell>
        </row>
        <row r="1310">
          <cell r="A1310" t="str">
            <v>DESCRIPCIÓN</v>
          </cell>
          <cell r="H1310" t="str">
            <v>UNIDAD</v>
          </cell>
          <cell r="I1310" t="str">
            <v>TARIFA</v>
          </cell>
          <cell r="K1310" t="str">
            <v>CANTIDAD</v>
          </cell>
          <cell r="M1310" t="str">
            <v>SUB - TOTAL</v>
          </cell>
        </row>
        <row r="1311">
          <cell r="A1311" t="str">
            <v>Transporte de materiales</v>
          </cell>
          <cell r="H1311" t="str">
            <v>%</v>
          </cell>
          <cell r="I1311">
            <v>68826.416666666657</v>
          </cell>
          <cell r="K1311">
            <v>0.1</v>
          </cell>
          <cell r="M1311">
            <v>6882.6416666666664</v>
          </cell>
        </row>
        <row r="1312">
          <cell r="M1312" t="str">
            <v/>
          </cell>
        </row>
        <row r="1313">
          <cell r="M1313" t="str">
            <v/>
          </cell>
        </row>
        <row r="1314">
          <cell r="M1314" t="str">
            <v/>
          </cell>
        </row>
        <row r="1315">
          <cell r="M1315" t="str">
            <v/>
          </cell>
        </row>
        <row r="1316">
          <cell r="K1316" t="str">
            <v>SUBTOTAL</v>
          </cell>
          <cell r="M1316">
            <v>6882.6416666666664</v>
          </cell>
        </row>
        <row r="1318">
          <cell r="A1318" t="str">
            <v>D - MANO DE OBRA</v>
          </cell>
        </row>
        <row r="1319">
          <cell r="A1319" t="str">
            <v>DESCRIPCIÓN</v>
          </cell>
          <cell r="H1319" t="str">
            <v>UNIDAD</v>
          </cell>
          <cell r="I1319" t="str">
            <v>TARIFA</v>
          </cell>
          <cell r="K1319" t="str">
            <v>F.M.</v>
          </cell>
          <cell r="L1319" t="str">
            <v>REND.</v>
          </cell>
          <cell r="M1319" t="str">
            <v>SUB - TOTAL</v>
          </cell>
        </row>
        <row r="1320">
          <cell r="A1320" t="str">
            <v>Cuadrilla 1: 1 Ayudante A</v>
          </cell>
          <cell r="H1320" t="str">
            <v>Cuadrilla</v>
          </cell>
          <cell r="I1320">
            <v>71175</v>
          </cell>
          <cell r="K1320">
            <v>1.96655</v>
          </cell>
          <cell r="L1320">
            <v>0.3</v>
          </cell>
          <cell r="M1320">
            <v>41990.758875</v>
          </cell>
        </row>
        <row r="1321">
          <cell r="H1321" t="str">
            <v/>
          </cell>
          <cell r="I1321" t="str">
            <v/>
          </cell>
          <cell r="K1321" t="str">
            <v/>
          </cell>
          <cell r="M1321" t="str">
            <v/>
          </cell>
        </row>
        <row r="1322">
          <cell r="H1322" t="str">
            <v/>
          </cell>
          <cell r="I1322" t="str">
            <v/>
          </cell>
          <cell r="K1322" t="str">
            <v/>
          </cell>
          <cell r="M1322" t="str">
            <v/>
          </cell>
        </row>
        <row r="1323">
          <cell r="H1323" t="str">
            <v/>
          </cell>
          <cell r="I1323" t="str">
            <v/>
          </cell>
          <cell r="K1323" t="str">
            <v/>
          </cell>
          <cell r="M1323" t="str">
            <v/>
          </cell>
        </row>
        <row r="1324">
          <cell r="H1324" t="str">
            <v/>
          </cell>
          <cell r="I1324" t="str">
            <v/>
          </cell>
          <cell r="K1324" t="str">
            <v/>
          </cell>
          <cell r="M1324" t="str">
            <v/>
          </cell>
        </row>
        <row r="1325">
          <cell r="K1325" t="str">
            <v>SUBTOTAL</v>
          </cell>
          <cell r="M1325">
            <v>41990.758875</v>
          </cell>
        </row>
        <row r="1329">
          <cell r="I1329" t="str">
            <v>Elaboración</v>
          </cell>
          <cell r="K1329" t="str">
            <v>Deiner Alexander Obregon Palomeque</v>
          </cell>
        </row>
        <row r="1330">
          <cell r="I1330" t="str">
            <v>Ingeniero Civil</v>
          </cell>
          <cell r="K1330" t="str">
            <v>MP: 011037-0653228 ANT</v>
          </cell>
        </row>
        <row r="1331">
          <cell r="A1331" t="str">
            <v>SUMINISTRO FIGURADO Y ARMADO DE ACERO DE REFUERZO 60000 PSI (INCLUYE DESPERDICIO DEL 5%)</v>
          </cell>
          <cell r="M1331">
            <v>45933</v>
          </cell>
        </row>
        <row r="1334">
          <cell r="A1334" t="str">
            <v>G030</v>
          </cell>
          <cell r="B1334" t="str">
            <v>SUMINISTRO FIGURADO Y ARMADO DE ACERO DE REFUERZO 60000 PSI (INCLUYE DESPERDICIO DEL 5%)</v>
          </cell>
          <cell r="C1334" t="str">
            <v>UNIDAD:</v>
          </cell>
          <cell r="D1334" t="str">
            <v>KG</v>
          </cell>
          <cell r="E1334" t="str">
            <v>TOTAL</v>
          </cell>
          <cell r="F1334">
            <v>6735.72</v>
          </cell>
          <cell r="G1334" t="str">
            <v>EQUIPO</v>
          </cell>
          <cell r="H1334">
            <v>111.0866636904762</v>
          </cell>
          <cell r="I1334" t="str">
            <v>MATERIAL</v>
          </cell>
          <cell r="J1334">
            <v>4193.2287323943656</v>
          </cell>
          <cell r="K1334" t="str">
            <v>TRANSP.</v>
          </cell>
          <cell r="L1334">
            <v>209.6614366197183</v>
          </cell>
          <cell r="M1334" t="str">
            <v>M.O.</v>
          </cell>
          <cell r="N1334">
            <v>2221.7332738095238</v>
          </cell>
        </row>
        <row r="1336">
          <cell r="A1336" t="str">
            <v>A - MATERIALES</v>
          </cell>
        </row>
        <row r="1337">
          <cell r="A1337" t="str">
            <v>DESCRIPCIÓN</v>
          </cell>
          <cell r="H1337" t="str">
            <v>UNIDAD</v>
          </cell>
          <cell r="I1337" t="str">
            <v>TARIFA</v>
          </cell>
          <cell r="K1337" t="str">
            <v>CANTIDAD</v>
          </cell>
          <cell r="M1337" t="str">
            <v>SUB - TOTAL</v>
          </cell>
        </row>
        <row r="1338">
          <cell r="A1338" t="str">
            <v>Acero de refuerzo de 60000 PSI</v>
          </cell>
          <cell r="H1338" t="str">
            <v>Kg</v>
          </cell>
          <cell r="I1338">
            <v>3537.8940308517772</v>
          </cell>
          <cell r="K1338">
            <v>1.05</v>
          </cell>
          <cell r="M1338">
            <v>3714.788732394366</v>
          </cell>
        </row>
        <row r="1339">
          <cell r="A1339" t="str">
            <v>Alambre negro calibre 17</v>
          </cell>
          <cell r="H1339" t="str">
            <v>Kg</v>
          </cell>
          <cell r="I1339">
            <v>5316</v>
          </cell>
          <cell r="K1339">
            <v>0.09</v>
          </cell>
          <cell r="M1339">
            <v>478.44</v>
          </cell>
        </row>
        <row r="1340">
          <cell r="H1340" t="str">
            <v/>
          </cell>
          <cell r="I1340" t="str">
            <v/>
          </cell>
          <cell r="M1340" t="str">
            <v/>
          </cell>
        </row>
        <row r="1341">
          <cell r="H1341" t="str">
            <v/>
          </cell>
          <cell r="I1341" t="str">
            <v/>
          </cell>
          <cell r="M1341" t="str">
            <v/>
          </cell>
        </row>
        <row r="1342">
          <cell r="H1342" t="str">
            <v/>
          </cell>
          <cell r="I1342" t="str">
            <v/>
          </cell>
          <cell r="M1342" t="str">
            <v/>
          </cell>
        </row>
        <row r="1343">
          <cell r="K1343" t="str">
            <v>SUBTOTAL</v>
          </cell>
          <cell r="M1343">
            <v>4193.2287323943656</v>
          </cell>
        </row>
        <row r="1345">
          <cell r="A1345" t="str">
            <v>B - HERRAMIENTA, MAQUINARIA Y EQUIPO</v>
          </cell>
        </row>
        <row r="1346">
          <cell r="A1346" t="str">
            <v>DESCRIPCIÓN</v>
          </cell>
          <cell r="H1346" t="str">
            <v>UNIDAD</v>
          </cell>
          <cell r="I1346" t="str">
            <v>TARIFA</v>
          </cell>
          <cell r="K1346" t="str">
            <v>CANTIDAD</v>
          </cell>
          <cell r="M1346" t="str">
            <v>SUB - TOTAL</v>
          </cell>
        </row>
        <row r="1347">
          <cell r="A1347" t="str">
            <v>Herramienta Menor</v>
          </cell>
          <cell r="H1347" t="str">
            <v>% M.O.</v>
          </cell>
          <cell r="I1347">
            <v>2221.7332738095238</v>
          </cell>
          <cell r="K1347">
            <v>0.05</v>
          </cell>
          <cell r="M1347">
            <v>111.0866636904762</v>
          </cell>
        </row>
        <row r="1348">
          <cell r="H1348" t="str">
            <v/>
          </cell>
          <cell r="I1348" t="str">
            <v/>
          </cell>
          <cell r="M1348" t="str">
            <v/>
          </cell>
        </row>
        <row r="1349">
          <cell r="H1349" t="str">
            <v/>
          </cell>
          <cell r="I1349" t="str">
            <v/>
          </cell>
          <cell r="M1349" t="str">
            <v/>
          </cell>
        </row>
        <row r="1350">
          <cell r="H1350" t="str">
            <v/>
          </cell>
          <cell r="I1350" t="str">
            <v/>
          </cell>
          <cell r="M1350" t="str">
            <v/>
          </cell>
        </row>
        <row r="1351">
          <cell r="H1351" t="str">
            <v/>
          </cell>
          <cell r="I1351" t="str">
            <v/>
          </cell>
          <cell r="M1351" t="str">
            <v/>
          </cell>
        </row>
        <row r="1352">
          <cell r="K1352" t="str">
            <v>SUBTOTAL</v>
          </cell>
          <cell r="M1352">
            <v>111.0866636904762</v>
          </cell>
        </row>
        <row r="1354">
          <cell r="A1354" t="str">
            <v>C - TRANSPORTE</v>
          </cell>
        </row>
        <row r="1355">
          <cell r="A1355" t="str">
            <v>DESCRIPCIÓN</v>
          </cell>
          <cell r="H1355" t="str">
            <v>UNIDAD</v>
          </cell>
          <cell r="I1355" t="str">
            <v>TARIFA</v>
          </cell>
          <cell r="K1355" t="str">
            <v>CANTIDAD</v>
          </cell>
          <cell r="M1355" t="str">
            <v>SUB - TOTAL</v>
          </cell>
        </row>
        <row r="1356">
          <cell r="A1356" t="str">
            <v>Transporte de materiales</v>
          </cell>
          <cell r="H1356" t="str">
            <v>% MAT</v>
          </cell>
          <cell r="I1356">
            <v>4193.2287323943656</v>
          </cell>
          <cell r="K1356">
            <v>0.05</v>
          </cell>
          <cell r="M1356">
            <v>209.6614366197183</v>
          </cell>
        </row>
        <row r="1357">
          <cell r="M1357" t="str">
            <v/>
          </cell>
        </row>
        <row r="1358">
          <cell r="M1358" t="str">
            <v/>
          </cell>
        </row>
        <row r="1359">
          <cell r="M1359" t="str">
            <v/>
          </cell>
        </row>
        <row r="1360">
          <cell r="M1360" t="str">
            <v/>
          </cell>
        </row>
        <row r="1361">
          <cell r="K1361" t="str">
            <v>SUBTOTAL</v>
          </cell>
          <cell r="M1361">
            <v>209.6614366197183</v>
          </cell>
        </row>
        <row r="1363">
          <cell r="A1363" t="str">
            <v>D - MANO DE OBRA</v>
          </cell>
        </row>
        <row r="1364">
          <cell r="A1364" t="str">
            <v>DESCRIPCIÓN</v>
          </cell>
          <cell r="H1364" t="str">
            <v>UNIDAD</v>
          </cell>
          <cell r="I1364" t="str">
            <v>TARIFA</v>
          </cell>
          <cell r="K1364" t="str">
            <v>F.M.</v>
          </cell>
          <cell r="L1364" t="str">
            <v>REND.</v>
          </cell>
          <cell r="M1364" t="str">
            <v>SUB - TOTAL</v>
          </cell>
        </row>
        <row r="1365">
          <cell r="A1365" t="str">
            <v>Cuadrilla 6: 1 OfcA + 2 AyuA</v>
          </cell>
          <cell r="H1365" t="str">
            <v>Cuadrilla</v>
          </cell>
          <cell r="I1365">
            <v>237250</v>
          </cell>
          <cell r="K1365">
            <v>1.96655</v>
          </cell>
          <cell r="L1365">
            <v>4.7619047619047623E-3</v>
          </cell>
          <cell r="M1365">
            <v>2221.7332738095238</v>
          </cell>
        </row>
        <row r="1366">
          <cell r="H1366" t="str">
            <v/>
          </cell>
          <cell r="I1366" t="str">
            <v/>
          </cell>
          <cell r="K1366" t="str">
            <v/>
          </cell>
          <cell r="M1366" t="str">
            <v/>
          </cell>
        </row>
        <row r="1367">
          <cell r="H1367" t="str">
            <v/>
          </cell>
          <cell r="I1367" t="str">
            <v/>
          </cell>
          <cell r="K1367" t="str">
            <v/>
          </cell>
          <cell r="M1367" t="str">
            <v/>
          </cell>
        </row>
        <row r="1368">
          <cell r="H1368" t="str">
            <v/>
          </cell>
          <cell r="I1368" t="str">
            <v/>
          </cell>
          <cell r="K1368" t="str">
            <v/>
          </cell>
          <cell r="M1368" t="str">
            <v/>
          </cell>
        </row>
        <row r="1369">
          <cell r="H1369" t="str">
            <v/>
          </cell>
          <cell r="I1369" t="str">
            <v/>
          </cell>
          <cell r="K1369" t="str">
            <v/>
          </cell>
          <cell r="M1369" t="str">
            <v/>
          </cell>
        </row>
        <row r="1370">
          <cell r="K1370" t="str">
            <v>SUBTOTAL</v>
          </cell>
          <cell r="M1370">
            <v>2221.7332738095238</v>
          </cell>
        </row>
        <row r="1374">
          <cell r="I1374" t="str">
            <v>Elaboración</v>
          </cell>
          <cell r="K1374" t="str">
            <v>Deiner Alexander Obregon Palomeque</v>
          </cell>
        </row>
        <row r="1375">
          <cell r="I1375" t="str">
            <v>Ingeniero Civil</v>
          </cell>
          <cell r="K1375" t="str">
            <v>MP: 011037-0653228 ANT</v>
          </cell>
        </row>
        <row r="1376">
          <cell r="A1376" t="str">
            <v>CAJA REGISTRO DE ALCANTARILLADO 45 X 45 X 45CM EN CONCRETO DE 4000 PSI IN SITU (INCLUYE EXCAVACIÓN, ACERO DE REFUERZO 60000PSI, KIT SILLA YEE 8"X6", CODO 6" 45°, NIPLE PVC L=0,25M)</v>
          </cell>
          <cell r="M1376">
            <v>45933</v>
          </cell>
        </row>
        <row r="1379">
          <cell r="A1379" t="str">
            <v>G031</v>
          </cell>
          <cell r="B1379" t="str">
            <v>CAJA REGISTRO DE ALCANTARILLADO 45 X 45 X 45CM EN CONCRETO DE 4000 PSI IN SITU (INCLUYE EXCAVACIÓN, ACERO DE REFUERZO 60000PSI, KIT SILLA YEE 8"X6", CODO 6" 45°, NIPLE PVC L=0,25M)</v>
          </cell>
          <cell r="C1379" t="str">
            <v>UNIDAD:</v>
          </cell>
          <cell r="D1379" t="str">
            <v>UND</v>
          </cell>
          <cell r="E1379" t="str">
            <v>TOTAL</v>
          </cell>
          <cell r="F1379">
            <v>498015.6098692849</v>
          </cell>
          <cell r="G1379" t="str">
            <v>EQUIPO</v>
          </cell>
          <cell r="H1379">
            <v>1360.8116302083336</v>
          </cell>
          <cell r="I1379" t="str">
            <v>MATERIAL</v>
          </cell>
          <cell r="J1379">
            <v>447019.54766990425</v>
          </cell>
          <cell r="K1379" t="str">
            <v>TRANSP.</v>
          </cell>
          <cell r="L1379">
            <v>22419.017965005631</v>
          </cell>
          <cell r="M1379" t="str">
            <v>M.O.</v>
          </cell>
          <cell r="N1379">
            <v>27216.232604166667</v>
          </cell>
        </row>
        <row r="1381">
          <cell r="A1381" t="str">
            <v>A - MATERIALES</v>
          </cell>
        </row>
        <row r="1382">
          <cell r="A1382" t="str">
            <v>DESCRIPCIÓN</v>
          </cell>
          <cell r="H1382" t="str">
            <v>UNIDAD</v>
          </cell>
          <cell r="I1382" t="str">
            <v>TARIFA</v>
          </cell>
          <cell r="K1382" t="str">
            <v>CANTIDAD</v>
          </cell>
          <cell r="M1382" t="str">
            <v>SUB - TOTAL</v>
          </cell>
        </row>
        <row r="1383">
          <cell r="A1383" t="str">
            <v>Localización y replanteo de estructuras de acueductos (No incluye equipo de topografía)</v>
          </cell>
          <cell r="H1383" t="str">
            <v>m2</v>
          </cell>
          <cell r="I1383">
            <v>4424.68813065625</v>
          </cell>
          <cell r="K1383">
            <v>0.42250000000000004</v>
          </cell>
          <cell r="M1383">
            <v>1869.4307352022659</v>
          </cell>
        </row>
        <row r="1384">
          <cell r="A1384" t="str">
            <v>Excavación manual en material común (Incluye mano de obra, equipos y materiales)</v>
          </cell>
          <cell r="H1384" t="str">
            <v>m3</v>
          </cell>
          <cell r="I1384">
            <v>41990.758875</v>
          </cell>
          <cell r="K1384">
            <v>0.21125000000000002</v>
          </cell>
          <cell r="M1384">
            <v>8870.5478123437515</v>
          </cell>
        </row>
        <row r="1385">
          <cell r="A1385" t="str">
            <v>Concreto para solado de 2000 PSI a todo costo (140 Kg/cm2)</v>
          </cell>
          <cell r="H1385" t="str">
            <v>m3</v>
          </cell>
          <cell r="I1385">
            <v>635032.18000000005</v>
          </cell>
          <cell r="K1385">
            <v>1.0125000000000002E-2</v>
          </cell>
          <cell r="M1385">
            <v>6429.7008225000018</v>
          </cell>
        </row>
        <row r="1386">
          <cell r="A1386" t="str">
            <v>Suministro figurado y armado de acero de refuerzo 60000 PSI (Incluye desperdicio del 5%)</v>
          </cell>
          <cell r="H1386" t="str">
            <v>Kg</v>
          </cell>
          <cell r="I1386">
            <v>6735.72</v>
          </cell>
          <cell r="K1386">
            <v>4.6462433624999999</v>
          </cell>
          <cell r="M1386">
            <v>31295.7943416585</v>
          </cell>
        </row>
        <row r="1387">
          <cell r="A1387" t="str">
            <v>Concreto 4000 PSI</v>
          </cell>
          <cell r="H1387" t="str">
            <v>m3</v>
          </cell>
          <cell r="I1387">
            <v>1134546.2</v>
          </cell>
          <cell r="K1387">
            <v>6.6375000000000003E-2</v>
          </cell>
          <cell r="M1387">
            <v>75305.504025000002</v>
          </cell>
        </row>
        <row r="1388">
          <cell r="A1388" t="str">
            <v>Varilla de 1/2" corrugada (1Kg/ml)</v>
          </cell>
          <cell r="H1388" t="str">
            <v>Kg</v>
          </cell>
          <cell r="I1388">
            <v>3516.6666666666665</v>
          </cell>
          <cell r="K1388">
            <v>0.35070140280561118</v>
          </cell>
          <cell r="M1388">
            <v>1233.2999331997325</v>
          </cell>
        </row>
        <row r="1389">
          <cell r="A1389" t="str">
            <v>Soldadura para PVC 1/4 Galon</v>
          </cell>
          <cell r="H1389" t="str">
            <v>Galón</v>
          </cell>
          <cell r="I1389">
            <v>150369</v>
          </cell>
          <cell r="K1389">
            <v>0.03</v>
          </cell>
          <cell r="M1389">
            <v>4511.07</v>
          </cell>
        </row>
        <row r="1390">
          <cell r="A1390" t="str">
            <v>Limpiador PVC 1/4 Galon</v>
          </cell>
          <cell r="H1390" t="str">
            <v>Galón</v>
          </cell>
          <cell r="I1390">
            <v>72505</v>
          </cell>
          <cell r="K1390">
            <v>0.03</v>
          </cell>
          <cell r="M1390">
            <v>2175.15</v>
          </cell>
        </row>
        <row r="1391">
          <cell r="A1391" t="str">
            <v>Kit silla yee 200x160mm (incluye empaque y abrazaderas)</v>
          </cell>
          <cell r="H1391" t="str">
            <v>Unidad</v>
          </cell>
          <cell r="I1391">
            <v>217902</v>
          </cell>
          <cell r="K1391">
            <v>1</v>
          </cell>
          <cell r="M1391">
            <v>217902</v>
          </cell>
        </row>
        <row r="1392">
          <cell r="A1392" t="str">
            <v xml:space="preserve">Codo sanitario PVC Ø6" 45° </v>
          </cell>
          <cell r="H1392" t="str">
            <v>Unidad</v>
          </cell>
          <cell r="I1392">
            <v>81657</v>
          </cell>
          <cell r="K1392">
            <v>1</v>
          </cell>
          <cell r="M1392">
            <v>81657</v>
          </cell>
        </row>
        <row r="1393">
          <cell r="A1393" t="str">
            <v>Tubería PVC Ø6" RDE 26 NOVAFORT</v>
          </cell>
          <cell r="H1393" t="str">
            <v>ml</v>
          </cell>
          <cell r="I1393">
            <v>52566.833333333336</v>
          </cell>
          <cell r="K1393">
            <v>0.3</v>
          </cell>
          <cell r="M1393">
            <v>15770.05</v>
          </cell>
        </row>
        <row r="1394">
          <cell r="H1394" t="str">
            <v/>
          </cell>
          <cell r="I1394" t="str">
            <v/>
          </cell>
          <cell r="M1394" t="str">
            <v/>
          </cell>
        </row>
        <row r="1395">
          <cell r="K1395" t="str">
            <v>SUBTOTAL</v>
          </cell>
          <cell r="M1395">
            <v>447019.54766990425</v>
          </cell>
        </row>
        <row r="1397">
          <cell r="A1397" t="str">
            <v>B - HERRAMIENTA, MAQUINARIA Y EQUIPO</v>
          </cell>
        </row>
        <row r="1398">
          <cell r="A1398" t="str">
            <v>DESCRIPCIÓN</v>
          </cell>
          <cell r="H1398" t="str">
            <v>UNIDAD</v>
          </cell>
          <cell r="I1398" t="str">
            <v>TARIFA</v>
          </cell>
          <cell r="K1398" t="str">
            <v>CANTIDAD</v>
          </cell>
          <cell r="M1398" t="str">
            <v>SUB - TOTAL</v>
          </cell>
        </row>
        <row r="1399">
          <cell r="A1399" t="str">
            <v>Herramienta Menor</v>
          </cell>
          <cell r="H1399" t="str">
            <v>% M.O.</v>
          </cell>
          <cell r="I1399">
            <v>27216.232604166667</v>
          </cell>
          <cell r="K1399">
            <v>0.05</v>
          </cell>
          <cell r="M1399">
            <v>1360.8116302083336</v>
          </cell>
        </row>
        <row r="1400">
          <cell r="M1400" t="str">
            <v/>
          </cell>
        </row>
        <row r="1401">
          <cell r="M1401" t="str">
            <v/>
          </cell>
        </row>
        <row r="1402">
          <cell r="H1402" t="str">
            <v/>
          </cell>
          <cell r="I1402" t="str">
            <v/>
          </cell>
          <cell r="M1402" t="str">
            <v/>
          </cell>
        </row>
        <row r="1403">
          <cell r="H1403" t="str">
            <v/>
          </cell>
          <cell r="I1403" t="str">
            <v/>
          </cell>
          <cell r="M1403" t="str">
            <v/>
          </cell>
        </row>
        <row r="1404">
          <cell r="K1404" t="str">
            <v>SUBTOTAL</v>
          </cell>
          <cell r="M1404">
            <v>1360.8116302083336</v>
          </cell>
        </row>
        <row r="1406">
          <cell r="A1406" t="str">
            <v>C - TRANSPORTE</v>
          </cell>
        </row>
        <row r="1407">
          <cell r="A1407" t="str">
            <v>DESCRIPCIÓN</v>
          </cell>
          <cell r="H1407" t="str">
            <v>UNIDAD</v>
          </cell>
          <cell r="I1407" t="str">
            <v>TARIFA</v>
          </cell>
          <cell r="K1407" t="str">
            <v>CANTIDAD</v>
          </cell>
          <cell r="M1407" t="str">
            <v>SUB - TOTAL</v>
          </cell>
        </row>
        <row r="1408">
          <cell r="A1408" t="str">
            <v>Transporte de materiales</v>
          </cell>
          <cell r="H1408" t="str">
            <v>% Mat</v>
          </cell>
          <cell r="I1408">
            <v>447019.54766990425</v>
          </cell>
          <cell r="K1408">
            <v>0.05</v>
          </cell>
          <cell r="M1408">
            <v>22350.977383495214</v>
          </cell>
        </row>
        <row r="1409">
          <cell r="A1409" t="str">
            <v>Transporte de herramientas y equipos</v>
          </cell>
          <cell r="H1409" t="str">
            <v>%</v>
          </cell>
          <cell r="I1409">
            <v>1360.8116302083336</v>
          </cell>
          <cell r="K1409">
            <v>0.05</v>
          </cell>
          <cell r="M1409">
            <v>68.040581510416686</v>
          </cell>
        </row>
        <row r="1410">
          <cell r="M1410" t="str">
            <v/>
          </cell>
        </row>
        <row r="1411">
          <cell r="M1411" t="str">
            <v/>
          </cell>
        </row>
        <row r="1412">
          <cell r="M1412" t="str">
            <v/>
          </cell>
        </row>
        <row r="1413">
          <cell r="K1413" t="str">
            <v>SUBTOTAL</v>
          </cell>
          <cell r="M1413">
            <v>22419.017965005631</v>
          </cell>
        </row>
        <row r="1415">
          <cell r="A1415" t="str">
            <v>D - MANO DE OBRA</v>
          </cell>
        </row>
        <row r="1416">
          <cell r="A1416" t="str">
            <v>DESCRIPCIÓN</v>
          </cell>
          <cell r="H1416" t="str">
            <v>UNIDAD</v>
          </cell>
          <cell r="I1416" t="str">
            <v>TARIFA</v>
          </cell>
          <cell r="K1416" t="str">
            <v>F.M.</v>
          </cell>
          <cell r="L1416" t="str">
            <v>REND.</v>
          </cell>
          <cell r="M1416" t="str">
            <v>SUB - TOTAL</v>
          </cell>
        </row>
        <row r="1417">
          <cell r="A1417" t="str">
            <v>Cuadrilla 5: 1 OfcA + 1 AyuA</v>
          </cell>
          <cell r="H1417" t="str">
            <v>Cuadrilla</v>
          </cell>
          <cell r="I1417">
            <v>166075</v>
          </cell>
          <cell r="K1417">
            <v>1.96655</v>
          </cell>
          <cell r="L1417">
            <v>8.3333333333333329E-2</v>
          </cell>
          <cell r="M1417">
            <v>27216.232604166667</v>
          </cell>
        </row>
        <row r="1418">
          <cell r="H1418" t="str">
            <v/>
          </cell>
          <cell r="I1418" t="str">
            <v/>
          </cell>
          <cell r="K1418" t="str">
            <v/>
          </cell>
          <cell r="M1418" t="str">
            <v/>
          </cell>
        </row>
        <row r="1419">
          <cell r="H1419" t="str">
            <v/>
          </cell>
          <cell r="I1419" t="str">
            <v/>
          </cell>
          <cell r="K1419" t="str">
            <v/>
          </cell>
          <cell r="M1419" t="str">
            <v/>
          </cell>
        </row>
        <row r="1420">
          <cell r="H1420" t="str">
            <v/>
          </cell>
          <cell r="I1420" t="str">
            <v/>
          </cell>
          <cell r="K1420" t="str">
            <v/>
          </cell>
          <cell r="M1420" t="str">
            <v/>
          </cell>
        </row>
        <row r="1421">
          <cell r="H1421" t="str">
            <v/>
          </cell>
          <cell r="I1421" t="str">
            <v/>
          </cell>
          <cell r="K1421" t="str">
            <v/>
          </cell>
          <cell r="M1421" t="str">
            <v/>
          </cell>
        </row>
        <row r="1422">
          <cell r="K1422" t="str">
            <v>SUBTOTAL</v>
          </cell>
          <cell r="M1422">
            <v>27216.232604166667</v>
          </cell>
        </row>
        <row r="1426">
          <cell r="I1426" t="str">
            <v>Elaboración</v>
          </cell>
          <cell r="K1426" t="str">
            <v>Deiner Alexander Obregon Palomeque</v>
          </cell>
        </row>
        <row r="1427">
          <cell r="I1427" t="str">
            <v>Ingeniero Civil</v>
          </cell>
          <cell r="K1427" t="str">
            <v>MP: 011037-0653228 ANT</v>
          </cell>
        </row>
        <row r="1428">
          <cell r="A1428" t="str">
            <v>SUMINISTRO DE TUBERÍA PVC DE Ø6" ALCANTARILLADO</v>
          </cell>
          <cell r="M1428">
            <v>45933</v>
          </cell>
        </row>
        <row r="1431">
          <cell r="A1431" t="str">
            <v>G032</v>
          </cell>
          <cell r="B1431" t="str">
            <v>SUMINISTRO DE TUBERÍA PVC DE Ø6" ALCANTARILLADO</v>
          </cell>
          <cell r="C1431" t="str">
            <v>UNIDAD:</v>
          </cell>
          <cell r="D1431" t="str">
            <v>ML</v>
          </cell>
          <cell r="E1431" t="str">
            <v>TOTAL</v>
          </cell>
          <cell r="F1431">
            <v>55195.175000000003</v>
          </cell>
          <cell r="G1431" t="str">
            <v>EQUIPO</v>
          </cell>
          <cell r="H1431">
            <v>52566.833333333336</v>
          </cell>
          <cell r="I1431" t="str">
            <v>MATERIAL</v>
          </cell>
          <cell r="J1431">
            <v>0</v>
          </cell>
          <cell r="K1431" t="str">
            <v>TRANSP.</v>
          </cell>
          <cell r="L1431">
            <v>2628.3416666666672</v>
          </cell>
          <cell r="M1431" t="str">
            <v>M.O.</v>
          </cell>
          <cell r="N1431">
            <v>0</v>
          </cell>
        </row>
        <row r="1433">
          <cell r="A1433" t="str">
            <v>A - MATERIALES</v>
          </cell>
        </row>
        <row r="1434">
          <cell r="A1434" t="str">
            <v>DESCRIPCIÓN</v>
          </cell>
          <cell r="H1434" t="str">
            <v>UNIDAD</v>
          </cell>
          <cell r="I1434" t="str">
            <v>TARIFA</v>
          </cell>
          <cell r="K1434" t="str">
            <v>CANTIDAD</v>
          </cell>
          <cell r="M1434" t="str">
            <v>SUB - TOTAL</v>
          </cell>
        </row>
        <row r="1435">
          <cell r="A1435" t="str">
            <v>Tubería PVC Ø6" RDE 26 NOVAFORT</v>
          </cell>
          <cell r="H1435" t="str">
            <v>ml</v>
          </cell>
          <cell r="I1435">
            <v>52566.833333333336</v>
          </cell>
          <cell r="K1435">
            <v>1</v>
          </cell>
          <cell r="M1435">
            <v>52566.833333333336</v>
          </cell>
        </row>
        <row r="1436">
          <cell r="H1436" t="str">
            <v/>
          </cell>
          <cell r="I1436" t="str">
            <v/>
          </cell>
          <cell r="M1436" t="str">
            <v/>
          </cell>
        </row>
        <row r="1437">
          <cell r="H1437" t="str">
            <v/>
          </cell>
          <cell r="I1437" t="str">
            <v/>
          </cell>
          <cell r="M1437" t="str">
            <v/>
          </cell>
        </row>
        <row r="1438">
          <cell r="H1438" t="str">
            <v/>
          </cell>
          <cell r="I1438" t="str">
            <v/>
          </cell>
          <cell r="M1438" t="str">
            <v/>
          </cell>
        </row>
        <row r="1439">
          <cell r="H1439" t="str">
            <v/>
          </cell>
          <cell r="I1439" t="str">
            <v/>
          </cell>
          <cell r="M1439" t="str">
            <v/>
          </cell>
        </row>
        <row r="1440">
          <cell r="H1440" t="str">
            <v/>
          </cell>
          <cell r="I1440" t="str">
            <v/>
          </cell>
          <cell r="M1440" t="str">
            <v/>
          </cell>
        </row>
        <row r="1441">
          <cell r="K1441" t="str">
            <v>SUBTOTAL</v>
          </cell>
          <cell r="M1441">
            <v>52566.833333333336</v>
          </cell>
        </row>
        <row r="1443">
          <cell r="A1443" t="str">
            <v>B - HERRAMIENTA, MAQUINARIA Y EQUIPO</v>
          </cell>
        </row>
        <row r="1444">
          <cell r="A1444" t="str">
            <v>DESCRIPCIÓN</v>
          </cell>
          <cell r="H1444" t="str">
            <v>UNIDAD</v>
          </cell>
          <cell r="I1444" t="str">
            <v>TARIFA</v>
          </cell>
          <cell r="K1444" t="str">
            <v>CANTIDAD</v>
          </cell>
          <cell r="M1444" t="str">
            <v>SUB - TOTAL</v>
          </cell>
        </row>
        <row r="1445">
          <cell r="H1445" t="str">
            <v/>
          </cell>
          <cell r="M1445" t="str">
            <v/>
          </cell>
        </row>
        <row r="1446">
          <cell r="H1446" t="str">
            <v/>
          </cell>
          <cell r="I1446" t="str">
            <v/>
          </cell>
          <cell r="M1446" t="str">
            <v/>
          </cell>
        </row>
        <row r="1447">
          <cell r="H1447" t="str">
            <v/>
          </cell>
          <cell r="I1447" t="str">
            <v/>
          </cell>
          <cell r="M1447" t="str">
            <v/>
          </cell>
        </row>
        <row r="1448">
          <cell r="H1448" t="str">
            <v/>
          </cell>
          <cell r="I1448" t="str">
            <v/>
          </cell>
          <cell r="M1448" t="str">
            <v/>
          </cell>
        </row>
        <row r="1449">
          <cell r="H1449" t="str">
            <v/>
          </cell>
          <cell r="I1449" t="str">
            <v/>
          </cell>
          <cell r="M1449" t="str">
            <v/>
          </cell>
        </row>
        <row r="1450">
          <cell r="K1450" t="str">
            <v>SUBTOTAL</v>
          </cell>
          <cell r="M1450">
            <v>0</v>
          </cell>
        </row>
        <row r="1452">
          <cell r="A1452" t="str">
            <v>C - TRANSPORTE</v>
          </cell>
        </row>
        <row r="1453">
          <cell r="A1453" t="str">
            <v>DESCRIPCIÓN</v>
          </cell>
          <cell r="H1453" t="str">
            <v>UNIDAD</v>
          </cell>
          <cell r="I1453" t="str">
            <v>TARIFA</v>
          </cell>
          <cell r="K1453" t="str">
            <v>CANTIDAD</v>
          </cell>
          <cell r="M1453" t="str">
            <v>SUB - TOTAL</v>
          </cell>
        </row>
        <row r="1454">
          <cell r="A1454" t="str">
            <v>Transporte de materiales</v>
          </cell>
          <cell r="H1454" t="str">
            <v>% Mat</v>
          </cell>
          <cell r="I1454">
            <v>52566.833333333336</v>
          </cell>
          <cell r="K1454">
            <v>0.05</v>
          </cell>
          <cell r="M1454">
            <v>2628.3416666666672</v>
          </cell>
        </row>
        <row r="1455">
          <cell r="M1455" t="str">
            <v/>
          </cell>
        </row>
        <row r="1456">
          <cell r="M1456" t="str">
            <v/>
          </cell>
        </row>
        <row r="1457">
          <cell r="M1457" t="str">
            <v/>
          </cell>
        </row>
        <row r="1458">
          <cell r="M1458" t="str">
            <v/>
          </cell>
        </row>
        <row r="1459">
          <cell r="K1459" t="str">
            <v>SUBTOTAL</v>
          </cell>
          <cell r="M1459">
            <v>2628.3416666666672</v>
          </cell>
        </row>
        <row r="1461">
          <cell r="A1461" t="str">
            <v>D - MANO DE OBRA</v>
          </cell>
        </row>
        <row r="1462">
          <cell r="A1462" t="str">
            <v>DESCRIPCIÓN</v>
          </cell>
          <cell r="H1462" t="str">
            <v>UNIDAD</v>
          </cell>
          <cell r="I1462" t="str">
            <v>TARIFA</v>
          </cell>
          <cell r="K1462" t="str">
            <v>F.M.</v>
          </cell>
          <cell r="L1462" t="str">
            <v>REND.</v>
          </cell>
          <cell r="M1462" t="str">
            <v>SUB - TOTAL</v>
          </cell>
        </row>
        <row r="1463">
          <cell r="H1463" t="str">
            <v/>
          </cell>
          <cell r="I1463" t="str">
            <v/>
          </cell>
          <cell r="K1463" t="str">
            <v/>
          </cell>
          <cell r="M1463" t="str">
            <v/>
          </cell>
        </row>
        <row r="1464">
          <cell r="H1464" t="str">
            <v/>
          </cell>
          <cell r="I1464" t="str">
            <v/>
          </cell>
          <cell r="K1464" t="str">
            <v/>
          </cell>
          <cell r="M1464" t="str">
            <v/>
          </cell>
        </row>
        <row r="1465">
          <cell r="H1465" t="str">
            <v/>
          </cell>
          <cell r="I1465" t="str">
            <v/>
          </cell>
          <cell r="K1465" t="str">
            <v/>
          </cell>
          <cell r="M1465" t="str">
            <v/>
          </cell>
        </row>
        <row r="1466">
          <cell r="H1466" t="str">
            <v/>
          </cell>
          <cell r="I1466" t="str">
            <v/>
          </cell>
          <cell r="K1466" t="str">
            <v/>
          </cell>
          <cell r="M1466" t="str">
            <v/>
          </cell>
        </row>
        <row r="1467">
          <cell r="H1467" t="str">
            <v/>
          </cell>
          <cell r="I1467" t="str">
            <v/>
          </cell>
          <cell r="K1467" t="str">
            <v/>
          </cell>
          <cell r="M1467" t="str">
            <v/>
          </cell>
        </row>
        <row r="1468">
          <cell r="K1468" t="str">
            <v>SUBTOTAL</v>
          </cell>
          <cell r="M1468">
            <v>0</v>
          </cell>
        </row>
        <row r="1472">
          <cell r="I1472" t="str">
            <v>Elaboración</v>
          </cell>
          <cell r="K1472" t="str">
            <v>Deiner Alexander Obregon Palomeque</v>
          </cell>
        </row>
        <row r="1473">
          <cell r="I1473" t="str">
            <v>Ingeniero Civil</v>
          </cell>
          <cell r="K1473" t="str">
            <v>MP: 011037-0653228 ANT</v>
          </cell>
        </row>
        <row r="1474">
          <cell r="A1474" t="str">
            <v>INSTALACIÓN DE TUBERÍA PVC DE Ø6"</v>
          </cell>
          <cell r="M1474">
            <v>45933</v>
          </cell>
        </row>
        <row r="1477">
          <cell r="A1477" t="str">
            <v>G033</v>
          </cell>
          <cell r="B1477" t="str">
            <v>INSTALACIÓN DE TUBERÍA PVC DE Ø6"</v>
          </cell>
          <cell r="C1477" t="str">
            <v>UNIDAD:</v>
          </cell>
          <cell r="D1477" t="str">
            <v>ML</v>
          </cell>
          <cell r="E1477" t="str">
            <v>TOTAL</v>
          </cell>
          <cell r="F1477">
            <v>23616.82</v>
          </cell>
          <cell r="G1477" t="str">
            <v>EQUIPO</v>
          </cell>
          <cell r="H1477">
            <v>13372.439999999999</v>
          </cell>
          <cell r="I1477" t="str">
            <v>MATERIAL</v>
          </cell>
          <cell r="J1477">
            <v>424.14907954545464</v>
          </cell>
          <cell r="K1477" t="str">
            <v>TRANSP.</v>
          </cell>
          <cell r="L1477">
            <v>1337.2439999999999</v>
          </cell>
          <cell r="M1477" t="str">
            <v>M.O.</v>
          </cell>
          <cell r="N1477">
            <v>8482.9815909090921</v>
          </cell>
        </row>
        <row r="1479">
          <cell r="A1479" t="str">
            <v>A - MATERIALES</v>
          </cell>
        </row>
        <row r="1480">
          <cell r="A1480" t="str">
            <v>DESCRIPCIÓN</v>
          </cell>
          <cell r="H1480" t="str">
            <v>UNIDAD</v>
          </cell>
          <cell r="I1480" t="str">
            <v>TARIFA</v>
          </cell>
          <cell r="K1480" t="str">
            <v>CANTIDAD</v>
          </cell>
          <cell r="M1480" t="str">
            <v>SUB - TOTAL</v>
          </cell>
        </row>
        <row r="1481">
          <cell r="A1481" t="str">
            <v>Limpiador PVC 1/4 Galon</v>
          </cell>
          <cell r="H1481" t="str">
            <v>Galón</v>
          </cell>
          <cell r="I1481">
            <v>72505</v>
          </cell>
          <cell r="K1481">
            <v>0.06</v>
          </cell>
          <cell r="M1481">
            <v>4350.3</v>
          </cell>
        </row>
        <row r="1482">
          <cell r="A1482" t="str">
            <v>Soldadura para PVC 1/4 Galon</v>
          </cell>
          <cell r="H1482" t="str">
            <v>Galón</v>
          </cell>
          <cell r="I1482">
            <v>150369</v>
          </cell>
          <cell r="K1482">
            <v>0.06</v>
          </cell>
          <cell r="M1482">
            <v>9022.14</v>
          </cell>
        </row>
        <row r="1483">
          <cell r="H1483" t="str">
            <v/>
          </cell>
          <cell r="I1483" t="str">
            <v/>
          </cell>
          <cell r="M1483" t="str">
            <v/>
          </cell>
        </row>
        <row r="1484">
          <cell r="H1484" t="str">
            <v/>
          </cell>
          <cell r="I1484" t="str">
            <v/>
          </cell>
          <cell r="M1484" t="str">
            <v/>
          </cell>
        </row>
        <row r="1485">
          <cell r="H1485" t="str">
            <v/>
          </cell>
          <cell r="I1485" t="str">
            <v/>
          </cell>
          <cell r="M1485" t="str">
            <v/>
          </cell>
        </row>
        <row r="1486">
          <cell r="H1486" t="str">
            <v/>
          </cell>
          <cell r="I1486" t="str">
            <v/>
          </cell>
          <cell r="M1486" t="str">
            <v/>
          </cell>
        </row>
        <row r="1487">
          <cell r="K1487" t="str">
            <v>SUBTOTAL</v>
          </cell>
          <cell r="M1487">
            <v>13372.439999999999</v>
          </cell>
        </row>
        <row r="1489">
          <cell r="A1489" t="str">
            <v>B - HERRAMIENTA, MAQUINARIA Y EQUIPO</v>
          </cell>
        </row>
        <row r="1490">
          <cell r="A1490" t="str">
            <v>DESCRIPCIÓN</v>
          </cell>
          <cell r="H1490" t="str">
            <v>UNIDAD</v>
          </cell>
          <cell r="I1490" t="str">
            <v>TARIFA</v>
          </cell>
          <cell r="K1490" t="str">
            <v>CANTIDAD</v>
          </cell>
          <cell r="M1490" t="str">
            <v>SUB - TOTAL</v>
          </cell>
        </row>
        <row r="1491">
          <cell r="A1491" t="str">
            <v>Herramienta Menor</v>
          </cell>
          <cell r="H1491" t="str">
            <v>% M.O.</v>
          </cell>
          <cell r="I1491">
            <v>8482.9815909090921</v>
          </cell>
          <cell r="K1491">
            <v>0.05</v>
          </cell>
          <cell r="M1491">
            <v>424.14907954545464</v>
          </cell>
        </row>
        <row r="1492">
          <cell r="H1492" t="str">
            <v/>
          </cell>
          <cell r="I1492" t="str">
            <v/>
          </cell>
          <cell r="M1492" t="str">
            <v/>
          </cell>
        </row>
        <row r="1493">
          <cell r="H1493" t="str">
            <v/>
          </cell>
          <cell r="I1493" t="str">
            <v/>
          </cell>
          <cell r="M1493" t="str">
            <v/>
          </cell>
        </row>
        <row r="1494">
          <cell r="H1494" t="str">
            <v/>
          </cell>
          <cell r="I1494" t="str">
            <v/>
          </cell>
          <cell r="M1494" t="str">
            <v/>
          </cell>
        </row>
        <row r="1495">
          <cell r="H1495" t="str">
            <v/>
          </cell>
          <cell r="I1495" t="str">
            <v/>
          </cell>
          <cell r="M1495" t="str">
            <v/>
          </cell>
        </row>
        <row r="1496">
          <cell r="K1496" t="str">
            <v>SUBTOTAL</v>
          </cell>
          <cell r="M1496">
            <v>424.14907954545464</v>
          </cell>
        </row>
        <row r="1498">
          <cell r="A1498" t="str">
            <v>C - TRANSPORTE</v>
          </cell>
        </row>
        <row r="1499">
          <cell r="A1499" t="str">
            <v>DESCRIPCIÓN</v>
          </cell>
          <cell r="H1499" t="str">
            <v>UNIDAD</v>
          </cell>
          <cell r="I1499" t="str">
            <v>TARIFA</v>
          </cell>
          <cell r="K1499" t="str">
            <v>CANTIDAD</v>
          </cell>
          <cell r="M1499" t="str">
            <v>SUB - TOTAL</v>
          </cell>
        </row>
        <row r="1500">
          <cell r="A1500" t="str">
            <v>Transporte de materiales</v>
          </cell>
          <cell r="H1500" t="str">
            <v>%</v>
          </cell>
          <cell r="I1500">
            <v>13372.439999999999</v>
          </cell>
          <cell r="K1500">
            <v>0.1</v>
          </cell>
          <cell r="M1500">
            <v>1337.2439999999999</v>
          </cell>
        </row>
        <row r="1501">
          <cell r="M1501" t="str">
            <v/>
          </cell>
        </row>
        <row r="1502">
          <cell r="M1502" t="str">
            <v/>
          </cell>
        </row>
        <row r="1503">
          <cell r="M1503" t="str">
            <v/>
          </cell>
        </row>
        <row r="1504">
          <cell r="M1504" t="str">
            <v/>
          </cell>
        </row>
        <row r="1505">
          <cell r="K1505" t="str">
            <v>SUBTOTAL</v>
          </cell>
          <cell r="M1505">
            <v>1337.2439999999999</v>
          </cell>
        </row>
        <row r="1507">
          <cell r="A1507" t="str">
            <v>D - MANO DE OBRA</v>
          </cell>
        </row>
        <row r="1508">
          <cell r="A1508" t="str">
            <v>DESCRIPCIÓN</v>
          </cell>
          <cell r="H1508" t="str">
            <v>UNIDAD</v>
          </cell>
          <cell r="I1508" t="str">
            <v>TARIFA</v>
          </cell>
          <cell r="K1508" t="str">
            <v>F.M.</v>
          </cell>
          <cell r="L1508" t="str">
            <v>REND.</v>
          </cell>
          <cell r="M1508" t="str">
            <v>SUB - TOTAL</v>
          </cell>
        </row>
        <row r="1509">
          <cell r="A1509" t="str">
            <v xml:space="preserve">Cuadrilla 2: 2 Ayudantes A </v>
          </cell>
          <cell r="H1509" t="str">
            <v>Cuadrilla</v>
          </cell>
          <cell r="I1509">
            <v>142350</v>
          </cell>
          <cell r="K1509">
            <v>1.96655</v>
          </cell>
          <cell r="L1509">
            <v>3.0303030303030304E-2</v>
          </cell>
          <cell r="M1509">
            <v>8482.9815909090921</v>
          </cell>
        </row>
        <row r="1510">
          <cell r="H1510" t="str">
            <v/>
          </cell>
          <cell r="I1510" t="str">
            <v/>
          </cell>
          <cell r="K1510" t="str">
            <v/>
          </cell>
          <cell r="M1510" t="str">
            <v/>
          </cell>
        </row>
        <row r="1511">
          <cell r="H1511" t="str">
            <v/>
          </cell>
          <cell r="I1511" t="str">
            <v/>
          </cell>
          <cell r="K1511" t="str">
            <v/>
          </cell>
          <cell r="M1511" t="str">
            <v/>
          </cell>
        </row>
        <row r="1512">
          <cell r="H1512" t="str">
            <v/>
          </cell>
          <cell r="I1512" t="str">
            <v/>
          </cell>
          <cell r="K1512" t="str">
            <v/>
          </cell>
          <cell r="M1512" t="str">
            <v/>
          </cell>
        </row>
        <row r="1513">
          <cell r="H1513" t="str">
            <v/>
          </cell>
          <cell r="I1513" t="str">
            <v/>
          </cell>
          <cell r="K1513" t="str">
            <v/>
          </cell>
          <cell r="M1513" t="str">
            <v/>
          </cell>
        </row>
        <row r="1514">
          <cell r="K1514" t="str">
            <v>SUBTOTAL</v>
          </cell>
          <cell r="M1514">
            <v>8482.9815909090921</v>
          </cell>
        </row>
        <row r="1518">
          <cell r="I1518" t="str">
            <v>Elaboración</v>
          </cell>
          <cell r="K1518" t="str">
            <v>Deiner Alexander Obregon Palomeque</v>
          </cell>
        </row>
        <row r="1519">
          <cell r="I1519" t="str">
            <v>Ingeniero Civil</v>
          </cell>
          <cell r="K1519" t="str">
            <v>MP: 011037-0653228 ANT</v>
          </cell>
        </row>
        <row r="1520">
          <cell r="A1520" t="str">
            <v>CONCRETO PARA PISO DE 4000 PSI IMPERMEABILIZADO A TODO COSTO (280 KG/CM2)</v>
          </cell>
          <cell r="M1520">
            <v>45933</v>
          </cell>
        </row>
        <row r="1523">
          <cell r="A1523" t="str">
            <v>G034</v>
          </cell>
          <cell r="B1523" t="str">
            <v>CONCRETO PARA PISO DE 4000 PSI IMPERMEABILIZADO A TODO COSTO (280 KG/CM2)</v>
          </cell>
          <cell r="C1523" t="str">
            <v>UNIDAD:</v>
          </cell>
          <cell r="D1523" t="str">
            <v>M3</v>
          </cell>
          <cell r="E1523" t="str">
            <v>TOTAL</v>
          </cell>
          <cell r="F1523">
            <v>836182.56705922401</v>
          </cell>
          <cell r="G1523" t="str">
            <v>EQUIPO</v>
          </cell>
          <cell r="H1523">
            <v>42075.359777777776</v>
          </cell>
          <cell r="I1523" t="str">
            <v>MATERIAL</v>
          </cell>
          <cell r="J1523">
            <v>455292.52173913043</v>
          </cell>
          <cell r="K1523" t="str">
            <v>TRANSP.</v>
          </cell>
          <cell r="L1523">
            <v>172925.26776453809</v>
          </cell>
          <cell r="M1523" t="str">
            <v>M.O.</v>
          </cell>
          <cell r="N1523">
            <v>165889.41777777777</v>
          </cell>
        </row>
        <row r="1525">
          <cell r="A1525" t="str">
            <v>A - MATERIALES</v>
          </cell>
        </row>
        <row r="1526">
          <cell r="A1526" t="str">
            <v>DESCRIPCIÓN</v>
          </cell>
          <cell r="H1526" t="str">
            <v>UNIDAD</v>
          </cell>
          <cell r="I1526" t="str">
            <v>TARIFA</v>
          </cell>
          <cell r="K1526" t="str">
            <v>CANTIDAD</v>
          </cell>
          <cell r="M1526" t="str">
            <v>SUB - TOTAL</v>
          </cell>
        </row>
        <row r="1527">
          <cell r="A1527" t="str">
            <v>Cemento gris</v>
          </cell>
          <cell r="H1527" t="str">
            <v>Kg</v>
          </cell>
          <cell r="I1527">
            <v>658</v>
          </cell>
          <cell r="K1527">
            <v>425</v>
          </cell>
          <cell r="M1527">
            <v>279650</v>
          </cell>
        </row>
        <row r="1528">
          <cell r="A1528" t="str">
            <v>Arena triturada pasante 3/8"</v>
          </cell>
          <cell r="H1528" t="str">
            <v>m3</v>
          </cell>
          <cell r="I1528">
            <v>65450</v>
          </cell>
          <cell r="K1528">
            <v>0.57999999999999996</v>
          </cell>
          <cell r="M1528">
            <v>37961</v>
          </cell>
        </row>
        <row r="1529">
          <cell r="A1529" t="str">
            <v>Triturado pasante de 3/4" retenido en 3/8"</v>
          </cell>
          <cell r="H1529" t="str">
            <v>m3</v>
          </cell>
          <cell r="I1529">
            <v>113050</v>
          </cell>
          <cell r="K1529">
            <v>0.7</v>
          </cell>
          <cell r="M1529">
            <v>79135</v>
          </cell>
        </row>
        <row r="1530">
          <cell r="A1530" t="str">
            <v>Agua</v>
          </cell>
          <cell r="H1530" t="str">
            <v>Lt</v>
          </cell>
          <cell r="I1530">
            <v>20</v>
          </cell>
          <cell r="K1530">
            <v>200</v>
          </cell>
          <cell r="M1530">
            <v>4000</v>
          </cell>
        </row>
        <row r="1531">
          <cell r="A1531" t="str">
            <v xml:space="preserve">Impermeabilizante plastocrete DM </v>
          </cell>
          <cell r="H1531" t="str">
            <v>Kg</v>
          </cell>
          <cell r="I1531">
            <v>25608.695652173916</v>
          </cell>
          <cell r="K1531">
            <v>2.13</v>
          </cell>
          <cell r="M1531">
            <v>54546.52173913044</v>
          </cell>
        </row>
        <row r="1532">
          <cell r="H1532" t="str">
            <v/>
          </cell>
          <cell r="I1532" t="str">
            <v/>
          </cell>
          <cell r="M1532" t="str">
            <v/>
          </cell>
        </row>
        <row r="1533">
          <cell r="H1533" t="str">
            <v/>
          </cell>
          <cell r="I1533" t="str">
            <v/>
          </cell>
          <cell r="M1533" t="str">
            <v/>
          </cell>
        </row>
        <row r="1534">
          <cell r="H1534" t="str">
            <v/>
          </cell>
          <cell r="I1534" t="str">
            <v/>
          </cell>
          <cell r="M1534" t="str">
            <v/>
          </cell>
        </row>
        <row r="1535">
          <cell r="H1535" t="str">
            <v/>
          </cell>
          <cell r="I1535" t="str">
            <v/>
          </cell>
          <cell r="M1535" t="str">
            <v/>
          </cell>
        </row>
        <row r="1536">
          <cell r="K1536" t="str">
            <v>SUBTOTAL</v>
          </cell>
          <cell r="M1536">
            <v>455292.52173913043</v>
          </cell>
        </row>
        <row r="1538">
          <cell r="A1538" t="str">
            <v>B - HERRAMIENTA, MAQUINARIA Y EQUIPO</v>
          </cell>
        </row>
        <row r="1539">
          <cell r="A1539" t="str">
            <v>DESCRIPCIÓN</v>
          </cell>
          <cell r="H1539" t="str">
            <v>UNIDAD</v>
          </cell>
          <cell r="I1539" t="str">
            <v>TARIFA</v>
          </cell>
          <cell r="K1539" t="str">
            <v>CANTIDAD</v>
          </cell>
          <cell r="M1539" t="str">
            <v>SUB - TOTAL</v>
          </cell>
        </row>
        <row r="1540">
          <cell r="A1540" t="str">
            <v>Herramienta Menor</v>
          </cell>
          <cell r="H1540" t="str">
            <v>% M.O.</v>
          </cell>
          <cell r="I1540">
            <v>165889.41777777777</v>
          </cell>
          <cell r="K1540">
            <v>0.05</v>
          </cell>
          <cell r="M1540">
            <v>8294.470888888889</v>
          </cell>
        </row>
        <row r="1541">
          <cell r="A1541" t="str">
            <v>Mezcladora Diesel (1.5 - 2.0 BTOS) incluye combustible</v>
          </cell>
          <cell r="H1541" t="str">
            <v>Dia</v>
          </cell>
          <cell r="I1541">
            <v>102014</v>
          </cell>
          <cell r="K1541">
            <v>0.22222222222222221</v>
          </cell>
          <cell r="M1541">
            <v>22669.777777777777</v>
          </cell>
        </row>
        <row r="1542">
          <cell r="A1542" t="str">
            <v>Vibrador de Mezcla (diesel) incluye combustible</v>
          </cell>
          <cell r="H1542" t="str">
            <v>Dia</v>
          </cell>
          <cell r="I1542">
            <v>50000</v>
          </cell>
          <cell r="K1542">
            <v>0.22222222222222221</v>
          </cell>
          <cell r="M1542">
            <v>11111.111111111111</v>
          </cell>
        </row>
        <row r="1543">
          <cell r="H1543" t="str">
            <v/>
          </cell>
          <cell r="I1543" t="str">
            <v/>
          </cell>
          <cell r="M1543" t="str">
            <v/>
          </cell>
        </row>
        <row r="1544">
          <cell r="H1544" t="str">
            <v/>
          </cell>
          <cell r="I1544" t="str">
            <v/>
          </cell>
          <cell r="M1544" t="str">
            <v/>
          </cell>
        </row>
        <row r="1545">
          <cell r="K1545" t="str">
            <v>SUBTOTAL</v>
          </cell>
          <cell r="M1545">
            <v>42075.359777777776</v>
          </cell>
        </row>
        <row r="1547">
          <cell r="A1547" t="str">
            <v>C - TRANSPORTE</v>
          </cell>
        </row>
        <row r="1548">
          <cell r="A1548" t="str">
            <v>DESCRIPCIÓN</v>
          </cell>
          <cell r="H1548" t="str">
            <v>UNIDAD</v>
          </cell>
          <cell r="I1548" t="str">
            <v>TARIFA</v>
          </cell>
          <cell r="K1548" t="str">
            <v>CANTIDAD</v>
          </cell>
          <cell r="M1548" t="str">
            <v>SUB - TOTAL</v>
          </cell>
        </row>
        <row r="1549">
          <cell r="A1549" t="str">
            <v>Transporte de maquinaria y equipos</v>
          </cell>
          <cell r="H1549" t="str">
            <v>% H,M,E</v>
          </cell>
          <cell r="I1549">
            <v>42075.359777777776</v>
          </cell>
          <cell r="K1549">
            <v>0.1</v>
          </cell>
          <cell r="M1549">
            <v>4207.5359777777776</v>
          </cell>
        </row>
        <row r="1550">
          <cell r="A1550" t="str">
            <v>Transporte de materiales de cantera</v>
          </cell>
          <cell r="H1550" t="str">
            <v>KM/M3</v>
          </cell>
          <cell r="I1550">
            <v>1879.1399946228782</v>
          </cell>
          <cell r="K1550">
            <v>72</v>
          </cell>
          <cell r="M1550">
            <v>135298.07961284724</v>
          </cell>
        </row>
        <row r="1551">
          <cell r="A1551" t="str">
            <v>Transporte de materiales de ferretería</v>
          </cell>
          <cell r="H1551" t="str">
            <v>%</v>
          </cell>
          <cell r="I1551">
            <v>334196.52173913043</v>
          </cell>
          <cell r="K1551">
            <v>0.1</v>
          </cell>
          <cell r="M1551">
            <v>33419.652173913048</v>
          </cell>
        </row>
        <row r="1552">
          <cell r="M1552" t="str">
            <v/>
          </cell>
        </row>
        <row r="1553">
          <cell r="M1553" t="str">
            <v/>
          </cell>
        </row>
        <row r="1554">
          <cell r="K1554" t="str">
            <v>SUBTOTAL</v>
          </cell>
          <cell r="M1554">
            <v>172925.26776453809</v>
          </cell>
        </row>
        <row r="1556">
          <cell r="A1556" t="str">
            <v>D - MANO DE OBRA</v>
          </cell>
        </row>
        <row r="1557">
          <cell r="A1557" t="str">
            <v>DESCRIPCIÓN</v>
          </cell>
          <cell r="H1557" t="str">
            <v>UNIDAD</v>
          </cell>
          <cell r="I1557" t="str">
            <v>TARIFA</v>
          </cell>
          <cell r="K1557" t="str">
            <v>F.M.</v>
          </cell>
          <cell r="L1557" t="str">
            <v>REND.</v>
          </cell>
          <cell r="M1557" t="str">
            <v>SUB - TOTAL</v>
          </cell>
        </row>
        <row r="1558">
          <cell r="A1558" t="str">
            <v>Cuadrilla 8: 1 OfcA + 4 AyuA</v>
          </cell>
          <cell r="H1558" t="str">
            <v>Cuadrilla</v>
          </cell>
          <cell r="I1558">
            <v>379600</v>
          </cell>
          <cell r="K1558">
            <v>1.96655</v>
          </cell>
          <cell r="L1558">
            <v>0.22222222222222221</v>
          </cell>
          <cell r="M1558">
            <v>165889.41777777777</v>
          </cell>
        </row>
        <row r="1559">
          <cell r="H1559" t="str">
            <v/>
          </cell>
          <cell r="I1559" t="str">
            <v/>
          </cell>
          <cell r="K1559" t="str">
            <v/>
          </cell>
          <cell r="M1559" t="str">
            <v/>
          </cell>
        </row>
        <row r="1560">
          <cell r="H1560" t="str">
            <v/>
          </cell>
          <cell r="I1560" t="str">
            <v/>
          </cell>
          <cell r="K1560" t="str">
            <v/>
          </cell>
          <cell r="M1560" t="str">
            <v/>
          </cell>
        </row>
        <row r="1561">
          <cell r="H1561" t="str">
            <v/>
          </cell>
          <cell r="I1561" t="str">
            <v/>
          </cell>
          <cell r="K1561" t="str">
            <v/>
          </cell>
          <cell r="M1561" t="str">
            <v/>
          </cell>
        </row>
        <row r="1562">
          <cell r="H1562" t="str">
            <v/>
          </cell>
          <cell r="I1562" t="str">
            <v/>
          </cell>
          <cell r="K1562" t="str">
            <v/>
          </cell>
          <cell r="M1562" t="str">
            <v/>
          </cell>
        </row>
        <row r="1563">
          <cell r="K1563" t="str">
            <v>SUBTOTAL</v>
          </cell>
          <cell r="M1563">
            <v>165889.41777777777</v>
          </cell>
        </row>
        <row r="1567">
          <cell r="I1567" t="str">
            <v>Elaboración</v>
          </cell>
          <cell r="K1567" t="str">
            <v>Deiner Alexander Obregon Palomeque</v>
          </cell>
        </row>
        <row r="1568">
          <cell r="I1568" t="str">
            <v>Ingeniero Civil</v>
          </cell>
          <cell r="K1568" t="str">
            <v>MP: 011037-0653228 ANT</v>
          </cell>
        </row>
        <row r="1569">
          <cell r="A1569" t="str">
            <v>EXTENDIDO MANUAL DE TIERRAS CON MATERIAL DE LA PROPIA EXCAVACÍON</v>
          </cell>
          <cell r="M1569">
            <v>45933</v>
          </cell>
        </row>
        <row r="1572">
          <cell r="A1572" t="str">
            <v>G035</v>
          </cell>
          <cell r="B1572" t="str">
            <v>EXTENDIDO MANUAL DE TIERRAS CON MATERIAL DE LA PROPIA EXCAVACÍON</v>
          </cell>
          <cell r="C1572" t="str">
            <v>UNIDAD:</v>
          </cell>
          <cell r="D1572" t="str">
            <v>M3</v>
          </cell>
          <cell r="E1572" t="str">
            <v>TOTAL</v>
          </cell>
          <cell r="F1572">
            <v>22045.148409375</v>
          </cell>
          <cell r="G1572" t="str">
            <v>EQUIPO</v>
          </cell>
          <cell r="H1572">
            <v>0</v>
          </cell>
          <cell r="I1572" t="str">
            <v>MATERIAL</v>
          </cell>
          <cell r="J1572">
            <v>1049.768971875</v>
          </cell>
          <cell r="K1572" t="str">
            <v>TRANSP.</v>
          </cell>
          <cell r="L1572">
            <v>0</v>
          </cell>
          <cell r="M1572" t="str">
            <v>M.O.</v>
          </cell>
          <cell r="N1572">
            <v>20995.3794375</v>
          </cell>
        </row>
        <row r="1574">
          <cell r="A1574" t="str">
            <v>A - MATERIALES</v>
          </cell>
        </row>
        <row r="1575">
          <cell r="A1575" t="str">
            <v>DESCRIPCIÓN</v>
          </cell>
          <cell r="H1575" t="str">
            <v>UNIDAD</v>
          </cell>
          <cell r="I1575" t="str">
            <v>TARIFA</v>
          </cell>
          <cell r="K1575" t="str">
            <v>CANTIDAD</v>
          </cell>
          <cell r="M1575" t="str">
            <v>SUB - TOTAL</v>
          </cell>
        </row>
        <row r="1576">
          <cell r="H1576" t="str">
            <v/>
          </cell>
          <cell r="I1576" t="str">
            <v/>
          </cell>
          <cell r="M1576" t="str">
            <v/>
          </cell>
        </row>
        <row r="1577">
          <cell r="H1577" t="str">
            <v/>
          </cell>
          <cell r="I1577" t="str">
            <v/>
          </cell>
          <cell r="M1577" t="str">
            <v/>
          </cell>
        </row>
        <row r="1578">
          <cell r="H1578" t="str">
            <v/>
          </cell>
          <cell r="I1578" t="str">
            <v/>
          </cell>
          <cell r="M1578" t="str">
            <v/>
          </cell>
        </row>
        <row r="1579">
          <cell r="H1579" t="str">
            <v/>
          </cell>
          <cell r="I1579" t="str">
            <v/>
          </cell>
          <cell r="M1579" t="str">
            <v/>
          </cell>
        </row>
        <row r="1580">
          <cell r="H1580" t="str">
            <v/>
          </cell>
          <cell r="I1580" t="str">
            <v/>
          </cell>
          <cell r="M1580" t="str">
            <v/>
          </cell>
        </row>
        <row r="1581">
          <cell r="H1581" t="str">
            <v/>
          </cell>
          <cell r="I1581" t="str">
            <v/>
          </cell>
          <cell r="M1581" t="str">
            <v/>
          </cell>
        </row>
        <row r="1582">
          <cell r="K1582" t="str">
            <v>SUBTOTAL</v>
          </cell>
          <cell r="M1582">
            <v>0</v>
          </cell>
        </row>
        <row r="1584">
          <cell r="A1584" t="str">
            <v>B - HERRAMIENTA, MAQUINARIA Y EQUIPO</v>
          </cell>
        </row>
        <row r="1585">
          <cell r="A1585" t="str">
            <v>DESCRIPCIÓN</v>
          </cell>
          <cell r="H1585" t="str">
            <v>UNIDAD</v>
          </cell>
          <cell r="I1585" t="str">
            <v>TARIFA</v>
          </cell>
          <cell r="K1585" t="str">
            <v>CANTIDAD</v>
          </cell>
          <cell r="M1585" t="str">
            <v>SUB - TOTAL</v>
          </cell>
        </row>
        <row r="1586">
          <cell r="A1586" t="str">
            <v>Herramienta Menor</v>
          </cell>
          <cell r="H1586" t="str">
            <v>% M.O.</v>
          </cell>
          <cell r="I1586">
            <v>20995.3794375</v>
          </cell>
          <cell r="K1586">
            <v>0.05</v>
          </cell>
          <cell r="M1586">
            <v>1049.768971875</v>
          </cell>
        </row>
        <row r="1587">
          <cell r="H1587" t="str">
            <v/>
          </cell>
          <cell r="I1587" t="str">
            <v/>
          </cell>
          <cell r="M1587" t="str">
            <v/>
          </cell>
        </row>
        <row r="1588">
          <cell r="H1588" t="str">
            <v/>
          </cell>
          <cell r="I1588" t="str">
            <v/>
          </cell>
          <cell r="M1588" t="str">
            <v/>
          </cell>
        </row>
        <row r="1589">
          <cell r="H1589" t="str">
            <v/>
          </cell>
          <cell r="I1589" t="str">
            <v/>
          </cell>
          <cell r="M1589" t="str">
            <v/>
          </cell>
        </row>
        <row r="1590">
          <cell r="H1590" t="str">
            <v/>
          </cell>
          <cell r="I1590" t="str">
            <v/>
          </cell>
          <cell r="M1590" t="str">
            <v/>
          </cell>
        </row>
        <row r="1591">
          <cell r="K1591" t="str">
            <v>SUBTOTAL</v>
          </cell>
          <cell r="M1591">
            <v>1049.768971875</v>
          </cell>
        </row>
        <row r="1593">
          <cell r="A1593" t="str">
            <v>C - TRANSPORTE</v>
          </cell>
        </row>
        <row r="1594">
          <cell r="A1594" t="str">
            <v>DESCRIPCIÓN</v>
          </cell>
          <cell r="H1594" t="str">
            <v>UNIDAD</v>
          </cell>
          <cell r="I1594" t="str">
            <v>TARIFA</v>
          </cell>
          <cell r="K1594" t="str">
            <v>CANTIDAD</v>
          </cell>
          <cell r="M1594" t="str">
            <v>SUB - TOTAL</v>
          </cell>
        </row>
        <row r="1595">
          <cell r="M1595" t="str">
            <v/>
          </cell>
        </row>
        <row r="1596">
          <cell r="M1596" t="str">
            <v/>
          </cell>
        </row>
        <row r="1597">
          <cell r="M1597" t="str">
            <v/>
          </cell>
        </row>
        <row r="1598">
          <cell r="M1598" t="str">
            <v/>
          </cell>
        </row>
        <row r="1599">
          <cell r="M1599" t="str">
            <v/>
          </cell>
        </row>
        <row r="1600">
          <cell r="K1600" t="str">
            <v>SUBTOTAL</v>
          </cell>
          <cell r="M1600">
            <v>0</v>
          </cell>
        </row>
        <row r="1602">
          <cell r="A1602" t="str">
            <v>D - MANO DE OBRA</v>
          </cell>
        </row>
        <row r="1603">
          <cell r="A1603" t="str">
            <v>DESCRIPCIÓN</v>
          </cell>
          <cell r="H1603" t="str">
            <v>UNIDAD</v>
          </cell>
          <cell r="I1603" t="str">
            <v>TARIFA</v>
          </cell>
          <cell r="K1603" t="str">
            <v>F.M.</v>
          </cell>
          <cell r="L1603" t="str">
            <v>REND.</v>
          </cell>
          <cell r="M1603" t="str">
            <v>SUB - TOTAL</v>
          </cell>
        </row>
        <row r="1604">
          <cell r="A1604" t="str">
            <v>Cuadrilla 1: 1 Ayudante A</v>
          </cell>
          <cell r="H1604" t="str">
            <v>Cuadrilla</v>
          </cell>
          <cell r="I1604">
            <v>71175</v>
          </cell>
          <cell r="K1604">
            <v>1.96655</v>
          </cell>
          <cell r="L1604">
            <v>0.15</v>
          </cell>
          <cell r="M1604">
            <v>20995.3794375</v>
          </cell>
        </row>
        <row r="1605">
          <cell r="H1605" t="str">
            <v/>
          </cell>
          <cell r="I1605" t="str">
            <v/>
          </cell>
          <cell r="K1605" t="str">
            <v/>
          </cell>
          <cell r="M1605" t="str">
            <v/>
          </cell>
        </row>
        <row r="1606">
          <cell r="H1606" t="str">
            <v/>
          </cell>
          <cell r="I1606" t="str">
            <v/>
          </cell>
          <cell r="K1606" t="str">
            <v/>
          </cell>
          <cell r="M1606" t="str">
            <v/>
          </cell>
        </row>
        <row r="1607">
          <cell r="H1607" t="str">
            <v/>
          </cell>
          <cell r="I1607" t="str">
            <v/>
          </cell>
          <cell r="K1607" t="str">
            <v/>
          </cell>
          <cell r="M1607" t="str">
            <v/>
          </cell>
        </row>
        <row r="1608">
          <cell r="H1608" t="str">
            <v/>
          </cell>
          <cell r="I1608" t="str">
            <v/>
          </cell>
          <cell r="K1608" t="str">
            <v/>
          </cell>
          <cell r="M1608" t="str">
            <v/>
          </cell>
        </row>
        <row r="1609">
          <cell r="K1609" t="str">
            <v>SUBTOTAL</v>
          </cell>
          <cell r="M1609">
            <v>20995.3794375</v>
          </cell>
        </row>
        <row r="1613">
          <cell r="I1613" t="str">
            <v>Elaboración</v>
          </cell>
          <cell r="K1613" t="str">
            <v>Deiner Alexander Obregon Palomeque</v>
          </cell>
        </row>
        <row r="1614">
          <cell r="I1614" t="str">
            <v>Ingeniero Civil</v>
          </cell>
          <cell r="K1614" t="str">
            <v>MP: 011037-0653228 ANT</v>
          </cell>
        </row>
        <row r="1615">
          <cell r="A1615" t="str">
            <v>TRANSPORTE PARA DISPOSICIÓN DE RESIDUOS (INCLUYE CONDUCTOR)</v>
          </cell>
          <cell r="M1615">
            <v>45933</v>
          </cell>
        </row>
        <row r="1618">
          <cell r="A1618" t="str">
            <v>G036</v>
          </cell>
          <cell r="B1618" t="str">
            <v>TRANSPORTE PARA DISPOSICIÓN DE RESIDUOS (INCLUYE CONDUCTOR)</v>
          </cell>
          <cell r="C1618" t="str">
            <v>UNIDAD:</v>
          </cell>
          <cell r="D1618" t="str">
            <v>M3-KM</v>
          </cell>
          <cell r="E1618" t="str">
            <v>TOTAL</v>
          </cell>
          <cell r="F1618">
            <v>1879.1399946228782</v>
          </cell>
          <cell r="G1618" t="str">
            <v>EQUIPO</v>
          </cell>
          <cell r="H1618">
            <v>0</v>
          </cell>
          <cell r="I1618" t="str">
            <v>MATERIAL</v>
          </cell>
          <cell r="J1618">
            <v>1653.2707407407408</v>
          </cell>
          <cell r="K1618" t="str">
            <v>TRANSP.</v>
          </cell>
          <cell r="L1618">
            <v>0</v>
          </cell>
          <cell r="M1618" t="str">
            <v>M.O.</v>
          </cell>
          <cell r="N1618">
            <v>225.86925388213737</v>
          </cell>
        </row>
        <row r="1620">
          <cell r="A1620" t="str">
            <v>A - MATERIALES</v>
          </cell>
        </row>
        <row r="1621">
          <cell r="A1621" t="str">
            <v>DESCRIPCIÓN</v>
          </cell>
          <cell r="H1621" t="str">
            <v>UNIDAD</v>
          </cell>
          <cell r="I1621" t="str">
            <v>TARIFA</v>
          </cell>
          <cell r="K1621" t="str">
            <v>CANTIDAD</v>
          </cell>
          <cell r="M1621" t="str">
            <v>SUB - TOTAL</v>
          </cell>
        </row>
        <row r="1622">
          <cell r="H1622" t="str">
            <v/>
          </cell>
          <cell r="I1622" t="str">
            <v/>
          </cell>
          <cell r="M1622" t="str">
            <v/>
          </cell>
        </row>
        <row r="1623">
          <cell r="H1623" t="str">
            <v/>
          </cell>
          <cell r="I1623" t="str">
            <v/>
          </cell>
          <cell r="M1623" t="str">
            <v/>
          </cell>
        </row>
        <row r="1624">
          <cell r="K1624" t="str">
            <v>SUBTOTAL</v>
          </cell>
          <cell r="M1624">
            <v>0</v>
          </cell>
        </row>
        <row r="1626">
          <cell r="A1626" t="str">
            <v>B - HERRAMIENTA, MAQUINARIA Y EQUIPO</v>
          </cell>
        </row>
        <row r="1627">
          <cell r="A1627" t="str">
            <v>DESCRIPCIÓN</v>
          </cell>
          <cell r="H1627" t="str">
            <v>UNIDAD</v>
          </cell>
          <cell r="I1627" t="str">
            <v>TARIFA</v>
          </cell>
          <cell r="K1627" t="str">
            <v>CANTIDAD</v>
          </cell>
          <cell r="M1627" t="str">
            <v>SUB - TOTAL</v>
          </cell>
        </row>
        <row r="1628">
          <cell r="A1628" t="str">
            <v>Velocidad promedio transporte cargado</v>
          </cell>
          <cell r="H1628" t="str">
            <v>Km/h</v>
          </cell>
          <cell r="K1628">
            <v>30</v>
          </cell>
        </row>
        <row r="1629">
          <cell r="A1629" t="str">
            <v>Velocidad promedio transporte vacio</v>
          </cell>
          <cell r="H1629" t="str">
            <v>Km/h</v>
          </cell>
          <cell r="K1629">
            <v>60</v>
          </cell>
        </row>
        <row r="1630">
          <cell r="A1630" t="str">
            <v>Capacidad de carga transporte (volqueta)</v>
          </cell>
          <cell r="H1630" t="str">
            <v>m3</v>
          </cell>
          <cell r="K1630">
            <v>6</v>
          </cell>
        </row>
        <row r="1631">
          <cell r="A1631" t="str">
            <v>Capacidad de carga transporte (volqueta) para el tipo de material</v>
          </cell>
          <cell r="H1631" t="str">
            <v>Ton</v>
          </cell>
          <cell r="K1631">
            <v>9</v>
          </cell>
        </row>
        <row r="1632">
          <cell r="A1632" t="str">
            <v>Capacidad de carga del cucharon (retroexcavadora)</v>
          </cell>
          <cell r="H1632" t="str">
            <v>m3</v>
          </cell>
          <cell r="K1632">
            <v>0.2</v>
          </cell>
        </row>
        <row r="1633">
          <cell r="A1633" t="str">
            <v>Tiempo de giro, posicionamiento y descarga (retroexcavadora)</v>
          </cell>
          <cell r="H1633" t="str">
            <v>min/ciclo</v>
          </cell>
          <cell r="K1633">
            <v>1</v>
          </cell>
        </row>
        <row r="1634">
          <cell r="A1634" t="str">
            <v>Tiempo de posicionamiento en el punto de cargue</v>
          </cell>
          <cell r="H1634" t="str">
            <v>min</v>
          </cell>
          <cell r="K1634">
            <v>1</v>
          </cell>
        </row>
        <row r="1635">
          <cell r="A1635" t="str">
            <v>Distancia estimada a recorrer</v>
          </cell>
          <cell r="H1635" t="str">
            <v>Km</v>
          </cell>
          <cell r="K1635">
            <v>72</v>
          </cell>
        </row>
        <row r="1636">
          <cell r="A1636" t="str">
            <v>Factor de llenado de balde</v>
          </cell>
          <cell r="H1636" t="str">
            <v>%</v>
          </cell>
          <cell r="K1636">
            <v>0.05</v>
          </cell>
        </row>
        <row r="1637">
          <cell r="A1637" t="str">
            <v>Factor de esponjamiento del material</v>
          </cell>
          <cell r="H1637" t="str">
            <v>%</v>
          </cell>
          <cell r="K1637">
            <v>0.3</v>
          </cell>
        </row>
        <row r="1638">
          <cell r="A1638" t="str">
            <v>Densidad del material</v>
          </cell>
          <cell r="H1638" t="str">
            <v>Ton/m3</v>
          </cell>
          <cell r="K1638">
            <v>1.5</v>
          </cell>
        </row>
        <row r="1639">
          <cell r="A1639" t="str">
            <v>Tarifa transporte (volqueta 6m3)</v>
          </cell>
          <cell r="H1639" t="str">
            <v>COP/hr</v>
          </cell>
          <cell r="I1639">
            <v>150000</v>
          </cell>
        </row>
        <row r="1640">
          <cell r="A1640" t="str">
            <v>Costo por disposición final viaje de volqueta sencilla 6 m3</v>
          </cell>
          <cell r="H1640" t="str">
            <v>COP/viaje</v>
          </cell>
          <cell r="I1640">
            <v>0</v>
          </cell>
        </row>
        <row r="1641">
          <cell r="A1641" t="str">
            <v>Costo por disposición final</v>
          </cell>
          <cell r="H1641" t="str">
            <v>COP/m3</v>
          </cell>
          <cell r="I1641">
            <v>0</v>
          </cell>
        </row>
        <row r="1642">
          <cell r="A1642" t="str">
            <v>Número de paladas por cargue de volqueta</v>
          </cell>
          <cell r="H1642" t="str">
            <v>un</v>
          </cell>
          <cell r="K1642">
            <v>46</v>
          </cell>
        </row>
        <row r="1643">
          <cell r="A1643" t="str">
            <v>Tiempo de cargue de volqueta</v>
          </cell>
          <cell r="H1643" t="str">
            <v>hr</v>
          </cell>
          <cell r="K1643">
            <v>0.76666666666666672</v>
          </cell>
        </row>
        <row r="1644">
          <cell r="A1644" t="str">
            <v>Tiempo de posicionamiento de equipo de cargue y de transporte</v>
          </cell>
          <cell r="H1644" t="str">
            <v>hr</v>
          </cell>
          <cell r="K1644">
            <v>1.6666666666666666E-2</v>
          </cell>
        </row>
        <row r="1645">
          <cell r="A1645" t="str">
            <v>Tiempo de transporte a sitio seleccionado</v>
          </cell>
          <cell r="H1645" t="str">
            <v>hr</v>
          </cell>
          <cell r="K1645">
            <v>2.4</v>
          </cell>
        </row>
        <row r="1646">
          <cell r="A1646" t="str">
            <v>Tiempo de transporte de retorno a obra</v>
          </cell>
          <cell r="H1646" t="str">
            <v>hr</v>
          </cell>
          <cell r="K1646">
            <v>1.2</v>
          </cell>
        </row>
        <row r="1647">
          <cell r="A1647" t="str">
            <v>Tiempo total de ciclo para una volqueta</v>
          </cell>
          <cell r="H1647" t="str">
            <v>hr</v>
          </cell>
          <cell r="K1647">
            <v>4.3833333333333337</v>
          </cell>
        </row>
        <row r="1648">
          <cell r="A1648" t="str">
            <v>Combustible (ACPM)</v>
          </cell>
          <cell r="H1648" t="str">
            <v>Galón</v>
          </cell>
          <cell r="I1648">
            <v>9846</v>
          </cell>
        </row>
        <row r="1649">
          <cell r="A1649" t="str">
            <v>Rendimiento combustible</v>
          </cell>
          <cell r="H1649" t="str">
            <v>Galón/100KM</v>
          </cell>
          <cell r="K1649">
            <v>8</v>
          </cell>
        </row>
        <row r="1650">
          <cell r="A1650" t="str">
            <v>Consumo combustible</v>
          </cell>
          <cell r="H1650" t="str">
            <v>COP</v>
          </cell>
          <cell r="M1650">
            <v>56712.959999999999</v>
          </cell>
        </row>
        <row r="1651">
          <cell r="A1651" t="str">
            <v>Costo por cada ciclo de volqueta</v>
          </cell>
          <cell r="H1651" t="str">
            <v>COP</v>
          </cell>
          <cell r="M1651">
            <v>714212.96000000008</v>
          </cell>
        </row>
        <row r="1652">
          <cell r="A1652" t="str">
            <v>Cantidad de transporte por cada ciclo</v>
          </cell>
          <cell r="H1652" t="str">
            <v>m3-Km</v>
          </cell>
          <cell r="K1652">
            <v>432</v>
          </cell>
        </row>
        <row r="1653">
          <cell r="K1653" t="str">
            <v>SUBTOTAL</v>
          </cell>
          <cell r="M1653">
            <v>1653.2707407407408</v>
          </cell>
        </row>
        <row r="1655">
          <cell r="A1655" t="str">
            <v>C - TRANSPORTE</v>
          </cell>
        </row>
        <row r="1656">
          <cell r="A1656" t="str">
            <v>DESCRIPCIÓN</v>
          </cell>
          <cell r="H1656" t="str">
            <v>UNIDAD</v>
          </cell>
          <cell r="I1656" t="str">
            <v>TARIFA</v>
          </cell>
          <cell r="K1656" t="str">
            <v>CANTIDAD</v>
          </cell>
          <cell r="M1656" t="str">
            <v>SUB - TOTAL</v>
          </cell>
        </row>
        <row r="1658">
          <cell r="M1658" t="str">
            <v/>
          </cell>
        </row>
        <row r="1659">
          <cell r="K1659" t="str">
            <v>SUBTOTAL</v>
          </cell>
          <cell r="M1659">
            <v>0</v>
          </cell>
        </row>
        <row r="1661">
          <cell r="A1661" t="str">
            <v>D - MANO DE OBRA</v>
          </cell>
        </row>
        <row r="1662">
          <cell r="A1662" t="str">
            <v>DESCRIPCIÓN</v>
          </cell>
          <cell r="H1662" t="str">
            <v>UNIDAD</v>
          </cell>
          <cell r="I1662" t="str">
            <v>TARIFA</v>
          </cell>
          <cell r="K1662" t="str">
            <v>F.M.</v>
          </cell>
          <cell r="L1662" t="str">
            <v>REND.</v>
          </cell>
          <cell r="M1662" t="str">
            <v>SUB - TOTAL</v>
          </cell>
        </row>
        <row r="1663">
          <cell r="A1663" t="str">
            <v>Conductor</v>
          </cell>
          <cell r="H1663" t="str">
            <v>Cuadrilla</v>
          </cell>
          <cell r="I1663">
            <v>94900</v>
          </cell>
          <cell r="K1663">
            <v>1.8765499999999999</v>
          </cell>
          <cell r="L1663">
            <v>1.2683256172839508E-3</v>
          </cell>
          <cell r="M1663">
            <v>225.86925388213737</v>
          </cell>
        </row>
        <row r="1664">
          <cell r="H1664" t="str">
            <v/>
          </cell>
          <cell r="I1664" t="str">
            <v/>
          </cell>
          <cell r="K1664" t="str">
            <v/>
          </cell>
          <cell r="M1664" t="str">
            <v/>
          </cell>
        </row>
        <row r="1665">
          <cell r="H1665" t="str">
            <v/>
          </cell>
          <cell r="I1665" t="str">
            <v/>
          </cell>
          <cell r="K1665" t="str">
            <v/>
          </cell>
          <cell r="M1665" t="str">
            <v/>
          </cell>
        </row>
        <row r="1666">
          <cell r="K1666" t="str">
            <v>SUBTOTAL</v>
          </cell>
          <cell r="M1666">
            <v>225.86925388213737</v>
          </cell>
        </row>
        <row r="1669">
          <cell r="I1669" t="str">
            <v>Elaboración</v>
          </cell>
          <cell r="K1669" t="str">
            <v>Deiner Alexander Obregon Palomeque</v>
          </cell>
        </row>
        <row r="1670">
          <cell r="I1670" t="str">
            <v>Ingeniero Civil</v>
          </cell>
          <cell r="K1670" t="str">
            <v>MP: 011037-0653228 ANT</v>
          </cell>
        </row>
        <row r="1671">
          <cell r="A1671" t="str">
            <v>CONCRETO PARA MUROS DE CILINDRO DE POZOS DE ALCANTARILLADO DE 4000 PSI IMPERMEABILIZADO DE 280 KG/CM2 (INCLUYE FORMALETA METÁLICA POR AMBOS LADOS)</v>
          </cell>
          <cell r="M1671">
            <v>45933</v>
          </cell>
        </row>
        <row r="1674">
          <cell r="A1674" t="str">
            <v>G037</v>
          </cell>
          <cell r="B1674" t="str">
            <v>CONCRETO PARA MUROS DE CILINDRO DE POZOS DE ALCANTARILLADO DE 4000 PSI IMPERMEABILIZADO DE 280 KG/CM2 (INCLUYE FORMALETA METÁLICA POR AMBOS LADOS)</v>
          </cell>
          <cell r="C1674" t="str">
            <v>UNIDAD:</v>
          </cell>
          <cell r="D1674" t="str">
            <v>M3</v>
          </cell>
          <cell r="E1674" t="str">
            <v>TOTAL</v>
          </cell>
          <cell r="F1674">
            <v>954487.64425089071</v>
          </cell>
          <cell r="G1674" t="str">
            <v>EQUIPO</v>
          </cell>
          <cell r="H1674">
            <v>42774.359750000003</v>
          </cell>
          <cell r="I1674" t="str">
            <v>MATERIAL</v>
          </cell>
          <cell r="J1674">
            <v>543292.52173913037</v>
          </cell>
          <cell r="K1674" t="str">
            <v>TRANSP.</v>
          </cell>
          <cell r="L1674">
            <v>181795.1677617603</v>
          </cell>
          <cell r="M1674" t="str">
            <v>M.O.</v>
          </cell>
          <cell r="N1674">
            <v>186625.595</v>
          </cell>
        </row>
        <row r="1676">
          <cell r="A1676" t="str">
            <v>A - MATERIALES</v>
          </cell>
        </row>
        <row r="1677">
          <cell r="A1677" t="str">
            <v>DESCRIPCIÓN</v>
          </cell>
          <cell r="H1677" t="str">
            <v>UNIDAD</v>
          </cell>
          <cell r="I1677" t="str">
            <v>TARIFA</v>
          </cell>
          <cell r="K1677" t="str">
            <v>CANTIDAD</v>
          </cell>
          <cell r="M1677" t="str">
            <v>SUB - TOTAL</v>
          </cell>
        </row>
        <row r="1678">
          <cell r="A1678" t="str">
            <v>Cemento gris</v>
          </cell>
          <cell r="H1678" t="str">
            <v>Kg</v>
          </cell>
          <cell r="I1678">
            <v>658</v>
          </cell>
          <cell r="K1678">
            <v>425</v>
          </cell>
          <cell r="M1678">
            <v>279650</v>
          </cell>
        </row>
        <row r="1679">
          <cell r="A1679" t="str">
            <v>Arena triturada pasante 3/8"</v>
          </cell>
          <cell r="H1679" t="str">
            <v>m3</v>
          </cell>
          <cell r="I1679">
            <v>65450</v>
          </cell>
          <cell r="K1679">
            <v>0.57999999999999996</v>
          </cell>
          <cell r="M1679">
            <v>37961</v>
          </cell>
        </row>
        <row r="1680">
          <cell r="A1680" t="str">
            <v>Triturado pasante de 3/4" retenido en 3/8"</v>
          </cell>
          <cell r="H1680" t="str">
            <v>m3</v>
          </cell>
          <cell r="I1680">
            <v>113050</v>
          </cell>
          <cell r="K1680">
            <v>0.7</v>
          </cell>
          <cell r="M1680">
            <v>79135</v>
          </cell>
        </row>
        <row r="1681">
          <cell r="A1681" t="str">
            <v>Agua</v>
          </cell>
          <cell r="H1681" t="str">
            <v>Lt</v>
          </cell>
          <cell r="I1681">
            <v>20</v>
          </cell>
          <cell r="K1681">
            <v>200</v>
          </cell>
          <cell r="M1681">
            <v>4000</v>
          </cell>
        </row>
        <row r="1682">
          <cell r="A1682" t="str">
            <v xml:space="preserve">Impermeabilizante plastocrete DM </v>
          </cell>
          <cell r="H1682" t="str">
            <v>Kg</v>
          </cell>
          <cell r="I1682">
            <v>25608.695652173916</v>
          </cell>
          <cell r="K1682">
            <v>2.13</v>
          </cell>
          <cell r="M1682">
            <v>54546.52173913044</v>
          </cell>
        </row>
        <row r="1683">
          <cell r="A1683" t="str">
            <v>Formaleta metálica para cilindro de pozo</v>
          </cell>
          <cell r="H1683" t="str">
            <v>Unidad</v>
          </cell>
          <cell r="I1683">
            <v>88000</v>
          </cell>
          <cell r="K1683">
            <v>1</v>
          </cell>
          <cell r="M1683">
            <v>88000</v>
          </cell>
        </row>
        <row r="1684">
          <cell r="H1684" t="str">
            <v/>
          </cell>
          <cell r="I1684" t="str">
            <v/>
          </cell>
          <cell r="M1684" t="str">
            <v/>
          </cell>
        </row>
        <row r="1685">
          <cell r="H1685" t="str">
            <v/>
          </cell>
          <cell r="I1685" t="str">
            <v/>
          </cell>
          <cell r="M1685" t="str">
            <v/>
          </cell>
        </row>
        <row r="1686">
          <cell r="H1686" t="str">
            <v/>
          </cell>
          <cell r="I1686" t="str">
            <v/>
          </cell>
          <cell r="M1686" t="str">
            <v/>
          </cell>
        </row>
        <row r="1687">
          <cell r="K1687" t="str">
            <v>SUBTOTAL</v>
          </cell>
          <cell r="M1687">
            <v>543292.52173913037</v>
          </cell>
        </row>
        <row r="1689">
          <cell r="A1689" t="str">
            <v>B - HERRAMIENTA, MAQUINARIA Y EQUIPO</v>
          </cell>
        </row>
        <row r="1690">
          <cell r="A1690" t="str">
            <v>DESCRIPCIÓN</v>
          </cell>
          <cell r="H1690" t="str">
            <v>UNIDAD</v>
          </cell>
          <cell r="I1690" t="str">
            <v>TARIFA</v>
          </cell>
          <cell r="K1690" t="str">
            <v>CANTIDAD</v>
          </cell>
          <cell r="M1690" t="str">
            <v>SUB - TOTAL</v>
          </cell>
        </row>
        <row r="1691">
          <cell r="A1691" t="str">
            <v>Herramienta Menor</v>
          </cell>
          <cell r="H1691" t="str">
            <v>% M.O.</v>
          </cell>
          <cell r="I1691">
            <v>186625.595</v>
          </cell>
          <cell r="K1691">
            <v>0.05</v>
          </cell>
          <cell r="M1691">
            <v>9331.2797499999997</v>
          </cell>
        </row>
        <row r="1692">
          <cell r="A1692" t="str">
            <v>Mezcladora Diesel (1.5 - 2.0 BTOS) incluye combustible</v>
          </cell>
          <cell r="H1692" t="str">
            <v>Dia</v>
          </cell>
          <cell r="I1692">
            <v>102014</v>
          </cell>
          <cell r="K1692">
            <v>0.22</v>
          </cell>
          <cell r="M1692">
            <v>22443.08</v>
          </cell>
        </row>
        <row r="1693">
          <cell r="A1693" t="str">
            <v>Vibrador de Mezcla (diesel) incluye combustible</v>
          </cell>
          <cell r="H1693" t="str">
            <v>Dia</v>
          </cell>
          <cell r="I1693">
            <v>50000</v>
          </cell>
          <cell r="K1693">
            <v>0.22</v>
          </cell>
          <cell r="M1693">
            <v>11000</v>
          </cell>
        </row>
        <row r="1694">
          <cell r="H1694" t="str">
            <v/>
          </cell>
          <cell r="I1694" t="str">
            <v/>
          </cell>
          <cell r="M1694" t="str">
            <v/>
          </cell>
        </row>
        <row r="1695">
          <cell r="H1695" t="str">
            <v/>
          </cell>
          <cell r="I1695" t="str">
            <v/>
          </cell>
          <cell r="M1695" t="str">
            <v/>
          </cell>
        </row>
        <row r="1696">
          <cell r="K1696" t="str">
            <v>SUBTOTAL</v>
          </cell>
          <cell r="M1696">
            <v>42774.359750000003</v>
          </cell>
        </row>
        <row r="1698">
          <cell r="A1698" t="str">
            <v>C - TRANSPORTE</v>
          </cell>
        </row>
        <row r="1699">
          <cell r="A1699" t="str">
            <v>DESCRIPCIÓN</v>
          </cell>
          <cell r="H1699" t="str">
            <v>UNIDAD</v>
          </cell>
          <cell r="I1699" t="str">
            <v>TARIFA</v>
          </cell>
          <cell r="K1699" t="str">
            <v>CANTIDAD</v>
          </cell>
          <cell r="M1699" t="str">
            <v>SUB - TOTAL</v>
          </cell>
        </row>
        <row r="1700">
          <cell r="A1700" t="str">
            <v>Transporte de maquinaria y equipos</v>
          </cell>
          <cell r="H1700" t="str">
            <v>% H,M,E</v>
          </cell>
          <cell r="I1700">
            <v>130774.35975</v>
          </cell>
          <cell r="K1700">
            <v>0.1</v>
          </cell>
          <cell r="M1700">
            <v>13077.435975</v>
          </cell>
        </row>
        <row r="1701">
          <cell r="A1701" t="str">
            <v>Transporte de materiales de cantera</v>
          </cell>
          <cell r="H1701" t="str">
            <v>KM/M3</v>
          </cell>
          <cell r="I1701">
            <v>1879.1399946228782</v>
          </cell>
          <cell r="K1701">
            <v>72</v>
          </cell>
          <cell r="M1701">
            <v>135298.07961284724</v>
          </cell>
        </row>
        <row r="1702">
          <cell r="A1702" t="str">
            <v>Transporte de materiales de ferretería</v>
          </cell>
          <cell r="H1702" t="str">
            <v>%</v>
          </cell>
          <cell r="I1702">
            <v>334196.52173913043</v>
          </cell>
          <cell r="K1702">
            <v>0.1</v>
          </cell>
          <cell r="M1702">
            <v>33419.652173913048</v>
          </cell>
        </row>
        <row r="1703">
          <cell r="M1703" t="str">
            <v/>
          </cell>
        </row>
        <row r="1704">
          <cell r="M1704" t="str">
            <v/>
          </cell>
        </row>
        <row r="1705">
          <cell r="K1705" t="str">
            <v>SUBTOTAL</v>
          </cell>
          <cell r="M1705">
            <v>181795.1677617603</v>
          </cell>
        </row>
        <row r="1707">
          <cell r="A1707" t="str">
            <v>D - MANO DE OBRA</v>
          </cell>
        </row>
        <row r="1708">
          <cell r="A1708" t="str">
            <v>DESCRIPCIÓN</v>
          </cell>
          <cell r="H1708" t="str">
            <v>UNIDAD</v>
          </cell>
          <cell r="I1708" t="str">
            <v>TARIFA</v>
          </cell>
          <cell r="K1708" t="str">
            <v>F.M.</v>
          </cell>
          <cell r="L1708" t="str">
            <v>REND.</v>
          </cell>
          <cell r="M1708" t="str">
            <v>SUB - TOTAL</v>
          </cell>
        </row>
        <row r="1709">
          <cell r="A1709" t="str">
            <v>Cuadrilla 8: 1 OfcA + 4 AyuA</v>
          </cell>
          <cell r="H1709" t="str">
            <v>Cuadrilla</v>
          </cell>
          <cell r="I1709">
            <v>379600</v>
          </cell>
          <cell r="K1709">
            <v>1.96655</v>
          </cell>
          <cell r="L1709">
            <v>0.25</v>
          </cell>
          <cell r="M1709">
            <v>186625.595</v>
          </cell>
        </row>
        <row r="1710">
          <cell r="H1710" t="str">
            <v/>
          </cell>
          <cell r="I1710" t="str">
            <v/>
          </cell>
          <cell r="K1710" t="str">
            <v/>
          </cell>
          <cell r="M1710" t="str">
            <v/>
          </cell>
        </row>
        <row r="1711">
          <cell r="H1711" t="str">
            <v/>
          </cell>
          <cell r="I1711" t="str">
            <v/>
          </cell>
          <cell r="K1711" t="str">
            <v/>
          </cell>
          <cell r="M1711" t="str">
            <v/>
          </cell>
        </row>
        <row r="1712">
          <cell r="K1712" t="str">
            <v>SUBTOTAL</v>
          </cell>
          <cell r="M1712">
            <v>186625.595</v>
          </cell>
        </row>
        <row r="1716">
          <cell r="I1716" t="str">
            <v>Elaboración</v>
          </cell>
          <cell r="K1716" t="str">
            <v>Deiner Alexander Obregon Palomeque</v>
          </cell>
        </row>
        <row r="1717">
          <cell r="I1717" t="str">
            <v>Ingeniero Civil</v>
          </cell>
          <cell r="K1717" t="str">
            <v>MP: 011037-0653228 ANT</v>
          </cell>
        </row>
      </sheetData>
      <sheetData sheetId="9"/>
      <sheetData sheetId="10">
        <row r="22">
          <cell r="A22" t="str">
            <v>CUADRILLA</v>
          </cell>
          <cell r="E22" t="str">
            <v>DÍA</v>
          </cell>
          <cell r="G22" t="str">
            <v>TOPÓGRAFO - MAESTRO  - OFICIAL</v>
          </cell>
          <cell r="J22" t="str">
            <v>CADENERO - AYUDANTE</v>
          </cell>
          <cell r="M22" t="str">
            <v>TROCHERO</v>
          </cell>
        </row>
        <row r="23">
          <cell r="A23" t="str">
            <v>Comisión de Topografía</v>
          </cell>
          <cell r="D23" t="str">
            <v>Cuadrilla</v>
          </cell>
          <cell r="E23">
            <v>213525</v>
          </cell>
          <cell r="J23">
            <v>1</v>
          </cell>
          <cell r="K23">
            <v>118625</v>
          </cell>
          <cell r="M23">
            <v>2</v>
          </cell>
          <cell r="N23">
            <v>47450</v>
          </cell>
        </row>
        <row r="24">
          <cell r="A24" t="str">
            <v>Cuadrilla 1: 1 Ayudante A</v>
          </cell>
          <cell r="D24" t="str">
            <v>Cuadrilla</v>
          </cell>
          <cell r="E24">
            <v>71175</v>
          </cell>
          <cell r="M24">
            <v>1</v>
          </cell>
          <cell r="N24">
            <v>71175</v>
          </cell>
        </row>
        <row r="25">
          <cell r="A25" t="str">
            <v xml:space="preserve">Cuadrilla 2: 2 Ayudantes A </v>
          </cell>
          <cell r="D25" t="str">
            <v>Cuadrilla</v>
          </cell>
          <cell r="E25">
            <v>142350</v>
          </cell>
          <cell r="M25">
            <v>2</v>
          </cell>
          <cell r="N25">
            <v>71175</v>
          </cell>
        </row>
        <row r="26">
          <cell r="A26" t="str">
            <v>Cuadrilla 3: 3 Ayudantes A</v>
          </cell>
          <cell r="D26" t="str">
            <v>Cuadrilla</v>
          </cell>
          <cell r="E26">
            <v>213525</v>
          </cell>
          <cell r="M26">
            <v>3</v>
          </cell>
          <cell r="N26">
            <v>71175</v>
          </cell>
        </row>
        <row r="27">
          <cell r="A27" t="str">
            <v>Cuadrilla 4: 1 Ayudante B</v>
          </cell>
          <cell r="D27" t="str">
            <v>Cuadrilla</v>
          </cell>
          <cell r="E27">
            <v>71175</v>
          </cell>
          <cell r="M27">
            <v>1</v>
          </cell>
          <cell r="N27">
            <v>71175</v>
          </cell>
        </row>
        <row r="28">
          <cell r="A28" t="str">
            <v>Cuadrilla 5: 1 OfcA + 1 AyuA</v>
          </cell>
          <cell r="D28" t="str">
            <v>Cuadrilla</v>
          </cell>
          <cell r="E28">
            <v>166075</v>
          </cell>
          <cell r="G28">
            <v>1</v>
          </cell>
          <cell r="J28">
            <v>1</v>
          </cell>
          <cell r="K28">
            <v>94900</v>
          </cell>
          <cell r="M28">
            <v>1</v>
          </cell>
          <cell r="N28">
            <v>71175</v>
          </cell>
        </row>
        <row r="29">
          <cell r="A29" t="str">
            <v>Cuadrilla 6: 1 OfcA + 2 AyuA</v>
          </cell>
          <cell r="D29" t="str">
            <v>Cuadrilla</v>
          </cell>
          <cell r="E29">
            <v>237250</v>
          </cell>
          <cell r="G29">
            <v>1</v>
          </cell>
          <cell r="J29">
            <v>1</v>
          </cell>
          <cell r="K29">
            <v>94900</v>
          </cell>
          <cell r="M29">
            <v>2</v>
          </cell>
          <cell r="N29">
            <v>71175</v>
          </cell>
        </row>
        <row r="30">
          <cell r="A30" t="str">
            <v>Cuadrilla 7: 1 OfcA + 3 AyuA</v>
          </cell>
          <cell r="D30" t="str">
            <v>Cuadrilla</v>
          </cell>
          <cell r="E30">
            <v>308425</v>
          </cell>
          <cell r="G30">
            <v>1</v>
          </cell>
          <cell r="J30">
            <v>1</v>
          </cell>
          <cell r="K30">
            <v>94900</v>
          </cell>
          <cell r="M30">
            <v>3</v>
          </cell>
          <cell r="N30">
            <v>71175</v>
          </cell>
        </row>
        <row r="31">
          <cell r="A31" t="str">
            <v>Cuadrilla 8: 1 OfcA + 4 AyuA</v>
          </cell>
          <cell r="D31" t="str">
            <v>Cuadrilla</v>
          </cell>
          <cell r="E31">
            <v>379600</v>
          </cell>
          <cell r="G31">
            <v>1</v>
          </cell>
          <cell r="J31">
            <v>1</v>
          </cell>
          <cell r="K31">
            <v>94900</v>
          </cell>
          <cell r="M31">
            <v>4</v>
          </cell>
          <cell r="N31">
            <v>71175</v>
          </cell>
        </row>
        <row r="32">
          <cell r="A32" t="str">
            <v>Cuadrilla 9: 1 OfcA + 5 AyuA</v>
          </cell>
          <cell r="D32" t="str">
            <v>Cuadrilla</v>
          </cell>
          <cell r="E32">
            <v>450775</v>
          </cell>
          <cell r="G32">
            <v>1</v>
          </cell>
          <cell r="J32">
            <v>1</v>
          </cell>
          <cell r="K32">
            <v>94900</v>
          </cell>
          <cell r="M32">
            <v>5</v>
          </cell>
          <cell r="N32">
            <v>71175</v>
          </cell>
        </row>
        <row r="33">
          <cell r="A33" t="str">
            <v>Cuadrilla 10: 1 OfcA + 6 AyuA</v>
          </cell>
          <cell r="D33" t="str">
            <v>Cuadrilla</v>
          </cell>
          <cell r="E33">
            <v>521950</v>
          </cell>
          <cell r="G33">
            <v>1</v>
          </cell>
          <cell r="J33">
            <v>1</v>
          </cell>
          <cell r="K33">
            <v>94900</v>
          </cell>
          <cell r="M33">
            <v>6</v>
          </cell>
          <cell r="N33">
            <v>71175</v>
          </cell>
        </row>
        <row r="34">
          <cell r="A34" t="str">
            <v>Cuadrilla 11: 1Ma+1OfcA+1AyuA</v>
          </cell>
          <cell r="D34" t="str">
            <v>Cuadrilla</v>
          </cell>
          <cell r="E34">
            <v>308425</v>
          </cell>
          <cell r="G34">
            <v>1</v>
          </cell>
          <cell r="H34">
            <v>142350</v>
          </cell>
          <cell r="J34">
            <v>1</v>
          </cell>
          <cell r="K34">
            <v>94900</v>
          </cell>
          <cell r="M34">
            <v>1</v>
          </cell>
          <cell r="N34">
            <v>71175</v>
          </cell>
        </row>
        <row r="35">
          <cell r="A35" t="str">
            <v>Cuadrilla 12: 1Ma+1OfcA+2AyuA</v>
          </cell>
          <cell r="D35" t="str">
            <v>Cuadrilla</v>
          </cell>
          <cell r="E35">
            <v>379600</v>
          </cell>
          <cell r="G35">
            <v>1</v>
          </cell>
          <cell r="H35">
            <v>142350</v>
          </cell>
          <cell r="J35">
            <v>1</v>
          </cell>
          <cell r="K35">
            <v>94900</v>
          </cell>
          <cell r="M35">
            <v>2</v>
          </cell>
          <cell r="N35">
            <v>71175</v>
          </cell>
        </row>
        <row r="36">
          <cell r="A36" t="str">
            <v>Cuadrilla 13: 1Ma+1OfcA+3AyuA</v>
          </cell>
          <cell r="D36" t="str">
            <v>Cuadrilla</v>
          </cell>
          <cell r="E36">
            <v>450775</v>
          </cell>
          <cell r="G36">
            <v>1</v>
          </cell>
          <cell r="H36">
            <v>142350</v>
          </cell>
          <cell r="J36">
            <v>1</v>
          </cell>
          <cell r="K36">
            <v>94900</v>
          </cell>
          <cell r="M36">
            <v>3</v>
          </cell>
          <cell r="N36">
            <v>71175</v>
          </cell>
        </row>
        <row r="37">
          <cell r="A37" t="str">
            <v>Cuadrilla 14: 1Ma+1OfcA+4AyuA</v>
          </cell>
          <cell r="D37" t="str">
            <v>Cuadrilla</v>
          </cell>
          <cell r="E37">
            <v>521950</v>
          </cell>
          <cell r="G37">
            <v>1</v>
          </cell>
          <cell r="H37">
            <v>142350</v>
          </cell>
          <cell r="J37">
            <v>1</v>
          </cell>
          <cell r="K37">
            <v>94900</v>
          </cell>
          <cell r="M37">
            <v>4</v>
          </cell>
          <cell r="N37">
            <v>71175</v>
          </cell>
        </row>
        <row r="38">
          <cell r="A38" t="str">
            <v>Cuadrilla 15: 1Ma+1OfcA+5AyuA</v>
          </cell>
          <cell r="D38" t="str">
            <v>Cuadrilla</v>
          </cell>
          <cell r="E38">
            <v>593125</v>
          </cell>
          <cell r="G38">
            <v>1</v>
          </cell>
          <cell r="H38">
            <v>142350</v>
          </cell>
          <cell r="J38">
            <v>1</v>
          </cell>
          <cell r="K38">
            <v>94900</v>
          </cell>
          <cell r="M38">
            <v>5</v>
          </cell>
          <cell r="N38">
            <v>71175</v>
          </cell>
        </row>
        <row r="39">
          <cell r="A39" t="str">
            <v>Cuadrilla 16: 1Ma+1OfcA+6AyuA</v>
          </cell>
          <cell r="D39" t="str">
            <v>Cuadrilla</v>
          </cell>
          <cell r="E39">
            <v>664300</v>
          </cell>
          <cell r="G39">
            <v>1</v>
          </cell>
          <cell r="H39">
            <v>142350</v>
          </cell>
          <cell r="J39">
            <v>1</v>
          </cell>
          <cell r="K39">
            <v>94900</v>
          </cell>
          <cell r="M39">
            <v>6</v>
          </cell>
          <cell r="N39">
            <v>71175</v>
          </cell>
        </row>
        <row r="40">
          <cell r="A40" t="str">
            <v>Cuadrilla 17: 1 OfcB + 1 AyuB</v>
          </cell>
          <cell r="D40" t="str">
            <v>Cuadrilla</v>
          </cell>
          <cell r="E40">
            <v>189800</v>
          </cell>
          <cell r="J40">
            <v>1</v>
          </cell>
          <cell r="K40">
            <v>118625</v>
          </cell>
          <cell r="M40">
            <v>1</v>
          </cell>
          <cell r="N40">
            <v>71175</v>
          </cell>
        </row>
        <row r="41">
          <cell r="A41" t="str">
            <v>Cuadrilla 18: 1 OfcB + 2 AyuB</v>
          </cell>
          <cell r="D41" t="str">
            <v>Cuadrilla</v>
          </cell>
          <cell r="E41">
            <v>260975</v>
          </cell>
          <cell r="J41">
            <v>1</v>
          </cell>
          <cell r="K41">
            <v>118625</v>
          </cell>
          <cell r="M41">
            <v>2</v>
          </cell>
          <cell r="N41">
            <v>71175</v>
          </cell>
        </row>
        <row r="42">
          <cell r="A42" t="str">
            <v>Cuadrilla 19: 1 OfcB + 3 AyuB</v>
          </cell>
          <cell r="D42" t="str">
            <v>Cuadrilla</v>
          </cell>
          <cell r="E42">
            <v>332150</v>
          </cell>
          <cell r="J42">
            <v>1</v>
          </cell>
          <cell r="K42">
            <v>118625</v>
          </cell>
          <cell r="M42">
            <v>3</v>
          </cell>
          <cell r="N42">
            <v>71175</v>
          </cell>
        </row>
        <row r="43">
          <cell r="A43" t="str">
            <v>Cuadrilla 20: 1 OfcB + 4 AyuB</v>
          </cell>
          <cell r="D43" t="str">
            <v>Cuadrilla</v>
          </cell>
          <cell r="E43">
            <v>403325</v>
          </cell>
          <cell r="J43">
            <v>1</v>
          </cell>
          <cell r="K43">
            <v>118625</v>
          </cell>
          <cell r="M43">
            <v>4</v>
          </cell>
          <cell r="N43">
            <v>71175</v>
          </cell>
        </row>
        <row r="44">
          <cell r="A44" t="str">
            <v>Cuadrilla 21: 1 OfcB + 5 AyuB</v>
          </cell>
          <cell r="D44" t="str">
            <v>Cuadrilla</v>
          </cell>
          <cell r="E44">
            <v>474500</v>
          </cell>
          <cell r="J44">
            <v>1</v>
          </cell>
          <cell r="K44">
            <v>118625</v>
          </cell>
          <cell r="M44">
            <v>5</v>
          </cell>
          <cell r="N44">
            <v>71175</v>
          </cell>
        </row>
        <row r="45">
          <cell r="A45" t="str">
            <v>Cuadrilla 22: 1 OfcC - 1 AyuC</v>
          </cell>
          <cell r="D45" t="str">
            <v>Cuadrilla</v>
          </cell>
          <cell r="E45">
            <v>189800</v>
          </cell>
          <cell r="J45">
            <v>1</v>
          </cell>
          <cell r="K45">
            <v>118625</v>
          </cell>
          <cell r="M45">
            <v>1</v>
          </cell>
          <cell r="N45">
            <v>71175</v>
          </cell>
        </row>
        <row r="46">
          <cell r="A46" t="str">
            <v>Cuadrilla 23: 1 OfcC - 2 AyuC</v>
          </cell>
          <cell r="D46" t="str">
            <v>Cuadrilla</v>
          </cell>
          <cell r="E46">
            <v>260975</v>
          </cell>
          <cell r="J46">
            <v>1</v>
          </cell>
          <cell r="K46">
            <v>118625</v>
          </cell>
          <cell r="M46">
            <v>2</v>
          </cell>
          <cell r="N46">
            <v>71175</v>
          </cell>
        </row>
        <row r="47">
          <cell r="A47" t="str">
            <v>Cuadrilla 24: 1 OfcC - 3 AyuC</v>
          </cell>
          <cell r="D47" t="str">
            <v>Cuadrilla</v>
          </cell>
          <cell r="E47">
            <v>332150</v>
          </cell>
          <cell r="J47">
            <v>1</v>
          </cell>
          <cell r="K47">
            <v>118625</v>
          </cell>
          <cell r="M47">
            <v>3</v>
          </cell>
          <cell r="N47">
            <v>71175</v>
          </cell>
        </row>
        <row r="48">
          <cell r="A48" t="str">
            <v>Cuadrilla 25: 1 OfcC - 4 AyuC</v>
          </cell>
          <cell r="D48" t="str">
            <v>Cuadrilla</v>
          </cell>
          <cell r="E48">
            <v>403325</v>
          </cell>
          <cell r="J48">
            <v>1</v>
          </cell>
          <cell r="K48">
            <v>118625</v>
          </cell>
          <cell r="M48">
            <v>4</v>
          </cell>
          <cell r="N48">
            <v>71175</v>
          </cell>
        </row>
        <row r="49">
          <cell r="A49" t="str">
            <v>Cuadrilla 26:  1 OfcD - 1 AyuD</v>
          </cell>
          <cell r="D49" t="str">
            <v>Cuadrilla</v>
          </cell>
          <cell r="E49">
            <v>189800</v>
          </cell>
          <cell r="J49">
            <v>1</v>
          </cell>
          <cell r="K49">
            <v>118625</v>
          </cell>
          <cell r="M49">
            <v>1</v>
          </cell>
          <cell r="N49">
            <v>71175</v>
          </cell>
        </row>
        <row r="50">
          <cell r="A50" t="str">
            <v>Cuadrilla 27: 1 OfcD - 2 AyuD</v>
          </cell>
          <cell r="D50" t="str">
            <v>Cuadrilla</v>
          </cell>
          <cell r="E50">
            <v>260975</v>
          </cell>
          <cell r="J50">
            <v>1</v>
          </cell>
          <cell r="K50">
            <v>118625</v>
          </cell>
          <cell r="M50">
            <v>2</v>
          </cell>
          <cell r="N50">
            <v>71175</v>
          </cell>
        </row>
        <row r="51">
          <cell r="A51" t="str">
            <v>Cuadrilla 28: 1 OfcD - 3 AyuD</v>
          </cell>
          <cell r="D51" t="str">
            <v>Cuadrilla</v>
          </cell>
          <cell r="E51">
            <v>332150</v>
          </cell>
          <cell r="J51">
            <v>1</v>
          </cell>
          <cell r="K51">
            <v>118625</v>
          </cell>
          <cell r="M51">
            <v>3</v>
          </cell>
          <cell r="N51">
            <v>71175</v>
          </cell>
        </row>
        <row r="52">
          <cell r="A52" t="str">
            <v>Cuadrilla 29: 1 OfcD - 4 AyuD</v>
          </cell>
          <cell r="D52" t="str">
            <v>Cuadrilla</v>
          </cell>
          <cell r="E52">
            <v>403325</v>
          </cell>
          <cell r="J52">
            <v>1</v>
          </cell>
          <cell r="K52">
            <v>118625</v>
          </cell>
          <cell r="M52">
            <v>4</v>
          </cell>
          <cell r="N52">
            <v>71175</v>
          </cell>
        </row>
        <row r="53">
          <cell r="A53" t="str">
            <v>Cuadrilla 30: 1 OfcA</v>
          </cell>
          <cell r="D53" t="str">
            <v>Cuadrilla</v>
          </cell>
          <cell r="E53">
            <v>94900</v>
          </cell>
          <cell r="J53">
            <v>1</v>
          </cell>
          <cell r="K53">
            <v>94900</v>
          </cell>
        </row>
        <row r="54">
          <cell r="A54" t="str">
            <v>Cuadrilla 31: 1 OfcB</v>
          </cell>
          <cell r="D54" t="str">
            <v>Cuadrilla</v>
          </cell>
          <cell r="E54">
            <v>118625</v>
          </cell>
          <cell r="J54">
            <v>1</v>
          </cell>
          <cell r="K54">
            <v>118625</v>
          </cell>
        </row>
        <row r="55">
          <cell r="A55" t="str">
            <v>Cuadrilla 29: 1 OfcC</v>
          </cell>
          <cell r="D55" t="str">
            <v>Cuadrilla</v>
          </cell>
          <cell r="E55">
            <v>118625</v>
          </cell>
          <cell r="J55">
            <v>1</v>
          </cell>
          <cell r="K55">
            <v>118625</v>
          </cell>
        </row>
        <row r="56">
          <cell r="A56" t="str">
            <v>Cuadrilla 29: 1 OfcD</v>
          </cell>
          <cell r="D56" t="str">
            <v>Cuadrilla</v>
          </cell>
          <cell r="E56">
            <v>118625</v>
          </cell>
          <cell r="J56">
            <v>1</v>
          </cell>
          <cell r="K56">
            <v>118625</v>
          </cell>
        </row>
        <row r="57">
          <cell r="A57" t="str">
            <v>Maestro</v>
          </cell>
          <cell r="D57" t="str">
            <v>Cuadrilla</v>
          </cell>
          <cell r="E57">
            <v>118625</v>
          </cell>
        </row>
        <row r="58">
          <cell r="A58" t="str">
            <v>Ayudante</v>
          </cell>
          <cell r="D58" t="str">
            <v>Cuadrilla</v>
          </cell>
          <cell r="E58">
            <v>71175</v>
          </cell>
        </row>
        <row r="59">
          <cell r="A59" t="str">
            <v>Oficial</v>
          </cell>
          <cell r="D59" t="str">
            <v>Cuadrilla</v>
          </cell>
          <cell r="E59">
            <v>94900</v>
          </cell>
        </row>
        <row r="60">
          <cell r="A60" t="str">
            <v>Cuadrilla 4: Instalaciones hidráulica y sanitaria</v>
          </cell>
          <cell r="D60" t="str">
            <v>Cuadrilla</v>
          </cell>
          <cell r="E60">
            <v>145750</v>
          </cell>
        </row>
        <row r="61">
          <cell r="A61" t="str">
            <v>Cuadrilla 5: Mezclas</v>
          </cell>
          <cell r="D61" t="str">
            <v>Cuadrilla</v>
          </cell>
          <cell r="E61">
            <v>178875</v>
          </cell>
        </row>
        <row r="62">
          <cell r="A62" t="str">
            <v>Cuadrilla 6: Pavimentos</v>
          </cell>
          <cell r="D62" t="str">
            <v>Cuadrilla</v>
          </cell>
          <cell r="E62">
            <v>245125</v>
          </cell>
        </row>
        <row r="63">
          <cell r="A63" t="str">
            <v>Comisión de topografía</v>
          </cell>
          <cell r="D63" t="str">
            <v>Cuadrilla</v>
          </cell>
          <cell r="E63">
            <v>165625</v>
          </cell>
        </row>
        <row r="64">
          <cell r="A64" t="str">
            <v>Conductor</v>
          </cell>
          <cell r="D64" t="str">
            <v>Cuadrilla</v>
          </cell>
          <cell r="E64">
            <v>94900</v>
          </cell>
        </row>
        <row r="65">
          <cell r="A65" t="str">
            <v>Cuadrilla Soldadura</v>
          </cell>
          <cell r="D65" t="str">
            <v>Cuadrilla</v>
          </cell>
          <cell r="E65">
            <v>207031.25</v>
          </cell>
        </row>
        <row r="66">
          <cell r="A66" t="str">
            <v>Cuadrilla eléctrica</v>
          </cell>
          <cell r="D66" t="str">
            <v>Cuadrilla</v>
          </cell>
          <cell r="E66">
            <v>132500</v>
          </cell>
        </row>
        <row r="67">
          <cell r="A67" t="str">
            <v>Arriero</v>
          </cell>
          <cell r="D67" t="str">
            <v>Cuadrilla</v>
          </cell>
          <cell r="E67">
            <v>47450</v>
          </cell>
          <cell r="M67">
            <v>1</v>
          </cell>
          <cell r="N67">
            <v>47450</v>
          </cell>
        </row>
        <row r="68">
          <cell r="A68" t="str">
            <v>Oficial + Ayudante</v>
          </cell>
          <cell r="D68" t="str">
            <v>Cuadrilla</v>
          </cell>
          <cell r="E68">
            <v>166075</v>
          </cell>
        </row>
      </sheetData>
      <sheetData sheetId="11">
        <row r="1">
          <cell r="M1" t="str">
            <v>FECHA</v>
          </cell>
        </row>
        <row r="2">
          <cell r="M2">
            <v>45933</v>
          </cell>
        </row>
        <row r="4">
          <cell r="C4">
            <v>1</v>
          </cell>
          <cell r="D4">
            <v>2</v>
          </cell>
          <cell r="E4">
            <v>3</v>
          </cell>
          <cell r="F4">
            <v>4</v>
          </cell>
          <cell r="G4">
            <v>5</v>
          </cell>
          <cell r="H4">
            <v>6</v>
          </cell>
          <cell r="I4">
            <v>7</v>
          </cell>
          <cell r="J4">
            <v>8</v>
          </cell>
          <cell r="K4">
            <v>9</v>
          </cell>
          <cell r="L4">
            <v>14</v>
          </cell>
          <cell r="M4">
            <v>15</v>
          </cell>
          <cell r="N4">
            <v>20</v>
          </cell>
        </row>
        <row r="5">
          <cell r="C5" t="str">
            <v>MATERIAL</v>
          </cell>
          <cell r="I5" t="str">
            <v>UNIDAD</v>
          </cell>
          <cell r="J5" t="str">
            <v>COSTO TOTAL</v>
          </cell>
          <cell r="L5" t="str">
            <v>COTIZACIÓN</v>
          </cell>
          <cell r="N5" t="str">
            <v>PESO</v>
          </cell>
        </row>
        <row r="7">
          <cell r="C7" t="str">
            <v>Recebo común</v>
          </cell>
          <cell r="I7" t="str">
            <v>m3</v>
          </cell>
          <cell r="J7">
            <v>11900</v>
          </cell>
          <cell r="L7" t="str">
            <v xml:space="preserve">Buenos aires </v>
          </cell>
          <cell r="N7">
            <v>1650</v>
          </cell>
        </row>
        <row r="8">
          <cell r="C8" t="str">
            <v>Triturado pasante de 3/4" retenido en 3/8"</v>
          </cell>
          <cell r="I8" t="str">
            <v>m3</v>
          </cell>
          <cell r="J8">
            <v>113050</v>
          </cell>
          <cell r="L8" t="str">
            <v xml:space="preserve">Buenos aires </v>
          </cell>
          <cell r="N8">
            <v>1455</v>
          </cell>
        </row>
        <row r="9">
          <cell r="C9" t="str">
            <v>Arena triturada pasante 3/8"</v>
          </cell>
          <cell r="I9" t="str">
            <v>m3</v>
          </cell>
          <cell r="J9">
            <v>65450</v>
          </cell>
          <cell r="L9" t="str">
            <v xml:space="preserve">Buenos aires </v>
          </cell>
          <cell r="N9">
            <v>1608</v>
          </cell>
        </row>
        <row r="10">
          <cell r="C10" t="str">
            <v>Subbase granular (norma invias 320)</v>
          </cell>
          <cell r="I10" t="str">
            <v>m3</v>
          </cell>
          <cell r="J10">
            <v>89250</v>
          </cell>
          <cell r="L10" t="str">
            <v xml:space="preserve">Buenos aires </v>
          </cell>
        </row>
        <row r="11">
          <cell r="C11" t="str">
            <v>Arena para lecho filtrante</v>
          </cell>
          <cell r="I11" t="str">
            <v>m3</v>
          </cell>
          <cell r="J11">
            <v>65450</v>
          </cell>
          <cell r="L11" t="str">
            <v xml:space="preserve">Buenos aires </v>
          </cell>
        </row>
        <row r="12">
          <cell r="C12" t="str">
            <v>Gravilla para lecho filtrante</v>
          </cell>
          <cell r="I12" t="str">
            <v>m3</v>
          </cell>
          <cell r="J12">
            <v>113050</v>
          </cell>
          <cell r="L12" t="str">
            <v xml:space="preserve">Buenos aires </v>
          </cell>
        </row>
        <row r="14">
          <cell r="C14" t="str">
            <v xml:space="preserve">Impermeabilizante plastocrete DM </v>
          </cell>
          <cell r="I14" t="str">
            <v>Kg</v>
          </cell>
          <cell r="J14">
            <v>25608.695652173916</v>
          </cell>
          <cell r="L14" t="str">
            <v>Homcenter</v>
          </cell>
          <cell r="N14">
            <v>1</v>
          </cell>
        </row>
        <row r="15">
          <cell r="C15" t="str">
            <v>Estaca</v>
          </cell>
          <cell r="I15" t="str">
            <v>Unidad</v>
          </cell>
          <cell r="J15">
            <v>3075</v>
          </cell>
          <cell r="L15" t="str">
            <v>Homcenter</v>
          </cell>
          <cell r="N15">
            <v>0.43</v>
          </cell>
        </row>
        <row r="16">
          <cell r="C16" t="str">
            <v>Alambre negro calibre 17</v>
          </cell>
          <cell r="I16" t="str">
            <v>Kg</v>
          </cell>
          <cell r="J16">
            <v>5316</v>
          </cell>
          <cell r="L16" t="str">
            <v>Homcenter</v>
          </cell>
          <cell r="N16">
            <v>1</v>
          </cell>
        </row>
        <row r="17">
          <cell r="C17" t="str">
            <v>Pintura en aceite</v>
          </cell>
          <cell r="I17" t="str">
            <v>Galón</v>
          </cell>
          <cell r="J17">
            <v>100912</v>
          </cell>
          <cell r="L17" t="str">
            <v>Ferrehierros</v>
          </cell>
          <cell r="N17">
            <v>3.8</v>
          </cell>
        </row>
        <row r="18">
          <cell r="C18" t="str">
            <v>Cemento gris</v>
          </cell>
          <cell r="I18" t="str">
            <v>Kg</v>
          </cell>
          <cell r="J18">
            <v>658</v>
          </cell>
          <cell r="L18" t="str">
            <v>Homcenter</v>
          </cell>
          <cell r="N18">
            <v>1</v>
          </cell>
        </row>
        <row r="19">
          <cell r="C19" t="str">
            <v>Soldadura E-6013</v>
          </cell>
          <cell r="I19" t="str">
            <v>Kg</v>
          </cell>
          <cell r="J19">
            <v>30940</v>
          </cell>
          <cell r="L19" t="str">
            <v>Ferrehierros</v>
          </cell>
          <cell r="N19">
            <v>1</v>
          </cell>
        </row>
        <row r="20">
          <cell r="C20" t="str">
            <v>Tuberia A.N 2" cal 16 para cerramiento</v>
          </cell>
          <cell r="I20" t="str">
            <v>ml</v>
          </cell>
          <cell r="J20">
            <v>14438.666666666666</v>
          </cell>
          <cell r="L20" t="str">
            <v>Ferrehierros</v>
          </cell>
        </row>
        <row r="21">
          <cell r="C21" t="str">
            <v>Pintura anticorrosiva</v>
          </cell>
          <cell r="I21" t="str">
            <v>Galón</v>
          </cell>
          <cell r="J21">
            <v>79730</v>
          </cell>
          <cell r="L21" t="str">
            <v>Ferrehierros</v>
          </cell>
          <cell r="N21">
            <v>3.8</v>
          </cell>
        </row>
        <row r="22">
          <cell r="C22" t="str">
            <v>Platina de 1" x 1/8"</v>
          </cell>
          <cell r="I22" t="str">
            <v>Unidad</v>
          </cell>
          <cell r="J22">
            <v>33201</v>
          </cell>
          <cell r="L22" t="str">
            <v>Ferrehierros</v>
          </cell>
        </row>
        <row r="23">
          <cell r="C23" t="str">
            <v>Alambre de puas calibre 12,5 - rollo 350m-32,8 kilos</v>
          </cell>
          <cell r="I23" t="str">
            <v>ml</v>
          </cell>
          <cell r="J23">
            <v>1115.2</v>
          </cell>
          <cell r="L23" t="str">
            <v>Ferrehierros</v>
          </cell>
        </row>
        <row r="24">
          <cell r="C24" t="str">
            <v>Tabla comun de 3x0,25x0,02m</v>
          </cell>
          <cell r="I24" t="str">
            <v>Unidad</v>
          </cell>
          <cell r="J24">
            <v>26180</v>
          </cell>
          <cell r="L24" t="str">
            <v>Ferrehierros</v>
          </cell>
        </row>
        <row r="25">
          <cell r="C25" t="str">
            <v>Cerco de 3x0,05x0,10</v>
          </cell>
          <cell r="I25" t="str">
            <v>Unidad</v>
          </cell>
          <cell r="J25">
            <v>21420</v>
          </cell>
          <cell r="L25" t="str">
            <v>Ferrehierros</v>
          </cell>
          <cell r="N25">
            <v>0.52410000000000001</v>
          </cell>
        </row>
        <row r="26">
          <cell r="C26" t="str">
            <v>Puntilla de 2" c/cabeza</v>
          </cell>
          <cell r="I26" t="str">
            <v>LB</v>
          </cell>
          <cell r="J26">
            <v>5831</v>
          </cell>
          <cell r="L26" t="str">
            <v>Ferrehierros</v>
          </cell>
          <cell r="N26">
            <v>0.5</v>
          </cell>
        </row>
        <row r="27">
          <cell r="C27" t="str">
            <v>Malla electrosoldada 15x15cm 4mm</v>
          </cell>
          <cell r="I27" t="str">
            <v>m2</v>
          </cell>
          <cell r="J27">
            <v>5702.1276595744675</v>
          </cell>
          <cell r="L27" t="str">
            <v>Homcenter</v>
          </cell>
          <cell r="N27">
            <v>4</v>
          </cell>
        </row>
        <row r="28">
          <cell r="C28" t="str">
            <v>Pegacor, fijador de cerámica</v>
          </cell>
          <cell r="I28" t="str">
            <v>Kg</v>
          </cell>
          <cell r="J28">
            <v>1436</v>
          </cell>
          <cell r="L28" t="str">
            <v>Homcenter</v>
          </cell>
        </row>
        <row r="29">
          <cell r="C29" t="str">
            <v>Boquilla para pisos y enchapes</v>
          </cell>
          <cell r="I29" t="str">
            <v>Kg</v>
          </cell>
          <cell r="J29">
            <v>6700</v>
          </cell>
          <cell r="L29" t="str">
            <v>Homcenter</v>
          </cell>
        </row>
        <row r="30">
          <cell r="C30" t="str">
            <v>Pintura esmalte anticorrosivo negro, para puertas y ventanas</v>
          </cell>
          <cell r="I30" t="str">
            <v>Galón</v>
          </cell>
          <cell r="J30">
            <v>100912</v>
          </cell>
          <cell r="L30" t="str">
            <v>Ferrehierros</v>
          </cell>
          <cell r="N30">
            <v>3.8</v>
          </cell>
        </row>
        <row r="31">
          <cell r="C31" t="str">
            <v>Combo sanitario smart; incluye inodoro, lavamanos con mueble, grifería, accesorios</v>
          </cell>
          <cell r="I31" t="str">
            <v>Unidad</v>
          </cell>
          <cell r="J31">
            <v>1239900</v>
          </cell>
          <cell r="L31" t="str">
            <v>Homcenter</v>
          </cell>
        </row>
        <row r="32">
          <cell r="C32" t="str">
            <v>Ducha cuadrada cromada; incluye grifería</v>
          </cell>
          <cell r="I32" t="str">
            <v>Unidad</v>
          </cell>
          <cell r="J32">
            <v>167900</v>
          </cell>
          <cell r="L32" t="str">
            <v>Homcenter</v>
          </cell>
        </row>
        <row r="33">
          <cell r="C33" t="str">
            <v>Tablero acrílico 80x120cm</v>
          </cell>
          <cell r="I33" t="str">
            <v>Unidad</v>
          </cell>
          <cell r="J33">
            <v>184900</v>
          </cell>
          <cell r="L33" t="str">
            <v>Homcenter</v>
          </cell>
        </row>
        <row r="34">
          <cell r="C34" t="str">
            <v>Estanteria 180x90x45cm 5 niveles</v>
          </cell>
          <cell r="I34" t="str">
            <v>Unidad</v>
          </cell>
          <cell r="J34">
            <v>329900</v>
          </cell>
          <cell r="L34" t="str">
            <v>Homcenter</v>
          </cell>
        </row>
        <row r="35">
          <cell r="C35" t="str">
            <v>Ventana de aluminio 150x120cm; vidrio 6mm</v>
          </cell>
          <cell r="I35" t="str">
            <v>Unidad</v>
          </cell>
          <cell r="J35">
            <v>619900</v>
          </cell>
          <cell r="L35" t="str">
            <v>Homcenter</v>
          </cell>
        </row>
        <row r="36">
          <cell r="C36" t="str">
            <v>Puerta en aluminio 90x210cm; incluye marco</v>
          </cell>
          <cell r="I36" t="str">
            <v>Unidad</v>
          </cell>
          <cell r="J36">
            <v>639900</v>
          </cell>
          <cell r="L36" t="str">
            <v>Homcenter</v>
          </cell>
        </row>
        <row r="37">
          <cell r="C37" t="str">
            <v>Puerta en aluminio 70x210cm; incluye marco</v>
          </cell>
          <cell r="I37" t="str">
            <v>Unidad</v>
          </cell>
          <cell r="J37">
            <v>329900</v>
          </cell>
          <cell r="L37" t="str">
            <v>Homcenter</v>
          </cell>
        </row>
        <row r="38">
          <cell r="C38" t="str">
            <v>Platina de 4 x 3/16"</v>
          </cell>
          <cell r="I38" t="str">
            <v>Unidad</v>
          </cell>
          <cell r="J38">
            <v>23800</v>
          </cell>
          <cell r="L38" t="str">
            <v>Agropecuaria Capi</v>
          </cell>
          <cell r="N38">
            <v>23.4</v>
          </cell>
        </row>
        <row r="39">
          <cell r="C39" t="str">
            <v>Angulo de 1 1/2" x 1 1/2" x 1/8"</v>
          </cell>
          <cell r="I39" t="str">
            <v>ml</v>
          </cell>
          <cell r="J39">
            <v>13605.666666666666</v>
          </cell>
          <cell r="L39" t="str">
            <v>Ferrehierros</v>
          </cell>
          <cell r="N39">
            <v>1.83</v>
          </cell>
        </row>
        <row r="40">
          <cell r="C40" t="str">
            <v>Varilla de 1/2" corrugada (1Kg/ml)</v>
          </cell>
          <cell r="I40" t="str">
            <v>Kg</v>
          </cell>
          <cell r="J40">
            <v>3516.6666666666665</v>
          </cell>
          <cell r="L40" t="str">
            <v>Homcenter</v>
          </cell>
          <cell r="N40">
            <v>1</v>
          </cell>
        </row>
        <row r="41">
          <cell r="C41" t="str">
            <v>Abrazadera 1"</v>
          </cell>
          <cell r="I41" t="str">
            <v>Unidad</v>
          </cell>
          <cell r="J41">
            <v>3808</v>
          </cell>
          <cell r="L41" t="str">
            <v>Ferrehierros</v>
          </cell>
        </row>
        <row r="42">
          <cell r="C42" t="str">
            <v>Tuberia acero galvanizado 1" SCH 40</v>
          </cell>
          <cell r="I42" t="str">
            <v>ml</v>
          </cell>
          <cell r="J42">
            <v>12891.666666666666</v>
          </cell>
          <cell r="L42" t="str">
            <v>Ferrehierros</v>
          </cell>
        </row>
        <row r="43">
          <cell r="C43" t="str">
            <v>Clavo de alta velocidad 1/4"X2"</v>
          </cell>
          <cell r="I43" t="str">
            <v>Libra</v>
          </cell>
          <cell r="J43">
            <v>10000</v>
          </cell>
          <cell r="L43" t="str">
            <v>Ferrehierros</v>
          </cell>
          <cell r="N43">
            <v>0.5</v>
          </cell>
        </row>
        <row r="44">
          <cell r="C44" t="str">
            <v>Cinta señalización</v>
          </cell>
          <cell r="I44" t="str">
            <v>ml</v>
          </cell>
          <cell r="J44">
            <v>209</v>
          </cell>
          <cell r="L44" t="str">
            <v>Homcenter</v>
          </cell>
        </row>
        <row r="45">
          <cell r="C45" t="str">
            <v>Cuerda de Naylon 0.5 mm</v>
          </cell>
          <cell r="I45" t="str">
            <v>ml</v>
          </cell>
          <cell r="J45">
            <v>159</v>
          </cell>
          <cell r="L45" t="str">
            <v>Homcenter</v>
          </cell>
          <cell r="N45">
            <v>6.2E-4</v>
          </cell>
        </row>
        <row r="46">
          <cell r="C46" t="str">
            <v>Acero de refuerzo de 60000 PSI</v>
          </cell>
          <cell r="I46" t="str">
            <v>Kg</v>
          </cell>
          <cell r="J46">
            <v>3537.8940308517772</v>
          </cell>
          <cell r="L46" t="str">
            <v>Homcenter</v>
          </cell>
          <cell r="N46">
            <v>1</v>
          </cell>
        </row>
        <row r="47">
          <cell r="C47" t="str">
            <v>Angulo de 1 1/2" x 1 1/2" x 1/4"</v>
          </cell>
          <cell r="I47" t="str">
            <v>ml</v>
          </cell>
          <cell r="J47">
            <v>11433.333333333334</v>
          </cell>
          <cell r="L47" t="str">
            <v>Ferrehierros</v>
          </cell>
        </row>
        <row r="48">
          <cell r="C48" t="str">
            <v>Ladrillo prensado a la vista</v>
          </cell>
          <cell r="I48" t="str">
            <v>Unidad</v>
          </cell>
          <cell r="J48">
            <v>1785</v>
          </cell>
          <cell r="L48" t="str">
            <v>Agropecuaria Capi</v>
          </cell>
        </row>
        <row r="49">
          <cell r="C49" t="str">
            <v>Tuberia HG 1 1/2"</v>
          </cell>
          <cell r="I49" t="str">
            <v>ml</v>
          </cell>
          <cell r="J49">
            <v>12150</v>
          </cell>
          <cell r="L49" t="str">
            <v>Homcenter</v>
          </cell>
          <cell r="N49">
            <v>1.77</v>
          </cell>
        </row>
        <row r="50">
          <cell r="C50" t="str">
            <v>Reduccion acero negro 1" 200 PSI roscar</v>
          </cell>
          <cell r="I50" t="str">
            <v>Unidad</v>
          </cell>
          <cell r="J50">
            <v>2841</v>
          </cell>
          <cell r="L50">
            <v>2841</v>
          </cell>
          <cell r="N50">
            <v>0.215</v>
          </cell>
        </row>
        <row r="51">
          <cell r="C51" t="str">
            <v>Soldadura electrica 0,004 Kg de 3/23"</v>
          </cell>
          <cell r="I51" t="str">
            <v>Kg</v>
          </cell>
          <cell r="J51">
            <v>27370</v>
          </cell>
          <cell r="L51" t="str">
            <v>Agropecuaria Capi</v>
          </cell>
          <cell r="N51">
            <v>1</v>
          </cell>
        </row>
        <row r="52">
          <cell r="C52" t="str">
            <v>Tableta cerámica para piso de alto tráfico</v>
          </cell>
          <cell r="I52" t="str">
            <v>m2</v>
          </cell>
          <cell r="J52">
            <v>61100</v>
          </cell>
          <cell r="L52" t="str">
            <v>Homcenter</v>
          </cell>
        </row>
        <row r="53">
          <cell r="C53" t="str">
            <v>Lámina de alfajor de 2,5mm cal 14</v>
          </cell>
          <cell r="I53" t="str">
            <v>m2</v>
          </cell>
          <cell r="J53">
            <v>122728.667</v>
          </cell>
          <cell r="L53" t="str">
            <v>G&amp;J</v>
          </cell>
          <cell r="N53">
            <v>29.78</v>
          </cell>
        </row>
        <row r="54">
          <cell r="C54" t="str">
            <v>Aditivo acelerante</v>
          </cell>
          <cell r="I54" t="str">
            <v>Lt</v>
          </cell>
          <cell r="J54">
            <v>18647.3</v>
          </cell>
          <cell r="L54" t="str">
            <v>Homcenter</v>
          </cell>
        </row>
        <row r="55">
          <cell r="C55" t="str">
            <v>Sellante elastomérico con base en poliuretano, autonivelante</v>
          </cell>
          <cell r="I55" t="str">
            <v>ml</v>
          </cell>
          <cell r="J55">
            <v>203</v>
          </cell>
          <cell r="L55" t="str">
            <v>Homcenter</v>
          </cell>
        </row>
        <row r="56">
          <cell r="C56" t="str">
            <v>Molde symons 8"x24"</v>
          </cell>
          <cell r="I56" t="str">
            <v>Unidad</v>
          </cell>
          <cell r="J56">
            <v>3760.07</v>
          </cell>
          <cell r="L56">
            <v>3760.07</v>
          </cell>
        </row>
        <row r="57">
          <cell r="C57" t="str">
            <v>Ganchos waler</v>
          </cell>
          <cell r="I57" t="str">
            <v>Unidad</v>
          </cell>
          <cell r="J57">
            <v>132.03</v>
          </cell>
          <cell r="L57">
            <v>132.03</v>
          </cell>
        </row>
        <row r="58">
          <cell r="C58" t="str">
            <v>Separadores hasta 250mm encofrado metálico-muro</v>
          </cell>
          <cell r="I58" t="str">
            <v>Unidad</v>
          </cell>
          <cell r="J58">
            <v>422.48</v>
          </cell>
          <cell r="L58">
            <v>422.48</v>
          </cell>
        </row>
        <row r="59">
          <cell r="C59" t="str">
            <v>Cuñas para encofrado metalico de muro</v>
          </cell>
          <cell r="I59" t="str">
            <v>Unidad</v>
          </cell>
          <cell r="J59">
            <v>485.85</v>
          </cell>
          <cell r="L59">
            <v>485.85</v>
          </cell>
        </row>
        <row r="60">
          <cell r="C60" t="str">
            <v>Malla eslabonada No.10</v>
          </cell>
          <cell r="I60" t="str">
            <v>m2</v>
          </cell>
          <cell r="J60">
            <v>16966.666666666668</v>
          </cell>
          <cell r="L60" t="str">
            <v>Homcenter</v>
          </cell>
        </row>
        <row r="61">
          <cell r="C61" t="str">
            <v>Portacandado 4"</v>
          </cell>
          <cell r="I61" t="str">
            <v>Unidad</v>
          </cell>
          <cell r="J61">
            <v>15900</v>
          </cell>
          <cell r="L61" t="str">
            <v>Homcenter</v>
          </cell>
        </row>
        <row r="62">
          <cell r="C62" t="str">
            <v>bisagra aluminio exterior 3"</v>
          </cell>
          <cell r="I62" t="str">
            <v>Unidad</v>
          </cell>
          <cell r="J62">
            <v>19900</v>
          </cell>
          <cell r="L62" t="str">
            <v>Homcenter</v>
          </cell>
        </row>
        <row r="63">
          <cell r="C63" t="str">
            <v>Disolvente thinner</v>
          </cell>
          <cell r="I63" t="str">
            <v>Galón</v>
          </cell>
          <cell r="J63">
            <v>38900</v>
          </cell>
          <cell r="L63" t="str">
            <v>Homcenter</v>
          </cell>
        </row>
        <row r="64">
          <cell r="C64" t="str">
            <v>Polin de 3x0,04x0,04m</v>
          </cell>
          <cell r="I64" t="str">
            <v>Unidad</v>
          </cell>
          <cell r="J64">
            <v>10710</v>
          </cell>
          <cell r="L64" t="str">
            <v>Ferrehierros</v>
          </cell>
          <cell r="N64">
            <v>2.21</v>
          </cell>
        </row>
        <row r="65">
          <cell r="C65" t="str">
            <v>Canaleta PRFV 100x45mm 2mt</v>
          </cell>
          <cell r="I65" t="str">
            <v>Unidad</v>
          </cell>
          <cell r="J65">
            <v>61900</v>
          </cell>
          <cell r="L65">
            <v>61900</v>
          </cell>
        </row>
        <row r="66">
          <cell r="C66" t="str">
            <v>Perfil en C para correas metálicas Gr 50 (150x50x2mm)</v>
          </cell>
          <cell r="I66" t="str">
            <v>ml</v>
          </cell>
          <cell r="J66">
            <v>20816.666666666668</v>
          </cell>
          <cell r="L66" t="str">
            <v>Homcenter</v>
          </cell>
        </row>
        <row r="67">
          <cell r="C67" t="str">
            <v>Tornillos autoperforantes 1 1/2" para cubiertas con arandela</v>
          </cell>
          <cell r="I67" t="str">
            <v>Unidad</v>
          </cell>
          <cell r="J67">
            <v>429</v>
          </cell>
          <cell r="L67">
            <v>429</v>
          </cell>
        </row>
        <row r="68">
          <cell r="C68" t="str">
            <v>Tornillos autoperforantes 2" para cubiertas con arandela</v>
          </cell>
          <cell r="I68" t="str">
            <v>Unidad</v>
          </cell>
          <cell r="J68">
            <v>1739</v>
          </cell>
          <cell r="L68">
            <v>1739</v>
          </cell>
        </row>
        <row r="69">
          <cell r="C69" t="str">
            <v>Teja termoacústica ecoroof 36 UPVC para cubierta e=2mm</v>
          </cell>
          <cell r="I69" t="str">
            <v>m2</v>
          </cell>
          <cell r="J69">
            <v>39958.002099895006</v>
          </cell>
          <cell r="L69" t="str">
            <v>Homcenter</v>
          </cell>
        </row>
        <row r="70">
          <cell r="C70" t="str">
            <v xml:space="preserve">Tubo cuadrado de 1 1/2" x 1 1/2" x 0,8mm </v>
          </cell>
          <cell r="I70" t="str">
            <v>ml</v>
          </cell>
          <cell r="J70">
            <v>9325</v>
          </cell>
          <cell r="L70">
            <v>9325</v>
          </cell>
        </row>
        <row r="71">
          <cell r="C71" t="str">
            <v xml:space="preserve">Ángulo metálico 1x1/8" </v>
          </cell>
          <cell r="I71" t="str">
            <v>ml</v>
          </cell>
          <cell r="J71">
            <v>6525.1666666666661</v>
          </cell>
          <cell r="L71" t="str">
            <v>Ferrehierros</v>
          </cell>
        </row>
        <row r="72">
          <cell r="C72" t="str">
            <v>Caballete para cubierta 0,6x0,94m e=2mm UPVC</v>
          </cell>
          <cell r="I72" t="str">
            <v>Unidad</v>
          </cell>
          <cell r="J72">
            <v>19748</v>
          </cell>
          <cell r="L72">
            <v>19748</v>
          </cell>
        </row>
        <row r="73">
          <cell r="C73" t="str">
            <v>Varilla 1/4" para tapa de concreto</v>
          </cell>
          <cell r="I73" t="str">
            <v>ml</v>
          </cell>
          <cell r="J73">
            <v>1030</v>
          </cell>
          <cell r="L73" t="str">
            <v>Homcenter</v>
          </cell>
        </row>
        <row r="74">
          <cell r="C74" t="str">
            <v>Varilla corrugada de 3/8" (0,557Kg/ml)</v>
          </cell>
          <cell r="I74" t="str">
            <v>Kg</v>
          </cell>
          <cell r="J74">
            <v>3720.2380952380954</v>
          </cell>
          <cell r="L74" t="str">
            <v>Homcenter</v>
          </cell>
        </row>
        <row r="75">
          <cell r="C75" t="str">
            <v>Perno 2x5/8"</v>
          </cell>
          <cell r="I75" t="str">
            <v>Unidad</v>
          </cell>
          <cell r="J75">
            <v>2650</v>
          </cell>
          <cell r="L75">
            <v>2650</v>
          </cell>
        </row>
        <row r="76">
          <cell r="C76" t="str">
            <v>Barra corrugada 3/4"</v>
          </cell>
          <cell r="I76" t="str">
            <v>kg</v>
          </cell>
          <cell r="J76">
            <v>3967.19</v>
          </cell>
          <cell r="L76">
            <v>3967.19</v>
          </cell>
        </row>
        <row r="77">
          <cell r="C77" t="str">
            <v>Teja eternit traslúcida</v>
          </cell>
          <cell r="I77" t="str">
            <v>m2</v>
          </cell>
          <cell r="J77">
            <v>26480</v>
          </cell>
          <cell r="L77">
            <v>26480</v>
          </cell>
        </row>
        <row r="78">
          <cell r="C78" t="str">
            <v>Listón en madera 2 1/2"x8"</v>
          </cell>
          <cell r="I78" t="str">
            <v>ml</v>
          </cell>
          <cell r="J78">
            <v>27752.53</v>
          </cell>
          <cell r="L78">
            <v>27752.53</v>
          </cell>
        </row>
        <row r="79">
          <cell r="C79" t="str">
            <v>Malla electrosoldada 15x15cm 6mm</v>
          </cell>
          <cell r="I79" t="str">
            <v>m2</v>
          </cell>
          <cell r="J79">
            <v>15071</v>
          </cell>
          <cell r="L79">
            <v>15071</v>
          </cell>
        </row>
        <row r="80">
          <cell r="C80" t="str">
            <v>Ventana de aluminio 50x150cm; vidrio 6mm</v>
          </cell>
          <cell r="I80" t="str">
            <v>Unidad</v>
          </cell>
          <cell r="J80">
            <v>100000</v>
          </cell>
          <cell r="L80">
            <v>100000</v>
          </cell>
        </row>
        <row r="81">
          <cell r="C81" t="str">
            <v>Ventana de aluminio 100x150cm; vidrio 6mm</v>
          </cell>
          <cell r="I81" t="str">
            <v>Unidad</v>
          </cell>
          <cell r="J81">
            <v>339900</v>
          </cell>
          <cell r="L81">
            <v>339900</v>
          </cell>
        </row>
        <row r="82">
          <cell r="C82" t="str">
            <v>Puerta en aluminio doble ala 150x210cm; incluye marco</v>
          </cell>
          <cell r="I82" t="str">
            <v>Unidad</v>
          </cell>
          <cell r="J82">
            <v>950000</v>
          </cell>
          <cell r="L82">
            <v>950000</v>
          </cell>
        </row>
        <row r="84">
          <cell r="C84" t="str">
            <v>Tuberia PVC sanitaria de D=4"</v>
          </cell>
          <cell r="I84" t="str">
            <v>ml</v>
          </cell>
          <cell r="J84">
            <v>38435.5</v>
          </cell>
          <cell r="L84" t="str">
            <v>PAVCO</v>
          </cell>
        </row>
        <row r="85">
          <cell r="C85" t="str">
            <v>Codo de 4" x 90° sanitaria CxC</v>
          </cell>
          <cell r="I85" t="str">
            <v>Unidad</v>
          </cell>
          <cell r="J85">
            <v>19645</v>
          </cell>
          <cell r="L85" t="str">
            <v>PAVCO</v>
          </cell>
        </row>
        <row r="86">
          <cell r="C86" t="str">
            <v>Soldadura para PVC 1/4 Galon</v>
          </cell>
          <cell r="I86" t="str">
            <v>Galón</v>
          </cell>
          <cell r="J86">
            <v>150369</v>
          </cell>
          <cell r="L86" t="str">
            <v>PAVCO</v>
          </cell>
        </row>
        <row r="87">
          <cell r="C87" t="str">
            <v>Limpiador PVC 1/4 Galon</v>
          </cell>
          <cell r="I87" t="str">
            <v>Galón</v>
          </cell>
          <cell r="J87">
            <v>72505</v>
          </cell>
          <cell r="L87" t="str">
            <v>PAVCO</v>
          </cell>
          <cell r="N87">
            <v>3.8</v>
          </cell>
        </row>
        <row r="88">
          <cell r="C88" t="str">
            <v>Lubricante 500 gr</v>
          </cell>
          <cell r="I88" t="str">
            <v>Unidad</v>
          </cell>
          <cell r="J88">
            <v>30821</v>
          </cell>
          <cell r="L88">
            <v>30821</v>
          </cell>
          <cell r="N88">
            <v>0.5</v>
          </cell>
        </row>
        <row r="89">
          <cell r="C89" t="str">
            <v>Suministro de tubería novafort 6" para alcantarillado</v>
          </cell>
          <cell r="I89" t="str">
            <v>ml</v>
          </cell>
          <cell r="J89">
            <v>52566.833333333336</v>
          </cell>
          <cell r="L89" t="str">
            <v>PAVCO</v>
          </cell>
        </row>
        <row r="90">
          <cell r="C90" t="str">
            <v>Tee PVC 4"</v>
          </cell>
          <cell r="I90" t="str">
            <v>Unidad</v>
          </cell>
          <cell r="J90">
            <v>26020</v>
          </cell>
          <cell r="L90" t="str">
            <v>PAVCO</v>
          </cell>
        </row>
        <row r="91">
          <cell r="C91" t="str">
            <v>Tubería PVC Ø8" RDE 26 NOVAFORT</v>
          </cell>
          <cell r="I91" t="str">
            <v>ml</v>
          </cell>
          <cell r="J91">
            <v>75144.5</v>
          </cell>
          <cell r="L91" t="str">
            <v>PAVCO</v>
          </cell>
          <cell r="N91">
            <v>5.25</v>
          </cell>
        </row>
        <row r="92">
          <cell r="C92" t="str">
            <v xml:space="preserve">Codo sanitario PVC Ø8" 22,5° </v>
          </cell>
          <cell r="I92" t="str">
            <v>Unidad</v>
          </cell>
          <cell r="J92">
            <v>193841</v>
          </cell>
          <cell r="L92">
            <v>193841</v>
          </cell>
          <cell r="N92">
            <v>2.5</v>
          </cell>
        </row>
        <row r="93">
          <cell r="C93" t="str">
            <v>Tubería PVC Ø10" RDE 26 NOVAFORT</v>
          </cell>
          <cell r="I93" t="str">
            <v>ml</v>
          </cell>
          <cell r="J93">
            <v>109752</v>
          </cell>
          <cell r="L93" t="str">
            <v>PAVCO</v>
          </cell>
        </row>
        <row r="94">
          <cell r="C94" t="str">
            <v>Tubería PVC Ø12" RDE 26 NOVAFORT</v>
          </cell>
          <cell r="I94" t="str">
            <v>ml</v>
          </cell>
          <cell r="J94">
            <v>157926.33333333334</v>
          </cell>
          <cell r="L94" t="str">
            <v>PAVCO</v>
          </cell>
        </row>
        <row r="95">
          <cell r="C95" t="str">
            <v xml:space="preserve">Codo sanitario PVC Ø6" 90° </v>
          </cell>
          <cell r="I95" t="str">
            <v>Unidad</v>
          </cell>
          <cell r="J95">
            <v>166284</v>
          </cell>
          <cell r="L95" t="str">
            <v>PAVCO</v>
          </cell>
        </row>
        <row r="96">
          <cell r="C96" t="str">
            <v>Reducción sanitaria PVC 8"X4"</v>
          </cell>
          <cell r="I96" t="str">
            <v>Unidad</v>
          </cell>
          <cell r="J96">
            <v>207324</v>
          </cell>
          <cell r="L96" t="str">
            <v>PAVCO</v>
          </cell>
        </row>
        <row r="97">
          <cell r="C97" t="str">
            <v>Yee sanitaria PVC 8"</v>
          </cell>
          <cell r="I97" t="str">
            <v>Unidad</v>
          </cell>
          <cell r="J97">
            <v>492092</v>
          </cell>
          <cell r="L97" t="str">
            <v>PAVCO</v>
          </cell>
        </row>
        <row r="98">
          <cell r="C98" t="str">
            <v>Cruz PVC sanitaria 8"</v>
          </cell>
          <cell r="I98" t="str">
            <v>Unidad</v>
          </cell>
          <cell r="J98">
            <v>122684</v>
          </cell>
          <cell r="L98">
            <v>122684</v>
          </cell>
        </row>
        <row r="99">
          <cell r="C99" t="str">
            <v>Tee PVC 6"</v>
          </cell>
          <cell r="I99" t="str">
            <v>Unidad</v>
          </cell>
          <cell r="J99">
            <v>236282</v>
          </cell>
          <cell r="L99" t="str">
            <v>PAVCO</v>
          </cell>
        </row>
        <row r="100">
          <cell r="C100" t="str">
            <v>Tapón sanitario PVC 3"</v>
          </cell>
          <cell r="I100" t="str">
            <v>Unidad</v>
          </cell>
          <cell r="J100">
            <v>21930</v>
          </cell>
          <cell r="L100" t="str">
            <v>PAVCO</v>
          </cell>
        </row>
        <row r="101">
          <cell r="C101" t="str">
            <v>Codo sanitario PVC 3"</v>
          </cell>
          <cell r="I101" t="str">
            <v>Unidad</v>
          </cell>
          <cell r="J101">
            <v>11297</v>
          </cell>
          <cell r="L101" t="str">
            <v>PAVCO</v>
          </cell>
        </row>
        <row r="102">
          <cell r="C102" t="str">
            <v>Reducción sanitaria PVC 4"X3"</v>
          </cell>
          <cell r="I102" t="str">
            <v>Unidad</v>
          </cell>
          <cell r="J102">
            <v>14593</v>
          </cell>
          <cell r="L102" t="str">
            <v>PAVCO</v>
          </cell>
        </row>
        <row r="103">
          <cell r="C103" t="str">
            <v>Reducción sanitaria PVC 6"X4"</v>
          </cell>
          <cell r="I103" t="str">
            <v>Unidad</v>
          </cell>
          <cell r="J103">
            <v>54870</v>
          </cell>
          <cell r="L103" t="str">
            <v>PAVCO</v>
          </cell>
        </row>
        <row r="104">
          <cell r="C104" t="str">
            <v>Tuberia PVC sanitaria de D=3"</v>
          </cell>
          <cell r="I104" t="str">
            <v>ml</v>
          </cell>
          <cell r="J104">
            <v>27329</v>
          </cell>
          <cell r="L104" t="str">
            <v>PAVCO</v>
          </cell>
        </row>
        <row r="105">
          <cell r="C105" t="str">
            <v>Tapón sanitario PVC 4"</v>
          </cell>
          <cell r="I105" t="str">
            <v>Unidad</v>
          </cell>
          <cell r="J105">
            <v>32605</v>
          </cell>
          <cell r="L105" t="str">
            <v>PAVCO</v>
          </cell>
        </row>
        <row r="106">
          <cell r="C106" t="str">
            <v>Codo 90° presión PVC 1"</v>
          </cell>
          <cell r="I106" t="str">
            <v>Unidad</v>
          </cell>
          <cell r="J106">
            <v>2969</v>
          </cell>
          <cell r="L106" t="str">
            <v>PAVCO</v>
          </cell>
        </row>
        <row r="107">
          <cell r="C107" t="str">
            <v>Yee presión PVC 1"</v>
          </cell>
          <cell r="I107" t="str">
            <v>Unidad</v>
          </cell>
          <cell r="J107">
            <v>2937</v>
          </cell>
          <cell r="L107">
            <v>2937</v>
          </cell>
        </row>
        <row r="108">
          <cell r="C108" t="str">
            <v>Codo 45° presión PVC 1"</v>
          </cell>
          <cell r="I108" t="str">
            <v>Unidad</v>
          </cell>
          <cell r="J108">
            <v>4768</v>
          </cell>
          <cell r="L108" t="str">
            <v>PAVCO</v>
          </cell>
        </row>
        <row r="109">
          <cell r="C109" t="str">
            <v>Válvula de cierre PVC 1"</v>
          </cell>
          <cell r="I109" t="str">
            <v>Unidad</v>
          </cell>
          <cell r="J109">
            <v>61226</v>
          </cell>
          <cell r="L109" t="str">
            <v>PAVCO</v>
          </cell>
        </row>
        <row r="110">
          <cell r="C110" t="str">
            <v>Tubo presión RDE 13.5 PVC 1"</v>
          </cell>
          <cell r="I110" t="str">
            <v>ml</v>
          </cell>
          <cell r="J110">
            <v>10285.166666666666</v>
          </cell>
          <cell r="L110" t="str">
            <v>PAVCO</v>
          </cell>
        </row>
        <row r="111">
          <cell r="C111" t="str">
            <v>Tee presión 1" PVC</v>
          </cell>
          <cell r="I111" t="str">
            <v>Unidad</v>
          </cell>
          <cell r="J111">
            <v>4130</v>
          </cell>
          <cell r="L111" t="str">
            <v>PAVCO</v>
          </cell>
        </row>
        <row r="112">
          <cell r="C112" t="str">
            <v>Reducción de presión PVC 2"x1"</v>
          </cell>
          <cell r="I112" t="str">
            <v>Unidad</v>
          </cell>
          <cell r="J112">
            <v>8288</v>
          </cell>
          <cell r="L112" t="str">
            <v>PAVCO</v>
          </cell>
        </row>
        <row r="113">
          <cell r="C113" t="str">
            <v>Kit silla yee 200x160mm (incluye empaque y abrazaderas)</v>
          </cell>
          <cell r="I113" t="str">
            <v>Unidad</v>
          </cell>
          <cell r="J113">
            <v>217902</v>
          </cell>
          <cell r="L113" t="str">
            <v>PAVCO</v>
          </cell>
        </row>
        <row r="114">
          <cell r="C114" t="str">
            <v xml:space="preserve">Codo sanitario PVC Ø6" 45° </v>
          </cell>
          <cell r="I114" t="str">
            <v>Unidad</v>
          </cell>
          <cell r="J114">
            <v>81657</v>
          </cell>
          <cell r="L114" t="str">
            <v>PAVCO</v>
          </cell>
        </row>
        <row r="115">
          <cell r="C115" t="str">
            <v>Tubería PVC Ø6" RDE 26 NOVAFORT</v>
          </cell>
          <cell r="I115" t="str">
            <v>ml</v>
          </cell>
          <cell r="J115">
            <v>52566.833333333336</v>
          </cell>
          <cell r="L115" t="str">
            <v>PAVCO</v>
          </cell>
        </row>
        <row r="117">
          <cell r="C117" t="str">
            <v>Tablero bifasico 8 circuitos 240v; incluye caja y tapa</v>
          </cell>
          <cell r="I117" t="str">
            <v>Unidad</v>
          </cell>
          <cell r="J117">
            <v>116900</v>
          </cell>
          <cell r="L117" t="str">
            <v>Interelectrica</v>
          </cell>
        </row>
        <row r="118">
          <cell r="C118" t="str">
            <v>Breaker de riel 2x40A</v>
          </cell>
          <cell r="I118" t="str">
            <v>Unidad</v>
          </cell>
          <cell r="J118">
            <v>16950</v>
          </cell>
          <cell r="L118" t="str">
            <v>Interelectrica</v>
          </cell>
        </row>
        <row r="119">
          <cell r="C119" t="str">
            <v>Breaker enchufable 1x20A</v>
          </cell>
          <cell r="I119" t="str">
            <v>Unidad</v>
          </cell>
          <cell r="J119">
            <v>11850</v>
          </cell>
          <cell r="L119" t="str">
            <v>Interelectrica</v>
          </cell>
        </row>
        <row r="120">
          <cell r="C120" t="str">
            <v>Barraje premodelado para baja tensión</v>
          </cell>
          <cell r="I120" t="str">
            <v>Unidad</v>
          </cell>
          <cell r="J120">
            <v>330350</v>
          </cell>
          <cell r="L120" t="str">
            <v>Interelectrica</v>
          </cell>
        </row>
        <row r="121">
          <cell r="C121" t="str">
            <v>Fusible de cuchilla 50A</v>
          </cell>
          <cell r="I121" t="str">
            <v>Unidad</v>
          </cell>
          <cell r="J121">
            <v>21000</v>
          </cell>
          <cell r="L121" t="str">
            <v>Interelectrica</v>
          </cell>
        </row>
        <row r="122">
          <cell r="C122" t="str">
            <v>Accesorios de sujeción y anclaje</v>
          </cell>
          <cell r="I122" t="str">
            <v>Glb</v>
          </cell>
          <cell r="J122">
            <v>20000</v>
          </cell>
          <cell r="L122" t="str">
            <v>Interelectrica</v>
          </cell>
        </row>
        <row r="123">
          <cell r="C123" t="str">
            <v>Lampara LED 15w multi-voltaje luz blanca</v>
          </cell>
          <cell r="I123" t="str">
            <v>Unidad</v>
          </cell>
          <cell r="J123">
            <v>17600</v>
          </cell>
          <cell r="L123" t="str">
            <v>Interelectrica</v>
          </cell>
        </row>
        <row r="124">
          <cell r="C124" t="str">
            <v>Plafón de techo</v>
          </cell>
          <cell r="I124" t="str">
            <v>Unidad</v>
          </cell>
          <cell r="J124">
            <v>3800</v>
          </cell>
          <cell r="L124" t="str">
            <v>Interelectrica</v>
          </cell>
        </row>
        <row r="125">
          <cell r="C125" t="str">
            <v>Caja de paso octogonal</v>
          </cell>
          <cell r="I125" t="str">
            <v>Unidad</v>
          </cell>
          <cell r="J125">
            <v>2600</v>
          </cell>
          <cell r="L125" t="str">
            <v>Interelectrica</v>
          </cell>
        </row>
        <row r="126">
          <cell r="C126" t="str">
            <v>Adaptador terminal PVC 3/4"</v>
          </cell>
          <cell r="I126" t="str">
            <v>Unidad</v>
          </cell>
          <cell r="J126">
            <v>250</v>
          </cell>
          <cell r="L126" t="str">
            <v>Interelectrica</v>
          </cell>
        </row>
        <row r="127">
          <cell r="C127" t="str">
            <v>Bala LED de incrustar 3w luz calida</v>
          </cell>
          <cell r="I127" t="str">
            <v>Unidad</v>
          </cell>
          <cell r="J127">
            <v>87950</v>
          </cell>
          <cell r="L127" t="str">
            <v>Interelectrica</v>
          </cell>
        </row>
        <row r="128">
          <cell r="C128" t="str">
            <v>Luz de emergencia LED 2x1.6w</v>
          </cell>
          <cell r="I128" t="str">
            <v>Unidad</v>
          </cell>
          <cell r="J128">
            <v>77800</v>
          </cell>
          <cell r="L128" t="str">
            <v>Interelectrica</v>
          </cell>
        </row>
        <row r="129">
          <cell r="C129" t="str">
            <v>Clavija con polo a tierra</v>
          </cell>
          <cell r="I129" t="str">
            <v>Unidad</v>
          </cell>
          <cell r="J129">
            <v>5800</v>
          </cell>
          <cell r="L129" t="str">
            <v>Interelectrica</v>
          </cell>
        </row>
        <row r="130">
          <cell r="C130" t="str">
            <v>Interruptor sencillo blanco</v>
          </cell>
          <cell r="I130" t="str">
            <v>Unidad</v>
          </cell>
          <cell r="J130">
            <v>5350</v>
          </cell>
          <cell r="L130" t="str">
            <v>Interelectrica</v>
          </cell>
        </row>
        <row r="131">
          <cell r="C131" t="str">
            <v>Caja de paso 5800 2x4</v>
          </cell>
          <cell r="I131" t="str">
            <v>Unidad</v>
          </cell>
          <cell r="J131">
            <v>1350</v>
          </cell>
          <cell r="L131" t="str">
            <v>Interelectrica</v>
          </cell>
        </row>
        <row r="132">
          <cell r="C132" t="str">
            <v>Interruptor doble blanco</v>
          </cell>
          <cell r="I132" t="str">
            <v>Unidad</v>
          </cell>
          <cell r="J132">
            <v>7550</v>
          </cell>
          <cell r="L132" t="str">
            <v>Interelectrica</v>
          </cell>
        </row>
        <row r="133">
          <cell r="C133" t="str">
            <v>Tomacorriente doble con polo a tierra</v>
          </cell>
          <cell r="I133" t="str">
            <v>Unidad</v>
          </cell>
          <cell r="J133">
            <v>6000</v>
          </cell>
          <cell r="L133" t="str">
            <v>Interelectrica</v>
          </cell>
        </row>
        <row r="134">
          <cell r="C134" t="str">
            <v>Tomacorriente doble GFCI con polo a tierra</v>
          </cell>
          <cell r="I134" t="str">
            <v>Unidad</v>
          </cell>
          <cell r="J134">
            <v>33800</v>
          </cell>
          <cell r="L134" t="str">
            <v>Interelectrica</v>
          </cell>
        </row>
        <row r="135">
          <cell r="C135" t="str">
            <v>Termimal de ojo No. 12-10</v>
          </cell>
          <cell r="I135" t="str">
            <v>Unidad</v>
          </cell>
          <cell r="J135">
            <v>250</v>
          </cell>
          <cell r="L135" t="str">
            <v>Interelectrica</v>
          </cell>
        </row>
        <row r="136">
          <cell r="C136" t="str">
            <v>Cable de cobre aislado No.12 AWG THHN Negro</v>
          </cell>
          <cell r="I136" t="str">
            <v>ml</v>
          </cell>
          <cell r="J136">
            <v>2600</v>
          </cell>
          <cell r="L136" t="str">
            <v>Interelectrica</v>
          </cell>
        </row>
        <row r="137">
          <cell r="C137" t="str">
            <v>Cable de cobre aislado No.12 AWG THHN Blanco</v>
          </cell>
          <cell r="I137" t="str">
            <v>ml</v>
          </cell>
          <cell r="J137">
            <v>2550</v>
          </cell>
          <cell r="L137" t="str">
            <v>Interelectrica</v>
          </cell>
        </row>
        <row r="138">
          <cell r="C138" t="str">
            <v>Cable de cobre aislado No.12 AWG THHN Verde</v>
          </cell>
          <cell r="I138" t="str">
            <v>ml</v>
          </cell>
          <cell r="J138">
            <v>2550</v>
          </cell>
          <cell r="L138" t="str">
            <v>Interelectrica</v>
          </cell>
        </row>
        <row r="139">
          <cell r="C139" t="str">
            <v>Tubería conduit EMT 3/4" (und)</v>
          </cell>
          <cell r="I139" t="str">
            <v>Unidad</v>
          </cell>
          <cell r="J139">
            <v>22300</v>
          </cell>
          <cell r="L139" t="str">
            <v>Interelectrica</v>
          </cell>
        </row>
        <row r="140">
          <cell r="C140" t="str">
            <v>Tubería conduit EMT 3/4" (ml)</v>
          </cell>
          <cell r="I140" t="str">
            <v>ml</v>
          </cell>
          <cell r="J140">
            <v>7433.333333333333</v>
          </cell>
          <cell r="L140" t="str">
            <v>Interelectrica</v>
          </cell>
        </row>
        <row r="141">
          <cell r="C141" t="str">
            <v>Curva EMT 3/4"</v>
          </cell>
          <cell r="I141" t="str">
            <v>Unidad</v>
          </cell>
          <cell r="J141">
            <v>1500</v>
          </cell>
          <cell r="L141" t="str">
            <v>Interelectrica</v>
          </cell>
        </row>
        <row r="142">
          <cell r="C142" t="str">
            <v>Unión EMT 3/4"</v>
          </cell>
          <cell r="I142" t="str">
            <v>Unidad</v>
          </cell>
          <cell r="J142">
            <v>850</v>
          </cell>
          <cell r="L142" t="str">
            <v>Interelectrica</v>
          </cell>
        </row>
        <row r="143">
          <cell r="C143" t="str">
            <v>Grapa abrazadera 3/4" doble ala</v>
          </cell>
          <cell r="I143" t="str">
            <v>Unidad</v>
          </cell>
          <cell r="J143">
            <v>500</v>
          </cell>
          <cell r="L143" t="str">
            <v>Interelectrica</v>
          </cell>
        </row>
        <row r="144">
          <cell r="C144" t="str">
            <v>Chazos y tornillos 12x2"</v>
          </cell>
          <cell r="I144" t="str">
            <v>Unidad</v>
          </cell>
          <cell r="J144">
            <v>458</v>
          </cell>
          <cell r="L144" t="str">
            <v>Homcenter</v>
          </cell>
        </row>
        <row r="145">
          <cell r="C145" t="str">
            <v>Conector de empalme EMT 3/4"</v>
          </cell>
          <cell r="I145" t="str">
            <v>Unidad</v>
          </cell>
          <cell r="J145">
            <v>950</v>
          </cell>
          <cell r="L145" t="str">
            <v>Interelectrica</v>
          </cell>
        </row>
        <row r="146">
          <cell r="C146" t="str">
            <v>Caja metálica tipo Radwell 10x10</v>
          </cell>
          <cell r="I146" t="str">
            <v>Unidad</v>
          </cell>
          <cell r="J146">
            <v>39250</v>
          </cell>
          <cell r="L146" t="str">
            <v>Interelectrica</v>
          </cell>
        </row>
        <row r="147">
          <cell r="C147" t="str">
            <v>Tapa para caja Radwel</v>
          </cell>
          <cell r="I147" t="str">
            <v>Unidad</v>
          </cell>
          <cell r="J147">
            <v>3300</v>
          </cell>
          <cell r="L147" t="str">
            <v>Interelectrica</v>
          </cell>
        </row>
        <row r="148">
          <cell r="C148" t="str">
            <v>Curva PVC 3/4 Conduit</v>
          </cell>
          <cell r="I148" t="str">
            <v>Unidad</v>
          </cell>
          <cell r="J148">
            <v>750</v>
          </cell>
          <cell r="L148" t="str">
            <v>Interelectrica</v>
          </cell>
        </row>
        <row r="149">
          <cell r="C149" t="str">
            <v>Tubería Conduit PVC 3/4"</v>
          </cell>
          <cell r="I149" t="str">
            <v>ml</v>
          </cell>
          <cell r="J149">
            <v>1766.6666666666667</v>
          </cell>
          <cell r="L149" t="str">
            <v>Interelectrica</v>
          </cell>
        </row>
        <row r="151">
          <cell r="C151" t="str">
            <v>Agua</v>
          </cell>
          <cell r="I151" t="str">
            <v>Lt</v>
          </cell>
          <cell r="J151">
            <v>20</v>
          </cell>
          <cell r="L151" t="str">
            <v>Ver APU</v>
          </cell>
          <cell r="N151">
            <v>1</v>
          </cell>
        </row>
        <row r="152">
          <cell r="C152" t="str">
            <v>Formaleta en madera x m2 4 usos</v>
          </cell>
          <cell r="I152" t="str">
            <v>m2</v>
          </cell>
          <cell r="J152">
            <v>1190</v>
          </cell>
          <cell r="L152" t="str">
            <v>Construequipos YEY</v>
          </cell>
          <cell r="N152">
            <v>41.1</v>
          </cell>
        </row>
        <row r="153">
          <cell r="C153" t="str">
            <v>Suministro e instalacion de mortero 1:4</v>
          </cell>
          <cell r="I153" t="str">
            <v>m3</v>
          </cell>
          <cell r="J153">
            <v>497116</v>
          </cell>
          <cell r="L153">
            <v>497116</v>
          </cell>
        </row>
        <row r="154">
          <cell r="C154" t="str">
            <v>Suministro de acero de refuerzo de 60000 PSI cortado y figurado</v>
          </cell>
          <cell r="I154" t="str">
            <v>Kg</v>
          </cell>
          <cell r="J154">
            <v>6735.72</v>
          </cell>
          <cell r="L154" t="str">
            <v>Ver APU</v>
          </cell>
        </row>
        <row r="155">
          <cell r="C155" t="str">
            <v>Tierra vegetal cribada, suministrada a granel</v>
          </cell>
          <cell r="I155" t="str">
            <v>m3</v>
          </cell>
          <cell r="J155">
            <v>49455.87</v>
          </cell>
          <cell r="L155">
            <v>49455.87</v>
          </cell>
        </row>
        <row r="156">
          <cell r="C156" t="str">
            <v>Válvula compuerta con volante bridada Ø4 en hierro ductil</v>
          </cell>
          <cell r="I156" t="str">
            <v>Unidad</v>
          </cell>
          <cell r="J156">
            <v>898682.04999999993</v>
          </cell>
          <cell r="L156" t="str">
            <v>Acuatubos</v>
          </cell>
          <cell r="N156">
            <v>26</v>
          </cell>
        </row>
        <row r="157">
          <cell r="C157" t="str">
            <v>Compuerta deslizante con rueda de manejo y no vastago ascendente 0.45x0.55m en hierro ductil</v>
          </cell>
          <cell r="I157" t="str">
            <v>Unidad</v>
          </cell>
          <cell r="J157">
            <v>5712000</v>
          </cell>
          <cell r="L157">
            <v>2856000</v>
          </cell>
        </row>
        <row r="158">
          <cell r="C158" t="str">
            <v>Niple pasamuro L= 0,25m Ø4" en hierro ductil</v>
          </cell>
          <cell r="I158" t="str">
            <v>Unidad</v>
          </cell>
          <cell r="J158">
            <v>170000</v>
          </cell>
          <cell r="L158">
            <v>0</v>
          </cell>
        </row>
        <row r="159">
          <cell r="C159" t="str">
            <v>Concreto 4000 PSI</v>
          </cell>
          <cell r="I159" t="str">
            <v>m3</v>
          </cell>
          <cell r="J159">
            <v>1134546.2</v>
          </cell>
          <cell r="L159" t="str">
            <v>Ver APU</v>
          </cell>
        </row>
        <row r="160">
          <cell r="C160" t="str">
            <v>Válvula compuerta con volante bridada Ø8" en hierro ductil</v>
          </cell>
          <cell r="I160" t="str">
            <v>Unidad</v>
          </cell>
          <cell r="J160">
            <v>2180672.62</v>
          </cell>
          <cell r="L160" t="str">
            <v>Acuatubos</v>
          </cell>
        </row>
        <row r="161">
          <cell r="C161" t="str">
            <v>Alquiler de camillas de 0,70 x 1,40m (3 dias de uso)</v>
          </cell>
          <cell r="I161" t="str">
            <v>Unidad</v>
          </cell>
          <cell r="J161">
            <v>1190</v>
          </cell>
          <cell r="L161" t="str">
            <v>Construequipos YEY</v>
          </cell>
          <cell r="N161">
            <v>30</v>
          </cell>
        </row>
        <row r="162">
          <cell r="C162" t="str">
            <v>Pasamuro Ø6" L=1M en hierro ductil</v>
          </cell>
          <cell r="I162" t="str">
            <v>Unidad</v>
          </cell>
          <cell r="J162">
            <v>549542.86</v>
          </cell>
          <cell r="L162">
            <v>549542.86</v>
          </cell>
          <cell r="N162">
            <v>45.25</v>
          </cell>
        </row>
        <row r="163">
          <cell r="C163" t="str">
            <v>Transporte de materiales</v>
          </cell>
          <cell r="I163" t="str">
            <v>Km</v>
          </cell>
          <cell r="J163">
            <v>1879.1399946228782</v>
          </cell>
          <cell r="L163" t="str">
            <v>Ver APU</v>
          </cell>
        </row>
        <row r="164">
          <cell r="C164" t="str">
            <v>Paso para escalera de gato en varilla PRD-60 de 3/4" recubierta con material de polipropileno de alto impacto antideslizante con anclaje dentado, refuerzo, y tranca pie. Longitud 0,30 m para soporte de pie y dos ancles de 0,30 m</v>
          </cell>
          <cell r="I164" t="str">
            <v>Unidad</v>
          </cell>
          <cell r="J164">
            <v>78000</v>
          </cell>
          <cell r="L164">
            <v>78000</v>
          </cell>
          <cell r="N164">
            <v>2.5499999999999998</v>
          </cell>
        </row>
        <row r="165">
          <cell r="C165" t="str">
            <v>Localización y replanteo de estructuras de acueductos (No incluye equipo de topografía)</v>
          </cell>
          <cell r="I165" t="str">
            <v>m2</v>
          </cell>
          <cell r="J165">
            <v>4424.68813065625</v>
          </cell>
          <cell r="L165" t="str">
            <v>Ver APU</v>
          </cell>
          <cell r="N165">
            <v>0.17269999999999999</v>
          </cell>
        </row>
        <row r="166">
          <cell r="C166" t="str">
            <v>Excavación manual en material común (Incluye mano de obra, equipos y materiales)</v>
          </cell>
          <cell r="I166" t="str">
            <v>m3</v>
          </cell>
          <cell r="J166">
            <v>41990.758875</v>
          </cell>
          <cell r="L166" t="str">
            <v>Ver APU</v>
          </cell>
        </row>
        <row r="167">
          <cell r="C167" t="str">
            <v>Relleno tipo II: Con recebo seleccionado, compactado en capas de 20 cm, proctor modificado 95%, a todo factor (incluye recebo, equipos, herramientas, transporte y mano de obra)</v>
          </cell>
          <cell r="I167" t="str">
            <v>m3</v>
          </cell>
          <cell r="J167">
            <v>179402.97</v>
          </cell>
          <cell r="L167" t="str">
            <v>Ver APU</v>
          </cell>
          <cell r="N167">
            <v>1650</v>
          </cell>
        </row>
        <row r="168">
          <cell r="C168" t="str">
            <v>Concreto para solado de 2000 PSI a todo costo (140 Kg/cm2)</v>
          </cell>
          <cell r="I168" t="str">
            <v>m3</v>
          </cell>
          <cell r="J168">
            <v>635032.18000000005</v>
          </cell>
          <cell r="L168" t="str">
            <v>Ver APU</v>
          </cell>
          <cell r="N168">
            <v>2538.8000000000002</v>
          </cell>
        </row>
        <row r="169">
          <cell r="C169" t="str">
            <v>Suministro figurado y armado de acero de refuerzo 60000 PSI (Incluye desperdicio del 5%)</v>
          </cell>
          <cell r="I169" t="str">
            <v>Kg</v>
          </cell>
          <cell r="J169">
            <v>6735.72</v>
          </cell>
          <cell r="L169" t="str">
            <v>Ver APU</v>
          </cell>
        </row>
        <row r="170">
          <cell r="C170" t="str">
            <v>Concreto para tapa de 4000 PSI impermeabilizado a todo costo (280 Kg/cm2)</v>
          </cell>
          <cell r="I170" t="str">
            <v>m3</v>
          </cell>
          <cell r="J170">
            <v>1134546.2</v>
          </cell>
          <cell r="L170" t="str">
            <v>Ver APU</v>
          </cell>
          <cell r="N170">
            <v>7444.92</v>
          </cell>
        </row>
        <row r="171">
          <cell r="C171" t="str">
            <v>Concreto para muros de 4000 PSI impermeabilizado a todo costo (280 Kg/cm2)</v>
          </cell>
          <cell r="I171" t="str">
            <v>m3</v>
          </cell>
          <cell r="J171" t="e">
            <v>#REF!</v>
          </cell>
          <cell r="L171" t="str">
            <v>Ver APU</v>
          </cell>
          <cell r="N171">
            <v>2777.03</v>
          </cell>
        </row>
        <row r="172">
          <cell r="C172" t="str">
            <v>Concreto para piso de 4000 PSI impermeabilizado a todo costo (280 Kg/cm2)</v>
          </cell>
          <cell r="I172" t="str">
            <v>m3</v>
          </cell>
          <cell r="J172">
            <v>836182.56705922401</v>
          </cell>
          <cell r="L172" t="str">
            <v>Ver APU</v>
          </cell>
          <cell r="N172">
            <v>2735.9</v>
          </cell>
        </row>
        <row r="173">
          <cell r="C173" t="str">
            <v>Suministro de tapa de seguridad para pozos de inspección D400 en hierro ductil (Incluye aro en hierro ductil)</v>
          </cell>
          <cell r="I173" t="str">
            <v>Unidad</v>
          </cell>
          <cell r="J173">
            <v>791900</v>
          </cell>
          <cell r="L173">
            <v>791900</v>
          </cell>
        </row>
        <row r="174">
          <cell r="C174" t="str">
            <v>Suministro e instalación de tapa y aro de seguridad para pozos de inspección ASTM-536 con resistencia D400</v>
          </cell>
          <cell r="I174" t="str">
            <v>Unidad</v>
          </cell>
          <cell r="J174">
            <v>791900</v>
          </cell>
          <cell r="L174">
            <v>791900</v>
          </cell>
        </row>
        <row r="175">
          <cell r="C175" t="str">
            <v>Excavación manual</v>
          </cell>
          <cell r="I175" t="str">
            <v>m3</v>
          </cell>
          <cell r="J175" t="e">
            <v>#REF!</v>
          </cell>
          <cell r="L175" t="str">
            <v>Ver APU</v>
          </cell>
        </row>
        <row r="176">
          <cell r="C176" t="str">
            <v>Formaleta metálica para estructura hidráulica (Incluye materiales, herramientas y mano de obra)</v>
          </cell>
          <cell r="I176" t="str">
            <v>m2</v>
          </cell>
          <cell r="J176">
            <v>119799.35515208331</v>
          </cell>
          <cell r="L176" t="str">
            <v>Ver APU</v>
          </cell>
          <cell r="N176">
            <v>41.1</v>
          </cell>
        </row>
        <row r="177">
          <cell r="C177" t="str">
            <v>Extendido manual de tierras con material de la propia excavación</v>
          </cell>
          <cell r="I177" t="str">
            <v>m3</v>
          </cell>
          <cell r="J177">
            <v>22045.148409375</v>
          </cell>
          <cell r="L177" t="str">
            <v>Ver APU</v>
          </cell>
        </row>
        <row r="178">
          <cell r="C178" t="str">
            <v>Pasamuros de Ø8" L=0.50 m con extremos bridados en hierro ductil</v>
          </cell>
          <cell r="I178" t="str">
            <v>Unidad</v>
          </cell>
          <cell r="J178">
            <v>668087</v>
          </cell>
          <cell r="L178">
            <v>668087</v>
          </cell>
          <cell r="N178">
            <v>31.9</v>
          </cell>
        </row>
        <row r="179">
          <cell r="C179" t="str">
            <v>Rejilla de cribado grueso</v>
          </cell>
          <cell r="I179" t="str">
            <v>Unidad</v>
          </cell>
          <cell r="J179">
            <v>3500000</v>
          </cell>
          <cell r="L179">
            <v>3500000</v>
          </cell>
        </row>
        <row r="180">
          <cell r="C180" t="str">
            <v>rejilla de cribado fino</v>
          </cell>
          <cell r="I180" t="str">
            <v>Unidad</v>
          </cell>
          <cell r="J180">
            <v>6800000</v>
          </cell>
          <cell r="L180">
            <v>6800000</v>
          </cell>
        </row>
        <row r="181">
          <cell r="C181" t="str">
            <v>Bomba sumergible para achique de aguas con 0.3HP</v>
          </cell>
          <cell r="I181" t="str">
            <v>Unidad</v>
          </cell>
          <cell r="J181">
            <v>1463900</v>
          </cell>
          <cell r="L181">
            <v>1463900</v>
          </cell>
        </row>
        <row r="182">
          <cell r="C182" t="str">
            <v>Vertedero sutro</v>
          </cell>
          <cell r="I182" t="str">
            <v>Unidad</v>
          </cell>
          <cell r="J182">
            <v>1030000</v>
          </cell>
          <cell r="L182">
            <v>1030000</v>
          </cell>
        </row>
        <row r="183">
          <cell r="C183" t="str">
            <v>Pasamuro de Ø8" L=0.25 m con extremos bridados en hierro ductil</v>
          </cell>
          <cell r="I183" t="str">
            <v>Unidad</v>
          </cell>
          <cell r="J183">
            <v>335000</v>
          </cell>
          <cell r="L183">
            <v>335000</v>
          </cell>
        </row>
        <row r="184">
          <cell r="C184" t="str">
            <v>Concreto para cilindro de pozo de 4000 PSI impermeabilizado a todo costo (280 Kg/cm2)</v>
          </cell>
          <cell r="I184" t="str">
            <v>m3</v>
          </cell>
          <cell r="J184">
            <v>954487.64425089071</v>
          </cell>
          <cell r="L184" t="str">
            <v>Ver APU</v>
          </cell>
        </row>
        <row r="185">
          <cell r="C185" t="str">
            <v>Formaleta metálica para cilindro de pozo</v>
          </cell>
          <cell r="I185" t="str">
            <v>Unidad</v>
          </cell>
          <cell r="J185">
            <v>88000</v>
          </cell>
          <cell r="L185">
            <v>88000</v>
          </cell>
        </row>
        <row r="186">
          <cell r="C186" t="str">
            <v>Pasarela tipo rejilla, superficie concava de 0.70x0.40m en fibra de vidrio</v>
          </cell>
          <cell r="I186" t="str">
            <v>Unidad</v>
          </cell>
          <cell r="J186">
            <v>3250000</v>
          </cell>
          <cell r="L186">
            <v>3250000</v>
          </cell>
        </row>
        <row r="187">
          <cell r="C187" t="str">
            <v>Pasarela tipo rejilla, superficie concava de 0.70x0.45m en fibra de vidrio</v>
          </cell>
          <cell r="I187" t="str">
            <v>Unidad</v>
          </cell>
          <cell r="J187">
            <v>3737499.9999999995</v>
          </cell>
          <cell r="L187">
            <v>3737499.9999999995</v>
          </cell>
        </row>
        <row r="188">
          <cell r="C188" t="str">
            <v>Lámina en fibra de vidrio 0.60x0.60m</v>
          </cell>
          <cell r="I188" t="str">
            <v>Unidad</v>
          </cell>
          <cell r="J188">
            <v>2190000</v>
          </cell>
          <cell r="L188">
            <v>2190000</v>
          </cell>
        </row>
        <row r="189">
          <cell r="C189" t="str">
            <v>Marco para tapa de acceso en fibra de vidrio 0.60x0.60m</v>
          </cell>
          <cell r="I189" t="str">
            <v>Unidad</v>
          </cell>
          <cell r="J189">
            <v>450000</v>
          </cell>
          <cell r="L189">
            <v>450000</v>
          </cell>
        </row>
        <row r="190">
          <cell r="C190" t="str">
            <v>Lámina en fibra de vidrio 0.80x0.80m</v>
          </cell>
          <cell r="I190" t="str">
            <v>Unidad</v>
          </cell>
          <cell r="J190">
            <v>3550000</v>
          </cell>
          <cell r="L190">
            <v>3550000</v>
          </cell>
        </row>
        <row r="191">
          <cell r="C191" t="str">
            <v>Marco para tapa de acceso en fibra de vidrio 0.80x0.80m</v>
          </cell>
          <cell r="I191" t="str">
            <v>Unidad</v>
          </cell>
          <cell r="J191">
            <v>680000</v>
          </cell>
          <cell r="L191">
            <v>680000</v>
          </cell>
        </row>
        <row r="192">
          <cell r="C192" t="str">
            <v>Canaleta parshall en fibra de vidrio</v>
          </cell>
          <cell r="I192" t="str">
            <v>Unidad</v>
          </cell>
          <cell r="J192">
            <v>10000000</v>
          </cell>
          <cell r="L192">
            <v>10000000</v>
          </cell>
        </row>
        <row r="193">
          <cell r="C193" t="str">
            <v>Pasamuro de Ø12" L=0.25 m con extremos bridados en hierro ductil</v>
          </cell>
          <cell r="I193" t="str">
            <v>Unidad</v>
          </cell>
          <cell r="J193">
            <v>650000</v>
          </cell>
          <cell r="L193">
            <v>650000</v>
          </cell>
        </row>
        <row r="194">
          <cell r="C194" t="str">
            <v>Lámina de alfajor con perforaciones de 1/2" con dimensiones de 0.30x0.40m</v>
          </cell>
          <cell r="I194" t="str">
            <v>Unidad</v>
          </cell>
          <cell r="J194">
            <v>220000</v>
          </cell>
          <cell r="L194">
            <v>220000</v>
          </cell>
        </row>
        <row r="195">
          <cell r="C195" t="str">
            <v>Lámina en fibra de vidrio 0.90x0.90m</v>
          </cell>
          <cell r="I195" t="str">
            <v>Unidad</v>
          </cell>
          <cell r="J195">
            <v>4000000</v>
          </cell>
          <cell r="L195">
            <v>4000000</v>
          </cell>
        </row>
        <row r="196">
          <cell r="C196" t="str">
            <v>Marco para tapa de acceso en fibra de vidrio 0.90x0.90m</v>
          </cell>
          <cell r="I196" t="str">
            <v>Unidad</v>
          </cell>
          <cell r="J196">
            <v>720000</v>
          </cell>
          <cell r="L196">
            <v>720000</v>
          </cell>
        </row>
        <row r="197">
          <cell r="C197" t="str">
            <v>Niple pasamuro L= 0,50m Ø1" en hierro ductil</v>
          </cell>
          <cell r="I197" t="str">
            <v>Unidad</v>
          </cell>
          <cell r="J197">
            <v>70000</v>
          </cell>
          <cell r="L197">
            <v>70000</v>
          </cell>
        </row>
        <row r="198">
          <cell r="C198" t="str">
            <v>Pasarela tipo rejilla, superficie concava de 1.0x6.7m en fibra de vidrio</v>
          </cell>
          <cell r="I198" t="str">
            <v>Unidad</v>
          </cell>
          <cell r="J198">
            <v>13000000</v>
          </cell>
          <cell r="L198">
            <v>13000000</v>
          </cell>
        </row>
        <row r="199">
          <cell r="C199" t="str">
            <v>Rosetones plasticos</v>
          </cell>
          <cell r="I199" t="str">
            <v>m3</v>
          </cell>
          <cell r="J199">
            <v>458150</v>
          </cell>
          <cell r="L199">
            <v>458150</v>
          </cell>
        </row>
        <row r="200">
          <cell r="C200" t="str">
            <v>Valvula cheque 1" en hierro ductil</v>
          </cell>
          <cell r="I200" t="str">
            <v>Unidad</v>
          </cell>
          <cell r="J200">
            <v>144632</v>
          </cell>
          <cell r="L200">
            <v>144632</v>
          </cell>
        </row>
        <row r="201">
          <cell r="C201" t="str">
            <v>Valvula compuerta 1" en hierro ductil</v>
          </cell>
          <cell r="I201" t="str">
            <v>Unidad</v>
          </cell>
          <cell r="J201">
            <v>174199</v>
          </cell>
          <cell r="L201">
            <v>174199</v>
          </cell>
        </row>
        <row r="202">
          <cell r="C202" t="str">
            <v>Válvula compuerta con volante bridada Ø6" en hierro ductil</v>
          </cell>
          <cell r="I202" t="str">
            <v>Unidad</v>
          </cell>
          <cell r="J202">
            <v>1469877.29</v>
          </cell>
          <cell r="L202" t="str">
            <v>Acuatubos</v>
          </cell>
        </row>
        <row r="203">
          <cell r="C203" t="str">
            <v>Planta de limoncillo para cerca viva</v>
          </cell>
          <cell r="I203" t="str">
            <v>Unidad</v>
          </cell>
          <cell r="J203">
            <v>2600</v>
          </cell>
          <cell r="L203">
            <v>2600</v>
          </cell>
        </row>
        <row r="204">
          <cell r="C204" t="str">
            <v>Planta de eucalipto para cerca viva</v>
          </cell>
          <cell r="I204" t="str">
            <v>Unidad</v>
          </cell>
          <cell r="J204">
            <v>150000</v>
          </cell>
          <cell r="L204">
            <v>150000</v>
          </cell>
        </row>
        <row r="205">
          <cell r="C205" t="str">
            <v xml:space="preserve">Antorcha quemadora de biogás </v>
          </cell>
          <cell r="I205" t="str">
            <v>Unidad</v>
          </cell>
          <cell r="J205">
            <v>37349600</v>
          </cell>
          <cell r="L205" t="str">
            <v>ZORG BIOGAS</v>
          </cell>
        </row>
        <row r="206">
          <cell r="C206" t="str">
            <v>Explosivo (incluye detonador, cordón detonante y otros accesorios de voladura)</v>
          </cell>
          <cell r="I206" t="str">
            <v>Kg</v>
          </cell>
          <cell r="J206">
            <v>76272.289999999994</v>
          </cell>
          <cell r="L206">
            <v>12177.928655462185</v>
          </cell>
          <cell r="N206">
            <v>1</v>
          </cell>
        </row>
        <row r="210">
          <cell r="I210" t="str">
            <v>Elaboración</v>
          </cell>
          <cell r="K210" t="str">
            <v>Deiner Alexander Obregon Palomeque</v>
          </cell>
        </row>
        <row r="211">
          <cell r="I211" t="str">
            <v>Ingeniero Civil</v>
          </cell>
          <cell r="K211" t="str">
            <v>MP: 011037-0653228 ANT</v>
          </cell>
        </row>
      </sheetData>
      <sheetData sheetId="12">
        <row r="5">
          <cell r="C5" t="str">
            <v>EQUIPOS, MAQUINARIA Y HERRAMIENTAS</v>
          </cell>
          <cell r="I5" t="str">
            <v>UNIDAD</v>
          </cell>
          <cell r="J5" t="str">
            <v>COSTO TOTAL</v>
          </cell>
          <cell r="L5" t="str">
            <v>COTIZACIÓN</v>
          </cell>
        </row>
        <row r="6">
          <cell r="C6" t="str">
            <v>Herramienta Menor</v>
          </cell>
          <cell r="I6" t="str">
            <v>% M.O.</v>
          </cell>
        </row>
        <row r="7">
          <cell r="C7" t="str">
            <v>Mezcladora Diesel (1.5 - 2.0 BTOS) incluye combustible</v>
          </cell>
          <cell r="I7" t="str">
            <v>Dia</v>
          </cell>
          <cell r="J7">
            <v>102014</v>
          </cell>
          <cell r="L7" t="str">
            <v>Construequipos YEY</v>
          </cell>
        </row>
        <row r="8">
          <cell r="C8" t="str">
            <v>Vibrador de Mezcla (diesel) incluye combustible</v>
          </cell>
          <cell r="I8" t="str">
            <v>Dia</v>
          </cell>
          <cell r="J8">
            <v>50000</v>
          </cell>
          <cell r="L8" t="str">
            <v>Construequipos YEY</v>
          </cell>
        </row>
        <row r="9">
          <cell r="C9" t="str">
            <v>Apisonador tipo canguro, incluye combustible</v>
          </cell>
          <cell r="I9" t="str">
            <v>Dia</v>
          </cell>
          <cell r="J9">
            <v>148021</v>
          </cell>
          <cell r="L9" t="str">
            <v>Construequipos YEY</v>
          </cell>
        </row>
        <row r="10">
          <cell r="C10" t="str">
            <v>Retroexcavadora de llanta, balde estandar</v>
          </cell>
          <cell r="I10" t="str">
            <v>Hora</v>
          </cell>
          <cell r="J10">
            <v>178500</v>
          </cell>
        </row>
        <row r="11">
          <cell r="C11" t="str">
            <v>Equipo de soldadura</v>
          </cell>
          <cell r="I11" t="str">
            <v>Dia</v>
          </cell>
          <cell r="J11">
            <v>150000</v>
          </cell>
          <cell r="L11" t="str">
            <v>Construequipos YEY</v>
          </cell>
        </row>
        <row r="12">
          <cell r="C12" t="str">
            <v>Compresor de pintura</v>
          </cell>
          <cell r="I12" t="str">
            <v>Dia</v>
          </cell>
          <cell r="J12">
            <v>40000</v>
          </cell>
          <cell r="L12" t="str">
            <v>Construequipos YEY</v>
          </cell>
        </row>
        <row r="13">
          <cell r="C13" t="str">
            <v>Andamio metálico tubular (2 secciones de 1,50 x 1,50 m)</v>
          </cell>
          <cell r="I13" t="str">
            <v>Dia</v>
          </cell>
          <cell r="J13">
            <v>3000</v>
          </cell>
          <cell r="L13" t="str">
            <v>Construequipos YEY</v>
          </cell>
        </row>
        <row r="14">
          <cell r="C14" t="str">
            <v>Martillo demoledor de concreto</v>
          </cell>
          <cell r="I14" t="str">
            <v>Hora</v>
          </cell>
          <cell r="J14">
            <v>14543.6445</v>
          </cell>
        </row>
        <row r="15">
          <cell r="C15" t="str">
            <v>Compresor para martillo demoledor</v>
          </cell>
          <cell r="I15" t="str">
            <v>Hora</v>
          </cell>
          <cell r="J15">
            <v>198300</v>
          </cell>
        </row>
        <row r="16">
          <cell r="C16" t="str">
            <v>Cortadora de disco para concreto (Incluye disco y combustible)</v>
          </cell>
          <cell r="I16" t="str">
            <v>Dia</v>
          </cell>
          <cell r="J16">
            <v>63294.5</v>
          </cell>
        </row>
        <row r="17">
          <cell r="C17" t="str">
            <v>Formaleta pavimento</v>
          </cell>
          <cell r="I17" t="str">
            <v>ml</v>
          </cell>
          <cell r="J17">
            <v>1309</v>
          </cell>
        </row>
        <row r="18">
          <cell r="C18" t="str">
            <v>Pistola para pintura</v>
          </cell>
          <cell r="I18" t="str">
            <v>Dia</v>
          </cell>
          <cell r="J18">
            <v>10000</v>
          </cell>
        </row>
        <row r="19">
          <cell r="C19" t="str">
            <v>Gasolina</v>
          </cell>
          <cell r="I19" t="str">
            <v>Galón</v>
          </cell>
          <cell r="J19">
            <v>16007</v>
          </cell>
        </row>
        <row r="20">
          <cell r="C20" t="str">
            <v>Acpm</v>
          </cell>
          <cell r="I20" t="str">
            <v>Galón</v>
          </cell>
          <cell r="J20">
            <v>9846</v>
          </cell>
        </row>
        <row r="21">
          <cell r="C21" t="str">
            <v>Alquiler volqueta 6 m3</v>
          </cell>
          <cell r="I21" t="str">
            <v>Hora</v>
          </cell>
          <cell r="J21">
            <v>150000</v>
          </cell>
        </row>
        <row r="22">
          <cell r="C22" t="str">
            <v>Compresor redondo</v>
          </cell>
          <cell r="I22" t="str">
            <v>Hora</v>
          </cell>
          <cell r="J22">
            <v>8800.0797500000008</v>
          </cell>
        </row>
        <row r="23">
          <cell r="C23" t="str">
            <v>Taladro rotopercutor hasta 1 1/4"</v>
          </cell>
          <cell r="I23" t="str">
            <v>Día</v>
          </cell>
          <cell r="J23">
            <v>64442.07</v>
          </cell>
        </row>
        <row r="24">
          <cell r="C24" t="str">
            <v>Retroexcavadora de orugas balde estandar</v>
          </cell>
          <cell r="I24" t="str">
            <v>Hora</v>
          </cell>
          <cell r="J24">
            <v>237500</v>
          </cell>
          <cell r="L24">
            <v>37920.168067226892</v>
          </cell>
        </row>
        <row r="28">
          <cell r="H28" t="str">
            <v>Elaboración</v>
          </cell>
          <cell r="J28" t="str">
            <v>Deiner Alexander Obregon Palomeque</v>
          </cell>
        </row>
        <row r="29">
          <cell r="H29" t="str">
            <v>Ingeniero Civil</v>
          </cell>
          <cell r="J29" t="str">
            <v>MP: 011037-0653228 ANT</v>
          </cell>
        </row>
      </sheetData>
      <sheetData sheetId="13"/>
      <sheetData sheetId="14"/>
      <sheetData sheetId="15"/>
      <sheetData sheetId="16"/>
      <sheetData sheetId="17"/>
      <sheetData sheetId="18"/>
      <sheetData sheetId="1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LOCALIZACION"/>
      <sheetName val="CTO BOCA 300 PSI"/>
      <sheetName val="CTO CICLOP "/>
      <sheetName val="AC 3 D 8&quot;"/>
      <sheetName val="AC 1 D 2"/>
      <sheetName val="AC 5 D 8"/>
      <sheetName val="REJILLA"/>
      <sheetName val="PVC BOC 4&quot; "/>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PTE IMP Y ESMALT"/>
    </sheetNames>
    <sheetDataSet>
      <sheetData sheetId="0" refreshError="1">
        <row r="1">
          <cell r="A1" t="str">
            <v>REFERENCIA</v>
          </cell>
          <cell r="B1" t="str">
            <v>DESCRIPCION</v>
          </cell>
          <cell r="C1" t="str">
            <v>UND</v>
          </cell>
          <cell r="D1" t="str">
            <v>VR/ UNIT</v>
          </cell>
          <cell r="G1">
            <v>0.1</v>
          </cell>
          <cell r="I1" t="str">
            <v>REFERENCIA</v>
          </cell>
          <cell r="J1" t="str">
            <v>DESCRIPCION</v>
          </cell>
          <cell r="K1" t="str">
            <v>UND</v>
          </cell>
          <cell r="L1" t="str">
            <v>VR/ UNIT</v>
          </cell>
        </row>
        <row r="2">
          <cell r="A2">
            <v>1</v>
          </cell>
          <cell r="B2" t="str">
            <v>PUNTILLA PROMEDIO</v>
          </cell>
          <cell r="C2" t="str">
            <v>LB</v>
          </cell>
          <cell r="D2">
            <v>2000</v>
          </cell>
          <cell r="I2">
            <v>1</v>
          </cell>
          <cell r="J2" t="str">
            <v>MORTERO 1:4</v>
          </cell>
          <cell r="K2" t="str">
            <v>M3</v>
          </cell>
          <cell r="L2">
            <v>279503</v>
          </cell>
        </row>
        <row r="3">
          <cell r="A3">
            <v>2</v>
          </cell>
          <cell r="B3" t="str">
            <v>POLIN</v>
          </cell>
          <cell r="C3" t="str">
            <v>ML</v>
          </cell>
          <cell r="D3">
            <v>1200</v>
          </cell>
          <cell r="G3">
            <v>0.05</v>
          </cell>
          <cell r="I3">
            <v>2</v>
          </cell>
          <cell r="J3" t="str">
            <v xml:space="preserve">CONSTRUCCION DE BOCATOMA EN CON CONCRETO 3000 PSI A TODO COSTO. </v>
          </cell>
          <cell r="K3" t="str">
            <v>M3</v>
          </cell>
          <cell r="L3">
            <v>490001</v>
          </cell>
        </row>
        <row r="4">
          <cell r="A4">
            <v>3</v>
          </cell>
          <cell r="B4" t="str">
            <v>CERCO</v>
          </cell>
          <cell r="C4" t="str">
            <v>ML</v>
          </cell>
          <cell r="D4">
            <v>2000</v>
          </cell>
          <cell r="I4">
            <v>3</v>
          </cell>
          <cell r="J4" t="str">
            <v>REJILLA DE .80*.40 CON BARROTES DE 5/8" LISAS, SEPARADAS CADA 10 mm</v>
          </cell>
          <cell r="K4" t="str">
            <v>UN</v>
          </cell>
          <cell r="L4">
            <v>250000</v>
          </cell>
        </row>
        <row r="5">
          <cell r="A5">
            <v>4</v>
          </cell>
          <cell r="B5" t="str">
            <v>ALAMBRE NEGRO No. 18</v>
          </cell>
          <cell r="C5" t="str">
            <v>KG</v>
          </cell>
          <cell r="D5">
            <v>2600</v>
          </cell>
          <cell r="G5">
            <v>15000</v>
          </cell>
          <cell r="I5">
            <v>4</v>
          </cell>
          <cell r="J5" t="str">
            <v>PAÑETE IMPERMEABILIZADO Y ESMALTADO</v>
          </cell>
          <cell r="K5" t="str">
            <v>M2</v>
          </cell>
          <cell r="L5">
            <v>20000</v>
          </cell>
        </row>
        <row r="6">
          <cell r="A6">
            <v>5</v>
          </cell>
          <cell r="B6" t="str">
            <v>CEMENTO</v>
          </cell>
          <cell r="C6" t="str">
            <v>KG</v>
          </cell>
          <cell r="D6">
            <v>400</v>
          </cell>
          <cell r="F6" t="str">
            <v>AYUDANTE</v>
          </cell>
          <cell r="I6">
            <v>5</v>
          </cell>
          <cell r="J6" t="str">
            <v>FORMALETA</v>
          </cell>
          <cell r="K6" t="str">
            <v>M3</v>
          </cell>
          <cell r="L6">
            <v>36695</v>
          </cell>
        </row>
        <row r="7">
          <cell r="A7">
            <v>6</v>
          </cell>
          <cell r="B7" t="str">
            <v>ARENA</v>
          </cell>
          <cell r="C7" t="str">
            <v>M3</v>
          </cell>
          <cell r="D7">
            <v>20000</v>
          </cell>
          <cell r="G7">
            <v>0</v>
          </cell>
          <cell r="I7">
            <v>6</v>
          </cell>
          <cell r="J7" t="str">
            <v>EXCAVACION</v>
          </cell>
          <cell r="K7" t="str">
            <v>M3</v>
          </cell>
          <cell r="L7">
            <v>12950</v>
          </cell>
        </row>
        <row r="8">
          <cell r="A8">
            <v>7</v>
          </cell>
          <cell r="B8" t="str">
            <v>AGUA</v>
          </cell>
          <cell r="C8" t="str">
            <v>LT</v>
          </cell>
          <cell r="D8">
            <v>10</v>
          </cell>
          <cell r="G8">
            <v>0.05</v>
          </cell>
          <cell r="I8">
            <v>7</v>
          </cell>
        </row>
        <row r="9">
          <cell r="A9">
            <v>8</v>
          </cell>
          <cell r="B9" t="str">
            <v>GRAVILLA DE 1/2</v>
          </cell>
          <cell r="C9" t="str">
            <v>M3</v>
          </cell>
          <cell r="D9">
            <v>40000</v>
          </cell>
          <cell r="I9">
            <v>8</v>
          </cell>
        </row>
        <row r="10">
          <cell r="A10">
            <v>9</v>
          </cell>
          <cell r="B10" t="str">
            <v>MEZCLADORA</v>
          </cell>
          <cell r="C10" t="str">
            <v>DIA</v>
          </cell>
          <cell r="D10">
            <v>45000</v>
          </cell>
          <cell r="G10">
            <v>0.85</v>
          </cell>
          <cell r="I10">
            <v>9</v>
          </cell>
        </row>
        <row r="11">
          <cell r="A11">
            <v>10</v>
          </cell>
          <cell r="B11" t="str">
            <v>VIBRADOR</v>
          </cell>
          <cell r="C11" t="str">
            <v>DIA</v>
          </cell>
          <cell r="D11">
            <v>25000</v>
          </cell>
          <cell r="I11">
            <v>10</v>
          </cell>
        </row>
        <row r="12">
          <cell r="A12">
            <v>11</v>
          </cell>
          <cell r="B12" t="str">
            <v>IMPERMEABILIZANTE</v>
          </cell>
          <cell r="C12" t="str">
            <v>LT</v>
          </cell>
          <cell r="D12">
            <v>7500</v>
          </cell>
          <cell r="I12">
            <v>11</v>
          </cell>
        </row>
        <row r="13">
          <cell r="A13">
            <v>12</v>
          </cell>
          <cell r="B13" t="str">
            <v>ACERO DE REFUERZO</v>
          </cell>
          <cell r="C13" t="str">
            <v>KG</v>
          </cell>
          <cell r="D13">
            <v>2400</v>
          </cell>
          <cell r="I13">
            <v>12</v>
          </cell>
        </row>
        <row r="14">
          <cell r="A14">
            <v>13</v>
          </cell>
          <cell r="B14" t="str">
            <v>TUBO PVC - P 4" U-Z RDE 26</v>
          </cell>
          <cell r="C14" t="str">
            <v>ML</v>
          </cell>
          <cell r="D14">
            <v>35500</v>
          </cell>
          <cell r="I14">
            <v>13</v>
          </cell>
        </row>
        <row r="15">
          <cell r="A15">
            <v>14</v>
          </cell>
          <cell r="B15" t="str">
            <v>LUBRICANTE</v>
          </cell>
          <cell r="C15" t="str">
            <v>GL</v>
          </cell>
          <cell r="D15">
            <v>4500</v>
          </cell>
          <cell r="I15">
            <v>14</v>
          </cell>
        </row>
        <row r="16">
          <cell r="A16">
            <v>15</v>
          </cell>
          <cell r="B16" t="str">
            <v>TUBO PVC - P 3/4" RDE 21</v>
          </cell>
          <cell r="C16" t="str">
            <v>ML</v>
          </cell>
          <cell r="D16">
            <v>2500</v>
          </cell>
          <cell r="I16">
            <v>15</v>
          </cell>
        </row>
        <row r="17">
          <cell r="A17">
            <v>16</v>
          </cell>
          <cell r="B17" t="str">
            <v>LIMPIADOR Y SOLUCION</v>
          </cell>
          <cell r="C17" t="str">
            <v>GL</v>
          </cell>
          <cell r="D17">
            <v>6000</v>
          </cell>
          <cell r="I17">
            <v>16</v>
          </cell>
        </row>
        <row r="18">
          <cell r="A18">
            <v>17</v>
          </cell>
          <cell r="B18" t="str">
            <v>UNION PVC 3/4"</v>
          </cell>
          <cell r="C18" t="str">
            <v>UN</v>
          </cell>
          <cell r="D18">
            <v>580</v>
          </cell>
          <cell r="I18">
            <v>17</v>
          </cell>
        </row>
        <row r="19">
          <cell r="A19">
            <v>18</v>
          </cell>
          <cell r="B19" t="str">
            <v>TUBO PVC - P 2" U-Z</v>
          </cell>
          <cell r="C19" t="str">
            <v>ML</v>
          </cell>
          <cell r="D19">
            <v>15000</v>
          </cell>
          <cell r="I19">
            <v>18</v>
          </cell>
        </row>
        <row r="20">
          <cell r="A20">
            <v>19</v>
          </cell>
          <cell r="B20" t="str">
            <v>TUBO PVC - P 1 1/2"</v>
          </cell>
          <cell r="C20" t="str">
            <v>ML</v>
          </cell>
          <cell r="D20">
            <v>12000</v>
          </cell>
          <cell r="I20">
            <v>19</v>
          </cell>
        </row>
        <row r="21">
          <cell r="A21">
            <v>20</v>
          </cell>
          <cell r="B21" t="str">
            <v>UNION PVC 1 1/2"</v>
          </cell>
          <cell r="C21" t="str">
            <v>UN</v>
          </cell>
          <cell r="D21">
            <v>2350</v>
          </cell>
          <cell r="I21">
            <v>20</v>
          </cell>
        </row>
        <row r="22">
          <cell r="A22">
            <v>21</v>
          </cell>
          <cell r="B22" t="str">
            <v>TUBO PVC - P 1"</v>
          </cell>
          <cell r="C22" t="str">
            <v>ML</v>
          </cell>
          <cell r="D22">
            <v>5200</v>
          </cell>
          <cell r="I22">
            <v>21</v>
          </cell>
        </row>
        <row r="23">
          <cell r="A23">
            <v>22</v>
          </cell>
          <cell r="B23" t="str">
            <v>UNION PVC - P 1"</v>
          </cell>
          <cell r="C23" t="str">
            <v>UN</v>
          </cell>
          <cell r="D23">
            <v>950</v>
          </cell>
          <cell r="I23">
            <v>22</v>
          </cell>
        </row>
        <row r="24">
          <cell r="A24">
            <v>23</v>
          </cell>
          <cell r="B24" t="str">
            <v>TUBO 1/2" PVC - P RDE 13,5</v>
          </cell>
          <cell r="C24" t="str">
            <v>ML</v>
          </cell>
          <cell r="D24">
            <v>1500</v>
          </cell>
          <cell r="I24">
            <v>23</v>
          </cell>
        </row>
        <row r="25">
          <cell r="A25">
            <v>24</v>
          </cell>
          <cell r="B25" t="str">
            <v>ACCESORIOS PVC</v>
          </cell>
          <cell r="C25" t="str">
            <v>UN</v>
          </cell>
          <cell r="D25">
            <v>600</v>
          </cell>
          <cell r="I25">
            <v>24</v>
          </cell>
        </row>
        <row r="26">
          <cell r="A26">
            <v>25</v>
          </cell>
          <cell r="B26" t="str">
            <v>VALVULA CORTINA 4" HF</v>
          </cell>
          <cell r="C26" t="str">
            <v>UN</v>
          </cell>
          <cell r="D26">
            <v>780000</v>
          </cell>
          <cell r="I26">
            <v>25</v>
          </cell>
        </row>
        <row r="27">
          <cell r="A27">
            <v>26</v>
          </cell>
          <cell r="B27" t="str">
            <v>TUBERIA SANITARIA PVC 4" DE REBOSO</v>
          </cell>
          <cell r="C27" t="str">
            <v>ML</v>
          </cell>
          <cell r="D27">
            <v>23550</v>
          </cell>
          <cell r="I27">
            <v>26</v>
          </cell>
        </row>
        <row r="28">
          <cell r="A28">
            <v>27</v>
          </cell>
          <cell r="B28" t="str">
            <v>CODO PVC - S 4" 90º</v>
          </cell>
          <cell r="C28" t="str">
            <v>UN</v>
          </cell>
          <cell r="D28">
            <v>11700</v>
          </cell>
          <cell r="I28">
            <v>27</v>
          </cell>
        </row>
        <row r="29">
          <cell r="A29">
            <v>28</v>
          </cell>
          <cell r="B29" t="str">
            <v>TUBO PVC - P U-Z 1 1/4" RDE 21</v>
          </cell>
          <cell r="C29" t="str">
            <v>ML</v>
          </cell>
          <cell r="D29">
            <v>14400</v>
          </cell>
          <cell r="I29">
            <v>28</v>
          </cell>
        </row>
        <row r="30">
          <cell r="A30">
            <v>29</v>
          </cell>
          <cell r="B30" t="str">
            <v>VALVULA DE REGISTRO DE 1/2"</v>
          </cell>
          <cell r="C30" t="str">
            <v>UN</v>
          </cell>
          <cell r="D30">
            <v>12000</v>
          </cell>
          <cell r="I30">
            <v>29</v>
          </cell>
        </row>
        <row r="31">
          <cell r="A31">
            <v>30</v>
          </cell>
          <cell r="B31" t="str">
            <v>ADAPTADOR MACHO PVC - P 1/2"</v>
          </cell>
          <cell r="C31" t="str">
            <v>UN</v>
          </cell>
          <cell r="D31">
            <v>390</v>
          </cell>
          <cell r="I31">
            <v>30</v>
          </cell>
        </row>
        <row r="32">
          <cell r="A32">
            <v>31</v>
          </cell>
          <cell r="B32" t="str">
            <v>ADAPTADOR HEMBRA PVC - P 1/2"</v>
          </cell>
          <cell r="C32" t="str">
            <v>UN</v>
          </cell>
          <cell r="D32">
            <v>800</v>
          </cell>
          <cell r="I32">
            <v>31</v>
          </cell>
        </row>
        <row r="33">
          <cell r="A33">
            <v>32</v>
          </cell>
          <cell r="B33" t="str">
            <v>NIPLE HG (1/2*0,60 - 1/2*,2 - 1/2*1,50)</v>
          </cell>
          <cell r="C33" t="str">
            <v>UN</v>
          </cell>
          <cell r="D33">
            <v>22000</v>
          </cell>
          <cell r="I33">
            <v>32</v>
          </cell>
        </row>
        <row r="34">
          <cell r="A34">
            <v>33</v>
          </cell>
          <cell r="B34" t="str">
            <v>CODO HG 1/2"*90- UNION HG 1/2"</v>
          </cell>
          <cell r="C34" t="str">
            <v>UN</v>
          </cell>
          <cell r="D34">
            <v>4000</v>
          </cell>
          <cell r="I34">
            <v>33</v>
          </cell>
        </row>
        <row r="35">
          <cell r="A35">
            <v>34</v>
          </cell>
          <cell r="B35" t="str">
            <v>LLAVE TERMINAL DE 1/2"</v>
          </cell>
          <cell r="C35" t="str">
            <v>UN</v>
          </cell>
          <cell r="D35">
            <v>12000</v>
          </cell>
          <cell r="I35">
            <v>34</v>
          </cell>
        </row>
        <row r="36">
          <cell r="A36">
            <v>35</v>
          </cell>
          <cell r="B36" t="str">
            <v>MICROMEDIDOR DE 1/2"</v>
          </cell>
          <cell r="C36" t="str">
            <v>UN</v>
          </cell>
          <cell r="D36">
            <v>65000</v>
          </cell>
          <cell r="I36">
            <v>35</v>
          </cell>
        </row>
        <row r="37">
          <cell r="A37">
            <v>36</v>
          </cell>
          <cell r="B37" t="str">
            <v>VALVULA DE BOLA DE 1 1/2</v>
          </cell>
          <cell r="C37" t="str">
            <v>UN</v>
          </cell>
          <cell r="D37">
            <v>35000</v>
          </cell>
          <cell r="I37">
            <v>36</v>
          </cell>
        </row>
        <row r="38">
          <cell r="A38">
            <v>37</v>
          </cell>
          <cell r="B38" t="str">
            <v>TEE PVC 1 1/2"</v>
          </cell>
          <cell r="C38" t="str">
            <v>UN</v>
          </cell>
          <cell r="D38">
            <v>8400</v>
          </cell>
          <cell r="I38">
            <v>37</v>
          </cell>
        </row>
        <row r="39">
          <cell r="A39">
            <v>38</v>
          </cell>
          <cell r="B39" t="str">
            <v>ADAPTADOR MACHO PVC - P 1 1/2"</v>
          </cell>
          <cell r="C39" t="str">
            <v>UN</v>
          </cell>
          <cell r="D39">
            <v>3700</v>
          </cell>
          <cell r="I39">
            <v>38</v>
          </cell>
        </row>
        <row r="40">
          <cell r="A40">
            <v>39</v>
          </cell>
          <cell r="B40" t="str">
            <v>VALVULA CORTINA 1"</v>
          </cell>
          <cell r="C40" t="str">
            <v>UN</v>
          </cell>
          <cell r="D40">
            <v>35000</v>
          </cell>
          <cell r="I40">
            <v>39</v>
          </cell>
        </row>
        <row r="41">
          <cell r="A41">
            <v>40</v>
          </cell>
          <cell r="B41" t="str">
            <v>ADAPTADOR MACHO DE 1"</v>
          </cell>
          <cell r="C41" t="str">
            <v>UN</v>
          </cell>
          <cell r="D41">
            <v>1480</v>
          </cell>
          <cell r="I41">
            <v>40</v>
          </cell>
        </row>
        <row r="42">
          <cell r="A42">
            <v>41</v>
          </cell>
          <cell r="B42" t="str">
            <v>VENTOSA DOBLE ACCION 1/2"</v>
          </cell>
          <cell r="C42" t="str">
            <v>UN</v>
          </cell>
          <cell r="D42">
            <v>180000</v>
          </cell>
          <cell r="I42">
            <v>41</v>
          </cell>
        </row>
        <row r="43">
          <cell r="A43">
            <v>42</v>
          </cell>
          <cell r="B43" t="str">
            <v>COLLAR DE DERIVACION  DE 2"*1/2"</v>
          </cell>
          <cell r="C43" t="str">
            <v>UN</v>
          </cell>
          <cell r="D43">
            <v>6610</v>
          </cell>
          <cell r="I43">
            <v>42</v>
          </cell>
        </row>
        <row r="44">
          <cell r="A44">
            <v>43</v>
          </cell>
          <cell r="B44" t="str">
            <v>NIPLE HG 1/2" * 0,50</v>
          </cell>
          <cell r="C44" t="str">
            <v>UN</v>
          </cell>
          <cell r="D44">
            <v>8000</v>
          </cell>
          <cell r="I44">
            <v>43</v>
          </cell>
        </row>
        <row r="45">
          <cell r="A45">
            <v>44</v>
          </cell>
          <cell r="B45" t="str">
            <v>FLOTADOR Y ACCESORIOS</v>
          </cell>
          <cell r="C45" t="str">
            <v>GL</v>
          </cell>
          <cell r="D45">
            <v>264500</v>
          </cell>
          <cell r="I45">
            <v>44</v>
          </cell>
        </row>
        <row r="46">
          <cell r="A46">
            <v>45</v>
          </cell>
          <cell r="B46" t="str">
            <v>CADENA HG 3/4"</v>
          </cell>
          <cell r="C46" t="str">
            <v>GL</v>
          </cell>
          <cell r="D46">
            <v>20000</v>
          </cell>
          <cell r="I46">
            <v>45</v>
          </cell>
        </row>
        <row r="47">
          <cell r="A47">
            <v>46</v>
          </cell>
          <cell r="B47" t="str">
            <v>LIMPADOR Y SOLDADURA PVC 1/4 GAL</v>
          </cell>
          <cell r="C47" t="str">
            <v>GL</v>
          </cell>
          <cell r="D47">
            <v>60000</v>
          </cell>
          <cell r="I47">
            <v>46</v>
          </cell>
        </row>
        <row r="48">
          <cell r="A48">
            <v>47</v>
          </cell>
          <cell r="B48" t="str">
            <v>UNION PVC - P 1/2"</v>
          </cell>
          <cell r="C48" t="str">
            <v>UN</v>
          </cell>
          <cell r="D48">
            <v>366</v>
          </cell>
          <cell r="I48">
            <v>47</v>
          </cell>
        </row>
        <row r="49">
          <cell r="A49">
            <v>48</v>
          </cell>
          <cell r="B49" t="str">
            <v>VALVULA PURGA 3/4</v>
          </cell>
          <cell r="C49" t="str">
            <v>UN</v>
          </cell>
          <cell r="D49">
            <v>20000</v>
          </cell>
          <cell r="I49">
            <v>48</v>
          </cell>
        </row>
        <row r="50">
          <cell r="A50">
            <v>49</v>
          </cell>
          <cell r="B50" t="str">
            <v>VALVULA DE CONTROL DE 3/4</v>
          </cell>
          <cell r="C50" t="str">
            <v>UN</v>
          </cell>
          <cell r="D50">
            <v>20000</v>
          </cell>
          <cell r="I50">
            <v>49</v>
          </cell>
        </row>
        <row r="51">
          <cell r="A51">
            <v>50</v>
          </cell>
          <cell r="B51" t="str">
            <v>ADAPTADOR MACHO DE 3/4"</v>
          </cell>
          <cell r="C51" t="str">
            <v>UN</v>
          </cell>
          <cell r="D51">
            <v>708</v>
          </cell>
          <cell r="I51">
            <v>50</v>
          </cell>
        </row>
        <row r="52">
          <cell r="A52">
            <v>51</v>
          </cell>
          <cell r="B52" t="str">
            <v>DESVIO Y RETORNO  DE LA FUENTE</v>
          </cell>
          <cell r="C52" t="str">
            <v>GL</v>
          </cell>
          <cell r="D52">
            <v>440000</v>
          </cell>
        </row>
        <row r="53">
          <cell r="A53">
            <v>52</v>
          </cell>
          <cell r="B53" t="str">
            <v>TABLA BURRA 30 cm</v>
          </cell>
          <cell r="C53" t="str">
            <v>ML</v>
          </cell>
          <cell r="D53">
            <v>2600</v>
          </cell>
        </row>
        <row r="54">
          <cell r="A54">
            <v>53</v>
          </cell>
          <cell r="B54" t="str">
            <v xml:space="preserve">PIEDRA MEDIA ZONGA </v>
          </cell>
          <cell r="C54" t="str">
            <v>M3</v>
          </cell>
          <cell r="D54">
            <v>22000</v>
          </cell>
        </row>
        <row r="55">
          <cell r="A55">
            <v>54</v>
          </cell>
          <cell r="B55" t="str">
            <v>HIERRO 3/8" A - 37</v>
          </cell>
          <cell r="C55" t="str">
            <v>KG</v>
          </cell>
          <cell r="D55">
            <v>2500</v>
          </cell>
        </row>
        <row r="56">
          <cell r="A56">
            <v>55</v>
          </cell>
          <cell r="B56" t="str">
            <v>HIERRO 1/2" A - 60</v>
          </cell>
          <cell r="C56" t="str">
            <v>KG</v>
          </cell>
          <cell r="D56">
            <v>2500</v>
          </cell>
        </row>
        <row r="57">
          <cell r="A57">
            <v>56</v>
          </cell>
          <cell r="B57" t="str">
            <v>HIERRO 5/8" A - 60</v>
          </cell>
          <cell r="C57" t="str">
            <v>KG</v>
          </cell>
          <cell r="D57">
            <v>2500</v>
          </cell>
        </row>
        <row r="58">
          <cell r="A58">
            <v>57</v>
          </cell>
          <cell r="B58" t="str">
            <v>HOJA DE CEGETA</v>
          </cell>
          <cell r="C58" t="str">
            <v>UN</v>
          </cell>
          <cell r="D58">
            <v>2000</v>
          </cell>
        </row>
        <row r="59">
          <cell r="A59">
            <v>58</v>
          </cell>
          <cell r="B59" t="str">
            <v>ANGULO 1 1/4" x 3 /16"</v>
          </cell>
          <cell r="C59" t="str">
            <v>ML</v>
          </cell>
          <cell r="D59">
            <v>5500</v>
          </cell>
        </row>
        <row r="60">
          <cell r="A60">
            <v>59</v>
          </cell>
          <cell r="B60" t="str">
            <v>SOLDADURA 60 13</v>
          </cell>
          <cell r="C60" t="str">
            <v>KG</v>
          </cell>
          <cell r="D60">
            <v>9500</v>
          </cell>
        </row>
        <row r="61">
          <cell r="A61">
            <v>60</v>
          </cell>
          <cell r="B61" t="str">
            <v>BISABRA TIPO CAPSULA</v>
          </cell>
          <cell r="C61" t="str">
            <v>UN</v>
          </cell>
          <cell r="D61">
            <v>1500</v>
          </cell>
        </row>
        <row r="62">
          <cell r="A62">
            <v>61</v>
          </cell>
          <cell r="B62" t="str">
            <v>PINTURA ANTICORROSIVO</v>
          </cell>
          <cell r="C62" t="str">
            <v>GL</v>
          </cell>
          <cell r="D62">
            <v>22500</v>
          </cell>
        </row>
        <row r="63">
          <cell r="A63">
            <v>62</v>
          </cell>
          <cell r="B63" t="str">
            <v>ADATADOR PVC 4"</v>
          </cell>
          <cell r="C63" t="str">
            <v>UN</v>
          </cell>
          <cell r="D63">
            <v>12000</v>
          </cell>
        </row>
        <row r="64">
          <cell r="A64">
            <v>63</v>
          </cell>
          <cell r="B64" t="str">
            <v>UNION PVC DE 4"</v>
          </cell>
          <cell r="C64" t="str">
            <v>UN</v>
          </cell>
          <cell r="D64">
            <v>3500</v>
          </cell>
        </row>
        <row r="65">
          <cell r="A65">
            <v>64</v>
          </cell>
          <cell r="B65" t="str">
            <v>COMPUERTA CIRCULAR HF 6"</v>
          </cell>
          <cell r="C65" t="str">
            <v>UN</v>
          </cell>
        </row>
        <row r="66">
          <cell r="A66">
            <v>65</v>
          </cell>
        </row>
        <row r="67">
          <cell r="A67">
            <v>66</v>
          </cell>
          <cell r="B67" t="str">
            <v>VASTAGO L=3,0 MTS</v>
          </cell>
          <cell r="C67" t="str">
            <v>UN</v>
          </cell>
        </row>
        <row r="68">
          <cell r="A68">
            <v>67</v>
          </cell>
          <cell r="B68" t="str">
            <v>RUEDA DE MANEJO</v>
          </cell>
          <cell r="C68" t="str">
            <v>UN</v>
          </cell>
        </row>
        <row r="69">
          <cell r="A69">
            <v>68</v>
          </cell>
          <cell r="B69" t="str">
            <v>TUBERIA HERMETICA PVC 6"</v>
          </cell>
          <cell r="C69" t="str">
            <v>ML</v>
          </cell>
          <cell r="D69">
            <v>20100</v>
          </cell>
        </row>
        <row r="70">
          <cell r="A70">
            <v>69</v>
          </cell>
        </row>
        <row r="71">
          <cell r="A71">
            <v>70</v>
          </cell>
        </row>
        <row r="72">
          <cell r="A72">
            <v>71</v>
          </cell>
        </row>
        <row r="73">
          <cell r="A73">
            <v>72</v>
          </cell>
        </row>
        <row r="74">
          <cell r="A74">
            <v>73</v>
          </cell>
        </row>
        <row r="75">
          <cell r="A75">
            <v>74</v>
          </cell>
        </row>
        <row r="76">
          <cell r="A76">
            <v>75</v>
          </cell>
        </row>
        <row r="77">
          <cell r="A77">
            <v>76</v>
          </cell>
        </row>
        <row r="78">
          <cell r="A78">
            <v>77</v>
          </cell>
        </row>
        <row r="79">
          <cell r="A79">
            <v>78</v>
          </cell>
        </row>
        <row r="80">
          <cell r="A80">
            <v>79</v>
          </cell>
        </row>
        <row r="81">
          <cell r="A81">
            <v>80</v>
          </cell>
        </row>
        <row r="82">
          <cell r="A82">
            <v>81</v>
          </cell>
        </row>
        <row r="83">
          <cell r="A83">
            <v>82</v>
          </cell>
        </row>
        <row r="84">
          <cell r="A84">
            <v>83</v>
          </cell>
        </row>
        <row r="85">
          <cell r="A85">
            <v>84</v>
          </cell>
        </row>
        <row r="86">
          <cell r="A86">
            <v>85</v>
          </cell>
        </row>
        <row r="87">
          <cell r="A87">
            <v>86</v>
          </cell>
        </row>
        <row r="88">
          <cell r="A88">
            <v>87</v>
          </cell>
        </row>
        <row r="89">
          <cell r="A89">
            <v>88</v>
          </cell>
        </row>
        <row r="90">
          <cell r="A90">
            <v>89</v>
          </cell>
        </row>
        <row r="91">
          <cell r="A91">
            <v>90</v>
          </cell>
        </row>
        <row r="92">
          <cell r="A92">
            <v>91</v>
          </cell>
        </row>
        <row r="93">
          <cell r="A93">
            <v>92</v>
          </cell>
        </row>
        <row r="94">
          <cell r="A94">
            <v>93</v>
          </cell>
        </row>
        <row r="95">
          <cell r="A95">
            <v>94</v>
          </cell>
        </row>
        <row r="96">
          <cell r="A96">
            <v>95</v>
          </cell>
        </row>
        <row r="97">
          <cell r="A97">
            <v>96</v>
          </cell>
        </row>
        <row r="98">
          <cell r="A98">
            <v>97</v>
          </cell>
        </row>
        <row r="99">
          <cell r="A99">
            <v>98</v>
          </cell>
        </row>
        <row r="100">
          <cell r="A100">
            <v>99</v>
          </cell>
        </row>
        <row r="101">
          <cell r="A101">
            <v>100</v>
          </cell>
        </row>
        <row r="102">
          <cell r="A102">
            <v>101</v>
          </cell>
        </row>
        <row r="103">
          <cell r="A103">
            <v>102</v>
          </cell>
        </row>
        <row r="104">
          <cell r="A104">
            <v>103</v>
          </cell>
        </row>
        <row r="105">
          <cell r="A105">
            <v>104</v>
          </cell>
        </row>
        <row r="106">
          <cell r="A106">
            <v>105</v>
          </cell>
        </row>
        <row r="107">
          <cell r="A107">
            <v>106</v>
          </cell>
        </row>
        <row r="108">
          <cell r="A108">
            <v>107</v>
          </cell>
        </row>
        <row r="109">
          <cell r="A109">
            <v>108</v>
          </cell>
        </row>
        <row r="110">
          <cell r="A110">
            <v>109</v>
          </cell>
        </row>
        <row r="111">
          <cell r="A111">
            <v>110</v>
          </cell>
        </row>
        <row r="112">
          <cell r="A112">
            <v>111</v>
          </cell>
        </row>
        <row r="113">
          <cell r="A113">
            <v>112</v>
          </cell>
        </row>
        <row r="114">
          <cell r="A114">
            <v>113</v>
          </cell>
        </row>
        <row r="115">
          <cell r="A115">
            <v>114</v>
          </cell>
        </row>
        <row r="116">
          <cell r="A116">
            <v>115</v>
          </cell>
        </row>
        <row r="117">
          <cell r="A117">
            <v>116</v>
          </cell>
        </row>
        <row r="118">
          <cell r="A118">
            <v>117</v>
          </cell>
        </row>
        <row r="119">
          <cell r="A119">
            <v>118</v>
          </cell>
        </row>
        <row r="120">
          <cell r="A120">
            <v>119</v>
          </cell>
        </row>
        <row r="121">
          <cell r="A121">
            <v>120</v>
          </cell>
        </row>
        <row r="122">
          <cell r="A122">
            <v>121</v>
          </cell>
        </row>
        <row r="123">
          <cell r="A123">
            <v>122</v>
          </cell>
        </row>
        <row r="124">
          <cell r="A124">
            <v>123</v>
          </cell>
        </row>
        <row r="125">
          <cell r="A125">
            <v>124</v>
          </cell>
        </row>
        <row r="126">
          <cell r="A126">
            <v>125</v>
          </cell>
        </row>
        <row r="127">
          <cell r="A127">
            <v>126</v>
          </cell>
        </row>
        <row r="128">
          <cell r="A128">
            <v>127</v>
          </cell>
        </row>
        <row r="129">
          <cell r="A129">
            <v>128</v>
          </cell>
        </row>
        <row r="130">
          <cell r="A130">
            <v>129</v>
          </cell>
        </row>
        <row r="131">
          <cell r="A131">
            <v>130</v>
          </cell>
        </row>
        <row r="132">
          <cell r="A132">
            <v>131</v>
          </cell>
        </row>
        <row r="133">
          <cell r="A133">
            <v>132</v>
          </cell>
        </row>
        <row r="134">
          <cell r="A134">
            <v>133</v>
          </cell>
        </row>
        <row r="135">
          <cell r="A135">
            <v>134</v>
          </cell>
        </row>
        <row r="136">
          <cell r="A136">
            <v>135</v>
          </cell>
        </row>
        <row r="137">
          <cell r="A137">
            <v>136</v>
          </cell>
        </row>
        <row r="138">
          <cell r="A138">
            <v>137</v>
          </cell>
        </row>
        <row r="139">
          <cell r="A139">
            <v>138</v>
          </cell>
        </row>
        <row r="140">
          <cell r="A140">
            <v>139</v>
          </cell>
        </row>
        <row r="141">
          <cell r="A141">
            <v>140</v>
          </cell>
        </row>
        <row r="142">
          <cell r="A142">
            <v>141</v>
          </cell>
        </row>
        <row r="143">
          <cell r="A143">
            <v>142</v>
          </cell>
        </row>
        <row r="144">
          <cell r="A144">
            <v>143</v>
          </cell>
        </row>
        <row r="145">
          <cell r="A145">
            <v>144</v>
          </cell>
        </row>
        <row r="146">
          <cell r="A146">
            <v>145</v>
          </cell>
        </row>
        <row r="147">
          <cell r="A147">
            <v>146</v>
          </cell>
        </row>
        <row r="148">
          <cell r="A148">
            <v>147</v>
          </cell>
        </row>
        <row r="149">
          <cell r="A149">
            <v>148</v>
          </cell>
        </row>
        <row r="150">
          <cell r="A150">
            <v>149</v>
          </cell>
        </row>
        <row r="151">
          <cell r="A151">
            <v>150</v>
          </cell>
        </row>
        <row r="152">
          <cell r="A152">
            <v>151</v>
          </cell>
        </row>
        <row r="153">
          <cell r="A153">
            <v>152</v>
          </cell>
        </row>
        <row r="154">
          <cell r="A154">
            <v>153</v>
          </cell>
        </row>
        <row r="155">
          <cell r="A155">
            <v>154</v>
          </cell>
        </row>
        <row r="156">
          <cell r="A156">
            <v>155</v>
          </cell>
        </row>
        <row r="157">
          <cell r="A157">
            <v>156</v>
          </cell>
        </row>
        <row r="158">
          <cell r="A158">
            <v>157</v>
          </cell>
        </row>
        <row r="159">
          <cell r="A159">
            <v>158</v>
          </cell>
        </row>
        <row r="160">
          <cell r="A160">
            <v>159</v>
          </cell>
        </row>
        <row r="161">
          <cell r="A161">
            <v>160</v>
          </cell>
        </row>
        <row r="162">
          <cell r="A162">
            <v>161</v>
          </cell>
        </row>
        <row r="163">
          <cell r="A163">
            <v>162</v>
          </cell>
        </row>
        <row r="164">
          <cell r="A164">
            <v>163</v>
          </cell>
        </row>
        <row r="165">
          <cell r="A165">
            <v>164</v>
          </cell>
        </row>
        <row r="166">
          <cell r="A166">
            <v>165</v>
          </cell>
        </row>
        <row r="167">
          <cell r="A167">
            <v>166</v>
          </cell>
        </row>
        <row r="168">
          <cell r="A168">
            <v>167</v>
          </cell>
        </row>
        <row r="169">
          <cell r="A169">
            <v>168</v>
          </cell>
        </row>
        <row r="170">
          <cell r="A170">
            <v>169</v>
          </cell>
        </row>
        <row r="171">
          <cell r="A171">
            <v>170</v>
          </cell>
        </row>
        <row r="172">
          <cell r="A172">
            <v>171</v>
          </cell>
        </row>
        <row r="173">
          <cell r="A173">
            <v>172</v>
          </cell>
        </row>
        <row r="174">
          <cell r="A174">
            <v>173</v>
          </cell>
        </row>
        <row r="175">
          <cell r="A175">
            <v>174</v>
          </cell>
        </row>
        <row r="176">
          <cell r="A176">
            <v>175</v>
          </cell>
        </row>
        <row r="177">
          <cell r="A177">
            <v>176</v>
          </cell>
        </row>
        <row r="178">
          <cell r="A178">
            <v>177</v>
          </cell>
        </row>
        <row r="179">
          <cell r="A179">
            <v>178</v>
          </cell>
        </row>
        <row r="180">
          <cell r="A180">
            <v>179</v>
          </cell>
        </row>
        <row r="181">
          <cell r="A181">
            <v>180</v>
          </cell>
        </row>
        <row r="182">
          <cell r="A182">
            <v>181</v>
          </cell>
        </row>
        <row r="183">
          <cell r="A183">
            <v>182</v>
          </cell>
        </row>
        <row r="184">
          <cell r="A184">
            <v>183</v>
          </cell>
        </row>
        <row r="185">
          <cell r="A185">
            <v>184</v>
          </cell>
        </row>
        <row r="186">
          <cell r="A186">
            <v>185</v>
          </cell>
        </row>
        <row r="187">
          <cell r="A187">
            <v>186</v>
          </cell>
        </row>
        <row r="188">
          <cell r="A188">
            <v>187</v>
          </cell>
        </row>
        <row r="189">
          <cell r="A189">
            <v>188</v>
          </cell>
        </row>
        <row r="190">
          <cell r="A190">
            <v>189</v>
          </cell>
        </row>
        <row r="191">
          <cell r="A191">
            <v>190</v>
          </cell>
        </row>
        <row r="192">
          <cell r="A192">
            <v>191</v>
          </cell>
        </row>
        <row r="193">
          <cell r="A193">
            <v>192</v>
          </cell>
        </row>
        <row r="194">
          <cell r="A194">
            <v>193</v>
          </cell>
        </row>
        <row r="195">
          <cell r="A195">
            <v>194</v>
          </cell>
        </row>
        <row r="196">
          <cell r="A196">
            <v>195</v>
          </cell>
        </row>
        <row r="197">
          <cell r="A197">
            <v>196</v>
          </cell>
        </row>
        <row r="198">
          <cell r="A198">
            <v>197</v>
          </cell>
        </row>
        <row r="199">
          <cell r="A199">
            <v>198</v>
          </cell>
        </row>
        <row r="200">
          <cell r="A200">
            <v>199</v>
          </cell>
        </row>
        <row r="201">
          <cell r="A201">
            <v>200</v>
          </cell>
        </row>
        <row r="202">
          <cell r="A202">
            <v>201</v>
          </cell>
        </row>
        <row r="203">
          <cell r="A203">
            <v>202</v>
          </cell>
        </row>
        <row r="204">
          <cell r="A204">
            <v>203</v>
          </cell>
        </row>
        <row r="205">
          <cell r="A205">
            <v>204</v>
          </cell>
        </row>
        <row r="206">
          <cell r="A206">
            <v>205</v>
          </cell>
        </row>
        <row r="207">
          <cell r="A207">
            <v>206</v>
          </cell>
        </row>
        <row r="208">
          <cell r="A208">
            <v>207</v>
          </cell>
        </row>
        <row r="209">
          <cell r="A209">
            <v>208</v>
          </cell>
        </row>
        <row r="210">
          <cell r="A210">
            <v>209</v>
          </cell>
        </row>
        <row r="211">
          <cell r="A211">
            <v>210</v>
          </cell>
        </row>
        <row r="212">
          <cell r="A212">
            <v>211</v>
          </cell>
        </row>
        <row r="213">
          <cell r="A213">
            <v>212</v>
          </cell>
        </row>
        <row r="214">
          <cell r="A214">
            <v>213</v>
          </cell>
        </row>
        <row r="215">
          <cell r="A215">
            <v>214</v>
          </cell>
        </row>
        <row r="216">
          <cell r="A216">
            <v>215</v>
          </cell>
        </row>
        <row r="217">
          <cell r="A217">
            <v>216</v>
          </cell>
        </row>
        <row r="218">
          <cell r="A218">
            <v>217</v>
          </cell>
        </row>
        <row r="219">
          <cell r="A219">
            <v>218</v>
          </cell>
        </row>
        <row r="220">
          <cell r="A220">
            <v>219</v>
          </cell>
        </row>
        <row r="221">
          <cell r="A221">
            <v>220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MATERIALES"/>
      <sheetName val="CONCRETO 3000"/>
      <sheetName val="HIERRO "/>
      <sheetName val="FORMALETA"/>
      <sheetName val="EXCAVACION 1MTS"/>
      <sheetName val="RELLENO DE BRECHAS"/>
      <sheetName val="TUBERIA 3&quot;"/>
      <sheetName val="TUBERÍA 2&quot;"/>
      <sheetName val="UNION 3&quot;"/>
      <sheetName val="UNION 2&quot;"/>
      <sheetName val="BUJE 3X2"/>
      <sheetName val="TEE 4X4X3"/>
      <sheetName val="TEE 3&quot;"/>
      <sheetName val="TEE 2&quot;"/>
      <sheetName val="CODO 3&quot; 90º"/>
      <sheetName val="CODO 2&quot; 90º"/>
      <sheetName val="CRUZ 3X2"/>
      <sheetName val="CRUZ 3X3"/>
      <sheetName val="CRUZ 2X2"/>
      <sheetName val="VALVULA CONTROL 3&quot;"/>
      <sheetName val="VALVULA CONTROL 2&quot;"/>
      <sheetName val="HIDRANTE 3&quot;"/>
      <sheetName val="UNION DE 4&quot;"/>
      <sheetName val="INSTALACION TUB. 2&quot; - 3&quot;"/>
      <sheetName val="CAJILLAS VALVULA ,6X,6"/>
      <sheetName val="TUBERIA 0,5&quot;"/>
      <sheetName val="COLLAR 3&quot;X0,5&quot;"/>
      <sheetName val="COLLAR 2&quot;X0,5&quot;"/>
      <sheetName val="ADAPTADOR MACHO"/>
      <sheetName val="ADAPTADOR HEMBRA"/>
      <sheetName val="VALVULA DE BOLA 0,5"/>
      <sheetName val="MICROMEDIDOR"/>
      <sheetName val="CAJILLA CEMENTO AC"/>
      <sheetName val="TAPA HF CAJILLA"/>
      <sheetName val="CODO HG 0,5"/>
      <sheetName val="UNION HG 0,5"/>
      <sheetName val="BRECHA Y TAPADA"/>
      <sheetName val="INSTALCION 0,5"/>
      <sheetName val="INSTALCION DOMICILIARIA"/>
      <sheetName val="CUADRO RESUMEN2"/>
      <sheetName val="PRESUPUESTO_4"/>
      <sheetName val="CONCRETO_30004"/>
      <sheetName val="HIERRO_4"/>
      <sheetName val="EXCAVACION_1MTS4"/>
      <sheetName val="RELLENO_DE_BRECHAS4"/>
      <sheetName val="TUBERIA_3&quot;4"/>
      <sheetName val="TUBERÍA_2&quot;4"/>
      <sheetName val="UNION_3&quot;4"/>
      <sheetName val="UNION_2&quot;4"/>
      <sheetName val="BUJE_3X24"/>
      <sheetName val="TEE_4X4X34"/>
      <sheetName val="TEE_3&quot;4"/>
      <sheetName val="TEE_2&quot;4"/>
      <sheetName val="CODO_3&quot;_90º4"/>
      <sheetName val="CODO_2&quot;_90º4"/>
      <sheetName val="CRUZ_3X24"/>
      <sheetName val="CRUZ_3X34"/>
      <sheetName val="CRUZ_2X24"/>
      <sheetName val="VALVULA_CONTROL_3&quot;4"/>
      <sheetName val="VALVULA_CONTROL_2&quot;4"/>
      <sheetName val="HIDRANTE_3&quot;4"/>
      <sheetName val="UNION_DE_4&quot;4"/>
      <sheetName val="INSTALACION_TUB__2&quot;_-_3&quot;4"/>
      <sheetName val="CAJILLAS_VALVULA_,6X,64"/>
      <sheetName val="TUBERIA_0,5&quot;4"/>
      <sheetName val="COLLAR_3&quot;X0,5&quot;4"/>
      <sheetName val="COLLAR_2&quot;X0,5&quot;4"/>
      <sheetName val="ADAPTADOR_MACHO4"/>
      <sheetName val="ADAPTADOR_HEMBRA4"/>
      <sheetName val="VALVULA_DE_BOLA_0,54"/>
      <sheetName val="CAJILLA_CEMENTO_AC4"/>
      <sheetName val="TAPA_HF_CAJILLA4"/>
      <sheetName val="CODO_HG_0,54"/>
      <sheetName val="UNION_HG_0,54"/>
      <sheetName val="BRECHA_Y_TAPADA4"/>
      <sheetName val="INSTALCION_0,54"/>
      <sheetName val="INSTALCION_DOMICILIARIA4"/>
      <sheetName val="CUADRO_RESUMEN24"/>
      <sheetName val="PRESUPUESTO_"/>
      <sheetName val="CONCRETO_3000"/>
      <sheetName val="HIERRO_"/>
      <sheetName val="EXCAVACION_1MTS"/>
      <sheetName val="RELLENO_DE_BRECHAS"/>
      <sheetName val="TUBERIA_3&quot;"/>
      <sheetName val="TUBERÍA_2&quot;"/>
      <sheetName val="UNION_3&quot;"/>
      <sheetName val="UNION_2&quot;"/>
      <sheetName val="BUJE_3X2"/>
      <sheetName val="TEE_4X4X3"/>
      <sheetName val="TEE_3&quot;"/>
      <sheetName val="TEE_2&quot;"/>
      <sheetName val="CODO_3&quot;_90º"/>
      <sheetName val="CODO_2&quot;_90º"/>
      <sheetName val="CRUZ_3X2"/>
      <sheetName val="CRUZ_3X3"/>
      <sheetName val="CRUZ_2X2"/>
      <sheetName val="VALVULA_CONTROL_3&quot;"/>
      <sheetName val="VALVULA_CONTROL_2&quot;"/>
      <sheetName val="HIDRANTE_3&quot;"/>
      <sheetName val="UNION_DE_4&quot;"/>
      <sheetName val="INSTALACION_TUB__2&quot;_-_3&quot;"/>
      <sheetName val="CAJILLAS_VALVULA_,6X,6"/>
      <sheetName val="TUBERIA_0,5&quot;"/>
      <sheetName val="COLLAR_3&quot;X0,5&quot;"/>
      <sheetName val="COLLAR_2&quot;X0,5&quot;"/>
      <sheetName val="ADAPTADOR_MACHO"/>
      <sheetName val="ADAPTADOR_HEMBRA"/>
      <sheetName val="VALVULA_DE_BOLA_0,5"/>
      <sheetName val="CAJILLA_CEMENTO_AC"/>
      <sheetName val="TAPA_HF_CAJILLA"/>
      <sheetName val="CODO_HG_0,5"/>
      <sheetName val="UNION_HG_0,5"/>
      <sheetName val="BRECHA_Y_TAPADA"/>
      <sheetName val="INSTALCION_0,5"/>
      <sheetName val="INSTALCION_DOMICILIARIA"/>
      <sheetName val="CUADRO_RESUMEN2"/>
      <sheetName val="PRESUPUESTO_1"/>
      <sheetName val="CONCRETO_30001"/>
      <sheetName val="HIERRO_1"/>
      <sheetName val="EXCAVACION_1MTS1"/>
      <sheetName val="RELLENO_DE_BRECHAS1"/>
      <sheetName val="TUBERIA_3&quot;1"/>
      <sheetName val="TUBERÍA_2&quot;1"/>
      <sheetName val="UNION_3&quot;1"/>
      <sheetName val="UNION_2&quot;1"/>
      <sheetName val="BUJE_3X21"/>
      <sheetName val="TEE_4X4X31"/>
      <sheetName val="TEE_3&quot;1"/>
      <sheetName val="TEE_2&quot;1"/>
      <sheetName val="CODO_3&quot;_90º1"/>
      <sheetName val="CODO_2&quot;_90º1"/>
      <sheetName val="CRUZ_3X21"/>
      <sheetName val="CRUZ_3X31"/>
      <sheetName val="CRUZ_2X21"/>
      <sheetName val="VALVULA_CONTROL_3&quot;1"/>
      <sheetName val="VALVULA_CONTROL_2&quot;1"/>
      <sheetName val="HIDRANTE_3&quot;1"/>
      <sheetName val="UNION_DE_4&quot;1"/>
      <sheetName val="INSTALACION_TUB__2&quot;_-_3&quot;1"/>
      <sheetName val="CAJILLAS_VALVULA_,6X,61"/>
      <sheetName val="TUBERIA_0,5&quot;1"/>
      <sheetName val="COLLAR_3&quot;X0,5&quot;1"/>
      <sheetName val="COLLAR_2&quot;X0,5&quot;1"/>
      <sheetName val="ADAPTADOR_MACHO1"/>
      <sheetName val="ADAPTADOR_HEMBRA1"/>
      <sheetName val="VALVULA_DE_BOLA_0,51"/>
      <sheetName val="CAJILLA_CEMENTO_AC1"/>
      <sheetName val="TAPA_HF_CAJILLA1"/>
      <sheetName val="CODO_HG_0,51"/>
      <sheetName val="UNION_HG_0,51"/>
      <sheetName val="BRECHA_Y_TAPADA1"/>
      <sheetName val="INSTALCION_0,51"/>
      <sheetName val="INSTALCION_DOMICILIARIA1"/>
      <sheetName val="CUADRO_RESUMEN21"/>
      <sheetName val="PRESUPUESTO_2"/>
      <sheetName val="CONCRETO_30002"/>
      <sheetName val="HIERRO_2"/>
      <sheetName val="EXCAVACION_1MTS2"/>
      <sheetName val="RELLENO_DE_BRECHAS2"/>
      <sheetName val="TUBERIA_3&quot;2"/>
      <sheetName val="TUBERÍA_2&quot;2"/>
      <sheetName val="UNION_3&quot;2"/>
      <sheetName val="UNION_2&quot;2"/>
      <sheetName val="BUJE_3X22"/>
      <sheetName val="TEE_4X4X32"/>
      <sheetName val="TEE_3&quot;2"/>
      <sheetName val="TEE_2&quot;2"/>
      <sheetName val="CODO_3&quot;_90º2"/>
      <sheetName val="CODO_2&quot;_90º2"/>
      <sheetName val="CRUZ_3X22"/>
      <sheetName val="CRUZ_3X32"/>
      <sheetName val="CRUZ_2X22"/>
      <sheetName val="VALVULA_CONTROL_3&quot;2"/>
      <sheetName val="VALVULA_CONTROL_2&quot;2"/>
      <sheetName val="HIDRANTE_3&quot;2"/>
      <sheetName val="UNION_DE_4&quot;2"/>
      <sheetName val="INSTALACION_TUB__2&quot;_-_3&quot;2"/>
      <sheetName val="CAJILLAS_VALVULA_,6X,62"/>
      <sheetName val="TUBERIA_0,5&quot;2"/>
      <sheetName val="COLLAR_3&quot;X0,5&quot;2"/>
      <sheetName val="COLLAR_2&quot;X0,5&quot;2"/>
      <sheetName val="ADAPTADOR_MACHO2"/>
      <sheetName val="ADAPTADOR_HEMBRA2"/>
      <sheetName val="VALVULA_DE_BOLA_0,52"/>
      <sheetName val="CAJILLA_CEMENTO_AC2"/>
      <sheetName val="TAPA_HF_CAJILLA2"/>
      <sheetName val="CODO_HG_0,52"/>
      <sheetName val="UNION_HG_0,52"/>
      <sheetName val="BRECHA_Y_TAPADA2"/>
      <sheetName val="INSTALCION_0,52"/>
      <sheetName val="INSTALCION_DOMICILIARIA2"/>
      <sheetName val="CUADRO_RESUMEN22"/>
      <sheetName val="PRESUPUESTO_3"/>
      <sheetName val="CONCRETO_30003"/>
      <sheetName val="HIERRO_3"/>
      <sheetName val="EXCAVACION_1MTS3"/>
      <sheetName val="RELLENO_DE_BRECHAS3"/>
      <sheetName val="TUBERIA_3&quot;3"/>
      <sheetName val="TUBERÍA_2&quot;3"/>
      <sheetName val="UNION_3&quot;3"/>
      <sheetName val="UNION_2&quot;3"/>
      <sheetName val="BUJE_3X23"/>
      <sheetName val="TEE_4X4X33"/>
      <sheetName val="TEE_3&quot;3"/>
      <sheetName val="TEE_2&quot;3"/>
      <sheetName val="CODO_3&quot;_90º3"/>
      <sheetName val="CODO_2&quot;_90º3"/>
      <sheetName val="CRUZ_3X23"/>
      <sheetName val="CRUZ_3X33"/>
      <sheetName val="CRUZ_2X23"/>
      <sheetName val="VALVULA_CONTROL_3&quot;3"/>
      <sheetName val="VALVULA_CONTROL_2&quot;3"/>
      <sheetName val="HIDRANTE_3&quot;3"/>
      <sheetName val="UNION_DE_4&quot;3"/>
      <sheetName val="INSTALACION_TUB__2&quot;_-_3&quot;3"/>
      <sheetName val="CAJILLAS_VALVULA_,6X,63"/>
      <sheetName val="TUBERIA_0,5&quot;3"/>
      <sheetName val="COLLAR_3&quot;X0,5&quot;3"/>
      <sheetName val="COLLAR_2&quot;X0,5&quot;3"/>
      <sheetName val="ADAPTADOR_MACHO3"/>
      <sheetName val="ADAPTADOR_HEMBRA3"/>
      <sheetName val="VALVULA_DE_BOLA_0,53"/>
      <sheetName val="CAJILLA_CEMENTO_AC3"/>
      <sheetName val="TAPA_HF_CAJILLA3"/>
      <sheetName val="CODO_HG_0,53"/>
      <sheetName val="UNION_HG_0,53"/>
      <sheetName val="BRECHA_Y_TAPADA3"/>
      <sheetName val="INSTALCION_0,53"/>
      <sheetName val="INSTALCION_DOMICILIARIA3"/>
      <sheetName val="CUADRO_RESUMEN23"/>
      <sheetName val="PRESUPUESTO_6"/>
      <sheetName val="CONCRETO_30006"/>
      <sheetName val="HIERRO_6"/>
      <sheetName val="EXCAVACION_1MTS6"/>
      <sheetName val="RELLENO_DE_BRECHAS6"/>
      <sheetName val="TUBERIA_3&quot;6"/>
      <sheetName val="TUBERÍA_2&quot;6"/>
      <sheetName val="UNION_3&quot;6"/>
      <sheetName val="UNION_2&quot;6"/>
      <sheetName val="BUJE_3X26"/>
      <sheetName val="TEE_4X4X36"/>
      <sheetName val="TEE_3&quot;6"/>
      <sheetName val="TEE_2&quot;6"/>
      <sheetName val="CODO_3&quot;_90º6"/>
      <sheetName val="CODO_2&quot;_90º6"/>
      <sheetName val="CRUZ_3X26"/>
      <sheetName val="CRUZ_3X36"/>
      <sheetName val="CRUZ_2X26"/>
      <sheetName val="VALVULA_CONTROL_3&quot;6"/>
      <sheetName val="VALVULA_CONTROL_2&quot;6"/>
      <sheetName val="HIDRANTE_3&quot;6"/>
      <sheetName val="UNION_DE_4&quot;6"/>
      <sheetName val="INSTALACION_TUB__2&quot;_-_3&quot;6"/>
      <sheetName val="CAJILLAS_VALVULA_,6X,66"/>
      <sheetName val="TUBERIA_0,5&quot;6"/>
      <sheetName val="COLLAR_3&quot;X0,5&quot;6"/>
      <sheetName val="COLLAR_2&quot;X0,5&quot;6"/>
      <sheetName val="ADAPTADOR_MACHO6"/>
      <sheetName val="ADAPTADOR_HEMBRA6"/>
      <sheetName val="VALVULA_DE_BOLA_0,56"/>
      <sheetName val="CAJILLA_CEMENTO_AC6"/>
      <sheetName val="TAPA_HF_CAJILLA6"/>
      <sheetName val="CODO_HG_0,56"/>
      <sheetName val="UNION_HG_0,56"/>
      <sheetName val="BRECHA_Y_TAPADA6"/>
      <sheetName val="INSTALCION_0,56"/>
      <sheetName val="INSTALCION_DOMICILIARIA6"/>
      <sheetName val="CUADRO_RESUMEN26"/>
      <sheetName val="PRESUPUESTO_5"/>
      <sheetName val="CONCRETO_30005"/>
      <sheetName val="HIERRO_5"/>
      <sheetName val="EXCAVACION_1MTS5"/>
      <sheetName val="RELLENO_DE_BRECHAS5"/>
      <sheetName val="TUBERIA_3&quot;5"/>
      <sheetName val="TUBERÍA_2&quot;5"/>
      <sheetName val="UNION_3&quot;5"/>
      <sheetName val="UNION_2&quot;5"/>
      <sheetName val="BUJE_3X25"/>
      <sheetName val="TEE_4X4X35"/>
      <sheetName val="TEE_3&quot;5"/>
      <sheetName val="TEE_2&quot;5"/>
      <sheetName val="CODO_3&quot;_90º5"/>
      <sheetName val="CODO_2&quot;_90º5"/>
      <sheetName val="CRUZ_3X25"/>
      <sheetName val="CRUZ_3X35"/>
      <sheetName val="CRUZ_2X25"/>
      <sheetName val="VALVULA_CONTROL_3&quot;5"/>
      <sheetName val="VALVULA_CONTROL_2&quot;5"/>
      <sheetName val="HIDRANTE_3&quot;5"/>
      <sheetName val="UNION_DE_4&quot;5"/>
      <sheetName val="INSTALACION_TUB__2&quot;_-_3&quot;5"/>
      <sheetName val="CAJILLAS_VALVULA_,6X,65"/>
      <sheetName val="TUBERIA_0,5&quot;5"/>
      <sheetName val="COLLAR_3&quot;X0,5&quot;5"/>
      <sheetName val="COLLAR_2&quot;X0,5&quot;5"/>
      <sheetName val="ADAPTADOR_MACHO5"/>
      <sheetName val="ADAPTADOR_HEMBRA5"/>
      <sheetName val="VALVULA_DE_BOLA_0,55"/>
      <sheetName val="CAJILLA_CEMENTO_AC5"/>
      <sheetName val="TAPA_HF_CAJILLA5"/>
      <sheetName val="CODO_HG_0,55"/>
      <sheetName val="UNION_HG_0,55"/>
      <sheetName val="BRECHA_Y_TAPADA5"/>
      <sheetName val="INSTALCION_0,55"/>
      <sheetName val="INSTALCION_DOMICILIARIA5"/>
      <sheetName val="CUADRO_RESUMEN25"/>
      <sheetName val="PRESUPUESTO_7"/>
      <sheetName val="CONCRETO_30007"/>
      <sheetName val="HIERRO_7"/>
      <sheetName val="EXCAVACION_1MTS7"/>
      <sheetName val="RELLENO_DE_BRECHAS7"/>
      <sheetName val="TUBERIA_3&quot;7"/>
      <sheetName val="TUBERÍA_2&quot;7"/>
      <sheetName val="UNION_3&quot;7"/>
      <sheetName val="UNION_2&quot;7"/>
      <sheetName val="BUJE_3X27"/>
      <sheetName val="TEE_4X4X37"/>
      <sheetName val="TEE_3&quot;7"/>
      <sheetName val="TEE_2&quot;7"/>
      <sheetName val="CODO_3&quot;_90º7"/>
      <sheetName val="CODO_2&quot;_90º7"/>
      <sheetName val="CRUZ_3X27"/>
      <sheetName val="CRUZ_3X37"/>
      <sheetName val="CRUZ_2X27"/>
      <sheetName val="VALVULA_CONTROL_3&quot;7"/>
      <sheetName val="VALVULA_CONTROL_2&quot;7"/>
      <sheetName val="HIDRANTE_3&quot;7"/>
      <sheetName val="UNION_DE_4&quot;7"/>
      <sheetName val="INSTALACION_TUB__2&quot;_-_3&quot;7"/>
      <sheetName val="CAJILLAS_VALVULA_,6X,67"/>
      <sheetName val="TUBERIA_0,5&quot;7"/>
      <sheetName val="COLLAR_3&quot;X0,5&quot;7"/>
      <sheetName val="COLLAR_2&quot;X0,5&quot;7"/>
      <sheetName val="ADAPTADOR_MACHO7"/>
      <sheetName val="ADAPTADOR_HEMBRA7"/>
      <sheetName val="VALVULA_DE_BOLA_0,57"/>
      <sheetName val="CAJILLA_CEMENTO_AC7"/>
      <sheetName val="TAPA_HF_CAJILLA7"/>
      <sheetName val="CODO_HG_0,57"/>
      <sheetName val="UNION_HG_0,57"/>
      <sheetName val="BRECHA_Y_TAPADA7"/>
      <sheetName val="INSTALCION_0,57"/>
      <sheetName val="INSTALCION_DOMICILIARIA7"/>
      <sheetName val="CUADRO_RESUMEN27"/>
      <sheetName val="PRESUPUESTO_8"/>
      <sheetName val="CONCRETO_30008"/>
      <sheetName val="HIERRO_8"/>
      <sheetName val="EXCAVACION_1MTS8"/>
      <sheetName val="RELLENO_DE_BRECHAS8"/>
      <sheetName val="TUBERIA_3&quot;8"/>
      <sheetName val="TUBERÍA_2&quot;8"/>
      <sheetName val="UNION_3&quot;8"/>
      <sheetName val="UNION_2&quot;8"/>
      <sheetName val="BUJE_3X28"/>
      <sheetName val="TEE_4X4X38"/>
      <sheetName val="TEE_3&quot;8"/>
      <sheetName val="TEE_2&quot;8"/>
      <sheetName val="CODO_3&quot;_90º8"/>
      <sheetName val="CODO_2&quot;_90º8"/>
      <sheetName val="CRUZ_3X28"/>
      <sheetName val="CRUZ_3X38"/>
      <sheetName val="CRUZ_2X28"/>
      <sheetName val="VALVULA_CONTROL_3&quot;8"/>
      <sheetName val="VALVULA_CONTROL_2&quot;8"/>
      <sheetName val="HIDRANTE_3&quot;8"/>
      <sheetName val="UNION_DE_4&quot;8"/>
      <sheetName val="INSTALACION_TUB__2&quot;_-_3&quot;8"/>
      <sheetName val="CAJILLAS_VALVULA_,6X,68"/>
      <sheetName val="TUBERIA_0,5&quot;8"/>
      <sheetName val="COLLAR_3&quot;X0,5&quot;8"/>
      <sheetName val="COLLAR_2&quot;X0,5&quot;8"/>
      <sheetName val="ADAPTADOR_MACHO8"/>
      <sheetName val="ADAPTADOR_HEMBRA8"/>
      <sheetName val="VALVULA_DE_BOLA_0,58"/>
      <sheetName val="CAJILLA_CEMENTO_AC8"/>
      <sheetName val="TAPA_HF_CAJILLA8"/>
      <sheetName val="CODO_HG_0,58"/>
      <sheetName val="UNION_HG_0,58"/>
      <sheetName val="BRECHA_Y_TAPADA8"/>
      <sheetName val="INSTALCION_0,58"/>
      <sheetName val="INSTALCION_DOMICILIARIA8"/>
      <sheetName val="CUADRO_RESUMEN28"/>
      <sheetName val="PRESUPUESTO_9"/>
      <sheetName val="CONCRETO_30009"/>
      <sheetName val="HIERRO_9"/>
      <sheetName val="EXCAVACION_1MTS9"/>
      <sheetName val="RELLENO_DE_BRECHAS9"/>
      <sheetName val="TUBERIA_3&quot;9"/>
      <sheetName val="TUBERÍA_2&quot;9"/>
      <sheetName val="UNION_3&quot;9"/>
      <sheetName val="UNION_2&quot;9"/>
      <sheetName val="BUJE_3X29"/>
      <sheetName val="TEE_4X4X39"/>
      <sheetName val="TEE_3&quot;9"/>
      <sheetName val="TEE_2&quot;9"/>
      <sheetName val="CODO_3&quot;_90º9"/>
      <sheetName val="CODO_2&quot;_90º9"/>
      <sheetName val="CRUZ_3X29"/>
      <sheetName val="CRUZ_3X39"/>
      <sheetName val="CRUZ_2X29"/>
      <sheetName val="VALVULA_CONTROL_3&quot;9"/>
      <sheetName val="VALVULA_CONTROL_2&quot;9"/>
      <sheetName val="HIDRANTE_3&quot;9"/>
      <sheetName val="UNION_DE_4&quot;9"/>
      <sheetName val="INSTALACION_TUB__2&quot;_-_3&quot;9"/>
      <sheetName val="CAJILLAS_VALVULA_,6X,69"/>
      <sheetName val="TUBERIA_0,5&quot;9"/>
      <sheetName val="COLLAR_3&quot;X0,5&quot;9"/>
      <sheetName val="COLLAR_2&quot;X0,5&quot;9"/>
      <sheetName val="ADAPTADOR_MACHO9"/>
      <sheetName val="ADAPTADOR_HEMBRA9"/>
      <sheetName val="VALVULA_DE_BOLA_0,59"/>
      <sheetName val="CAJILLA_CEMENTO_AC9"/>
      <sheetName val="TAPA_HF_CAJILLA9"/>
      <sheetName val="CODO_HG_0,59"/>
      <sheetName val="UNION_HG_0,59"/>
      <sheetName val="BRECHA_Y_TAPADA9"/>
      <sheetName val="INSTALCION_0,59"/>
      <sheetName val="INSTALCION_DOMICILIARIA9"/>
      <sheetName val="CUADRO_RESUMEN29"/>
    </sheetNames>
    <sheetDataSet>
      <sheetData sheetId="0" refreshError="1"/>
      <sheetData sheetId="1">
        <row r="1">
          <cell r="A1" t="str">
            <v>Referencia</v>
          </cell>
          <cell r="B1" t="str">
            <v>Materiales</v>
          </cell>
          <cell r="C1" t="str">
            <v>Unidad</v>
          </cell>
          <cell r="D1" t="str">
            <v>Precio</v>
          </cell>
        </row>
        <row r="2">
          <cell r="A2">
            <v>1</v>
          </cell>
          <cell r="B2" t="str">
            <v>Cemento Gris</v>
          </cell>
          <cell r="C2" t="str">
            <v>Saco 50 Kg</v>
          </cell>
          <cell r="D2">
            <v>9500</v>
          </cell>
        </row>
        <row r="3">
          <cell r="A3">
            <v>2</v>
          </cell>
          <cell r="B3" t="str">
            <v>Arena</v>
          </cell>
          <cell r="C3" t="str">
            <v>m3</v>
          </cell>
          <cell r="D3">
            <v>25000</v>
          </cell>
        </row>
        <row r="4">
          <cell r="A4">
            <v>3</v>
          </cell>
          <cell r="B4" t="str">
            <v>Grava</v>
          </cell>
          <cell r="C4" t="str">
            <v>m3</v>
          </cell>
          <cell r="D4">
            <v>35000</v>
          </cell>
          <cell r="H4">
            <v>0.1</v>
          </cell>
        </row>
        <row r="5">
          <cell r="A5">
            <v>4</v>
          </cell>
          <cell r="B5" t="str">
            <v xml:space="preserve">Marerial de Recebo </v>
          </cell>
          <cell r="C5" t="str">
            <v>m3</v>
          </cell>
          <cell r="D5">
            <v>28000</v>
          </cell>
          <cell r="H5">
            <v>0.03</v>
          </cell>
        </row>
        <row r="6">
          <cell r="A6">
            <v>5</v>
          </cell>
          <cell r="B6" t="str">
            <v>Compactadora (rana)</v>
          </cell>
          <cell r="C6" t="str">
            <v>Hr</v>
          </cell>
          <cell r="D6">
            <v>4375</v>
          </cell>
          <cell r="H6">
            <v>7.0000000000000007E-2</v>
          </cell>
        </row>
        <row r="7">
          <cell r="A7">
            <v>6</v>
          </cell>
          <cell r="B7" t="str">
            <v>Compactadora (saltarin)</v>
          </cell>
          <cell r="C7" t="str">
            <v>Hr</v>
          </cell>
          <cell r="D7">
            <v>3750</v>
          </cell>
        </row>
        <row r="8">
          <cell r="A8">
            <v>7</v>
          </cell>
          <cell r="B8" t="str">
            <v>Hierro D = 1/2"</v>
          </cell>
          <cell r="C8" t="str">
            <v>Kg</v>
          </cell>
          <cell r="D8">
            <v>1850</v>
          </cell>
        </row>
        <row r="9">
          <cell r="A9">
            <v>8</v>
          </cell>
          <cell r="B9" t="str">
            <v>Hierro D = 3/8"</v>
          </cell>
          <cell r="C9" t="str">
            <v>Kg</v>
          </cell>
          <cell r="D9">
            <v>2100</v>
          </cell>
        </row>
        <row r="10">
          <cell r="A10">
            <v>9</v>
          </cell>
          <cell r="B10" t="str">
            <v>Hierro D = 1/4"</v>
          </cell>
          <cell r="C10" t="str">
            <v>Kg</v>
          </cell>
          <cell r="D10">
            <v>2100</v>
          </cell>
        </row>
        <row r="11">
          <cell r="A11">
            <v>10</v>
          </cell>
          <cell r="B11" t="str">
            <v>Agua</v>
          </cell>
          <cell r="C11" t="str">
            <v>Lt</v>
          </cell>
          <cell r="D11">
            <v>10</v>
          </cell>
        </row>
        <row r="12">
          <cell r="A12">
            <v>11</v>
          </cell>
          <cell r="B12" t="str">
            <v>Piedra Para Ciclopeo</v>
          </cell>
          <cell r="C12" t="str">
            <v>m3</v>
          </cell>
          <cell r="D12">
            <v>20000</v>
          </cell>
        </row>
        <row r="13">
          <cell r="A13">
            <v>12</v>
          </cell>
          <cell r="B13" t="str">
            <v>Mezcladora</v>
          </cell>
          <cell r="C13" t="str">
            <v>Hr</v>
          </cell>
          <cell r="D13">
            <v>5625</v>
          </cell>
        </row>
        <row r="14">
          <cell r="A14">
            <v>13</v>
          </cell>
          <cell r="B14" t="str">
            <v>Vibrador</v>
          </cell>
          <cell r="C14" t="str">
            <v>Hr</v>
          </cell>
          <cell r="D14">
            <v>2500</v>
          </cell>
        </row>
        <row r="15">
          <cell r="A15">
            <v>14</v>
          </cell>
          <cell r="B15" t="str">
            <v>Limpiador de PVC</v>
          </cell>
          <cell r="C15" t="str">
            <v>Unid.</v>
          </cell>
          <cell r="D15">
            <v>19731</v>
          </cell>
        </row>
        <row r="16">
          <cell r="A16">
            <v>15</v>
          </cell>
          <cell r="B16" t="str">
            <v>Soldadura de PVC</v>
          </cell>
          <cell r="C16" t="str">
            <v>Unid.</v>
          </cell>
          <cell r="D16">
            <v>2807</v>
          </cell>
        </row>
        <row r="17">
          <cell r="A17">
            <v>16</v>
          </cell>
          <cell r="B17" t="str">
            <v>Tubería PVC  RDE 41 de 3" UM</v>
          </cell>
          <cell r="C17" t="str">
            <v>Ml</v>
          </cell>
          <cell r="D17">
            <v>9097</v>
          </cell>
        </row>
        <row r="18">
          <cell r="A18">
            <v>17</v>
          </cell>
          <cell r="B18" t="str">
            <v>Tubería PVC  RDE 41 de 2" UM</v>
          </cell>
          <cell r="C18" t="str">
            <v>Ml</v>
          </cell>
          <cell r="D18">
            <v>4432</v>
          </cell>
        </row>
        <row r="19">
          <cell r="A19">
            <v>18</v>
          </cell>
          <cell r="B19" t="str">
            <v>Buje PVC de  3" X 2"  US</v>
          </cell>
          <cell r="C19" t="str">
            <v>Unid.</v>
          </cell>
          <cell r="D19">
            <v>14899</v>
          </cell>
        </row>
        <row r="20">
          <cell r="A20">
            <v>19</v>
          </cell>
          <cell r="B20" t="str">
            <v>Tabla burra</v>
          </cell>
          <cell r="C20" t="str">
            <v>Unid.</v>
          </cell>
          <cell r="D20">
            <v>6500</v>
          </cell>
        </row>
        <row r="21">
          <cell r="A21">
            <v>20</v>
          </cell>
          <cell r="B21" t="str">
            <v>Codo PVC 3" de 90º US</v>
          </cell>
          <cell r="C21" t="str">
            <v>Unid.</v>
          </cell>
          <cell r="D21">
            <v>29253</v>
          </cell>
        </row>
        <row r="22">
          <cell r="A22">
            <v>21</v>
          </cell>
          <cell r="B22" t="str">
            <v>Codo PVC 2" de 90º US</v>
          </cell>
          <cell r="C22" t="str">
            <v>Unid.</v>
          </cell>
          <cell r="D22">
            <v>8709</v>
          </cell>
        </row>
        <row r="23">
          <cell r="A23">
            <v>22</v>
          </cell>
          <cell r="B23" t="str">
            <v>Puntilla</v>
          </cell>
          <cell r="C23" t="str">
            <v>Lb</v>
          </cell>
          <cell r="D23">
            <v>1400</v>
          </cell>
        </row>
        <row r="24">
          <cell r="A24">
            <v>23</v>
          </cell>
          <cell r="B24" t="str">
            <v>Polin</v>
          </cell>
          <cell r="C24" t="str">
            <v>Unid.</v>
          </cell>
          <cell r="D24">
            <v>5500</v>
          </cell>
        </row>
        <row r="25">
          <cell r="A25">
            <v>24</v>
          </cell>
          <cell r="B25" t="str">
            <v>Unión de reparación PVC 3" UM</v>
          </cell>
          <cell r="C25" t="str">
            <v>Unid.</v>
          </cell>
          <cell r="D25">
            <v>28988</v>
          </cell>
        </row>
        <row r="26">
          <cell r="A26">
            <v>25</v>
          </cell>
          <cell r="B26" t="str">
            <v>Unión de reparación PVC 2" UM</v>
          </cell>
          <cell r="C26" t="str">
            <v>Unid.</v>
          </cell>
          <cell r="D26">
            <v>17586</v>
          </cell>
        </row>
        <row r="27">
          <cell r="A27">
            <v>26</v>
          </cell>
          <cell r="B27" t="str">
            <v>Valvula control de 3" sello de bronce</v>
          </cell>
          <cell r="C27" t="str">
            <v>Unid.</v>
          </cell>
          <cell r="D27">
            <v>544000</v>
          </cell>
        </row>
        <row r="28">
          <cell r="A28">
            <v>27</v>
          </cell>
          <cell r="B28" t="str">
            <v>Valvula control de 2" sello de bronce</v>
          </cell>
          <cell r="C28" t="str">
            <v>Unid.</v>
          </cell>
          <cell r="D28">
            <v>408000.00000000006</v>
          </cell>
        </row>
        <row r="29">
          <cell r="A29">
            <v>28</v>
          </cell>
          <cell r="B29" t="str">
            <v>Hidrante HF tipo Milan de 3"</v>
          </cell>
          <cell r="C29" t="str">
            <v>Unid.</v>
          </cell>
          <cell r="D29">
            <v>1645600.0000000002</v>
          </cell>
        </row>
        <row r="30">
          <cell r="A30">
            <v>29</v>
          </cell>
          <cell r="B30" t="str">
            <v>Tee PVC de 4"x 4"x 3"  UM</v>
          </cell>
          <cell r="C30" t="str">
            <v>Unid.</v>
          </cell>
          <cell r="D30">
            <v>96309</v>
          </cell>
        </row>
        <row r="31">
          <cell r="A31">
            <v>30</v>
          </cell>
          <cell r="B31" t="str">
            <v>Tubería PVC RDE 13,5 de 1/2"</v>
          </cell>
          <cell r="C31" t="str">
            <v>Ml</v>
          </cell>
          <cell r="D31">
            <v>2007</v>
          </cell>
        </row>
        <row r="32">
          <cell r="A32">
            <v>31</v>
          </cell>
          <cell r="B32" t="str">
            <v>Adaptador macho PVC de 1/2"</v>
          </cell>
          <cell r="C32" t="str">
            <v>Unid.</v>
          </cell>
          <cell r="D32">
            <v>323</v>
          </cell>
        </row>
        <row r="33">
          <cell r="A33">
            <v>32</v>
          </cell>
          <cell r="B33" t="str">
            <v>Adaptador hembra PVC de 1/2"</v>
          </cell>
          <cell r="C33" t="str">
            <v>Unid.</v>
          </cell>
          <cell r="D33">
            <v>367</v>
          </cell>
        </row>
        <row r="34">
          <cell r="A34">
            <v>33</v>
          </cell>
          <cell r="B34" t="str">
            <v>Valvula de bola de 1/2" TP</v>
          </cell>
          <cell r="C34" t="str">
            <v>Unid.</v>
          </cell>
          <cell r="D34">
            <v>6500</v>
          </cell>
        </row>
        <row r="35">
          <cell r="A35">
            <v>34</v>
          </cell>
          <cell r="B35" t="str">
            <v>Micromedidor de velocidad de 1/2"</v>
          </cell>
          <cell r="C35" t="str">
            <v>Unid.</v>
          </cell>
          <cell r="D35">
            <v>75000</v>
          </cell>
        </row>
        <row r="36">
          <cell r="A36">
            <v>35</v>
          </cell>
          <cell r="B36" t="str">
            <v>Cajilla de cemento para anden</v>
          </cell>
          <cell r="C36" t="str">
            <v>Unid.</v>
          </cell>
          <cell r="D36">
            <v>12000</v>
          </cell>
        </row>
        <row r="37">
          <cell r="A37">
            <v>36</v>
          </cell>
          <cell r="B37" t="str">
            <v xml:space="preserve">Tapa HF para cajilla </v>
          </cell>
          <cell r="C37" t="str">
            <v>Unid.</v>
          </cell>
          <cell r="D37">
            <v>12000</v>
          </cell>
        </row>
        <row r="38">
          <cell r="A38">
            <v>37</v>
          </cell>
          <cell r="B38" t="str">
            <v>Tee PVC de 3"  US</v>
          </cell>
          <cell r="C38" t="str">
            <v>Unid.</v>
          </cell>
          <cell r="D38">
            <v>37841</v>
          </cell>
        </row>
        <row r="39">
          <cell r="A39">
            <v>38</v>
          </cell>
          <cell r="B39" t="str">
            <v>Tee PVC de 2"  US</v>
          </cell>
          <cell r="C39" t="str">
            <v>Unid.</v>
          </cell>
          <cell r="D39">
            <v>11130</v>
          </cell>
        </row>
        <row r="40">
          <cell r="A40">
            <v>39</v>
          </cell>
          <cell r="B40" t="str">
            <v>Codo HG de 1/2" X 90</v>
          </cell>
          <cell r="C40" t="str">
            <v>Unid.</v>
          </cell>
          <cell r="D40">
            <v>535</v>
          </cell>
        </row>
        <row r="41">
          <cell r="A41">
            <v>40</v>
          </cell>
          <cell r="B41" t="str">
            <v>Unión HG de 1/2"</v>
          </cell>
          <cell r="C41" t="str">
            <v>Unid.</v>
          </cell>
          <cell r="D41">
            <v>418</v>
          </cell>
        </row>
        <row r="42">
          <cell r="A42">
            <v>41</v>
          </cell>
          <cell r="B42" t="str">
            <v>Llave terminal metalica de 1/2" TP</v>
          </cell>
          <cell r="C42" t="str">
            <v>Unid.</v>
          </cell>
          <cell r="D42">
            <v>12500</v>
          </cell>
        </row>
        <row r="43">
          <cell r="A43">
            <v>42</v>
          </cell>
          <cell r="B43" t="str">
            <v>Collar derivador de PVC 3" X 1/2"</v>
          </cell>
          <cell r="C43" t="str">
            <v>Unid.</v>
          </cell>
          <cell r="D43">
            <v>11020</v>
          </cell>
        </row>
        <row r="44">
          <cell r="A44">
            <v>43</v>
          </cell>
          <cell r="B44" t="str">
            <v>Collar derivador de PVC 2" X 1/2"</v>
          </cell>
          <cell r="C44" t="str">
            <v>Unid.</v>
          </cell>
          <cell r="D44">
            <v>5504</v>
          </cell>
        </row>
        <row r="45">
          <cell r="A45">
            <v>44</v>
          </cell>
          <cell r="B45" t="str">
            <v>Cruz H.F de 3"x 2"</v>
          </cell>
          <cell r="C45" t="str">
            <v>Unid.</v>
          </cell>
          <cell r="D45">
            <v>112880</v>
          </cell>
        </row>
        <row r="46">
          <cell r="A46">
            <v>45</v>
          </cell>
          <cell r="B46" t="str">
            <v>Cruz H.F de 3"x 3"</v>
          </cell>
          <cell r="C46" t="str">
            <v>Unid.</v>
          </cell>
          <cell r="D46">
            <v>137360</v>
          </cell>
        </row>
        <row r="47">
          <cell r="A47">
            <v>46</v>
          </cell>
          <cell r="B47" t="str">
            <v>Cruz H.F de 2"x 2"</v>
          </cell>
          <cell r="C47" t="str">
            <v>Unid.</v>
          </cell>
          <cell r="D47">
            <v>77520</v>
          </cell>
        </row>
        <row r="48">
          <cell r="A48">
            <v>47</v>
          </cell>
          <cell r="B48" t="str">
            <v>Unión de reparación PVC 4" UM</v>
          </cell>
          <cell r="C48" t="str">
            <v>Unid.</v>
          </cell>
          <cell r="D48">
            <v>44393</v>
          </cell>
        </row>
        <row r="49">
          <cell r="A49">
            <v>48</v>
          </cell>
        </row>
        <row r="50">
          <cell r="A50">
            <v>49</v>
          </cell>
        </row>
        <row r="66">
          <cell r="A66">
            <v>1</v>
          </cell>
          <cell r="B66" t="str">
            <v>Cemento Gris</v>
          </cell>
          <cell r="C66" t="str">
            <v>Saco 50 Kg</v>
          </cell>
        </row>
        <row r="67">
          <cell r="A67">
            <v>2</v>
          </cell>
          <cell r="B67" t="str">
            <v>Arena</v>
          </cell>
          <cell r="C67" t="str">
            <v>m3</v>
          </cell>
        </row>
        <row r="68">
          <cell r="A68">
            <v>3</v>
          </cell>
          <cell r="B68" t="str">
            <v>Grava</v>
          </cell>
          <cell r="C68" t="str">
            <v>m3</v>
          </cell>
        </row>
        <row r="69">
          <cell r="A69">
            <v>4</v>
          </cell>
          <cell r="B69" t="str">
            <v xml:space="preserve">Marerial de Recebo </v>
          </cell>
          <cell r="C69" t="str">
            <v>m3</v>
          </cell>
        </row>
        <row r="70">
          <cell r="A70">
            <v>5</v>
          </cell>
          <cell r="B70" t="str">
            <v>Compactadora (rana)</v>
          </cell>
          <cell r="C70" t="str">
            <v>Hr</v>
          </cell>
        </row>
        <row r="71">
          <cell r="A71">
            <v>6</v>
          </cell>
          <cell r="B71" t="str">
            <v>Compactadora (saltarin)</v>
          </cell>
          <cell r="C71" t="str">
            <v>Hr</v>
          </cell>
        </row>
        <row r="72">
          <cell r="A72">
            <v>7</v>
          </cell>
          <cell r="B72" t="str">
            <v>Hierro D = 1/2"</v>
          </cell>
          <cell r="C72" t="str">
            <v>Kg</v>
          </cell>
        </row>
        <row r="73">
          <cell r="A73">
            <v>8</v>
          </cell>
          <cell r="B73" t="str">
            <v>Hierro D = 3/8"</v>
          </cell>
          <cell r="C73" t="str">
            <v>Kg</v>
          </cell>
        </row>
        <row r="74">
          <cell r="A74">
            <v>9</v>
          </cell>
          <cell r="B74" t="str">
            <v>Hierro D = 1/4"</v>
          </cell>
          <cell r="C74" t="str">
            <v>Kg</v>
          </cell>
        </row>
        <row r="75">
          <cell r="A75">
            <v>10</v>
          </cell>
          <cell r="B75" t="str">
            <v>Agua</v>
          </cell>
          <cell r="C75" t="str">
            <v>Lt</v>
          </cell>
        </row>
        <row r="76">
          <cell r="A76">
            <v>11</v>
          </cell>
          <cell r="B76" t="str">
            <v>Piedra Para Ciclopeo</v>
          </cell>
          <cell r="C76" t="str">
            <v>m3</v>
          </cell>
        </row>
        <row r="77">
          <cell r="A77">
            <v>12</v>
          </cell>
          <cell r="B77" t="str">
            <v>Mezcladora</v>
          </cell>
          <cell r="C77" t="str">
            <v>Hr</v>
          </cell>
        </row>
        <row r="78">
          <cell r="A78">
            <v>13</v>
          </cell>
          <cell r="B78" t="str">
            <v>Vibrador</v>
          </cell>
          <cell r="C78" t="str">
            <v>Hr</v>
          </cell>
        </row>
        <row r="79">
          <cell r="A79">
            <v>14</v>
          </cell>
          <cell r="B79" t="str">
            <v>Limpiador de PVC</v>
          </cell>
          <cell r="C79" t="str">
            <v>Unid.</v>
          </cell>
          <cell r="D79">
            <v>49</v>
          </cell>
        </row>
        <row r="80">
          <cell r="A80">
            <v>15</v>
          </cell>
          <cell r="B80" t="str">
            <v>Soldadura de PVC</v>
          </cell>
          <cell r="C80" t="str">
            <v>Unid.</v>
          </cell>
          <cell r="D80">
            <v>7</v>
          </cell>
        </row>
        <row r="81">
          <cell r="A81">
            <v>16</v>
          </cell>
          <cell r="B81" t="str">
            <v>Tubería PVC  RDE 41 de 3" UM</v>
          </cell>
          <cell r="C81" t="str">
            <v>Ml</v>
          </cell>
          <cell r="D81">
            <v>23</v>
          </cell>
        </row>
        <row r="82">
          <cell r="A82">
            <v>17</v>
          </cell>
          <cell r="B82" t="str">
            <v>Tubería PVC  RDE 41 de 2" UM</v>
          </cell>
          <cell r="C82" t="str">
            <v>Ml</v>
          </cell>
          <cell r="D82">
            <v>11</v>
          </cell>
        </row>
        <row r="83">
          <cell r="A83">
            <v>18</v>
          </cell>
          <cell r="B83" t="str">
            <v>Buje PVC de  3" X 2"  US</v>
          </cell>
          <cell r="C83" t="str">
            <v>Unid.</v>
          </cell>
          <cell r="D83">
            <v>37</v>
          </cell>
        </row>
        <row r="84">
          <cell r="A84">
            <v>19</v>
          </cell>
          <cell r="B84" t="str">
            <v>Tabla burra</v>
          </cell>
          <cell r="C84" t="str">
            <v>Unid.</v>
          </cell>
          <cell r="D84">
            <v>16</v>
          </cell>
        </row>
        <row r="85">
          <cell r="A85">
            <v>20</v>
          </cell>
          <cell r="B85" t="str">
            <v>Codo PVC 3" de 90º US</v>
          </cell>
          <cell r="C85" t="str">
            <v>Unid.</v>
          </cell>
          <cell r="D85">
            <v>73</v>
          </cell>
        </row>
        <row r="86">
          <cell r="A86">
            <v>21</v>
          </cell>
          <cell r="B86" t="str">
            <v>Codo PVC 2" de 90º US</v>
          </cell>
          <cell r="C86" t="str">
            <v>Unid.</v>
          </cell>
          <cell r="D86">
            <v>22</v>
          </cell>
        </row>
        <row r="87">
          <cell r="A87">
            <v>22</v>
          </cell>
          <cell r="B87" t="str">
            <v>Puntilla</v>
          </cell>
          <cell r="C87" t="str">
            <v>Lb</v>
          </cell>
          <cell r="D87">
            <v>4</v>
          </cell>
        </row>
        <row r="88">
          <cell r="A88">
            <v>23</v>
          </cell>
          <cell r="B88" t="str">
            <v>Polin</v>
          </cell>
          <cell r="C88" t="str">
            <v>Unid.</v>
          </cell>
          <cell r="D88">
            <v>14</v>
          </cell>
        </row>
        <row r="89">
          <cell r="A89">
            <v>24</v>
          </cell>
          <cell r="B89" t="str">
            <v>Unión de reparación PVC 3" UM</v>
          </cell>
          <cell r="C89" t="str">
            <v>Unid.</v>
          </cell>
          <cell r="D89">
            <v>72</v>
          </cell>
        </row>
        <row r="90">
          <cell r="A90">
            <v>25</v>
          </cell>
          <cell r="B90" t="str">
            <v>Unión de reparación PVC 2" UM</v>
          </cell>
          <cell r="C90" t="str">
            <v>Unid.</v>
          </cell>
          <cell r="D90">
            <v>44</v>
          </cell>
        </row>
        <row r="91">
          <cell r="A91">
            <v>26</v>
          </cell>
          <cell r="B91" t="str">
            <v>Valvula control de 3" sello de bronce</v>
          </cell>
          <cell r="C91" t="str">
            <v>Unid.</v>
          </cell>
          <cell r="D91">
            <v>1360</v>
          </cell>
        </row>
        <row r="92">
          <cell r="A92">
            <v>27</v>
          </cell>
          <cell r="B92" t="str">
            <v>Valvula control de 2" sello de bronce</v>
          </cell>
          <cell r="C92" t="str">
            <v>Unid.</v>
          </cell>
          <cell r="D92">
            <v>1020</v>
          </cell>
        </row>
        <row r="93">
          <cell r="A93">
            <v>28</v>
          </cell>
          <cell r="B93" t="str">
            <v>Hidrante HF tipo Milan de 3"</v>
          </cell>
          <cell r="C93" t="str">
            <v>Unid.</v>
          </cell>
          <cell r="D93">
            <v>4114</v>
          </cell>
        </row>
        <row r="94">
          <cell r="A94">
            <v>29</v>
          </cell>
          <cell r="B94" t="str">
            <v>Tee PVC de 4"x 4"x 3"  UM</v>
          </cell>
          <cell r="C94" t="str">
            <v>Unid.</v>
          </cell>
          <cell r="D94">
            <v>38</v>
          </cell>
        </row>
        <row r="95">
          <cell r="A95">
            <v>30</v>
          </cell>
          <cell r="B95" t="str">
            <v>Tubería PVC RDE 13,5 de 1/2"</v>
          </cell>
          <cell r="C95" t="str">
            <v>Ml</v>
          </cell>
          <cell r="D95">
            <v>5</v>
          </cell>
        </row>
        <row r="96">
          <cell r="A96">
            <v>31</v>
          </cell>
          <cell r="B96" t="str">
            <v>Adaptador macho PVC de 1/2"</v>
          </cell>
          <cell r="C96" t="str">
            <v>Unid.</v>
          </cell>
          <cell r="D96">
            <v>1</v>
          </cell>
        </row>
        <row r="97">
          <cell r="A97">
            <v>32</v>
          </cell>
          <cell r="B97" t="str">
            <v>Adaptador hembra PVC de 1/2"</v>
          </cell>
          <cell r="C97" t="str">
            <v>Unid.</v>
          </cell>
          <cell r="D97">
            <v>1</v>
          </cell>
        </row>
        <row r="98">
          <cell r="A98">
            <v>33</v>
          </cell>
          <cell r="B98" t="str">
            <v>Valvula de bola de 1/2" TP</v>
          </cell>
          <cell r="C98" t="str">
            <v>Unid.</v>
          </cell>
          <cell r="D98">
            <v>16</v>
          </cell>
        </row>
        <row r="99">
          <cell r="A99">
            <v>34</v>
          </cell>
          <cell r="B99" t="str">
            <v>Micromedidor de velocidad de 1/2"</v>
          </cell>
          <cell r="C99" t="str">
            <v>Unid.</v>
          </cell>
          <cell r="D99">
            <v>188</v>
          </cell>
        </row>
        <row r="100">
          <cell r="A100">
            <v>35</v>
          </cell>
          <cell r="B100" t="str">
            <v>Cajilla de cemento para anden</v>
          </cell>
          <cell r="C100" t="str">
            <v>Unid.</v>
          </cell>
          <cell r="D100">
            <v>30</v>
          </cell>
        </row>
        <row r="101">
          <cell r="A101">
            <v>36</v>
          </cell>
          <cell r="B101" t="str">
            <v xml:space="preserve">Tapa HF para cajilla </v>
          </cell>
          <cell r="C101" t="str">
            <v>Unid.</v>
          </cell>
          <cell r="D101">
            <v>30</v>
          </cell>
        </row>
        <row r="102">
          <cell r="A102">
            <v>37</v>
          </cell>
          <cell r="B102" t="str">
            <v>Tee PVC de 3"  US</v>
          </cell>
          <cell r="C102" t="str">
            <v>Unid.</v>
          </cell>
          <cell r="D102">
            <v>38</v>
          </cell>
        </row>
        <row r="103">
          <cell r="A103">
            <v>38</v>
          </cell>
          <cell r="B103" t="str">
            <v>Tee PVC de 2"  US</v>
          </cell>
          <cell r="C103" t="str">
            <v>Unid.</v>
          </cell>
          <cell r="D103">
            <v>38</v>
          </cell>
        </row>
        <row r="104">
          <cell r="A104">
            <v>39</v>
          </cell>
          <cell r="B104" t="str">
            <v>Codo HG de 1/2" X 90</v>
          </cell>
          <cell r="C104" t="str">
            <v>Unid.</v>
          </cell>
          <cell r="D104">
            <v>1</v>
          </cell>
        </row>
        <row r="105">
          <cell r="A105">
            <v>40</v>
          </cell>
          <cell r="B105" t="str">
            <v>Unión HG de 1/2"</v>
          </cell>
          <cell r="C105" t="str">
            <v>Unid.</v>
          </cell>
          <cell r="D105">
            <v>1</v>
          </cell>
        </row>
        <row r="106">
          <cell r="A106">
            <v>41</v>
          </cell>
          <cell r="B106" t="str">
            <v>Llave terminal metalica de 1/2" TP</v>
          </cell>
          <cell r="C106" t="str">
            <v>Unid.</v>
          </cell>
          <cell r="D106">
            <v>31</v>
          </cell>
        </row>
        <row r="107">
          <cell r="A107">
            <v>42</v>
          </cell>
          <cell r="B107" t="str">
            <v>Collar derivador de PVC 3" X 1/2"</v>
          </cell>
          <cell r="C107" t="str">
            <v>Unid.</v>
          </cell>
          <cell r="D107">
            <v>28</v>
          </cell>
        </row>
        <row r="108">
          <cell r="A108">
            <v>43</v>
          </cell>
          <cell r="B108" t="str">
            <v>Collar derivador de PVC 2" X 1/2"</v>
          </cell>
          <cell r="C108" t="str">
            <v>Unid.</v>
          </cell>
          <cell r="D108">
            <v>14</v>
          </cell>
        </row>
        <row r="109">
          <cell r="A109">
            <v>44</v>
          </cell>
          <cell r="B109" t="str">
            <v>Cruz H.F de 3"x 2"</v>
          </cell>
          <cell r="C109" t="str">
            <v>Unid.</v>
          </cell>
          <cell r="D109">
            <v>282</v>
          </cell>
        </row>
        <row r="110">
          <cell r="A110">
            <v>45</v>
          </cell>
          <cell r="B110" t="str">
            <v>Cruz H.F de 3"x 3"</v>
          </cell>
          <cell r="C110" t="str">
            <v>Unid.</v>
          </cell>
          <cell r="D110">
            <v>343</v>
          </cell>
        </row>
        <row r="111">
          <cell r="A111">
            <v>46</v>
          </cell>
          <cell r="B111" t="str">
            <v>Cruz H.F de 2"x 2"</v>
          </cell>
          <cell r="C111" t="str">
            <v>Unid.</v>
          </cell>
          <cell r="D111">
            <v>194</v>
          </cell>
        </row>
        <row r="112">
          <cell r="A112">
            <v>47</v>
          </cell>
          <cell r="B112" t="str">
            <v>Unión de reparación PVC 4" UM</v>
          </cell>
          <cell r="C112" t="str">
            <v>Unid.</v>
          </cell>
          <cell r="D112">
            <v>111</v>
          </cell>
        </row>
        <row r="113">
          <cell r="A113">
            <v>48</v>
          </cell>
        </row>
        <row r="114">
          <cell r="A114">
            <v>49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 val="PRECIOS"/>
      <sheetName val="LOCALIZACION"/>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 val="CUMPLIMIENTO"/>
      <sheetName val="PLACA_FLOTANTE"/>
      <sheetName val="_COLUMNAS_15X20"/>
      <sheetName val="PLACA_e___0_1"/>
      <sheetName val="INS__HIDRAULICA"/>
      <sheetName val="INS__SANITARIAS"/>
      <sheetName val="CAJILLA_INS_"/>
      <sheetName val="MORTERO_1_4"/>
      <sheetName val="CONCRETO_2500"/>
      <sheetName val="CONCRETO_3000"/>
      <sheetName val="PAÑETE_IMPERMEABILIZADO"/>
      <sheetName val="PRESUPUESTO_CAP"/>
      <sheetName val="PRESUPUESTO_VARIAS"/>
      <sheetName val="PRESUPUESTO_VAR__CAP"/>
      <sheetName val="MATERIALES_UNA"/>
      <sheetName val="MATERIALES_TODAS"/>
      <sheetName val="RESUMEN_PRESUPUESTO"/>
      <sheetName val="PLACA_FLOTANTE1"/>
      <sheetName val="_COLUMNAS_15X201"/>
      <sheetName val="PLACA_e___0_11"/>
      <sheetName val="INS__HIDRAULICA1"/>
      <sheetName val="INS__SANITARIAS1"/>
      <sheetName val="CAJILLA_INS_1"/>
      <sheetName val="MORTERO_1_41"/>
      <sheetName val="CONCRETO_25001"/>
      <sheetName val="CONCRETO_30001"/>
      <sheetName val="PAÑETE_IMPERMEABILIZADO1"/>
      <sheetName val="PRESUPUESTO_CAP1"/>
      <sheetName val="PRESUPUESTO_VARIAS1"/>
      <sheetName val="PRESUPUESTO_VAR__CAP1"/>
      <sheetName val="MATERIALES_UNA1"/>
      <sheetName val="MATERIALES_TODAS1"/>
      <sheetName val="RESUMEN_PRESUPUESTO1"/>
      <sheetName val="PLACA_FLOTANTE2"/>
      <sheetName val="_COLUMNAS_15X202"/>
      <sheetName val="PLACA_e___0_12"/>
      <sheetName val="INS__HIDRAULICA2"/>
      <sheetName val="INS__SANITARIAS2"/>
      <sheetName val="CAJILLA_INS_2"/>
      <sheetName val="MORTERO_1_42"/>
      <sheetName val="CONCRETO_25002"/>
      <sheetName val="CONCRETO_30002"/>
      <sheetName val="PAÑETE_IMPERMEABILIZADO2"/>
      <sheetName val="PRESUPUESTO_CAP2"/>
      <sheetName val="PRESUPUESTO_VARIAS2"/>
      <sheetName val="PRESUPUESTO_VAR__CAP2"/>
      <sheetName val="MATERIALES_UNA2"/>
      <sheetName val="MATERIALES_TODAS2"/>
      <sheetName val="RESUMEN_PRESUPUESTO2"/>
      <sheetName val="PLACA_FLOTANTE4"/>
      <sheetName val="_COLUMNAS_15X204"/>
      <sheetName val="PLACA_e___0_14"/>
      <sheetName val="INS__HIDRAULICA4"/>
      <sheetName val="INS__SANITARIAS4"/>
      <sheetName val="CAJILLA_INS_4"/>
      <sheetName val="MORTERO_1_44"/>
      <sheetName val="CONCRETO_25004"/>
      <sheetName val="CONCRETO_30004"/>
      <sheetName val="PAÑETE_IMPERMEABILIZADO4"/>
      <sheetName val="PRESUPUESTO_CAP4"/>
      <sheetName val="PRESUPUESTO_VARIAS4"/>
      <sheetName val="PRESUPUESTO_VAR__CAP4"/>
      <sheetName val="MATERIALES_UNA4"/>
      <sheetName val="MATERIALES_TODAS4"/>
      <sheetName val="RESUMEN_PRESUPUESTO4"/>
      <sheetName val="PLACA_FLOTANTE3"/>
      <sheetName val="_COLUMNAS_15X203"/>
      <sheetName val="PLACA_e___0_13"/>
      <sheetName val="INS__HIDRAULICA3"/>
      <sheetName val="INS__SANITARIAS3"/>
      <sheetName val="CAJILLA_INS_3"/>
      <sheetName val="MORTERO_1_43"/>
      <sheetName val="CONCRETO_25003"/>
      <sheetName val="CONCRETO_30003"/>
      <sheetName val="PAÑETE_IMPERMEABILIZADO3"/>
      <sheetName val="PRESUPUESTO_CAP3"/>
      <sheetName val="PRESUPUESTO_VARIAS3"/>
      <sheetName val="PRESUPUESTO_VAR__CAP3"/>
      <sheetName val="MATERIALES_UNA3"/>
      <sheetName val="MATERIALES_TODAS3"/>
      <sheetName val="RESUMEN_PRESUPUESTO3"/>
      <sheetName val="PLACA_FLOTANTE6"/>
      <sheetName val="_COLUMNAS_15X206"/>
      <sheetName val="PLACA_e___0_16"/>
      <sheetName val="INS__HIDRAULICA6"/>
      <sheetName val="INS__SANITARIAS6"/>
      <sheetName val="CAJILLA_INS_6"/>
      <sheetName val="MORTERO_1_46"/>
      <sheetName val="CONCRETO_25006"/>
      <sheetName val="CONCRETO_30006"/>
      <sheetName val="PAÑETE_IMPERMEABILIZADO6"/>
      <sheetName val="PRESUPUESTO_CAP6"/>
      <sheetName val="PRESUPUESTO_VARIAS6"/>
      <sheetName val="PRESUPUESTO_VAR__CAP6"/>
      <sheetName val="MATERIALES_UNA6"/>
      <sheetName val="MATERIALES_TODAS6"/>
      <sheetName val="RESUMEN_PRESUPUESTO6"/>
      <sheetName val="PLACA_FLOTANTE5"/>
      <sheetName val="_COLUMNAS_15X205"/>
      <sheetName val="PLACA_e___0_15"/>
      <sheetName val="INS__HIDRAULICA5"/>
      <sheetName val="INS__SANITARIAS5"/>
      <sheetName val="CAJILLA_INS_5"/>
      <sheetName val="MORTERO_1_45"/>
      <sheetName val="CONCRETO_25005"/>
      <sheetName val="CONCRETO_30005"/>
      <sheetName val="PAÑETE_IMPERMEABILIZADO5"/>
      <sheetName val="PRESUPUESTO_CAP5"/>
      <sheetName val="PRESUPUESTO_VARIAS5"/>
      <sheetName val="PRESUPUESTO_VAR__CAP5"/>
      <sheetName val="MATERIALES_UNA5"/>
      <sheetName val="MATERIALES_TODAS5"/>
      <sheetName val="RESUMEN_PRESUPUESTO5"/>
      <sheetName val="PLACA_FLOTANTE7"/>
      <sheetName val="_COLUMNAS_15X207"/>
      <sheetName val="PLACA_e___0_17"/>
      <sheetName val="INS__HIDRAULICA7"/>
      <sheetName val="INS__SANITARIAS7"/>
      <sheetName val="CAJILLA_INS_7"/>
      <sheetName val="MORTERO_1_47"/>
      <sheetName val="CONCRETO_25007"/>
      <sheetName val="CONCRETO_30007"/>
      <sheetName val="PAÑETE_IMPERMEABILIZADO7"/>
      <sheetName val="PRESUPUESTO_CAP7"/>
      <sheetName val="PRESUPUESTO_VARIAS7"/>
      <sheetName val="PRESUPUESTO_VAR__CAP7"/>
      <sheetName val="MATERIALES_UNA7"/>
      <sheetName val="MATERIALES_TODAS7"/>
      <sheetName val="RESUMEN_PRESUPUESTO7"/>
      <sheetName val="PLACA_FLOTANTE8"/>
      <sheetName val="_COLUMNAS_15X208"/>
      <sheetName val="PLACA_e___0_18"/>
      <sheetName val="INS__HIDRAULICA8"/>
      <sheetName val="INS__SANITARIAS8"/>
      <sheetName val="CAJILLA_INS_8"/>
      <sheetName val="MORTERO_1_48"/>
      <sheetName val="CONCRETO_25008"/>
      <sheetName val="CONCRETO_30008"/>
      <sheetName val="PAÑETE_IMPERMEABILIZADO8"/>
      <sheetName val="PRESUPUESTO_CAP8"/>
      <sheetName val="PRESUPUESTO_VARIAS8"/>
      <sheetName val="PRESUPUESTO_VAR__CAP8"/>
      <sheetName val="MATERIALES_UNA8"/>
      <sheetName val="MATERIALES_TODAS8"/>
      <sheetName val="RESUMEN_PRESUPUESTO8"/>
      <sheetName val="PLACA_FLOTANTE9"/>
      <sheetName val="_COLUMNAS_15X209"/>
      <sheetName val="PLACA_e___0_19"/>
      <sheetName val="INS__HIDRAULICA9"/>
      <sheetName val="INS__SANITARIAS9"/>
      <sheetName val="CAJILLA_INS_9"/>
      <sheetName val="MORTERO_1_49"/>
      <sheetName val="CONCRETO_25009"/>
      <sheetName val="CONCRETO_30009"/>
      <sheetName val="PAÑETE_IMPERMEABILIZADO9"/>
      <sheetName val="PRESUPUESTO_CAP9"/>
      <sheetName val="PRESUPUESTO_VARIAS9"/>
      <sheetName val="PRESUPUESTO_VAR__CAP9"/>
      <sheetName val="MATERIALES_UNA9"/>
      <sheetName val="MATERIALES_TODAS9"/>
      <sheetName val="RESUMEN_PRESUPUESTO9"/>
    </sheetNames>
    <sheetDataSet>
      <sheetData sheetId="0">
        <row r="16">
          <cell r="B16" t="str">
            <v>NOMBRE DEL PROYECTO</v>
          </cell>
          <cell r="C16" t="str">
            <v>No DE BATERIAS</v>
          </cell>
        </row>
        <row r="17">
          <cell r="A17">
            <v>1</v>
          </cell>
          <cell r="B17" t="str">
            <v>CONSTRUCCION SISTEMA DE ALCANTARILLADO SANITARIO, VEREDA LA ESCALERETA, MUNICIPIO DEL AGRADO - HUILA</v>
          </cell>
          <cell r="C17">
            <v>50</v>
          </cell>
        </row>
      </sheetData>
      <sheetData sheetId="1">
        <row r="1">
          <cell r="B1">
            <v>0</v>
          </cell>
        </row>
        <row r="2">
          <cell r="B2">
            <v>7.0000000000000007E-2</v>
          </cell>
        </row>
        <row r="8">
          <cell r="B8">
            <v>0.02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 val="PRESUPUESTO"/>
      <sheetName val="BD"/>
      <sheetName val="CANTIDADES DE OBRA"/>
      <sheetName val="PVC_BOC_4&quot;_"/>
      <sheetName val="PTE_IMP_Y_ESMALT"/>
      <sheetName val="CTO_BOCA_300_PSI"/>
      <sheetName val="CTO_CICLOP_"/>
      <sheetName val="AC_3_D_8&quot;"/>
      <sheetName val="AC_1_D_2"/>
      <sheetName val="AC_5_D_8"/>
      <sheetName val="ADAPTADOR_4&quot;"/>
      <sheetName val="VAL_CORT_4"/>
      <sheetName val="UN_ION_4&quot;"/>
      <sheetName val="SUMINISTRO_TUB_4"/>
      <sheetName val="INSTALACION_TUB_4&quot;"/>
      <sheetName val="INST_TUB_3&quot;"/>
      <sheetName val="INST_TUB_2_1,2_-_2&quot;"/>
      <sheetName val="INST_TUB_1_1,2&quot;_-_1_1,4&quot;"/>
      <sheetName val="INST_TUB_1&quot;_-_3,4&quot;"/>
      <sheetName val="INST_TUB_1,2&quot;"/>
      <sheetName val="localizacion_des"/>
      <sheetName val="CTO_DESAR"/>
      <sheetName val="CTO_2000PSI_SOLADO"/>
      <sheetName val="280000_Crude"/>
      <sheetName val="CANTIDADES_DE_OBRA"/>
      <sheetName val="PVC_BOC_4&quot;_1"/>
      <sheetName val="PTE_IMP_Y_ESMALT1"/>
      <sheetName val="CTO_BOCA_300_PSI1"/>
      <sheetName val="CTO_CICLOP_1"/>
      <sheetName val="AC_3_D_8&quot;1"/>
      <sheetName val="AC_1_D_21"/>
      <sheetName val="AC_5_D_81"/>
      <sheetName val="ADAPTADOR_4&quot;1"/>
      <sheetName val="VAL_CORT_41"/>
      <sheetName val="UN_ION_4&quot;1"/>
      <sheetName val="SUMINISTRO_TUB_41"/>
      <sheetName val="INSTALACION_TUB_4&quot;1"/>
      <sheetName val="INST_TUB_3&quot;1"/>
      <sheetName val="INST_TUB_2_1,2_-_2&quot;1"/>
      <sheetName val="INST_TUB_1_1,2&quot;_-_1_1,4&quot;1"/>
      <sheetName val="INST_TUB_1&quot;_-_3,4&quot;1"/>
      <sheetName val="INST_TUB_1,2&quot;1"/>
      <sheetName val="localizacion_des1"/>
      <sheetName val="CTO_DESAR1"/>
      <sheetName val="CTO_2000PSI_SOLADO1"/>
      <sheetName val="280000_Crude1"/>
      <sheetName val="CANTIDADES_DE_OBRA1"/>
      <sheetName val="PVC_BOC_4&quot;_2"/>
      <sheetName val="PTE_IMP_Y_ESMALT2"/>
      <sheetName val="CTO_BOCA_300_PSI2"/>
      <sheetName val="CTO_CICLOP_2"/>
      <sheetName val="AC_3_D_8&quot;2"/>
      <sheetName val="AC_1_D_22"/>
      <sheetName val="AC_5_D_82"/>
      <sheetName val="ADAPTADOR_4&quot;2"/>
      <sheetName val="VAL_CORT_42"/>
      <sheetName val="UN_ION_4&quot;2"/>
      <sheetName val="SUMINISTRO_TUB_42"/>
      <sheetName val="INSTALACION_TUB_4&quot;2"/>
      <sheetName val="INST_TUB_3&quot;2"/>
      <sheetName val="INST_TUB_2_1,2_-_2&quot;2"/>
      <sheetName val="INST_TUB_1_1,2&quot;_-_1_1,4&quot;2"/>
      <sheetName val="INST_TUB_1&quot;_-_3,4&quot;2"/>
      <sheetName val="INST_TUB_1,2&quot;2"/>
      <sheetName val="localizacion_des2"/>
      <sheetName val="CTO_DESAR2"/>
      <sheetName val="CTO_2000PSI_SOLADO2"/>
      <sheetName val="280000_Crude2"/>
      <sheetName val="CANTIDADES_DE_OBRA2"/>
      <sheetName val="CONTENIDO GENERAL"/>
      <sheetName val="A.P.U."/>
      <sheetName val="ANALISIS BASICOS"/>
      <sheetName val="$MATERIALES"/>
      <sheetName val="EQUIPO"/>
      <sheetName val="PERSONAL"/>
      <sheetName val="C"/>
      <sheetName val="PVC_BOC_4&quot;_4"/>
      <sheetName val="PTE_IMP_Y_ESMALT4"/>
      <sheetName val="CTO_BOCA_300_PSI4"/>
      <sheetName val="CTO_CICLOP_4"/>
      <sheetName val="AC_3_D_8&quot;4"/>
      <sheetName val="AC_1_D_24"/>
      <sheetName val="AC_5_D_84"/>
      <sheetName val="ADAPTADOR_4&quot;4"/>
      <sheetName val="VAL_CORT_44"/>
      <sheetName val="UN_ION_4&quot;4"/>
      <sheetName val="SUMINISTRO_TUB_44"/>
      <sheetName val="INSTALACION_TUB_4&quot;4"/>
      <sheetName val="INST_TUB_3&quot;4"/>
      <sheetName val="INST_TUB_2_1,2_-_2&quot;4"/>
      <sheetName val="INST_TUB_1_1,2&quot;_-_1_1,4&quot;4"/>
      <sheetName val="INST_TUB_1&quot;_-_3,4&quot;4"/>
      <sheetName val="INST_TUB_1,2&quot;4"/>
      <sheetName val="localizacion_des4"/>
      <sheetName val="CTO_DESAR4"/>
      <sheetName val="CTO_2000PSI_SOLADO4"/>
      <sheetName val="280000_Crude4"/>
      <sheetName val="CANTIDADES_DE_OBRA4"/>
      <sheetName val="PVC_BOC_4&quot;_3"/>
      <sheetName val="PTE_IMP_Y_ESMALT3"/>
      <sheetName val="CTO_BOCA_300_PSI3"/>
      <sheetName val="CTO_CICLOP_3"/>
      <sheetName val="AC_3_D_8&quot;3"/>
      <sheetName val="AC_1_D_23"/>
      <sheetName val="AC_5_D_83"/>
      <sheetName val="ADAPTADOR_4&quot;3"/>
      <sheetName val="VAL_CORT_43"/>
      <sheetName val="UN_ION_4&quot;3"/>
      <sheetName val="SUMINISTRO_TUB_43"/>
      <sheetName val="INSTALACION_TUB_4&quot;3"/>
      <sheetName val="INST_TUB_3&quot;3"/>
      <sheetName val="INST_TUB_2_1,2_-_2&quot;3"/>
      <sheetName val="INST_TUB_1_1,2&quot;_-_1_1,4&quot;3"/>
      <sheetName val="INST_TUB_1&quot;_-_3,4&quot;3"/>
      <sheetName val="INST_TUB_1,2&quot;3"/>
      <sheetName val="localizacion_des3"/>
      <sheetName val="CTO_DESAR3"/>
      <sheetName val="CTO_2000PSI_SOLADO3"/>
      <sheetName val="280000_Crude3"/>
      <sheetName val="CANTIDADES_DE_OBRA3"/>
      <sheetName val="5.2"/>
    </sheetNames>
    <sheetDataSet>
      <sheetData sheetId="0" refreshError="1">
        <row r="1">
          <cell r="A1">
            <v>1</v>
          </cell>
          <cell r="B1" t="str">
            <v>PISOS</v>
          </cell>
        </row>
        <row r="2">
          <cell r="A2" t="str">
            <v>Tipo Andes</v>
          </cell>
          <cell r="D2" t="str">
            <v>PRECIO</v>
          </cell>
        </row>
        <row r="3">
          <cell r="A3" t="str">
            <v>TERRA</v>
          </cell>
          <cell r="B3" t="str">
            <v>40x40cm</v>
          </cell>
          <cell r="C3" t="str">
            <v>1.60 M2</v>
          </cell>
          <cell r="G3" t="str">
            <v>45x45cm</v>
          </cell>
        </row>
        <row r="4">
          <cell r="A4" t="str">
            <v>EUCALIPTUS</v>
          </cell>
          <cell r="B4" t="str">
            <v>40x40cm</v>
          </cell>
          <cell r="C4" t="str">
            <v>1.60 M2</v>
          </cell>
        </row>
        <row r="5">
          <cell r="A5" t="str">
            <v>GLACIER</v>
          </cell>
          <cell r="B5" t="str">
            <v>40x40cm</v>
          </cell>
          <cell r="C5" t="str">
            <v>1.60 M2</v>
          </cell>
          <cell r="F5" t="str">
            <v>SHELL</v>
          </cell>
          <cell r="G5" t="str">
            <v>45x45cm</v>
          </cell>
        </row>
        <row r="6">
          <cell r="A6" t="str">
            <v>SIERRA</v>
          </cell>
          <cell r="B6" t="str">
            <v>40x40cm</v>
          </cell>
          <cell r="C6" t="str">
            <v>1.60 M2</v>
          </cell>
          <cell r="F6" t="str">
            <v>CORAL</v>
          </cell>
          <cell r="G6" t="str">
            <v>45x45cm</v>
          </cell>
        </row>
        <row r="8">
          <cell r="A8" t="str">
            <v>TIPO PONPEY</v>
          </cell>
          <cell r="D8" t="str">
            <v>PRECIO</v>
          </cell>
        </row>
        <row r="9">
          <cell r="A9" t="str">
            <v>AGATA</v>
          </cell>
          <cell r="B9" t="str">
            <v>45x45cm</v>
          </cell>
          <cell r="C9" t="str">
            <v>1.62 M2</v>
          </cell>
          <cell r="G9" t="str">
            <v>45x45cm</v>
          </cell>
        </row>
        <row r="10">
          <cell r="A10" t="str">
            <v>PERLA</v>
          </cell>
          <cell r="B10" t="str">
            <v>45x45cm</v>
          </cell>
          <cell r="C10" t="str">
            <v>1.62 M2</v>
          </cell>
          <cell r="G10" t="str">
            <v>45x45cm</v>
          </cell>
        </row>
        <row r="11">
          <cell r="A11" t="str">
            <v>SHELL</v>
          </cell>
          <cell r="B11" t="str">
            <v>45x45cm</v>
          </cell>
          <cell r="C11" t="str">
            <v>1.62 M2</v>
          </cell>
        </row>
        <row r="12">
          <cell r="A12" t="str">
            <v>CORAL</v>
          </cell>
          <cell r="B12" t="str">
            <v>45x45cm</v>
          </cell>
          <cell r="C12" t="str">
            <v>1.62 M2</v>
          </cell>
        </row>
        <row r="14">
          <cell r="A14" t="str">
            <v>TIP. PIEDRA CID</v>
          </cell>
          <cell r="D14" t="str">
            <v>PRECIO</v>
          </cell>
        </row>
        <row r="15">
          <cell r="A15" t="str">
            <v>DESERTSTONE</v>
          </cell>
          <cell r="B15" t="str">
            <v>45x45cm</v>
          </cell>
          <cell r="C15" t="str">
            <v>1.62 M2</v>
          </cell>
        </row>
        <row r="16">
          <cell r="A16" t="str">
            <v>CANYORED</v>
          </cell>
          <cell r="B16" t="str">
            <v>45x45cm</v>
          </cell>
          <cell r="C16" t="str">
            <v>1.62 M2</v>
          </cell>
        </row>
        <row r="17">
          <cell r="A17" t="str">
            <v>RIVERSAND</v>
          </cell>
          <cell r="B17" t="str">
            <v>45x45cm</v>
          </cell>
          <cell r="C17" t="str">
            <v>1.62 M2</v>
          </cell>
        </row>
        <row r="19">
          <cell r="A19" t="str">
            <v>ANTIQUE</v>
          </cell>
          <cell r="D19" t="str">
            <v>PRECIO</v>
          </cell>
        </row>
        <row r="20">
          <cell r="A20" t="str">
            <v>NOCE</v>
          </cell>
          <cell r="B20" t="str">
            <v>15 x15cm</v>
          </cell>
          <cell r="C20" t="str">
            <v>1.08 M2</v>
          </cell>
        </row>
        <row r="21">
          <cell r="B21" t="str">
            <v>30x30cm</v>
          </cell>
          <cell r="C21" t="str">
            <v>1.44 M2</v>
          </cell>
        </row>
        <row r="22">
          <cell r="B22" t="str">
            <v>40x40cm</v>
          </cell>
          <cell r="C22" t="str">
            <v>1.60 M2</v>
          </cell>
        </row>
        <row r="23">
          <cell r="A23" t="str">
            <v>BLANCO</v>
          </cell>
          <cell r="B23" t="str">
            <v>15 x15cm</v>
          </cell>
          <cell r="C23" t="str">
            <v>1.08 M2</v>
          </cell>
        </row>
        <row r="24">
          <cell r="B24" t="str">
            <v>30x30cm</v>
          </cell>
          <cell r="C24" t="str">
            <v>1.44 M2</v>
          </cell>
        </row>
        <row r="25">
          <cell r="B25" t="str">
            <v>40x40cm</v>
          </cell>
          <cell r="C25" t="str">
            <v>1.60 M2</v>
          </cell>
        </row>
        <row r="26">
          <cell r="A26" t="str">
            <v>BEIGE</v>
          </cell>
          <cell r="B26" t="str">
            <v>15 x15cm</v>
          </cell>
          <cell r="C26" t="str">
            <v>1.08 M2</v>
          </cell>
        </row>
        <row r="27">
          <cell r="B27" t="str">
            <v>30x30cm</v>
          </cell>
          <cell r="C27" t="str">
            <v>1.44 M2</v>
          </cell>
        </row>
        <row r="28">
          <cell r="B28" t="str">
            <v>40x40cm</v>
          </cell>
          <cell r="C28" t="str">
            <v>1.60 M2</v>
          </cell>
        </row>
        <row r="29">
          <cell r="A29" t="str">
            <v>TAUPE</v>
          </cell>
          <cell r="B29" t="str">
            <v>15 x15cm</v>
          </cell>
          <cell r="C29" t="str">
            <v>1.08 M2</v>
          </cell>
        </row>
        <row r="30">
          <cell r="B30" t="str">
            <v>30x30cm</v>
          </cell>
          <cell r="C30" t="str">
            <v>1.44 M2</v>
          </cell>
        </row>
        <row r="31">
          <cell r="B31" t="str">
            <v>40x40cm</v>
          </cell>
          <cell r="C31" t="str">
            <v>1.60 M2</v>
          </cell>
        </row>
        <row r="33">
          <cell r="A33" t="str">
            <v>BOTICCINO</v>
          </cell>
          <cell r="D33" t="str">
            <v>PRECIO</v>
          </cell>
        </row>
        <row r="34">
          <cell r="A34" t="str">
            <v>BEIGE</v>
          </cell>
          <cell r="B34" t="str">
            <v>30x30cm</v>
          </cell>
          <cell r="C34" t="str">
            <v>1.44 M2</v>
          </cell>
        </row>
        <row r="35">
          <cell r="B35" t="str">
            <v>40x40cm</v>
          </cell>
          <cell r="C35" t="str">
            <v>1.60 M2</v>
          </cell>
        </row>
        <row r="36">
          <cell r="A36" t="str">
            <v>CAFÉ</v>
          </cell>
          <cell r="B36" t="str">
            <v>30x30cm</v>
          </cell>
          <cell r="C36" t="str">
            <v>1.44 M2</v>
          </cell>
        </row>
        <row r="37">
          <cell r="B37" t="str">
            <v>40x40cm</v>
          </cell>
          <cell r="C37" t="str">
            <v>1.60 M2</v>
          </cell>
        </row>
        <row r="38">
          <cell r="A38" t="str">
            <v>ALMENDRA</v>
          </cell>
          <cell r="B38" t="str">
            <v>30x30cm</v>
          </cell>
          <cell r="C38" t="str">
            <v>1.44 M2</v>
          </cell>
        </row>
        <row r="39">
          <cell r="B39" t="str">
            <v>40x40cm</v>
          </cell>
          <cell r="C39" t="str">
            <v>1.60 M2</v>
          </cell>
        </row>
        <row r="41">
          <cell r="A41" t="str">
            <v>MARMOLIZADO MATE</v>
          </cell>
          <cell r="D41" t="str">
            <v>PRECIO</v>
          </cell>
        </row>
        <row r="42">
          <cell r="A42" t="str">
            <v>GRIS</v>
          </cell>
          <cell r="B42" t="str">
            <v>30x30cm</v>
          </cell>
          <cell r="C42" t="str">
            <v>1.44 M2</v>
          </cell>
        </row>
        <row r="43">
          <cell r="B43" t="str">
            <v>40x40cm</v>
          </cell>
          <cell r="C43" t="str">
            <v>1.60 M2</v>
          </cell>
        </row>
        <row r="44">
          <cell r="A44" t="str">
            <v>BEIGE</v>
          </cell>
          <cell r="B44" t="str">
            <v>30x30cm</v>
          </cell>
          <cell r="C44" t="str">
            <v>1.44 M2</v>
          </cell>
        </row>
        <row r="45">
          <cell r="B45" t="str">
            <v>40x40cm</v>
          </cell>
          <cell r="C45" t="str">
            <v>1.60 M2</v>
          </cell>
        </row>
        <row r="46">
          <cell r="A46" t="str">
            <v>VERONA</v>
          </cell>
          <cell r="B46" t="str">
            <v>30x30cm</v>
          </cell>
          <cell r="C46" t="str">
            <v>1.44 M2</v>
          </cell>
        </row>
        <row r="47">
          <cell r="B47" t="str">
            <v>40x40cm</v>
          </cell>
          <cell r="C47" t="str">
            <v>1.60 M2</v>
          </cell>
        </row>
        <row r="49">
          <cell r="A49" t="str">
            <v>GRANILLA</v>
          </cell>
          <cell r="D49" t="str">
            <v>PRECIO</v>
          </cell>
        </row>
        <row r="50">
          <cell r="A50" t="str">
            <v>GRIS</v>
          </cell>
          <cell r="B50" t="str">
            <v>30x30cm</v>
          </cell>
          <cell r="C50" t="str">
            <v>1.44 M2</v>
          </cell>
        </row>
        <row r="51">
          <cell r="A51" t="str">
            <v>NEGRO</v>
          </cell>
          <cell r="B51" t="str">
            <v>30x30cm</v>
          </cell>
          <cell r="C51" t="str">
            <v>1.44 M2</v>
          </cell>
        </row>
        <row r="52">
          <cell r="A52" t="str">
            <v>BLANCO</v>
          </cell>
          <cell r="B52" t="str">
            <v>30x30cm</v>
          </cell>
          <cell r="C52" t="str">
            <v>1.44 M2</v>
          </cell>
        </row>
        <row r="54">
          <cell r="A54" t="str">
            <v>ECOCERAMICA</v>
          </cell>
          <cell r="D54" t="str">
            <v>PRECIO</v>
          </cell>
        </row>
        <row r="55">
          <cell r="A55" t="str">
            <v>CREMA</v>
          </cell>
          <cell r="B55" t="str">
            <v>20x20cm</v>
          </cell>
          <cell r="C55" t="str">
            <v>1.60 M2</v>
          </cell>
        </row>
        <row r="56">
          <cell r="A56" t="str">
            <v>AZUL CIELO</v>
          </cell>
          <cell r="B56" t="str">
            <v>20x20cm</v>
          </cell>
          <cell r="C56" t="str">
            <v>1.60 M2</v>
          </cell>
        </row>
        <row r="57">
          <cell r="A57" t="str">
            <v>PISTACHO</v>
          </cell>
          <cell r="B57" t="str">
            <v>20x20cm</v>
          </cell>
          <cell r="C57" t="str">
            <v>1.60 M2</v>
          </cell>
        </row>
        <row r="58">
          <cell r="A58" t="str">
            <v>BLANCO</v>
          </cell>
          <cell r="B58" t="str">
            <v>20x20cm</v>
          </cell>
          <cell r="C58" t="str">
            <v>1.60 M2</v>
          </cell>
        </row>
        <row r="60">
          <cell r="A60" t="str">
            <v>DUROTECH</v>
          </cell>
          <cell r="D60" t="str">
            <v>PRECIO</v>
          </cell>
        </row>
        <row r="61">
          <cell r="A61" t="str">
            <v>BLANCO</v>
          </cell>
          <cell r="B61" t="str">
            <v>20x20cm</v>
          </cell>
          <cell r="C61" t="str">
            <v>1.60 M2</v>
          </cell>
        </row>
        <row r="62">
          <cell r="A62" t="str">
            <v>GRIS</v>
          </cell>
          <cell r="B62" t="str">
            <v>20x20cm</v>
          </cell>
          <cell r="C62" t="str">
            <v>1.60 M2</v>
          </cell>
        </row>
        <row r="63">
          <cell r="A63" t="str">
            <v>AZUL</v>
          </cell>
          <cell r="B63" t="str">
            <v>20x20cm</v>
          </cell>
          <cell r="C63" t="str">
            <v>1.60 M2</v>
          </cell>
        </row>
        <row r="69">
          <cell r="A69">
            <v>2</v>
          </cell>
          <cell r="B69" t="str">
            <v>ENCHAPES</v>
          </cell>
        </row>
        <row r="71">
          <cell r="A71" t="str">
            <v>FERRARA</v>
          </cell>
          <cell r="D71" t="str">
            <v>PRECIO</v>
          </cell>
        </row>
        <row r="72">
          <cell r="A72" t="str">
            <v>CAFÉ</v>
          </cell>
          <cell r="B72" t="str">
            <v>20x30</v>
          </cell>
          <cell r="C72" t="str">
            <v>1.60 M2</v>
          </cell>
        </row>
        <row r="73">
          <cell r="A73" t="str">
            <v>BLANCO</v>
          </cell>
          <cell r="B73" t="str">
            <v>20x30</v>
          </cell>
          <cell r="C73" t="str">
            <v>1.60 M2</v>
          </cell>
        </row>
        <row r="75">
          <cell r="A75" t="str">
            <v>SICILIA</v>
          </cell>
          <cell r="D75" t="str">
            <v>PRECIO</v>
          </cell>
        </row>
        <row r="76">
          <cell r="A76" t="str">
            <v>GRIS</v>
          </cell>
          <cell r="B76" t="str">
            <v>20x30</v>
          </cell>
          <cell r="C76" t="str">
            <v>1.80 M2</v>
          </cell>
        </row>
        <row r="77">
          <cell r="A77" t="str">
            <v>CAFÉ</v>
          </cell>
          <cell r="B77" t="str">
            <v>20x30</v>
          </cell>
          <cell r="C77" t="str">
            <v>1.80 M2</v>
          </cell>
        </row>
        <row r="78">
          <cell r="A78" t="str">
            <v>VERDE</v>
          </cell>
          <cell r="B78" t="str">
            <v>20x30</v>
          </cell>
          <cell r="C78" t="str">
            <v>1.80 M2</v>
          </cell>
        </row>
        <row r="87">
          <cell r="A87">
            <v>3</v>
          </cell>
          <cell r="B87" t="str">
            <v>CONBINACION PISO Y ENCHAPE</v>
          </cell>
        </row>
        <row r="89">
          <cell r="A89" t="str">
            <v>MEDITERRANEO</v>
          </cell>
        </row>
        <row r="90">
          <cell r="A90" t="str">
            <v>Pared:</v>
          </cell>
          <cell r="C90" t="str">
            <v>Pared:</v>
          </cell>
        </row>
        <row r="91">
          <cell r="A91" t="str">
            <v>Mediterráneo pared coral y menta</v>
          </cell>
          <cell r="C91" t="str">
            <v>Mediterráneo pared azul celeste y vinotinto</v>
          </cell>
        </row>
        <row r="92">
          <cell r="A92" t="str">
            <v>Piso:</v>
          </cell>
          <cell r="C92" t="str">
            <v>Piso:</v>
          </cell>
        </row>
        <row r="93">
          <cell r="A93" t="str">
            <v>Mediterráneo menta</v>
          </cell>
          <cell r="C93" t="str">
            <v>Mediterráneo azul celeste</v>
          </cell>
        </row>
        <row r="95">
          <cell r="A95" t="str">
            <v>Pared:</v>
          </cell>
          <cell r="C95" t="str">
            <v>Pared:</v>
          </cell>
        </row>
        <row r="96">
          <cell r="A96" t="str">
            <v>Mediterráneo pared amarillo y verde</v>
          </cell>
          <cell r="C96" t="str">
            <v>Mediterráneo pared vinotinto y blanco</v>
          </cell>
        </row>
        <row r="97">
          <cell r="A97" t="str">
            <v>Piso:</v>
          </cell>
          <cell r="C97" t="str">
            <v>Piso:</v>
          </cell>
        </row>
        <row r="98">
          <cell r="A98" t="str">
            <v>Mediterráneo amarillo</v>
          </cell>
          <cell r="C98" t="str">
            <v>Mediterráneo vinotinto y menta</v>
          </cell>
        </row>
        <row r="100">
          <cell r="A100" t="str">
            <v>Pared:</v>
          </cell>
          <cell r="C100" t="str">
            <v>Pared:</v>
          </cell>
        </row>
        <row r="101">
          <cell r="A101" t="str">
            <v>Mediterráneo pared verde y azul celeste</v>
          </cell>
          <cell r="C101" t="str">
            <v>Mediterráneo pared azul celeste y verde</v>
          </cell>
        </row>
        <row r="102">
          <cell r="A102" t="str">
            <v>Piso:</v>
          </cell>
          <cell r="C102" t="str">
            <v>Piso:</v>
          </cell>
        </row>
        <row r="103">
          <cell r="A103" t="str">
            <v xml:space="preserve">Gres </v>
          </cell>
          <cell r="C103" t="str">
            <v>Mediterráneo azul</v>
          </cell>
        </row>
        <row r="128">
          <cell r="A128" t="str">
            <v>CENEFAS</v>
          </cell>
        </row>
        <row r="129">
          <cell r="A129" t="str">
            <v>CENEFA CREMA MARFIL LIGHT</v>
          </cell>
          <cell r="C129" t="str">
            <v>14.5 x40cm</v>
          </cell>
          <cell r="D129" t="str">
            <v>Unidad</v>
          </cell>
        </row>
        <row r="130">
          <cell r="A130" t="str">
            <v>ESQUINERO CREMA MARFIL LIGHT</v>
          </cell>
          <cell r="C130" t="str">
            <v>14.5 x14.5cm</v>
          </cell>
          <cell r="D130" t="str">
            <v>Unidad</v>
          </cell>
        </row>
        <row r="131">
          <cell r="A131" t="str">
            <v>CENEFA CREMA MARFIL</v>
          </cell>
          <cell r="C131" t="str">
            <v>14.5 x40cm</v>
          </cell>
          <cell r="D131" t="str">
            <v>Unidad</v>
          </cell>
        </row>
        <row r="132">
          <cell r="A132" t="str">
            <v>ESQUINERO CREMA MARFIL</v>
          </cell>
          <cell r="C132" t="str">
            <v>14.5 x14.5cm</v>
          </cell>
          <cell r="D132" t="str">
            <v>Unidad</v>
          </cell>
        </row>
        <row r="133">
          <cell r="A133" t="str">
            <v>CENEFA ALABASTRO</v>
          </cell>
          <cell r="C133" t="str">
            <v>10.5 x40cm</v>
          </cell>
          <cell r="D133" t="str">
            <v>Unidad</v>
          </cell>
        </row>
        <row r="134">
          <cell r="A134" t="str">
            <v>ESQUINERO ALABASTRO</v>
          </cell>
          <cell r="C134" t="str">
            <v>10.5 x10.5cm</v>
          </cell>
          <cell r="D134" t="str">
            <v>Unidad</v>
          </cell>
        </row>
        <row r="186">
          <cell r="A186" t="str">
            <v>PIEZAS ESPECIALES</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16">
          <cell r="B16" t="str">
            <v>NOMBRE DEL PROYECTO</v>
          </cell>
        </row>
      </sheetData>
      <sheetData sheetId="28"/>
      <sheetData sheetId="29"/>
      <sheetData sheetId="30"/>
      <sheetData sheetId="31">
        <row r="16">
          <cell r="B16" t="str">
            <v>NOMBRE DEL PROYECTO</v>
          </cell>
        </row>
      </sheetData>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 val="TOVFEB."/>
      <sheetName val="GCB2000"/>
      <sheetName val="Hoja1"/>
      <sheetName val="%programado"/>
      <sheetName val="precios"/>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 sheetId="2" refreshError="1"/>
      <sheetData sheetId="3" refreshError="1"/>
      <sheetData sheetId="4" refreshError="1"/>
      <sheetData sheetId="5" refreshError="1"/>
      <sheetData sheetId="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Hoja1"/>
      <sheetName val="PREC-BASE"/>
    </sheetNames>
    <sheetDataSet>
      <sheetData sheetId="0" refreshError="1"/>
      <sheetData sheetId="1" refreshError="1">
        <row r="199">
          <cell r="J199">
            <v>267040</v>
          </cell>
        </row>
        <row r="251">
          <cell r="J251">
            <v>681180</v>
          </cell>
        </row>
      </sheetData>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t="str">
            <v/>
          </cell>
          <cell r="J22">
            <v>0.96599999999999997</v>
          </cell>
        </row>
        <row r="23">
          <cell r="H23" t="str">
            <v/>
          </cell>
        </row>
        <row r="24">
          <cell r="H24" t="str">
            <v/>
          </cell>
        </row>
        <row r="25">
          <cell r="H25" t="str">
            <v/>
          </cell>
        </row>
        <row r="26">
          <cell r="H26" t="str">
            <v/>
          </cell>
        </row>
        <row r="27">
          <cell r="H27" t="str">
            <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ias"/>
      <sheetName val="COTAS VIA - POL"/>
      <sheetName val="RRRRRRRRRR"/>
      <sheetName val="Hoja2"/>
      <sheetName val="ESTADO RED"/>
      <sheetName val="CARRETERAS"/>
      <sheetName val="GENERALIDADES "/>
      <sheetName val="COTAS_VIA_-_POL"/>
      <sheetName val="ESTADO_RED"/>
      <sheetName val="GENERALIDADES_"/>
      <sheetName val="COTAS_VIA_-_POL1"/>
      <sheetName val="ESTADO_RED1"/>
      <sheetName val="GENERALIDADES_1"/>
      <sheetName val="COTAS_VIA_-_POL2"/>
      <sheetName val="ESTADO_RED2"/>
      <sheetName val="GENERALIDADES_2"/>
      <sheetName val="COTAS_VIA_-_POL4"/>
      <sheetName val="ESTADO_RED4"/>
      <sheetName val="GENERALIDADES_4"/>
      <sheetName val="COTAS_VIA_-_POL3"/>
      <sheetName val="ESTADO_RED3"/>
      <sheetName val="GENERALIDADES_3"/>
      <sheetName val="COTAS_VIA_-_POL6"/>
      <sheetName val="ESTADO_RED6"/>
      <sheetName val="GENERALIDADES_6"/>
      <sheetName val="COTAS_VIA_-_POL5"/>
      <sheetName val="ESTADO_RED5"/>
      <sheetName val="GENERALIDADES_5"/>
      <sheetName val="COTAS_VIA_-_POL7"/>
      <sheetName val="ESTADO_RED7"/>
      <sheetName val="GENERALIDADES_7"/>
      <sheetName val="COTAS_VIA_-_POL8"/>
      <sheetName val="ESTADO_RED8"/>
      <sheetName val="GENERALIDADES_8"/>
      <sheetName val="COTAS_VIA_-_POL9"/>
      <sheetName val="ESTADO_RED9"/>
      <sheetName val="GENERALIDADES_9"/>
    </sheetNames>
    <sheetDataSet>
      <sheetData sheetId="0"/>
      <sheetData sheetId="1"/>
      <sheetData sheetId="2">
        <row r="2">
          <cell r="A2">
            <v>0</v>
          </cell>
          <cell r="B2">
            <v>0</v>
          </cell>
          <cell r="C2">
            <v>0</v>
          </cell>
          <cell r="D2">
            <v>0</v>
          </cell>
          <cell r="E2">
            <v>0</v>
          </cell>
        </row>
        <row r="3">
          <cell r="A3">
            <v>0.01</v>
          </cell>
          <cell r="B3">
            <v>0.29199999999999998</v>
          </cell>
          <cell r="C3">
            <v>9.1999999999999998E-2</v>
          </cell>
          <cell r="D3">
            <v>0.23899999999999999</v>
          </cell>
          <cell r="E3">
            <v>4.1000000000000002E-2</v>
          </cell>
        </row>
        <row r="4">
          <cell r="A4">
            <v>0.02</v>
          </cell>
          <cell r="B4">
            <v>0.36199999999999999</v>
          </cell>
          <cell r="C4">
            <v>0.124</v>
          </cell>
          <cell r="D4">
            <v>0.315</v>
          </cell>
          <cell r="E4">
            <v>6.7000000000000004E-2</v>
          </cell>
        </row>
        <row r="5">
          <cell r="A5">
            <v>0.03</v>
          </cell>
          <cell r="B5">
            <v>0.4</v>
          </cell>
          <cell r="C5">
            <v>0.14799999999999999</v>
          </cell>
          <cell r="D5">
            <v>0.37</v>
          </cell>
          <cell r="E5">
            <v>8.5999999999999993E-2</v>
          </cell>
        </row>
        <row r="6">
          <cell r="A6">
            <v>0.04</v>
          </cell>
          <cell r="B6">
            <v>0.42699999999999999</v>
          </cell>
          <cell r="C6">
            <v>0.16500000000000001</v>
          </cell>
          <cell r="D6">
            <v>0.41</v>
          </cell>
          <cell r="E6">
            <v>0.10199999999999999</v>
          </cell>
        </row>
        <row r="7">
          <cell r="A7">
            <v>0.05</v>
          </cell>
          <cell r="B7">
            <v>0.45300000000000001</v>
          </cell>
          <cell r="C7">
            <v>0.182</v>
          </cell>
          <cell r="D7">
            <v>0.44900000000000001</v>
          </cell>
          <cell r="E7">
            <v>0.11600000000000001</v>
          </cell>
        </row>
        <row r="8">
          <cell r="A8">
            <v>0.06</v>
          </cell>
          <cell r="B8">
            <v>0.47299999999999998</v>
          </cell>
          <cell r="C8">
            <v>0.19600000000000001</v>
          </cell>
          <cell r="D8">
            <v>0.48099999999999998</v>
          </cell>
          <cell r="E8">
            <v>0.128</v>
          </cell>
        </row>
        <row r="9">
          <cell r="A9">
            <v>7.0000000000000007E-2</v>
          </cell>
          <cell r="B9">
            <v>0.49199999999999999</v>
          </cell>
          <cell r="C9">
            <v>0.21</v>
          </cell>
          <cell r="D9">
            <v>0.51</v>
          </cell>
          <cell r="E9">
            <v>0.14000000000000001</v>
          </cell>
        </row>
        <row r="10">
          <cell r="A10">
            <v>0.08</v>
          </cell>
          <cell r="B10">
            <v>0.505</v>
          </cell>
          <cell r="C10">
            <v>0.22</v>
          </cell>
          <cell r="D10">
            <v>0.53</v>
          </cell>
          <cell r="E10">
            <v>0.151</v>
          </cell>
        </row>
        <row r="11">
          <cell r="A11">
            <v>0.09</v>
          </cell>
          <cell r="B11">
            <v>0.52</v>
          </cell>
          <cell r="C11">
            <v>0.23200000000000001</v>
          </cell>
          <cell r="D11">
            <v>0.55400000000000005</v>
          </cell>
          <cell r="E11">
            <v>0.161</v>
          </cell>
        </row>
        <row r="12">
          <cell r="A12">
            <v>0.1</v>
          </cell>
          <cell r="B12">
            <v>0.54</v>
          </cell>
          <cell r="C12">
            <v>0.248</v>
          </cell>
          <cell r="D12">
            <v>0.58599999999999997</v>
          </cell>
          <cell r="E12">
            <v>0.17</v>
          </cell>
        </row>
        <row r="13">
          <cell r="A13">
            <v>0.11</v>
          </cell>
          <cell r="B13">
            <v>0.55300000000000005</v>
          </cell>
          <cell r="C13">
            <v>0.25800000000000001</v>
          </cell>
          <cell r="D13">
            <v>0.60599999999999998</v>
          </cell>
          <cell r="E13">
            <v>0.17899999999999999</v>
          </cell>
        </row>
        <row r="14">
          <cell r="A14">
            <v>0.12</v>
          </cell>
          <cell r="B14">
            <v>0.56999999999999995</v>
          </cell>
          <cell r="C14">
            <v>0.27</v>
          </cell>
          <cell r="D14">
            <v>0.63</v>
          </cell>
          <cell r="E14">
            <v>0.188</v>
          </cell>
        </row>
        <row r="15">
          <cell r="A15">
            <v>0.13</v>
          </cell>
          <cell r="B15">
            <v>0.57999999999999996</v>
          </cell>
          <cell r="C15">
            <v>0.28000000000000003</v>
          </cell>
          <cell r="D15">
            <v>0.65</v>
          </cell>
          <cell r="E15">
            <v>0.19700000000000001</v>
          </cell>
        </row>
        <row r="16">
          <cell r="A16">
            <v>0.14000000000000001</v>
          </cell>
          <cell r="B16">
            <v>0.59</v>
          </cell>
          <cell r="C16">
            <v>0.28899999999999998</v>
          </cell>
          <cell r="D16">
            <v>0.66800000000000004</v>
          </cell>
          <cell r="E16">
            <v>0.20499999999999999</v>
          </cell>
        </row>
        <row r="17">
          <cell r="A17">
            <v>0.15</v>
          </cell>
          <cell r="B17">
            <v>0.6</v>
          </cell>
          <cell r="C17">
            <v>0.29799999999999999</v>
          </cell>
          <cell r="D17">
            <v>0.68600000000000005</v>
          </cell>
          <cell r="E17">
            <v>0.21299999999999999</v>
          </cell>
        </row>
        <row r="18">
          <cell r="A18">
            <v>0.16</v>
          </cell>
          <cell r="B18">
            <v>0.61299999999999999</v>
          </cell>
          <cell r="C18">
            <v>0.308</v>
          </cell>
          <cell r="D18">
            <v>0.70399999999999996</v>
          </cell>
          <cell r="E18">
            <v>0.221</v>
          </cell>
        </row>
        <row r="19">
          <cell r="A19">
            <v>0.17</v>
          </cell>
          <cell r="B19">
            <v>0.624</v>
          </cell>
          <cell r="C19">
            <v>0.315</v>
          </cell>
          <cell r="D19">
            <v>0.71599999999999997</v>
          </cell>
          <cell r="E19">
            <v>0.22900000000000001</v>
          </cell>
        </row>
        <row r="20">
          <cell r="A20">
            <v>0.18</v>
          </cell>
          <cell r="B20">
            <v>0.63400000000000001</v>
          </cell>
          <cell r="C20">
            <v>0.32300000000000001</v>
          </cell>
          <cell r="D20">
            <v>0.72899999999999998</v>
          </cell>
          <cell r="E20">
            <v>0.23599999999999999</v>
          </cell>
        </row>
        <row r="21">
          <cell r="A21">
            <v>0.19</v>
          </cell>
          <cell r="B21">
            <v>0.64500000000000002</v>
          </cell>
          <cell r="C21">
            <v>0.33400000000000002</v>
          </cell>
          <cell r="D21">
            <v>0.748</v>
          </cell>
          <cell r="E21">
            <v>0.24399999999999999</v>
          </cell>
        </row>
        <row r="22">
          <cell r="A22">
            <v>0.2</v>
          </cell>
          <cell r="B22">
            <v>0.65600000000000003</v>
          </cell>
          <cell r="C22">
            <v>0.34599999999999997</v>
          </cell>
          <cell r="D22">
            <v>0.76800000000000002</v>
          </cell>
          <cell r="E22">
            <v>0.251</v>
          </cell>
        </row>
        <row r="23">
          <cell r="A23">
            <v>0.21</v>
          </cell>
          <cell r="B23">
            <v>0.66400000000000003</v>
          </cell>
          <cell r="C23">
            <v>0.35299999999999998</v>
          </cell>
          <cell r="D23">
            <v>0.78</v>
          </cell>
          <cell r="E23">
            <v>0.25800000000000001</v>
          </cell>
        </row>
        <row r="24">
          <cell r="A24">
            <v>0.22</v>
          </cell>
          <cell r="B24">
            <v>0.67200000000000004</v>
          </cell>
          <cell r="C24">
            <v>0.36199999999999999</v>
          </cell>
          <cell r="D24">
            <v>0.79500000000000004</v>
          </cell>
          <cell r="E24">
            <v>0.26600000000000001</v>
          </cell>
        </row>
        <row r="25">
          <cell r="A25">
            <v>0.23</v>
          </cell>
          <cell r="B25">
            <v>0.68</v>
          </cell>
          <cell r="C25">
            <v>0.37</v>
          </cell>
          <cell r="D25">
            <v>0.80900000000000005</v>
          </cell>
          <cell r="E25">
            <v>0.27300000000000002</v>
          </cell>
        </row>
        <row r="26">
          <cell r="A26">
            <v>0.24</v>
          </cell>
          <cell r="B26">
            <v>0.68700000000000006</v>
          </cell>
          <cell r="C26">
            <v>0.379</v>
          </cell>
          <cell r="D26">
            <v>0.82399999999999995</v>
          </cell>
          <cell r="E26">
            <v>0.28000000000000003</v>
          </cell>
        </row>
        <row r="27">
          <cell r="A27">
            <v>0.25</v>
          </cell>
          <cell r="B27">
            <v>0.69499999999999995</v>
          </cell>
          <cell r="C27">
            <v>0.38600000000000001</v>
          </cell>
          <cell r="D27">
            <v>0.83599999999999997</v>
          </cell>
          <cell r="E27">
            <v>0.28699999999999998</v>
          </cell>
        </row>
        <row r="28">
          <cell r="A28">
            <v>0.26</v>
          </cell>
          <cell r="B28">
            <v>0.7</v>
          </cell>
          <cell r="C28">
            <v>0.39300000000000002</v>
          </cell>
          <cell r="D28">
            <v>0.84799999999999998</v>
          </cell>
          <cell r="E28">
            <v>0.29399999999999998</v>
          </cell>
        </row>
        <row r="29">
          <cell r="A29">
            <v>0.27</v>
          </cell>
          <cell r="B29">
            <v>0.70599999999999996</v>
          </cell>
          <cell r="C29">
            <v>0.4</v>
          </cell>
          <cell r="D29">
            <v>0.86</v>
          </cell>
          <cell r="E29">
            <v>0.3</v>
          </cell>
        </row>
        <row r="30">
          <cell r="A30">
            <v>0.28000000000000003</v>
          </cell>
          <cell r="B30">
            <v>0.71299999999999997</v>
          </cell>
          <cell r="C30">
            <v>0.40899999999999997</v>
          </cell>
          <cell r="D30">
            <v>0.874</v>
          </cell>
          <cell r="E30">
            <v>0.307</v>
          </cell>
        </row>
        <row r="31">
          <cell r="A31">
            <v>0.28999999999999998</v>
          </cell>
          <cell r="B31">
            <v>0.72</v>
          </cell>
          <cell r="C31">
            <v>0.41699999999999998</v>
          </cell>
          <cell r="D31">
            <v>0.88600000000000001</v>
          </cell>
          <cell r="E31">
            <v>0.314</v>
          </cell>
        </row>
        <row r="32">
          <cell r="A32">
            <v>0.3</v>
          </cell>
          <cell r="B32">
            <v>0.72899999999999998</v>
          </cell>
          <cell r="C32">
            <v>0.42399999999999999</v>
          </cell>
          <cell r="D32">
            <v>0.89600000000000002</v>
          </cell>
          <cell r="E32">
            <v>0.32100000000000001</v>
          </cell>
        </row>
        <row r="33">
          <cell r="A33">
            <v>0.31</v>
          </cell>
          <cell r="B33">
            <v>0.73199999999999998</v>
          </cell>
          <cell r="C33">
            <v>0.43099999999999999</v>
          </cell>
          <cell r="D33">
            <v>0.90700000000000003</v>
          </cell>
          <cell r="E33">
            <v>0.32800000000000001</v>
          </cell>
        </row>
        <row r="34">
          <cell r="A34">
            <v>0.32</v>
          </cell>
          <cell r="B34">
            <v>0.74</v>
          </cell>
          <cell r="C34">
            <v>0.439</v>
          </cell>
          <cell r="D34">
            <v>0.91900000000000004</v>
          </cell>
          <cell r="E34">
            <v>0.33400000000000002</v>
          </cell>
        </row>
        <row r="35">
          <cell r="A35">
            <v>0.33</v>
          </cell>
          <cell r="B35">
            <v>0.75</v>
          </cell>
          <cell r="C35">
            <v>0.44700000000000001</v>
          </cell>
          <cell r="D35">
            <v>0.93100000000000005</v>
          </cell>
          <cell r="E35">
            <v>0.34100000000000003</v>
          </cell>
        </row>
        <row r="36">
          <cell r="A36">
            <v>0.34</v>
          </cell>
          <cell r="B36">
            <v>0.755</v>
          </cell>
          <cell r="C36">
            <v>0.45200000000000001</v>
          </cell>
          <cell r="D36">
            <v>0.93799999999999994</v>
          </cell>
          <cell r="E36">
            <v>0.34799999999999998</v>
          </cell>
        </row>
        <row r="37">
          <cell r="A37">
            <v>0.35</v>
          </cell>
          <cell r="B37">
            <v>0.76</v>
          </cell>
          <cell r="C37">
            <v>0.46</v>
          </cell>
          <cell r="D37">
            <v>0.95</v>
          </cell>
          <cell r="E37">
            <v>0.35399999999999998</v>
          </cell>
        </row>
        <row r="38">
          <cell r="A38">
            <v>0.36</v>
          </cell>
          <cell r="B38">
            <v>0.76800000000000002</v>
          </cell>
          <cell r="C38">
            <v>0.46800000000000003</v>
          </cell>
          <cell r="D38">
            <v>0.96199999999999997</v>
          </cell>
          <cell r="E38">
            <v>0.36099999999999999</v>
          </cell>
        </row>
        <row r="39">
          <cell r="A39">
            <v>0.37</v>
          </cell>
          <cell r="B39">
            <v>0.77600000000000002</v>
          </cell>
          <cell r="C39">
            <v>0.47599999999999998</v>
          </cell>
          <cell r="D39">
            <v>0.97399999999999998</v>
          </cell>
          <cell r="E39">
            <v>0.36799999999999999</v>
          </cell>
        </row>
        <row r="40">
          <cell r="A40">
            <v>0.38</v>
          </cell>
          <cell r="B40">
            <v>0.78100000000000003</v>
          </cell>
          <cell r="C40">
            <v>0.48199999999999998</v>
          </cell>
          <cell r="D40">
            <v>0.98299999999999998</v>
          </cell>
          <cell r="E40">
            <v>0.374</v>
          </cell>
        </row>
        <row r="41">
          <cell r="A41">
            <v>0.39</v>
          </cell>
          <cell r="B41">
            <v>0.79700000000000004</v>
          </cell>
          <cell r="C41">
            <v>0.48799999999999999</v>
          </cell>
          <cell r="D41">
            <v>0.99199999999999999</v>
          </cell>
          <cell r="E41">
            <v>0.38100000000000001</v>
          </cell>
        </row>
        <row r="42">
          <cell r="A42">
            <v>0.4</v>
          </cell>
          <cell r="B42">
            <v>0.79600000000000004</v>
          </cell>
          <cell r="C42">
            <v>0.498</v>
          </cell>
          <cell r="D42">
            <v>1.0069999999999999</v>
          </cell>
          <cell r="E42">
            <v>0.38800000000000001</v>
          </cell>
        </row>
        <row r="43">
          <cell r="A43">
            <v>0.41</v>
          </cell>
          <cell r="B43">
            <v>0.80200000000000005</v>
          </cell>
          <cell r="C43">
            <v>0.504</v>
          </cell>
          <cell r="D43">
            <v>1.014</v>
          </cell>
          <cell r="E43">
            <v>0.39500000000000002</v>
          </cell>
        </row>
        <row r="44">
          <cell r="A44">
            <v>0.42</v>
          </cell>
          <cell r="B44">
            <v>0.80600000000000005</v>
          </cell>
          <cell r="C44">
            <v>0.51</v>
          </cell>
          <cell r="D44">
            <v>1.0209999999999999</v>
          </cell>
          <cell r="E44">
            <v>0.40200000000000002</v>
          </cell>
        </row>
        <row r="45">
          <cell r="A45">
            <v>0.43</v>
          </cell>
          <cell r="B45">
            <v>0.81</v>
          </cell>
          <cell r="C45">
            <v>0.51600000000000001</v>
          </cell>
          <cell r="D45">
            <v>1.028</v>
          </cell>
          <cell r="E45">
            <v>0.40799999999999997</v>
          </cell>
        </row>
        <row r="46">
          <cell r="A46">
            <v>0.44</v>
          </cell>
          <cell r="B46">
            <v>0.81599999999999995</v>
          </cell>
          <cell r="C46">
            <v>0.52300000000000002</v>
          </cell>
          <cell r="D46">
            <v>1.0349999999999999</v>
          </cell>
          <cell r="E46">
            <v>0.41499999999999998</v>
          </cell>
        </row>
        <row r="47">
          <cell r="A47">
            <v>0.45</v>
          </cell>
          <cell r="B47">
            <v>0.82199999999999995</v>
          </cell>
          <cell r="C47">
            <v>0.53</v>
          </cell>
          <cell r="D47">
            <v>1.0429999999999999</v>
          </cell>
          <cell r="E47">
            <v>0.42199999999999999</v>
          </cell>
        </row>
        <row r="48">
          <cell r="A48">
            <v>0.46</v>
          </cell>
          <cell r="B48">
            <v>0.83</v>
          </cell>
          <cell r="C48">
            <v>0.53600000000000003</v>
          </cell>
          <cell r="D48">
            <v>1.05</v>
          </cell>
          <cell r="E48">
            <v>0.42899999999999999</v>
          </cell>
        </row>
        <row r="49">
          <cell r="A49">
            <v>0.47</v>
          </cell>
          <cell r="B49">
            <v>0.83399999999999996</v>
          </cell>
          <cell r="C49">
            <v>0.54200000000000004</v>
          </cell>
          <cell r="D49">
            <v>1.056</v>
          </cell>
          <cell r="E49">
            <v>0.436</v>
          </cell>
        </row>
        <row r="50">
          <cell r="A50">
            <v>0.48</v>
          </cell>
          <cell r="B50">
            <v>0.84</v>
          </cell>
          <cell r="C50">
            <v>0.55000000000000004</v>
          </cell>
          <cell r="D50">
            <v>1.0649999999999999</v>
          </cell>
          <cell r="E50">
            <v>0.443</v>
          </cell>
        </row>
        <row r="51">
          <cell r="A51">
            <v>0.49</v>
          </cell>
          <cell r="B51">
            <v>0.84499999999999997</v>
          </cell>
          <cell r="C51">
            <v>0.55700000000000005</v>
          </cell>
          <cell r="D51">
            <v>1.073</v>
          </cell>
          <cell r="E51">
            <v>0.45</v>
          </cell>
        </row>
        <row r="52">
          <cell r="A52">
            <v>0.5</v>
          </cell>
          <cell r="B52">
            <v>0.85</v>
          </cell>
          <cell r="C52">
            <v>0.56299999999999994</v>
          </cell>
          <cell r="D52">
            <v>1.079</v>
          </cell>
          <cell r="E52">
            <v>0.45800000000000002</v>
          </cell>
        </row>
        <row r="53">
          <cell r="A53">
            <v>0.51</v>
          </cell>
          <cell r="B53">
            <v>0.85499999999999998</v>
          </cell>
          <cell r="C53">
            <v>0.56999999999999995</v>
          </cell>
          <cell r="D53">
            <v>1.087</v>
          </cell>
          <cell r="E53">
            <v>0.46500000000000002</v>
          </cell>
        </row>
        <row r="54">
          <cell r="A54">
            <v>0.52</v>
          </cell>
          <cell r="B54">
            <v>0.86</v>
          </cell>
          <cell r="C54">
            <v>0.57599999999999996</v>
          </cell>
          <cell r="D54">
            <v>1.0940000000000001</v>
          </cell>
          <cell r="E54">
            <v>0.47199999999999998</v>
          </cell>
        </row>
        <row r="55">
          <cell r="A55">
            <v>0.53</v>
          </cell>
          <cell r="B55">
            <v>0.86499999999999999</v>
          </cell>
          <cell r="C55">
            <v>0.58199999999999996</v>
          </cell>
          <cell r="D55">
            <v>1.1000000000000001</v>
          </cell>
          <cell r="E55">
            <v>0.47899999999999998</v>
          </cell>
        </row>
        <row r="56">
          <cell r="A56">
            <v>0.54</v>
          </cell>
          <cell r="B56">
            <v>0.7</v>
          </cell>
          <cell r="C56">
            <v>0.58799999999999997</v>
          </cell>
          <cell r="D56">
            <v>1.107</v>
          </cell>
          <cell r="E56">
            <v>0.48699999999999999</v>
          </cell>
        </row>
        <row r="57">
          <cell r="A57">
            <v>0.55000000000000004</v>
          </cell>
          <cell r="B57">
            <v>0.875</v>
          </cell>
          <cell r="C57">
            <v>0.59399999999999997</v>
          </cell>
          <cell r="D57">
            <v>1.113</v>
          </cell>
          <cell r="E57">
            <v>0.49399999999999999</v>
          </cell>
        </row>
        <row r="58">
          <cell r="A58">
            <v>0.56000000000000005</v>
          </cell>
          <cell r="B58">
            <v>0.88</v>
          </cell>
          <cell r="C58">
            <v>0.60099999999999998</v>
          </cell>
          <cell r="D58">
            <v>1.121</v>
          </cell>
          <cell r="E58">
            <v>0.502</v>
          </cell>
        </row>
        <row r="59">
          <cell r="A59">
            <v>0.56999999999999995</v>
          </cell>
          <cell r="B59">
            <v>0.88500000000000001</v>
          </cell>
          <cell r="C59">
            <v>0.60799999999999998</v>
          </cell>
          <cell r="D59">
            <v>1.125</v>
          </cell>
          <cell r="E59">
            <v>0.51</v>
          </cell>
        </row>
        <row r="60">
          <cell r="A60">
            <v>0.57999999999999996</v>
          </cell>
          <cell r="B60">
            <v>0.89</v>
          </cell>
          <cell r="C60">
            <v>0.61499999999999999</v>
          </cell>
          <cell r="D60">
            <v>1.129</v>
          </cell>
          <cell r="E60">
            <v>0.51800000000000002</v>
          </cell>
        </row>
        <row r="61">
          <cell r="A61">
            <v>0.59</v>
          </cell>
          <cell r="B61">
            <v>0.89500000000000002</v>
          </cell>
          <cell r="C61">
            <v>0.62</v>
          </cell>
          <cell r="D61">
            <v>1.1319999999999999</v>
          </cell>
          <cell r="E61">
            <v>0.52600000000000002</v>
          </cell>
        </row>
        <row r="62">
          <cell r="A62">
            <v>0.6</v>
          </cell>
          <cell r="B62">
            <v>0.9</v>
          </cell>
          <cell r="C62">
            <v>0.626</v>
          </cell>
          <cell r="D62">
            <v>1.1359999999999999</v>
          </cell>
          <cell r="E62">
            <v>0.53400000000000003</v>
          </cell>
        </row>
        <row r="63">
          <cell r="A63">
            <v>0.61</v>
          </cell>
          <cell r="B63">
            <v>0.90300000000000002</v>
          </cell>
          <cell r="C63">
            <v>0.63200000000000001</v>
          </cell>
          <cell r="D63">
            <v>1.139</v>
          </cell>
          <cell r="E63">
            <v>0.54200000000000004</v>
          </cell>
        </row>
        <row r="64">
          <cell r="A64">
            <v>0.62</v>
          </cell>
          <cell r="B64">
            <v>0.90800000000000003</v>
          </cell>
          <cell r="C64">
            <v>0.63900000000000001</v>
          </cell>
          <cell r="D64">
            <v>1.143</v>
          </cell>
          <cell r="E64">
            <v>0.55000000000000004</v>
          </cell>
        </row>
        <row r="65">
          <cell r="A65">
            <v>0.63</v>
          </cell>
          <cell r="B65">
            <v>0.91300000000000003</v>
          </cell>
          <cell r="C65">
            <v>0.64500000000000002</v>
          </cell>
          <cell r="D65">
            <v>1.147</v>
          </cell>
          <cell r="E65">
            <v>0.55900000000000005</v>
          </cell>
        </row>
        <row r="66">
          <cell r="A66">
            <v>0.64</v>
          </cell>
          <cell r="B66">
            <v>0.91800000000000004</v>
          </cell>
          <cell r="C66">
            <v>0.65100000000000002</v>
          </cell>
          <cell r="D66">
            <v>1.151</v>
          </cell>
          <cell r="E66">
            <v>0.56799999999999995</v>
          </cell>
        </row>
        <row r="67">
          <cell r="A67">
            <v>0.65</v>
          </cell>
          <cell r="B67">
            <v>0.92200000000000004</v>
          </cell>
          <cell r="C67">
            <v>0.65800000000000003</v>
          </cell>
          <cell r="D67">
            <v>1.155</v>
          </cell>
          <cell r="E67">
            <v>0.57599999999999996</v>
          </cell>
        </row>
        <row r="68">
          <cell r="A68">
            <v>0.66</v>
          </cell>
          <cell r="B68">
            <v>0.92700000000000005</v>
          </cell>
          <cell r="C68">
            <v>0.66600000000000004</v>
          </cell>
          <cell r="D68">
            <v>1.1599999999999999</v>
          </cell>
          <cell r="E68">
            <v>0.58499999999999996</v>
          </cell>
        </row>
        <row r="69">
          <cell r="A69">
            <v>0.67</v>
          </cell>
          <cell r="B69">
            <v>0.93100000000000005</v>
          </cell>
          <cell r="C69">
            <v>0.67200000000000004</v>
          </cell>
          <cell r="D69">
            <v>1.163</v>
          </cell>
          <cell r="E69">
            <v>0.59499999999999997</v>
          </cell>
        </row>
        <row r="70">
          <cell r="A70">
            <v>0.68</v>
          </cell>
          <cell r="B70">
            <v>0.93600000000000005</v>
          </cell>
          <cell r="C70">
            <v>0.67800000000000005</v>
          </cell>
          <cell r="D70">
            <v>1.167</v>
          </cell>
          <cell r="E70">
            <v>0.60399999999999998</v>
          </cell>
        </row>
        <row r="71">
          <cell r="A71">
            <v>0.69</v>
          </cell>
          <cell r="B71">
            <v>0.94099999999999995</v>
          </cell>
          <cell r="C71">
            <v>0.68600000000000005</v>
          </cell>
          <cell r="D71">
            <v>1.1719999999999999</v>
          </cell>
          <cell r="E71">
            <v>0.61399999999999999</v>
          </cell>
        </row>
        <row r="72">
          <cell r="A72">
            <v>0.7</v>
          </cell>
          <cell r="B72">
            <v>0.94499999999999995</v>
          </cell>
          <cell r="C72">
            <v>0.69199999999999995</v>
          </cell>
          <cell r="D72">
            <v>1.175</v>
          </cell>
          <cell r="E72">
            <v>0.623</v>
          </cell>
        </row>
        <row r="73">
          <cell r="A73">
            <v>0.71</v>
          </cell>
          <cell r="B73">
            <v>0.95099999999999996</v>
          </cell>
          <cell r="C73">
            <v>0.69899999999999995</v>
          </cell>
          <cell r="D73">
            <v>1.179</v>
          </cell>
          <cell r="E73">
            <v>0.63300000000000001</v>
          </cell>
        </row>
        <row r="74">
          <cell r="A74">
            <v>0.72</v>
          </cell>
          <cell r="B74">
            <v>0.95499999999999996</v>
          </cell>
          <cell r="C74">
            <v>0.70499999999999996</v>
          </cell>
          <cell r="D74">
            <v>1.1819999999999999</v>
          </cell>
          <cell r="E74">
            <v>0.64400000000000002</v>
          </cell>
        </row>
        <row r="75">
          <cell r="A75">
            <v>0.73</v>
          </cell>
          <cell r="B75">
            <v>0.95799999999999996</v>
          </cell>
          <cell r="C75">
            <v>0.71</v>
          </cell>
          <cell r="D75">
            <v>1.1839999999999999</v>
          </cell>
          <cell r="E75">
            <v>0.65400000000000003</v>
          </cell>
        </row>
        <row r="76">
          <cell r="A76">
            <v>0.74</v>
          </cell>
          <cell r="B76">
            <v>0.96099999999999997</v>
          </cell>
          <cell r="C76">
            <v>0.71899999999999997</v>
          </cell>
          <cell r="D76">
            <v>1.1879999999999999</v>
          </cell>
          <cell r="E76">
            <v>0.66500000000000004</v>
          </cell>
        </row>
        <row r="77">
          <cell r="A77">
            <v>0.75</v>
          </cell>
          <cell r="B77">
            <v>0.96499999999999997</v>
          </cell>
          <cell r="C77">
            <v>0.72399999999999998</v>
          </cell>
          <cell r="D77">
            <v>1.19</v>
          </cell>
          <cell r="E77">
            <v>0.67700000000000005</v>
          </cell>
        </row>
        <row r="78">
          <cell r="A78">
            <v>0.76</v>
          </cell>
          <cell r="B78">
            <v>0.96899999999999997</v>
          </cell>
          <cell r="C78">
            <v>0.73199999999999998</v>
          </cell>
          <cell r="D78">
            <v>1.1930000000000001</v>
          </cell>
          <cell r="E78">
            <v>0.68799999999999994</v>
          </cell>
        </row>
        <row r="79">
          <cell r="A79">
            <v>0.77</v>
          </cell>
          <cell r="B79">
            <v>0.97199999999999998</v>
          </cell>
          <cell r="C79">
            <v>0.73799999999999999</v>
          </cell>
          <cell r="D79">
            <v>1.1950000000000001</v>
          </cell>
          <cell r="E79">
            <v>0.7</v>
          </cell>
        </row>
        <row r="80">
          <cell r="A80">
            <v>0.78</v>
          </cell>
          <cell r="B80">
            <v>0.97499999999999998</v>
          </cell>
          <cell r="C80">
            <v>0.74299999999999999</v>
          </cell>
          <cell r="D80">
            <v>1.1970000000000001</v>
          </cell>
          <cell r="E80">
            <v>0.71299999999999997</v>
          </cell>
        </row>
        <row r="81">
          <cell r="A81">
            <v>0.79</v>
          </cell>
          <cell r="B81">
            <v>0.98</v>
          </cell>
          <cell r="C81">
            <v>0.75</v>
          </cell>
          <cell r="D81">
            <v>1.2</v>
          </cell>
          <cell r="E81">
            <v>0.72499999999999998</v>
          </cell>
        </row>
        <row r="82">
          <cell r="A82">
            <v>0.8</v>
          </cell>
          <cell r="B82">
            <v>0.98399999999999999</v>
          </cell>
          <cell r="C82">
            <v>0.75600000000000001</v>
          </cell>
          <cell r="D82">
            <v>1.202</v>
          </cell>
          <cell r="E82">
            <v>0.73899999999999999</v>
          </cell>
        </row>
        <row r="83">
          <cell r="A83">
            <v>0.81</v>
          </cell>
          <cell r="B83">
            <v>0.98699999999999999</v>
          </cell>
          <cell r="C83">
            <v>0.76300000000000001</v>
          </cell>
          <cell r="D83">
            <v>1.2050000000000001</v>
          </cell>
          <cell r="E83">
            <v>0.753</v>
          </cell>
        </row>
        <row r="84">
          <cell r="A84">
            <v>0.82</v>
          </cell>
          <cell r="B84">
            <v>0.99</v>
          </cell>
          <cell r="C84">
            <v>0.77</v>
          </cell>
          <cell r="D84">
            <v>1.208</v>
          </cell>
          <cell r="E84">
            <v>0.76700000000000002</v>
          </cell>
        </row>
        <row r="85">
          <cell r="A85">
            <v>0.83</v>
          </cell>
          <cell r="B85">
            <v>0.99299999999999999</v>
          </cell>
          <cell r="C85">
            <v>0.77800000000000002</v>
          </cell>
          <cell r="D85">
            <v>1.2110000000000001</v>
          </cell>
          <cell r="E85">
            <v>0.78300000000000003</v>
          </cell>
        </row>
        <row r="86">
          <cell r="A86">
            <v>0.84</v>
          </cell>
          <cell r="B86">
            <v>0.997</v>
          </cell>
          <cell r="C86">
            <v>0.78500000000000003</v>
          </cell>
          <cell r="D86">
            <v>1.214</v>
          </cell>
          <cell r="E86">
            <v>0.79800000000000004</v>
          </cell>
        </row>
        <row r="87">
          <cell r="A87">
            <v>0.85</v>
          </cell>
          <cell r="B87">
            <v>1.0009999999999999</v>
          </cell>
          <cell r="C87">
            <v>0.79100000000000004</v>
          </cell>
          <cell r="D87">
            <v>1.216</v>
          </cell>
          <cell r="E87">
            <v>0.81499999999999995</v>
          </cell>
        </row>
        <row r="88">
          <cell r="A88">
            <v>0.86</v>
          </cell>
          <cell r="B88">
            <v>1.0049999999999999</v>
          </cell>
          <cell r="C88">
            <v>0.79800000000000004</v>
          </cell>
          <cell r="D88">
            <v>1.2190000000000001</v>
          </cell>
          <cell r="E88">
            <v>0.83299999999999996</v>
          </cell>
        </row>
        <row r="89">
          <cell r="A89">
            <v>0.87</v>
          </cell>
          <cell r="B89">
            <v>1.0069999999999999</v>
          </cell>
          <cell r="C89">
            <v>0.80400000000000005</v>
          </cell>
          <cell r="D89">
            <v>1.2190000000000001</v>
          </cell>
          <cell r="E89">
            <v>0.85199999999999998</v>
          </cell>
        </row>
        <row r="90">
          <cell r="A90">
            <v>0.88</v>
          </cell>
          <cell r="B90">
            <v>1.0109999999999999</v>
          </cell>
          <cell r="C90">
            <v>0.81299999999999994</v>
          </cell>
          <cell r="D90">
            <v>1.2150000000000001</v>
          </cell>
          <cell r="E90">
            <v>0.871</v>
          </cell>
        </row>
        <row r="91">
          <cell r="A91">
            <v>0.89</v>
          </cell>
          <cell r="B91">
            <v>1.0149999999999999</v>
          </cell>
          <cell r="C91">
            <v>0.82</v>
          </cell>
          <cell r="D91">
            <v>1.214</v>
          </cell>
          <cell r="E91">
            <v>0.89200000000000002</v>
          </cell>
        </row>
        <row r="92">
          <cell r="A92">
            <v>0.9</v>
          </cell>
          <cell r="B92">
            <v>1.018</v>
          </cell>
          <cell r="C92">
            <v>0.82599999999999996</v>
          </cell>
          <cell r="D92">
            <v>1.212</v>
          </cell>
          <cell r="E92">
            <v>0.91500000000000004</v>
          </cell>
        </row>
        <row r="93">
          <cell r="A93">
            <v>0.91</v>
          </cell>
          <cell r="B93">
            <v>1.0209999999999999</v>
          </cell>
          <cell r="C93">
            <v>0.83499999999999996</v>
          </cell>
          <cell r="D93">
            <v>1.21</v>
          </cell>
          <cell r="E93">
            <v>0.94</v>
          </cell>
        </row>
        <row r="94">
          <cell r="A94">
            <v>0.92</v>
          </cell>
          <cell r="B94">
            <v>1.024</v>
          </cell>
          <cell r="C94">
            <v>0.84299999999999997</v>
          </cell>
          <cell r="D94">
            <v>1.2070000000000001</v>
          </cell>
          <cell r="E94">
            <v>0.96599999999999997</v>
          </cell>
        </row>
        <row r="95">
          <cell r="A95">
            <v>0.93</v>
          </cell>
          <cell r="B95">
            <v>1.0269999999999999</v>
          </cell>
          <cell r="C95">
            <v>0.85199999999999998</v>
          </cell>
          <cell r="D95">
            <v>1.204</v>
          </cell>
          <cell r="E95">
            <v>0.995</v>
          </cell>
        </row>
        <row r="96">
          <cell r="A96">
            <v>0.94</v>
          </cell>
          <cell r="B96">
            <v>1.03</v>
          </cell>
          <cell r="C96">
            <v>0.86</v>
          </cell>
          <cell r="D96">
            <v>1.202</v>
          </cell>
          <cell r="E96">
            <v>1.0269999999999999</v>
          </cell>
        </row>
        <row r="97">
          <cell r="A97">
            <v>0.95</v>
          </cell>
          <cell r="B97">
            <v>1.0329999999999999</v>
          </cell>
          <cell r="C97">
            <v>0.86799999999999999</v>
          </cell>
          <cell r="D97">
            <v>1.2</v>
          </cell>
          <cell r="E97">
            <v>1.0629999999999999</v>
          </cell>
        </row>
        <row r="98">
          <cell r="A98">
            <v>0.96</v>
          </cell>
          <cell r="B98">
            <v>1.036</v>
          </cell>
          <cell r="C98">
            <v>0.876</v>
          </cell>
          <cell r="D98">
            <v>1.1970000000000001</v>
          </cell>
          <cell r="E98">
            <v>1.103</v>
          </cell>
        </row>
        <row r="99">
          <cell r="A99">
            <v>0.97</v>
          </cell>
          <cell r="B99">
            <v>1.038</v>
          </cell>
          <cell r="C99">
            <v>0.88400000000000001</v>
          </cell>
          <cell r="D99">
            <v>1.1950000000000001</v>
          </cell>
          <cell r="E99">
            <v>1.149</v>
          </cell>
        </row>
        <row r="100">
          <cell r="A100">
            <v>0.98</v>
          </cell>
          <cell r="B100">
            <v>1.0389999999999999</v>
          </cell>
          <cell r="C100">
            <v>0.89200000000000002</v>
          </cell>
          <cell r="D100">
            <v>1.1919999999999999</v>
          </cell>
          <cell r="E100">
            <v>1.202</v>
          </cell>
        </row>
        <row r="101">
          <cell r="A101">
            <v>0.99</v>
          </cell>
          <cell r="B101">
            <v>1.04</v>
          </cell>
          <cell r="C101">
            <v>0.9</v>
          </cell>
          <cell r="D101">
            <v>1.19</v>
          </cell>
          <cell r="E101">
            <v>1.2649999999999999</v>
          </cell>
        </row>
        <row r="102">
          <cell r="A102">
            <v>1</v>
          </cell>
          <cell r="B102">
            <v>1.0409999999999999</v>
          </cell>
          <cell r="C102">
            <v>0.91400000000000003</v>
          </cell>
          <cell r="D102">
            <v>1.1719999999999999</v>
          </cell>
          <cell r="E102">
            <v>1.3440000000000001</v>
          </cell>
        </row>
        <row r="103">
          <cell r="A103">
            <v>1.01</v>
          </cell>
          <cell r="B103">
            <v>1.042</v>
          </cell>
          <cell r="C103">
            <v>0.92</v>
          </cell>
          <cell r="D103">
            <v>1.1639999999999999</v>
          </cell>
          <cell r="E103">
            <v>1.4450000000000001</v>
          </cell>
        </row>
        <row r="104">
          <cell r="A104">
            <v>1.02</v>
          </cell>
          <cell r="B104">
            <v>1.042</v>
          </cell>
          <cell r="C104">
            <v>0.93100000000000005</v>
          </cell>
          <cell r="D104">
            <v>1.1499999999999999</v>
          </cell>
          <cell r="E104">
            <v>1.5840000000000001</v>
          </cell>
        </row>
      </sheetData>
      <sheetData sheetId="3"/>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MATERIALES"/>
      <sheetName val="CONCRETO 3000"/>
      <sheetName val="HIERRO "/>
      <sheetName val="FORMALETA"/>
      <sheetName val="EXCAVACION 1MTS"/>
      <sheetName val="RELLENO DE BRECHAS"/>
      <sheetName val="TUBERIA 3&quot;"/>
      <sheetName val="TUBERÍA 2&quot;"/>
      <sheetName val="UNION 3&quot;"/>
      <sheetName val="UNION 2&quot;"/>
      <sheetName val="BUJE 3X2"/>
      <sheetName val="TEE 4X4X3"/>
      <sheetName val="TEE 3&quot;"/>
      <sheetName val="TEE 2&quot;"/>
      <sheetName val="CODO 3&quot; 90º"/>
      <sheetName val="CODO 2&quot; 90º"/>
      <sheetName val="CRUZ 3X2"/>
      <sheetName val="CRUZ 3X3"/>
      <sheetName val="CRUZ 2X2"/>
      <sheetName val="VALVULA CONTROL 3&quot;"/>
      <sheetName val="VALVULA CONTROL 2&quot;"/>
      <sheetName val="HIDRANTE 3&quot;"/>
      <sheetName val="UNION DE 4&quot;"/>
      <sheetName val="INSTALACION TUB. 2&quot; - 3&quot;"/>
      <sheetName val="CAJILLAS VALVULA ,6X,6"/>
      <sheetName val="TUBERIA 0,5&quot;"/>
      <sheetName val="COLLAR 3&quot;X0,5&quot;"/>
      <sheetName val="COLLAR 2&quot;X0,5&quot;"/>
      <sheetName val="ADAPTADOR MACHO"/>
      <sheetName val="ADAPTADOR HEMBRA"/>
      <sheetName val="VALVULA DE BOLA 0,5"/>
      <sheetName val="MICROMEDIDOR"/>
      <sheetName val="CAJILLA CEMENTO AC"/>
      <sheetName val="TAPA HF CAJILLA"/>
      <sheetName val="CODO HG 0,5"/>
      <sheetName val="UNION HG 0,5"/>
      <sheetName val="BRECHA Y TAPADA"/>
      <sheetName val="INSTALCION 0,5"/>
      <sheetName val="INSTALCION DOMICILIARIA"/>
      <sheetName val="CUADRO RESUMEN2"/>
    </sheetNames>
    <sheetDataSet>
      <sheetData sheetId="0" refreshError="1"/>
      <sheetData sheetId="1">
        <row r="1">
          <cell r="A1" t="str">
            <v>Referencia</v>
          </cell>
          <cell r="B1" t="str">
            <v>Materiales</v>
          </cell>
          <cell r="C1" t="str">
            <v>Unidad</v>
          </cell>
          <cell r="D1" t="str">
            <v>Precio</v>
          </cell>
        </row>
        <row r="2">
          <cell r="A2">
            <v>1</v>
          </cell>
          <cell r="B2" t="str">
            <v>Cemento Gris</v>
          </cell>
          <cell r="C2" t="str">
            <v>Saco 50 Kg</v>
          </cell>
          <cell r="D2">
            <v>9500</v>
          </cell>
        </row>
        <row r="3">
          <cell r="A3">
            <v>2</v>
          </cell>
          <cell r="B3" t="str">
            <v>Arena</v>
          </cell>
          <cell r="C3" t="str">
            <v>m3</v>
          </cell>
          <cell r="D3">
            <v>25000</v>
          </cell>
        </row>
        <row r="4">
          <cell r="A4">
            <v>3</v>
          </cell>
          <cell r="B4" t="str">
            <v>Grava</v>
          </cell>
          <cell r="C4" t="str">
            <v>m3</v>
          </cell>
          <cell r="D4">
            <v>35000</v>
          </cell>
          <cell r="H4">
            <v>0.1</v>
          </cell>
        </row>
        <row r="5">
          <cell r="A5">
            <v>4</v>
          </cell>
          <cell r="B5" t="str">
            <v xml:space="preserve">Marerial de Recebo </v>
          </cell>
          <cell r="C5" t="str">
            <v>m3</v>
          </cell>
          <cell r="D5">
            <v>28000</v>
          </cell>
          <cell r="H5">
            <v>0.03</v>
          </cell>
        </row>
        <row r="6">
          <cell r="A6">
            <v>5</v>
          </cell>
          <cell r="B6" t="str">
            <v>Compactadora (rana)</v>
          </cell>
          <cell r="C6" t="str">
            <v>Hr</v>
          </cell>
          <cell r="D6">
            <v>4375</v>
          </cell>
        </row>
        <row r="7">
          <cell r="A7">
            <v>6</v>
          </cell>
          <cell r="B7" t="str">
            <v>Compactadora (saltarin)</v>
          </cell>
          <cell r="C7" t="str">
            <v>Hr</v>
          </cell>
          <cell r="D7">
            <v>3750</v>
          </cell>
        </row>
        <row r="8">
          <cell r="A8">
            <v>7</v>
          </cell>
          <cell r="B8" t="str">
            <v>Hierro D = 1/2"</v>
          </cell>
          <cell r="C8" t="str">
            <v>Kg</v>
          </cell>
          <cell r="D8">
            <v>1850</v>
          </cell>
        </row>
        <row r="9">
          <cell r="A9">
            <v>8</v>
          </cell>
          <cell r="B9" t="str">
            <v>Hierro D = 3/8"</v>
          </cell>
          <cell r="C9" t="str">
            <v>Kg</v>
          </cell>
          <cell r="D9">
            <v>2100</v>
          </cell>
        </row>
        <row r="10">
          <cell r="A10">
            <v>9</v>
          </cell>
          <cell r="B10" t="str">
            <v>Hierro D = 1/4"</v>
          </cell>
          <cell r="C10" t="str">
            <v>Kg</v>
          </cell>
          <cell r="D10">
            <v>2100</v>
          </cell>
        </row>
        <row r="11">
          <cell r="A11">
            <v>10</v>
          </cell>
          <cell r="B11" t="str">
            <v>Agua</v>
          </cell>
          <cell r="C11" t="str">
            <v>Lt</v>
          </cell>
          <cell r="D11">
            <v>10</v>
          </cell>
        </row>
        <row r="12">
          <cell r="A12">
            <v>11</v>
          </cell>
          <cell r="B12" t="str">
            <v>Piedra Para Ciclopeo</v>
          </cell>
          <cell r="C12" t="str">
            <v>m3</v>
          </cell>
          <cell r="D12">
            <v>20000</v>
          </cell>
        </row>
        <row r="13">
          <cell r="A13">
            <v>12</v>
          </cell>
          <cell r="B13" t="str">
            <v>Mezcladora</v>
          </cell>
          <cell r="C13" t="str">
            <v>Hr</v>
          </cell>
          <cell r="D13">
            <v>5625</v>
          </cell>
        </row>
        <row r="14">
          <cell r="A14">
            <v>13</v>
          </cell>
          <cell r="B14" t="str">
            <v>Vibrador</v>
          </cell>
          <cell r="C14" t="str">
            <v>Hr</v>
          </cell>
          <cell r="D14">
            <v>2500</v>
          </cell>
        </row>
        <row r="15">
          <cell r="A15">
            <v>14</v>
          </cell>
          <cell r="B15" t="str">
            <v>Limpiador de PVC</v>
          </cell>
          <cell r="C15" t="str">
            <v>Unid.</v>
          </cell>
          <cell r="D15">
            <v>19731</v>
          </cell>
        </row>
        <row r="16">
          <cell r="A16">
            <v>15</v>
          </cell>
          <cell r="B16" t="str">
            <v>Soldadura de PVC</v>
          </cell>
          <cell r="C16" t="str">
            <v>Unid.</v>
          </cell>
          <cell r="D16">
            <v>2807</v>
          </cell>
        </row>
        <row r="17">
          <cell r="A17">
            <v>16</v>
          </cell>
          <cell r="B17" t="str">
            <v>Tubería PVC  RDE 41 de 3" UM</v>
          </cell>
          <cell r="C17" t="str">
            <v>Ml</v>
          </cell>
          <cell r="D17">
            <v>9097</v>
          </cell>
        </row>
        <row r="18">
          <cell r="A18">
            <v>17</v>
          </cell>
          <cell r="B18" t="str">
            <v>Tubería PVC  RDE 41 de 2" UM</v>
          </cell>
          <cell r="C18" t="str">
            <v>Ml</v>
          </cell>
          <cell r="D18">
            <v>4432</v>
          </cell>
        </row>
        <row r="19">
          <cell r="A19">
            <v>18</v>
          </cell>
          <cell r="B19" t="str">
            <v>Buje PVC de  3" X 2"  US</v>
          </cell>
          <cell r="C19" t="str">
            <v>Unid.</v>
          </cell>
          <cell r="D19">
            <v>14899</v>
          </cell>
        </row>
        <row r="20">
          <cell r="A20">
            <v>19</v>
          </cell>
          <cell r="B20" t="str">
            <v>Tabla burra</v>
          </cell>
          <cell r="C20" t="str">
            <v>Unid.</v>
          </cell>
          <cell r="D20">
            <v>6500</v>
          </cell>
        </row>
        <row r="21">
          <cell r="A21">
            <v>20</v>
          </cell>
          <cell r="B21" t="str">
            <v>Codo PVC 3" de 90º US</v>
          </cell>
          <cell r="C21" t="str">
            <v>Unid.</v>
          </cell>
          <cell r="D21">
            <v>29253</v>
          </cell>
        </row>
        <row r="22">
          <cell r="A22">
            <v>21</v>
          </cell>
          <cell r="B22" t="str">
            <v>Codo PVC 2" de 90º US</v>
          </cell>
          <cell r="C22" t="str">
            <v>Unid.</v>
          </cell>
          <cell r="D22">
            <v>8709</v>
          </cell>
        </row>
        <row r="23">
          <cell r="A23">
            <v>22</v>
          </cell>
          <cell r="B23" t="str">
            <v>Puntilla</v>
          </cell>
          <cell r="C23" t="str">
            <v>Lb</v>
          </cell>
          <cell r="D23">
            <v>1400</v>
          </cell>
        </row>
        <row r="24">
          <cell r="A24">
            <v>23</v>
          </cell>
          <cell r="B24" t="str">
            <v>Polin</v>
          </cell>
          <cell r="C24" t="str">
            <v>Unid.</v>
          </cell>
          <cell r="D24">
            <v>5500</v>
          </cell>
        </row>
        <row r="25">
          <cell r="A25">
            <v>24</v>
          </cell>
          <cell r="B25" t="str">
            <v>Unión de reparación PVC 3" UM</v>
          </cell>
          <cell r="C25" t="str">
            <v>Unid.</v>
          </cell>
          <cell r="D25">
            <v>28988</v>
          </cell>
        </row>
        <row r="26">
          <cell r="A26">
            <v>25</v>
          </cell>
          <cell r="B26" t="str">
            <v>Unión de reparación PVC 2" UM</v>
          </cell>
          <cell r="C26" t="str">
            <v>Unid.</v>
          </cell>
          <cell r="D26">
            <v>17586</v>
          </cell>
        </row>
        <row r="27">
          <cell r="A27">
            <v>26</v>
          </cell>
          <cell r="B27" t="str">
            <v>Valvula control de 3" sello de bronce</v>
          </cell>
          <cell r="C27" t="str">
            <v>Unid.</v>
          </cell>
          <cell r="D27">
            <v>544000</v>
          </cell>
        </row>
        <row r="28">
          <cell r="A28">
            <v>27</v>
          </cell>
          <cell r="B28" t="str">
            <v>Valvula control de 2" sello de bronce</v>
          </cell>
          <cell r="C28" t="str">
            <v>Unid.</v>
          </cell>
          <cell r="D28">
            <v>408000.00000000006</v>
          </cell>
        </row>
        <row r="29">
          <cell r="A29">
            <v>28</v>
          </cell>
          <cell r="B29" t="str">
            <v>Hidrante HF tipo Milan de 3"</v>
          </cell>
          <cell r="C29" t="str">
            <v>Unid.</v>
          </cell>
          <cell r="D29">
            <v>1645600.0000000002</v>
          </cell>
        </row>
        <row r="30">
          <cell r="A30">
            <v>29</v>
          </cell>
          <cell r="B30" t="str">
            <v>Tee PVC de 4"x 4"x 3"  UM</v>
          </cell>
          <cell r="C30" t="str">
            <v>Unid.</v>
          </cell>
          <cell r="D30">
            <v>96309</v>
          </cell>
        </row>
        <row r="31">
          <cell r="A31">
            <v>30</v>
          </cell>
          <cell r="B31" t="str">
            <v>Tubería PVC RDE 13,5 de 1/2"</v>
          </cell>
          <cell r="C31" t="str">
            <v>Ml</v>
          </cell>
          <cell r="D31">
            <v>2007</v>
          </cell>
        </row>
        <row r="32">
          <cell r="A32">
            <v>31</v>
          </cell>
          <cell r="B32" t="str">
            <v>Adaptador macho PVC de 1/2"</v>
          </cell>
          <cell r="C32" t="str">
            <v>Unid.</v>
          </cell>
          <cell r="D32">
            <v>323</v>
          </cell>
        </row>
        <row r="33">
          <cell r="A33">
            <v>32</v>
          </cell>
          <cell r="B33" t="str">
            <v>Adaptador hembra PVC de 1/2"</v>
          </cell>
          <cell r="C33" t="str">
            <v>Unid.</v>
          </cell>
          <cell r="D33">
            <v>367</v>
          </cell>
        </row>
        <row r="34">
          <cell r="A34">
            <v>33</v>
          </cell>
          <cell r="B34" t="str">
            <v>Valvula de bola de 1/2" TP</v>
          </cell>
          <cell r="C34" t="str">
            <v>Unid.</v>
          </cell>
          <cell r="D34">
            <v>6500</v>
          </cell>
        </row>
        <row r="35">
          <cell r="A35">
            <v>34</v>
          </cell>
          <cell r="B35" t="str">
            <v>Micromedidor de velocidad de 1/2"</v>
          </cell>
          <cell r="C35" t="str">
            <v>Unid.</v>
          </cell>
          <cell r="D35">
            <v>75000</v>
          </cell>
        </row>
        <row r="36">
          <cell r="A36">
            <v>35</v>
          </cell>
          <cell r="B36" t="str">
            <v>Cajilla de cemento para anden</v>
          </cell>
          <cell r="C36" t="str">
            <v>Unid.</v>
          </cell>
          <cell r="D36">
            <v>12000</v>
          </cell>
        </row>
        <row r="37">
          <cell r="A37">
            <v>36</v>
          </cell>
          <cell r="B37" t="str">
            <v xml:space="preserve">Tapa HF para cajilla </v>
          </cell>
          <cell r="C37" t="str">
            <v>Unid.</v>
          </cell>
          <cell r="D37">
            <v>12000</v>
          </cell>
        </row>
        <row r="38">
          <cell r="A38">
            <v>37</v>
          </cell>
          <cell r="B38" t="str">
            <v>Tee PVC de 3"  US</v>
          </cell>
          <cell r="C38" t="str">
            <v>Unid.</v>
          </cell>
          <cell r="D38">
            <v>37841</v>
          </cell>
        </row>
        <row r="39">
          <cell r="A39">
            <v>38</v>
          </cell>
          <cell r="B39" t="str">
            <v>Tee PVC de 2"  US</v>
          </cell>
          <cell r="C39" t="str">
            <v>Unid.</v>
          </cell>
          <cell r="D39">
            <v>11130</v>
          </cell>
        </row>
        <row r="40">
          <cell r="A40">
            <v>39</v>
          </cell>
          <cell r="B40" t="str">
            <v>Codo HG de 1/2" X 90</v>
          </cell>
          <cell r="C40" t="str">
            <v>Unid.</v>
          </cell>
          <cell r="D40">
            <v>535</v>
          </cell>
        </row>
        <row r="41">
          <cell r="A41">
            <v>40</v>
          </cell>
          <cell r="B41" t="str">
            <v>Unión HG de 1/2"</v>
          </cell>
          <cell r="C41" t="str">
            <v>Unid.</v>
          </cell>
          <cell r="D41">
            <v>418</v>
          </cell>
        </row>
        <row r="42">
          <cell r="A42">
            <v>41</v>
          </cell>
          <cell r="B42" t="str">
            <v>Llave terminal metalica de 1/2" TP</v>
          </cell>
          <cell r="C42" t="str">
            <v>Unid.</v>
          </cell>
          <cell r="D42">
            <v>12500</v>
          </cell>
        </row>
        <row r="43">
          <cell r="A43">
            <v>42</v>
          </cell>
          <cell r="B43" t="str">
            <v>Collar derivador de PVC 3" X 1/2"</v>
          </cell>
          <cell r="C43" t="str">
            <v>Unid.</v>
          </cell>
          <cell r="D43">
            <v>11020</v>
          </cell>
        </row>
        <row r="44">
          <cell r="A44">
            <v>43</v>
          </cell>
          <cell r="B44" t="str">
            <v>Collar derivador de PVC 2" X 1/2"</v>
          </cell>
          <cell r="C44" t="str">
            <v>Unid.</v>
          </cell>
          <cell r="D44">
            <v>5504</v>
          </cell>
        </row>
        <row r="45">
          <cell r="A45">
            <v>44</v>
          </cell>
          <cell r="B45" t="str">
            <v>Cruz H.F de 3"x 2"</v>
          </cell>
          <cell r="C45" t="str">
            <v>Unid.</v>
          </cell>
          <cell r="D45">
            <v>112880</v>
          </cell>
        </row>
        <row r="46">
          <cell r="A46">
            <v>45</v>
          </cell>
          <cell r="B46" t="str">
            <v>Cruz H.F de 3"x 3"</v>
          </cell>
          <cell r="C46" t="str">
            <v>Unid.</v>
          </cell>
          <cell r="D46">
            <v>137360</v>
          </cell>
        </row>
        <row r="47">
          <cell r="A47">
            <v>46</v>
          </cell>
          <cell r="B47" t="str">
            <v>Cruz H.F de 2"x 2"</v>
          </cell>
          <cell r="C47" t="str">
            <v>Unid.</v>
          </cell>
          <cell r="D47">
            <v>77520</v>
          </cell>
        </row>
        <row r="48">
          <cell r="A48">
            <v>47</v>
          </cell>
          <cell r="B48" t="str">
            <v>Unión de reparación PVC 4" UM</v>
          </cell>
          <cell r="C48" t="str">
            <v>Unid.</v>
          </cell>
          <cell r="D48">
            <v>44393</v>
          </cell>
        </row>
        <row r="49">
          <cell r="A49">
            <v>48</v>
          </cell>
        </row>
        <row r="50">
          <cell r="A50">
            <v>49</v>
          </cell>
        </row>
        <row r="66">
          <cell r="A66">
            <v>1</v>
          </cell>
          <cell r="B66" t="str">
            <v>Cemento Gris</v>
          </cell>
          <cell r="C66" t="str">
            <v>Saco 50 Kg</v>
          </cell>
        </row>
        <row r="67">
          <cell r="A67">
            <v>2</v>
          </cell>
          <cell r="B67" t="str">
            <v>Arena</v>
          </cell>
          <cell r="C67" t="str">
            <v>m3</v>
          </cell>
        </row>
        <row r="68">
          <cell r="A68">
            <v>3</v>
          </cell>
          <cell r="B68" t="str">
            <v>Grava</v>
          </cell>
          <cell r="C68" t="str">
            <v>m3</v>
          </cell>
        </row>
        <row r="69">
          <cell r="A69">
            <v>4</v>
          </cell>
          <cell r="B69" t="str">
            <v xml:space="preserve">Marerial de Recebo </v>
          </cell>
          <cell r="C69" t="str">
            <v>m3</v>
          </cell>
        </row>
        <row r="70">
          <cell r="A70">
            <v>5</v>
          </cell>
          <cell r="B70" t="str">
            <v>Compactadora (rana)</v>
          </cell>
          <cell r="C70" t="str">
            <v>Hr</v>
          </cell>
        </row>
        <row r="71">
          <cell r="A71">
            <v>6</v>
          </cell>
          <cell r="B71" t="str">
            <v>Compactadora (saltarin)</v>
          </cell>
          <cell r="C71" t="str">
            <v>Hr</v>
          </cell>
        </row>
        <row r="72">
          <cell r="A72">
            <v>7</v>
          </cell>
          <cell r="B72" t="str">
            <v>Hierro D = 1/2"</v>
          </cell>
          <cell r="C72" t="str">
            <v>Kg</v>
          </cell>
        </row>
        <row r="73">
          <cell r="A73">
            <v>8</v>
          </cell>
          <cell r="B73" t="str">
            <v>Hierro D = 3/8"</v>
          </cell>
          <cell r="C73" t="str">
            <v>Kg</v>
          </cell>
        </row>
        <row r="74">
          <cell r="A74">
            <v>9</v>
          </cell>
          <cell r="B74" t="str">
            <v>Hierro D = 1/4"</v>
          </cell>
          <cell r="C74" t="str">
            <v>Kg</v>
          </cell>
        </row>
        <row r="75">
          <cell r="A75">
            <v>10</v>
          </cell>
          <cell r="B75" t="str">
            <v>Agua</v>
          </cell>
          <cell r="C75" t="str">
            <v>Lt</v>
          </cell>
        </row>
        <row r="76">
          <cell r="A76">
            <v>11</v>
          </cell>
          <cell r="B76" t="str">
            <v>Piedra Para Ciclopeo</v>
          </cell>
          <cell r="C76" t="str">
            <v>m3</v>
          </cell>
        </row>
        <row r="77">
          <cell r="A77">
            <v>12</v>
          </cell>
          <cell r="B77" t="str">
            <v>Mezcladora</v>
          </cell>
          <cell r="C77" t="str">
            <v>Hr</v>
          </cell>
        </row>
        <row r="78">
          <cell r="A78">
            <v>13</v>
          </cell>
          <cell r="B78" t="str">
            <v>Vibrador</v>
          </cell>
          <cell r="C78" t="str">
            <v>Hr</v>
          </cell>
        </row>
        <row r="79">
          <cell r="A79">
            <v>14</v>
          </cell>
          <cell r="B79" t="str">
            <v>Limpiador de PVC</v>
          </cell>
          <cell r="C79" t="str">
            <v>Unid.</v>
          </cell>
          <cell r="D79">
            <v>49</v>
          </cell>
        </row>
        <row r="80">
          <cell r="A80">
            <v>15</v>
          </cell>
          <cell r="B80" t="str">
            <v>Soldadura de PVC</v>
          </cell>
          <cell r="C80" t="str">
            <v>Unid.</v>
          </cell>
          <cell r="D80">
            <v>7</v>
          </cell>
        </row>
        <row r="81">
          <cell r="A81">
            <v>16</v>
          </cell>
          <cell r="B81" t="str">
            <v>Tubería PVC  RDE 41 de 3" UM</v>
          </cell>
          <cell r="C81" t="str">
            <v>Ml</v>
          </cell>
          <cell r="D81">
            <v>23</v>
          </cell>
        </row>
        <row r="82">
          <cell r="A82">
            <v>17</v>
          </cell>
          <cell r="B82" t="str">
            <v>Tubería PVC  RDE 41 de 2" UM</v>
          </cell>
          <cell r="C82" t="str">
            <v>Ml</v>
          </cell>
          <cell r="D82">
            <v>11</v>
          </cell>
        </row>
        <row r="83">
          <cell r="A83">
            <v>18</v>
          </cell>
          <cell r="B83" t="str">
            <v>Buje PVC de  3" X 2"  US</v>
          </cell>
          <cell r="C83" t="str">
            <v>Unid.</v>
          </cell>
          <cell r="D83">
            <v>37</v>
          </cell>
        </row>
        <row r="84">
          <cell r="A84">
            <v>19</v>
          </cell>
          <cell r="B84" t="str">
            <v>Tabla burra</v>
          </cell>
          <cell r="C84" t="str">
            <v>Unid.</v>
          </cell>
          <cell r="D84">
            <v>16</v>
          </cell>
        </row>
        <row r="85">
          <cell r="A85">
            <v>20</v>
          </cell>
          <cell r="B85" t="str">
            <v>Codo PVC 3" de 90º US</v>
          </cell>
          <cell r="C85" t="str">
            <v>Unid.</v>
          </cell>
          <cell r="D85">
            <v>73</v>
          </cell>
        </row>
        <row r="86">
          <cell r="A86">
            <v>21</v>
          </cell>
          <cell r="B86" t="str">
            <v>Codo PVC 2" de 90º US</v>
          </cell>
          <cell r="C86" t="str">
            <v>Unid.</v>
          </cell>
          <cell r="D86">
            <v>22</v>
          </cell>
        </row>
        <row r="87">
          <cell r="A87">
            <v>22</v>
          </cell>
          <cell r="B87" t="str">
            <v>Puntilla</v>
          </cell>
          <cell r="C87" t="str">
            <v>Lb</v>
          </cell>
          <cell r="D87">
            <v>4</v>
          </cell>
        </row>
        <row r="88">
          <cell r="A88">
            <v>23</v>
          </cell>
          <cell r="B88" t="str">
            <v>Polin</v>
          </cell>
          <cell r="C88" t="str">
            <v>Unid.</v>
          </cell>
          <cell r="D88">
            <v>14</v>
          </cell>
        </row>
        <row r="89">
          <cell r="A89">
            <v>24</v>
          </cell>
          <cell r="B89" t="str">
            <v>Unión de reparación PVC 3" UM</v>
          </cell>
          <cell r="C89" t="str">
            <v>Unid.</v>
          </cell>
          <cell r="D89">
            <v>72</v>
          </cell>
        </row>
        <row r="90">
          <cell r="A90">
            <v>25</v>
          </cell>
          <cell r="B90" t="str">
            <v>Unión de reparación PVC 2" UM</v>
          </cell>
          <cell r="C90" t="str">
            <v>Unid.</v>
          </cell>
          <cell r="D90">
            <v>44</v>
          </cell>
        </row>
        <row r="91">
          <cell r="A91">
            <v>26</v>
          </cell>
          <cell r="B91" t="str">
            <v>Valvula control de 3" sello de bronce</v>
          </cell>
          <cell r="C91" t="str">
            <v>Unid.</v>
          </cell>
          <cell r="D91">
            <v>1360</v>
          </cell>
        </row>
        <row r="92">
          <cell r="A92">
            <v>27</v>
          </cell>
          <cell r="B92" t="str">
            <v>Valvula control de 2" sello de bronce</v>
          </cell>
          <cell r="C92" t="str">
            <v>Unid.</v>
          </cell>
          <cell r="D92">
            <v>1020</v>
          </cell>
        </row>
        <row r="93">
          <cell r="A93">
            <v>28</v>
          </cell>
          <cell r="B93" t="str">
            <v>Hidrante HF tipo Milan de 3"</v>
          </cell>
          <cell r="C93" t="str">
            <v>Unid.</v>
          </cell>
          <cell r="D93">
            <v>4114</v>
          </cell>
        </row>
        <row r="94">
          <cell r="A94">
            <v>29</v>
          </cell>
          <cell r="B94" t="str">
            <v>Tee PVC de 4"x 4"x 3"  UM</v>
          </cell>
          <cell r="C94" t="str">
            <v>Unid.</v>
          </cell>
          <cell r="D94">
            <v>38</v>
          </cell>
        </row>
        <row r="95">
          <cell r="A95">
            <v>30</v>
          </cell>
          <cell r="B95" t="str">
            <v>Tubería PVC RDE 13,5 de 1/2"</v>
          </cell>
          <cell r="C95" t="str">
            <v>Ml</v>
          </cell>
          <cell r="D95">
            <v>5</v>
          </cell>
        </row>
        <row r="96">
          <cell r="A96">
            <v>31</v>
          </cell>
          <cell r="B96" t="str">
            <v>Adaptador macho PVC de 1/2"</v>
          </cell>
          <cell r="C96" t="str">
            <v>Unid.</v>
          </cell>
          <cell r="D96">
            <v>1</v>
          </cell>
        </row>
        <row r="97">
          <cell r="A97">
            <v>32</v>
          </cell>
          <cell r="B97" t="str">
            <v>Adaptador hembra PVC de 1/2"</v>
          </cell>
          <cell r="C97" t="str">
            <v>Unid.</v>
          </cell>
          <cell r="D97">
            <v>1</v>
          </cell>
        </row>
        <row r="98">
          <cell r="A98">
            <v>33</v>
          </cell>
          <cell r="B98" t="str">
            <v>Valvula de bola de 1/2" TP</v>
          </cell>
          <cell r="C98" t="str">
            <v>Unid.</v>
          </cell>
          <cell r="D98">
            <v>16</v>
          </cell>
        </row>
        <row r="99">
          <cell r="A99">
            <v>34</v>
          </cell>
          <cell r="B99" t="str">
            <v>Micromedidor de velocidad de 1/2"</v>
          </cell>
          <cell r="C99" t="str">
            <v>Unid.</v>
          </cell>
          <cell r="D99">
            <v>188</v>
          </cell>
        </row>
        <row r="100">
          <cell r="A100">
            <v>35</v>
          </cell>
          <cell r="B100" t="str">
            <v>Cajilla de cemento para anden</v>
          </cell>
          <cell r="C100" t="str">
            <v>Unid.</v>
          </cell>
          <cell r="D100">
            <v>30</v>
          </cell>
        </row>
        <row r="101">
          <cell r="A101">
            <v>36</v>
          </cell>
          <cell r="B101" t="str">
            <v xml:space="preserve">Tapa HF para cajilla </v>
          </cell>
          <cell r="C101" t="str">
            <v>Unid.</v>
          </cell>
          <cell r="D101">
            <v>30</v>
          </cell>
        </row>
        <row r="102">
          <cell r="A102">
            <v>37</v>
          </cell>
          <cell r="B102" t="str">
            <v>Tee PVC de 3"  US</v>
          </cell>
          <cell r="C102" t="str">
            <v>Unid.</v>
          </cell>
          <cell r="D102">
            <v>38</v>
          </cell>
        </row>
        <row r="103">
          <cell r="A103">
            <v>38</v>
          </cell>
          <cell r="B103" t="str">
            <v>Tee PVC de 2"  US</v>
          </cell>
          <cell r="C103" t="str">
            <v>Unid.</v>
          </cell>
          <cell r="D103">
            <v>38</v>
          </cell>
        </row>
        <row r="104">
          <cell r="A104">
            <v>39</v>
          </cell>
          <cell r="B104" t="str">
            <v>Codo HG de 1/2" X 90</v>
          </cell>
          <cell r="C104" t="str">
            <v>Unid.</v>
          </cell>
          <cell r="D104">
            <v>1</v>
          </cell>
        </row>
        <row r="105">
          <cell r="A105">
            <v>40</v>
          </cell>
          <cell r="B105" t="str">
            <v>Unión HG de 1/2"</v>
          </cell>
          <cell r="C105" t="str">
            <v>Unid.</v>
          </cell>
          <cell r="D105">
            <v>1</v>
          </cell>
        </row>
        <row r="106">
          <cell r="A106">
            <v>41</v>
          </cell>
          <cell r="B106" t="str">
            <v>Llave terminal metalica de 1/2" TP</v>
          </cell>
          <cell r="C106" t="str">
            <v>Unid.</v>
          </cell>
          <cell r="D106">
            <v>31</v>
          </cell>
        </row>
        <row r="107">
          <cell r="A107">
            <v>42</v>
          </cell>
          <cell r="B107" t="str">
            <v>Collar derivador de PVC 3" X 1/2"</v>
          </cell>
          <cell r="C107" t="str">
            <v>Unid.</v>
          </cell>
          <cell r="D107">
            <v>28</v>
          </cell>
        </row>
        <row r="108">
          <cell r="A108">
            <v>43</v>
          </cell>
          <cell r="B108" t="str">
            <v>Collar derivador de PVC 2" X 1/2"</v>
          </cell>
          <cell r="C108" t="str">
            <v>Unid.</v>
          </cell>
          <cell r="D108">
            <v>14</v>
          </cell>
        </row>
        <row r="109">
          <cell r="A109">
            <v>44</v>
          </cell>
          <cell r="B109" t="str">
            <v>Cruz H.F de 3"x 2"</v>
          </cell>
          <cell r="C109" t="str">
            <v>Unid.</v>
          </cell>
          <cell r="D109">
            <v>282</v>
          </cell>
        </row>
        <row r="110">
          <cell r="A110">
            <v>45</v>
          </cell>
          <cell r="B110" t="str">
            <v>Cruz H.F de 3"x 3"</v>
          </cell>
          <cell r="C110" t="str">
            <v>Unid.</v>
          </cell>
          <cell r="D110">
            <v>343</v>
          </cell>
        </row>
        <row r="111">
          <cell r="A111">
            <v>46</v>
          </cell>
          <cell r="B111" t="str">
            <v>Cruz H.F de 2"x 2"</v>
          </cell>
          <cell r="C111" t="str">
            <v>Unid.</v>
          </cell>
          <cell r="D111">
            <v>194</v>
          </cell>
        </row>
        <row r="112">
          <cell r="A112">
            <v>47</v>
          </cell>
          <cell r="B112" t="str">
            <v>Unión de reparación PVC 4" UM</v>
          </cell>
          <cell r="C112" t="str">
            <v>Unid.</v>
          </cell>
          <cell r="D112">
            <v>111</v>
          </cell>
        </row>
        <row r="113">
          <cell r="A113">
            <v>48</v>
          </cell>
        </row>
        <row r="114">
          <cell r="A114">
            <v>49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 Base"/>
      <sheetName val="Niples"/>
      <sheetName val="Ins_MO"/>
      <sheetName val="Ins_Mat"/>
      <sheetName val="Clasif_Mat"/>
      <sheetName val="Ins_EH"/>
      <sheetName val="Ins_TR"/>
      <sheetName val="Lista_insumos"/>
      <sheetName val="Print"/>
      <sheetName val="0.00"/>
      <sheetName val="1.1"/>
      <sheetName val="1.2"/>
      <sheetName val="1.3"/>
      <sheetName val="1.4"/>
      <sheetName val="1.5"/>
      <sheetName val="1.6"/>
      <sheetName val="1.7"/>
      <sheetName val="1.8"/>
      <sheetName val="1.9"/>
      <sheetName val="1.10"/>
      <sheetName val="1.10A"/>
      <sheetName val="1.11"/>
      <sheetName val="1.12"/>
      <sheetName val="1.13"/>
      <sheetName val="1.20"/>
      <sheetName val="2.1"/>
      <sheetName val="2.2"/>
      <sheetName val="2.3"/>
      <sheetName val="2.4"/>
      <sheetName val="2.5"/>
      <sheetName val="2.6"/>
      <sheetName val="2.6A"/>
      <sheetName val="2.7"/>
      <sheetName val="2.8"/>
      <sheetName val="2.9"/>
      <sheetName val="2.9A"/>
      <sheetName val="2.10"/>
      <sheetName val="2.11"/>
      <sheetName val="2.12"/>
      <sheetName val="2.13A"/>
      <sheetName val="2.13B"/>
      <sheetName val="3.1"/>
      <sheetName val="3.2"/>
      <sheetName val="3.3"/>
      <sheetName val="3.4"/>
      <sheetName val="3.5"/>
      <sheetName val="3.6"/>
      <sheetName val="3.7"/>
      <sheetName val="3.8"/>
      <sheetName val="3.9"/>
      <sheetName val="3.9A"/>
      <sheetName val="3.9B"/>
      <sheetName val="3.9C"/>
      <sheetName val="3.9D"/>
      <sheetName val="3.10"/>
      <sheetName val="3.11"/>
      <sheetName val="3.12"/>
      <sheetName val="3.13"/>
      <sheetName val="3.14"/>
      <sheetName val="3.15"/>
      <sheetName val="3.16J"/>
      <sheetName val="3.17J"/>
      <sheetName val="3.30"/>
      <sheetName val="3.31"/>
      <sheetName val="3.32"/>
      <sheetName val="3.33"/>
      <sheetName val="3.33A"/>
      <sheetName val="4.1"/>
      <sheetName val="4.2"/>
      <sheetName val="4.3"/>
      <sheetName val="4.4"/>
      <sheetName val="4.5"/>
      <sheetName val="4.6"/>
      <sheetName val="4.7"/>
      <sheetName val="4.8"/>
      <sheetName val="4.9"/>
      <sheetName val="4.10"/>
      <sheetName val="4.20"/>
      <sheetName val="4.21"/>
      <sheetName val="4.30"/>
      <sheetName val="5.1"/>
      <sheetName val="5.2"/>
      <sheetName val="5.3"/>
      <sheetName val="5.4"/>
      <sheetName val="5.5"/>
      <sheetName val="5.6"/>
      <sheetName val="6.1"/>
      <sheetName val="6.2"/>
      <sheetName val="6.3"/>
      <sheetName val="6.4"/>
      <sheetName val="6.5"/>
      <sheetName val="6.6"/>
      <sheetName val="6.7"/>
      <sheetName val="6.8"/>
      <sheetName val="6.9"/>
      <sheetName val="6.10"/>
      <sheetName val="6.51"/>
      <sheetName val="6.51A"/>
      <sheetName val="6.51B"/>
      <sheetName val="6.52"/>
      <sheetName val="6.52A"/>
      <sheetName val="6.53"/>
      <sheetName val="6.54"/>
      <sheetName val="6.55"/>
      <sheetName val="6.55A"/>
      <sheetName val="6.55AA"/>
      <sheetName val="6.56"/>
      <sheetName val="6.57"/>
      <sheetName val="6.58"/>
      <sheetName val="6.59"/>
      <sheetName val="6.59A"/>
      <sheetName val="6.59B"/>
      <sheetName val="6.60"/>
      <sheetName val="6.61"/>
      <sheetName val="6.62"/>
      <sheetName val="6.63"/>
      <sheetName val="6.64"/>
      <sheetName val="6.65"/>
      <sheetName val="6.66"/>
      <sheetName val="6.67"/>
      <sheetName val="6.68"/>
      <sheetName val="6.69"/>
      <sheetName val="6.70"/>
      <sheetName val="6.71"/>
      <sheetName val="6.72"/>
      <sheetName val="6.80"/>
      <sheetName val="6.81"/>
      <sheetName val="6.100"/>
      <sheetName val="6.101"/>
      <sheetName val="6.102"/>
      <sheetName val="6.103"/>
      <sheetName val="6.150"/>
      <sheetName val="6.151"/>
      <sheetName val="6.152"/>
      <sheetName val="6.153"/>
      <sheetName val="7.1"/>
      <sheetName val="7.2"/>
      <sheetName val="7.3"/>
      <sheetName val="7.4"/>
      <sheetName val="7.5"/>
      <sheetName val="7.5A"/>
      <sheetName val="7.6"/>
      <sheetName val="7.6A"/>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3A"/>
      <sheetName val="7.23B"/>
      <sheetName val="7.23C"/>
      <sheetName val="7.23D"/>
      <sheetName val="7.23E"/>
      <sheetName val="7.24"/>
      <sheetName val="7.25"/>
      <sheetName val="7.26"/>
      <sheetName val="7.27"/>
      <sheetName val="7.28"/>
      <sheetName val="7.29"/>
      <sheetName val="7.30"/>
      <sheetName val="8.1"/>
      <sheetName val="8.2"/>
      <sheetName val="8.3"/>
      <sheetName val="8.4"/>
      <sheetName val="8.5"/>
      <sheetName val="8.6"/>
      <sheetName val="8.7"/>
      <sheetName val="8.8"/>
      <sheetName val="8.9"/>
      <sheetName val="8.10"/>
      <sheetName val="8.11"/>
      <sheetName val="8.12"/>
      <sheetName val="8.13"/>
      <sheetName val="8.14"/>
      <sheetName val="8.14A"/>
      <sheetName val="8.14B"/>
      <sheetName val="8.15A"/>
      <sheetName val="8.16A"/>
      <sheetName val="8.17A"/>
      <sheetName val="8.19"/>
      <sheetName val="8.19A"/>
      <sheetName val="8.19B"/>
      <sheetName val="8.19BB"/>
      <sheetName val="8.19BC"/>
      <sheetName val="8.19C"/>
      <sheetName val="8.19D"/>
      <sheetName val="8.19E"/>
      <sheetName val="8.19F"/>
      <sheetName val="8.19G"/>
      <sheetName val="8.19H"/>
      <sheetName val="8.19I"/>
      <sheetName val="8.19J"/>
      <sheetName val="8.19K"/>
      <sheetName val="8.19L"/>
      <sheetName val="8.19M"/>
      <sheetName val="8.19N"/>
      <sheetName val="8.19O"/>
      <sheetName val="8.19P"/>
      <sheetName val="8.19Q"/>
      <sheetName val="8.19R"/>
      <sheetName val="8.19S"/>
      <sheetName val="8.19T"/>
      <sheetName val="8.19U"/>
      <sheetName val="8.19V"/>
      <sheetName val="8.20"/>
      <sheetName val="8.21"/>
      <sheetName val="8.22"/>
      <sheetName val="8.23"/>
      <sheetName val="8.24"/>
      <sheetName val="8.25"/>
      <sheetName val="8.27"/>
      <sheetName val="8.27A"/>
      <sheetName val="8.29"/>
      <sheetName val="8.30"/>
      <sheetName val="8.31"/>
      <sheetName val="8.32"/>
      <sheetName val="8.33"/>
      <sheetName val="8.28"/>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93"/>
      <sheetName val="8.94"/>
      <sheetName val="8.95"/>
      <sheetName val="8.96"/>
      <sheetName val="8.97"/>
      <sheetName val="8.98"/>
      <sheetName val="8.99"/>
      <sheetName val="8.99A"/>
      <sheetName val="8.99B"/>
      <sheetName val="8.100"/>
      <sheetName val="8.100A"/>
      <sheetName val="8.101"/>
      <sheetName val="8.102"/>
      <sheetName val="8.103"/>
      <sheetName val="8.104"/>
      <sheetName val="8.105"/>
      <sheetName val="8.106"/>
      <sheetName val="8.107"/>
      <sheetName val="8.108"/>
      <sheetName val="8.108A"/>
      <sheetName val="8.109"/>
      <sheetName val="8.110"/>
      <sheetName val="8.111"/>
      <sheetName val="8.112"/>
      <sheetName val="8.113"/>
      <sheetName val="8.114"/>
      <sheetName val="8.115"/>
      <sheetName val="8.116"/>
      <sheetName val="8.117"/>
      <sheetName val="8.118"/>
      <sheetName val="8.119"/>
      <sheetName val="8.120"/>
      <sheetName val="8.121"/>
      <sheetName val="8.122"/>
      <sheetName val="8.123"/>
      <sheetName val="8.124"/>
      <sheetName val="8.125"/>
      <sheetName val="8.126"/>
      <sheetName val="8.127"/>
      <sheetName val="8.128"/>
      <sheetName val="8.129"/>
      <sheetName val="8.130"/>
      <sheetName val="8.131"/>
      <sheetName val="8.131A"/>
      <sheetName val="8.132"/>
      <sheetName val="8.133"/>
      <sheetName val="8.134"/>
      <sheetName val="8.135"/>
      <sheetName val="8.136"/>
      <sheetName val="8.136A"/>
      <sheetName val="8.136AA"/>
      <sheetName val="8.137"/>
      <sheetName val="8.138"/>
      <sheetName val="8.139"/>
      <sheetName val="8.140"/>
      <sheetName val="8.140AA"/>
      <sheetName val="8.140A"/>
      <sheetName val="8.140B"/>
      <sheetName val="8.140BB"/>
      <sheetName val="8.140BC"/>
      <sheetName val="8.140BD"/>
      <sheetName val="8.140C"/>
      <sheetName val="8.140D"/>
      <sheetName val="8.140E"/>
      <sheetName val="8.140F"/>
      <sheetName val="8.141"/>
      <sheetName val="8.142"/>
      <sheetName val="8.143"/>
      <sheetName val="8.144"/>
      <sheetName val="8.145"/>
      <sheetName val="8.146"/>
      <sheetName val="8.147"/>
      <sheetName val="8.148"/>
      <sheetName val="8.149"/>
      <sheetName val="8.150"/>
      <sheetName val="8.150A"/>
      <sheetName val="8.151"/>
      <sheetName val="8.152"/>
      <sheetName val="8.153"/>
      <sheetName val="8.154"/>
      <sheetName val="8.155"/>
      <sheetName val="8.156"/>
      <sheetName val="8.157"/>
      <sheetName val="8.158"/>
      <sheetName val="8.159"/>
      <sheetName val="8.160"/>
      <sheetName val="8.161"/>
      <sheetName val="8.162"/>
      <sheetName val="8.162A"/>
      <sheetName val="8.163"/>
      <sheetName val="8.164"/>
      <sheetName val="8.165"/>
      <sheetName val="8.166"/>
      <sheetName val="8.167"/>
      <sheetName val="8.168"/>
      <sheetName val="8.169"/>
      <sheetName val="8.170"/>
      <sheetName val="8.171"/>
      <sheetName val="8.171A"/>
      <sheetName val="8.172"/>
      <sheetName val="8.173"/>
      <sheetName val="8.174"/>
      <sheetName val="8.175"/>
      <sheetName val="8.176"/>
      <sheetName val="8.177"/>
      <sheetName val="8.178"/>
      <sheetName val="8.179"/>
      <sheetName val="8.180"/>
      <sheetName val="8.181"/>
      <sheetName val="8.182"/>
      <sheetName val="8.183"/>
      <sheetName val="8.184"/>
      <sheetName val="8.185"/>
      <sheetName val="8.186"/>
      <sheetName val="8.187"/>
      <sheetName val="8.188"/>
      <sheetName val="8.189"/>
      <sheetName val="8.190"/>
      <sheetName val="8.190B"/>
      <sheetName val="8.191"/>
      <sheetName val="8.192"/>
      <sheetName val="8.193"/>
      <sheetName val="8.194"/>
      <sheetName val="8.195"/>
      <sheetName val="8.195A"/>
      <sheetName val="8.196"/>
      <sheetName val="8.197"/>
      <sheetName val="8.198"/>
      <sheetName val="8.199"/>
      <sheetName val="8.199A"/>
      <sheetName val="8.199B"/>
      <sheetName val="8.199C"/>
      <sheetName val="8.199D"/>
      <sheetName val="8.199E"/>
      <sheetName val="8.199F"/>
      <sheetName val="8.199G"/>
      <sheetName val="8.199H"/>
      <sheetName val="8.199I"/>
      <sheetName val="8.200"/>
      <sheetName val="8.201"/>
      <sheetName val="8.202"/>
      <sheetName val="8.203"/>
      <sheetName val="8.204"/>
      <sheetName val="8.205"/>
      <sheetName val="8.206"/>
      <sheetName val="8.215"/>
      <sheetName val="8.216"/>
      <sheetName val="8.217"/>
      <sheetName val="8.218"/>
      <sheetName val="8.219"/>
      <sheetName val="8.220"/>
      <sheetName val="8.221"/>
      <sheetName val="8.222"/>
      <sheetName val="8.223"/>
      <sheetName val="8.224"/>
      <sheetName val="8.225"/>
      <sheetName val="8.226"/>
      <sheetName val="8.227"/>
      <sheetName val="8.228"/>
      <sheetName val="8.229"/>
      <sheetName val="8.230"/>
      <sheetName val="8.231"/>
      <sheetName val="8.232"/>
      <sheetName val="8.233"/>
      <sheetName val="8.234"/>
      <sheetName val="8.235"/>
      <sheetName val="8.236"/>
      <sheetName val="8.237"/>
      <sheetName val="8.238"/>
      <sheetName val="8.239A"/>
      <sheetName val="8.250"/>
      <sheetName val="8.260"/>
      <sheetName val="8.261"/>
      <sheetName val="8.262"/>
      <sheetName val="8.263"/>
      <sheetName val="8.264"/>
      <sheetName val="8.265"/>
      <sheetName val="8.266"/>
      <sheetName val="8.267"/>
      <sheetName val="8.268"/>
      <sheetName val="8.269"/>
      <sheetName val="8.270"/>
      <sheetName val="8.280"/>
      <sheetName val="8.281"/>
      <sheetName val="8.282"/>
      <sheetName val="8.283"/>
      <sheetName val="8.284"/>
      <sheetName val="8.285"/>
      <sheetName val="8.286"/>
      <sheetName val="8.287"/>
      <sheetName val="8.288"/>
      <sheetName val="8.289"/>
      <sheetName val="8.290"/>
      <sheetName val="8.290A"/>
      <sheetName val="8.300"/>
      <sheetName val="8.300A"/>
      <sheetName val="8.300AA"/>
      <sheetName val="8.301"/>
      <sheetName val="8.302"/>
      <sheetName val="8.303"/>
      <sheetName val="8.304"/>
      <sheetName val="8.305"/>
      <sheetName val="8.306"/>
      <sheetName val="8.307"/>
      <sheetName val="8.307A"/>
      <sheetName val="8.307B"/>
      <sheetName val="8.308"/>
      <sheetName val="8.309"/>
      <sheetName val="8.310"/>
      <sheetName val="8.311"/>
      <sheetName val="8.311A"/>
      <sheetName val="8.312"/>
      <sheetName val="8.313"/>
      <sheetName val="8.314"/>
      <sheetName val="8.315"/>
      <sheetName val="8.316"/>
      <sheetName val="8.330"/>
      <sheetName val="8.331"/>
      <sheetName val="8.331A"/>
      <sheetName val="8.331B"/>
      <sheetName val="8.332"/>
      <sheetName val="8.333"/>
      <sheetName val="8.334"/>
      <sheetName val="8.335"/>
      <sheetName val="8.336"/>
      <sheetName val="8.337"/>
      <sheetName val="8.338"/>
      <sheetName val="8.339"/>
      <sheetName val="8.340"/>
      <sheetName val="8.341"/>
      <sheetName val="8.342"/>
      <sheetName val="8.343"/>
      <sheetName val="8.344"/>
      <sheetName val="8.345"/>
      <sheetName val="8.346"/>
      <sheetName val="8.347"/>
      <sheetName val="8.348"/>
      <sheetName val="8.348A"/>
      <sheetName val="8.348B"/>
      <sheetName val="8.349"/>
      <sheetName val="8.350A"/>
      <sheetName val="8.350B"/>
      <sheetName val="8.350C"/>
      <sheetName val="8.350D"/>
      <sheetName val="8.362A"/>
      <sheetName val="8.363A"/>
      <sheetName val="8.370"/>
      <sheetName val="8.371"/>
      <sheetName val="8.372"/>
      <sheetName val="8.373"/>
      <sheetName val="8.374"/>
      <sheetName val="8.375"/>
      <sheetName val="8.376"/>
      <sheetName val="8.377"/>
      <sheetName val="8.378"/>
      <sheetName val="8.379"/>
      <sheetName val="8.380"/>
      <sheetName val="8.381A"/>
      <sheetName val="8.382"/>
      <sheetName val="8.400"/>
      <sheetName val="8.400A"/>
      <sheetName val="8.401"/>
      <sheetName val="8.402"/>
      <sheetName val="8.403"/>
      <sheetName val="8.404"/>
      <sheetName val="8.450"/>
      <sheetName val="8.451"/>
      <sheetName val="8.452"/>
      <sheetName val="8.453"/>
      <sheetName val="8.454"/>
      <sheetName val="8.454N"/>
      <sheetName val="8.485"/>
      <sheetName val="8.490A"/>
      <sheetName val="8.491A"/>
      <sheetName val="8.500"/>
      <sheetName val="8.501"/>
      <sheetName val="8.502"/>
      <sheetName val="8.503A"/>
      <sheetName val="8.504A"/>
      <sheetName val="8.504B"/>
      <sheetName val="8.504C"/>
      <sheetName val="8.550"/>
      <sheetName val="8.550A"/>
      <sheetName val="8.551"/>
      <sheetName val="8.552"/>
      <sheetName val="8.553"/>
      <sheetName val="8.554"/>
      <sheetName val="8.600"/>
      <sheetName val="8.601"/>
      <sheetName val="8.602"/>
      <sheetName val="8.603"/>
      <sheetName val="8.604"/>
      <sheetName val="8.605"/>
      <sheetName val="8.606"/>
      <sheetName val="8.806A"/>
      <sheetName val="8.806B"/>
      <sheetName val="8.806C"/>
      <sheetName val="8.806D"/>
      <sheetName val="8.806E"/>
      <sheetName val="8.620"/>
      <sheetName val="8.620A"/>
      <sheetName val="8.650"/>
      <sheetName val="8.650A"/>
      <sheetName val="8.651"/>
      <sheetName val="8.652"/>
      <sheetName val="8.653"/>
      <sheetName val="8.654"/>
      <sheetName val="8.655"/>
      <sheetName val="8.656"/>
      <sheetName val="8.657"/>
      <sheetName val="8.658"/>
      <sheetName val="8.659"/>
      <sheetName val="8.659A"/>
      <sheetName val="8.659B"/>
      <sheetName val="8.659C"/>
      <sheetName val="8.659D"/>
      <sheetName val="8.660"/>
      <sheetName val="8.661"/>
      <sheetName val="8.662"/>
      <sheetName val="8.662A"/>
      <sheetName val="8.662B"/>
      <sheetName val="8.662C"/>
      <sheetName val="8.662D"/>
      <sheetName val="8.662E"/>
      <sheetName val="8.662F"/>
      <sheetName val="8.699"/>
      <sheetName val="8.699A"/>
      <sheetName val="8.699AA"/>
      <sheetName val="8.700"/>
      <sheetName val="8.700A"/>
      <sheetName val="8.700B"/>
      <sheetName val="8.700C"/>
      <sheetName val="8.701"/>
      <sheetName val="8.702"/>
      <sheetName val="8.703"/>
      <sheetName val="8.704"/>
      <sheetName val="8.705"/>
      <sheetName val="8.705A"/>
      <sheetName val="8.706"/>
      <sheetName val="8.707"/>
      <sheetName val="8.708"/>
      <sheetName val="8.709"/>
      <sheetName val="8.710"/>
      <sheetName val="8.711"/>
      <sheetName val="8.711A"/>
      <sheetName val="8.712"/>
      <sheetName val="8.713F"/>
      <sheetName val="8.718A"/>
      <sheetName val="8.719A"/>
      <sheetName val="8.720A"/>
      <sheetName val="8.721A"/>
      <sheetName val="8.722A"/>
      <sheetName val="8.740"/>
      <sheetName val="8.740A"/>
      <sheetName val="8.750"/>
      <sheetName val="8.751"/>
      <sheetName val="8.752"/>
      <sheetName val="8.753"/>
      <sheetName val="8.754"/>
      <sheetName val="8.755"/>
      <sheetName val="8.780"/>
      <sheetName val="8.781"/>
      <sheetName val="8.782"/>
      <sheetName val="8.783"/>
      <sheetName val="8.784"/>
      <sheetName val="8.785"/>
      <sheetName val="8.786"/>
      <sheetName val="8.795"/>
      <sheetName val="8.800"/>
      <sheetName val="8.800A"/>
      <sheetName val="8.800B"/>
      <sheetName val="8.801"/>
      <sheetName val="8.801A"/>
      <sheetName val="8.801B"/>
      <sheetName val="8.802"/>
      <sheetName val="8.802A"/>
      <sheetName val="8.802B"/>
      <sheetName val="8.803"/>
      <sheetName val="8.803A"/>
      <sheetName val="8.804"/>
      <sheetName val="8.805"/>
      <sheetName val="8.806"/>
      <sheetName val="8.807"/>
      <sheetName val="8.807A"/>
      <sheetName val="8.807B"/>
      <sheetName val="8.807C"/>
      <sheetName val="8.807D"/>
      <sheetName val="8.807E"/>
      <sheetName val="8.807F"/>
      <sheetName val="8.808"/>
      <sheetName val="8.809"/>
      <sheetName val="8.809A"/>
      <sheetName val="8.809B"/>
      <sheetName val="8.809C"/>
      <sheetName val="8.809D"/>
      <sheetName val="8.809E"/>
      <sheetName val="8.809F"/>
      <sheetName val="8.809G"/>
      <sheetName val="8.809H"/>
      <sheetName val="8.809I"/>
      <sheetName val="8.809N"/>
      <sheetName val="8.809N1"/>
      <sheetName val="8.809N2"/>
      <sheetName val="8.809N3"/>
      <sheetName val="8.809N4"/>
      <sheetName val="8.810"/>
      <sheetName val="8.810A"/>
      <sheetName val="8.811"/>
      <sheetName val="8.812"/>
      <sheetName val="8.813"/>
      <sheetName val="8.813A"/>
      <sheetName val="8.813B"/>
      <sheetName val="8.813C"/>
      <sheetName val="8.813D"/>
      <sheetName val="8.813E"/>
      <sheetName val="8.814"/>
      <sheetName val="8.815"/>
      <sheetName val="8.816"/>
      <sheetName val="8.817"/>
      <sheetName val="8.818"/>
      <sheetName val="8.819"/>
      <sheetName val="8.819A"/>
      <sheetName val="8.819B"/>
      <sheetName val="8.819C"/>
      <sheetName val="8.819D"/>
      <sheetName val="8.819E"/>
      <sheetName val="8.819F"/>
      <sheetName val="8.820"/>
      <sheetName val="8.821"/>
      <sheetName val="8.822"/>
      <sheetName val="8.822A"/>
      <sheetName val="8.823"/>
      <sheetName val="8.823A"/>
      <sheetName val="8.823B"/>
      <sheetName val="8.823BA"/>
      <sheetName val="8.823C"/>
      <sheetName val="8.823CA"/>
      <sheetName val="8.823D"/>
      <sheetName val="8.823E"/>
      <sheetName val="8.823F"/>
      <sheetName val="8.823G"/>
      <sheetName val="8.824"/>
      <sheetName val="8.824A"/>
      <sheetName val="8.825"/>
      <sheetName val="8.826"/>
      <sheetName val="8.826A"/>
      <sheetName val="8.827"/>
      <sheetName val="8.828"/>
      <sheetName val="8.828A"/>
      <sheetName val="8.828B"/>
      <sheetName val="8.828C"/>
      <sheetName val="8.828D"/>
      <sheetName val="8.829"/>
      <sheetName val="8.830"/>
      <sheetName val="8.831"/>
      <sheetName val="8.832"/>
      <sheetName val="8.899"/>
      <sheetName val="8.899A"/>
      <sheetName val="8.900"/>
      <sheetName val="8.901"/>
      <sheetName val="8.902"/>
      <sheetName val="8.903"/>
      <sheetName val="8.904"/>
      <sheetName val="8.904A"/>
      <sheetName val="8.904B"/>
      <sheetName val="8.905"/>
      <sheetName val="8.905A"/>
      <sheetName val="8.906"/>
      <sheetName val="8.907"/>
      <sheetName val="8.908"/>
      <sheetName val="8.909"/>
      <sheetName val="8.909A"/>
      <sheetName val="8.910"/>
      <sheetName val="8.910A"/>
      <sheetName val="8.910B"/>
      <sheetName val="8.910C"/>
      <sheetName val="8.910D"/>
      <sheetName val="8.910E"/>
      <sheetName val="8.910F"/>
      <sheetName val="8.910G"/>
      <sheetName val="8.910H"/>
      <sheetName val="8.910I"/>
      <sheetName val="8.910J"/>
      <sheetName val="8.910K"/>
      <sheetName val="8.910L"/>
      <sheetName val="8.910M"/>
      <sheetName val="8.910N"/>
      <sheetName val="8.910O"/>
      <sheetName val="8.910P"/>
      <sheetName val="8.910Q"/>
      <sheetName val="8.910R"/>
      <sheetName val="8.910S"/>
      <sheetName val="8.910T"/>
      <sheetName val="8.910U"/>
      <sheetName val="8.910V"/>
      <sheetName val="8.910X"/>
      <sheetName val="8.910Y"/>
      <sheetName val="8.910Z"/>
      <sheetName val="8.910AA"/>
      <sheetName val="8.910AB"/>
      <sheetName val="8.911"/>
      <sheetName val="8.911A"/>
      <sheetName val="8.911B"/>
      <sheetName val="8.911C"/>
      <sheetName val="8.911D"/>
      <sheetName val="8.911E"/>
      <sheetName val="8.911F"/>
      <sheetName val="8.911G"/>
      <sheetName val="8.911H"/>
      <sheetName val="8.911I"/>
      <sheetName val="8.911J"/>
      <sheetName val="8.911K"/>
      <sheetName val="8.911L"/>
      <sheetName val="8.911M"/>
      <sheetName val="8.911N"/>
      <sheetName val="8.911O"/>
      <sheetName val="8.911P"/>
      <sheetName val="8.911Q"/>
      <sheetName val="8.911R"/>
      <sheetName val="8.911S"/>
      <sheetName val="8.911T"/>
      <sheetName val="8.911U"/>
      <sheetName val="8.911V"/>
      <sheetName val="8.911W"/>
      <sheetName val="8.911X"/>
      <sheetName val="8.911Y"/>
      <sheetName val="8.911Z"/>
      <sheetName val="8.912"/>
      <sheetName val="8.913"/>
      <sheetName val="8.920"/>
      <sheetName val="8.920A"/>
      <sheetName val="8.920B"/>
      <sheetName val="8.921"/>
      <sheetName val="8.922"/>
      <sheetName val="8.922A"/>
      <sheetName val="8.940"/>
      <sheetName val="8.941"/>
      <sheetName val="8.942"/>
      <sheetName val="8.943"/>
      <sheetName val="8.944"/>
      <sheetName val="8.945"/>
      <sheetName val="8.946"/>
      <sheetName val="8.947"/>
      <sheetName val="8.948"/>
      <sheetName val="8.949"/>
      <sheetName val="8.950"/>
      <sheetName val="8.951"/>
      <sheetName val="8.952"/>
      <sheetName val="8.953"/>
      <sheetName val="8.954"/>
      <sheetName val="8.955"/>
      <sheetName val="8.956"/>
      <sheetName val="8.957"/>
      <sheetName val="8.958"/>
      <sheetName val="8.959"/>
      <sheetName val="8.960"/>
      <sheetName val="8.961"/>
      <sheetName val="8.962"/>
      <sheetName val="8.963"/>
      <sheetName val="8.964"/>
      <sheetName val="8.965"/>
      <sheetName val="8.966"/>
      <sheetName val="8.967"/>
      <sheetName val="8.968"/>
      <sheetName val="8.969"/>
      <sheetName val="8.970"/>
      <sheetName val="8.971"/>
      <sheetName val="8.972"/>
      <sheetName val="8.973"/>
      <sheetName val="8.974"/>
      <sheetName val="8.975"/>
      <sheetName val="8.976"/>
      <sheetName val="8.977"/>
      <sheetName val="8.978"/>
      <sheetName val="8.979"/>
      <sheetName val="8.980"/>
      <sheetName val="8.981"/>
      <sheetName val="8.982"/>
      <sheetName val="8.983"/>
      <sheetName val="8.984"/>
      <sheetName val="8.985"/>
      <sheetName val="8.986"/>
      <sheetName val="8.987"/>
      <sheetName val="8.988"/>
      <sheetName val="8.989"/>
      <sheetName val="8.990"/>
      <sheetName val="8.991"/>
      <sheetName val="8.992"/>
      <sheetName val="8.993"/>
      <sheetName val="8.994"/>
      <sheetName val="8.995"/>
      <sheetName val="8.996"/>
      <sheetName val="8.997"/>
      <sheetName val="8.998"/>
      <sheetName val="8.999"/>
      <sheetName val="8.999A"/>
      <sheetName val="8.999B"/>
      <sheetName val="8.1000"/>
      <sheetName val="8.1001"/>
      <sheetName val="8.1002"/>
      <sheetName val="8.1003"/>
      <sheetName val="8.1003A"/>
      <sheetName val="8.1003B"/>
      <sheetName val="8.1003C"/>
      <sheetName val="8.1003D"/>
      <sheetName val="8.1003F"/>
      <sheetName val="8.1004"/>
      <sheetName val="8.1005"/>
      <sheetName val="8.1006"/>
      <sheetName val="8.1007"/>
      <sheetName val="8.1007A"/>
      <sheetName val="8.1008"/>
      <sheetName val="8.1009"/>
      <sheetName val="8.1009A"/>
      <sheetName val="8.1009B"/>
      <sheetName val="8.1009F"/>
      <sheetName val="8.1009F2"/>
      <sheetName val="8.1010"/>
      <sheetName val="8.1011"/>
      <sheetName val="8.1012"/>
      <sheetName val="8.1013"/>
      <sheetName val="8.1050"/>
      <sheetName val="8.1050A"/>
      <sheetName val="8.1050B"/>
      <sheetName val="8.1050C"/>
      <sheetName val="8.1050D"/>
      <sheetName val="8.1054"/>
      <sheetName val="8.1055"/>
      <sheetName val="8.1058"/>
      <sheetName val="8.1100"/>
      <sheetName val="8.1100A"/>
      <sheetName val="8.1101"/>
      <sheetName val="8.1102"/>
      <sheetName val="8.1103"/>
      <sheetName val="8.1104"/>
      <sheetName val="8.1105"/>
      <sheetName val="8.1106"/>
      <sheetName val="8.1150"/>
      <sheetName val="8.1150A"/>
      <sheetName val="8.1151"/>
      <sheetName val="8.1151A"/>
      <sheetName val="8.1151B"/>
      <sheetName val="8.1152"/>
      <sheetName val="8.1153"/>
      <sheetName val="8.1200"/>
      <sheetName val="8.1201"/>
      <sheetName val="8.1202"/>
      <sheetName val="8.1203"/>
      <sheetName val="8.1204"/>
      <sheetName val="8.1299"/>
      <sheetName val="8.1300"/>
      <sheetName val="8.1301"/>
      <sheetName val="8.1400"/>
      <sheetName val="8.1400A"/>
      <sheetName val="8.1400B"/>
      <sheetName val="8.1400BA"/>
      <sheetName val="8.1400C"/>
      <sheetName val="8.1400CA"/>
      <sheetName val="8.1400D"/>
      <sheetName val="8.1400E"/>
      <sheetName val="8.1500"/>
      <sheetName val="8.1500A"/>
      <sheetName val="8.1500B"/>
      <sheetName val="8.1500C"/>
      <sheetName val="8.1500D"/>
      <sheetName val="8.1500E"/>
      <sheetName val="8.1500F"/>
      <sheetName val="8.1500G"/>
      <sheetName val="8.1500H"/>
      <sheetName val="8.1500I"/>
      <sheetName val="8.1500J"/>
      <sheetName val="8.1500K"/>
      <sheetName val="8.1500L"/>
      <sheetName val="8.1600"/>
      <sheetName val="8.1600A"/>
      <sheetName val="8.1601"/>
      <sheetName val="8.1601A"/>
      <sheetName val="8.1602"/>
      <sheetName val="8.1602A"/>
      <sheetName val="8.1603"/>
      <sheetName val="8.1604"/>
      <sheetName val="8.1605"/>
      <sheetName val="8.1606"/>
      <sheetName val="8.1607"/>
      <sheetName val="8.1608"/>
      <sheetName val="8.1609"/>
      <sheetName val="8.1610"/>
      <sheetName val="8.1611"/>
      <sheetName val="8.1612"/>
      <sheetName val="8.1613"/>
      <sheetName val="8.1614"/>
      <sheetName val="8.1614A"/>
      <sheetName val="8.1615"/>
      <sheetName val="8.1616"/>
      <sheetName val="8.1617"/>
      <sheetName val="8.1618"/>
      <sheetName val="8.1619"/>
      <sheetName val="8.1620"/>
      <sheetName val="8.1621"/>
      <sheetName val="8.1622"/>
      <sheetName val="8.1623"/>
      <sheetName val="8.1624"/>
      <sheetName val="8.1625"/>
      <sheetName val="8.1626"/>
      <sheetName val="8.1627"/>
      <sheetName val="8.1628"/>
      <sheetName val="8.1629"/>
      <sheetName val="8.1630"/>
      <sheetName val="8.1631"/>
      <sheetName val="8.1632"/>
      <sheetName val="8.1633"/>
      <sheetName val="8.1634"/>
      <sheetName val="8.1635"/>
      <sheetName val="8.1636"/>
      <sheetName val="8.1637"/>
      <sheetName val="8.1638"/>
      <sheetName val="8.1639"/>
      <sheetName val="8.1640"/>
      <sheetName val="8.1641"/>
      <sheetName val="8.1642"/>
      <sheetName val="8.1643"/>
      <sheetName val="8.1644"/>
      <sheetName val="8.1645"/>
      <sheetName val="8.1646"/>
      <sheetName val="8.1647"/>
      <sheetName val="8.1648"/>
      <sheetName val="8.1649"/>
      <sheetName val="8.1650"/>
      <sheetName val="8.1651"/>
      <sheetName val="8.1652"/>
      <sheetName val="8.1653"/>
      <sheetName val="8.1654"/>
      <sheetName val="8.1655"/>
      <sheetName val="8.1656"/>
      <sheetName val="8.1657"/>
      <sheetName val="8.1658"/>
      <sheetName val="8.1659"/>
      <sheetName val="8.1660"/>
      <sheetName val="8.1661"/>
      <sheetName val="8.1662"/>
      <sheetName val="8.1663"/>
      <sheetName val="8.1664"/>
      <sheetName val="8.1665"/>
      <sheetName val="8.1666"/>
      <sheetName val="8.1667"/>
      <sheetName val="8.1668"/>
      <sheetName val="8.1669"/>
      <sheetName val="8.1670"/>
      <sheetName val="8.1671"/>
      <sheetName val="8.1672"/>
      <sheetName val="8.1673"/>
      <sheetName val="8.1674"/>
      <sheetName val="8.1675"/>
      <sheetName val="8.1676"/>
      <sheetName val="8.1677"/>
      <sheetName val="8.1678"/>
      <sheetName val="8.1679"/>
      <sheetName val="8.1680"/>
      <sheetName val="8.1681"/>
      <sheetName val="8.1682"/>
      <sheetName val="8.1683"/>
      <sheetName val="8.1684"/>
      <sheetName val="8.1685"/>
      <sheetName val="8.1686"/>
      <sheetName val="8.1687"/>
      <sheetName val="8.1688"/>
      <sheetName val="8.1689"/>
      <sheetName val="8.1690"/>
      <sheetName val="8.1691"/>
      <sheetName val="8.1692"/>
      <sheetName val="8.1693"/>
      <sheetName val="8.1694"/>
      <sheetName val="8.1695"/>
      <sheetName val="8.1696"/>
      <sheetName val="8.1697"/>
      <sheetName val="8.1698"/>
      <sheetName val="8.1699"/>
      <sheetName val="8.1700"/>
      <sheetName val="8.1701"/>
      <sheetName val="8.1702"/>
      <sheetName val="8.1703"/>
      <sheetName val="8.1704"/>
      <sheetName val="8.1705"/>
      <sheetName val="8.1706"/>
      <sheetName val="8.1707"/>
      <sheetName val="8.1708"/>
      <sheetName val="8.1709"/>
      <sheetName val="8.1710"/>
      <sheetName val="8.1711"/>
      <sheetName val="8.1712"/>
      <sheetName val="9.1"/>
      <sheetName val="9.1A"/>
      <sheetName val="9.2"/>
      <sheetName val="9.3"/>
      <sheetName val="9.4"/>
      <sheetName val="9.5"/>
      <sheetName val="9.6"/>
      <sheetName val="9.7"/>
      <sheetName val="9.8"/>
      <sheetName val="9.9"/>
      <sheetName val="9.10"/>
      <sheetName val="9.11"/>
      <sheetName val="10.1"/>
      <sheetName val="10.1A"/>
      <sheetName val="10.2"/>
      <sheetName val="10.3"/>
      <sheetName val="10.4"/>
      <sheetName val="10.5"/>
      <sheetName val="10.6"/>
      <sheetName val="10.6A"/>
      <sheetName val="10.7"/>
      <sheetName val="10.8"/>
      <sheetName val="10.8A"/>
      <sheetName val="10.101"/>
      <sheetName val="10.102"/>
      <sheetName val="10.103"/>
      <sheetName val="10.104"/>
      <sheetName val="10.105"/>
      <sheetName val="10.106"/>
      <sheetName val="10.107"/>
      <sheetName val="10.108"/>
      <sheetName val="10.108A"/>
      <sheetName val="10.109"/>
      <sheetName val="10.110"/>
      <sheetName val="10.110A"/>
      <sheetName val="10.110B"/>
      <sheetName val="10.111"/>
      <sheetName val="10.112"/>
      <sheetName val="10.201"/>
      <sheetName val="10.202"/>
      <sheetName val="10.203"/>
      <sheetName val="10.204"/>
      <sheetName val="10.300"/>
      <sheetName val="10.301"/>
      <sheetName val="10.302"/>
      <sheetName val="10.303"/>
      <sheetName val="10.304"/>
      <sheetName val="10.305"/>
      <sheetName val="10.306"/>
      <sheetName val="10.307"/>
      <sheetName val="10.308"/>
      <sheetName val="10.309"/>
      <sheetName val="10.310"/>
      <sheetName val="10.311"/>
      <sheetName val="10.312"/>
      <sheetName val="10.313"/>
      <sheetName val="10.314"/>
      <sheetName val="10.315"/>
      <sheetName val="10.316"/>
      <sheetName val="10.317"/>
      <sheetName val="10.318"/>
      <sheetName val="10.319"/>
      <sheetName val="10.320"/>
      <sheetName val="10.321"/>
      <sheetName val="10.322"/>
      <sheetName val="10.323"/>
      <sheetName val="10.324"/>
      <sheetName val="10.325"/>
      <sheetName val="10.326"/>
      <sheetName val="10.327"/>
      <sheetName val="10.328"/>
      <sheetName val="10.329"/>
      <sheetName val="10.330"/>
      <sheetName val="10.331"/>
      <sheetName val="10.332"/>
      <sheetName val="10.333"/>
      <sheetName val="10.334"/>
      <sheetName val="10.335"/>
      <sheetName val="10.336"/>
      <sheetName val="10.337"/>
      <sheetName val="10.338"/>
      <sheetName val="10.339"/>
      <sheetName val="10.340"/>
      <sheetName val="10.341"/>
      <sheetName val="10.342"/>
      <sheetName val="10.343"/>
      <sheetName val="10.344"/>
      <sheetName val="10.345"/>
      <sheetName val="10.346"/>
      <sheetName val="10.347"/>
      <sheetName val="10.348"/>
      <sheetName val="10.348A"/>
      <sheetName val="10.349"/>
      <sheetName val="10.350"/>
      <sheetName val="10.351"/>
      <sheetName val="10.352"/>
      <sheetName val="10.353"/>
      <sheetName val="10.354"/>
      <sheetName val="10.355"/>
      <sheetName val="10.356"/>
      <sheetName val="10.357"/>
      <sheetName val="10.358"/>
      <sheetName val="10.359"/>
      <sheetName val="10.360"/>
      <sheetName val="10.361"/>
      <sheetName val="10.362"/>
      <sheetName val="10.363"/>
      <sheetName val="10.364"/>
      <sheetName val="10.365"/>
      <sheetName val="10.366"/>
      <sheetName val="10.367"/>
      <sheetName val="10.368"/>
      <sheetName val="10.369"/>
      <sheetName val="10.370"/>
      <sheetName val="10.371"/>
      <sheetName val="10.372"/>
      <sheetName val="10.373"/>
      <sheetName val="10.374"/>
      <sheetName val="10.375"/>
      <sheetName val="10.376"/>
      <sheetName val="10.377"/>
      <sheetName val="10.378"/>
      <sheetName val="10.379"/>
      <sheetName val="10.380"/>
      <sheetName val="10.381"/>
      <sheetName val="10.382"/>
      <sheetName val="10.383"/>
      <sheetName val="10.384"/>
      <sheetName val="10.385"/>
      <sheetName val="10.386"/>
      <sheetName val="10.387"/>
      <sheetName val="10.388"/>
      <sheetName val="10.389"/>
      <sheetName val="10.390"/>
      <sheetName val="10.391"/>
      <sheetName val="10.392"/>
      <sheetName val="10.393"/>
      <sheetName val="10.394"/>
      <sheetName val="10.395"/>
      <sheetName val="10.396"/>
      <sheetName val="10.397"/>
      <sheetName val="10.398"/>
      <sheetName val="10.400"/>
      <sheetName val="10.500"/>
      <sheetName val="10.501"/>
      <sheetName val="10.502"/>
      <sheetName val="10.503"/>
      <sheetName val="10.503A"/>
      <sheetName val="10.504"/>
      <sheetName val="10.504A"/>
      <sheetName val="10.504B"/>
      <sheetName val="10.504C"/>
      <sheetName val="10.505"/>
      <sheetName val="10.505A"/>
      <sheetName val="10.550"/>
      <sheetName val="10.60"/>
      <sheetName val="10.600"/>
      <sheetName val="11.1"/>
      <sheetName val="11.2"/>
      <sheetName val="11.3"/>
      <sheetName val="11.3A"/>
      <sheetName val="11.4"/>
      <sheetName val="11.6"/>
      <sheetName val="11.8"/>
      <sheetName val="11.8B"/>
      <sheetName val="11.8A"/>
      <sheetName val="11.10"/>
      <sheetName val="11.11"/>
      <sheetName val="11.12"/>
      <sheetName val="11.13"/>
      <sheetName val="11.14"/>
      <sheetName val="11.15"/>
      <sheetName val="11.16"/>
      <sheetName val="11.17"/>
      <sheetName val="11.18"/>
      <sheetName val="11.19"/>
      <sheetName val="11.20"/>
      <sheetName val="11.21"/>
      <sheetName val="11.30"/>
      <sheetName val="11.31"/>
      <sheetName val="11.32"/>
      <sheetName val="11.33"/>
      <sheetName val="12.1"/>
      <sheetName val="12.2"/>
      <sheetName val="12.3"/>
      <sheetName val="12.4"/>
      <sheetName val="12.5"/>
      <sheetName val="12.6"/>
      <sheetName val="12.6A"/>
      <sheetName val="12.7"/>
      <sheetName val="12.8"/>
      <sheetName val="13.1"/>
      <sheetName val="13.2"/>
      <sheetName val="13.3"/>
      <sheetName val="14.1"/>
      <sheetName val="14.2"/>
      <sheetName val="18.1"/>
      <sheetName val="18.1.1"/>
      <sheetName val="18.1.2"/>
      <sheetName val="18.1.3"/>
      <sheetName val="18.1.4"/>
      <sheetName val="18.1.5"/>
      <sheetName val="18.1.6"/>
      <sheetName val="19.1"/>
      <sheetName val="19.2"/>
      <sheetName val="19.3"/>
      <sheetName val="19.3A"/>
      <sheetName val="19.4"/>
      <sheetName val="19.5"/>
      <sheetName val="19.6"/>
      <sheetName val="19.7"/>
      <sheetName val="19.8"/>
      <sheetName val="19.8A"/>
      <sheetName val="19.8F"/>
      <sheetName val="19.9"/>
      <sheetName val="19.10"/>
      <sheetName val="19.11"/>
      <sheetName val="19.11A"/>
      <sheetName val="19.12A"/>
      <sheetName val="19.12B"/>
      <sheetName val="19.12C"/>
      <sheetName val="19.13"/>
      <sheetName val="19.13A"/>
      <sheetName val="19.13B"/>
      <sheetName val="19.13C"/>
      <sheetName val="19.14"/>
      <sheetName val="19.14A"/>
      <sheetName val="19.15"/>
      <sheetName val="19.15N"/>
      <sheetName val="19.15N1"/>
      <sheetName val="19.15N2"/>
      <sheetName val="19.15N3"/>
      <sheetName val="19.15N4"/>
      <sheetName val="19.19"/>
      <sheetName val="19.19A"/>
      <sheetName val="19.19B"/>
      <sheetName val="19.15N5"/>
      <sheetName val="19.15N6"/>
      <sheetName val="19.20"/>
      <sheetName val="19.25"/>
      <sheetName val="19.39"/>
      <sheetName val="19.40"/>
      <sheetName val="19.41"/>
      <sheetName val="19.41A"/>
      <sheetName val="19.41AA"/>
      <sheetName val="19.41B"/>
      <sheetName val="19.42"/>
      <sheetName val="19.43"/>
      <sheetName val="19.43A"/>
      <sheetName val="19.44"/>
      <sheetName val="19.45"/>
      <sheetName val="19.46"/>
      <sheetName val="19.47"/>
      <sheetName val="19.48"/>
      <sheetName val="19.49"/>
      <sheetName val="19.50"/>
      <sheetName val="19.50A"/>
      <sheetName val="19.50AA"/>
      <sheetName val="19.51"/>
      <sheetName val="19.52"/>
      <sheetName val="19.52A"/>
      <sheetName val="19.53"/>
      <sheetName val="19.53A"/>
      <sheetName val="19.53B"/>
      <sheetName val="19.53C"/>
      <sheetName val="19.53D"/>
      <sheetName val="19.53E"/>
      <sheetName val="19.53F"/>
      <sheetName val="19.53FF"/>
      <sheetName val="19.53FG"/>
      <sheetName val="19.53G"/>
      <sheetName val="19.53H"/>
      <sheetName val="19.53I"/>
      <sheetName val="19.53K"/>
      <sheetName val="19.53J"/>
      <sheetName val="19.54"/>
      <sheetName val="19.54A"/>
      <sheetName val="19.85"/>
      <sheetName val="19.86"/>
      <sheetName val="19.87"/>
      <sheetName val="19.88"/>
      <sheetName val="19.89"/>
      <sheetName val="19.99"/>
      <sheetName val="19.150"/>
      <sheetName val="19.100"/>
      <sheetName val="19.101"/>
      <sheetName val="19.102"/>
      <sheetName val="19.103"/>
      <sheetName val="20.1.1"/>
      <sheetName val="20.1.2"/>
      <sheetName val="20.1.3"/>
      <sheetName val="20.2.1"/>
      <sheetName val="20.2.2"/>
      <sheetName val="20.3.1"/>
      <sheetName val="20.3.2"/>
      <sheetName val="20.3.3"/>
      <sheetName val="20.4.1"/>
      <sheetName val="20.4.2"/>
      <sheetName val="20.4.3"/>
      <sheetName val="20.5.1"/>
      <sheetName val="20.4.4"/>
      <sheetName val="20.4.5"/>
      <sheetName val="20.5.2"/>
      <sheetName val="20.5.3"/>
      <sheetName val="20.6"/>
      <sheetName val="20.7"/>
      <sheetName val="20.8"/>
      <sheetName val="20.8.1"/>
      <sheetName val="20.8.2"/>
      <sheetName val="20.9"/>
      <sheetName val="20.10"/>
      <sheetName val="20.11"/>
      <sheetName val="20.11.1"/>
      <sheetName val="20.11.2"/>
      <sheetName val="20.11.3"/>
      <sheetName val="20.11A"/>
      <sheetName val="20.11B"/>
      <sheetName val="20.11C"/>
      <sheetName val="20.11D"/>
      <sheetName val="20.12N"/>
      <sheetName val="20.13N"/>
      <sheetName val="20.14N"/>
      <sheetName val="20.15N"/>
      <sheetName val="20.16N"/>
      <sheetName val="20.17N"/>
      <sheetName val="20.18N"/>
      <sheetName val="20.19N"/>
      <sheetName val="20.20N"/>
      <sheetName val="20.21N"/>
      <sheetName val="20.22N"/>
      <sheetName val="20.23N"/>
      <sheetName val="20.24N"/>
      <sheetName val="20.25N"/>
      <sheetName val="20.26N"/>
      <sheetName val="20.27N"/>
      <sheetName val="20.28N"/>
      <sheetName val="20.29N"/>
      <sheetName val="20.30N"/>
      <sheetName val="20.31N"/>
      <sheetName val="20.32N"/>
      <sheetName val="20.33N"/>
      <sheetName val="20.34N"/>
      <sheetName val="20.35N"/>
      <sheetName val="20.36N"/>
      <sheetName val="20.37N"/>
      <sheetName val="20.38J"/>
      <sheetName val="20.39J"/>
      <sheetName val="20.40J"/>
      <sheetName val="20.41J"/>
      <sheetName val="20.42J"/>
      <sheetName val="20.43J"/>
      <sheetName val="20.44J"/>
      <sheetName val="20.45J"/>
      <sheetName val="20.46J"/>
      <sheetName val="20.47J"/>
      <sheetName val="20.48J"/>
      <sheetName val="20.49J"/>
      <sheetName val="20.50J"/>
      <sheetName val="20.51J"/>
      <sheetName val="20.52J"/>
      <sheetName val="20.53J"/>
      <sheetName val="20.54J"/>
      <sheetName val="20.55J"/>
      <sheetName val="20.56J"/>
      <sheetName val="20.57J"/>
      <sheetName val="20.58J"/>
      <sheetName val="20.59J"/>
      <sheetName val="20.60J"/>
      <sheetName val="20.30"/>
      <sheetName val="20.31"/>
      <sheetName val="20.32"/>
      <sheetName val="20.33"/>
      <sheetName val="20.33A"/>
      <sheetName val="20.33B"/>
      <sheetName val="20.34"/>
      <sheetName val="20.40"/>
      <sheetName val="20.41"/>
      <sheetName val="20.42"/>
      <sheetName val="20.43"/>
      <sheetName val="20.44"/>
      <sheetName val="20.46"/>
      <sheetName val="20.45"/>
      <sheetName val="20.45A"/>
      <sheetName val="20.45B"/>
      <sheetName val="20.45C"/>
      <sheetName val="20.45D"/>
      <sheetName val="20.45E"/>
      <sheetName val="20.45F"/>
      <sheetName val="20.47"/>
      <sheetName val="20.48"/>
      <sheetName val="20.49"/>
      <sheetName val="20.50"/>
      <sheetName val="20.51"/>
      <sheetName val="20.52"/>
      <sheetName val="20.53"/>
      <sheetName val="20.54"/>
      <sheetName val="20.55"/>
      <sheetName val="20.56"/>
      <sheetName val="20.57"/>
      <sheetName val="20.57A"/>
      <sheetName val="20.58"/>
      <sheetName val="20.58A"/>
      <sheetName val="20.59"/>
      <sheetName val="20.60"/>
      <sheetName val="20.61"/>
      <sheetName val="20.61J"/>
      <sheetName val="20.62"/>
      <sheetName val="20.63"/>
      <sheetName val="20.64"/>
      <sheetName val="20.65"/>
      <sheetName val="20.66"/>
      <sheetName val="20.67"/>
      <sheetName val="20.68"/>
      <sheetName val="20.69"/>
      <sheetName val="20.70"/>
      <sheetName val="20.71"/>
      <sheetName val="20.72"/>
      <sheetName val="20.73"/>
      <sheetName val="20.74"/>
      <sheetName val="20.75"/>
      <sheetName val="20.76"/>
      <sheetName val="20.77"/>
      <sheetName val="20.78"/>
      <sheetName val="20.79"/>
      <sheetName val="20.80"/>
      <sheetName val="20.81"/>
      <sheetName val="20.82"/>
      <sheetName val="20.83"/>
      <sheetName val="20.84"/>
      <sheetName val="20.85"/>
      <sheetName val="20.86"/>
      <sheetName val="20.87"/>
      <sheetName val="20.88"/>
      <sheetName val="20.89"/>
      <sheetName val="20.90"/>
      <sheetName val="20.91"/>
      <sheetName val="20.92"/>
      <sheetName val="20.92A"/>
      <sheetName val="20.120"/>
      <sheetName val="20.121"/>
      <sheetName val="20.122"/>
      <sheetName val="20.123"/>
      <sheetName val="20.124"/>
      <sheetName val="20.125"/>
      <sheetName val="20.126"/>
      <sheetName val="20.127"/>
      <sheetName val="20.128"/>
      <sheetName val="21.1"/>
      <sheetName val="21.2"/>
      <sheetName val="21.3"/>
      <sheetName val="21.4"/>
      <sheetName val="21.5"/>
      <sheetName val="21.6"/>
      <sheetName val="21.7"/>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30"/>
      <sheetName val="21.31"/>
      <sheetName val="21.32"/>
      <sheetName val="21.33"/>
      <sheetName val="21.34"/>
      <sheetName val="21.35"/>
      <sheetName val="21.36"/>
      <sheetName val="21.37"/>
      <sheetName val="21.38"/>
      <sheetName val="21.39"/>
      <sheetName val="21.40"/>
      <sheetName val="21.41"/>
      <sheetName val="21.42"/>
      <sheetName val="21.43"/>
      <sheetName val="21.44"/>
      <sheetName val="21.45"/>
      <sheetName val="21.46"/>
      <sheetName val="21.47"/>
      <sheetName val="21.48"/>
      <sheetName val="21.49"/>
      <sheetName val="21.50"/>
      <sheetName val="21.51"/>
      <sheetName val="21.52"/>
      <sheetName val="21.53"/>
      <sheetName val="21.54"/>
      <sheetName val="21.55"/>
      <sheetName val="21.56"/>
      <sheetName val="21.57"/>
      <sheetName val="21.58"/>
      <sheetName val="21.59"/>
      <sheetName val="21.60"/>
      <sheetName val="21.61"/>
      <sheetName val="21.62"/>
    </sheetNames>
    <sheetDataSet>
      <sheetData sheetId="0"/>
      <sheetData sheetId="1"/>
      <sheetData sheetId="2"/>
      <sheetData sheetId="3"/>
      <sheetData sheetId="4"/>
      <sheetData sheetId="5">
        <row r="2">
          <cell r="B2" t="str">
            <v>Herramienta Menor (3% MO)</v>
          </cell>
          <cell r="C2" t="str">
            <v>Gl</v>
          </cell>
          <cell r="D2">
            <v>0.03</v>
          </cell>
        </row>
        <row r="3">
          <cell r="B3" t="str">
            <v>Retroexcavadora de Llantas (Incluye Operario)</v>
          </cell>
          <cell r="C3" t="str">
            <v>Dia</v>
          </cell>
          <cell r="D3">
            <v>120000</v>
          </cell>
        </row>
        <row r="4">
          <cell r="B4" t="str">
            <v>Compresor (Incluye. Martillo, Operario, Combustible)</v>
          </cell>
          <cell r="C4" t="str">
            <v>Hr</v>
          </cell>
          <cell r="D4">
            <v>56900</v>
          </cell>
        </row>
        <row r="5">
          <cell r="B5" t="str">
            <v>COMPRESOR</v>
          </cell>
          <cell r="D5">
            <v>55000</v>
          </cell>
        </row>
        <row r="6">
          <cell r="B6" t="str">
            <v>VOLQUETA DE 5 M3</v>
          </cell>
          <cell r="C6" t="str">
            <v>m3</v>
          </cell>
          <cell r="D6">
            <v>10000</v>
          </cell>
        </row>
        <row r="7">
          <cell r="B7" t="str">
            <v>Vibrocompactador a Gasolina Tipo Canguro</v>
          </cell>
          <cell r="C7" t="str">
            <v>Hr</v>
          </cell>
          <cell r="D7">
            <v>5270</v>
          </cell>
        </row>
        <row r="8">
          <cell r="B8" t="str">
            <v>Retroexcavadora de Llantas (Incluye Operario)</v>
          </cell>
          <cell r="C8" t="str">
            <v>HR</v>
          </cell>
          <cell r="D8">
            <v>45000</v>
          </cell>
        </row>
        <row r="9">
          <cell r="B9" t="str">
            <v>Vibrocompactador 10Ton</v>
          </cell>
          <cell r="C9" t="str">
            <v>HR</v>
          </cell>
          <cell r="D9">
            <v>80000</v>
          </cell>
        </row>
        <row r="10">
          <cell r="B10" t="str">
            <v>Pulidora con disco diamantado</v>
          </cell>
          <cell r="C10" t="str">
            <v>Dia</v>
          </cell>
          <cell r="D10">
            <v>21000</v>
          </cell>
        </row>
        <row r="11">
          <cell r="B11" t="str">
            <v>CORTADORA CONCRETO (CORTE)</v>
          </cell>
          <cell r="D11">
            <v>7100</v>
          </cell>
        </row>
        <row r="12">
          <cell r="B12" t="str">
            <v>Finisher</v>
          </cell>
          <cell r="D12">
            <v>1100000</v>
          </cell>
        </row>
        <row r="13">
          <cell r="B13" t="str">
            <v>Vibrador de mezcla (Gasolina)</v>
          </cell>
          <cell r="C13" t="str">
            <v>Dia</v>
          </cell>
          <cell r="D13">
            <v>33659</v>
          </cell>
        </row>
        <row r="14">
          <cell r="B14" t="str">
            <v>Mezcladora Gasolina (1.5-2.0 Btos.)</v>
          </cell>
          <cell r="C14" t="str">
            <v>Dia</v>
          </cell>
          <cell r="D14">
            <v>52593</v>
          </cell>
        </row>
        <row r="15">
          <cell r="B15" t="str">
            <v>Equipo diferencial para 500kg</v>
          </cell>
          <cell r="C15" t="str">
            <v>Día</v>
          </cell>
          <cell r="D15">
            <v>50000</v>
          </cell>
        </row>
        <row r="16">
          <cell r="B16" t="str">
            <v>Herramienta menor</v>
          </cell>
          <cell r="C16" t="str">
            <v>GL</v>
          </cell>
          <cell r="D16">
            <v>3259</v>
          </cell>
        </row>
        <row r="17">
          <cell r="B17" t="str">
            <v>EQUIPO DE SOLDADURA</v>
          </cell>
          <cell r="D17">
            <v>16666.669999999998</v>
          </cell>
        </row>
        <row r="18">
          <cell r="B18" t="str">
            <v>HERRAMIENTA MENOR  (3% MO)</v>
          </cell>
          <cell r="D18">
            <v>3500.6020049999997</v>
          </cell>
        </row>
        <row r="19">
          <cell r="B19" t="str">
            <v>Andamio</v>
          </cell>
          <cell r="C19" t="str">
            <v>Dia</v>
          </cell>
          <cell r="D19">
            <v>300</v>
          </cell>
        </row>
        <row r="20">
          <cell r="B20" t="str">
            <v>PLUMA GRUA (CAP. 250KG)</v>
          </cell>
          <cell r="C20" t="str">
            <v>DIA</v>
          </cell>
          <cell r="D20">
            <v>67280</v>
          </cell>
        </row>
        <row r="22">
          <cell r="B22" t="str">
            <v>RETROEXCAVADORA DE ORUGA</v>
          </cell>
          <cell r="D22">
            <v>90000</v>
          </cell>
        </row>
        <row r="23">
          <cell r="B23" t="str">
            <v>Taladro industrial</v>
          </cell>
          <cell r="C23" t="str">
            <v>DÍA</v>
          </cell>
          <cell r="D23">
            <v>30000</v>
          </cell>
        </row>
        <row r="24">
          <cell r="B24" t="str">
            <v>EQUIPO DE SOLDADURA ELECTRICA</v>
          </cell>
          <cell r="D24">
            <v>50000</v>
          </cell>
        </row>
        <row r="25">
          <cell r="B25" t="str">
            <v>EQUIPO (CORTADORA, SIERRA, ELECTRICO, TALADRO, PULIDORA)</v>
          </cell>
          <cell r="D25">
            <v>2542</v>
          </cell>
        </row>
        <row r="26">
          <cell r="B26" t="str">
            <v>TALADRO INDUSTRIAL</v>
          </cell>
          <cell r="C26" t="str">
            <v>DÍA</v>
          </cell>
          <cell r="D26">
            <v>27450</v>
          </cell>
        </row>
        <row r="27">
          <cell r="B27" t="str">
            <v>Estacion Electronica</v>
          </cell>
          <cell r="C27" t="str">
            <v>Hr</v>
          </cell>
          <cell r="D27">
            <v>6549</v>
          </cell>
        </row>
        <row r="28">
          <cell r="B28" t="str">
            <v>Guadañadora</v>
          </cell>
          <cell r="C28" t="str">
            <v>Hr</v>
          </cell>
          <cell r="D28">
            <v>3848</v>
          </cell>
        </row>
        <row r="29">
          <cell r="B29" t="str">
            <v>Vibrocompactador a Gasolina Tipo Rana</v>
          </cell>
          <cell r="C29" t="str">
            <v>día</v>
          </cell>
          <cell r="D29">
            <v>35910</v>
          </cell>
        </row>
        <row r="30">
          <cell r="B30" t="str">
            <v>COMPACTADOR TANDEN (INC. OPERADOR Y COMBUST.)</v>
          </cell>
          <cell r="C30" t="str">
            <v>día</v>
          </cell>
          <cell r="D30">
            <v>70486.2</v>
          </cell>
        </row>
        <row r="31">
          <cell r="B31" t="str">
            <v>MOTOBOMBA GASOL./ELECT. (5 HP) 3``</v>
          </cell>
          <cell r="C31" t="str">
            <v>mes</v>
          </cell>
          <cell r="D31">
            <v>769500</v>
          </cell>
        </row>
        <row r="32">
          <cell r="B32" t="str">
            <v>Pistola para aplicación de epóxico</v>
          </cell>
          <cell r="C32" t="str">
            <v>día</v>
          </cell>
          <cell r="D32">
            <v>12000</v>
          </cell>
        </row>
        <row r="33">
          <cell r="B33" t="str">
            <v>Paral telescópico (3m)</v>
          </cell>
          <cell r="C33" t="str">
            <v>día</v>
          </cell>
          <cell r="D33">
            <v>309</v>
          </cell>
        </row>
        <row r="34">
          <cell r="B34" t="str">
            <v>Grua hidráulica</v>
          </cell>
          <cell r="C34" t="str">
            <v>día</v>
          </cell>
          <cell r="D34">
            <v>464000</v>
          </cell>
        </row>
        <row r="35">
          <cell r="B35" t="str">
            <v>TIENDE TUBOS CAT, PL61</v>
          </cell>
          <cell r="C35" t="str">
            <v>Hr</v>
          </cell>
          <cell r="D35">
            <v>92682.200000000012</v>
          </cell>
        </row>
        <row r="36">
          <cell r="B36" t="str">
            <v>MAQUINA DE SOLDAR DIESEL, SOBRE LLANTAS, 350 AMP</v>
          </cell>
          <cell r="C36" t="str">
            <v>Hr</v>
          </cell>
          <cell r="D36">
            <v>12000</v>
          </cell>
        </row>
        <row r="37">
          <cell r="B37" t="str">
            <v>Motoniveladora</v>
          </cell>
          <cell r="C37" t="str">
            <v>día</v>
          </cell>
          <cell r="D37">
            <v>129632</v>
          </cell>
        </row>
        <row r="38">
          <cell r="B38" t="str">
            <v>INYECTADORA DE LECHADA (Incluye operario)</v>
          </cell>
          <cell r="C38" t="str">
            <v>Hr</v>
          </cell>
          <cell r="D38">
            <v>27125</v>
          </cell>
        </row>
        <row r="39">
          <cell r="B39" t="str">
            <v>PILOTEADORA sobre Excavadora CAT 330CL</v>
          </cell>
          <cell r="C39" t="str">
            <v>día</v>
          </cell>
          <cell r="D39">
            <v>485417</v>
          </cell>
        </row>
        <row r="40">
          <cell r="B40" t="str">
            <v>Perforadora de rotación sobre horugas</v>
          </cell>
          <cell r="C40" t="str">
            <v>día</v>
          </cell>
          <cell r="D40">
            <v>620872</v>
          </cell>
        </row>
        <row r="41">
          <cell r="B41" t="str">
            <v>Bomba de concreto</v>
          </cell>
          <cell r="C41" t="str">
            <v>hr</v>
          </cell>
          <cell r="D41">
            <v>37412</v>
          </cell>
        </row>
        <row r="42">
          <cell r="B42" t="str">
            <v>Formaleta metálica para muro o losa (1 uso)</v>
          </cell>
          <cell r="C42" t="str">
            <v>m2</v>
          </cell>
          <cell r="D42">
            <v>11745</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VC 4&quot; 32,5 "/>
      <sheetName val="PVC  4&quot; 26"/>
      <sheetName val="PVC 3&quot; 32,5"/>
      <sheetName val="PVC 3&quot; 26"/>
      <sheetName val="PVC 3&quot; 21"/>
      <sheetName val="PVC 21,2&quot; 26"/>
      <sheetName val="PVC 2&quot; 26"/>
      <sheetName val="PVC 1 1,2&quot; 21"/>
      <sheetName val="PVC 1 1,4&quot; 21"/>
      <sheetName val="PVC 1&quot; 21"/>
      <sheetName val="PVC 3,4&quot; 21"/>
      <sheetName val="PVC 1,2&quot; 13,5"/>
      <sheetName val="UNION 1 1,2&quot;"/>
      <sheetName val="UNION 1 1,4&quot;"/>
      <sheetName val="UNION 1&quot;"/>
      <sheetName val="UNION 3,4&quot;"/>
      <sheetName val="UNION 1 ,2&quot;"/>
      <sheetName val="REDUCCION 4&quot;3&quot;"/>
      <sheetName val="REDUCCION 3&quot;2 1,2&quot;"/>
      <sheetName val="REDUCCION 2 1,2&quot; 2&quot; "/>
      <sheetName val="BUJES 2&quot; 1 1,2&quot;"/>
      <sheetName val="BUJE 1 1,2&quot; 1 1,4&quot;"/>
      <sheetName val="BUJE 1 1,2&quot; 1&quot;"/>
      <sheetName val="BUJE 1 1,4&quot; 1&quot;"/>
      <sheetName val="BUJE 1 1,4&quot; 3,4&quot;"/>
      <sheetName val="BUJE 1&quot; 3,4&quot;"/>
      <sheetName val="BUJE 1&quot; 1,2&quot;"/>
      <sheetName val="BUJE 3,4&quot; 1,2&quot;"/>
      <sheetName val="TEE 1,2"/>
      <sheetName val="TEE 1 1.2&quot;"/>
      <sheetName val="TEE 1 1.4&quot;"/>
      <sheetName val="TEE 1&quot;"/>
      <sheetName val="TEE 1&quot; 3.4&quot;"/>
      <sheetName val="TEE 3.4&quot; 1.2&quot;"/>
      <sheetName val="VAL CORT 2 1.2&quot;"/>
      <sheetName val="VAL CORT 2&quot;"/>
      <sheetName val="VAL CORT 1 1.2&quot;"/>
      <sheetName val="VAL CORT 1 1.4&quot;"/>
      <sheetName val="COLLAR 4&quot; 1.2&quot;"/>
      <sheetName val="COLLAR 3&quot; 1.2&quot;"/>
      <sheetName val="COLLAR 2 1.2&quot; 1.2&quot;"/>
      <sheetName val="COLLAR 2&quot; 1.2&quot;"/>
      <sheetName val="ENCOFRADO PVC"/>
      <sheetName val="VIADUCTO"/>
      <sheetName val="CAM QUIEB 1,5X1,2X1(1)"/>
      <sheetName val="CAM QUIEB 1,5X1,2X1 (2)"/>
      <sheetName val="CAJILLA VALVULA"/>
    </sheetNames>
    <sheetDataSet>
      <sheetData sheetId="0">
        <row r="1">
          <cell r="A1" t="str">
            <v>REFERENCIA</v>
          </cell>
          <cell r="B1" t="str">
            <v>DESCRIPCION</v>
          </cell>
          <cell r="C1" t="str">
            <v>UND</v>
          </cell>
          <cell r="D1" t="str">
            <v>VR/ UNIT</v>
          </cell>
        </row>
        <row r="2">
          <cell r="A2">
            <v>1</v>
          </cell>
          <cell r="B2" t="str">
            <v>PUNTILLA PROMEDIO</v>
          </cell>
          <cell r="C2" t="str">
            <v>LB</v>
          </cell>
          <cell r="D2">
            <v>2000</v>
          </cell>
        </row>
        <row r="3">
          <cell r="A3">
            <v>2</v>
          </cell>
          <cell r="B3" t="str">
            <v>POLIN</v>
          </cell>
          <cell r="C3" t="str">
            <v>ML</v>
          </cell>
          <cell r="D3">
            <v>1200</v>
          </cell>
        </row>
        <row r="4">
          <cell r="A4">
            <v>3</v>
          </cell>
          <cell r="B4" t="str">
            <v>CERCO</v>
          </cell>
          <cell r="C4" t="str">
            <v>ML</v>
          </cell>
          <cell r="D4">
            <v>2000</v>
          </cell>
        </row>
        <row r="5">
          <cell r="A5">
            <v>4</v>
          </cell>
          <cell r="B5" t="str">
            <v>ALAMBRE NEGRO No. 18</v>
          </cell>
          <cell r="C5" t="str">
            <v>KG</v>
          </cell>
          <cell r="D5">
            <v>2600</v>
          </cell>
          <cell r="F5" t="str">
            <v>OFICIAL</v>
          </cell>
        </row>
        <row r="6">
          <cell r="A6">
            <v>5</v>
          </cell>
          <cell r="B6" t="str">
            <v>CEMENTO</v>
          </cell>
          <cell r="C6" t="str">
            <v>KG</v>
          </cell>
          <cell r="D6">
            <v>400</v>
          </cell>
          <cell r="G6">
            <v>10000</v>
          </cell>
        </row>
        <row r="7">
          <cell r="A7">
            <v>6</v>
          </cell>
          <cell r="B7" t="str">
            <v>ARENA</v>
          </cell>
          <cell r="C7" t="str">
            <v>M3</v>
          </cell>
          <cell r="D7">
            <v>50000</v>
          </cell>
        </row>
        <row r="8">
          <cell r="A8">
            <v>7</v>
          </cell>
          <cell r="B8" t="str">
            <v>AGUA</v>
          </cell>
          <cell r="C8" t="str">
            <v>LT</v>
          </cell>
          <cell r="D8">
            <v>2</v>
          </cell>
        </row>
        <row r="9">
          <cell r="A9">
            <v>8</v>
          </cell>
          <cell r="B9" t="str">
            <v>GRAVILLA DE 1/2</v>
          </cell>
          <cell r="C9" t="str">
            <v>M3</v>
          </cell>
          <cell r="D9">
            <v>70000</v>
          </cell>
        </row>
        <row r="10">
          <cell r="A10">
            <v>9</v>
          </cell>
          <cell r="B10" t="str">
            <v>MEZCLADORA</v>
          </cell>
          <cell r="C10" t="str">
            <v>DIA</v>
          </cell>
          <cell r="D10">
            <v>45000</v>
          </cell>
          <cell r="G10">
            <v>0.85</v>
          </cell>
        </row>
        <row r="11">
          <cell r="A11">
            <v>10</v>
          </cell>
          <cell r="B11" t="str">
            <v>VIBRADOR</v>
          </cell>
          <cell r="C11" t="str">
            <v>DIA</v>
          </cell>
          <cell r="D11">
            <v>25000</v>
          </cell>
        </row>
        <row r="12">
          <cell r="A12">
            <v>11</v>
          </cell>
          <cell r="B12" t="str">
            <v>IMPERMEABILIZANTE</v>
          </cell>
          <cell r="C12" t="str">
            <v>LT</v>
          </cell>
          <cell r="D12">
            <v>7500</v>
          </cell>
        </row>
        <row r="13">
          <cell r="A13">
            <v>12</v>
          </cell>
          <cell r="B13" t="str">
            <v>ACERO DE REFUERZO</v>
          </cell>
          <cell r="C13" t="str">
            <v>KG</v>
          </cell>
          <cell r="D13">
            <v>2400</v>
          </cell>
        </row>
        <row r="14">
          <cell r="A14">
            <v>13</v>
          </cell>
          <cell r="B14" t="str">
            <v>TUBO PVC - P 4" U-Z RDE 26</v>
          </cell>
          <cell r="C14" t="str">
            <v>TUBO</v>
          </cell>
          <cell r="D14">
            <v>35500</v>
          </cell>
        </row>
        <row r="15">
          <cell r="A15">
            <v>14</v>
          </cell>
          <cell r="B15" t="str">
            <v>LUBRICANTE</v>
          </cell>
          <cell r="C15" t="str">
            <v>GL</v>
          </cell>
          <cell r="D15">
            <v>4500</v>
          </cell>
        </row>
        <row r="16">
          <cell r="A16">
            <v>15</v>
          </cell>
          <cell r="B16" t="str">
            <v>TUBO PVC - P 3/4" RDE 21</v>
          </cell>
          <cell r="C16" t="str">
            <v>ML</v>
          </cell>
          <cell r="D16">
            <v>2500</v>
          </cell>
        </row>
        <row r="17">
          <cell r="A17">
            <v>16</v>
          </cell>
          <cell r="B17" t="str">
            <v>LIMPIADOR Y SOLUCION</v>
          </cell>
          <cell r="C17" t="str">
            <v>GL</v>
          </cell>
          <cell r="D17">
            <v>6000</v>
          </cell>
        </row>
        <row r="18">
          <cell r="A18">
            <v>17</v>
          </cell>
          <cell r="B18" t="str">
            <v>UNION PVC 3/4"</v>
          </cell>
          <cell r="C18" t="str">
            <v>UN</v>
          </cell>
          <cell r="D18">
            <v>580</v>
          </cell>
        </row>
        <row r="19">
          <cell r="A19">
            <v>18</v>
          </cell>
          <cell r="B19" t="str">
            <v>TUBO PVC - P 2" U-Z</v>
          </cell>
          <cell r="C19" t="str">
            <v>ML</v>
          </cell>
          <cell r="D19">
            <v>15000</v>
          </cell>
        </row>
        <row r="20">
          <cell r="A20">
            <v>19</v>
          </cell>
          <cell r="B20" t="str">
            <v>TUBO PVC - P 1 1/2"</v>
          </cell>
          <cell r="C20" t="str">
            <v>ML</v>
          </cell>
          <cell r="D20">
            <v>12000</v>
          </cell>
        </row>
        <row r="21">
          <cell r="A21">
            <v>20</v>
          </cell>
          <cell r="B21" t="str">
            <v>UNION PVC 1 1/2"</v>
          </cell>
          <cell r="C21" t="str">
            <v>UN</v>
          </cell>
          <cell r="D21">
            <v>2350</v>
          </cell>
        </row>
        <row r="22">
          <cell r="A22">
            <v>21</v>
          </cell>
          <cell r="B22" t="str">
            <v>TUBO PVC - P 1"</v>
          </cell>
          <cell r="C22" t="str">
            <v>ML</v>
          </cell>
          <cell r="D22">
            <v>5200</v>
          </cell>
        </row>
        <row r="23">
          <cell r="A23">
            <v>22</v>
          </cell>
          <cell r="B23" t="str">
            <v>UNION PVC - P 1"</v>
          </cell>
          <cell r="C23" t="str">
            <v>UN</v>
          </cell>
          <cell r="D23">
            <v>950</v>
          </cell>
        </row>
        <row r="24">
          <cell r="A24">
            <v>23</v>
          </cell>
          <cell r="B24" t="str">
            <v>TUBO 1/2" PVC - P RDE 13,5</v>
          </cell>
          <cell r="C24" t="str">
            <v>ML</v>
          </cell>
          <cell r="D24">
            <v>1500</v>
          </cell>
        </row>
        <row r="25">
          <cell r="A25">
            <v>24</v>
          </cell>
          <cell r="B25" t="str">
            <v>ACCESORIOS PVC</v>
          </cell>
          <cell r="C25" t="str">
            <v>UN</v>
          </cell>
          <cell r="D25">
            <v>600</v>
          </cell>
        </row>
        <row r="26">
          <cell r="A26">
            <v>25</v>
          </cell>
          <cell r="B26" t="str">
            <v>VALVULA CORTINA 4" HF</v>
          </cell>
          <cell r="C26" t="str">
            <v>UN</v>
          </cell>
          <cell r="D26">
            <v>780000</v>
          </cell>
        </row>
        <row r="27">
          <cell r="A27">
            <v>26</v>
          </cell>
          <cell r="B27" t="str">
            <v>TUBERIA SANITARIA PVC 4" DE REBOSO</v>
          </cell>
          <cell r="C27" t="str">
            <v>TUBO</v>
          </cell>
          <cell r="D27">
            <v>35500</v>
          </cell>
        </row>
        <row r="28">
          <cell r="A28">
            <v>27</v>
          </cell>
          <cell r="B28" t="str">
            <v>CODO PVC - S 4" 90º</v>
          </cell>
          <cell r="C28" t="str">
            <v>UN</v>
          </cell>
          <cell r="D28">
            <v>11700</v>
          </cell>
        </row>
        <row r="29">
          <cell r="A29">
            <v>28</v>
          </cell>
          <cell r="B29" t="str">
            <v>TUBO PVC - P U-Z 1 1/4" RDE 21</v>
          </cell>
          <cell r="C29" t="str">
            <v>ML</v>
          </cell>
          <cell r="D29">
            <v>14400</v>
          </cell>
        </row>
        <row r="30">
          <cell r="A30">
            <v>29</v>
          </cell>
          <cell r="B30" t="str">
            <v>VALVULA DE REGISTRO DE 1/2"</v>
          </cell>
          <cell r="C30" t="str">
            <v>UN</v>
          </cell>
          <cell r="D30">
            <v>12000</v>
          </cell>
        </row>
        <row r="31">
          <cell r="A31">
            <v>30</v>
          </cell>
          <cell r="B31" t="str">
            <v>ADAPTADOR MACHO PVC - P 1/2"</v>
          </cell>
          <cell r="C31" t="str">
            <v>UN</v>
          </cell>
          <cell r="D31">
            <v>390</v>
          </cell>
        </row>
        <row r="32">
          <cell r="A32">
            <v>31</v>
          </cell>
          <cell r="B32" t="str">
            <v>ADAPTADOR HEMBRA PVC - P 1/2"</v>
          </cell>
          <cell r="C32" t="str">
            <v>UN</v>
          </cell>
          <cell r="D32">
            <v>800</v>
          </cell>
        </row>
        <row r="33">
          <cell r="A33">
            <v>32</v>
          </cell>
          <cell r="B33" t="str">
            <v>NIPLE HG (1/2*0,60 - 1/2*,2 - 1/2*1,50)</v>
          </cell>
          <cell r="C33" t="str">
            <v>UN</v>
          </cell>
          <cell r="D33">
            <v>22000</v>
          </cell>
        </row>
        <row r="34">
          <cell r="A34">
            <v>33</v>
          </cell>
          <cell r="B34" t="str">
            <v>CODO HG 1/2"*90- UNION HG 1/2"</v>
          </cell>
          <cell r="C34" t="str">
            <v>UN</v>
          </cell>
          <cell r="D34">
            <v>4000</v>
          </cell>
        </row>
        <row r="35">
          <cell r="A35">
            <v>34</v>
          </cell>
          <cell r="B35" t="str">
            <v>LLAVE TERMINAL DE 1/2"</v>
          </cell>
          <cell r="C35" t="str">
            <v>UN</v>
          </cell>
          <cell r="D35">
            <v>12000</v>
          </cell>
        </row>
        <row r="36">
          <cell r="A36">
            <v>35</v>
          </cell>
          <cell r="B36" t="str">
            <v>MICROMEDIDOR DE 1/2"</v>
          </cell>
          <cell r="C36" t="str">
            <v>UN</v>
          </cell>
          <cell r="D36">
            <v>65000</v>
          </cell>
        </row>
        <row r="37">
          <cell r="A37">
            <v>36</v>
          </cell>
          <cell r="B37" t="str">
            <v>VALVULA DE BOLA DE 1 1/2</v>
          </cell>
          <cell r="C37" t="str">
            <v>UN</v>
          </cell>
          <cell r="D37">
            <v>35000</v>
          </cell>
        </row>
        <row r="38">
          <cell r="A38">
            <v>37</v>
          </cell>
          <cell r="B38" t="str">
            <v>TEE PVC  1/2"</v>
          </cell>
          <cell r="C38" t="str">
            <v>UN</v>
          </cell>
          <cell r="D38">
            <v>8400</v>
          </cell>
        </row>
        <row r="39">
          <cell r="A39">
            <v>38</v>
          </cell>
          <cell r="B39" t="str">
            <v>ADAPTADOR MACHO PVC - P 1 1/2"</v>
          </cell>
          <cell r="C39" t="str">
            <v>UN</v>
          </cell>
          <cell r="D39">
            <v>3700</v>
          </cell>
        </row>
        <row r="40">
          <cell r="A40">
            <v>39</v>
          </cell>
          <cell r="B40" t="str">
            <v>VALVULA CORTINA 1"</v>
          </cell>
          <cell r="C40" t="str">
            <v>UN</v>
          </cell>
          <cell r="D40">
            <v>35000</v>
          </cell>
        </row>
        <row r="41">
          <cell r="A41">
            <v>40</v>
          </cell>
          <cell r="B41" t="str">
            <v>ADAPTADOR MACHO DE 1"</v>
          </cell>
          <cell r="C41" t="str">
            <v>UN</v>
          </cell>
          <cell r="D41">
            <v>1480</v>
          </cell>
        </row>
        <row r="42">
          <cell r="A42">
            <v>41</v>
          </cell>
          <cell r="B42" t="str">
            <v>VENTOSA DOBLE ACCION 1/2"</v>
          </cell>
          <cell r="C42" t="str">
            <v>UN</v>
          </cell>
          <cell r="D42">
            <v>180000</v>
          </cell>
        </row>
        <row r="43">
          <cell r="A43">
            <v>42</v>
          </cell>
          <cell r="B43" t="str">
            <v>COLLAR DE DERIVACION  DE 2"x1/2"</v>
          </cell>
          <cell r="C43" t="str">
            <v>UN</v>
          </cell>
          <cell r="D43">
            <v>5000</v>
          </cell>
        </row>
        <row r="44">
          <cell r="A44">
            <v>43</v>
          </cell>
          <cell r="B44" t="str">
            <v>NIPLE HG 1/2" * 0,50</v>
          </cell>
          <cell r="C44" t="str">
            <v>UN</v>
          </cell>
          <cell r="D44">
            <v>8000</v>
          </cell>
        </row>
        <row r="45">
          <cell r="A45">
            <v>44</v>
          </cell>
          <cell r="B45" t="str">
            <v>FLOTADOR Y ACCESORIOS</v>
          </cell>
          <cell r="C45" t="str">
            <v>GL</v>
          </cell>
          <cell r="D45">
            <v>264500</v>
          </cell>
        </row>
        <row r="46">
          <cell r="A46">
            <v>45</v>
          </cell>
          <cell r="B46" t="str">
            <v>CADENA HG 3/4"</v>
          </cell>
          <cell r="C46" t="str">
            <v>GL</v>
          </cell>
          <cell r="D46">
            <v>20000</v>
          </cell>
        </row>
        <row r="47">
          <cell r="A47">
            <v>46</v>
          </cell>
          <cell r="B47" t="str">
            <v>LIMPADOR Y SOLDADURA PVC 1/4 GAL</v>
          </cell>
          <cell r="C47" t="str">
            <v>GL</v>
          </cell>
          <cell r="D47">
            <v>60000</v>
          </cell>
        </row>
        <row r="48">
          <cell r="A48">
            <v>47</v>
          </cell>
          <cell r="B48" t="str">
            <v>UNION PVC - P 1/2"</v>
          </cell>
          <cell r="C48" t="str">
            <v>UN</v>
          </cell>
          <cell r="D48">
            <v>366</v>
          </cell>
        </row>
        <row r="49">
          <cell r="A49">
            <v>48</v>
          </cell>
          <cell r="B49" t="str">
            <v>VALVULA PURGA 3/4</v>
          </cell>
          <cell r="C49" t="str">
            <v>UN</v>
          </cell>
          <cell r="D49">
            <v>20000</v>
          </cell>
        </row>
        <row r="50">
          <cell r="A50">
            <v>49</v>
          </cell>
          <cell r="B50" t="str">
            <v>VALVULA DE CONTROL DE 3/4</v>
          </cell>
          <cell r="C50" t="str">
            <v>UN</v>
          </cell>
          <cell r="D50">
            <v>20000</v>
          </cell>
        </row>
        <row r="51">
          <cell r="A51">
            <v>50</v>
          </cell>
          <cell r="B51" t="str">
            <v>ADAPTADOR MACHO DE 3/4"</v>
          </cell>
          <cell r="C51" t="str">
            <v>UN</v>
          </cell>
          <cell r="D51">
            <v>708</v>
          </cell>
        </row>
        <row r="52">
          <cell r="A52">
            <v>51</v>
          </cell>
          <cell r="B52" t="str">
            <v>DESVIO Y RETORNO  DE LA FUENTE</v>
          </cell>
          <cell r="C52" t="str">
            <v>GL</v>
          </cell>
          <cell r="D52">
            <v>440000</v>
          </cell>
        </row>
        <row r="53">
          <cell r="A53">
            <v>52</v>
          </cell>
          <cell r="B53" t="str">
            <v>TABLA BURRA 30 cm</v>
          </cell>
          <cell r="C53" t="str">
            <v>ML</v>
          </cell>
          <cell r="D53">
            <v>2600</v>
          </cell>
        </row>
        <row r="54">
          <cell r="A54">
            <v>53</v>
          </cell>
          <cell r="B54" t="str">
            <v xml:space="preserve">PIEDRA MEDIA ZONGA </v>
          </cell>
          <cell r="C54" t="str">
            <v>M3</v>
          </cell>
          <cell r="D54">
            <v>22000</v>
          </cell>
        </row>
        <row r="55">
          <cell r="A55">
            <v>54</v>
          </cell>
          <cell r="B55" t="str">
            <v>HIERRO 3/8" A - 37</v>
          </cell>
          <cell r="C55" t="str">
            <v>KG</v>
          </cell>
          <cell r="D55">
            <v>2500</v>
          </cell>
        </row>
        <row r="56">
          <cell r="A56">
            <v>55</v>
          </cell>
          <cell r="B56" t="str">
            <v>HIERRO 1/2" A - 60</v>
          </cell>
          <cell r="C56" t="str">
            <v>KG</v>
          </cell>
          <cell r="D56">
            <v>2500</v>
          </cell>
        </row>
        <row r="57">
          <cell r="A57">
            <v>56</v>
          </cell>
          <cell r="B57" t="str">
            <v>HIERRO 5/8" A - 60</v>
          </cell>
          <cell r="C57" t="str">
            <v>KG</v>
          </cell>
          <cell r="D57">
            <v>2500</v>
          </cell>
        </row>
        <row r="58">
          <cell r="A58">
            <v>57</v>
          </cell>
          <cell r="B58" t="str">
            <v>HOJA DE CEGETA</v>
          </cell>
          <cell r="C58" t="str">
            <v>UN</v>
          </cell>
          <cell r="D58">
            <v>2000</v>
          </cell>
        </row>
        <row r="59">
          <cell r="A59">
            <v>58</v>
          </cell>
          <cell r="B59" t="str">
            <v>ANGULO 1 1/4" x 3 /16"</v>
          </cell>
          <cell r="C59" t="str">
            <v>ML</v>
          </cell>
          <cell r="D59">
            <v>5500</v>
          </cell>
        </row>
        <row r="60">
          <cell r="A60">
            <v>59</v>
          </cell>
          <cell r="B60" t="str">
            <v>SOLDADURA 60 13</v>
          </cell>
          <cell r="C60" t="str">
            <v>KG</v>
          </cell>
          <cell r="D60">
            <v>9500</v>
          </cell>
        </row>
        <row r="61">
          <cell r="A61">
            <v>60</v>
          </cell>
          <cell r="B61" t="str">
            <v>BISABRA TIPO CAPSULA</v>
          </cell>
          <cell r="C61" t="str">
            <v>UN</v>
          </cell>
          <cell r="D61">
            <v>1500</v>
          </cell>
        </row>
        <row r="62">
          <cell r="A62">
            <v>61</v>
          </cell>
          <cell r="B62" t="str">
            <v>PINTURA ANTICORROSIVO</v>
          </cell>
          <cell r="C62" t="str">
            <v>GL</v>
          </cell>
          <cell r="D62">
            <v>22500</v>
          </cell>
        </row>
        <row r="63">
          <cell r="A63">
            <v>62</v>
          </cell>
          <cell r="B63" t="str">
            <v>ADATADOR PVC 4"</v>
          </cell>
          <cell r="C63" t="str">
            <v>UN</v>
          </cell>
          <cell r="D63">
            <v>12000</v>
          </cell>
        </row>
        <row r="64">
          <cell r="A64">
            <v>63</v>
          </cell>
          <cell r="B64" t="str">
            <v>UNION PVC DE 4"</v>
          </cell>
          <cell r="C64" t="str">
            <v>UN</v>
          </cell>
          <cell r="D64">
            <v>4200</v>
          </cell>
        </row>
        <row r="65">
          <cell r="A65">
            <v>64</v>
          </cell>
          <cell r="B65" t="str">
            <v>TUBERIA PVC RDE 32,5 DE 4" UM</v>
          </cell>
          <cell r="C65" t="str">
            <v>TUBO</v>
          </cell>
          <cell r="D65">
            <v>85000</v>
          </cell>
        </row>
        <row r="66">
          <cell r="A66">
            <v>65</v>
          </cell>
          <cell r="B66" t="str">
            <v>TUBERIA PVC RDE 26 DE 4" UM</v>
          </cell>
          <cell r="C66" t="str">
            <v>TUBO</v>
          </cell>
        </row>
        <row r="67">
          <cell r="A67">
            <v>66</v>
          </cell>
          <cell r="B67" t="str">
            <v>TUBERIA PVC RDE 32,5 DE 3" UM</v>
          </cell>
          <cell r="C67" t="str">
            <v>TUBO</v>
          </cell>
        </row>
        <row r="68">
          <cell r="A68">
            <v>67</v>
          </cell>
          <cell r="B68" t="str">
            <v>TUBERIA PVC RDE 26 DE 3" UM</v>
          </cell>
          <cell r="C68" t="str">
            <v>TUBO</v>
          </cell>
        </row>
        <row r="69">
          <cell r="A69">
            <v>68</v>
          </cell>
          <cell r="B69" t="str">
            <v>TUBERIA PVC RDE 21 DE 3" UM</v>
          </cell>
          <cell r="C69" t="str">
            <v>TUBO</v>
          </cell>
        </row>
        <row r="70">
          <cell r="A70">
            <v>69</v>
          </cell>
          <cell r="B70" t="str">
            <v>TUBERIA PVC RDE 26 DE 2 1/2" UM</v>
          </cell>
          <cell r="C70" t="str">
            <v>TUBO</v>
          </cell>
        </row>
        <row r="71">
          <cell r="A71">
            <v>70</v>
          </cell>
          <cell r="B71" t="str">
            <v>TUBERIA PVC RDE 26 DE 2" UM</v>
          </cell>
          <cell r="C71" t="str">
            <v>TUBO</v>
          </cell>
        </row>
        <row r="72">
          <cell r="A72">
            <v>71</v>
          </cell>
          <cell r="B72" t="str">
            <v>TUBERIA PVC RDE 21 DE 1 1/2" US</v>
          </cell>
          <cell r="C72" t="str">
            <v>TUBO</v>
          </cell>
        </row>
        <row r="73">
          <cell r="A73">
            <v>72</v>
          </cell>
          <cell r="B73" t="str">
            <v>TUBERIA PVC RDE 21 DE 1 1/4" US</v>
          </cell>
          <cell r="C73" t="str">
            <v>TUBO</v>
          </cell>
        </row>
        <row r="74">
          <cell r="A74">
            <v>73</v>
          </cell>
          <cell r="B74" t="str">
            <v>TUBERIA PVC RDE 21 DE 1" US</v>
          </cell>
          <cell r="C74" t="str">
            <v>TUBO</v>
          </cell>
        </row>
        <row r="75">
          <cell r="A75">
            <v>74</v>
          </cell>
          <cell r="B75" t="str">
            <v>TUBERIA PVC RDE 21 DE 3/4" US</v>
          </cell>
          <cell r="C75" t="str">
            <v>TUBO</v>
          </cell>
        </row>
        <row r="76">
          <cell r="A76">
            <v>75</v>
          </cell>
          <cell r="B76" t="str">
            <v>TUBERIA PVC RDE 13,5 DE 1/2" US</v>
          </cell>
          <cell r="C76" t="str">
            <v>TUBO</v>
          </cell>
        </row>
        <row r="77">
          <cell r="A77">
            <v>76</v>
          </cell>
          <cell r="B77" t="str">
            <v>UNION PVC DE 1 1/2"</v>
          </cell>
          <cell r="C77" t="str">
            <v>UN</v>
          </cell>
        </row>
        <row r="78">
          <cell r="A78">
            <v>77</v>
          </cell>
          <cell r="B78" t="str">
            <v>UNION PVC DE 1 1/4"</v>
          </cell>
          <cell r="C78" t="str">
            <v>UN</v>
          </cell>
        </row>
        <row r="79">
          <cell r="A79">
            <v>78</v>
          </cell>
          <cell r="B79" t="str">
            <v>UNION PVC DE 1 "</v>
          </cell>
          <cell r="C79" t="str">
            <v>UN</v>
          </cell>
        </row>
        <row r="80">
          <cell r="A80">
            <v>79</v>
          </cell>
          <cell r="B80" t="str">
            <v>UNION PVC DE 3/4"</v>
          </cell>
          <cell r="C80" t="str">
            <v>UN</v>
          </cell>
        </row>
        <row r="81">
          <cell r="A81">
            <v>80</v>
          </cell>
          <cell r="B81" t="str">
            <v>UNION PVC DE 1/2"</v>
          </cell>
          <cell r="C81" t="str">
            <v>UN</v>
          </cell>
        </row>
        <row r="82">
          <cell r="A82">
            <v>81</v>
          </cell>
          <cell r="B82" t="str">
            <v>REDUCCION  PVC DE 4"x 3"</v>
          </cell>
          <cell r="C82" t="str">
            <v>UN</v>
          </cell>
        </row>
        <row r="83">
          <cell r="A83">
            <v>82</v>
          </cell>
          <cell r="B83" t="str">
            <v>REDUCCION  PVC DE 3"x 2 1/2"</v>
          </cell>
          <cell r="C83" t="str">
            <v>UN</v>
          </cell>
        </row>
        <row r="84">
          <cell r="A84">
            <v>83</v>
          </cell>
          <cell r="B84" t="str">
            <v>REDUCCION  PVC DE 2 1 /2"x 2"</v>
          </cell>
          <cell r="C84" t="str">
            <v>UN</v>
          </cell>
        </row>
        <row r="85">
          <cell r="A85">
            <v>84</v>
          </cell>
          <cell r="B85" t="str">
            <v>BUJE SOLDADO PVC DE 2"x 1 1/2"</v>
          </cell>
          <cell r="C85" t="str">
            <v>UN</v>
          </cell>
        </row>
        <row r="86">
          <cell r="A86">
            <v>85</v>
          </cell>
          <cell r="B86" t="str">
            <v>BUJE SOLDADO PVC DE 1 1/2"x 1 1/4"</v>
          </cell>
          <cell r="C86" t="str">
            <v>UN</v>
          </cell>
        </row>
        <row r="87">
          <cell r="A87">
            <v>86</v>
          </cell>
          <cell r="B87" t="str">
            <v>BUJE SOLDADO PVC DE 1  1/2"x 1 "</v>
          </cell>
          <cell r="C87" t="str">
            <v>UN</v>
          </cell>
        </row>
        <row r="88">
          <cell r="A88">
            <v>87</v>
          </cell>
          <cell r="B88" t="str">
            <v>BUJE SOLDADO PVC DE 1 1/4"x 1"</v>
          </cell>
          <cell r="C88" t="str">
            <v>UN</v>
          </cell>
        </row>
        <row r="89">
          <cell r="A89">
            <v>88</v>
          </cell>
          <cell r="B89" t="str">
            <v>BUJE SOLDADO PVC DE 1  1/4"x 3/4"</v>
          </cell>
          <cell r="C89" t="str">
            <v>UN</v>
          </cell>
        </row>
        <row r="90">
          <cell r="A90">
            <v>89</v>
          </cell>
          <cell r="B90" t="str">
            <v>BUJE SOLDADO PVC DE 1"x 3/4"</v>
          </cell>
          <cell r="C90" t="str">
            <v>UN</v>
          </cell>
        </row>
        <row r="91">
          <cell r="A91">
            <v>90</v>
          </cell>
          <cell r="B91" t="str">
            <v>BUJE SOLDADO PVC DE 1"x 1/2"</v>
          </cell>
          <cell r="C91" t="str">
            <v>UN</v>
          </cell>
        </row>
        <row r="92">
          <cell r="A92">
            <v>91</v>
          </cell>
          <cell r="B92" t="str">
            <v>BUJE SOLDADO PVC DE 3/4"x 1/2"</v>
          </cell>
          <cell r="C92" t="str">
            <v>UN</v>
          </cell>
        </row>
        <row r="93">
          <cell r="A93">
            <v>92</v>
          </cell>
          <cell r="B93" t="str">
            <v>TEE PVC DE 1 1/2"</v>
          </cell>
          <cell r="C93" t="str">
            <v>UN</v>
          </cell>
        </row>
        <row r="94">
          <cell r="A94">
            <v>93</v>
          </cell>
          <cell r="B94" t="str">
            <v>TEE PVC DE 1 1/4"</v>
          </cell>
          <cell r="C94" t="str">
            <v>UN</v>
          </cell>
        </row>
        <row r="95">
          <cell r="A95">
            <v>94</v>
          </cell>
          <cell r="B95" t="str">
            <v>TEE PVC DE 1"</v>
          </cell>
          <cell r="C95" t="str">
            <v>UN</v>
          </cell>
        </row>
        <row r="96">
          <cell r="A96">
            <v>95</v>
          </cell>
          <cell r="B96" t="str">
            <v>TEE PVC REDUCIDA DE 1"x3/4"</v>
          </cell>
          <cell r="C96" t="str">
            <v>UN</v>
          </cell>
        </row>
        <row r="97">
          <cell r="A97">
            <v>96</v>
          </cell>
          <cell r="B97" t="str">
            <v>TEE PVC REDUCIDA DE 3/4"x1/2"</v>
          </cell>
          <cell r="C97" t="str">
            <v>UN</v>
          </cell>
        </row>
        <row r="98">
          <cell r="A98">
            <v>97</v>
          </cell>
          <cell r="B98" t="str">
            <v>VALVULA DE CORTINA DE 2  1 /2"</v>
          </cell>
          <cell r="C98" t="str">
            <v>UN</v>
          </cell>
        </row>
        <row r="99">
          <cell r="A99">
            <v>98</v>
          </cell>
          <cell r="B99" t="str">
            <v>VALVULA DE CORTINA DE 2"</v>
          </cell>
          <cell r="C99" t="str">
            <v>UN</v>
          </cell>
        </row>
        <row r="100">
          <cell r="A100">
            <v>99</v>
          </cell>
          <cell r="B100" t="str">
            <v>VALVULA DE CORTINA DE 1 1 /2"</v>
          </cell>
          <cell r="C100" t="str">
            <v>UN</v>
          </cell>
        </row>
        <row r="101">
          <cell r="A101">
            <v>100</v>
          </cell>
          <cell r="B101" t="str">
            <v>VALVULA DE CORTINA DE 1 1 /4"</v>
          </cell>
          <cell r="C101" t="str">
            <v>UN</v>
          </cell>
        </row>
        <row r="102">
          <cell r="A102">
            <v>101</v>
          </cell>
          <cell r="B102" t="str">
            <v>COLLAR DE DERIVACION  DE 4"x1/2"</v>
          </cell>
          <cell r="C102" t="str">
            <v>UN</v>
          </cell>
        </row>
        <row r="103">
          <cell r="A103">
            <v>102</v>
          </cell>
          <cell r="B103" t="str">
            <v>COLLAR DE DERIVACION  DE 3"x1/2"</v>
          </cell>
          <cell r="C103" t="str">
            <v>UN</v>
          </cell>
        </row>
        <row r="104">
          <cell r="A104">
            <v>103</v>
          </cell>
          <cell r="B104" t="str">
            <v>COLLAR DE DERIVACION  DE 2 1/2"x1/2"</v>
          </cell>
          <cell r="C104" t="str">
            <v>UN</v>
          </cell>
        </row>
        <row r="105">
          <cell r="A105">
            <v>104</v>
          </cell>
        </row>
        <row r="106">
          <cell r="A106">
            <v>105</v>
          </cell>
        </row>
        <row r="107">
          <cell r="A107">
            <v>106</v>
          </cell>
        </row>
        <row r="108">
          <cell r="A108">
            <v>107</v>
          </cell>
        </row>
        <row r="109">
          <cell r="A109">
            <v>108</v>
          </cell>
        </row>
        <row r="110">
          <cell r="A110">
            <v>109</v>
          </cell>
        </row>
        <row r="111">
          <cell r="A111">
            <v>110</v>
          </cell>
        </row>
        <row r="112">
          <cell r="A112">
            <v>111</v>
          </cell>
        </row>
        <row r="113">
          <cell r="A113">
            <v>112</v>
          </cell>
        </row>
        <row r="114">
          <cell r="A114">
            <v>113</v>
          </cell>
        </row>
        <row r="115">
          <cell r="A115">
            <v>114</v>
          </cell>
        </row>
        <row r="116">
          <cell r="A116">
            <v>115</v>
          </cell>
        </row>
        <row r="117">
          <cell r="A117">
            <v>116</v>
          </cell>
        </row>
        <row r="118">
          <cell r="A118">
            <v>117</v>
          </cell>
        </row>
        <row r="119">
          <cell r="A119">
            <v>118</v>
          </cell>
        </row>
        <row r="120">
          <cell r="A120">
            <v>119</v>
          </cell>
        </row>
        <row r="121">
          <cell r="A121">
            <v>120</v>
          </cell>
        </row>
        <row r="122">
          <cell r="A122">
            <v>121</v>
          </cell>
        </row>
        <row r="123">
          <cell r="A123">
            <v>122</v>
          </cell>
        </row>
        <row r="124">
          <cell r="A124">
            <v>123</v>
          </cell>
        </row>
        <row r="125">
          <cell r="A125">
            <v>124</v>
          </cell>
        </row>
        <row r="126">
          <cell r="A126">
            <v>125</v>
          </cell>
        </row>
        <row r="127">
          <cell r="A127">
            <v>126</v>
          </cell>
        </row>
        <row r="128">
          <cell r="A128">
            <v>127</v>
          </cell>
        </row>
        <row r="129">
          <cell r="A129">
            <v>128</v>
          </cell>
        </row>
        <row r="130">
          <cell r="A130">
            <v>129</v>
          </cell>
        </row>
        <row r="131">
          <cell r="A131">
            <v>130</v>
          </cell>
        </row>
        <row r="132">
          <cell r="A132">
            <v>131</v>
          </cell>
        </row>
        <row r="133">
          <cell r="A133">
            <v>132</v>
          </cell>
        </row>
        <row r="134">
          <cell r="A134">
            <v>133</v>
          </cell>
        </row>
        <row r="135">
          <cell r="A135">
            <v>134</v>
          </cell>
        </row>
        <row r="136">
          <cell r="A136">
            <v>135</v>
          </cell>
        </row>
        <row r="137">
          <cell r="A137">
            <v>136</v>
          </cell>
        </row>
        <row r="138">
          <cell r="A138">
            <v>137</v>
          </cell>
        </row>
        <row r="139">
          <cell r="A139">
            <v>138</v>
          </cell>
        </row>
        <row r="140">
          <cell r="A140">
            <v>139</v>
          </cell>
        </row>
        <row r="141">
          <cell r="A141">
            <v>140</v>
          </cell>
        </row>
        <row r="142">
          <cell r="A142">
            <v>141</v>
          </cell>
        </row>
        <row r="143">
          <cell r="A143">
            <v>142</v>
          </cell>
        </row>
        <row r="144">
          <cell r="A144">
            <v>143</v>
          </cell>
        </row>
        <row r="145">
          <cell r="A145">
            <v>144</v>
          </cell>
        </row>
        <row r="146">
          <cell r="A146">
            <v>145</v>
          </cell>
        </row>
        <row r="147">
          <cell r="A147">
            <v>146</v>
          </cell>
        </row>
        <row r="148">
          <cell r="A148">
            <v>147</v>
          </cell>
        </row>
        <row r="149">
          <cell r="A149">
            <v>148</v>
          </cell>
        </row>
        <row r="150">
          <cell r="A150">
            <v>149</v>
          </cell>
        </row>
        <row r="151">
          <cell r="A151">
            <v>150</v>
          </cell>
        </row>
        <row r="152">
          <cell r="A152">
            <v>151</v>
          </cell>
        </row>
        <row r="153">
          <cell r="A153">
            <v>152</v>
          </cell>
        </row>
        <row r="154">
          <cell r="A154">
            <v>153</v>
          </cell>
        </row>
        <row r="155">
          <cell r="A155">
            <v>154</v>
          </cell>
        </row>
        <row r="156">
          <cell r="A156">
            <v>155</v>
          </cell>
        </row>
        <row r="157">
          <cell r="A157">
            <v>156</v>
          </cell>
        </row>
        <row r="158">
          <cell r="A158">
            <v>157</v>
          </cell>
        </row>
        <row r="159">
          <cell r="A159">
            <v>158</v>
          </cell>
        </row>
        <row r="160">
          <cell r="A160">
            <v>159</v>
          </cell>
        </row>
        <row r="161">
          <cell r="A161">
            <v>160</v>
          </cell>
        </row>
        <row r="162">
          <cell r="A162">
            <v>161</v>
          </cell>
        </row>
        <row r="163">
          <cell r="A163">
            <v>162</v>
          </cell>
        </row>
        <row r="164">
          <cell r="A164">
            <v>163</v>
          </cell>
        </row>
        <row r="165">
          <cell r="A165">
            <v>164</v>
          </cell>
        </row>
        <row r="166">
          <cell r="A166">
            <v>165</v>
          </cell>
        </row>
        <row r="167">
          <cell r="A167">
            <v>166</v>
          </cell>
        </row>
        <row r="168">
          <cell r="A168">
            <v>167</v>
          </cell>
        </row>
        <row r="169">
          <cell r="A169">
            <v>168</v>
          </cell>
        </row>
        <row r="170">
          <cell r="A170">
            <v>169</v>
          </cell>
        </row>
        <row r="171">
          <cell r="A171">
            <v>170</v>
          </cell>
        </row>
        <row r="172">
          <cell r="A172">
            <v>171</v>
          </cell>
        </row>
        <row r="173">
          <cell r="A173">
            <v>172</v>
          </cell>
        </row>
        <row r="174">
          <cell r="A174">
            <v>173</v>
          </cell>
        </row>
        <row r="175">
          <cell r="A175">
            <v>174</v>
          </cell>
        </row>
        <row r="176">
          <cell r="A176">
            <v>175</v>
          </cell>
        </row>
        <row r="177">
          <cell r="A177">
            <v>176</v>
          </cell>
        </row>
        <row r="178">
          <cell r="A178">
            <v>177</v>
          </cell>
        </row>
        <row r="179">
          <cell r="A179">
            <v>178</v>
          </cell>
        </row>
        <row r="180">
          <cell r="A180">
            <v>179</v>
          </cell>
        </row>
        <row r="181">
          <cell r="A181">
            <v>180</v>
          </cell>
        </row>
        <row r="182">
          <cell r="A182">
            <v>181</v>
          </cell>
        </row>
        <row r="183">
          <cell r="A183">
            <v>182</v>
          </cell>
        </row>
        <row r="184">
          <cell r="A184">
            <v>183</v>
          </cell>
        </row>
        <row r="185">
          <cell r="A185">
            <v>184</v>
          </cell>
        </row>
        <row r="186">
          <cell r="A186">
            <v>185</v>
          </cell>
        </row>
        <row r="187">
          <cell r="A187">
            <v>186</v>
          </cell>
        </row>
        <row r="188">
          <cell r="A188">
            <v>187</v>
          </cell>
        </row>
        <row r="189">
          <cell r="A189">
            <v>188</v>
          </cell>
        </row>
        <row r="190">
          <cell r="A190">
            <v>189</v>
          </cell>
        </row>
        <row r="191">
          <cell r="A191">
            <v>190</v>
          </cell>
        </row>
        <row r="192">
          <cell r="A192">
            <v>191</v>
          </cell>
        </row>
        <row r="193">
          <cell r="A193">
            <v>192</v>
          </cell>
        </row>
        <row r="194">
          <cell r="A194">
            <v>193</v>
          </cell>
        </row>
        <row r="195">
          <cell r="A195">
            <v>194</v>
          </cell>
        </row>
        <row r="196">
          <cell r="A196">
            <v>195</v>
          </cell>
        </row>
        <row r="197">
          <cell r="A197">
            <v>196</v>
          </cell>
        </row>
        <row r="198">
          <cell r="A198">
            <v>197</v>
          </cell>
        </row>
        <row r="199">
          <cell r="A199">
            <v>198</v>
          </cell>
        </row>
        <row r="200">
          <cell r="A200">
            <v>199</v>
          </cell>
        </row>
        <row r="201">
          <cell r="A201">
            <v>200</v>
          </cell>
        </row>
        <row r="202">
          <cell r="A202">
            <v>201</v>
          </cell>
        </row>
        <row r="203">
          <cell r="A203">
            <v>202</v>
          </cell>
        </row>
        <row r="204">
          <cell r="A204">
            <v>203</v>
          </cell>
        </row>
        <row r="205">
          <cell r="A205">
            <v>204</v>
          </cell>
        </row>
        <row r="206">
          <cell r="A206">
            <v>205</v>
          </cell>
        </row>
        <row r="207">
          <cell r="A207">
            <v>206</v>
          </cell>
        </row>
        <row r="208">
          <cell r="A208">
            <v>207</v>
          </cell>
        </row>
        <row r="209">
          <cell r="A209">
            <v>208</v>
          </cell>
        </row>
        <row r="210">
          <cell r="A210">
            <v>209</v>
          </cell>
        </row>
        <row r="211">
          <cell r="A211">
            <v>210</v>
          </cell>
        </row>
        <row r="212">
          <cell r="A212">
            <v>211</v>
          </cell>
        </row>
        <row r="213">
          <cell r="A213">
            <v>212</v>
          </cell>
        </row>
        <row r="214">
          <cell r="A214">
            <v>213</v>
          </cell>
        </row>
        <row r="215">
          <cell r="A215">
            <v>214</v>
          </cell>
        </row>
        <row r="216">
          <cell r="A216">
            <v>215</v>
          </cell>
        </row>
        <row r="217">
          <cell r="A217">
            <v>216</v>
          </cell>
        </row>
        <row r="218">
          <cell r="A218">
            <v>217</v>
          </cell>
        </row>
        <row r="219">
          <cell r="A219">
            <v>218</v>
          </cell>
        </row>
        <row r="220">
          <cell r="A220">
            <v>219</v>
          </cell>
        </row>
        <row r="221">
          <cell r="A221">
            <v>220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EQUIP"/>
      <sheetName val="ESTADO VÍA-CRIT.TECNICO"/>
      <sheetName val="L_PRECIOS"/>
      <sheetName val="MOR_1-5"/>
      <sheetName val="ACERO0_A-37"/>
      <sheetName val="ACERO_PDR-60"/>
      <sheetName val="REPLANTEO_Y_TRAZADO"/>
      <sheetName val="EXCAV__REDES"/>
      <sheetName val="EXCAV_CIMIENTO"/>
      <sheetName val="RELLENO__RECEBO_COMPAC"/>
      <sheetName val="ALISTADO_DE_PISO_e=_0,04"/>
      <sheetName val="VIGA_CIMENTA,15_x_20"/>
      <sheetName val="VIGA_AEREA_(0,15x_20)_"/>
      <sheetName val="COL(,15X_20)"/>
      <sheetName val="VIGA_CINTA_DE_AMARRE"/>
      <sheetName val="MAMPOSTERIA__TOLETE"/>
      <sheetName val="MAMPOSTERIA_BLOQUE_N°5"/>
      <sheetName val="CUBIE_ASBESTO_CEMEN_TEJ_N°6_"/>
      <sheetName val="CUBIE_ASBESTO_CEMEN_TEJ_N°8"/>
      <sheetName val="PAÑETE_LISO"/>
      <sheetName val="PLACA_DE_CONTRAPISO_e=0,06"/>
      <sheetName val="PLACA_TANQUE_e=0,10"/>
      <sheetName val="INST_MARCOS"/>
      <sheetName val="INSTAL__VENTANA_"/>
      <sheetName val="INSTAL__PUERTAS"/>
      <sheetName val="ENCNAPE_COCINA"/>
      <sheetName val="ENCHAPE_BAÑO_PISO"/>
      <sheetName val="ENCHAPE_BAÑO_PARED"/>
      <sheetName val="PISO_CERAMICA"/>
      <sheetName val="INST__VIDRIOS"/>
      <sheetName val="ESTUCO_Y_PINTURA_TIPO1"/>
      <sheetName val="VINILO_S-PAÑETE_2_MANOS"/>
      <sheetName val="LADRIL_A_LA_VISTA"/>
      <sheetName val="INST__Y_SUMINISTRO_BAÑO"/>
      <sheetName val="INST__TANQUE"/>
      <sheetName val="ASEO_GENERAL"/>
      <sheetName val="PUNTO_SANITARIO_3&quot;"/>
      <sheetName val="PUNTO_SANIT2&quot;"/>
      <sheetName val="PUNTO_SANIT_4&quot;"/>
      <sheetName val="PUNTO_SANITN_6&quot;"/>
      <sheetName val="RED_HIDRAULICA"/>
      <sheetName val="TUBERIA_GRES_4&quot;"/>
      <sheetName val="CINSPEC_7x_7"/>
      <sheetName val="LAMPARA_TOMECON"/>
      <sheetName val="POLO_TIERRA"/>
      <sheetName val="TABLER_PARCIAL4CIRC"/>
      <sheetName val="RED_ELECTRICA"/>
      <sheetName val="LAVADERO_PREFABRICADO"/>
      <sheetName val="EXPLAN_Y_COMP_VIA"/>
      <sheetName val="BASE_RECEBO"/>
      <sheetName val="SUB_BASE"/>
      <sheetName val="EXCAVACION_BORDILLO"/>
      <sheetName val="INSTL_BORDILLO_PREFABRICADO"/>
      <sheetName val="ESTADO_VÍA-CRIT_TECNICO"/>
      <sheetName val="L_PRECIOS1"/>
      <sheetName val="MOR_1-51"/>
      <sheetName val="ACERO0_A-371"/>
      <sheetName val="ACERO_PDR-601"/>
      <sheetName val="REPLANTEO_Y_TRAZADO1"/>
      <sheetName val="EXCAV__REDES1"/>
      <sheetName val="EXCAV_CIMIENTO1"/>
      <sheetName val="RELLENO__RECEBO_COMPAC1"/>
      <sheetName val="ALISTADO_DE_PISO_e=_0,041"/>
      <sheetName val="VIGA_CIMENTA,15_x_201"/>
      <sheetName val="VIGA_AEREA_(0,15x_20)_1"/>
      <sheetName val="COL(,15X_20)1"/>
      <sheetName val="VIGA_CINTA_DE_AMARRE1"/>
      <sheetName val="MAMPOSTERIA__TOLETE1"/>
      <sheetName val="MAMPOSTERIA_BLOQUE_N°51"/>
      <sheetName val="CUBIE_ASBESTO_CEMEN_TEJ_N°6_1"/>
      <sheetName val="CUBIE_ASBESTO_CEMEN_TEJ_N°81"/>
      <sheetName val="PAÑETE_LISO1"/>
      <sheetName val="PLACA_DE_CONTRAPISO_e=0,061"/>
      <sheetName val="PLACA_TANQUE_e=0,101"/>
      <sheetName val="INST_MARCOS1"/>
      <sheetName val="INSTAL__VENTANA_1"/>
      <sheetName val="INSTAL__PUERTAS1"/>
      <sheetName val="ENCNAPE_COCINA1"/>
      <sheetName val="ENCHAPE_BAÑO_PISO1"/>
      <sheetName val="ENCHAPE_BAÑO_PARED1"/>
      <sheetName val="PISO_CERAMICA1"/>
      <sheetName val="INST__VIDRIOS1"/>
      <sheetName val="ESTUCO_Y_PINTURA_TIPO11"/>
      <sheetName val="VINILO_S-PAÑETE_2_MANOS1"/>
      <sheetName val="LADRIL_A_LA_VISTA1"/>
      <sheetName val="INST__Y_SUMINISTRO_BAÑO1"/>
      <sheetName val="INST__TANQUE1"/>
      <sheetName val="ASEO_GENERAL1"/>
      <sheetName val="PUNTO_SANITARIO_3&quot;1"/>
      <sheetName val="PUNTO_SANIT2&quot;1"/>
      <sheetName val="PUNTO_SANIT_4&quot;1"/>
      <sheetName val="PUNTO_SANITN_6&quot;1"/>
      <sheetName val="RED_HIDRAULICA1"/>
      <sheetName val="TUBERIA_GRES_4&quot;1"/>
      <sheetName val="CINSPEC_7x_71"/>
      <sheetName val="LAMPARA_TOMECON1"/>
      <sheetName val="POLO_TIERRA1"/>
      <sheetName val="TABLER_PARCIAL4CIRC1"/>
      <sheetName val="RED_ELECTRICA1"/>
      <sheetName val="LAVADERO_PREFABRICADO1"/>
      <sheetName val="EXPLAN_Y_COMP_VIA1"/>
      <sheetName val="BASE_RECEBO1"/>
      <sheetName val="SUB_BASE1"/>
      <sheetName val="EXCAVACION_BORDILLO1"/>
      <sheetName val="INSTL_BORDILLO_PREFABRICADO1"/>
      <sheetName val="ESTADO_VÍA-CRIT_TECNICO1"/>
      <sheetName val="L_PRECIOS2"/>
      <sheetName val="MOR_1-52"/>
      <sheetName val="ACERO0_A-372"/>
      <sheetName val="ACERO_PDR-602"/>
      <sheetName val="REPLANTEO_Y_TRAZADO2"/>
      <sheetName val="EXCAV__REDES2"/>
      <sheetName val="EXCAV_CIMIENTO2"/>
      <sheetName val="RELLENO__RECEBO_COMPAC2"/>
      <sheetName val="ALISTADO_DE_PISO_e=_0,042"/>
      <sheetName val="VIGA_CIMENTA,15_x_202"/>
      <sheetName val="VIGA_AEREA_(0,15x_20)_2"/>
      <sheetName val="COL(,15X_20)2"/>
      <sheetName val="VIGA_CINTA_DE_AMARRE2"/>
      <sheetName val="MAMPOSTERIA__TOLETE2"/>
      <sheetName val="MAMPOSTERIA_BLOQUE_N°52"/>
      <sheetName val="CUBIE_ASBESTO_CEMEN_TEJ_N°6_2"/>
      <sheetName val="CUBIE_ASBESTO_CEMEN_TEJ_N°82"/>
      <sheetName val="PAÑETE_LISO2"/>
      <sheetName val="PLACA_DE_CONTRAPISO_e=0,062"/>
      <sheetName val="PLACA_TANQUE_e=0,102"/>
      <sheetName val="INST_MARCOS2"/>
      <sheetName val="INSTAL__VENTANA_2"/>
      <sheetName val="INSTAL__PUERTAS2"/>
      <sheetName val="ENCNAPE_COCINA2"/>
      <sheetName val="ENCHAPE_BAÑO_PISO2"/>
      <sheetName val="ENCHAPE_BAÑO_PARED2"/>
      <sheetName val="PISO_CERAMICA2"/>
      <sheetName val="INST__VIDRIOS2"/>
      <sheetName val="ESTUCO_Y_PINTURA_TIPO12"/>
      <sheetName val="VINILO_S-PAÑETE_2_MANOS2"/>
      <sheetName val="LADRIL_A_LA_VISTA2"/>
      <sheetName val="INST__Y_SUMINISTRO_BAÑO2"/>
      <sheetName val="INST__TANQUE2"/>
      <sheetName val="ASEO_GENERAL2"/>
      <sheetName val="PUNTO_SANITARIO_3&quot;2"/>
      <sheetName val="PUNTO_SANIT2&quot;2"/>
      <sheetName val="PUNTO_SANIT_4&quot;2"/>
      <sheetName val="PUNTO_SANITN_6&quot;2"/>
      <sheetName val="RED_HIDRAULICA2"/>
      <sheetName val="TUBERIA_GRES_4&quot;2"/>
      <sheetName val="CINSPEC_7x_72"/>
      <sheetName val="LAMPARA_TOMECON2"/>
      <sheetName val="POLO_TIERRA2"/>
      <sheetName val="TABLER_PARCIAL4CIRC2"/>
      <sheetName val="RED_ELECTRICA2"/>
      <sheetName val="LAVADERO_PREFABRICADO2"/>
      <sheetName val="EXPLAN_Y_COMP_VIA2"/>
      <sheetName val="BASE_RECEBO2"/>
      <sheetName val="SUB_BASE2"/>
      <sheetName val="EXCAVACION_BORDILLO2"/>
      <sheetName val="INSTL_BORDILLO_PREFABRICADO2"/>
      <sheetName val="ESTADO_VÍA-CRIT_TECNICO2"/>
      <sheetName val="L_PRECIOS4"/>
      <sheetName val="MOR_1-54"/>
      <sheetName val="ACERO0_A-374"/>
      <sheetName val="ACERO_PDR-604"/>
      <sheetName val="REPLANTEO_Y_TRAZADO4"/>
      <sheetName val="EXCAV__REDES4"/>
      <sheetName val="EXCAV_CIMIENTO4"/>
      <sheetName val="RELLENO__RECEBO_COMPAC4"/>
      <sheetName val="ALISTADO_DE_PISO_e=_0,044"/>
      <sheetName val="VIGA_CIMENTA,15_x_204"/>
      <sheetName val="VIGA_AEREA_(0,15x_20)_4"/>
      <sheetName val="COL(,15X_20)4"/>
      <sheetName val="VIGA_CINTA_DE_AMARRE4"/>
      <sheetName val="MAMPOSTERIA__TOLETE4"/>
      <sheetName val="MAMPOSTERIA_BLOQUE_N°54"/>
      <sheetName val="CUBIE_ASBESTO_CEMEN_TEJ_N°6_4"/>
      <sheetName val="CUBIE_ASBESTO_CEMEN_TEJ_N°84"/>
      <sheetName val="PAÑETE_LISO4"/>
      <sheetName val="PLACA_DE_CONTRAPISO_e=0,064"/>
      <sheetName val="PLACA_TANQUE_e=0,104"/>
      <sheetName val="INST_MARCOS4"/>
      <sheetName val="INSTAL__VENTANA_4"/>
      <sheetName val="INSTAL__PUERTAS4"/>
      <sheetName val="ENCNAPE_COCINA4"/>
      <sheetName val="ENCHAPE_BAÑO_PISO4"/>
      <sheetName val="ENCHAPE_BAÑO_PARED4"/>
      <sheetName val="PISO_CERAMICA4"/>
      <sheetName val="INST__VIDRIOS4"/>
      <sheetName val="ESTUCO_Y_PINTURA_TIPO14"/>
      <sheetName val="VINILO_S-PAÑETE_2_MANOS4"/>
      <sheetName val="LADRIL_A_LA_VISTA4"/>
      <sheetName val="INST__Y_SUMINISTRO_BAÑO4"/>
      <sheetName val="INST__TANQUE4"/>
      <sheetName val="ASEO_GENERAL4"/>
      <sheetName val="PUNTO_SANITARIO_3&quot;4"/>
      <sheetName val="PUNTO_SANIT2&quot;4"/>
      <sheetName val="PUNTO_SANIT_4&quot;4"/>
      <sheetName val="PUNTO_SANITN_6&quot;4"/>
      <sheetName val="RED_HIDRAULICA4"/>
      <sheetName val="TUBERIA_GRES_4&quot;4"/>
      <sheetName val="CINSPEC_7x_74"/>
      <sheetName val="LAMPARA_TOMECON4"/>
      <sheetName val="POLO_TIERRA4"/>
      <sheetName val="TABLER_PARCIAL4CIRC4"/>
      <sheetName val="RED_ELECTRICA4"/>
      <sheetName val="LAVADERO_PREFABRICADO4"/>
      <sheetName val="EXPLAN_Y_COMP_VIA4"/>
      <sheetName val="BASE_RECEBO4"/>
      <sheetName val="SUB_BASE4"/>
      <sheetName val="EXCAVACION_BORDILLO4"/>
      <sheetName val="INSTL_BORDILLO_PREFABRICADO4"/>
      <sheetName val="ESTADO_VÍA-CRIT_TECNICO4"/>
      <sheetName val="L_PRECIOS3"/>
      <sheetName val="MOR_1-53"/>
      <sheetName val="ACERO0_A-373"/>
      <sheetName val="ACERO_PDR-603"/>
      <sheetName val="REPLANTEO_Y_TRAZADO3"/>
      <sheetName val="EXCAV__REDES3"/>
      <sheetName val="EXCAV_CIMIENTO3"/>
      <sheetName val="RELLENO__RECEBO_COMPAC3"/>
      <sheetName val="ALISTADO_DE_PISO_e=_0,043"/>
      <sheetName val="VIGA_CIMENTA,15_x_203"/>
      <sheetName val="VIGA_AEREA_(0,15x_20)_3"/>
      <sheetName val="COL(,15X_20)3"/>
      <sheetName val="VIGA_CINTA_DE_AMARRE3"/>
      <sheetName val="MAMPOSTERIA__TOLETE3"/>
      <sheetName val="MAMPOSTERIA_BLOQUE_N°53"/>
      <sheetName val="CUBIE_ASBESTO_CEMEN_TEJ_N°6_3"/>
      <sheetName val="CUBIE_ASBESTO_CEMEN_TEJ_N°83"/>
      <sheetName val="PAÑETE_LISO3"/>
      <sheetName val="PLACA_DE_CONTRAPISO_e=0,063"/>
      <sheetName val="PLACA_TANQUE_e=0,103"/>
      <sheetName val="INST_MARCOS3"/>
      <sheetName val="INSTAL__VENTANA_3"/>
      <sheetName val="INSTAL__PUERTAS3"/>
      <sheetName val="ENCNAPE_COCINA3"/>
      <sheetName val="ENCHAPE_BAÑO_PISO3"/>
      <sheetName val="ENCHAPE_BAÑO_PARED3"/>
      <sheetName val="PISO_CERAMICA3"/>
      <sheetName val="INST__VIDRIOS3"/>
      <sheetName val="ESTUCO_Y_PINTURA_TIPO13"/>
      <sheetName val="VINILO_S-PAÑETE_2_MANOS3"/>
      <sheetName val="LADRIL_A_LA_VISTA3"/>
      <sheetName val="INST__Y_SUMINISTRO_BAÑO3"/>
      <sheetName val="INST__TANQUE3"/>
      <sheetName val="ASEO_GENERAL3"/>
      <sheetName val="PUNTO_SANITARIO_3&quot;3"/>
      <sheetName val="PUNTO_SANIT2&quot;3"/>
      <sheetName val="PUNTO_SANIT_4&quot;3"/>
      <sheetName val="PUNTO_SANITN_6&quot;3"/>
      <sheetName val="RED_HIDRAULICA3"/>
      <sheetName val="TUBERIA_GRES_4&quot;3"/>
      <sheetName val="CINSPEC_7x_73"/>
      <sheetName val="LAMPARA_TOMECON3"/>
      <sheetName val="POLO_TIERRA3"/>
      <sheetName val="TABLER_PARCIAL4CIRC3"/>
      <sheetName val="RED_ELECTRICA3"/>
      <sheetName val="LAVADERO_PREFABRICADO3"/>
      <sheetName val="EXPLAN_Y_COMP_VIA3"/>
      <sheetName val="BASE_RECEBO3"/>
      <sheetName val="SUB_BASE3"/>
      <sheetName val="EXCAVACION_BORDILLO3"/>
      <sheetName val="INSTL_BORDILLO_PREFABRICADO3"/>
      <sheetName val="ESTADO_VÍA-CRIT_TECNICO3"/>
      <sheetName val="L_PRECIOS6"/>
      <sheetName val="MOR_1-56"/>
      <sheetName val="ACERO0_A-376"/>
      <sheetName val="ACERO_PDR-606"/>
      <sheetName val="REPLANTEO_Y_TRAZADO6"/>
      <sheetName val="EXCAV__REDES6"/>
      <sheetName val="EXCAV_CIMIENTO6"/>
      <sheetName val="RELLENO__RECEBO_COMPAC6"/>
      <sheetName val="ALISTADO_DE_PISO_e=_0,046"/>
      <sheetName val="VIGA_CIMENTA,15_x_206"/>
      <sheetName val="VIGA_AEREA_(0,15x_20)_6"/>
      <sheetName val="COL(,15X_20)6"/>
      <sheetName val="VIGA_CINTA_DE_AMARRE6"/>
      <sheetName val="MAMPOSTERIA__TOLETE6"/>
      <sheetName val="MAMPOSTERIA_BLOQUE_N°56"/>
      <sheetName val="CUBIE_ASBESTO_CEMEN_TEJ_N°6_6"/>
      <sheetName val="CUBIE_ASBESTO_CEMEN_TEJ_N°86"/>
      <sheetName val="PAÑETE_LISO6"/>
      <sheetName val="PLACA_DE_CONTRAPISO_e=0,066"/>
      <sheetName val="PLACA_TANQUE_e=0,106"/>
      <sheetName val="INST_MARCOS6"/>
      <sheetName val="INSTAL__VENTANA_6"/>
      <sheetName val="INSTAL__PUERTAS6"/>
      <sheetName val="ENCNAPE_COCINA6"/>
      <sheetName val="ENCHAPE_BAÑO_PISO6"/>
      <sheetName val="ENCHAPE_BAÑO_PARED6"/>
      <sheetName val="PISO_CERAMICA6"/>
      <sheetName val="INST__VIDRIOS6"/>
      <sheetName val="ESTUCO_Y_PINTURA_TIPO16"/>
      <sheetName val="VINILO_S-PAÑETE_2_MANOS6"/>
      <sheetName val="LADRIL_A_LA_VISTA6"/>
      <sheetName val="INST__Y_SUMINISTRO_BAÑO6"/>
      <sheetName val="INST__TANQUE6"/>
      <sheetName val="ASEO_GENERAL6"/>
      <sheetName val="PUNTO_SANITARIO_3&quot;6"/>
      <sheetName val="PUNTO_SANIT2&quot;6"/>
      <sheetName val="PUNTO_SANIT_4&quot;6"/>
      <sheetName val="PUNTO_SANITN_6&quot;6"/>
      <sheetName val="RED_HIDRAULICA6"/>
      <sheetName val="TUBERIA_GRES_4&quot;6"/>
      <sheetName val="CINSPEC_7x_76"/>
      <sheetName val="LAMPARA_TOMECON6"/>
      <sheetName val="POLO_TIERRA6"/>
      <sheetName val="TABLER_PARCIAL4CIRC6"/>
      <sheetName val="RED_ELECTRICA6"/>
      <sheetName val="LAVADERO_PREFABRICADO6"/>
      <sheetName val="EXPLAN_Y_COMP_VIA6"/>
      <sheetName val="BASE_RECEBO6"/>
      <sheetName val="SUB_BASE6"/>
      <sheetName val="EXCAVACION_BORDILLO6"/>
      <sheetName val="INSTL_BORDILLO_PREFABRICADO6"/>
      <sheetName val="ESTADO_VÍA-CRIT_TECNICO6"/>
      <sheetName val="L_PRECIOS5"/>
      <sheetName val="MOR_1-55"/>
      <sheetName val="ACERO0_A-375"/>
      <sheetName val="ACERO_PDR-605"/>
      <sheetName val="REPLANTEO_Y_TRAZADO5"/>
      <sheetName val="EXCAV__REDES5"/>
      <sheetName val="EXCAV_CIMIENTO5"/>
      <sheetName val="RELLENO__RECEBO_COMPAC5"/>
      <sheetName val="ALISTADO_DE_PISO_e=_0,045"/>
      <sheetName val="VIGA_CIMENTA,15_x_205"/>
      <sheetName val="VIGA_AEREA_(0,15x_20)_5"/>
      <sheetName val="COL(,15X_20)5"/>
      <sheetName val="VIGA_CINTA_DE_AMARRE5"/>
      <sheetName val="MAMPOSTERIA__TOLETE5"/>
      <sheetName val="MAMPOSTERIA_BLOQUE_N°55"/>
      <sheetName val="CUBIE_ASBESTO_CEMEN_TEJ_N°6_5"/>
      <sheetName val="CUBIE_ASBESTO_CEMEN_TEJ_N°85"/>
      <sheetName val="PAÑETE_LISO5"/>
      <sheetName val="PLACA_DE_CONTRAPISO_e=0,065"/>
      <sheetName val="PLACA_TANQUE_e=0,105"/>
      <sheetName val="INST_MARCOS5"/>
      <sheetName val="INSTAL__VENTANA_5"/>
      <sheetName val="INSTAL__PUERTAS5"/>
      <sheetName val="ENCNAPE_COCINA5"/>
      <sheetName val="ENCHAPE_BAÑO_PISO5"/>
      <sheetName val="ENCHAPE_BAÑO_PARED5"/>
      <sheetName val="PISO_CERAMICA5"/>
      <sheetName val="INST__VIDRIOS5"/>
      <sheetName val="ESTUCO_Y_PINTURA_TIPO15"/>
      <sheetName val="VINILO_S-PAÑETE_2_MANOS5"/>
      <sheetName val="LADRIL_A_LA_VISTA5"/>
      <sheetName val="INST__Y_SUMINISTRO_BAÑO5"/>
      <sheetName val="INST__TANQUE5"/>
      <sheetName val="ASEO_GENERAL5"/>
      <sheetName val="PUNTO_SANITARIO_3&quot;5"/>
      <sheetName val="PUNTO_SANIT2&quot;5"/>
      <sheetName val="PUNTO_SANIT_4&quot;5"/>
      <sheetName val="PUNTO_SANITN_6&quot;5"/>
      <sheetName val="RED_HIDRAULICA5"/>
      <sheetName val="TUBERIA_GRES_4&quot;5"/>
      <sheetName val="CINSPEC_7x_75"/>
      <sheetName val="LAMPARA_TOMECON5"/>
      <sheetName val="POLO_TIERRA5"/>
      <sheetName val="TABLER_PARCIAL4CIRC5"/>
      <sheetName val="RED_ELECTRICA5"/>
      <sheetName val="LAVADERO_PREFABRICADO5"/>
      <sheetName val="EXPLAN_Y_COMP_VIA5"/>
      <sheetName val="BASE_RECEBO5"/>
      <sheetName val="SUB_BASE5"/>
      <sheetName val="EXCAVACION_BORDILLO5"/>
      <sheetName val="INSTL_BORDILLO_PREFABRICADO5"/>
      <sheetName val="ESTADO_VÍA-CRIT_TECNICO5"/>
      <sheetName val="L_PRECIOS7"/>
      <sheetName val="MOR_1-57"/>
      <sheetName val="ACERO0_A-377"/>
      <sheetName val="ACERO_PDR-607"/>
      <sheetName val="REPLANTEO_Y_TRAZADO7"/>
      <sheetName val="EXCAV__REDES7"/>
      <sheetName val="EXCAV_CIMIENTO7"/>
      <sheetName val="RELLENO__RECEBO_COMPAC7"/>
      <sheetName val="ALISTADO_DE_PISO_e=_0,047"/>
      <sheetName val="VIGA_CIMENTA,15_x_207"/>
      <sheetName val="VIGA_AEREA_(0,15x_20)_7"/>
      <sheetName val="COL(,15X_20)7"/>
      <sheetName val="VIGA_CINTA_DE_AMARRE7"/>
      <sheetName val="MAMPOSTERIA__TOLETE7"/>
      <sheetName val="MAMPOSTERIA_BLOQUE_N°57"/>
      <sheetName val="CUBIE_ASBESTO_CEMEN_TEJ_N°6_7"/>
      <sheetName val="CUBIE_ASBESTO_CEMEN_TEJ_N°87"/>
      <sheetName val="PAÑETE_LISO7"/>
      <sheetName val="PLACA_DE_CONTRAPISO_e=0,067"/>
      <sheetName val="PLACA_TANQUE_e=0,107"/>
      <sheetName val="INST_MARCOS7"/>
      <sheetName val="INSTAL__VENTANA_7"/>
      <sheetName val="INSTAL__PUERTAS7"/>
      <sheetName val="ENCNAPE_COCINA7"/>
      <sheetName val="ENCHAPE_BAÑO_PISO7"/>
      <sheetName val="ENCHAPE_BAÑO_PARED7"/>
      <sheetName val="PISO_CERAMICA7"/>
      <sheetName val="INST__VIDRIOS7"/>
      <sheetName val="ESTUCO_Y_PINTURA_TIPO17"/>
      <sheetName val="VINILO_S-PAÑETE_2_MANOS7"/>
      <sheetName val="LADRIL_A_LA_VISTA7"/>
      <sheetName val="INST__Y_SUMINISTRO_BAÑO7"/>
      <sheetName val="INST__TANQUE7"/>
      <sheetName val="ASEO_GENERAL7"/>
      <sheetName val="PUNTO_SANITARIO_3&quot;7"/>
      <sheetName val="PUNTO_SANIT2&quot;7"/>
      <sheetName val="PUNTO_SANIT_4&quot;7"/>
      <sheetName val="PUNTO_SANITN_6&quot;7"/>
      <sheetName val="RED_HIDRAULICA7"/>
      <sheetName val="TUBERIA_GRES_4&quot;7"/>
      <sheetName val="CINSPEC_7x_77"/>
      <sheetName val="LAMPARA_TOMECON7"/>
      <sheetName val="POLO_TIERRA7"/>
      <sheetName val="TABLER_PARCIAL4CIRC7"/>
      <sheetName val="RED_ELECTRICA7"/>
      <sheetName val="LAVADERO_PREFABRICADO7"/>
      <sheetName val="EXPLAN_Y_COMP_VIA7"/>
      <sheetName val="BASE_RECEBO7"/>
      <sheetName val="SUB_BASE7"/>
      <sheetName val="EXCAVACION_BORDILLO7"/>
      <sheetName val="INSTL_BORDILLO_PREFABRICADO7"/>
      <sheetName val="ESTADO_VÍA-CRIT_TECNICO7"/>
      <sheetName val="L_PRECIOS8"/>
      <sheetName val="MOR_1-58"/>
      <sheetName val="ACERO0_A-378"/>
      <sheetName val="ACERO_PDR-608"/>
      <sheetName val="REPLANTEO_Y_TRAZADO8"/>
      <sheetName val="EXCAV__REDES8"/>
      <sheetName val="EXCAV_CIMIENTO8"/>
      <sheetName val="RELLENO__RECEBO_COMPAC8"/>
      <sheetName val="ALISTADO_DE_PISO_e=_0,048"/>
      <sheetName val="VIGA_CIMENTA,15_x_208"/>
      <sheetName val="VIGA_AEREA_(0,15x_20)_8"/>
      <sheetName val="COL(,15X_20)8"/>
      <sheetName val="VIGA_CINTA_DE_AMARRE8"/>
      <sheetName val="MAMPOSTERIA__TOLETE8"/>
      <sheetName val="MAMPOSTERIA_BLOQUE_N°58"/>
      <sheetName val="CUBIE_ASBESTO_CEMEN_TEJ_N°6_8"/>
      <sheetName val="CUBIE_ASBESTO_CEMEN_TEJ_N°88"/>
      <sheetName val="PAÑETE_LISO8"/>
      <sheetName val="PLACA_DE_CONTRAPISO_e=0,068"/>
      <sheetName val="PLACA_TANQUE_e=0,108"/>
      <sheetName val="INST_MARCOS8"/>
      <sheetName val="INSTAL__VENTANA_8"/>
      <sheetName val="INSTAL__PUERTAS8"/>
      <sheetName val="ENCNAPE_COCINA8"/>
      <sheetName val="ENCHAPE_BAÑO_PISO8"/>
      <sheetName val="ENCHAPE_BAÑO_PARED8"/>
      <sheetName val="PISO_CERAMICA8"/>
      <sheetName val="INST__VIDRIOS8"/>
      <sheetName val="ESTUCO_Y_PINTURA_TIPO18"/>
      <sheetName val="VINILO_S-PAÑETE_2_MANOS8"/>
      <sheetName val="LADRIL_A_LA_VISTA8"/>
      <sheetName val="INST__Y_SUMINISTRO_BAÑO8"/>
      <sheetName val="INST__TANQUE8"/>
      <sheetName val="ASEO_GENERAL8"/>
      <sheetName val="PUNTO_SANITARIO_3&quot;8"/>
      <sheetName val="PUNTO_SANIT2&quot;8"/>
      <sheetName val="PUNTO_SANIT_4&quot;8"/>
      <sheetName val="PUNTO_SANITN_6&quot;8"/>
      <sheetName val="RED_HIDRAULICA8"/>
      <sheetName val="TUBERIA_GRES_4&quot;8"/>
      <sheetName val="CINSPEC_7x_78"/>
      <sheetName val="LAMPARA_TOMECON8"/>
      <sheetName val="POLO_TIERRA8"/>
      <sheetName val="TABLER_PARCIAL4CIRC8"/>
      <sheetName val="RED_ELECTRICA8"/>
      <sheetName val="LAVADERO_PREFABRICADO8"/>
      <sheetName val="EXPLAN_Y_COMP_VIA8"/>
      <sheetName val="BASE_RECEBO8"/>
      <sheetName val="SUB_BASE8"/>
      <sheetName val="EXCAVACION_BORDILLO8"/>
      <sheetName val="INSTL_BORDILLO_PREFABRICADO8"/>
      <sheetName val="ESTADO_VÍA-CRIT_TECNICO8"/>
      <sheetName val="L_PRECIOS9"/>
      <sheetName val="MOR_1-59"/>
      <sheetName val="ACERO0_A-379"/>
      <sheetName val="ACERO_PDR-609"/>
      <sheetName val="REPLANTEO_Y_TRAZADO9"/>
      <sheetName val="EXCAV__REDES9"/>
      <sheetName val="EXCAV_CIMIENTO9"/>
      <sheetName val="RELLENO__RECEBO_COMPAC9"/>
      <sheetName val="ALISTADO_DE_PISO_e=_0,049"/>
      <sheetName val="VIGA_CIMENTA,15_x_209"/>
      <sheetName val="VIGA_AEREA_(0,15x_20)_9"/>
      <sheetName val="COL(,15X_20)9"/>
      <sheetName val="VIGA_CINTA_DE_AMARRE9"/>
      <sheetName val="MAMPOSTERIA__TOLETE9"/>
      <sheetName val="MAMPOSTERIA_BLOQUE_N°59"/>
      <sheetName val="CUBIE_ASBESTO_CEMEN_TEJ_N°6_9"/>
      <sheetName val="CUBIE_ASBESTO_CEMEN_TEJ_N°89"/>
      <sheetName val="PAÑETE_LISO9"/>
      <sheetName val="PLACA_DE_CONTRAPISO_e=0,069"/>
      <sheetName val="PLACA_TANQUE_e=0,109"/>
      <sheetName val="INST_MARCOS9"/>
      <sheetName val="INSTAL__VENTANA_9"/>
      <sheetName val="INSTAL__PUERTAS9"/>
      <sheetName val="ENCNAPE_COCINA9"/>
      <sheetName val="ENCHAPE_BAÑO_PISO9"/>
      <sheetName val="ENCHAPE_BAÑO_PARED9"/>
      <sheetName val="PISO_CERAMICA9"/>
      <sheetName val="INST__VIDRIOS9"/>
      <sheetName val="ESTUCO_Y_PINTURA_TIPO19"/>
      <sheetName val="VINILO_S-PAÑETE_2_MANOS9"/>
      <sheetName val="LADRIL_A_LA_VISTA9"/>
      <sheetName val="INST__Y_SUMINISTRO_BAÑO9"/>
      <sheetName val="INST__TANQUE9"/>
      <sheetName val="ASEO_GENERAL9"/>
      <sheetName val="PUNTO_SANITARIO_3&quot;9"/>
      <sheetName val="PUNTO_SANIT2&quot;9"/>
      <sheetName val="PUNTO_SANIT_4&quot;9"/>
      <sheetName val="PUNTO_SANITN_6&quot;9"/>
      <sheetName val="RED_HIDRAULICA9"/>
      <sheetName val="TUBERIA_GRES_4&quot;9"/>
      <sheetName val="CINSPEC_7x_79"/>
      <sheetName val="LAMPARA_TOMECON9"/>
      <sheetName val="POLO_TIERRA9"/>
      <sheetName val="TABLER_PARCIAL4CIRC9"/>
      <sheetName val="RED_ELECTRICA9"/>
      <sheetName val="LAVADERO_PREFABRICADO9"/>
      <sheetName val="EXPLAN_Y_COMP_VIA9"/>
      <sheetName val="BASE_RECEBO9"/>
      <sheetName val="SUB_BASE9"/>
      <sheetName val="EXCAVACION_BORDILLO9"/>
      <sheetName val="INSTL_BORDILLO_PREFABRICADO9"/>
      <sheetName val="ESTADO_VÍA-CRIT_TECNICO9"/>
      <sheetName val="otros"/>
      <sheetName val="Equipo"/>
      <sheetName val="INDICE"/>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5">
          <cell r="A5" t="str">
            <v>REFE</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refreshError="1"/>
      <sheetData sheetId="587" refreshError="1"/>
      <sheetData sheetId="58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row r="25">
          <cell r="F25">
            <v>333922</v>
          </cell>
        </row>
      </sheetData>
      <sheetData sheetId="12">
        <row r="31">
          <cell r="F31">
            <v>34978.9</v>
          </cell>
        </row>
      </sheetData>
      <sheetData sheetId="13">
        <row r="7">
          <cell r="D7">
            <v>2200</v>
          </cell>
        </row>
      </sheetData>
      <sheetData sheetId="14">
        <row r="1">
          <cell r="A1" t="str">
            <v>GOBERNACION DEL HUILA</v>
          </cell>
        </row>
      </sheetData>
      <sheetData sheetId="1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 val="PRES PROY. BATERIA URBANA 2006"/>
      <sheetName val="PRES_PROY__BATERIA_URBANA_2006"/>
      <sheetName val="PRES_PROY__BATERIA_URBANA_20061"/>
      <sheetName val="PRES_PROY__BATERIA_URBANA_20062"/>
      <sheetName val="PRES_PROY__BATERIA_URBANA_20064"/>
      <sheetName val="PRES_PROY__BATERIA_URBANA_20063"/>
      <sheetName val="PRES_PROY__BATERIA_URBANA_20066"/>
      <sheetName val="PRES_PROY__BATERIA_URBANA_20065"/>
      <sheetName val="PRES_PROY__BATERIA_URBANA_20067"/>
      <sheetName val="PRES_PROY__BATERIA_URBANA_20068"/>
      <sheetName val="PRES_PROY__BATERIA_URBANA_20069"/>
    </sheetNames>
    <sheetDataSet>
      <sheetData sheetId="0"/>
      <sheetData sheetId="1" refreshError="1"/>
      <sheetData sheetId="2"/>
      <sheetData sheetId="3"/>
      <sheetData sheetId="4"/>
      <sheetData sheetId="5"/>
      <sheetData sheetId="6"/>
      <sheetData sheetId="7"/>
      <sheetData sheetId="8"/>
      <sheetData sheetId="9"/>
      <sheetData sheetId="10"/>
      <sheetData sheetId="1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HID-DAC"/>
      <sheetName val="COTAS-"/>
      <sheetName val="RH"/>
      <sheetName val="ALCANTARILLADO"/>
      <sheetName val="presupuesto general "/>
      <sheetName val="PRESUPUESTO  GENERAL ACT"/>
      <sheetName val="PRESUPUESTO  OBRA CIVIL ACT"/>
      <sheetName val="SUMINISTROS ACT"/>
      <sheetName val="INTERVENTORIA ACT (2)"/>
      <sheetName val="Cronograma (2)"/>
      <sheetName val="Viaducto 10&quot;"/>
      <sheetName val="EXCV MAT CONGL"/>
      <sheetName val="EXC MAT COMUN"/>
      <sheetName val="relll recebo"/>
      <sheetName val="BASE GRANULAR"/>
      <sheetName val="GRAVILLA 1-2&quot;"/>
      <sheetName val="RETIRO"/>
      <sheetName val="ENTIBADO"/>
      <sheetName val="ML 10&quot; alc"/>
      <sheetName val="TUBO 10&quot; ALC"/>
      <sheetName val="TUBO 12&quot; ALC"/>
      <sheetName val="INSTA TUB 10&quot; ALC"/>
      <sheetName val="POZO 0-2 M"/>
      <sheetName val="POZO 0-3 M"/>
      <sheetName val="POZO MAYOR 4M"/>
      <sheetName val="VIADUCTO 8&quot; L MAX DE 25M"/>
      <sheetName val="Cronograma"/>
      <sheetName val="presupuesto_general_4"/>
      <sheetName val="PRESUPUESTO__GENERAL_ACT4"/>
      <sheetName val="PRESUPUESTO__OBRA_CIVIL_ACT4"/>
      <sheetName val="SUMINISTROS_ACT4"/>
      <sheetName val="INTERVENTORIA_ACT_(2)4"/>
      <sheetName val="Cronograma_(2)4"/>
      <sheetName val="Viaducto_10&quot;4"/>
      <sheetName val="EXCV_MAT_CONGL4"/>
      <sheetName val="EXC_MAT_COMUN4"/>
      <sheetName val="relll_recebo4"/>
      <sheetName val="BASE_GRANULAR4"/>
      <sheetName val="GRAVILLA_1-2&quot;4"/>
      <sheetName val="ML_10&quot;_alc4"/>
      <sheetName val="TUBO_10&quot;_ALC4"/>
      <sheetName val="TUBO_12&quot;_ALC4"/>
      <sheetName val="INSTA_TUB_10&quot;_ALC4"/>
      <sheetName val="POZO_0-2_M4"/>
      <sheetName val="POZO_0-3_M4"/>
      <sheetName val="POZO_MAYOR_4M4"/>
      <sheetName val="VIADUCTO_8&quot;_L_MAX_DE_25M4"/>
      <sheetName val="presupuesto_general_"/>
      <sheetName val="PRESUPUESTO__GENERAL_ACT"/>
      <sheetName val="PRESUPUESTO__OBRA_CIVIL_ACT"/>
      <sheetName val="SUMINISTROS_ACT"/>
      <sheetName val="INTERVENTORIA_ACT_(2)"/>
      <sheetName val="Cronograma_(2)"/>
      <sheetName val="Viaducto_10&quot;"/>
      <sheetName val="EXCV_MAT_CONGL"/>
      <sheetName val="EXC_MAT_COMUN"/>
      <sheetName val="relll_recebo"/>
      <sheetName val="BASE_GRANULAR"/>
      <sheetName val="GRAVILLA_1-2&quot;"/>
      <sheetName val="ML_10&quot;_alc"/>
      <sheetName val="TUBO_10&quot;_ALC"/>
      <sheetName val="TUBO_12&quot;_ALC"/>
      <sheetName val="INSTA_TUB_10&quot;_ALC"/>
      <sheetName val="POZO_0-2_M"/>
      <sheetName val="POZO_0-3_M"/>
      <sheetName val="POZO_MAYOR_4M"/>
      <sheetName val="VIADUCTO_8&quot;_L_MAX_DE_25M"/>
      <sheetName val="presupuesto_general_1"/>
      <sheetName val="PRESUPUESTO__GENERAL_ACT1"/>
      <sheetName val="PRESUPUESTO__OBRA_CIVIL_ACT1"/>
      <sheetName val="SUMINISTROS_ACT1"/>
      <sheetName val="INTERVENTORIA_ACT_(2)1"/>
      <sheetName val="Cronograma_(2)1"/>
      <sheetName val="Viaducto_10&quot;1"/>
      <sheetName val="EXCV_MAT_CONGL1"/>
      <sheetName val="EXC_MAT_COMUN1"/>
      <sheetName val="relll_recebo1"/>
      <sheetName val="BASE_GRANULAR1"/>
      <sheetName val="GRAVILLA_1-2&quot;1"/>
      <sheetName val="ML_10&quot;_alc1"/>
      <sheetName val="TUBO_10&quot;_ALC1"/>
      <sheetName val="TUBO_12&quot;_ALC1"/>
      <sheetName val="INSTA_TUB_10&quot;_ALC1"/>
      <sheetName val="POZO_0-2_M1"/>
      <sheetName val="POZO_0-3_M1"/>
      <sheetName val="POZO_MAYOR_4M1"/>
      <sheetName val="VIADUCTO_8&quot;_L_MAX_DE_25M1"/>
      <sheetName val="presupuesto_general_2"/>
      <sheetName val="PRESUPUESTO__GENERAL_ACT2"/>
      <sheetName val="PRESUPUESTO__OBRA_CIVIL_ACT2"/>
      <sheetName val="SUMINISTROS_ACT2"/>
      <sheetName val="INTERVENTORIA_ACT_(2)2"/>
      <sheetName val="Cronograma_(2)2"/>
      <sheetName val="Viaducto_10&quot;2"/>
      <sheetName val="EXCV_MAT_CONGL2"/>
      <sheetName val="EXC_MAT_COMUN2"/>
      <sheetName val="relll_recebo2"/>
      <sheetName val="BASE_GRANULAR2"/>
      <sheetName val="GRAVILLA_1-2&quot;2"/>
      <sheetName val="ML_10&quot;_alc2"/>
      <sheetName val="TUBO_10&quot;_ALC2"/>
      <sheetName val="TUBO_12&quot;_ALC2"/>
      <sheetName val="INSTA_TUB_10&quot;_ALC2"/>
      <sheetName val="POZO_0-2_M2"/>
      <sheetName val="POZO_0-3_M2"/>
      <sheetName val="POZO_MAYOR_4M2"/>
      <sheetName val="VIADUCTO_8&quot;_L_MAX_DE_25M2"/>
      <sheetName val="presupuesto_general_3"/>
      <sheetName val="PRESUPUESTO__GENERAL_ACT3"/>
      <sheetName val="PRESUPUESTO__OBRA_CIVIL_ACT3"/>
      <sheetName val="SUMINISTROS_ACT3"/>
      <sheetName val="INTERVENTORIA_ACT_(2)3"/>
      <sheetName val="Cronograma_(2)3"/>
      <sheetName val="Viaducto_10&quot;3"/>
      <sheetName val="EXCV_MAT_CONGL3"/>
      <sheetName val="EXC_MAT_COMUN3"/>
      <sheetName val="relll_recebo3"/>
      <sheetName val="BASE_GRANULAR3"/>
      <sheetName val="GRAVILLA_1-2&quot;3"/>
      <sheetName val="ML_10&quot;_alc3"/>
      <sheetName val="TUBO_10&quot;_ALC3"/>
      <sheetName val="TUBO_12&quot;_ALC3"/>
      <sheetName val="INSTA_TUB_10&quot;_ALC3"/>
      <sheetName val="POZO_0-2_M3"/>
      <sheetName val="POZO_0-3_M3"/>
      <sheetName val="POZO_MAYOR_4M3"/>
      <sheetName val="VIADUCTO_8&quot;_L_MAX_DE_25M3"/>
      <sheetName val="presupuesto_general_6"/>
      <sheetName val="PRESUPUESTO__GENERAL_ACT6"/>
      <sheetName val="PRESUPUESTO__OBRA_CIVIL_ACT6"/>
      <sheetName val="SUMINISTROS_ACT6"/>
      <sheetName val="INTERVENTORIA_ACT_(2)6"/>
      <sheetName val="Cronograma_(2)6"/>
      <sheetName val="Viaducto_10&quot;6"/>
      <sheetName val="EXCV_MAT_CONGL6"/>
      <sheetName val="EXC_MAT_COMUN6"/>
      <sheetName val="relll_recebo6"/>
      <sheetName val="BASE_GRANULAR6"/>
      <sheetName val="GRAVILLA_1-2&quot;6"/>
      <sheetName val="ML_10&quot;_alc6"/>
      <sheetName val="TUBO_10&quot;_ALC6"/>
      <sheetName val="TUBO_12&quot;_ALC6"/>
      <sheetName val="INSTA_TUB_10&quot;_ALC6"/>
      <sheetName val="POZO_0-2_M6"/>
      <sheetName val="POZO_0-3_M6"/>
      <sheetName val="POZO_MAYOR_4M6"/>
      <sheetName val="VIADUCTO_8&quot;_L_MAX_DE_25M6"/>
      <sheetName val="presupuesto_general_5"/>
      <sheetName val="PRESUPUESTO__GENERAL_ACT5"/>
      <sheetName val="PRESUPUESTO__OBRA_CIVIL_ACT5"/>
      <sheetName val="SUMINISTROS_ACT5"/>
      <sheetName val="INTERVENTORIA_ACT_(2)5"/>
      <sheetName val="Cronograma_(2)5"/>
      <sheetName val="Viaducto_10&quot;5"/>
      <sheetName val="EXCV_MAT_CONGL5"/>
      <sheetName val="EXC_MAT_COMUN5"/>
      <sheetName val="relll_recebo5"/>
      <sheetName val="BASE_GRANULAR5"/>
      <sheetName val="GRAVILLA_1-2&quot;5"/>
      <sheetName val="ML_10&quot;_alc5"/>
      <sheetName val="TUBO_10&quot;_ALC5"/>
      <sheetName val="TUBO_12&quot;_ALC5"/>
      <sheetName val="INSTA_TUB_10&quot;_ALC5"/>
      <sheetName val="POZO_0-2_M5"/>
      <sheetName val="POZO_0-3_M5"/>
      <sheetName val="POZO_MAYOR_4M5"/>
      <sheetName val="VIADUCTO_8&quot;_L_MAX_DE_25M5"/>
      <sheetName val="presupuesto_general_7"/>
      <sheetName val="PRESUPUESTO__GENERAL_ACT7"/>
      <sheetName val="PRESUPUESTO__OBRA_CIVIL_ACT7"/>
      <sheetName val="SUMINISTROS_ACT7"/>
      <sheetName val="INTERVENTORIA_ACT_(2)7"/>
      <sheetName val="Cronograma_(2)7"/>
      <sheetName val="Viaducto_10&quot;7"/>
      <sheetName val="EXCV_MAT_CONGL7"/>
      <sheetName val="EXC_MAT_COMUN7"/>
      <sheetName val="relll_recebo7"/>
      <sheetName val="BASE_GRANULAR7"/>
      <sheetName val="GRAVILLA_1-2&quot;7"/>
      <sheetName val="ML_10&quot;_alc7"/>
      <sheetName val="TUBO_10&quot;_ALC7"/>
      <sheetName val="TUBO_12&quot;_ALC7"/>
      <sheetName val="INSTA_TUB_10&quot;_ALC7"/>
      <sheetName val="POZO_0-2_M7"/>
      <sheetName val="POZO_0-3_M7"/>
      <sheetName val="POZO_MAYOR_4M7"/>
      <sheetName val="VIADUCTO_8&quot;_L_MAX_DE_25M7"/>
      <sheetName val="presupuesto_general_8"/>
      <sheetName val="PRESUPUESTO__GENERAL_ACT8"/>
      <sheetName val="PRESUPUESTO__OBRA_CIVIL_ACT8"/>
      <sheetName val="SUMINISTROS_ACT8"/>
      <sheetName val="INTERVENTORIA_ACT_(2)8"/>
      <sheetName val="Cronograma_(2)8"/>
      <sheetName val="Viaducto_10&quot;8"/>
      <sheetName val="EXCV_MAT_CONGL8"/>
      <sheetName val="EXC_MAT_COMUN8"/>
      <sheetName val="relll_recebo8"/>
      <sheetName val="BASE_GRANULAR8"/>
      <sheetName val="GRAVILLA_1-2&quot;8"/>
      <sheetName val="ML_10&quot;_alc8"/>
      <sheetName val="TUBO_10&quot;_ALC8"/>
      <sheetName val="TUBO_12&quot;_ALC8"/>
      <sheetName val="INSTA_TUB_10&quot;_ALC8"/>
      <sheetName val="POZO_0-2_M8"/>
      <sheetName val="POZO_0-3_M8"/>
      <sheetName val="POZO_MAYOR_4M8"/>
      <sheetName val="VIADUCTO_8&quot;_L_MAX_DE_25M8"/>
      <sheetName val="presupuesto_general_9"/>
      <sheetName val="PRESUPUESTO__GENERAL_ACT9"/>
      <sheetName val="PRESUPUESTO__OBRA_CIVIL_ACT9"/>
      <sheetName val="SUMINISTROS_ACT9"/>
      <sheetName val="INTERVENTORIA_ACT_(2)9"/>
      <sheetName val="Cronograma_(2)9"/>
      <sheetName val="Viaducto_10&quot;9"/>
      <sheetName val="EXCV_MAT_CONGL9"/>
      <sheetName val="EXC_MAT_COMUN9"/>
      <sheetName val="relll_recebo9"/>
      <sheetName val="BASE_GRANULAR9"/>
      <sheetName val="GRAVILLA_1-2&quot;9"/>
      <sheetName val="ML_10&quot;_alc9"/>
      <sheetName val="TUBO_10&quot;_ALC9"/>
      <sheetName val="TUBO_12&quot;_ALC9"/>
      <sheetName val="INSTA_TUB_10&quot;_ALC9"/>
      <sheetName val="POZO_0-2_M9"/>
      <sheetName val="POZO_0-3_M9"/>
      <sheetName val="POZO_MAYOR_4M9"/>
      <sheetName val="VIADUCTO_8&quot;_L_MAX_DE_25M9"/>
    </sheetNames>
    <sheetDataSet>
      <sheetData sheetId="0"/>
      <sheetData sheetId="1"/>
      <sheetData sheetId="2">
        <row r="2">
          <cell r="A2" t="str">
            <v>RELACIONES HIDRAULICAS PARA TUBERIAS A FLUJO LIBRE</v>
          </cell>
          <cell r="B2">
            <v>0</v>
          </cell>
          <cell r="C2">
            <v>0</v>
          </cell>
          <cell r="D2">
            <v>0</v>
          </cell>
          <cell r="E2">
            <v>0</v>
          </cell>
        </row>
        <row r="3">
          <cell r="A3">
            <v>0</v>
          </cell>
          <cell r="B3">
            <v>0</v>
          </cell>
          <cell r="C3">
            <v>0</v>
          </cell>
          <cell r="D3">
            <v>0</v>
          </cell>
          <cell r="E3">
            <v>0</v>
          </cell>
        </row>
        <row r="4">
          <cell r="A4" t="str">
            <v>Q/Qo</v>
          </cell>
          <cell r="B4" t="str">
            <v>V/Vo</v>
          </cell>
          <cell r="C4" t="str">
            <v>d/D</v>
          </cell>
          <cell r="D4" t="str">
            <v>R/Ro</v>
          </cell>
          <cell r="E4" t="str">
            <v>H/D</v>
          </cell>
        </row>
        <row r="5">
          <cell r="A5">
            <v>0</v>
          </cell>
          <cell r="B5">
            <v>2</v>
          </cell>
          <cell r="C5">
            <v>3</v>
          </cell>
          <cell r="D5">
            <v>4</v>
          </cell>
          <cell r="E5">
            <v>5</v>
          </cell>
        </row>
        <row r="6">
          <cell r="A6">
            <v>0</v>
          </cell>
          <cell r="B6">
            <v>0.29099999999999998</v>
          </cell>
          <cell r="C6">
            <v>9.0999999999999998E-2</v>
          </cell>
          <cell r="D6">
            <v>0.23799999999999999</v>
          </cell>
          <cell r="E6">
            <v>0.04</v>
          </cell>
        </row>
        <row r="7">
          <cell r="A7">
            <v>0.01</v>
          </cell>
          <cell r="B7">
            <v>0.29199999999999998</v>
          </cell>
          <cell r="C7">
            <v>9.1999999999999998E-2</v>
          </cell>
          <cell r="D7">
            <v>0.23899999999999999</v>
          </cell>
          <cell r="E7">
            <v>4.1000000000000002E-2</v>
          </cell>
        </row>
        <row r="8">
          <cell r="A8">
            <v>0.02</v>
          </cell>
          <cell r="B8">
            <v>0.36199999999999999</v>
          </cell>
          <cell r="C8">
            <v>0.124</v>
          </cell>
          <cell r="D8">
            <v>0.315</v>
          </cell>
          <cell r="E8">
            <v>6.7000000000000004E-2</v>
          </cell>
        </row>
        <row r="9">
          <cell r="A9">
            <v>0.03</v>
          </cell>
          <cell r="B9">
            <v>0.4</v>
          </cell>
          <cell r="C9">
            <v>0.14799999999999999</v>
          </cell>
          <cell r="D9">
            <v>0.37</v>
          </cell>
          <cell r="E9">
            <v>8.5999999999999993E-2</v>
          </cell>
        </row>
        <row r="10">
          <cell r="A10">
            <v>0.04</v>
          </cell>
          <cell r="B10">
            <v>0.42699999999999999</v>
          </cell>
          <cell r="C10">
            <v>0.16500000000000001</v>
          </cell>
          <cell r="D10">
            <v>0.41</v>
          </cell>
          <cell r="E10">
            <v>0.10199999999999999</v>
          </cell>
        </row>
        <row r="11">
          <cell r="A11">
            <v>0.05</v>
          </cell>
          <cell r="B11">
            <v>0.45300000000000001</v>
          </cell>
          <cell r="C11">
            <v>0.182</v>
          </cell>
          <cell r="D11">
            <v>0.44900000000000001</v>
          </cell>
          <cell r="E11">
            <v>0.11600000000000001</v>
          </cell>
        </row>
        <row r="12">
          <cell r="A12">
            <v>0.06</v>
          </cell>
          <cell r="B12">
            <v>0.47299999999999998</v>
          </cell>
          <cell r="C12">
            <v>0.19600000000000001</v>
          </cell>
          <cell r="D12">
            <v>0.48099999999999998</v>
          </cell>
          <cell r="E12">
            <v>0.128</v>
          </cell>
        </row>
        <row r="13">
          <cell r="A13">
            <v>7.0000000000000007E-2</v>
          </cell>
          <cell r="B13">
            <v>0.49199999999999999</v>
          </cell>
          <cell r="C13">
            <v>0.21</v>
          </cell>
          <cell r="D13">
            <v>0.51</v>
          </cell>
          <cell r="E13">
            <v>0.14000000000000001</v>
          </cell>
        </row>
        <row r="14">
          <cell r="A14">
            <v>0.08</v>
          </cell>
          <cell r="B14">
            <v>0.505</v>
          </cell>
          <cell r="C14">
            <v>0.2</v>
          </cell>
          <cell r="D14">
            <v>0.53</v>
          </cell>
          <cell r="E14">
            <v>0.151</v>
          </cell>
        </row>
        <row r="15">
          <cell r="A15">
            <v>0.09</v>
          </cell>
          <cell r="B15">
            <v>0.52</v>
          </cell>
          <cell r="C15">
            <v>0.23200000000000001</v>
          </cell>
          <cell r="D15">
            <v>0.55400000000000005</v>
          </cell>
          <cell r="E15">
            <v>0.161</v>
          </cell>
        </row>
        <row r="16">
          <cell r="A16">
            <v>0.1</v>
          </cell>
          <cell r="B16">
            <v>0.54</v>
          </cell>
          <cell r="C16">
            <v>0.248</v>
          </cell>
          <cell r="D16">
            <v>0.58599999999999997</v>
          </cell>
          <cell r="E16">
            <v>0.17</v>
          </cell>
        </row>
        <row r="17">
          <cell r="A17">
            <v>0.11</v>
          </cell>
          <cell r="B17">
            <v>0.55300000000000005</v>
          </cell>
          <cell r="C17">
            <v>0.25800000000000001</v>
          </cell>
          <cell r="D17">
            <v>0.60599999999999998</v>
          </cell>
          <cell r="E17">
            <v>0.17899999999999999</v>
          </cell>
        </row>
        <row r="18">
          <cell r="A18">
            <v>0.12</v>
          </cell>
          <cell r="B18">
            <v>0.56999999999999995</v>
          </cell>
          <cell r="C18">
            <v>0.27</v>
          </cell>
          <cell r="D18">
            <v>0.63</v>
          </cell>
          <cell r="E18">
            <v>0.188</v>
          </cell>
        </row>
        <row r="19">
          <cell r="A19">
            <v>0.13</v>
          </cell>
          <cell r="B19">
            <v>0.57999999999999996</v>
          </cell>
          <cell r="C19">
            <v>0.28000000000000003</v>
          </cell>
          <cell r="D19">
            <v>0.65</v>
          </cell>
          <cell r="E19">
            <v>0.19700000000000001</v>
          </cell>
        </row>
        <row r="20">
          <cell r="A20">
            <v>0.14000000000000001</v>
          </cell>
          <cell r="B20">
            <v>0.59</v>
          </cell>
          <cell r="C20">
            <v>0.28899999999999998</v>
          </cell>
          <cell r="D20">
            <v>0.66800000000000004</v>
          </cell>
          <cell r="E20">
            <v>0.20499999999999999</v>
          </cell>
        </row>
        <row r="21">
          <cell r="A21">
            <v>0.15</v>
          </cell>
          <cell r="B21">
            <v>0.6</v>
          </cell>
          <cell r="C21">
            <v>0.29799999999999999</v>
          </cell>
          <cell r="D21">
            <v>0.68600000000000005</v>
          </cell>
          <cell r="E21">
            <v>0.21299999999999999</v>
          </cell>
        </row>
        <row r="22">
          <cell r="A22">
            <v>0.16</v>
          </cell>
          <cell r="B22">
            <v>0.61299999999999999</v>
          </cell>
          <cell r="C22">
            <v>0.20799999999999999</v>
          </cell>
          <cell r="D22">
            <v>0.70399999999999996</v>
          </cell>
          <cell r="E22">
            <v>0.221</v>
          </cell>
        </row>
        <row r="23">
          <cell r="A23">
            <v>0.17</v>
          </cell>
          <cell r="B23">
            <v>0.624</v>
          </cell>
          <cell r="C23">
            <v>0.315</v>
          </cell>
          <cell r="D23">
            <v>0.71599999999999997</v>
          </cell>
          <cell r="E23">
            <v>0.22900000000000001</v>
          </cell>
        </row>
        <row r="24">
          <cell r="A24">
            <v>0.18</v>
          </cell>
          <cell r="B24">
            <v>0.63400000000000001</v>
          </cell>
          <cell r="C24">
            <v>0.32300000000000001</v>
          </cell>
          <cell r="D24">
            <v>0.72899999999999998</v>
          </cell>
          <cell r="E24">
            <v>0.23599999999999999</v>
          </cell>
        </row>
        <row r="25">
          <cell r="A25">
            <v>0.19</v>
          </cell>
          <cell r="B25">
            <v>0.64500000000000002</v>
          </cell>
          <cell r="C25">
            <v>0.33400000000000002</v>
          </cell>
          <cell r="D25">
            <v>0.748</v>
          </cell>
          <cell r="E25">
            <v>0.24399999999999999</v>
          </cell>
        </row>
        <row r="26">
          <cell r="A26">
            <v>0.2</v>
          </cell>
          <cell r="B26">
            <v>0.65600000000000003</v>
          </cell>
          <cell r="C26">
            <v>0.34599999999999997</v>
          </cell>
          <cell r="D26">
            <v>0.76800000000000002</v>
          </cell>
          <cell r="E26">
            <v>0.251</v>
          </cell>
        </row>
        <row r="27">
          <cell r="A27">
            <v>0.21</v>
          </cell>
          <cell r="B27">
            <v>0.66400000000000003</v>
          </cell>
          <cell r="C27">
            <v>0.35299999999999998</v>
          </cell>
          <cell r="D27">
            <v>0.78</v>
          </cell>
          <cell r="E27">
            <v>0.25800000000000001</v>
          </cell>
        </row>
        <row r="28">
          <cell r="A28">
            <v>0.22</v>
          </cell>
          <cell r="B28">
            <v>0.67200000000000004</v>
          </cell>
          <cell r="C28">
            <v>0.36199999999999999</v>
          </cell>
          <cell r="D28">
            <v>0.79500000000000004</v>
          </cell>
          <cell r="E28">
            <v>0.26600000000000001</v>
          </cell>
        </row>
        <row r="29">
          <cell r="A29">
            <v>0.23</v>
          </cell>
          <cell r="B29">
            <v>0.68</v>
          </cell>
          <cell r="C29">
            <v>0.37</v>
          </cell>
          <cell r="D29">
            <v>0.80900000000000005</v>
          </cell>
          <cell r="E29">
            <v>0.27300000000000002</v>
          </cell>
        </row>
        <row r="30">
          <cell r="A30">
            <v>0.24</v>
          </cell>
          <cell r="B30">
            <v>0.68700000000000006</v>
          </cell>
          <cell r="C30">
            <v>0.379</v>
          </cell>
          <cell r="D30">
            <v>0.82399999999999995</v>
          </cell>
          <cell r="E30">
            <v>0.28000000000000003</v>
          </cell>
        </row>
        <row r="31">
          <cell r="A31">
            <v>0.25</v>
          </cell>
          <cell r="B31">
            <v>0.69499999999999995</v>
          </cell>
          <cell r="C31">
            <v>0.38600000000000001</v>
          </cell>
          <cell r="D31">
            <v>0.83599999999999997</v>
          </cell>
          <cell r="E31">
            <v>0.28699999999999998</v>
          </cell>
        </row>
        <row r="32">
          <cell r="A32">
            <v>0.26</v>
          </cell>
          <cell r="B32">
            <v>0.7</v>
          </cell>
          <cell r="C32">
            <v>0.39300000000000002</v>
          </cell>
          <cell r="D32">
            <v>0.84799999999999998</v>
          </cell>
          <cell r="E32">
            <v>0.29399999999999998</v>
          </cell>
        </row>
        <row r="33">
          <cell r="A33">
            <v>0.27</v>
          </cell>
          <cell r="B33">
            <v>0.70599999999999996</v>
          </cell>
          <cell r="C33">
            <v>0.4</v>
          </cell>
          <cell r="D33">
            <v>0.86</v>
          </cell>
          <cell r="E33">
            <v>0.3</v>
          </cell>
        </row>
        <row r="34">
          <cell r="A34">
            <v>0.28000000000000003</v>
          </cell>
          <cell r="B34">
            <v>0.71299999999999997</v>
          </cell>
          <cell r="C34">
            <v>0.40899999999999997</v>
          </cell>
          <cell r="D34">
            <v>0.874</v>
          </cell>
          <cell r="E34">
            <v>0.307</v>
          </cell>
        </row>
        <row r="35">
          <cell r="A35">
            <v>0.28999999999999998</v>
          </cell>
          <cell r="B35">
            <v>0.72</v>
          </cell>
          <cell r="C35">
            <v>0.41699999999999998</v>
          </cell>
          <cell r="D35">
            <v>0.88600000000000001</v>
          </cell>
          <cell r="E35">
            <v>0.314</v>
          </cell>
        </row>
        <row r="36">
          <cell r="A36">
            <v>0.3</v>
          </cell>
          <cell r="B36">
            <v>0.72899999999999998</v>
          </cell>
          <cell r="C36">
            <v>0.42399999999999999</v>
          </cell>
          <cell r="D36">
            <v>0.89600000000000002</v>
          </cell>
          <cell r="E36">
            <v>0.32100000000000001</v>
          </cell>
        </row>
        <row r="37">
          <cell r="A37">
            <v>0.31</v>
          </cell>
          <cell r="B37">
            <v>0.73199999999999998</v>
          </cell>
          <cell r="C37">
            <v>0.43099999999999999</v>
          </cell>
          <cell r="D37">
            <v>0.90700000000000003</v>
          </cell>
          <cell r="E37">
            <v>0.32800000000000001</v>
          </cell>
        </row>
        <row r="38">
          <cell r="A38">
            <v>0.32</v>
          </cell>
          <cell r="B38">
            <v>0.74</v>
          </cell>
          <cell r="C38">
            <v>0.439</v>
          </cell>
          <cell r="D38">
            <v>0.91900000000000004</v>
          </cell>
          <cell r="E38">
            <v>0.33400000000000002</v>
          </cell>
        </row>
        <row r="39">
          <cell r="A39">
            <v>0.33</v>
          </cell>
          <cell r="B39">
            <v>0.75</v>
          </cell>
          <cell r="C39">
            <v>0.44700000000000001</v>
          </cell>
          <cell r="D39">
            <v>0.93100000000000005</v>
          </cell>
          <cell r="E39">
            <v>0.34100000000000003</v>
          </cell>
        </row>
        <row r="40">
          <cell r="A40">
            <v>0.34</v>
          </cell>
          <cell r="B40">
            <v>0.755</v>
          </cell>
          <cell r="C40">
            <v>0.45200000000000001</v>
          </cell>
          <cell r="D40">
            <v>0.93799999999999994</v>
          </cell>
          <cell r="E40">
            <v>0.34799999999999998</v>
          </cell>
        </row>
        <row r="41">
          <cell r="A41">
            <v>0.35</v>
          </cell>
          <cell r="B41">
            <v>0.76</v>
          </cell>
          <cell r="C41">
            <v>0.46</v>
          </cell>
          <cell r="D41">
            <v>0.95</v>
          </cell>
          <cell r="E41">
            <v>0.35399999999999998</v>
          </cell>
        </row>
        <row r="42">
          <cell r="A42">
            <v>0.36</v>
          </cell>
          <cell r="B42">
            <v>0.76800000000000002</v>
          </cell>
          <cell r="C42">
            <v>0.46800000000000003</v>
          </cell>
          <cell r="D42">
            <v>0.96199999999999997</v>
          </cell>
          <cell r="E42">
            <v>0.36099999999999999</v>
          </cell>
        </row>
        <row r="43">
          <cell r="A43">
            <v>0.37</v>
          </cell>
          <cell r="B43">
            <v>0.77600000000000002</v>
          </cell>
          <cell r="C43">
            <v>0.47599999999999998</v>
          </cell>
          <cell r="D43">
            <v>0.97399999999999998</v>
          </cell>
          <cell r="E43">
            <v>0.36799999999999999</v>
          </cell>
        </row>
        <row r="44">
          <cell r="A44">
            <v>0.38</v>
          </cell>
          <cell r="B44">
            <v>0.78100000000000003</v>
          </cell>
          <cell r="C44">
            <v>0.48199999999999998</v>
          </cell>
          <cell r="D44">
            <v>0.98299999999999998</v>
          </cell>
          <cell r="E44">
            <v>0.374</v>
          </cell>
        </row>
        <row r="45">
          <cell r="A45">
            <v>0.39</v>
          </cell>
          <cell r="B45">
            <v>0.78700000000000003</v>
          </cell>
          <cell r="C45">
            <v>0.48799999999999999</v>
          </cell>
          <cell r="D45">
            <v>0.99199999999999999</v>
          </cell>
          <cell r="E45">
            <v>0.38100000000000001</v>
          </cell>
        </row>
        <row r="46">
          <cell r="A46">
            <v>0.4</v>
          </cell>
          <cell r="B46">
            <v>0.79600000000000004</v>
          </cell>
          <cell r="C46">
            <v>0.498</v>
          </cell>
          <cell r="D46">
            <v>1.0069999999999999</v>
          </cell>
          <cell r="E46">
            <v>0.38800000000000001</v>
          </cell>
        </row>
        <row r="47">
          <cell r="A47">
            <v>0.41</v>
          </cell>
          <cell r="B47">
            <v>0.80200000000000005</v>
          </cell>
          <cell r="C47">
            <v>0.504</v>
          </cell>
          <cell r="D47">
            <v>1.014</v>
          </cell>
          <cell r="E47">
            <v>0.39500000000000002</v>
          </cell>
        </row>
        <row r="48">
          <cell r="A48">
            <v>0.42</v>
          </cell>
          <cell r="B48">
            <v>0.80600000000000005</v>
          </cell>
          <cell r="C48">
            <v>0.51</v>
          </cell>
          <cell r="D48">
            <v>1.0209999999999999</v>
          </cell>
          <cell r="E48">
            <v>0.40200000000000002</v>
          </cell>
        </row>
        <row r="49">
          <cell r="A49">
            <v>0.43</v>
          </cell>
          <cell r="B49">
            <v>0.81</v>
          </cell>
          <cell r="C49">
            <v>0.51600000000000001</v>
          </cell>
          <cell r="D49">
            <v>1.028</v>
          </cell>
          <cell r="E49">
            <v>0.40799999999999997</v>
          </cell>
        </row>
        <row r="50">
          <cell r="A50">
            <v>0.44</v>
          </cell>
          <cell r="B50">
            <v>0.81599999999999995</v>
          </cell>
          <cell r="C50">
            <v>0.52300000000000002</v>
          </cell>
          <cell r="D50">
            <v>1.0349999999999999</v>
          </cell>
          <cell r="E50">
            <v>0.41499999999999998</v>
          </cell>
        </row>
        <row r="51">
          <cell r="A51">
            <v>0.45</v>
          </cell>
          <cell r="B51">
            <v>0.82199999999999995</v>
          </cell>
          <cell r="C51">
            <v>0.53</v>
          </cell>
          <cell r="D51">
            <v>1.0429999999999999</v>
          </cell>
          <cell r="E51">
            <v>0.42199999999999999</v>
          </cell>
        </row>
        <row r="52">
          <cell r="A52">
            <v>0.46</v>
          </cell>
          <cell r="B52">
            <v>0.83</v>
          </cell>
          <cell r="C52">
            <v>0.53600000000000003</v>
          </cell>
          <cell r="D52">
            <v>1.05</v>
          </cell>
          <cell r="E52">
            <v>0.42899999999999999</v>
          </cell>
        </row>
        <row r="53">
          <cell r="A53">
            <v>0.47</v>
          </cell>
          <cell r="B53">
            <v>0.83399999999999996</v>
          </cell>
          <cell r="C53">
            <v>0.54200000000000004</v>
          </cell>
          <cell r="D53">
            <v>1.056</v>
          </cell>
          <cell r="E53">
            <v>0.436</v>
          </cell>
        </row>
        <row r="54">
          <cell r="A54">
            <v>0.48</v>
          </cell>
          <cell r="B54">
            <v>0.84</v>
          </cell>
          <cell r="C54">
            <v>0.55000000000000004</v>
          </cell>
          <cell r="D54">
            <v>1.0649999999999999</v>
          </cell>
          <cell r="E54">
            <v>0.443</v>
          </cell>
        </row>
        <row r="55">
          <cell r="A55">
            <v>0.49</v>
          </cell>
          <cell r="B55">
            <v>0.84499999999999997</v>
          </cell>
          <cell r="C55">
            <v>0.55700000000000005</v>
          </cell>
          <cell r="D55">
            <v>1.073</v>
          </cell>
          <cell r="E55">
            <v>0.45</v>
          </cell>
        </row>
        <row r="56">
          <cell r="A56">
            <v>0.5</v>
          </cell>
          <cell r="B56">
            <v>0.85</v>
          </cell>
          <cell r="C56">
            <v>0.56299999999999994</v>
          </cell>
          <cell r="D56">
            <v>1.079</v>
          </cell>
          <cell r="E56">
            <v>0.45800000000000002</v>
          </cell>
        </row>
        <row r="57">
          <cell r="A57">
            <v>0.51</v>
          </cell>
          <cell r="B57">
            <v>0.85499999999999998</v>
          </cell>
          <cell r="C57">
            <v>0.56999999999999995</v>
          </cell>
          <cell r="D57">
            <v>1.087</v>
          </cell>
          <cell r="E57">
            <v>0.46500000000000002</v>
          </cell>
        </row>
        <row r="58">
          <cell r="A58">
            <v>0.52</v>
          </cell>
          <cell r="B58">
            <v>0.86</v>
          </cell>
          <cell r="C58">
            <v>0.57599999999999996</v>
          </cell>
          <cell r="D58">
            <v>1.0940000000000001</v>
          </cell>
          <cell r="E58">
            <v>0.47199999999999998</v>
          </cell>
        </row>
        <row r="59">
          <cell r="A59">
            <v>0.53</v>
          </cell>
          <cell r="B59">
            <v>0.86499999999999999</v>
          </cell>
          <cell r="C59">
            <v>0.58199999999999996</v>
          </cell>
          <cell r="D59">
            <v>1.1000000000000001</v>
          </cell>
          <cell r="E59">
            <v>0.47899999999999998</v>
          </cell>
        </row>
        <row r="60">
          <cell r="A60">
            <v>0.54</v>
          </cell>
          <cell r="B60">
            <v>0.87</v>
          </cell>
          <cell r="C60">
            <v>0.58799999999999997</v>
          </cell>
          <cell r="D60">
            <v>1.107</v>
          </cell>
          <cell r="E60">
            <v>0.48699999999999999</v>
          </cell>
        </row>
        <row r="61">
          <cell r="A61">
            <v>0.55000000000000004</v>
          </cell>
          <cell r="B61">
            <v>0.875</v>
          </cell>
          <cell r="C61">
            <v>0.59399999999999997</v>
          </cell>
          <cell r="D61">
            <v>1.113</v>
          </cell>
          <cell r="E61">
            <v>0.49399999999999999</v>
          </cell>
        </row>
        <row r="62">
          <cell r="A62">
            <v>0.56000000000000005</v>
          </cell>
          <cell r="B62">
            <v>0.88</v>
          </cell>
          <cell r="C62">
            <v>0.60099999999999998</v>
          </cell>
          <cell r="D62">
            <v>1.121</v>
          </cell>
          <cell r="E62">
            <v>0.502</v>
          </cell>
        </row>
        <row r="63">
          <cell r="A63">
            <v>0.56999999999999995</v>
          </cell>
          <cell r="B63">
            <v>0.88500000000000001</v>
          </cell>
          <cell r="C63">
            <v>0.60799999999999998</v>
          </cell>
          <cell r="D63">
            <v>1.125</v>
          </cell>
          <cell r="E63">
            <v>0.51</v>
          </cell>
        </row>
        <row r="64">
          <cell r="A64">
            <v>0.57999999999999996</v>
          </cell>
          <cell r="B64">
            <v>0.89</v>
          </cell>
          <cell r="C64">
            <v>0.61499999999999999</v>
          </cell>
          <cell r="D64">
            <v>1.129</v>
          </cell>
          <cell r="E64">
            <v>0.51800000000000002</v>
          </cell>
        </row>
        <row r="65">
          <cell r="A65">
            <v>0.59</v>
          </cell>
          <cell r="B65">
            <v>0.89500000000000002</v>
          </cell>
          <cell r="C65">
            <v>0.62</v>
          </cell>
          <cell r="D65">
            <v>1.1319999999999999</v>
          </cell>
          <cell r="E65">
            <v>0.52600000000000002</v>
          </cell>
        </row>
        <row r="66">
          <cell r="A66">
            <v>0.6</v>
          </cell>
          <cell r="B66">
            <v>0.9</v>
          </cell>
          <cell r="C66">
            <v>0.626</v>
          </cell>
          <cell r="D66">
            <v>1.1359999999999999</v>
          </cell>
          <cell r="E66">
            <v>0.53400000000000003</v>
          </cell>
        </row>
        <row r="67">
          <cell r="A67">
            <v>0.61</v>
          </cell>
          <cell r="B67">
            <v>0.90300000000000002</v>
          </cell>
          <cell r="C67">
            <v>0.63200000000000001</v>
          </cell>
          <cell r="D67">
            <v>1.139</v>
          </cell>
          <cell r="E67">
            <v>0.54200000000000004</v>
          </cell>
        </row>
        <row r="68">
          <cell r="A68">
            <v>0.62</v>
          </cell>
          <cell r="B68">
            <v>0.90800000000000003</v>
          </cell>
          <cell r="C68">
            <v>0.63900000000000001</v>
          </cell>
          <cell r="D68">
            <v>1.143</v>
          </cell>
          <cell r="E68">
            <v>0.55000000000000004</v>
          </cell>
        </row>
        <row r="69">
          <cell r="A69">
            <v>0.63</v>
          </cell>
          <cell r="B69">
            <v>0.91300000000000003</v>
          </cell>
          <cell r="C69">
            <v>0.64500000000000002</v>
          </cell>
          <cell r="D69">
            <v>1.147</v>
          </cell>
          <cell r="E69">
            <v>0.55900000000000005</v>
          </cell>
        </row>
        <row r="70">
          <cell r="A70">
            <v>0.64</v>
          </cell>
          <cell r="B70">
            <v>0.91800000000000004</v>
          </cell>
          <cell r="C70">
            <v>0.65100000000000002</v>
          </cell>
          <cell r="D70">
            <v>1.151</v>
          </cell>
          <cell r="E70">
            <v>0.56799999999999995</v>
          </cell>
        </row>
        <row r="71">
          <cell r="A71">
            <v>0.65</v>
          </cell>
          <cell r="B71">
            <v>0.92200000000000004</v>
          </cell>
          <cell r="C71">
            <v>0.65800000000000003</v>
          </cell>
          <cell r="D71">
            <v>1.155</v>
          </cell>
          <cell r="E71">
            <v>0.57599999999999996</v>
          </cell>
        </row>
        <row r="72">
          <cell r="A72">
            <v>0.66</v>
          </cell>
          <cell r="B72">
            <v>0.92700000000000005</v>
          </cell>
          <cell r="C72">
            <v>0.66600000000000004</v>
          </cell>
          <cell r="D72">
            <v>1.1599999999999999</v>
          </cell>
          <cell r="E72">
            <v>0.58499999999999996</v>
          </cell>
        </row>
        <row r="73">
          <cell r="A73">
            <v>0.67</v>
          </cell>
          <cell r="B73">
            <v>0.93100000000000005</v>
          </cell>
          <cell r="C73">
            <v>0.67200000000000004</v>
          </cell>
          <cell r="D73">
            <v>1.163</v>
          </cell>
          <cell r="E73">
            <v>0.59499999999999997</v>
          </cell>
        </row>
        <row r="74">
          <cell r="A74">
            <v>0.68</v>
          </cell>
          <cell r="B74">
            <v>0.93600000000000005</v>
          </cell>
          <cell r="C74">
            <v>0.67800000000000005</v>
          </cell>
          <cell r="D74">
            <v>1.167</v>
          </cell>
          <cell r="E74">
            <v>0.60399999999999998</v>
          </cell>
        </row>
        <row r="75">
          <cell r="A75">
            <v>0.69</v>
          </cell>
          <cell r="B75">
            <v>0.94099999999999995</v>
          </cell>
          <cell r="C75">
            <v>0.68600000000000005</v>
          </cell>
          <cell r="D75">
            <v>1.1719999999999999</v>
          </cell>
          <cell r="E75">
            <v>0.61399999999999999</v>
          </cell>
        </row>
        <row r="76">
          <cell r="A76">
            <v>0.7</v>
          </cell>
          <cell r="B76">
            <v>0.94499999999999995</v>
          </cell>
          <cell r="C76">
            <v>0.69199999999999995</v>
          </cell>
          <cell r="D76">
            <v>1.175</v>
          </cell>
          <cell r="E76">
            <v>0.623</v>
          </cell>
        </row>
        <row r="77">
          <cell r="A77">
            <v>0.71</v>
          </cell>
          <cell r="B77">
            <v>0.95099999999999996</v>
          </cell>
          <cell r="C77">
            <v>0.69899999999999995</v>
          </cell>
          <cell r="D77">
            <v>1.179</v>
          </cell>
          <cell r="E77">
            <v>0.63300000000000001</v>
          </cell>
        </row>
        <row r="78">
          <cell r="A78">
            <v>0.72</v>
          </cell>
          <cell r="B78">
            <v>0.95499999999999996</v>
          </cell>
          <cell r="C78">
            <v>0.70499999999999996</v>
          </cell>
          <cell r="D78">
            <v>1.1819999999999999</v>
          </cell>
          <cell r="E78">
            <v>0.64400000000000002</v>
          </cell>
        </row>
        <row r="79">
          <cell r="A79">
            <v>0.73</v>
          </cell>
          <cell r="B79">
            <v>0.95799999999999996</v>
          </cell>
          <cell r="C79">
            <v>0.71</v>
          </cell>
          <cell r="D79">
            <v>1.1839999999999999</v>
          </cell>
          <cell r="E79">
            <v>0.65400000000000003</v>
          </cell>
        </row>
        <row r="80">
          <cell r="A80">
            <v>0.74</v>
          </cell>
          <cell r="B80">
            <v>0.96099999999999997</v>
          </cell>
          <cell r="C80">
            <v>0.71899999999999997</v>
          </cell>
          <cell r="D80">
            <v>1.1879999999999999</v>
          </cell>
          <cell r="E80">
            <v>0.66500000000000004</v>
          </cell>
        </row>
        <row r="81">
          <cell r="A81">
            <v>0.75</v>
          </cell>
          <cell r="B81">
            <v>0.96499999999999997</v>
          </cell>
          <cell r="C81">
            <v>0.72399999999999998</v>
          </cell>
          <cell r="D81">
            <v>1.19</v>
          </cell>
          <cell r="E81">
            <v>0.67700000000000005</v>
          </cell>
        </row>
        <row r="82">
          <cell r="A82">
            <v>0.76</v>
          </cell>
          <cell r="B82">
            <v>0.96899999999999997</v>
          </cell>
          <cell r="C82">
            <v>0.73199999999999998</v>
          </cell>
          <cell r="D82">
            <v>1.1930000000000001</v>
          </cell>
          <cell r="E82">
            <v>0.68799999999999994</v>
          </cell>
        </row>
        <row r="83">
          <cell r="A83">
            <v>0.77</v>
          </cell>
          <cell r="B83">
            <v>0.97199999999999998</v>
          </cell>
          <cell r="C83">
            <v>0.73799999999999999</v>
          </cell>
          <cell r="D83">
            <v>1.1950000000000001</v>
          </cell>
          <cell r="E83">
            <v>0.7</v>
          </cell>
        </row>
        <row r="84">
          <cell r="A84">
            <v>0.78</v>
          </cell>
          <cell r="B84">
            <v>0.97499999999999998</v>
          </cell>
          <cell r="C84">
            <v>0.74299999999999999</v>
          </cell>
          <cell r="D84">
            <v>1.1970000000000001</v>
          </cell>
          <cell r="E84">
            <v>0.71299999999999997</v>
          </cell>
        </row>
        <row r="85">
          <cell r="A85">
            <v>0.79</v>
          </cell>
          <cell r="B85">
            <v>0.98</v>
          </cell>
          <cell r="C85">
            <v>0.75</v>
          </cell>
          <cell r="D85">
            <v>1.2</v>
          </cell>
          <cell r="E85">
            <v>0.72499999999999998</v>
          </cell>
        </row>
        <row r="86">
          <cell r="A86">
            <v>0.8</v>
          </cell>
          <cell r="B86">
            <v>0.98399999999999999</v>
          </cell>
          <cell r="C86">
            <v>0.75600000000000001</v>
          </cell>
          <cell r="D86">
            <v>1.202</v>
          </cell>
          <cell r="E86">
            <v>0.73899999999999999</v>
          </cell>
        </row>
        <row r="87">
          <cell r="A87">
            <v>0.81</v>
          </cell>
          <cell r="B87">
            <v>0.98699999999999999</v>
          </cell>
          <cell r="C87">
            <v>0.76300000000000001</v>
          </cell>
          <cell r="D87">
            <v>1.2050000000000001</v>
          </cell>
          <cell r="E87">
            <v>0.753</v>
          </cell>
        </row>
        <row r="88">
          <cell r="A88">
            <v>0.82</v>
          </cell>
          <cell r="B88">
            <v>0.99</v>
          </cell>
          <cell r="C88">
            <v>0.77</v>
          </cell>
          <cell r="D88">
            <v>1.208</v>
          </cell>
          <cell r="E88">
            <v>0.76700000000000002</v>
          </cell>
        </row>
        <row r="89">
          <cell r="A89">
            <v>0.83</v>
          </cell>
          <cell r="B89">
            <v>0.99299999999999999</v>
          </cell>
          <cell r="C89">
            <v>0.77800000000000002</v>
          </cell>
          <cell r="D89">
            <v>1.2110000000000001</v>
          </cell>
          <cell r="E89">
            <v>0.78300000000000003</v>
          </cell>
        </row>
        <row r="90">
          <cell r="A90">
            <v>0.84</v>
          </cell>
          <cell r="B90">
            <v>0.997</v>
          </cell>
          <cell r="C90">
            <v>0.78500000000000003</v>
          </cell>
          <cell r="D90">
            <v>1.214</v>
          </cell>
          <cell r="E90">
            <v>0.79800000000000004</v>
          </cell>
        </row>
        <row r="91">
          <cell r="A91">
            <v>0.85</v>
          </cell>
          <cell r="B91">
            <v>1.0009999999999999</v>
          </cell>
          <cell r="C91">
            <v>0.79100000000000004</v>
          </cell>
          <cell r="D91">
            <v>1.216</v>
          </cell>
          <cell r="E91">
            <v>0.81499999999999995</v>
          </cell>
        </row>
        <row r="92">
          <cell r="A92">
            <v>0.86</v>
          </cell>
          <cell r="B92">
            <v>1.0049999999999999</v>
          </cell>
          <cell r="C92">
            <v>0.79800000000000004</v>
          </cell>
          <cell r="D92">
            <v>1.2190000000000001</v>
          </cell>
          <cell r="E92">
            <v>0.83299999999999996</v>
          </cell>
        </row>
        <row r="93">
          <cell r="A93">
            <v>0.87</v>
          </cell>
          <cell r="B93">
            <v>1.0069999999999999</v>
          </cell>
          <cell r="C93">
            <v>0.80400000000000005</v>
          </cell>
          <cell r="D93">
            <v>1.2190000000000001</v>
          </cell>
          <cell r="E93">
            <v>0.85199999999999998</v>
          </cell>
        </row>
        <row r="94">
          <cell r="A94">
            <v>0.88</v>
          </cell>
          <cell r="B94">
            <v>1.0109999999999999</v>
          </cell>
          <cell r="C94">
            <v>0.81299999999999994</v>
          </cell>
          <cell r="D94">
            <v>1.2150000000000001</v>
          </cell>
          <cell r="E94">
            <v>0.871</v>
          </cell>
        </row>
        <row r="95">
          <cell r="A95">
            <v>0.89</v>
          </cell>
          <cell r="B95">
            <v>1.0149999999999999</v>
          </cell>
          <cell r="C95">
            <v>0.82</v>
          </cell>
          <cell r="D95">
            <v>1.214</v>
          </cell>
          <cell r="E95">
            <v>0.89200000000000002</v>
          </cell>
        </row>
        <row r="96">
          <cell r="A96">
            <v>0.9</v>
          </cell>
          <cell r="B96">
            <v>1.018</v>
          </cell>
          <cell r="C96">
            <v>0.82599999999999996</v>
          </cell>
          <cell r="D96">
            <v>1.212</v>
          </cell>
          <cell r="E96">
            <v>0.91500000000000004</v>
          </cell>
        </row>
        <row r="97">
          <cell r="A97">
            <v>0.91</v>
          </cell>
          <cell r="B97">
            <v>1.0209999999999999</v>
          </cell>
          <cell r="C97">
            <v>0.83499999999999996</v>
          </cell>
          <cell r="D97">
            <v>1.21</v>
          </cell>
          <cell r="E97">
            <v>0.94</v>
          </cell>
        </row>
        <row r="98">
          <cell r="A98">
            <v>0.92</v>
          </cell>
          <cell r="B98">
            <v>1.024</v>
          </cell>
          <cell r="C98">
            <v>0.84299999999999997</v>
          </cell>
          <cell r="D98">
            <v>1.2070000000000001</v>
          </cell>
          <cell r="E98">
            <v>0.96599999999999997</v>
          </cell>
        </row>
        <row r="99">
          <cell r="A99">
            <v>0.93</v>
          </cell>
          <cell r="B99">
            <v>1.0269999999999999</v>
          </cell>
          <cell r="C99">
            <v>0.85199999999999998</v>
          </cell>
          <cell r="D99">
            <v>1.204</v>
          </cell>
          <cell r="E99">
            <v>0.995</v>
          </cell>
        </row>
        <row r="100">
          <cell r="A100">
            <v>0.94</v>
          </cell>
          <cell r="B100">
            <v>1.03</v>
          </cell>
          <cell r="C100">
            <v>0.86</v>
          </cell>
          <cell r="D100">
            <v>1.202</v>
          </cell>
          <cell r="E100">
            <v>1.0269999999999999</v>
          </cell>
        </row>
        <row r="101">
          <cell r="A101">
            <v>0.95</v>
          </cell>
          <cell r="B101">
            <v>1.0329999999999999</v>
          </cell>
          <cell r="C101">
            <v>0.86799999999999999</v>
          </cell>
          <cell r="D101">
            <v>1.2</v>
          </cell>
          <cell r="E101">
            <v>1.0629999999999999</v>
          </cell>
        </row>
        <row r="102">
          <cell r="A102">
            <v>0.96</v>
          </cell>
          <cell r="B102">
            <v>1.036</v>
          </cell>
          <cell r="C102">
            <v>0.876</v>
          </cell>
          <cell r="D102">
            <v>1.1970000000000001</v>
          </cell>
          <cell r="E102">
            <v>1.103</v>
          </cell>
        </row>
        <row r="103">
          <cell r="A103">
            <v>0.97</v>
          </cell>
          <cell r="B103">
            <v>1.038</v>
          </cell>
          <cell r="C103">
            <v>0.88400000000000001</v>
          </cell>
          <cell r="D103">
            <v>1.1950000000000001</v>
          </cell>
          <cell r="E103">
            <v>1.149</v>
          </cell>
        </row>
        <row r="104">
          <cell r="A104">
            <v>0.98</v>
          </cell>
          <cell r="B104">
            <v>1.0389999999999999</v>
          </cell>
          <cell r="C104">
            <v>0.89200000000000002</v>
          </cell>
          <cell r="D104">
            <v>1.1919999999999999</v>
          </cell>
          <cell r="E104">
            <v>1.202</v>
          </cell>
        </row>
        <row r="105">
          <cell r="A105">
            <v>0.99</v>
          </cell>
          <cell r="B105">
            <v>1.04</v>
          </cell>
          <cell r="C105">
            <v>0.9</v>
          </cell>
          <cell r="D105">
            <v>1.19</v>
          </cell>
          <cell r="E105">
            <v>1.2649999999999999</v>
          </cell>
        </row>
        <row r="106">
          <cell r="A106">
            <v>1</v>
          </cell>
          <cell r="B106">
            <v>1.0409999999999999</v>
          </cell>
          <cell r="C106">
            <v>0.91400000000000003</v>
          </cell>
          <cell r="D106">
            <v>1.1719999999999999</v>
          </cell>
          <cell r="E106">
            <v>1.3440000000000001</v>
          </cell>
        </row>
        <row r="107">
          <cell r="A107">
            <v>1.01</v>
          </cell>
          <cell r="B107">
            <v>1.042</v>
          </cell>
          <cell r="C107">
            <v>0.92</v>
          </cell>
          <cell r="D107">
            <v>1.1639999999999999</v>
          </cell>
          <cell r="E107">
            <v>1.4450000000000001</v>
          </cell>
        </row>
        <row r="108">
          <cell r="A108">
            <v>1.02</v>
          </cell>
          <cell r="B108">
            <v>1.042</v>
          </cell>
          <cell r="C108">
            <v>0.93100000000000005</v>
          </cell>
          <cell r="D108">
            <v>1.1499999999999999</v>
          </cell>
          <cell r="E108">
            <v>1.5840000000000001</v>
          </cell>
        </row>
        <row r="109">
          <cell r="A109">
            <v>1.03</v>
          </cell>
          <cell r="B109">
            <v>1.042</v>
          </cell>
          <cell r="C109">
            <v>0.94199999999999995</v>
          </cell>
          <cell r="D109">
            <v>1.1359999999999999</v>
          </cell>
          <cell r="E10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GENERALES"/>
      <sheetName val="CRONOGRAMA"/>
      <sheetName val="PRESUPUESTO"/>
      <sheetName val="SOCIOS &amp; FIRMA"/>
    </sheetNames>
    <sheetDataSet>
      <sheetData sheetId="0">
        <row r="116">
          <cell r="A116" t="str">
            <v>DESARROLLO_TERRITORIAL</v>
          </cell>
        </row>
        <row r="117">
          <cell r="A117" t="str">
            <v>OPERACIÓN_RESPONSABLE</v>
          </cell>
        </row>
        <row r="118">
          <cell r="A118" t="str">
            <v>SEGURIDAD_FÍSICA</v>
          </cell>
        </row>
        <row r="119">
          <cell r="A119" t="str">
            <v>CIENCIA_Y_TECNOLOGÍA</v>
          </cell>
        </row>
        <row r="120">
          <cell r="A120" t="str">
            <v>DESARROLLO_DE_PROVEEDORES</v>
          </cell>
        </row>
        <row r="121">
          <cell r="A121" t="str">
            <v>AMBIENTAL</v>
          </cell>
        </row>
        <row r="122">
          <cell r="A122" t="str">
            <v>INMOBILIARIA_Y_ACTIVOS</v>
          </cell>
        </row>
        <row r="123">
          <cell r="A123" t="str">
            <v>SALUD</v>
          </cell>
        </row>
        <row r="124">
          <cell r="A124" t="str">
            <v>OTROS    Cuál?:</v>
          </cell>
        </row>
        <row r="125">
          <cell r="A125" t="str">
            <v>No_Aplica</v>
          </cell>
        </row>
        <row r="126">
          <cell r="A126" t="str">
            <v>___</v>
          </cell>
        </row>
      </sheetData>
      <sheetData sheetId="1"/>
      <sheetData sheetId="2"/>
      <sheetData sheetId="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1"/>
      <sheetName val="2"/>
      <sheetName val="3"/>
      <sheetName val="4"/>
      <sheetName val="5"/>
      <sheetName val="6"/>
      <sheetName val="7"/>
      <sheetName val="8"/>
      <sheetName val="9"/>
      <sheetName val="10"/>
      <sheetName val="11"/>
      <sheetName val="12"/>
      <sheetName val="13"/>
      <sheetName val="14"/>
      <sheetName val="Aduccion"/>
      <sheetName val="15"/>
      <sheetName val="16"/>
      <sheetName val="17"/>
      <sheetName val="18"/>
      <sheetName val="19"/>
    </sheetNames>
    <sheetDataSet>
      <sheetData sheetId="0">
        <row r="2">
          <cell r="P2">
            <v>45972</v>
          </cell>
        </row>
        <row r="59">
          <cell r="L59">
            <v>4.0459454925640168</v>
          </cell>
        </row>
      </sheetData>
      <sheetData sheetId="1"/>
      <sheetData sheetId="2"/>
      <sheetData sheetId="3"/>
      <sheetData sheetId="4">
        <row r="2">
          <cell r="I2">
            <v>1.96655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11</v>
    <v>8</v>
    <v>2</v>
    <v>6</v>
  </rv>
</rvData>
</file>

<file path=xl/richData/rdrichvaluestructure.xml><?xml version="1.0" encoding="utf-8"?>
<rvStructures xmlns="http://schemas.microsoft.com/office/spreadsheetml/2017/richdata" count="1">
  <s t="_error">
    <k n="colOffset" t="i"/>
    <k n="errorType" t="i"/>
    <k n="rwOffset" t="i"/>
    <k n="subType" t="i"/>
  </s>
</rvStructure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0.xml"/><Relationship Id="rId1" Type="http://schemas.openxmlformats.org/officeDocument/2006/relationships/printerSettings" Target="../printerSettings/printerSettings25.bin"/><Relationship Id="rId4" Type="http://schemas.openxmlformats.org/officeDocument/2006/relationships/comments" Target="../comments1.xml"/></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61"/>
  <sheetViews>
    <sheetView topLeftCell="A71" workbookViewId="0">
      <selection activeCell="C79" sqref="C79"/>
    </sheetView>
  </sheetViews>
  <sheetFormatPr baseColWidth="10" defaultColWidth="11.42578125" defaultRowHeight="12.75" x14ac:dyDescent="0.2"/>
  <cols>
    <col min="1" max="1" width="2" style="1" customWidth="1"/>
    <col min="2" max="2" width="7" style="10" bestFit="1" customWidth="1"/>
    <col min="3" max="3" width="41.7109375" style="10" customWidth="1"/>
    <col min="4" max="4" width="5.5703125" style="10" bestFit="1" customWidth="1"/>
    <col min="5" max="5" width="10.7109375" style="10" bestFit="1" customWidth="1"/>
    <col min="6" max="6" width="14.28515625" style="14" bestFit="1" customWidth="1"/>
    <col min="7" max="7" width="20.85546875" style="14" bestFit="1" customWidth="1"/>
    <col min="8" max="8" width="11.7109375" style="1" customWidth="1"/>
    <col min="9" max="9" width="14.28515625" style="1" bestFit="1" customWidth="1"/>
    <col min="10" max="10" width="15.140625" style="1" bestFit="1" customWidth="1"/>
    <col min="11" max="11" width="11.5703125" style="1" bestFit="1" customWidth="1"/>
    <col min="12" max="12" width="11.28515625" style="1" customWidth="1"/>
    <col min="13" max="16384" width="11.42578125" style="1"/>
  </cols>
  <sheetData>
    <row r="1" spans="1:7" ht="10.5" customHeight="1" x14ac:dyDescent="0.25">
      <c r="A1" s="1475"/>
      <c r="B1" s="1476"/>
      <c r="C1" s="1476"/>
      <c r="D1" s="1476"/>
      <c r="E1" s="1476"/>
      <c r="F1" s="1476"/>
      <c r="G1" s="1477"/>
    </row>
    <row r="2" spans="1:7" ht="23.25" customHeight="1" thickBot="1" x14ac:dyDescent="0.25">
      <c r="A2" s="1478" t="s">
        <v>276</v>
      </c>
      <c r="B2" s="1479"/>
      <c r="C2" s="1479"/>
      <c r="D2" s="1479"/>
      <c r="E2" s="1479"/>
      <c r="F2" s="1479"/>
      <c r="G2" s="1480"/>
    </row>
    <row r="3" spans="1:7" ht="11.25" customHeight="1" x14ac:dyDescent="0.2">
      <c r="A3" s="1481"/>
      <c r="B3" s="1482"/>
      <c r="C3" s="1482"/>
      <c r="D3" s="1482"/>
      <c r="E3" s="1482"/>
      <c r="F3" s="1482"/>
      <c r="G3" s="1483"/>
    </row>
    <row r="4" spans="1:7" ht="19.5" customHeight="1" x14ac:dyDescent="0.2">
      <c r="A4" s="1481" t="s">
        <v>275</v>
      </c>
      <c r="B4" s="1484"/>
      <c r="C4" s="1484"/>
      <c r="D4" s="1484"/>
      <c r="E4" s="1484"/>
      <c r="F4" s="1484"/>
      <c r="G4" s="1485"/>
    </row>
    <row r="5" spans="1:7" ht="12" customHeight="1" thickBot="1" x14ac:dyDescent="0.25">
      <c r="A5" s="1486"/>
      <c r="B5" s="1479"/>
      <c r="C5" s="1479"/>
      <c r="D5" s="1479"/>
      <c r="E5" s="1479"/>
      <c r="F5" s="1479"/>
      <c r="G5" s="1480"/>
    </row>
    <row r="6" spans="1:7" ht="28.5" customHeight="1" thickBot="1" x14ac:dyDescent="0.25">
      <c r="A6" s="1487" t="s">
        <v>737</v>
      </c>
      <c r="B6" s="1488"/>
      <c r="C6" s="1488"/>
      <c r="D6" s="1488"/>
      <c r="E6" s="1488"/>
      <c r="F6" s="1488"/>
      <c r="G6" s="1489"/>
    </row>
    <row r="7" spans="1:7" ht="13.5" thickBot="1" x14ac:dyDescent="0.25">
      <c r="A7" s="2"/>
      <c r="B7" s="3" t="s">
        <v>0</v>
      </c>
      <c r="C7" s="4" t="s">
        <v>1</v>
      </c>
      <c r="D7" s="5" t="s">
        <v>2</v>
      </c>
      <c r="E7" s="5" t="s">
        <v>116</v>
      </c>
      <c r="F7" s="173" t="s">
        <v>11</v>
      </c>
      <c r="G7" s="173" t="s">
        <v>274</v>
      </c>
    </row>
    <row r="8" spans="1:7" ht="13.5" thickBot="1" x14ac:dyDescent="0.25">
      <c r="A8" s="161"/>
      <c r="B8" s="6">
        <v>1</v>
      </c>
      <c r="C8" s="7" t="s">
        <v>273</v>
      </c>
      <c r="D8" s="8"/>
      <c r="E8" s="160"/>
      <c r="F8" s="159"/>
      <c r="G8" s="159"/>
    </row>
    <row r="9" spans="1:7" ht="13.5" thickBot="1" x14ac:dyDescent="0.25">
      <c r="A9" s="513"/>
      <c r="B9" s="514" t="s">
        <v>3</v>
      </c>
      <c r="C9" s="515" t="s">
        <v>272</v>
      </c>
      <c r="D9" s="516" t="s">
        <v>4</v>
      </c>
      <c r="E9" s="517">
        <v>4750</v>
      </c>
      <c r="F9" s="518" t="e">
        <f>+#REF!</f>
        <v>#REF!</v>
      </c>
      <c r="G9" s="518" t="e">
        <f>+F9*E9</f>
        <v>#REF!</v>
      </c>
    </row>
    <row r="10" spans="1:7" ht="13.5" thickBot="1" x14ac:dyDescent="0.25">
      <c r="A10" s="15"/>
      <c r="B10" s="16"/>
      <c r="C10" s="1473" t="s">
        <v>213</v>
      </c>
      <c r="D10" s="1473"/>
      <c r="E10" s="1473"/>
      <c r="F10" s="1474"/>
      <c r="G10" s="165" t="e">
        <f>SUM(G9:G9)</f>
        <v>#REF!</v>
      </c>
    </row>
    <row r="11" spans="1:7" ht="13.5" thickBot="1" x14ac:dyDescent="0.25">
      <c r="A11" s="158"/>
      <c r="B11" s="503"/>
      <c r="C11" s="172" t="s">
        <v>271</v>
      </c>
      <c r="D11" s="156"/>
      <c r="E11" s="155"/>
      <c r="F11" s="154"/>
      <c r="G11" s="154"/>
    </row>
    <row r="12" spans="1:7" ht="13.5" thickBot="1" x14ac:dyDescent="0.25">
      <c r="A12" s="161"/>
      <c r="B12" s="6">
        <v>1</v>
      </c>
      <c r="C12" s="7" t="s">
        <v>198</v>
      </c>
      <c r="D12" s="8"/>
      <c r="E12" s="160"/>
      <c r="F12" s="159"/>
      <c r="G12" s="159"/>
    </row>
    <row r="13" spans="1:7" ht="25.5" x14ac:dyDescent="0.2">
      <c r="A13" s="513"/>
      <c r="B13" s="522" t="s">
        <v>5</v>
      </c>
      <c r="C13" s="515" t="s">
        <v>357</v>
      </c>
      <c r="D13" s="514" t="s">
        <v>12</v>
      </c>
      <c r="E13" s="517">
        <f>122.4*0.25</f>
        <v>30.6</v>
      </c>
      <c r="F13" s="518" t="e">
        <f>+#REF!</f>
        <v>#REF!</v>
      </c>
      <c r="G13" s="518" t="e">
        <f>+E13*F13</f>
        <v>#REF!</v>
      </c>
    </row>
    <row r="14" spans="1:7" ht="25.5" x14ac:dyDescent="0.2">
      <c r="A14" s="523"/>
      <c r="B14" s="524">
        <v>2.21</v>
      </c>
      <c r="C14" s="525" t="s">
        <v>277</v>
      </c>
      <c r="D14" s="526" t="s">
        <v>12</v>
      </c>
      <c r="E14" s="527">
        <f>122.4*0.18</f>
        <v>22.032</v>
      </c>
      <c r="F14" s="528" t="e">
        <f>+#REF!</f>
        <v>#REF!</v>
      </c>
      <c r="G14" s="528" t="e">
        <f>+E14*F14</f>
        <v>#REF!</v>
      </c>
    </row>
    <row r="15" spans="1:7" ht="25.5" x14ac:dyDescent="0.2">
      <c r="A15" s="523"/>
      <c r="B15" s="524">
        <v>2.2999999999999998</v>
      </c>
      <c r="C15" s="529" t="s">
        <v>278</v>
      </c>
      <c r="D15" s="526" t="s">
        <v>4</v>
      </c>
      <c r="E15" s="527">
        <v>122.44</v>
      </c>
      <c r="F15" s="528">
        <v>35500</v>
      </c>
      <c r="G15" s="528">
        <f>+E15*F15</f>
        <v>4346620</v>
      </c>
    </row>
    <row r="16" spans="1:7" ht="38.25" x14ac:dyDescent="0.2">
      <c r="A16" s="523"/>
      <c r="B16" s="524">
        <v>2.4</v>
      </c>
      <c r="C16" s="529" t="s">
        <v>738</v>
      </c>
      <c r="D16" s="526" t="s">
        <v>12</v>
      </c>
      <c r="E16" s="527">
        <f>319.62*0.18</f>
        <v>57.531599999999997</v>
      </c>
      <c r="F16" s="528" t="e">
        <f>+#REF!</f>
        <v>#REF!</v>
      </c>
      <c r="G16" s="528" t="e">
        <f>+F16*E16</f>
        <v>#REF!</v>
      </c>
    </row>
    <row r="17" spans="1:7" ht="38.25" x14ac:dyDescent="0.2">
      <c r="A17" s="523"/>
      <c r="B17" s="524">
        <v>2.4</v>
      </c>
      <c r="C17" s="529" t="s">
        <v>739</v>
      </c>
      <c r="D17" s="526" t="s">
        <v>12</v>
      </c>
      <c r="E17" s="527">
        <v>18.8</v>
      </c>
      <c r="F17" s="528" t="e">
        <f>+#REF!</f>
        <v>#REF!</v>
      </c>
      <c r="G17" s="528" t="e">
        <f>+F17*E17</f>
        <v>#REF!</v>
      </c>
    </row>
    <row r="18" spans="1:7" ht="13.5" thickBot="1" x14ac:dyDescent="0.25">
      <c r="A18" s="523"/>
      <c r="B18" s="526">
        <v>2.5</v>
      </c>
      <c r="C18" s="525" t="s">
        <v>223</v>
      </c>
      <c r="D18" s="526" t="s">
        <v>222</v>
      </c>
      <c r="E18" s="527">
        <v>15370</v>
      </c>
      <c r="F18" s="528">
        <v>3650</v>
      </c>
      <c r="G18" s="528">
        <f>+E18*F18</f>
        <v>56100500</v>
      </c>
    </row>
    <row r="19" spans="1:7" ht="13.5" thickBot="1" x14ac:dyDescent="0.25">
      <c r="A19" s="15"/>
      <c r="B19" s="16"/>
      <c r="C19" s="1473" t="s">
        <v>213</v>
      </c>
      <c r="D19" s="1473"/>
      <c r="E19" s="1473"/>
      <c r="F19" s="1474"/>
      <c r="G19" s="165" t="e">
        <f>SUM(G13:G18)</f>
        <v>#REF!</v>
      </c>
    </row>
    <row r="20" spans="1:7" ht="13.5" thickBot="1" x14ac:dyDescent="0.25">
      <c r="A20" s="161"/>
      <c r="B20" s="6">
        <v>3</v>
      </c>
      <c r="C20" s="7" t="s">
        <v>270</v>
      </c>
      <c r="D20" s="8"/>
      <c r="E20" s="171"/>
      <c r="F20" s="159"/>
      <c r="G20" s="159"/>
    </row>
    <row r="21" spans="1:7" ht="38.25" x14ac:dyDescent="0.2">
      <c r="A21" s="513"/>
      <c r="B21" s="522">
        <v>3.1</v>
      </c>
      <c r="C21" s="515" t="s">
        <v>269</v>
      </c>
      <c r="D21" s="514" t="s">
        <v>6</v>
      </c>
      <c r="E21" s="517">
        <v>250</v>
      </c>
      <c r="F21" s="518">
        <v>8500</v>
      </c>
      <c r="G21" s="518">
        <f>+F21*E21</f>
        <v>2125000</v>
      </c>
    </row>
    <row r="22" spans="1:7" ht="25.5" x14ac:dyDescent="0.2">
      <c r="A22" s="523"/>
      <c r="B22" s="524">
        <v>3.2</v>
      </c>
      <c r="C22" s="525" t="s">
        <v>268</v>
      </c>
      <c r="D22" s="526" t="s">
        <v>6</v>
      </c>
      <c r="E22" s="527">
        <v>80</v>
      </c>
      <c r="F22" s="528">
        <v>58159</v>
      </c>
      <c r="G22" s="528">
        <f>+F22*E22</f>
        <v>4652720</v>
      </c>
    </row>
    <row r="23" spans="1:7" ht="26.25" thickBot="1" x14ac:dyDescent="0.25">
      <c r="A23" s="523"/>
      <c r="B23" s="524">
        <v>3.3</v>
      </c>
      <c r="C23" s="525" t="s">
        <v>267</v>
      </c>
      <c r="D23" s="526" t="s">
        <v>6</v>
      </c>
      <c r="E23" s="527">
        <v>25</v>
      </c>
      <c r="F23" s="528">
        <v>5444</v>
      </c>
      <c r="G23" s="528">
        <f>+F23*E23</f>
        <v>136100</v>
      </c>
    </row>
    <row r="24" spans="1:7" ht="13.5" thickBot="1" x14ac:dyDescent="0.25">
      <c r="A24" s="15"/>
      <c r="B24" s="16"/>
      <c r="C24" s="1473" t="s">
        <v>213</v>
      </c>
      <c r="D24" s="1473"/>
      <c r="E24" s="1473"/>
      <c r="F24" s="1474"/>
      <c r="G24" s="165">
        <f>SUM(G21:G23)</f>
        <v>6913820</v>
      </c>
    </row>
    <row r="25" spans="1:7" ht="13.5" thickBot="1" x14ac:dyDescent="0.25">
      <c r="A25" s="161"/>
      <c r="B25" s="6">
        <v>4</v>
      </c>
      <c r="C25" s="7" t="s">
        <v>266</v>
      </c>
      <c r="D25" s="8"/>
      <c r="E25" s="160"/>
      <c r="F25" s="159"/>
      <c r="G25" s="159"/>
    </row>
    <row r="26" spans="1:7" ht="25.5" x14ac:dyDescent="0.2">
      <c r="A26" s="513"/>
      <c r="B26" s="522">
        <v>4.0999999999999996</v>
      </c>
      <c r="C26" s="515" t="s">
        <v>265</v>
      </c>
      <c r="D26" s="514" t="s">
        <v>4</v>
      </c>
      <c r="E26" s="517">
        <v>100.36</v>
      </c>
      <c r="F26" s="518" t="e">
        <f>+#REF!</f>
        <v>#REF!</v>
      </c>
      <c r="G26" s="518" t="e">
        <f>+E26*F26</f>
        <v>#REF!</v>
      </c>
    </row>
    <row r="27" spans="1:7" x14ac:dyDescent="0.2">
      <c r="A27" s="523"/>
      <c r="B27" s="524">
        <v>4.2</v>
      </c>
      <c r="C27" s="525" t="s">
        <v>264</v>
      </c>
      <c r="D27" s="526" t="s">
        <v>4</v>
      </c>
      <c r="E27" s="527">
        <v>310</v>
      </c>
      <c r="F27" s="528" t="e">
        <f>+#REF!</f>
        <v>#REF!</v>
      </c>
      <c r="G27" s="528" t="e">
        <f>+E27*F27</f>
        <v>#REF!</v>
      </c>
    </row>
    <row r="28" spans="1:7" ht="25.5" x14ac:dyDescent="0.2">
      <c r="A28" s="523"/>
      <c r="B28" s="524">
        <v>4.3</v>
      </c>
      <c r="C28" s="525" t="s">
        <v>279</v>
      </c>
      <c r="D28" s="526" t="s">
        <v>4</v>
      </c>
      <c r="E28" s="527">
        <v>40.5</v>
      </c>
      <c r="F28" s="528" t="e">
        <f>+#REF!</f>
        <v>#REF!</v>
      </c>
      <c r="G28" s="528" t="e">
        <f>+E28*F28</f>
        <v>#REF!</v>
      </c>
    </row>
    <row r="29" spans="1:7" x14ac:dyDescent="0.2">
      <c r="A29" s="523"/>
      <c r="B29" s="524">
        <v>4.4000000000000004</v>
      </c>
      <c r="C29" s="525" t="s">
        <v>280</v>
      </c>
      <c r="D29" s="526" t="s">
        <v>4</v>
      </c>
      <c r="E29" s="527">
        <v>82.83</v>
      </c>
      <c r="F29" s="528" t="e">
        <f>+#REF!</f>
        <v>#REF!</v>
      </c>
      <c r="G29" s="528" t="e">
        <f>+E29*F29</f>
        <v>#REF!</v>
      </c>
    </row>
    <row r="30" spans="1:7" ht="64.5" thickBot="1" x14ac:dyDescent="0.25">
      <c r="A30" s="523"/>
      <c r="B30" s="526">
        <v>4.5</v>
      </c>
      <c r="C30" s="525" t="s">
        <v>281</v>
      </c>
      <c r="D30" s="526" t="s">
        <v>6</v>
      </c>
      <c r="E30" s="527">
        <v>87.63</v>
      </c>
      <c r="F30" s="528">
        <v>15900</v>
      </c>
      <c r="G30" s="528">
        <f>+E30*F30</f>
        <v>1393317</v>
      </c>
    </row>
    <row r="31" spans="1:7" ht="13.5" thickBot="1" x14ac:dyDescent="0.25">
      <c r="A31" s="15"/>
      <c r="B31" s="16"/>
      <c r="C31" s="1473" t="s">
        <v>213</v>
      </c>
      <c r="D31" s="1473"/>
      <c r="E31" s="1473"/>
      <c r="F31" s="1474"/>
      <c r="G31" s="165" t="e">
        <f>SUM(G26:G30)</f>
        <v>#REF!</v>
      </c>
    </row>
    <row r="32" spans="1:7" ht="13.5" thickBot="1" x14ac:dyDescent="0.25">
      <c r="A32" s="161"/>
      <c r="B32" s="6">
        <v>5</v>
      </c>
      <c r="C32" s="7" t="s">
        <v>263</v>
      </c>
      <c r="D32" s="8"/>
      <c r="E32" s="160"/>
      <c r="F32" s="159"/>
      <c r="G32" s="159"/>
    </row>
    <row r="33" spans="1:7" ht="25.5" x14ac:dyDescent="0.2">
      <c r="A33" s="513"/>
      <c r="B33" s="522">
        <v>5.0999999999999996</v>
      </c>
      <c r="C33" s="515" t="s">
        <v>262</v>
      </c>
      <c r="D33" s="514" t="s">
        <v>2</v>
      </c>
      <c r="E33" s="517">
        <v>1</v>
      </c>
      <c r="F33" s="518">
        <v>3976000</v>
      </c>
      <c r="G33" s="518">
        <f>+E33*F33</f>
        <v>3976000</v>
      </c>
    </row>
    <row r="34" spans="1:7" x14ac:dyDescent="0.2">
      <c r="A34" s="523"/>
      <c r="B34" s="524">
        <v>5.2</v>
      </c>
      <c r="C34" s="525" t="s">
        <v>261</v>
      </c>
      <c r="D34" s="526" t="s">
        <v>2</v>
      </c>
      <c r="E34" s="527">
        <v>1</v>
      </c>
      <c r="F34" s="528">
        <v>180900</v>
      </c>
      <c r="G34" s="528">
        <f>+E34*F34</f>
        <v>180900</v>
      </c>
    </row>
    <row r="35" spans="1:7" x14ac:dyDescent="0.2">
      <c r="A35" s="523"/>
      <c r="B35" s="524">
        <v>5.3</v>
      </c>
      <c r="C35" s="525" t="s">
        <v>260</v>
      </c>
      <c r="D35" s="526" t="s">
        <v>2</v>
      </c>
      <c r="E35" s="527">
        <v>1</v>
      </c>
      <c r="F35" s="528">
        <v>1164000</v>
      </c>
      <c r="G35" s="528">
        <f>+E35*F35</f>
        <v>1164000</v>
      </c>
    </row>
    <row r="36" spans="1:7" x14ac:dyDescent="0.2">
      <c r="A36" s="523"/>
      <c r="B36" s="524">
        <v>5.4</v>
      </c>
      <c r="C36" s="529" t="s">
        <v>259</v>
      </c>
      <c r="D36" s="526" t="s">
        <v>2</v>
      </c>
      <c r="E36" s="527">
        <v>1</v>
      </c>
      <c r="F36" s="528">
        <v>387000</v>
      </c>
      <c r="G36" s="528">
        <f>+F36*E36</f>
        <v>387000</v>
      </c>
    </row>
    <row r="37" spans="1:7" x14ac:dyDescent="0.2">
      <c r="A37" s="523"/>
      <c r="B37" s="526">
        <v>5.5</v>
      </c>
      <c r="C37" s="525" t="s">
        <v>258</v>
      </c>
      <c r="D37" s="526" t="s">
        <v>2</v>
      </c>
      <c r="E37" s="527">
        <v>14</v>
      </c>
      <c r="F37" s="528">
        <v>30400</v>
      </c>
      <c r="G37" s="528">
        <f>+E37*F37</f>
        <v>425600</v>
      </c>
    </row>
    <row r="38" spans="1:7" ht="13.5" thickBot="1" x14ac:dyDescent="0.25">
      <c r="A38" s="523"/>
      <c r="B38" s="526">
        <v>5.6</v>
      </c>
      <c r="C38" s="525" t="s">
        <v>282</v>
      </c>
      <c r="D38" s="526" t="s">
        <v>2</v>
      </c>
      <c r="E38" s="527">
        <v>1</v>
      </c>
      <c r="F38" s="528">
        <v>2500000</v>
      </c>
      <c r="G38" s="528">
        <f>+F38*E38</f>
        <v>2500000</v>
      </c>
    </row>
    <row r="39" spans="1:7" ht="13.5" thickBot="1" x14ac:dyDescent="0.25">
      <c r="A39" s="15"/>
      <c r="B39" s="16"/>
      <c r="C39" s="1473" t="s">
        <v>213</v>
      </c>
      <c r="D39" s="1473"/>
      <c r="E39" s="1473"/>
      <c r="F39" s="1474"/>
      <c r="G39" s="165">
        <f>SUM(G33:G38)</f>
        <v>8633500</v>
      </c>
    </row>
    <row r="40" spans="1:7" ht="13.5" thickBot="1" x14ac:dyDescent="0.25">
      <c r="A40" s="161"/>
      <c r="B40" s="6">
        <v>6</v>
      </c>
      <c r="C40" s="7" t="s">
        <v>257</v>
      </c>
      <c r="D40" s="8"/>
      <c r="E40" s="160"/>
      <c r="F40" s="159"/>
      <c r="G40" s="159"/>
    </row>
    <row r="41" spans="1:7" x14ac:dyDescent="0.2">
      <c r="A41" s="513"/>
      <c r="B41" s="522">
        <v>6.1</v>
      </c>
      <c r="C41" s="515" t="s">
        <v>256</v>
      </c>
      <c r="D41" s="514" t="s">
        <v>2</v>
      </c>
      <c r="E41" s="517">
        <v>10</v>
      </c>
      <c r="F41" s="518">
        <v>197300</v>
      </c>
      <c r="G41" s="518">
        <f t="shared" ref="G41:G55" si="0">+E41*F41</f>
        <v>1973000</v>
      </c>
    </row>
    <row r="42" spans="1:7" x14ac:dyDescent="0.2">
      <c r="A42" s="523"/>
      <c r="B42" s="524">
        <v>6.2</v>
      </c>
      <c r="C42" s="525" t="s">
        <v>255</v>
      </c>
      <c r="D42" s="526" t="s">
        <v>2</v>
      </c>
      <c r="E42" s="527">
        <v>6</v>
      </c>
      <c r="F42" s="528">
        <v>30700</v>
      </c>
      <c r="G42" s="528">
        <f t="shared" si="0"/>
        <v>184200</v>
      </c>
    </row>
    <row r="43" spans="1:7" x14ac:dyDescent="0.2">
      <c r="A43" s="523"/>
      <c r="B43" s="524">
        <v>6.3</v>
      </c>
      <c r="C43" s="525" t="s">
        <v>254</v>
      </c>
      <c r="D43" s="526" t="s">
        <v>2</v>
      </c>
      <c r="E43" s="527">
        <v>12</v>
      </c>
      <c r="F43" s="528">
        <v>25700</v>
      </c>
      <c r="G43" s="528">
        <f t="shared" si="0"/>
        <v>308400</v>
      </c>
    </row>
    <row r="44" spans="1:7" x14ac:dyDescent="0.2">
      <c r="A44" s="523"/>
      <c r="B44" s="524">
        <v>6.4</v>
      </c>
      <c r="C44" s="529" t="s">
        <v>253</v>
      </c>
      <c r="D44" s="526" t="s">
        <v>2</v>
      </c>
      <c r="E44" s="527">
        <v>8</v>
      </c>
      <c r="F44" s="528">
        <v>251400</v>
      </c>
      <c r="G44" s="528">
        <f t="shared" si="0"/>
        <v>2011200</v>
      </c>
    </row>
    <row r="45" spans="1:7" x14ac:dyDescent="0.2">
      <c r="A45" s="523"/>
      <c r="B45" s="524">
        <v>6.5</v>
      </c>
      <c r="C45" s="525" t="s">
        <v>252</v>
      </c>
      <c r="D45" s="526" t="s">
        <v>2</v>
      </c>
      <c r="E45" s="527">
        <v>8</v>
      </c>
      <c r="F45" s="528">
        <v>398800</v>
      </c>
      <c r="G45" s="528">
        <f t="shared" si="0"/>
        <v>3190400</v>
      </c>
    </row>
    <row r="46" spans="1:7" x14ac:dyDescent="0.2">
      <c r="A46" s="523"/>
      <c r="B46" s="524">
        <v>6.6</v>
      </c>
      <c r="C46" s="525" t="s">
        <v>251</v>
      </c>
      <c r="D46" s="526" t="s">
        <v>2</v>
      </c>
      <c r="E46" s="527">
        <v>8</v>
      </c>
      <c r="F46" s="528">
        <v>30000</v>
      </c>
      <c r="G46" s="528">
        <f t="shared" si="0"/>
        <v>240000</v>
      </c>
    </row>
    <row r="47" spans="1:7" x14ac:dyDescent="0.2">
      <c r="A47" s="523"/>
      <c r="B47" s="524">
        <v>6.7</v>
      </c>
      <c r="C47" s="525" t="s">
        <v>250</v>
      </c>
      <c r="D47" s="526" t="s">
        <v>2</v>
      </c>
      <c r="E47" s="527">
        <v>4</v>
      </c>
      <c r="F47" s="528">
        <v>127000</v>
      </c>
      <c r="G47" s="528">
        <f t="shared" si="0"/>
        <v>508000</v>
      </c>
    </row>
    <row r="48" spans="1:7" x14ac:dyDescent="0.2">
      <c r="A48" s="523"/>
      <c r="B48" s="524">
        <v>6.8</v>
      </c>
      <c r="C48" s="525" t="s">
        <v>249</v>
      </c>
      <c r="D48" s="526" t="s">
        <v>2</v>
      </c>
      <c r="E48" s="527">
        <v>4</v>
      </c>
      <c r="F48" s="528">
        <v>81400</v>
      </c>
      <c r="G48" s="528">
        <f t="shared" si="0"/>
        <v>325600</v>
      </c>
    </row>
    <row r="49" spans="1:7" x14ac:dyDescent="0.2">
      <c r="A49" s="523"/>
      <c r="B49" s="524">
        <v>6.9</v>
      </c>
      <c r="C49" s="525" t="s">
        <v>248</v>
      </c>
      <c r="D49" s="526" t="s">
        <v>2</v>
      </c>
      <c r="E49" s="527">
        <v>2</v>
      </c>
      <c r="F49" s="528">
        <v>50000</v>
      </c>
      <c r="G49" s="528">
        <f t="shared" si="0"/>
        <v>100000</v>
      </c>
    </row>
    <row r="50" spans="1:7" x14ac:dyDescent="0.2">
      <c r="A50" s="523"/>
      <c r="B50" s="536">
        <v>6.1</v>
      </c>
      <c r="C50" s="529" t="s">
        <v>247</v>
      </c>
      <c r="D50" s="526" t="s">
        <v>2</v>
      </c>
      <c r="E50" s="527">
        <v>1</v>
      </c>
      <c r="F50" s="528">
        <v>250000</v>
      </c>
      <c r="G50" s="528">
        <f t="shared" si="0"/>
        <v>250000</v>
      </c>
    </row>
    <row r="51" spans="1:7" x14ac:dyDescent="0.2">
      <c r="A51" s="523"/>
      <c r="B51" s="536">
        <v>6.11</v>
      </c>
      <c r="C51" s="525" t="s">
        <v>246</v>
      </c>
      <c r="D51" s="526" t="s">
        <v>2</v>
      </c>
      <c r="E51" s="527">
        <v>1</v>
      </c>
      <c r="F51" s="528">
        <v>30000</v>
      </c>
      <c r="G51" s="528">
        <f t="shared" si="0"/>
        <v>30000</v>
      </c>
    </row>
    <row r="52" spans="1:7" x14ac:dyDescent="0.2">
      <c r="A52" s="523"/>
      <c r="B52" s="536">
        <v>6.12</v>
      </c>
      <c r="C52" s="525" t="s">
        <v>245</v>
      </c>
      <c r="D52" s="526" t="s">
        <v>2</v>
      </c>
      <c r="E52" s="527">
        <v>1</v>
      </c>
      <c r="F52" s="528">
        <v>80000</v>
      </c>
      <c r="G52" s="528">
        <f t="shared" si="0"/>
        <v>80000</v>
      </c>
    </row>
    <row r="53" spans="1:7" x14ac:dyDescent="0.2">
      <c r="A53" s="523"/>
      <c r="B53" s="536">
        <v>6.13</v>
      </c>
      <c r="C53" s="525" t="s">
        <v>244</v>
      </c>
      <c r="D53" s="526" t="s">
        <v>2</v>
      </c>
      <c r="E53" s="527">
        <v>1</v>
      </c>
      <c r="F53" s="528">
        <v>42000</v>
      </c>
      <c r="G53" s="528">
        <f t="shared" si="0"/>
        <v>42000</v>
      </c>
    </row>
    <row r="54" spans="1:7" x14ac:dyDescent="0.2">
      <c r="A54" s="523"/>
      <c r="B54" s="536">
        <v>6.14</v>
      </c>
      <c r="C54" s="525" t="s">
        <v>243</v>
      </c>
      <c r="D54" s="526" t="s">
        <v>2</v>
      </c>
      <c r="E54" s="527">
        <v>1</v>
      </c>
      <c r="F54" s="528">
        <v>30000</v>
      </c>
      <c r="G54" s="528">
        <f t="shared" si="0"/>
        <v>30000</v>
      </c>
    </row>
    <row r="55" spans="1:7" ht="13.5" thickBot="1" x14ac:dyDescent="0.25">
      <c r="A55" s="523"/>
      <c r="B55" s="536">
        <v>6.15</v>
      </c>
      <c r="C55" s="525" t="s">
        <v>242</v>
      </c>
      <c r="D55" s="526" t="s">
        <v>2</v>
      </c>
      <c r="E55" s="527">
        <v>1</v>
      </c>
      <c r="F55" s="528">
        <v>30000</v>
      </c>
      <c r="G55" s="528">
        <f t="shared" si="0"/>
        <v>30000</v>
      </c>
    </row>
    <row r="56" spans="1:7" ht="13.5" thickBot="1" x14ac:dyDescent="0.25">
      <c r="A56" s="15"/>
      <c r="B56" s="16"/>
      <c r="C56" s="1473" t="s">
        <v>213</v>
      </c>
      <c r="D56" s="1473"/>
      <c r="E56" s="1473"/>
      <c r="F56" s="1474"/>
      <c r="G56" s="165">
        <f>SUM(G41:G55)</f>
        <v>9302800</v>
      </c>
    </row>
    <row r="57" spans="1:7" ht="13.5" thickBot="1" x14ac:dyDescent="0.25">
      <c r="A57" s="161"/>
      <c r="B57" s="6">
        <v>7</v>
      </c>
      <c r="C57" s="7" t="s">
        <v>241</v>
      </c>
      <c r="D57" s="8"/>
      <c r="E57" s="160"/>
      <c r="F57" s="159"/>
      <c r="G57" s="159"/>
    </row>
    <row r="58" spans="1:7" ht="38.25" x14ac:dyDescent="0.2">
      <c r="A58" s="513"/>
      <c r="B58" s="522">
        <v>7.1</v>
      </c>
      <c r="C58" s="515" t="s">
        <v>284</v>
      </c>
      <c r="D58" s="514" t="s">
        <v>6</v>
      </c>
      <c r="E58" s="517">
        <v>18.43</v>
      </c>
      <c r="F58" s="518" t="e">
        <f>+#REF!</f>
        <v>#REF!</v>
      </c>
      <c r="G58" s="518" t="e">
        <f t="shared" ref="G58:G66" si="1">+E58*F58</f>
        <v>#REF!</v>
      </c>
    </row>
    <row r="59" spans="1:7" ht="25.5" x14ac:dyDescent="0.2">
      <c r="A59" s="523"/>
      <c r="B59" s="524">
        <v>7.2</v>
      </c>
      <c r="C59" s="525" t="s">
        <v>240</v>
      </c>
      <c r="D59" s="526" t="s">
        <v>6</v>
      </c>
      <c r="E59" s="527">
        <v>16</v>
      </c>
      <c r="F59" s="528" t="e">
        <f>+#REF!</f>
        <v>#REF!</v>
      </c>
      <c r="G59" s="528" t="e">
        <f t="shared" si="1"/>
        <v>#REF!</v>
      </c>
    </row>
    <row r="60" spans="1:7" x14ac:dyDescent="0.2">
      <c r="A60" s="523"/>
      <c r="B60" s="524">
        <v>7.3</v>
      </c>
      <c r="C60" s="529" t="s">
        <v>239</v>
      </c>
      <c r="D60" s="526" t="s">
        <v>4</v>
      </c>
      <c r="E60" s="527">
        <v>31.08</v>
      </c>
      <c r="F60" s="528" t="e">
        <f>+#REF!</f>
        <v>#REF!</v>
      </c>
      <c r="G60" s="528" t="e">
        <f t="shared" si="1"/>
        <v>#REF!</v>
      </c>
    </row>
    <row r="61" spans="1:7" ht="38.25" x14ac:dyDescent="0.2">
      <c r="A61" s="523"/>
      <c r="B61" s="526">
        <v>7.4</v>
      </c>
      <c r="C61" s="525" t="s">
        <v>285</v>
      </c>
      <c r="D61" s="526" t="s">
        <v>12</v>
      </c>
      <c r="E61" s="527">
        <v>3.5</v>
      </c>
      <c r="F61" s="528" t="e">
        <f>+#REF!</f>
        <v>#REF!</v>
      </c>
      <c r="G61" s="528" t="e">
        <f t="shared" si="1"/>
        <v>#REF!</v>
      </c>
    </row>
    <row r="62" spans="1:7" ht="25.5" x14ac:dyDescent="0.2">
      <c r="A62" s="523"/>
      <c r="B62" s="526">
        <v>7.5</v>
      </c>
      <c r="C62" s="525" t="s">
        <v>238</v>
      </c>
      <c r="D62" s="526" t="s">
        <v>4</v>
      </c>
      <c r="E62" s="527">
        <v>20.68</v>
      </c>
      <c r="F62" s="528" t="e">
        <f>+#REF!</f>
        <v>#REF!</v>
      </c>
      <c r="G62" s="528" t="e">
        <f t="shared" si="1"/>
        <v>#REF!</v>
      </c>
    </row>
    <row r="63" spans="1:7" ht="25.5" x14ac:dyDescent="0.2">
      <c r="A63" s="523"/>
      <c r="B63" s="526">
        <v>7.6</v>
      </c>
      <c r="C63" s="525" t="s">
        <v>237</v>
      </c>
      <c r="D63" s="526" t="s">
        <v>2</v>
      </c>
      <c r="E63" s="527">
        <v>1</v>
      </c>
      <c r="F63" s="528">
        <v>250000</v>
      </c>
      <c r="G63" s="528">
        <f>+E63*F63</f>
        <v>250000</v>
      </c>
    </row>
    <row r="64" spans="1:7" ht="25.5" x14ac:dyDescent="0.2">
      <c r="A64" s="523"/>
      <c r="B64" s="526">
        <v>7.7</v>
      </c>
      <c r="C64" s="525" t="s">
        <v>286</v>
      </c>
      <c r="D64" s="526" t="s">
        <v>4</v>
      </c>
      <c r="E64" s="527">
        <v>32</v>
      </c>
      <c r="F64" s="528" t="e">
        <f>+#REF!</f>
        <v>#REF!</v>
      </c>
      <c r="G64" s="528" t="e">
        <f>+E64*F64</f>
        <v>#REF!</v>
      </c>
    </row>
    <row r="65" spans="1:7" x14ac:dyDescent="0.2">
      <c r="A65" s="523"/>
      <c r="B65" s="526">
        <v>7.8</v>
      </c>
      <c r="C65" s="525" t="s">
        <v>283</v>
      </c>
      <c r="D65" s="526" t="s">
        <v>4</v>
      </c>
      <c r="E65" s="527">
        <v>32</v>
      </c>
      <c r="F65" s="528" t="e">
        <f>+#REF!</f>
        <v>#REF!</v>
      </c>
      <c r="G65" s="528" t="e">
        <f>+E65*F65</f>
        <v>#REF!</v>
      </c>
    </row>
    <row r="66" spans="1:7" ht="26.25" thickBot="1" x14ac:dyDescent="0.25">
      <c r="A66" s="523"/>
      <c r="B66" s="526">
        <v>7.9</v>
      </c>
      <c r="C66" s="525" t="s">
        <v>236</v>
      </c>
      <c r="D66" s="526" t="s">
        <v>2</v>
      </c>
      <c r="E66" s="527">
        <v>1</v>
      </c>
      <c r="F66" s="528">
        <v>450000</v>
      </c>
      <c r="G66" s="528">
        <f t="shared" si="1"/>
        <v>450000</v>
      </c>
    </row>
    <row r="67" spans="1:7" ht="13.5" thickBot="1" x14ac:dyDescent="0.25">
      <c r="A67" s="15"/>
      <c r="B67" s="16"/>
      <c r="C67" s="1473" t="s">
        <v>213</v>
      </c>
      <c r="D67" s="1473"/>
      <c r="E67" s="1473"/>
      <c r="F67" s="1474"/>
      <c r="G67" s="165" t="e">
        <f>SUM(G58:G66)</f>
        <v>#REF!</v>
      </c>
    </row>
    <row r="68" spans="1:7" ht="13.5" thickBot="1" x14ac:dyDescent="0.25">
      <c r="A68" s="161"/>
      <c r="B68" s="6">
        <v>8</v>
      </c>
      <c r="C68" s="35" t="s">
        <v>287</v>
      </c>
      <c r="D68" s="8"/>
      <c r="E68" s="160"/>
      <c r="F68" s="159"/>
      <c r="G68" s="159"/>
    </row>
    <row r="69" spans="1:7" ht="140.25" x14ac:dyDescent="0.2">
      <c r="A69" s="513"/>
      <c r="B69" s="514" t="s">
        <v>235</v>
      </c>
      <c r="C69" s="515" t="s">
        <v>288</v>
      </c>
      <c r="D69" s="516" t="s">
        <v>6</v>
      </c>
      <c r="E69" s="517">
        <v>87.63</v>
      </c>
      <c r="F69" s="518">
        <f>+CERRAMIENTO!G33</f>
        <v>221618</v>
      </c>
      <c r="G69" s="518">
        <f>+F69*E69</f>
        <v>19420385.34</v>
      </c>
    </row>
    <row r="70" spans="1:7" ht="76.5" x14ac:dyDescent="0.2">
      <c r="A70" s="523"/>
      <c r="B70" s="526">
        <v>8.1999999999999993</v>
      </c>
      <c r="C70" s="525" t="s">
        <v>298</v>
      </c>
      <c r="D70" s="526" t="s">
        <v>2</v>
      </c>
      <c r="E70" s="527">
        <v>2</v>
      </c>
      <c r="F70" s="528">
        <f>+CERRAMIENTO!G74</f>
        <v>763451</v>
      </c>
      <c r="G70" s="528">
        <f>+E70*F70</f>
        <v>1526902</v>
      </c>
    </row>
    <row r="71" spans="1:7" ht="39" thickBot="1" x14ac:dyDescent="0.25">
      <c r="A71" s="519"/>
      <c r="B71" s="520">
        <v>8.3000000000000007</v>
      </c>
      <c r="C71" s="537" t="s">
        <v>299</v>
      </c>
      <c r="D71" s="520" t="s">
        <v>2</v>
      </c>
      <c r="E71" s="535">
        <v>3</v>
      </c>
      <c r="F71" s="521">
        <v>250000</v>
      </c>
      <c r="G71" s="521">
        <f>+E71*F71</f>
        <v>750000</v>
      </c>
    </row>
    <row r="72" spans="1:7" ht="13.5" thickBot="1" x14ac:dyDescent="0.25">
      <c r="A72" s="15"/>
      <c r="B72" s="16"/>
      <c r="C72" s="1473" t="s">
        <v>213</v>
      </c>
      <c r="D72" s="1473"/>
      <c r="E72" s="1473"/>
      <c r="F72" s="1474"/>
      <c r="G72" s="165">
        <f>SUM(G69:G71)</f>
        <v>21697287.34</v>
      </c>
    </row>
    <row r="73" spans="1:7" ht="13.5" thickBot="1" x14ac:dyDescent="0.25">
      <c r="A73" s="158"/>
      <c r="B73" s="503"/>
      <c r="C73" s="157" t="s">
        <v>234</v>
      </c>
      <c r="D73" s="156"/>
      <c r="E73" s="155"/>
      <c r="F73" s="154"/>
      <c r="G73" s="153" t="e">
        <f>+G72+G67+G56+G39+G31+G24+G19</f>
        <v>#REF!</v>
      </c>
    </row>
    <row r="74" spans="1:7" ht="13.5" thickBot="1" x14ac:dyDescent="0.25">
      <c r="A74" s="22"/>
      <c r="B74" s="504"/>
      <c r="C74" s="164" t="s">
        <v>233</v>
      </c>
      <c r="D74" s="27"/>
      <c r="E74" s="163"/>
      <c r="F74" s="162"/>
      <c r="G74" s="162"/>
    </row>
    <row r="75" spans="1:7" ht="13.5" thickBot="1" x14ac:dyDescent="0.25">
      <c r="A75" s="161"/>
      <c r="B75" s="6">
        <v>9</v>
      </c>
      <c r="C75" s="7" t="s">
        <v>232</v>
      </c>
      <c r="D75" s="8"/>
      <c r="E75" s="171"/>
      <c r="F75" s="159"/>
      <c r="G75" s="159"/>
    </row>
    <row r="76" spans="1:7" x14ac:dyDescent="0.2">
      <c r="A76" s="513"/>
      <c r="B76" s="522">
        <v>9.1</v>
      </c>
      <c r="C76" s="515" t="s">
        <v>231</v>
      </c>
      <c r="D76" s="514" t="s">
        <v>12</v>
      </c>
      <c r="E76" s="517">
        <v>315</v>
      </c>
      <c r="F76" s="518" t="e">
        <f>+#REF!</f>
        <v>#REF!</v>
      </c>
      <c r="G76" s="518" t="e">
        <f>+F76*E76</f>
        <v>#REF!</v>
      </c>
    </row>
    <row r="77" spans="1:7" ht="25.5" x14ac:dyDescent="0.2">
      <c r="A77" s="523"/>
      <c r="B77" s="524">
        <v>9.1999999999999993</v>
      </c>
      <c r="C77" s="525" t="s">
        <v>300</v>
      </c>
      <c r="D77" s="526" t="s">
        <v>4</v>
      </c>
      <c r="E77" s="527">
        <v>1150</v>
      </c>
      <c r="F77" s="528" t="e">
        <f>+#REF!</f>
        <v>#REF!</v>
      </c>
      <c r="G77" s="528" t="e">
        <f>+F77*E77</f>
        <v>#REF!</v>
      </c>
    </row>
    <row r="78" spans="1:7" x14ac:dyDescent="0.2">
      <c r="A78" s="523"/>
      <c r="B78" s="524">
        <v>9.3000000000000007</v>
      </c>
      <c r="C78" s="525" t="s">
        <v>800</v>
      </c>
      <c r="D78" s="526" t="s">
        <v>12</v>
      </c>
      <c r="E78" s="527">
        <f>0.15*1050</f>
        <v>157.5</v>
      </c>
      <c r="F78" s="528" t="e">
        <f>+#REF!</f>
        <v>#REF!</v>
      </c>
      <c r="G78" s="528" t="e">
        <f>+F78*E78</f>
        <v>#REF!</v>
      </c>
    </row>
    <row r="79" spans="1:7" ht="51" x14ac:dyDescent="0.2">
      <c r="A79" s="523"/>
      <c r="B79" s="524">
        <v>9.4</v>
      </c>
      <c r="C79" s="525" t="s">
        <v>301</v>
      </c>
      <c r="D79" s="526" t="s">
        <v>12</v>
      </c>
      <c r="E79" s="527">
        <f>+E77*0.3</f>
        <v>345</v>
      </c>
      <c r="F79" s="528" t="e">
        <f>+#REF!</f>
        <v>#REF!</v>
      </c>
      <c r="G79" s="528" t="e">
        <f>+F79*E79</f>
        <v>#REF!</v>
      </c>
    </row>
    <row r="80" spans="1:7" ht="26.25" thickBot="1" x14ac:dyDescent="0.25">
      <c r="A80" s="523"/>
      <c r="B80" s="524">
        <v>9.5</v>
      </c>
      <c r="C80" s="525" t="s">
        <v>302</v>
      </c>
      <c r="D80" s="526" t="s">
        <v>4</v>
      </c>
      <c r="E80" s="527">
        <v>1150</v>
      </c>
      <c r="F80" s="528" t="e">
        <f>+'10 - VIAS - ESPECIALES '!G37</f>
        <v>#REF!</v>
      </c>
      <c r="G80" s="528" t="e">
        <f>+F80*E80</f>
        <v>#REF!</v>
      </c>
    </row>
    <row r="81" spans="1:7" ht="13.5" thickBot="1" x14ac:dyDescent="0.25">
      <c r="A81" s="15"/>
      <c r="B81" s="16"/>
      <c r="C81" s="1473" t="s">
        <v>213</v>
      </c>
      <c r="D81" s="1473"/>
      <c r="E81" s="1473"/>
      <c r="F81" s="1474"/>
      <c r="G81" s="165" t="e">
        <f>SUM(G76:G80)</f>
        <v>#REF!</v>
      </c>
    </row>
    <row r="82" spans="1:7" ht="13.5" thickBot="1" x14ac:dyDescent="0.25">
      <c r="A82" s="161"/>
      <c r="B82" s="6">
        <v>10</v>
      </c>
      <c r="C82" s="7" t="s">
        <v>230</v>
      </c>
      <c r="D82" s="8"/>
      <c r="E82" s="171"/>
      <c r="F82" s="159"/>
      <c r="G82" s="159"/>
    </row>
    <row r="83" spans="1:7" ht="243" thickBot="1" x14ac:dyDescent="0.25">
      <c r="A83" s="513"/>
      <c r="B83" s="522">
        <v>10.1</v>
      </c>
      <c r="C83" s="515" t="s">
        <v>736</v>
      </c>
      <c r="D83" s="514" t="s">
        <v>4</v>
      </c>
      <c r="E83" s="517">
        <v>1150</v>
      </c>
      <c r="F83" s="518">
        <f>+'11- DEPORTES - ESPECIALES'!G508</f>
        <v>90605</v>
      </c>
      <c r="G83" s="518">
        <f>+F83*E83</f>
        <v>104195750</v>
      </c>
    </row>
    <row r="84" spans="1:7" ht="13.5" thickBot="1" x14ac:dyDescent="0.25">
      <c r="A84" s="15"/>
      <c r="B84" s="16"/>
      <c r="C84" s="1473" t="s">
        <v>213</v>
      </c>
      <c r="D84" s="1473"/>
      <c r="E84" s="1473"/>
      <c r="F84" s="1474"/>
      <c r="G84" s="165">
        <f>SUM(G83:G83)</f>
        <v>104195750</v>
      </c>
    </row>
    <row r="85" spans="1:7" ht="13.5" thickBot="1" x14ac:dyDescent="0.25">
      <c r="A85" s="161"/>
      <c r="B85" s="170">
        <v>11</v>
      </c>
      <c r="C85" s="169" t="s">
        <v>229</v>
      </c>
      <c r="D85" s="168"/>
      <c r="E85" s="167"/>
      <c r="F85" s="166"/>
      <c r="G85" s="166"/>
    </row>
    <row r="86" spans="1:7" ht="38.25" x14ac:dyDescent="0.2">
      <c r="A86" s="513"/>
      <c r="B86" s="522">
        <v>11.1</v>
      </c>
      <c r="C86" s="515" t="s">
        <v>303</v>
      </c>
      <c r="D86" s="514" t="s">
        <v>6</v>
      </c>
      <c r="E86" s="517">
        <v>160</v>
      </c>
      <c r="F86" s="518" t="e">
        <f>+#REF!</f>
        <v>#REF!</v>
      </c>
      <c r="G86" s="518" t="e">
        <f>+F86*E86</f>
        <v>#REF!</v>
      </c>
    </row>
    <row r="87" spans="1:7" ht="25.5" x14ac:dyDescent="0.2">
      <c r="A87" s="523"/>
      <c r="B87" s="524">
        <v>11.2</v>
      </c>
      <c r="C87" s="525" t="s">
        <v>304</v>
      </c>
      <c r="D87" s="526" t="s">
        <v>6</v>
      </c>
      <c r="E87" s="527">
        <v>160</v>
      </c>
      <c r="F87" s="528">
        <f>+CERRAMIENTO!G116</f>
        <v>54681</v>
      </c>
      <c r="G87" s="528">
        <f>+F87*E87</f>
        <v>8748960</v>
      </c>
    </row>
    <row r="88" spans="1:7" ht="38.25" x14ac:dyDescent="0.2">
      <c r="A88" s="523"/>
      <c r="B88" s="524">
        <v>11.3</v>
      </c>
      <c r="C88" s="525" t="s">
        <v>228</v>
      </c>
      <c r="D88" s="526" t="s">
        <v>8</v>
      </c>
      <c r="E88" s="527">
        <v>4</v>
      </c>
      <c r="F88" s="528">
        <v>165000</v>
      </c>
      <c r="G88" s="528">
        <f>+F88*E88</f>
        <v>660000</v>
      </c>
    </row>
    <row r="89" spans="1:7" ht="25.5" x14ac:dyDescent="0.2">
      <c r="A89" s="523"/>
      <c r="B89" s="524">
        <v>11.4</v>
      </c>
      <c r="C89" s="525" t="s">
        <v>227</v>
      </c>
      <c r="D89" s="526" t="s">
        <v>6</v>
      </c>
      <c r="E89" s="527">
        <v>80</v>
      </c>
      <c r="F89" s="528">
        <v>55000</v>
      </c>
      <c r="G89" s="528">
        <f>+F89*E89</f>
        <v>4400000</v>
      </c>
    </row>
    <row r="90" spans="1:7" ht="13.5" thickBot="1" x14ac:dyDescent="0.25">
      <c r="A90" s="519"/>
      <c r="B90" s="533"/>
      <c r="C90" s="534"/>
      <c r="D90" s="520"/>
      <c r="E90" s="535"/>
      <c r="F90" s="521"/>
      <c r="G90" s="521"/>
    </row>
    <row r="91" spans="1:7" ht="13.5" thickBot="1" x14ac:dyDescent="0.25">
      <c r="A91" s="15"/>
      <c r="B91" s="16"/>
      <c r="C91" s="1473" t="s">
        <v>213</v>
      </c>
      <c r="D91" s="1473"/>
      <c r="E91" s="1473"/>
      <c r="F91" s="1474"/>
      <c r="G91" s="165" t="e">
        <f>SUM(G86:G89)</f>
        <v>#REF!</v>
      </c>
    </row>
    <row r="92" spans="1:7" ht="13.5" thickBot="1" x14ac:dyDescent="0.25">
      <c r="A92" s="161"/>
      <c r="B92" s="170">
        <v>12</v>
      </c>
      <c r="C92" s="169" t="s">
        <v>305</v>
      </c>
      <c r="D92" s="168"/>
      <c r="E92" s="167"/>
      <c r="F92" s="166"/>
      <c r="G92" s="166"/>
    </row>
    <row r="93" spans="1:7" ht="26.25" thickBot="1" x14ac:dyDescent="0.25">
      <c r="A93" s="513"/>
      <c r="B93" s="522">
        <v>12.1</v>
      </c>
      <c r="C93" s="515" t="s">
        <v>226</v>
      </c>
      <c r="D93" s="514" t="s">
        <v>8</v>
      </c>
      <c r="E93" s="517">
        <v>2</v>
      </c>
      <c r="F93" s="518">
        <v>1150000</v>
      </c>
      <c r="G93" s="518">
        <f>+F93*E93</f>
        <v>2300000</v>
      </c>
    </row>
    <row r="94" spans="1:7" ht="13.5" thickBot="1" x14ac:dyDescent="0.25">
      <c r="A94" s="15"/>
      <c r="B94" s="16"/>
      <c r="C94" s="1473" t="s">
        <v>213</v>
      </c>
      <c r="D94" s="1473"/>
      <c r="E94" s="1473"/>
      <c r="F94" s="1474"/>
      <c r="G94" s="165">
        <f>SUM(G93:G93)</f>
        <v>2300000</v>
      </c>
    </row>
    <row r="95" spans="1:7" ht="13.5" thickBot="1" x14ac:dyDescent="0.25">
      <c r="A95" s="158"/>
      <c r="B95" s="503"/>
      <c r="C95" s="157" t="s">
        <v>225</v>
      </c>
      <c r="D95" s="156"/>
      <c r="E95" s="155"/>
      <c r="F95" s="154"/>
      <c r="G95" s="153" t="e">
        <f>+G94+G91+G84+G81</f>
        <v>#REF!</v>
      </c>
    </row>
    <row r="96" spans="1:7" ht="13.5" thickBot="1" x14ac:dyDescent="0.25">
      <c r="A96" s="22"/>
      <c r="B96" s="504"/>
      <c r="C96" s="164" t="s">
        <v>306</v>
      </c>
      <c r="D96" s="27"/>
      <c r="E96" s="163"/>
      <c r="F96" s="162"/>
      <c r="G96" s="162"/>
    </row>
    <row r="97" spans="1:7" ht="13.5" thickBot="1" x14ac:dyDescent="0.25">
      <c r="A97" s="161"/>
      <c r="B97" s="6">
        <v>13</v>
      </c>
      <c r="C97" s="7" t="s">
        <v>224</v>
      </c>
      <c r="D97" s="8"/>
      <c r="E97" s="160"/>
      <c r="F97" s="159"/>
      <c r="G97" s="159"/>
    </row>
    <row r="98" spans="1:7" ht="25.5" x14ac:dyDescent="0.2">
      <c r="A98" s="513"/>
      <c r="B98" s="522">
        <v>13.1</v>
      </c>
      <c r="C98" s="515" t="str">
        <f>+C13</f>
        <v>Excavación Manual a todo factor. Inc. Retiro de material sobrante</v>
      </c>
      <c r="D98" s="514" t="s">
        <v>12</v>
      </c>
      <c r="E98" s="517">
        <v>30</v>
      </c>
      <c r="F98" s="518" t="e">
        <f>+F13</f>
        <v>#REF!</v>
      </c>
      <c r="G98" s="518" t="e">
        <f>+E98*F98</f>
        <v>#REF!</v>
      </c>
    </row>
    <row r="99" spans="1:7" ht="25.5" x14ac:dyDescent="0.2">
      <c r="A99" s="523"/>
      <c r="B99" s="524">
        <v>13.2</v>
      </c>
      <c r="C99" s="525" t="s">
        <v>309</v>
      </c>
      <c r="D99" s="526" t="s">
        <v>4</v>
      </c>
      <c r="E99" s="527">
        <v>17.3</v>
      </c>
      <c r="F99" s="528" t="e">
        <f>+#REF!</f>
        <v>#REF!</v>
      </c>
      <c r="G99" s="528" t="e">
        <f>+E99*F99</f>
        <v>#REF!</v>
      </c>
    </row>
    <row r="100" spans="1:7" ht="25.5" x14ac:dyDescent="0.2">
      <c r="A100" s="523"/>
      <c r="B100" s="524">
        <v>13.3</v>
      </c>
      <c r="C100" s="525" t="s">
        <v>308</v>
      </c>
      <c r="D100" s="526" t="s">
        <v>12</v>
      </c>
      <c r="E100" s="527">
        <v>1.79</v>
      </c>
      <c r="F100" s="528" t="e">
        <f>+#REF!</f>
        <v>#REF!</v>
      </c>
      <c r="G100" s="528" t="e">
        <f>+E100*F100</f>
        <v>#REF!</v>
      </c>
    </row>
    <row r="101" spans="1:7" ht="25.5" x14ac:dyDescent="0.2">
      <c r="A101" s="523"/>
      <c r="B101" s="524">
        <v>13.4</v>
      </c>
      <c r="C101" s="525" t="s">
        <v>307</v>
      </c>
      <c r="D101" s="526" t="s">
        <v>12</v>
      </c>
      <c r="E101" s="527">
        <v>2</v>
      </c>
      <c r="F101" s="528" t="e">
        <f>+#REF!</f>
        <v>#REF!</v>
      </c>
      <c r="G101" s="528" t="e">
        <f>+F101*E101</f>
        <v>#REF!</v>
      </c>
    </row>
    <row r="102" spans="1:7" ht="25.5" x14ac:dyDescent="0.2">
      <c r="A102" s="523"/>
      <c r="B102" s="524">
        <v>13.5</v>
      </c>
      <c r="C102" s="525" t="s">
        <v>310</v>
      </c>
      <c r="D102" s="526" t="s">
        <v>12</v>
      </c>
      <c r="E102" s="527">
        <v>5.18</v>
      </c>
      <c r="F102" s="528" t="e">
        <f>+#REF!</f>
        <v>#REF!</v>
      </c>
      <c r="G102" s="528" t="e">
        <f>+F102*E102</f>
        <v>#REF!</v>
      </c>
    </row>
    <row r="103" spans="1:7" ht="38.25" x14ac:dyDescent="0.2">
      <c r="A103" s="523"/>
      <c r="B103" s="526">
        <v>13.6</v>
      </c>
      <c r="C103" s="525" t="s">
        <v>311</v>
      </c>
      <c r="D103" s="526" t="s">
        <v>12</v>
      </c>
      <c r="E103" s="527">
        <v>4.8</v>
      </c>
      <c r="F103" s="528" t="e">
        <f>+#REF!</f>
        <v>#REF!</v>
      </c>
      <c r="G103" s="528" t="e">
        <f>+E103*F103</f>
        <v>#REF!</v>
      </c>
    </row>
    <row r="104" spans="1:7" ht="13.5" thickBot="1" x14ac:dyDescent="0.25">
      <c r="A104" s="523"/>
      <c r="B104" s="526">
        <v>13.7</v>
      </c>
      <c r="C104" s="525" t="s">
        <v>223</v>
      </c>
      <c r="D104" s="526" t="s">
        <v>222</v>
      </c>
      <c r="E104" s="527">
        <f>1170+300</f>
        <v>1470</v>
      </c>
      <c r="F104" s="528" t="e">
        <f>+#REF!</f>
        <v>#REF!</v>
      </c>
      <c r="G104" s="528" t="e">
        <f>+E104*F104</f>
        <v>#REF!</v>
      </c>
    </row>
    <row r="105" spans="1:7" ht="13.5" thickBot="1" x14ac:dyDescent="0.25">
      <c r="A105" s="15"/>
      <c r="B105" s="16"/>
      <c r="C105" s="1473" t="s">
        <v>213</v>
      </c>
      <c r="D105" s="1473"/>
      <c r="E105" s="1473"/>
      <c r="F105" s="1474"/>
      <c r="G105" s="165" t="e">
        <f>SUM(G98:G104)</f>
        <v>#REF!</v>
      </c>
    </row>
    <row r="106" spans="1:7" ht="13.5" thickBot="1" x14ac:dyDescent="0.25">
      <c r="A106" s="161"/>
      <c r="B106" s="170">
        <v>14</v>
      </c>
      <c r="C106" s="169" t="s">
        <v>221</v>
      </c>
      <c r="D106" s="168"/>
      <c r="E106" s="167"/>
      <c r="F106" s="166"/>
      <c r="G106" s="166"/>
    </row>
    <row r="107" spans="1:7" ht="51" x14ac:dyDescent="0.2">
      <c r="A107" s="513"/>
      <c r="B107" s="522">
        <v>14.1</v>
      </c>
      <c r="C107" s="515" t="s">
        <v>312</v>
      </c>
      <c r="D107" s="514" t="s">
        <v>6</v>
      </c>
      <c r="E107" s="517">
        <v>129</v>
      </c>
      <c r="F107" s="518">
        <f>+'7 - ESTRUCTURA CUBIERTA'!G201</f>
        <v>231162</v>
      </c>
      <c r="G107" s="518">
        <f>+F107*E107</f>
        <v>29819898</v>
      </c>
    </row>
    <row r="108" spans="1:7" ht="114.75" x14ac:dyDescent="0.2">
      <c r="A108" s="523"/>
      <c r="B108" s="524">
        <v>14.2</v>
      </c>
      <c r="C108" s="525" t="s">
        <v>324</v>
      </c>
      <c r="D108" s="526" t="s">
        <v>6</v>
      </c>
      <c r="E108" s="527">
        <v>96</v>
      </c>
      <c r="F108" s="528">
        <f>+'7 - ESTRUCTURA CUBIERTA'!G237</f>
        <v>194776</v>
      </c>
      <c r="G108" s="528">
        <f>+F108*E108</f>
        <v>18698496</v>
      </c>
    </row>
    <row r="109" spans="1:7" ht="63.75" x14ac:dyDescent="0.2">
      <c r="A109" s="523"/>
      <c r="B109" s="524">
        <v>14.3</v>
      </c>
      <c r="C109" s="525" t="s">
        <v>325</v>
      </c>
      <c r="D109" s="526" t="s">
        <v>6</v>
      </c>
      <c r="E109" s="527">
        <v>61.3</v>
      </c>
      <c r="F109" s="528">
        <f>+'7 - ESTRUCTURA CUBIERTA'!G272</f>
        <v>164058</v>
      </c>
      <c r="G109" s="528">
        <f>+F109*E109</f>
        <v>10056755.4</v>
      </c>
    </row>
    <row r="110" spans="1:7" ht="25.5" x14ac:dyDescent="0.2">
      <c r="A110" s="523"/>
      <c r="B110" s="524">
        <v>3.4</v>
      </c>
      <c r="C110" s="525" t="s">
        <v>220</v>
      </c>
      <c r="D110" s="526" t="s">
        <v>6</v>
      </c>
      <c r="E110" s="527"/>
      <c r="F110" s="528"/>
      <c r="G110" s="528"/>
    </row>
    <row r="111" spans="1:7" x14ac:dyDescent="0.2">
      <c r="A111" s="523"/>
      <c r="B111" s="524">
        <v>3.5</v>
      </c>
      <c r="C111" s="525" t="s">
        <v>219</v>
      </c>
      <c r="D111" s="526" t="s">
        <v>6</v>
      </c>
      <c r="E111" s="527"/>
      <c r="F111" s="528"/>
      <c r="G111" s="528"/>
    </row>
    <row r="112" spans="1:7" ht="25.5" x14ac:dyDescent="0.2">
      <c r="A112" s="523"/>
      <c r="B112" s="524">
        <v>3.6</v>
      </c>
      <c r="C112" s="525" t="s">
        <v>218</v>
      </c>
      <c r="D112" s="526" t="s">
        <v>8</v>
      </c>
      <c r="E112" s="527"/>
      <c r="F112" s="528"/>
      <c r="G112" s="528"/>
    </row>
    <row r="113" spans="1:14" ht="25.5" x14ac:dyDescent="0.2">
      <c r="A113" s="523"/>
      <c r="B113" s="524">
        <v>14.4</v>
      </c>
      <c r="C113" s="525" t="s">
        <v>326</v>
      </c>
      <c r="D113" s="526" t="s">
        <v>8</v>
      </c>
      <c r="E113" s="527">
        <v>10</v>
      </c>
      <c r="F113" s="528">
        <f>+'7 - ESTRUCTURA CUBIERTA'!G306</f>
        <v>306340</v>
      </c>
      <c r="G113" s="528">
        <f t="shared" ref="G113:G118" si="2">+F113*E113</f>
        <v>3063400</v>
      </c>
    </row>
    <row r="114" spans="1:14" ht="102" x14ac:dyDescent="0.2">
      <c r="A114" s="523"/>
      <c r="B114" s="524">
        <v>14.5</v>
      </c>
      <c r="C114" s="525" t="s">
        <v>327</v>
      </c>
      <c r="D114" s="526" t="s">
        <v>6</v>
      </c>
      <c r="E114" s="527">
        <v>550</v>
      </c>
      <c r="F114" s="528">
        <f>+'7 - ESTRUCTURA CUBIERTA'!G343</f>
        <v>55368</v>
      </c>
      <c r="G114" s="528">
        <f t="shared" si="2"/>
        <v>30452400</v>
      </c>
    </row>
    <row r="115" spans="1:14" ht="51" x14ac:dyDescent="0.2">
      <c r="A115" s="523"/>
      <c r="B115" s="524">
        <v>14.6</v>
      </c>
      <c r="C115" s="525" t="s">
        <v>217</v>
      </c>
      <c r="D115" s="526" t="s">
        <v>8</v>
      </c>
      <c r="E115" s="527">
        <v>16</v>
      </c>
      <c r="F115" s="528">
        <v>185550</v>
      </c>
      <c r="G115" s="528">
        <f t="shared" si="2"/>
        <v>2968800</v>
      </c>
    </row>
    <row r="116" spans="1:14" x14ac:dyDescent="0.2">
      <c r="A116" s="523"/>
      <c r="B116" s="524">
        <v>14.7</v>
      </c>
      <c r="C116" s="525" t="s">
        <v>216</v>
      </c>
      <c r="D116" s="526" t="s">
        <v>4</v>
      </c>
      <c r="E116" s="527">
        <v>658</v>
      </c>
      <c r="F116" s="528">
        <f>+'7 - ESTRUCTURA CUBIERTA'!G164</f>
        <v>37930</v>
      </c>
      <c r="G116" s="528">
        <f t="shared" si="2"/>
        <v>24957940</v>
      </c>
    </row>
    <row r="117" spans="1:14" x14ac:dyDescent="0.2">
      <c r="A117" s="523"/>
      <c r="B117" s="524">
        <v>14.8</v>
      </c>
      <c r="C117" s="525" t="s">
        <v>215</v>
      </c>
      <c r="D117" s="526" t="s">
        <v>6</v>
      </c>
      <c r="E117" s="527">
        <v>61.3</v>
      </c>
      <c r="F117" s="528">
        <f>+'7 - ESTRUCTURA CUBIERTA'!G506</f>
        <v>68487</v>
      </c>
      <c r="G117" s="528">
        <f t="shared" si="2"/>
        <v>4198253.0999999996</v>
      </c>
    </row>
    <row r="118" spans="1:14" x14ac:dyDescent="0.2">
      <c r="A118" s="523"/>
      <c r="B118" s="524">
        <v>14.9</v>
      </c>
      <c r="C118" s="525" t="s">
        <v>214</v>
      </c>
      <c r="D118" s="526" t="s">
        <v>6</v>
      </c>
      <c r="E118" s="527">
        <v>80</v>
      </c>
      <c r="F118" s="528">
        <f>+'7 - ESTRUCTURA CUBIERTA'!G538</f>
        <v>21588</v>
      </c>
      <c r="G118" s="528">
        <f t="shared" si="2"/>
        <v>1727040</v>
      </c>
    </row>
    <row r="119" spans="1:14" ht="13.5" thickBot="1" x14ac:dyDescent="0.25">
      <c r="A119" s="519"/>
      <c r="B119" s="530"/>
      <c r="C119" s="531"/>
      <c r="D119" s="520"/>
      <c r="E119" s="532"/>
      <c r="F119" s="521"/>
      <c r="G119" s="521"/>
    </row>
    <row r="120" spans="1:14" ht="13.5" thickBot="1" x14ac:dyDescent="0.25">
      <c r="A120" s="15"/>
      <c r="B120" s="16"/>
      <c r="C120" s="1473" t="s">
        <v>213</v>
      </c>
      <c r="D120" s="1473"/>
      <c r="E120" s="1473"/>
      <c r="F120" s="1474"/>
      <c r="G120" s="165">
        <f>SUM(G107:G119)</f>
        <v>125942982.5</v>
      </c>
    </row>
    <row r="121" spans="1:14" ht="13.5" thickBot="1" x14ac:dyDescent="0.25">
      <c r="A121" s="161"/>
      <c r="B121" s="6">
        <v>15</v>
      </c>
      <c r="C121" s="35" t="s">
        <v>328</v>
      </c>
      <c r="D121" s="8"/>
      <c r="E121" s="160"/>
      <c r="F121" s="159"/>
      <c r="G121" s="159"/>
    </row>
    <row r="122" spans="1:14" ht="25.5" x14ac:dyDescent="0.2">
      <c r="A122" s="513"/>
      <c r="B122" s="522">
        <v>15.1</v>
      </c>
      <c r="C122" s="515" t="s">
        <v>329</v>
      </c>
      <c r="D122" s="514" t="s">
        <v>4</v>
      </c>
      <c r="E122" s="517">
        <v>14</v>
      </c>
      <c r="F122" s="518" t="e">
        <f>+#REF!</f>
        <v>#REF!</v>
      </c>
      <c r="G122" s="518" t="e">
        <f>+E122*F122</f>
        <v>#REF!</v>
      </c>
    </row>
    <row r="123" spans="1:14" ht="63.75" x14ac:dyDescent="0.2">
      <c r="A123" s="523"/>
      <c r="B123" s="524">
        <v>15.2</v>
      </c>
      <c r="C123" s="525" t="s">
        <v>330</v>
      </c>
      <c r="D123" s="526" t="s">
        <v>6</v>
      </c>
      <c r="E123" s="527">
        <v>32</v>
      </c>
      <c r="F123" s="528" t="e">
        <f>+#REF!</f>
        <v>#REF!</v>
      </c>
      <c r="G123" s="528" t="e">
        <f>+E123*F123</f>
        <v>#REF!</v>
      </c>
    </row>
    <row r="124" spans="1:14" ht="38.25" x14ac:dyDescent="0.2">
      <c r="A124" s="523"/>
      <c r="B124" s="524">
        <v>15.3</v>
      </c>
      <c r="C124" s="525" t="s">
        <v>303</v>
      </c>
      <c r="D124" s="526" t="s">
        <v>6</v>
      </c>
      <c r="E124" s="527">
        <v>34.299999999999997</v>
      </c>
      <c r="F124" s="528" t="e">
        <f>+#REF!</f>
        <v>#REF!</v>
      </c>
      <c r="G124" s="528" t="e">
        <f>+E124*F124</f>
        <v>#REF!</v>
      </c>
    </row>
    <row r="125" spans="1:14" ht="26.25" thickBot="1" x14ac:dyDescent="0.25">
      <c r="A125" s="523"/>
      <c r="B125" s="524">
        <v>15.4</v>
      </c>
      <c r="C125" s="525" t="s">
        <v>304</v>
      </c>
      <c r="D125" s="526" t="s">
        <v>6</v>
      </c>
      <c r="E125" s="527">
        <f>+E124</f>
        <v>34.299999999999997</v>
      </c>
      <c r="F125" s="528">
        <f>+F87</f>
        <v>54681</v>
      </c>
      <c r="G125" s="528">
        <f>+F125*E125</f>
        <v>1875558.2999999998</v>
      </c>
    </row>
    <row r="126" spans="1:14" ht="13.5" thickBot="1" x14ac:dyDescent="0.25">
      <c r="A126" s="15"/>
      <c r="B126" s="16"/>
      <c r="C126" s="1473" t="s">
        <v>213</v>
      </c>
      <c r="D126" s="1473"/>
      <c r="E126" s="1473"/>
      <c r="F126" s="1474"/>
      <c r="G126" s="165" t="e">
        <f>SUM(G122:G125)</f>
        <v>#REF!</v>
      </c>
    </row>
    <row r="127" spans="1:14" ht="13.5" thickBot="1" x14ac:dyDescent="0.25">
      <c r="A127" s="161"/>
      <c r="B127" s="6">
        <v>16</v>
      </c>
      <c r="C127" s="35" t="s">
        <v>753</v>
      </c>
      <c r="D127" s="8"/>
      <c r="E127" s="160"/>
      <c r="F127" s="159"/>
      <c r="G127" s="159"/>
    </row>
    <row r="128" spans="1:14" ht="13.5" thickBot="1" x14ac:dyDescent="0.25">
      <c r="A128" s="506"/>
      <c r="B128" s="507">
        <v>16.100000000000001</v>
      </c>
      <c r="C128" s="509" t="s">
        <v>740</v>
      </c>
      <c r="D128" s="510"/>
      <c r="E128" s="508"/>
      <c r="F128" s="511"/>
      <c r="G128" s="511"/>
      <c r="J128" s="1">
        <v>1.77</v>
      </c>
      <c r="L128" s="1">
        <v>1.8</v>
      </c>
      <c r="M128" s="1">
        <v>2.2000000000000002</v>
      </c>
      <c r="N128" s="1">
        <f>+L128*M128</f>
        <v>3.9600000000000004</v>
      </c>
    </row>
    <row r="129" spans="1:14" ht="51" x14ac:dyDescent="0.2">
      <c r="A129" s="513"/>
      <c r="B129" s="522" t="s">
        <v>743</v>
      </c>
      <c r="C129" s="515" t="s">
        <v>538</v>
      </c>
      <c r="D129" s="514" t="s">
        <v>2</v>
      </c>
      <c r="E129" s="517">
        <v>4</v>
      </c>
      <c r="F129" s="518">
        <v>222456</v>
      </c>
      <c r="G129" s="518">
        <f>E129*F129</f>
        <v>889824</v>
      </c>
    </row>
    <row r="130" spans="1:14" ht="51" x14ac:dyDescent="0.2">
      <c r="A130" s="523"/>
      <c r="B130" s="524" t="s">
        <v>744</v>
      </c>
      <c r="C130" s="525" t="s">
        <v>532</v>
      </c>
      <c r="D130" s="526" t="s">
        <v>2</v>
      </c>
      <c r="E130" s="527">
        <v>2</v>
      </c>
      <c r="F130" s="528">
        <v>574816</v>
      </c>
      <c r="G130" s="528">
        <f>E130*F130</f>
        <v>1149632</v>
      </c>
    </row>
    <row r="131" spans="1:14" ht="51" x14ac:dyDescent="0.2">
      <c r="A131" s="523"/>
      <c r="B131" s="524" t="s">
        <v>745</v>
      </c>
      <c r="C131" s="525" t="s">
        <v>525</v>
      </c>
      <c r="D131" s="526" t="s">
        <v>6</v>
      </c>
      <c r="E131" s="527">
        <v>60</v>
      </c>
      <c r="F131" s="528">
        <v>34417</v>
      </c>
      <c r="G131" s="528">
        <f>E131*F131</f>
        <v>2065020</v>
      </c>
    </row>
    <row r="132" spans="1:14" ht="39" thickBot="1" x14ac:dyDescent="0.25">
      <c r="A132" s="519"/>
      <c r="B132" s="533" t="s">
        <v>746</v>
      </c>
      <c r="C132" s="537" t="s">
        <v>524</v>
      </c>
      <c r="D132" s="520" t="s">
        <v>6</v>
      </c>
      <c r="E132" s="535">
        <v>160</v>
      </c>
      <c r="F132" s="521">
        <v>38495</v>
      </c>
      <c r="G132" s="521">
        <f>E132*F132</f>
        <v>6159200</v>
      </c>
    </row>
    <row r="133" spans="1:14" ht="13.5" thickBot="1" x14ac:dyDescent="0.25">
      <c r="A133" s="506"/>
      <c r="B133" s="507">
        <v>16.2</v>
      </c>
      <c r="C133" s="509" t="s">
        <v>741</v>
      </c>
      <c r="D133" s="510"/>
      <c r="E133" s="508"/>
      <c r="F133" s="511"/>
      <c r="G133" s="511"/>
      <c r="J133" s="1">
        <v>1.77</v>
      </c>
      <c r="L133" s="1">
        <v>1.8</v>
      </c>
      <c r="M133" s="1">
        <v>2.2000000000000002</v>
      </c>
      <c r="N133" s="1">
        <f>+L133*M133</f>
        <v>3.9600000000000004</v>
      </c>
    </row>
    <row r="134" spans="1:14" ht="38.25" x14ac:dyDescent="0.2">
      <c r="A134" s="513"/>
      <c r="B134" s="522" t="s">
        <v>747</v>
      </c>
      <c r="C134" s="515" t="s">
        <v>510</v>
      </c>
      <c r="D134" s="514" t="s">
        <v>2</v>
      </c>
      <c r="E134" s="517">
        <v>220</v>
      </c>
      <c r="F134" s="518">
        <v>15856</v>
      </c>
      <c r="G134" s="518">
        <f>E134*F134</f>
        <v>3488320</v>
      </c>
    </row>
    <row r="135" spans="1:14" ht="179.25" thickBot="1" x14ac:dyDescent="0.25">
      <c r="A135" s="519"/>
      <c r="B135" s="533" t="s">
        <v>748</v>
      </c>
      <c r="C135" s="537" t="s">
        <v>498</v>
      </c>
      <c r="D135" s="520" t="s">
        <v>2</v>
      </c>
      <c r="E135" s="535">
        <v>16</v>
      </c>
      <c r="F135" s="521">
        <v>1358792</v>
      </c>
      <c r="G135" s="521">
        <f>E135*F135</f>
        <v>21740672</v>
      </c>
    </row>
    <row r="136" spans="1:14" ht="13.5" thickBot="1" x14ac:dyDescent="0.25">
      <c r="A136" s="506"/>
      <c r="B136" s="507">
        <v>16.3</v>
      </c>
      <c r="C136" s="509" t="s">
        <v>741</v>
      </c>
      <c r="D136" s="510"/>
      <c r="E136" s="508"/>
      <c r="F136" s="511"/>
      <c r="G136" s="511"/>
      <c r="J136" s="1">
        <v>1.77</v>
      </c>
      <c r="L136" s="1">
        <v>1.8</v>
      </c>
      <c r="M136" s="1">
        <v>2.2000000000000002</v>
      </c>
      <c r="N136" s="1">
        <f>+L136*M136</f>
        <v>3.9600000000000004</v>
      </c>
    </row>
    <row r="137" spans="1:14" ht="25.5" x14ac:dyDescent="0.2">
      <c r="A137" s="513"/>
      <c r="B137" s="522" t="s">
        <v>749</v>
      </c>
      <c r="C137" s="538" t="s">
        <v>451</v>
      </c>
      <c r="D137" s="539" t="s">
        <v>2</v>
      </c>
      <c r="E137" s="517">
        <v>2</v>
      </c>
      <c r="F137" s="518">
        <v>1537209</v>
      </c>
      <c r="G137" s="518">
        <f>F137*E137</f>
        <v>3074418</v>
      </c>
    </row>
    <row r="138" spans="1:14" ht="26.25" thickBot="1" x14ac:dyDescent="0.25">
      <c r="A138" s="519"/>
      <c r="B138" s="533" t="s">
        <v>750</v>
      </c>
      <c r="C138" s="540" t="s">
        <v>449</v>
      </c>
      <c r="D138" s="541" t="s">
        <v>2</v>
      </c>
      <c r="E138" s="535">
        <v>2</v>
      </c>
      <c r="F138" s="521">
        <v>2744199</v>
      </c>
      <c r="G138" s="521">
        <f>F138*E138</f>
        <v>5488398</v>
      </c>
    </row>
    <row r="139" spans="1:14" ht="13.5" thickBot="1" x14ac:dyDescent="0.25">
      <c r="A139" s="506"/>
      <c r="B139" s="507">
        <v>16.399999999999999</v>
      </c>
      <c r="C139" s="509" t="s">
        <v>741</v>
      </c>
      <c r="D139" s="510"/>
      <c r="E139" s="508"/>
      <c r="F139" s="511"/>
      <c r="G139" s="511"/>
      <c r="J139" s="1">
        <v>1.77</v>
      </c>
      <c r="L139" s="1">
        <v>1.8</v>
      </c>
      <c r="M139" s="1">
        <v>2.2000000000000002</v>
      </c>
      <c r="N139" s="1">
        <f>+L139*M139</f>
        <v>3.9600000000000004</v>
      </c>
    </row>
    <row r="140" spans="1:14" ht="25.5" x14ac:dyDescent="0.2">
      <c r="A140" s="513"/>
      <c r="B140" s="522" t="s">
        <v>751</v>
      </c>
      <c r="C140" s="515" t="s">
        <v>418</v>
      </c>
      <c r="D140" s="514" t="s">
        <v>91</v>
      </c>
      <c r="E140" s="517">
        <v>2</v>
      </c>
      <c r="F140" s="518">
        <v>400222</v>
      </c>
      <c r="G140" s="518">
        <f>+F140*E140</f>
        <v>800444</v>
      </c>
      <c r="J140" s="1">
        <v>0.85</v>
      </c>
      <c r="L140" s="1">
        <v>0.25</v>
      </c>
      <c r="M140" s="1">
        <v>2.2000000000000002</v>
      </c>
      <c r="N140" s="1">
        <f>+L140*M140</f>
        <v>0.55000000000000004</v>
      </c>
    </row>
    <row r="141" spans="1:14" ht="39" thickBot="1" x14ac:dyDescent="0.25">
      <c r="A141" s="519"/>
      <c r="B141" s="533" t="s">
        <v>752</v>
      </c>
      <c r="C141" s="537" t="s">
        <v>742</v>
      </c>
      <c r="D141" s="520" t="s">
        <v>2</v>
      </c>
      <c r="E141" s="535">
        <v>1</v>
      </c>
      <c r="F141" s="521">
        <v>457172</v>
      </c>
      <c r="G141" s="521">
        <f>+F141*E141</f>
        <v>457172</v>
      </c>
    </row>
    <row r="142" spans="1:14" ht="13.5" thickBot="1" x14ac:dyDescent="0.25">
      <c r="A142" s="15"/>
      <c r="B142" s="16"/>
      <c r="C142" s="1473" t="s">
        <v>213</v>
      </c>
      <c r="D142" s="1473"/>
      <c r="E142" s="1473"/>
      <c r="F142" s="1474"/>
      <c r="G142" s="165">
        <f>SUM(G129:G141)</f>
        <v>45313100</v>
      </c>
    </row>
    <row r="143" spans="1:14" ht="13.5" thickBot="1" x14ac:dyDescent="0.25">
      <c r="A143" s="158"/>
      <c r="B143" s="503"/>
      <c r="C143" s="157" t="s">
        <v>212</v>
      </c>
      <c r="D143" s="156"/>
      <c r="E143" s="155"/>
      <c r="F143" s="154"/>
      <c r="G143" s="153" t="e">
        <f>+G120+G105+G126+G142</f>
        <v>#REF!</v>
      </c>
    </row>
    <row r="144" spans="1:14" ht="13.5" thickBot="1" x14ac:dyDescent="0.25">
      <c r="A144" s="22"/>
      <c r="B144" s="504"/>
      <c r="C144" s="164" t="s">
        <v>345</v>
      </c>
      <c r="D144" s="27"/>
      <c r="E144" s="163"/>
      <c r="F144" s="162"/>
      <c r="G144" s="162"/>
    </row>
    <row r="145" spans="1:7" ht="13.5" thickBot="1" x14ac:dyDescent="0.25">
      <c r="A145" s="161"/>
      <c r="B145" s="6">
        <v>17</v>
      </c>
      <c r="C145" s="7" t="s">
        <v>346</v>
      </c>
      <c r="D145" s="8"/>
      <c r="E145" s="160"/>
      <c r="F145" s="159"/>
      <c r="G145" s="159"/>
    </row>
    <row r="146" spans="1:7" ht="63.75" x14ac:dyDescent="0.2">
      <c r="A146" s="513"/>
      <c r="B146" s="522">
        <v>17.100000000000001</v>
      </c>
      <c r="C146" s="515" t="s">
        <v>347</v>
      </c>
      <c r="D146" s="514" t="s">
        <v>4</v>
      </c>
      <c r="E146" s="517">
        <v>137.36000000000001</v>
      </c>
      <c r="F146" s="518" t="e">
        <f>+#REF!</f>
        <v>#REF!</v>
      </c>
      <c r="G146" s="518" t="e">
        <f>+E146*F146</f>
        <v>#REF!</v>
      </c>
    </row>
    <row r="147" spans="1:7" ht="51" x14ac:dyDescent="0.2">
      <c r="A147" s="523"/>
      <c r="B147" s="524">
        <v>17.2</v>
      </c>
      <c r="C147" s="525" t="s">
        <v>348</v>
      </c>
      <c r="D147" s="526" t="s">
        <v>4</v>
      </c>
      <c r="E147" s="527">
        <v>653.55999999999995</v>
      </c>
      <c r="F147" s="528" t="e">
        <f>+#REF!</f>
        <v>#REF!</v>
      </c>
      <c r="G147" s="528" t="e">
        <f>+E147*F147</f>
        <v>#REF!</v>
      </c>
    </row>
    <row r="148" spans="1:7" ht="76.5" x14ac:dyDescent="0.2">
      <c r="A148" s="523"/>
      <c r="B148" s="524">
        <v>17.3</v>
      </c>
      <c r="C148" s="525" t="s">
        <v>349</v>
      </c>
      <c r="D148" s="526" t="s">
        <v>4</v>
      </c>
      <c r="E148" s="527">
        <v>479.69</v>
      </c>
      <c r="F148" s="528" t="e">
        <f>+#REF!</f>
        <v>#REF!</v>
      </c>
      <c r="G148" s="528" t="e">
        <f>+E148*F148</f>
        <v>#REF!</v>
      </c>
    </row>
    <row r="149" spans="1:7" ht="76.5" x14ac:dyDescent="0.2">
      <c r="A149" s="523"/>
      <c r="B149" s="524">
        <v>17.399999999999999</v>
      </c>
      <c r="C149" s="525" t="s">
        <v>350</v>
      </c>
      <c r="D149" s="526" t="s">
        <v>4</v>
      </c>
      <c r="E149" s="527">
        <v>400</v>
      </c>
      <c r="F149" s="528" t="e">
        <f>+#REF!</f>
        <v>#REF!</v>
      </c>
      <c r="G149" s="528" t="e">
        <f>+F149*E149</f>
        <v>#REF!</v>
      </c>
    </row>
    <row r="150" spans="1:7" ht="76.5" x14ac:dyDescent="0.2">
      <c r="A150" s="523"/>
      <c r="B150" s="524">
        <v>17.5</v>
      </c>
      <c r="C150" s="525" t="s">
        <v>351</v>
      </c>
      <c r="D150" s="526" t="s">
        <v>4</v>
      </c>
      <c r="E150" s="527">
        <v>44.83</v>
      </c>
      <c r="F150" s="528" t="e">
        <f>+#REF!</f>
        <v>#REF!</v>
      </c>
      <c r="G150" s="528" t="e">
        <f>+F150*E150</f>
        <v>#REF!</v>
      </c>
    </row>
    <row r="151" spans="1:7" ht="38.25" x14ac:dyDescent="0.2">
      <c r="A151" s="523"/>
      <c r="B151" s="526">
        <v>17.600000000000001</v>
      </c>
      <c r="C151" s="525" t="s">
        <v>352</v>
      </c>
      <c r="D151" s="526" t="e">
        <f>+#REF!</f>
        <v>#REF!</v>
      </c>
      <c r="E151" s="527">
        <v>86</v>
      </c>
      <c r="F151" s="528" t="e">
        <f>+#REF!</f>
        <v>#REF!</v>
      </c>
      <c r="G151" s="528" t="e">
        <f>+E151*F151</f>
        <v>#REF!</v>
      </c>
    </row>
    <row r="152" spans="1:7" ht="51" x14ac:dyDescent="0.2">
      <c r="A152" s="523"/>
      <c r="B152" s="526">
        <v>17.8</v>
      </c>
      <c r="C152" s="525" t="s">
        <v>355</v>
      </c>
      <c r="D152" s="526" t="e">
        <f>+#REF!</f>
        <v>#REF!</v>
      </c>
      <c r="E152" s="527">
        <f>180*0.2</f>
        <v>36</v>
      </c>
      <c r="F152" s="528" t="e">
        <f>+#REF!</f>
        <v>#REF!</v>
      </c>
      <c r="G152" s="528" t="e">
        <f>+E152*F152</f>
        <v>#REF!</v>
      </c>
    </row>
    <row r="153" spans="1:7" ht="25.5" x14ac:dyDescent="0.2">
      <c r="A153" s="523"/>
      <c r="B153" s="526">
        <v>17.899999999999999</v>
      </c>
      <c r="C153" s="525" t="s">
        <v>353</v>
      </c>
      <c r="D153" s="526" t="str">
        <f>+'10 - VIAS - ESPECIALES '!E11</f>
        <v>M2</v>
      </c>
      <c r="E153" s="527">
        <v>180</v>
      </c>
      <c r="F153" s="528" t="e">
        <f>+'10 - VIAS - ESPECIALES '!G37</f>
        <v>#REF!</v>
      </c>
      <c r="G153" s="528" t="e">
        <f>+E153*F153</f>
        <v>#REF!</v>
      </c>
    </row>
    <row r="154" spans="1:7" ht="26.25" thickBot="1" x14ac:dyDescent="0.25">
      <c r="A154" s="523"/>
      <c r="B154" s="542">
        <v>17.100000000000001</v>
      </c>
      <c r="C154" s="525" t="s">
        <v>354</v>
      </c>
      <c r="D154" s="526" t="str">
        <f>+'10 - VIAS - ESPECIALES '!E85</f>
        <v>M3</v>
      </c>
      <c r="E154" s="527">
        <f>+E153*0.15</f>
        <v>27</v>
      </c>
      <c r="F154" s="528" t="e">
        <f>+'10 - VIAS - ESPECIALES '!G112</f>
        <v>#REF!</v>
      </c>
      <c r="G154" s="528" t="e">
        <f>+E154*F154</f>
        <v>#REF!</v>
      </c>
    </row>
    <row r="155" spans="1:7" ht="13.5" thickBot="1" x14ac:dyDescent="0.25">
      <c r="A155" s="15"/>
      <c r="B155" s="16"/>
      <c r="C155" s="1473" t="s">
        <v>213</v>
      </c>
      <c r="D155" s="1473"/>
      <c r="E155" s="1473"/>
      <c r="F155" s="1474"/>
      <c r="G155" s="165" t="e">
        <f>SUM(G146:G154)</f>
        <v>#REF!</v>
      </c>
    </row>
    <row r="156" spans="1:7" ht="13.5" thickBot="1" x14ac:dyDescent="0.25">
      <c r="A156" s="161"/>
      <c r="B156" s="170">
        <v>18</v>
      </c>
      <c r="C156" s="169" t="s">
        <v>408</v>
      </c>
      <c r="D156" s="168"/>
      <c r="E156" s="167"/>
      <c r="F156" s="166"/>
      <c r="G156" s="166"/>
    </row>
    <row r="157" spans="1:7" ht="25.5" x14ac:dyDescent="0.2">
      <c r="A157" s="513"/>
      <c r="B157" s="522">
        <v>18.100000000000001</v>
      </c>
      <c r="C157" s="515" t="str">
        <f>+C13</f>
        <v>Excavación Manual a todo factor. Inc. Retiro de material sobrante</v>
      </c>
      <c r="D157" s="514" t="s">
        <v>12</v>
      </c>
      <c r="E157" s="517">
        <v>20.67</v>
      </c>
      <c r="F157" s="518" t="e">
        <f>+F13</f>
        <v>#REF!</v>
      </c>
      <c r="G157" s="518" t="e">
        <f t="shared" ref="G157:G164" si="3">+F157*E157</f>
        <v>#REF!</v>
      </c>
    </row>
    <row r="158" spans="1:7" ht="38.25" x14ac:dyDescent="0.2">
      <c r="A158" s="523"/>
      <c r="B158" s="524">
        <v>18.2</v>
      </c>
      <c r="C158" s="525" t="s">
        <v>358</v>
      </c>
      <c r="D158" s="526" t="s">
        <v>6</v>
      </c>
      <c r="E158" s="527">
        <f>275.54+100.65</f>
        <v>376.19000000000005</v>
      </c>
      <c r="F158" s="528" t="e">
        <f>+#REF!</f>
        <v>#REF!</v>
      </c>
      <c r="G158" s="528" t="e">
        <f t="shared" si="3"/>
        <v>#REF!</v>
      </c>
    </row>
    <row r="159" spans="1:7" ht="25.5" x14ac:dyDescent="0.2">
      <c r="A159" s="523"/>
      <c r="B159" s="524">
        <v>18.3</v>
      </c>
      <c r="C159" s="525" t="s">
        <v>364</v>
      </c>
      <c r="D159" s="526" t="s">
        <v>6</v>
      </c>
      <c r="E159" s="527">
        <f>+(E158/3)*0.5</f>
        <v>62.698333333333345</v>
      </c>
      <c r="F159" s="528" t="e">
        <f>+#REF!</f>
        <v>#REF!</v>
      </c>
      <c r="G159" s="528" t="e">
        <f t="shared" si="3"/>
        <v>#REF!</v>
      </c>
    </row>
    <row r="160" spans="1:7" ht="51" x14ac:dyDescent="0.2">
      <c r="A160" s="523"/>
      <c r="B160" s="524">
        <v>18.399999999999999</v>
      </c>
      <c r="C160" s="525" t="s">
        <v>360</v>
      </c>
      <c r="D160" s="526" t="s">
        <v>6</v>
      </c>
      <c r="E160" s="527">
        <f>+E158</f>
        <v>376.19000000000005</v>
      </c>
      <c r="F160" s="528" t="e">
        <f>+'5 - ESTRUCTURA - INDER '!G1396</f>
        <v>#REF!</v>
      </c>
      <c r="G160" s="528" t="e">
        <f t="shared" si="3"/>
        <v>#REF!</v>
      </c>
    </row>
    <row r="161" spans="1:7" ht="76.5" x14ac:dyDescent="0.2">
      <c r="A161" s="523"/>
      <c r="B161" s="524">
        <v>18.5</v>
      </c>
      <c r="C161" s="525" t="s">
        <v>361</v>
      </c>
      <c r="D161" s="526" t="s">
        <v>4</v>
      </c>
      <c r="E161" s="527">
        <f>+E160*2</f>
        <v>752.38000000000011</v>
      </c>
      <c r="F161" s="528">
        <f>+'5 - ESTRUCTURA - INDER '!G1065</f>
        <v>68840</v>
      </c>
      <c r="G161" s="528">
        <f t="shared" si="3"/>
        <v>51793839.20000001</v>
      </c>
    </row>
    <row r="162" spans="1:7" ht="63.75" x14ac:dyDescent="0.2">
      <c r="A162" s="523"/>
      <c r="B162" s="524">
        <v>18.600000000000001</v>
      </c>
      <c r="C162" s="525" t="s">
        <v>362</v>
      </c>
      <c r="D162" s="526" t="str">
        <f>+D161</f>
        <v>M2</v>
      </c>
      <c r="E162" s="527">
        <v>44.82</v>
      </c>
      <c r="F162" s="528">
        <f>+'5 - ESTRUCTURA - INDER '!G1142</f>
        <v>83482</v>
      </c>
      <c r="G162" s="528">
        <f t="shared" si="3"/>
        <v>3741663.24</v>
      </c>
    </row>
    <row r="163" spans="1:7" ht="51" x14ac:dyDescent="0.2">
      <c r="A163" s="523"/>
      <c r="B163" s="524">
        <v>18.7</v>
      </c>
      <c r="C163" s="525" t="s">
        <v>365</v>
      </c>
      <c r="D163" s="526" t="s">
        <v>4</v>
      </c>
      <c r="E163" s="527">
        <f>7.4*2.2</f>
        <v>16.28</v>
      </c>
      <c r="F163" s="528">
        <f>+'5 - ESTRUCTURA - INDER '!G1180</f>
        <v>53739</v>
      </c>
      <c r="G163" s="528">
        <f t="shared" si="3"/>
        <v>874870.92</v>
      </c>
    </row>
    <row r="164" spans="1:7" ht="26.25" thickBot="1" x14ac:dyDescent="0.25">
      <c r="A164" s="523"/>
      <c r="B164" s="524">
        <v>18.8</v>
      </c>
      <c r="C164" s="525" t="s">
        <v>366</v>
      </c>
      <c r="D164" s="526" t="s">
        <v>4</v>
      </c>
      <c r="E164" s="527">
        <f>+E158*0.5</f>
        <v>188.09500000000003</v>
      </c>
      <c r="F164" s="528" t="e">
        <f>+#REF!</f>
        <v>#REF!</v>
      </c>
      <c r="G164" s="528" t="e">
        <f t="shared" si="3"/>
        <v>#REF!</v>
      </c>
    </row>
    <row r="165" spans="1:7" ht="13.5" thickBot="1" x14ac:dyDescent="0.25">
      <c r="A165" s="15"/>
      <c r="B165" s="16"/>
      <c r="C165" s="1473" t="s">
        <v>213</v>
      </c>
      <c r="D165" s="1473"/>
      <c r="E165" s="1473"/>
      <c r="F165" s="1474"/>
      <c r="G165" s="165" t="e">
        <f>SUM(G157:G164)</f>
        <v>#REF!</v>
      </c>
    </row>
    <row r="166" spans="1:7" ht="13.5" thickBot="1" x14ac:dyDescent="0.25">
      <c r="A166" s="158"/>
      <c r="B166" s="503"/>
      <c r="C166" s="157" t="s">
        <v>356</v>
      </c>
      <c r="D166" s="156"/>
      <c r="E166" s="155"/>
      <c r="F166" s="154"/>
      <c r="G166" s="153" t="e">
        <f>+G165+G155</f>
        <v>#REF!</v>
      </c>
    </row>
    <row r="167" spans="1:7" ht="13.5" thickBot="1" x14ac:dyDescent="0.25">
      <c r="A167" s="22"/>
      <c r="B167" s="504"/>
      <c r="C167" s="164" t="s">
        <v>211</v>
      </c>
      <c r="D167" s="27"/>
      <c r="E167" s="163"/>
      <c r="F167" s="162"/>
      <c r="G167" s="162"/>
    </row>
    <row r="168" spans="1:7" ht="13.5" thickBot="1" x14ac:dyDescent="0.25">
      <c r="A168" s="161"/>
      <c r="B168" s="6">
        <v>19</v>
      </c>
      <c r="C168" s="7" t="s">
        <v>197</v>
      </c>
      <c r="D168" s="8"/>
      <c r="E168" s="160"/>
      <c r="F168" s="159"/>
      <c r="G168" s="159"/>
    </row>
    <row r="169" spans="1:7" ht="25.5" x14ac:dyDescent="0.2">
      <c r="A169" s="513"/>
      <c r="B169" s="522">
        <v>19.100000000000001</v>
      </c>
      <c r="C169" s="515" t="str">
        <f>+C98</f>
        <v>Excavación Manual a todo factor. Inc. Retiro de material sobrante</v>
      </c>
      <c r="D169" s="514" t="str">
        <f>+D98</f>
        <v>M3</v>
      </c>
      <c r="E169" s="517">
        <v>74.62</v>
      </c>
      <c r="F169" s="518" t="e">
        <f>+F98</f>
        <v>#REF!</v>
      </c>
      <c r="G169" s="518" t="e">
        <f>+E169*F169</f>
        <v>#REF!</v>
      </c>
    </row>
    <row r="170" spans="1:7" ht="25.5" x14ac:dyDescent="0.2">
      <c r="A170" s="523"/>
      <c r="B170" s="524">
        <v>19.2</v>
      </c>
      <c r="C170" s="525" t="s">
        <v>367</v>
      </c>
      <c r="D170" s="526" t="s">
        <v>4</v>
      </c>
      <c r="E170" s="527">
        <f>90</f>
        <v>90</v>
      </c>
      <c r="F170" s="528" t="e">
        <f>+#REF!</f>
        <v>#REF!</v>
      </c>
      <c r="G170" s="528" t="e">
        <f>+F170*E170</f>
        <v>#REF!</v>
      </c>
    </row>
    <row r="171" spans="1:7" ht="25.5" x14ac:dyDescent="0.2">
      <c r="A171" s="523"/>
      <c r="B171" s="524">
        <v>19.3</v>
      </c>
      <c r="C171" s="525" t="s">
        <v>368</v>
      </c>
      <c r="D171" s="526" t="s">
        <v>4</v>
      </c>
      <c r="E171" s="527">
        <v>167</v>
      </c>
      <c r="F171" s="528" t="e">
        <f>+#REF!</f>
        <v>#REF!</v>
      </c>
      <c r="G171" s="528" t="e">
        <f>+F171*E171</f>
        <v>#REF!</v>
      </c>
    </row>
    <row r="172" spans="1:7" ht="25.5" x14ac:dyDescent="0.2">
      <c r="A172" s="523"/>
      <c r="B172" s="524">
        <v>19.399999999999999</v>
      </c>
      <c r="C172" s="525" t="s">
        <v>369</v>
      </c>
      <c r="D172" s="526" t="s">
        <v>4</v>
      </c>
      <c r="E172" s="527">
        <v>175</v>
      </c>
      <c r="F172" s="528" t="e">
        <f>+#REF!</f>
        <v>#REF!</v>
      </c>
      <c r="G172" s="528" t="e">
        <f>+F172*E172</f>
        <v>#REF!</v>
      </c>
    </row>
    <row r="173" spans="1:7" ht="13.5" thickBot="1" x14ac:dyDescent="0.25">
      <c r="A173" s="519"/>
      <c r="B173" s="533">
        <v>19.5</v>
      </c>
      <c r="C173" s="537" t="str">
        <f>+C76</f>
        <v>Explanación corte extendida. Incl. Retiro</v>
      </c>
      <c r="D173" s="520" t="str">
        <f>+D76</f>
        <v>M3</v>
      </c>
      <c r="E173" s="535">
        <v>382.6</v>
      </c>
      <c r="F173" s="521" t="e">
        <f>+F76</f>
        <v>#REF!</v>
      </c>
      <c r="G173" s="521" t="e">
        <f>+F173*E173</f>
        <v>#REF!</v>
      </c>
    </row>
    <row r="174" spans="1:7" ht="13.5" thickBot="1" x14ac:dyDescent="0.25">
      <c r="A174" s="15"/>
      <c r="B174" s="16"/>
      <c r="C174" s="1473" t="s">
        <v>213</v>
      </c>
      <c r="D174" s="1473"/>
      <c r="E174" s="1473"/>
      <c r="F174" s="1474"/>
      <c r="G174" s="165" t="e">
        <f>SUM(G169:G173)</f>
        <v>#REF!</v>
      </c>
    </row>
    <row r="175" spans="1:7" ht="13.5" thickBot="1" x14ac:dyDescent="0.25">
      <c r="A175" s="161"/>
      <c r="B175" s="6">
        <v>20</v>
      </c>
      <c r="C175" s="7" t="s">
        <v>199</v>
      </c>
      <c r="D175" s="8"/>
      <c r="E175" s="160"/>
      <c r="F175" s="159"/>
      <c r="G175" s="159"/>
    </row>
    <row r="176" spans="1:7" ht="25.5" x14ac:dyDescent="0.2">
      <c r="A176" s="513"/>
      <c r="B176" s="522">
        <v>20.100000000000001</v>
      </c>
      <c r="C176" s="515" t="s">
        <v>370</v>
      </c>
      <c r="D176" s="514" t="str">
        <f>+D99</f>
        <v>M2</v>
      </c>
      <c r="E176" s="517">
        <v>53.4</v>
      </c>
      <c r="F176" s="518" t="e">
        <f>+F99</f>
        <v>#REF!</v>
      </c>
      <c r="G176" s="518" t="e">
        <f>+E176*F176</f>
        <v>#REF!</v>
      </c>
    </row>
    <row r="177" spans="1:9" ht="25.5" x14ac:dyDescent="0.2">
      <c r="A177" s="523"/>
      <c r="B177" s="524">
        <v>20.2</v>
      </c>
      <c r="C177" s="525" t="s">
        <v>371</v>
      </c>
      <c r="D177" s="526" t="str">
        <f>+D100</f>
        <v>M3</v>
      </c>
      <c r="E177" s="527">
        <v>3.5</v>
      </c>
      <c r="F177" s="528" t="e">
        <f>+F100</f>
        <v>#REF!</v>
      </c>
      <c r="G177" s="528" t="e">
        <f t="shared" ref="G177:G183" si="4">+F177*E177</f>
        <v>#REF!</v>
      </c>
    </row>
    <row r="178" spans="1:9" ht="25.5" x14ac:dyDescent="0.2">
      <c r="A178" s="523"/>
      <c r="B178" s="524">
        <v>20.3</v>
      </c>
      <c r="C178" s="525" t="s">
        <v>372</v>
      </c>
      <c r="D178" s="526" t="s">
        <v>12</v>
      </c>
      <c r="E178" s="527">
        <f>42.95+4</f>
        <v>46.95</v>
      </c>
      <c r="F178" s="528" t="e">
        <f>+F101</f>
        <v>#REF!</v>
      </c>
      <c r="G178" s="528" t="e">
        <f t="shared" si="4"/>
        <v>#REF!</v>
      </c>
    </row>
    <row r="179" spans="1:9" ht="25.5" x14ac:dyDescent="0.2">
      <c r="A179" s="523"/>
      <c r="B179" s="524">
        <v>20.399999999999999</v>
      </c>
      <c r="C179" s="525" t="s">
        <v>373</v>
      </c>
      <c r="D179" s="526" t="s">
        <v>12</v>
      </c>
      <c r="E179" s="527">
        <v>28.6</v>
      </c>
      <c r="F179" s="528" t="e">
        <f>+#REF!</f>
        <v>#REF!</v>
      </c>
      <c r="G179" s="528" t="e">
        <f t="shared" si="4"/>
        <v>#REF!</v>
      </c>
    </row>
    <row r="180" spans="1:9" ht="25.5" x14ac:dyDescent="0.2">
      <c r="A180" s="523"/>
      <c r="B180" s="524">
        <v>20.5</v>
      </c>
      <c r="C180" s="525" t="s">
        <v>374</v>
      </c>
      <c r="D180" s="526" t="str">
        <f>+D179</f>
        <v>M3</v>
      </c>
      <c r="E180" s="527">
        <v>24.5</v>
      </c>
      <c r="F180" s="528" t="e">
        <f>+#REF!</f>
        <v>#REF!</v>
      </c>
      <c r="G180" s="528" t="e">
        <f t="shared" si="4"/>
        <v>#REF!</v>
      </c>
    </row>
    <row r="181" spans="1:9" ht="25.5" x14ac:dyDescent="0.2">
      <c r="A181" s="523"/>
      <c r="B181" s="524">
        <v>20.6</v>
      </c>
      <c r="C181" s="525" t="s">
        <v>375</v>
      </c>
      <c r="D181" s="526" t="str">
        <f>+D180</f>
        <v>M3</v>
      </c>
      <c r="E181" s="527">
        <v>12</v>
      </c>
      <c r="F181" s="528" t="e">
        <f>+#REF!</f>
        <v>#REF!</v>
      </c>
      <c r="G181" s="528" t="e">
        <f t="shared" si="4"/>
        <v>#REF!</v>
      </c>
    </row>
    <row r="182" spans="1:9" ht="25.5" x14ac:dyDescent="0.2">
      <c r="A182" s="523"/>
      <c r="B182" s="524">
        <v>20.7</v>
      </c>
      <c r="C182" s="525" t="s">
        <v>376</v>
      </c>
      <c r="D182" s="526" t="e">
        <f>+#REF!</f>
        <v>#REF!</v>
      </c>
      <c r="E182" s="527">
        <f>+(E179/(0.3*0.3))</f>
        <v>317.77777777777783</v>
      </c>
      <c r="F182" s="528" t="e">
        <f>+#REF!</f>
        <v>#REF!</v>
      </c>
      <c r="G182" s="528" t="e">
        <f t="shared" si="4"/>
        <v>#REF!</v>
      </c>
    </row>
    <row r="183" spans="1:9" ht="13.5" thickBot="1" x14ac:dyDescent="0.25">
      <c r="A183" s="519"/>
      <c r="B183" s="533">
        <v>20.7</v>
      </c>
      <c r="C183" s="537" t="str">
        <f>+C104</f>
        <v>Acero de refuerzo Fy=60.000 P.S.I.</v>
      </c>
      <c r="D183" s="520" t="str">
        <f>+D104</f>
        <v>Kg</v>
      </c>
      <c r="E183" s="535">
        <v>10230.52</v>
      </c>
      <c r="F183" s="521" t="e">
        <f>+F104</f>
        <v>#REF!</v>
      </c>
      <c r="G183" s="521" t="e">
        <f t="shared" si="4"/>
        <v>#REF!</v>
      </c>
    </row>
    <row r="184" spans="1:9" ht="13.5" thickBot="1" x14ac:dyDescent="0.25">
      <c r="A184" s="15"/>
      <c r="B184" s="16"/>
      <c r="C184" s="1473" t="s">
        <v>213</v>
      </c>
      <c r="D184" s="1473"/>
      <c r="E184" s="1473"/>
      <c r="F184" s="1474"/>
      <c r="G184" s="165" t="e">
        <f>SUM(G176:G183)</f>
        <v>#REF!</v>
      </c>
    </row>
    <row r="185" spans="1:9" ht="13.5" thickBot="1" x14ac:dyDescent="0.25">
      <c r="A185" s="161"/>
      <c r="B185" s="6">
        <v>21</v>
      </c>
      <c r="C185" s="7" t="s">
        <v>377</v>
      </c>
      <c r="D185" s="8"/>
      <c r="E185" s="160"/>
      <c r="F185" s="159"/>
      <c r="G185" s="159"/>
    </row>
    <row r="186" spans="1:9" ht="25.5" x14ac:dyDescent="0.2">
      <c r="A186" s="513"/>
      <c r="B186" s="522">
        <v>21.1</v>
      </c>
      <c r="C186" s="515" t="s">
        <v>403</v>
      </c>
      <c r="D186" s="514" t="s">
        <v>4</v>
      </c>
      <c r="E186" s="543">
        <f>599.35+37+26</f>
        <v>662.35</v>
      </c>
      <c r="F186" s="544" t="e">
        <f>+#REF!</f>
        <v>#REF!</v>
      </c>
      <c r="G186" s="544" t="e">
        <f>+F186*E186</f>
        <v>#REF!</v>
      </c>
      <c r="I186" s="1">
        <f>190+276+47.58+57.77+28</f>
        <v>599.35</v>
      </c>
    </row>
    <row r="187" spans="1:9" x14ac:dyDescent="0.2">
      <c r="A187" s="523"/>
      <c r="B187" s="524">
        <v>21.2</v>
      </c>
      <c r="C187" s="545" t="s">
        <v>404</v>
      </c>
      <c r="D187" s="526" t="s">
        <v>4</v>
      </c>
      <c r="E187" s="546">
        <v>824.7</v>
      </c>
      <c r="F187" s="547" t="e">
        <f>+#REF!</f>
        <v>#REF!</v>
      </c>
      <c r="G187" s="547" t="e">
        <f>+F187*E187</f>
        <v>#REF!</v>
      </c>
    </row>
    <row r="188" spans="1:9" s="105" customFormat="1" ht="25.5" x14ac:dyDescent="0.2">
      <c r="A188" s="548"/>
      <c r="B188" s="549">
        <v>21.3</v>
      </c>
      <c r="C188" s="548" t="s">
        <v>405</v>
      </c>
      <c r="D188" s="550" t="s">
        <v>6</v>
      </c>
      <c r="E188" s="546">
        <f>3+2.15+1.945+4.9</f>
        <v>11.995000000000001</v>
      </c>
      <c r="F188" s="547">
        <v>160500</v>
      </c>
      <c r="G188" s="547">
        <f>+F188*E188</f>
        <v>1925197.5000000002</v>
      </c>
    </row>
    <row r="189" spans="1:9" ht="51.75" thickBot="1" x14ac:dyDescent="0.25">
      <c r="A189" s="519"/>
      <c r="B189" s="533">
        <v>21.4</v>
      </c>
      <c r="C189" s="537" t="s">
        <v>406</v>
      </c>
      <c r="D189" s="520" t="s">
        <v>4</v>
      </c>
      <c r="E189" s="535">
        <v>450</v>
      </c>
      <c r="F189" s="521">
        <v>125000</v>
      </c>
      <c r="G189" s="521">
        <f>+F189*E189</f>
        <v>56250000</v>
      </c>
    </row>
    <row r="190" spans="1:9" ht="13.5" thickBot="1" x14ac:dyDescent="0.25">
      <c r="A190" s="15"/>
      <c r="B190" s="16"/>
      <c r="C190" s="1473" t="s">
        <v>213</v>
      </c>
      <c r="D190" s="1473"/>
      <c r="E190" s="1473"/>
      <c r="F190" s="1474"/>
      <c r="G190" s="165" t="e">
        <f>SUM(G186:G189)</f>
        <v>#REF!</v>
      </c>
    </row>
    <row r="191" spans="1:9" ht="13.5" thickBot="1" x14ac:dyDescent="0.25">
      <c r="A191" s="161"/>
      <c r="B191" s="6">
        <v>22</v>
      </c>
      <c r="C191" s="7" t="s">
        <v>392</v>
      </c>
      <c r="D191" s="8"/>
      <c r="E191" s="160"/>
      <c r="F191" s="159"/>
      <c r="G191" s="159"/>
    </row>
    <row r="192" spans="1:9" ht="25.5" x14ac:dyDescent="0.2">
      <c r="A192" s="513"/>
      <c r="B192" s="522">
        <v>22.1</v>
      </c>
      <c r="C192" s="551" t="s">
        <v>401</v>
      </c>
      <c r="D192" s="514" t="s">
        <v>4</v>
      </c>
      <c r="E192" s="552">
        <v>390</v>
      </c>
      <c r="F192" s="553" t="e">
        <f>+#REF!</f>
        <v>#REF!</v>
      </c>
      <c r="G192" s="553" t="e">
        <f>+F192*E192</f>
        <v>#REF!</v>
      </c>
    </row>
    <row r="193" spans="1:14" x14ac:dyDescent="0.2">
      <c r="A193" s="523"/>
      <c r="B193" s="524">
        <v>22.2</v>
      </c>
      <c r="C193" s="525" t="s">
        <v>402</v>
      </c>
      <c r="D193" s="526" t="s">
        <v>4</v>
      </c>
      <c r="E193" s="554">
        <f>+E192</f>
        <v>390</v>
      </c>
      <c r="F193" s="555" t="e">
        <f>+#REF!</f>
        <v>#REF!</v>
      </c>
      <c r="G193" s="555" t="e">
        <f>+F193*E193</f>
        <v>#REF!</v>
      </c>
    </row>
    <row r="194" spans="1:14" ht="25.5" x14ac:dyDescent="0.2">
      <c r="A194" s="523"/>
      <c r="B194" s="524">
        <v>22.3</v>
      </c>
      <c r="C194" s="525" t="s">
        <v>407</v>
      </c>
      <c r="D194" s="526" t="s">
        <v>6</v>
      </c>
      <c r="E194" s="554">
        <f>67+79+106+101.3</f>
        <v>353.3</v>
      </c>
      <c r="F194" s="555" t="e">
        <f>+#REF!</f>
        <v>#REF!</v>
      </c>
      <c r="G194" s="555" t="e">
        <f>+F194*E194</f>
        <v>#REF!</v>
      </c>
    </row>
    <row r="195" spans="1:14" ht="26.25" thickBot="1" x14ac:dyDescent="0.25">
      <c r="A195" s="519"/>
      <c r="B195" s="533">
        <v>22.4</v>
      </c>
      <c r="C195" s="537" t="s">
        <v>265</v>
      </c>
      <c r="D195" s="520" t="s">
        <v>4</v>
      </c>
      <c r="E195" s="556">
        <v>36.159999999999997</v>
      </c>
      <c r="F195" s="557" t="e">
        <f>+#REF!</f>
        <v>#REF!</v>
      </c>
      <c r="G195" s="557" t="e">
        <f>+F195*E195</f>
        <v>#REF!</v>
      </c>
    </row>
    <row r="196" spans="1:14" ht="13.5" thickBot="1" x14ac:dyDescent="0.25">
      <c r="A196" s="15"/>
      <c r="B196" s="16"/>
      <c r="C196" s="1473" t="s">
        <v>213</v>
      </c>
      <c r="D196" s="1473"/>
      <c r="E196" s="1473"/>
      <c r="F196" s="1474"/>
      <c r="G196" s="165" t="e">
        <f>SUM(G192:G195)</f>
        <v>#REF!</v>
      </c>
    </row>
    <row r="197" spans="1:14" ht="13.5" thickBot="1" x14ac:dyDescent="0.25">
      <c r="A197" s="161"/>
      <c r="B197" s="6">
        <v>23</v>
      </c>
      <c r="C197" s="35" t="s">
        <v>378</v>
      </c>
      <c r="D197" s="512"/>
      <c r="E197" s="216"/>
      <c r="F197" s="159"/>
      <c r="G197" s="159"/>
      <c r="J197" s="1">
        <v>1.77</v>
      </c>
      <c r="L197" s="1">
        <v>1.8</v>
      </c>
      <c r="M197" s="1">
        <v>2.2000000000000002</v>
      </c>
      <c r="N197" s="1">
        <f t="shared" ref="N197:N209" si="5">+L197*M197</f>
        <v>3.9600000000000004</v>
      </c>
    </row>
    <row r="198" spans="1:14" ht="25.5" x14ac:dyDescent="0.2">
      <c r="A198" s="513"/>
      <c r="B198" s="522">
        <v>23.1</v>
      </c>
      <c r="C198" s="558" t="s">
        <v>227</v>
      </c>
      <c r="D198" s="514" t="s">
        <v>6</v>
      </c>
      <c r="E198" s="552">
        <v>100</v>
      </c>
      <c r="F198" s="518">
        <v>55000</v>
      </c>
      <c r="G198" s="518">
        <f>+F198*E198</f>
        <v>5500000</v>
      </c>
      <c r="J198" s="1">
        <v>0.88</v>
      </c>
      <c r="L198" s="1">
        <v>5.8</v>
      </c>
      <c r="M198" s="1">
        <v>2.2000000000000002</v>
      </c>
      <c r="N198" s="1">
        <f t="shared" si="5"/>
        <v>12.76</v>
      </c>
    </row>
    <row r="199" spans="1:14" x14ac:dyDescent="0.2">
      <c r="A199" s="523"/>
      <c r="B199" s="524">
        <v>23.2</v>
      </c>
      <c r="C199" s="559" t="s">
        <v>379</v>
      </c>
      <c r="D199" s="526" t="s">
        <v>8</v>
      </c>
      <c r="E199" s="554">
        <v>6</v>
      </c>
      <c r="F199" s="528">
        <v>165000</v>
      </c>
      <c r="G199" s="528">
        <f>+F199*E199</f>
        <v>990000</v>
      </c>
      <c r="J199" s="1">
        <v>0.85</v>
      </c>
      <c r="L199" s="1">
        <v>0.25</v>
      </c>
      <c r="M199" s="1">
        <v>2.2000000000000002</v>
      </c>
      <c r="N199" s="1">
        <f t="shared" si="5"/>
        <v>0.55000000000000004</v>
      </c>
    </row>
    <row r="200" spans="1:14" ht="25.5" x14ac:dyDescent="0.2">
      <c r="A200" s="523"/>
      <c r="B200" s="524">
        <v>5.3</v>
      </c>
      <c r="C200" s="559" t="s">
        <v>380</v>
      </c>
      <c r="D200" s="526" t="s">
        <v>6</v>
      </c>
      <c r="E200" s="554"/>
      <c r="F200" s="528"/>
      <c r="G200" s="528"/>
      <c r="J200" s="1">
        <v>2.83</v>
      </c>
      <c r="L200" s="1">
        <v>0.85</v>
      </c>
      <c r="M200" s="1">
        <v>2.2000000000000002</v>
      </c>
      <c r="N200" s="1">
        <f t="shared" si="5"/>
        <v>1.87</v>
      </c>
    </row>
    <row r="201" spans="1:14" x14ac:dyDescent="0.2">
      <c r="A201" s="523"/>
      <c r="B201" s="524">
        <v>23.3</v>
      </c>
      <c r="C201" s="559" t="s">
        <v>381</v>
      </c>
      <c r="D201" s="526" t="s">
        <v>8</v>
      </c>
      <c r="E201" s="554">
        <v>35</v>
      </c>
      <c r="F201" s="528">
        <v>78500</v>
      </c>
      <c r="G201" s="528">
        <f t="shared" ref="G201:G209" si="6">+F201*E201</f>
        <v>2747500</v>
      </c>
      <c r="J201" s="1">
        <v>5.55</v>
      </c>
      <c r="L201" s="1">
        <v>5.7</v>
      </c>
      <c r="M201" s="1">
        <v>2.2000000000000002</v>
      </c>
      <c r="N201" s="1">
        <f t="shared" si="5"/>
        <v>12.540000000000001</v>
      </c>
    </row>
    <row r="202" spans="1:14" ht="25.5" x14ac:dyDescent="0.2">
      <c r="A202" s="523"/>
      <c r="B202" s="524">
        <v>23.4</v>
      </c>
      <c r="C202" s="559" t="s">
        <v>382</v>
      </c>
      <c r="D202" s="526" t="s">
        <v>8</v>
      </c>
      <c r="E202" s="554">
        <v>10</v>
      </c>
      <c r="F202" s="528">
        <v>9500</v>
      </c>
      <c r="G202" s="528">
        <f t="shared" si="6"/>
        <v>95000</v>
      </c>
      <c r="J202" s="1">
        <v>2.08</v>
      </c>
      <c r="L202" s="1">
        <v>4.5999999999999996</v>
      </c>
      <c r="M202" s="1">
        <v>2.2000000000000002</v>
      </c>
      <c r="N202" s="1">
        <f t="shared" si="5"/>
        <v>10.119999999999999</v>
      </c>
    </row>
    <row r="203" spans="1:14" x14ac:dyDescent="0.2">
      <c r="A203" s="523"/>
      <c r="B203" s="524">
        <v>23.5</v>
      </c>
      <c r="C203" s="559" t="s">
        <v>383</v>
      </c>
      <c r="D203" s="526" t="s">
        <v>8</v>
      </c>
      <c r="E203" s="554">
        <v>2</v>
      </c>
      <c r="F203" s="528">
        <v>150000</v>
      </c>
      <c r="G203" s="528">
        <f t="shared" si="6"/>
        <v>300000</v>
      </c>
      <c r="J203" s="1">
        <v>1.65</v>
      </c>
      <c r="L203" s="1">
        <v>3</v>
      </c>
      <c r="M203" s="1">
        <v>1.8</v>
      </c>
      <c r="N203" s="1">
        <f t="shared" si="5"/>
        <v>5.4</v>
      </c>
    </row>
    <row r="204" spans="1:14" x14ac:dyDescent="0.2">
      <c r="A204" s="523"/>
      <c r="B204" s="526">
        <v>23.6</v>
      </c>
      <c r="C204" s="560" t="s">
        <v>384</v>
      </c>
      <c r="D204" s="526" t="s">
        <v>8</v>
      </c>
      <c r="E204" s="554">
        <v>25</v>
      </c>
      <c r="F204" s="528">
        <v>29500</v>
      </c>
      <c r="G204" s="528">
        <f t="shared" si="6"/>
        <v>737500</v>
      </c>
      <c r="J204" s="1">
        <f>SUM(J178:J203)</f>
        <v>15.61</v>
      </c>
      <c r="K204" s="1">
        <f>+J204*1.8</f>
        <v>28.097999999999999</v>
      </c>
      <c r="L204" s="1">
        <v>3.2</v>
      </c>
      <c r="M204" s="1">
        <v>1.8</v>
      </c>
      <c r="N204" s="1">
        <f t="shared" si="5"/>
        <v>5.7600000000000007</v>
      </c>
    </row>
    <row r="205" spans="1:14" x14ac:dyDescent="0.2">
      <c r="A205" s="523"/>
      <c r="B205" s="526">
        <v>23.7</v>
      </c>
      <c r="C205" s="560" t="s">
        <v>385</v>
      </c>
      <c r="D205" s="526" t="s">
        <v>6</v>
      </c>
      <c r="E205" s="554">
        <v>80</v>
      </c>
      <c r="F205" s="528">
        <v>6300</v>
      </c>
      <c r="G205" s="528">
        <f t="shared" si="6"/>
        <v>504000</v>
      </c>
      <c r="L205" s="1">
        <v>1.63</v>
      </c>
      <c r="M205" s="1">
        <v>1.8</v>
      </c>
      <c r="N205" s="1">
        <f t="shared" si="5"/>
        <v>2.9339999999999997</v>
      </c>
    </row>
    <row r="206" spans="1:14" ht="25.5" x14ac:dyDescent="0.2">
      <c r="A206" s="523"/>
      <c r="B206" s="526">
        <v>23.8</v>
      </c>
      <c r="C206" s="560" t="s">
        <v>386</v>
      </c>
      <c r="D206" s="526" t="s">
        <v>8</v>
      </c>
      <c r="E206" s="554">
        <v>11</v>
      </c>
      <c r="F206" s="528">
        <v>853238</v>
      </c>
      <c r="G206" s="528">
        <f t="shared" si="6"/>
        <v>9385618</v>
      </c>
      <c r="L206" s="1">
        <v>1.63</v>
      </c>
      <c r="M206" s="1">
        <v>1.8</v>
      </c>
      <c r="N206" s="1">
        <f t="shared" si="5"/>
        <v>2.9339999999999997</v>
      </c>
    </row>
    <row r="207" spans="1:14" x14ac:dyDescent="0.2">
      <c r="A207" s="523"/>
      <c r="B207" s="526">
        <v>23.9</v>
      </c>
      <c r="C207" s="560" t="s">
        <v>705</v>
      </c>
      <c r="D207" s="526" t="s">
        <v>8</v>
      </c>
      <c r="E207" s="554">
        <v>3</v>
      </c>
      <c r="F207" s="528">
        <v>220000</v>
      </c>
      <c r="G207" s="528">
        <f>+F207*E207</f>
        <v>660000</v>
      </c>
      <c r="L207" s="1">
        <v>1.63</v>
      </c>
      <c r="M207" s="1">
        <v>1.8</v>
      </c>
      <c r="N207" s="1">
        <f>+L207*M207</f>
        <v>2.9339999999999997</v>
      </c>
    </row>
    <row r="208" spans="1:14" ht="25.5" x14ac:dyDescent="0.2">
      <c r="A208" s="523"/>
      <c r="B208" s="542">
        <v>23.1</v>
      </c>
      <c r="C208" s="560" t="s">
        <v>387</v>
      </c>
      <c r="D208" s="526" t="s">
        <v>8</v>
      </c>
      <c r="E208" s="554">
        <v>12</v>
      </c>
      <c r="F208" s="528">
        <v>225000</v>
      </c>
      <c r="G208" s="528">
        <f t="shared" si="6"/>
        <v>2700000</v>
      </c>
      <c r="L208" s="1">
        <v>0.2</v>
      </c>
      <c r="M208" s="1">
        <v>1.8</v>
      </c>
      <c r="N208" s="1">
        <f t="shared" si="5"/>
        <v>0.36000000000000004</v>
      </c>
    </row>
    <row r="209" spans="1:16" ht="26.25" thickBot="1" x14ac:dyDescent="0.25">
      <c r="A209" s="523"/>
      <c r="B209" s="542">
        <v>23.11</v>
      </c>
      <c r="C209" s="561" t="s">
        <v>388</v>
      </c>
      <c r="D209" s="526" t="s">
        <v>8</v>
      </c>
      <c r="E209" s="554">
        <v>2</v>
      </c>
      <c r="F209" s="528">
        <v>150000</v>
      </c>
      <c r="G209" s="528">
        <f t="shared" si="6"/>
        <v>300000</v>
      </c>
      <c r="L209" s="1">
        <v>2.4</v>
      </c>
      <c r="M209" s="1">
        <v>1.8</v>
      </c>
      <c r="N209" s="1">
        <f t="shared" si="5"/>
        <v>4.32</v>
      </c>
    </row>
    <row r="210" spans="1:16" ht="13.5" thickBot="1" x14ac:dyDescent="0.25">
      <c r="A210" s="15"/>
      <c r="B210" s="16"/>
      <c r="C210" s="1473" t="s">
        <v>213</v>
      </c>
      <c r="D210" s="1473"/>
      <c r="E210" s="1473"/>
      <c r="F210" s="1474"/>
      <c r="G210" s="165">
        <f>SUM(G198:G209)</f>
        <v>23919618</v>
      </c>
      <c r="J210" s="1">
        <v>2.15</v>
      </c>
      <c r="N210" s="1">
        <f>SUM(N202:N209)</f>
        <v>34.762</v>
      </c>
    </row>
    <row r="211" spans="1:16" ht="13.5" thickBot="1" x14ac:dyDescent="0.25">
      <c r="A211" s="161"/>
      <c r="B211" s="170">
        <v>24</v>
      </c>
      <c r="C211" s="169" t="s">
        <v>389</v>
      </c>
      <c r="D211" s="168"/>
      <c r="E211" s="217"/>
      <c r="F211" s="166"/>
      <c r="G211" s="166"/>
      <c r="I211" s="1">
        <v>0.6</v>
      </c>
      <c r="J211" s="1">
        <v>2</v>
      </c>
      <c r="K211" s="1">
        <f>+I211*J211</f>
        <v>1.2</v>
      </c>
    </row>
    <row r="212" spans="1:16" x14ac:dyDescent="0.2">
      <c r="A212" s="513"/>
      <c r="B212" s="522">
        <v>24.1</v>
      </c>
      <c r="C212" s="562" t="str">
        <f>+C116</f>
        <v>Cubierta en teja thermoacustic</v>
      </c>
      <c r="D212" s="514" t="s">
        <v>4</v>
      </c>
      <c r="E212" s="552">
        <f>178.63+84.23+57.51</f>
        <v>320.37</v>
      </c>
      <c r="F212" s="553">
        <f>+F116</f>
        <v>37930</v>
      </c>
      <c r="G212" s="553">
        <f>+F212*E212</f>
        <v>12151634.1</v>
      </c>
      <c r="I212" s="1">
        <v>3.3</v>
      </c>
      <c r="J212" s="1">
        <v>2</v>
      </c>
      <c r="K212" s="1">
        <f>+I212*J212</f>
        <v>6.6</v>
      </c>
    </row>
    <row r="213" spans="1:16" x14ac:dyDescent="0.2">
      <c r="A213" s="523"/>
      <c r="B213" s="524">
        <v>24.2</v>
      </c>
      <c r="C213" s="563" t="s">
        <v>390</v>
      </c>
      <c r="D213" s="526" t="s">
        <v>6</v>
      </c>
      <c r="E213" s="554">
        <f>+((4.29+4.29+4.25)*5)+60</f>
        <v>124.15</v>
      </c>
      <c r="F213" s="555" t="e">
        <f>+#REF!</f>
        <v>#REF!</v>
      </c>
      <c r="G213" s="555" t="e">
        <f>+F213*E213</f>
        <v>#REF!</v>
      </c>
      <c r="I213" s="1">
        <v>2</v>
      </c>
      <c r="J213" s="1">
        <v>2</v>
      </c>
      <c r="K213" s="1">
        <f>+I213*J213</f>
        <v>4</v>
      </c>
    </row>
    <row r="214" spans="1:16" ht="26.25" thickBot="1" x14ac:dyDescent="0.25">
      <c r="A214" s="523"/>
      <c r="B214" s="524">
        <v>24.3</v>
      </c>
      <c r="C214" s="563" t="s">
        <v>391</v>
      </c>
      <c r="D214" s="526" t="s">
        <v>6</v>
      </c>
      <c r="E214" s="554">
        <f>(8*19.45)+(6*9.66)+18</f>
        <v>231.56</v>
      </c>
      <c r="F214" s="555" t="e">
        <f>+#REF!</f>
        <v>#REF!</v>
      </c>
      <c r="G214" s="555" t="e">
        <f>+F214*E214</f>
        <v>#REF!</v>
      </c>
    </row>
    <row r="215" spans="1:16" ht="13.5" thickBot="1" x14ac:dyDescent="0.25">
      <c r="A215" s="15"/>
      <c r="B215" s="16"/>
      <c r="C215" s="1473" t="s">
        <v>213</v>
      </c>
      <c r="D215" s="1473"/>
      <c r="E215" s="1473"/>
      <c r="F215" s="1474"/>
      <c r="G215" s="165" t="e">
        <f>SUM(G212:G214)</f>
        <v>#REF!</v>
      </c>
      <c r="J215" s="1">
        <v>2.15</v>
      </c>
      <c r="N215" s="1" t="e">
        <f>SUM(#REF!)</f>
        <v>#REF!</v>
      </c>
    </row>
    <row r="216" spans="1:16" ht="13.5" thickBot="1" x14ac:dyDescent="0.25">
      <c r="A216" s="161"/>
      <c r="B216" s="170">
        <v>25</v>
      </c>
      <c r="C216" s="169" t="s">
        <v>393</v>
      </c>
      <c r="D216" s="168"/>
      <c r="E216" s="217"/>
      <c r="F216" s="166"/>
      <c r="G216" s="166"/>
    </row>
    <row r="217" spans="1:16" x14ac:dyDescent="0.2">
      <c r="A217" s="564"/>
      <c r="B217" s="514">
        <v>25.1</v>
      </c>
      <c r="C217" s="565" t="s">
        <v>394</v>
      </c>
      <c r="D217" s="514" t="s">
        <v>4</v>
      </c>
      <c r="E217" s="552">
        <v>700</v>
      </c>
      <c r="F217" s="553">
        <v>11500</v>
      </c>
      <c r="G217" s="553">
        <f t="shared" ref="G217:G222" si="7">+F217*E217</f>
        <v>8050000</v>
      </c>
    </row>
    <row r="218" spans="1:16" x14ac:dyDescent="0.2">
      <c r="A218" s="566"/>
      <c r="B218" s="526">
        <v>25.2</v>
      </c>
      <c r="C218" s="559" t="s">
        <v>395</v>
      </c>
      <c r="D218" s="526" t="s">
        <v>4</v>
      </c>
      <c r="E218" s="554">
        <v>650</v>
      </c>
      <c r="F218" s="555">
        <v>13500</v>
      </c>
      <c r="G218" s="555">
        <f t="shared" si="7"/>
        <v>8775000</v>
      </c>
    </row>
    <row r="219" spans="1:16" ht="25.5" x14ac:dyDescent="0.2">
      <c r="A219" s="566"/>
      <c r="B219" s="526">
        <v>25.3</v>
      </c>
      <c r="C219" s="559" t="s">
        <v>396</v>
      </c>
      <c r="D219" s="526" t="s">
        <v>4</v>
      </c>
      <c r="E219" s="554">
        <v>410.5</v>
      </c>
      <c r="F219" s="555">
        <v>36500</v>
      </c>
      <c r="G219" s="555">
        <f t="shared" si="7"/>
        <v>14983250</v>
      </c>
      <c r="P219" s="1">
        <f>658+320</f>
        <v>978</v>
      </c>
    </row>
    <row r="220" spans="1:16" ht="25.5" x14ac:dyDescent="0.2">
      <c r="A220" s="566"/>
      <c r="B220" s="526">
        <v>25.4</v>
      </c>
      <c r="C220" s="559" t="s">
        <v>397</v>
      </c>
      <c r="D220" s="526" t="s">
        <v>4</v>
      </c>
      <c r="E220" s="554">
        <v>90</v>
      </c>
      <c r="F220" s="555">
        <v>265000</v>
      </c>
      <c r="G220" s="555">
        <f t="shared" si="7"/>
        <v>23850000</v>
      </c>
    </row>
    <row r="221" spans="1:16" x14ac:dyDescent="0.2">
      <c r="A221" s="566"/>
      <c r="B221" s="526">
        <v>25.5</v>
      </c>
      <c r="C221" s="559" t="s">
        <v>398</v>
      </c>
      <c r="D221" s="526" t="s">
        <v>399</v>
      </c>
      <c r="E221" s="554">
        <v>16</v>
      </c>
      <c r="F221" s="555">
        <v>425000</v>
      </c>
      <c r="G221" s="555">
        <f t="shared" si="7"/>
        <v>6800000</v>
      </c>
    </row>
    <row r="222" spans="1:16" ht="39" thickBot="1" x14ac:dyDescent="0.25">
      <c r="A222" s="566"/>
      <c r="B222" s="526">
        <v>25.6</v>
      </c>
      <c r="C222" s="559" t="s">
        <v>400</v>
      </c>
      <c r="D222" s="526" t="s">
        <v>8</v>
      </c>
      <c r="E222" s="554">
        <v>4</v>
      </c>
      <c r="F222" s="555">
        <v>4200000</v>
      </c>
      <c r="G222" s="555">
        <f t="shared" si="7"/>
        <v>16800000</v>
      </c>
    </row>
    <row r="223" spans="1:16" ht="13.5" thickBot="1" x14ac:dyDescent="0.25">
      <c r="A223" s="15"/>
      <c r="B223" s="16"/>
      <c r="C223" s="1473" t="s">
        <v>213</v>
      </c>
      <c r="D223" s="1473"/>
      <c r="E223" s="1473"/>
      <c r="F223" s="1474"/>
      <c r="G223" s="165">
        <f>SUM(G217:G222)</f>
        <v>79258250</v>
      </c>
      <c r="J223" s="1">
        <v>2.15</v>
      </c>
      <c r="N223" s="1">
        <f>SUM(N217:N222)</f>
        <v>0</v>
      </c>
    </row>
    <row r="224" spans="1:16" ht="13.5" thickBot="1" x14ac:dyDescent="0.25">
      <c r="A224" s="161"/>
      <c r="B224" s="6">
        <v>26</v>
      </c>
      <c r="C224" s="35" t="s">
        <v>786</v>
      </c>
      <c r="D224" s="8"/>
      <c r="E224" s="160"/>
      <c r="F224" s="159"/>
      <c r="G224" s="159"/>
    </row>
    <row r="225" spans="1:7" ht="13.5" thickBot="1" x14ac:dyDescent="0.25">
      <c r="A225" s="506"/>
      <c r="B225" s="507">
        <v>26.1</v>
      </c>
      <c r="C225" s="509" t="s">
        <v>599</v>
      </c>
      <c r="D225" s="510"/>
      <c r="E225" s="508"/>
      <c r="F225" s="511"/>
      <c r="G225" s="511"/>
    </row>
    <row r="226" spans="1:7" x14ac:dyDescent="0.2">
      <c r="A226" s="513"/>
      <c r="B226" s="567" t="s">
        <v>761</v>
      </c>
      <c r="C226" s="515" t="s">
        <v>754</v>
      </c>
      <c r="D226" s="514" t="s">
        <v>759</v>
      </c>
      <c r="E226" s="517">
        <v>28</v>
      </c>
      <c r="F226" s="518">
        <v>220000</v>
      </c>
      <c r="G226" s="518">
        <f t="shared" ref="G226:G250" si="8">+F226*E226</f>
        <v>6160000</v>
      </c>
    </row>
    <row r="227" spans="1:7" x14ac:dyDescent="0.2">
      <c r="A227" s="523"/>
      <c r="B227" s="568" t="s">
        <v>762</v>
      </c>
      <c r="C227" s="525" t="s">
        <v>755</v>
      </c>
      <c r="D227" s="526" t="s">
        <v>759</v>
      </c>
      <c r="E227" s="527">
        <v>24</v>
      </c>
      <c r="F227" s="528">
        <v>189475</v>
      </c>
      <c r="G227" s="528">
        <f t="shared" si="8"/>
        <v>4547400</v>
      </c>
    </row>
    <row r="228" spans="1:7" x14ac:dyDescent="0.2">
      <c r="A228" s="523"/>
      <c r="B228" s="568" t="s">
        <v>763</v>
      </c>
      <c r="C228" s="525" t="s">
        <v>700</v>
      </c>
      <c r="D228" s="526" t="s">
        <v>759</v>
      </c>
      <c r="E228" s="527">
        <v>36</v>
      </c>
      <c r="F228" s="528">
        <v>112457</v>
      </c>
      <c r="G228" s="528">
        <f t="shared" si="8"/>
        <v>4048452</v>
      </c>
    </row>
    <row r="229" spans="1:7" x14ac:dyDescent="0.2">
      <c r="A229" s="523"/>
      <c r="B229" s="568" t="s">
        <v>764</v>
      </c>
      <c r="C229" s="525" t="s">
        <v>756</v>
      </c>
      <c r="D229" s="526" t="s">
        <v>759</v>
      </c>
      <c r="E229" s="527">
        <v>12</v>
      </c>
      <c r="F229" s="528">
        <v>79120</v>
      </c>
      <c r="G229" s="528">
        <f t="shared" si="8"/>
        <v>949440</v>
      </c>
    </row>
    <row r="230" spans="1:7" x14ac:dyDescent="0.2">
      <c r="A230" s="523"/>
      <c r="B230" s="568" t="s">
        <v>765</v>
      </c>
      <c r="C230" s="525" t="s">
        <v>594</v>
      </c>
      <c r="D230" s="526" t="s">
        <v>759</v>
      </c>
      <c r="E230" s="527">
        <v>7</v>
      </c>
      <c r="F230" s="528">
        <v>1154660</v>
      </c>
      <c r="G230" s="528">
        <f t="shared" si="8"/>
        <v>8082620</v>
      </c>
    </row>
    <row r="231" spans="1:7" x14ac:dyDescent="0.2">
      <c r="A231" s="523"/>
      <c r="B231" s="568" t="s">
        <v>766</v>
      </c>
      <c r="C231" s="525" t="s">
        <v>757</v>
      </c>
      <c r="D231" s="526" t="s">
        <v>759</v>
      </c>
      <c r="E231" s="527">
        <v>10</v>
      </c>
      <c r="F231" s="528">
        <v>97721</v>
      </c>
      <c r="G231" s="528">
        <f t="shared" si="8"/>
        <v>977210</v>
      </c>
    </row>
    <row r="232" spans="1:7" ht="25.5" x14ac:dyDescent="0.2">
      <c r="A232" s="523"/>
      <c r="B232" s="568" t="s">
        <v>767</v>
      </c>
      <c r="C232" s="525" t="s">
        <v>590</v>
      </c>
      <c r="D232" s="526" t="s">
        <v>8</v>
      </c>
      <c r="E232" s="527">
        <v>88</v>
      </c>
      <c r="F232" s="528">
        <v>67360</v>
      </c>
      <c r="G232" s="528">
        <f t="shared" si="8"/>
        <v>5927680</v>
      </c>
    </row>
    <row r="233" spans="1:7" ht="25.5" x14ac:dyDescent="0.2">
      <c r="A233" s="523"/>
      <c r="B233" s="569" t="s">
        <v>768</v>
      </c>
      <c r="C233" s="525" t="s">
        <v>589</v>
      </c>
      <c r="D233" s="526" t="s">
        <v>759</v>
      </c>
      <c r="E233" s="527">
        <v>3</v>
      </c>
      <c r="F233" s="528">
        <v>75225</v>
      </c>
      <c r="G233" s="528">
        <f t="shared" si="8"/>
        <v>225675</v>
      </c>
    </row>
    <row r="234" spans="1:7" x14ac:dyDescent="0.2">
      <c r="A234" s="523"/>
      <c r="B234" s="569" t="s">
        <v>769</v>
      </c>
      <c r="C234" s="525" t="s">
        <v>588</v>
      </c>
      <c r="D234" s="526" t="s">
        <v>760</v>
      </c>
      <c r="E234" s="527">
        <v>8</v>
      </c>
      <c r="F234" s="528">
        <v>89935</v>
      </c>
      <c r="G234" s="528">
        <f t="shared" si="8"/>
        <v>719480</v>
      </c>
    </row>
    <row r="235" spans="1:7" x14ac:dyDescent="0.2">
      <c r="A235" s="523"/>
      <c r="B235" s="569" t="s">
        <v>770</v>
      </c>
      <c r="C235" s="525" t="s">
        <v>587</v>
      </c>
      <c r="D235" s="526" t="s">
        <v>760</v>
      </c>
      <c r="E235" s="527">
        <v>38</v>
      </c>
      <c r="F235" s="528">
        <v>112282</v>
      </c>
      <c r="G235" s="528">
        <f t="shared" si="8"/>
        <v>4266716</v>
      </c>
    </row>
    <row r="236" spans="1:7" x14ac:dyDescent="0.2">
      <c r="A236" s="523"/>
      <c r="B236" s="569" t="s">
        <v>771</v>
      </c>
      <c r="C236" s="525" t="s">
        <v>586</v>
      </c>
      <c r="D236" s="526" t="s">
        <v>760</v>
      </c>
      <c r="E236" s="527">
        <v>10</v>
      </c>
      <c r="F236" s="528">
        <v>75225</v>
      </c>
      <c r="G236" s="528">
        <f t="shared" si="8"/>
        <v>752250</v>
      </c>
    </row>
    <row r="237" spans="1:7" x14ac:dyDescent="0.2">
      <c r="A237" s="523"/>
      <c r="B237" s="569" t="s">
        <v>772</v>
      </c>
      <c r="C237" s="525" t="s">
        <v>585</v>
      </c>
      <c r="D237" s="526" t="s">
        <v>8</v>
      </c>
      <c r="E237" s="527">
        <v>2</v>
      </c>
      <c r="F237" s="528">
        <v>57426</v>
      </c>
      <c r="G237" s="528">
        <f t="shared" si="8"/>
        <v>114852</v>
      </c>
    </row>
    <row r="238" spans="1:7" ht="25.5" x14ac:dyDescent="0.2">
      <c r="A238" s="523"/>
      <c r="B238" s="569" t="s">
        <v>773</v>
      </c>
      <c r="C238" s="525" t="s">
        <v>787</v>
      </c>
      <c r="D238" s="526" t="s">
        <v>760</v>
      </c>
      <c r="E238" s="527">
        <v>3</v>
      </c>
      <c r="F238" s="528">
        <v>1323460</v>
      </c>
      <c r="G238" s="528">
        <f t="shared" si="8"/>
        <v>3970380</v>
      </c>
    </row>
    <row r="239" spans="1:7" ht="25.5" x14ac:dyDescent="0.2">
      <c r="A239" s="523"/>
      <c r="B239" s="569" t="s">
        <v>774</v>
      </c>
      <c r="C239" s="525" t="s">
        <v>788</v>
      </c>
      <c r="D239" s="526" t="s">
        <v>579</v>
      </c>
      <c r="E239" s="527">
        <v>50</v>
      </c>
      <c r="F239" s="528">
        <v>123843</v>
      </c>
      <c r="G239" s="528">
        <f t="shared" si="8"/>
        <v>6192150</v>
      </c>
    </row>
    <row r="240" spans="1:7" x14ac:dyDescent="0.2">
      <c r="A240" s="523"/>
      <c r="B240" s="569" t="s">
        <v>775</v>
      </c>
      <c r="C240" s="525" t="s">
        <v>581</v>
      </c>
      <c r="D240" s="526" t="s">
        <v>8</v>
      </c>
      <c r="E240" s="527">
        <v>1</v>
      </c>
      <c r="F240" s="528">
        <v>3976450</v>
      </c>
      <c r="G240" s="528">
        <f t="shared" si="8"/>
        <v>3976450</v>
      </c>
    </row>
    <row r="241" spans="1:10" ht="26.25" thickBot="1" x14ac:dyDescent="0.25">
      <c r="A241" s="519"/>
      <c r="B241" s="570" t="s">
        <v>776</v>
      </c>
      <c r="C241" s="537" t="s">
        <v>758</v>
      </c>
      <c r="D241" s="520" t="s">
        <v>579</v>
      </c>
      <c r="E241" s="535">
        <v>100</v>
      </c>
      <c r="F241" s="521">
        <v>63899</v>
      </c>
      <c r="G241" s="521">
        <f t="shared" si="8"/>
        <v>6389900</v>
      </c>
    </row>
    <row r="242" spans="1:10" ht="13.5" thickBot="1" x14ac:dyDescent="0.25">
      <c r="A242" s="506"/>
      <c r="B242" s="507">
        <v>26.2</v>
      </c>
      <c r="C242" s="509" t="s">
        <v>577</v>
      </c>
      <c r="D242" s="510"/>
      <c r="E242" s="508"/>
      <c r="F242" s="511"/>
      <c r="G242" s="511"/>
    </row>
    <row r="243" spans="1:10" x14ac:dyDescent="0.2">
      <c r="A243" s="513"/>
      <c r="B243" s="567" t="s">
        <v>779</v>
      </c>
      <c r="C243" s="515" t="s">
        <v>777</v>
      </c>
      <c r="D243" s="514" t="s">
        <v>759</v>
      </c>
      <c r="E243" s="517">
        <v>38</v>
      </c>
      <c r="F243" s="518">
        <v>491259</v>
      </c>
      <c r="G243" s="518">
        <f t="shared" si="8"/>
        <v>18667842</v>
      </c>
    </row>
    <row r="244" spans="1:10" x14ac:dyDescent="0.2">
      <c r="A244" s="523"/>
      <c r="B244" s="568" t="s">
        <v>780</v>
      </c>
      <c r="C244" s="525" t="s">
        <v>778</v>
      </c>
      <c r="D244" s="526" t="s">
        <v>759</v>
      </c>
      <c r="E244" s="527">
        <v>38</v>
      </c>
      <c r="F244" s="528">
        <v>78332</v>
      </c>
      <c r="G244" s="528">
        <f t="shared" si="8"/>
        <v>2976616</v>
      </c>
    </row>
    <row r="245" spans="1:10" ht="26.25" thickBot="1" x14ac:dyDescent="0.25">
      <c r="A245" s="519"/>
      <c r="B245" s="571" t="s">
        <v>781</v>
      </c>
      <c r="C245" s="537" t="s">
        <v>573</v>
      </c>
      <c r="D245" s="520" t="s">
        <v>8</v>
      </c>
      <c r="E245" s="535">
        <v>1</v>
      </c>
      <c r="F245" s="521">
        <v>9512000</v>
      </c>
      <c r="G245" s="521">
        <f t="shared" si="8"/>
        <v>9512000</v>
      </c>
    </row>
    <row r="246" spans="1:10" ht="13.5" thickBot="1" x14ac:dyDescent="0.25">
      <c r="A246" s="506"/>
      <c r="B246" s="507">
        <v>26.3</v>
      </c>
      <c r="C246" s="509" t="s">
        <v>572</v>
      </c>
      <c r="D246" s="510"/>
      <c r="E246" s="508"/>
      <c r="F246" s="511"/>
      <c r="G246" s="511"/>
    </row>
    <row r="247" spans="1:10" ht="25.5" x14ac:dyDescent="0.2">
      <c r="A247" s="513"/>
      <c r="B247" s="567" t="s">
        <v>782</v>
      </c>
      <c r="C247" s="515" t="s">
        <v>571</v>
      </c>
      <c r="D247" s="514" t="s">
        <v>8</v>
      </c>
      <c r="E247" s="517">
        <v>40</v>
      </c>
      <c r="F247" s="518">
        <v>63925</v>
      </c>
      <c r="G247" s="518">
        <f t="shared" si="8"/>
        <v>2557000</v>
      </c>
    </row>
    <row r="248" spans="1:10" ht="25.5" x14ac:dyDescent="0.2">
      <c r="A248" s="523"/>
      <c r="B248" s="568" t="s">
        <v>783</v>
      </c>
      <c r="C248" s="525" t="s">
        <v>570</v>
      </c>
      <c r="D248" s="526" t="s">
        <v>8</v>
      </c>
      <c r="E248" s="527">
        <v>12</v>
      </c>
      <c r="F248" s="528">
        <v>74325</v>
      </c>
      <c r="G248" s="528">
        <f t="shared" si="8"/>
        <v>891900</v>
      </c>
    </row>
    <row r="249" spans="1:10" ht="25.5" x14ac:dyDescent="0.2">
      <c r="A249" s="523"/>
      <c r="B249" s="568" t="s">
        <v>784</v>
      </c>
      <c r="C249" s="525" t="s">
        <v>569</v>
      </c>
      <c r="D249" s="526" t="s">
        <v>8</v>
      </c>
      <c r="E249" s="527">
        <v>6</v>
      </c>
      <c r="F249" s="528">
        <v>84225</v>
      </c>
      <c r="G249" s="528">
        <f t="shared" si="8"/>
        <v>505350</v>
      </c>
    </row>
    <row r="250" spans="1:10" ht="26.25" thickBot="1" x14ac:dyDescent="0.25">
      <c r="A250" s="519"/>
      <c r="B250" s="571" t="s">
        <v>785</v>
      </c>
      <c r="C250" s="537" t="s">
        <v>568</v>
      </c>
      <c r="D250" s="520" t="s">
        <v>8</v>
      </c>
      <c r="E250" s="535">
        <v>4</v>
      </c>
      <c r="F250" s="521">
        <v>84255</v>
      </c>
      <c r="G250" s="521">
        <f t="shared" si="8"/>
        <v>337020</v>
      </c>
    </row>
    <row r="251" spans="1:10" ht="13.5" thickBot="1" x14ac:dyDescent="0.25">
      <c r="A251" s="15"/>
      <c r="B251" s="16"/>
      <c r="C251" s="1473" t="s">
        <v>213</v>
      </c>
      <c r="D251" s="1473"/>
      <c r="E251" s="1473"/>
      <c r="F251" s="1474"/>
      <c r="G251" s="165">
        <f>SUM(G225:G250)</f>
        <v>92748383</v>
      </c>
    </row>
    <row r="252" spans="1:10" ht="13.5" thickBot="1" x14ac:dyDescent="0.25">
      <c r="A252" s="158"/>
      <c r="B252" s="503"/>
      <c r="C252" s="157" t="s">
        <v>210</v>
      </c>
      <c r="D252" s="156"/>
      <c r="E252" s="155"/>
      <c r="F252" s="154"/>
      <c r="G252" s="153" t="e">
        <f>+G184+G174+G190+G196+G210+G215+G223+G251</f>
        <v>#REF!</v>
      </c>
    </row>
    <row r="253" spans="1:10" ht="13.5" thickBot="1" x14ac:dyDescent="0.25">
      <c r="A253" s="152"/>
      <c r="B253" s="504"/>
      <c r="C253" s="151"/>
      <c r="D253" s="151"/>
      <c r="E253" s="151"/>
      <c r="F253" s="151"/>
      <c r="G253" s="150"/>
    </row>
    <row r="254" spans="1:10" ht="13.5" thickBot="1" x14ac:dyDescent="0.25">
      <c r="A254" s="149"/>
      <c r="B254" s="1467" t="s">
        <v>209</v>
      </c>
      <c r="C254" s="1468"/>
      <c r="D254" s="1468"/>
      <c r="E254" s="1468"/>
      <c r="F254" s="1469"/>
      <c r="G254" s="148" t="e">
        <f>+G142+G252+G143+G95+G73+G166</f>
        <v>#REF!</v>
      </c>
      <c r="J254" s="505"/>
    </row>
    <row r="255" spans="1:10" ht="13.5" thickBot="1" x14ac:dyDescent="0.25">
      <c r="A255" s="149"/>
      <c r="B255" s="1467" t="s">
        <v>208</v>
      </c>
      <c r="C255" s="1468"/>
      <c r="D255" s="1468"/>
      <c r="E255" s="1468"/>
      <c r="F255" s="1469"/>
      <c r="G255" s="148" t="e">
        <f>+G254*25%</f>
        <v>#REF!</v>
      </c>
    </row>
    <row r="256" spans="1:10" ht="13.5" thickBot="1" x14ac:dyDescent="0.25">
      <c r="A256" s="147"/>
      <c r="B256" s="1470" t="s">
        <v>207</v>
      </c>
      <c r="C256" s="1471"/>
      <c r="D256" s="1471"/>
      <c r="E256" s="1471"/>
      <c r="F256" s="1472"/>
      <c r="G256" s="146" t="e">
        <f>+G255+G254</f>
        <v>#REF!</v>
      </c>
    </row>
    <row r="257" spans="1:7" x14ac:dyDescent="0.2">
      <c r="A257" s="12"/>
      <c r="C257" s="13"/>
      <c r="E257" s="145"/>
      <c r="F257" s="17"/>
      <c r="G257" s="17"/>
    </row>
    <row r="258" spans="1:7" x14ac:dyDescent="0.2">
      <c r="A258" s="12"/>
      <c r="C258" s="13"/>
      <c r="E258" s="145"/>
      <c r="F258" s="17"/>
      <c r="G258" s="17"/>
    </row>
    <row r="259" spans="1:7" x14ac:dyDescent="0.2">
      <c r="B259" s="28"/>
      <c r="C259" s="9"/>
      <c r="E259" s="145"/>
      <c r="F259" s="17"/>
      <c r="G259" s="17"/>
    </row>
    <row r="260" spans="1:7" x14ac:dyDescent="0.2">
      <c r="C260" s="13" t="s">
        <v>10</v>
      </c>
    </row>
    <row r="261" spans="1:7" x14ac:dyDescent="0.2">
      <c r="C261" s="13" t="s">
        <v>9</v>
      </c>
    </row>
  </sheetData>
  <mergeCells count="35">
    <mergeCell ref="A6:G6"/>
    <mergeCell ref="C94:F94"/>
    <mergeCell ref="C10:F10"/>
    <mergeCell ref="C19:F19"/>
    <mergeCell ref="C24:F24"/>
    <mergeCell ref="C31:F31"/>
    <mergeCell ref="C39:F39"/>
    <mergeCell ref="C56:F56"/>
    <mergeCell ref="C67:F67"/>
    <mergeCell ref="C72:F72"/>
    <mergeCell ref="A1:G1"/>
    <mergeCell ref="A2:G2"/>
    <mergeCell ref="A3:G3"/>
    <mergeCell ref="A4:G4"/>
    <mergeCell ref="A5:G5"/>
    <mergeCell ref="C105:F105"/>
    <mergeCell ref="C120:F120"/>
    <mergeCell ref="C81:F81"/>
    <mergeCell ref="C84:F84"/>
    <mergeCell ref="C91:F91"/>
    <mergeCell ref="B254:F254"/>
    <mergeCell ref="B255:F255"/>
    <mergeCell ref="B256:F256"/>
    <mergeCell ref="C126:F126"/>
    <mergeCell ref="C155:F155"/>
    <mergeCell ref="C165:F165"/>
    <mergeCell ref="C174:F174"/>
    <mergeCell ref="C184:F184"/>
    <mergeCell ref="C190:F190"/>
    <mergeCell ref="C196:F196"/>
    <mergeCell ref="C210:F210"/>
    <mergeCell ref="C215:F215"/>
    <mergeCell ref="C223:F223"/>
    <mergeCell ref="C142:F142"/>
    <mergeCell ref="C251:F251"/>
  </mergeCells>
  <pageMargins left="0.74803149606299213" right="0.74803149606299213" top="0.56000000000000005" bottom="0.37" header="0" footer="0"/>
  <pageSetup scale="89" orientation="portrait" r:id="rId1"/>
  <headerFooter alignWithMargins="0"/>
  <rowBreaks count="4" manualBreakCount="4">
    <brk id="73" max="6" man="1"/>
    <brk id="95" max="6" man="1"/>
    <brk id="143" max="6" man="1"/>
    <brk id="166"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14"/>
  <sheetViews>
    <sheetView view="pageBreakPreview" topLeftCell="A11" zoomScale="90" zoomScaleNormal="88" zoomScaleSheetLayoutView="90" workbookViewId="0">
      <selection activeCell="D45" sqref="D45"/>
    </sheetView>
  </sheetViews>
  <sheetFormatPr baseColWidth="10" defaultRowHeight="35.1" customHeight="1" x14ac:dyDescent="0.2"/>
  <cols>
    <col min="1" max="1" width="6.140625" style="221" customWidth="1"/>
    <col min="2" max="2" width="57.5703125" style="221" customWidth="1"/>
    <col min="3" max="3" width="7.140625" style="224" customWidth="1"/>
    <col min="4" max="4" width="7.42578125" style="224" customWidth="1"/>
    <col min="5" max="5" width="13.28515625" style="223" customWidth="1"/>
    <col min="6" max="6" width="16.140625" style="222" customWidth="1"/>
    <col min="7" max="7" width="14.42578125" style="221" bestFit="1" customWidth="1"/>
    <col min="8" max="256" width="11.42578125" style="221"/>
    <col min="257" max="257" width="6.140625" style="221" customWidth="1"/>
    <col min="258" max="258" width="70.5703125" style="221" customWidth="1"/>
    <col min="259" max="259" width="7.140625" style="221" customWidth="1"/>
    <col min="260" max="260" width="7.42578125" style="221" customWidth="1"/>
    <col min="261" max="261" width="13.28515625" style="221" customWidth="1"/>
    <col min="262" max="262" width="16.140625" style="221" customWidth="1"/>
    <col min="263" max="263" width="14.42578125" style="221" bestFit="1" customWidth="1"/>
    <col min="264" max="512" width="11.42578125" style="221"/>
    <col min="513" max="513" width="6.140625" style="221" customWidth="1"/>
    <col min="514" max="514" width="70.5703125" style="221" customWidth="1"/>
    <col min="515" max="515" width="7.140625" style="221" customWidth="1"/>
    <col min="516" max="516" width="7.42578125" style="221" customWidth="1"/>
    <col min="517" max="517" width="13.28515625" style="221" customWidth="1"/>
    <col min="518" max="518" width="16.140625" style="221" customWidth="1"/>
    <col min="519" max="519" width="14.42578125" style="221" bestFit="1" customWidth="1"/>
    <col min="520" max="768" width="11.42578125" style="221"/>
    <col min="769" max="769" width="6.140625" style="221" customWidth="1"/>
    <col min="770" max="770" width="70.5703125" style="221" customWidth="1"/>
    <col min="771" max="771" width="7.140625" style="221" customWidth="1"/>
    <col min="772" max="772" width="7.42578125" style="221" customWidth="1"/>
    <col min="773" max="773" width="13.28515625" style="221" customWidth="1"/>
    <col min="774" max="774" width="16.140625" style="221" customWidth="1"/>
    <col min="775" max="775" width="14.42578125" style="221" bestFit="1" customWidth="1"/>
    <col min="776" max="1024" width="11.42578125" style="221"/>
    <col min="1025" max="1025" width="6.140625" style="221" customWidth="1"/>
    <col min="1026" max="1026" width="70.5703125" style="221" customWidth="1"/>
    <col min="1027" max="1027" width="7.140625" style="221" customWidth="1"/>
    <col min="1028" max="1028" width="7.42578125" style="221" customWidth="1"/>
    <col min="1029" max="1029" width="13.28515625" style="221" customWidth="1"/>
    <col min="1030" max="1030" width="16.140625" style="221" customWidth="1"/>
    <col min="1031" max="1031" width="14.42578125" style="221" bestFit="1" customWidth="1"/>
    <col min="1032" max="1280" width="11.42578125" style="221"/>
    <col min="1281" max="1281" width="6.140625" style="221" customWidth="1"/>
    <col min="1282" max="1282" width="70.5703125" style="221" customWidth="1"/>
    <col min="1283" max="1283" width="7.140625" style="221" customWidth="1"/>
    <col min="1284" max="1284" width="7.42578125" style="221" customWidth="1"/>
    <col min="1285" max="1285" width="13.28515625" style="221" customWidth="1"/>
    <col min="1286" max="1286" width="16.140625" style="221" customWidth="1"/>
    <col min="1287" max="1287" width="14.42578125" style="221" bestFit="1" customWidth="1"/>
    <col min="1288" max="1536" width="11.42578125" style="221"/>
    <col min="1537" max="1537" width="6.140625" style="221" customWidth="1"/>
    <col min="1538" max="1538" width="70.5703125" style="221" customWidth="1"/>
    <col min="1539" max="1539" width="7.140625" style="221" customWidth="1"/>
    <col min="1540" max="1540" width="7.42578125" style="221" customWidth="1"/>
    <col min="1541" max="1541" width="13.28515625" style="221" customWidth="1"/>
    <col min="1542" max="1542" width="16.140625" style="221" customWidth="1"/>
    <col min="1543" max="1543" width="14.42578125" style="221" bestFit="1" customWidth="1"/>
    <col min="1544" max="1792" width="11.42578125" style="221"/>
    <col min="1793" max="1793" width="6.140625" style="221" customWidth="1"/>
    <col min="1794" max="1794" width="70.5703125" style="221" customWidth="1"/>
    <col min="1795" max="1795" width="7.140625" style="221" customWidth="1"/>
    <col min="1796" max="1796" width="7.42578125" style="221" customWidth="1"/>
    <col min="1797" max="1797" width="13.28515625" style="221" customWidth="1"/>
    <col min="1798" max="1798" width="16.140625" style="221" customWidth="1"/>
    <col min="1799" max="1799" width="14.42578125" style="221" bestFit="1" customWidth="1"/>
    <col min="1800" max="2048" width="11.42578125" style="221"/>
    <col min="2049" max="2049" width="6.140625" style="221" customWidth="1"/>
    <col min="2050" max="2050" width="70.5703125" style="221" customWidth="1"/>
    <col min="2051" max="2051" width="7.140625" style="221" customWidth="1"/>
    <col min="2052" max="2052" width="7.42578125" style="221" customWidth="1"/>
    <col min="2053" max="2053" width="13.28515625" style="221" customWidth="1"/>
    <col min="2054" max="2054" width="16.140625" style="221" customWidth="1"/>
    <col min="2055" max="2055" width="14.42578125" style="221" bestFit="1" customWidth="1"/>
    <col min="2056" max="2304" width="11.42578125" style="221"/>
    <col min="2305" max="2305" width="6.140625" style="221" customWidth="1"/>
    <col min="2306" max="2306" width="70.5703125" style="221" customWidth="1"/>
    <col min="2307" max="2307" width="7.140625" style="221" customWidth="1"/>
    <col min="2308" max="2308" width="7.42578125" style="221" customWidth="1"/>
    <col min="2309" max="2309" width="13.28515625" style="221" customWidth="1"/>
    <col min="2310" max="2310" width="16.140625" style="221" customWidth="1"/>
    <col min="2311" max="2311" width="14.42578125" style="221" bestFit="1" customWidth="1"/>
    <col min="2312" max="2560" width="11.42578125" style="221"/>
    <col min="2561" max="2561" width="6.140625" style="221" customWidth="1"/>
    <col min="2562" max="2562" width="70.5703125" style="221" customWidth="1"/>
    <col min="2563" max="2563" width="7.140625" style="221" customWidth="1"/>
    <col min="2564" max="2564" width="7.42578125" style="221" customWidth="1"/>
    <col min="2565" max="2565" width="13.28515625" style="221" customWidth="1"/>
    <col min="2566" max="2566" width="16.140625" style="221" customWidth="1"/>
    <col min="2567" max="2567" width="14.42578125" style="221" bestFit="1" customWidth="1"/>
    <col min="2568" max="2816" width="11.42578125" style="221"/>
    <col min="2817" max="2817" width="6.140625" style="221" customWidth="1"/>
    <col min="2818" max="2818" width="70.5703125" style="221" customWidth="1"/>
    <col min="2819" max="2819" width="7.140625" style="221" customWidth="1"/>
    <col min="2820" max="2820" width="7.42578125" style="221" customWidth="1"/>
    <col min="2821" max="2821" width="13.28515625" style="221" customWidth="1"/>
    <col min="2822" max="2822" width="16.140625" style="221" customWidth="1"/>
    <col min="2823" max="2823" width="14.42578125" style="221" bestFit="1" customWidth="1"/>
    <col min="2824" max="3072" width="11.42578125" style="221"/>
    <col min="3073" max="3073" width="6.140625" style="221" customWidth="1"/>
    <col min="3074" max="3074" width="70.5703125" style="221" customWidth="1"/>
    <col min="3075" max="3075" width="7.140625" style="221" customWidth="1"/>
    <col min="3076" max="3076" width="7.42578125" style="221" customWidth="1"/>
    <col min="3077" max="3077" width="13.28515625" style="221" customWidth="1"/>
    <col min="3078" max="3078" width="16.140625" style="221" customWidth="1"/>
    <col min="3079" max="3079" width="14.42578125" style="221" bestFit="1" customWidth="1"/>
    <col min="3080" max="3328" width="11.42578125" style="221"/>
    <col min="3329" max="3329" width="6.140625" style="221" customWidth="1"/>
    <col min="3330" max="3330" width="70.5703125" style="221" customWidth="1"/>
    <col min="3331" max="3331" width="7.140625" style="221" customWidth="1"/>
    <col min="3332" max="3332" width="7.42578125" style="221" customWidth="1"/>
    <col min="3333" max="3333" width="13.28515625" style="221" customWidth="1"/>
    <col min="3334" max="3334" width="16.140625" style="221" customWidth="1"/>
    <col min="3335" max="3335" width="14.42578125" style="221" bestFit="1" customWidth="1"/>
    <col min="3336" max="3584" width="11.42578125" style="221"/>
    <col min="3585" max="3585" width="6.140625" style="221" customWidth="1"/>
    <col min="3586" max="3586" width="70.5703125" style="221" customWidth="1"/>
    <col min="3587" max="3587" width="7.140625" style="221" customWidth="1"/>
    <col min="3588" max="3588" width="7.42578125" style="221" customWidth="1"/>
    <col min="3589" max="3589" width="13.28515625" style="221" customWidth="1"/>
    <col min="3590" max="3590" width="16.140625" style="221" customWidth="1"/>
    <col min="3591" max="3591" width="14.42578125" style="221" bestFit="1" customWidth="1"/>
    <col min="3592" max="3840" width="11.42578125" style="221"/>
    <col min="3841" max="3841" width="6.140625" style="221" customWidth="1"/>
    <col min="3842" max="3842" width="70.5703125" style="221" customWidth="1"/>
    <col min="3843" max="3843" width="7.140625" style="221" customWidth="1"/>
    <col min="3844" max="3844" width="7.42578125" style="221" customWidth="1"/>
    <col min="3845" max="3845" width="13.28515625" style="221" customWidth="1"/>
    <col min="3846" max="3846" width="16.140625" style="221" customWidth="1"/>
    <col min="3847" max="3847" width="14.42578125" style="221" bestFit="1" customWidth="1"/>
    <col min="3848" max="4096" width="11.42578125" style="221"/>
    <col min="4097" max="4097" width="6.140625" style="221" customWidth="1"/>
    <col min="4098" max="4098" width="70.5703125" style="221" customWidth="1"/>
    <col min="4099" max="4099" width="7.140625" style="221" customWidth="1"/>
    <col min="4100" max="4100" width="7.42578125" style="221" customWidth="1"/>
    <col min="4101" max="4101" width="13.28515625" style="221" customWidth="1"/>
    <col min="4102" max="4102" width="16.140625" style="221" customWidth="1"/>
    <col min="4103" max="4103" width="14.42578125" style="221" bestFit="1" customWidth="1"/>
    <col min="4104" max="4352" width="11.42578125" style="221"/>
    <col min="4353" max="4353" width="6.140625" style="221" customWidth="1"/>
    <col min="4354" max="4354" width="70.5703125" style="221" customWidth="1"/>
    <col min="4355" max="4355" width="7.140625" style="221" customWidth="1"/>
    <col min="4356" max="4356" width="7.42578125" style="221" customWidth="1"/>
    <col min="4357" max="4357" width="13.28515625" style="221" customWidth="1"/>
    <col min="4358" max="4358" width="16.140625" style="221" customWidth="1"/>
    <col min="4359" max="4359" width="14.42578125" style="221" bestFit="1" customWidth="1"/>
    <col min="4360" max="4608" width="11.42578125" style="221"/>
    <col min="4609" max="4609" width="6.140625" style="221" customWidth="1"/>
    <col min="4610" max="4610" width="70.5703125" style="221" customWidth="1"/>
    <col min="4611" max="4611" width="7.140625" style="221" customWidth="1"/>
    <col min="4612" max="4612" width="7.42578125" style="221" customWidth="1"/>
    <col min="4613" max="4613" width="13.28515625" style="221" customWidth="1"/>
    <col min="4614" max="4614" width="16.140625" style="221" customWidth="1"/>
    <col min="4615" max="4615" width="14.42578125" style="221" bestFit="1" customWidth="1"/>
    <col min="4616" max="4864" width="11.42578125" style="221"/>
    <col min="4865" max="4865" width="6.140625" style="221" customWidth="1"/>
    <col min="4866" max="4866" width="70.5703125" style="221" customWidth="1"/>
    <col min="4867" max="4867" width="7.140625" style="221" customWidth="1"/>
    <col min="4868" max="4868" width="7.42578125" style="221" customWidth="1"/>
    <col min="4869" max="4869" width="13.28515625" style="221" customWidth="1"/>
    <col min="4870" max="4870" width="16.140625" style="221" customWidth="1"/>
    <col min="4871" max="4871" width="14.42578125" style="221" bestFit="1" customWidth="1"/>
    <col min="4872" max="5120" width="11.42578125" style="221"/>
    <col min="5121" max="5121" width="6.140625" style="221" customWidth="1"/>
    <col min="5122" max="5122" width="70.5703125" style="221" customWidth="1"/>
    <col min="5123" max="5123" width="7.140625" style="221" customWidth="1"/>
    <col min="5124" max="5124" width="7.42578125" style="221" customWidth="1"/>
    <col min="5125" max="5125" width="13.28515625" style="221" customWidth="1"/>
    <col min="5126" max="5126" width="16.140625" style="221" customWidth="1"/>
    <col min="5127" max="5127" width="14.42578125" style="221" bestFit="1" customWidth="1"/>
    <col min="5128" max="5376" width="11.42578125" style="221"/>
    <col min="5377" max="5377" width="6.140625" style="221" customWidth="1"/>
    <col min="5378" max="5378" width="70.5703125" style="221" customWidth="1"/>
    <col min="5379" max="5379" width="7.140625" style="221" customWidth="1"/>
    <col min="5380" max="5380" width="7.42578125" style="221" customWidth="1"/>
    <col min="5381" max="5381" width="13.28515625" style="221" customWidth="1"/>
    <col min="5382" max="5382" width="16.140625" style="221" customWidth="1"/>
    <col min="5383" max="5383" width="14.42578125" style="221" bestFit="1" customWidth="1"/>
    <col min="5384" max="5632" width="11.42578125" style="221"/>
    <col min="5633" max="5633" width="6.140625" style="221" customWidth="1"/>
    <col min="5634" max="5634" width="70.5703125" style="221" customWidth="1"/>
    <col min="5635" max="5635" width="7.140625" style="221" customWidth="1"/>
    <col min="5636" max="5636" width="7.42578125" style="221" customWidth="1"/>
    <col min="5637" max="5637" width="13.28515625" style="221" customWidth="1"/>
    <col min="5638" max="5638" width="16.140625" style="221" customWidth="1"/>
    <col min="5639" max="5639" width="14.42578125" style="221" bestFit="1" customWidth="1"/>
    <col min="5640" max="5888" width="11.42578125" style="221"/>
    <col min="5889" max="5889" width="6.140625" style="221" customWidth="1"/>
    <col min="5890" max="5890" width="70.5703125" style="221" customWidth="1"/>
    <col min="5891" max="5891" width="7.140625" style="221" customWidth="1"/>
    <col min="5892" max="5892" width="7.42578125" style="221" customWidth="1"/>
    <col min="5893" max="5893" width="13.28515625" style="221" customWidth="1"/>
    <col min="5894" max="5894" width="16.140625" style="221" customWidth="1"/>
    <col min="5895" max="5895" width="14.42578125" style="221" bestFit="1" customWidth="1"/>
    <col min="5896" max="6144" width="11.42578125" style="221"/>
    <col min="6145" max="6145" width="6.140625" style="221" customWidth="1"/>
    <col min="6146" max="6146" width="70.5703125" style="221" customWidth="1"/>
    <col min="6147" max="6147" width="7.140625" style="221" customWidth="1"/>
    <col min="6148" max="6148" width="7.42578125" style="221" customWidth="1"/>
    <col min="6149" max="6149" width="13.28515625" style="221" customWidth="1"/>
    <col min="6150" max="6150" width="16.140625" style="221" customWidth="1"/>
    <col min="6151" max="6151" width="14.42578125" style="221" bestFit="1" customWidth="1"/>
    <col min="6152" max="6400" width="11.42578125" style="221"/>
    <col min="6401" max="6401" width="6.140625" style="221" customWidth="1"/>
    <col min="6402" max="6402" width="70.5703125" style="221" customWidth="1"/>
    <col min="6403" max="6403" width="7.140625" style="221" customWidth="1"/>
    <col min="6404" max="6404" width="7.42578125" style="221" customWidth="1"/>
    <col min="6405" max="6405" width="13.28515625" style="221" customWidth="1"/>
    <col min="6406" max="6406" width="16.140625" style="221" customWidth="1"/>
    <col min="6407" max="6407" width="14.42578125" style="221" bestFit="1" customWidth="1"/>
    <col min="6408" max="6656" width="11.42578125" style="221"/>
    <col min="6657" max="6657" width="6.140625" style="221" customWidth="1"/>
    <col min="6658" max="6658" width="70.5703125" style="221" customWidth="1"/>
    <col min="6659" max="6659" width="7.140625" style="221" customWidth="1"/>
    <col min="6660" max="6660" width="7.42578125" style="221" customWidth="1"/>
    <col min="6661" max="6661" width="13.28515625" style="221" customWidth="1"/>
    <col min="6662" max="6662" width="16.140625" style="221" customWidth="1"/>
    <col min="6663" max="6663" width="14.42578125" style="221" bestFit="1" customWidth="1"/>
    <col min="6664" max="6912" width="11.42578125" style="221"/>
    <col min="6913" max="6913" width="6.140625" style="221" customWidth="1"/>
    <col min="6914" max="6914" width="70.5703125" style="221" customWidth="1"/>
    <col min="6915" max="6915" width="7.140625" style="221" customWidth="1"/>
    <col min="6916" max="6916" width="7.42578125" style="221" customWidth="1"/>
    <col min="6917" max="6917" width="13.28515625" style="221" customWidth="1"/>
    <col min="6918" max="6918" width="16.140625" style="221" customWidth="1"/>
    <col min="6919" max="6919" width="14.42578125" style="221" bestFit="1" customWidth="1"/>
    <col min="6920" max="7168" width="11.42578125" style="221"/>
    <col min="7169" max="7169" width="6.140625" style="221" customWidth="1"/>
    <col min="7170" max="7170" width="70.5703125" style="221" customWidth="1"/>
    <col min="7171" max="7171" width="7.140625" style="221" customWidth="1"/>
    <col min="7172" max="7172" width="7.42578125" style="221" customWidth="1"/>
    <col min="7173" max="7173" width="13.28515625" style="221" customWidth="1"/>
    <col min="7174" max="7174" width="16.140625" style="221" customWidth="1"/>
    <col min="7175" max="7175" width="14.42578125" style="221" bestFit="1" customWidth="1"/>
    <col min="7176" max="7424" width="11.42578125" style="221"/>
    <col min="7425" max="7425" width="6.140625" style="221" customWidth="1"/>
    <col min="7426" max="7426" width="70.5703125" style="221" customWidth="1"/>
    <col min="7427" max="7427" width="7.140625" style="221" customWidth="1"/>
    <col min="7428" max="7428" width="7.42578125" style="221" customWidth="1"/>
    <col min="7429" max="7429" width="13.28515625" style="221" customWidth="1"/>
    <col min="7430" max="7430" width="16.140625" style="221" customWidth="1"/>
    <col min="7431" max="7431" width="14.42578125" style="221" bestFit="1" customWidth="1"/>
    <col min="7432" max="7680" width="11.42578125" style="221"/>
    <col min="7681" max="7681" width="6.140625" style="221" customWidth="1"/>
    <col min="7682" max="7682" width="70.5703125" style="221" customWidth="1"/>
    <col min="7683" max="7683" width="7.140625" style="221" customWidth="1"/>
    <col min="7684" max="7684" width="7.42578125" style="221" customWidth="1"/>
    <col min="7685" max="7685" width="13.28515625" style="221" customWidth="1"/>
    <col min="7686" max="7686" width="16.140625" style="221" customWidth="1"/>
    <col min="7687" max="7687" width="14.42578125" style="221" bestFit="1" customWidth="1"/>
    <col min="7688" max="7936" width="11.42578125" style="221"/>
    <col min="7937" max="7937" width="6.140625" style="221" customWidth="1"/>
    <col min="7938" max="7938" width="70.5703125" style="221" customWidth="1"/>
    <col min="7939" max="7939" width="7.140625" style="221" customWidth="1"/>
    <col min="7940" max="7940" width="7.42578125" style="221" customWidth="1"/>
    <col min="7941" max="7941" width="13.28515625" style="221" customWidth="1"/>
    <col min="7942" max="7942" width="16.140625" style="221" customWidth="1"/>
    <col min="7943" max="7943" width="14.42578125" style="221" bestFit="1" customWidth="1"/>
    <col min="7944" max="8192" width="11.42578125" style="221"/>
    <col min="8193" max="8193" width="6.140625" style="221" customWidth="1"/>
    <col min="8194" max="8194" width="70.5703125" style="221" customWidth="1"/>
    <col min="8195" max="8195" width="7.140625" style="221" customWidth="1"/>
    <col min="8196" max="8196" width="7.42578125" style="221" customWidth="1"/>
    <col min="8197" max="8197" width="13.28515625" style="221" customWidth="1"/>
    <col min="8198" max="8198" width="16.140625" style="221" customWidth="1"/>
    <col min="8199" max="8199" width="14.42578125" style="221" bestFit="1" customWidth="1"/>
    <col min="8200" max="8448" width="11.42578125" style="221"/>
    <col min="8449" max="8449" width="6.140625" style="221" customWidth="1"/>
    <col min="8450" max="8450" width="70.5703125" style="221" customWidth="1"/>
    <col min="8451" max="8451" width="7.140625" style="221" customWidth="1"/>
    <col min="8452" max="8452" width="7.42578125" style="221" customWidth="1"/>
    <col min="8453" max="8453" width="13.28515625" style="221" customWidth="1"/>
    <col min="8454" max="8454" width="16.140625" style="221" customWidth="1"/>
    <col min="8455" max="8455" width="14.42578125" style="221" bestFit="1" customWidth="1"/>
    <col min="8456" max="8704" width="11.42578125" style="221"/>
    <col min="8705" max="8705" width="6.140625" style="221" customWidth="1"/>
    <col min="8706" max="8706" width="70.5703125" style="221" customWidth="1"/>
    <col min="8707" max="8707" width="7.140625" style="221" customWidth="1"/>
    <col min="8708" max="8708" width="7.42578125" style="221" customWidth="1"/>
    <col min="8709" max="8709" width="13.28515625" style="221" customWidth="1"/>
    <col min="8710" max="8710" width="16.140625" style="221" customWidth="1"/>
    <col min="8711" max="8711" width="14.42578125" style="221" bestFit="1" customWidth="1"/>
    <col min="8712" max="8960" width="11.42578125" style="221"/>
    <col min="8961" max="8961" width="6.140625" style="221" customWidth="1"/>
    <col min="8962" max="8962" width="70.5703125" style="221" customWidth="1"/>
    <col min="8963" max="8963" width="7.140625" style="221" customWidth="1"/>
    <col min="8964" max="8964" width="7.42578125" style="221" customWidth="1"/>
    <col min="8965" max="8965" width="13.28515625" style="221" customWidth="1"/>
    <col min="8966" max="8966" width="16.140625" style="221" customWidth="1"/>
    <col min="8967" max="8967" width="14.42578125" style="221" bestFit="1" customWidth="1"/>
    <col min="8968" max="9216" width="11.42578125" style="221"/>
    <col min="9217" max="9217" width="6.140625" style="221" customWidth="1"/>
    <col min="9218" max="9218" width="70.5703125" style="221" customWidth="1"/>
    <col min="9219" max="9219" width="7.140625" style="221" customWidth="1"/>
    <col min="9220" max="9220" width="7.42578125" style="221" customWidth="1"/>
    <col min="9221" max="9221" width="13.28515625" style="221" customWidth="1"/>
    <col min="9222" max="9222" width="16.140625" style="221" customWidth="1"/>
    <col min="9223" max="9223" width="14.42578125" style="221" bestFit="1" customWidth="1"/>
    <col min="9224" max="9472" width="11.42578125" style="221"/>
    <col min="9473" max="9473" width="6.140625" style="221" customWidth="1"/>
    <col min="9474" max="9474" width="70.5703125" style="221" customWidth="1"/>
    <col min="9475" max="9475" width="7.140625" style="221" customWidth="1"/>
    <col min="9476" max="9476" width="7.42578125" style="221" customWidth="1"/>
    <col min="9477" max="9477" width="13.28515625" style="221" customWidth="1"/>
    <col min="9478" max="9478" width="16.140625" style="221" customWidth="1"/>
    <col min="9479" max="9479" width="14.42578125" style="221" bestFit="1" customWidth="1"/>
    <col min="9480" max="9728" width="11.42578125" style="221"/>
    <col min="9729" max="9729" width="6.140625" style="221" customWidth="1"/>
    <col min="9730" max="9730" width="70.5703125" style="221" customWidth="1"/>
    <col min="9731" max="9731" width="7.140625" style="221" customWidth="1"/>
    <col min="9732" max="9732" width="7.42578125" style="221" customWidth="1"/>
    <col min="9733" max="9733" width="13.28515625" style="221" customWidth="1"/>
    <col min="9734" max="9734" width="16.140625" style="221" customWidth="1"/>
    <col min="9735" max="9735" width="14.42578125" style="221" bestFit="1" customWidth="1"/>
    <col min="9736" max="9984" width="11.42578125" style="221"/>
    <col min="9985" max="9985" width="6.140625" style="221" customWidth="1"/>
    <col min="9986" max="9986" width="70.5703125" style="221" customWidth="1"/>
    <col min="9987" max="9987" width="7.140625" style="221" customWidth="1"/>
    <col min="9988" max="9988" width="7.42578125" style="221" customWidth="1"/>
    <col min="9989" max="9989" width="13.28515625" style="221" customWidth="1"/>
    <col min="9990" max="9990" width="16.140625" style="221" customWidth="1"/>
    <col min="9991" max="9991" width="14.42578125" style="221" bestFit="1" customWidth="1"/>
    <col min="9992" max="10240" width="11.42578125" style="221"/>
    <col min="10241" max="10241" width="6.140625" style="221" customWidth="1"/>
    <col min="10242" max="10242" width="70.5703125" style="221" customWidth="1"/>
    <col min="10243" max="10243" width="7.140625" style="221" customWidth="1"/>
    <col min="10244" max="10244" width="7.42578125" style="221" customWidth="1"/>
    <col min="10245" max="10245" width="13.28515625" style="221" customWidth="1"/>
    <col min="10246" max="10246" width="16.140625" style="221" customWidth="1"/>
    <col min="10247" max="10247" width="14.42578125" style="221" bestFit="1" customWidth="1"/>
    <col min="10248" max="10496" width="11.42578125" style="221"/>
    <col min="10497" max="10497" width="6.140625" style="221" customWidth="1"/>
    <col min="10498" max="10498" width="70.5703125" style="221" customWidth="1"/>
    <col min="10499" max="10499" width="7.140625" style="221" customWidth="1"/>
    <col min="10500" max="10500" width="7.42578125" style="221" customWidth="1"/>
    <col min="10501" max="10501" width="13.28515625" style="221" customWidth="1"/>
    <col min="10502" max="10502" width="16.140625" style="221" customWidth="1"/>
    <col min="10503" max="10503" width="14.42578125" style="221" bestFit="1" customWidth="1"/>
    <col min="10504" max="10752" width="11.42578125" style="221"/>
    <col min="10753" max="10753" width="6.140625" style="221" customWidth="1"/>
    <col min="10754" max="10754" width="70.5703125" style="221" customWidth="1"/>
    <col min="10755" max="10755" width="7.140625" style="221" customWidth="1"/>
    <col min="10756" max="10756" width="7.42578125" style="221" customWidth="1"/>
    <col min="10757" max="10757" width="13.28515625" style="221" customWidth="1"/>
    <col min="10758" max="10758" width="16.140625" style="221" customWidth="1"/>
    <col min="10759" max="10759" width="14.42578125" style="221" bestFit="1" customWidth="1"/>
    <col min="10760" max="11008" width="11.42578125" style="221"/>
    <col min="11009" max="11009" width="6.140625" style="221" customWidth="1"/>
    <col min="11010" max="11010" width="70.5703125" style="221" customWidth="1"/>
    <col min="11011" max="11011" width="7.140625" style="221" customWidth="1"/>
    <col min="11012" max="11012" width="7.42578125" style="221" customWidth="1"/>
    <col min="11013" max="11013" width="13.28515625" style="221" customWidth="1"/>
    <col min="11014" max="11014" width="16.140625" style="221" customWidth="1"/>
    <col min="11015" max="11015" width="14.42578125" style="221" bestFit="1" customWidth="1"/>
    <col min="11016" max="11264" width="11.42578125" style="221"/>
    <col min="11265" max="11265" width="6.140625" style="221" customWidth="1"/>
    <col min="11266" max="11266" width="70.5703125" style="221" customWidth="1"/>
    <col min="11267" max="11267" width="7.140625" style="221" customWidth="1"/>
    <col min="11268" max="11268" width="7.42578125" style="221" customWidth="1"/>
    <col min="11269" max="11269" width="13.28515625" style="221" customWidth="1"/>
    <col min="11270" max="11270" width="16.140625" style="221" customWidth="1"/>
    <col min="11271" max="11271" width="14.42578125" style="221" bestFit="1" customWidth="1"/>
    <col min="11272" max="11520" width="11.42578125" style="221"/>
    <col min="11521" max="11521" width="6.140625" style="221" customWidth="1"/>
    <col min="11522" max="11522" width="70.5703125" style="221" customWidth="1"/>
    <col min="11523" max="11523" width="7.140625" style="221" customWidth="1"/>
    <col min="11524" max="11524" width="7.42578125" style="221" customWidth="1"/>
    <col min="11525" max="11525" width="13.28515625" style="221" customWidth="1"/>
    <col min="11526" max="11526" width="16.140625" style="221" customWidth="1"/>
    <col min="11527" max="11527" width="14.42578125" style="221" bestFit="1" customWidth="1"/>
    <col min="11528" max="11776" width="11.42578125" style="221"/>
    <col min="11777" max="11777" width="6.140625" style="221" customWidth="1"/>
    <col min="11778" max="11778" width="70.5703125" style="221" customWidth="1"/>
    <col min="11779" max="11779" width="7.140625" style="221" customWidth="1"/>
    <col min="11780" max="11780" width="7.42578125" style="221" customWidth="1"/>
    <col min="11781" max="11781" width="13.28515625" style="221" customWidth="1"/>
    <col min="11782" max="11782" width="16.140625" style="221" customWidth="1"/>
    <col min="11783" max="11783" width="14.42578125" style="221" bestFit="1" customWidth="1"/>
    <col min="11784" max="12032" width="11.42578125" style="221"/>
    <col min="12033" max="12033" width="6.140625" style="221" customWidth="1"/>
    <col min="12034" max="12034" width="70.5703125" style="221" customWidth="1"/>
    <col min="12035" max="12035" width="7.140625" style="221" customWidth="1"/>
    <col min="12036" max="12036" width="7.42578125" style="221" customWidth="1"/>
    <col min="12037" max="12037" width="13.28515625" style="221" customWidth="1"/>
    <col min="12038" max="12038" width="16.140625" style="221" customWidth="1"/>
    <col min="12039" max="12039" width="14.42578125" style="221" bestFit="1" customWidth="1"/>
    <col min="12040" max="12288" width="11.42578125" style="221"/>
    <col min="12289" max="12289" width="6.140625" style="221" customWidth="1"/>
    <col min="12290" max="12290" width="70.5703125" style="221" customWidth="1"/>
    <col min="12291" max="12291" width="7.140625" style="221" customWidth="1"/>
    <col min="12292" max="12292" width="7.42578125" style="221" customWidth="1"/>
    <col min="12293" max="12293" width="13.28515625" style="221" customWidth="1"/>
    <col min="12294" max="12294" width="16.140625" style="221" customWidth="1"/>
    <col min="12295" max="12295" width="14.42578125" style="221" bestFit="1" customWidth="1"/>
    <col min="12296" max="12544" width="11.42578125" style="221"/>
    <col min="12545" max="12545" width="6.140625" style="221" customWidth="1"/>
    <col min="12546" max="12546" width="70.5703125" style="221" customWidth="1"/>
    <col min="12547" max="12547" width="7.140625" style="221" customWidth="1"/>
    <col min="12548" max="12548" width="7.42578125" style="221" customWidth="1"/>
    <col min="12549" max="12549" width="13.28515625" style="221" customWidth="1"/>
    <col min="12550" max="12550" width="16.140625" style="221" customWidth="1"/>
    <col min="12551" max="12551" width="14.42578125" style="221" bestFit="1" customWidth="1"/>
    <col min="12552" max="12800" width="11.42578125" style="221"/>
    <col min="12801" max="12801" width="6.140625" style="221" customWidth="1"/>
    <col min="12802" max="12802" width="70.5703125" style="221" customWidth="1"/>
    <col min="12803" max="12803" width="7.140625" style="221" customWidth="1"/>
    <col min="12804" max="12804" width="7.42578125" style="221" customWidth="1"/>
    <col min="12805" max="12805" width="13.28515625" style="221" customWidth="1"/>
    <col min="12806" max="12806" width="16.140625" style="221" customWidth="1"/>
    <col min="12807" max="12807" width="14.42578125" style="221" bestFit="1" customWidth="1"/>
    <col min="12808" max="13056" width="11.42578125" style="221"/>
    <col min="13057" max="13057" width="6.140625" style="221" customWidth="1"/>
    <col min="13058" max="13058" width="70.5703125" style="221" customWidth="1"/>
    <col min="13059" max="13059" width="7.140625" style="221" customWidth="1"/>
    <col min="13060" max="13060" width="7.42578125" style="221" customWidth="1"/>
    <col min="13061" max="13061" width="13.28515625" style="221" customWidth="1"/>
    <col min="13062" max="13062" width="16.140625" style="221" customWidth="1"/>
    <col min="13063" max="13063" width="14.42578125" style="221" bestFit="1" customWidth="1"/>
    <col min="13064" max="13312" width="11.42578125" style="221"/>
    <col min="13313" max="13313" width="6.140625" style="221" customWidth="1"/>
    <col min="13314" max="13314" width="70.5703125" style="221" customWidth="1"/>
    <col min="13315" max="13315" width="7.140625" style="221" customWidth="1"/>
    <col min="13316" max="13316" width="7.42578125" style="221" customWidth="1"/>
    <col min="13317" max="13317" width="13.28515625" style="221" customWidth="1"/>
    <col min="13318" max="13318" width="16.140625" style="221" customWidth="1"/>
    <col min="13319" max="13319" width="14.42578125" style="221" bestFit="1" customWidth="1"/>
    <col min="13320" max="13568" width="11.42578125" style="221"/>
    <col min="13569" max="13569" width="6.140625" style="221" customWidth="1"/>
    <col min="13570" max="13570" width="70.5703125" style="221" customWidth="1"/>
    <col min="13571" max="13571" width="7.140625" style="221" customWidth="1"/>
    <col min="13572" max="13572" width="7.42578125" style="221" customWidth="1"/>
    <col min="13573" max="13573" width="13.28515625" style="221" customWidth="1"/>
    <col min="13574" max="13574" width="16.140625" style="221" customWidth="1"/>
    <col min="13575" max="13575" width="14.42578125" style="221" bestFit="1" customWidth="1"/>
    <col min="13576" max="13824" width="11.42578125" style="221"/>
    <col min="13825" max="13825" width="6.140625" style="221" customWidth="1"/>
    <col min="13826" max="13826" width="70.5703125" style="221" customWidth="1"/>
    <col min="13827" max="13827" width="7.140625" style="221" customWidth="1"/>
    <col min="13828" max="13828" width="7.42578125" style="221" customWidth="1"/>
    <col min="13829" max="13829" width="13.28515625" style="221" customWidth="1"/>
    <col min="13830" max="13830" width="16.140625" style="221" customWidth="1"/>
    <col min="13831" max="13831" width="14.42578125" style="221" bestFit="1" customWidth="1"/>
    <col min="13832" max="14080" width="11.42578125" style="221"/>
    <col min="14081" max="14081" width="6.140625" style="221" customWidth="1"/>
    <col min="14082" max="14082" width="70.5703125" style="221" customWidth="1"/>
    <col min="14083" max="14083" width="7.140625" style="221" customWidth="1"/>
    <col min="14084" max="14084" width="7.42578125" style="221" customWidth="1"/>
    <col min="14085" max="14085" width="13.28515625" style="221" customWidth="1"/>
    <col min="14086" max="14086" width="16.140625" style="221" customWidth="1"/>
    <col min="14087" max="14087" width="14.42578125" style="221" bestFit="1" customWidth="1"/>
    <col min="14088" max="14336" width="11.42578125" style="221"/>
    <col min="14337" max="14337" width="6.140625" style="221" customWidth="1"/>
    <col min="14338" max="14338" width="70.5703125" style="221" customWidth="1"/>
    <col min="14339" max="14339" width="7.140625" style="221" customWidth="1"/>
    <col min="14340" max="14340" width="7.42578125" style="221" customWidth="1"/>
    <col min="14341" max="14341" width="13.28515625" style="221" customWidth="1"/>
    <col min="14342" max="14342" width="16.140625" style="221" customWidth="1"/>
    <col min="14343" max="14343" width="14.42578125" style="221" bestFit="1" customWidth="1"/>
    <col min="14344" max="14592" width="11.42578125" style="221"/>
    <col min="14593" max="14593" width="6.140625" style="221" customWidth="1"/>
    <col min="14594" max="14594" width="70.5703125" style="221" customWidth="1"/>
    <col min="14595" max="14595" width="7.140625" style="221" customWidth="1"/>
    <col min="14596" max="14596" width="7.42578125" style="221" customWidth="1"/>
    <col min="14597" max="14597" width="13.28515625" style="221" customWidth="1"/>
    <col min="14598" max="14598" width="16.140625" style="221" customWidth="1"/>
    <col min="14599" max="14599" width="14.42578125" style="221" bestFit="1" customWidth="1"/>
    <col min="14600" max="14848" width="11.42578125" style="221"/>
    <col min="14849" max="14849" width="6.140625" style="221" customWidth="1"/>
    <col min="14850" max="14850" width="70.5703125" style="221" customWidth="1"/>
    <col min="14851" max="14851" width="7.140625" style="221" customWidth="1"/>
    <col min="14852" max="14852" width="7.42578125" style="221" customWidth="1"/>
    <col min="14853" max="14853" width="13.28515625" style="221" customWidth="1"/>
    <col min="14854" max="14854" width="16.140625" style="221" customWidth="1"/>
    <col min="14855" max="14855" width="14.42578125" style="221" bestFit="1" customWidth="1"/>
    <col min="14856" max="15104" width="11.42578125" style="221"/>
    <col min="15105" max="15105" width="6.140625" style="221" customWidth="1"/>
    <col min="15106" max="15106" width="70.5703125" style="221" customWidth="1"/>
    <col min="15107" max="15107" width="7.140625" style="221" customWidth="1"/>
    <col min="15108" max="15108" width="7.42578125" style="221" customWidth="1"/>
    <col min="15109" max="15109" width="13.28515625" style="221" customWidth="1"/>
    <col min="15110" max="15110" width="16.140625" style="221" customWidth="1"/>
    <col min="15111" max="15111" width="14.42578125" style="221" bestFit="1" customWidth="1"/>
    <col min="15112" max="15360" width="11.42578125" style="221"/>
    <col min="15361" max="15361" width="6.140625" style="221" customWidth="1"/>
    <col min="15362" max="15362" width="70.5703125" style="221" customWidth="1"/>
    <col min="15363" max="15363" width="7.140625" style="221" customWidth="1"/>
    <col min="15364" max="15364" width="7.42578125" style="221" customWidth="1"/>
    <col min="15365" max="15365" width="13.28515625" style="221" customWidth="1"/>
    <col min="15366" max="15366" width="16.140625" style="221" customWidth="1"/>
    <col min="15367" max="15367" width="14.42578125" style="221" bestFit="1" customWidth="1"/>
    <col min="15368" max="15616" width="11.42578125" style="221"/>
    <col min="15617" max="15617" width="6.140625" style="221" customWidth="1"/>
    <col min="15618" max="15618" width="70.5703125" style="221" customWidth="1"/>
    <col min="15619" max="15619" width="7.140625" style="221" customWidth="1"/>
    <col min="15620" max="15620" width="7.42578125" style="221" customWidth="1"/>
    <col min="15621" max="15621" width="13.28515625" style="221" customWidth="1"/>
    <col min="15622" max="15622" width="16.140625" style="221" customWidth="1"/>
    <col min="15623" max="15623" width="14.42578125" style="221" bestFit="1" customWidth="1"/>
    <col min="15624" max="15872" width="11.42578125" style="221"/>
    <col min="15873" max="15873" width="6.140625" style="221" customWidth="1"/>
    <col min="15874" max="15874" width="70.5703125" style="221" customWidth="1"/>
    <col min="15875" max="15875" width="7.140625" style="221" customWidth="1"/>
    <col min="15876" max="15876" width="7.42578125" style="221" customWidth="1"/>
    <col min="15877" max="15877" width="13.28515625" style="221" customWidth="1"/>
    <col min="15878" max="15878" width="16.140625" style="221" customWidth="1"/>
    <col min="15879" max="15879" width="14.42578125" style="221" bestFit="1" customWidth="1"/>
    <col min="15880" max="16128" width="11.42578125" style="221"/>
    <col min="16129" max="16129" width="6.140625" style="221" customWidth="1"/>
    <col min="16130" max="16130" width="70.5703125" style="221" customWidth="1"/>
    <col min="16131" max="16131" width="7.140625" style="221" customWidth="1"/>
    <col min="16132" max="16132" width="7.42578125" style="221" customWidth="1"/>
    <col min="16133" max="16133" width="13.28515625" style="221" customWidth="1"/>
    <col min="16134" max="16134" width="16.140625" style="221" customWidth="1"/>
    <col min="16135" max="16135" width="14.42578125" style="221" bestFit="1" customWidth="1"/>
    <col min="16136" max="16384" width="11.42578125" style="221"/>
  </cols>
  <sheetData>
    <row r="1" spans="1:6" ht="9.75" customHeight="1" thickBot="1" x14ac:dyDescent="0.25">
      <c r="A1" s="376"/>
      <c r="B1" s="1497"/>
      <c r="C1" s="1497"/>
      <c r="D1" s="1497"/>
      <c r="E1" s="1497"/>
      <c r="F1" s="1498"/>
    </row>
    <row r="2" spans="1:6" ht="24.95" customHeight="1" x14ac:dyDescent="0.2">
      <c r="A2" s="1499" t="s">
        <v>562</v>
      </c>
      <c r="B2" s="1500"/>
      <c r="C2" s="1500"/>
      <c r="D2" s="1500"/>
      <c r="E2" s="1500"/>
      <c r="F2" s="1501"/>
    </row>
    <row r="3" spans="1:6" ht="7.5" customHeight="1" thickBot="1" x14ac:dyDescent="0.25">
      <c r="A3" s="375"/>
      <c r="B3" s="374"/>
      <c r="C3" s="374"/>
      <c r="D3" s="374"/>
      <c r="E3" s="374"/>
      <c r="F3" s="373"/>
    </row>
    <row r="4" spans="1:6" s="263" customFormat="1" ht="20.100000000000001" customHeight="1" x14ac:dyDescent="0.2">
      <c r="A4" s="372" t="s">
        <v>561</v>
      </c>
      <c r="B4" s="372" t="s">
        <v>560</v>
      </c>
      <c r="C4" s="372" t="s">
        <v>456</v>
      </c>
      <c r="D4" s="371" t="s">
        <v>421</v>
      </c>
      <c r="E4" s="370" t="s">
        <v>420</v>
      </c>
      <c r="F4" s="370" t="s">
        <v>419</v>
      </c>
    </row>
    <row r="5" spans="1:6" ht="25.5" customHeight="1" x14ac:dyDescent="0.2">
      <c r="A5" s="364" t="s">
        <v>3</v>
      </c>
      <c r="B5" s="369" t="s">
        <v>559</v>
      </c>
      <c r="C5" s="363" t="s">
        <v>6</v>
      </c>
      <c r="D5" s="366">
        <v>110</v>
      </c>
      <c r="E5" s="339">
        <v>327</v>
      </c>
      <c r="F5" s="284">
        <f t="shared" ref="F5:F27" si="0">ROUND(D5*E5,0)</f>
        <v>35970</v>
      </c>
    </row>
    <row r="6" spans="1:6" ht="25.5" hidden="1" customHeight="1" x14ac:dyDescent="0.2">
      <c r="A6" s="364" t="s">
        <v>25</v>
      </c>
      <c r="B6" s="368" t="s">
        <v>558</v>
      </c>
      <c r="C6" s="363" t="s">
        <v>456</v>
      </c>
      <c r="D6" s="366"/>
      <c r="E6" s="365">
        <v>630363</v>
      </c>
      <c r="F6" s="284">
        <f t="shared" si="0"/>
        <v>0</v>
      </c>
    </row>
    <row r="7" spans="1:6" ht="25.5" hidden="1" customHeight="1" x14ac:dyDescent="0.2">
      <c r="A7" s="364" t="s">
        <v>557</v>
      </c>
      <c r="B7" s="368" t="s">
        <v>556</v>
      </c>
      <c r="C7" s="363" t="s">
        <v>456</v>
      </c>
      <c r="D7" s="366">
        <v>0</v>
      </c>
      <c r="E7" s="365">
        <v>833943</v>
      </c>
      <c r="F7" s="284">
        <f t="shared" si="0"/>
        <v>0</v>
      </c>
    </row>
    <row r="8" spans="1:6" ht="25.5" hidden="1" customHeight="1" x14ac:dyDescent="0.2">
      <c r="A8" s="364" t="s">
        <v>26</v>
      </c>
      <c r="B8" s="368" t="s">
        <v>555</v>
      </c>
      <c r="C8" s="363" t="s">
        <v>456</v>
      </c>
      <c r="D8" s="366">
        <v>0</v>
      </c>
      <c r="E8" s="365">
        <v>735923</v>
      </c>
      <c r="F8" s="284">
        <f t="shared" si="0"/>
        <v>0</v>
      </c>
    </row>
    <row r="9" spans="1:6" ht="25.5" hidden="1" customHeight="1" x14ac:dyDescent="0.2">
      <c r="A9" s="364" t="s">
        <v>554</v>
      </c>
      <c r="B9" s="288" t="s">
        <v>553</v>
      </c>
      <c r="C9" s="363" t="s">
        <v>456</v>
      </c>
      <c r="D9" s="366">
        <v>0</v>
      </c>
      <c r="E9" s="365">
        <v>981727</v>
      </c>
      <c r="F9" s="284">
        <f t="shared" si="0"/>
        <v>0</v>
      </c>
    </row>
    <row r="10" spans="1:6" ht="25.5" hidden="1" customHeight="1" x14ac:dyDescent="0.2">
      <c r="A10" s="364" t="s">
        <v>28</v>
      </c>
      <c r="B10" s="288" t="s">
        <v>552</v>
      </c>
      <c r="C10" s="363" t="s">
        <v>456</v>
      </c>
      <c r="D10" s="366"/>
      <c r="E10" s="284">
        <v>978711</v>
      </c>
      <c r="F10" s="284">
        <f t="shared" si="0"/>
        <v>0</v>
      </c>
    </row>
    <row r="11" spans="1:6" ht="25.5" customHeight="1" x14ac:dyDescent="0.2">
      <c r="A11" s="364" t="s">
        <v>29</v>
      </c>
      <c r="B11" s="288" t="s">
        <v>551</v>
      </c>
      <c r="C11" s="363" t="s">
        <v>12</v>
      </c>
      <c r="D11" s="367">
        <v>1</v>
      </c>
      <c r="E11" s="365">
        <v>20000</v>
      </c>
      <c r="F11" s="284">
        <f t="shared" si="0"/>
        <v>20000</v>
      </c>
    </row>
    <row r="12" spans="1:6" ht="25.5" hidden="1" customHeight="1" x14ac:dyDescent="0.2">
      <c r="A12" s="364" t="s">
        <v>30</v>
      </c>
      <c r="B12" s="288" t="s">
        <v>550</v>
      </c>
      <c r="C12" s="363" t="s">
        <v>456</v>
      </c>
      <c r="D12" s="366">
        <v>0</v>
      </c>
      <c r="E12" s="365">
        <v>178086</v>
      </c>
      <c r="F12" s="284">
        <f t="shared" si="0"/>
        <v>0</v>
      </c>
    </row>
    <row r="13" spans="1:6" ht="25.5" hidden="1" customHeight="1" x14ac:dyDescent="0.2">
      <c r="A13" s="364" t="s">
        <v>549</v>
      </c>
      <c r="B13" s="288" t="s">
        <v>548</v>
      </c>
      <c r="C13" s="363" t="s">
        <v>456</v>
      </c>
      <c r="D13" s="366">
        <v>0</v>
      </c>
      <c r="E13" s="365">
        <v>268086</v>
      </c>
      <c r="F13" s="284">
        <f t="shared" si="0"/>
        <v>0</v>
      </c>
    </row>
    <row r="14" spans="1:6" ht="25.5" hidden="1" customHeight="1" x14ac:dyDescent="0.2">
      <c r="A14" s="364" t="s">
        <v>31</v>
      </c>
      <c r="B14" s="288" t="s">
        <v>547</v>
      </c>
      <c r="C14" s="363" t="s">
        <v>456</v>
      </c>
      <c r="D14" s="366">
        <v>0</v>
      </c>
      <c r="E14" s="284">
        <v>1228285</v>
      </c>
      <c r="F14" s="284">
        <f t="shared" si="0"/>
        <v>0</v>
      </c>
    </row>
    <row r="15" spans="1:6" ht="25.5" hidden="1" customHeight="1" x14ac:dyDescent="0.2">
      <c r="A15" s="364" t="s">
        <v>546</v>
      </c>
      <c r="B15" s="288" t="s">
        <v>545</v>
      </c>
      <c r="C15" s="363" t="s">
        <v>456</v>
      </c>
      <c r="D15" s="366"/>
      <c r="E15" s="284">
        <v>1541195</v>
      </c>
      <c r="F15" s="284">
        <f t="shared" si="0"/>
        <v>0</v>
      </c>
    </row>
    <row r="16" spans="1:6" ht="25.5" hidden="1" customHeight="1" x14ac:dyDescent="0.2">
      <c r="A16" s="364" t="s">
        <v>544</v>
      </c>
      <c r="B16" s="288" t="s">
        <v>543</v>
      </c>
      <c r="C16" s="363" t="s">
        <v>456</v>
      </c>
      <c r="D16" s="366">
        <v>0</v>
      </c>
      <c r="E16" s="284">
        <v>1078239</v>
      </c>
      <c r="F16" s="284">
        <f t="shared" si="0"/>
        <v>0</v>
      </c>
    </row>
    <row r="17" spans="1:7" ht="25.5" hidden="1" customHeight="1" x14ac:dyDescent="0.2">
      <c r="A17" s="364" t="s">
        <v>32</v>
      </c>
      <c r="B17" s="288" t="s">
        <v>542</v>
      </c>
      <c r="C17" s="363" t="s">
        <v>456</v>
      </c>
      <c r="D17" s="366">
        <v>0</v>
      </c>
      <c r="E17" s="365">
        <v>220900</v>
      </c>
      <c r="F17" s="284">
        <f t="shared" si="0"/>
        <v>0</v>
      </c>
    </row>
    <row r="18" spans="1:7" ht="25.5" hidden="1" customHeight="1" x14ac:dyDescent="0.2">
      <c r="A18" s="364" t="s">
        <v>541</v>
      </c>
      <c r="B18" s="288" t="s">
        <v>540</v>
      </c>
      <c r="C18" s="363" t="s">
        <v>456</v>
      </c>
      <c r="D18" s="366">
        <v>0</v>
      </c>
      <c r="E18" s="365">
        <v>184440</v>
      </c>
      <c r="F18" s="284">
        <f t="shared" si="0"/>
        <v>0</v>
      </c>
    </row>
    <row r="19" spans="1:7" ht="38.25" x14ac:dyDescent="0.2">
      <c r="A19" s="364" t="s">
        <v>539</v>
      </c>
      <c r="B19" s="288" t="s">
        <v>538</v>
      </c>
      <c r="C19" s="363" t="s">
        <v>456</v>
      </c>
      <c r="D19" s="366">
        <v>4</v>
      </c>
      <c r="E19" s="284">
        <v>228439</v>
      </c>
      <c r="F19" s="284">
        <f t="shared" si="0"/>
        <v>913756</v>
      </c>
    </row>
    <row r="20" spans="1:7" ht="25.5" hidden="1" customHeight="1" x14ac:dyDescent="0.2">
      <c r="A20" s="364" t="s">
        <v>537</v>
      </c>
      <c r="B20" s="288" t="s">
        <v>536</v>
      </c>
      <c r="C20" s="363" t="s">
        <v>456</v>
      </c>
      <c r="D20" s="366">
        <v>0</v>
      </c>
      <c r="E20" s="365">
        <v>355291</v>
      </c>
      <c r="F20" s="284">
        <f t="shared" si="0"/>
        <v>0</v>
      </c>
    </row>
    <row r="21" spans="1:7" ht="25.5" hidden="1" customHeight="1" x14ac:dyDescent="0.2">
      <c r="A21" s="364" t="s">
        <v>535</v>
      </c>
      <c r="B21" s="288" t="s">
        <v>534</v>
      </c>
      <c r="C21" s="363" t="s">
        <v>456</v>
      </c>
      <c r="D21" s="366">
        <v>0</v>
      </c>
      <c r="E21" s="365">
        <v>336295</v>
      </c>
      <c r="F21" s="284">
        <f t="shared" si="0"/>
        <v>0</v>
      </c>
    </row>
    <row r="22" spans="1:7" ht="25.5" customHeight="1" x14ac:dyDescent="0.2">
      <c r="A22" s="364" t="s">
        <v>533</v>
      </c>
      <c r="B22" s="288" t="s">
        <v>532</v>
      </c>
      <c r="C22" s="363" t="s">
        <v>456</v>
      </c>
      <c r="D22" s="366">
        <v>2</v>
      </c>
      <c r="E22" s="284">
        <v>454009</v>
      </c>
      <c r="F22" s="284">
        <f t="shared" si="0"/>
        <v>908018</v>
      </c>
    </row>
    <row r="23" spans="1:7" ht="25.5" hidden="1" customHeight="1" x14ac:dyDescent="0.2">
      <c r="A23" s="364" t="s">
        <v>531</v>
      </c>
      <c r="B23" s="288" t="s">
        <v>530</v>
      </c>
      <c r="C23" s="363" t="s">
        <v>456</v>
      </c>
      <c r="D23" s="366">
        <v>0</v>
      </c>
      <c r="E23" s="365">
        <v>115697</v>
      </c>
      <c r="F23" s="284">
        <f t="shared" si="0"/>
        <v>0</v>
      </c>
    </row>
    <row r="24" spans="1:7" ht="25.5" hidden="1" customHeight="1" x14ac:dyDescent="0.2">
      <c r="A24" s="364" t="s">
        <v>529</v>
      </c>
      <c r="B24" s="288" t="s">
        <v>528</v>
      </c>
      <c r="C24" s="363" t="s">
        <v>6</v>
      </c>
      <c r="D24" s="366">
        <v>0</v>
      </c>
      <c r="E24" s="365">
        <v>114427</v>
      </c>
      <c r="F24" s="284">
        <f t="shared" si="0"/>
        <v>0</v>
      </c>
    </row>
    <row r="25" spans="1:7" ht="25.5" customHeight="1" x14ac:dyDescent="0.2">
      <c r="A25" s="364" t="s">
        <v>527</v>
      </c>
      <c r="B25" s="288" t="s">
        <v>526</v>
      </c>
      <c r="C25" s="363" t="s">
        <v>12</v>
      </c>
      <c r="D25" s="366">
        <v>60</v>
      </c>
      <c r="E25" s="284">
        <v>30150</v>
      </c>
      <c r="F25" s="284">
        <f t="shared" si="0"/>
        <v>1809000</v>
      </c>
    </row>
    <row r="26" spans="1:7" ht="38.25" x14ac:dyDescent="0.2">
      <c r="A26" s="364" t="s">
        <v>33</v>
      </c>
      <c r="B26" s="288" t="s">
        <v>525</v>
      </c>
      <c r="C26" s="363" t="s">
        <v>6</v>
      </c>
      <c r="D26" s="366">
        <v>60</v>
      </c>
      <c r="E26" s="365">
        <v>33466</v>
      </c>
      <c r="F26" s="284">
        <f t="shared" si="0"/>
        <v>2007960</v>
      </c>
    </row>
    <row r="27" spans="1:7" ht="26.25" thickBot="1" x14ac:dyDescent="0.25">
      <c r="A27" s="364" t="s">
        <v>34</v>
      </c>
      <c r="B27" s="343" t="s">
        <v>524</v>
      </c>
      <c r="C27" s="363" t="s">
        <v>6</v>
      </c>
      <c r="D27" s="362">
        <v>160</v>
      </c>
      <c r="E27" s="361">
        <v>36689</v>
      </c>
      <c r="F27" s="361">
        <f t="shared" si="0"/>
        <v>5870240</v>
      </c>
    </row>
    <row r="28" spans="1:7" ht="20.100000000000001" customHeight="1" thickBot="1" x14ac:dyDescent="0.25">
      <c r="A28" s="360"/>
      <c r="B28" s="1502" t="s">
        <v>523</v>
      </c>
      <c r="C28" s="1502"/>
      <c r="D28" s="1502"/>
      <c r="E28" s="1503"/>
      <c r="F28" s="359">
        <f>SUM(F5:F27)</f>
        <v>11564944</v>
      </c>
    </row>
    <row r="29" spans="1:7" ht="9.75" customHeight="1" thickBot="1" x14ac:dyDescent="0.25">
      <c r="A29" s="358"/>
      <c r="B29" s="357"/>
      <c r="C29" s="357"/>
      <c r="D29" s="357"/>
      <c r="E29" s="357"/>
      <c r="F29" s="276"/>
    </row>
    <row r="30" spans="1:7" s="269" customFormat="1" ht="20.100000000000001" customHeight="1" thickBot="1" x14ac:dyDescent="0.25">
      <c r="A30" s="356" t="s">
        <v>522</v>
      </c>
      <c r="B30" s="355" t="s">
        <v>521</v>
      </c>
      <c r="C30" s="354" t="s">
        <v>2</v>
      </c>
      <c r="D30" s="354" t="s">
        <v>421</v>
      </c>
      <c r="E30" s="353" t="s">
        <v>420</v>
      </c>
      <c r="F30" s="352" t="s">
        <v>419</v>
      </c>
    </row>
    <row r="31" spans="1:7" s="269" customFormat="1" ht="39.75" hidden="1" customHeight="1" x14ac:dyDescent="0.2">
      <c r="A31" s="338">
        <v>2.1</v>
      </c>
      <c r="B31" s="351" t="s">
        <v>520</v>
      </c>
      <c r="C31" s="338" t="s">
        <v>2</v>
      </c>
      <c r="D31" s="350"/>
      <c r="E31" s="349">
        <v>40502</v>
      </c>
      <c r="F31" s="348">
        <f t="shared" ref="F31:F57" si="1">ROUND(D31*E31,0)</f>
        <v>0</v>
      </c>
    </row>
    <row r="32" spans="1:7" s="269" customFormat="1" ht="37.5" hidden="1" customHeight="1" x14ac:dyDescent="0.2">
      <c r="A32" s="324" t="s">
        <v>519</v>
      </c>
      <c r="B32" s="326" t="s">
        <v>518</v>
      </c>
      <c r="C32" s="324" t="s">
        <v>2</v>
      </c>
      <c r="D32" s="345">
        <v>0</v>
      </c>
      <c r="E32" s="322">
        <v>88893</v>
      </c>
      <c r="F32" s="328">
        <f t="shared" si="1"/>
        <v>0</v>
      </c>
      <c r="G32" s="346"/>
    </row>
    <row r="33" spans="1:7" s="269" customFormat="1" ht="37.5" hidden="1" customHeight="1" x14ac:dyDescent="0.2">
      <c r="A33" s="324" t="s">
        <v>517</v>
      </c>
      <c r="B33" s="347" t="s">
        <v>516</v>
      </c>
      <c r="C33" s="324" t="s">
        <v>2</v>
      </c>
      <c r="D33" s="345">
        <v>0</v>
      </c>
      <c r="E33" s="322">
        <v>52499</v>
      </c>
      <c r="F33" s="328">
        <f t="shared" si="1"/>
        <v>0</v>
      </c>
      <c r="G33" s="346"/>
    </row>
    <row r="34" spans="1:7" s="269" customFormat="1" ht="37.5" hidden="1" customHeight="1" x14ac:dyDescent="0.2">
      <c r="A34" s="327">
        <v>2.2000000000000002</v>
      </c>
      <c r="B34" s="326" t="s">
        <v>515</v>
      </c>
      <c r="C34" s="327" t="s">
        <v>2</v>
      </c>
      <c r="D34" s="345">
        <v>0</v>
      </c>
      <c r="E34" s="344">
        <v>117539</v>
      </c>
      <c r="F34" s="284">
        <f t="shared" si="1"/>
        <v>0</v>
      </c>
      <c r="G34" s="346"/>
    </row>
    <row r="35" spans="1:7" s="269" customFormat="1" ht="37.5" hidden="1" customHeight="1" x14ac:dyDescent="0.2">
      <c r="A35" s="324">
        <v>2.2999999999999998</v>
      </c>
      <c r="B35" s="288" t="s">
        <v>514</v>
      </c>
      <c r="C35" s="341" t="s">
        <v>2</v>
      </c>
      <c r="D35" s="345">
        <v>0</v>
      </c>
      <c r="E35" s="339">
        <v>64882</v>
      </c>
      <c r="F35" s="284">
        <f t="shared" si="1"/>
        <v>0</v>
      </c>
      <c r="G35" s="346"/>
    </row>
    <row r="36" spans="1:7" s="269" customFormat="1" ht="37.5" hidden="1" customHeight="1" x14ac:dyDescent="0.2">
      <c r="A36" s="324" t="s">
        <v>513</v>
      </c>
      <c r="B36" s="288" t="s">
        <v>512</v>
      </c>
      <c r="C36" s="341" t="s">
        <v>2</v>
      </c>
      <c r="D36" s="345"/>
      <c r="E36" s="339">
        <v>56540</v>
      </c>
      <c r="F36" s="284">
        <f t="shared" si="1"/>
        <v>0</v>
      </c>
      <c r="G36" s="346"/>
    </row>
    <row r="37" spans="1:7" s="269" customFormat="1" ht="51" hidden="1" x14ac:dyDescent="0.2">
      <c r="A37" s="327">
        <v>2.4</v>
      </c>
      <c r="B37" s="288" t="s">
        <v>511</v>
      </c>
      <c r="C37" s="327" t="s">
        <v>2</v>
      </c>
      <c r="D37" s="345">
        <v>0</v>
      </c>
      <c r="E37" s="339">
        <v>181530</v>
      </c>
      <c r="F37" s="284">
        <f t="shared" si="1"/>
        <v>0</v>
      </c>
    </row>
    <row r="38" spans="1:7" ht="37.5" customHeight="1" x14ac:dyDescent="0.2">
      <c r="A38" s="324">
        <v>2.5</v>
      </c>
      <c r="B38" s="326" t="s">
        <v>510</v>
      </c>
      <c r="C38" s="327" t="s">
        <v>2</v>
      </c>
      <c r="D38" s="345">
        <v>220</v>
      </c>
      <c r="E38" s="344">
        <v>12650</v>
      </c>
      <c r="F38" s="284">
        <f t="shared" si="1"/>
        <v>2783000</v>
      </c>
    </row>
    <row r="39" spans="1:7" ht="179.25" hidden="1" thickBot="1" x14ac:dyDescent="0.25">
      <c r="A39" s="327">
        <v>2.6</v>
      </c>
      <c r="B39" s="343" t="s">
        <v>509</v>
      </c>
      <c r="C39" s="341" t="s">
        <v>2</v>
      </c>
      <c r="D39" s="340">
        <v>0</v>
      </c>
      <c r="E39" s="339">
        <v>559654</v>
      </c>
      <c r="F39" s="284">
        <f t="shared" si="1"/>
        <v>0</v>
      </c>
    </row>
    <row r="40" spans="1:7" ht="178.5" hidden="1" x14ac:dyDescent="0.2">
      <c r="A40" s="324" t="s">
        <v>508</v>
      </c>
      <c r="B40" s="336" t="s">
        <v>507</v>
      </c>
      <c r="C40" s="330" t="s">
        <v>2</v>
      </c>
      <c r="D40" s="333">
        <v>0</v>
      </c>
      <c r="E40" s="332">
        <v>1028562</v>
      </c>
      <c r="F40" s="328">
        <f t="shared" si="1"/>
        <v>0</v>
      </c>
    </row>
    <row r="41" spans="1:7" ht="179.25" hidden="1" thickBot="1" x14ac:dyDescent="0.25">
      <c r="A41" s="342" t="s">
        <v>506</v>
      </c>
      <c r="B41" s="288" t="s">
        <v>505</v>
      </c>
      <c r="C41" s="341" t="s">
        <v>2</v>
      </c>
      <c r="D41" s="340">
        <v>0</v>
      </c>
      <c r="E41" s="339">
        <v>529156</v>
      </c>
      <c r="F41" s="284">
        <f t="shared" si="1"/>
        <v>0</v>
      </c>
    </row>
    <row r="42" spans="1:7" ht="178.5" hidden="1" x14ac:dyDescent="0.2">
      <c r="A42" s="338" t="s">
        <v>71</v>
      </c>
      <c r="B42" s="331" t="s">
        <v>504</v>
      </c>
      <c r="C42" s="330" t="s">
        <v>2</v>
      </c>
      <c r="D42" s="323"/>
      <c r="E42" s="332">
        <v>562938</v>
      </c>
      <c r="F42" s="328">
        <f t="shared" si="1"/>
        <v>0</v>
      </c>
    </row>
    <row r="43" spans="1:7" ht="127.5" hidden="1" x14ac:dyDescent="0.2">
      <c r="A43" s="324" t="s">
        <v>503</v>
      </c>
      <c r="B43" s="331" t="s">
        <v>502</v>
      </c>
      <c r="C43" s="337" t="s">
        <v>2</v>
      </c>
      <c r="D43" s="323"/>
      <c r="E43" s="332">
        <v>3905784</v>
      </c>
      <c r="F43" s="328">
        <f t="shared" si="1"/>
        <v>0</v>
      </c>
    </row>
    <row r="44" spans="1:7" ht="127.5" hidden="1" x14ac:dyDescent="0.2">
      <c r="A44" s="324" t="s">
        <v>501</v>
      </c>
      <c r="B44" s="331" t="s">
        <v>500</v>
      </c>
      <c r="C44" s="337" t="s">
        <v>2</v>
      </c>
      <c r="D44" s="323"/>
      <c r="E44" s="332">
        <v>2814072</v>
      </c>
      <c r="F44" s="328">
        <f t="shared" si="1"/>
        <v>0</v>
      </c>
    </row>
    <row r="45" spans="1:7" ht="128.25" thickBot="1" x14ac:dyDescent="0.25">
      <c r="A45" s="324" t="s">
        <v>499</v>
      </c>
      <c r="B45" s="288" t="s">
        <v>498</v>
      </c>
      <c r="C45" s="337" t="s">
        <v>2</v>
      </c>
      <c r="D45" s="323">
        <v>16</v>
      </c>
      <c r="E45" s="332">
        <v>1352792</v>
      </c>
      <c r="F45" s="328">
        <f t="shared" si="1"/>
        <v>21644672</v>
      </c>
    </row>
    <row r="46" spans="1:7" ht="153.75" hidden="1" thickBot="1" x14ac:dyDescent="0.25">
      <c r="A46" s="324" t="s">
        <v>497</v>
      </c>
      <c r="B46" s="336" t="s">
        <v>496</v>
      </c>
      <c r="C46" s="330" t="s">
        <v>2</v>
      </c>
      <c r="D46" s="333">
        <v>0</v>
      </c>
      <c r="E46" s="332">
        <v>848890</v>
      </c>
      <c r="F46" s="328">
        <f t="shared" si="1"/>
        <v>0</v>
      </c>
    </row>
    <row r="47" spans="1:7" ht="153.75" hidden="1" thickBot="1" x14ac:dyDescent="0.25">
      <c r="A47" s="324" t="s">
        <v>495</v>
      </c>
      <c r="B47" s="336" t="s">
        <v>494</v>
      </c>
      <c r="C47" s="330" t="s">
        <v>2</v>
      </c>
      <c r="D47" s="333">
        <v>0</v>
      </c>
      <c r="E47" s="332">
        <v>1615268</v>
      </c>
      <c r="F47" s="328">
        <f t="shared" si="1"/>
        <v>0</v>
      </c>
    </row>
    <row r="48" spans="1:7" ht="141" hidden="1" thickBot="1" x14ac:dyDescent="0.25">
      <c r="A48" s="324" t="s">
        <v>493</v>
      </c>
      <c r="B48" s="288" t="s">
        <v>492</v>
      </c>
      <c r="C48" s="330" t="s">
        <v>2</v>
      </c>
      <c r="D48" s="333">
        <v>0</v>
      </c>
      <c r="E48" s="332">
        <v>1206275</v>
      </c>
      <c r="F48" s="328">
        <f t="shared" si="1"/>
        <v>0</v>
      </c>
    </row>
    <row r="49" spans="1:6" ht="141" hidden="1" thickBot="1" x14ac:dyDescent="0.25">
      <c r="A49" s="324" t="s">
        <v>491</v>
      </c>
      <c r="B49" s="331" t="s">
        <v>490</v>
      </c>
      <c r="C49" s="330" t="s">
        <v>2</v>
      </c>
      <c r="D49" s="333">
        <v>0</v>
      </c>
      <c r="E49" s="332">
        <v>1043376</v>
      </c>
      <c r="F49" s="328">
        <f t="shared" si="1"/>
        <v>0</v>
      </c>
    </row>
    <row r="50" spans="1:6" ht="153.75" hidden="1" thickBot="1" x14ac:dyDescent="0.25">
      <c r="A50" s="324" t="s">
        <v>489</v>
      </c>
      <c r="B50" s="331" t="s">
        <v>488</v>
      </c>
      <c r="C50" s="330" t="s">
        <v>2</v>
      </c>
      <c r="D50" s="333">
        <v>0</v>
      </c>
      <c r="E50" s="332">
        <v>1253348</v>
      </c>
      <c r="F50" s="328">
        <f t="shared" si="1"/>
        <v>0</v>
      </c>
    </row>
    <row r="51" spans="1:6" ht="204.75" hidden="1" thickBot="1" x14ac:dyDescent="0.25">
      <c r="A51" s="324" t="s">
        <v>487</v>
      </c>
      <c r="B51" s="293" t="s">
        <v>486</v>
      </c>
      <c r="C51" s="330" t="s">
        <v>2</v>
      </c>
      <c r="D51" s="333">
        <v>0</v>
      </c>
      <c r="E51" s="332">
        <v>962937</v>
      </c>
      <c r="F51" s="328">
        <f t="shared" si="1"/>
        <v>0</v>
      </c>
    </row>
    <row r="52" spans="1:6" ht="217.5" hidden="1" thickBot="1" x14ac:dyDescent="0.25">
      <c r="A52" s="324" t="s">
        <v>485</v>
      </c>
      <c r="B52" s="335" t="s">
        <v>484</v>
      </c>
      <c r="C52" s="330" t="s">
        <v>2</v>
      </c>
      <c r="D52" s="333">
        <v>0</v>
      </c>
      <c r="E52" s="332">
        <v>1184562</v>
      </c>
      <c r="F52" s="328">
        <f t="shared" si="1"/>
        <v>0</v>
      </c>
    </row>
    <row r="53" spans="1:6" ht="204.75" hidden="1" thickBot="1" x14ac:dyDescent="0.25">
      <c r="A53" s="324" t="s">
        <v>483</v>
      </c>
      <c r="B53" s="334" t="s">
        <v>482</v>
      </c>
      <c r="C53" s="330" t="s">
        <v>2</v>
      </c>
      <c r="D53" s="333">
        <v>0</v>
      </c>
      <c r="E53" s="332">
        <v>1819741</v>
      </c>
      <c r="F53" s="328">
        <f t="shared" si="1"/>
        <v>0</v>
      </c>
    </row>
    <row r="54" spans="1:6" ht="46.5" hidden="1" customHeight="1" x14ac:dyDescent="0.2">
      <c r="A54" s="324" t="s">
        <v>72</v>
      </c>
      <c r="B54" s="331" t="s">
        <v>481</v>
      </c>
      <c r="C54" s="330" t="s">
        <v>2</v>
      </c>
      <c r="D54" s="323"/>
      <c r="E54" s="329">
        <v>168021</v>
      </c>
      <c r="F54" s="328">
        <f t="shared" si="1"/>
        <v>0</v>
      </c>
    </row>
    <row r="55" spans="1:6" s="269" customFormat="1" ht="51.75" hidden="1" thickBot="1" x14ac:dyDescent="0.25">
      <c r="A55" s="327" t="s">
        <v>73</v>
      </c>
      <c r="B55" s="326" t="s">
        <v>479</v>
      </c>
      <c r="C55" s="324" t="s">
        <v>2</v>
      </c>
      <c r="D55" s="323">
        <v>0</v>
      </c>
      <c r="E55" s="322">
        <v>99633</v>
      </c>
      <c r="F55" s="284">
        <f t="shared" si="1"/>
        <v>0</v>
      </c>
    </row>
    <row r="56" spans="1:6" s="269" customFormat="1" ht="51.75" hidden="1" thickBot="1" x14ac:dyDescent="0.25">
      <c r="A56" s="327" t="s">
        <v>480</v>
      </c>
      <c r="B56" s="326" t="s">
        <v>479</v>
      </c>
      <c r="C56" s="324" t="s">
        <v>2</v>
      </c>
      <c r="D56" s="323"/>
      <c r="E56" s="322">
        <v>101893</v>
      </c>
      <c r="F56" s="284">
        <f t="shared" si="1"/>
        <v>0</v>
      </c>
    </row>
    <row r="57" spans="1:6" s="269" customFormat="1" ht="51.75" hidden="1" thickBot="1" x14ac:dyDescent="0.25">
      <c r="A57" s="229" t="s">
        <v>478</v>
      </c>
      <c r="B57" s="325" t="s">
        <v>477</v>
      </c>
      <c r="C57" s="324" t="s">
        <v>2</v>
      </c>
      <c r="D57" s="323">
        <v>0</v>
      </c>
      <c r="E57" s="322">
        <v>280684</v>
      </c>
      <c r="F57" s="284">
        <f t="shared" si="1"/>
        <v>0</v>
      </c>
    </row>
    <row r="58" spans="1:6" ht="20.100000000000001" customHeight="1" thickBot="1" x14ac:dyDescent="0.25">
      <c r="A58" s="1504" t="s">
        <v>476</v>
      </c>
      <c r="B58" s="1502"/>
      <c r="C58" s="1502"/>
      <c r="D58" s="1502"/>
      <c r="E58" s="1505"/>
      <c r="F58" s="321">
        <f>ROUND(SUM(F31:F57),0)</f>
        <v>24427672</v>
      </c>
    </row>
    <row r="59" spans="1:6" s="269" customFormat="1" ht="9" customHeight="1" thickBot="1" x14ac:dyDescent="0.25">
      <c r="A59" s="232"/>
      <c r="B59" s="275"/>
      <c r="C59" s="275"/>
      <c r="D59" s="275"/>
      <c r="E59" s="275"/>
      <c r="F59" s="274"/>
    </row>
    <row r="60" spans="1:6" s="263" customFormat="1" ht="20.100000000000001" hidden="1" customHeight="1" thickBot="1" x14ac:dyDescent="0.25">
      <c r="A60" s="266" t="s">
        <v>475</v>
      </c>
      <c r="B60" s="266" t="s">
        <v>474</v>
      </c>
      <c r="C60" s="266" t="s">
        <v>456</v>
      </c>
      <c r="D60" s="266" t="s">
        <v>421</v>
      </c>
      <c r="E60" s="301" t="s">
        <v>420</v>
      </c>
      <c r="F60" s="265" t="s">
        <v>419</v>
      </c>
    </row>
    <row r="61" spans="1:6" s="306" customFormat="1" ht="25.5" hidden="1" customHeight="1" x14ac:dyDescent="0.2">
      <c r="A61" s="320" t="s">
        <v>75</v>
      </c>
      <c r="B61" s="317" t="s">
        <v>473</v>
      </c>
      <c r="C61" s="316" t="s">
        <v>2</v>
      </c>
      <c r="D61" s="315">
        <v>0</v>
      </c>
      <c r="E61" s="314">
        <v>1003121</v>
      </c>
      <c r="F61" s="319">
        <f t="shared" ref="F61:F70" si="2">ROUND(E61*D61,0)</f>
        <v>0</v>
      </c>
    </row>
    <row r="62" spans="1:6" s="306" customFormat="1" ht="25.5" hidden="1" customHeight="1" x14ac:dyDescent="0.2">
      <c r="A62" s="318" t="s">
        <v>472</v>
      </c>
      <c r="B62" s="317" t="s">
        <v>471</v>
      </c>
      <c r="C62" s="316" t="s">
        <v>2</v>
      </c>
      <c r="D62" s="315">
        <v>0</v>
      </c>
      <c r="E62" s="314">
        <v>694604</v>
      </c>
      <c r="F62" s="313">
        <f t="shared" si="2"/>
        <v>0</v>
      </c>
    </row>
    <row r="63" spans="1:6" s="306" customFormat="1" ht="25.5" hidden="1" customHeight="1" x14ac:dyDescent="0.2">
      <c r="A63" s="318" t="s">
        <v>470</v>
      </c>
      <c r="B63" s="317" t="s">
        <v>469</v>
      </c>
      <c r="C63" s="316" t="s">
        <v>2</v>
      </c>
      <c r="D63" s="315">
        <v>0</v>
      </c>
      <c r="E63" s="314">
        <v>484969</v>
      </c>
      <c r="F63" s="313">
        <f t="shared" si="2"/>
        <v>0</v>
      </c>
    </row>
    <row r="64" spans="1:6" s="306" customFormat="1" ht="25.5" hidden="1" customHeight="1" x14ac:dyDescent="0.2">
      <c r="A64" s="318" t="s">
        <v>468</v>
      </c>
      <c r="B64" s="317" t="s">
        <v>467</v>
      </c>
      <c r="C64" s="316" t="s">
        <v>2</v>
      </c>
      <c r="D64" s="315">
        <v>0</v>
      </c>
      <c r="E64" s="314">
        <v>1123340</v>
      </c>
      <c r="F64" s="313">
        <f t="shared" si="2"/>
        <v>0</v>
      </c>
    </row>
    <row r="65" spans="1:7" s="306" customFormat="1" ht="25.5" hidden="1" customHeight="1" x14ac:dyDescent="0.2">
      <c r="A65" s="318" t="s">
        <v>466</v>
      </c>
      <c r="B65" s="317" t="s">
        <v>465</v>
      </c>
      <c r="C65" s="316" t="s">
        <v>2</v>
      </c>
      <c r="D65" s="315">
        <v>0</v>
      </c>
      <c r="E65" s="314">
        <v>497436</v>
      </c>
      <c r="F65" s="313">
        <f t="shared" si="2"/>
        <v>0</v>
      </c>
    </row>
    <row r="66" spans="1:7" s="306" customFormat="1" ht="30" hidden="1" customHeight="1" x14ac:dyDescent="0.2">
      <c r="A66" s="312" t="s">
        <v>76</v>
      </c>
      <c r="B66" s="311" t="s">
        <v>464</v>
      </c>
      <c r="C66" s="310" t="s">
        <v>6</v>
      </c>
      <c r="D66" s="309">
        <v>0</v>
      </c>
      <c r="E66" s="308">
        <v>6100</v>
      </c>
      <c r="F66" s="307">
        <f t="shared" si="2"/>
        <v>0</v>
      </c>
    </row>
    <row r="67" spans="1:7" s="306" customFormat="1" ht="30" hidden="1" customHeight="1" x14ac:dyDescent="0.2">
      <c r="A67" s="312" t="s">
        <v>77</v>
      </c>
      <c r="B67" s="311" t="s">
        <v>463</v>
      </c>
      <c r="C67" s="310" t="s">
        <v>2</v>
      </c>
      <c r="D67" s="309">
        <v>0</v>
      </c>
      <c r="E67" s="308">
        <v>4370364</v>
      </c>
      <c r="F67" s="307">
        <f t="shared" si="2"/>
        <v>0</v>
      </c>
    </row>
    <row r="68" spans="1:7" s="306" customFormat="1" ht="30" hidden="1" customHeight="1" x14ac:dyDescent="0.2">
      <c r="A68" s="312" t="s">
        <v>462</v>
      </c>
      <c r="B68" s="311" t="s">
        <v>461</v>
      </c>
      <c r="C68" s="310" t="s">
        <v>2</v>
      </c>
      <c r="D68" s="309">
        <v>0</v>
      </c>
      <c r="E68" s="308">
        <v>4979222</v>
      </c>
      <c r="F68" s="307">
        <f t="shared" si="2"/>
        <v>0</v>
      </c>
    </row>
    <row r="69" spans="1:7" s="306" customFormat="1" ht="25.5" hidden="1" customHeight="1" x14ac:dyDescent="0.2">
      <c r="A69" s="312" t="s">
        <v>78</v>
      </c>
      <c r="B69" s="311" t="s">
        <v>460</v>
      </c>
      <c r="C69" s="310" t="s">
        <v>2</v>
      </c>
      <c r="D69" s="309">
        <v>0</v>
      </c>
      <c r="E69" s="308">
        <v>780801</v>
      </c>
      <c r="F69" s="307">
        <f t="shared" si="2"/>
        <v>0</v>
      </c>
    </row>
    <row r="70" spans="1:7" ht="25.5" hidden="1" customHeight="1" thickBot="1" x14ac:dyDescent="0.25">
      <c r="A70" s="283" t="s">
        <v>79</v>
      </c>
      <c r="B70" s="305" t="s">
        <v>459</v>
      </c>
      <c r="C70" s="304" t="s">
        <v>2</v>
      </c>
      <c r="D70" s="303"/>
      <c r="E70" s="258">
        <v>60413</v>
      </c>
      <c r="F70" s="278">
        <f t="shared" si="2"/>
        <v>0</v>
      </c>
    </row>
    <row r="71" spans="1:7" ht="20.100000000000001" hidden="1" customHeight="1" thickBot="1" x14ac:dyDescent="0.25">
      <c r="A71" s="1504" t="s">
        <v>425</v>
      </c>
      <c r="B71" s="1502"/>
      <c r="C71" s="1502"/>
      <c r="D71" s="1502"/>
      <c r="E71" s="1505"/>
      <c r="F71" s="302">
        <f>ROUND(SUM(F61:F70),0)</f>
        <v>0</v>
      </c>
    </row>
    <row r="72" spans="1:7" ht="7.5" hidden="1" customHeight="1" thickBot="1" x14ac:dyDescent="0.25">
      <c r="A72" s="250"/>
      <c r="B72" s="277"/>
      <c r="C72" s="277"/>
      <c r="D72" s="277"/>
      <c r="E72" s="277"/>
      <c r="F72" s="276"/>
    </row>
    <row r="73" spans="1:7" ht="21.75" customHeight="1" thickBot="1" x14ac:dyDescent="0.25">
      <c r="A73" s="266" t="s">
        <v>458</v>
      </c>
      <c r="B73" s="266" t="s">
        <v>457</v>
      </c>
      <c r="C73" s="266" t="s">
        <v>456</v>
      </c>
      <c r="D73" s="266" t="s">
        <v>421</v>
      </c>
      <c r="E73" s="301" t="s">
        <v>420</v>
      </c>
      <c r="F73" s="265" t="s">
        <v>419</v>
      </c>
    </row>
    <row r="74" spans="1:7" ht="38.25" hidden="1" customHeight="1" x14ac:dyDescent="0.2">
      <c r="A74" s="300" t="s">
        <v>85</v>
      </c>
      <c r="B74" s="299" t="s">
        <v>455</v>
      </c>
      <c r="C74" s="298" t="s">
        <v>2</v>
      </c>
      <c r="D74" s="297">
        <v>0</v>
      </c>
      <c r="E74" s="296">
        <v>710676</v>
      </c>
      <c r="F74" s="295">
        <f t="shared" ref="F74:F91" si="3">ROUND(E74*D74,0)</f>
        <v>0</v>
      </c>
    </row>
    <row r="75" spans="1:7" ht="38.25" hidden="1" customHeight="1" x14ac:dyDescent="0.2">
      <c r="A75" s="289" t="s">
        <v>86</v>
      </c>
      <c r="B75" s="291" t="s">
        <v>454</v>
      </c>
      <c r="C75" s="287" t="s">
        <v>2</v>
      </c>
      <c r="D75" s="290">
        <v>0</v>
      </c>
      <c r="E75" s="285">
        <v>0</v>
      </c>
      <c r="F75" s="292">
        <f t="shared" si="3"/>
        <v>0</v>
      </c>
    </row>
    <row r="76" spans="1:7" ht="38.25" hidden="1" customHeight="1" x14ac:dyDescent="0.2">
      <c r="A76" s="289" t="s">
        <v>87</v>
      </c>
      <c r="B76" s="291" t="s">
        <v>453</v>
      </c>
      <c r="C76" s="287" t="s">
        <v>2</v>
      </c>
      <c r="D76" s="290">
        <v>0</v>
      </c>
      <c r="E76" s="285">
        <v>3597377</v>
      </c>
      <c r="F76" s="292">
        <f t="shared" si="3"/>
        <v>0</v>
      </c>
    </row>
    <row r="77" spans="1:7" ht="25.5" x14ac:dyDescent="0.2">
      <c r="A77" s="289" t="s">
        <v>452</v>
      </c>
      <c r="B77" s="291" t="s">
        <v>451</v>
      </c>
      <c r="C77" s="287" t="s">
        <v>2</v>
      </c>
      <c r="D77" s="290">
        <v>2</v>
      </c>
      <c r="E77" s="285">
        <v>1516361</v>
      </c>
      <c r="F77" s="292">
        <f t="shared" si="3"/>
        <v>3032722</v>
      </c>
    </row>
    <row r="78" spans="1:7" ht="26.25" thickBot="1" x14ac:dyDescent="0.25">
      <c r="A78" s="289" t="s">
        <v>450</v>
      </c>
      <c r="B78" s="291" t="s">
        <v>449</v>
      </c>
      <c r="C78" s="287" t="s">
        <v>2</v>
      </c>
      <c r="D78" s="290">
        <v>2</v>
      </c>
      <c r="E78" s="285">
        <v>2743659</v>
      </c>
      <c r="F78" s="292">
        <f t="shared" si="3"/>
        <v>5487318</v>
      </c>
    </row>
    <row r="79" spans="1:7" ht="38.25" hidden="1" customHeight="1" x14ac:dyDescent="0.2">
      <c r="A79" s="289" t="s">
        <v>88</v>
      </c>
      <c r="B79" s="291" t="s">
        <v>448</v>
      </c>
      <c r="C79" s="287" t="s">
        <v>6</v>
      </c>
      <c r="D79" s="290">
        <v>0</v>
      </c>
      <c r="E79" s="285">
        <v>10836</v>
      </c>
      <c r="F79" s="292">
        <f t="shared" si="3"/>
        <v>0</v>
      </c>
    </row>
    <row r="80" spans="1:7" ht="153.75" hidden="1" thickBot="1" x14ac:dyDescent="0.25">
      <c r="A80" s="289" t="s">
        <v>89</v>
      </c>
      <c r="B80" s="291" t="s">
        <v>447</v>
      </c>
      <c r="C80" s="287" t="s">
        <v>2</v>
      </c>
      <c r="D80" s="290">
        <v>0</v>
      </c>
      <c r="E80" s="285">
        <v>934261</v>
      </c>
      <c r="F80" s="292">
        <f t="shared" si="3"/>
        <v>0</v>
      </c>
      <c r="G80" s="294"/>
    </row>
    <row r="81" spans="1:7" ht="153.75" hidden="1" thickBot="1" x14ac:dyDescent="0.25">
      <c r="A81" s="289" t="s">
        <v>446</v>
      </c>
      <c r="B81" s="291" t="s">
        <v>445</v>
      </c>
      <c r="C81" s="287" t="s">
        <v>2</v>
      </c>
      <c r="D81" s="290">
        <v>0</v>
      </c>
      <c r="E81" s="285">
        <v>528704</v>
      </c>
      <c r="F81" s="292">
        <f t="shared" si="3"/>
        <v>0</v>
      </c>
      <c r="G81" s="294"/>
    </row>
    <row r="82" spans="1:7" ht="153.75" hidden="1" thickBot="1" x14ac:dyDescent="0.25">
      <c r="A82" s="289" t="s">
        <v>444</v>
      </c>
      <c r="B82" s="291" t="s">
        <v>443</v>
      </c>
      <c r="C82" s="287" t="s">
        <v>2</v>
      </c>
      <c r="D82" s="290">
        <v>0</v>
      </c>
      <c r="E82" s="285">
        <v>1455941</v>
      </c>
      <c r="F82" s="292">
        <f t="shared" si="3"/>
        <v>0</v>
      </c>
    </row>
    <row r="83" spans="1:7" ht="128.25" hidden="1" thickBot="1" x14ac:dyDescent="0.25">
      <c r="A83" s="289" t="s">
        <v>442</v>
      </c>
      <c r="B83" s="291" t="s">
        <v>441</v>
      </c>
      <c r="C83" s="287" t="s">
        <v>2</v>
      </c>
      <c r="D83" s="290">
        <v>0</v>
      </c>
      <c r="E83" s="285">
        <v>3146594</v>
      </c>
      <c r="F83" s="292">
        <f t="shared" si="3"/>
        <v>0</v>
      </c>
    </row>
    <row r="84" spans="1:7" ht="166.5" hidden="1" thickBot="1" x14ac:dyDescent="0.25">
      <c r="A84" s="289" t="s">
        <v>440</v>
      </c>
      <c r="B84" s="293" t="s">
        <v>439</v>
      </c>
      <c r="C84" s="287" t="s">
        <v>2</v>
      </c>
      <c r="D84" s="290">
        <v>0</v>
      </c>
      <c r="E84" s="285">
        <v>1835913</v>
      </c>
      <c r="F84" s="292">
        <f t="shared" si="3"/>
        <v>0</v>
      </c>
    </row>
    <row r="85" spans="1:7" ht="115.5" hidden="1" thickBot="1" x14ac:dyDescent="0.25">
      <c r="A85" s="289" t="s">
        <v>438</v>
      </c>
      <c r="B85" s="291" t="s">
        <v>437</v>
      </c>
      <c r="C85" s="287" t="s">
        <v>2</v>
      </c>
      <c r="D85" s="290">
        <v>0</v>
      </c>
      <c r="E85" s="285">
        <v>1181194</v>
      </c>
      <c r="F85" s="292">
        <f t="shared" si="3"/>
        <v>0</v>
      </c>
    </row>
    <row r="86" spans="1:7" ht="128.25" hidden="1" thickBot="1" x14ac:dyDescent="0.25">
      <c r="A86" s="289" t="s">
        <v>436</v>
      </c>
      <c r="B86" s="291" t="s">
        <v>435</v>
      </c>
      <c r="C86" s="287" t="s">
        <v>2</v>
      </c>
      <c r="D86" s="290">
        <v>0</v>
      </c>
      <c r="E86" s="285">
        <v>2612649</v>
      </c>
      <c r="F86" s="292">
        <f t="shared" si="3"/>
        <v>0</v>
      </c>
    </row>
    <row r="87" spans="1:7" ht="128.25" hidden="1" thickBot="1" x14ac:dyDescent="0.25">
      <c r="A87" s="289" t="s">
        <v>434</v>
      </c>
      <c r="B87" s="291" t="s">
        <v>433</v>
      </c>
      <c r="C87" s="287" t="s">
        <v>2</v>
      </c>
      <c r="D87" s="290">
        <v>0</v>
      </c>
      <c r="E87" s="285">
        <v>1458952</v>
      </c>
      <c r="F87" s="292">
        <f t="shared" si="3"/>
        <v>0</v>
      </c>
    </row>
    <row r="88" spans="1:7" ht="102.75" hidden="1" thickBot="1" x14ac:dyDescent="0.25">
      <c r="A88" s="289" t="s">
        <v>90</v>
      </c>
      <c r="B88" s="291" t="s">
        <v>432</v>
      </c>
      <c r="C88" s="287" t="s">
        <v>2</v>
      </c>
      <c r="D88" s="290">
        <v>0</v>
      </c>
      <c r="E88" s="285">
        <v>711000</v>
      </c>
      <c r="F88" s="284">
        <f t="shared" si="3"/>
        <v>0</v>
      </c>
    </row>
    <row r="89" spans="1:7" ht="102.75" hidden="1" thickBot="1" x14ac:dyDescent="0.25">
      <c r="A89" s="289" t="s">
        <v>431</v>
      </c>
      <c r="B89" s="288" t="s">
        <v>430</v>
      </c>
      <c r="C89" s="287" t="s">
        <v>2</v>
      </c>
      <c r="D89" s="286">
        <v>0</v>
      </c>
      <c r="E89" s="285">
        <v>1047000</v>
      </c>
      <c r="F89" s="284">
        <f t="shared" si="3"/>
        <v>0</v>
      </c>
    </row>
    <row r="90" spans="1:7" ht="102.75" hidden="1" thickBot="1" x14ac:dyDescent="0.25">
      <c r="A90" s="289" t="s">
        <v>429</v>
      </c>
      <c r="B90" s="288" t="s">
        <v>428</v>
      </c>
      <c r="C90" s="287" t="s">
        <v>2</v>
      </c>
      <c r="D90" s="286">
        <v>0</v>
      </c>
      <c r="E90" s="285">
        <v>935800</v>
      </c>
      <c r="F90" s="284">
        <f t="shared" si="3"/>
        <v>0</v>
      </c>
    </row>
    <row r="91" spans="1:7" ht="90" hidden="1" thickBot="1" x14ac:dyDescent="0.25">
      <c r="A91" s="283" t="s">
        <v>427</v>
      </c>
      <c r="B91" s="282" t="s">
        <v>426</v>
      </c>
      <c r="C91" s="281" t="s">
        <v>2</v>
      </c>
      <c r="D91" s="280">
        <v>0</v>
      </c>
      <c r="E91" s="279">
        <v>1161000</v>
      </c>
      <c r="F91" s="278">
        <f t="shared" si="3"/>
        <v>0</v>
      </c>
    </row>
    <row r="92" spans="1:7" ht="21" customHeight="1" thickBot="1" x14ac:dyDescent="0.25">
      <c r="A92" s="1504" t="s">
        <v>425</v>
      </c>
      <c r="B92" s="1502"/>
      <c r="C92" s="1502"/>
      <c r="D92" s="1502"/>
      <c r="E92" s="1505"/>
      <c r="F92" s="278">
        <f>ROUND(SUM(F74:F91),0)</f>
        <v>8520040</v>
      </c>
    </row>
    <row r="93" spans="1:7" ht="7.5" customHeight="1" x14ac:dyDescent="0.2">
      <c r="A93" s="250"/>
      <c r="B93" s="277"/>
      <c r="C93" s="277"/>
      <c r="D93" s="277"/>
      <c r="E93" s="277"/>
      <c r="F93" s="276"/>
    </row>
    <row r="94" spans="1:7" s="269" customFormat="1" ht="6" customHeight="1" thickBot="1" x14ac:dyDescent="0.25">
      <c r="A94" s="232"/>
      <c r="B94" s="275"/>
      <c r="C94" s="275"/>
      <c r="D94" s="275"/>
      <c r="E94" s="275"/>
      <c r="F94" s="274"/>
    </row>
    <row r="95" spans="1:7" s="269" customFormat="1" ht="20.100000000000001" customHeight="1" thickBot="1" x14ac:dyDescent="0.25">
      <c r="A95" s="248"/>
      <c r="B95" s="273" t="s">
        <v>416</v>
      </c>
      <c r="C95" s="272"/>
      <c r="D95" s="271"/>
      <c r="E95" s="270"/>
      <c r="F95" s="247">
        <f>F71+F58+F28+F92</f>
        <v>44512656</v>
      </c>
    </row>
    <row r="96" spans="1:7" ht="7.5" customHeight="1" x14ac:dyDescent="0.2">
      <c r="A96" s="250"/>
      <c r="B96" s="250"/>
      <c r="C96" s="268"/>
      <c r="D96" s="268"/>
      <c r="E96" s="268"/>
      <c r="F96" s="268"/>
      <c r="G96" s="249"/>
    </row>
    <row r="97" spans="1:7" ht="20.100000000000001" customHeight="1" x14ac:dyDescent="0.2">
      <c r="A97" s="1490" t="s">
        <v>424</v>
      </c>
      <c r="B97" s="1490"/>
      <c r="C97" s="1490"/>
      <c r="D97" s="1490"/>
      <c r="E97" s="1490"/>
      <c r="F97" s="1490"/>
      <c r="G97" s="246"/>
    </row>
    <row r="98" spans="1:7" ht="7.5" customHeight="1" thickBot="1" x14ac:dyDescent="0.25">
      <c r="C98" s="221"/>
      <c r="E98" s="224"/>
      <c r="F98" s="253"/>
    </row>
    <row r="99" spans="1:7" ht="20.100000000000001" customHeight="1" thickBot="1" x14ac:dyDescent="0.25">
      <c r="A99" s="267" t="s">
        <v>423</v>
      </c>
      <c r="B99" s="266" t="s">
        <v>422</v>
      </c>
      <c r="C99" s="266" t="s">
        <v>2</v>
      </c>
      <c r="D99" s="266" t="s">
        <v>421</v>
      </c>
      <c r="E99" s="265" t="s">
        <v>420</v>
      </c>
      <c r="F99" s="264" t="s">
        <v>419</v>
      </c>
      <c r="G99" s="263"/>
    </row>
    <row r="100" spans="1:7" ht="20.25" customHeight="1" thickBot="1" x14ac:dyDescent="0.25">
      <c r="A100" s="262">
        <v>5.0999999999999996</v>
      </c>
      <c r="B100" s="261" t="s">
        <v>418</v>
      </c>
      <c r="C100" s="260" t="s">
        <v>91</v>
      </c>
      <c r="D100" s="259">
        <v>2</v>
      </c>
      <c r="E100" s="258">
        <v>400222</v>
      </c>
      <c r="F100" s="257">
        <f>ROUND(E100*D100,0)</f>
        <v>800444</v>
      </c>
      <c r="G100" s="256"/>
    </row>
    <row r="101" spans="1:7" ht="20.25" customHeight="1" thickBot="1" x14ac:dyDescent="0.25">
      <c r="A101" s="255"/>
      <c r="B101" s="1491" t="s">
        <v>417</v>
      </c>
      <c r="C101" s="1491"/>
      <c r="D101" s="1491"/>
      <c r="E101" s="1492"/>
      <c r="F101" s="254">
        <f>SUM(F100)</f>
        <v>800444</v>
      </c>
      <c r="G101" s="249"/>
    </row>
    <row r="102" spans="1:7" ht="11.25" customHeight="1" thickBot="1" x14ac:dyDescent="0.25">
      <c r="A102" s="250"/>
      <c r="C102" s="221"/>
      <c r="E102" s="224"/>
      <c r="F102" s="253"/>
    </row>
    <row r="103" spans="1:7" ht="35.1" customHeight="1" thickBot="1" x14ac:dyDescent="0.25">
      <c r="A103" s="1493" t="s">
        <v>416</v>
      </c>
      <c r="B103" s="1494"/>
      <c r="C103" s="1494"/>
      <c r="D103" s="1494"/>
      <c r="E103" s="1494"/>
      <c r="F103" s="252">
        <f>F101+F95</f>
        <v>45313100</v>
      </c>
      <c r="G103" s="246"/>
    </row>
    <row r="104" spans="1:7" ht="5.25" customHeight="1" x14ac:dyDescent="0.2">
      <c r="A104" s="232"/>
      <c r="B104" s="232"/>
      <c r="C104" s="251"/>
      <c r="D104" s="232"/>
      <c r="E104" s="231"/>
      <c r="F104" s="236"/>
      <c r="G104" s="246"/>
    </row>
    <row r="105" spans="1:7" ht="12" customHeight="1" thickBot="1" x14ac:dyDescent="0.25">
      <c r="A105" s="250"/>
      <c r="B105" s="250"/>
      <c r="C105" s="250"/>
      <c r="D105" s="250"/>
      <c r="E105" s="250"/>
      <c r="F105" s="236"/>
      <c r="G105" s="249"/>
    </row>
    <row r="106" spans="1:7" ht="28.5" customHeight="1" thickBot="1" x14ac:dyDescent="0.25">
      <c r="A106" s="248"/>
      <c r="B106" s="1495" t="s">
        <v>415</v>
      </c>
      <c r="C106" s="1495"/>
      <c r="D106" s="1495"/>
      <c r="E106" s="1496"/>
      <c r="F106" s="247">
        <f>F103</f>
        <v>45313100</v>
      </c>
      <c r="G106" s="246"/>
    </row>
    <row r="107" spans="1:7" ht="12" customHeight="1" thickBot="1" x14ac:dyDescent="0.25">
      <c r="A107" s="227"/>
      <c r="B107" s="245"/>
      <c r="C107" s="227"/>
      <c r="D107" s="226"/>
      <c r="E107" s="226"/>
      <c r="F107" s="244"/>
      <c r="G107" s="243"/>
    </row>
    <row r="108" spans="1:7" ht="21" customHeight="1" x14ac:dyDescent="0.2">
      <c r="A108" s="242"/>
      <c r="B108" s="241" t="s">
        <v>414</v>
      </c>
      <c r="C108" s="240"/>
      <c r="D108" s="239"/>
      <c r="E108" s="239"/>
      <c r="F108" s="238">
        <f>ROUND(F106*25%,0)</f>
        <v>11328275</v>
      </c>
    </row>
    <row r="109" spans="1:7" ht="18.75" customHeight="1" x14ac:dyDescent="0.2">
      <c r="A109" s="234"/>
      <c r="B109" s="233" t="s">
        <v>413</v>
      </c>
      <c r="C109" s="237">
        <v>0.12</v>
      </c>
      <c r="D109" s="231"/>
      <c r="E109" s="236">
        <f>ROUND(F106*C109,0)</f>
        <v>5437572</v>
      </c>
      <c r="F109" s="230"/>
    </row>
    <row r="110" spans="1:7" ht="21" customHeight="1" x14ac:dyDescent="0.2">
      <c r="A110" s="234"/>
      <c r="B110" s="233" t="s">
        <v>412</v>
      </c>
      <c r="C110" s="237">
        <v>0.04</v>
      </c>
      <c r="D110" s="231"/>
      <c r="E110" s="236">
        <f>ROUND(F106*C110,0)</f>
        <v>1812524</v>
      </c>
      <c r="F110" s="230"/>
    </row>
    <row r="111" spans="1:7" ht="22.5" customHeight="1" x14ac:dyDescent="0.2">
      <c r="A111" s="234"/>
      <c r="B111" s="233" t="s">
        <v>411</v>
      </c>
      <c r="C111" s="237">
        <v>0.09</v>
      </c>
      <c r="D111" s="231"/>
      <c r="E111" s="236">
        <f>ROUND(F106*C111,0)</f>
        <v>4078179</v>
      </c>
      <c r="F111" s="230"/>
    </row>
    <row r="112" spans="1:7" ht="20.25" customHeight="1" x14ac:dyDescent="0.2">
      <c r="A112" s="234"/>
      <c r="B112" s="233" t="s">
        <v>410</v>
      </c>
      <c r="C112" s="232"/>
      <c r="D112" s="231"/>
      <c r="E112" s="231"/>
      <c r="F112" s="235"/>
    </row>
    <row r="113" spans="1:6" ht="11.25" customHeight="1" x14ac:dyDescent="0.2">
      <c r="A113" s="234"/>
      <c r="B113" s="232"/>
      <c r="C113" s="233"/>
      <c r="D113" s="232"/>
      <c r="E113" s="231"/>
      <c r="F113" s="230"/>
    </row>
    <row r="114" spans="1:6" ht="22.5" customHeight="1" thickBot="1" x14ac:dyDescent="0.25">
      <c r="A114" s="229"/>
      <c r="B114" s="227"/>
      <c r="C114" s="228" t="s">
        <v>409</v>
      </c>
      <c r="D114" s="227"/>
      <c r="E114" s="226"/>
      <c r="F114" s="225">
        <f>SUM(F112+F108+F106)</f>
        <v>56641375</v>
      </c>
    </row>
  </sheetData>
  <mergeCells count="10">
    <mergeCell ref="A97:F97"/>
    <mergeCell ref="B101:E101"/>
    <mergeCell ref="A103:E103"/>
    <mergeCell ref="B106:E106"/>
    <mergeCell ref="B1:F1"/>
    <mergeCell ref="A2:F2"/>
    <mergeCell ref="B28:E28"/>
    <mergeCell ref="A58:E58"/>
    <mergeCell ref="A71:E71"/>
    <mergeCell ref="A92:E92"/>
  </mergeCells>
  <printOptions horizontalCentered="1" verticalCentered="1"/>
  <pageMargins left="0.51181102362204722" right="0.35433070866141736" top="1.299212598425197" bottom="0.70866141732283472" header="0.43307086614173229" footer="0.31496062992125984"/>
  <pageSetup scale="92"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1"/>
  </sheetPr>
  <dimension ref="A1:F56"/>
  <sheetViews>
    <sheetView topLeftCell="A4" workbookViewId="0">
      <selection activeCell="A22" sqref="A22:XFD22"/>
    </sheetView>
  </sheetViews>
  <sheetFormatPr baseColWidth="10" defaultColWidth="11.42578125" defaultRowHeight="5.65" customHeight="1" x14ac:dyDescent="0.2"/>
  <cols>
    <col min="1" max="1" width="6.42578125" style="377" customWidth="1"/>
    <col min="2" max="2" width="51.85546875" style="379" customWidth="1"/>
    <col min="3" max="3" width="4.42578125" style="379" bestFit="1" customWidth="1"/>
    <col min="4" max="4" width="7.85546875" style="378" customWidth="1"/>
    <col min="5" max="5" width="12.28515625" style="377" bestFit="1" customWidth="1"/>
    <col min="6" max="6" width="15.28515625" style="377" customWidth="1"/>
    <col min="7" max="7" width="11.42578125" style="377"/>
    <col min="8" max="8" width="11.42578125" style="377" customWidth="1"/>
    <col min="9" max="16384" width="11.42578125" style="377"/>
  </cols>
  <sheetData>
    <row r="1" spans="1:6" ht="23.25" customHeight="1" x14ac:dyDescent="0.2">
      <c r="A1" s="1506" t="s">
        <v>603</v>
      </c>
      <c r="B1" s="1507"/>
      <c r="C1" s="1507"/>
      <c r="D1" s="1507"/>
      <c r="E1" s="1507"/>
      <c r="F1" s="1508"/>
    </row>
    <row r="2" spans="1:6" ht="12.75" customHeight="1" x14ac:dyDescent="0.2">
      <c r="A2" s="414"/>
      <c r="B2" s="414"/>
      <c r="C2" s="414"/>
      <c r="D2" s="415"/>
      <c r="E2" s="414"/>
      <c r="F2" s="413"/>
    </row>
    <row r="3" spans="1:6" ht="57" customHeight="1" x14ac:dyDescent="0.2">
      <c r="A3" s="1511" t="s">
        <v>602</v>
      </c>
      <c r="B3" s="1511"/>
      <c r="C3" s="1511"/>
      <c r="D3" s="1511"/>
      <c r="E3" s="1511"/>
      <c r="F3" s="1511"/>
    </row>
    <row r="4" spans="1:6" ht="24.75" customHeight="1" x14ac:dyDescent="0.2">
      <c r="A4" s="411" t="s">
        <v>0</v>
      </c>
      <c r="B4" s="411" t="s">
        <v>1</v>
      </c>
      <c r="C4" s="411" t="s">
        <v>2</v>
      </c>
      <c r="D4" s="412" t="s">
        <v>16</v>
      </c>
      <c r="E4" s="411" t="s">
        <v>601</v>
      </c>
      <c r="F4" s="411" t="s">
        <v>600</v>
      </c>
    </row>
    <row r="5" spans="1:6" ht="12.75" x14ac:dyDescent="0.2">
      <c r="A5" s="411">
        <v>1</v>
      </c>
      <c r="B5" s="402" t="s">
        <v>599</v>
      </c>
      <c r="C5" s="411"/>
      <c r="D5" s="412"/>
      <c r="E5" s="411"/>
      <c r="F5" s="411"/>
    </row>
    <row r="6" spans="1:6" ht="12.75" x14ac:dyDescent="0.2">
      <c r="A6" s="398">
        <v>1.1000000000000001</v>
      </c>
      <c r="B6" s="406" t="s">
        <v>598</v>
      </c>
      <c r="C6" s="406" t="s">
        <v>574</v>
      </c>
      <c r="D6" s="409">
        <v>28</v>
      </c>
      <c r="E6" s="408">
        <f>'APUS  FASE 1'!H46</f>
        <v>220000</v>
      </c>
      <c r="F6" s="395">
        <f t="shared" ref="F6:F23" si="0">E6*D6</f>
        <v>6160000</v>
      </c>
    </row>
    <row r="7" spans="1:6" ht="12.75" x14ac:dyDescent="0.2">
      <c r="A7" s="398">
        <v>1.2</v>
      </c>
      <c r="B7" s="406" t="s">
        <v>597</v>
      </c>
      <c r="C7" s="406" t="s">
        <v>574</v>
      </c>
      <c r="D7" s="409">
        <v>24</v>
      </c>
      <c r="E7" s="408">
        <f>'APUS  FASE 1'!H96</f>
        <v>189475</v>
      </c>
      <c r="F7" s="395">
        <f t="shared" si="0"/>
        <v>4547400</v>
      </c>
    </row>
    <row r="8" spans="1:6" ht="12.75" x14ac:dyDescent="0.2">
      <c r="A8" s="398">
        <v>1.3</v>
      </c>
      <c r="B8" s="406" t="s">
        <v>596</v>
      </c>
      <c r="C8" s="406" t="s">
        <v>574</v>
      </c>
      <c r="D8" s="409">
        <v>36</v>
      </c>
      <c r="E8" s="408">
        <f>'APUS  FASE 1'!H148</f>
        <v>112457</v>
      </c>
      <c r="F8" s="395">
        <f t="shared" si="0"/>
        <v>4048452</v>
      </c>
    </row>
    <row r="9" spans="1:6" ht="12.75" x14ac:dyDescent="0.2">
      <c r="A9" s="398">
        <v>1.4</v>
      </c>
      <c r="B9" s="406" t="s">
        <v>595</v>
      </c>
      <c r="C9" s="406" t="s">
        <v>574</v>
      </c>
      <c r="D9" s="409">
        <v>12</v>
      </c>
      <c r="E9" s="408">
        <f>'APUS  FASE 1'!H200</f>
        <v>79120</v>
      </c>
      <c r="F9" s="395">
        <f t="shared" si="0"/>
        <v>949440</v>
      </c>
    </row>
    <row r="10" spans="1:6" ht="12.75" x14ac:dyDescent="0.2">
      <c r="A10" s="398">
        <v>1.5</v>
      </c>
      <c r="B10" s="406" t="s">
        <v>594</v>
      </c>
      <c r="C10" s="406" t="s">
        <v>574</v>
      </c>
      <c r="D10" s="409">
        <v>7</v>
      </c>
      <c r="E10" s="408">
        <f>'APUS  FASE 1'!H248</f>
        <v>1154660</v>
      </c>
      <c r="F10" s="395">
        <f t="shared" si="0"/>
        <v>8082620</v>
      </c>
    </row>
    <row r="11" spans="1:6" ht="12.75" x14ac:dyDescent="0.2">
      <c r="A11" s="398">
        <v>1.6</v>
      </c>
      <c r="B11" s="406" t="s">
        <v>593</v>
      </c>
      <c r="C11" s="406" t="s">
        <v>574</v>
      </c>
      <c r="D11" s="409">
        <v>0</v>
      </c>
      <c r="E11" s="408">
        <v>0</v>
      </c>
      <c r="F11" s="395">
        <f t="shared" si="0"/>
        <v>0</v>
      </c>
    </row>
    <row r="12" spans="1:6" ht="12.75" x14ac:dyDescent="0.2">
      <c r="A12" s="398">
        <v>1.7</v>
      </c>
      <c r="B12" s="406" t="s">
        <v>592</v>
      </c>
      <c r="C12" s="406" t="s">
        <v>574</v>
      </c>
      <c r="D12" s="409">
        <v>10</v>
      </c>
      <c r="E12" s="408">
        <f>'APUS  FASE 1'!H299</f>
        <v>97721</v>
      </c>
      <c r="F12" s="395">
        <f t="shared" si="0"/>
        <v>977210</v>
      </c>
    </row>
    <row r="13" spans="1:6" ht="12.75" x14ac:dyDescent="0.2">
      <c r="A13" s="398">
        <v>1.8</v>
      </c>
      <c r="B13" s="406" t="s">
        <v>591</v>
      </c>
      <c r="C13" s="406" t="s">
        <v>574</v>
      </c>
      <c r="D13" s="409">
        <v>0</v>
      </c>
      <c r="E13" s="408">
        <f>'APUS  FASE 1'!H351</f>
        <v>575108</v>
      </c>
      <c r="F13" s="395">
        <f t="shared" si="0"/>
        <v>0</v>
      </c>
    </row>
    <row r="14" spans="1:6" ht="12.75" x14ac:dyDescent="0.2">
      <c r="A14" s="398">
        <v>1.9</v>
      </c>
      <c r="B14" s="406" t="s">
        <v>590</v>
      </c>
      <c r="C14" s="406" t="s">
        <v>8</v>
      </c>
      <c r="D14" s="409">
        <v>88</v>
      </c>
      <c r="E14" s="408">
        <f>'APUS  FASE 1'!H403</f>
        <v>67360</v>
      </c>
      <c r="F14" s="395">
        <f t="shared" si="0"/>
        <v>5927680</v>
      </c>
    </row>
    <row r="15" spans="1:6" ht="12.75" x14ac:dyDescent="0.2">
      <c r="A15" s="398">
        <v>1.1000000000000001</v>
      </c>
      <c r="B15" s="406" t="s">
        <v>589</v>
      </c>
      <c r="C15" s="406" t="s">
        <v>574</v>
      </c>
      <c r="D15" s="409">
        <v>3</v>
      </c>
      <c r="E15" s="408">
        <f>'APUS  FASE 1'!H455</f>
        <v>75225</v>
      </c>
      <c r="F15" s="395">
        <f t="shared" si="0"/>
        <v>225675</v>
      </c>
    </row>
    <row r="16" spans="1:6" ht="12.75" x14ac:dyDescent="0.2">
      <c r="A16" s="398">
        <v>1.1100000000000001</v>
      </c>
      <c r="B16" s="410" t="s">
        <v>588</v>
      </c>
      <c r="C16" s="398" t="s">
        <v>583</v>
      </c>
      <c r="D16" s="409">
        <v>8</v>
      </c>
      <c r="E16" s="408">
        <f>'APUS  FASE 1'!H507</f>
        <v>89935</v>
      </c>
      <c r="F16" s="395">
        <f t="shared" si="0"/>
        <v>719480</v>
      </c>
    </row>
    <row r="17" spans="1:6" ht="12.75" x14ac:dyDescent="0.2">
      <c r="A17" s="398">
        <v>1.1200000000000001</v>
      </c>
      <c r="B17" s="410" t="s">
        <v>587</v>
      </c>
      <c r="C17" s="398" t="s">
        <v>583</v>
      </c>
      <c r="D17" s="409">
        <v>38</v>
      </c>
      <c r="E17" s="408">
        <f>'APUS  FASE 1'!H559</f>
        <v>112282</v>
      </c>
      <c r="F17" s="395">
        <f t="shared" si="0"/>
        <v>4266716</v>
      </c>
    </row>
    <row r="18" spans="1:6" ht="12.75" x14ac:dyDescent="0.2">
      <c r="A18" s="398">
        <v>1.1299999999999999</v>
      </c>
      <c r="B18" s="410" t="s">
        <v>586</v>
      </c>
      <c r="C18" s="398" t="s">
        <v>583</v>
      </c>
      <c r="D18" s="409">
        <v>10</v>
      </c>
      <c r="E18" s="408">
        <f>'APUS  FASE 1'!H611</f>
        <v>75225</v>
      </c>
      <c r="F18" s="395">
        <f t="shared" si="0"/>
        <v>752250</v>
      </c>
    </row>
    <row r="19" spans="1:6" ht="12.75" x14ac:dyDescent="0.2">
      <c r="A19" s="398">
        <v>1.1399999999999999</v>
      </c>
      <c r="B19" s="410" t="s">
        <v>585</v>
      </c>
      <c r="C19" s="398" t="s">
        <v>8</v>
      </c>
      <c r="D19" s="409">
        <v>2</v>
      </c>
      <c r="E19" s="408">
        <f>'APUS  FASE 1'!H663</f>
        <v>57426</v>
      </c>
      <c r="F19" s="395">
        <f t="shared" si="0"/>
        <v>114852</v>
      </c>
    </row>
    <row r="20" spans="1:6" ht="12.75" x14ac:dyDescent="0.2">
      <c r="A20" s="398">
        <v>1.1499999999999999</v>
      </c>
      <c r="B20" s="410" t="s">
        <v>584</v>
      </c>
      <c r="C20" s="398" t="s">
        <v>583</v>
      </c>
      <c r="D20" s="409">
        <v>3</v>
      </c>
      <c r="E20" s="408">
        <f>'APUS  FASE 1'!H714</f>
        <v>1323460</v>
      </c>
      <c r="F20" s="395">
        <f t="shared" si="0"/>
        <v>3970380</v>
      </c>
    </row>
    <row r="21" spans="1:6" ht="12.75" x14ac:dyDescent="0.2">
      <c r="A21" s="398">
        <v>1.1599999999999999</v>
      </c>
      <c r="B21" s="410" t="s">
        <v>582</v>
      </c>
      <c r="C21" s="398" t="s">
        <v>579</v>
      </c>
      <c r="D21" s="409">
        <v>50</v>
      </c>
      <c r="E21" s="408">
        <f>'APUS  FASE 1'!H765</f>
        <v>123843</v>
      </c>
      <c r="F21" s="395">
        <f t="shared" si="0"/>
        <v>6192150</v>
      </c>
    </row>
    <row r="22" spans="1:6" ht="12.75" x14ac:dyDescent="0.2">
      <c r="A22" s="398">
        <v>1.17</v>
      </c>
      <c r="B22" s="410" t="s">
        <v>581</v>
      </c>
      <c r="C22" s="398" t="s">
        <v>8</v>
      </c>
      <c r="D22" s="409">
        <v>1</v>
      </c>
      <c r="E22" s="408">
        <f>'APUS  FASE 1'!H816</f>
        <v>3976450</v>
      </c>
      <c r="F22" s="395">
        <f t="shared" si="0"/>
        <v>3976450</v>
      </c>
    </row>
    <row r="23" spans="1:6" ht="12.75" x14ac:dyDescent="0.2">
      <c r="A23" s="398">
        <v>1.18</v>
      </c>
      <c r="B23" s="410" t="s">
        <v>580</v>
      </c>
      <c r="C23" s="398" t="s">
        <v>579</v>
      </c>
      <c r="D23" s="409">
        <v>100</v>
      </c>
      <c r="E23" s="408">
        <f>'APUS  FASE 1'!H865</f>
        <v>63899</v>
      </c>
      <c r="F23" s="395">
        <f t="shared" si="0"/>
        <v>6389900</v>
      </c>
    </row>
    <row r="24" spans="1:6" ht="12.75" x14ac:dyDescent="0.2">
      <c r="A24" s="398"/>
      <c r="B24" s="410"/>
      <c r="C24" s="398"/>
      <c r="D24" s="409"/>
      <c r="E24" s="408"/>
      <c r="F24" s="395"/>
    </row>
    <row r="25" spans="1:6" ht="12.75" x14ac:dyDescent="0.2">
      <c r="A25" s="393"/>
      <c r="B25" s="399" t="s">
        <v>523</v>
      </c>
      <c r="C25" s="393"/>
      <c r="D25" s="396"/>
      <c r="E25" s="395"/>
      <c r="F25" s="394">
        <f>SUM(F6:F24)</f>
        <v>57300655</v>
      </c>
    </row>
    <row r="26" spans="1:6" ht="12.75" x14ac:dyDescent="0.2">
      <c r="A26" s="403" t="s">
        <v>578</v>
      </c>
      <c r="B26" s="441" t="s">
        <v>577</v>
      </c>
      <c r="C26" s="393"/>
      <c r="D26" s="396"/>
      <c r="E26" s="395"/>
      <c r="F26" s="395"/>
    </row>
    <row r="27" spans="1:6" ht="12.75" x14ac:dyDescent="0.2">
      <c r="A27" s="407">
        <v>2.1</v>
      </c>
      <c r="B27" s="406" t="s">
        <v>576</v>
      </c>
      <c r="C27" s="405" t="s">
        <v>574</v>
      </c>
      <c r="D27" s="404">
        <v>38</v>
      </c>
      <c r="E27" s="395">
        <v>491259</v>
      </c>
      <c r="F27" s="395">
        <f>E27*D27</f>
        <v>18667842</v>
      </c>
    </row>
    <row r="28" spans="1:6" ht="12.75" x14ac:dyDescent="0.2">
      <c r="A28" s="407">
        <v>2.2000000000000002</v>
      </c>
      <c r="B28" s="406" t="s">
        <v>575</v>
      </c>
      <c r="C28" s="405" t="s">
        <v>574</v>
      </c>
      <c r="D28" s="404">
        <v>38</v>
      </c>
      <c r="E28" s="395">
        <v>78332</v>
      </c>
      <c r="F28" s="395">
        <f>E28*D28</f>
        <v>2976616</v>
      </c>
    </row>
    <row r="29" spans="1:6" ht="12.75" x14ac:dyDescent="0.2">
      <c r="A29" s="407">
        <v>2.5</v>
      </c>
      <c r="B29" s="406" t="s">
        <v>573</v>
      </c>
      <c r="C29" s="405" t="s">
        <v>8</v>
      </c>
      <c r="D29" s="404">
        <v>1</v>
      </c>
      <c r="E29" s="395">
        <v>9512000</v>
      </c>
      <c r="F29" s="395">
        <f>E29*D29</f>
        <v>9512000</v>
      </c>
    </row>
    <row r="30" spans="1:6" ht="12.75" x14ac:dyDescent="0.2">
      <c r="A30" s="398"/>
      <c r="B30" s="399" t="s">
        <v>523</v>
      </c>
      <c r="C30" s="393"/>
      <c r="D30" s="396"/>
      <c r="E30" s="395"/>
      <c r="F30" s="394">
        <f>SUM(F27:F29)</f>
        <v>31156458</v>
      </c>
    </row>
    <row r="31" spans="1:6" ht="12.75" x14ac:dyDescent="0.2">
      <c r="A31" s="403">
        <v>3</v>
      </c>
      <c r="B31" s="402" t="s">
        <v>572</v>
      </c>
      <c r="C31" s="393"/>
      <c r="D31" s="396"/>
      <c r="E31" s="395"/>
      <c r="F31" s="394"/>
    </row>
    <row r="32" spans="1:6" ht="12.75" x14ac:dyDescent="0.2">
      <c r="A32" s="398">
        <v>3.1</v>
      </c>
      <c r="B32" s="401" t="s">
        <v>571</v>
      </c>
      <c r="C32" s="393" t="s">
        <v>8</v>
      </c>
      <c r="D32" s="400">
        <v>40</v>
      </c>
      <c r="E32" s="395">
        <f>'APUS  FASE 1'!H1116</f>
        <v>63925</v>
      </c>
      <c r="F32" s="395">
        <f>E32*D32</f>
        <v>2557000</v>
      </c>
    </row>
    <row r="33" spans="1:6" ht="12.75" x14ac:dyDescent="0.2">
      <c r="A33" s="398">
        <v>3.2</v>
      </c>
      <c r="B33" s="401" t="s">
        <v>570</v>
      </c>
      <c r="C33" s="393" t="s">
        <v>8</v>
      </c>
      <c r="D33" s="400">
        <v>12</v>
      </c>
      <c r="E33" s="395">
        <f>'APUS  FASE 1'!H1164</f>
        <v>74325</v>
      </c>
      <c r="F33" s="395">
        <f>E33*D33</f>
        <v>891900</v>
      </c>
    </row>
    <row r="34" spans="1:6" ht="12.75" x14ac:dyDescent="0.2">
      <c r="A34" s="398">
        <v>3.3</v>
      </c>
      <c r="B34" s="401" t="s">
        <v>569</v>
      </c>
      <c r="C34" s="393" t="s">
        <v>8</v>
      </c>
      <c r="D34" s="400">
        <v>6</v>
      </c>
      <c r="E34" s="395">
        <f>'APUS  FASE 1'!H1215</f>
        <v>84225</v>
      </c>
      <c r="F34" s="395">
        <f>E34*D34</f>
        <v>505350</v>
      </c>
    </row>
    <row r="35" spans="1:6" ht="12.75" x14ac:dyDescent="0.2">
      <c r="A35" s="398">
        <v>3.4</v>
      </c>
      <c r="B35" s="401" t="s">
        <v>568</v>
      </c>
      <c r="C35" s="393" t="s">
        <v>8</v>
      </c>
      <c r="D35" s="400">
        <v>4</v>
      </c>
      <c r="E35" s="395">
        <f>'APUS  FASE 1'!H1267</f>
        <v>84255</v>
      </c>
      <c r="F35" s="395">
        <f>E35*D35</f>
        <v>337020</v>
      </c>
    </row>
    <row r="36" spans="1:6" ht="12.75" x14ac:dyDescent="0.2">
      <c r="A36" s="398"/>
      <c r="B36" s="399" t="s">
        <v>523</v>
      </c>
      <c r="C36" s="393"/>
      <c r="D36" s="396"/>
      <c r="E36" s="395"/>
      <c r="F36" s="394">
        <f>SUM(F32:F35)</f>
        <v>4291270</v>
      </c>
    </row>
    <row r="37" spans="1:6" ht="12.75" x14ac:dyDescent="0.2">
      <c r="A37" s="398"/>
      <c r="B37" s="393"/>
      <c r="C37" s="393"/>
      <c r="D37" s="396"/>
      <c r="E37" s="395"/>
      <c r="F37" s="395"/>
    </row>
    <row r="38" spans="1:6" ht="12.75" x14ac:dyDescent="0.2">
      <c r="A38" s="393"/>
      <c r="B38" s="442" t="s">
        <v>567</v>
      </c>
      <c r="C38" s="393"/>
      <c r="D38" s="396"/>
      <c r="E38" s="395"/>
      <c r="F38" s="394">
        <f>ROUND((F30+F25+F36),0)</f>
        <v>92748383</v>
      </c>
    </row>
    <row r="39" spans="1:6" ht="12.75" x14ac:dyDescent="0.2">
      <c r="A39" s="393"/>
      <c r="B39" s="442" t="s">
        <v>566</v>
      </c>
      <c r="C39" s="443">
        <v>0.2</v>
      </c>
      <c r="D39" s="396"/>
      <c r="E39" s="395"/>
      <c r="F39" s="394">
        <f>ROUND((F38*C39),0)</f>
        <v>18549677</v>
      </c>
    </row>
    <row r="40" spans="1:6" ht="12.75" x14ac:dyDescent="0.2">
      <c r="A40" s="393"/>
      <c r="B40" s="442" t="s">
        <v>565</v>
      </c>
      <c r="C40" s="443">
        <v>0.02</v>
      </c>
      <c r="D40" s="396"/>
      <c r="E40" s="395"/>
      <c r="F40" s="394">
        <f>ROUND((F38*C40),0)</f>
        <v>1854968</v>
      </c>
    </row>
    <row r="41" spans="1:6" ht="12.75" x14ac:dyDescent="0.2">
      <c r="A41" s="393"/>
      <c r="B41" s="442" t="s">
        <v>564</v>
      </c>
      <c r="C41" s="443">
        <v>0.03</v>
      </c>
      <c r="D41" s="396"/>
      <c r="E41" s="395"/>
      <c r="F41" s="394">
        <f>ROUND((F38*C41),0)</f>
        <v>2782451</v>
      </c>
    </row>
    <row r="42" spans="1:6" ht="12.75" x14ac:dyDescent="0.2">
      <c r="A42" s="393"/>
      <c r="B42" s="442" t="s">
        <v>563</v>
      </c>
      <c r="C42" s="393"/>
      <c r="D42" s="396"/>
      <c r="E42" s="395"/>
      <c r="F42" s="394">
        <f>SUM(F38:F41)</f>
        <v>115935479</v>
      </c>
    </row>
    <row r="43" spans="1:6" ht="12.75" x14ac:dyDescent="0.2">
      <c r="A43" s="392"/>
      <c r="B43" s="1510"/>
      <c r="C43" s="1510"/>
      <c r="D43" s="1510"/>
      <c r="E43" s="1510"/>
      <c r="F43" s="1510"/>
    </row>
    <row r="44" spans="1:6" ht="12.75" x14ac:dyDescent="0.2">
      <c r="A44" s="385"/>
      <c r="B44" s="387"/>
      <c r="C44" s="387"/>
      <c r="D44" s="391"/>
      <c r="E44" s="387"/>
      <c r="F44" s="390"/>
    </row>
    <row r="45" spans="1:6" ht="12.75" x14ac:dyDescent="0.2">
      <c r="A45" s="385"/>
      <c r="B45" s="387"/>
      <c r="C45" s="387"/>
      <c r="D45" s="391"/>
      <c r="E45" s="387"/>
      <c r="F45" s="390"/>
    </row>
    <row r="46" spans="1:6" ht="12.75" x14ac:dyDescent="0.2">
      <c r="A46" s="385"/>
      <c r="B46" s="387"/>
      <c r="C46" s="387"/>
      <c r="D46" s="391"/>
      <c r="E46" s="387"/>
      <c r="F46" s="390"/>
    </row>
    <row r="47" spans="1:6" ht="12.75" x14ac:dyDescent="0.2">
      <c r="A47" s="385"/>
      <c r="B47" s="389"/>
      <c r="C47" s="387"/>
      <c r="D47" s="388"/>
      <c r="E47" s="387"/>
      <c r="F47" s="386"/>
    </row>
    <row r="48" spans="1:6" ht="12.75" x14ac:dyDescent="0.2">
      <c r="A48" s="385"/>
      <c r="B48" s="1509"/>
      <c r="C48" s="1509"/>
      <c r="D48" s="1509"/>
      <c r="E48" s="1509"/>
      <c r="F48" s="1509"/>
    </row>
    <row r="49" spans="1:6" ht="12.75" x14ac:dyDescent="0.2">
      <c r="A49" s="385"/>
      <c r="B49" s="1509"/>
      <c r="C49" s="1509"/>
      <c r="D49" s="1509"/>
      <c r="E49" s="1509"/>
      <c r="F49" s="1509"/>
    </row>
    <row r="50" spans="1:6" ht="12.75" x14ac:dyDescent="0.2">
      <c r="A50" s="385"/>
      <c r="B50" s="383"/>
      <c r="C50" s="383"/>
      <c r="D50" s="384"/>
      <c r="E50" s="383"/>
      <c r="F50" s="383"/>
    </row>
    <row r="51" spans="1:6" ht="12.75" x14ac:dyDescent="0.2">
      <c r="A51" s="385"/>
      <c r="B51" s="383"/>
      <c r="C51" s="383"/>
      <c r="D51" s="384"/>
      <c r="E51" s="383"/>
      <c r="F51" s="383"/>
    </row>
    <row r="52" spans="1:6" ht="12.75" x14ac:dyDescent="0.2">
      <c r="A52" s="385"/>
      <c r="B52" s="383"/>
      <c r="C52" s="383"/>
      <c r="D52" s="384"/>
      <c r="E52" s="383"/>
      <c r="F52" s="383"/>
    </row>
    <row r="53" spans="1:6" ht="12.75" x14ac:dyDescent="0.2">
      <c r="A53" s="385"/>
      <c r="B53" s="383"/>
      <c r="C53" s="383"/>
      <c r="D53" s="384"/>
      <c r="E53" s="383"/>
      <c r="F53" s="383"/>
    </row>
    <row r="54" spans="1:6" ht="12.75" x14ac:dyDescent="0.2">
      <c r="B54" s="381"/>
      <c r="C54" s="381"/>
      <c r="D54" s="382"/>
      <c r="E54" s="381"/>
      <c r="F54" s="381"/>
    </row>
    <row r="55" spans="1:6" ht="12.75" x14ac:dyDescent="0.2">
      <c r="B55" s="380"/>
    </row>
    <row r="56" spans="1:6" ht="12.75" x14ac:dyDescent="0.2">
      <c r="B56" s="380"/>
    </row>
  </sheetData>
  <mergeCells count="4">
    <mergeCell ref="A1:F1"/>
    <mergeCell ref="B48:F49"/>
    <mergeCell ref="B43:F43"/>
    <mergeCell ref="A3:F3"/>
  </mergeCells>
  <printOptions horizontalCentered="1"/>
  <pageMargins left="0.70866141732283472" right="0.70866141732283472" top="0.74803149606299213" bottom="0.74803149606299213" header="0.31496062992125984" footer="0.31496062992125984"/>
  <pageSetup paperSize="9" scale="9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I1267"/>
  <sheetViews>
    <sheetView view="pageBreakPreview" topLeftCell="A47" zoomScaleSheetLayoutView="100" workbookViewId="0">
      <selection activeCell="G117" sqref="G117"/>
    </sheetView>
  </sheetViews>
  <sheetFormatPr baseColWidth="10" defaultColWidth="11.42578125" defaultRowHeight="12.75" x14ac:dyDescent="0.2"/>
  <cols>
    <col min="1" max="1" width="6.42578125" customWidth="1"/>
    <col min="4" max="4" width="13.5703125" customWidth="1"/>
    <col min="5" max="5" width="11.85546875" bestFit="1" customWidth="1"/>
    <col min="6" max="6" width="12.28515625" bestFit="1" customWidth="1"/>
    <col min="7" max="7" width="13.28515625" bestFit="1" customWidth="1"/>
    <col min="8" max="8" width="16.28515625" bestFit="1" customWidth="1"/>
  </cols>
  <sheetData>
    <row r="1" spans="1:9" ht="27.75" customHeight="1" x14ac:dyDescent="0.25">
      <c r="A1" s="448"/>
      <c r="B1" s="448"/>
      <c r="C1" s="1513"/>
      <c r="D1" s="1513"/>
      <c r="E1" s="1513"/>
      <c r="F1" s="449" t="s">
        <v>638</v>
      </c>
      <c r="G1" s="450"/>
      <c r="H1" s="451"/>
    </row>
    <row r="2" spans="1:9" ht="34.5" customHeight="1" x14ac:dyDescent="0.25">
      <c r="A2" s="448"/>
      <c r="B2" s="448"/>
      <c r="C2" s="1513"/>
      <c r="D2" s="1513"/>
      <c r="E2" s="1513"/>
      <c r="F2" s="1514" t="s">
        <v>637</v>
      </c>
      <c r="G2" s="1514"/>
      <c r="H2" s="1514"/>
    </row>
    <row r="3" spans="1:9" ht="18" customHeight="1" x14ac:dyDescent="0.2">
      <c r="A3" s="452"/>
      <c r="B3" s="452"/>
      <c r="C3" s="1513"/>
      <c r="D3" s="1513"/>
      <c r="E3" s="1513"/>
      <c r="F3" s="1514"/>
      <c r="G3" s="1514"/>
      <c r="H3" s="1514"/>
    </row>
    <row r="4" spans="1:9" hidden="1" x14ac:dyDescent="0.2">
      <c r="A4" s="1512" t="s">
        <v>636</v>
      </c>
      <c r="B4" s="1512"/>
      <c r="C4" s="1512"/>
      <c r="D4" s="1512"/>
      <c r="E4" s="1512"/>
      <c r="F4" s="1526">
        <f ca="1">NOW()</f>
        <v>46191.422325347223</v>
      </c>
      <c r="G4" s="1526"/>
      <c r="H4" s="1526"/>
    </row>
    <row r="5" spans="1:9" x14ac:dyDescent="0.2">
      <c r="A5" s="444"/>
      <c r="B5" s="1515"/>
      <c r="C5" s="1516"/>
      <c r="D5" s="1516"/>
      <c r="E5" s="444"/>
      <c r="F5" s="453"/>
      <c r="G5" s="454"/>
      <c r="H5" s="455"/>
      <c r="I5" s="456"/>
    </row>
    <row r="6" spans="1:9" x14ac:dyDescent="0.2">
      <c r="A6" s="389">
        <v>1</v>
      </c>
      <c r="B6" s="380" t="s">
        <v>599</v>
      </c>
      <c r="C6" s="418"/>
      <c r="D6" s="457"/>
      <c r="E6" s="454"/>
      <c r="F6" s="453"/>
      <c r="G6" s="454" t="s">
        <v>634</v>
      </c>
      <c r="H6" s="455" t="s">
        <v>2</v>
      </c>
    </row>
    <row r="7" spans="1:9" x14ac:dyDescent="0.2">
      <c r="A7" s="458" t="s">
        <v>3</v>
      </c>
      <c r="B7" s="1525" t="s">
        <v>704</v>
      </c>
      <c r="C7" s="1525"/>
      <c r="D7" s="1525"/>
      <c r="E7" s="1525"/>
      <c r="F7" s="459"/>
      <c r="G7" s="454"/>
      <c r="H7" s="455"/>
    </row>
    <row r="8" spans="1:9" x14ac:dyDescent="0.2">
      <c r="A8" s="458"/>
      <c r="B8" s="460"/>
      <c r="C8" s="461"/>
      <c r="D8" s="461"/>
      <c r="E8" s="461"/>
      <c r="F8" s="461"/>
      <c r="G8" s="454"/>
      <c r="H8" s="455"/>
    </row>
    <row r="9" spans="1:9" x14ac:dyDescent="0.2">
      <c r="A9" s="458"/>
      <c r="B9" s="459"/>
      <c r="C9" s="459"/>
      <c r="D9" s="459"/>
      <c r="E9" s="459"/>
      <c r="F9" s="459"/>
      <c r="G9" s="416"/>
      <c r="H9" s="416"/>
    </row>
    <row r="10" spans="1:9" x14ac:dyDescent="0.2">
      <c r="A10" s="462" t="s">
        <v>633</v>
      </c>
      <c r="B10" s="462"/>
      <c r="C10" s="453"/>
      <c r="D10" s="445"/>
      <c r="E10" s="445"/>
      <c r="F10" s="445"/>
      <c r="G10" s="445"/>
      <c r="H10" s="445"/>
    </row>
    <row r="11" spans="1:9" x14ac:dyDescent="0.2">
      <c r="A11" s="463" t="s">
        <v>622</v>
      </c>
      <c r="B11" s="453"/>
      <c r="C11" s="446" t="s">
        <v>1</v>
      </c>
      <c r="D11" s="446"/>
      <c r="E11" s="446" t="s">
        <v>632</v>
      </c>
      <c r="F11" s="446" t="s">
        <v>631</v>
      </c>
      <c r="G11" s="446" t="s">
        <v>618</v>
      </c>
      <c r="H11" s="446" t="s">
        <v>627</v>
      </c>
    </row>
    <row r="12" spans="1:9" x14ac:dyDescent="0.2">
      <c r="A12" s="464"/>
      <c r="B12" s="465" t="s">
        <v>648</v>
      </c>
      <c r="C12" s="453"/>
      <c r="D12" s="453"/>
      <c r="E12" s="455"/>
      <c r="F12" s="453"/>
      <c r="G12" s="466">
        <v>1200</v>
      </c>
      <c r="H12" s="466">
        <f>+G12</f>
        <v>1200</v>
      </c>
    </row>
    <row r="13" spans="1:9" x14ac:dyDescent="0.2">
      <c r="A13" s="464"/>
      <c r="B13" s="465"/>
      <c r="C13" s="453"/>
      <c r="D13" s="453"/>
      <c r="E13" s="455"/>
      <c r="F13" s="453"/>
      <c r="G13" s="466"/>
      <c r="H13" s="466"/>
    </row>
    <row r="14" spans="1:9" x14ac:dyDescent="0.2">
      <c r="A14" s="464"/>
      <c r="B14" s="465"/>
      <c r="C14" s="465"/>
      <c r="D14" s="453"/>
      <c r="E14" s="455"/>
      <c r="F14" s="453"/>
      <c r="G14" s="453"/>
      <c r="H14" s="453"/>
    </row>
    <row r="15" spans="1:9" x14ac:dyDescent="0.2">
      <c r="A15" s="453"/>
      <c r="B15" s="453"/>
      <c r="C15" s="453"/>
      <c r="D15" s="453"/>
      <c r="E15" s="454"/>
      <c r="F15" s="453"/>
      <c r="G15" s="454" t="s">
        <v>605</v>
      </c>
      <c r="H15" s="467">
        <f>ROUND(SUM(H12:H14),0)</f>
        <v>1200</v>
      </c>
    </row>
    <row r="16" spans="1:9" x14ac:dyDescent="0.2">
      <c r="A16" s="453"/>
      <c r="B16" s="453"/>
      <c r="C16" s="453"/>
      <c r="D16" s="453"/>
      <c r="E16" s="454"/>
      <c r="F16" s="453"/>
      <c r="G16" s="454"/>
      <c r="H16" s="467"/>
    </row>
    <row r="17" spans="1:8" x14ac:dyDescent="0.2">
      <c r="A17" s="462" t="s">
        <v>629</v>
      </c>
      <c r="B17" s="462"/>
      <c r="C17" s="462"/>
      <c r="D17" s="462"/>
      <c r="E17" s="454"/>
      <c r="F17" s="453"/>
      <c r="G17" s="453"/>
      <c r="H17" s="453"/>
    </row>
    <row r="18" spans="1:8" x14ac:dyDescent="0.2">
      <c r="A18" s="463" t="s">
        <v>622</v>
      </c>
      <c r="B18" s="453"/>
      <c r="C18" s="446" t="s">
        <v>1</v>
      </c>
      <c r="D18" s="446"/>
      <c r="E18" s="446" t="s">
        <v>15</v>
      </c>
      <c r="F18" s="446" t="s">
        <v>628</v>
      </c>
      <c r="G18" s="446" t="s">
        <v>618</v>
      </c>
      <c r="H18" s="446" t="s">
        <v>627</v>
      </c>
    </row>
    <row r="19" spans="1:8" x14ac:dyDescent="0.2">
      <c r="A19" s="464"/>
      <c r="B19" s="1520" t="s">
        <v>626</v>
      </c>
      <c r="C19" s="1520"/>
      <c r="D19" s="1520"/>
      <c r="E19" s="455" t="s">
        <v>641</v>
      </c>
      <c r="F19" s="468">
        <v>30</v>
      </c>
      <c r="G19" s="469">
        <v>1500</v>
      </c>
      <c r="H19" s="470">
        <f>+ROUND(F19*G19,0)</f>
        <v>45000</v>
      </c>
    </row>
    <row r="20" spans="1:8" x14ac:dyDescent="0.2">
      <c r="A20" s="464"/>
      <c r="B20" s="1520" t="s">
        <v>642</v>
      </c>
      <c r="C20" s="1520"/>
      <c r="D20" s="1520"/>
      <c r="E20" s="455" t="s">
        <v>641</v>
      </c>
      <c r="F20" s="468">
        <v>10</v>
      </c>
      <c r="G20" s="469">
        <v>1400</v>
      </c>
      <c r="H20" s="470">
        <f>+ROUND(F20*G20,0)</f>
        <v>14000</v>
      </c>
    </row>
    <row r="21" spans="1:8" x14ac:dyDescent="0.2">
      <c r="A21" s="464"/>
      <c r="B21" s="1520" t="s">
        <v>640</v>
      </c>
      <c r="C21" s="1520"/>
      <c r="D21" s="1520"/>
      <c r="E21" s="455" t="s">
        <v>2</v>
      </c>
      <c r="F21" s="468">
        <v>1</v>
      </c>
      <c r="G21" s="469">
        <v>900</v>
      </c>
      <c r="H21" s="470">
        <f>+ROUND(F21*G21,0)</f>
        <v>900</v>
      </c>
    </row>
    <row r="22" spans="1:8" x14ac:dyDescent="0.2">
      <c r="A22" s="464"/>
      <c r="B22" s="1520" t="s">
        <v>639</v>
      </c>
      <c r="C22" s="1520"/>
      <c r="D22" s="1520"/>
      <c r="E22" s="455" t="s">
        <v>2</v>
      </c>
      <c r="F22" s="468">
        <v>4</v>
      </c>
      <c r="G22" s="469">
        <v>700</v>
      </c>
      <c r="H22" s="470">
        <f>+ROUND(F22*G22,0)</f>
        <v>2800</v>
      </c>
    </row>
    <row r="23" spans="1:8" x14ac:dyDescent="0.2">
      <c r="A23" s="464"/>
      <c r="B23" s="1520" t="s">
        <v>703</v>
      </c>
      <c r="C23" s="1520"/>
      <c r="D23" s="1520"/>
      <c r="E23" s="455" t="s">
        <v>2</v>
      </c>
      <c r="F23" s="468">
        <v>1</v>
      </c>
      <c r="G23" s="469">
        <v>124450</v>
      </c>
      <c r="H23" s="470">
        <f>+ROUND(F23*G23,0)</f>
        <v>124450</v>
      </c>
    </row>
    <row r="24" spans="1:8" x14ac:dyDescent="0.2">
      <c r="A24" s="464"/>
      <c r="B24" s="1520"/>
      <c r="C24" s="1520"/>
      <c r="D24" s="1520"/>
      <c r="E24" s="455"/>
      <c r="F24" s="468"/>
      <c r="G24" s="469"/>
      <c r="H24" s="470"/>
    </row>
    <row r="25" spans="1:8" x14ac:dyDescent="0.2">
      <c r="A25" s="464"/>
      <c r="B25" s="1520"/>
      <c r="C25" s="1520"/>
      <c r="D25" s="1520"/>
      <c r="E25" s="455"/>
      <c r="F25" s="468"/>
      <c r="G25" s="469"/>
      <c r="H25" s="470"/>
    </row>
    <row r="26" spans="1:8" x14ac:dyDescent="0.2">
      <c r="A26" s="464"/>
      <c r="B26" s="471"/>
      <c r="C26" s="472"/>
      <c r="D26" s="472"/>
      <c r="E26" s="455"/>
      <c r="F26" s="468"/>
      <c r="G26" s="469"/>
      <c r="H26" s="470">
        <f>+ROUND(F26*G26,0)</f>
        <v>0</v>
      </c>
    </row>
    <row r="27" spans="1:8" x14ac:dyDescent="0.2">
      <c r="A27" s="464"/>
      <c r="B27" s="453"/>
      <c r="C27" s="453"/>
      <c r="D27" s="453"/>
      <c r="E27" s="454"/>
      <c r="F27" s="453"/>
      <c r="G27" s="473"/>
      <c r="H27" s="473"/>
    </row>
    <row r="28" spans="1:8" x14ac:dyDescent="0.2">
      <c r="A28" s="453"/>
      <c r="B28" s="453"/>
      <c r="C28" s="453"/>
      <c r="D28" s="453"/>
      <c r="E28" s="454"/>
      <c r="F28" s="453"/>
      <c r="G28" s="454" t="s">
        <v>605</v>
      </c>
      <c r="H28" s="462">
        <f>ROUND(SUM(H19:H27),0)</f>
        <v>187150</v>
      </c>
    </row>
    <row r="29" spans="1:8" x14ac:dyDescent="0.2">
      <c r="A29" s="453"/>
      <c r="B29" s="453"/>
      <c r="C29" s="453"/>
      <c r="D29" s="453"/>
      <c r="E29" s="454"/>
      <c r="F29" s="453"/>
      <c r="G29" s="454"/>
      <c r="H29" s="462"/>
    </row>
    <row r="30" spans="1:8" x14ac:dyDescent="0.2">
      <c r="A30" s="462" t="s">
        <v>623</v>
      </c>
      <c r="B30" s="453"/>
      <c r="C30" s="453"/>
      <c r="D30" s="453"/>
      <c r="E30" s="454"/>
      <c r="F30" s="453"/>
      <c r="G30" s="454"/>
      <c r="H30" s="462"/>
    </row>
    <row r="31" spans="1:8" x14ac:dyDescent="0.2">
      <c r="A31" s="463" t="s">
        <v>622</v>
      </c>
      <c r="B31" s="1521" t="s">
        <v>621</v>
      </c>
      <c r="C31" s="1521"/>
      <c r="D31" s="474" t="s">
        <v>620</v>
      </c>
      <c r="E31" s="475" t="s">
        <v>2</v>
      </c>
      <c r="F31" s="476" t="s">
        <v>619</v>
      </c>
      <c r="G31" s="477" t="s">
        <v>618</v>
      </c>
      <c r="H31" s="477" t="s">
        <v>600</v>
      </c>
    </row>
    <row r="32" spans="1:8" x14ac:dyDescent="0.2">
      <c r="A32" s="478"/>
      <c r="B32" s="465" t="s">
        <v>679</v>
      </c>
      <c r="D32" s="479">
        <v>5.0000000000000001E-3</v>
      </c>
      <c r="E32" s="455" t="s">
        <v>616</v>
      </c>
      <c r="F32" s="480">
        <v>1</v>
      </c>
      <c r="G32" s="469">
        <v>380000</v>
      </c>
      <c r="H32" s="473">
        <f>+ROUND(D32*G32,0)</f>
        <v>1900</v>
      </c>
    </row>
    <row r="33" spans="1:8" x14ac:dyDescent="0.2">
      <c r="A33" s="478"/>
      <c r="B33" s="465"/>
      <c r="D33" s="481"/>
      <c r="E33" s="455"/>
      <c r="F33" s="482"/>
      <c r="G33" s="483"/>
      <c r="H33" s="470"/>
    </row>
    <row r="34" spans="1:8" x14ac:dyDescent="0.2">
      <c r="A34" s="478"/>
      <c r="E34" s="484"/>
      <c r="F34" s="484"/>
      <c r="G34" s="473"/>
      <c r="H34" s="470"/>
    </row>
    <row r="35" spans="1:8" x14ac:dyDescent="0.2">
      <c r="E35" s="485"/>
      <c r="F35" s="484"/>
      <c r="G35" s="454" t="s">
        <v>605</v>
      </c>
      <c r="H35" s="486">
        <f>ROUND(SUM(H32:H34),0)</f>
        <v>1900</v>
      </c>
    </row>
    <row r="36" spans="1:8" x14ac:dyDescent="0.2">
      <c r="E36" s="485"/>
      <c r="F36" s="484"/>
      <c r="G36" s="454"/>
      <c r="H36" s="486"/>
    </row>
    <row r="37" spans="1:8" x14ac:dyDescent="0.2">
      <c r="A37" s="462" t="s">
        <v>615</v>
      </c>
      <c r="B37" s="462"/>
      <c r="C37" s="462"/>
      <c r="D37" s="453"/>
      <c r="E37" s="454"/>
      <c r="F37" s="453"/>
      <c r="G37" s="453"/>
      <c r="H37" s="453"/>
    </row>
    <row r="38" spans="1:8" x14ac:dyDescent="0.2">
      <c r="A38" s="487" t="s">
        <v>421</v>
      </c>
      <c r="B38" s="1512" t="s">
        <v>614</v>
      </c>
      <c r="C38" s="1512"/>
      <c r="D38" s="446" t="s">
        <v>613</v>
      </c>
      <c r="E38" s="446" t="s">
        <v>612</v>
      </c>
      <c r="F38" s="446" t="s">
        <v>611</v>
      </c>
      <c r="G38" s="446" t="s">
        <v>610</v>
      </c>
      <c r="H38" s="446" t="s">
        <v>609</v>
      </c>
    </row>
    <row r="39" spans="1:8" x14ac:dyDescent="0.2">
      <c r="A39" s="488">
        <v>1</v>
      </c>
      <c r="B39" s="465" t="s">
        <v>608</v>
      </c>
      <c r="C39" s="465"/>
      <c r="D39" s="483">
        <v>80000</v>
      </c>
      <c r="E39" s="489">
        <f>D39*75%</f>
        <v>60000</v>
      </c>
      <c r="F39" s="473">
        <f>(D39+E39)*A39</f>
        <v>140000</v>
      </c>
      <c r="G39" s="453">
        <v>10</v>
      </c>
      <c r="H39" s="473">
        <f>+ROUND(F39/G39,0)</f>
        <v>14000</v>
      </c>
    </row>
    <row r="40" spans="1:8" x14ac:dyDescent="0.2">
      <c r="A40" s="488">
        <v>1</v>
      </c>
      <c r="B40" s="447" t="s">
        <v>607</v>
      </c>
      <c r="C40" s="465"/>
      <c r="D40" s="483">
        <v>40000</v>
      </c>
      <c r="E40" s="489">
        <f>D40*75%</f>
        <v>30000</v>
      </c>
      <c r="F40" s="473">
        <f>(D40+E40)*A40</f>
        <v>70000</v>
      </c>
      <c r="G40" s="453">
        <v>10</v>
      </c>
      <c r="H40" s="473">
        <f>+ROUND(F40/G40,0)</f>
        <v>7000</v>
      </c>
    </row>
    <row r="41" spans="1:8" x14ac:dyDescent="0.2">
      <c r="A41" s="488">
        <v>2</v>
      </c>
      <c r="B41" s="465" t="s">
        <v>606</v>
      </c>
      <c r="C41" s="465"/>
      <c r="D41" s="483">
        <v>25000</v>
      </c>
      <c r="E41" s="489">
        <f>D41*75%</f>
        <v>18750</v>
      </c>
      <c r="F41" s="473">
        <f>(D41+E41)*A41</f>
        <v>87500</v>
      </c>
      <c r="G41" s="453">
        <v>10</v>
      </c>
      <c r="H41" s="473">
        <f>+ROUND(F41/G41,0)</f>
        <v>8750</v>
      </c>
    </row>
    <row r="42" spans="1:8" x14ac:dyDescent="0.2">
      <c r="A42" s="488"/>
      <c r="B42" s="465"/>
      <c r="C42" s="465"/>
      <c r="D42" s="483"/>
      <c r="E42" s="489"/>
      <c r="F42" s="473"/>
      <c r="G42" s="453"/>
      <c r="H42" s="473"/>
    </row>
    <row r="43" spans="1:8" x14ac:dyDescent="0.2">
      <c r="A43" s="488"/>
      <c r="B43" s="453"/>
      <c r="C43" s="453"/>
      <c r="D43" s="473"/>
      <c r="E43" s="489"/>
      <c r="F43" s="473"/>
      <c r="G43" s="453"/>
      <c r="H43" s="473"/>
    </row>
    <row r="44" spans="1:8" x14ac:dyDescent="0.2">
      <c r="A44" s="453"/>
      <c r="B44" s="453"/>
      <c r="C44" s="453"/>
      <c r="D44" s="453"/>
      <c r="E44" s="454"/>
      <c r="F44" s="453"/>
      <c r="G44" s="454" t="s">
        <v>605</v>
      </c>
      <c r="H44" s="486">
        <f>ROUND(SUM(H39:H43),0)</f>
        <v>29750</v>
      </c>
    </row>
    <row r="45" spans="1:8" x14ac:dyDescent="0.2">
      <c r="A45" s="453"/>
      <c r="B45" s="453"/>
      <c r="C45" s="453"/>
      <c r="D45" s="453"/>
      <c r="E45" s="454"/>
      <c r="F45" s="453"/>
      <c r="G45" s="453"/>
      <c r="H45" s="453"/>
    </row>
    <row r="46" spans="1:8" x14ac:dyDescent="0.2">
      <c r="A46" s="490"/>
      <c r="B46" s="453"/>
      <c r="C46" s="453"/>
      <c r="D46" s="453"/>
      <c r="E46" s="491" t="s">
        <v>604</v>
      </c>
      <c r="F46" s="492"/>
      <c r="G46" s="492"/>
      <c r="H46" s="493">
        <f>+ROUND(H15+H28+H35+H44,0)</f>
        <v>220000</v>
      </c>
    </row>
    <row r="47" spans="1:8" x14ac:dyDescent="0.2">
      <c r="A47" s="488"/>
      <c r="B47" s="453"/>
      <c r="C47" s="453"/>
      <c r="D47" s="473"/>
      <c r="E47" s="489"/>
      <c r="F47" s="473"/>
      <c r="G47" s="453"/>
      <c r="H47" s="473"/>
    </row>
    <row r="52" spans="1:8" ht="15.75" customHeight="1" x14ac:dyDescent="0.25">
      <c r="A52" s="448"/>
      <c r="B52" s="448"/>
      <c r="C52" s="1513"/>
      <c r="D52" s="1513"/>
      <c r="E52" s="1513"/>
      <c r="F52" s="449" t="s">
        <v>638</v>
      </c>
      <c r="G52" s="450"/>
      <c r="H52" s="451"/>
    </row>
    <row r="53" spans="1:8" ht="15.75" x14ac:dyDescent="0.25">
      <c r="A53" s="448"/>
      <c r="B53" s="448"/>
      <c r="C53" s="1513"/>
      <c r="D53" s="1513"/>
      <c r="E53" s="1513"/>
      <c r="F53" s="1514" t="s">
        <v>637</v>
      </c>
      <c r="G53" s="1514"/>
      <c r="H53" s="1514"/>
    </row>
    <row r="54" spans="1:8" ht="21" customHeight="1" x14ac:dyDescent="0.2">
      <c r="A54" s="452"/>
      <c r="B54" s="452"/>
      <c r="C54" s="1513"/>
      <c r="D54" s="1513"/>
      <c r="E54" s="1513"/>
      <c r="F54" s="1514"/>
      <c r="G54" s="1514"/>
      <c r="H54" s="1514"/>
    </row>
    <row r="55" spans="1:8" x14ac:dyDescent="0.2">
      <c r="A55" s="444"/>
      <c r="B55" s="1515"/>
      <c r="C55" s="1516"/>
      <c r="D55" s="1516"/>
      <c r="E55" s="444"/>
      <c r="F55" s="453"/>
      <c r="G55" s="454"/>
      <c r="H55" s="455"/>
    </row>
    <row r="56" spans="1:8" x14ac:dyDescent="0.2">
      <c r="A56" s="389">
        <v>1</v>
      </c>
      <c r="B56" s="380" t="s">
        <v>599</v>
      </c>
      <c r="C56" s="418"/>
      <c r="D56" s="457"/>
      <c r="E56" s="454"/>
      <c r="F56" s="453"/>
      <c r="G56" s="454" t="s">
        <v>634</v>
      </c>
      <c r="H56" s="455" t="s">
        <v>2</v>
      </c>
    </row>
    <row r="57" spans="1:8" x14ac:dyDescent="0.2">
      <c r="A57" s="458" t="s">
        <v>25</v>
      </c>
      <c r="B57" s="1525" t="s">
        <v>702</v>
      </c>
      <c r="C57" s="1525"/>
      <c r="D57" s="1525"/>
      <c r="E57" s="1525"/>
      <c r="F57" s="459"/>
      <c r="G57" s="454"/>
      <c r="H57" s="455"/>
    </row>
    <row r="58" spans="1:8" x14ac:dyDescent="0.2">
      <c r="A58" s="458"/>
      <c r="B58" s="460"/>
      <c r="C58" s="461"/>
      <c r="D58" s="461"/>
      <c r="E58" s="461"/>
      <c r="F58" s="461"/>
      <c r="G58" s="454"/>
      <c r="H58" s="455"/>
    </row>
    <row r="59" spans="1:8" x14ac:dyDescent="0.2">
      <c r="A59" s="458"/>
      <c r="B59" s="459"/>
      <c r="C59" s="459"/>
      <c r="D59" s="459"/>
      <c r="E59" s="459"/>
      <c r="F59" s="459"/>
      <c r="G59" s="416"/>
      <c r="H59" s="416"/>
    </row>
    <row r="60" spans="1:8" x14ac:dyDescent="0.2">
      <c r="A60" s="462" t="s">
        <v>633</v>
      </c>
      <c r="B60" s="462"/>
      <c r="C60" s="453"/>
      <c r="D60" s="445"/>
      <c r="E60" s="445"/>
      <c r="F60" s="445"/>
      <c r="G60" s="445"/>
      <c r="H60" s="445"/>
    </row>
    <row r="61" spans="1:8" x14ac:dyDescent="0.2">
      <c r="A61" s="463" t="s">
        <v>622</v>
      </c>
      <c r="B61" s="453"/>
      <c r="C61" s="446" t="s">
        <v>1</v>
      </c>
      <c r="D61" s="446"/>
      <c r="E61" s="446" t="s">
        <v>632</v>
      </c>
      <c r="F61" s="446" t="s">
        <v>631</v>
      </c>
      <c r="G61" s="446" t="s">
        <v>618</v>
      </c>
      <c r="H61" s="446" t="s">
        <v>627</v>
      </c>
    </row>
    <row r="62" spans="1:8" x14ac:dyDescent="0.2">
      <c r="A62" s="464"/>
      <c r="B62" s="465" t="s">
        <v>648</v>
      </c>
      <c r="C62" s="453"/>
      <c r="D62" s="453"/>
      <c r="E62" s="455"/>
      <c r="F62" s="453"/>
      <c r="G62" s="466">
        <v>1200</v>
      </c>
      <c r="H62" s="466">
        <f>+G62</f>
        <v>1200</v>
      </c>
    </row>
    <row r="63" spans="1:8" x14ac:dyDescent="0.2">
      <c r="A63" s="464"/>
      <c r="B63" s="465"/>
      <c r="C63" s="453"/>
      <c r="D63" s="453"/>
      <c r="E63" s="455"/>
      <c r="F63" s="453"/>
      <c r="G63" s="466"/>
      <c r="H63" s="466"/>
    </row>
    <row r="64" spans="1:8" x14ac:dyDescent="0.2">
      <c r="A64" s="464"/>
      <c r="B64" s="465"/>
      <c r="C64" s="465"/>
      <c r="D64" s="453"/>
      <c r="E64" s="455"/>
      <c r="F64" s="453"/>
      <c r="G64" s="453"/>
      <c r="H64" s="453"/>
    </row>
    <row r="65" spans="1:8" x14ac:dyDescent="0.2">
      <c r="A65" s="453"/>
      <c r="B65" s="453"/>
      <c r="C65" s="453"/>
      <c r="D65" s="453"/>
      <c r="E65" s="454"/>
      <c r="F65" s="453"/>
      <c r="G65" s="454" t="s">
        <v>605</v>
      </c>
      <c r="H65" s="467">
        <f>ROUND(SUM(H62:H64),0)</f>
        <v>1200</v>
      </c>
    </row>
    <row r="66" spans="1:8" x14ac:dyDescent="0.2">
      <c r="A66" s="453"/>
      <c r="B66" s="453"/>
      <c r="C66" s="453"/>
      <c r="D66" s="453"/>
      <c r="E66" s="454"/>
      <c r="F66" s="453"/>
      <c r="G66" s="454"/>
      <c r="H66" s="467"/>
    </row>
    <row r="67" spans="1:8" x14ac:dyDescent="0.2">
      <c r="A67" s="462" t="s">
        <v>629</v>
      </c>
      <c r="B67" s="462"/>
      <c r="C67" s="462"/>
      <c r="D67" s="462"/>
      <c r="E67" s="454"/>
      <c r="F67" s="453"/>
      <c r="G67" s="453"/>
      <c r="H67" s="453"/>
    </row>
    <row r="68" spans="1:8" x14ac:dyDescent="0.2">
      <c r="A68" s="463" t="s">
        <v>622</v>
      </c>
      <c r="B68" s="453"/>
      <c r="C68" s="446" t="s">
        <v>1</v>
      </c>
      <c r="D68" s="446"/>
      <c r="E68" s="446" t="s">
        <v>15</v>
      </c>
      <c r="F68" s="446" t="s">
        <v>628</v>
      </c>
      <c r="G68" s="446" t="s">
        <v>618</v>
      </c>
      <c r="H68" s="446" t="s">
        <v>627</v>
      </c>
    </row>
    <row r="69" spans="1:8" x14ac:dyDescent="0.2">
      <c r="A69" s="464"/>
      <c r="B69" s="1520" t="s">
        <v>626</v>
      </c>
      <c r="C69" s="1520"/>
      <c r="D69" s="1520"/>
      <c r="E69" s="455" t="s">
        <v>641</v>
      </c>
      <c r="F69" s="468">
        <v>30</v>
      </c>
      <c r="G69" s="469">
        <v>1500</v>
      </c>
      <c r="H69" s="470">
        <f>+ROUND(F69*G69,0)</f>
        <v>45000</v>
      </c>
    </row>
    <row r="70" spans="1:8" x14ac:dyDescent="0.2">
      <c r="A70" s="464"/>
      <c r="B70" s="1520" t="s">
        <v>642</v>
      </c>
      <c r="C70" s="1520"/>
      <c r="D70" s="1520"/>
      <c r="E70" s="455" t="s">
        <v>641</v>
      </c>
      <c r="F70" s="468">
        <v>10</v>
      </c>
      <c r="G70" s="469">
        <v>1400</v>
      </c>
      <c r="H70" s="470">
        <f>+ROUND(F70*G70,0)</f>
        <v>14000</v>
      </c>
    </row>
    <row r="71" spans="1:8" x14ac:dyDescent="0.2">
      <c r="A71" s="464"/>
      <c r="B71" s="1520" t="s">
        <v>640</v>
      </c>
      <c r="C71" s="1520"/>
      <c r="D71" s="1520"/>
      <c r="E71" s="455" t="s">
        <v>2</v>
      </c>
      <c r="F71" s="468">
        <v>1</v>
      </c>
      <c r="G71" s="469">
        <v>900</v>
      </c>
      <c r="H71" s="470">
        <f>+ROUND(F71*G71,0)</f>
        <v>900</v>
      </c>
    </row>
    <row r="72" spans="1:8" x14ac:dyDescent="0.2">
      <c r="A72" s="464"/>
      <c r="B72" s="1520" t="s">
        <v>639</v>
      </c>
      <c r="C72" s="1520"/>
      <c r="D72" s="1520"/>
      <c r="E72" s="455" t="s">
        <v>2</v>
      </c>
      <c r="F72" s="468">
        <v>4</v>
      </c>
      <c r="G72" s="469">
        <v>700</v>
      </c>
      <c r="H72" s="470">
        <f>+ROUND(F72*G72,0)</f>
        <v>2800</v>
      </c>
    </row>
    <row r="73" spans="1:8" x14ac:dyDescent="0.2">
      <c r="A73" s="464"/>
      <c r="B73" s="1520" t="s">
        <v>701</v>
      </c>
      <c r="C73" s="1520"/>
      <c r="D73" s="1520"/>
      <c r="E73" s="455" t="s">
        <v>2</v>
      </c>
      <c r="F73" s="468">
        <v>1</v>
      </c>
      <c r="G73" s="469">
        <v>93925</v>
      </c>
      <c r="H73" s="470">
        <f>+ROUND(F73*G73,0)</f>
        <v>93925</v>
      </c>
    </row>
    <row r="74" spans="1:8" x14ac:dyDescent="0.2">
      <c r="A74" s="464"/>
      <c r="B74" s="1520"/>
      <c r="C74" s="1520"/>
      <c r="D74" s="1520"/>
      <c r="E74" s="455"/>
      <c r="F74" s="468"/>
      <c r="G74" s="469"/>
      <c r="H74" s="470"/>
    </row>
    <row r="75" spans="1:8" x14ac:dyDescent="0.2">
      <c r="A75" s="464"/>
      <c r="B75" s="1520"/>
      <c r="C75" s="1520"/>
      <c r="D75" s="1520"/>
      <c r="E75" s="455"/>
      <c r="F75" s="468"/>
      <c r="G75" s="469"/>
      <c r="H75" s="470"/>
    </row>
    <row r="76" spans="1:8" x14ac:dyDescent="0.2">
      <c r="A76" s="464"/>
      <c r="B76" s="471"/>
      <c r="C76" s="472"/>
      <c r="D76" s="472"/>
      <c r="E76" s="455"/>
      <c r="F76" s="468"/>
      <c r="G76" s="469"/>
      <c r="H76" s="470">
        <f>+ROUND(F76*G76,0)</f>
        <v>0</v>
      </c>
    </row>
    <row r="77" spans="1:8" x14ac:dyDescent="0.2">
      <c r="A77" s="464"/>
      <c r="B77" s="453"/>
      <c r="C77" s="453"/>
      <c r="D77" s="453"/>
      <c r="E77" s="454"/>
      <c r="F77" s="453"/>
      <c r="G77" s="473"/>
      <c r="H77" s="473"/>
    </row>
    <row r="78" spans="1:8" x14ac:dyDescent="0.2">
      <c r="A78" s="453"/>
      <c r="B78" s="453"/>
      <c r="C78" s="453"/>
      <c r="D78" s="453"/>
      <c r="E78" s="454"/>
      <c r="F78" s="453"/>
      <c r="G78" s="454" t="s">
        <v>605</v>
      </c>
      <c r="H78" s="462">
        <f>ROUND(SUM(H69:H77),0)</f>
        <v>156625</v>
      </c>
    </row>
    <row r="79" spans="1:8" x14ac:dyDescent="0.2">
      <c r="A79" s="453"/>
      <c r="B79" s="453"/>
      <c r="C79" s="453"/>
      <c r="D79" s="453"/>
      <c r="E79" s="454"/>
      <c r="F79" s="453"/>
      <c r="G79" s="454"/>
      <c r="H79" s="462"/>
    </row>
    <row r="80" spans="1:8" x14ac:dyDescent="0.2">
      <c r="A80" s="462" t="s">
        <v>623</v>
      </c>
      <c r="B80" s="453"/>
      <c r="C80" s="453"/>
      <c r="D80" s="453"/>
      <c r="E80" s="454"/>
      <c r="F80" s="453"/>
      <c r="G80" s="454"/>
      <c r="H80" s="462"/>
    </row>
    <row r="81" spans="1:8" x14ac:dyDescent="0.2">
      <c r="A81" s="463" t="s">
        <v>622</v>
      </c>
      <c r="B81" s="1521" t="s">
        <v>621</v>
      </c>
      <c r="C81" s="1521"/>
      <c r="D81" s="474" t="s">
        <v>620</v>
      </c>
      <c r="E81" s="475" t="s">
        <v>2</v>
      </c>
      <c r="F81" s="476" t="s">
        <v>619</v>
      </c>
      <c r="G81" s="477" t="s">
        <v>618</v>
      </c>
      <c r="H81" s="477" t="s">
        <v>600</v>
      </c>
    </row>
    <row r="82" spans="1:8" x14ac:dyDescent="0.2">
      <c r="A82" s="478"/>
      <c r="B82" s="465" t="s">
        <v>679</v>
      </c>
      <c r="D82" s="479">
        <v>5.0000000000000001E-3</v>
      </c>
      <c r="E82" s="455" t="s">
        <v>616</v>
      </c>
      <c r="F82" s="480">
        <v>1</v>
      </c>
      <c r="G82" s="469">
        <v>380000</v>
      </c>
      <c r="H82" s="473">
        <f>+ROUND(D82*G82,0)</f>
        <v>1900</v>
      </c>
    </row>
    <row r="83" spans="1:8" x14ac:dyDescent="0.2">
      <c r="A83" s="478"/>
      <c r="B83" s="465"/>
      <c r="D83" s="481"/>
      <c r="E83" s="455"/>
      <c r="F83" s="482"/>
      <c r="G83" s="483"/>
      <c r="H83" s="470"/>
    </row>
    <row r="84" spans="1:8" x14ac:dyDescent="0.2">
      <c r="A84" s="478"/>
      <c r="E84" s="484"/>
      <c r="F84" s="484"/>
      <c r="G84" s="473"/>
      <c r="H84" s="470"/>
    </row>
    <row r="85" spans="1:8" x14ac:dyDescent="0.2">
      <c r="E85" s="485"/>
      <c r="F85" s="484"/>
      <c r="G85" s="454" t="s">
        <v>605</v>
      </c>
      <c r="H85" s="486">
        <f>ROUND(SUM(H82:H84),0)</f>
        <v>1900</v>
      </c>
    </row>
    <row r="86" spans="1:8" x14ac:dyDescent="0.2">
      <c r="E86" s="485"/>
      <c r="F86" s="484"/>
      <c r="G86" s="454"/>
      <c r="H86" s="486"/>
    </row>
    <row r="87" spans="1:8" x14ac:dyDescent="0.2">
      <c r="A87" s="462" t="s">
        <v>615</v>
      </c>
      <c r="B87" s="462"/>
      <c r="C87" s="462"/>
      <c r="D87" s="453"/>
      <c r="E87" s="454"/>
      <c r="F87" s="453"/>
      <c r="G87" s="453"/>
      <c r="H87" s="453"/>
    </row>
    <row r="88" spans="1:8" x14ac:dyDescent="0.2">
      <c r="A88" s="487" t="s">
        <v>421</v>
      </c>
      <c r="B88" s="1512" t="s">
        <v>614</v>
      </c>
      <c r="C88" s="1512"/>
      <c r="D88" s="446" t="s">
        <v>613</v>
      </c>
      <c r="E88" s="446" t="s">
        <v>612</v>
      </c>
      <c r="F88" s="446" t="s">
        <v>611</v>
      </c>
      <c r="G88" s="446" t="s">
        <v>610</v>
      </c>
      <c r="H88" s="446" t="s">
        <v>609</v>
      </c>
    </row>
    <row r="89" spans="1:8" x14ac:dyDescent="0.2">
      <c r="A89" s="488">
        <v>1</v>
      </c>
      <c r="B89" s="465" t="s">
        <v>608</v>
      </c>
      <c r="C89" s="465"/>
      <c r="D89" s="483">
        <v>80000</v>
      </c>
      <c r="E89" s="489">
        <f>D89*75%</f>
        <v>60000</v>
      </c>
      <c r="F89" s="473">
        <f>(D89+E89)*A89</f>
        <v>140000</v>
      </c>
      <c r="G89" s="453">
        <v>10</v>
      </c>
      <c r="H89" s="473">
        <f>+ROUND(F89/G89,0)</f>
        <v>14000</v>
      </c>
    </row>
    <row r="90" spans="1:8" x14ac:dyDescent="0.2">
      <c r="A90" s="488">
        <v>1</v>
      </c>
      <c r="B90" s="447" t="s">
        <v>607</v>
      </c>
      <c r="C90" s="465"/>
      <c r="D90" s="483">
        <v>40000</v>
      </c>
      <c r="E90" s="489">
        <f>D90*75%</f>
        <v>30000</v>
      </c>
      <c r="F90" s="473">
        <f>(D90+E90)*A90</f>
        <v>70000</v>
      </c>
      <c r="G90" s="453">
        <v>10</v>
      </c>
      <c r="H90" s="473">
        <f>+ROUND(F90/G90,0)</f>
        <v>7000</v>
      </c>
    </row>
    <row r="91" spans="1:8" x14ac:dyDescent="0.2">
      <c r="A91" s="488">
        <v>2</v>
      </c>
      <c r="B91" s="465" t="s">
        <v>606</v>
      </c>
      <c r="C91" s="465"/>
      <c r="D91" s="483">
        <v>25000</v>
      </c>
      <c r="E91" s="489">
        <f>D91*75%</f>
        <v>18750</v>
      </c>
      <c r="F91" s="473">
        <f>(D91+E91)*A91</f>
        <v>87500</v>
      </c>
      <c r="G91" s="453">
        <v>10</v>
      </c>
      <c r="H91" s="473">
        <f>+ROUND(F91/G91,0)</f>
        <v>8750</v>
      </c>
    </row>
    <row r="92" spans="1:8" x14ac:dyDescent="0.2">
      <c r="A92" s="488"/>
      <c r="B92" s="465"/>
      <c r="C92" s="465"/>
      <c r="D92" s="483"/>
      <c r="E92" s="489"/>
      <c r="F92" s="473"/>
      <c r="G92" s="453"/>
      <c r="H92" s="473"/>
    </row>
    <row r="93" spans="1:8" x14ac:dyDescent="0.2">
      <c r="A93" s="488"/>
      <c r="B93" s="453"/>
      <c r="C93" s="453"/>
      <c r="D93" s="473"/>
      <c r="E93" s="489"/>
      <c r="F93" s="473"/>
      <c r="G93" s="453"/>
      <c r="H93" s="473"/>
    </row>
    <row r="94" spans="1:8" x14ac:dyDescent="0.2">
      <c r="A94" s="453"/>
      <c r="B94" s="453"/>
      <c r="C94" s="453"/>
      <c r="D94" s="453"/>
      <c r="E94" s="454"/>
      <c r="F94" s="453"/>
      <c r="G94" s="454" t="s">
        <v>605</v>
      </c>
      <c r="H94" s="486">
        <f>ROUND(SUM(H89:H93),0)</f>
        <v>29750</v>
      </c>
    </row>
    <row r="95" spans="1:8" x14ac:dyDescent="0.2">
      <c r="A95" s="453"/>
      <c r="B95" s="453"/>
      <c r="C95" s="453"/>
      <c r="D95" s="453"/>
      <c r="E95" s="454"/>
      <c r="F95" s="453"/>
      <c r="G95" s="453"/>
      <c r="H95" s="453"/>
    </row>
    <row r="96" spans="1:8" x14ac:dyDescent="0.2">
      <c r="A96" s="490"/>
      <c r="B96" s="453"/>
      <c r="C96" s="453"/>
      <c r="D96" s="453"/>
      <c r="E96" s="491" t="s">
        <v>604</v>
      </c>
      <c r="F96" s="492"/>
      <c r="G96" s="492"/>
      <c r="H96" s="493">
        <f>+ROUND(H65+H78+H85+H94,0)</f>
        <v>189475</v>
      </c>
    </row>
    <row r="97" spans="1:8" x14ac:dyDescent="0.2">
      <c r="A97" s="488"/>
      <c r="B97" s="453"/>
      <c r="C97" s="453"/>
      <c r="D97" s="473"/>
      <c r="E97" s="489"/>
      <c r="F97" s="473"/>
      <c r="G97" s="453"/>
      <c r="H97" s="473"/>
    </row>
    <row r="104" spans="1:8" ht="15.75" customHeight="1" x14ac:dyDescent="0.25">
      <c r="A104" s="448"/>
      <c r="B104" s="448"/>
      <c r="C104" s="1513"/>
      <c r="D104" s="1513"/>
      <c r="E104" s="1513"/>
      <c r="F104" s="449" t="s">
        <v>638</v>
      </c>
      <c r="G104" s="450"/>
      <c r="H104" s="451"/>
    </row>
    <row r="105" spans="1:8" ht="15.75" x14ac:dyDescent="0.25">
      <c r="A105" s="448"/>
      <c r="B105" s="448"/>
      <c r="C105" s="1513"/>
      <c r="D105" s="1513"/>
      <c r="E105" s="1513"/>
      <c r="F105" s="1514" t="s">
        <v>637</v>
      </c>
      <c r="G105" s="1514"/>
      <c r="H105" s="1514"/>
    </row>
    <row r="106" spans="1:8" x14ac:dyDescent="0.2">
      <c r="A106" s="452"/>
      <c r="B106" s="452"/>
      <c r="C106" s="1513"/>
      <c r="D106" s="1513"/>
      <c r="E106" s="1513"/>
      <c r="F106" s="1514"/>
      <c r="G106" s="1514"/>
      <c r="H106" s="1514"/>
    </row>
    <row r="107" spans="1:8" x14ac:dyDescent="0.2">
      <c r="A107" s="444"/>
      <c r="B107" s="1515"/>
      <c r="C107" s="1516"/>
      <c r="D107" s="1516"/>
      <c r="E107" s="444"/>
      <c r="F107" s="453"/>
      <c r="G107" s="454"/>
      <c r="H107" s="455"/>
    </row>
    <row r="108" spans="1:8" x14ac:dyDescent="0.2">
      <c r="A108" s="389">
        <v>1</v>
      </c>
      <c r="B108" s="380" t="s">
        <v>599</v>
      </c>
      <c r="C108" s="418"/>
      <c r="D108" s="457"/>
      <c r="E108" s="454"/>
      <c r="F108" s="453"/>
      <c r="G108" s="454" t="s">
        <v>634</v>
      </c>
      <c r="H108" s="455" t="s">
        <v>2</v>
      </c>
    </row>
    <row r="109" spans="1:8" x14ac:dyDescent="0.2">
      <c r="A109" s="458" t="s">
        <v>26</v>
      </c>
      <c r="B109" s="1525" t="s">
        <v>700</v>
      </c>
      <c r="C109" s="1525"/>
      <c r="D109" s="1525"/>
      <c r="E109" s="1525"/>
      <c r="F109" s="459"/>
      <c r="G109" s="454"/>
      <c r="H109" s="455"/>
    </row>
    <row r="110" spans="1:8" x14ac:dyDescent="0.2">
      <c r="A110" s="458"/>
      <c r="B110" s="460"/>
      <c r="C110" s="461"/>
      <c r="D110" s="461"/>
      <c r="E110" s="461"/>
      <c r="F110" s="461"/>
      <c r="G110" s="454"/>
      <c r="H110" s="455"/>
    </row>
    <row r="111" spans="1:8" x14ac:dyDescent="0.2">
      <c r="A111" s="458"/>
      <c r="B111" s="459"/>
      <c r="C111" s="459"/>
      <c r="D111" s="459"/>
      <c r="E111" s="459"/>
      <c r="F111" s="459"/>
      <c r="G111" s="416"/>
      <c r="H111" s="416"/>
    </row>
    <row r="112" spans="1:8" x14ac:dyDescent="0.2">
      <c r="A112" s="462" t="s">
        <v>633</v>
      </c>
      <c r="B112" s="462"/>
      <c r="C112" s="453"/>
      <c r="D112" s="445"/>
      <c r="E112" s="445"/>
      <c r="F112" s="445"/>
      <c r="G112" s="445"/>
      <c r="H112" s="445"/>
    </row>
    <row r="113" spans="1:8" x14ac:dyDescent="0.2">
      <c r="A113" s="463" t="s">
        <v>622</v>
      </c>
      <c r="B113" s="453"/>
      <c r="C113" s="446" t="s">
        <v>1</v>
      </c>
      <c r="D113" s="446"/>
      <c r="E113" s="446" t="s">
        <v>632</v>
      </c>
      <c r="F113" s="446" t="s">
        <v>631</v>
      </c>
      <c r="G113" s="446" t="s">
        <v>618</v>
      </c>
      <c r="H113" s="446" t="s">
        <v>627</v>
      </c>
    </row>
    <row r="114" spans="1:8" x14ac:dyDescent="0.2">
      <c r="A114" s="464"/>
      <c r="B114" s="465" t="s">
        <v>648</v>
      </c>
      <c r="C114" s="453"/>
      <c r="D114" s="453"/>
      <c r="E114" s="455"/>
      <c r="F114" s="453"/>
      <c r="G114" s="466">
        <v>1200</v>
      </c>
      <c r="H114" s="466">
        <f>+G114</f>
        <v>1200</v>
      </c>
    </row>
    <row r="115" spans="1:8" x14ac:dyDescent="0.2">
      <c r="A115" s="464"/>
      <c r="B115" s="465"/>
      <c r="C115" s="453"/>
      <c r="D115" s="453"/>
      <c r="E115" s="455"/>
      <c r="F115" s="453"/>
      <c r="G115" s="466"/>
      <c r="H115" s="466"/>
    </row>
    <row r="116" spans="1:8" x14ac:dyDescent="0.2">
      <c r="A116" s="464"/>
      <c r="B116" s="465"/>
      <c r="C116" s="465"/>
      <c r="D116" s="453"/>
      <c r="E116" s="455"/>
      <c r="F116" s="453"/>
      <c r="G116" s="453"/>
      <c r="H116" s="453"/>
    </row>
    <row r="117" spans="1:8" x14ac:dyDescent="0.2">
      <c r="A117" s="453"/>
      <c r="B117" s="453"/>
      <c r="C117" s="453"/>
      <c r="D117" s="453"/>
      <c r="E117" s="454"/>
      <c r="F117" s="453"/>
      <c r="G117" s="454" t="s">
        <v>605</v>
      </c>
      <c r="H117" s="467">
        <f>ROUND(SUM(H114:H116),0)</f>
        <v>1200</v>
      </c>
    </row>
    <row r="118" spans="1:8" x14ac:dyDescent="0.2">
      <c r="A118" s="453"/>
      <c r="B118" s="453"/>
      <c r="C118" s="453"/>
      <c r="D118" s="453"/>
      <c r="E118" s="454"/>
      <c r="F118" s="453"/>
      <c r="G118" s="454"/>
      <c r="H118" s="467"/>
    </row>
    <row r="119" spans="1:8" x14ac:dyDescent="0.2">
      <c r="A119" s="462" t="s">
        <v>629</v>
      </c>
      <c r="B119" s="462"/>
      <c r="C119" s="462"/>
      <c r="D119" s="462"/>
      <c r="E119" s="454"/>
      <c r="F119" s="453"/>
      <c r="G119" s="453"/>
      <c r="H119" s="453"/>
    </row>
    <row r="120" spans="1:8" x14ac:dyDescent="0.2">
      <c r="A120" s="463" t="s">
        <v>622</v>
      </c>
      <c r="B120" s="453"/>
      <c r="C120" s="446" t="s">
        <v>1</v>
      </c>
      <c r="D120" s="446"/>
      <c r="E120" s="446" t="s">
        <v>15</v>
      </c>
      <c r="F120" s="446" t="s">
        <v>628</v>
      </c>
      <c r="G120" s="446" t="s">
        <v>618</v>
      </c>
      <c r="H120" s="446" t="s">
        <v>627</v>
      </c>
    </row>
    <row r="121" spans="1:8" x14ac:dyDescent="0.2">
      <c r="A121" s="464"/>
      <c r="B121" s="1520" t="s">
        <v>626</v>
      </c>
      <c r="C121" s="1520"/>
      <c r="D121" s="1520"/>
      <c r="E121" s="455" t="s">
        <v>641</v>
      </c>
      <c r="F121" s="468">
        <v>25</v>
      </c>
      <c r="G121" s="469">
        <v>1500</v>
      </c>
      <c r="H121" s="470">
        <f>+ROUND(F121*G121,0)</f>
        <v>37500</v>
      </c>
    </row>
    <row r="122" spans="1:8" x14ac:dyDescent="0.2">
      <c r="A122" s="464"/>
      <c r="B122" s="1520" t="s">
        <v>642</v>
      </c>
      <c r="C122" s="1520"/>
      <c r="D122" s="1520"/>
      <c r="E122" s="455" t="s">
        <v>641</v>
      </c>
      <c r="F122" s="468">
        <v>9</v>
      </c>
      <c r="G122" s="469">
        <v>1400</v>
      </c>
      <c r="H122" s="470">
        <f>+ROUND(F122*G122,0)</f>
        <v>12600</v>
      </c>
    </row>
    <row r="123" spans="1:8" x14ac:dyDescent="0.2">
      <c r="A123" s="464"/>
      <c r="B123" s="1520" t="s">
        <v>640</v>
      </c>
      <c r="C123" s="1520"/>
      <c r="D123" s="1520"/>
      <c r="E123" s="455" t="s">
        <v>2</v>
      </c>
      <c r="F123" s="468">
        <v>1</v>
      </c>
      <c r="G123" s="469">
        <v>1083</v>
      </c>
      <c r="H123" s="470">
        <f>+ROUND(F123*G123,0)</f>
        <v>1083</v>
      </c>
    </row>
    <row r="124" spans="1:8" x14ac:dyDescent="0.2">
      <c r="A124" s="464"/>
      <c r="B124" s="1520" t="s">
        <v>639</v>
      </c>
      <c r="C124" s="1520"/>
      <c r="D124" s="1520"/>
      <c r="E124" s="455" t="s">
        <v>2</v>
      </c>
      <c r="F124" s="468">
        <v>4</v>
      </c>
      <c r="G124" s="469">
        <v>700</v>
      </c>
      <c r="H124" s="470">
        <f>+ROUND(F124*G124,0)</f>
        <v>2800</v>
      </c>
    </row>
    <row r="125" spans="1:8" x14ac:dyDescent="0.2">
      <c r="A125" s="464"/>
      <c r="B125" s="1520" t="s">
        <v>699</v>
      </c>
      <c r="C125" s="1520"/>
      <c r="D125" s="1520"/>
      <c r="E125" s="455" t="s">
        <v>2</v>
      </c>
      <c r="F125" s="468">
        <v>1</v>
      </c>
      <c r="G125" s="469">
        <v>30582</v>
      </c>
      <c r="H125" s="470">
        <f>+ROUND(F125*G125,0)</f>
        <v>30582</v>
      </c>
    </row>
    <row r="126" spans="1:8" x14ac:dyDescent="0.2">
      <c r="A126" s="464"/>
      <c r="B126" s="1520"/>
      <c r="C126" s="1520"/>
      <c r="D126" s="1520"/>
      <c r="E126" s="455"/>
      <c r="F126" s="468"/>
      <c r="G126" s="469"/>
      <c r="H126" s="470"/>
    </row>
    <row r="127" spans="1:8" x14ac:dyDescent="0.2">
      <c r="A127" s="464"/>
      <c r="B127" s="1520"/>
      <c r="C127" s="1520"/>
      <c r="D127" s="1520"/>
      <c r="E127" s="455"/>
      <c r="F127" s="468"/>
      <c r="G127" s="469"/>
      <c r="H127" s="470"/>
    </row>
    <row r="128" spans="1:8" x14ac:dyDescent="0.2">
      <c r="A128" s="464"/>
      <c r="B128" s="471"/>
      <c r="C128" s="472"/>
      <c r="D128" s="472"/>
      <c r="E128" s="455"/>
      <c r="F128" s="468"/>
      <c r="G128" s="469"/>
      <c r="H128" s="470">
        <f>+ROUND(F128*G128,0)</f>
        <v>0</v>
      </c>
    </row>
    <row r="129" spans="1:8" x14ac:dyDescent="0.2">
      <c r="A129" s="464"/>
      <c r="B129" s="453"/>
      <c r="C129" s="453"/>
      <c r="D129" s="453"/>
      <c r="E129" s="454"/>
      <c r="F129" s="453"/>
      <c r="G129" s="473"/>
      <c r="H129" s="473"/>
    </row>
    <row r="130" spans="1:8" x14ac:dyDescent="0.2">
      <c r="A130" s="453"/>
      <c r="B130" s="453"/>
      <c r="C130" s="453"/>
      <c r="D130" s="453"/>
      <c r="E130" s="454"/>
      <c r="F130" s="453"/>
      <c r="G130" s="454" t="s">
        <v>605</v>
      </c>
      <c r="H130" s="462">
        <f>ROUND(SUM(H121:H129),0)</f>
        <v>84565</v>
      </c>
    </row>
    <row r="131" spans="1:8" x14ac:dyDescent="0.2">
      <c r="A131" s="453"/>
      <c r="B131" s="453"/>
      <c r="C131" s="453"/>
      <c r="D131" s="453"/>
      <c r="E131" s="454"/>
      <c r="F131" s="453"/>
      <c r="G131" s="454"/>
      <c r="H131" s="462"/>
    </row>
    <row r="132" spans="1:8" x14ac:dyDescent="0.2">
      <c r="A132" s="462" t="s">
        <v>623</v>
      </c>
      <c r="B132" s="453"/>
      <c r="C132" s="453"/>
      <c r="D132" s="453"/>
      <c r="E132" s="454"/>
      <c r="F132" s="453"/>
      <c r="G132" s="454"/>
      <c r="H132" s="462"/>
    </row>
    <row r="133" spans="1:8" x14ac:dyDescent="0.2">
      <c r="A133" s="463" t="s">
        <v>622</v>
      </c>
      <c r="B133" s="1521" t="s">
        <v>621</v>
      </c>
      <c r="C133" s="1521"/>
      <c r="D133" s="474" t="s">
        <v>620</v>
      </c>
      <c r="E133" s="475" t="s">
        <v>2</v>
      </c>
      <c r="F133" s="476" t="s">
        <v>619</v>
      </c>
      <c r="G133" s="477" t="s">
        <v>618</v>
      </c>
      <c r="H133" s="477" t="s">
        <v>600</v>
      </c>
    </row>
    <row r="134" spans="1:8" x14ac:dyDescent="0.2">
      <c r="A134" s="478"/>
      <c r="B134" s="465" t="s">
        <v>679</v>
      </c>
      <c r="D134" s="479">
        <v>5.0000000000000001E-3</v>
      </c>
      <c r="E134" s="455" t="s">
        <v>616</v>
      </c>
      <c r="F134" s="480">
        <v>1</v>
      </c>
      <c r="G134" s="469">
        <v>380000</v>
      </c>
      <c r="H134" s="473">
        <f>+ROUND(D134*G134,0)</f>
        <v>1900</v>
      </c>
    </row>
    <row r="135" spans="1:8" x14ac:dyDescent="0.2">
      <c r="A135" s="478"/>
      <c r="B135" s="465"/>
      <c r="D135" s="481"/>
      <c r="E135" s="455"/>
      <c r="F135" s="482"/>
      <c r="G135" s="483"/>
      <c r="H135" s="470"/>
    </row>
    <row r="136" spans="1:8" x14ac:dyDescent="0.2">
      <c r="A136" s="478"/>
      <c r="E136" s="484"/>
      <c r="F136" s="484"/>
      <c r="G136" s="473"/>
      <c r="H136" s="470"/>
    </row>
    <row r="137" spans="1:8" x14ac:dyDescent="0.2">
      <c r="E137" s="485"/>
      <c r="F137" s="484"/>
      <c r="G137" s="454" t="s">
        <v>605</v>
      </c>
      <c r="H137" s="486">
        <f>ROUND(SUM(H134:H136),0)</f>
        <v>1900</v>
      </c>
    </row>
    <row r="138" spans="1:8" x14ac:dyDescent="0.2">
      <c r="E138" s="485"/>
      <c r="F138" s="484"/>
      <c r="G138" s="454"/>
      <c r="H138" s="486"/>
    </row>
    <row r="139" spans="1:8" x14ac:dyDescent="0.2">
      <c r="A139" s="462" t="s">
        <v>615</v>
      </c>
      <c r="B139" s="462"/>
      <c r="C139" s="462"/>
      <c r="D139" s="453"/>
      <c r="E139" s="454"/>
      <c r="F139" s="453"/>
      <c r="G139" s="453"/>
      <c r="H139" s="453"/>
    </row>
    <row r="140" spans="1:8" x14ac:dyDescent="0.2">
      <c r="A140" s="487" t="s">
        <v>421</v>
      </c>
      <c r="B140" s="1512" t="s">
        <v>614</v>
      </c>
      <c r="C140" s="1512"/>
      <c r="D140" s="446" t="s">
        <v>613</v>
      </c>
      <c r="E140" s="446" t="s">
        <v>612</v>
      </c>
      <c r="F140" s="446" t="s">
        <v>611</v>
      </c>
      <c r="G140" s="446" t="s">
        <v>610</v>
      </c>
      <c r="H140" s="446" t="s">
        <v>609</v>
      </c>
    </row>
    <row r="141" spans="1:8" x14ac:dyDescent="0.2">
      <c r="A141" s="488">
        <v>1</v>
      </c>
      <c r="B141" s="465" t="s">
        <v>608</v>
      </c>
      <c r="C141" s="465"/>
      <c r="D141" s="483">
        <v>80000</v>
      </c>
      <c r="E141" s="489">
        <f>D141*75%</f>
        <v>60000</v>
      </c>
      <c r="F141" s="473">
        <f>(D141+E141)*A141</f>
        <v>140000</v>
      </c>
      <c r="G141" s="453">
        <v>12</v>
      </c>
      <c r="H141" s="473">
        <f>+ROUND(F141/G141,0)</f>
        <v>11667</v>
      </c>
    </row>
    <row r="142" spans="1:8" x14ac:dyDescent="0.2">
      <c r="A142" s="488">
        <v>1</v>
      </c>
      <c r="B142" s="447" t="s">
        <v>607</v>
      </c>
      <c r="C142" s="465"/>
      <c r="D142" s="483">
        <v>40000</v>
      </c>
      <c r="E142" s="489">
        <f>D142*75%</f>
        <v>30000</v>
      </c>
      <c r="F142" s="473">
        <f>(D142+E142)*A142</f>
        <v>70000</v>
      </c>
      <c r="G142" s="453">
        <v>12</v>
      </c>
      <c r="H142" s="473">
        <f>+ROUND(F142/G142,0)</f>
        <v>5833</v>
      </c>
    </row>
    <row r="143" spans="1:8" x14ac:dyDescent="0.2">
      <c r="A143" s="488">
        <v>2</v>
      </c>
      <c r="B143" s="465" t="s">
        <v>606</v>
      </c>
      <c r="C143" s="465"/>
      <c r="D143" s="483">
        <v>25000</v>
      </c>
      <c r="E143" s="489">
        <f>D143*75%</f>
        <v>18750</v>
      </c>
      <c r="F143" s="473">
        <f>(D143+E143)*A143</f>
        <v>87500</v>
      </c>
      <c r="G143" s="453">
        <v>12</v>
      </c>
      <c r="H143" s="473">
        <f>+ROUND(F143/G143,0)</f>
        <v>7292</v>
      </c>
    </row>
    <row r="144" spans="1:8" x14ac:dyDescent="0.2">
      <c r="A144" s="488"/>
      <c r="B144" s="465"/>
      <c r="C144" s="465"/>
      <c r="D144" s="483"/>
      <c r="E144" s="489"/>
      <c r="F144" s="473"/>
      <c r="G144" s="453"/>
      <c r="H144" s="473"/>
    </row>
    <row r="145" spans="1:8" x14ac:dyDescent="0.2">
      <c r="A145" s="488"/>
      <c r="B145" s="453"/>
      <c r="C145" s="453"/>
      <c r="D145" s="473"/>
      <c r="E145" s="489"/>
      <c r="F145" s="473"/>
      <c r="G145" s="453"/>
      <c r="H145" s="473"/>
    </row>
    <row r="146" spans="1:8" x14ac:dyDescent="0.2">
      <c r="A146" s="453"/>
      <c r="B146" s="453"/>
      <c r="C146" s="453"/>
      <c r="D146" s="453"/>
      <c r="E146" s="454"/>
      <c r="F146" s="453"/>
      <c r="G146" s="454" t="s">
        <v>605</v>
      </c>
      <c r="H146" s="486">
        <f>ROUND(SUM(H141:H145),0)</f>
        <v>24792</v>
      </c>
    </row>
    <row r="147" spans="1:8" x14ac:dyDescent="0.2">
      <c r="A147" s="453"/>
      <c r="B147" s="453"/>
      <c r="C147" s="453"/>
      <c r="D147" s="453"/>
      <c r="E147" s="454"/>
      <c r="F147" s="453"/>
      <c r="G147" s="453"/>
      <c r="H147" s="453"/>
    </row>
    <row r="148" spans="1:8" x14ac:dyDescent="0.2">
      <c r="A148" s="490"/>
      <c r="B148" s="453"/>
      <c r="C148" s="453"/>
      <c r="D148" s="453"/>
      <c r="E148" s="491" t="s">
        <v>604</v>
      </c>
      <c r="F148" s="492"/>
      <c r="G148" s="492"/>
      <c r="H148" s="493">
        <f>+ROUND(H117+H130+H137+H146,0)</f>
        <v>112457</v>
      </c>
    </row>
    <row r="149" spans="1:8" x14ac:dyDescent="0.2">
      <c r="A149" s="488"/>
      <c r="B149" s="453"/>
      <c r="C149" s="453"/>
      <c r="D149" s="473"/>
      <c r="E149" s="489"/>
      <c r="F149" s="473"/>
      <c r="G149" s="453"/>
      <c r="H149" s="473"/>
    </row>
    <row r="156" spans="1:8" ht="15.75" customHeight="1" x14ac:dyDescent="0.25">
      <c r="A156" s="448"/>
      <c r="B156" s="448"/>
      <c r="C156" s="1513"/>
      <c r="D156" s="1513"/>
      <c r="E156" s="1513"/>
      <c r="F156" s="449" t="s">
        <v>638</v>
      </c>
      <c r="G156" s="450"/>
      <c r="H156" s="451"/>
    </row>
    <row r="157" spans="1:8" ht="21" customHeight="1" x14ac:dyDescent="0.25">
      <c r="A157" s="448"/>
      <c r="B157" s="448"/>
      <c r="C157" s="1513"/>
      <c r="D157" s="1513"/>
      <c r="E157" s="1513"/>
      <c r="F157" s="1514" t="s">
        <v>637</v>
      </c>
      <c r="G157" s="1514"/>
      <c r="H157" s="1514"/>
    </row>
    <row r="158" spans="1:8" x14ac:dyDescent="0.2">
      <c r="A158" s="452"/>
      <c r="B158" s="452"/>
      <c r="C158" s="1513"/>
      <c r="D158" s="1513"/>
      <c r="E158" s="1513"/>
      <c r="F158" s="1514"/>
      <c r="G158" s="1514"/>
      <c r="H158" s="1514"/>
    </row>
    <row r="159" spans="1:8" x14ac:dyDescent="0.2">
      <c r="A159" s="444"/>
      <c r="B159" s="1515"/>
      <c r="C159" s="1516"/>
      <c r="D159" s="1516"/>
      <c r="E159" s="444"/>
      <c r="F159" s="453"/>
      <c r="G159" s="454"/>
      <c r="H159" s="455"/>
    </row>
    <row r="160" spans="1:8" x14ac:dyDescent="0.2">
      <c r="A160" s="389">
        <v>1</v>
      </c>
      <c r="B160" s="380" t="s">
        <v>599</v>
      </c>
      <c r="C160" s="418"/>
      <c r="D160" s="457"/>
      <c r="E160" s="454"/>
      <c r="F160" s="453"/>
      <c r="G160" s="454" t="s">
        <v>634</v>
      </c>
      <c r="H160" s="455" t="s">
        <v>2</v>
      </c>
    </row>
    <row r="161" spans="1:8" x14ac:dyDescent="0.2">
      <c r="A161" s="458" t="s">
        <v>28</v>
      </c>
      <c r="B161" s="1525" t="s">
        <v>698</v>
      </c>
      <c r="C161" s="1525"/>
      <c r="D161" s="1525"/>
      <c r="E161" s="1525"/>
      <c r="F161" s="459"/>
      <c r="G161" s="454"/>
      <c r="H161" s="455"/>
    </row>
    <row r="162" spans="1:8" x14ac:dyDescent="0.2">
      <c r="A162" s="458"/>
      <c r="B162" s="460"/>
      <c r="C162" s="461"/>
      <c r="D162" s="461"/>
      <c r="E162" s="461"/>
      <c r="F162" s="461"/>
      <c r="G162" s="454"/>
      <c r="H162" s="455"/>
    </row>
    <row r="163" spans="1:8" x14ac:dyDescent="0.2">
      <c r="A163" s="458"/>
      <c r="B163" s="459"/>
      <c r="C163" s="459"/>
      <c r="D163" s="459"/>
      <c r="E163" s="459"/>
      <c r="F163" s="459"/>
      <c r="G163" s="416"/>
      <c r="H163" s="416"/>
    </row>
    <row r="164" spans="1:8" x14ac:dyDescent="0.2">
      <c r="A164" s="462" t="s">
        <v>633</v>
      </c>
      <c r="B164" s="462"/>
      <c r="C164" s="453"/>
      <c r="D164" s="445"/>
      <c r="E164" s="445"/>
      <c r="F164" s="445"/>
      <c r="G164" s="445"/>
      <c r="H164" s="445"/>
    </row>
    <row r="165" spans="1:8" x14ac:dyDescent="0.2">
      <c r="A165" s="463" t="s">
        <v>622</v>
      </c>
      <c r="B165" s="453"/>
      <c r="C165" s="446" t="s">
        <v>1</v>
      </c>
      <c r="D165" s="446"/>
      <c r="E165" s="446" t="s">
        <v>632</v>
      </c>
      <c r="F165" s="446" t="s">
        <v>631</v>
      </c>
      <c r="G165" s="446" t="s">
        <v>618</v>
      </c>
      <c r="H165" s="446" t="s">
        <v>627</v>
      </c>
    </row>
    <row r="166" spans="1:8" x14ac:dyDescent="0.2">
      <c r="A166" s="464"/>
      <c r="B166" s="465" t="s">
        <v>648</v>
      </c>
      <c r="C166" s="453"/>
      <c r="D166" s="453"/>
      <c r="E166" s="455"/>
      <c r="F166" s="453"/>
      <c r="G166" s="466">
        <v>1200</v>
      </c>
      <c r="H166" s="466">
        <f>+G166</f>
        <v>1200</v>
      </c>
    </row>
    <row r="167" spans="1:8" x14ac:dyDescent="0.2">
      <c r="A167" s="464"/>
      <c r="B167" s="465"/>
      <c r="C167" s="453"/>
      <c r="D167" s="453"/>
      <c r="E167" s="455"/>
      <c r="F167" s="453"/>
      <c r="G167" s="466"/>
      <c r="H167" s="466"/>
    </row>
    <row r="168" spans="1:8" x14ac:dyDescent="0.2">
      <c r="A168" s="464"/>
      <c r="B168" s="465"/>
      <c r="C168" s="465"/>
      <c r="D168" s="453"/>
      <c r="E168" s="455"/>
      <c r="F168" s="453"/>
      <c r="G168" s="453"/>
      <c r="H168" s="453"/>
    </row>
    <row r="169" spans="1:8" x14ac:dyDescent="0.2">
      <c r="A169" s="453"/>
      <c r="B169" s="453"/>
      <c r="C169" s="453"/>
      <c r="D169" s="453"/>
      <c r="E169" s="454"/>
      <c r="F169" s="453"/>
      <c r="G169" s="454" t="s">
        <v>605</v>
      </c>
      <c r="H169" s="467">
        <f>ROUND(SUM(H166:H168),0)</f>
        <v>1200</v>
      </c>
    </row>
    <row r="170" spans="1:8" x14ac:dyDescent="0.2">
      <c r="A170" s="453"/>
      <c r="B170" s="453"/>
      <c r="C170" s="453"/>
      <c r="D170" s="453"/>
      <c r="E170" s="454"/>
      <c r="F170" s="453"/>
      <c r="G170" s="454"/>
      <c r="H170" s="467"/>
    </row>
    <row r="171" spans="1:8" x14ac:dyDescent="0.2">
      <c r="A171" s="462" t="s">
        <v>629</v>
      </c>
      <c r="B171" s="462"/>
      <c r="C171" s="462"/>
      <c r="D171" s="462"/>
      <c r="E171" s="454"/>
      <c r="F171" s="453"/>
      <c r="G171" s="453"/>
      <c r="H171" s="453"/>
    </row>
    <row r="172" spans="1:8" x14ac:dyDescent="0.2">
      <c r="A172" s="463" t="s">
        <v>622</v>
      </c>
      <c r="B172" s="453"/>
      <c r="C172" s="446" t="s">
        <v>1</v>
      </c>
      <c r="D172" s="446"/>
      <c r="E172" s="446" t="s">
        <v>15</v>
      </c>
      <c r="F172" s="446" t="s">
        <v>628</v>
      </c>
      <c r="G172" s="446" t="s">
        <v>618</v>
      </c>
      <c r="H172" s="446" t="s">
        <v>627</v>
      </c>
    </row>
    <row r="173" spans="1:8" x14ac:dyDescent="0.2">
      <c r="A173" s="464"/>
      <c r="B173" s="1520" t="s">
        <v>626</v>
      </c>
      <c r="C173" s="1520"/>
      <c r="D173" s="1520"/>
      <c r="E173" s="455" t="s">
        <v>641</v>
      </c>
      <c r="F173" s="468">
        <v>25</v>
      </c>
      <c r="G173" s="469">
        <v>1500</v>
      </c>
      <c r="H173" s="470">
        <f>+ROUND(F173*G173,0)</f>
        <v>37500</v>
      </c>
    </row>
    <row r="174" spans="1:8" x14ac:dyDescent="0.2">
      <c r="A174" s="464"/>
      <c r="B174" s="1520" t="s">
        <v>642</v>
      </c>
      <c r="C174" s="1520"/>
      <c r="D174" s="1520"/>
      <c r="E174" s="455" t="s">
        <v>641</v>
      </c>
      <c r="F174" s="468">
        <v>12</v>
      </c>
      <c r="G174" s="469">
        <v>1400</v>
      </c>
      <c r="H174" s="470">
        <f>+ROUND(F174*G174,0)</f>
        <v>16800</v>
      </c>
    </row>
    <row r="175" spans="1:8" x14ac:dyDescent="0.2">
      <c r="A175" s="464"/>
      <c r="B175" s="1520" t="s">
        <v>640</v>
      </c>
      <c r="C175" s="1520"/>
      <c r="D175" s="1520"/>
      <c r="E175" s="455" t="s">
        <v>2</v>
      </c>
      <c r="F175" s="468">
        <v>1</v>
      </c>
      <c r="G175" s="469">
        <v>900</v>
      </c>
      <c r="H175" s="470">
        <f>+ROUND(F175*G175,0)</f>
        <v>900</v>
      </c>
    </row>
    <row r="176" spans="1:8" x14ac:dyDescent="0.2">
      <c r="A176" s="464"/>
      <c r="B176" s="1520" t="s">
        <v>639</v>
      </c>
      <c r="C176" s="1520"/>
      <c r="D176" s="1520"/>
      <c r="E176" s="455" t="s">
        <v>2</v>
      </c>
      <c r="F176" s="468">
        <v>4</v>
      </c>
      <c r="G176" s="469">
        <v>700</v>
      </c>
      <c r="H176" s="470">
        <f>+ROUND(F176*G176,0)</f>
        <v>2800</v>
      </c>
    </row>
    <row r="177" spans="1:8" x14ac:dyDescent="0.2">
      <c r="A177" s="464"/>
      <c r="B177" s="1520" t="s">
        <v>697</v>
      </c>
      <c r="C177" s="1520"/>
      <c r="D177" s="1520"/>
      <c r="E177" s="455" t="s">
        <v>2</v>
      </c>
      <c r="F177" s="468">
        <v>1</v>
      </c>
      <c r="G177" s="469">
        <v>4665</v>
      </c>
      <c r="H177" s="470">
        <f>+ROUND(F177*G177,0)</f>
        <v>4665</v>
      </c>
    </row>
    <row r="178" spans="1:8" x14ac:dyDescent="0.2">
      <c r="A178" s="464"/>
      <c r="B178" s="1520"/>
      <c r="C178" s="1520"/>
      <c r="D178" s="1520"/>
      <c r="E178" s="455"/>
      <c r="F178" s="468"/>
      <c r="G178" s="469"/>
      <c r="H178" s="470"/>
    </row>
    <row r="179" spans="1:8" x14ac:dyDescent="0.2">
      <c r="A179" s="464"/>
      <c r="B179" s="1520"/>
      <c r="C179" s="1520"/>
      <c r="D179" s="1520"/>
      <c r="E179" s="455"/>
      <c r="F179" s="468"/>
      <c r="G179" s="469"/>
      <c r="H179" s="470"/>
    </row>
    <row r="180" spans="1:8" x14ac:dyDescent="0.2">
      <c r="A180" s="464"/>
      <c r="B180" s="471"/>
      <c r="C180" s="472"/>
      <c r="D180" s="472"/>
      <c r="E180" s="455"/>
      <c r="F180" s="468"/>
      <c r="G180" s="469"/>
      <c r="H180" s="470">
        <f>+ROUND(F180*G180,0)</f>
        <v>0</v>
      </c>
    </row>
    <row r="181" spans="1:8" x14ac:dyDescent="0.2">
      <c r="A181" s="464"/>
      <c r="B181" s="453"/>
      <c r="C181" s="453"/>
      <c r="D181" s="453"/>
      <c r="E181" s="454"/>
      <c r="F181" s="453"/>
      <c r="G181" s="473"/>
      <c r="H181" s="473"/>
    </row>
    <row r="182" spans="1:8" x14ac:dyDescent="0.2">
      <c r="A182" s="453"/>
      <c r="B182" s="453"/>
      <c r="C182" s="453"/>
      <c r="D182" s="453"/>
      <c r="E182" s="454"/>
      <c r="F182" s="453"/>
      <c r="G182" s="454" t="s">
        <v>605</v>
      </c>
      <c r="H182" s="462">
        <f>ROUND(SUM(H173:H181),0)</f>
        <v>62665</v>
      </c>
    </row>
    <row r="183" spans="1:8" x14ac:dyDescent="0.2">
      <c r="A183" s="453"/>
      <c r="B183" s="453"/>
      <c r="C183" s="453"/>
      <c r="D183" s="453"/>
      <c r="E183" s="454"/>
      <c r="F183" s="453"/>
      <c r="G183" s="454"/>
      <c r="H183" s="462"/>
    </row>
    <row r="184" spans="1:8" x14ac:dyDescent="0.2">
      <c r="A184" s="462" t="s">
        <v>623</v>
      </c>
      <c r="B184" s="453"/>
      <c r="C184" s="453"/>
      <c r="D184" s="453"/>
      <c r="E184" s="454"/>
      <c r="F184" s="453"/>
      <c r="G184" s="454"/>
      <c r="H184" s="462"/>
    </row>
    <row r="185" spans="1:8" x14ac:dyDescent="0.2">
      <c r="A185" s="463" t="s">
        <v>622</v>
      </c>
      <c r="B185" s="1521" t="s">
        <v>621</v>
      </c>
      <c r="C185" s="1521"/>
      <c r="D185" s="474" t="s">
        <v>620</v>
      </c>
      <c r="E185" s="475" t="s">
        <v>2</v>
      </c>
      <c r="F185" s="476" t="s">
        <v>619</v>
      </c>
      <c r="G185" s="477" t="s">
        <v>618</v>
      </c>
      <c r="H185" s="477" t="s">
        <v>600</v>
      </c>
    </row>
    <row r="186" spans="1:8" x14ac:dyDescent="0.2">
      <c r="A186" s="478"/>
      <c r="B186" s="465" t="s">
        <v>679</v>
      </c>
      <c r="D186" s="479">
        <v>1E-3</v>
      </c>
      <c r="E186" s="455" t="s">
        <v>616</v>
      </c>
      <c r="F186" s="480">
        <v>1</v>
      </c>
      <c r="G186" s="469">
        <v>380000</v>
      </c>
      <c r="H186" s="473">
        <f>+ROUND(D186*G186,0)</f>
        <v>380</v>
      </c>
    </row>
    <row r="187" spans="1:8" x14ac:dyDescent="0.2">
      <c r="A187" s="478"/>
      <c r="B187" s="465"/>
      <c r="D187" s="481"/>
      <c r="E187" s="455"/>
      <c r="F187" s="482"/>
      <c r="G187" s="483"/>
      <c r="H187" s="470"/>
    </row>
    <row r="188" spans="1:8" x14ac:dyDescent="0.2">
      <c r="A188" s="478"/>
      <c r="E188" s="484"/>
      <c r="F188" s="484"/>
      <c r="G188" s="473"/>
      <c r="H188" s="470"/>
    </row>
    <row r="189" spans="1:8" x14ac:dyDescent="0.2">
      <c r="E189" s="485"/>
      <c r="F189" s="484"/>
      <c r="G189" s="454" t="s">
        <v>605</v>
      </c>
      <c r="H189" s="486">
        <f>ROUND(SUM(H186:H188),0)</f>
        <v>380</v>
      </c>
    </row>
    <row r="190" spans="1:8" x14ac:dyDescent="0.2">
      <c r="E190" s="485"/>
      <c r="F190" s="484"/>
      <c r="G190" s="454"/>
      <c r="H190" s="486"/>
    </row>
    <row r="191" spans="1:8" x14ac:dyDescent="0.2">
      <c r="A191" s="462" t="s">
        <v>615</v>
      </c>
      <c r="B191" s="462"/>
      <c r="C191" s="462"/>
      <c r="D191" s="453"/>
      <c r="E191" s="454"/>
      <c r="F191" s="453"/>
      <c r="G191" s="453"/>
      <c r="H191" s="453"/>
    </row>
    <row r="192" spans="1:8" x14ac:dyDescent="0.2">
      <c r="A192" s="487" t="s">
        <v>421</v>
      </c>
      <c r="B192" s="1512" t="s">
        <v>614</v>
      </c>
      <c r="C192" s="1512"/>
      <c r="D192" s="446" t="s">
        <v>613</v>
      </c>
      <c r="E192" s="446" t="s">
        <v>612</v>
      </c>
      <c r="F192" s="446" t="s">
        <v>611</v>
      </c>
      <c r="G192" s="446" t="s">
        <v>610</v>
      </c>
      <c r="H192" s="446" t="s">
        <v>609</v>
      </c>
    </row>
    <row r="193" spans="1:8" x14ac:dyDescent="0.2">
      <c r="A193" s="488">
        <v>1</v>
      </c>
      <c r="B193" s="465" t="s">
        <v>608</v>
      </c>
      <c r="C193" s="465"/>
      <c r="D193" s="483">
        <v>80000</v>
      </c>
      <c r="E193" s="489">
        <f>D193*75%</f>
        <v>60000</v>
      </c>
      <c r="F193" s="473">
        <f>(D193+E193)*A193</f>
        <v>140000</v>
      </c>
      <c r="G193" s="453">
        <v>20</v>
      </c>
      <c r="H193" s="473">
        <f>+ROUND(F193/G193,0)</f>
        <v>7000</v>
      </c>
    </row>
    <row r="194" spans="1:8" x14ac:dyDescent="0.2">
      <c r="A194" s="488">
        <v>1</v>
      </c>
      <c r="B194" s="447" t="s">
        <v>607</v>
      </c>
      <c r="C194" s="465"/>
      <c r="D194" s="483">
        <v>40000</v>
      </c>
      <c r="E194" s="489">
        <f>D194*75%</f>
        <v>30000</v>
      </c>
      <c r="F194" s="473">
        <f>(D194+E194)*A194</f>
        <v>70000</v>
      </c>
      <c r="G194" s="453">
        <v>20</v>
      </c>
      <c r="H194" s="473">
        <f>+ROUND(F194/G194,0)</f>
        <v>3500</v>
      </c>
    </row>
    <row r="195" spans="1:8" x14ac:dyDescent="0.2">
      <c r="A195" s="488">
        <v>2</v>
      </c>
      <c r="B195" s="465" t="s">
        <v>606</v>
      </c>
      <c r="C195" s="465"/>
      <c r="D195" s="483">
        <v>25000</v>
      </c>
      <c r="E195" s="489">
        <f>D195*75%</f>
        <v>18750</v>
      </c>
      <c r="F195" s="473">
        <f>(D195+E195)*A195</f>
        <v>87500</v>
      </c>
      <c r="G195" s="453">
        <v>20</v>
      </c>
      <c r="H195" s="473">
        <f>+ROUND(F195/G195,0)</f>
        <v>4375</v>
      </c>
    </row>
    <row r="196" spans="1:8" x14ac:dyDescent="0.2">
      <c r="A196" s="488"/>
      <c r="B196" s="465"/>
      <c r="C196" s="465"/>
      <c r="D196" s="483"/>
      <c r="E196" s="489"/>
      <c r="F196" s="473"/>
      <c r="G196" s="453"/>
      <c r="H196" s="473"/>
    </row>
    <row r="197" spans="1:8" x14ac:dyDescent="0.2">
      <c r="A197" s="488"/>
      <c r="B197" s="453"/>
      <c r="C197" s="453"/>
      <c r="D197" s="473"/>
      <c r="E197" s="489"/>
      <c r="F197" s="473"/>
      <c r="G197" s="453"/>
      <c r="H197" s="473"/>
    </row>
    <row r="198" spans="1:8" x14ac:dyDescent="0.2">
      <c r="A198" s="453"/>
      <c r="B198" s="453"/>
      <c r="C198" s="453"/>
      <c r="D198" s="453"/>
      <c r="E198" s="454"/>
      <c r="F198" s="453"/>
      <c r="G198" s="454" t="s">
        <v>605</v>
      </c>
      <c r="H198" s="486">
        <f>ROUND(SUM(H193:H197),0)</f>
        <v>14875</v>
      </c>
    </row>
    <row r="199" spans="1:8" x14ac:dyDescent="0.2">
      <c r="A199" s="453"/>
      <c r="B199" s="453"/>
      <c r="C199" s="453"/>
      <c r="D199" s="453"/>
      <c r="E199" s="454"/>
      <c r="F199" s="453"/>
      <c r="G199" s="453"/>
      <c r="H199" s="453"/>
    </row>
    <row r="200" spans="1:8" x14ac:dyDescent="0.2">
      <c r="A200" s="490"/>
      <c r="B200" s="453"/>
      <c r="C200" s="453"/>
      <c r="D200" s="453"/>
      <c r="E200" s="491" t="s">
        <v>604</v>
      </c>
      <c r="F200" s="492"/>
      <c r="G200" s="492"/>
      <c r="H200" s="493">
        <f>+ROUND(H169+H182+H189+H198,0)</f>
        <v>79120</v>
      </c>
    </row>
    <row r="201" spans="1:8" x14ac:dyDescent="0.2">
      <c r="A201" s="488"/>
      <c r="B201" s="453"/>
      <c r="C201" s="453"/>
      <c r="D201" s="473"/>
      <c r="E201" s="489"/>
      <c r="F201" s="473"/>
      <c r="G201" s="453"/>
      <c r="H201" s="473"/>
    </row>
    <row r="205" spans="1:8" ht="15.75" customHeight="1" x14ac:dyDescent="0.25">
      <c r="A205" s="448"/>
      <c r="B205" s="448"/>
      <c r="C205" s="1513"/>
      <c r="D205" s="1513"/>
      <c r="E205" s="1513"/>
      <c r="F205" s="449" t="s">
        <v>638</v>
      </c>
      <c r="G205" s="450"/>
      <c r="H205" s="451"/>
    </row>
    <row r="206" spans="1:8" ht="15.75" x14ac:dyDescent="0.25">
      <c r="A206" s="448"/>
      <c r="B206" s="448"/>
      <c r="C206" s="1513"/>
      <c r="D206" s="1513"/>
      <c r="E206" s="1513"/>
      <c r="F206" s="1514" t="s">
        <v>637</v>
      </c>
      <c r="G206" s="1514"/>
      <c r="H206" s="1514"/>
    </row>
    <row r="207" spans="1:8" x14ac:dyDescent="0.2">
      <c r="A207" s="452"/>
      <c r="B207" s="452"/>
      <c r="C207" s="1513"/>
      <c r="D207" s="1513"/>
      <c r="E207" s="1513"/>
      <c r="F207" s="1514"/>
      <c r="G207" s="1514"/>
      <c r="H207" s="1514"/>
    </row>
    <row r="208" spans="1:8" x14ac:dyDescent="0.2">
      <c r="A208" s="444"/>
      <c r="B208" s="1515"/>
      <c r="C208" s="1516"/>
      <c r="D208" s="1516"/>
      <c r="E208" s="444"/>
      <c r="F208" s="453"/>
      <c r="G208" s="454"/>
      <c r="H208" s="455"/>
    </row>
    <row r="209" spans="1:8" x14ac:dyDescent="0.2">
      <c r="A209" s="389">
        <v>1</v>
      </c>
      <c r="B209" s="380" t="s">
        <v>599</v>
      </c>
      <c r="C209" s="418"/>
      <c r="D209" s="457"/>
      <c r="E209" s="454"/>
      <c r="F209" s="453"/>
      <c r="G209" s="454" t="s">
        <v>634</v>
      </c>
      <c r="H209" s="455" t="s">
        <v>2</v>
      </c>
    </row>
    <row r="210" spans="1:8" x14ac:dyDescent="0.2">
      <c r="A210" s="458">
        <v>1.5</v>
      </c>
      <c r="B210" s="1517" t="s">
        <v>696</v>
      </c>
      <c r="C210" s="1517"/>
      <c r="D210" s="1517"/>
      <c r="E210" s="1517"/>
      <c r="F210" s="459"/>
      <c r="G210" s="454"/>
      <c r="H210" s="455"/>
    </row>
    <row r="211" spans="1:8" x14ac:dyDescent="0.2">
      <c r="A211" s="458"/>
      <c r="B211" s="1517"/>
      <c r="C211" s="1517"/>
      <c r="D211" s="1517"/>
      <c r="E211" s="1517"/>
      <c r="F211" s="461"/>
      <c r="G211" s="454"/>
      <c r="H211" s="455"/>
    </row>
    <row r="212" spans="1:8" x14ac:dyDescent="0.2">
      <c r="A212" s="458"/>
      <c r="B212" s="459"/>
      <c r="C212" s="459"/>
      <c r="D212" s="459"/>
      <c r="E212" s="459"/>
      <c r="F212" s="459"/>
      <c r="G212" s="416"/>
      <c r="H212" s="416"/>
    </row>
    <row r="213" spans="1:8" x14ac:dyDescent="0.2">
      <c r="A213" s="462" t="s">
        <v>633</v>
      </c>
      <c r="B213" s="462"/>
      <c r="C213" s="453"/>
      <c r="D213" s="445"/>
      <c r="E213" s="445"/>
      <c r="F213" s="445"/>
      <c r="G213" s="445"/>
      <c r="H213" s="445"/>
    </row>
    <row r="214" spans="1:8" x14ac:dyDescent="0.2">
      <c r="A214" s="463" t="s">
        <v>622</v>
      </c>
      <c r="B214" s="453"/>
      <c r="C214" s="446" t="s">
        <v>1</v>
      </c>
      <c r="D214" s="446"/>
      <c r="E214" s="446" t="s">
        <v>632</v>
      </c>
      <c r="F214" s="446" t="s">
        <v>631</v>
      </c>
      <c r="G214" s="446" t="s">
        <v>618</v>
      </c>
      <c r="H214" s="446" t="s">
        <v>627</v>
      </c>
    </row>
    <row r="215" spans="1:8" x14ac:dyDescent="0.2">
      <c r="A215" s="464"/>
      <c r="B215" s="465" t="s">
        <v>648</v>
      </c>
      <c r="C215" s="453"/>
      <c r="D215" s="453"/>
      <c r="E215" s="455"/>
      <c r="F215" s="453"/>
      <c r="G215" s="466">
        <v>1200</v>
      </c>
      <c r="H215" s="466">
        <v>1200</v>
      </c>
    </row>
    <row r="216" spans="1:8" x14ac:dyDescent="0.2">
      <c r="A216" s="464"/>
      <c r="B216" s="465"/>
      <c r="C216" s="453"/>
      <c r="D216" s="453"/>
      <c r="E216" s="455"/>
      <c r="F216" s="453"/>
      <c r="G216" s="466"/>
      <c r="H216" s="466"/>
    </row>
    <row r="217" spans="1:8" x14ac:dyDescent="0.2">
      <c r="A217" s="464"/>
      <c r="B217" s="465"/>
      <c r="C217" s="465"/>
      <c r="D217" s="453"/>
      <c r="E217" s="455"/>
      <c r="F217" s="453"/>
      <c r="G217" s="453"/>
      <c r="H217" s="453"/>
    </row>
    <row r="218" spans="1:8" x14ac:dyDescent="0.2">
      <c r="A218" s="453"/>
      <c r="B218" s="453"/>
      <c r="C218" s="453"/>
      <c r="D218" s="453"/>
      <c r="E218" s="454"/>
      <c r="F218" s="453"/>
      <c r="G218" s="454" t="s">
        <v>605</v>
      </c>
      <c r="H218" s="467">
        <v>1200</v>
      </c>
    </row>
    <row r="219" spans="1:8" x14ac:dyDescent="0.2">
      <c r="A219" s="453"/>
      <c r="B219" s="453"/>
      <c r="C219" s="453"/>
      <c r="D219" s="453"/>
      <c r="E219" s="454"/>
      <c r="F219" s="453"/>
      <c r="G219" s="454"/>
      <c r="H219" s="467"/>
    </row>
    <row r="220" spans="1:8" x14ac:dyDescent="0.2">
      <c r="A220" s="462" t="s">
        <v>629</v>
      </c>
      <c r="B220" s="462"/>
      <c r="C220" s="462"/>
      <c r="D220" s="462"/>
      <c r="E220" s="454"/>
      <c r="F220" s="453"/>
      <c r="G220" s="453"/>
      <c r="H220" s="453"/>
    </row>
    <row r="221" spans="1:8" x14ac:dyDescent="0.2">
      <c r="A221" s="463" t="s">
        <v>622</v>
      </c>
      <c r="B221" s="453"/>
      <c r="C221" s="446" t="s">
        <v>1</v>
      </c>
      <c r="D221" s="446"/>
      <c r="E221" s="446" t="s">
        <v>15</v>
      </c>
      <c r="F221" s="446" t="s">
        <v>628</v>
      </c>
      <c r="G221" s="446" t="s">
        <v>618</v>
      </c>
      <c r="H221" s="446" t="s">
        <v>627</v>
      </c>
    </row>
    <row r="222" spans="1:8" x14ac:dyDescent="0.2">
      <c r="A222" s="464"/>
      <c r="B222" s="1522" t="s">
        <v>677</v>
      </c>
      <c r="C222" s="1522"/>
      <c r="D222" s="1522"/>
      <c r="E222" s="455" t="s">
        <v>2</v>
      </c>
      <c r="F222" s="494">
        <v>1</v>
      </c>
      <c r="G222" s="469">
        <v>387960</v>
      </c>
      <c r="H222" s="470">
        <f>G222*F222</f>
        <v>387960</v>
      </c>
    </row>
    <row r="223" spans="1:8" x14ac:dyDescent="0.2">
      <c r="A223" s="464"/>
      <c r="B223" s="1522" t="s">
        <v>676</v>
      </c>
      <c r="C223" s="1522"/>
      <c r="D223" s="1522"/>
      <c r="E223" s="455" t="s">
        <v>2</v>
      </c>
      <c r="F223" s="494">
        <v>1</v>
      </c>
      <c r="G223" s="469">
        <v>260000</v>
      </c>
      <c r="H223" s="470">
        <f>G223*F223</f>
        <v>260000</v>
      </c>
    </row>
    <row r="224" spans="1:8" x14ac:dyDescent="0.2">
      <c r="A224" s="464"/>
      <c r="B224" s="1522" t="s">
        <v>675</v>
      </c>
      <c r="C224" s="1522"/>
      <c r="D224" s="1522"/>
      <c r="E224" s="455" t="s">
        <v>2</v>
      </c>
      <c r="F224" s="494">
        <v>12</v>
      </c>
      <c r="G224" s="469">
        <v>14800</v>
      </c>
      <c r="H224" s="470">
        <f>G224*F224</f>
        <v>177600</v>
      </c>
    </row>
    <row r="225" spans="1:8" x14ac:dyDescent="0.2">
      <c r="A225" s="464"/>
      <c r="B225" s="1522"/>
      <c r="C225" s="1522"/>
      <c r="D225" s="1522"/>
      <c r="E225" s="455"/>
      <c r="F225" s="494"/>
      <c r="G225" s="469"/>
      <c r="H225" s="470">
        <v>0</v>
      </c>
    </row>
    <row r="226" spans="1:8" x14ac:dyDescent="0.2">
      <c r="A226" s="464"/>
      <c r="B226" s="495"/>
      <c r="C226" s="495"/>
      <c r="D226" s="495"/>
      <c r="E226" s="455"/>
      <c r="F226" s="494"/>
      <c r="G226" s="469"/>
      <c r="H226" s="470"/>
    </row>
    <row r="227" spans="1:8" x14ac:dyDescent="0.2">
      <c r="A227" s="464"/>
      <c r="B227" s="495"/>
      <c r="C227" s="495"/>
      <c r="D227" s="495"/>
      <c r="E227" s="455"/>
      <c r="F227" s="494"/>
      <c r="G227" s="469"/>
      <c r="H227" s="470"/>
    </row>
    <row r="228" spans="1:8" x14ac:dyDescent="0.2">
      <c r="A228" s="464"/>
      <c r="B228" s="496"/>
      <c r="C228" s="472"/>
      <c r="D228" s="472"/>
      <c r="E228" s="455"/>
      <c r="F228" s="494"/>
      <c r="G228" s="469"/>
      <c r="H228" s="470">
        <v>0</v>
      </c>
    </row>
    <row r="229" spans="1:8" x14ac:dyDescent="0.2">
      <c r="A229" s="464"/>
      <c r="B229" s="453"/>
      <c r="C229" s="453"/>
      <c r="D229" s="453"/>
      <c r="E229" s="454"/>
      <c r="F229" s="453"/>
      <c r="G229" s="473"/>
      <c r="H229" s="473"/>
    </row>
    <row r="230" spans="1:8" x14ac:dyDescent="0.2">
      <c r="A230" s="453"/>
      <c r="B230" s="453"/>
      <c r="C230" s="453"/>
      <c r="D230" s="453"/>
      <c r="E230" s="454"/>
      <c r="F230" s="453"/>
      <c r="G230" s="454" t="s">
        <v>605</v>
      </c>
      <c r="H230" s="462">
        <f>SUM(H222:H229)</f>
        <v>825560</v>
      </c>
    </row>
    <row r="231" spans="1:8" x14ac:dyDescent="0.2">
      <c r="A231" s="453"/>
      <c r="B231" s="453"/>
      <c r="C231" s="453"/>
      <c r="D231" s="453"/>
      <c r="E231" s="454"/>
      <c r="F231" s="453"/>
      <c r="G231" s="454"/>
      <c r="H231" s="462"/>
    </row>
    <row r="232" spans="1:8" x14ac:dyDescent="0.2">
      <c r="A232" s="462" t="s">
        <v>623</v>
      </c>
      <c r="B232" s="453"/>
      <c r="C232" s="453"/>
      <c r="D232" s="453"/>
      <c r="E232" s="454"/>
      <c r="F232" s="453"/>
      <c r="G232" s="454"/>
      <c r="H232" s="462"/>
    </row>
    <row r="233" spans="1:8" x14ac:dyDescent="0.2">
      <c r="A233" s="463" t="s">
        <v>622</v>
      </c>
      <c r="B233" s="1521" t="s">
        <v>621</v>
      </c>
      <c r="C233" s="1521"/>
      <c r="D233" s="474" t="s">
        <v>620</v>
      </c>
      <c r="E233" s="475" t="s">
        <v>2</v>
      </c>
      <c r="F233" s="476" t="s">
        <v>619</v>
      </c>
      <c r="G233" s="477" t="s">
        <v>618</v>
      </c>
      <c r="H233" s="477" t="s">
        <v>600</v>
      </c>
    </row>
    <row r="234" spans="1:8" x14ac:dyDescent="0.2">
      <c r="A234" s="478"/>
      <c r="B234" s="465" t="s">
        <v>645</v>
      </c>
      <c r="D234" s="479">
        <v>0.08</v>
      </c>
      <c r="E234" s="455" t="s">
        <v>616</v>
      </c>
      <c r="F234" s="480">
        <v>1</v>
      </c>
      <c r="G234" s="469">
        <v>380000</v>
      </c>
      <c r="H234" s="473">
        <v>30400</v>
      </c>
    </row>
    <row r="235" spans="1:8" x14ac:dyDescent="0.2">
      <c r="A235" s="478"/>
      <c r="B235" s="465"/>
      <c r="D235" s="481"/>
      <c r="E235" s="455"/>
      <c r="F235" s="482"/>
      <c r="G235" s="483"/>
      <c r="H235" s="470"/>
    </row>
    <row r="236" spans="1:8" x14ac:dyDescent="0.2">
      <c r="A236" s="478"/>
      <c r="E236" s="484"/>
      <c r="F236" s="484"/>
      <c r="G236" s="473"/>
      <c r="H236" s="470"/>
    </row>
    <row r="237" spans="1:8" x14ac:dyDescent="0.2">
      <c r="E237" s="485"/>
      <c r="F237" s="484"/>
      <c r="G237" s="454" t="s">
        <v>605</v>
      </c>
      <c r="H237" s="486">
        <v>30400</v>
      </c>
    </row>
    <row r="238" spans="1:8" x14ac:dyDescent="0.2">
      <c r="E238" s="485"/>
      <c r="F238" s="484"/>
      <c r="G238" s="454"/>
      <c r="H238" s="486"/>
    </row>
    <row r="239" spans="1:8" x14ac:dyDescent="0.2">
      <c r="A239" s="462" t="s">
        <v>615</v>
      </c>
      <c r="B239" s="462"/>
      <c r="C239" s="462"/>
      <c r="D239" s="453"/>
      <c r="E239" s="454"/>
      <c r="F239" s="453"/>
      <c r="G239" s="453"/>
      <c r="H239" s="453"/>
    </row>
    <row r="240" spans="1:8" x14ac:dyDescent="0.2">
      <c r="A240" s="487" t="s">
        <v>421</v>
      </c>
      <c r="B240" s="1512" t="s">
        <v>614</v>
      </c>
      <c r="C240" s="1512"/>
      <c r="D240" s="446" t="s">
        <v>613</v>
      </c>
      <c r="E240" s="446" t="s">
        <v>612</v>
      </c>
      <c r="F240" s="446" t="s">
        <v>611</v>
      </c>
      <c r="G240" s="446" t="s">
        <v>610</v>
      </c>
      <c r="H240" s="446" t="s">
        <v>609</v>
      </c>
    </row>
    <row r="241" spans="1:8" x14ac:dyDescent="0.2">
      <c r="A241" s="488">
        <v>1</v>
      </c>
      <c r="B241" s="465" t="s">
        <v>608</v>
      </c>
      <c r="C241" s="465"/>
      <c r="D241" s="483">
        <v>80000</v>
      </c>
      <c r="E241" s="489">
        <v>60000</v>
      </c>
      <c r="F241" s="473">
        <f>(D241+E241)*A241</f>
        <v>140000</v>
      </c>
      <c r="G241" s="453">
        <v>1</v>
      </c>
      <c r="H241" s="473">
        <f>F241/G241</f>
        <v>140000</v>
      </c>
    </row>
    <row r="242" spans="1:8" x14ac:dyDescent="0.2">
      <c r="A242" s="488">
        <v>1</v>
      </c>
      <c r="B242" s="447" t="s">
        <v>607</v>
      </c>
      <c r="C242" s="465"/>
      <c r="D242" s="483">
        <v>40000</v>
      </c>
      <c r="E242" s="489">
        <v>30000</v>
      </c>
      <c r="F242" s="473">
        <f>(D242+E242)*A242</f>
        <v>70000</v>
      </c>
      <c r="G242" s="453">
        <v>1</v>
      </c>
      <c r="H242" s="473">
        <f>F242/G242</f>
        <v>70000</v>
      </c>
    </row>
    <row r="243" spans="1:8" x14ac:dyDescent="0.2">
      <c r="A243" s="488">
        <v>2</v>
      </c>
      <c r="B243" s="465" t="s">
        <v>695</v>
      </c>
      <c r="C243" s="465"/>
      <c r="D243" s="483">
        <v>25000</v>
      </c>
      <c r="E243" s="489">
        <v>18750</v>
      </c>
      <c r="F243" s="473">
        <f>(D243+E243)*A243</f>
        <v>87500</v>
      </c>
      <c r="G243" s="453">
        <v>1</v>
      </c>
      <c r="H243" s="473">
        <f>F243/G243</f>
        <v>87500</v>
      </c>
    </row>
    <row r="244" spans="1:8" x14ac:dyDescent="0.2">
      <c r="A244" s="488"/>
      <c r="B244" s="465"/>
      <c r="C244" s="465"/>
      <c r="D244" s="483"/>
      <c r="E244" s="489"/>
      <c r="F244" s="473"/>
      <c r="G244" s="453"/>
      <c r="H244" s="473"/>
    </row>
    <row r="245" spans="1:8" x14ac:dyDescent="0.2">
      <c r="A245" s="488"/>
      <c r="B245" s="453"/>
      <c r="C245" s="453"/>
      <c r="D245" s="473"/>
      <c r="E245" s="489"/>
      <c r="F245" s="473"/>
      <c r="G245" s="453"/>
      <c r="H245" s="473"/>
    </row>
    <row r="246" spans="1:8" x14ac:dyDescent="0.2">
      <c r="A246" s="453"/>
      <c r="B246" s="453"/>
      <c r="C246" s="453"/>
      <c r="D246" s="453"/>
      <c r="E246" s="454"/>
      <c r="F246" s="453"/>
      <c r="G246" s="454" t="s">
        <v>605</v>
      </c>
      <c r="H246" s="486">
        <f>SUM(H241:H243)</f>
        <v>297500</v>
      </c>
    </row>
    <row r="247" spans="1:8" x14ac:dyDescent="0.2">
      <c r="A247" s="453"/>
      <c r="B247" s="453"/>
      <c r="C247" s="453"/>
      <c r="D247" s="453"/>
      <c r="E247" s="454"/>
      <c r="F247" s="453"/>
      <c r="G247" s="453"/>
      <c r="H247" s="453"/>
    </row>
    <row r="248" spans="1:8" x14ac:dyDescent="0.2">
      <c r="A248" s="490"/>
      <c r="B248" s="453"/>
      <c r="C248" s="453"/>
      <c r="D248" s="453"/>
      <c r="E248" s="491" t="s">
        <v>604</v>
      </c>
      <c r="F248" s="492"/>
      <c r="G248" s="492"/>
      <c r="H248" s="493">
        <f>SUM(H246+H237+H230+H218)</f>
        <v>1154660</v>
      </c>
    </row>
    <row r="258" spans="1:8" ht="15.75" customHeight="1" x14ac:dyDescent="0.25">
      <c r="A258" s="448"/>
      <c r="B258" s="448"/>
      <c r="C258" s="1513"/>
      <c r="D258" s="1513"/>
      <c r="E258" s="1513"/>
      <c r="F258" s="449" t="s">
        <v>638</v>
      </c>
      <c r="G258" s="450"/>
      <c r="H258" s="451"/>
    </row>
    <row r="259" spans="1:8" ht="15.75" x14ac:dyDescent="0.25">
      <c r="A259" s="448"/>
      <c r="B259" s="448"/>
      <c r="C259" s="1513"/>
      <c r="D259" s="1513"/>
      <c r="E259" s="1513"/>
      <c r="F259" s="1514" t="s">
        <v>637</v>
      </c>
      <c r="G259" s="1514"/>
      <c r="H259" s="1514"/>
    </row>
    <row r="260" spans="1:8" x14ac:dyDescent="0.2">
      <c r="A260" s="452"/>
      <c r="B260" s="452"/>
      <c r="C260" s="1513"/>
      <c r="D260" s="1513"/>
      <c r="E260" s="1513"/>
      <c r="F260" s="1514"/>
      <c r="G260" s="1514"/>
      <c r="H260" s="1514"/>
    </row>
    <row r="261" spans="1:8" x14ac:dyDescent="0.2">
      <c r="A261" s="444"/>
      <c r="B261" s="1515"/>
      <c r="C261" s="1516"/>
      <c r="D261" s="1516"/>
      <c r="E261" s="444"/>
      <c r="F261" s="453"/>
      <c r="G261" s="454"/>
      <c r="H261" s="455"/>
    </row>
    <row r="262" spans="1:8" x14ac:dyDescent="0.2">
      <c r="A262" s="389">
        <v>1</v>
      </c>
      <c r="B262" s="380" t="s">
        <v>599</v>
      </c>
      <c r="C262" s="418"/>
      <c r="D262" s="457"/>
      <c r="E262" s="454"/>
      <c r="F262" s="453"/>
      <c r="G262" s="454" t="s">
        <v>634</v>
      </c>
      <c r="H262" s="455" t="s">
        <v>2</v>
      </c>
    </row>
    <row r="263" spans="1:8" x14ac:dyDescent="0.2">
      <c r="A263" s="458" t="s">
        <v>31</v>
      </c>
      <c r="B263" s="1525" t="s">
        <v>694</v>
      </c>
      <c r="C263" s="1525"/>
      <c r="D263" s="1525"/>
      <c r="E263" s="1525"/>
      <c r="F263" s="459"/>
      <c r="G263" s="454"/>
      <c r="H263" s="455"/>
    </row>
    <row r="264" spans="1:8" x14ac:dyDescent="0.2">
      <c r="A264" s="458"/>
      <c r="B264" s="460"/>
      <c r="C264" s="461"/>
      <c r="D264" s="461"/>
      <c r="E264" s="461"/>
      <c r="F264" s="461"/>
      <c r="G264" s="454"/>
      <c r="H264" s="455"/>
    </row>
    <row r="265" spans="1:8" x14ac:dyDescent="0.2">
      <c r="A265" s="458"/>
      <c r="B265" s="459"/>
      <c r="C265" s="459"/>
      <c r="D265" s="459"/>
      <c r="E265" s="459"/>
      <c r="F265" s="459"/>
      <c r="G265" s="416"/>
      <c r="H265" s="416"/>
    </row>
    <row r="266" spans="1:8" x14ac:dyDescent="0.2">
      <c r="A266" s="462" t="s">
        <v>633</v>
      </c>
      <c r="B266" s="462"/>
      <c r="C266" s="453"/>
      <c r="D266" s="445"/>
      <c r="E266" s="445"/>
      <c r="F266" s="445"/>
      <c r="G266" s="445"/>
      <c r="H266" s="445"/>
    </row>
    <row r="267" spans="1:8" x14ac:dyDescent="0.2">
      <c r="A267" s="463" t="s">
        <v>622</v>
      </c>
      <c r="B267" s="453"/>
      <c r="C267" s="446" t="s">
        <v>1</v>
      </c>
      <c r="D267" s="446"/>
      <c r="E267" s="446" t="s">
        <v>632</v>
      </c>
      <c r="F267" s="446" t="s">
        <v>631</v>
      </c>
      <c r="G267" s="446" t="s">
        <v>618</v>
      </c>
      <c r="H267" s="446" t="s">
        <v>627</v>
      </c>
    </row>
    <row r="268" spans="1:8" x14ac:dyDescent="0.2">
      <c r="A268" s="464"/>
      <c r="B268" s="465" t="s">
        <v>648</v>
      </c>
      <c r="C268" s="453"/>
      <c r="D268" s="453"/>
      <c r="E268" s="455"/>
      <c r="F268" s="453"/>
      <c r="G268" s="466">
        <v>1200</v>
      </c>
      <c r="H268" s="466">
        <f>+G268</f>
        <v>1200</v>
      </c>
    </row>
    <row r="269" spans="1:8" x14ac:dyDescent="0.2">
      <c r="A269" s="464"/>
      <c r="B269" s="465"/>
      <c r="C269" s="453"/>
      <c r="D269" s="453"/>
      <c r="E269" s="455"/>
      <c r="F269" s="453"/>
      <c r="G269" s="466"/>
      <c r="H269" s="466"/>
    </row>
    <row r="270" spans="1:8" x14ac:dyDescent="0.2">
      <c r="A270" s="464"/>
      <c r="B270" s="465"/>
      <c r="C270" s="465"/>
      <c r="D270" s="453"/>
      <c r="E270" s="455"/>
      <c r="F270" s="453"/>
      <c r="G270" s="453"/>
      <c r="H270" s="453"/>
    </row>
    <row r="271" spans="1:8" x14ac:dyDescent="0.2">
      <c r="A271" s="453"/>
      <c r="B271" s="453"/>
      <c r="C271" s="453"/>
      <c r="D271" s="453"/>
      <c r="E271" s="454"/>
      <c r="F271" s="453"/>
      <c r="G271" s="454" t="s">
        <v>605</v>
      </c>
      <c r="H271" s="467">
        <f>ROUND(SUM(H268:H270),0)</f>
        <v>1200</v>
      </c>
    </row>
    <row r="272" spans="1:8" x14ac:dyDescent="0.2">
      <c r="A272" s="453"/>
      <c r="B272" s="453"/>
      <c r="C272" s="453"/>
      <c r="D272" s="453"/>
      <c r="E272" s="454"/>
      <c r="F272" s="453"/>
      <c r="G272" s="454"/>
      <c r="H272" s="467"/>
    </row>
    <row r="273" spans="1:8" x14ac:dyDescent="0.2">
      <c r="A273" s="462" t="s">
        <v>629</v>
      </c>
      <c r="B273" s="462"/>
      <c r="C273" s="462"/>
      <c r="D273" s="462"/>
      <c r="E273" s="454"/>
      <c r="F273" s="453"/>
      <c r="G273" s="453"/>
      <c r="H273" s="453"/>
    </row>
    <row r="274" spans="1:8" x14ac:dyDescent="0.2">
      <c r="A274" s="463" t="s">
        <v>622</v>
      </c>
      <c r="B274" s="453"/>
      <c r="C274" s="446" t="s">
        <v>1</v>
      </c>
      <c r="D274" s="446"/>
      <c r="E274" s="446" t="s">
        <v>15</v>
      </c>
      <c r="F274" s="446" t="s">
        <v>628</v>
      </c>
      <c r="G274" s="446" t="s">
        <v>618</v>
      </c>
      <c r="H274" s="446" t="s">
        <v>627</v>
      </c>
    </row>
    <row r="275" spans="1:8" x14ac:dyDescent="0.2">
      <c r="A275" s="464"/>
      <c r="B275" s="1520" t="s">
        <v>626</v>
      </c>
      <c r="C275" s="1520"/>
      <c r="D275" s="1520"/>
      <c r="E275" s="455" t="s">
        <v>641</v>
      </c>
      <c r="F275" s="468">
        <v>18</v>
      </c>
      <c r="G275" s="469">
        <v>1500</v>
      </c>
      <c r="H275" s="470">
        <f>+ROUND(F275*G275,0)</f>
        <v>27000</v>
      </c>
    </row>
    <row r="276" spans="1:8" x14ac:dyDescent="0.2">
      <c r="A276" s="464"/>
      <c r="B276" s="1520" t="s">
        <v>693</v>
      </c>
      <c r="C276" s="1520"/>
      <c r="D276" s="1520"/>
      <c r="E276" s="455" t="s">
        <v>2</v>
      </c>
      <c r="F276" s="468">
        <v>1</v>
      </c>
      <c r="G276" s="469">
        <v>47891</v>
      </c>
      <c r="H276" s="470">
        <f>+ROUND(F276*G276,0)</f>
        <v>47891</v>
      </c>
    </row>
    <row r="277" spans="1:8" x14ac:dyDescent="0.2">
      <c r="A277" s="464"/>
      <c r="B277" s="1520"/>
      <c r="C277" s="1520"/>
      <c r="D277" s="1520"/>
      <c r="E277" s="455"/>
      <c r="F277" s="468"/>
      <c r="G277" s="469"/>
      <c r="H277" s="470"/>
    </row>
    <row r="278" spans="1:8" x14ac:dyDescent="0.2">
      <c r="A278" s="464"/>
      <c r="B278" s="1520"/>
      <c r="C278" s="1520"/>
      <c r="D278" s="1520"/>
      <c r="E278" s="455"/>
      <c r="F278" s="468"/>
      <c r="G278" s="469"/>
      <c r="H278" s="470"/>
    </row>
    <row r="279" spans="1:8" x14ac:dyDescent="0.2">
      <c r="A279" s="464"/>
      <c r="B279" s="471"/>
      <c r="C279" s="472"/>
      <c r="D279" s="472"/>
      <c r="E279" s="455"/>
      <c r="F279" s="468"/>
      <c r="G279" s="469"/>
      <c r="H279" s="470">
        <f>+ROUND(F279*G279,0)</f>
        <v>0</v>
      </c>
    </row>
    <row r="280" spans="1:8" x14ac:dyDescent="0.2">
      <c r="A280" s="464"/>
      <c r="B280" s="453"/>
      <c r="C280" s="453"/>
      <c r="D280" s="453"/>
      <c r="E280" s="454"/>
      <c r="F280" s="453"/>
      <c r="G280" s="473"/>
      <c r="H280" s="473"/>
    </row>
    <row r="281" spans="1:8" x14ac:dyDescent="0.2">
      <c r="A281" s="453"/>
      <c r="B281" s="453"/>
      <c r="C281" s="453"/>
      <c r="D281" s="453"/>
      <c r="E281" s="454"/>
      <c r="F281" s="453"/>
      <c r="G281" s="454" t="s">
        <v>605</v>
      </c>
      <c r="H281" s="462">
        <f>ROUND(SUM(H275:H280),0)</f>
        <v>74891</v>
      </c>
    </row>
    <row r="282" spans="1:8" x14ac:dyDescent="0.2">
      <c r="A282" s="453"/>
      <c r="B282" s="453"/>
      <c r="C282" s="453"/>
      <c r="D282" s="453"/>
      <c r="E282" s="454"/>
      <c r="F282" s="453"/>
      <c r="G282" s="454"/>
      <c r="H282" s="462"/>
    </row>
    <row r="283" spans="1:8" x14ac:dyDescent="0.2">
      <c r="A283" s="462" t="s">
        <v>623</v>
      </c>
      <c r="B283" s="453"/>
      <c r="C283" s="453"/>
      <c r="D283" s="453"/>
      <c r="E283" s="454"/>
      <c r="F283" s="453"/>
      <c r="G283" s="454"/>
      <c r="H283" s="462"/>
    </row>
    <row r="284" spans="1:8" x14ac:dyDescent="0.2">
      <c r="A284" s="463" t="s">
        <v>622</v>
      </c>
      <c r="B284" s="1521" t="s">
        <v>621</v>
      </c>
      <c r="C284" s="1521"/>
      <c r="D284" s="474" t="s">
        <v>620</v>
      </c>
      <c r="E284" s="475" t="s">
        <v>2</v>
      </c>
      <c r="F284" s="476" t="s">
        <v>619</v>
      </c>
      <c r="G284" s="477" t="s">
        <v>618</v>
      </c>
      <c r="H284" s="477" t="s">
        <v>600</v>
      </c>
    </row>
    <row r="285" spans="1:8" x14ac:dyDescent="0.2">
      <c r="A285" s="478"/>
      <c r="B285" s="465" t="s">
        <v>679</v>
      </c>
      <c r="D285" s="479">
        <v>1E-3</v>
      </c>
      <c r="E285" s="455" t="s">
        <v>616</v>
      </c>
      <c r="F285" s="480">
        <v>1</v>
      </c>
      <c r="G285" s="469">
        <v>380000</v>
      </c>
      <c r="H285" s="473">
        <f>+ROUND(D285*G285,0)</f>
        <v>380</v>
      </c>
    </row>
    <row r="286" spans="1:8" x14ac:dyDescent="0.2">
      <c r="A286" s="478"/>
      <c r="B286" s="465"/>
      <c r="D286" s="481"/>
      <c r="E286" s="455"/>
      <c r="F286" s="482"/>
      <c r="G286" s="483"/>
      <c r="H286" s="470"/>
    </row>
    <row r="287" spans="1:8" x14ac:dyDescent="0.2">
      <c r="A287" s="478"/>
      <c r="E287" s="484"/>
      <c r="F287" s="484"/>
      <c r="G287" s="473"/>
      <c r="H287" s="470"/>
    </row>
    <row r="288" spans="1:8" x14ac:dyDescent="0.2">
      <c r="E288" s="485"/>
      <c r="F288" s="484"/>
      <c r="G288" s="454" t="s">
        <v>605</v>
      </c>
      <c r="H288" s="486">
        <f>ROUND(SUM(H285:H287),0)</f>
        <v>380</v>
      </c>
    </row>
    <row r="289" spans="1:8" x14ac:dyDescent="0.2">
      <c r="E289" s="485"/>
      <c r="F289" s="484"/>
      <c r="G289" s="454"/>
      <c r="H289" s="486"/>
    </row>
    <row r="290" spans="1:8" x14ac:dyDescent="0.2">
      <c r="A290" s="462" t="s">
        <v>615</v>
      </c>
      <c r="B290" s="462"/>
      <c r="C290" s="462"/>
      <c r="D290" s="453"/>
      <c r="E290" s="454"/>
      <c r="F290" s="453"/>
      <c r="G290" s="453"/>
      <c r="H290" s="453"/>
    </row>
    <row r="291" spans="1:8" x14ac:dyDescent="0.2">
      <c r="A291" s="487" t="s">
        <v>421</v>
      </c>
      <c r="B291" s="1512" t="s">
        <v>614</v>
      </c>
      <c r="C291" s="1512"/>
      <c r="D291" s="446" t="s">
        <v>613</v>
      </c>
      <c r="E291" s="446" t="s">
        <v>612</v>
      </c>
      <c r="F291" s="446" t="s">
        <v>611</v>
      </c>
      <c r="G291" s="446" t="s">
        <v>610</v>
      </c>
      <c r="H291" s="446" t="s">
        <v>609</v>
      </c>
    </row>
    <row r="292" spans="1:8" x14ac:dyDescent="0.2">
      <c r="A292" s="488">
        <v>1</v>
      </c>
      <c r="B292" s="465" t="s">
        <v>608</v>
      </c>
      <c r="C292" s="465"/>
      <c r="D292" s="483">
        <v>80000</v>
      </c>
      <c r="E292" s="489">
        <f>D292*75%</f>
        <v>60000</v>
      </c>
      <c r="F292" s="473">
        <f>(D292+E292)*A292</f>
        <v>140000</v>
      </c>
      <c r="G292" s="453">
        <v>14</v>
      </c>
      <c r="H292" s="473">
        <f>+ROUND(F292/G292,0)</f>
        <v>10000</v>
      </c>
    </row>
    <row r="293" spans="1:8" x14ac:dyDescent="0.2">
      <c r="A293" s="488">
        <v>1</v>
      </c>
      <c r="B293" s="447" t="s">
        <v>607</v>
      </c>
      <c r="C293" s="465"/>
      <c r="D293" s="483">
        <v>40000</v>
      </c>
      <c r="E293" s="489">
        <f>D293*75%</f>
        <v>30000</v>
      </c>
      <c r="F293" s="473">
        <f>(D293+E293)*A293</f>
        <v>70000</v>
      </c>
      <c r="G293" s="453">
        <v>14</v>
      </c>
      <c r="H293" s="473">
        <f>+ROUND(F293/G293,0)</f>
        <v>5000</v>
      </c>
    </row>
    <row r="294" spans="1:8" x14ac:dyDescent="0.2">
      <c r="A294" s="488">
        <v>2</v>
      </c>
      <c r="B294" s="465" t="s">
        <v>606</v>
      </c>
      <c r="C294" s="465"/>
      <c r="D294" s="483">
        <v>25000</v>
      </c>
      <c r="E294" s="489">
        <f>D294*75%</f>
        <v>18750</v>
      </c>
      <c r="F294" s="473">
        <f>(D294+E294)*A294</f>
        <v>87500</v>
      </c>
      <c r="G294" s="453">
        <v>14</v>
      </c>
      <c r="H294" s="473">
        <f>+ROUND(F294/G294,0)</f>
        <v>6250</v>
      </c>
    </row>
    <row r="295" spans="1:8" x14ac:dyDescent="0.2">
      <c r="A295" s="488"/>
      <c r="B295" s="465"/>
      <c r="C295" s="465"/>
      <c r="D295" s="483"/>
      <c r="E295" s="489"/>
      <c r="F295" s="473"/>
      <c r="G295" s="453"/>
      <c r="H295" s="473"/>
    </row>
    <row r="296" spans="1:8" x14ac:dyDescent="0.2">
      <c r="A296" s="488"/>
      <c r="B296" s="453"/>
      <c r="C296" s="453"/>
      <c r="D296" s="473"/>
      <c r="E296" s="489"/>
      <c r="F296" s="473"/>
      <c r="G296" s="453"/>
      <c r="H296" s="473"/>
    </row>
    <row r="297" spans="1:8" x14ac:dyDescent="0.2">
      <c r="A297" s="453"/>
      <c r="B297" s="453"/>
      <c r="C297" s="453"/>
      <c r="D297" s="453"/>
      <c r="E297" s="454"/>
      <c r="F297" s="453"/>
      <c r="G297" s="454" t="s">
        <v>605</v>
      </c>
      <c r="H297" s="486">
        <f>ROUND(SUM(H292:H296),0)</f>
        <v>21250</v>
      </c>
    </row>
    <row r="298" spans="1:8" x14ac:dyDescent="0.2">
      <c r="A298" s="453"/>
      <c r="B298" s="453"/>
      <c r="C298" s="453"/>
      <c r="D298" s="453"/>
      <c r="E298" s="454"/>
      <c r="F298" s="453"/>
      <c r="G298" s="453"/>
      <c r="H298" s="453"/>
    </row>
    <row r="299" spans="1:8" x14ac:dyDescent="0.2">
      <c r="A299" s="490"/>
      <c r="B299" s="453"/>
      <c r="C299" s="453"/>
      <c r="D299" s="453"/>
      <c r="E299" s="491" t="s">
        <v>604</v>
      </c>
      <c r="F299" s="492"/>
      <c r="G299" s="492"/>
      <c r="H299" s="493">
        <f>+ROUND(H271+H281+H288+H297,0)</f>
        <v>97721</v>
      </c>
    </row>
    <row r="300" spans="1:8" x14ac:dyDescent="0.2">
      <c r="A300" s="488"/>
      <c r="B300" s="453"/>
      <c r="C300" s="453"/>
      <c r="D300" s="473"/>
      <c r="E300" s="489"/>
      <c r="F300" s="473"/>
      <c r="G300" s="453"/>
      <c r="H300" s="473"/>
    </row>
    <row r="307" spans="1:8" ht="15.75" customHeight="1" x14ac:dyDescent="0.25">
      <c r="A307" s="448"/>
      <c r="B307" s="448"/>
      <c r="C307" s="1513"/>
      <c r="D307" s="1513"/>
      <c r="E307" s="1513"/>
      <c r="F307" s="449" t="s">
        <v>638</v>
      </c>
      <c r="G307" s="450"/>
      <c r="H307" s="451"/>
    </row>
    <row r="308" spans="1:8" ht="15.75" x14ac:dyDescent="0.25">
      <c r="A308" s="448"/>
      <c r="B308" s="448"/>
      <c r="C308" s="1513"/>
      <c r="D308" s="1513"/>
      <c r="E308" s="1513"/>
      <c r="F308" s="1514" t="s">
        <v>637</v>
      </c>
      <c r="G308" s="1514"/>
      <c r="H308" s="1514"/>
    </row>
    <row r="309" spans="1:8" x14ac:dyDescent="0.2">
      <c r="A309" s="452"/>
      <c r="B309" s="452"/>
      <c r="C309" s="1513"/>
      <c r="D309" s="1513"/>
      <c r="E309" s="1513"/>
      <c r="F309" s="1514"/>
      <c r="G309" s="1514"/>
      <c r="H309" s="1514"/>
    </row>
    <row r="310" spans="1:8" x14ac:dyDescent="0.2">
      <c r="A310" s="444"/>
      <c r="B310" s="1515"/>
      <c r="C310" s="1516"/>
      <c r="D310" s="1516"/>
      <c r="E310" s="444"/>
      <c r="F310" s="453"/>
      <c r="G310" s="454"/>
      <c r="H310" s="455"/>
    </row>
    <row r="311" spans="1:8" x14ac:dyDescent="0.2">
      <c r="A311" s="389">
        <v>1</v>
      </c>
      <c r="B311" s="380" t="s">
        <v>599</v>
      </c>
      <c r="C311" s="418"/>
      <c r="D311" s="457"/>
      <c r="E311" s="454"/>
      <c r="F311" s="453"/>
      <c r="G311" s="454" t="s">
        <v>634</v>
      </c>
      <c r="H311" s="455" t="s">
        <v>2</v>
      </c>
    </row>
    <row r="312" spans="1:8" x14ac:dyDescent="0.2">
      <c r="A312" s="458" t="s">
        <v>32</v>
      </c>
      <c r="B312" s="1525" t="s">
        <v>692</v>
      </c>
      <c r="C312" s="1525"/>
      <c r="D312" s="1525"/>
      <c r="E312" s="1525"/>
      <c r="F312" s="459"/>
      <c r="G312" s="454"/>
      <c r="H312" s="455"/>
    </row>
    <row r="313" spans="1:8" x14ac:dyDescent="0.2">
      <c r="A313" s="458"/>
      <c r="B313" s="460"/>
      <c r="C313" s="461"/>
      <c r="D313" s="461"/>
      <c r="E313" s="461"/>
      <c r="F313" s="461"/>
      <c r="G313" s="454"/>
      <c r="H313" s="455"/>
    </row>
    <row r="314" spans="1:8" x14ac:dyDescent="0.2">
      <c r="A314" s="458"/>
      <c r="B314" s="459"/>
      <c r="C314" s="459"/>
      <c r="D314" s="459"/>
      <c r="E314" s="459"/>
      <c r="F314" s="459"/>
      <c r="G314" s="416"/>
      <c r="H314" s="416"/>
    </row>
    <row r="315" spans="1:8" x14ac:dyDescent="0.2">
      <c r="A315" s="462" t="s">
        <v>633</v>
      </c>
      <c r="B315" s="462"/>
      <c r="C315" s="453"/>
      <c r="D315" s="445"/>
      <c r="E315" s="445"/>
      <c r="F315" s="445"/>
      <c r="G315" s="445"/>
      <c r="H315" s="445"/>
    </row>
    <row r="316" spans="1:8" x14ac:dyDescent="0.2">
      <c r="A316" s="463" t="s">
        <v>622</v>
      </c>
      <c r="B316" s="453"/>
      <c r="C316" s="446" t="s">
        <v>1</v>
      </c>
      <c r="D316" s="446"/>
      <c r="E316" s="446" t="s">
        <v>632</v>
      </c>
      <c r="F316" s="446" t="s">
        <v>631</v>
      </c>
      <c r="G316" s="446" t="s">
        <v>618</v>
      </c>
      <c r="H316" s="446" t="s">
        <v>627</v>
      </c>
    </row>
    <row r="317" spans="1:8" x14ac:dyDescent="0.2">
      <c r="A317" s="464"/>
      <c r="B317" s="465" t="s">
        <v>648</v>
      </c>
      <c r="C317" s="453"/>
      <c r="D317" s="453"/>
      <c r="E317" s="455"/>
      <c r="F317" s="453"/>
      <c r="G317" s="466">
        <v>1200</v>
      </c>
      <c r="H317" s="466">
        <f>+G317</f>
        <v>1200</v>
      </c>
    </row>
    <row r="318" spans="1:8" x14ac:dyDescent="0.2">
      <c r="A318" s="464"/>
      <c r="B318" s="465"/>
      <c r="C318" s="453"/>
      <c r="D318" s="453"/>
      <c r="E318" s="455"/>
      <c r="F318" s="453"/>
      <c r="G318" s="466"/>
      <c r="H318" s="466"/>
    </row>
    <row r="319" spans="1:8" x14ac:dyDescent="0.2">
      <c r="A319" s="464"/>
      <c r="B319" s="465"/>
      <c r="C319" s="465"/>
      <c r="D319" s="453"/>
      <c r="E319" s="455"/>
      <c r="F319" s="453"/>
      <c r="G319" s="453"/>
      <c r="H319" s="453"/>
    </row>
    <row r="320" spans="1:8" x14ac:dyDescent="0.2">
      <c r="A320" s="453"/>
      <c r="B320" s="453"/>
      <c r="C320" s="453"/>
      <c r="D320" s="453"/>
      <c r="E320" s="454"/>
      <c r="F320" s="453"/>
      <c r="G320" s="454" t="s">
        <v>605</v>
      </c>
      <c r="H320" s="467">
        <f>ROUND(SUM(H317:H319),0)</f>
        <v>1200</v>
      </c>
    </row>
    <row r="321" spans="1:8" x14ac:dyDescent="0.2">
      <c r="A321" s="453"/>
      <c r="B321" s="453"/>
      <c r="C321" s="453"/>
      <c r="D321" s="453"/>
      <c r="E321" s="454"/>
      <c r="F321" s="453"/>
      <c r="G321" s="454"/>
      <c r="H321" s="467"/>
    </row>
    <row r="322" spans="1:8" x14ac:dyDescent="0.2">
      <c r="A322" s="462" t="s">
        <v>629</v>
      </c>
      <c r="B322" s="462"/>
      <c r="C322" s="462"/>
      <c r="D322" s="462"/>
      <c r="E322" s="454"/>
      <c r="F322" s="453"/>
      <c r="G322" s="453"/>
      <c r="H322" s="453"/>
    </row>
    <row r="323" spans="1:8" x14ac:dyDescent="0.2">
      <c r="A323" s="463" t="s">
        <v>622</v>
      </c>
      <c r="B323" s="453"/>
      <c r="C323" s="446" t="s">
        <v>1</v>
      </c>
      <c r="D323" s="446"/>
      <c r="E323" s="446" t="s">
        <v>15</v>
      </c>
      <c r="F323" s="446" t="s">
        <v>628</v>
      </c>
      <c r="G323" s="446" t="s">
        <v>618</v>
      </c>
      <c r="H323" s="446" t="s">
        <v>627</v>
      </c>
    </row>
    <row r="324" spans="1:8" x14ac:dyDescent="0.2">
      <c r="A324" s="464"/>
      <c r="B324" s="1520" t="s">
        <v>626</v>
      </c>
      <c r="C324" s="1520"/>
      <c r="D324" s="1520"/>
      <c r="E324" s="455" t="s">
        <v>641</v>
      </c>
      <c r="F324" s="468">
        <v>45</v>
      </c>
      <c r="G324" s="469">
        <v>1500</v>
      </c>
      <c r="H324" s="470">
        <f t="shared" ref="H324:H331" si="0">+ROUND(F324*G324,0)</f>
        <v>67500</v>
      </c>
    </row>
    <row r="325" spans="1:8" x14ac:dyDescent="0.2">
      <c r="A325" s="464"/>
      <c r="B325" s="1520" t="s">
        <v>642</v>
      </c>
      <c r="C325" s="1520"/>
      <c r="D325" s="1520"/>
      <c r="E325" s="455" t="s">
        <v>641</v>
      </c>
      <c r="F325" s="468">
        <v>15</v>
      </c>
      <c r="G325" s="469">
        <v>1400</v>
      </c>
      <c r="H325" s="470">
        <f t="shared" si="0"/>
        <v>21000</v>
      </c>
    </row>
    <row r="326" spans="1:8" x14ac:dyDescent="0.2">
      <c r="A326" s="464"/>
      <c r="B326" s="1520" t="s">
        <v>640</v>
      </c>
      <c r="C326" s="1520"/>
      <c r="D326" s="1520"/>
      <c r="E326" s="455" t="s">
        <v>2</v>
      </c>
      <c r="F326" s="468">
        <v>1</v>
      </c>
      <c r="G326" s="469">
        <v>900</v>
      </c>
      <c r="H326" s="470">
        <f t="shared" si="0"/>
        <v>900</v>
      </c>
    </row>
    <row r="327" spans="1:8" x14ac:dyDescent="0.2">
      <c r="A327" s="464"/>
      <c r="B327" s="1520" t="s">
        <v>639</v>
      </c>
      <c r="C327" s="1520"/>
      <c r="D327" s="1520"/>
      <c r="E327" s="455" t="s">
        <v>2</v>
      </c>
      <c r="F327" s="468">
        <v>8</v>
      </c>
      <c r="G327" s="469">
        <v>700</v>
      </c>
      <c r="H327" s="470">
        <f t="shared" si="0"/>
        <v>5600</v>
      </c>
    </row>
    <row r="328" spans="1:8" x14ac:dyDescent="0.2">
      <c r="A328" s="464"/>
      <c r="B328" s="1520" t="s">
        <v>691</v>
      </c>
      <c r="C328" s="1520"/>
      <c r="D328" s="1520"/>
      <c r="E328" s="455" t="s">
        <v>2</v>
      </c>
      <c r="F328" s="468">
        <v>1</v>
      </c>
      <c r="G328" s="469">
        <v>241700</v>
      </c>
      <c r="H328" s="470">
        <f t="shared" si="0"/>
        <v>241700</v>
      </c>
    </row>
    <row r="329" spans="1:8" x14ac:dyDescent="0.2">
      <c r="A329" s="464"/>
      <c r="B329" s="1520" t="s">
        <v>690</v>
      </c>
      <c r="C329" s="1520"/>
      <c r="D329" s="1520"/>
      <c r="E329" s="455" t="s">
        <v>2</v>
      </c>
      <c r="F329" s="468">
        <v>1</v>
      </c>
      <c r="G329" s="469">
        <v>95518</v>
      </c>
      <c r="H329" s="470">
        <f t="shared" si="0"/>
        <v>95518</v>
      </c>
    </row>
    <row r="330" spans="1:8" x14ac:dyDescent="0.2">
      <c r="A330" s="464"/>
      <c r="B330" s="1520" t="s">
        <v>689</v>
      </c>
      <c r="C330" s="1520"/>
      <c r="D330" s="1520"/>
      <c r="E330" s="455" t="s">
        <v>2</v>
      </c>
      <c r="F330" s="468">
        <v>1</v>
      </c>
      <c r="G330" s="469">
        <v>108900</v>
      </c>
      <c r="H330" s="470">
        <f t="shared" si="0"/>
        <v>108900</v>
      </c>
    </row>
    <row r="331" spans="1:8" x14ac:dyDescent="0.2">
      <c r="A331" s="464"/>
      <c r="B331" s="471"/>
      <c r="C331" s="472"/>
      <c r="D331" s="472"/>
      <c r="E331" s="455"/>
      <c r="F331" s="468"/>
      <c r="G331" s="469"/>
      <c r="H331" s="470">
        <f t="shared" si="0"/>
        <v>0</v>
      </c>
    </row>
    <row r="332" spans="1:8" x14ac:dyDescent="0.2">
      <c r="A332" s="464"/>
      <c r="B332" s="453"/>
      <c r="C332" s="453"/>
      <c r="D332" s="453"/>
      <c r="E332" s="454"/>
      <c r="F332" s="453"/>
      <c r="G332" s="473"/>
      <c r="H332" s="473"/>
    </row>
    <row r="333" spans="1:8" x14ac:dyDescent="0.2">
      <c r="A333" s="453"/>
      <c r="B333" s="453"/>
      <c r="C333" s="453"/>
      <c r="D333" s="453"/>
      <c r="E333" s="454"/>
      <c r="F333" s="453"/>
      <c r="G333" s="454" t="s">
        <v>605</v>
      </c>
      <c r="H333" s="462">
        <f>ROUND(SUM(H324:H332),0)</f>
        <v>541118</v>
      </c>
    </row>
    <row r="334" spans="1:8" x14ac:dyDescent="0.2">
      <c r="A334" s="453"/>
      <c r="B334" s="453"/>
      <c r="C334" s="453"/>
      <c r="D334" s="453"/>
      <c r="E334" s="454"/>
      <c r="F334" s="453"/>
      <c r="G334" s="454"/>
      <c r="H334" s="462"/>
    </row>
    <row r="335" spans="1:8" x14ac:dyDescent="0.2">
      <c r="A335" s="462" t="s">
        <v>623</v>
      </c>
      <c r="B335" s="453"/>
      <c r="C335" s="453"/>
      <c r="D335" s="453"/>
      <c r="E335" s="454"/>
      <c r="F335" s="453"/>
      <c r="G335" s="454"/>
      <c r="H335" s="462"/>
    </row>
    <row r="336" spans="1:8" x14ac:dyDescent="0.2">
      <c r="A336" s="463" t="s">
        <v>622</v>
      </c>
      <c r="B336" s="1521" t="s">
        <v>621</v>
      </c>
      <c r="C336" s="1521"/>
      <c r="D336" s="474" t="s">
        <v>620</v>
      </c>
      <c r="E336" s="475" t="s">
        <v>2</v>
      </c>
      <c r="F336" s="476" t="s">
        <v>619</v>
      </c>
      <c r="G336" s="477" t="s">
        <v>618</v>
      </c>
      <c r="H336" s="477" t="s">
        <v>600</v>
      </c>
    </row>
    <row r="337" spans="1:8" x14ac:dyDescent="0.2">
      <c r="A337" s="478"/>
      <c r="B337" s="465" t="s">
        <v>679</v>
      </c>
      <c r="D337" s="479">
        <v>8.0000000000000002E-3</v>
      </c>
      <c r="E337" s="455" t="s">
        <v>616</v>
      </c>
      <c r="F337" s="480">
        <v>1</v>
      </c>
      <c r="G337" s="469">
        <v>380000</v>
      </c>
      <c r="H337" s="473">
        <f>+ROUND(D337*G337,0)</f>
        <v>3040</v>
      </c>
    </row>
    <row r="338" spans="1:8" x14ac:dyDescent="0.2">
      <c r="A338" s="478"/>
      <c r="B338" s="465"/>
      <c r="D338" s="481"/>
      <c r="E338" s="455"/>
      <c r="F338" s="482"/>
      <c r="G338" s="483"/>
      <c r="H338" s="470"/>
    </row>
    <row r="339" spans="1:8" x14ac:dyDescent="0.2">
      <c r="A339" s="478"/>
      <c r="E339" s="484"/>
      <c r="F339" s="484"/>
      <c r="G339" s="473"/>
      <c r="H339" s="470"/>
    </row>
    <row r="340" spans="1:8" x14ac:dyDescent="0.2">
      <c r="E340" s="485"/>
      <c r="F340" s="484"/>
      <c r="G340" s="454" t="s">
        <v>605</v>
      </c>
      <c r="H340" s="486">
        <f>ROUND(SUM(H337:H339),0)</f>
        <v>3040</v>
      </c>
    </row>
    <row r="341" spans="1:8" x14ac:dyDescent="0.2">
      <c r="E341" s="485"/>
      <c r="F341" s="484"/>
      <c r="G341" s="454"/>
      <c r="H341" s="486"/>
    </row>
    <row r="342" spans="1:8" x14ac:dyDescent="0.2">
      <c r="A342" s="462" t="s">
        <v>615</v>
      </c>
      <c r="B342" s="462"/>
      <c r="C342" s="462"/>
      <c r="D342" s="453"/>
      <c r="E342" s="454"/>
      <c r="F342" s="453"/>
      <c r="G342" s="453"/>
      <c r="H342" s="453"/>
    </row>
    <row r="343" spans="1:8" x14ac:dyDescent="0.2">
      <c r="A343" s="487" t="s">
        <v>421</v>
      </c>
      <c r="B343" s="1512" t="s">
        <v>614</v>
      </c>
      <c r="C343" s="1512"/>
      <c r="D343" s="446" t="s">
        <v>613</v>
      </c>
      <c r="E343" s="446" t="s">
        <v>612</v>
      </c>
      <c r="F343" s="446" t="s">
        <v>611</v>
      </c>
      <c r="G343" s="446" t="s">
        <v>610</v>
      </c>
      <c r="H343" s="446" t="s">
        <v>609</v>
      </c>
    </row>
    <row r="344" spans="1:8" x14ac:dyDescent="0.2">
      <c r="A344" s="488">
        <v>1</v>
      </c>
      <c r="B344" s="465" t="s">
        <v>608</v>
      </c>
      <c r="C344" s="465"/>
      <c r="D344" s="483">
        <v>80000</v>
      </c>
      <c r="E344" s="489">
        <f>D344*75%</f>
        <v>60000</v>
      </c>
      <c r="F344" s="473">
        <f>(D344+E344)*A344</f>
        <v>140000</v>
      </c>
      <c r="G344" s="453">
        <v>10</v>
      </c>
      <c r="H344" s="473">
        <f>+ROUND(F344/G344,0)</f>
        <v>14000</v>
      </c>
    </row>
    <row r="345" spans="1:8" x14ac:dyDescent="0.2">
      <c r="A345" s="488">
        <v>1</v>
      </c>
      <c r="B345" s="447" t="s">
        <v>607</v>
      </c>
      <c r="C345" s="465"/>
      <c r="D345" s="483">
        <v>40000</v>
      </c>
      <c r="E345" s="489">
        <f>D345*75%</f>
        <v>30000</v>
      </c>
      <c r="F345" s="473">
        <f>(D345+E345)*A345</f>
        <v>70000</v>
      </c>
      <c r="G345" s="453">
        <v>10</v>
      </c>
      <c r="H345" s="473">
        <f>+ROUND(F345/G345,0)</f>
        <v>7000</v>
      </c>
    </row>
    <row r="346" spans="1:8" x14ac:dyDescent="0.2">
      <c r="A346" s="488">
        <v>2</v>
      </c>
      <c r="B346" s="465" t="s">
        <v>606</v>
      </c>
      <c r="C346" s="465"/>
      <c r="D346" s="483">
        <v>25000</v>
      </c>
      <c r="E346" s="489">
        <f>D346*75%</f>
        <v>18750</v>
      </c>
      <c r="F346" s="473">
        <f>(D346+E346)*A346</f>
        <v>87500</v>
      </c>
      <c r="G346" s="453">
        <v>10</v>
      </c>
      <c r="H346" s="473">
        <f>+ROUND(F346/G346,0)</f>
        <v>8750</v>
      </c>
    </row>
    <row r="347" spans="1:8" x14ac:dyDescent="0.2">
      <c r="A347" s="488"/>
      <c r="B347" s="465"/>
      <c r="C347" s="465"/>
      <c r="D347" s="483"/>
      <c r="E347" s="489"/>
      <c r="F347" s="473"/>
      <c r="G347" s="453"/>
      <c r="H347" s="473"/>
    </row>
    <row r="348" spans="1:8" x14ac:dyDescent="0.2">
      <c r="A348" s="488"/>
      <c r="B348" s="453"/>
      <c r="C348" s="453"/>
      <c r="D348" s="473"/>
      <c r="E348" s="489"/>
      <c r="F348" s="473"/>
      <c r="G348" s="453"/>
      <c r="H348" s="473"/>
    </row>
    <row r="349" spans="1:8" x14ac:dyDescent="0.2">
      <c r="A349" s="453"/>
      <c r="B349" s="453"/>
      <c r="C349" s="453"/>
      <c r="D349" s="453"/>
      <c r="E349" s="454"/>
      <c r="F349" s="453"/>
      <c r="G349" s="454" t="s">
        <v>605</v>
      </c>
      <c r="H349" s="486">
        <f>ROUND(SUM(H344:H348),0)</f>
        <v>29750</v>
      </c>
    </row>
    <row r="350" spans="1:8" x14ac:dyDescent="0.2">
      <c r="A350" s="453"/>
      <c r="B350" s="453"/>
      <c r="C350" s="453"/>
      <c r="D350" s="453"/>
      <c r="E350" s="454"/>
      <c r="F350" s="453"/>
      <c r="G350" s="453"/>
      <c r="H350" s="453"/>
    </row>
    <row r="351" spans="1:8" x14ac:dyDescent="0.2">
      <c r="A351" s="490"/>
      <c r="B351" s="453"/>
      <c r="C351" s="453"/>
      <c r="D351" s="453"/>
      <c r="E351" s="491" t="s">
        <v>604</v>
      </c>
      <c r="F351" s="492"/>
      <c r="G351" s="492"/>
      <c r="H351" s="493">
        <f>+ROUND(H320+H333+H340+H349,0)</f>
        <v>575108</v>
      </c>
    </row>
    <row r="352" spans="1:8" x14ac:dyDescent="0.2">
      <c r="A352" s="488"/>
      <c r="B352" s="453"/>
      <c r="C352" s="453"/>
      <c r="D352" s="473"/>
      <c r="E352" s="489"/>
      <c r="F352" s="473"/>
      <c r="G352" s="453"/>
      <c r="H352" s="473"/>
    </row>
    <row r="359" spans="1:8" ht="15.75" customHeight="1" x14ac:dyDescent="0.25">
      <c r="A359" s="448"/>
      <c r="B359" s="448"/>
      <c r="C359" s="1513"/>
      <c r="D359" s="1513"/>
      <c r="E359" s="1513"/>
      <c r="F359" s="449" t="s">
        <v>638</v>
      </c>
      <c r="G359" s="450"/>
      <c r="H359" s="451"/>
    </row>
    <row r="360" spans="1:8" ht="15.75" x14ac:dyDescent="0.25">
      <c r="A360" s="448"/>
      <c r="B360" s="448"/>
      <c r="C360" s="1513"/>
      <c r="D360" s="1513"/>
      <c r="E360" s="1513"/>
      <c r="F360" s="1514" t="s">
        <v>637</v>
      </c>
      <c r="G360" s="1514"/>
      <c r="H360" s="1514"/>
    </row>
    <row r="361" spans="1:8" ht="27" customHeight="1" x14ac:dyDescent="0.2">
      <c r="A361" s="452"/>
      <c r="B361" s="452"/>
      <c r="C361" s="1513"/>
      <c r="D361" s="1513"/>
      <c r="E361" s="1513"/>
      <c r="F361" s="1514"/>
      <c r="G361" s="1514"/>
      <c r="H361" s="1514"/>
    </row>
    <row r="362" spans="1:8" x14ac:dyDescent="0.2">
      <c r="A362" s="444"/>
      <c r="B362" s="1515"/>
      <c r="C362" s="1516"/>
      <c r="D362" s="1516"/>
      <c r="E362" s="444"/>
      <c r="F362" s="453"/>
      <c r="G362" s="454"/>
      <c r="H362" s="455"/>
    </row>
    <row r="363" spans="1:8" x14ac:dyDescent="0.2">
      <c r="A363" s="389">
        <v>1</v>
      </c>
      <c r="B363" s="380" t="s">
        <v>599</v>
      </c>
      <c r="C363" s="418"/>
      <c r="D363" s="457"/>
      <c r="E363" s="454"/>
      <c r="F363" s="453"/>
      <c r="G363" s="454" t="s">
        <v>634</v>
      </c>
      <c r="H363" s="455" t="s">
        <v>2</v>
      </c>
    </row>
    <row r="364" spans="1:8" x14ac:dyDescent="0.2">
      <c r="A364" s="458" t="s">
        <v>33</v>
      </c>
      <c r="B364" s="1525" t="s">
        <v>688</v>
      </c>
      <c r="C364" s="1525"/>
      <c r="D364" s="1525"/>
      <c r="E364" s="1525"/>
      <c r="F364" s="459"/>
      <c r="G364" s="454"/>
      <c r="H364" s="455"/>
    </row>
    <row r="365" spans="1:8" x14ac:dyDescent="0.2">
      <c r="A365" s="458"/>
      <c r="B365" s="460"/>
      <c r="C365" s="461"/>
      <c r="D365" s="461"/>
      <c r="E365" s="461"/>
      <c r="F365" s="461"/>
      <c r="G365" s="454"/>
      <c r="H365" s="455"/>
    </row>
    <row r="366" spans="1:8" x14ac:dyDescent="0.2">
      <c r="A366" s="458"/>
      <c r="B366" s="459"/>
      <c r="C366" s="459"/>
      <c r="D366" s="459"/>
      <c r="E366" s="459"/>
      <c r="F366" s="459"/>
      <c r="G366" s="416"/>
      <c r="H366" s="416"/>
    </row>
    <row r="367" spans="1:8" x14ac:dyDescent="0.2">
      <c r="A367" s="462" t="s">
        <v>633</v>
      </c>
      <c r="B367" s="462"/>
      <c r="C367" s="453"/>
      <c r="D367" s="445"/>
      <c r="E367" s="445"/>
      <c r="F367" s="445"/>
      <c r="G367" s="445"/>
      <c r="H367" s="445"/>
    </row>
    <row r="368" spans="1:8" x14ac:dyDescent="0.2">
      <c r="A368" s="463" t="s">
        <v>622</v>
      </c>
      <c r="B368" s="453"/>
      <c r="C368" s="446" t="s">
        <v>1</v>
      </c>
      <c r="D368" s="446"/>
      <c r="E368" s="446" t="s">
        <v>632</v>
      </c>
      <c r="F368" s="446" t="s">
        <v>631</v>
      </c>
      <c r="G368" s="446" t="s">
        <v>618</v>
      </c>
      <c r="H368" s="446" t="s">
        <v>627</v>
      </c>
    </row>
    <row r="369" spans="1:8" x14ac:dyDescent="0.2">
      <c r="A369" s="464"/>
      <c r="B369" s="465" t="s">
        <v>648</v>
      </c>
      <c r="C369" s="453"/>
      <c r="D369" s="453"/>
      <c r="E369" s="455"/>
      <c r="F369" s="453"/>
      <c r="G369" s="466">
        <v>1200</v>
      </c>
      <c r="H369" s="466">
        <f>+G369</f>
        <v>1200</v>
      </c>
    </row>
    <row r="370" spans="1:8" x14ac:dyDescent="0.2">
      <c r="A370" s="464"/>
      <c r="B370" s="465"/>
      <c r="C370" s="453"/>
      <c r="D370" s="453"/>
      <c r="E370" s="455"/>
      <c r="F370" s="453"/>
      <c r="G370" s="466"/>
      <c r="H370" s="466"/>
    </row>
    <row r="371" spans="1:8" x14ac:dyDescent="0.2">
      <c r="A371" s="464"/>
      <c r="B371" s="465"/>
      <c r="C371" s="465"/>
      <c r="D371" s="453"/>
      <c r="E371" s="455"/>
      <c r="F371" s="453"/>
      <c r="G371" s="453"/>
      <c r="H371" s="453"/>
    </row>
    <row r="372" spans="1:8" x14ac:dyDescent="0.2">
      <c r="A372" s="453"/>
      <c r="B372" s="453"/>
      <c r="C372" s="453"/>
      <c r="D372" s="453"/>
      <c r="E372" s="454"/>
      <c r="F372" s="453"/>
      <c r="G372" s="454" t="s">
        <v>605</v>
      </c>
      <c r="H372" s="467">
        <f>ROUND(SUM(H369:H371),0)</f>
        <v>1200</v>
      </c>
    </row>
    <row r="373" spans="1:8" x14ac:dyDescent="0.2">
      <c r="A373" s="453"/>
      <c r="B373" s="453"/>
      <c r="C373" s="453"/>
      <c r="D373" s="453"/>
      <c r="E373" s="454"/>
      <c r="F373" s="453"/>
      <c r="G373" s="454"/>
      <c r="H373" s="467"/>
    </row>
    <row r="374" spans="1:8" x14ac:dyDescent="0.2">
      <c r="A374" s="462" t="s">
        <v>629</v>
      </c>
      <c r="B374" s="462"/>
      <c r="C374" s="462"/>
      <c r="D374" s="462"/>
      <c r="E374" s="454"/>
      <c r="F374" s="453"/>
      <c r="G374" s="453"/>
      <c r="H374" s="453"/>
    </row>
    <row r="375" spans="1:8" x14ac:dyDescent="0.2">
      <c r="A375" s="463" t="s">
        <v>622</v>
      </c>
      <c r="B375" s="453"/>
      <c r="C375" s="446" t="s">
        <v>1</v>
      </c>
      <c r="D375" s="446"/>
      <c r="E375" s="446" t="s">
        <v>15</v>
      </c>
      <c r="F375" s="446" t="s">
        <v>628</v>
      </c>
      <c r="G375" s="446" t="s">
        <v>618</v>
      </c>
      <c r="H375" s="446" t="s">
        <v>627</v>
      </c>
    </row>
    <row r="376" spans="1:8" x14ac:dyDescent="0.2">
      <c r="A376" s="464"/>
      <c r="B376" s="1520" t="s">
        <v>626</v>
      </c>
      <c r="C376" s="1520"/>
      <c r="D376" s="1520"/>
      <c r="E376" s="455" t="s">
        <v>641</v>
      </c>
      <c r="F376" s="468">
        <v>18</v>
      </c>
      <c r="G376" s="469">
        <v>1500</v>
      </c>
      <c r="H376" s="470">
        <f>+ROUND(F376*G376,0)</f>
        <v>27000</v>
      </c>
    </row>
    <row r="377" spans="1:8" x14ac:dyDescent="0.2">
      <c r="A377" s="464"/>
      <c r="B377" s="1520" t="s">
        <v>642</v>
      </c>
      <c r="C377" s="1520"/>
      <c r="D377" s="1520"/>
      <c r="E377" s="455" t="s">
        <v>641</v>
      </c>
      <c r="F377" s="468">
        <v>6</v>
      </c>
      <c r="G377" s="469">
        <v>1400</v>
      </c>
      <c r="H377" s="470">
        <f>+ROUND(F377*G377,0)</f>
        <v>8400</v>
      </c>
    </row>
    <row r="378" spans="1:8" x14ac:dyDescent="0.2">
      <c r="A378" s="464"/>
      <c r="B378" s="1520" t="s">
        <v>640</v>
      </c>
      <c r="C378" s="1520"/>
      <c r="D378" s="1520"/>
      <c r="E378" s="455" t="s">
        <v>2</v>
      </c>
      <c r="F378" s="468">
        <v>1</v>
      </c>
      <c r="G378" s="469">
        <v>900</v>
      </c>
      <c r="H378" s="470">
        <f>+ROUND(F378*G378,0)</f>
        <v>900</v>
      </c>
    </row>
    <row r="379" spans="1:8" x14ac:dyDescent="0.2">
      <c r="A379" s="464"/>
      <c r="B379" s="1520" t="s">
        <v>639</v>
      </c>
      <c r="C379" s="1520"/>
      <c r="D379" s="1520"/>
      <c r="E379" s="455" t="s">
        <v>2</v>
      </c>
      <c r="F379" s="468">
        <v>1</v>
      </c>
      <c r="G379" s="469">
        <v>700</v>
      </c>
      <c r="H379" s="470">
        <f>+ROUND(F379*G379,0)</f>
        <v>700</v>
      </c>
    </row>
    <row r="380" spans="1:8" x14ac:dyDescent="0.2">
      <c r="A380" s="464"/>
      <c r="B380" s="1520" t="s">
        <v>683</v>
      </c>
      <c r="C380" s="1520"/>
      <c r="D380" s="1520"/>
      <c r="E380" s="455" t="s">
        <v>2</v>
      </c>
      <c r="F380" s="468">
        <v>1</v>
      </c>
      <c r="G380" s="469">
        <v>7427</v>
      </c>
      <c r="H380" s="470">
        <f>+ROUND(F380*G380,0)</f>
        <v>7427</v>
      </c>
    </row>
    <row r="381" spans="1:8" x14ac:dyDescent="0.2">
      <c r="A381" s="464"/>
      <c r="B381" s="1520"/>
      <c r="C381" s="1520"/>
      <c r="D381" s="1520"/>
      <c r="E381" s="455"/>
      <c r="F381" s="468"/>
      <c r="G381" s="469"/>
      <c r="H381" s="470"/>
    </row>
    <row r="382" spans="1:8" x14ac:dyDescent="0.2">
      <c r="A382" s="464"/>
      <c r="B382" s="1520"/>
      <c r="C382" s="1520"/>
      <c r="D382" s="1520"/>
      <c r="E382" s="455"/>
      <c r="F382" s="468"/>
      <c r="G382" s="469"/>
      <c r="H382" s="470"/>
    </row>
    <row r="383" spans="1:8" x14ac:dyDescent="0.2">
      <c r="A383" s="464"/>
      <c r="B383" s="471"/>
      <c r="C383" s="472"/>
      <c r="D383" s="472"/>
      <c r="E383" s="455"/>
      <c r="F383" s="468"/>
      <c r="G383" s="469"/>
      <c r="H383" s="470">
        <f>+ROUND(F383*G383,0)</f>
        <v>0</v>
      </c>
    </row>
    <row r="384" spans="1:8" x14ac:dyDescent="0.2">
      <c r="A384" s="464"/>
      <c r="B384" s="453"/>
      <c r="C384" s="453"/>
      <c r="D384" s="453"/>
      <c r="E384" s="454"/>
      <c r="F384" s="453"/>
      <c r="G384" s="473"/>
      <c r="H384" s="473"/>
    </row>
    <row r="385" spans="1:8" x14ac:dyDescent="0.2">
      <c r="A385" s="453"/>
      <c r="B385" s="453"/>
      <c r="C385" s="453"/>
      <c r="D385" s="453"/>
      <c r="E385" s="454"/>
      <c r="F385" s="453"/>
      <c r="G385" s="454" t="s">
        <v>605</v>
      </c>
      <c r="H385" s="462">
        <f>ROUND(SUM(H376:H384),0)</f>
        <v>44427</v>
      </c>
    </row>
    <row r="386" spans="1:8" x14ac:dyDescent="0.2">
      <c r="A386" s="453"/>
      <c r="B386" s="453"/>
      <c r="C386" s="453"/>
      <c r="D386" s="453"/>
      <c r="E386" s="454"/>
      <c r="F386" s="453"/>
      <c r="G386" s="454"/>
      <c r="H386" s="462"/>
    </row>
    <row r="387" spans="1:8" x14ac:dyDescent="0.2">
      <c r="A387" s="462" t="s">
        <v>623</v>
      </c>
      <c r="B387" s="453"/>
      <c r="C387" s="453"/>
      <c r="D387" s="453"/>
      <c r="E387" s="454"/>
      <c r="F387" s="453"/>
      <c r="G387" s="454"/>
      <c r="H387" s="462"/>
    </row>
    <row r="388" spans="1:8" x14ac:dyDescent="0.2">
      <c r="A388" s="463" t="s">
        <v>622</v>
      </c>
      <c r="B388" s="1521" t="s">
        <v>621</v>
      </c>
      <c r="C388" s="1521"/>
      <c r="D388" s="474" t="s">
        <v>620</v>
      </c>
      <c r="E388" s="475" t="s">
        <v>2</v>
      </c>
      <c r="F388" s="476" t="s">
        <v>619</v>
      </c>
      <c r="G388" s="477" t="s">
        <v>618</v>
      </c>
      <c r="H388" s="477" t="s">
        <v>600</v>
      </c>
    </row>
    <row r="389" spans="1:8" x14ac:dyDescent="0.2">
      <c r="A389" s="478"/>
      <c r="B389" s="465" t="s">
        <v>679</v>
      </c>
      <c r="D389" s="479">
        <v>5.0000000000000001E-3</v>
      </c>
      <c r="E389" s="455" t="s">
        <v>616</v>
      </c>
      <c r="F389" s="480">
        <v>1</v>
      </c>
      <c r="G389" s="469">
        <v>380000</v>
      </c>
      <c r="H389" s="473">
        <f>+ROUND(D389*G389,0)</f>
        <v>1900</v>
      </c>
    </row>
    <row r="390" spans="1:8" x14ac:dyDescent="0.2">
      <c r="A390" s="478"/>
      <c r="B390" s="465"/>
      <c r="D390" s="481"/>
      <c r="E390" s="455"/>
      <c r="F390" s="482"/>
      <c r="G390" s="483"/>
      <c r="H390" s="470"/>
    </row>
    <row r="391" spans="1:8" x14ac:dyDescent="0.2">
      <c r="A391" s="478"/>
      <c r="E391" s="484"/>
      <c r="F391" s="484"/>
      <c r="G391" s="473"/>
      <c r="H391" s="470"/>
    </row>
    <row r="392" spans="1:8" x14ac:dyDescent="0.2">
      <c r="E392" s="485"/>
      <c r="F392" s="484"/>
      <c r="G392" s="454" t="s">
        <v>605</v>
      </c>
      <c r="H392" s="486">
        <f>ROUND(SUM(H389:H391),0)</f>
        <v>1900</v>
      </c>
    </row>
    <row r="393" spans="1:8" x14ac:dyDescent="0.2">
      <c r="E393" s="485"/>
      <c r="F393" s="484"/>
      <c r="G393" s="454"/>
      <c r="H393" s="486"/>
    </row>
    <row r="394" spans="1:8" x14ac:dyDescent="0.2">
      <c r="A394" s="462" t="s">
        <v>615</v>
      </c>
      <c r="B394" s="462"/>
      <c r="C394" s="462"/>
      <c r="D394" s="453"/>
      <c r="E394" s="454"/>
      <c r="F394" s="453"/>
      <c r="G394" s="453"/>
      <c r="H394" s="453"/>
    </row>
    <row r="395" spans="1:8" x14ac:dyDescent="0.2">
      <c r="A395" s="487" t="s">
        <v>421</v>
      </c>
      <c r="B395" s="1512" t="s">
        <v>614</v>
      </c>
      <c r="C395" s="1512"/>
      <c r="D395" s="446" t="s">
        <v>613</v>
      </c>
      <c r="E395" s="446" t="s">
        <v>612</v>
      </c>
      <c r="F395" s="446" t="s">
        <v>611</v>
      </c>
      <c r="G395" s="446" t="s">
        <v>610</v>
      </c>
      <c r="H395" s="446" t="s">
        <v>609</v>
      </c>
    </row>
    <row r="396" spans="1:8" x14ac:dyDescent="0.2">
      <c r="A396" s="488">
        <v>1</v>
      </c>
      <c r="B396" s="465" t="s">
        <v>608</v>
      </c>
      <c r="C396" s="465"/>
      <c r="D396" s="483">
        <v>80000</v>
      </c>
      <c r="E396" s="489">
        <f>D396*75%</f>
        <v>60000</v>
      </c>
      <c r="F396" s="473">
        <f>(D396+E396)*A396</f>
        <v>140000</v>
      </c>
      <c r="G396" s="453">
        <v>15</v>
      </c>
      <c r="H396" s="473">
        <f>+ROUND(F396/G396,0)</f>
        <v>9333</v>
      </c>
    </row>
    <row r="397" spans="1:8" x14ac:dyDescent="0.2">
      <c r="A397" s="488">
        <v>1</v>
      </c>
      <c r="B397" s="447" t="s">
        <v>607</v>
      </c>
      <c r="C397" s="465"/>
      <c r="D397" s="483">
        <v>40000</v>
      </c>
      <c r="E397" s="489">
        <f>D397*75%</f>
        <v>30000</v>
      </c>
      <c r="F397" s="473">
        <f>(D397+E397)*A397</f>
        <v>70000</v>
      </c>
      <c r="G397" s="453">
        <v>15</v>
      </c>
      <c r="H397" s="473">
        <f>+ROUND(F397/G397,0)</f>
        <v>4667</v>
      </c>
    </row>
    <row r="398" spans="1:8" x14ac:dyDescent="0.2">
      <c r="A398" s="488">
        <v>2</v>
      </c>
      <c r="B398" s="465" t="s">
        <v>606</v>
      </c>
      <c r="C398" s="465"/>
      <c r="D398" s="483">
        <v>25000</v>
      </c>
      <c r="E398" s="489">
        <f>D398*75%</f>
        <v>18750</v>
      </c>
      <c r="F398" s="473">
        <f>(D398+E398)*A398</f>
        <v>87500</v>
      </c>
      <c r="G398" s="453">
        <v>15</v>
      </c>
      <c r="H398" s="473">
        <f>+ROUND(F398/G398,0)</f>
        <v>5833</v>
      </c>
    </row>
    <row r="399" spans="1:8" x14ac:dyDescent="0.2">
      <c r="A399" s="488"/>
      <c r="B399" s="465"/>
      <c r="C399" s="465"/>
      <c r="D399" s="483"/>
      <c r="E399" s="489"/>
      <c r="F399" s="473"/>
      <c r="G399" s="453"/>
      <c r="H399" s="473"/>
    </row>
    <row r="400" spans="1:8" x14ac:dyDescent="0.2">
      <c r="A400" s="488"/>
      <c r="B400" s="453"/>
      <c r="C400" s="453"/>
      <c r="D400" s="473"/>
      <c r="E400" s="489"/>
      <c r="F400" s="473"/>
      <c r="G400" s="453"/>
      <c r="H400" s="473"/>
    </row>
    <row r="401" spans="1:8" x14ac:dyDescent="0.2">
      <c r="A401" s="453"/>
      <c r="B401" s="453"/>
      <c r="C401" s="453"/>
      <c r="D401" s="453"/>
      <c r="E401" s="454"/>
      <c r="F401" s="453"/>
      <c r="G401" s="454" t="s">
        <v>605</v>
      </c>
      <c r="H401" s="486">
        <f>ROUND(SUM(H396:H400),0)</f>
        <v>19833</v>
      </c>
    </row>
    <row r="402" spans="1:8" x14ac:dyDescent="0.2">
      <c r="A402" s="453"/>
      <c r="B402" s="453"/>
      <c r="C402" s="453"/>
      <c r="D402" s="453"/>
      <c r="E402" s="454"/>
      <c r="F402" s="453"/>
      <c r="G402" s="453"/>
      <c r="H402" s="453"/>
    </row>
    <row r="403" spans="1:8" x14ac:dyDescent="0.2">
      <c r="A403" s="490"/>
      <c r="B403" s="453"/>
      <c r="C403" s="453"/>
      <c r="D403" s="453"/>
      <c r="E403" s="491" t="s">
        <v>604</v>
      </c>
      <c r="F403" s="492"/>
      <c r="G403" s="492"/>
      <c r="H403" s="493">
        <f>+ROUND(H372+H385+H392+H401,0)</f>
        <v>67360</v>
      </c>
    </row>
    <row r="404" spans="1:8" x14ac:dyDescent="0.2">
      <c r="A404" s="488"/>
      <c r="B404" s="453"/>
      <c r="C404" s="453"/>
      <c r="D404" s="473"/>
      <c r="E404" s="489"/>
      <c r="F404" s="473"/>
      <c r="G404" s="453"/>
      <c r="H404" s="473"/>
    </row>
    <row r="411" spans="1:8" ht="15.75" customHeight="1" x14ac:dyDescent="0.25">
      <c r="A411" s="448"/>
      <c r="B411" s="448"/>
      <c r="C411" s="1513"/>
      <c r="D411" s="1513"/>
      <c r="E411" s="1513"/>
      <c r="F411" s="449" t="s">
        <v>638</v>
      </c>
      <c r="G411" s="450"/>
      <c r="H411" s="451"/>
    </row>
    <row r="412" spans="1:8" ht="15.75" x14ac:dyDescent="0.25">
      <c r="A412" s="448"/>
      <c r="B412" s="448"/>
      <c r="C412" s="1513"/>
      <c r="D412" s="1513"/>
      <c r="E412" s="1513"/>
      <c r="F412" s="1514" t="s">
        <v>637</v>
      </c>
      <c r="G412" s="1514"/>
      <c r="H412" s="1514"/>
    </row>
    <row r="413" spans="1:8" x14ac:dyDescent="0.2">
      <c r="A413" s="452"/>
      <c r="B413" s="452"/>
      <c r="C413" s="1513"/>
      <c r="D413" s="1513"/>
      <c r="E413" s="1513"/>
      <c r="F413" s="1514"/>
      <c r="G413" s="1514"/>
      <c r="H413" s="1514"/>
    </row>
    <row r="414" spans="1:8" x14ac:dyDescent="0.2">
      <c r="A414" s="444"/>
      <c r="B414" s="1515"/>
      <c r="C414" s="1516"/>
      <c r="D414" s="1516"/>
      <c r="E414" s="444"/>
      <c r="F414" s="453"/>
      <c r="G414" s="454"/>
      <c r="H414" s="455"/>
    </row>
    <row r="415" spans="1:8" x14ac:dyDescent="0.2">
      <c r="A415" s="389">
        <v>1</v>
      </c>
      <c r="B415" s="380" t="s">
        <v>599</v>
      </c>
      <c r="C415" s="418"/>
      <c r="D415" s="457"/>
      <c r="E415" s="454"/>
      <c r="F415" s="453"/>
      <c r="G415" s="454" t="s">
        <v>634</v>
      </c>
      <c r="H415" s="455" t="s">
        <v>2</v>
      </c>
    </row>
    <row r="416" spans="1:8" x14ac:dyDescent="0.2">
      <c r="A416" s="458" t="s">
        <v>34</v>
      </c>
      <c r="B416" s="1525" t="s">
        <v>687</v>
      </c>
      <c r="C416" s="1525"/>
      <c r="D416" s="1525"/>
      <c r="E416" s="1525"/>
      <c r="F416" s="459"/>
      <c r="G416" s="454"/>
      <c r="H416" s="455"/>
    </row>
    <row r="417" spans="1:8" x14ac:dyDescent="0.2">
      <c r="A417" s="458"/>
      <c r="B417" s="460"/>
      <c r="C417" s="461"/>
      <c r="D417" s="461"/>
      <c r="E417" s="461"/>
      <c r="F417" s="461"/>
      <c r="G417" s="454"/>
      <c r="H417" s="455"/>
    </row>
    <row r="418" spans="1:8" x14ac:dyDescent="0.2">
      <c r="A418" s="458"/>
      <c r="B418" s="459"/>
      <c r="C418" s="459"/>
      <c r="D418" s="459"/>
      <c r="E418" s="459"/>
      <c r="F418" s="459"/>
      <c r="G418" s="416"/>
      <c r="H418" s="416"/>
    </row>
    <row r="419" spans="1:8" x14ac:dyDescent="0.2">
      <c r="A419" s="462" t="s">
        <v>633</v>
      </c>
      <c r="B419" s="462"/>
      <c r="C419" s="453"/>
      <c r="D419" s="445"/>
      <c r="E419" s="445"/>
      <c r="F419" s="445"/>
      <c r="G419" s="445"/>
      <c r="H419" s="445"/>
    </row>
    <row r="420" spans="1:8" x14ac:dyDescent="0.2">
      <c r="A420" s="463" t="s">
        <v>622</v>
      </c>
      <c r="B420" s="453"/>
      <c r="C420" s="446" t="s">
        <v>1</v>
      </c>
      <c r="D420" s="446"/>
      <c r="E420" s="446" t="s">
        <v>632</v>
      </c>
      <c r="F420" s="446" t="s">
        <v>631</v>
      </c>
      <c r="G420" s="446" t="s">
        <v>618</v>
      </c>
      <c r="H420" s="446" t="s">
        <v>627</v>
      </c>
    </row>
    <row r="421" spans="1:8" x14ac:dyDescent="0.2">
      <c r="A421" s="464"/>
      <c r="B421" s="465" t="s">
        <v>648</v>
      </c>
      <c r="C421" s="453"/>
      <c r="D421" s="453"/>
      <c r="E421" s="455"/>
      <c r="F421" s="453"/>
      <c r="G421" s="466">
        <v>1200</v>
      </c>
      <c r="H421" s="466">
        <f>+G421</f>
        <v>1200</v>
      </c>
    </row>
    <row r="422" spans="1:8" x14ac:dyDescent="0.2">
      <c r="A422" s="464"/>
      <c r="B422" s="465"/>
      <c r="C422" s="453"/>
      <c r="D422" s="453"/>
      <c r="E422" s="455"/>
      <c r="F422" s="453"/>
      <c r="G422" s="466"/>
      <c r="H422" s="466"/>
    </row>
    <row r="423" spans="1:8" x14ac:dyDescent="0.2">
      <c r="A423" s="464"/>
      <c r="B423" s="465"/>
      <c r="C423" s="465"/>
      <c r="D423" s="453"/>
      <c r="E423" s="455"/>
      <c r="F423" s="453"/>
      <c r="G423" s="453"/>
      <c r="H423" s="453"/>
    </row>
    <row r="424" spans="1:8" x14ac:dyDescent="0.2">
      <c r="A424" s="453"/>
      <c r="B424" s="453"/>
      <c r="C424" s="453"/>
      <c r="D424" s="453"/>
      <c r="E424" s="454"/>
      <c r="F424" s="453"/>
      <c r="G424" s="454" t="s">
        <v>605</v>
      </c>
      <c r="H424" s="467">
        <f>ROUND(SUM(H421:H423),0)</f>
        <v>1200</v>
      </c>
    </row>
    <row r="425" spans="1:8" x14ac:dyDescent="0.2">
      <c r="A425" s="453"/>
      <c r="B425" s="453"/>
      <c r="C425" s="453"/>
      <c r="D425" s="453"/>
      <c r="E425" s="454"/>
      <c r="F425" s="453"/>
      <c r="G425" s="454"/>
      <c r="H425" s="467"/>
    </row>
    <row r="426" spans="1:8" x14ac:dyDescent="0.2">
      <c r="A426" s="462" t="s">
        <v>629</v>
      </c>
      <c r="B426" s="462"/>
      <c r="C426" s="462"/>
      <c r="D426" s="462"/>
      <c r="E426" s="454"/>
      <c r="F426" s="453"/>
      <c r="G426" s="453"/>
      <c r="H426" s="453"/>
    </row>
    <row r="427" spans="1:8" x14ac:dyDescent="0.2">
      <c r="A427" s="463" t="s">
        <v>622</v>
      </c>
      <c r="B427" s="453"/>
      <c r="C427" s="446" t="s">
        <v>1</v>
      </c>
      <c r="D427" s="446"/>
      <c r="E427" s="446" t="s">
        <v>15</v>
      </c>
      <c r="F427" s="446" t="s">
        <v>628</v>
      </c>
      <c r="G427" s="446" t="s">
        <v>618</v>
      </c>
      <c r="H427" s="446" t="s">
        <v>627</v>
      </c>
    </row>
    <row r="428" spans="1:8" x14ac:dyDescent="0.2">
      <c r="A428" s="464"/>
      <c r="B428" s="1520" t="s">
        <v>626</v>
      </c>
      <c r="C428" s="1520"/>
      <c r="D428" s="1520"/>
      <c r="E428" s="455" t="s">
        <v>641</v>
      </c>
      <c r="F428" s="468">
        <v>21</v>
      </c>
      <c r="G428" s="469">
        <v>1500</v>
      </c>
      <c r="H428" s="470">
        <f>+ROUND(F428*G428,0)</f>
        <v>31500</v>
      </c>
    </row>
    <row r="429" spans="1:8" x14ac:dyDescent="0.2">
      <c r="A429" s="464"/>
      <c r="B429" s="1520" t="s">
        <v>642</v>
      </c>
      <c r="C429" s="1520"/>
      <c r="D429" s="1520"/>
      <c r="E429" s="455" t="s">
        <v>641</v>
      </c>
      <c r="F429" s="468">
        <v>7</v>
      </c>
      <c r="G429" s="469">
        <v>1400</v>
      </c>
      <c r="H429" s="470">
        <f>+ROUND(F429*G429,0)</f>
        <v>9800</v>
      </c>
    </row>
    <row r="430" spans="1:8" x14ac:dyDescent="0.2">
      <c r="A430" s="464"/>
      <c r="B430" s="1520" t="s">
        <v>640</v>
      </c>
      <c r="C430" s="1520"/>
      <c r="D430" s="1520"/>
      <c r="E430" s="455" t="s">
        <v>2</v>
      </c>
      <c r="F430" s="468">
        <v>1</v>
      </c>
      <c r="G430" s="469">
        <v>900</v>
      </c>
      <c r="H430" s="470">
        <f>+ROUND(F430*G430,0)</f>
        <v>900</v>
      </c>
    </row>
    <row r="431" spans="1:8" x14ac:dyDescent="0.2">
      <c r="A431" s="464"/>
      <c r="B431" s="1520" t="s">
        <v>639</v>
      </c>
      <c r="C431" s="1520"/>
      <c r="D431" s="1520"/>
      <c r="E431" s="455" t="s">
        <v>2</v>
      </c>
      <c r="F431" s="468">
        <v>1</v>
      </c>
      <c r="G431" s="469">
        <v>700</v>
      </c>
      <c r="H431" s="470">
        <f>+ROUND(F431*G431,0)</f>
        <v>700</v>
      </c>
    </row>
    <row r="432" spans="1:8" x14ac:dyDescent="0.2">
      <c r="A432" s="464"/>
      <c r="B432" s="1520" t="s">
        <v>683</v>
      </c>
      <c r="C432" s="1520"/>
      <c r="D432" s="1520"/>
      <c r="E432" s="455" t="s">
        <v>2</v>
      </c>
      <c r="F432" s="468">
        <v>1</v>
      </c>
      <c r="G432" s="469">
        <v>10912</v>
      </c>
      <c r="H432" s="470">
        <f>+ROUND(F432*G432,0)</f>
        <v>10912</v>
      </c>
    </row>
    <row r="433" spans="1:8" x14ac:dyDescent="0.2">
      <c r="A433" s="464"/>
      <c r="B433" s="1520"/>
      <c r="C433" s="1520"/>
      <c r="D433" s="1520"/>
      <c r="E433" s="455"/>
      <c r="F433" s="468"/>
      <c r="G433" s="469"/>
      <c r="H433" s="470"/>
    </row>
    <row r="434" spans="1:8" x14ac:dyDescent="0.2">
      <c r="A434" s="464"/>
      <c r="B434" s="1520"/>
      <c r="C434" s="1520"/>
      <c r="D434" s="1520"/>
      <c r="E434" s="455"/>
      <c r="F434" s="468"/>
      <c r="G434" s="469"/>
      <c r="H434" s="470"/>
    </row>
    <row r="435" spans="1:8" x14ac:dyDescent="0.2">
      <c r="A435" s="464"/>
      <c r="B435" s="471"/>
      <c r="C435" s="472"/>
      <c r="D435" s="472"/>
      <c r="E435" s="455"/>
      <c r="F435" s="468"/>
      <c r="G435" s="469"/>
      <c r="H435" s="470">
        <f>+ROUND(F435*G435,0)</f>
        <v>0</v>
      </c>
    </row>
    <row r="436" spans="1:8" x14ac:dyDescent="0.2">
      <c r="A436" s="464"/>
      <c r="B436" s="453"/>
      <c r="C436" s="453"/>
      <c r="D436" s="453"/>
      <c r="E436" s="454"/>
      <c r="F436" s="453"/>
      <c r="G436" s="473"/>
      <c r="H436" s="473"/>
    </row>
    <row r="437" spans="1:8" x14ac:dyDescent="0.2">
      <c r="A437" s="453"/>
      <c r="B437" s="453"/>
      <c r="C437" s="453"/>
      <c r="D437" s="453"/>
      <c r="E437" s="454"/>
      <c r="F437" s="453"/>
      <c r="G437" s="454" t="s">
        <v>605</v>
      </c>
      <c r="H437" s="462">
        <f>ROUND(SUM(H428:H436),0)</f>
        <v>53812</v>
      </c>
    </row>
    <row r="438" spans="1:8" x14ac:dyDescent="0.2">
      <c r="A438" s="453"/>
      <c r="B438" s="453"/>
      <c r="C438" s="453"/>
      <c r="D438" s="453"/>
      <c r="E438" s="454"/>
      <c r="F438" s="453"/>
      <c r="G438" s="454"/>
      <c r="H438" s="462"/>
    </row>
    <row r="439" spans="1:8" x14ac:dyDescent="0.2">
      <c r="A439" s="462" t="s">
        <v>623</v>
      </c>
      <c r="B439" s="453"/>
      <c r="C439" s="453"/>
      <c r="D439" s="453"/>
      <c r="E439" s="454"/>
      <c r="F439" s="453"/>
      <c r="G439" s="454"/>
      <c r="H439" s="462"/>
    </row>
    <row r="440" spans="1:8" x14ac:dyDescent="0.2">
      <c r="A440" s="463" t="s">
        <v>622</v>
      </c>
      <c r="B440" s="1521" t="s">
        <v>621</v>
      </c>
      <c r="C440" s="1521"/>
      <c r="D440" s="474" t="s">
        <v>620</v>
      </c>
      <c r="E440" s="475" t="s">
        <v>2</v>
      </c>
      <c r="F440" s="476" t="s">
        <v>619</v>
      </c>
      <c r="G440" s="477" t="s">
        <v>618</v>
      </c>
      <c r="H440" s="477" t="s">
        <v>600</v>
      </c>
    </row>
    <row r="441" spans="1:8" x14ac:dyDescent="0.2">
      <c r="A441" s="478"/>
      <c r="B441" s="465" t="s">
        <v>679</v>
      </c>
      <c r="D441" s="479">
        <v>1E-3</v>
      </c>
      <c r="E441" s="455" t="s">
        <v>616</v>
      </c>
      <c r="F441" s="480">
        <v>1</v>
      </c>
      <c r="G441" s="469">
        <v>380000</v>
      </c>
      <c r="H441" s="473">
        <f>+ROUND(D441*G441,0)</f>
        <v>380</v>
      </c>
    </row>
    <row r="442" spans="1:8" x14ac:dyDescent="0.2">
      <c r="A442" s="478"/>
      <c r="B442" s="465"/>
      <c r="D442" s="481"/>
      <c r="E442" s="455"/>
      <c r="F442" s="482"/>
      <c r="G442" s="483"/>
      <c r="H442" s="470"/>
    </row>
    <row r="443" spans="1:8" x14ac:dyDescent="0.2">
      <c r="A443" s="478"/>
      <c r="E443" s="484"/>
      <c r="F443" s="484"/>
      <c r="G443" s="473"/>
      <c r="H443" s="470"/>
    </row>
    <row r="444" spans="1:8" x14ac:dyDescent="0.2">
      <c r="E444" s="485"/>
      <c r="F444" s="484"/>
      <c r="G444" s="454" t="s">
        <v>605</v>
      </c>
      <c r="H444" s="486">
        <f>ROUND(SUM(H441:H443),0)</f>
        <v>380</v>
      </c>
    </row>
    <row r="445" spans="1:8" x14ac:dyDescent="0.2">
      <c r="E445" s="485"/>
      <c r="F445" s="484"/>
      <c r="G445" s="454"/>
      <c r="H445" s="486"/>
    </row>
    <row r="446" spans="1:8" x14ac:dyDescent="0.2">
      <c r="A446" s="462" t="s">
        <v>615</v>
      </c>
      <c r="B446" s="462"/>
      <c r="C446" s="462"/>
      <c r="D446" s="453"/>
      <c r="E446" s="454"/>
      <c r="F446" s="453"/>
      <c r="G446" s="453"/>
      <c r="H446" s="453"/>
    </row>
    <row r="447" spans="1:8" x14ac:dyDescent="0.2">
      <c r="A447" s="487" t="s">
        <v>421</v>
      </c>
      <c r="B447" s="1512" t="s">
        <v>614</v>
      </c>
      <c r="C447" s="1512"/>
      <c r="D447" s="446" t="s">
        <v>613</v>
      </c>
      <c r="E447" s="446" t="s">
        <v>612</v>
      </c>
      <c r="F447" s="446" t="s">
        <v>611</v>
      </c>
      <c r="G447" s="446" t="s">
        <v>610</v>
      </c>
      <c r="H447" s="446" t="s">
        <v>609</v>
      </c>
    </row>
    <row r="448" spans="1:8" x14ac:dyDescent="0.2">
      <c r="A448" s="488">
        <v>1</v>
      </c>
      <c r="B448" s="465" t="s">
        <v>608</v>
      </c>
      <c r="C448" s="465"/>
      <c r="D448" s="483">
        <v>80000</v>
      </c>
      <c r="E448" s="489">
        <f>D448*75%</f>
        <v>60000</v>
      </c>
      <c r="F448" s="473">
        <f>(D448+E448)*A448</f>
        <v>140000</v>
      </c>
      <c r="G448" s="453">
        <v>15</v>
      </c>
      <c r="H448" s="473">
        <f>+ROUND(F448/G448,0)</f>
        <v>9333</v>
      </c>
    </row>
    <row r="449" spans="1:8" x14ac:dyDescent="0.2">
      <c r="A449" s="488">
        <v>1</v>
      </c>
      <c r="B449" s="447" t="s">
        <v>607</v>
      </c>
      <c r="C449" s="465"/>
      <c r="D449" s="483">
        <v>40000</v>
      </c>
      <c r="E449" s="489">
        <f>D449*75%</f>
        <v>30000</v>
      </c>
      <c r="F449" s="473">
        <f>(D449+E449)*A449</f>
        <v>70000</v>
      </c>
      <c r="G449" s="453">
        <v>15</v>
      </c>
      <c r="H449" s="473">
        <f>+ROUND(F449/G449,0)</f>
        <v>4667</v>
      </c>
    </row>
    <row r="450" spans="1:8" x14ac:dyDescent="0.2">
      <c r="A450" s="488">
        <v>2</v>
      </c>
      <c r="B450" s="465" t="s">
        <v>606</v>
      </c>
      <c r="C450" s="465"/>
      <c r="D450" s="483">
        <v>25000</v>
      </c>
      <c r="E450" s="489">
        <f>D450*75%</f>
        <v>18750</v>
      </c>
      <c r="F450" s="473">
        <f>(D450+E450)*A450</f>
        <v>87500</v>
      </c>
      <c r="G450" s="453">
        <v>15</v>
      </c>
      <c r="H450" s="473">
        <f>+ROUND(F450/G450,0)</f>
        <v>5833</v>
      </c>
    </row>
    <row r="451" spans="1:8" x14ac:dyDescent="0.2">
      <c r="A451" s="488"/>
      <c r="B451" s="465"/>
      <c r="C451" s="465"/>
      <c r="D451" s="483"/>
      <c r="E451" s="489"/>
      <c r="F451" s="473"/>
      <c r="G451" s="453"/>
      <c r="H451" s="473"/>
    </row>
    <row r="452" spans="1:8" x14ac:dyDescent="0.2">
      <c r="A452" s="488"/>
      <c r="B452" s="453"/>
      <c r="C452" s="453"/>
      <c r="D452" s="473"/>
      <c r="E452" s="489"/>
      <c r="F452" s="473"/>
      <c r="G452" s="453"/>
      <c r="H452" s="473"/>
    </row>
    <row r="453" spans="1:8" x14ac:dyDescent="0.2">
      <c r="A453" s="453"/>
      <c r="B453" s="453"/>
      <c r="C453" s="453"/>
      <c r="D453" s="453"/>
      <c r="E453" s="454"/>
      <c r="F453" s="453"/>
      <c r="G453" s="454" t="s">
        <v>605</v>
      </c>
      <c r="H453" s="486">
        <f>ROUND(SUM(H448:H452),0)</f>
        <v>19833</v>
      </c>
    </row>
    <row r="454" spans="1:8" x14ac:dyDescent="0.2">
      <c r="A454" s="453"/>
      <c r="B454" s="453"/>
      <c r="C454" s="453"/>
      <c r="D454" s="453"/>
      <c r="E454" s="454"/>
      <c r="F454" s="453"/>
      <c r="G454" s="453"/>
      <c r="H454" s="453"/>
    </row>
    <row r="455" spans="1:8" x14ac:dyDescent="0.2">
      <c r="A455" s="490"/>
      <c r="B455" s="453"/>
      <c r="C455" s="453"/>
      <c r="D455" s="453"/>
      <c r="E455" s="491" t="s">
        <v>604</v>
      </c>
      <c r="F455" s="492"/>
      <c r="G455" s="492"/>
      <c r="H455" s="493">
        <f>+ROUND(H424+H437+H444+H453,0)</f>
        <v>75225</v>
      </c>
    </row>
    <row r="456" spans="1:8" x14ac:dyDescent="0.2">
      <c r="A456" s="488"/>
      <c r="B456" s="453"/>
      <c r="C456" s="453"/>
      <c r="D456" s="473"/>
      <c r="E456" s="489"/>
      <c r="F456" s="473"/>
      <c r="G456" s="453"/>
      <c r="H456" s="473"/>
    </row>
    <row r="463" spans="1:8" ht="15.75" customHeight="1" x14ac:dyDescent="0.25">
      <c r="A463" s="448"/>
      <c r="B463" s="448"/>
      <c r="C463" s="1513"/>
      <c r="D463" s="1513"/>
      <c r="E463" s="1513"/>
      <c r="F463" s="449" t="s">
        <v>638</v>
      </c>
      <c r="G463" s="450"/>
      <c r="H463" s="451"/>
    </row>
    <row r="464" spans="1:8" ht="15.75" x14ac:dyDescent="0.25">
      <c r="A464" s="448"/>
      <c r="B464" s="448"/>
      <c r="C464" s="1513"/>
      <c r="D464" s="1513"/>
      <c r="E464" s="1513"/>
      <c r="F464" s="1514" t="s">
        <v>637</v>
      </c>
      <c r="G464" s="1514"/>
      <c r="H464" s="1514"/>
    </row>
    <row r="465" spans="1:8" x14ac:dyDescent="0.2">
      <c r="A465" s="452"/>
      <c r="B465" s="452"/>
      <c r="C465" s="1513"/>
      <c r="D465" s="1513"/>
      <c r="E465" s="1513"/>
      <c r="F465" s="1514"/>
      <c r="G465" s="1514"/>
      <c r="H465" s="1514"/>
    </row>
    <row r="466" spans="1:8" x14ac:dyDescent="0.2">
      <c r="A466" s="444"/>
      <c r="B466" s="1515"/>
      <c r="C466" s="1516"/>
      <c r="D466" s="1516"/>
      <c r="E466" s="444"/>
      <c r="F466" s="453"/>
      <c r="G466" s="454"/>
      <c r="H466" s="455"/>
    </row>
    <row r="467" spans="1:8" x14ac:dyDescent="0.2">
      <c r="A467" s="389">
        <v>1</v>
      </c>
      <c r="B467" s="380" t="s">
        <v>599</v>
      </c>
      <c r="C467" s="418"/>
      <c r="D467" s="457"/>
      <c r="E467" s="454"/>
      <c r="F467" s="453"/>
      <c r="G467" s="454" t="s">
        <v>634</v>
      </c>
      <c r="H467" s="455" t="s">
        <v>2</v>
      </c>
    </row>
    <row r="468" spans="1:8" x14ac:dyDescent="0.2">
      <c r="A468" s="458" t="s">
        <v>35</v>
      </c>
      <c r="B468" s="1525" t="s">
        <v>686</v>
      </c>
      <c r="C468" s="1525"/>
      <c r="D468" s="1525"/>
      <c r="E468" s="1525"/>
      <c r="F468" s="459"/>
      <c r="G468" s="454"/>
      <c r="H468" s="455"/>
    </row>
    <row r="469" spans="1:8" x14ac:dyDescent="0.2">
      <c r="A469" s="458"/>
      <c r="B469" s="460"/>
      <c r="C469" s="461"/>
      <c r="D469" s="461"/>
      <c r="E469" s="461"/>
      <c r="F469" s="461"/>
      <c r="G469" s="454"/>
      <c r="H469" s="455"/>
    </row>
    <row r="470" spans="1:8" x14ac:dyDescent="0.2">
      <c r="A470" s="458"/>
      <c r="B470" s="459"/>
      <c r="C470" s="459"/>
      <c r="D470" s="459"/>
      <c r="E470" s="459"/>
      <c r="F470" s="459"/>
      <c r="G470" s="416"/>
      <c r="H470" s="416"/>
    </row>
    <row r="471" spans="1:8" x14ac:dyDescent="0.2">
      <c r="A471" s="462" t="s">
        <v>633</v>
      </c>
      <c r="B471" s="462"/>
      <c r="C471" s="453"/>
      <c r="D471" s="445"/>
      <c r="E471" s="445"/>
      <c r="F471" s="445"/>
      <c r="G471" s="445"/>
      <c r="H471" s="445"/>
    </row>
    <row r="472" spans="1:8" x14ac:dyDescent="0.2">
      <c r="A472" s="463" t="s">
        <v>622</v>
      </c>
      <c r="B472" s="453"/>
      <c r="C472" s="446" t="s">
        <v>1</v>
      </c>
      <c r="D472" s="446"/>
      <c r="E472" s="446" t="s">
        <v>632</v>
      </c>
      <c r="F472" s="446" t="s">
        <v>631</v>
      </c>
      <c r="G472" s="446" t="s">
        <v>618</v>
      </c>
      <c r="H472" s="446" t="s">
        <v>627</v>
      </c>
    </row>
    <row r="473" spans="1:8" x14ac:dyDescent="0.2">
      <c r="A473" s="464"/>
      <c r="B473" s="465" t="s">
        <v>648</v>
      </c>
      <c r="C473" s="453"/>
      <c r="D473" s="453"/>
      <c r="E473" s="455"/>
      <c r="F473" s="453"/>
      <c r="G473" s="466">
        <v>1200</v>
      </c>
      <c r="H473" s="466">
        <f>+G473</f>
        <v>1200</v>
      </c>
    </row>
    <row r="474" spans="1:8" x14ac:dyDescent="0.2">
      <c r="A474" s="464"/>
      <c r="B474" s="465"/>
      <c r="C474" s="453"/>
      <c r="D474" s="453"/>
      <c r="E474" s="455"/>
      <c r="F474" s="453"/>
      <c r="G474" s="466"/>
      <c r="H474" s="466"/>
    </row>
    <row r="475" spans="1:8" x14ac:dyDescent="0.2">
      <c r="A475" s="464"/>
      <c r="B475" s="465"/>
      <c r="C475" s="465"/>
      <c r="D475" s="453"/>
      <c r="E475" s="455"/>
      <c r="F475" s="453"/>
      <c r="G475" s="453"/>
      <c r="H475" s="453"/>
    </row>
    <row r="476" spans="1:8" x14ac:dyDescent="0.2">
      <c r="A476" s="453"/>
      <c r="B476" s="453"/>
      <c r="C476" s="453"/>
      <c r="D476" s="453"/>
      <c r="E476" s="454"/>
      <c r="F476" s="453"/>
      <c r="G476" s="454" t="s">
        <v>605</v>
      </c>
      <c r="H476" s="467">
        <f>ROUND(SUM(H473:H475),0)</f>
        <v>1200</v>
      </c>
    </row>
    <row r="477" spans="1:8" x14ac:dyDescent="0.2">
      <c r="A477" s="453"/>
      <c r="B477" s="453"/>
      <c r="C477" s="453"/>
      <c r="D477" s="453"/>
      <c r="E477" s="454"/>
      <c r="F477" s="453"/>
      <c r="G477" s="454"/>
      <c r="H477" s="467"/>
    </row>
    <row r="478" spans="1:8" x14ac:dyDescent="0.2">
      <c r="A478" s="462" t="s">
        <v>629</v>
      </c>
      <c r="B478" s="462"/>
      <c r="C478" s="462"/>
      <c r="D478" s="462"/>
      <c r="E478" s="454"/>
      <c r="F478" s="453"/>
      <c r="G478" s="453"/>
      <c r="H478" s="453"/>
    </row>
    <row r="479" spans="1:8" x14ac:dyDescent="0.2">
      <c r="A479" s="463" t="s">
        <v>622</v>
      </c>
      <c r="B479" s="453"/>
      <c r="C479" s="446" t="s">
        <v>1</v>
      </c>
      <c r="D479" s="446"/>
      <c r="E479" s="446" t="s">
        <v>15</v>
      </c>
      <c r="F479" s="446" t="s">
        <v>628</v>
      </c>
      <c r="G479" s="446" t="s">
        <v>618</v>
      </c>
      <c r="H479" s="446" t="s">
        <v>627</v>
      </c>
    </row>
    <row r="480" spans="1:8" x14ac:dyDescent="0.2">
      <c r="A480" s="464"/>
      <c r="B480" s="1520" t="s">
        <v>626</v>
      </c>
      <c r="C480" s="1520"/>
      <c r="D480" s="1520"/>
      <c r="E480" s="455" t="s">
        <v>641</v>
      </c>
      <c r="F480" s="468">
        <v>21</v>
      </c>
      <c r="G480" s="469">
        <v>1500</v>
      </c>
      <c r="H480" s="470">
        <f>+ROUND(F480*G480,0)</f>
        <v>31500</v>
      </c>
    </row>
    <row r="481" spans="1:8" x14ac:dyDescent="0.2">
      <c r="A481" s="464"/>
      <c r="B481" s="1520" t="s">
        <v>642</v>
      </c>
      <c r="C481" s="1520"/>
      <c r="D481" s="1520"/>
      <c r="E481" s="455" t="s">
        <v>641</v>
      </c>
      <c r="F481" s="468">
        <v>7</v>
      </c>
      <c r="G481" s="469">
        <v>1400</v>
      </c>
      <c r="H481" s="470">
        <f>+ROUND(F481*G481,0)</f>
        <v>9800</v>
      </c>
    </row>
    <row r="482" spans="1:8" x14ac:dyDescent="0.2">
      <c r="A482" s="464"/>
      <c r="B482" s="1520" t="s">
        <v>640</v>
      </c>
      <c r="C482" s="1520"/>
      <c r="D482" s="1520"/>
      <c r="E482" s="455" t="s">
        <v>2</v>
      </c>
      <c r="F482" s="468">
        <v>1</v>
      </c>
      <c r="G482" s="469">
        <v>768</v>
      </c>
      <c r="H482" s="470">
        <f>+ROUND(F482*G482,0)</f>
        <v>768</v>
      </c>
    </row>
    <row r="483" spans="1:8" x14ac:dyDescent="0.2">
      <c r="A483" s="464"/>
      <c r="B483" s="1520" t="s">
        <v>639</v>
      </c>
      <c r="C483" s="1520"/>
      <c r="D483" s="1520"/>
      <c r="E483" s="455" t="s">
        <v>2</v>
      </c>
      <c r="F483" s="468">
        <v>1</v>
      </c>
      <c r="G483" s="469">
        <v>700</v>
      </c>
      <c r="H483" s="470">
        <f>+ROUND(F483*G483,0)</f>
        <v>700</v>
      </c>
    </row>
    <row r="484" spans="1:8" x14ac:dyDescent="0.2">
      <c r="A484" s="464"/>
      <c r="B484" s="1520" t="s">
        <v>683</v>
      </c>
      <c r="C484" s="1520"/>
      <c r="D484" s="1520"/>
      <c r="E484" s="455" t="s">
        <v>2</v>
      </c>
      <c r="F484" s="468">
        <v>1</v>
      </c>
      <c r="G484" s="469">
        <v>25754</v>
      </c>
      <c r="H484" s="470">
        <f>+ROUND(F484*G484,0)</f>
        <v>25754</v>
      </c>
    </row>
    <row r="485" spans="1:8" x14ac:dyDescent="0.2">
      <c r="A485" s="464"/>
      <c r="B485" s="1520"/>
      <c r="C485" s="1520"/>
      <c r="D485" s="1520"/>
      <c r="E485" s="455"/>
      <c r="F485" s="468"/>
      <c r="G485" s="469"/>
      <c r="H485" s="470"/>
    </row>
    <row r="486" spans="1:8" x14ac:dyDescent="0.2">
      <c r="A486" s="464"/>
      <c r="B486" s="1520"/>
      <c r="C486" s="1520"/>
      <c r="D486" s="1520"/>
      <c r="E486" s="455"/>
      <c r="F486" s="468"/>
      <c r="G486" s="469"/>
      <c r="H486" s="470"/>
    </row>
    <row r="487" spans="1:8" x14ac:dyDescent="0.2">
      <c r="A487" s="464"/>
      <c r="B487" s="471"/>
      <c r="C487" s="472"/>
      <c r="D487" s="472"/>
      <c r="E487" s="455"/>
      <c r="F487" s="468"/>
      <c r="G487" s="469"/>
      <c r="H487" s="470">
        <f>+ROUND(F487*G487,0)</f>
        <v>0</v>
      </c>
    </row>
    <row r="488" spans="1:8" x14ac:dyDescent="0.2">
      <c r="A488" s="464"/>
      <c r="B488" s="453"/>
      <c r="C488" s="453"/>
      <c r="D488" s="453"/>
      <c r="E488" s="454"/>
      <c r="F488" s="453"/>
      <c r="G488" s="473"/>
      <c r="H488" s="473"/>
    </row>
    <row r="489" spans="1:8" x14ac:dyDescent="0.2">
      <c r="A489" s="453"/>
      <c r="B489" s="453"/>
      <c r="C489" s="453"/>
      <c r="D489" s="453"/>
      <c r="E489" s="454"/>
      <c r="F489" s="453"/>
      <c r="G489" s="454" t="s">
        <v>605</v>
      </c>
      <c r="H489" s="462">
        <f>ROUND(SUM(H480:H488),0)</f>
        <v>68522</v>
      </c>
    </row>
    <row r="490" spans="1:8" x14ac:dyDescent="0.2">
      <c r="A490" s="453"/>
      <c r="B490" s="453"/>
      <c r="C490" s="453"/>
      <c r="D490" s="453"/>
      <c r="E490" s="454"/>
      <c r="F490" s="453"/>
      <c r="G490" s="454"/>
      <c r="H490" s="462"/>
    </row>
    <row r="491" spans="1:8" x14ac:dyDescent="0.2">
      <c r="A491" s="462" t="s">
        <v>623</v>
      </c>
      <c r="B491" s="453"/>
      <c r="C491" s="453"/>
      <c r="D491" s="453"/>
      <c r="E491" s="454"/>
      <c r="F491" s="453"/>
      <c r="G491" s="454"/>
      <c r="H491" s="462"/>
    </row>
    <row r="492" spans="1:8" x14ac:dyDescent="0.2">
      <c r="A492" s="463" t="s">
        <v>622</v>
      </c>
      <c r="B492" s="1521" t="s">
        <v>621</v>
      </c>
      <c r="C492" s="1521"/>
      <c r="D492" s="474" t="s">
        <v>620</v>
      </c>
      <c r="E492" s="475" t="s">
        <v>2</v>
      </c>
      <c r="F492" s="476" t="s">
        <v>619</v>
      </c>
      <c r="G492" s="477" t="s">
        <v>618</v>
      </c>
      <c r="H492" s="477" t="s">
        <v>600</v>
      </c>
    </row>
    <row r="493" spans="1:8" x14ac:dyDescent="0.2">
      <c r="A493" s="478"/>
      <c r="B493" s="465" t="s">
        <v>679</v>
      </c>
      <c r="D493" s="479">
        <v>1E-3</v>
      </c>
      <c r="E493" s="455" t="s">
        <v>616</v>
      </c>
      <c r="F493" s="480">
        <v>1</v>
      </c>
      <c r="G493" s="469">
        <v>380000</v>
      </c>
      <c r="H493" s="473">
        <f>+ROUND(D493*G493,0)</f>
        <v>380</v>
      </c>
    </row>
    <row r="494" spans="1:8" x14ac:dyDescent="0.2">
      <c r="A494" s="478"/>
      <c r="B494" s="465"/>
      <c r="D494" s="481"/>
      <c r="E494" s="455"/>
      <c r="F494" s="482"/>
      <c r="G494" s="483"/>
      <c r="H494" s="470"/>
    </row>
    <row r="495" spans="1:8" x14ac:dyDescent="0.2">
      <c r="A495" s="478"/>
      <c r="E495" s="484"/>
      <c r="F495" s="484"/>
      <c r="G495" s="473"/>
      <c r="H495" s="470"/>
    </row>
    <row r="496" spans="1:8" x14ac:dyDescent="0.2">
      <c r="E496" s="485"/>
      <c r="F496" s="484"/>
      <c r="G496" s="454" t="s">
        <v>605</v>
      </c>
      <c r="H496" s="486">
        <f>ROUND(SUM(H493:H495),0)</f>
        <v>380</v>
      </c>
    </row>
    <row r="497" spans="1:8" x14ac:dyDescent="0.2">
      <c r="E497" s="485"/>
      <c r="F497" s="484"/>
      <c r="G497" s="454"/>
      <c r="H497" s="486"/>
    </row>
    <row r="498" spans="1:8" x14ac:dyDescent="0.2">
      <c r="A498" s="462" t="s">
        <v>615</v>
      </c>
      <c r="B498" s="462"/>
      <c r="C498" s="462"/>
      <c r="D498" s="453"/>
      <c r="E498" s="454"/>
      <c r="F498" s="453"/>
      <c r="G498" s="453"/>
      <c r="H498" s="453"/>
    </row>
    <row r="499" spans="1:8" x14ac:dyDescent="0.2">
      <c r="A499" s="487" t="s">
        <v>421</v>
      </c>
      <c r="B499" s="1512" t="s">
        <v>614</v>
      </c>
      <c r="C499" s="1512"/>
      <c r="D499" s="446" t="s">
        <v>613</v>
      </c>
      <c r="E499" s="446" t="s">
        <v>612</v>
      </c>
      <c r="F499" s="446" t="s">
        <v>611</v>
      </c>
      <c r="G499" s="446" t="s">
        <v>610</v>
      </c>
      <c r="H499" s="446" t="s">
        <v>609</v>
      </c>
    </row>
    <row r="500" spans="1:8" x14ac:dyDescent="0.2">
      <c r="A500" s="488">
        <v>1</v>
      </c>
      <c r="B500" s="465" t="s">
        <v>608</v>
      </c>
      <c r="C500" s="465"/>
      <c r="D500" s="483">
        <v>80000</v>
      </c>
      <c r="E500" s="489">
        <f>D500*75%</f>
        <v>60000</v>
      </c>
      <c r="F500" s="473">
        <f>(D500+E500)*A500</f>
        <v>140000</v>
      </c>
      <c r="G500" s="453">
        <v>15</v>
      </c>
      <c r="H500" s="473">
        <f>+ROUND(F500/G500,0)</f>
        <v>9333</v>
      </c>
    </row>
    <row r="501" spans="1:8" x14ac:dyDescent="0.2">
      <c r="A501" s="488">
        <v>1</v>
      </c>
      <c r="B501" s="447" t="s">
        <v>607</v>
      </c>
      <c r="C501" s="465"/>
      <c r="D501" s="483">
        <v>40000</v>
      </c>
      <c r="E501" s="489">
        <f>D501*75%</f>
        <v>30000</v>
      </c>
      <c r="F501" s="473">
        <f>(D501+E501)*A501</f>
        <v>70000</v>
      </c>
      <c r="G501" s="453">
        <v>15</v>
      </c>
      <c r="H501" s="473">
        <f>+ROUND(F501/G501,0)</f>
        <v>4667</v>
      </c>
    </row>
    <row r="502" spans="1:8" x14ac:dyDescent="0.2">
      <c r="A502" s="488">
        <v>2</v>
      </c>
      <c r="B502" s="465" t="s">
        <v>606</v>
      </c>
      <c r="C502" s="465"/>
      <c r="D502" s="483">
        <v>25000</v>
      </c>
      <c r="E502" s="489">
        <f>D502*75%</f>
        <v>18750</v>
      </c>
      <c r="F502" s="473">
        <f>(D502+E502)*A502</f>
        <v>87500</v>
      </c>
      <c r="G502" s="453">
        <v>15</v>
      </c>
      <c r="H502" s="473">
        <f>+ROUND(F502/G502,0)</f>
        <v>5833</v>
      </c>
    </row>
    <row r="503" spans="1:8" x14ac:dyDescent="0.2">
      <c r="A503" s="488"/>
      <c r="B503" s="465"/>
      <c r="C503" s="465"/>
      <c r="D503" s="483"/>
      <c r="E503" s="489"/>
      <c r="F503" s="473"/>
      <c r="G503" s="453"/>
      <c r="H503" s="473"/>
    </row>
    <row r="504" spans="1:8" x14ac:dyDescent="0.2">
      <c r="A504" s="488"/>
      <c r="B504" s="453"/>
      <c r="C504" s="453"/>
      <c r="D504" s="473"/>
      <c r="E504" s="489"/>
      <c r="F504" s="473"/>
      <c r="G504" s="453"/>
      <c r="H504" s="473"/>
    </row>
    <row r="505" spans="1:8" x14ac:dyDescent="0.2">
      <c r="A505" s="453"/>
      <c r="B505" s="453"/>
      <c r="C505" s="453"/>
      <c r="D505" s="453"/>
      <c r="E505" s="454"/>
      <c r="F505" s="453"/>
      <c r="G505" s="454" t="s">
        <v>605</v>
      </c>
      <c r="H505" s="486">
        <f>ROUND(SUM(H500:H504),0)</f>
        <v>19833</v>
      </c>
    </row>
    <row r="506" spans="1:8" x14ac:dyDescent="0.2">
      <c r="A506" s="453"/>
      <c r="B506" s="453"/>
      <c r="C506" s="453"/>
      <c r="D506" s="453"/>
      <c r="E506" s="454"/>
      <c r="F506" s="453"/>
      <c r="G506" s="453"/>
      <c r="H506" s="453"/>
    </row>
    <row r="507" spans="1:8" x14ac:dyDescent="0.2">
      <c r="A507" s="490"/>
      <c r="B507" s="453"/>
      <c r="C507" s="453"/>
      <c r="D507" s="453"/>
      <c r="E507" s="491" t="s">
        <v>604</v>
      </c>
      <c r="F507" s="492"/>
      <c r="G507" s="492"/>
      <c r="H507" s="493">
        <f>+ROUND(H476+H489+H496+H505,0)</f>
        <v>89935</v>
      </c>
    </row>
    <row r="508" spans="1:8" x14ac:dyDescent="0.2">
      <c r="A508" s="488"/>
      <c r="B508" s="453"/>
      <c r="C508" s="453"/>
      <c r="D508" s="473"/>
      <c r="E508" s="489"/>
      <c r="F508" s="473"/>
      <c r="G508" s="453"/>
      <c r="H508" s="473"/>
    </row>
    <row r="515" spans="1:8" ht="15.75" customHeight="1" x14ac:dyDescent="0.25">
      <c r="A515" s="448"/>
      <c r="B515" s="448"/>
      <c r="C515" s="1513"/>
      <c r="D515" s="1513"/>
      <c r="E515" s="1513"/>
      <c r="F515" s="449" t="s">
        <v>638</v>
      </c>
      <c r="G515" s="450"/>
      <c r="H515" s="451"/>
    </row>
    <row r="516" spans="1:8" ht="15.75" x14ac:dyDescent="0.25">
      <c r="A516" s="448"/>
      <c r="B516" s="448"/>
      <c r="C516" s="1513"/>
      <c r="D516" s="1513"/>
      <c r="E516" s="1513"/>
      <c r="F516" s="1514" t="s">
        <v>637</v>
      </c>
      <c r="G516" s="1514"/>
      <c r="H516" s="1514"/>
    </row>
    <row r="517" spans="1:8" ht="17.25" customHeight="1" x14ac:dyDescent="0.2">
      <c r="A517" s="452"/>
      <c r="B517" s="452"/>
      <c r="C517" s="1513"/>
      <c r="D517" s="1513"/>
      <c r="E517" s="1513"/>
      <c r="F517" s="1514"/>
      <c r="G517" s="1514"/>
      <c r="H517" s="1514"/>
    </row>
    <row r="518" spans="1:8" x14ac:dyDescent="0.2">
      <c r="A518" s="444"/>
      <c r="B518" s="1515"/>
      <c r="C518" s="1516"/>
      <c r="D518" s="1516"/>
      <c r="E518" s="444"/>
      <c r="F518" s="453"/>
      <c r="G518" s="454"/>
      <c r="H518" s="455"/>
    </row>
    <row r="519" spans="1:8" x14ac:dyDescent="0.2">
      <c r="A519" s="389">
        <v>1</v>
      </c>
      <c r="B519" s="380" t="s">
        <v>599</v>
      </c>
      <c r="C519" s="418"/>
      <c r="D519" s="457"/>
      <c r="E519" s="454"/>
      <c r="F519" s="453"/>
      <c r="G519" s="454" t="s">
        <v>634</v>
      </c>
      <c r="H519" s="455" t="s">
        <v>2</v>
      </c>
    </row>
    <row r="520" spans="1:8" x14ac:dyDescent="0.2">
      <c r="A520" s="458" t="s">
        <v>36</v>
      </c>
      <c r="B520" s="1525" t="s">
        <v>685</v>
      </c>
      <c r="C520" s="1525"/>
      <c r="D520" s="1525"/>
      <c r="E520" s="1525"/>
      <c r="F520" s="459"/>
      <c r="G520" s="454"/>
      <c r="H520" s="455"/>
    </row>
    <row r="521" spans="1:8" x14ac:dyDescent="0.2">
      <c r="A521" s="458"/>
      <c r="B521" s="460"/>
      <c r="C521" s="461"/>
      <c r="D521" s="461"/>
      <c r="E521" s="461"/>
      <c r="F521" s="461"/>
      <c r="G521" s="454"/>
      <c r="H521" s="455"/>
    </row>
    <row r="522" spans="1:8" x14ac:dyDescent="0.2">
      <c r="A522" s="458"/>
      <c r="B522" s="459"/>
      <c r="C522" s="459"/>
      <c r="D522" s="459"/>
      <c r="E522" s="459"/>
      <c r="F522" s="459"/>
      <c r="G522" s="416"/>
      <c r="H522" s="416"/>
    </row>
    <row r="523" spans="1:8" x14ac:dyDescent="0.2">
      <c r="A523" s="462" t="s">
        <v>633</v>
      </c>
      <c r="B523" s="462"/>
      <c r="C523" s="453"/>
      <c r="D523" s="445"/>
      <c r="E523" s="445"/>
      <c r="F523" s="445"/>
      <c r="G523" s="445"/>
      <c r="H523" s="445"/>
    </row>
    <row r="524" spans="1:8" x14ac:dyDescent="0.2">
      <c r="A524" s="463" t="s">
        <v>622</v>
      </c>
      <c r="B524" s="453"/>
      <c r="C524" s="446" t="s">
        <v>1</v>
      </c>
      <c r="D524" s="446"/>
      <c r="E524" s="446" t="s">
        <v>632</v>
      </c>
      <c r="F524" s="446" t="s">
        <v>631</v>
      </c>
      <c r="G524" s="446" t="s">
        <v>618</v>
      </c>
      <c r="H524" s="446" t="s">
        <v>627</v>
      </c>
    </row>
    <row r="525" spans="1:8" x14ac:dyDescent="0.2">
      <c r="A525" s="464"/>
      <c r="B525" s="465" t="s">
        <v>648</v>
      </c>
      <c r="C525" s="453"/>
      <c r="D525" s="453"/>
      <c r="E525" s="455"/>
      <c r="F525" s="453"/>
      <c r="G525" s="466">
        <v>1200</v>
      </c>
      <c r="H525" s="466">
        <f>+G525</f>
        <v>1200</v>
      </c>
    </row>
    <row r="526" spans="1:8" x14ac:dyDescent="0.2">
      <c r="A526" s="464"/>
      <c r="B526" s="465"/>
      <c r="C526" s="453"/>
      <c r="D526" s="453"/>
      <c r="E526" s="455"/>
      <c r="F526" s="453"/>
      <c r="G526" s="466"/>
      <c r="H526" s="466"/>
    </row>
    <row r="527" spans="1:8" x14ac:dyDescent="0.2">
      <c r="A527" s="464"/>
      <c r="B527" s="465"/>
      <c r="C527" s="465"/>
      <c r="D527" s="453"/>
      <c r="E527" s="455"/>
      <c r="F527" s="453"/>
      <c r="G527" s="453"/>
      <c r="H527" s="453"/>
    </row>
    <row r="528" spans="1:8" x14ac:dyDescent="0.2">
      <c r="A528" s="453"/>
      <c r="B528" s="453"/>
      <c r="C528" s="453"/>
      <c r="D528" s="453"/>
      <c r="E528" s="454"/>
      <c r="F528" s="453"/>
      <c r="G528" s="454" t="s">
        <v>605</v>
      </c>
      <c r="H528" s="467">
        <f>ROUND(SUM(H525:H527),0)</f>
        <v>1200</v>
      </c>
    </row>
    <row r="529" spans="1:8" x14ac:dyDescent="0.2">
      <c r="A529" s="453"/>
      <c r="B529" s="453"/>
      <c r="C529" s="453"/>
      <c r="D529" s="453"/>
      <c r="E529" s="454"/>
      <c r="F529" s="453"/>
      <c r="G529" s="454"/>
      <c r="H529" s="467"/>
    </row>
    <row r="530" spans="1:8" x14ac:dyDescent="0.2">
      <c r="A530" s="462" t="s">
        <v>629</v>
      </c>
      <c r="B530" s="462"/>
      <c r="C530" s="462"/>
      <c r="D530" s="462"/>
      <c r="E530" s="454"/>
      <c r="F530" s="453"/>
      <c r="G530" s="453"/>
      <c r="H530" s="453"/>
    </row>
    <row r="531" spans="1:8" x14ac:dyDescent="0.2">
      <c r="A531" s="463" t="s">
        <v>622</v>
      </c>
      <c r="B531" s="453"/>
      <c r="C531" s="446" t="s">
        <v>1</v>
      </c>
      <c r="D531" s="446"/>
      <c r="E531" s="446" t="s">
        <v>15</v>
      </c>
      <c r="F531" s="446" t="s">
        <v>628</v>
      </c>
      <c r="G531" s="446" t="s">
        <v>618</v>
      </c>
      <c r="H531" s="446" t="s">
        <v>627</v>
      </c>
    </row>
    <row r="532" spans="1:8" x14ac:dyDescent="0.2">
      <c r="A532" s="464"/>
      <c r="B532" s="1520" t="s">
        <v>626</v>
      </c>
      <c r="C532" s="1520"/>
      <c r="D532" s="1520"/>
      <c r="E532" s="455" t="s">
        <v>641</v>
      </c>
      <c r="F532" s="468">
        <v>28</v>
      </c>
      <c r="G532" s="469">
        <v>1500</v>
      </c>
      <c r="H532" s="470">
        <f>+ROUND(F532*G532,0)</f>
        <v>42000</v>
      </c>
    </row>
    <row r="533" spans="1:8" x14ac:dyDescent="0.2">
      <c r="A533" s="464"/>
      <c r="B533" s="1520" t="s">
        <v>642</v>
      </c>
      <c r="C533" s="1520"/>
      <c r="D533" s="1520"/>
      <c r="E533" s="455" t="s">
        <v>641</v>
      </c>
      <c r="F533" s="468">
        <v>9</v>
      </c>
      <c r="G533" s="469">
        <v>1400</v>
      </c>
      <c r="H533" s="470">
        <f>+ROUND(F533*G533,0)</f>
        <v>12600</v>
      </c>
    </row>
    <row r="534" spans="1:8" x14ac:dyDescent="0.2">
      <c r="A534" s="464"/>
      <c r="B534" s="1520" t="s">
        <v>640</v>
      </c>
      <c r="C534" s="1520"/>
      <c r="D534" s="1520"/>
      <c r="E534" s="455" t="s">
        <v>2</v>
      </c>
      <c r="F534" s="468">
        <v>1</v>
      </c>
      <c r="G534" s="469">
        <v>980</v>
      </c>
      <c r="H534" s="470">
        <f>+ROUND(F534*G534,0)</f>
        <v>980</v>
      </c>
    </row>
    <row r="535" spans="1:8" x14ac:dyDescent="0.2">
      <c r="A535" s="464"/>
      <c r="B535" s="1520" t="s">
        <v>639</v>
      </c>
      <c r="C535" s="1520"/>
      <c r="D535" s="1520"/>
      <c r="E535" s="455" t="s">
        <v>2</v>
      </c>
      <c r="F535" s="468">
        <v>4</v>
      </c>
      <c r="G535" s="469">
        <v>700</v>
      </c>
      <c r="H535" s="470">
        <f>+ROUND(F535*G535,0)</f>
        <v>2800</v>
      </c>
    </row>
    <row r="536" spans="1:8" x14ac:dyDescent="0.2">
      <c r="A536" s="464"/>
      <c r="B536" s="1520" t="s">
        <v>683</v>
      </c>
      <c r="C536" s="1520"/>
      <c r="D536" s="1520"/>
      <c r="E536" s="455" t="s">
        <v>2</v>
      </c>
      <c r="F536" s="468">
        <v>1</v>
      </c>
      <c r="G536" s="469">
        <v>14754</v>
      </c>
      <c r="H536" s="470">
        <f>+ROUND(F536*G536,0)</f>
        <v>14754</v>
      </c>
    </row>
    <row r="537" spans="1:8" x14ac:dyDescent="0.2">
      <c r="A537" s="464"/>
      <c r="B537" s="1520"/>
      <c r="C537" s="1520"/>
      <c r="D537" s="1520"/>
      <c r="E537" s="455"/>
      <c r="F537" s="468"/>
      <c r="G537" s="469"/>
      <c r="H537" s="470"/>
    </row>
    <row r="538" spans="1:8" x14ac:dyDescent="0.2">
      <c r="A538" s="464"/>
      <c r="B538" s="1520"/>
      <c r="C538" s="1520"/>
      <c r="D538" s="1520"/>
      <c r="E538" s="455"/>
      <c r="F538" s="468"/>
      <c r="G538" s="469"/>
      <c r="H538" s="470"/>
    </row>
    <row r="539" spans="1:8" x14ac:dyDescent="0.2">
      <c r="A539" s="464"/>
      <c r="B539" s="471"/>
      <c r="C539" s="472"/>
      <c r="D539" s="472"/>
      <c r="E539" s="455"/>
      <c r="F539" s="468"/>
      <c r="G539" s="469"/>
      <c r="H539" s="470">
        <f>+ROUND(F539*G539,0)</f>
        <v>0</v>
      </c>
    </row>
    <row r="540" spans="1:8" x14ac:dyDescent="0.2">
      <c r="A540" s="464"/>
      <c r="B540" s="453"/>
      <c r="C540" s="453"/>
      <c r="D540" s="453"/>
      <c r="E540" s="454"/>
      <c r="F540" s="453"/>
      <c r="G540" s="473"/>
      <c r="H540" s="473"/>
    </row>
    <row r="541" spans="1:8" x14ac:dyDescent="0.2">
      <c r="A541" s="453"/>
      <c r="B541" s="453"/>
      <c r="C541" s="453"/>
      <c r="D541" s="453"/>
      <c r="E541" s="454"/>
      <c r="F541" s="453"/>
      <c r="G541" s="454" t="s">
        <v>605</v>
      </c>
      <c r="H541" s="462">
        <f>ROUND(SUM(H532:H540),0)</f>
        <v>73134</v>
      </c>
    </row>
    <row r="542" spans="1:8" x14ac:dyDescent="0.2">
      <c r="A542" s="453"/>
      <c r="B542" s="453"/>
      <c r="C542" s="453"/>
      <c r="D542" s="453"/>
      <c r="E542" s="454"/>
      <c r="F542" s="453"/>
      <c r="G542" s="454"/>
      <c r="H542" s="462"/>
    </row>
    <row r="543" spans="1:8" x14ac:dyDescent="0.2">
      <c r="A543" s="462" t="s">
        <v>623</v>
      </c>
      <c r="B543" s="453"/>
      <c r="C543" s="453"/>
      <c r="D543" s="453"/>
      <c r="E543" s="454"/>
      <c r="F543" s="453"/>
      <c r="G543" s="454"/>
      <c r="H543" s="462"/>
    </row>
    <row r="544" spans="1:8" x14ac:dyDescent="0.2">
      <c r="A544" s="463" t="s">
        <v>622</v>
      </c>
      <c r="B544" s="1521" t="s">
        <v>621</v>
      </c>
      <c r="C544" s="1521"/>
      <c r="D544" s="474" t="s">
        <v>620</v>
      </c>
      <c r="E544" s="475" t="s">
        <v>2</v>
      </c>
      <c r="F544" s="476" t="s">
        <v>619</v>
      </c>
      <c r="G544" s="477" t="s">
        <v>618</v>
      </c>
      <c r="H544" s="477" t="s">
        <v>600</v>
      </c>
    </row>
    <row r="545" spans="1:8" x14ac:dyDescent="0.2">
      <c r="A545" s="478"/>
      <c r="B545" s="465" t="s">
        <v>679</v>
      </c>
      <c r="D545" s="479">
        <v>2E-3</v>
      </c>
      <c r="E545" s="455" t="s">
        <v>616</v>
      </c>
      <c r="F545" s="480">
        <v>1</v>
      </c>
      <c r="G545" s="469">
        <v>380000</v>
      </c>
      <c r="H545" s="473">
        <f>+ROUND(D545*G545,0)</f>
        <v>760</v>
      </c>
    </row>
    <row r="546" spans="1:8" x14ac:dyDescent="0.2">
      <c r="A546" s="478"/>
      <c r="B546" s="465"/>
      <c r="D546" s="481"/>
      <c r="E546" s="455"/>
      <c r="F546" s="482"/>
      <c r="G546" s="483"/>
      <c r="H546" s="470"/>
    </row>
    <row r="547" spans="1:8" x14ac:dyDescent="0.2">
      <c r="A547" s="478"/>
      <c r="E547" s="484"/>
      <c r="F547" s="484"/>
      <c r="G547" s="473"/>
      <c r="H547" s="470"/>
    </row>
    <row r="548" spans="1:8" x14ac:dyDescent="0.2">
      <c r="E548" s="485"/>
      <c r="F548" s="484"/>
      <c r="G548" s="454" t="s">
        <v>605</v>
      </c>
      <c r="H548" s="486">
        <f>ROUND(SUM(H545:H547),0)</f>
        <v>760</v>
      </c>
    </row>
    <row r="549" spans="1:8" x14ac:dyDescent="0.2">
      <c r="E549" s="485"/>
      <c r="F549" s="484"/>
      <c r="G549" s="454"/>
      <c r="H549" s="486"/>
    </row>
    <row r="550" spans="1:8" x14ac:dyDescent="0.2">
      <c r="A550" s="462" t="s">
        <v>615</v>
      </c>
      <c r="B550" s="462"/>
      <c r="C550" s="462"/>
      <c r="D550" s="453"/>
      <c r="E550" s="454"/>
      <c r="F550" s="453"/>
      <c r="G550" s="453"/>
      <c r="H550" s="453"/>
    </row>
    <row r="551" spans="1:8" x14ac:dyDescent="0.2">
      <c r="A551" s="487" t="s">
        <v>421</v>
      </c>
      <c r="B551" s="1512" t="s">
        <v>614</v>
      </c>
      <c r="C551" s="1512"/>
      <c r="D551" s="446" t="s">
        <v>613</v>
      </c>
      <c r="E551" s="446" t="s">
        <v>612</v>
      </c>
      <c r="F551" s="446" t="s">
        <v>611</v>
      </c>
      <c r="G551" s="446" t="s">
        <v>610</v>
      </c>
      <c r="H551" s="446" t="s">
        <v>609</v>
      </c>
    </row>
    <row r="552" spans="1:8" x14ac:dyDescent="0.2">
      <c r="A552" s="488">
        <v>1</v>
      </c>
      <c r="B552" s="465" t="s">
        <v>608</v>
      </c>
      <c r="C552" s="465"/>
      <c r="D552" s="483">
        <v>80000</v>
      </c>
      <c r="E552" s="489">
        <f>D552*75%</f>
        <v>60000</v>
      </c>
      <c r="F552" s="473">
        <f>(D552+E552)*A552</f>
        <v>140000</v>
      </c>
      <c r="G552" s="453">
        <v>8</v>
      </c>
      <c r="H552" s="473">
        <f>+ROUND(F552/G552,0)</f>
        <v>17500</v>
      </c>
    </row>
    <row r="553" spans="1:8" x14ac:dyDescent="0.2">
      <c r="A553" s="488">
        <v>1</v>
      </c>
      <c r="B553" s="447" t="s">
        <v>607</v>
      </c>
      <c r="C553" s="465"/>
      <c r="D553" s="483">
        <v>40000</v>
      </c>
      <c r="E553" s="489">
        <f>D553*75%</f>
        <v>30000</v>
      </c>
      <c r="F553" s="473">
        <f>(D553+E553)*A553</f>
        <v>70000</v>
      </c>
      <c r="G553" s="453">
        <v>8</v>
      </c>
      <c r="H553" s="473">
        <f>+ROUND(F553/G553,0)</f>
        <v>8750</v>
      </c>
    </row>
    <row r="554" spans="1:8" x14ac:dyDescent="0.2">
      <c r="A554" s="488">
        <v>2</v>
      </c>
      <c r="B554" s="465" t="s">
        <v>606</v>
      </c>
      <c r="C554" s="465"/>
      <c r="D554" s="483">
        <v>25000</v>
      </c>
      <c r="E554" s="489">
        <f>D554*75%</f>
        <v>18750</v>
      </c>
      <c r="F554" s="473">
        <f>(D554+E554)*A554</f>
        <v>87500</v>
      </c>
      <c r="G554" s="453">
        <v>8</v>
      </c>
      <c r="H554" s="473">
        <f>+ROUND(F554/G554,0)</f>
        <v>10938</v>
      </c>
    </row>
    <row r="555" spans="1:8" x14ac:dyDescent="0.2">
      <c r="A555" s="488"/>
      <c r="B555" s="465"/>
      <c r="C555" s="465"/>
      <c r="D555" s="483"/>
      <c r="E555" s="489"/>
      <c r="F555" s="473"/>
      <c r="G555" s="453"/>
      <c r="H555" s="473"/>
    </row>
    <row r="556" spans="1:8" x14ac:dyDescent="0.2">
      <c r="A556" s="488"/>
      <c r="B556" s="453"/>
      <c r="C556" s="453"/>
      <c r="D556" s="473"/>
      <c r="E556" s="489"/>
      <c r="F556" s="473"/>
      <c r="G556" s="453"/>
      <c r="H556" s="473"/>
    </row>
    <row r="557" spans="1:8" x14ac:dyDescent="0.2">
      <c r="A557" s="453"/>
      <c r="B557" s="453"/>
      <c r="C557" s="453"/>
      <c r="D557" s="453"/>
      <c r="E557" s="454"/>
      <c r="F557" s="453"/>
      <c r="G557" s="454" t="s">
        <v>605</v>
      </c>
      <c r="H557" s="486">
        <f>ROUND(SUM(H552:H556),0)</f>
        <v>37188</v>
      </c>
    </row>
    <row r="558" spans="1:8" x14ac:dyDescent="0.2">
      <c r="A558" s="453"/>
      <c r="B558" s="453"/>
      <c r="C558" s="453"/>
      <c r="D558" s="453"/>
      <c r="E558" s="454"/>
      <c r="F558" s="453"/>
      <c r="G558" s="453"/>
      <c r="H558" s="453"/>
    </row>
    <row r="559" spans="1:8" x14ac:dyDescent="0.2">
      <c r="A559" s="490"/>
      <c r="B559" s="453"/>
      <c r="C559" s="453"/>
      <c r="D559" s="453"/>
      <c r="E559" s="491" t="s">
        <v>604</v>
      </c>
      <c r="F559" s="492"/>
      <c r="G559" s="492"/>
      <c r="H559" s="493">
        <f>+ROUND(H528+H541+H548+H557,0)</f>
        <v>112282</v>
      </c>
    </row>
    <row r="560" spans="1:8" x14ac:dyDescent="0.2">
      <c r="A560" s="488"/>
      <c r="B560" s="453"/>
      <c r="C560" s="453"/>
      <c r="D560" s="473"/>
      <c r="E560" s="489"/>
      <c r="F560" s="473"/>
      <c r="G560" s="453"/>
      <c r="H560" s="473"/>
    </row>
    <row r="567" spans="1:8" ht="15.75" customHeight="1" x14ac:dyDescent="0.25">
      <c r="A567" s="448"/>
      <c r="B567" s="448"/>
      <c r="C567" s="1513"/>
      <c r="D567" s="1513"/>
      <c r="E567" s="1513"/>
      <c r="F567" s="449" t="s">
        <v>638</v>
      </c>
      <c r="G567" s="450"/>
      <c r="H567" s="451"/>
    </row>
    <row r="568" spans="1:8" ht="24" customHeight="1" x14ac:dyDescent="0.25">
      <c r="A568" s="448"/>
      <c r="B568" s="448"/>
      <c r="C568" s="1513"/>
      <c r="D568" s="1513"/>
      <c r="E568" s="1513"/>
      <c r="F568" s="1514" t="s">
        <v>637</v>
      </c>
      <c r="G568" s="1514"/>
      <c r="H568" s="1514"/>
    </row>
    <row r="569" spans="1:8" x14ac:dyDescent="0.2">
      <c r="A569" s="452"/>
      <c r="B569" s="452"/>
      <c r="C569" s="1513"/>
      <c r="D569" s="1513"/>
      <c r="E569" s="1513"/>
      <c r="F569" s="1514"/>
      <c r="G569" s="1514"/>
      <c r="H569" s="1514"/>
    </row>
    <row r="570" spans="1:8" x14ac:dyDescent="0.2">
      <c r="A570" s="444"/>
      <c r="B570" s="1515"/>
      <c r="C570" s="1516"/>
      <c r="D570" s="1516"/>
      <c r="E570" s="444"/>
      <c r="F570" s="453"/>
      <c r="G570" s="454"/>
      <c r="H570" s="455"/>
    </row>
    <row r="571" spans="1:8" x14ac:dyDescent="0.2">
      <c r="A571" s="389">
        <v>1</v>
      </c>
      <c r="B571" s="380" t="s">
        <v>599</v>
      </c>
      <c r="C571" s="418"/>
      <c r="D571" s="457"/>
      <c r="E571" s="454"/>
      <c r="F571" s="453"/>
      <c r="G571" s="454" t="s">
        <v>634</v>
      </c>
      <c r="H571" s="455" t="s">
        <v>2</v>
      </c>
    </row>
    <row r="572" spans="1:8" x14ac:dyDescent="0.2">
      <c r="A572" s="458" t="s">
        <v>37</v>
      </c>
      <c r="B572" s="1525" t="s">
        <v>684</v>
      </c>
      <c r="C572" s="1525"/>
      <c r="D572" s="1525"/>
      <c r="E572" s="1525"/>
      <c r="F572" s="459"/>
      <c r="G572" s="454"/>
      <c r="H572" s="455"/>
    </row>
    <row r="573" spans="1:8" x14ac:dyDescent="0.2">
      <c r="A573" s="458"/>
      <c r="B573" s="460"/>
      <c r="C573" s="461"/>
      <c r="D573" s="461"/>
      <c r="E573" s="461"/>
      <c r="F573" s="461"/>
      <c r="G573" s="454"/>
      <c r="H573" s="455"/>
    </row>
    <row r="574" spans="1:8" x14ac:dyDescent="0.2">
      <c r="A574" s="458"/>
      <c r="B574" s="459"/>
      <c r="C574" s="459"/>
      <c r="D574" s="459"/>
      <c r="E574" s="459"/>
      <c r="F574" s="459"/>
      <c r="G574" s="416"/>
      <c r="H574" s="416"/>
    </row>
    <row r="575" spans="1:8" x14ac:dyDescent="0.2">
      <c r="A575" s="462" t="s">
        <v>633</v>
      </c>
      <c r="B575" s="462"/>
      <c r="C575" s="453"/>
      <c r="D575" s="445"/>
      <c r="E575" s="445"/>
      <c r="F575" s="445"/>
      <c r="G575" s="445"/>
      <c r="H575" s="445"/>
    </row>
    <row r="576" spans="1:8" x14ac:dyDescent="0.2">
      <c r="A576" s="463" t="s">
        <v>622</v>
      </c>
      <c r="B576" s="453"/>
      <c r="C576" s="446" t="s">
        <v>1</v>
      </c>
      <c r="D576" s="446"/>
      <c r="E576" s="446" t="s">
        <v>632</v>
      </c>
      <c r="F576" s="446" t="s">
        <v>631</v>
      </c>
      <c r="G576" s="446" t="s">
        <v>618</v>
      </c>
      <c r="H576" s="446" t="s">
        <v>627</v>
      </c>
    </row>
    <row r="577" spans="1:8" x14ac:dyDescent="0.2">
      <c r="A577" s="464"/>
      <c r="B577" s="465" t="s">
        <v>648</v>
      </c>
      <c r="C577" s="453"/>
      <c r="D577" s="453"/>
      <c r="E577" s="455"/>
      <c r="F577" s="453"/>
      <c r="G577" s="466">
        <v>12000</v>
      </c>
      <c r="H577" s="466">
        <f>+G577</f>
        <v>12000</v>
      </c>
    </row>
    <row r="578" spans="1:8" x14ac:dyDescent="0.2">
      <c r="A578" s="464"/>
      <c r="B578" s="465"/>
      <c r="C578" s="453"/>
      <c r="D578" s="453"/>
      <c r="E578" s="455"/>
      <c r="F578" s="453"/>
      <c r="G578" s="466"/>
      <c r="H578" s="466"/>
    </row>
    <row r="579" spans="1:8" x14ac:dyDescent="0.2">
      <c r="A579" s="464"/>
      <c r="B579" s="465"/>
      <c r="C579" s="465"/>
      <c r="D579" s="453"/>
      <c r="E579" s="455"/>
      <c r="F579" s="453"/>
      <c r="G579" s="453"/>
      <c r="H579" s="453"/>
    </row>
    <row r="580" spans="1:8" x14ac:dyDescent="0.2">
      <c r="A580" s="453"/>
      <c r="B580" s="453"/>
      <c r="C580" s="453"/>
      <c r="D580" s="453"/>
      <c r="E580" s="454"/>
      <c r="F580" s="453"/>
      <c r="G580" s="454" t="s">
        <v>605</v>
      </c>
      <c r="H580" s="467">
        <f>ROUND(SUM(H577:H579),0)</f>
        <v>12000</v>
      </c>
    </row>
    <row r="581" spans="1:8" x14ac:dyDescent="0.2">
      <c r="A581" s="453"/>
      <c r="B581" s="453"/>
      <c r="C581" s="453"/>
      <c r="D581" s="453"/>
      <c r="E581" s="454"/>
      <c r="F581" s="453"/>
      <c r="G581" s="454"/>
      <c r="H581" s="467"/>
    </row>
    <row r="582" spans="1:8" x14ac:dyDescent="0.2">
      <c r="A582" s="462" t="s">
        <v>629</v>
      </c>
      <c r="B582" s="462"/>
      <c r="C582" s="462"/>
      <c r="D582" s="462"/>
      <c r="E582" s="454"/>
      <c r="F582" s="453"/>
      <c r="G582" s="453"/>
      <c r="H582" s="453"/>
    </row>
    <row r="583" spans="1:8" x14ac:dyDescent="0.2">
      <c r="A583" s="463" t="s">
        <v>622</v>
      </c>
      <c r="B583" s="453"/>
      <c r="C583" s="446" t="s">
        <v>1</v>
      </c>
      <c r="D583" s="446"/>
      <c r="E583" s="446" t="s">
        <v>15</v>
      </c>
      <c r="F583" s="446" t="s">
        <v>628</v>
      </c>
      <c r="G583" s="446" t="s">
        <v>618</v>
      </c>
      <c r="H583" s="446" t="s">
        <v>627</v>
      </c>
    </row>
    <row r="584" spans="1:8" x14ac:dyDescent="0.2">
      <c r="A584" s="464"/>
      <c r="B584" s="1520" t="s">
        <v>626</v>
      </c>
      <c r="C584" s="1520"/>
      <c r="D584" s="1520"/>
      <c r="E584" s="455" t="s">
        <v>641</v>
      </c>
      <c r="F584" s="468">
        <v>12</v>
      </c>
      <c r="G584" s="469">
        <v>1500</v>
      </c>
      <c r="H584" s="470">
        <f>+ROUND(F584*G584,0)</f>
        <v>18000</v>
      </c>
    </row>
    <row r="585" spans="1:8" x14ac:dyDescent="0.2">
      <c r="A585" s="464"/>
      <c r="B585" s="1520" t="s">
        <v>642</v>
      </c>
      <c r="C585" s="1520"/>
      <c r="D585" s="1520"/>
      <c r="E585" s="455" t="s">
        <v>641</v>
      </c>
      <c r="F585" s="468">
        <v>3</v>
      </c>
      <c r="G585" s="469">
        <v>1400</v>
      </c>
      <c r="H585" s="470">
        <f>+ROUND(F585*G585,0)</f>
        <v>4200</v>
      </c>
    </row>
    <row r="586" spans="1:8" x14ac:dyDescent="0.2">
      <c r="A586" s="464"/>
      <c r="B586" s="1520" t="s">
        <v>640</v>
      </c>
      <c r="C586" s="1520"/>
      <c r="D586" s="1520"/>
      <c r="E586" s="455" t="s">
        <v>2</v>
      </c>
      <c r="F586" s="468">
        <v>1</v>
      </c>
      <c r="G586" s="469">
        <v>895</v>
      </c>
      <c r="H586" s="470">
        <f>+ROUND(F586*G586,0)</f>
        <v>895</v>
      </c>
    </row>
    <row r="587" spans="1:8" x14ac:dyDescent="0.2">
      <c r="A587" s="464"/>
      <c r="B587" s="1520" t="s">
        <v>639</v>
      </c>
      <c r="C587" s="1520"/>
      <c r="D587" s="1520"/>
      <c r="E587" s="455" t="s">
        <v>2</v>
      </c>
      <c r="F587" s="468">
        <v>3</v>
      </c>
      <c r="G587" s="469">
        <v>577</v>
      </c>
      <c r="H587" s="470">
        <f>+ROUND(F587*G587,0)</f>
        <v>1731</v>
      </c>
    </row>
    <row r="588" spans="1:8" x14ac:dyDescent="0.2">
      <c r="A588" s="464"/>
      <c r="B588" s="1520" t="s">
        <v>683</v>
      </c>
      <c r="C588" s="1520"/>
      <c r="D588" s="1520"/>
      <c r="E588" s="455" t="s">
        <v>2</v>
      </c>
      <c r="F588" s="468">
        <v>1</v>
      </c>
      <c r="G588" s="469">
        <v>14754</v>
      </c>
      <c r="H588" s="470">
        <f>+ROUND(F588*G588,0)</f>
        <v>14754</v>
      </c>
    </row>
    <row r="589" spans="1:8" x14ac:dyDescent="0.2">
      <c r="A589" s="464"/>
      <c r="B589" s="1520"/>
      <c r="C589" s="1520"/>
      <c r="D589" s="1520"/>
      <c r="E589" s="455"/>
      <c r="F589" s="468"/>
      <c r="G589" s="469"/>
      <c r="H589" s="470"/>
    </row>
    <row r="590" spans="1:8" x14ac:dyDescent="0.2">
      <c r="A590" s="464"/>
      <c r="B590" s="1520"/>
      <c r="C590" s="1520"/>
      <c r="D590" s="1520"/>
      <c r="E590" s="455"/>
      <c r="F590" s="468"/>
      <c r="G590" s="469"/>
      <c r="H590" s="470"/>
    </row>
    <row r="591" spans="1:8" x14ac:dyDescent="0.2">
      <c r="A591" s="464"/>
      <c r="B591" s="471"/>
      <c r="C591" s="472"/>
      <c r="D591" s="472"/>
      <c r="E591" s="455"/>
      <c r="F591" s="468"/>
      <c r="G591" s="469"/>
      <c r="H591" s="470">
        <f>+ROUND(F591*G591,0)</f>
        <v>0</v>
      </c>
    </row>
    <row r="592" spans="1:8" x14ac:dyDescent="0.2">
      <c r="A592" s="464"/>
      <c r="B592" s="453"/>
      <c r="C592" s="453"/>
      <c r="D592" s="453"/>
      <c r="E592" s="454"/>
      <c r="F592" s="453"/>
      <c r="G592" s="473"/>
      <c r="H592" s="473"/>
    </row>
    <row r="593" spans="1:8" x14ac:dyDescent="0.2">
      <c r="A593" s="453"/>
      <c r="B593" s="453"/>
      <c r="C593" s="453"/>
      <c r="D593" s="453"/>
      <c r="E593" s="454"/>
      <c r="F593" s="453"/>
      <c r="G593" s="454" t="s">
        <v>605</v>
      </c>
      <c r="H593" s="462">
        <f>ROUND(SUM(H584:H592),0)</f>
        <v>39580</v>
      </c>
    </row>
    <row r="594" spans="1:8" x14ac:dyDescent="0.2">
      <c r="A594" s="453"/>
      <c r="B594" s="453"/>
      <c r="C594" s="453"/>
      <c r="D594" s="453"/>
      <c r="E594" s="454"/>
      <c r="F594" s="453"/>
      <c r="G594" s="454"/>
      <c r="H594" s="462"/>
    </row>
    <row r="595" spans="1:8" x14ac:dyDescent="0.2">
      <c r="A595" s="462" t="s">
        <v>623</v>
      </c>
      <c r="B595" s="453"/>
      <c r="C595" s="453"/>
      <c r="D595" s="453"/>
      <c r="E595" s="454"/>
      <c r="F595" s="453"/>
      <c r="G595" s="454"/>
      <c r="H595" s="462"/>
    </row>
    <row r="596" spans="1:8" x14ac:dyDescent="0.2">
      <c r="A596" s="463" t="s">
        <v>622</v>
      </c>
      <c r="B596" s="1521" t="s">
        <v>621</v>
      </c>
      <c r="C596" s="1521"/>
      <c r="D596" s="474" t="s">
        <v>620</v>
      </c>
      <c r="E596" s="475" t="s">
        <v>2</v>
      </c>
      <c r="F596" s="476" t="s">
        <v>619</v>
      </c>
      <c r="G596" s="477" t="s">
        <v>618</v>
      </c>
      <c r="H596" s="477" t="s">
        <v>600</v>
      </c>
    </row>
    <row r="597" spans="1:8" x14ac:dyDescent="0.2">
      <c r="A597" s="478"/>
      <c r="B597" s="465" t="s">
        <v>679</v>
      </c>
      <c r="D597" s="497">
        <v>2E-3</v>
      </c>
      <c r="E597" s="455" t="s">
        <v>616</v>
      </c>
      <c r="F597" s="480">
        <v>1</v>
      </c>
      <c r="G597" s="469">
        <v>380000</v>
      </c>
      <c r="H597" s="473">
        <f>+ROUND(D597*G597,0)</f>
        <v>760</v>
      </c>
    </row>
    <row r="598" spans="1:8" x14ac:dyDescent="0.2">
      <c r="A598" s="478"/>
      <c r="B598" s="465"/>
      <c r="D598" s="481"/>
      <c r="E598" s="455"/>
      <c r="F598" s="482"/>
      <c r="G598" s="483"/>
      <c r="H598" s="470"/>
    </row>
    <row r="599" spans="1:8" x14ac:dyDescent="0.2">
      <c r="A599" s="478"/>
      <c r="E599" s="484"/>
      <c r="F599" s="484"/>
      <c r="G599" s="473"/>
      <c r="H599" s="470"/>
    </row>
    <row r="600" spans="1:8" x14ac:dyDescent="0.2">
      <c r="E600" s="485"/>
      <c r="F600" s="484"/>
      <c r="G600" s="454" t="s">
        <v>605</v>
      </c>
      <c r="H600" s="486">
        <f>ROUND(SUM(H597:H599),0)</f>
        <v>760</v>
      </c>
    </row>
    <row r="601" spans="1:8" x14ac:dyDescent="0.2">
      <c r="E601" s="485"/>
      <c r="F601" s="484"/>
      <c r="G601" s="454"/>
      <c r="H601" s="486"/>
    </row>
    <row r="602" spans="1:8" x14ac:dyDescent="0.2">
      <c r="A602" s="462" t="s">
        <v>615</v>
      </c>
      <c r="B602" s="462"/>
      <c r="C602" s="462"/>
      <c r="D602" s="453"/>
      <c r="E602" s="454"/>
      <c r="F602" s="453"/>
      <c r="G602" s="453"/>
      <c r="H602" s="453"/>
    </row>
    <row r="603" spans="1:8" x14ac:dyDescent="0.2">
      <c r="A603" s="487" t="s">
        <v>421</v>
      </c>
      <c r="B603" s="1512" t="s">
        <v>614</v>
      </c>
      <c r="C603" s="1512"/>
      <c r="D603" s="446" t="s">
        <v>613</v>
      </c>
      <c r="E603" s="446" t="s">
        <v>612</v>
      </c>
      <c r="F603" s="446" t="s">
        <v>611</v>
      </c>
      <c r="G603" s="446" t="s">
        <v>610</v>
      </c>
      <c r="H603" s="446" t="s">
        <v>609</v>
      </c>
    </row>
    <row r="604" spans="1:8" x14ac:dyDescent="0.2">
      <c r="A604" s="488">
        <v>1</v>
      </c>
      <c r="B604" s="465" t="s">
        <v>608</v>
      </c>
      <c r="C604" s="465"/>
      <c r="D604" s="483">
        <v>80000</v>
      </c>
      <c r="E604" s="489">
        <f>D604*75%</f>
        <v>60000</v>
      </c>
      <c r="F604" s="473">
        <f>(D604+E604)*A604</f>
        <v>140000</v>
      </c>
      <c r="G604" s="453">
        <v>13</v>
      </c>
      <c r="H604" s="473">
        <f>+ROUND(F604/G604,0)</f>
        <v>10769</v>
      </c>
    </row>
    <row r="605" spans="1:8" x14ac:dyDescent="0.2">
      <c r="A605" s="488">
        <v>1</v>
      </c>
      <c r="B605" s="447" t="s">
        <v>607</v>
      </c>
      <c r="C605" s="465"/>
      <c r="D605" s="483">
        <v>40000</v>
      </c>
      <c r="E605" s="489">
        <f>D605*75%</f>
        <v>30000</v>
      </c>
      <c r="F605" s="473">
        <f>(D605+E605)*A605</f>
        <v>70000</v>
      </c>
      <c r="G605" s="453">
        <v>13</v>
      </c>
      <c r="H605" s="473">
        <f>+ROUND(F605/G605,0)</f>
        <v>5385</v>
      </c>
    </row>
    <row r="606" spans="1:8" x14ac:dyDescent="0.2">
      <c r="A606" s="488">
        <v>2</v>
      </c>
      <c r="B606" s="465" t="s">
        <v>606</v>
      </c>
      <c r="C606" s="465"/>
      <c r="D606" s="483">
        <v>25000</v>
      </c>
      <c r="E606" s="489">
        <f>D606*75%</f>
        <v>18750</v>
      </c>
      <c r="F606" s="473">
        <f>(D606+E606)*A606</f>
        <v>87500</v>
      </c>
      <c r="G606" s="453">
        <v>13</v>
      </c>
      <c r="H606" s="473">
        <f>+ROUND(F606/G606,0)</f>
        <v>6731</v>
      </c>
    </row>
    <row r="607" spans="1:8" x14ac:dyDescent="0.2">
      <c r="A607" s="488"/>
      <c r="B607" s="465"/>
      <c r="C607" s="465"/>
      <c r="D607" s="483"/>
      <c r="E607" s="489"/>
      <c r="F607" s="473"/>
      <c r="G607" s="453"/>
      <c r="H607" s="473"/>
    </row>
    <row r="608" spans="1:8" x14ac:dyDescent="0.2">
      <c r="A608" s="488"/>
      <c r="B608" s="453"/>
      <c r="C608" s="453"/>
      <c r="D608" s="473"/>
      <c r="E608" s="489"/>
      <c r="F608" s="473"/>
      <c r="G608" s="453"/>
      <c r="H608" s="473"/>
    </row>
    <row r="609" spans="1:8" x14ac:dyDescent="0.2">
      <c r="A609" s="453"/>
      <c r="B609" s="453"/>
      <c r="C609" s="453"/>
      <c r="D609" s="453"/>
      <c r="E609" s="454"/>
      <c r="F609" s="453"/>
      <c r="G609" s="454" t="s">
        <v>605</v>
      </c>
      <c r="H609" s="486">
        <f>ROUND(SUM(H604:H608),0)</f>
        <v>22885</v>
      </c>
    </row>
    <row r="610" spans="1:8" x14ac:dyDescent="0.2">
      <c r="A610" s="453"/>
      <c r="B610" s="453"/>
      <c r="C610" s="453"/>
      <c r="D610" s="453"/>
      <c r="E610" s="454"/>
      <c r="F610" s="453"/>
      <c r="G610" s="453"/>
      <c r="H610" s="453"/>
    </row>
    <row r="611" spans="1:8" x14ac:dyDescent="0.2">
      <c r="A611" s="490"/>
      <c r="B611" s="453"/>
      <c r="C611" s="453"/>
      <c r="D611" s="453"/>
      <c r="E611" s="491" t="s">
        <v>604</v>
      </c>
      <c r="F611" s="492"/>
      <c r="G611" s="492"/>
      <c r="H611" s="493">
        <f>+ROUND(H580+H593+H600+H609,0)</f>
        <v>75225</v>
      </c>
    </row>
    <row r="612" spans="1:8" x14ac:dyDescent="0.2">
      <c r="A612" s="488"/>
      <c r="B612" s="453"/>
      <c r="C612" s="453"/>
      <c r="D612" s="473"/>
      <c r="E612" s="489"/>
      <c r="F612" s="473"/>
      <c r="G612" s="453"/>
      <c r="H612" s="473"/>
    </row>
    <row r="619" spans="1:8" ht="15.75" customHeight="1" x14ac:dyDescent="0.25">
      <c r="A619" s="448"/>
      <c r="B619" s="448"/>
      <c r="C619" s="1513"/>
      <c r="D619" s="1513"/>
      <c r="E619" s="1513"/>
      <c r="F619" s="449" t="s">
        <v>638</v>
      </c>
      <c r="G619" s="450"/>
      <c r="H619" s="451"/>
    </row>
    <row r="620" spans="1:8" ht="22.5" customHeight="1" x14ac:dyDescent="0.25">
      <c r="A620" s="448"/>
      <c r="B620" s="448"/>
      <c r="C620" s="1513"/>
      <c r="D620" s="1513"/>
      <c r="E620" s="1513"/>
      <c r="F620" s="1514" t="s">
        <v>637</v>
      </c>
      <c r="G620" s="1514"/>
      <c r="H620" s="1514"/>
    </row>
    <row r="621" spans="1:8" x14ac:dyDescent="0.2">
      <c r="A621" s="452"/>
      <c r="B621" s="452"/>
      <c r="C621" s="1513"/>
      <c r="D621" s="1513"/>
      <c r="E621" s="1513"/>
      <c r="F621" s="1514"/>
      <c r="G621" s="1514"/>
      <c r="H621" s="1514"/>
    </row>
    <row r="622" spans="1:8" x14ac:dyDescent="0.2">
      <c r="A622" s="444"/>
      <c r="B622" s="1515"/>
      <c r="C622" s="1516"/>
      <c r="D622" s="1516"/>
      <c r="E622" s="444"/>
      <c r="F622" s="453"/>
      <c r="G622" s="454"/>
      <c r="H622" s="455"/>
    </row>
    <row r="623" spans="1:8" x14ac:dyDescent="0.2">
      <c r="A623" s="389">
        <v>1</v>
      </c>
      <c r="B623" s="380" t="s">
        <v>599</v>
      </c>
      <c r="C623" s="418"/>
      <c r="D623" s="457"/>
      <c r="E623" s="454"/>
      <c r="F623" s="453"/>
      <c r="G623" s="454" t="s">
        <v>634</v>
      </c>
      <c r="H623" s="455" t="s">
        <v>2</v>
      </c>
    </row>
    <row r="624" spans="1:8" x14ac:dyDescent="0.2">
      <c r="A624" s="458" t="s">
        <v>38</v>
      </c>
      <c r="B624" s="1525" t="s">
        <v>682</v>
      </c>
      <c r="C624" s="1525"/>
      <c r="D624" s="1525"/>
      <c r="E624" s="1525"/>
      <c r="F624" s="459"/>
      <c r="G624" s="454"/>
      <c r="H624" s="455"/>
    </row>
    <row r="625" spans="1:8" x14ac:dyDescent="0.2">
      <c r="A625" s="458"/>
      <c r="B625" s="460"/>
      <c r="C625" s="461"/>
      <c r="D625" s="461"/>
      <c r="E625" s="461"/>
      <c r="F625" s="461"/>
      <c r="G625" s="454"/>
      <c r="H625" s="455"/>
    </row>
    <row r="626" spans="1:8" x14ac:dyDescent="0.2">
      <c r="A626" s="458"/>
      <c r="B626" s="459"/>
      <c r="C626" s="459"/>
      <c r="D626" s="459"/>
      <c r="E626" s="459"/>
      <c r="F626" s="459"/>
      <c r="G626" s="416"/>
      <c r="H626" s="416"/>
    </row>
    <row r="627" spans="1:8" x14ac:dyDescent="0.2">
      <c r="A627" s="462" t="s">
        <v>633</v>
      </c>
      <c r="B627" s="462"/>
      <c r="C627" s="453"/>
      <c r="D627" s="445"/>
      <c r="E627" s="445"/>
      <c r="F627" s="445"/>
      <c r="G627" s="445"/>
      <c r="H627" s="445"/>
    </row>
    <row r="628" spans="1:8" x14ac:dyDescent="0.2">
      <c r="A628" s="463" t="s">
        <v>622</v>
      </c>
      <c r="B628" s="453"/>
      <c r="C628" s="446" t="s">
        <v>1</v>
      </c>
      <c r="D628" s="446"/>
      <c r="E628" s="446" t="s">
        <v>632</v>
      </c>
      <c r="F628" s="446" t="s">
        <v>631</v>
      </c>
      <c r="G628" s="446" t="s">
        <v>618</v>
      </c>
      <c r="H628" s="446" t="s">
        <v>627</v>
      </c>
    </row>
    <row r="629" spans="1:8" x14ac:dyDescent="0.2">
      <c r="A629" s="464"/>
      <c r="B629" s="465" t="s">
        <v>648</v>
      </c>
      <c r="C629" s="453"/>
      <c r="D629" s="453"/>
      <c r="E629" s="455"/>
      <c r="F629" s="453"/>
      <c r="G629" s="466">
        <v>12000</v>
      </c>
      <c r="H629" s="466">
        <f>+G629</f>
        <v>12000</v>
      </c>
    </row>
    <row r="630" spans="1:8" x14ac:dyDescent="0.2">
      <c r="A630" s="464"/>
      <c r="B630" s="465"/>
      <c r="C630" s="453"/>
      <c r="D630" s="453"/>
      <c r="E630" s="455"/>
      <c r="F630" s="453"/>
      <c r="G630" s="466"/>
      <c r="H630" s="466"/>
    </row>
    <row r="631" spans="1:8" x14ac:dyDescent="0.2">
      <c r="A631" s="464"/>
      <c r="B631" s="465"/>
      <c r="C631" s="465"/>
      <c r="D631" s="453"/>
      <c r="E631" s="455"/>
      <c r="F631" s="453"/>
      <c r="G631" s="453"/>
      <c r="H631" s="453"/>
    </row>
    <row r="632" spans="1:8" x14ac:dyDescent="0.2">
      <c r="A632" s="453"/>
      <c r="B632" s="453"/>
      <c r="C632" s="453"/>
      <c r="D632" s="453"/>
      <c r="E632" s="454"/>
      <c r="F632" s="453"/>
      <c r="G632" s="454" t="s">
        <v>605</v>
      </c>
      <c r="H632" s="467">
        <f>ROUND(SUM(H629:H631),0)</f>
        <v>12000</v>
      </c>
    </row>
    <row r="633" spans="1:8" x14ac:dyDescent="0.2">
      <c r="A633" s="453"/>
      <c r="B633" s="453"/>
      <c r="C633" s="453"/>
      <c r="D633" s="453"/>
      <c r="E633" s="454"/>
      <c r="F633" s="453"/>
      <c r="G633" s="454"/>
      <c r="H633" s="467"/>
    </row>
    <row r="634" spans="1:8" x14ac:dyDescent="0.2">
      <c r="A634" s="462" t="s">
        <v>629</v>
      </c>
      <c r="B634" s="462"/>
      <c r="C634" s="462"/>
      <c r="D634" s="462"/>
      <c r="E634" s="454"/>
      <c r="F634" s="453"/>
      <c r="G634" s="453"/>
      <c r="H634" s="453"/>
    </row>
    <row r="635" spans="1:8" x14ac:dyDescent="0.2">
      <c r="A635" s="463" t="s">
        <v>622</v>
      </c>
      <c r="B635" s="453"/>
      <c r="C635" s="446" t="s">
        <v>1</v>
      </c>
      <c r="D635" s="446"/>
      <c r="E635" s="446" t="s">
        <v>15</v>
      </c>
      <c r="F635" s="446" t="s">
        <v>628</v>
      </c>
      <c r="G635" s="446" t="s">
        <v>618</v>
      </c>
      <c r="H635" s="446" t="s">
        <v>627</v>
      </c>
    </row>
    <row r="636" spans="1:8" x14ac:dyDescent="0.2">
      <c r="A636" s="464"/>
      <c r="B636" s="1520" t="s">
        <v>681</v>
      </c>
      <c r="C636" s="1520"/>
      <c r="D636" s="1520"/>
      <c r="E636" s="455" t="s">
        <v>641</v>
      </c>
      <c r="F636" s="468">
        <v>10</v>
      </c>
      <c r="G636" s="469">
        <v>1500</v>
      </c>
      <c r="H636" s="470">
        <f>+ROUND(F636*G636,0)</f>
        <v>15000</v>
      </c>
    </row>
    <row r="637" spans="1:8" x14ac:dyDescent="0.2">
      <c r="A637" s="464"/>
      <c r="B637" s="1520" t="s">
        <v>642</v>
      </c>
      <c r="C637" s="1520"/>
      <c r="D637" s="1520"/>
      <c r="E637" s="455" t="s">
        <v>641</v>
      </c>
      <c r="F637" s="468">
        <v>3</v>
      </c>
      <c r="G637" s="469">
        <v>1400</v>
      </c>
      <c r="H637" s="470">
        <f>+ROUND(F637*G637,0)</f>
        <v>4200</v>
      </c>
    </row>
    <row r="638" spans="1:8" x14ac:dyDescent="0.2">
      <c r="A638" s="464"/>
      <c r="B638" s="1520" t="s">
        <v>640</v>
      </c>
      <c r="C638" s="1520"/>
      <c r="D638" s="1520"/>
      <c r="E638" s="455" t="s">
        <v>2</v>
      </c>
      <c r="F638" s="468">
        <v>1</v>
      </c>
      <c r="G638" s="469">
        <v>778</v>
      </c>
      <c r="H638" s="470">
        <f>+ROUND(F638*G638,0)</f>
        <v>778</v>
      </c>
    </row>
    <row r="639" spans="1:8" x14ac:dyDescent="0.2">
      <c r="A639" s="464"/>
      <c r="B639" s="1520" t="s">
        <v>639</v>
      </c>
      <c r="C639" s="1520"/>
      <c r="D639" s="1520"/>
      <c r="E639" s="455" t="s">
        <v>2</v>
      </c>
      <c r="F639" s="468">
        <v>2</v>
      </c>
      <c r="G639" s="469">
        <v>700</v>
      </c>
      <c r="H639" s="470">
        <f>+ROUND(F639*G639,0)</f>
        <v>1400</v>
      </c>
    </row>
    <row r="640" spans="1:8" x14ac:dyDescent="0.2">
      <c r="A640" s="464"/>
      <c r="B640" s="1520" t="s">
        <v>680</v>
      </c>
      <c r="C640" s="1520"/>
      <c r="D640" s="1520"/>
      <c r="E640" s="455" t="s">
        <v>2</v>
      </c>
      <c r="F640" s="468">
        <v>1</v>
      </c>
      <c r="G640" s="469">
        <v>7809</v>
      </c>
      <c r="H640" s="470">
        <f>+ROUND(F640*G640,0)</f>
        <v>7809</v>
      </c>
    </row>
    <row r="641" spans="1:8" x14ac:dyDescent="0.2">
      <c r="A641" s="464"/>
      <c r="B641" s="1520"/>
      <c r="C641" s="1520"/>
      <c r="D641" s="1520"/>
      <c r="E641" s="455"/>
      <c r="F641" s="468"/>
      <c r="G641" s="469"/>
      <c r="H641" s="470"/>
    </row>
    <row r="642" spans="1:8" x14ac:dyDescent="0.2">
      <c r="A642" s="464"/>
      <c r="B642" s="1520"/>
      <c r="C642" s="1520"/>
      <c r="D642" s="1520"/>
      <c r="E642" s="455"/>
      <c r="F642" s="468"/>
      <c r="G642" s="469"/>
      <c r="H642" s="470"/>
    </row>
    <row r="643" spans="1:8" x14ac:dyDescent="0.2">
      <c r="A643" s="464"/>
      <c r="B643" s="471"/>
      <c r="C643" s="472"/>
      <c r="D643" s="472"/>
      <c r="E643" s="455"/>
      <c r="F643" s="468"/>
      <c r="G643" s="469"/>
      <c r="H643" s="470">
        <f>+ROUND(F643*G643,0)</f>
        <v>0</v>
      </c>
    </row>
    <row r="644" spans="1:8" x14ac:dyDescent="0.2">
      <c r="A644" s="464"/>
      <c r="B644" s="453"/>
      <c r="C644" s="453"/>
      <c r="D644" s="453"/>
      <c r="E644" s="454"/>
      <c r="F644" s="453"/>
      <c r="G644" s="473"/>
      <c r="H644" s="473"/>
    </row>
    <row r="645" spans="1:8" x14ac:dyDescent="0.2">
      <c r="A645" s="453"/>
      <c r="B645" s="453"/>
      <c r="C645" s="453"/>
      <c r="D645" s="453"/>
      <c r="E645" s="454"/>
      <c r="F645" s="453"/>
      <c r="G645" s="454" t="s">
        <v>605</v>
      </c>
      <c r="H645" s="462">
        <f>ROUND(SUM(H636:H644),0)</f>
        <v>29187</v>
      </c>
    </row>
    <row r="646" spans="1:8" x14ac:dyDescent="0.2">
      <c r="A646" s="453"/>
      <c r="B646" s="453"/>
      <c r="C646" s="453"/>
      <c r="D646" s="453"/>
      <c r="E646" s="454"/>
      <c r="F646" s="453"/>
      <c r="G646" s="454"/>
      <c r="H646" s="462"/>
    </row>
    <row r="647" spans="1:8" x14ac:dyDescent="0.2">
      <c r="A647" s="462" t="s">
        <v>623</v>
      </c>
      <c r="B647" s="453"/>
      <c r="C647" s="453"/>
      <c r="D647" s="453"/>
      <c r="E647" s="454"/>
      <c r="F647" s="453"/>
      <c r="G647" s="454"/>
      <c r="H647" s="462"/>
    </row>
    <row r="648" spans="1:8" x14ac:dyDescent="0.2">
      <c r="A648" s="463" t="s">
        <v>622</v>
      </c>
      <c r="B648" s="1521" t="s">
        <v>621</v>
      </c>
      <c r="C648" s="1521"/>
      <c r="D648" s="474" t="s">
        <v>620</v>
      </c>
      <c r="E648" s="475" t="s">
        <v>2</v>
      </c>
      <c r="F648" s="476" t="s">
        <v>619</v>
      </c>
      <c r="G648" s="477" t="s">
        <v>618</v>
      </c>
      <c r="H648" s="477" t="s">
        <v>600</v>
      </c>
    </row>
    <row r="649" spans="1:8" x14ac:dyDescent="0.2">
      <c r="A649" s="478"/>
      <c r="B649" s="465" t="s">
        <v>679</v>
      </c>
      <c r="D649" s="479">
        <v>1E-3</v>
      </c>
      <c r="E649" s="455" t="s">
        <v>616</v>
      </c>
      <c r="F649" s="480">
        <v>1</v>
      </c>
      <c r="G649" s="469">
        <v>380000</v>
      </c>
      <c r="H649" s="473">
        <f>+ROUND(D649*G649,0)</f>
        <v>380</v>
      </c>
    </row>
    <row r="650" spans="1:8" x14ac:dyDescent="0.2">
      <c r="A650" s="478"/>
      <c r="B650" s="465"/>
      <c r="D650" s="481"/>
      <c r="E650" s="455"/>
      <c r="F650" s="482"/>
      <c r="G650" s="483"/>
      <c r="H650" s="470"/>
    </row>
    <row r="651" spans="1:8" x14ac:dyDescent="0.2">
      <c r="A651" s="478"/>
      <c r="E651" s="484"/>
      <c r="F651" s="484"/>
      <c r="G651" s="473"/>
      <c r="H651" s="470"/>
    </row>
    <row r="652" spans="1:8" x14ac:dyDescent="0.2">
      <c r="E652" s="485"/>
      <c r="F652" s="484"/>
      <c r="G652" s="454" t="s">
        <v>605</v>
      </c>
      <c r="H652" s="486">
        <f>ROUND(SUM(H649:H651),0)</f>
        <v>380</v>
      </c>
    </row>
    <row r="653" spans="1:8" x14ac:dyDescent="0.2">
      <c r="E653" s="485"/>
      <c r="F653" s="484"/>
      <c r="G653" s="454"/>
      <c r="H653" s="486"/>
    </row>
    <row r="654" spans="1:8" x14ac:dyDescent="0.2">
      <c r="A654" s="462" t="s">
        <v>615</v>
      </c>
      <c r="B654" s="462"/>
      <c r="C654" s="462"/>
      <c r="D654" s="453"/>
      <c r="E654" s="454"/>
      <c r="F654" s="453"/>
      <c r="G654" s="453"/>
      <c r="H654" s="453"/>
    </row>
    <row r="655" spans="1:8" x14ac:dyDescent="0.2">
      <c r="A655" s="487" t="s">
        <v>421</v>
      </c>
      <c r="B655" s="1512" t="s">
        <v>614</v>
      </c>
      <c r="C655" s="1512"/>
      <c r="D655" s="446" t="s">
        <v>613</v>
      </c>
      <c r="E655" s="446" t="s">
        <v>612</v>
      </c>
      <c r="F655" s="446" t="s">
        <v>611</v>
      </c>
      <c r="G655" s="446" t="s">
        <v>610</v>
      </c>
      <c r="H655" s="446" t="s">
        <v>609</v>
      </c>
    </row>
    <row r="656" spans="1:8" x14ac:dyDescent="0.2">
      <c r="A656" s="488">
        <v>1</v>
      </c>
      <c r="B656" s="465" t="s">
        <v>608</v>
      </c>
      <c r="C656" s="465"/>
      <c r="D656" s="483">
        <v>80000</v>
      </c>
      <c r="E656" s="489">
        <f>D656*75%</f>
        <v>60000</v>
      </c>
      <c r="F656" s="473">
        <f>(D656+E656)*A656</f>
        <v>140000</v>
      </c>
      <c r="G656" s="453">
        <v>16</v>
      </c>
      <c r="H656" s="473">
        <f>+ROUND(F656/G656,0)</f>
        <v>8750</v>
      </c>
    </row>
    <row r="657" spans="1:8" x14ac:dyDescent="0.2">
      <c r="A657" s="488">
        <v>1</v>
      </c>
      <c r="B657" s="447" t="s">
        <v>607</v>
      </c>
      <c r="C657" s="465"/>
      <c r="D657" s="483">
        <v>40000</v>
      </c>
      <c r="E657" s="489">
        <f>D657*75%</f>
        <v>30000</v>
      </c>
      <c r="F657" s="473">
        <f>(D657+E657)*A657</f>
        <v>70000</v>
      </c>
      <c r="G657" s="453">
        <v>16</v>
      </c>
      <c r="H657" s="473">
        <f>+ROUND(F657/G657,0)</f>
        <v>4375</v>
      </c>
    </row>
    <row r="658" spans="1:8" x14ac:dyDescent="0.2">
      <c r="A658" s="488">
        <v>1</v>
      </c>
      <c r="B658" s="465" t="s">
        <v>606</v>
      </c>
      <c r="C658" s="465"/>
      <c r="D658" s="483">
        <v>25000</v>
      </c>
      <c r="E658" s="489">
        <f>D658*75%</f>
        <v>18750</v>
      </c>
      <c r="F658" s="473">
        <f>(D658+E658)*A658</f>
        <v>43750</v>
      </c>
      <c r="G658" s="453">
        <v>16</v>
      </c>
      <c r="H658" s="473">
        <f>+ROUND(F658/G658,0)</f>
        <v>2734</v>
      </c>
    </row>
    <row r="659" spans="1:8" x14ac:dyDescent="0.2">
      <c r="A659" s="488"/>
      <c r="B659" s="465"/>
      <c r="C659" s="465"/>
      <c r="D659" s="483"/>
      <c r="E659" s="489"/>
      <c r="F659" s="473"/>
      <c r="G659" s="453"/>
      <c r="H659" s="473"/>
    </row>
    <row r="660" spans="1:8" x14ac:dyDescent="0.2">
      <c r="A660" s="488"/>
      <c r="B660" s="453"/>
      <c r="C660" s="453"/>
      <c r="D660" s="473"/>
      <c r="E660" s="489"/>
      <c r="F660" s="473"/>
      <c r="G660" s="453"/>
      <c r="H660" s="473"/>
    </row>
    <row r="661" spans="1:8" x14ac:dyDescent="0.2">
      <c r="A661" s="453"/>
      <c r="B661" s="453"/>
      <c r="C661" s="453"/>
      <c r="D661" s="453"/>
      <c r="E661" s="454"/>
      <c r="F661" s="453"/>
      <c r="G661" s="454" t="s">
        <v>605</v>
      </c>
      <c r="H661" s="486">
        <f>ROUND(SUM(H656:H660),0)</f>
        <v>15859</v>
      </c>
    </row>
    <row r="662" spans="1:8" x14ac:dyDescent="0.2">
      <c r="A662" s="453"/>
      <c r="B662" s="453"/>
      <c r="C662" s="453"/>
      <c r="D662" s="453"/>
      <c r="E662" s="454"/>
      <c r="F662" s="453"/>
      <c r="G662" s="453"/>
      <c r="H662" s="453"/>
    </row>
    <row r="663" spans="1:8" x14ac:dyDescent="0.2">
      <c r="A663" s="490"/>
      <c r="B663" s="453"/>
      <c r="C663" s="453"/>
      <c r="D663" s="453"/>
      <c r="E663" s="491" t="s">
        <v>604</v>
      </c>
      <c r="F663" s="492"/>
      <c r="G663" s="492"/>
      <c r="H663" s="493">
        <f>+ROUND(H632+H645+H652+H661,0)</f>
        <v>57426</v>
      </c>
    </row>
    <row r="664" spans="1:8" x14ac:dyDescent="0.2">
      <c r="A664" s="488"/>
      <c r="B664" s="453"/>
      <c r="C664" s="453"/>
      <c r="D664" s="473"/>
      <c r="E664" s="489"/>
      <c r="F664" s="473"/>
      <c r="G664" s="453"/>
      <c r="H664" s="473"/>
    </row>
    <row r="671" spans="1:8" ht="15.75" customHeight="1" x14ac:dyDescent="0.25">
      <c r="A671" s="448"/>
      <c r="B671" s="448"/>
      <c r="C671" s="1513"/>
      <c r="D671" s="1513"/>
      <c r="E671" s="1513"/>
      <c r="F671" s="449" t="s">
        <v>638</v>
      </c>
      <c r="G671" s="450"/>
      <c r="H671" s="451"/>
    </row>
    <row r="672" spans="1:8" ht="33.75" customHeight="1" x14ac:dyDescent="0.25">
      <c r="A672" s="448"/>
      <c r="B672" s="448"/>
      <c r="C672" s="1513"/>
      <c r="D672" s="1513"/>
      <c r="E672" s="1513"/>
      <c r="F672" s="1514" t="s">
        <v>637</v>
      </c>
      <c r="G672" s="1514"/>
      <c r="H672" s="1514"/>
    </row>
    <row r="673" spans="1:8" x14ac:dyDescent="0.2">
      <c r="A673" s="452"/>
      <c r="B673" s="452"/>
      <c r="C673" s="1513"/>
      <c r="D673" s="1513"/>
      <c r="E673" s="1513"/>
      <c r="F673" s="1514"/>
      <c r="G673" s="1514"/>
      <c r="H673" s="1514"/>
    </row>
    <row r="674" spans="1:8" x14ac:dyDescent="0.2">
      <c r="A674" s="444"/>
      <c r="B674" s="1515"/>
      <c r="C674" s="1516"/>
      <c r="D674" s="1516"/>
      <c r="E674" s="444"/>
      <c r="F674" s="453"/>
      <c r="G674" s="454"/>
      <c r="H674" s="455"/>
    </row>
    <row r="675" spans="1:8" x14ac:dyDescent="0.2">
      <c r="A675" s="389">
        <v>1</v>
      </c>
      <c r="B675" s="380" t="s">
        <v>599</v>
      </c>
      <c r="C675" s="418"/>
      <c r="D675" s="457"/>
      <c r="E675" s="454"/>
      <c r="F675" s="453"/>
      <c r="G675" s="454" t="s">
        <v>634</v>
      </c>
      <c r="H675" s="455" t="s">
        <v>2</v>
      </c>
    </row>
    <row r="676" spans="1:8" ht="12.75" customHeight="1" x14ac:dyDescent="0.2">
      <c r="A676" s="458">
        <v>1.1499999999999999</v>
      </c>
      <c r="B676" s="1517" t="s">
        <v>678</v>
      </c>
      <c r="C676" s="1517"/>
      <c r="D676" s="1517"/>
      <c r="E676" s="1517"/>
      <c r="F676" s="459"/>
      <c r="G676" s="454"/>
      <c r="H676" s="455"/>
    </row>
    <row r="677" spans="1:8" x14ac:dyDescent="0.2">
      <c r="A677" s="458"/>
      <c r="B677" s="1517"/>
      <c r="C677" s="1517"/>
      <c r="D677" s="1517"/>
      <c r="E677" s="1517"/>
      <c r="F677" s="461"/>
      <c r="G677" s="454"/>
      <c r="H677" s="455"/>
    </row>
    <row r="678" spans="1:8" x14ac:dyDescent="0.2">
      <c r="A678" s="458"/>
      <c r="B678" s="459"/>
      <c r="C678" s="459"/>
      <c r="D678" s="459"/>
      <c r="E678" s="459"/>
      <c r="F678" s="459"/>
      <c r="G678" s="416"/>
      <c r="H678" s="416"/>
    </row>
    <row r="679" spans="1:8" x14ac:dyDescent="0.2">
      <c r="A679" s="462" t="s">
        <v>633</v>
      </c>
      <c r="B679" s="462"/>
      <c r="C679" s="453"/>
      <c r="D679" s="445"/>
      <c r="E679" s="445"/>
      <c r="F679" s="445"/>
      <c r="G679" s="445"/>
      <c r="H679" s="445"/>
    </row>
    <row r="680" spans="1:8" x14ac:dyDescent="0.2">
      <c r="A680" s="463" t="s">
        <v>622</v>
      </c>
      <c r="B680" s="453"/>
      <c r="C680" s="446" t="s">
        <v>1</v>
      </c>
      <c r="D680" s="446"/>
      <c r="E680" s="446" t="s">
        <v>632</v>
      </c>
      <c r="F680" s="446" t="s">
        <v>631</v>
      </c>
      <c r="G680" s="446" t="s">
        <v>618</v>
      </c>
      <c r="H680" s="446" t="s">
        <v>627</v>
      </c>
    </row>
    <row r="681" spans="1:8" x14ac:dyDescent="0.2">
      <c r="A681" s="464"/>
      <c r="B681" s="465" t="s">
        <v>648</v>
      </c>
      <c r="C681" s="453"/>
      <c r="D681" s="453"/>
      <c r="E681" s="455"/>
      <c r="F681" s="453"/>
      <c r="G681" s="466">
        <v>1200</v>
      </c>
      <c r="H681" s="466">
        <v>1200</v>
      </c>
    </row>
    <row r="682" spans="1:8" x14ac:dyDescent="0.2">
      <c r="A682" s="464"/>
      <c r="B682" s="465"/>
      <c r="C682" s="453"/>
      <c r="D682" s="453"/>
      <c r="E682" s="455"/>
      <c r="F682" s="453"/>
      <c r="G682" s="466"/>
      <c r="H682" s="466"/>
    </row>
    <row r="683" spans="1:8" x14ac:dyDescent="0.2">
      <c r="A683" s="464"/>
      <c r="B683" s="465"/>
      <c r="C683" s="465"/>
      <c r="D683" s="453"/>
      <c r="E683" s="455"/>
      <c r="F683" s="453"/>
      <c r="G683" s="453"/>
      <c r="H683" s="453"/>
    </row>
    <row r="684" spans="1:8" x14ac:dyDescent="0.2">
      <c r="A684" s="453"/>
      <c r="B684" s="453"/>
      <c r="C684" s="453"/>
      <c r="D684" s="453"/>
      <c r="E684" s="454"/>
      <c r="F684" s="453"/>
      <c r="G684" s="454" t="s">
        <v>605</v>
      </c>
      <c r="H684" s="467">
        <v>1200</v>
      </c>
    </row>
    <row r="685" spans="1:8" x14ac:dyDescent="0.2">
      <c r="A685" s="453"/>
      <c r="B685" s="453"/>
      <c r="C685" s="453"/>
      <c r="D685" s="453"/>
      <c r="E685" s="454"/>
      <c r="F685" s="453"/>
      <c r="G685" s="454"/>
      <c r="H685" s="467"/>
    </row>
    <row r="686" spans="1:8" x14ac:dyDescent="0.2">
      <c r="A686" s="462" t="s">
        <v>629</v>
      </c>
      <c r="B686" s="462"/>
      <c r="C686" s="462"/>
      <c r="D686" s="462"/>
      <c r="E686" s="454"/>
      <c r="F686" s="453"/>
      <c r="G686" s="453"/>
      <c r="H686" s="453"/>
    </row>
    <row r="687" spans="1:8" x14ac:dyDescent="0.2">
      <c r="A687" s="463" t="s">
        <v>622</v>
      </c>
      <c r="B687" s="453"/>
      <c r="C687" s="446" t="s">
        <v>1</v>
      </c>
      <c r="D687" s="446"/>
      <c r="E687" s="446" t="s">
        <v>15</v>
      </c>
      <c r="F687" s="446" t="s">
        <v>628</v>
      </c>
      <c r="G687" s="446" t="s">
        <v>618</v>
      </c>
      <c r="H687" s="446" t="s">
        <v>627</v>
      </c>
    </row>
    <row r="688" spans="1:8" ht="12.75" customHeight="1" x14ac:dyDescent="0.2">
      <c r="A688" s="464"/>
      <c r="B688" s="1522" t="s">
        <v>677</v>
      </c>
      <c r="C688" s="1522"/>
      <c r="D688" s="1522"/>
      <c r="E688" s="455" t="s">
        <v>2</v>
      </c>
      <c r="F688" s="494">
        <v>1</v>
      </c>
      <c r="G688" s="469">
        <v>467960</v>
      </c>
      <c r="H688" s="470">
        <v>467960</v>
      </c>
    </row>
    <row r="689" spans="1:8" ht="12.75" customHeight="1" x14ac:dyDescent="0.2">
      <c r="A689" s="464"/>
      <c r="B689" s="1522" t="s">
        <v>676</v>
      </c>
      <c r="C689" s="1522"/>
      <c r="D689" s="1522"/>
      <c r="E689" s="455" t="s">
        <v>2</v>
      </c>
      <c r="F689" s="494">
        <v>1</v>
      </c>
      <c r="G689" s="469">
        <v>260000</v>
      </c>
      <c r="H689" s="470">
        <v>260000</v>
      </c>
    </row>
    <row r="690" spans="1:8" ht="12.75" customHeight="1" x14ac:dyDescent="0.2">
      <c r="A690" s="464"/>
      <c r="B690" s="1522" t="s">
        <v>675</v>
      </c>
      <c r="C690" s="1522"/>
      <c r="D690" s="1522"/>
      <c r="E690" s="455" t="s">
        <v>2</v>
      </c>
      <c r="F690" s="494">
        <v>18</v>
      </c>
      <c r="G690" s="469">
        <v>14800</v>
      </c>
      <c r="H690" s="470">
        <v>266400</v>
      </c>
    </row>
    <row r="691" spans="1:8" ht="12.75" customHeight="1" x14ac:dyDescent="0.2">
      <c r="A691" s="464"/>
      <c r="B691" s="1522"/>
      <c r="C691" s="1522"/>
      <c r="D691" s="1522"/>
      <c r="E691" s="455"/>
      <c r="F691" s="494"/>
      <c r="G691" s="469"/>
      <c r="H691" s="470">
        <v>0</v>
      </c>
    </row>
    <row r="692" spans="1:8" x14ac:dyDescent="0.2">
      <c r="A692" s="464"/>
      <c r="B692" s="495"/>
      <c r="C692" s="495"/>
      <c r="D692" s="495"/>
      <c r="E692" s="455"/>
      <c r="F692" s="494"/>
      <c r="G692" s="469"/>
      <c r="H692" s="470"/>
    </row>
    <row r="693" spans="1:8" x14ac:dyDescent="0.2">
      <c r="A693" s="464"/>
      <c r="B693" s="495"/>
      <c r="C693" s="495"/>
      <c r="D693" s="495"/>
      <c r="E693" s="455"/>
      <c r="F693" s="494"/>
      <c r="G693" s="469"/>
      <c r="H693" s="470"/>
    </row>
    <row r="694" spans="1:8" x14ac:dyDescent="0.2">
      <c r="A694" s="464"/>
      <c r="B694" s="496"/>
      <c r="C694" s="472"/>
      <c r="D694" s="472"/>
      <c r="E694" s="455"/>
      <c r="F694" s="494"/>
      <c r="G694" s="469"/>
      <c r="H694" s="470">
        <v>0</v>
      </c>
    </row>
    <row r="695" spans="1:8" x14ac:dyDescent="0.2">
      <c r="A695" s="464"/>
      <c r="B695" s="453"/>
      <c r="C695" s="453"/>
      <c r="D695" s="453"/>
      <c r="E695" s="454"/>
      <c r="F695" s="453"/>
      <c r="G695" s="473"/>
      <c r="H695" s="473"/>
    </row>
    <row r="696" spans="1:8" x14ac:dyDescent="0.2">
      <c r="A696" s="453"/>
      <c r="B696" s="453"/>
      <c r="C696" s="453"/>
      <c r="D696" s="453"/>
      <c r="E696" s="454"/>
      <c r="F696" s="453"/>
      <c r="G696" s="454" t="s">
        <v>605</v>
      </c>
      <c r="H696" s="462">
        <v>994360</v>
      </c>
    </row>
    <row r="697" spans="1:8" x14ac:dyDescent="0.2">
      <c r="A697" s="453"/>
      <c r="B697" s="453"/>
      <c r="C697" s="453"/>
      <c r="D697" s="453"/>
      <c r="E697" s="454"/>
      <c r="F697" s="453"/>
      <c r="G697" s="454"/>
      <c r="H697" s="462"/>
    </row>
    <row r="698" spans="1:8" x14ac:dyDescent="0.2">
      <c r="A698" s="462" t="s">
        <v>623</v>
      </c>
      <c r="B698" s="453"/>
      <c r="C698" s="453"/>
      <c r="D698" s="453"/>
      <c r="E698" s="454"/>
      <c r="F698" s="453"/>
      <c r="G698" s="454"/>
      <c r="H698" s="462"/>
    </row>
    <row r="699" spans="1:8" x14ac:dyDescent="0.2">
      <c r="A699" s="463" t="s">
        <v>622</v>
      </c>
      <c r="B699" s="1521" t="s">
        <v>621</v>
      </c>
      <c r="C699" s="1521"/>
      <c r="D699" s="474" t="s">
        <v>620</v>
      </c>
      <c r="E699" s="475" t="s">
        <v>2</v>
      </c>
      <c r="F699" s="476" t="s">
        <v>619</v>
      </c>
      <c r="G699" s="477" t="s">
        <v>618</v>
      </c>
      <c r="H699" s="477" t="s">
        <v>600</v>
      </c>
    </row>
    <row r="700" spans="1:8" x14ac:dyDescent="0.2">
      <c r="A700" s="478"/>
      <c r="B700" s="465" t="s">
        <v>645</v>
      </c>
      <c r="D700" s="479">
        <v>0.08</v>
      </c>
      <c r="E700" s="455" t="s">
        <v>616</v>
      </c>
      <c r="F700" s="480">
        <v>1</v>
      </c>
      <c r="G700" s="469">
        <v>380000</v>
      </c>
      <c r="H700" s="473">
        <v>30400</v>
      </c>
    </row>
    <row r="701" spans="1:8" x14ac:dyDescent="0.2">
      <c r="A701" s="478"/>
      <c r="B701" s="465"/>
      <c r="D701" s="481"/>
      <c r="E701" s="455"/>
      <c r="F701" s="482"/>
      <c r="G701" s="483"/>
      <c r="H701" s="470"/>
    </row>
    <row r="702" spans="1:8" x14ac:dyDescent="0.2">
      <c r="A702" s="478"/>
      <c r="E702" s="484"/>
      <c r="F702" s="484"/>
      <c r="G702" s="473"/>
      <c r="H702" s="470"/>
    </row>
    <row r="703" spans="1:8" x14ac:dyDescent="0.2">
      <c r="E703" s="485"/>
      <c r="F703" s="484"/>
      <c r="G703" s="454" t="s">
        <v>605</v>
      </c>
      <c r="H703" s="486">
        <v>30400</v>
      </c>
    </row>
    <row r="704" spans="1:8" x14ac:dyDescent="0.2">
      <c r="E704" s="485"/>
      <c r="F704" s="484"/>
      <c r="G704" s="454"/>
      <c r="H704" s="486"/>
    </row>
    <row r="705" spans="1:8" x14ac:dyDescent="0.2">
      <c r="A705" s="462" t="s">
        <v>615</v>
      </c>
      <c r="B705" s="462"/>
      <c r="C705" s="462"/>
      <c r="D705" s="453"/>
      <c r="E705" s="454"/>
      <c r="F705" s="453"/>
      <c r="G705" s="453"/>
      <c r="H705" s="453"/>
    </row>
    <row r="706" spans="1:8" x14ac:dyDescent="0.2">
      <c r="A706" s="487" t="s">
        <v>421</v>
      </c>
      <c r="B706" s="1512" t="s">
        <v>614</v>
      </c>
      <c r="C706" s="1512"/>
      <c r="D706" s="446" t="s">
        <v>613</v>
      </c>
      <c r="E706" s="446" t="s">
        <v>612</v>
      </c>
      <c r="F706" s="446" t="s">
        <v>611</v>
      </c>
      <c r="G706" s="446" t="s">
        <v>610</v>
      </c>
      <c r="H706" s="446" t="s">
        <v>609</v>
      </c>
    </row>
    <row r="707" spans="1:8" x14ac:dyDescent="0.2">
      <c r="A707" s="488">
        <v>1</v>
      </c>
      <c r="B707" s="465" t="s">
        <v>608</v>
      </c>
      <c r="C707" s="465"/>
      <c r="D707" s="483">
        <v>80000</v>
      </c>
      <c r="E707" s="489">
        <v>60000</v>
      </c>
      <c r="F707" s="473">
        <f>(D707+E707)*A707</f>
        <v>140000</v>
      </c>
      <c r="G707" s="453">
        <v>1</v>
      </c>
      <c r="H707" s="473">
        <f>F707/G707</f>
        <v>140000</v>
      </c>
    </row>
    <row r="708" spans="1:8" x14ac:dyDescent="0.2">
      <c r="A708" s="488">
        <v>1</v>
      </c>
      <c r="B708" s="447" t="s">
        <v>607</v>
      </c>
      <c r="C708" s="465"/>
      <c r="D708" s="483">
        <v>40000</v>
      </c>
      <c r="E708" s="489">
        <v>30000</v>
      </c>
      <c r="F708" s="473">
        <f>(D708+E708)*A708</f>
        <v>70000</v>
      </c>
      <c r="G708" s="453">
        <v>1</v>
      </c>
      <c r="H708" s="473">
        <f>F708/G708</f>
        <v>70000</v>
      </c>
    </row>
    <row r="709" spans="1:8" x14ac:dyDescent="0.2">
      <c r="A709" s="488">
        <v>2</v>
      </c>
      <c r="B709" s="465" t="s">
        <v>606</v>
      </c>
      <c r="C709" s="465"/>
      <c r="D709" s="483">
        <v>25000</v>
      </c>
      <c r="E709" s="489">
        <v>18750</v>
      </c>
      <c r="F709" s="473">
        <f>(D709+E709)*A709</f>
        <v>87500</v>
      </c>
      <c r="G709" s="453">
        <v>1</v>
      </c>
      <c r="H709" s="473">
        <f>F709/G709</f>
        <v>87500</v>
      </c>
    </row>
    <row r="710" spans="1:8" x14ac:dyDescent="0.2">
      <c r="A710" s="488"/>
      <c r="B710" s="465"/>
      <c r="C710" s="465"/>
      <c r="D710" s="483"/>
      <c r="E710" s="489"/>
      <c r="F710" s="473"/>
      <c r="G710" s="453"/>
      <c r="H710" s="473"/>
    </row>
    <row r="711" spans="1:8" x14ac:dyDescent="0.2">
      <c r="A711" s="488"/>
      <c r="B711" s="453"/>
      <c r="C711" s="453"/>
      <c r="D711" s="473"/>
      <c r="E711" s="489"/>
      <c r="F711" s="473"/>
      <c r="G711" s="453"/>
      <c r="H711" s="473"/>
    </row>
    <row r="712" spans="1:8" x14ac:dyDescent="0.2">
      <c r="A712" s="453"/>
      <c r="B712" s="453"/>
      <c r="C712" s="453"/>
      <c r="D712" s="453"/>
      <c r="E712" s="454"/>
      <c r="F712" s="453"/>
      <c r="G712" s="454" t="s">
        <v>605</v>
      </c>
      <c r="H712" s="486">
        <f>SUM(H707:H709)</f>
        <v>297500</v>
      </c>
    </row>
    <row r="713" spans="1:8" x14ac:dyDescent="0.2">
      <c r="A713" s="453"/>
      <c r="B713" s="453"/>
      <c r="C713" s="453"/>
      <c r="D713" s="453"/>
      <c r="E713" s="454"/>
      <c r="F713" s="453"/>
      <c r="G713" s="453"/>
      <c r="H713" s="453"/>
    </row>
    <row r="714" spans="1:8" x14ac:dyDescent="0.2">
      <c r="A714" s="490"/>
      <c r="B714" s="453"/>
      <c r="C714" s="453"/>
      <c r="D714" s="453"/>
      <c r="E714" s="491" t="s">
        <v>604</v>
      </c>
      <c r="F714" s="492"/>
      <c r="G714" s="492"/>
      <c r="H714" s="493">
        <f>H712+H703+H696+H684</f>
        <v>1323460</v>
      </c>
    </row>
    <row r="723" spans="1:8" ht="15.75" customHeight="1" x14ac:dyDescent="0.25">
      <c r="A723" s="448"/>
      <c r="B723" s="448"/>
      <c r="C723" s="1513"/>
      <c r="D723" s="1513"/>
      <c r="E723" s="1513"/>
      <c r="F723" s="449" t="s">
        <v>638</v>
      </c>
      <c r="G723" s="450"/>
      <c r="H723" s="451"/>
    </row>
    <row r="724" spans="1:8" ht="22.5" customHeight="1" x14ac:dyDescent="0.25">
      <c r="A724" s="448"/>
      <c r="B724" s="448"/>
      <c r="C724" s="1513"/>
      <c r="D724" s="1513"/>
      <c r="E724" s="1513"/>
      <c r="F724" s="1514" t="s">
        <v>637</v>
      </c>
      <c r="G724" s="1514"/>
      <c r="H724" s="1514"/>
    </row>
    <row r="725" spans="1:8" x14ac:dyDescent="0.2">
      <c r="A725" s="452"/>
      <c r="B725" s="452"/>
      <c r="C725" s="1513"/>
      <c r="D725" s="1513"/>
      <c r="E725" s="1513"/>
      <c r="F725" s="1514"/>
      <c r="G725" s="1514"/>
      <c r="H725" s="1514"/>
    </row>
    <row r="726" spans="1:8" x14ac:dyDescent="0.2">
      <c r="A726" s="444"/>
      <c r="B726" s="1515"/>
      <c r="C726" s="1516"/>
      <c r="D726" s="1516"/>
      <c r="E726" s="444"/>
      <c r="F726" s="453"/>
      <c r="G726" s="454"/>
      <c r="H726" s="455"/>
    </row>
    <row r="727" spans="1:8" x14ac:dyDescent="0.2">
      <c r="A727" s="389">
        <v>1</v>
      </c>
      <c r="B727" s="380" t="s">
        <v>599</v>
      </c>
      <c r="C727" s="418"/>
      <c r="D727" s="457"/>
      <c r="E727" s="454"/>
      <c r="F727" s="453"/>
      <c r="G727" s="454" t="s">
        <v>634</v>
      </c>
      <c r="H727" s="455" t="s">
        <v>666</v>
      </c>
    </row>
    <row r="728" spans="1:8" x14ac:dyDescent="0.2">
      <c r="A728" s="458" t="s">
        <v>41</v>
      </c>
      <c r="B728" s="1517" t="s">
        <v>674</v>
      </c>
      <c r="C728" s="1517"/>
      <c r="D728" s="1517"/>
      <c r="E728" s="1517"/>
      <c r="F728" s="459"/>
      <c r="G728" s="454"/>
      <c r="H728" s="455"/>
    </row>
    <row r="729" spans="1:8" x14ac:dyDescent="0.2">
      <c r="A729" s="458"/>
      <c r="B729" s="1517"/>
      <c r="C729" s="1517"/>
      <c r="D729" s="1517"/>
      <c r="E729" s="1517"/>
      <c r="F729" s="461"/>
      <c r="G729" s="454"/>
      <c r="H729" s="455"/>
    </row>
    <row r="730" spans="1:8" x14ac:dyDescent="0.2">
      <c r="A730" s="458"/>
      <c r="B730" s="459"/>
      <c r="C730" s="459"/>
      <c r="D730" s="459"/>
      <c r="E730" s="459"/>
      <c r="F730" s="459"/>
      <c r="G730" s="416"/>
      <c r="H730" s="416"/>
    </row>
    <row r="731" spans="1:8" x14ac:dyDescent="0.2">
      <c r="A731" s="462" t="s">
        <v>633</v>
      </c>
      <c r="B731" s="462"/>
      <c r="C731" s="453"/>
      <c r="D731" s="445"/>
      <c r="E731" s="445"/>
      <c r="F731" s="445"/>
      <c r="G731" s="445"/>
      <c r="H731" s="445"/>
    </row>
    <row r="732" spans="1:8" x14ac:dyDescent="0.2">
      <c r="A732" s="463" t="s">
        <v>622</v>
      </c>
      <c r="B732" s="453"/>
      <c r="C732" s="446" t="s">
        <v>1</v>
      </c>
      <c r="D732" s="446"/>
      <c r="E732" s="446" t="s">
        <v>632</v>
      </c>
      <c r="F732" s="446" t="s">
        <v>631</v>
      </c>
      <c r="G732" s="446" t="s">
        <v>618</v>
      </c>
      <c r="H732" s="446" t="s">
        <v>627</v>
      </c>
    </row>
    <row r="733" spans="1:8" x14ac:dyDescent="0.2">
      <c r="A733" s="464"/>
      <c r="B733" s="465" t="s">
        <v>648</v>
      </c>
      <c r="C733" s="453"/>
      <c r="D733" s="453"/>
      <c r="E733" s="455"/>
      <c r="F733" s="453"/>
      <c r="G733" s="466">
        <v>1200</v>
      </c>
      <c r="H733" s="466">
        <f>+G733</f>
        <v>1200</v>
      </c>
    </row>
    <row r="734" spans="1:8" x14ac:dyDescent="0.2">
      <c r="A734" s="464"/>
      <c r="B734" s="465"/>
      <c r="C734" s="453"/>
      <c r="D734" s="453"/>
      <c r="E734" s="455"/>
      <c r="F734" s="453"/>
      <c r="G734" s="466"/>
      <c r="H734" s="466"/>
    </row>
    <row r="735" spans="1:8" x14ac:dyDescent="0.2">
      <c r="A735" s="464"/>
      <c r="B735" s="465"/>
      <c r="C735" s="465"/>
      <c r="D735" s="453"/>
      <c r="E735" s="455"/>
      <c r="F735" s="453"/>
      <c r="G735" s="453"/>
      <c r="H735" s="453"/>
    </row>
    <row r="736" spans="1:8" x14ac:dyDescent="0.2">
      <c r="A736" s="453"/>
      <c r="B736" s="453"/>
      <c r="C736" s="453"/>
      <c r="D736" s="453"/>
      <c r="E736" s="454"/>
      <c r="F736" s="453"/>
      <c r="G736" s="454" t="s">
        <v>605</v>
      </c>
      <c r="H736" s="467">
        <f>ROUND(SUM(H733:H735),0)</f>
        <v>1200</v>
      </c>
    </row>
    <row r="737" spans="1:8" x14ac:dyDescent="0.2">
      <c r="A737" s="453"/>
      <c r="B737" s="453"/>
      <c r="C737" s="453"/>
      <c r="D737" s="453"/>
      <c r="E737" s="454"/>
      <c r="F737" s="453"/>
      <c r="G737" s="454"/>
      <c r="H737" s="467"/>
    </row>
    <row r="738" spans="1:8" x14ac:dyDescent="0.2">
      <c r="A738" s="462" t="s">
        <v>629</v>
      </c>
      <c r="B738" s="462"/>
      <c r="C738" s="462"/>
      <c r="D738" s="462"/>
      <c r="E738" s="454"/>
      <c r="F738" s="453"/>
      <c r="G738" s="453"/>
      <c r="H738" s="453"/>
    </row>
    <row r="739" spans="1:8" x14ac:dyDescent="0.2">
      <c r="A739" s="463" t="s">
        <v>622</v>
      </c>
      <c r="B739" s="453"/>
      <c r="C739" s="446" t="s">
        <v>1</v>
      </c>
      <c r="D739" s="446"/>
      <c r="E739" s="446" t="s">
        <v>15</v>
      </c>
      <c r="F739" s="446" t="s">
        <v>628</v>
      </c>
      <c r="G739" s="446" t="s">
        <v>618</v>
      </c>
      <c r="H739" s="446" t="s">
        <v>627</v>
      </c>
    </row>
    <row r="740" spans="1:8" x14ac:dyDescent="0.2">
      <c r="A740" s="464"/>
      <c r="B740" s="1524" t="s">
        <v>673</v>
      </c>
      <c r="C740" s="1524"/>
      <c r="D740" s="1524"/>
      <c r="E740" s="455" t="s">
        <v>662</v>
      </c>
      <c r="F740" s="468">
        <v>1</v>
      </c>
      <c r="G740" s="469">
        <v>11850</v>
      </c>
      <c r="H740" s="470">
        <f t="shared" ref="H740:H745" si="1">+ROUND(F740*G740,0)</f>
        <v>11850</v>
      </c>
    </row>
    <row r="741" spans="1:8" x14ac:dyDescent="0.2">
      <c r="A741" s="464"/>
      <c r="B741" s="1524" t="s">
        <v>672</v>
      </c>
      <c r="C741" s="1524"/>
      <c r="D741" s="1524"/>
      <c r="E741" s="455" t="s">
        <v>662</v>
      </c>
      <c r="F741" s="468">
        <v>4</v>
      </c>
      <c r="G741" s="469">
        <v>20100</v>
      </c>
      <c r="H741" s="470">
        <f t="shared" si="1"/>
        <v>80400</v>
      </c>
    </row>
    <row r="742" spans="1:8" x14ac:dyDescent="0.2">
      <c r="A742" s="464"/>
      <c r="B742" s="1524" t="s">
        <v>671</v>
      </c>
      <c r="C742" s="1524"/>
      <c r="D742" s="1524"/>
      <c r="E742" s="455" t="s">
        <v>2</v>
      </c>
      <c r="F742" s="468">
        <v>1</v>
      </c>
      <c r="G742" s="469">
        <v>22194</v>
      </c>
      <c r="H742" s="470">
        <f t="shared" si="1"/>
        <v>22194</v>
      </c>
    </row>
    <row r="743" spans="1:8" x14ac:dyDescent="0.2">
      <c r="A743" s="464"/>
      <c r="B743" s="1524" t="s">
        <v>660</v>
      </c>
      <c r="C743" s="1524"/>
      <c r="D743" s="1524"/>
      <c r="E743" s="455" t="s">
        <v>2</v>
      </c>
      <c r="F743" s="468">
        <v>0.1</v>
      </c>
      <c r="G743" s="469">
        <v>6800</v>
      </c>
      <c r="H743" s="470">
        <f t="shared" si="1"/>
        <v>680</v>
      </c>
    </row>
    <row r="744" spans="1:8" x14ac:dyDescent="0.2">
      <c r="A744" s="464"/>
      <c r="B744" s="1524"/>
      <c r="C744" s="1524"/>
      <c r="D744" s="1524"/>
      <c r="E744" s="455"/>
      <c r="F744" s="468"/>
      <c r="G744" s="469"/>
      <c r="H744" s="470">
        <f t="shared" si="1"/>
        <v>0</v>
      </c>
    </row>
    <row r="745" spans="1:8" x14ac:dyDescent="0.2">
      <c r="A745" s="464"/>
      <c r="B745" s="471"/>
      <c r="C745" s="472"/>
      <c r="D745" s="472"/>
      <c r="E745" s="455"/>
      <c r="F745" s="468"/>
      <c r="G745" s="469"/>
      <c r="H745" s="470">
        <f t="shared" si="1"/>
        <v>0</v>
      </c>
    </row>
    <row r="746" spans="1:8" x14ac:dyDescent="0.2">
      <c r="A746" s="464"/>
      <c r="B746" s="453"/>
      <c r="C746" s="453"/>
      <c r="D746" s="453"/>
      <c r="E746" s="454"/>
      <c r="F746" s="453"/>
      <c r="G746" s="473"/>
      <c r="H746" s="473"/>
    </row>
    <row r="747" spans="1:8" x14ac:dyDescent="0.2">
      <c r="A747" s="453"/>
      <c r="B747" s="453"/>
      <c r="C747" s="453"/>
      <c r="D747" s="453"/>
      <c r="E747" s="454"/>
      <c r="F747" s="453"/>
      <c r="G747" s="454" t="s">
        <v>605</v>
      </c>
      <c r="H747" s="462">
        <f>ROUND(SUM(H740:H746),0)</f>
        <v>115124</v>
      </c>
    </row>
    <row r="748" spans="1:8" x14ac:dyDescent="0.2">
      <c r="A748" s="453"/>
      <c r="B748" s="453"/>
      <c r="C748" s="453"/>
      <c r="D748" s="453"/>
      <c r="E748" s="454"/>
      <c r="F748" s="453"/>
      <c r="G748" s="454"/>
      <c r="H748" s="462"/>
    </row>
    <row r="749" spans="1:8" x14ac:dyDescent="0.2">
      <c r="A749" s="462" t="s">
        <v>623</v>
      </c>
      <c r="B749" s="453"/>
      <c r="C749" s="453"/>
      <c r="D749" s="453"/>
      <c r="E749" s="454"/>
      <c r="F749" s="453"/>
      <c r="G749" s="454"/>
      <c r="H749" s="462"/>
    </row>
    <row r="750" spans="1:8" x14ac:dyDescent="0.2">
      <c r="A750" s="463" t="s">
        <v>622</v>
      </c>
      <c r="B750" s="1521" t="s">
        <v>621</v>
      </c>
      <c r="C750" s="1521"/>
      <c r="D750" s="474" t="s">
        <v>620</v>
      </c>
      <c r="E750" s="475" t="s">
        <v>2</v>
      </c>
      <c r="F750" s="476" t="s">
        <v>619</v>
      </c>
      <c r="G750" s="477" t="s">
        <v>618</v>
      </c>
      <c r="H750" s="477" t="s">
        <v>600</v>
      </c>
    </row>
    <row r="751" spans="1:8" x14ac:dyDescent="0.2">
      <c r="A751" s="478"/>
      <c r="B751" s="465" t="s">
        <v>645</v>
      </c>
      <c r="D751" s="479">
        <v>0.01</v>
      </c>
      <c r="E751" s="455" t="s">
        <v>616</v>
      </c>
      <c r="F751" s="480">
        <v>1</v>
      </c>
      <c r="G751" s="469">
        <v>380000</v>
      </c>
      <c r="H751" s="473">
        <f>+ROUND(D751*G751,0)</f>
        <v>3800</v>
      </c>
    </row>
    <row r="752" spans="1:8" x14ac:dyDescent="0.2">
      <c r="A752" s="478"/>
      <c r="B752" s="465"/>
      <c r="D752" s="481"/>
      <c r="E752" s="455"/>
      <c r="F752" s="482"/>
      <c r="G752" s="483"/>
      <c r="H752" s="470"/>
    </row>
    <row r="753" spans="1:8" x14ac:dyDescent="0.2">
      <c r="A753" s="478"/>
      <c r="E753" s="484"/>
      <c r="F753" s="484"/>
      <c r="G753" s="473"/>
      <c r="H753" s="470"/>
    </row>
    <row r="754" spans="1:8" x14ac:dyDescent="0.2">
      <c r="E754" s="485"/>
      <c r="F754" s="484"/>
      <c r="G754" s="454" t="s">
        <v>605</v>
      </c>
      <c r="H754" s="486">
        <f>ROUND(SUM(H751:H753),0)</f>
        <v>3800</v>
      </c>
    </row>
    <row r="755" spans="1:8" x14ac:dyDescent="0.2">
      <c r="E755" s="485"/>
      <c r="F755" s="484"/>
      <c r="G755" s="454"/>
      <c r="H755" s="486"/>
    </row>
    <row r="756" spans="1:8" x14ac:dyDescent="0.2">
      <c r="A756" s="462" t="s">
        <v>615</v>
      </c>
      <c r="B756" s="462"/>
      <c r="C756" s="462"/>
      <c r="D756" s="453"/>
      <c r="E756" s="454"/>
      <c r="F756" s="453"/>
      <c r="G756" s="453"/>
      <c r="H756" s="453"/>
    </row>
    <row r="757" spans="1:8" x14ac:dyDescent="0.2">
      <c r="A757" s="487" t="s">
        <v>421</v>
      </c>
      <c r="B757" s="1512" t="s">
        <v>614</v>
      </c>
      <c r="C757" s="1512"/>
      <c r="D757" s="446" t="s">
        <v>613</v>
      </c>
      <c r="E757" s="446" t="s">
        <v>612</v>
      </c>
      <c r="F757" s="446" t="s">
        <v>611</v>
      </c>
      <c r="G757" s="446" t="s">
        <v>610</v>
      </c>
      <c r="H757" s="446" t="s">
        <v>609</v>
      </c>
    </row>
    <row r="758" spans="1:8" x14ac:dyDescent="0.2">
      <c r="A758" s="488">
        <v>1</v>
      </c>
      <c r="B758" s="465" t="s">
        <v>608</v>
      </c>
      <c r="C758" s="465"/>
      <c r="D758" s="483">
        <v>80000</v>
      </c>
      <c r="E758" s="489">
        <f>D758*75%</f>
        <v>60000</v>
      </c>
      <c r="F758" s="473">
        <f>(D758+E758)*A758</f>
        <v>140000</v>
      </c>
      <c r="G758" s="453">
        <v>80</v>
      </c>
      <c r="H758" s="473">
        <f>+ROUND(F758/G758,0)</f>
        <v>1750</v>
      </c>
    </row>
    <row r="759" spans="1:8" x14ac:dyDescent="0.2">
      <c r="A759" s="488">
        <v>1</v>
      </c>
      <c r="B759" s="447" t="s">
        <v>607</v>
      </c>
      <c r="C759" s="465"/>
      <c r="D759" s="483">
        <v>40000</v>
      </c>
      <c r="E759" s="489">
        <f>D759*75%</f>
        <v>30000</v>
      </c>
      <c r="F759" s="473">
        <f>(D759+E759)*A759</f>
        <v>70000</v>
      </c>
      <c r="G759" s="453">
        <v>80</v>
      </c>
      <c r="H759" s="473">
        <f>+ROUND(F759/G759,0)</f>
        <v>875</v>
      </c>
    </row>
    <row r="760" spans="1:8" x14ac:dyDescent="0.2">
      <c r="A760" s="488">
        <v>2</v>
      </c>
      <c r="B760" s="465" t="s">
        <v>606</v>
      </c>
      <c r="C760" s="465"/>
      <c r="D760" s="483">
        <v>25000</v>
      </c>
      <c r="E760" s="489">
        <f>D760*75%</f>
        <v>18750</v>
      </c>
      <c r="F760" s="473">
        <f>(D760+E760)*A760</f>
        <v>87500</v>
      </c>
      <c r="G760" s="453">
        <v>80</v>
      </c>
      <c r="H760" s="473">
        <f>+ROUND(F760/G760,0)</f>
        <v>1094</v>
      </c>
    </row>
    <row r="761" spans="1:8" x14ac:dyDescent="0.2">
      <c r="A761" s="488"/>
      <c r="B761" s="465"/>
      <c r="C761" s="465"/>
      <c r="D761" s="483"/>
      <c r="E761" s="489"/>
      <c r="F761" s="473"/>
      <c r="G761" s="453"/>
      <c r="H761" s="473"/>
    </row>
    <row r="762" spans="1:8" x14ac:dyDescent="0.2">
      <c r="A762" s="488"/>
      <c r="B762" s="453"/>
      <c r="C762" s="453"/>
      <c r="D762" s="473"/>
      <c r="E762" s="489"/>
      <c r="F762" s="473"/>
      <c r="G762" s="453"/>
      <c r="H762" s="473"/>
    </row>
    <row r="763" spans="1:8" x14ac:dyDescent="0.2">
      <c r="A763" s="453"/>
      <c r="B763" s="453"/>
      <c r="C763" s="453"/>
      <c r="D763" s="453"/>
      <c r="E763" s="454"/>
      <c r="F763" s="453"/>
      <c r="G763" s="454" t="s">
        <v>605</v>
      </c>
      <c r="H763" s="486">
        <f>ROUND(SUM(H758:H762),0)</f>
        <v>3719</v>
      </c>
    </row>
    <row r="764" spans="1:8" x14ac:dyDescent="0.2">
      <c r="A764" s="453"/>
      <c r="B764" s="453"/>
      <c r="C764" s="453"/>
      <c r="D764" s="453"/>
      <c r="E764" s="454"/>
      <c r="F764" s="453"/>
      <c r="G764" s="453"/>
      <c r="H764" s="453"/>
    </row>
    <row r="765" spans="1:8" x14ac:dyDescent="0.2">
      <c r="A765" s="490"/>
      <c r="B765" s="453"/>
      <c r="C765" s="453"/>
      <c r="D765" s="453"/>
      <c r="E765" s="491" t="s">
        <v>604</v>
      </c>
      <c r="F765" s="492"/>
      <c r="G765" s="492"/>
      <c r="H765" s="493">
        <f>+ROUND(H736+H747+H754+H763,0)</f>
        <v>123843</v>
      </c>
    </row>
    <row r="775" spans="1:8" ht="15.75" customHeight="1" x14ac:dyDescent="0.25">
      <c r="A775" s="448"/>
      <c r="B775" s="448"/>
      <c r="C775" s="1513"/>
      <c r="D775" s="1513"/>
      <c r="E775" s="1513"/>
      <c r="F775" s="449" t="s">
        <v>638</v>
      </c>
      <c r="G775" s="450"/>
      <c r="H775" s="451"/>
    </row>
    <row r="776" spans="1:8" ht="13.5" customHeight="1" x14ac:dyDescent="0.25">
      <c r="A776" s="448"/>
      <c r="B776" s="448"/>
      <c r="C776" s="1513"/>
      <c r="D776" s="1513"/>
      <c r="E776" s="1513"/>
      <c r="F776" s="1514" t="s">
        <v>637</v>
      </c>
      <c r="G776" s="1514"/>
      <c r="H776" s="1514"/>
    </row>
    <row r="777" spans="1:8" ht="23.25" customHeight="1" x14ac:dyDescent="0.2">
      <c r="A777" s="452"/>
      <c r="B777" s="452"/>
      <c r="C777" s="1513"/>
      <c r="D777" s="1513"/>
      <c r="E777" s="1513"/>
      <c r="F777" s="1514"/>
      <c r="G777" s="1514"/>
      <c r="H777" s="1514"/>
    </row>
    <row r="778" spans="1:8" x14ac:dyDescent="0.2">
      <c r="A778" s="444"/>
      <c r="B778" s="1515"/>
      <c r="C778" s="1516"/>
      <c r="D778" s="1516"/>
      <c r="E778" s="444"/>
      <c r="F778" s="453"/>
      <c r="G778" s="454"/>
      <c r="H778" s="455"/>
    </row>
    <row r="779" spans="1:8" x14ac:dyDescent="0.2">
      <c r="A779" s="389">
        <v>1</v>
      </c>
      <c r="B779" s="380" t="s">
        <v>599</v>
      </c>
      <c r="C779" s="418"/>
      <c r="D779" s="457"/>
      <c r="E779" s="454"/>
      <c r="F779" s="453"/>
      <c r="G779" s="454" t="s">
        <v>634</v>
      </c>
      <c r="H779" s="455" t="s">
        <v>666</v>
      </c>
    </row>
    <row r="780" spans="1:8" x14ac:dyDescent="0.2">
      <c r="A780" s="458" t="s">
        <v>42</v>
      </c>
      <c r="B780" s="1517" t="s">
        <v>581</v>
      </c>
      <c r="C780" s="1517"/>
      <c r="D780" s="1517"/>
      <c r="E780" s="1517"/>
      <c r="F780" s="459"/>
      <c r="G780" s="454"/>
      <c r="H780" s="455"/>
    </row>
    <row r="781" spans="1:8" x14ac:dyDescent="0.2">
      <c r="A781" s="458"/>
      <c r="B781" s="1517"/>
      <c r="C781" s="1517"/>
      <c r="D781" s="1517"/>
      <c r="E781" s="1517"/>
      <c r="F781" s="461"/>
      <c r="G781" s="454"/>
      <c r="H781" s="455"/>
    </row>
    <row r="782" spans="1:8" x14ac:dyDescent="0.2">
      <c r="A782" s="458"/>
      <c r="B782" s="459"/>
      <c r="C782" s="459"/>
      <c r="D782" s="459"/>
      <c r="E782" s="459"/>
      <c r="F782" s="459"/>
      <c r="G782" s="416"/>
      <c r="H782" s="416"/>
    </row>
    <row r="783" spans="1:8" x14ac:dyDescent="0.2">
      <c r="A783" s="462" t="s">
        <v>633</v>
      </c>
      <c r="B783" s="462"/>
      <c r="C783" s="453"/>
      <c r="D783" s="445"/>
      <c r="E783" s="445"/>
      <c r="F783" s="445"/>
      <c r="G783" s="445"/>
      <c r="H783" s="445"/>
    </row>
    <row r="784" spans="1:8" x14ac:dyDescent="0.2">
      <c r="A784" s="463" t="s">
        <v>622</v>
      </c>
      <c r="B784" s="453"/>
      <c r="C784" s="446" t="s">
        <v>1</v>
      </c>
      <c r="D784" s="446"/>
      <c r="E784" s="446" t="s">
        <v>632</v>
      </c>
      <c r="F784" s="446" t="s">
        <v>631</v>
      </c>
      <c r="G784" s="446" t="s">
        <v>618</v>
      </c>
      <c r="H784" s="446" t="s">
        <v>627</v>
      </c>
    </row>
    <row r="785" spans="1:8" x14ac:dyDescent="0.2">
      <c r="A785" s="464"/>
      <c r="B785" s="465" t="s">
        <v>648</v>
      </c>
      <c r="C785" s="453"/>
      <c r="D785" s="453"/>
      <c r="E785" s="455"/>
      <c r="F785" s="453"/>
      <c r="G785" s="466">
        <v>1200</v>
      </c>
      <c r="H785" s="466">
        <f>+G785</f>
        <v>1200</v>
      </c>
    </row>
    <row r="786" spans="1:8" x14ac:dyDescent="0.2">
      <c r="A786" s="464"/>
      <c r="B786" s="465"/>
      <c r="C786" s="453"/>
      <c r="D786" s="453"/>
      <c r="E786" s="455"/>
      <c r="F786" s="453"/>
      <c r="G786" s="466"/>
      <c r="H786" s="466"/>
    </row>
    <row r="787" spans="1:8" x14ac:dyDescent="0.2">
      <c r="A787" s="464"/>
      <c r="B787" s="465"/>
      <c r="C787" s="465"/>
      <c r="D787" s="453"/>
      <c r="E787" s="455"/>
      <c r="F787" s="453"/>
      <c r="G787" s="453"/>
      <c r="H787" s="453"/>
    </row>
    <row r="788" spans="1:8" x14ac:dyDescent="0.2">
      <c r="A788" s="453"/>
      <c r="B788" s="453"/>
      <c r="C788" s="453"/>
      <c r="D788" s="453"/>
      <c r="E788" s="454"/>
      <c r="F788" s="453"/>
      <c r="G788" s="454" t="s">
        <v>605</v>
      </c>
      <c r="H788" s="467">
        <f>ROUND(SUM(H785:H787),0)</f>
        <v>1200</v>
      </c>
    </row>
    <row r="789" spans="1:8" x14ac:dyDescent="0.2">
      <c r="A789" s="453"/>
      <c r="B789" s="453"/>
      <c r="C789" s="453"/>
      <c r="D789" s="453"/>
      <c r="E789" s="454"/>
      <c r="F789" s="453"/>
      <c r="G789" s="454"/>
      <c r="H789" s="467"/>
    </row>
    <row r="790" spans="1:8" x14ac:dyDescent="0.2">
      <c r="A790" s="462" t="s">
        <v>629</v>
      </c>
      <c r="B790" s="462"/>
      <c r="C790" s="462"/>
      <c r="D790" s="462"/>
      <c r="E790" s="454"/>
      <c r="F790" s="453"/>
      <c r="G790" s="453"/>
      <c r="H790" s="453"/>
    </row>
    <row r="791" spans="1:8" x14ac:dyDescent="0.2">
      <c r="A791" s="463" t="s">
        <v>622</v>
      </c>
      <c r="B791" s="453"/>
      <c r="C791" s="446" t="s">
        <v>1</v>
      </c>
      <c r="D791" s="446"/>
      <c r="E791" s="446" t="s">
        <v>15</v>
      </c>
      <c r="F791" s="446" t="s">
        <v>628</v>
      </c>
      <c r="G791" s="446" t="s">
        <v>618</v>
      </c>
      <c r="H791" s="446" t="s">
        <v>627</v>
      </c>
    </row>
    <row r="792" spans="1:8" ht="29.25" customHeight="1" x14ac:dyDescent="0.2">
      <c r="A792" s="464"/>
      <c r="B792" s="1523" t="s">
        <v>670</v>
      </c>
      <c r="C792" s="1523"/>
      <c r="D792" s="1523"/>
      <c r="E792" s="455" t="s">
        <v>15</v>
      </c>
      <c r="F792" s="498">
        <v>1</v>
      </c>
      <c r="G792" s="469">
        <v>2650000</v>
      </c>
      <c r="H792" s="470">
        <f>+ROUND(F792*G792,0)</f>
        <v>2650000</v>
      </c>
    </row>
    <row r="793" spans="1:8" ht="12.75" customHeight="1" x14ac:dyDescent="0.2">
      <c r="A793" s="464"/>
      <c r="B793" s="1523" t="s">
        <v>669</v>
      </c>
      <c r="C793" s="1523"/>
      <c r="D793" s="1523"/>
      <c r="E793" s="455" t="s">
        <v>15</v>
      </c>
      <c r="F793" s="498">
        <v>1</v>
      </c>
      <c r="G793" s="469">
        <v>268000</v>
      </c>
      <c r="H793" s="470">
        <f>+ROUND(F793*G793,0)</f>
        <v>268000</v>
      </c>
    </row>
    <row r="794" spans="1:8" x14ac:dyDescent="0.2">
      <c r="A794" s="464"/>
      <c r="B794" s="1523" t="s">
        <v>668</v>
      </c>
      <c r="C794" s="1523"/>
      <c r="D794" s="1523"/>
      <c r="E794" s="455" t="s">
        <v>15</v>
      </c>
      <c r="F794" s="498">
        <v>5</v>
      </c>
      <c r="G794" s="469">
        <v>167000</v>
      </c>
      <c r="H794" s="470">
        <f>+ROUND(F794*G794,0)</f>
        <v>835000</v>
      </c>
    </row>
    <row r="795" spans="1:8" x14ac:dyDescent="0.2">
      <c r="A795" s="464"/>
      <c r="B795" s="1523" t="s">
        <v>667</v>
      </c>
      <c r="C795" s="1523"/>
      <c r="D795" s="1523"/>
      <c r="E795" s="455" t="s">
        <v>15</v>
      </c>
      <c r="F795" s="499">
        <v>1</v>
      </c>
      <c r="G795" s="469">
        <v>183000</v>
      </c>
      <c r="H795" s="470">
        <f>+ROUND(F795*G795,0)</f>
        <v>183000</v>
      </c>
    </row>
    <row r="796" spans="1:8" x14ac:dyDescent="0.2">
      <c r="A796" s="464"/>
      <c r="B796" s="471"/>
      <c r="C796" s="472"/>
      <c r="D796" s="472"/>
      <c r="E796" s="455"/>
      <c r="F796" s="468"/>
      <c r="G796" s="469"/>
      <c r="H796" s="470">
        <f>+ROUND(F796*G796,0)</f>
        <v>0</v>
      </c>
    </row>
    <row r="797" spans="1:8" x14ac:dyDescent="0.2">
      <c r="A797" s="464"/>
      <c r="B797" s="453"/>
      <c r="C797" s="453"/>
      <c r="D797" s="453"/>
      <c r="E797" s="454"/>
      <c r="F797" s="453"/>
      <c r="G797" s="473"/>
      <c r="H797" s="473"/>
    </row>
    <row r="798" spans="1:8" x14ac:dyDescent="0.2">
      <c r="A798" s="453"/>
      <c r="B798" s="453"/>
      <c r="C798" s="453"/>
      <c r="D798" s="453"/>
      <c r="E798" s="454"/>
      <c r="F798" s="453"/>
      <c r="G798" s="454" t="s">
        <v>605</v>
      </c>
      <c r="H798" s="462">
        <f>ROUND(SUM(H792:H797),0)</f>
        <v>3936000</v>
      </c>
    </row>
    <row r="799" spans="1:8" x14ac:dyDescent="0.2">
      <c r="A799" s="453"/>
      <c r="B799" s="453"/>
      <c r="C799" s="453"/>
      <c r="D799" s="453"/>
      <c r="E799" s="454"/>
      <c r="F799" s="453"/>
      <c r="G799" s="454"/>
      <c r="H799" s="462"/>
    </row>
    <row r="800" spans="1:8" x14ac:dyDescent="0.2">
      <c r="A800" s="462" t="s">
        <v>623</v>
      </c>
      <c r="B800" s="453"/>
      <c r="C800" s="453"/>
      <c r="D800" s="453"/>
      <c r="E800" s="454"/>
      <c r="F800" s="453"/>
      <c r="G800" s="454"/>
      <c r="H800" s="462"/>
    </row>
    <row r="801" spans="1:8" x14ac:dyDescent="0.2">
      <c r="A801" s="463" t="s">
        <v>622</v>
      </c>
      <c r="B801" s="1521" t="s">
        <v>621</v>
      </c>
      <c r="C801" s="1521"/>
      <c r="D801" s="474" t="s">
        <v>620</v>
      </c>
      <c r="E801" s="475" t="s">
        <v>2</v>
      </c>
      <c r="F801" s="476" t="s">
        <v>619</v>
      </c>
      <c r="G801" s="477" t="s">
        <v>618</v>
      </c>
      <c r="H801" s="477" t="s">
        <v>600</v>
      </c>
    </row>
    <row r="802" spans="1:8" x14ac:dyDescent="0.2">
      <c r="A802" s="478"/>
      <c r="B802" s="465" t="s">
        <v>645</v>
      </c>
      <c r="D802" s="479">
        <v>2.5000000000000001E-2</v>
      </c>
      <c r="E802" s="455" t="s">
        <v>616</v>
      </c>
      <c r="F802" s="480">
        <v>1</v>
      </c>
      <c r="G802" s="469">
        <v>380000</v>
      </c>
      <c r="H802" s="473">
        <f>+ROUND(D802*G802,0)</f>
        <v>9500</v>
      </c>
    </row>
    <row r="803" spans="1:8" x14ac:dyDescent="0.2">
      <c r="A803" s="478"/>
      <c r="B803" s="465"/>
      <c r="D803" s="481"/>
      <c r="E803" s="455"/>
      <c r="F803" s="482"/>
      <c r="G803" s="483"/>
      <c r="H803" s="470"/>
    </row>
    <row r="804" spans="1:8" x14ac:dyDescent="0.2">
      <c r="A804" s="478"/>
      <c r="E804" s="484"/>
      <c r="F804" s="484"/>
      <c r="G804" s="473"/>
      <c r="H804" s="470"/>
    </row>
    <row r="805" spans="1:8" x14ac:dyDescent="0.2">
      <c r="E805" s="485"/>
      <c r="F805" s="484"/>
      <c r="G805" s="454" t="s">
        <v>605</v>
      </c>
      <c r="H805" s="486">
        <f>ROUND(SUM(H802:H804),0)</f>
        <v>9500</v>
      </c>
    </row>
    <row r="806" spans="1:8" x14ac:dyDescent="0.2">
      <c r="E806" s="485"/>
      <c r="F806" s="484"/>
      <c r="G806" s="454"/>
      <c r="H806" s="486"/>
    </row>
    <row r="807" spans="1:8" x14ac:dyDescent="0.2">
      <c r="A807" s="462" t="s">
        <v>615</v>
      </c>
      <c r="B807" s="462"/>
      <c r="C807" s="462"/>
      <c r="D807" s="453"/>
      <c r="E807" s="454"/>
      <c r="F807" s="453"/>
      <c r="G807" s="453"/>
      <c r="H807" s="453"/>
    </row>
    <row r="808" spans="1:8" x14ac:dyDescent="0.2">
      <c r="A808" s="487" t="s">
        <v>421</v>
      </c>
      <c r="B808" s="1512" t="s">
        <v>614</v>
      </c>
      <c r="C808" s="1512"/>
      <c r="D808" s="446" t="s">
        <v>613</v>
      </c>
      <c r="E808" s="446" t="s">
        <v>612</v>
      </c>
      <c r="F808" s="446" t="s">
        <v>611</v>
      </c>
      <c r="G808" s="446" t="s">
        <v>610</v>
      </c>
      <c r="H808" s="446" t="s">
        <v>609</v>
      </c>
    </row>
    <row r="809" spans="1:8" x14ac:dyDescent="0.2">
      <c r="A809" s="488">
        <v>1</v>
      </c>
      <c r="B809" s="465" t="s">
        <v>608</v>
      </c>
      <c r="C809" s="465"/>
      <c r="D809" s="483">
        <v>80000</v>
      </c>
      <c r="E809" s="489">
        <f>D809*75%</f>
        <v>60000</v>
      </c>
      <c r="F809" s="473">
        <f>(D809+E809)*A809</f>
        <v>140000</v>
      </c>
      <c r="G809" s="453">
        <v>10</v>
      </c>
      <c r="H809" s="473">
        <f>+ROUND(F809/G809,0)</f>
        <v>14000</v>
      </c>
    </row>
    <row r="810" spans="1:8" x14ac:dyDescent="0.2">
      <c r="A810" s="488">
        <v>1</v>
      </c>
      <c r="B810" s="447" t="s">
        <v>607</v>
      </c>
      <c r="C810" s="465"/>
      <c r="D810" s="483">
        <v>40000</v>
      </c>
      <c r="E810" s="489">
        <f>D810*75%</f>
        <v>30000</v>
      </c>
      <c r="F810" s="473">
        <f>(D810+E810)*A810</f>
        <v>70000</v>
      </c>
      <c r="G810" s="453">
        <v>10</v>
      </c>
      <c r="H810" s="473">
        <f>+ROUND(F810/G810,0)</f>
        <v>7000</v>
      </c>
    </row>
    <row r="811" spans="1:8" x14ac:dyDescent="0.2">
      <c r="A811" s="488">
        <v>2</v>
      </c>
      <c r="B811" s="465" t="s">
        <v>606</v>
      </c>
      <c r="C811" s="465"/>
      <c r="D811" s="483">
        <v>25000</v>
      </c>
      <c r="E811" s="489">
        <f>D811*75%</f>
        <v>18750</v>
      </c>
      <c r="F811" s="473">
        <f>(D811+E811)*A811</f>
        <v>87500</v>
      </c>
      <c r="G811" s="453">
        <v>10</v>
      </c>
      <c r="H811" s="473">
        <f>+ROUND(F811/G811,0)</f>
        <v>8750</v>
      </c>
    </row>
    <row r="812" spans="1:8" x14ac:dyDescent="0.2">
      <c r="A812" s="488"/>
      <c r="B812" s="465"/>
      <c r="C812" s="465"/>
      <c r="D812" s="483"/>
      <c r="E812" s="489"/>
      <c r="F812" s="473"/>
      <c r="G812" s="453"/>
      <c r="H812" s="473"/>
    </row>
    <row r="813" spans="1:8" x14ac:dyDescent="0.2">
      <c r="A813" s="488"/>
      <c r="B813" s="453"/>
      <c r="C813" s="453"/>
      <c r="D813" s="473"/>
      <c r="E813" s="489"/>
      <c r="F813" s="473"/>
      <c r="G813" s="453"/>
      <c r="H813" s="473"/>
    </row>
    <row r="814" spans="1:8" x14ac:dyDescent="0.2">
      <c r="A814" s="453"/>
      <c r="B814" s="453"/>
      <c r="C814" s="453"/>
      <c r="D814" s="453"/>
      <c r="E814" s="454"/>
      <c r="F814" s="453"/>
      <c r="G814" s="454" t="s">
        <v>605</v>
      </c>
      <c r="H814" s="486">
        <f>ROUND(SUM(H809:H813),0)</f>
        <v>29750</v>
      </c>
    </row>
    <row r="815" spans="1:8" x14ac:dyDescent="0.2">
      <c r="A815" s="453"/>
      <c r="B815" s="453"/>
      <c r="C815" s="453"/>
      <c r="D815" s="453"/>
      <c r="E815" s="454"/>
      <c r="F815" s="453"/>
      <c r="G815" s="453"/>
      <c r="H815" s="453"/>
    </row>
    <row r="816" spans="1:8" x14ac:dyDescent="0.2">
      <c r="A816" s="490"/>
      <c r="B816" s="453"/>
      <c r="C816" s="453"/>
      <c r="D816" s="453"/>
      <c r="E816" s="491" t="s">
        <v>604</v>
      </c>
      <c r="F816" s="492"/>
      <c r="G816" s="492"/>
      <c r="H816" s="493">
        <f>+ROUND(H788+H798+H805+H814,0)</f>
        <v>3976450</v>
      </c>
    </row>
    <row r="823" spans="1:8" ht="15.75" customHeight="1" x14ac:dyDescent="0.25">
      <c r="A823" s="448"/>
      <c r="B823" s="448"/>
      <c r="C823" s="1513"/>
      <c r="D823" s="1513"/>
      <c r="E823" s="1513"/>
      <c r="F823" s="449" t="s">
        <v>638</v>
      </c>
      <c r="G823" s="450"/>
      <c r="H823" s="451"/>
    </row>
    <row r="824" spans="1:8" ht="15.75" customHeight="1" x14ac:dyDescent="0.25">
      <c r="A824" s="448"/>
      <c r="B824" s="448"/>
      <c r="C824" s="1513"/>
      <c r="D824" s="1513"/>
      <c r="E824" s="1513"/>
      <c r="F824" s="1514" t="s">
        <v>637</v>
      </c>
      <c r="G824" s="1514"/>
      <c r="H824" s="1514"/>
    </row>
    <row r="825" spans="1:8" x14ac:dyDescent="0.2">
      <c r="A825" s="452"/>
      <c r="B825" s="452"/>
      <c r="C825" s="1513"/>
      <c r="D825" s="1513"/>
      <c r="E825" s="1513"/>
      <c r="F825" s="1514"/>
      <c r="G825" s="1514"/>
      <c r="H825" s="1514"/>
    </row>
    <row r="826" spans="1:8" x14ac:dyDescent="0.2">
      <c r="A826" s="444"/>
      <c r="B826" s="1515"/>
      <c r="C826" s="1516"/>
      <c r="D826" s="1516"/>
      <c r="E826" s="444"/>
      <c r="F826" s="453"/>
      <c r="G826" s="454"/>
      <c r="H826" s="455"/>
    </row>
    <row r="827" spans="1:8" x14ac:dyDescent="0.2">
      <c r="A827" s="389">
        <v>1</v>
      </c>
      <c r="B827" s="380" t="s">
        <v>599</v>
      </c>
      <c r="C827" s="418"/>
      <c r="D827" s="457"/>
      <c r="E827" s="454"/>
      <c r="F827" s="453"/>
      <c r="G827" s="454" t="s">
        <v>634</v>
      </c>
      <c r="H827" s="455" t="s">
        <v>666</v>
      </c>
    </row>
    <row r="828" spans="1:8" ht="12.75" customHeight="1" x14ac:dyDescent="0.2">
      <c r="A828" s="458">
        <v>1.18</v>
      </c>
      <c r="B828" s="1517" t="s">
        <v>665</v>
      </c>
      <c r="C828" s="1517"/>
      <c r="D828" s="1517"/>
      <c r="E828" s="1517"/>
      <c r="F828" s="459"/>
      <c r="G828" s="454"/>
      <c r="H828" s="455"/>
    </row>
    <row r="829" spans="1:8" x14ac:dyDescent="0.2">
      <c r="A829" s="458"/>
      <c r="B829" s="1517"/>
      <c r="C829" s="1517"/>
      <c r="D829" s="1517"/>
      <c r="E829" s="1517"/>
      <c r="F829" s="461"/>
      <c r="G829" s="454"/>
      <c r="H829" s="455"/>
    </row>
    <row r="830" spans="1:8" x14ac:dyDescent="0.2">
      <c r="A830" s="458"/>
      <c r="B830" s="459"/>
      <c r="C830" s="459"/>
      <c r="D830" s="459"/>
      <c r="E830" s="459"/>
      <c r="F830" s="459"/>
      <c r="G830" s="416"/>
      <c r="H830" s="416"/>
    </row>
    <row r="831" spans="1:8" x14ac:dyDescent="0.2">
      <c r="A831" s="462" t="s">
        <v>633</v>
      </c>
      <c r="B831" s="462"/>
      <c r="C831" s="453"/>
      <c r="D831" s="445"/>
      <c r="E831" s="445"/>
      <c r="F831" s="445"/>
      <c r="G831" s="445"/>
      <c r="H831" s="445"/>
    </row>
    <row r="832" spans="1:8" x14ac:dyDescent="0.2">
      <c r="A832" s="463" t="s">
        <v>622</v>
      </c>
      <c r="B832" s="453"/>
      <c r="C832" s="446" t="s">
        <v>1</v>
      </c>
      <c r="D832" s="446"/>
      <c r="E832" s="446" t="s">
        <v>632</v>
      </c>
      <c r="F832" s="446" t="s">
        <v>631</v>
      </c>
      <c r="G832" s="446" t="s">
        <v>618</v>
      </c>
      <c r="H832" s="446" t="s">
        <v>627</v>
      </c>
    </row>
    <row r="833" spans="1:8" x14ac:dyDescent="0.2">
      <c r="A833" s="464"/>
      <c r="B833" s="465" t="s">
        <v>648</v>
      </c>
      <c r="C833" s="453"/>
      <c r="D833" s="453"/>
      <c r="E833" s="455"/>
      <c r="F833" s="453"/>
      <c r="G833" s="466">
        <v>1200</v>
      </c>
      <c r="H833" s="466">
        <f>+G833</f>
        <v>1200</v>
      </c>
    </row>
    <row r="834" spans="1:8" x14ac:dyDescent="0.2">
      <c r="A834" s="464"/>
      <c r="B834" s="465"/>
      <c r="C834" s="453"/>
      <c r="D834" s="453"/>
      <c r="E834" s="455"/>
      <c r="F834" s="453"/>
      <c r="G834" s="466"/>
      <c r="H834" s="466"/>
    </row>
    <row r="835" spans="1:8" x14ac:dyDescent="0.2">
      <c r="A835" s="464"/>
      <c r="B835" s="465"/>
      <c r="C835" s="465"/>
      <c r="D835" s="453"/>
      <c r="E835" s="455"/>
      <c r="F835" s="453"/>
      <c r="G835" s="453"/>
      <c r="H835" s="453"/>
    </row>
    <row r="836" spans="1:8" x14ac:dyDescent="0.2">
      <c r="A836" s="453"/>
      <c r="B836" s="453"/>
      <c r="C836" s="453"/>
      <c r="D836" s="453"/>
      <c r="E836" s="454"/>
      <c r="F836" s="453"/>
      <c r="G836" s="454" t="s">
        <v>605</v>
      </c>
      <c r="H836" s="467">
        <f>ROUND(SUM(H833:H835),0)</f>
        <v>1200</v>
      </c>
    </row>
    <row r="837" spans="1:8" x14ac:dyDescent="0.2">
      <c r="A837" s="453"/>
      <c r="B837" s="453"/>
      <c r="C837" s="453"/>
      <c r="D837" s="453"/>
      <c r="E837" s="454"/>
      <c r="F837" s="453"/>
      <c r="G837" s="454"/>
      <c r="H837" s="467"/>
    </row>
    <row r="838" spans="1:8" x14ac:dyDescent="0.2">
      <c r="A838" s="462" t="s">
        <v>629</v>
      </c>
      <c r="B838" s="462"/>
      <c r="C838" s="462"/>
      <c r="D838" s="462"/>
      <c r="E838" s="454"/>
      <c r="F838" s="453"/>
      <c r="G838" s="453"/>
      <c r="H838" s="453"/>
    </row>
    <row r="839" spans="1:8" x14ac:dyDescent="0.2">
      <c r="A839" s="463" t="s">
        <v>622</v>
      </c>
      <c r="B839" s="453"/>
      <c r="C839" s="446" t="s">
        <v>1</v>
      </c>
      <c r="D839" s="446"/>
      <c r="E839" s="446" t="s">
        <v>15</v>
      </c>
      <c r="F839" s="446" t="s">
        <v>628</v>
      </c>
      <c r="G839" s="446" t="s">
        <v>618</v>
      </c>
      <c r="H839" s="446" t="s">
        <v>627</v>
      </c>
    </row>
    <row r="840" spans="1:8" ht="13.5" customHeight="1" x14ac:dyDescent="0.2">
      <c r="A840" s="464"/>
      <c r="B840" s="1524" t="s">
        <v>664</v>
      </c>
      <c r="C840" s="1524"/>
      <c r="D840" s="1524"/>
      <c r="E840" s="455" t="s">
        <v>662</v>
      </c>
      <c r="F840" s="468">
        <v>1</v>
      </c>
      <c r="G840" s="469">
        <v>5800</v>
      </c>
      <c r="H840" s="470">
        <f t="shared" ref="H840:H845" si="2">+ROUND(F840*G840,0)</f>
        <v>5800</v>
      </c>
    </row>
    <row r="841" spans="1:8" ht="12.75" customHeight="1" x14ac:dyDescent="0.2">
      <c r="A841" s="464"/>
      <c r="B841" s="1524" t="s">
        <v>663</v>
      </c>
      <c r="C841" s="1524"/>
      <c r="D841" s="1524"/>
      <c r="E841" s="455" t="s">
        <v>662</v>
      </c>
      <c r="F841" s="468">
        <v>4</v>
      </c>
      <c r="G841" s="469">
        <v>9100</v>
      </c>
      <c r="H841" s="470">
        <f t="shared" si="2"/>
        <v>36400</v>
      </c>
    </row>
    <row r="842" spans="1:8" ht="12.75" customHeight="1" x14ac:dyDescent="0.2">
      <c r="A842" s="464"/>
      <c r="B842" s="1524" t="s">
        <v>661</v>
      </c>
      <c r="C842" s="1524"/>
      <c r="D842" s="1524"/>
      <c r="E842" s="455" t="s">
        <v>2</v>
      </c>
      <c r="F842" s="468">
        <v>1</v>
      </c>
      <c r="G842" s="469">
        <v>12300</v>
      </c>
      <c r="H842" s="470">
        <f t="shared" si="2"/>
        <v>12300</v>
      </c>
    </row>
    <row r="843" spans="1:8" ht="12.75" customHeight="1" x14ac:dyDescent="0.2">
      <c r="A843" s="464"/>
      <c r="B843" s="1524" t="s">
        <v>660</v>
      </c>
      <c r="C843" s="1524"/>
      <c r="D843" s="1524"/>
      <c r="E843" s="455" t="s">
        <v>2</v>
      </c>
      <c r="F843" s="468">
        <v>0.1</v>
      </c>
      <c r="G843" s="469">
        <v>6800</v>
      </c>
      <c r="H843" s="470">
        <f t="shared" si="2"/>
        <v>680</v>
      </c>
    </row>
    <row r="844" spans="1:8" x14ac:dyDescent="0.2">
      <c r="A844" s="464"/>
      <c r="B844" s="1524"/>
      <c r="C844" s="1524"/>
      <c r="D844" s="1524"/>
      <c r="E844" s="455"/>
      <c r="F844" s="468"/>
      <c r="G844" s="469"/>
      <c r="H844" s="470">
        <f t="shared" si="2"/>
        <v>0</v>
      </c>
    </row>
    <row r="845" spans="1:8" x14ac:dyDescent="0.2">
      <c r="A845" s="464"/>
      <c r="B845" s="471"/>
      <c r="C845" s="472"/>
      <c r="D845" s="472"/>
      <c r="E845" s="455"/>
      <c r="F845" s="468"/>
      <c r="G845" s="469"/>
      <c r="H845" s="470">
        <f t="shared" si="2"/>
        <v>0</v>
      </c>
    </row>
    <row r="846" spans="1:8" x14ac:dyDescent="0.2">
      <c r="A846" s="464"/>
      <c r="B846" s="453"/>
      <c r="C846" s="453"/>
      <c r="D846" s="453"/>
      <c r="E846" s="454"/>
      <c r="F846" s="453"/>
      <c r="G846" s="473"/>
      <c r="H846" s="473"/>
    </row>
    <row r="847" spans="1:8" x14ac:dyDescent="0.2">
      <c r="A847" s="453"/>
      <c r="B847" s="453"/>
      <c r="C847" s="453"/>
      <c r="D847" s="453"/>
      <c r="E847" s="454"/>
      <c r="F847" s="453"/>
      <c r="G847" s="454" t="s">
        <v>605</v>
      </c>
      <c r="H847" s="462">
        <f>ROUND(SUM(H840:H846),0)</f>
        <v>55180</v>
      </c>
    </row>
    <row r="848" spans="1:8" x14ac:dyDescent="0.2">
      <c r="A848" s="453"/>
      <c r="B848" s="453"/>
      <c r="C848" s="453"/>
      <c r="D848" s="453"/>
      <c r="E848" s="454"/>
      <c r="F848" s="453"/>
      <c r="G848" s="454"/>
      <c r="H848" s="462"/>
    </row>
    <row r="849" spans="1:8" x14ac:dyDescent="0.2">
      <c r="A849" s="462" t="s">
        <v>623</v>
      </c>
      <c r="B849" s="453"/>
      <c r="C849" s="453"/>
      <c r="D849" s="453"/>
      <c r="E849" s="454"/>
      <c r="F849" s="453"/>
      <c r="G849" s="454"/>
      <c r="H849" s="462"/>
    </row>
    <row r="850" spans="1:8" x14ac:dyDescent="0.2">
      <c r="A850" s="463" t="s">
        <v>622</v>
      </c>
      <c r="B850" s="1521" t="s">
        <v>621</v>
      </c>
      <c r="C850" s="1521"/>
      <c r="D850" s="474" t="s">
        <v>620</v>
      </c>
      <c r="E850" s="475" t="s">
        <v>2</v>
      </c>
      <c r="F850" s="476" t="s">
        <v>619</v>
      </c>
      <c r="G850" s="477" t="s">
        <v>618</v>
      </c>
      <c r="H850" s="477" t="s">
        <v>600</v>
      </c>
    </row>
    <row r="851" spans="1:8" x14ac:dyDescent="0.2">
      <c r="A851" s="478"/>
      <c r="B851" s="465" t="s">
        <v>645</v>
      </c>
      <c r="D851" s="479">
        <v>0.01</v>
      </c>
      <c r="E851" s="455" t="s">
        <v>616</v>
      </c>
      <c r="F851" s="480">
        <v>1</v>
      </c>
      <c r="G851" s="469">
        <v>380000</v>
      </c>
      <c r="H851" s="473">
        <f>+ROUND(D851*G851,0)</f>
        <v>3800</v>
      </c>
    </row>
    <row r="852" spans="1:8" x14ac:dyDescent="0.2">
      <c r="A852" s="478"/>
      <c r="B852" s="465"/>
      <c r="D852" s="481"/>
      <c r="E852" s="455"/>
      <c r="F852" s="482"/>
      <c r="G852" s="483"/>
      <c r="H852" s="470"/>
    </row>
    <row r="853" spans="1:8" x14ac:dyDescent="0.2">
      <c r="A853" s="478"/>
      <c r="E853" s="484"/>
      <c r="F853" s="484"/>
      <c r="G853" s="473"/>
      <c r="H853" s="470"/>
    </row>
    <row r="854" spans="1:8" x14ac:dyDescent="0.2">
      <c r="E854" s="485"/>
      <c r="F854" s="484"/>
      <c r="G854" s="454" t="s">
        <v>605</v>
      </c>
      <c r="H854" s="486">
        <f>ROUND(SUM(H851:H853),0)</f>
        <v>3800</v>
      </c>
    </row>
    <row r="855" spans="1:8" x14ac:dyDescent="0.2">
      <c r="E855" s="485"/>
      <c r="F855" s="484"/>
      <c r="G855" s="454"/>
      <c r="H855" s="486"/>
    </row>
    <row r="856" spans="1:8" x14ac:dyDescent="0.2">
      <c r="A856" s="462" t="s">
        <v>615</v>
      </c>
      <c r="B856" s="462"/>
      <c r="C856" s="462"/>
      <c r="D856" s="453"/>
      <c r="E856" s="454"/>
      <c r="F856" s="453"/>
      <c r="G856" s="453"/>
      <c r="H856" s="453"/>
    </row>
    <row r="857" spans="1:8" x14ac:dyDescent="0.2">
      <c r="A857" s="487" t="s">
        <v>421</v>
      </c>
      <c r="B857" s="1512" t="s">
        <v>614</v>
      </c>
      <c r="C857" s="1512"/>
      <c r="D857" s="446" t="s">
        <v>613</v>
      </c>
      <c r="E857" s="446" t="s">
        <v>612</v>
      </c>
      <c r="F857" s="446" t="s">
        <v>611</v>
      </c>
      <c r="G857" s="446" t="s">
        <v>610</v>
      </c>
      <c r="H857" s="446" t="s">
        <v>609</v>
      </c>
    </row>
    <row r="858" spans="1:8" x14ac:dyDescent="0.2">
      <c r="A858" s="488">
        <v>1</v>
      </c>
      <c r="B858" s="465" t="s">
        <v>608</v>
      </c>
      <c r="C858" s="465"/>
      <c r="D858" s="483">
        <v>80000</v>
      </c>
      <c r="E858" s="489">
        <f>D858*75%</f>
        <v>60000</v>
      </c>
      <c r="F858" s="473">
        <f>(D858+E858)*A858</f>
        <v>140000</v>
      </c>
      <c r="G858" s="453">
        <v>80</v>
      </c>
      <c r="H858" s="473">
        <f>+ROUND(F858/G858,0)</f>
        <v>1750</v>
      </c>
    </row>
    <row r="859" spans="1:8" x14ac:dyDescent="0.2">
      <c r="A859" s="488">
        <v>1</v>
      </c>
      <c r="B859" s="447" t="s">
        <v>607</v>
      </c>
      <c r="C859" s="465"/>
      <c r="D859" s="483">
        <v>40000</v>
      </c>
      <c r="E859" s="489">
        <f>D859*75%</f>
        <v>30000</v>
      </c>
      <c r="F859" s="473">
        <f>(D859+E859)*A859</f>
        <v>70000</v>
      </c>
      <c r="G859" s="453">
        <v>80</v>
      </c>
      <c r="H859" s="473">
        <f>+ROUND(F859/G859,0)</f>
        <v>875</v>
      </c>
    </row>
    <row r="860" spans="1:8" x14ac:dyDescent="0.2">
      <c r="A860" s="488">
        <v>2</v>
      </c>
      <c r="B860" s="465" t="s">
        <v>606</v>
      </c>
      <c r="C860" s="465"/>
      <c r="D860" s="483">
        <v>25000</v>
      </c>
      <c r="E860" s="489">
        <f>D860*75%</f>
        <v>18750</v>
      </c>
      <c r="F860" s="473">
        <f>(D860+E860)*A860</f>
        <v>87500</v>
      </c>
      <c r="G860" s="453">
        <v>80</v>
      </c>
      <c r="H860" s="473">
        <f>+ROUND(F860/G860,0)</f>
        <v>1094</v>
      </c>
    </row>
    <row r="861" spans="1:8" x14ac:dyDescent="0.2">
      <c r="A861" s="488"/>
      <c r="B861" s="465"/>
      <c r="C861" s="465"/>
      <c r="D861" s="483"/>
      <c r="E861" s="489"/>
      <c r="F861" s="473"/>
      <c r="G861" s="453"/>
      <c r="H861" s="473"/>
    </row>
    <row r="862" spans="1:8" x14ac:dyDescent="0.2">
      <c r="A862" s="488"/>
      <c r="B862" s="453"/>
      <c r="C862" s="453"/>
      <c r="D862" s="473"/>
      <c r="E862" s="489"/>
      <c r="F862" s="473"/>
      <c r="G862" s="453"/>
      <c r="H862" s="473"/>
    </row>
    <row r="863" spans="1:8" x14ac:dyDescent="0.2">
      <c r="A863" s="453"/>
      <c r="B863" s="453"/>
      <c r="C863" s="453"/>
      <c r="D863" s="453"/>
      <c r="E863" s="454"/>
      <c r="F863" s="453"/>
      <c r="G863" s="454" t="s">
        <v>605</v>
      </c>
      <c r="H863" s="486">
        <f>ROUND(SUM(H858:H862),0)</f>
        <v>3719</v>
      </c>
    </row>
    <row r="864" spans="1:8" x14ac:dyDescent="0.2">
      <c r="A864" s="453"/>
      <c r="B864" s="453"/>
      <c r="C864" s="453"/>
      <c r="D864" s="453"/>
      <c r="E864" s="454"/>
      <c r="F864" s="453"/>
      <c r="G864" s="453"/>
      <c r="H864" s="453"/>
    </row>
    <row r="865" spans="1:8" x14ac:dyDescent="0.2">
      <c r="A865" s="490"/>
      <c r="B865" s="453"/>
      <c r="C865" s="453"/>
      <c r="D865" s="453"/>
      <c r="E865" s="491" t="s">
        <v>604</v>
      </c>
      <c r="F865" s="492"/>
      <c r="G865" s="492"/>
      <c r="H865" s="493">
        <f>+ROUND(H836+H847+H854+H863,0)</f>
        <v>63899</v>
      </c>
    </row>
    <row r="869" spans="1:8" ht="15.75" customHeight="1" x14ac:dyDescent="0.25">
      <c r="A869" s="448"/>
      <c r="B869" s="448"/>
      <c r="C869" s="1513"/>
      <c r="D869" s="1513"/>
      <c r="E869" s="1513"/>
      <c r="F869" s="449" t="s">
        <v>638</v>
      </c>
      <c r="G869" s="450"/>
      <c r="H869" s="451"/>
    </row>
    <row r="870" spans="1:8" ht="24" customHeight="1" x14ac:dyDescent="0.25">
      <c r="A870" s="448"/>
      <c r="B870" s="448"/>
      <c r="C870" s="1513"/>
      <c r="D870" s="1513"/>
      <c r="E870" s="1513"/>
      <c r="F870" s="1514" t="s">
        <v>637</v>
      </c>
      <c r="G870" s="1514"/>
      <c r="H870" s="1514"/>
    </row>
    <row r="871" spans="1:8" x14ac:dyDescent="0.2">
      <c r="A871" s="452"/>
      <c r="B871" s="452"/>
      <c r="C871" s="1513"/>
      <c r="D871" s="1513"/>
      <c r="E871" s="1513"/>
      <c r="F871" s="1514"/>
      <c r="G871" s="1514"/>
      <c r="H871" s="1514"/>
    </row>
    <row r="872" spans="1:8" x14ac:dyDescent="0.2">
      <c r="A872" s="444"/>
      <c r="B872" s="1515"/>
      <c r="C872" s="1516"/>
      <c r="D872" s="1516"/>
      <c r="E872" s="444"/>
      <c r="F872" s="453"/>
      <c r="G872" s="454"/>
      <c r="H872" s="455"/>
    </row>
    <row r="873" spans="1:8" x14ac:dyDescent="0.2">
      <c r="A873" s="500" t="s">
        <v>578</v>
      </c>
      <c r="B873" s="397" t="s">
        <v>577</v>
      </c>
      <c r="C873" s="417"/>
      <c r="D873" s="457"/>
      <c r="E873" s="454"/>
      <c r="F873" s="453"/>
      <c r="G873" s="454" t="s">
        <v>634</v>
      </c>
      <c r="H873" s="455" t="s">
        <v>2</v>
      </c>
    </row>
    <row r="874" spans="1:8" x14ac:dyDescent="0.2">
      <c r="A874" s="458" t="s">
        <v>5</v>
      </c>
      <c r="B874" s="1517" t="s">
        <v>659</v>
      </c>
      <c r="C874" s="1517"/>
      <c r="D874" s="1517"/>
      <c r="E874" s="1517"/>
      <c r="F874" s="459"/>
      <c r="G874" s="454"/>
      <c r="H874" s="455"/>
    </row>
    <row r="875" spans="1:8" x14ac:dyDescent="0.2">
      <c r="A875" s="458"/>
      <c r="B875" s="1517"/>
      <c r="C875" s="1517"/>
      <c r="D875" s="1517"/>
      <c r="E875" s="1517"/>
      <c r="F875" s="461"/>
      <c r="G875" s="454"/>
      <c r="H875" s="455"/>
    </row>
    <row r="876" spans="1:8" x14ac:dyDescent="0.2">
      <c r="A876" s="458"/>
      <c r="B876" s="459"/>
      <c r="C876" s="459"/>
      <c r="D876" s="459"/>
      <c r="E876" s="459"/>
      <c r="F876" s="459"/>
      <c r="G876" s="416"/>
      <c r="H876" s="416"/>
    </row>
    <row r="877" spans="1:8" x14ac:dyDescent="0.2">
      <c r="A877" s="462" t="s">
        <v>633</v>
      </c>
      <c r="B877" s="462"/>
      <c r="C877" s="453"/>
      <c r="D877" s="445"/>
      <c r="E877" s="445"/>
      <c r="F877" s="445"/>
      <c r="G877" s="445"/>
      <c r="H877" s="445"/>
    </row>
    <row r="878" spans="1:8" x14ac:dyDescent="0.2">
      <c r="A878" s="463" t="s">
        <v>622</v>
      </c>
      <c r="B878" s="453"/>
      <c r="C878" s="446" t="s">
        <v>1</v>
      </c>
      <c r="D878" s="446"/>
      <c r="E878" s="446" t="s">
        <v>632</v>
      </c>
      <c r="F878" s="446" t="s">
        <v>631</v>
      </c>
      <c r="G878" s="446" t="s">
        <v>618</v>
      </c>
      <c r="H878" s="446" t="s">
        <v>627</v>
      </c>
    </row>
    <row r="879" spans="1:8" x14ac:dyDescent="0.2">
      <c r="A879" s="464"/>
      <c r="B879" s="465" t="s">
        <v>648</v>
      </c>
      <c r="C879" s="453"/>
      <c r="D879" s="453"/>
      <c r="E879" s="455">
        <v>86000</v>
      </c>
      <c r="F879" s="453">
        <v>6</v>
      </c>
      <c r="G879" s="466">
        <f>E879/F879</f>
        <v>14333.333333333334</v>
      </c>
      <c r="H879" s="466">
        <f>+G879</f>
        <v>14333.333333333334</v>
      </c>
    </row>
    <row r="880" spans="1:8" x14ac:dyDescent="0.2">
      <c r="A880" s="464"/>
      <c r="B880" s="465"/>
      <c r="C880" s="453"/>
      <c r="D880" s="453"/>
      <c r="E880" s="455"/>
      <c r="F880" s="453"/>
      <c r="G880" s="466"/>
      <c r="H880" s="466"/>
    </row>
    <row r="881" spans="1:8" x14ac:dyDescent="0.2">
      <c r="A881" s="464"/>
      <c r="B881" s="465"/>
      <c r="C881" s="465"/>
      <c r="D881" s="453"/>
      <c r="E881" s="455"/>
      <c r="F881" s="453"/>
      <c r="G881" s="453"/>
      <c r="H881" s="453"/>
    </row>
    <row r="882" spans="1:8" x14ac:dyDescent="0.2">
      <c r="A882" s="453"/>
      <c r="B882" s="453"/>
      <c r="C882" s="453"/>
      <c r="D882" s="453"/>
      <c r="E882" s="454"/>
      <c r="F882" s="453"/>
      <c r="G882" s="454" t="s">
        <v>605</v>
      </c>
      <c r="H882" s="467">
        <f>ROUND(SUM(H879:H881),0)</f>
        <v>14333</v>
      </c>
    </row>
    <row r="883" spans="1:8" x14ac:dyDescent="0.2">
      <c r="A883" s="453"/>
      <c r="B883" s="453"/>
      <c r="C883" s="453"/>
      <c r="D883" s="453"/>
      <c r="E883" s="454"/>
      <c r="F883" s="453"/>
      <c r="G883" s="454"/>
      <c r="H883" s="467"/>
    </row>
    <row r="884" spans="1:8" x14ac:dyDescent="0.2">
      <c r="A884" s="462" t="s">
        <v>629</v>
      </c>
      <c r="B884" s="462"/>
      <c r="C884" s="462"/>
      <c r="D884" s="462"/>
      <c r="E884" s="454"/>
      <c r="F884" s="453"/>
      <c r="G884" s="453"/>
      <c r="H884" s="453"/>
    </row>
    <row r="885" spans="1:8" x14ac:dyDescent="0.2">
      <c r="A885" s="463" t="s">
        <v>622</v>
      </c>
      <c r="B885" s="453"/>
      <c r="C885" s="446" t="s">
        <v>1</v>
      </c>
      <c r="D885" s="446"/>
      <c r="E885" s="446" t="s">
        <v>15</v>
      </c>
      <c r="F885" s="446" t="s">
        <v>628</v>
      </c>
      <c r="G885" s="446" t="s">
        <v>618</v>
      </c>
      <c r="H885" s="446" t="s">
        <v>627</v>
      </c>
    </row>
    <row r="886" spans="1:8" x14ac:dyDescent="0.2">
      <c r="A886" s="464"/>
      <c r="B886" s="1522" t="s">
        <v>658</v>
      </c>
      <c r="C886" s="1522"/>
      <c r="D886" s="1522"/>
      <c r="E886" s="455" t="s">
        <v>6</v>
      </c>
      <c r="F886" s="494">
        <v>50</v>
      </c>
      <c r="G886" s="469">
        <v>2100</v>
      </c>
      <c r="H886" s="470">
        <f t="shared" ref="H886:H892" si="3">+ROUND(F886*G886,0)</f>
        <v>105000</v>
      </c>
    </row>
    <row r="887" spans="1:8" x14ac:dyDescent="0.2">
      <c r="A887" s="464"/>
      <c r="B887" s="1522" t="s">
        <v>657</v>
      </c>
      <c r="C887" s="1522"/>
      <c r="D887" s="1522"/>
      <c r="E887" s="455" t="s">
        <v>2</v>
      </c>
      <c r="F887" s="494">
        <v>2</v>
      </c>
      <c r="G887" s="469">
        <v>39400</v>
      </c>
      <c r="H887" s="470">
        <f t="shared" si="3"/>
        <v>78800</v>
      </c>
    </row>
    <row r="888" spans="1:8" x14ac:dyDescent="0.2">
      <c r="A888" s="464"/>
      <c r="B888" s="1522" t="s">
        <v>656</v>
      </c>
      <c r="C888" s="1522"/>
      <c r="D888" s="1522"/>
      <c r="E888" s="455" t="s">
        <v>2</v>
      </c>
      <c r="F888" s="494">
        <v>1</v>
      </c>
      <c r="G888" s="469">
        <v>59065</v>
      </c>
      <c r="H888" s="470">
        <f t="shared" si="3"/>
        <v>59065</v>
      </c>
    </row>
    <row r="889" spans="1:8" x14ac:dyDescent="0.2">
      <c r="A889" s="464"/>
      <c r="B889" s="1520" t="s">
        <v>642</v>
      </c>
      <c r="C889" s="1520"/>
      <c r="D889" s="1520"/>
      <c r="E889" s="455" t="s">
        <v>641</v>
      </c>
      <c r="F889" s="468">
        <v>10</v>
      </c>
      <c r="G889" s="469">
        <v>1400</v>
      </c>
      <c r="H889" s="470">
        <f t="shared" si="3"/>
        <v>14000</v>
      </c>
    </row>
    <row r="890" spans="1:8" x14ac:dyDescent="0.2">
      <c r="A890" s="464"/>
      <c r="B890" s="1520" t="s">
        <v>640</v>
      </c>
      <c r="C890" s="1520"/>
      <c r="D890" s="1520"/>
      <c r="E890" s="455" t="s">
        <v>2</v>
      </c>
      <c r="F890" s="468">
        <v>1</v>
      </c>
      <c r="G890" s="469">
        <v>1480</v>
      </c>
      <c r="H890" s="470">
        <f t="shared" si="3"/>
        <v>1480</v>
      </c>
    </row>
    <row r="891" spans="1:8" x14ac:dyDescent="0.2">
      <c r="A891" s="464"/>
      <c r="B891" s="1520" t="s">
        <v>639</v>
      </c>
      <c r="C891" s="1520"/>
      <c r="D891" s="1520"/>
      <c r="E891" s="455" t="s">
        <v>2</v>
      </c>
      <c r="F891" s="468">
        <v>5</v>
      </c>
      <c r="G891" s="469">
        <v>700</v>
      </c>
      <c r="H891" s="470">
        <f t="shared" si="3"/>
        <v>3500</v>
      </c>
    </row>
    <row r="892" spans="1:8" ht="13.5" customHeight="1" x14ac:dyDescent="0.2">
      <c r="A892" s="464"/>
      <c r="B892" s="496"/>
      <c r="C892" s="472"/>
      <c r="D892" s="472"/>
      <c r="E892" s="455"/>
      <c r="F892" s="494"/>
      <c r="G892" s="469"/>
      <c r="H892" s="470">
        <f t="shared" si="3"/>
        <v>0</v>
      </c>
    </row>
    <row r="893" spans="1:8" x14ac:dyDescent="0.2">
      <c r="A893" s="464"/>
      <c r="B893" s="453"/>
      <c r="C893" s="453"/>
      <c r="D893" s="453"/>
      <c r="E893" s="454"/>
      <c r="F893" s="453"/>
      <c r="G893" s="473"/>
      <c r="H893" s="473"/>
    </row>
    <row r="894" spans="1:8" x14ac:dyDescent="0.2">
      <c r="A894" s="453"/>
      <c r="B894" s="453"/>
      <c r="C894" s="453"/>
      <c r="D894" s="453"/>
      <c r="E894" s="454"/>
      <c r="F894" s="453"/>
      <c r="G894" s="454" t="s">
        <v>605</v>
      </c>
      <c r="H894" s="462">
        <f>ROUND(SUM(H886:H893),0)</f>
        <v>261845</v>
      </c>
    </row>
    <row r="895" spans="1:8" x14ac:dyDescent="0.2">
      <c r="A895" s="453"/>
      <c r="B895" s="453"/>
      <c r="C895" s="453"/>
      <c r="D895" s="453"/>
      <c r="E895" s="454"/>
      <c r="F895" s="453"/>
      <c r="G895" s="454"/>
      <c r="H895" s="462"/>
    </row>
    <row r="896" spans="1:8" x14ac:dyDescent="0.2">
      <c r="A896" s="462" t="s">
        <v>623</v>
      </c>
      <c r="B896" s="453"/>
      <c r="C896" s="453"/>
      <c r="D896" s="453"/>
      <c r="E896" s="454"/>
      <c r="F896" s="453"/>
      <c r="G896" s="454"/>
      <c r="H896" s="462"/>
    </row>
    <row r="897" spans="1:8" x14ac:dyDescent="0.2">
      <c r="A897" s="463" t="s">
        <v>622</v>
      </c>
      <c r="B897" s="1521" t="s">
        <v>621</v>
      </c>
      <c r="C897" s="1521"/>
      <c r="D897" s="474" t="s">
        <v>620</v>
      </c>
      <c r="E897" s="475" t="s">
        <v>2</v>
      </c>
      <c r="F897" s="476" t="s">
        <v>619</v>
      </c>
      <c r="G897" s="477" t="s">
        <v>618</v>
      </c>
      <c r="H897" s="477" t="s">
        <v>600</v>
      </c>
    </row>
    <row r="898" spans="1:8" x14ac:dyDescent="0.2">
      <c r="A898" s="478"/>
      <c r="B898" s="465" t="s">
        <v>645</v>
      </c>
      <c r="D898" s="479">
        <v>0.01</v>
      </c>
      <c r="E898" s="455" t="s">
        <v>616</v>
      </c>
      <c r="F898" s="480">
        <v>1</v>
      </c>
      <c r="G898" s="469">
        <v>180000</v>
      </c>
      <c r="H898" s="473">
        <f>+ROUND(D898*G898,0)</f>
        <v>1800</v>
      </c>
    </row>
    <row r="899" spans="1:8" x14ac:dyDescent="0.2">
      <c r="A899" s="478"/>
      <c r="B899" s="465"/>
      <c r="D899" s="481"/>
      <c r="E899" s="455"/>
      <c r="F899" s="482"/>
      <c r="G899" s="483"/>
      <c r="H899" s="470"/>
    </row>
    <row r="900" spans="1:8" x14ac:dyDescent="0.2">
      <c r="A900" s="478"/>
      <c r="E900" s="484"/>
      <c r="F900" s="484"/>
      <c r="G900" s="473"/>
      <c r="H900" s="470"/>
    </row>
    <row r="901" spans="1:8" x14ac:dyDescent="0.2">
      <c r="E901" s="485"/>
      <c r="F901" s="484"/>
      <c r="G901" s="454" t="s">
        <v>605</v>
      </c>
      <c r="H901" s="486">
        <f>ROUND(SUM(H898:H900),0)</f>
        <v>1800</v>
      </c>
    </row>
    <row r="902" spans="1:8" x14ac:dyDescent="0.2">
      <c r="E902" s="485"/>
      <c r="F902" s="484"/>
      <c r="G902" s="454"/>
      <c r="H902" s="486"/>
    </row>
    <row r="903" spans="1:8" x14ac:dyDescent="0.2">
      <c r="A903" s="462" t="s">
        <v>615</v>
      </c>
      <c r="B903" s="462"/>
      <c r="C903" s="462"/>
      <c r="D903" s="453"/>
      <c r="E903" s="454"/>
      <c r="F903" s="453"/>
      <c r="G903" s="453"/>
      <c r="H903" s="453"/>
    </row>
    <row r="904" spans="1:8" x14ac:dyDescent="0.2">
      <c r="A904" s="487" t="s">
        <v>421</v>
      </c>
      <c r="B904" s="1512" t="s">
        <v>614</v>
      </c>
      <c r="C904" s="1512"/>
      <c r="D904" s="446" t="s">
        <v>613</v>
      </c>
      <c r="E904" s="446" t="s">
        <v>612</v>
      </c>
      <c r="F904" s="446" t="s">
        <v>611</v>
      </c>
      <c r="G904" s="446" t="s">
        <v>610</v>
      </c>
      <c r="H904" s="446" t="s">
        <v>609</v>
      </c>
    </row>
    <row r="905" spans="1:8" x14ac:dyDescent="0.2">
      <c r="A905" s="488">
        <v>1</v>
      </c>
      <c r="B905" s="465" t="s">
        <v>608</v>
      </c>
      <c r="C905" s="465"/>
      <c r="D905" s="483">
        <v>80000</v>
      </c>
      <c r="E905" s="489">
        <f>D905*75%</f>
        <v>60000</v>
      </c>
      <c r="F905" s="473">
        <f>(D905+E905)*A905</f>
        <v>140000</v>
      </c>
      <c r="G905" s="453">
        <v>5</v>
      </c>
      <c r="H905" s="473">
        <f>+ROUND(F905/G905,0)</f>
        <v>28000</v>
      </c>
    </row>
    <row r="906" spans="1:8" x14ac:dyDescent="0.2">
      <c r="A906" s="488">
        <v>1</v>
      </c>
      <c r="B906" s="447" t="s">
        <v>607</v>
      </c>
      <c r="C906" s="465"/>
      <c r="D906" s="483">
        <v>40000</v>
      </c>
      <c r="E906" s="489">
        <f>D906*75%</f>
        <v>30000</v>
      </c>
      <c r="F906" s="473">
        <f>(D906+E906)*A906</f>
        <v>70000</v>
      </c>
      <c r="G906" s="453">
        <v>5</v>
      </c>
      <c r="H906" s="473">
        <f>+ROUND(F906/G906,0)</f>
        <v>14000</v>
      </c>
    </row>
    <row r="907" spans="1:8" x14ac:dyDescent="0.2">
      <c r="A907" s="488">
        <v>3</v>
      </c>
      <c r="B907" s="465" t="s">
        <v>606</v>
      </c>
      <c r="C907" s="465"/>
      <c r="D907" s="483">
        <v>25000</v>
      </c>
      <c r="E907" s="489">
        <f>D907*75%</f>
        <v>18750</v>
      </c>
      <c r="F907" s="473">
        <f>(D907+E907)*A907</f>
        <v>131250</v>
      </c>
      <c r="G907" s="453">
        <v>5</v>
      </c>
      <c r="H907" s="473">
        <f>+ROUND(F907/G907,0)</f>
        <v>26250</v>
      </c>
    </row>
    <row r="908" spans="1:8" x14ac:dyDescent="0.2">
      <c r="A908" s="488"/>
      <c r="B908" s="465"/>
      <c r="C908" s="465"/>
      <c r="D908" s="483"/>
      <c r="E908" s="489"/>
      <c r="F908" s="473"/>
      <c r="G908" s="453"/>
      <c r="H908" s="473"/>
    </row>
    <row r="909" spans="1:8" x14ac:dyDescent="0.2">
      <c r="A909" s="488"/>
      <c r="B909" s="453"/>
      <c r="C909" s="453"/>
      <c r="D909" s="473"/>
      <c r="E909" s="489"/>
      <c r="F909" s="473"/>
      <c r="G909" s="453"/>
      <c r="H909" s="473"/>
    </row>
    <row r="910" spans="1:8" x14ac:dyDescent="0.2">
      <c r="A910" s="453"/>
      <c r="B910" s="453"/>
      <c r="C910" s="453"/>
      <c r="D910" s="453"/>
      <c r="E910" s="454"/>
      <c r="F910" s="453"/>
      <c r="G910" s="454" t="s">
        <v>605</v>
      </c>
      <c r="H910" s="486">
        <f>ROUND(SUM(H905:H909),0)</f>
        <v>68250</v>
      </c>
    </row>
    <row r="911" spans="1:8" x14ac:dyDescent="0.2">
      <c r="A911" s="453"/>
      <c r="B911" s="453"/>
      <c r="C911" s="453"/>
      <c r="D911" s="453"/>
      <c r="E911" s="454"/>
      <c r="F911" s="453"/>
      <c r="G911" s="453"/>
      <c r="H911" s="453"/>
    </row>
    <row r="912" spans="1:8" x14ac:dyDescent="0.2">
      <c r="A912" s="490"/>
      <c r="B912" s="453"/>
      <c r="C912" s="453"/>
      <c r="D912" s="453"/>
      <c r="E912" s="491" t="s">
        <v>604</v>
      </c>
      <c r="F912" s="492"/>
      <c r="G912" s="492"/>
      <c r="H912" s="493">
        <f>+ROUND(H882+H894+H901+H910,0)</f>
        <v>346228</v>
      </c>
    </row>
    <row r="925" spans="1:8" ht="15.75" customHeight="1" x14ac:dyDescent="0.25">
      <c r="A925" s="448"/>
      <c r="B925" s="448"/>
      <c r="C925" s="1513"/>
      <c r="D925" s="1513"/>
      <c r="E925" s="1513"/>
      <c r="F925" s="449" t="s">
        <v>638</v>
      </c>
      <c r="G925" s="450"/>
      <c r="H925" s="451"/>
    </row>
    <row r="926" spans="1:8" ht="21" customHeight="1" x14ac:dyDescent="0.25">
      <c r="A926" s="448"/>
      <c r="B926" s="448"/>
      <c r="C926" s="1513"/>
      <c r="D926" s="1513"/>
      <c r="E926" s="1513"/>
      <c r="F926" s="1514" t="s">
        <v>637</v>
      </c>
      <c r="G926" s="1514"/>
      <c r="H926" s="1514"/>
    </row>
    <row r="927" spans="1:8" x14ac:dyDescent="0.2">
      <c r="A927" s="452"/>
      <c r="B927" s="452"/>
      <c r="C927" s="1513"/>
      <c r="D927" s="1513"/>
      <c r="E927" s="1513"/>
      <c r="F927" s="1514"/>
      <c r="G927" s="1514"/>
      <c r="H927" s="1514"/>
    </row>
    <row r="928" spans="1:8" x14ac:dyDescent="0.2">
      <c r="A928" s="444"/>
      <c r="B928" s="1515"/>
      <c r="C928" s="1516"/>
      <c r="D928" s="1516"/>
      <c r="E928" s="444"/>
      <c r="F928" s="453"/>
      <c r="G928" s="454"/>
      <c r="H928" s="455"/>
    </row>
    <row r="929" spans="1:8" x14ac:dyDescent="0.2">
      <c r="A929" s="500" t="s">
        <v>578</v>
      </c>
      <c r="B929" s="397" t="s">
        <v>577</v>
      </c>
      <c r="C929" s="417"/>
      <c r="D929" s="457"/>
      <c r="E929" s="454"/>
      <c r="F929" s="453"/>
      <c r="G929" s="454" t="s">
        <v>634</v>
      </c>
      <c r="H929" s="455" t="s">
        <v>2</v>
      </c>
    </row>
    <row r="930" spans="1:8" x14ac:dyDescent="0.2">
      <c r="A930" s="458" t="s">
        <v>68</v>
      </c>
      <c r="B930" s="1517" t="s">
        <v>655</v>
      </c>
      <c r="C930" s="1517"/>
      <c r="D930" s="1517"/>
      <c r="E930" s="1517"/>
      <c r="F930" s="459"/>
      <c r="G930" s="454"/>
      <c r="H930" s="455"/>
    </row>
    <row r="931" spans="1:8" x14ac:dyDescent="0.2">
      <c r="A931" s="458"/>
      <c r="B931" s="1517"/>
      <c r="C931" s="1517"/>
      <c r="D931" s="1517"/>
      <c r="E931" s="1517"/>
      <c r="F931" s="461"/>
      <c r="G931" s="454"/>
      <c r="H931" s="455"/>
    </row>
    <row r="932" spans="1:8" x14ac:dyDescent="0.2">
      <c r="A932" s="458"/>
      <c r="B932" s="459"/>
      <c r="C932" s="459"/>
      <c r="D932" s="459"/>
      <c r="E932" s="459"/>
      <c r="F932" s="459"/>
      <c r="G932" s="416"/>
      <c r="H932" s="416"/>
    </row>
    <row r="933" spans="1:8" x14ac:dyDescent="0.2">
      <c r="A933" s="462" t="s">
        <v>633</v>
      </c>
      <c r="B933" s="462"/>
      <c r="C933" s="453"/>
      <c r="D933" s="445"/>
      <c r="E933" s="445"/>
      <c r="F933" s="445"/>
      <c r="G933" s="445"/>
      <c r="H933" s="445"/>
    </row>
    <row r="934" spans="1:8" x14ac:dyDescent="0.2">
      <c r="A934" s="463" t="s">
        <v>622</v>
      </c>
      <c r="B934" s="453"/>
      <c r="C934" s="446" t="s">
        <v>1</v>
      </c>
      <c r="D934" s="446"/>
      <c r="E934" s="446" t="s">
        <v>632</v>
      </c>
      <c r="F934" s="446" t="s">
        <v>631</v>
      </c>
      <c r="G934" s="446" t="s">
        <v>618</v>
      </c>
      <c r="H934" s="446" t="s">
        <v>627</v>
      </c>
    </row>
    <row r="935" spans="1:8" x14ac:dyDescent="0.2">
      <c r="A935" s="464"/>
      <c r="B935" s="465" t="s">
        <v>648</v>
      </c>
      <c r="C935" s="453"/>
      <c r="D935" s="453"/>
      <c r="E935" s="455">
        <v>56000</v>
      </c>
      <c r="F935" s="453">
        <v>25</v>
      </c>
      <c r="G935" s="466">
        <f>E935/F935</f>
        <v>2240</v>
      </c>
      <c r="H935" s="466">
        <f>+G935</f>
        <v>2240</v>
      </c>
    </row>
    <row r="936" spans="1:8" x14ac:dyDescent="0.2">
      <c r="A936" s="464"/>
      <c r="B936" s="465"/>
      <c r="C936" s="453"/>
      <c r="D936" s="453"/>
      <c r="E936" s="455"/>
      <c r="F936" s="453"/>
      <c r="G936" s="466"/>
      <c r="H936" s="466"/>
    </row>
    <row r="937" spans="1:8" x14ac:dyDescent="0.2">
      <c r="A937" s="464"/>
      <c r="B937" s="465"/>
      <c r="C937" s="465"/>
      <c r="D937" s="453"/>
      <c r="E937" s="455"/>
      <c r="F937" s="453"/>
      <c r="G937" s="453"/>
      <c r="H937" s="453"/>
    </row>
    <row r="938" spans="1:8" x14ac:dyDescent="0.2">
      <c r="A938" s="453"/>
      <c r="B938" s="453"/>
      <c r="C938" s="453"/>
      <c r="D938" s="453"/>
      <c r="E938" s="454"/>
      <c r="F938" s="453"/>
      <c r="G938" s="454" t="s">
        <v>605</v>
      </c>
      <c r="H938" s="467">
        <f>ROUND(SUM(H935:H937),0)</f>
        <v>2240</v>
      </c>
    </row>
    <row r="939" spans="1:8" x14ac:dyDescent="0.2">
      <c r="A939" s="453"/>
      <c r="B939" s="453"/>
      <c r="C939" s="453"/>
      <c r="D939" s="453"/>
      <c r="E939" s="454"/>
      <c r="F939" s="453"/>
      <c r="G939" s="454"/>
      <c r="H939" s="467"/>
    </row>
    <row r="940" spans="1:8" x14ac:dyDescent="0.2">
      <c r="A940" s="462" t="s">
        <v>629</v>
      </c>
      <c r="B940" s="462"/>
      <c r="C940" s="462"/>
      <c r="D940" s="462"/>
      <c r="E940" s="454"/>
      <c r="F940" s="453"/>
      <c r="G940" s="453"/>
      <c r="H940" s="453"/>
    </row>
    <row r="941" spans="1:8" x14ac:dyDescent="0.2">
      <c r="A941" s="463" t="s">
        <v>622</v>
      </c>
      <c r="B941" s="453"/>
      <c r="C941" s="446" t="s">
        <v>1</v>
      </c>
      <c r="D941" s="446"/>
      <c r="E941" s="446" t="s">
        <v>15</v>
      </c>
      <c r="F941" s="446" t="s">
        <v>628</v>
      </c>
      <c r="G941" s="446" t="s">
        <v>618</v>
      </c>
      <c r="H941" s="446" t="s">
        <v>627</v>
      </c>
    </row>
    <row r="942" spans="1:8" x14ac:dyDescent="0.2">
      <c r="A942" s="464"/>
      <c r="B942" s="1522" t="s">
        <v>654</v>
      </c>
      <c r="C942" s="1522"/>
      <c r="D942" s="1522"/>
      <c r="E942" s="455" t="s">
        <v>6</v>
      </c>
      <c r="F942" s="494">
        <v>20</v>
      </c>
      <c r="G942" s="469">
        <v>1400</v>
      </c>
      <c r="H942" s="470">
        <f>+ROUND(F942*G942,0)</f>
        <v>28000</v>
      </c>
    </row>
    <row r="943" spans="1:8" x14ac:dyDescent="0.2">
      <c r="A943" s="464"/>
      <c r="B943" s="1522" t="s">
        <v>653</v>
      </c>
      <c r="C943" s="1522"/>
      <c r="D943" s="1522"/>
      <c r="E943" s="455" t="s">
        <v>2</v>
      </c>
      <c r="F943" s="494">
        <v>1</v>
      </c>
      <c r="G943" s="469">
        <v>16260</v>
      </c>
      <c r="H943" s="470">
        <f>+ROUND(F943*G943,0)</f>
        <v>16260</v>
      </c>
    </row>
    <row r="944" spans="1:8" x14ac:dyDescent="0.2">
      <c r="A944" s="464"/>
      <c r="B944" s="1520" t="s">
        <v>642</v>
      </c>
      <c r="C944" s="1520"/>
      <c r="D944" s="1520"/>
      <c r="E944" s="455" t="s">
        <v>641</v>
      </c>
      <c r="F944" s="468">
        <v>10</v>
      </c>
      <c r="G944" s="469">
        <v>1400</v>
      </c>
      <c r="H944" s="470">
        <f>+ROUND(F944*G944,0)</f>
        <v>14000</v>
      </c>
    </row>
    <row r="945" spans="1:8" x14ac:dyDescent="0.2">
      <c r="A945" s="464"/>
      <c r="B945" s="1520" t="s">
        <v>640</v>
      </c>
      <c r="C945" s="1520"/>
      <c r="D945" s="1520"/>
      <c r="E945" s="455" t="s">
        <v>2</v>
      </c>
      <c r="F945" s="468">
        <v>1</v>
      </c>
      <c r="G945" s="469">
        <v>1464</v>
      </c>
      <c r="H945" s="470">
        <f>+ROUND(F945*G945,0)</f>
        <v>1464</v>
      </c>
    </row>
    <row r="946" spans="1:8" x14ac:dyDescent="0.2">
      <c r="A946" s="464"/>
      <c r="B946" s="1520" t="s">
        <v>639</v>
      </c>
      <c r="C946" s="1520"/>
      <c r="D946" s="1520"/>
      <c r="E946" s="455" t="s">
        <v>2</v>
      </c>
      <c r="F946" s="468">
        <v>5</v>
      </c>
      <c r="G946" s="469">
        <v>700</v>
      </c>
      <c r="H946" s="470">
        <f>+ROUND(F946*G946,0)</f>
        <v>3500</v>
      </c>
    </row>
    <row r="947" spans="1:8" x14ac:dyDescent="0.2">
      <c r="A947" s="464"/>
      <c r="B947" s="453"/>
      <c r="C947" s="453"/>
      <c r="D947" s="453"/>
      <c r="E947" s="454"/>
      <c r="F947" s="453"/>
      <c r="G947" s="473"/>
      <c r="H947" s="473"/>
    </row>
    <row r="948" spans="1:8" x14ac:dyDescent="0.2">
      <c r="A948" s="453"/>
      <c r="B948" s="453"/>
      <c r="C948" s="453"/>
      <c r="D948" s="453"/>
      <c r="E948" s="454"/>
      <c r="F948" s="453"/>
      <c r="G948" s="454" t="s">
        <v>605</v>
      </c>
      <c r="H948" s="462">
        <f>ROUND(SUM(H942:H947),0)</f>
        <v>63224</v>
      </c>
    </row>
    <row r="949" spans="1:8" x14ac:dyDescent="0.2">
      <c r="A949" s="453"/>
      <c r="B949" s="453"/>
      <c r="C949" s="453"/>
      <c r="D949" s="453"/>
      <c r="E949" s="454"/>
      <c r="F949" s="453"/>
      <c r="G949" s="454"/>
      <c r="H949" s="462"/>
    </row>
    <row r="950" spans="1:8" x14ac:dyDescent="0.2">
      <c r="A950" s="462" t="s">
        <v>623</v>
      </c>
      <c r="B950" s="453"/>
      <c r="C950" s="453"/>
      <c r="D950" s="453"/>
      <c r="E950" s="454"/>
      <c r="F950" s="453"/>
      <c r="G950" s="454"/>
      <c r="H950" s="462"/>
    </row>
    <row r="951" spans="1:8" x14ac:dyDescent="0.2">
      <c r="A951" s="463" t="s">
        <v>622</v>
      </c>
      <c r="B951" s="1521" t="s">
        <v>621</v>
      </c>
      <c r="C951" s="1521"/>
      <c r="D951" s="474" t="s">
        <v>620</v>
      </c>
      <c r="E951" s="475" t="s">
        <v>2</v>
      </c>
      <c r="F951" s="476" t="s">
        <v>619</v>
      </c>
      <c r="G951" s="477" t="s">
        <v>618</v>
      </c>
      <c r="H951" s="477" t="s">
        <v>600</v>
      </c>
    </row>
    <row r="952" spans="1:8" x14ac:dyDescent="0.2">
      <c r="A952" s="478"/>
      <c r="B952" s="465" t="s">
        <v>645</v>
      </c>
      <c r="D952" s="479">
        <v>1E-3</v>
      </c>
      <c r="E952" s="455" t="s">
        <v>616</v>
      </c>
      <c r="F952" s="480">
        <v>1</v>
      </c>
      <c r="G952" s="469">
        <v>180000</v>
      </c>
      <c r="H952" s="473">
        <f>+ROUND(D952*G952,0)</f>
        <v>180</v>
      </c>
    </row>
    <row r="953" spans="1:8" x14ac:dyDescent="0.2">
      <c r="A953" s="478"/>
      <c r="B953" s="465"/>
      <c r="D953" s="481"/>
      <c r="E953" s="455"/>
      <c r="F953" s="482"/>
      <c r="G953" s="483"/>
      <c r="H953" s="470"/>
    </row>
    <row r="954" spans="1:8" x14ac:dyDescent="0.2">
      <c r="A954" s="478"/>
      <c r="E954" s="484"/>
      <c r="F954" s="484"/>
      <c r="G954" s="473"/>
      <c r="H954" s="470"/>
    </row>
    <row r="955" spans="1:8" x14ac:dyDescent="0.2">
      <c r="E955" s="485"/>
      <c r="F955" s="484"/>
      <c r="G955" s="454" t="s">
        <v>605</v>
      </c>
      <c r="H955" s="486">
        <f>ROUND(SUM(H952:H954),0)</f>
        <v>180</v>
      </c>
    </row>
    <row r="956" spans="1:8" x14ac:dyDescent="0.2">
      <c r="E956" s="485"/>
      <c r="F956" s="484"/>
      <c r="G956" s="454"/>
      <c r="H956" s="486"/>
    </row>
    <row r="957" spans="1:8" x14ac:dyDescent="0.2">
      <c r="A957" s="462" t="s">
        <v>615</v>
      </c>
      <c r="B957" s="462"/>
      <c r="C957" s="462"/>
      <c r="D957" s="453"/>
      <c r="E957" s="454"/>
      <c r="F957" s="453"/>
      <c r="G957" s="453"/>
      <c r="H957" s="453"/>
    </row>
    <row r="958" spans="1:8" x14ac:dyDescent="0.2">
      <c r="A958" s="487" t="s">
        <v>421</v>
      </c>
      <c r="B958" s="1512" t="s">
        <v>614</v>
      </c>
      <c r="C958" s="1512"/>
      <c r="D958" s="446" t="s">
        <v>613</v>
      </c>
      <c r="E958" s="446" t="s">
        <v>612</v>
      </c>
      <c r="F958" s="446" t="s">
        <v>611</v>
      </c>
      <c r="G958" s="446" t="s">
        <v>610</v>
      </c>
      <c r="H958" s="446" t="s">
        <v>609</v>
      </c>
    </row>
    <row r="959" spans="1:8" x14ac:dyDescent="0.2">
      <c r="A959" s="488">
        <v>1</v>
      </c>
      <c r="B959" s="465" t="s">
        <v>608</v>
      </c>
      <c r="C959" s="465"/>
      <c r="D959" s="483">
        <v>80000</v>
      </c>
      <c r="E959" s="489">
        <f>D959*75%</f>
        <v>60000</v>
      </c>
      <c r="F959" s="473">
        <f>(D959+E959)*A959</f>
        <v>140000</v>
      </c>
      <c r="G959" s="453">
        <v>20</v>
      </c>
      <c r="H959" s="473">
        <f>+ROUND(F959/G959,0)</f>
        <v>7000</v>
      </c>
    </row>
    <row r="960" spans="1:8" x14ac:dyDescent="0.2">
      <c r="A960" s="488">
        <v>1</v>
      </c>
      <c r="B960" s="447" t="s">
        <v>607</v>
      </c>
      <c r="C960" s="465"/>
      <c r="D960" s="483">
        <v>40000</v>
      </c>
      <c r="E960" s="489">
        <f>D960*75%</f>
        <v>30000</v>
      </c>
      <c r="F960" s="473">
        <f>(D960+E960)*A960</f>
        <v>70000</v>
      </c>
      <c r="G960" s="453">
        <v>20</v>
      </c>
      <c r="H960" s="473">
        <f>+ROUND(F960/G960,0)</f>
        <v>3500</v>
      </c>
    </row>
    <row r="961" spans="1:8" x14ac:dyDescent="0.2">
      <c r="A961" s="488">
        <v>1</v>
      </c>
      <c r="B961" s="465" t="s">
        <v>606</v>
      </c>
      <c r="C961" s="465"/>
      <c r="D961" s="483">
        <v>25000</v>
      </c>
      <c r="E961" s="489">
        <f>D961*75%</f>
        <v>18750</v>
      </c>
      <c r="F961" s="473">
        <f>(D961+E961)*A961</f>
        <v>43750</v>
      </c>
      <c r="G961" s="453">
        <v>20</v>
      </c>
      <c r="H961" s="473">
        <f>+ROUND(F961/G961,0)</f>
        <v>2188</v>
      </c>
    </row>
    <row r="962" spans="1:8" x14ac:dyDescent="0.2">
      <c r="A962" s="488"/>
      <c r="B962" s="465"/>
      <c r="C962" s="465"/>
      <c r="D962" s="483"/>
      <c r="E962" s="489"/>
      <c r="F962" s="473"/>
      <c r="G962" s="453"/>
      <c r="H962" s="473"/>
    </row>
    <row r="963" spans="1:8" x14ac:dyDescent="0.2">
      <c r="A963" s="488"/>
      <c r="B963" s="453"/>
      <c r="C963" s="453"/>
      <c r="D963" s="473"/>
      <c r="E963" s="489"/>
      <c r="F963" s="473"/>
      <c r="G963" s="453"/>
      <c r="H963" s="473"/>
    </row>
    <row r="964" spans="1:8" x14ac:dyDescent="0.2">
      <c r="A964" s="453"/>
      <c r="B964" s="453"/>
      <c r="C964" s="453"/>
      <c r="D964" s="453"/>
      <c r="E964" s="454"/>
      <c r="F964" s="453"/>
      <c r="G964" s="454" t="s">
        <v>605</v>
      </c>
      <c r="H964" s="486">
        <f>ROUND(SUM(H959:H963),0)</f>
        <v>12688</v>
      </c>
    </row>
    <row r="965" spans="1:8" x14ac:dyDescent="0.2">
      <c r="A965" s="453"/>
      <c r="B965" s="453"/>
      <c r="C965" s="453"/>
      <c r="D965" s="453"/>
      <c r="E965" s="454"/>
      <c r="F965" s="453"/>
      <c r="G965" s="453"/>
      <c r="H965" s="453"/>
    </row>
    <row r="966" spans="1:8" x14ac:dyDescent="0.2">
      <c r="A966" s="490"/>
      <c r="B966" s="453"/>
      <c r="C966" s="453"/>
      <c r="D966" s="453"/>
      <c r="E966" s="491" t="s">
        <v>604</v>
      </c>
      <c r="F966" s="492"/>
      <c r="G966" s="492"/>
      <c r="H966" s="493">
        <f>+ROUND(H938+H948+H955+H964,0)</f>
        <v>78332</v>
      </c>
    </row>
    <row r="978" spans="1:8" ht="15.75" customHeight="1" x14ac:dyDescent="0.25">
      <c r="A978" s="448"/>
      <c r="B978" s="448"/>
      <c r="C978" s="1513"/>
      <c r="D978" s="1513"/>
      <c r="E978" s="1513"/>
      <c r="F978" s="449" t="s">
        <v>638</v>
      </c>
      <c r="G978" s="450"/>
      <c r="H978" s="451"/>
    </row>
    <row r="979" spans="1:8" ht="21.75" customHeight="1" x14ac:dyDescent="0.25">
      <c r="A979" s="448"/>
      <c r="B979" s="448"/>
      <c r="C979" s="1513"/>
      <c r="D979" s="1513"/>
      <c r="E979" s="1513"/>
      <c r="F979" s="1514" t="s">
        <v>637</v>
      </c>
      <c r="G979" s="1514"/>
      <c r="H979" s="1514"/>
    </row>
    <row r="980" spans="1:8" x14ac:dyDescent="0.2">
      <c r="A980" s="452"/>
      <c r="B980" s="452"/>
      <c r="C980" s="1513"/>
      <c r="D980" s="1513"/>
      <c r="E980" s="1513"/>
      <c r="F980" s="1514"/>
      <c r="G980" s="1514"/>
      <c r="H980" s="1514"/>
    </row>
    <row r="981" spans="1:8" x14ac:dyDescent="0.2">
      <c r="A981" s="444"/>
      <c r="B981" s="1515"/>
      <c r="C981" s="1516"/>
      <c r="D981" s="1516"/>
      <c r="E981" s="444"/>
      <c r="F981" s="453"/>
      <c r="G981" s="454"/>
      <c r="H981" s="455"/>
    </row>
    <row r="982" spans="1:8" x14ac:dyDescent="0.2">
      <c r="A982" s="500" t="s">
        <v>578</v>
      </c>
      <c r="B982" s="397" t="s">
        <v>577</v>
      </c>
      <c r="C982" s="417"/>
      <c r="D982" s="457"/>
      <c r="E982" s="454"/>
      <c r="F982" s="453"/>
      <c r="G982" s="454" t="s">
        <v>634</v>
      </c>
      <c r="H982" s="455" t="s">
        <v>2</v>
      </c>
    </row>
    <row r="983" spans="1:8" x14ac:dyDescent="0.2">
      <c r="A983" s="458" t="s">
        <v>69</v>
      </c>
      <c r="B983" s="1517" t="s">
        <v>652</v>
      </c>
      <c r="C983" s="1517"/>
      <c r="D983" s="1517"/>
      <c r="E983" s="1517"/>
      <c r="F983" s="459"/>
      <c r="G983" s="454"/>
      <c r="H983" s="455"/>
    </row>
    <row r="984" spans="1:8" x14ac:dyDescent="0.2">
      <c r="A984" s="458"/>
      <c r="B984" s="1517"/>
      <c r="C984" s="1517"/>
      <c r="D984" s="1517"/>
      <c r="E984" s="1517"/>
      <c r="F984" s="461"/>
      <c r="G984" s="454"/>
      <c r="H984" s="455"/>
    </row>
    <row r="985" spans="1:8" x14ac:dyDescent="0.2">
      <c r="A985" s="458"/>
      <c r="B985" s="459"/>
      <c r="C985" s="459"/>
      <c r="D985" s="459"/>
      <c r="E985" s="459"/>
      <c r="F985" s="459"/>
      <c r="G985" s="416"/>
      <c r="H985" s="416"/>
    </row>
    <row r="986" spans="1:8" x14ac:dyDescent="0.2">
      <c r="A986" s="462" t="s">
        <v>633</v>
      </c>
      <c r="B986" s="462"/>
      <c r="C986" s="453"/>
      <c r="D986" s="445"/>
      <c r="E986" s="445"/>
      <c r="F986" s="445"/>
      <c r="G986" s="445"/>
      <c r="H986" s="445"/>
    </row>
    <row r="987" spans="1:8" x14ac:dyDescent="0.2">
      <c r="A987" s="463" t="s">
        <v>622</v>
      </c>
      <c r="B987" s="453"/>
      <c r="C987" s="446" t="s">
        <v>1</v>
      </c>
      <c r="D987" s="446"/>
      <c r="E987" s="446" t="s">
        <v>632</v>
      </c>
      <c r="F987" s="446" t="s">
        <v>631</v>
      </c>
      <c r="G987" s="446" t="s">
        <v>618</v>
      </c>
      <c r="H987" s="446" t="s">
        <v>627</v>
      </c>
    </row>
    <row r="988" spans="1:8" x14ac:dyDescent="0.2">
      <c r="A988" s="464"/>
      <c r="B988" s="465" t="s">
        <v>648</v>
      </c>
      <c r="C988" s="453"/>
      <c r="D988" s="453"/>
      <c r="E988" s="455">
        <v>56000</v>
      </c>
      <c r="F988" s="453">
        <v>8</v>
      </c>
      <c r="G988" s="466">
        <f>E988/F988</f>
        <v>7000</v>
      </c>
      <c r="H988" s="466">
        <f>+G988</f>
        <v>7000</v>
      </c>
    </row>
    <row r="989" spans="1:8" x14ac:dyDescent="0.2">
      <c r="A989" s="464"/>
      <c r="B989" s="465"/>
      <c r="C989" s="453"/>
      <c r="D989" s="453"/>
      <c r="E989" s="455"/>
      <c r="F989" s="453"/>
      <c r="G989" s="466"/>
      <c r="H989" s="466"/>
    </row>
    <row r="990" spans="1:8" x14ac:dyDescent="0.2">
      <c r="A990" s="464"/>
      <c r="B990" s="465"/>
      <c r="C990" s="465"/>
      <c r="D990" s="453"/>
      <c r="E990" s="455"/>
      <c r="F990" s="453"/>
      <c r="G990" s="453"/>
      <c r="H990" s="453"/>
    </row>
    <row r="991" spans="1:8" x14ac:dyDescent="0.2">
      <c r="A991" s="453"/>
      <c r="B991" s="453"/>
      <c r="C991" s="453"/>
      <c r="D991" s="453"/>
      <c r="E991" s="454"/>
      <c r="F991" s="453"/>
      <c r="G991" s="454" t="s">
        <v>605</v>
      </c>
      <c r="H991" s="467">
        <f>ROUND(SUM(H988:H990),0)</f>
        <v>7000</v>
      </c>
    </row>
    <row r="992" spans="1:8" x14ac:dyDescent="0.2">
      <c r="A992" s="453"/>
      <c r="B992" s="453"/>
      <c r="C992" s="453"/>
      <c r="D992" s="453"/>
      <c r="E992" s="454"/>
      <c r="F992" s="453"/>
      <c r="G992" s="454"/>
      <c r="H992" s="467"/>
    </row>
    <row r="993" spans="1:8" x14ac:dyDescent="0.2">
      <c r="A993" s="462" t="s">
        <v>629</v>
      </c>
      <c r="B993" s="462"/>
      <c r="C993" s="462"/>
      <c r="D993" s="462"/>
      <c r="E993" s="454"/>
      <c r="F993" s="453"/>
      <c r="G993" s="453"/>
      <c r="H993" s="453"/>
    </row>
    <row r="994" spans="1:8" x14ac:dyDescent="0.2">
      <c r="A994" s="463" t="s">
        <v>622</v>
      </c>
      <c r="B994" s="453"/>
      <c r="C994" s="446" t="s">
        <v>1</v>
      </c>
      <c r="D994" s="446"/>
      <c r="E994" s="446" t="s">
        <v>15</v>
      </c>
      <c r="F994" s="446" t="s">
        <v>628</v>
      </c>
      <c r="G994" s="446" t="s">
        <v>618</v>
      </c>
      <c r="H994" s="446" t="s">
        <v>627</v>
      </c>
    </row>
    <row r="995" spans="1:8" ht="29.25" customHeight="1" x14ac:dyDescent="0.2">
      <c r="A995" s="464"/>
      <c r="B995" s="1522" t="s">
        <v>651</v>
      </c>
      <c r="C995" s="1522"/>
      <c r="D995" s="1522"/>
      <c r="E995" s="455" t="s">
        <v>15</v>
      </c>
      <c r="F995" s="494">
        <v>1</v>
      </c>
      <c r="G995" s="469">
        <v>193675</v>
      </c>
      <c r="H995" s="470">
        <f>+ROUND(F995*G995,0)</f>
        <v>193675</v>
      </c>
    </row>
    <row r="996" spans="1:8" ht="27" customHeight="1" x14ac:dyDescent="0.2">
      <c r="A996" s="464"/>
      <c r="B996" s="1522" t="s">
        <v>650</v>
      </c>
      <c r="C996" s="1522"/>
      <c r="D996" s="1522"/>
      <c r="E996" s="455" t="s">
        <v>15</v>
      </c>
      <c r="F996" s="494">
        <v>1</v>
      </c>
      <c r="G996" s="469">
        <v>263000</v>
      </c>
      <c r="H996" s="470">
        <f>+ROUND(F996*G996,0)</f>
        <v>263000</v>
      </c>
    </row>
    <row r="997" spans="1:8" x14ac:dyDescent="0.2">
      <c r="A997" s="464"/>
      <c r="B997" s="1522"/>
      <c r="C997" s="1522"/>
      <c r="D997" s="1522"/>
      <c r="E997" s="455"/>
      <c r="F997" s="494"/>
      <c r="G997" s="469"/>
      <c r="H997" s="470">
        <f>+ROUND(F997*G997,0)</f>
        <v>0</v>
      </c>
    </row>
    <row r="998" spans="1:8" x14ac:dyDescent="0.2">
      <c r="A998" s="464"/>
      <c r="B998" s="1522"/>
      <c r="C998" s="1522"/>
      <c r="D998" s="1522"/>
      <c r="E998" s="455"/>
      <c r="F998" s="494"/>
      <c r="G998" s="469"/>
      <c r="H998" s="470">
        <f>+ROUND(F998*G998,0)</f>
        <v>0</v>
      </c>
    </row>
    <row r="999" spans="1:8" x14ac:dyDescent="0.2">
      <c r="A999" s="464"/>
      <c r="B999" s="496"/>
      <c r="C999" s="472"/>
      <c r="D999" s="472"/>
      <c r="E999" s="455"/>
      <c r="F999" s="494"/>
      <c r="G999" s="469"/>
      <c r="H999" s="470">
        <f>+ROUND(F999*G999,0)</f>
        <v>0</v>
      </c>
    </row>
    <row r="1000" spans="1:8" x14ac:dyDescent="0.2">
      <c r="A1000" s="464"/>
      <c r="B1000" s="453"/>
      <c r="C1000" s="453"/>
      <c r="D1000" s="453"/>
      <c r="E1000" s="454"/>
      <c r="F1000" s="453"/>
      <c r="G1000" s="473"/>
      <c r="H1000" s="473"/>
    </row>
    <row r="1001" spans="1:8" x14ac:dyDescent="0.2">
      <c r="A1001" s="453"/>
      <c r="B1001" s="453"/>
      <c r="C1001" s="453"/>
      <c r="D1001" s="453"/>
      <c r="E1001" s="454"/>
      <c r="F1001" s="453"/>
      <c r="G1001" s="454" t="s">
        <v>605</v>
      </c>
      <c r="H1001" s="462">
        <f>ROUND(SUM(H995:H1000),0)</f>
        <v>456675</v>
      </c>
    </row>
    <row r="1002" spans="1:8" x14ac:dyDescent="0.2">
      <c r="A1002" s="453"/>
      <c r="B1002" s="453"/>
      <c r="C1002" s="453"/>
      <c r="D1002" s="453"/>
      <c r="E1002" s="454"/>
      <c r="F1002" s="453"/>
      <c r="G1002" s="454"/>
      <c r="H1002" s="462"/>
    </row>
    <row r="1003" spans="1:8" x14ac:dyDescent="0.2">
      <c r="A1003" s="462" t="s">
        <v>623</v>
      </c>
      <c r="B1003" s="453"/>
      <c r="C1003" s="453"/>
      <c r="D1003" s="453"/>
      <c r="E1003" s="454"/>
      <c r="F1003" s="453"/>
      <c r="G1003" s="454"/>
      <c r="H1003" s="462"/>
    </row>
    <row r="1004" spans="1:8" x14ac:dyDescent="0.2">
      <c r="A1004" s="463" t="s">
        <v>622</v>
      </c>
      <c r="B1004" s="1521" t="s">
        <v>621</v>
      </c>
      <c r="C1004" s="1521"/>
      <c r="D1004" s="474" t="s">
        <v>620</v>
      </c>
      <c r="E1004" s="475" t="s">
        <v>2</v>
      </c>
      <c r="F1004" s="476" t="s">
        <v>619</v>
      </c>
      <c r="G1004" s="477" t="s">
        <v>618</v>
      </c>
      <c r="H1004" s="477" t="s">
        <v>600</v>
      </c>
    </row>
    <row r="1005" spans="1:8" x14ac:dyDescent="0.2">
      <c r="A1005" s="478"/>
      <c r="B1005" s="465" t="s">
        <v>645</v>
      </c>
      <c r="D1005" s="479">
        <v>0.01</v>
      </c>
      <c r="E1005" s="455" t="s">
        <v>616</v>
      </c>
      <c r="F1005" s="480">
        <v>1</v>
      </c>
      <c r="G1005" s="469">
        <v>180000</v>
      </c>
      <c r="H1005" s="473">
        <f>+ROUND(D1005*G1005,0)</f>
        <v>1800</v>
      </c>
    </row>
    <row r="1006" spans="1:8" x14ac:dyDescent="0.2">
      <c r="A1006" s="478"/>
      <c r="B1006" s="465"/>
      <c r="D1006" s="481"/>
      <c r="E1006" s="455"/>
      <c r="F1006" s="482"/>
      <c r="G1006" s="483"/>
      <c r="H1006" s="470"/>
    </row>
    <row r="1007" spans="1:8" x14ac:dyDescent="0.2">
      <c r="A1007" s="478"/>
      <c r="E1007" s="484"/>
      <c r="F1007" s="484"/>
      <c r="G1007" s="473"/>
      <c r="H1007" s="470"/>
    </row>
    <row r="1008" spans="1:8" x14ac:dyDescent="0.2">
      <c r="E1008" s="485"/>
      <c r="F1008" s="484"/>
      <c r="G1008" s="454" t="s">
        <v>605</v>
      </c>
      <c r="H1008" s="486">
        <f>ROUND(SUM(H1005:H1007),0)</f>
        <v>1800</v>
      </c>
    </row>
    <row r="1009" spans="1:8" x14ac:dyDescent="0.2">
      <c r="E1009" s="485"/>
      <c r="F1009" s="484"/>
      <c r="G1009" s="454"/>
      <c r="H1009" s="486"/>
    </row>
    <row r="1010" spans="1:8" x14ac:dyDescent="0.2">
      <c r="A1010" s="462" t="s">
        <v>615</v>
      </c>
      <c r="B1010" s="462"/>
      <c r="C1010" s="462"/>
      <c r="D1010" s="453"/>
      <c r="E1010" s="454"/>
      <c r="F1010" s="453"/>
      <c r="G1010" s="453"/>
      <c r="H1010" s="453"/>
    </row>
    <row r="1011" spans="1:8" x14ac:dyDescent="0.2">
      <c r="A1011" s="487" t="s">
        <v>421</v>
      </c>
      <c r="B1011" s="1512" t="s">
        <v>614</v>
      </c>
      <c r="C1011" s="1512"/>
      <c r="D1011" s="446" t="s">
        <v>613</v>
      </c>
      <c r="E1011" s="446" t="s">
        <v>612</v>
      </c>
      <c r="F1011" s="446" t="s">
        <v>611</v>
      </c>
      <c r="G1011" s="446" t="s">
        <v>610</v>
      </c>
      <c r="H1011" s="446" t="s">
        <v>609</v>
      </c>
    </row>
    <row r="1012" spans="1:8" x14ac:dyDescent="0.2">
      <c r="A1012" s="488">
        <v>1</v>
      </c>
      <c r="B1012" s="465" t="s">
        <v>608</v>
      </c>
      <c r="C1012" s="465"/>
      <c r="D1012" s="483">
        <v>80000</v>
      </c>
      <c r="E1012" s="489">
        <f>D1012*75%</f>
        <v>60000</v>
      </c>
      <c r="F1012" s="473">
        <f>(D1012+E1012)*A1012</f>
        <v>140000</v>
      </c>
      <c r="G1012" s="453">
        <v>4</v>
      </c>
      <c r="H1012" s="473">
        <f>+ROUND(F1012/G1012,0)</f>
        <v>35000</v>
      </c>
    </row>
    <row r="1013" spans="1:8" x14ac:dyDescent="0.2">
      <c r="A1013" s="488">
        <v>1</v>
      </c>
      <c r="B1013" s="447" t="s">
        <v>607</v>
      </c>
      <c r="C1013" s="465"/>
      <c r="D1013" s="483">
        <v>40000</v>
      </c>
      <c r="E1013" s="489">
        <f>D1013*75%</f>
        <v>30000</v>
      </c>
      <c r="F1013" s="473">
        <f>(D1013+E1013)*A1013</f>
        <v>70000</v>
      </c>
      <c r="G1013" s="453">
        <v>4</v>
      </c>
      <c r="H1013" s="473">
        <f>+ROUND(F1013/G1013,0)</f>
        <v>17500</v>
      </c>
    </row>
    <row r="1014" spans="1:8" x14ac:dyDescent="0.2">
      <c r="A1014" s="488">
        <v>1</v>
      </c>
      <c r="B1014" s="465" t="s">
        <v>606</v>
      </c>
      <c r="C1014" s="465"/>
      <c r="D1014" s="483">
        <v>25000</v>
      </c>
      <c r="E1014" s="489">
        <f>D1014*75%</f>
        <v>18750</v>
      </c>
      <c r="F1014" s="473">
        <f>(D1014+E1014)*A1014</f>
        <v>43750</v>
      </c>
      <c r="G1014" s="453">
        <v>4</v>
      </c>
      <c r="H1014" s="473">
        <f>+ROUND(F1014/G1014,0)</f>
        <v>10938</v>
      </c>
    </row>
    <row r="1015" spans="1:8" x14ac:dyDescent="0.2">
      <c r="A1015" s="488"/>
      <c r="B1015" s="465"/>
      <c r="C1015" s="465"/>
      <c r="D1015" s="483"/>
      <c r="E1015" s="489"/>
      <c r="F1015" s="473"/>
      <c r="G1015" s="453"/>
      <c r="H1015" s="473"/>
    </row>
    <row r="1016" spans="1:8" x14ac:dyDescent="0.2">
      <c r="A1016" s="488"/>
      <c r="B1016" s="453"/>
      <c r="C1016" s="453"/>
      <c r="D1016" s="473"/>
      <c r="E1016" s="489"/>
      <c r="F1016" s="473"/>
      <c r="G1016" s="453"/>
      <c r="H1016" s="473"/>
    </row>
    <row r="1017" spans="1:8" x14ac:dyDescent="0.2">
      <c r="A1017" s="453"/>
      <c r="B1017" s="453"/>
      <c r="C1017" s="453"/>
      <c r="D1017" s="453"/>
      <c r="E1017" s="454"/>
      <c r="F1017" s="453"/>
      <c r="G1017" s="454" t="s">
        <v>605</v>
      </c>
      <c r="H1017" s="486">
        <f>ROUND(SUM(H1012:H1016),0)</f>
        <v>63438</v>
      </c>
    </row>
    <row r="1018" spans="1:8" x14ac:dyDescent="0.2">
      <c r="A1018" s="453"/>
      <c r="B1018" s="453"/>
      <c r="C1018" s="453"/>
      <c r="D1018" s="453"/>
      <c r="E1018" s="454"/>
      <c r="F1018" s="453"/>
      <c r="G1018" s="453"/>
      <c r="H1018" s="453"/>
    </row>
    <row r="1019" spans="1:8" x14ac:dyDescent="0.2">
      <c r="A1019" s="490"/>
      <c r="B1019" s="453"/>
      <c r="C1019" s="453"/>
      <c r="D1019" s="453"/>
      <c r="E1019" s="491" t="s">
        <v>604</v>
      </c>
      <c r="F1019" s="492"/>
      <c r="G1019" s="492"/>
      <c r="H1019" s="493">
        <f>+ROUND(H991+H1001+H1008+H1017,0)</f>
        <v>528913</v>
      </c>
    </row>
    <row r="1026" spans="1:8" ht="15.75" customHeight="1" x14ac:dyDescent="0.25">
      <c r="A1026" s="448"/>
      <c r="B1026" s="448"/>
      <c r="C1026" s="1513"/>
      <c r="D1026" s="1513"/>
      <c r="E1026" s="1513"/>
      <c r="F1026" s="449" t="s">
        <v>638</v>
      </c>
      <c r="G1026" s="450"/>
      <c r="H1026" s="451"/>
    </row>
    <row r="1027" spans="1:8" ht="30" customHeight="1" x14ac:dyDescent="0.25">
      <c r="A1027" s="448"/>
      <c r="B1027" s="448"/>
      <c r="C1027" s="1513"/>
      <c r="D1027" s="1513"/>
      <c r="E1027" s="1513"/>
      <c r="F1027" s="1514" t="s">
        <v>637</v>
      </c>
      <c r="G1027" s="1514"/>
      <c r="H1027" s="1514"/>
    </row>
    <row r="1028" spans="1:8" x14ac:dyDescent="0.2">
      <c r="A1028" s="452"/>
      <c r="B1028" s="452"/>
      <c r="C1028" s="1513"/>
      <c r="D1028" s="1513"/>
      <c r="E1028" s="1513"/>
      <c r="F1028" s="1514"/>
      <c r="G1028" s="1514"/>
      <c r="H1028" s="1514"/>
    </row>
    <row r="1029" spans="1:8" x14ac:dyDescent="0.2">
      <c r="A1029" s="444"/>
      <c r="B1029" s="1515"/>
      <c r="C1029" s="1516"/>
      <c r="D1029" s="1516"/>
      <c r="E1029" s="444"/>
      <c r="F1029" s="453"/>
      <c r="G1029" s="454"/>
      <c r="H1029" s="455"/>
    </row>
    <row r="1030" spans="1:8" x14ac:dyDescent="0.2">
      <c r="A1030" s="500" t="s">
        <v>578</v>
      </c>
      <c r="B1030" s="397" t="s">
        <v>577</v>
      </c>
      <c r="C1030" s="417"/>
      <c r="D1030" s="457"/>
      <c r="E1030" s="454"/>
      <c r="F1030" s="453"/>
      <c r="G1030" s="454" t="s">
        <v>634</v>
      </c>
      <c r="H1030" s="455" t="s">
        <v>2</v>
      </c>
    </row>
    <row r="1031" spans="1:8" x14ac:dyDescent="0.2">
      <c r="A1031" s="458" t="s">
        <v>70</v>
      </c>
      <c r="B1031" s="1517" t="s">
        <v>649</v>
      </c>
      <c r="C1031" s="1517"/>
      <c r="D1031" s="1517"/>
      <c r="E1031" s="1517"/>
      <c r="F1031" s="459"/>
      <c r="G1031" s="454"/>
      <c r="H1031" s="455"/>
    </row>
    <row r="1032" spans="1:8" x14ac:dyDescent="0.2">
      <c r="A1032" s="458"/>
      <c r="B1032" s="1517"/>
      <c r="C1032" s="1517"/>
      <c r="D1032" s="1517"/>
      <c r="E1032" s="1517"/>
      <c r="F1032" s="461"/>
      <c r="G1032" s="454"/>
      <c r="H1032" s="455"/>
    </row>
    <row r="1033" spans="1:8" x14ac:dyDescent="0.2">
      <c r="A1033" s="458"/>
      <c r="B1033" s="459"/>
      <c r="C1033" s="459"/>
      <c r="D1033" s="459"/>
      <c r="E1033" s="459"/>
      <c r="F1033" s="459"/>
      <c r="G1033" s="416"/>
      <c r="H1033" s="416"/>
    </row>
    <row r="1034" spans="1:8" x14ac:dyDescent="0.2">
      <c r="A1034" s="462" t="s">
        <v>633</v>
      </c>
      <c r="B1034" s="462"/>
      <c r="C1034" s="453"/>
      <c r="D1034" s="445"/>
      <c r="E1034" s="445"/>
      <c r="F1034" s="445"/>
      <c r="G1034" s="445"/>
      <c r="H1034" s="445"/>
    </row>
    <row r="1035" spans="1:8" x14ac:dyDescent="0.2">
      <c r="A1035" s="463" t="s">
        <v>622</v>
      </c>
      <c r="B1035" s="453"/>
      <c r="C1035" s="446" t="s">
        <v>1</v>
      </c>
      <c r="D1035" s="446"/>
      <c r="E1035" s="446" t="s">
        <v>632</v>
      </c>
      <c r="F1035" s="446" t="s">
        <v>631</v>
      </c>
      <c r="G1035" s="446" t="s">
        <v>618</v>
      </c>
      <c r="H1035" s="446" t="s">
        <v>627</v>
      </c>
    </row>
    <row r="1036" spans="1:8" x14ac:dyDescent="0.2">
      <c r="A1036" s="464"/>
      <c r="B1036" s="465" t="s">
        <v>648</v>
      </c>
      <c r="C1036" s="453"/>
      <c r="D1036" s="453"/>
      <c r="E1036" s="455">
        <v>56000</v>
      </c>
      <c r="F1036" s="453">
        <v>1</v>
      </c>
      <c r="G1036" s="466">
        <f>E1036/F1036</f>
        <v>56000</v>
      </c>
      <c r="H1036" s="466">
        <f>+G1036</f>
        <v>56000</v>
      </c>
    </row>
    <row r="1037" spans="1:8" x14ac:dyDescent="0.2">
      <c r="A1037" s="464"/>
      <c r="B1037" s="465"/>
      <c r="C1037" s="453"/>
      <c r="D1037" s="453"/>
      <c r="E1037" s="455"/>
      <c r="F1037" s="453"/>
      <c r="G1037" s="466"/>
      <c r="H1037" s="466"/>
    </row>
    <row r="1038" spans="1:8" x14ac:dyDescent="0.2">
      <c r="A1038" s="464"/>
      <c r="B1038" s="465"/>
      <c r="C1038" s="465"/>
      <c r="D1038" s="453"/>
      <c r="E1038" s="455"/>
      <c r="F1038" s="453"/>
      <c r="G1038" s="453"/>
      <c r="H1038" s="453"/>
    </row>
    <row r="1039" spans="1:8" x14ac:dyDescent="0.2">
      <c r="A1039" s="453"/>
      <c r="B1039" s="453"/>
      <c r="C1039" s="453"/>
      <c r="D1039" s="453"/>
      <c r="E1039" s="454"/>
      <c r="F1039" s="453"/>
      <c r="G1039" s="454" t="s">
        <v>605</v>
      </c>
      <c r="H1039" s="467">
        <f>ROUND(SUM(H1036:H1038),0)</f>
        <v>56000</v>
      </c>
    </row>
    <row r="1040" spans="1:8" x14ac:dyDescent="0.2">
      <c r="A1040" s="453"/>
      <c r="B1040" s="453"/>
      <c r="C1040" s="453"/>
      <c r="D1040" s="453"/>
      <c r="E1040" s="454"/>
      <c r="F1040" s="453"/>
      <c r="G1040" s="454"/>
      <c r="H1040" s="467"/>
    </row>
    <row r="1041" spans="1:8" x14ac:dyDescent="0.2">
      <c r="A1041" s="462" t="s">
        <v>629</v>
      </c>
      <c r="B1041" s="462"/>
      <c r="C1041" s="462"/>
      <c r="D1041" s="462"/>
      <c r="E1041" s="454"/>
      <c r="F1041" s="453"/>
      <c r="G1041" s="453"/>
      <c r="H1041" s="453"/>
    </row>
    <row r="1042" spans="1:8" x14ac:dyDescent="0.2">
      <c r="A1042" s="463" t="s">
        <v>622</v>
      </c>
      <c r="B1042" s="453"/>
      <c r="C1042" s="446" t="s">
        <v>1</v>
      </c>
      <c r="D1042" s="446"/>
      <c r="E1042" s="446" t="s">
        <v>15</v>
      </c>
      <c r="F1042" s="446" t="s">
        <v>628</v>
      </c>
      <c r="G1042" s="446" t="s">
        <v>618</v>
      </c>
      <c r="H1042" s="446" t="s">
        <v>627</v>
      </c>
    </row>
    <row r="1043" spans="1:8" x14ac:dyDescent="0.2">
      <c r="A1043" s="464"/>
      <c r="B1043" s="1522" t="s">
        <v>647</v>
      </c>
      <c r="C1043" s="1522"/>
      <c r="D1043" s="1522"/>
      <c r="E1043" s="455" t="s">
        <v>15</v>
      </c>
      <c r="F1043" s="494">
        <v>1</v>
      </c>
      <c r="G1043" s="469">
        <v>7394250</v>
      </c>
      <c r="H1043" s="470">
        <f>+ROUND(F1043*G1043,0)</f>
        <v>7394250</v>
      </c>
    </row>
    <row r="1044" spans="1:8" x14ac:dyDescent="0.2">
      <c r="A1044" s="464"/>
      <c r="B1044" s="1522" t="s">
        <v>646</v>
      </c>
      <c r="C1044" s="1522"/>
      <c r="D1044" s="1522"/>
      <c r="E1044" s="455" t="s">
        <v>15</v>
      </c>
      <c r="F1044" s="494">
        <v>1</v>
      </c>
      <c r="G1044" s="469">
        <v>1789000</v>
      </c>
      <c r="H1044" s="470">
        <f>+ROUND(F1044*G1044,0)</f>
        <v>1789000</v>
      </c>
    </row>
    <row r="1045" spans="1:8" x14ac:dyDescent="0.2">
      <c r="A1045" s="464"/>
      <c r="B1045" s="1522"/>
      <c r="C1045" s="1522"/>
      <c r="D1045" s="1522"/>
      <c r="E1045" s="455"/>
      <c r="F1045" s="494"/>
      <c r="G1045" s="469"/>
      <c r="H1045" s="470">
        <f>+ROUND(F1045*G1045,0)</f>
        <v>0</v>
      </c>
    </row>
    <row r="1046" spans="1:8" x14ac:dyDescent="0.2">
      <c r="A1046" s="464"/>
      <c r="B1046" s="1522"/>
      <c r="C1046" s="1522"/>
      <c r="D1046" s="1522"/>
      <c r="E1046" s="455"/>
      <c r="F1046" s="494"/>
      <c r="G1046" s="469"/>
      <c r="H1046" s="470">
        <f>+ROUND(F1046*G1046,0)</f>
        <v>0</v>
      </c>
    </row>
    <row r="1047" spans="1:8" x14ac:dyDescent="0.2">
      <c r="A1047" s="464"/>
      <c r="B1047" s="496"/>
      <c r="C1047" s="472"/>
      <c r="D1047" s="472"/>
      <c r="E1047" s="455"/>
      <c r="F1047" s="494"/>
      <c r="G1047" s="469"/>
      <c r="H1047" s="470">
        <f>+ROUND(F1047*G1047,0)</f>
        <v>0</v>
      </c>
    </row>
    <row r="1048" spans="1:8" x14ac:dyDescent="0.2">
      <c r="A1048" s="464"/>
      <c r="B1048" s="453"/>
      <c r="C1048" s="453"/>
      <c r="D1048" s="453"/>
      <c r="E1048" s="454"/>
      <c r="F1048" s="453"/>
      <c r="G1048" s="473"/>
      <c r="H1048" s="473"/>
    </row>
    <row r="1049" spans="1:8" x14ac:dyDescent="0.2">
      <c r="A1049" s="453"/>
      <c r="B1049" s="453"/>
      <c r="C1049" s="453"/>
      <c r="D1049" s="453"/>
      <c r="E1049" s="454"/>
      <c r="F1049" s="453"/>
      <c r="G1049" s="454" t="s">
        <v>605</v>
      </c>
      <c r="H1049" s="462">
        <f>ROUND(SUM(H1043:H1048),0)</f>
        <v>9183250</v>
      </c>
    </row>
    <row r="1050" spans="1:8" x14ac:dyDescent="0.2">
      <c r="A1050" s="453"/>
      <c r="B1050" s="453"/>
      <c r="C1050" s="453"/>
      <c r="D1050" s="453"/>
      <c r="E1050" s="454"/>
      <c r="F1050" s="453"/>
      <c r="G1050" s="454"/>
      <c r="H1050" s="462"/>
    </row>
    <row r="1051" spans="1:8" x14ac:dyDescent="0.2">
      <c r="A1051" s="462" t="s">
        <v>623</v>
      </c>
      <c r="B1051" s="453"/>
      <c r="C1051" s="453"/>
      <c r="D1051" s="453"/>
      <c r="E1051" s="454"/>
      <c r="F1051" s="453"/>
      <c r="G1051" s="454"/>
      <c r="H1051" s="462"/>
    </row>
    <row r="1052" spans="1:8" x14ac:dyDescent="0.2">
      <c r="A1052" s="463" t="s">
        <v>622</v>
      </c>
      <c r="B1052" s="1521" t="s">
        <v>621</v>
      </c>
      <c r="C1052" s="1521"/>
      <c r="D1052" s="474" t="s">
        <v>620</v>
      </c>
      <c r="E1052" s="475" t="s">
        <v>2</v>
      </c>
      <c r="F1052" s="476" t="s">
        <v>619</v>
      </c>
      <c r="G1052" s="477" t="s">
        <v>618</v>
      </c>
      <c r="H1052" s="477" t="s">
        <v>600</v>
      </c>
    </row>
    <row r="1053" spans="1:8" x14ac:dyDescent="0.2">
      <c r="A1053" s="478"/>
      <c r="B1053" s="465" t="s">
        <v>645</v>
      </c>
      <c r="D1053" s="479">
        <v>0.05</v>
      </c>
      <c r="E1053" s="455" t="s">
        <v>616</v>
      </c>
      <c r="F1053" s="480">
        <v>1</v>
      </c>
      <c r="G1053" s="469">
        <v>380000</v>
      </c>
      <c r="H1053" s="473">
        <f>+ROUND(D1053*G1053,0)</f>
        <v>19000</v>
      </c>
    </row>
    <row r="1054" spans="1:8" x14ac:dyDescent="0.2">
      <c r="A1054" s="478"/>
      <c r="B1054" s="465"/>
      <c r="D1054" s="481"/>
      <c r="E1054" s="455"/>
      <c r="F1054" s="482"/>
      <c r="G1054" s="483"/>
      <c r="H1054" s="470"/>
    </row>
    <row r="1055" spans="1:8" x14ac:dyDescent="0.2">
      <c r="A1055" s="478"/>
      <c r="E1055" s="484"/>
      <c r="F1055" s="484"/>
      <c r="G1055" s="473"/>
      <c r="H1055" s="470"/>
    </row>
    <row r="1056" spans="1:8" x14ac:dyDescent="0.2">
      <c r="E1056" s="485"/>
      <c r="F1056" s="484"/>
      <c r="G1056" s="454" t="s">
        <v>605</v>
      </c>
      <c r="H1056" s="486">
        <f>ROUND(SUM(H1053:H1055),0)</f>
        <v>19000</v>
      </c>
    </row>
    <row r="1057" spans="1:8" x14ac:dyDescent="0.2">
      <c r="E1057" s="485"/>
      <c r="F1057" s="484"/>
      <c r="G1057" s="454"/>
      <c r="H1057" s="486"/>
    </row>
    <row r="1058" spans="1:8" x14ac:dyDescent="0.2">
      <c r="A1058" s="462" t="s">
        <v>615</v>
      </c>
      <c r="B1058" s="462"/>
      <c r="C1058" s="462"/>
      <c r="D1058" s="453"/>
      <c r="E1058" s="454"/>
      <c r="F1058" s="453"/>
      <c r="G1058" s="453"/>
      <c r="H1058" s="453"/>
    </row>
    <row r="1059" spans="1:8" x14ac:dyDescent="0.2">
      <c r="A1059" s="487" t="s">
        <v>421</v>
      </c>
      <c r="B1059" s="1512" t="s">
        <v>614</v>
      </c>
      <c r="C1059" s="1512"/>
      <c r="D1059" s="446" t="s">
        <v>613</v>
      </c>
      <c r="E1059" s="446" t="s">
        <v>612</v>
      </c>
      <c r="F1059" s="446" t="s">
        <v>611</v>
      </c>
      <c r="G1059" s="446" t="s">
        <v>610</v>
      </c>
      <c r="H1059" s="446" t="s">
        <v>609</v>
      </c>
    </row>
    <row r="1060" spans="1:8" x14ac:dyDescent="0.2">
      <c r="A1060" s="488">
        <v>1</v>
      </c>
      <c r="B1060" s="465" t="s">
        <v>608</v>
      </c>
      <c r="C1060" s="465"/>
      <c r="D1060" s="483">
        <v>80000</v>
      </c>
      <c r="E1060" s="489">
        <f>D1060*75%</f>
        <v>60000</v>
      </c>
      <c r="F1060" s="473">
        <f>(D1060+E1060)*A1060</f>
        <v>140000</v>
      </c>
      <c r="G1060" s="453">
        <v>1</v>
      </c>
      <c r="H1060" s="473">
        <f>+ROUND(F1060/G1060,0)</f>
        <v>140000</v>
      </c>
    </row>
    <row r="1061" spans="1:8" x14ac:dyDescent="0.2">
      <c r="A1061" s="488">
        <v>1</v>
      </c>
      <c r="B1061" s="447" t="s">
        <v>607</v>
      </c>
      <c r="C1061" s="465"/>
      <c r="D1061" s="483">
        <v>40000</v>
      </c>
      <c r="E1061" s="489">
        <f>D1061*75%</f>
        <v>30000</v>
      </c>
      <c r="F1061" s="473">
        <f>(D1061+E1061)*A1061</f>
        <v>70000</v>
      </c>
      <c r="G1061" s="453">
        <v>1</v>
      </c>
      <c r="H1061" s="473">
        <f>+ROUND(F1061/G1061,0)</f>
        <v>70000</v>
      </c>
    </row>
    <row r="1062" spans="1:8" x14ac:dyDescent="0.2">
      <c r="A1062" s="488">
        <v>1</v>
      </c>
      <c r="B1062" s="465" t="s">
        <v>606</v>
      </c>
      <c r="C1062" s="465"/>
      <c r="D1062" s="483">
        <v>25000</v>
      </c>
      <c r="E1062" s="489">
        <f>D1062*75%</f>
        <v>18750</v>
      </c>
      <c r="F1062" s="473">
        <f>(D1062+E1062)*A1062</f>
        <v>43750</v>
      </c>
      <c r="G1062" s="453">
        <v>1</v>
      </c>
      <c r="H1062" s="473">
        <f>+ROUND(F1062/G1062,0)</f>
        <v>43750</v>
      </c>
    </row>
    <row r="1063" spans="1:8" x14ac:dyDescent="0.2">
      <c r="A1063" s="488"/>
      <c r="B1063" s="465"/>
      <c r="C1063" s="465"/>
      <c r="D1063" s="483"/>
      <c r="E1063" s="489"/>
      <c r="F1063" s="473"/>
      <c r="G1063" s="453"/>
      <c r="H1063" s="473"/>
    </row>
    <row r="1064" spans="1:8" x14ac:dyDescent="0.2">
      <c r="A1064" s="488"/>
      <c r="B1064" s="453"/>
      <c r="C1064" s="453"/>
      <c r="D1064" s="473"/>
      <c r="E1064" s="489"/>
      <c r="F1064" s="473"/>
      <c r="G1064" s="453"/>
      <c r="H1064" s="473"/>
    </row>
    <row r="1065" spans="1:8" x14ac:dyDescent="0.2">
      <c r="A1065" s="453"/>
      <c r="B1065" s="453"/>
      <c r="C1065" s="453"/>
      <c r="D1065" s="453"/>
      <c r="E1065" s="454"/>
      <c r="F1065" s="453"/>
      <c r="G1065" s="454" t="s">
        <v>605</v>
      </c>
      <c r="H1065" s="486">
        <f>ROUND(SUM(H1060:H1064),0)</f>
        <v>253750</v>
      </c>
    </row>
    <row r="1066" spans="1:8" x14ac:dyDescent="0.2">
      <c r="A1066" s="453"/>
      <c r="B1066" s="453"/>
      <c r="C1066" s="453"/>
      <c r="D1066" s="453"/>
      <c r="E1066" s="454"/>
      <c r="F1066" s="453"/>
      <c r="G1066" s="453"/>
      <c r="H1066" s="453"/>
    </row>
    <row r="1067" spans="1:8" x14ac:dyDescent="0.2">
      <c r="A1067" s="490"/>
      <c r="B1067" s="453"/>
      <c r="C1067" s="453"/>
      <c r="D1067" s="453"/>
      <c r="E1067" s="491" t="s">
        <v>604</v>
      </c>
      <c r="F1067" s="492"/>
      <c r="G1067" s="492"/>
      <c r="H1067" s="493">
        <f>+ROUND(H1039+H1049+H1056+H1065,0)</f>
        <v>9512000</v>
      </c>
    </row>
    <row r="1075" spans="1:8" ht="15.75" customHeight="1" x14ac:dyDescent="0.25">
      <c r="A1075" s="448"/>
      <c r="B1075" s="448"/>
      <c r="C1075" s="1513"/>
      <c r="D1075" s="1513"/>
      <c r="E1075" s="1513"/>
      <c r="F1075" s="449" t="s">
        <v>638</v>
      </c>
      <c r="G1075" s="450"/>
      <c r="H1075" s="451"/>
    </row>
    <row r="1076" spans="1:8" ht="15.75" x14ac:dyDescent="0.25">
      <c r="A1076" s="448"/>
      <c r="B1076" s="448"/>
      <c r="C1076" s="1513"/>
      <c r="D1076" s="1513"/>
      <c r="E1076" s="1513"/>
      <c r="F1076" s="1514" t="s">
        <v>637</v>
      </c>
      <c r="G1076" s="1514"/>
      <c r="H1076" s="1514"/>
    </row>
    <row r="1077" spans="1:8" x14ac:dyDescent="0.2">
      <c r="A1077" s="452"/>
      <c r="B1077" s="452"/>
      <c r="C1077" s="1513"/>
      <c r="D1077" s="1513"/>
      <c r="E1077" s="1513"/>
      <c r="F1077" s="1514"/>
      <c r="G1077" s="1514"/>
      <c r="H1077" s="1514"/>
    </row>
    <row r="1078" spans="1:8" x14ac:dyDescent="0.2">
      <c r="A1078" s="444"/>
      <c r="B1078" s="1515"/>
      <c r="C1078" s="1516"/>
      <c r="D1078" s="1516"/>
      <c r="E1078" s="444"/>
      <c r="F1078" s="453"/>
      <c r="G1078" s="454"/>
      <c r="H1078" s="455"/>
    </row>
    <row r="1079" spans="1:8" x14ac:dyDescent="0.2">
      <c r="A1079" s="501">
        <v>3</v>
      </c>
      <c r="B1079" s="418" t="s">
        <v>643</v>
      </c>
      <c r="C1079" s="417"/>
      <c r="D1079" s="457"/>
      <c r="E1079" s="454"/>
      <c r="F1079" s="453"/>
      <c r="G1079" s="454" t="s">
        <v>634</v>
      </c>
      <c r="H1079" s="455" t="s">
        <v>2</v>
      </c>
    </row>
    <row r="1080" spans="1:8" x14ac:dyDescent="0.2">
      <c r="A1080" s="458">
        <v>3.1</v>
      </c>
      <c r="B1080" s="1517" t="s">
        <v>571</v>
      </c>
      <c r="C1080" s="1517"/>
      <c r="D1080" s="1517"/>
      <c r="E1080" s="1517"/>
      <c r="F1080" s="459"/>
      <c r="G1080" s="454"/>
      <c r="H1080" s="455"/>
    </row>
    <row r="1081" spans="1:8" x14ac:dyDescent="0.2">
      <c r="A1081" s="458"/>
      <c r="B1081" s="1517"/>
      <c r="C1081" s="1517"/>
      <c r="D1081" s="1517"/>
      <c r="E1081" s="1517"/>
      <c r="F1081" s="461"/>
      <c r="G1081" s="454"/>
      <c r="H1081" s="455"/>
    </row>
    <row r="1082" spans="1:8" x14ac:dyDescent="0.2">
      <c r="A1082" s="458"/>
      <c r="B1082" s="459"/>
      <c r="C1082" s="459"/>
      <c r="D1082" s="459"/>
      <c r="E1082" s="459"/>
      <c r="F1082" s="459"/>
      <c r="G1082" s="416"/>
      <c r="H1082" s="416"/>
    </row>
    <row r="1083" spans="1:8" x14ac:dyDescent="0.2">
      <c r="A1083" s="462" t="s">
        <v>633</v>
      </c>
      <c r="B1083" s="462"/>
      <c r="C1083" s="453"/>
      <c r="D1083" s="445"/>
      <c r="E1083" s="445"/>
      <c r="F1083" s="445"/>
      <c r="G1083" s="445"/>
      <c r="H1083" s="445"/>
    </row>
    <row r="1084" spans="1:8" x14ac:dyDescent="0.2">
      <c r="A1084" s="463" t="s">
        <v>622</v>
      </c>
      <c r="B1084" s="453"/>
      <c r="C1084" s="446" t="s">
        <v>1</v>
      </c>
      <c r="D1084" s="446"/>
      <c r="E1084" s="446" t="s">
        <v>632</v>
      </c>
      <c r="F1084" s="446" t="s">
        <v>631</v>
      </c>
      <c r="G1084" s="446" t="s">
        <v>618</v>
      </c>
      <c r="H1084" s="446" t="s">
        <v>627</v>
      </c>
    </row>
    <row r="1085" spans="1:8" x14ac:dyDescent="0.2">
      <c r="A1085" s="464"/>
      <c r="B1085" s="1518" t="s">
        <v>630</v>
      </c>
      <c r="C1085" s="1518"/>
      <c r="D1085" s="1518"/>
      <c r="E1085" s="455">
        <v>60000</v>
      </c>
      <c r="F1085" s="453">
        <v>0.02</v>
      </c>
      <c r="G1085" s="466">
        <f>F1085*E1085</f>
        <v>1200</v>
      </c>
      <c r="H1085" s="466">
        <f>+G1085</f>
        <v>1200</v>
      </c>
    </row>
    <row r="1086" spans="1:8" x14ac:dyDescent="0.2">
      <c r="A1086" s="464"/>
      <c r="B1086" s="1518"/>
      <c r="C1086" s="1518"/>
      <c r="D1086" s="1518"/>
      <c r="E1086" s="455"/>
      <c r="F1086" s="453"/>
      <c r="G1086" s="466"/>
      <c r="H1086" s="466">
        <f>+G1086</f>
        <v>0</v>
      </c>
    </row>
    <row r="1087" spans="1:8" x14ac:dyDescent="0.2">
      <c r="A1087" s="464"/>
      <c r="B1087" s="465"/>
      <c r="C1087" s="453"/>
      <c r="D1087" s="453"/>
      <c r="E1087" s="455"/>
      <c r="F1087" s="453"/>
      <c r="G1087" s="466"/>
      <c r="H1087" s="466"/>
    </row>
    <row r="1088" spans="1:8" x14ac:dyDescent="0.2">
      <c r="A1088" s="464"/>
      <c r="B1088" s="465"/>
      <c r="C1088" s="465"/>
      <c r="D1088" s="453"/>
      <c r="E1088" s="455"/>
      <c r="F1088" s="453"/>
      <c r="G1088" s="453"/>
      <c r="H1088" s="453"/>
    </row>
    <row r="1089" spans="1:8" x14ac:dyDescent="0.2">
      <c r="A1089" s="453"/>
      <c r="B1089" s="453"/>
      <c r="C1089" s="453"/>
      <c r="D1089" s="453"/>
      <c r="E1089" s="454"/>
      <c r="F1089" s="453"/>
      <c r="G1089" s="454" t="s">
        <v>605</v>
      </c>
      <c r="H1089" s="467">
        <f>ROUND(SUM(H1085:H1088),0)</f>
        <v>1200</v>
      </c>
    </row>
    <row r="1090" spans="1:8" x14ac:dyDescent="0.2">
      <c r="A1090" s="453"/>
      <c r="B1090" s="453"/>
      <c r="C1090" s="453"/>
      <c r="D1090" s="453"/>
      <c r="E1090" s="454"/>
      <c r="F1090" s="453"/>
      <c r="G1090" s="454"/>
      <c r="H1090" s="467"/>
    </row>
    <row r="1091" spans="1:8" x14ac:dyDescent="0.2">
      <c r="A1091" s="462" t="s">
        <v>629</v>
      </c>
      <c r="B1091" s="462"/>
      <c r="C1091" s="462"/>
      <c r="D1091" s="462"/>
      <c r="E1091" s="454"/>
      <c r="F1091" s="453"/>
      <c r="G1091" s="453"/>
      <c r="H1091" s="453"/>
    </row>
    <row r="1092" spans="1:8" x14ac:dyDescent="0.2">
      <c r="A1092" s="463" t="s">
        <v>622</v>
      </c>
      <c r="B1092" s="453"/>
      <c r="C1092" s="446" t="s">
        <v>1</v>
      </c>
      <c r="D1092" s="446"/>
      <c r="E1092" s="446" t="s">
        <v>15</v>
      </c>
      <c r="F1092" s="446" t="s">
        <v>628</v>
      </c>
      <c r="G1092" s="446" t="s">
        <v>618</v>
      </c>
      <c r="H1092" s="446" t="s">
        <v>627</v>
      </c>
    </row>
    <row r="1093" spans="1:8" x14ac:dyDescent="0.2">
      <c r="A1093" s="464"/>
      <c r="B1093" s="1519" t="s">
        <v>626</v>
      </c>
      <c r="C1093" s="1519"/>
      <c r="D1093" s="1519"/>
      <c r="E1093" s="455" t="s">
        <v>625</v>
      </c>
      <c r="F1093" s="502">
        <v>12</v>
      </c>
      <c r="G1093" s="469">
        <v>1500</v>
      </c>
      <c r="H1093" s="470">
        <f>+ROUND(F1093*G1093,0)</f>
        <v>18000</v>
      </c>
    </row>
    <row r="1094" spans="1:8" x14ac:dyDescent="0.2">
      <c r="A1094" s="464"/>
      <c r="B1094" s="1519" t="s">
        <v>644</v>
      </c>
      <c r="C1094" s="1519"/>
      <c r="D1094" s="1519"/>
      <c r="E1094" s="455" t="s">
        <v>15</v>
      </c>
      <c r="F1094" s="502">
        <v>1</v>
      </c>
      <c r="G1094" s="469">
        <v>5800</v>
      </c>
      <c r="H1094" s="470">
        <f>+ROUND(F1094*G1094,0)</f>
        <v>5800</v>
      </c>
    </row>
    <row r="1095" spans="1:8" x14ac:dyDescent="0.2">
      <c r="A1095" s="464"/>
      <c r="B1095" s="1520" t="s">
        <v>642</v>
      </c>
      <c r="C1095" s="1520"/>
      <c r="D1095" s="1520"/>
      <c r="E1095" s="455" t="s">
        <v>641</v>
      </c>
      <c r="F1095" s="468">
        <v>3</v>
      </c>
      <c r="G1095" s="469">
        <v>1400</v>
      </c>
      <c r="H1095" s="470">
        <f>+ROUND(F1095*G1095,0)</f>
        <v>4200</v>
      </c>
    </row>
    <row r="1096" spans="1:8" x14ac:dyDescent="0.2">
      <c r="A1096" s="464"/>
      <c r="B1096" s="1520" t="s">
        <v>640</v>
      </c>
      <c r="C1096" s="1520"/>
      <c r="D1096" s="1520"/>
      <c r="E1096" s="455" t="s">
        <v>2</v>
      </c>
      <c r="F1096" s="468">
        <v>1</v>
      </c>
      <c r="G1096" s="469">
        <v>895</v>
      </c>
      <c r="H1096" s="470">
        <f>+ROUND(F1096*G1096,0)</f>
        <v>895</v>
      </c>
    </row>
    <row r="1097" spans="1:8" x14ac:dyDescent="0.2">
      <c r="A1097" s="464"/>
      <c r="B1097" s="1520" t="s">
        <v>639</v>
      </c>
      <c r="C1097" s="1520"/>
      <c r="D1097" s="1520"/>
      <c r="E1097" s="455" t="s">
        <v>2</v>
      </c>
      <c r="F1097" s="468">
        <v>3</v>
      </c>
      <c r="G1097" s="469">
        <v>577</v>
      </c>
      <c r="H1097" s="470">
        <f>+ROUND(F1097*G1097,0)</f>
        <v>1731</v>
      </c>
    </row>
    <row r="1098" spans="1:8" x14ac:dyDescent="0.2">
      <c r="A1098" s="464"/>
      <c r="B1098" s="1519"/>
      <c r="C1098" s="1519"/>
      <c r="D1098" s="1519"/>
      <c r="E1098" s="455"/>
      <c r="F1098" s="494"/>
      <c r="G1098" s="469"/>
      <c r="H1098" s="470"/>
    </row>
    <row r="1099" spans="1:8" x14ac:dyDescent="0.2">
      <c r="A1099" s="464"/>
      <c r="B1099" s="1519"/>
      <c r="C1099" s="1519"/>
      <c r="D1099" s="1519"/>
      <c r="E1099" s="454"/>
      <c r="F1099" s="453"/>
      <c r="G1099" s="473"/>
      <c r="H1099" s="470"/>
    </row>
    <row r="1100" spans="1:8" x14ac:dyDescent="0.2">
      <c r="A1100" s="453"/>
      <c r="B1100" s="453"/>
      <c r="C1100" s="453"/>
      <c r="D1100" s="453"/>
      <c r="E1100" s="454"/>
      <c r="F1100" s="453"/>
      <c r="G1100" s="454" t="s">
        <v>605</v>
      </c>
      <c r="H1100" s="462">
        <f>ROUND(SUM(H1093:H1099),0)</f>
        <v>30626</v>
      </c>
    </row>
    <row r="1101" spans="1:8" x14ac:dyDescent="0.2">
      <c r="A1101" s="453"/>
      <c r="B1101" s="453"/>
      <c r="C1101" s="453"/>
      <c r="D1101" s="453"/>
      <c r="E1101" s="454"/>
      <c r="F1101" s="453"/>
      <c r="G1101" s="454"/>
      <c r="H1101" s="462"/>
    </row>
    <row r="1102" spans="1:8" x14ac:dyDescent="0.2">
      <c r="A1102" s="462" t="s">
        <v>623</v>
      </c>
      <c r="B1102" s="453"/>
      <c r="C1102" s="453"/>
      <c r="D1102" s="453"/>
      <c r="E1102" s="454"/>
      <c r="F1102" s="453"/>
      <c r="G1102" s="454"/>
      <c r="H1102" s="462"/>
    </row>
    <row r="1103" spans="1:8" x14ac:dyDescent="0.2">
      <c r="A1103" s="463" t="s">
        <v>622</v>
      </c>
      <c r="B1103" s="1521" t="s">
        <v>621</v>
      </c>
      <c r="C1103" s="1521"/>
      <c r="D1103" s="474" t="s">
        <v>620</v>
      </c>
      <c r="E1103" s="475" t="s">
        <v>2</v>
      </c>
      <c r="F1103" s="476" t="s">
        <v>619</v>
      </c>
      <c r="G1103" s="477" t="s">
        <v>618</v>
      </c>
      <c r="H1103" s="477" t="s">
        <v>600</v>
      </c>
    </row>
    <row r="1104" spans="1:8" x14ac:dyDescent="0.2">
      <c r="A1104" s="478"/>
      <c r="B1104" s="465" t="s">
        <v>617</v>
      </c>
      <c r="D1104" s="479">
        <v>1E-3</v>
      </c>
      <c r="E1104" s="455" t="s">
        <v>616</v>
      </c>
      <c r="F1104" s="480">
        <v>1</v>
      </c>
      <c r="G1104" s="469">
        <v>380000</v>
      </c>
      <c r="H1104" s="473">
        <f>+ROUND(D1104*G1104,0)</f>
        <v>380</v>
      </c>
    </row>
    <row r="1105" spans="1:8" x14ac:dyDescent="0.2">
      <c r="A1105" s="478"/>
      <c r="B1105" s="465"/>
      <c r="D1105" s="481"/>
      <c r="E1105" s="455"/>
      <c r="F1105" s="482"/>
      <c r="G1105" s="483"/>
      <c r="H1105" s="470"/>
    </row>
    <row r="1106" spans="1:8" x14ac:dyDescent="0.2">
      <c r="A1106" s="478"/>
      <c r="E1106" s="484"/>
      <c r="F1106" s="484"/>
      <c r="G1106" s="473"/>
      <c r="H1106" s="470"/>
    </row>
    <row r="1107" spans="1:8" x14ac:dyDescent="0.2">
      <c r="E1107" s="485"/>
      <c r="F1107" s="484"/>
      <c r="G1107" s="454" t="s">
        <v>605</v>
      </c>
      <c r="H1107" s="486">
        <f>ROUND(SUM(H1104:H1106),0)</f>
        <v>380</v>
      </c>
    </row>
    <row r="1108" spans="1:8" x14ac:dyDescent="0.2">
      <c r="E1108" s="485"/>
      <c r="F1108" s="484"/>
      <c r="G1108" s="454"/>
      <c r="H1108" s="486"/>
    </row>
    <row r="1109" spans="1:8" x14ac:dyDescent="0.2">
      <c r="A1109" s="462" t="s">
        <v>615</v>
      </c>
      <c r="B1109" s="462"/>
      <c r="C1109" s="462"/>
      <c r="D1109" s="453"/>
      <c r="E1109" s="454"/>
      <c r="F1109" s="453"/>
      <c r="G1109" s="453"/>
      <c r="H1109" s="453"/>
    </row>
    <row r="1110" spans="1:8" x14ac:dyDescent="0.2">
      <c r="A1110" s="487" t="s">
        <v>421</v>
      </c>
      <c r="B1110" s="1512" t="s">
        <v>614</v>
      </c>
      <c r="C1110" s="1512"/>
      <c r="D1110" s="446" t="s">
        <v>613</v>
      </c>
      <c r="E1110" s="446" t="s">
        <v>612</v>
      </c>
      <c r="F1110" s="446" t="s">
        <v>611</v>
      </c>
      <c r="G1110" s="446" t="s">
        <v>610</v>
      </c>
      <c r="H1110" s="446" t="s">
        <v>609</v>
      </c>
    </row>
    <row r="1111" spans="1:8" x14ac:dyDescent="0.2">
      <c r="A1111" s="488">
        <v>1</v>
      </c>
      <c r="B1111" s="465" t="s">
        <v>608</v>
      </c>
      <c r="C1111" s="465"/>
      <c r="D1111" s="483">
        <v>80000</v>
      </c>
      <c r="E1111" s="489">
        <f>D1111*75%</f>
        <v>60000</v>
      </c>
      <c r="F1111" s="473">
        <f>(D1111+E1111)*A1111</f>
        <v>140000</v>
      </c>
      <c r="G1111" s="453">
        <v>8</v>
      </c>
      <c r="H1111" s="473">
        <f>+ROUND(F1111/G1111,0)</f>
        <v>17500</v>
      </c>
    </row>
    <row r="1112" spans="1:8" x14ac:dyDescent="0.2">
      <c r="A1112" s="488">
        <v>1</v>
      </c>
      <c r="B1112" s="447" t="s">
        <v>607</v>
      </c>
      <c r="C1112" s="465"/>
      <c r="D1112" s="483">
        <v>40000</v>
      </c>
      <c r="E1112" s="489">
        <f>D1112*75%</f>
        <v>30000</v>
      </c>
      <c r="F1112" s="473">
        <f>(D1112+E1112)*A1112</f>
        <v>70000</v>
      </c>
      <c r="G1112" s="453">
        <v>8</v>
      </c>
      <c r="H1112" s="473">
        <f>+ROUND(F1112/G1112,0)</f>
        <v>8750</v>
      </c>
    </row>
    <row r="1113" spans="1:8" x14ac:dyDescent="0.2">
      <c r="A1113" s="488">
        <v>1</v>
      </c>
      <c r="B1113" s="465" t="s">
        <v>606</v>
      </c>
      <c r="C1113" s="465"/>
      <c r="D1113" s="483">
        <v>25000</v>
      </c>
      <c r="E1113" s="489">
        <f>D1113*75%</f>
        <v>18750</v>
      </c>
      <c r="F1113" s="473">
        <f>(D1113+E1113)*A1113</f>
        <v>43750</v>
      </c>
      <c r="G1113" s="453">
        <v>8</v>
      </c>
      <c r="H1113" s="473">
        <f>+ROUND(F1113/G1113,0)</f>
        <v>5469</v>
      </c>
    </row>
    <row r="1114" spans="1:8" x14ac:dyDescent="0.2">
      <c r="A1114" s="453"/>
      <c r="B1114" s="453"/>
      <c r="C1114" s="453"/>
      <c r="D1114" s="453"/>
      <c r="E1114" s="454"/>
      <c r="F1114" s="453"/>
      <c r="G1114" s="454" t="s">
        <v>605</v>
      </c>
      <c r="H1114" s="486">
        <f>ROUND(SUM(H1111:H1113),0)</f>
        <v>31719</v>
      </c>
    </row>
    <row r="1115" spans="1:8" x14ac:dyDescent="0.2">
      <c r="A1115" s="453"/>
      <c r="B1115" s="453"/>
      <c r="C1115" s="453"/>
      <c r="D1115" s="453"/>
      <c r="E1115" s="454"/>
      <c r="F1115" s="453"/>
      <c r="G1115" s="453"/>
      <c r="H1115" s="453"/>
    </row>
    <row r="1116" spans="1:8" x14ac:dyDescent="0.2">
      <c r="A1116" s="490"/>
      <c r="B1116" s="453"/>
      <c r="C1116" s="453"/>
      <c r="D1116" s="453"/>
      <c r="E1116" s="491" t="s">
        <v>604</v>
      </c>
      <c r="F1116" s="492"/>
      <c r="G1116" s="492"/>
      <c r="H1116" s="493">
        <f>+ROUND(H1089+H1100+H1107+H1114,0)</f>
        <v>63925</v>
      </c>
    </row>
    <row r="1123" spans="1:8" ht="15.75" customHeight="1" x14ac:dyDescent="0.25">
      <c r="A1123" s="448"/>
      <c r="B1123" s="448"/>
      <c r="C1123" s="1513"/>
      <c r="D1123" s="1513"/>
      <c r="E1123" s="1513"/>
      <c r="F1123" s="449" t="s">
        <v>638</v>
      </c>
      <c r="G1123" s="450"/>
      <c r="H1123" s="451"/>
    </row>
    <row r="1124" spans="1:8" ht="15.75" x14ac:dyDescent="0.25">
      <c r="A1124" s="448"/>
      <c r="B1124" s="448"/>
      <c r="C1124" s="1513"/>
      <c r="D1124" s="1513"/>
      <c r="E1124" s="1513"/>
      <c r="F1124" s="1514" t="s">
        <v>637</v>
      </c>
      <c r="G1124" s="1514"/>
      <c r="H1124" s="1514"/>
    </row>
    <row r="1125" spans="1:8" x14ac:dyDescent="0.2">
      <c r="A1125" s="452"/>
      <c r="B1125" s="452"/>
      <c r="C1125" s="1513"/>
      <c r="D1125" s="1513"/>
      <c r="E1125" s="1513"/>
      <c r="F1125" s="1514"/>
      <c r="G1125" s="1514"/>
      <c r="H1125" s="1514"/>
    </row>
    <row r="1126" spans="1:8" x14ac:dyDescent="0.2">
      <c r="A1126" s="444"/>
      <c r="B1126" s="1515"/>
      <c r="C1126" s="1516"/>
      <c r="D1126" s="1516"/>
      <c r="E1126" s="444"/>
      <c r="F1126" s="453"/>
      <c r="G1126" s="454"/>
      <c r="H1126" s="455"/>
    </row>
    <row r="1127" spans="1:8" x14ac:dyDescent="0.2">
      <c r="A1127" s="501">
        <v>3</v>
      </c>
      <c r="B1127" s="418" t="s">
        <v>643</v>
      </c>
      <c r="C1127" s="417"/>
      <c r="D1127" s="457"/>
      <c r="E1127" s="454"/>
      <c r="F1127" s="453"/>
      <c r="G1127" s="454" t="s">
        <v>634</v>
      </c>
      <c r="H1127" s="455" t="s">
        <v>2</v>
      </c>
    </row>
    <row r="1128" spans="1:8" x14ac:dyDescent="0.2">
      <c r="A1128" s="458">
        <v>3.2</v>
      </c>
      <c r="B1128" s="1517" t="s">
        <v>570</v>
      </c>
      <c r="C1128" s="1517"/>
      <c r="D1128" s="1517"/>
      <c r="E1128" s="1517"/>
      <c r="F1128" s="459"/>
      <c r="G1128" s="454"/>
      <c r="H1128" s="455"/>
    </row>
    <row r="1129" spans="1:8" x14ac:dyDescent="0.2">
      <c r="A1129" s="458"/>
      <c r="B1129" s="1517"/>
      <c r="C1129" s="1517"/>
      <c r="D1129" s="1517"/>
      <c r="E1129" s="1517"/>
      <c r="F1129" s="461"/>
      <c r="G1129" s="454"/>
      <c r="H1129" s="455"/>
    </row>
    <row r="1130" spans="1:8" x14ac:dyDescent="0.2">
      <c r="A1130" s="458"/>
      <c r="B1130" s="459"/>
      <c r="C1130" s="459"/>
      <c r="D1130" s="459"/>
      <c r="E1130" s="459"/>
      <c r="F1130" s="459"/>
      <c r="G1130" s="416"/>
      <c r="H1130" s="416"/>
    </row>
    <row r="1131" spans="1:8" x14ac:dyDescent="0.2">
      <c r="A1131" s="462" t="s">
        <v>633</v>
      </c>
      <c r="B1131" s="462"/>
      <c r="C1131" s="453"/>
      <c r="D1131" s="445"/>
      <c r="E1131" s="445"/>
      <c r="F1131" s="445"/>
      <c r="G1131" s="445"/>
      <c r="H1131" s="445"/>
    </row>
    <row r="1132" spans="1:8" x14ac:dyDescent="0.2">
      <c r="A1132" s="463" t="s">
        <v>622</v>
      </c>
      <c r="B1132" s="453"/>
      <c r="C1132" s="446" t="s">
        <v>1</v>
      </c>
      <c r="D1132" s="446"/>
      <c r="E1132" s="446" t="s">
        <v>632</v>
      </c>
      <c r="F1132" s="446" t="s">
        <v>631</v>
      </c>
      <c r="G1132" s="446" t="s">
        <v>618</v>
      </c>
      <c r="H1132" s="446" t="s">
        <v>627</v>
      </c>
    </row>
    <row r="1133" spans="1:8" x14ac:dyDescent="0.2">
      <c r="A1133" s="464"/>
      <c r="B1133" s="1518" t="s">
        <v>630</v>
      </c>
      <c r="C1133" s="1518"/>
      <c r="D1133" s="1518"/>
      <c r="E1133" s="455">
        <v>60000</v>
      </c>
      <c r="F1133" s="453">
        <v>0.02</v>
      </c>
      <c r="G1133" s="466">
        <f>F1133*E1133</f>
        <v>1200</v>
      </c>
      <c r="H1133" s="466">
        <f>+G1133</f>
        <v>1200</v>
      </c>
    </row>
    <row r="1134" spans="1:8" x14ac:dyDescent="0.2">
      <c r="A1134" s="464"/>
      <c r="B1134" s="1518"/>
      <c r="C1134" s="1518"/>
      <c r="D1134" s="1518"/>
      <c r="E1134" s="455"/>
      <c r="F1134" s="453"/>
      <c r="G1134" s="466"/>
      <c r="H1134" s="466">
        <f>+G1134</f>
        <v>0</v>
      </c>
    </row>
    <row r="1135" spans="1:8" x14ac:dyDescent="0.2">
      <c r="A1135" s="464"/>
      <c r="B1135" s="465"/>
      <c r="C1135" s="453"/>
      <c r="D1135" s="453"/>
      <c r="E1135" s="455"/>
      <c r="F1135" s="453"/>
      <c r="G1135" s="466"/>
      <c r="H1135" s="466"/>
    </row>
    <row r="1136" spans="1:8" x14ac:dyDescent="0.2">
      <c r="A1136" s="464"/>
      <c r="B1136" s="465"/>
      <c r="C1136" s="465"/>
      <c r="D1136" s="453"/>
      <c r="E1136" s="455"/>
      <c r="F1136" s="453"/>
      <c r="G1136" s="453"/>
      <c r="H1136" s="453"/>
    </row>
    <row r="1137" spans="1:8" x14ac:dyDescent="0.2">
      <c r="A1137" s="453"/>
      <c r="B1137" s="453"/>
      <c r="C1137" s="453"/>
      <c r="D1137" s="453"/>
      <c r="E1137" s="454"/>
      <c r="F1137" s="453"/>
      <c r="G1137" s="454" t="s">
        <v>605</v>
      </c>
      <c r="H1137" s="467">
        <f>ROUND(SUM(H1133:H1136),0)</f>
        <v>1200</v>
      </c>
    </row>
    <row r="1138" spans="1:8" x14ac:dyDescent="0.2">
      <c r="A1138" s="453"/>
      <c r="B1138" s="453"/>
      <c r="C1138" s="453"/>
      <c r="D1138" s="453"/>
      <c r="E1138" s="454"/>
      <c r="F1138" s="453"/>
      <c r="G1138" s="454"/>
      <c r="H1138" s="467"/>
    </row>
    <row r="1139" spans="1:8" x14ac:dyDescent="0.2">
      <c r="A1139" s="462" t="s">
        <v>629</v>
      </c>
      <c r="B1139" s="462"/>
      <c r="C1139" s="462"/>
      <c r="D1139" s="462"/>
      <c r="E1139" s="454"/>
      <c r="F1139" s="453"/>
      <c r="G1139" s="453"/>
      <c r="H1139" s="453"/>
    </row>
    <row r="1140" spans="1:8" x14ac:dyDescent="0.2">
      <c r="A1140" s="463" t="s">
        <v>622</v>
      </c>
      <c r="B1140" s="453"/>
      <c r="C1140" s="446" t="s">
        <v>1</v>
      </c>
      <c r="D1140" s="446"/>
      <c r="E1140" s="446" t="s">
        <v>15</v>
      </c>
      <c r="F1140" s="446" t="s">
        <v>628</v>
      </c>
      <c r="G1140" s="446" t="s">
        <v>618</v>
      </c>
      <c r="H1140" s="446" t="s">
        <v>627</v>
      </c>
    </row>
    <row r="1141" spans="1:8" x14ac:dyDescent="0.2">
      <c r="A1141" s="464"/>
      <c r="B1141" s="1519" t="s">
        <v>626</v>
      </c>
      <c r="C1141" s="1519"/>
      <c r="D1141" s="1519"/>
      <c r="E1141" s="455" t="s">
        <v>625</v>
      </c>
      <c r="F1141" s="502">
        <v>18</v>
      </c>
      <c r="G1141" s="469">
        <v>1500</v>
      </c>
      <c r="H1141" s="470">
        <f>+ROUND(F1141*G1141,0)</f>
        <v>27000</v>
      </c>
    </row>
    <row r="1142" spans="1:8" x14ac:dyDescent="0.2">
      <c r="A1142" s="464"/>
      <c r="B1142" s="1519" t="s">
        <v>624</v>
      </c>
      <c r="C1142" s="1519"/>
      <c r="D1142" s="1519"/>
      <c r="E1142" s="455" t="s">
        <v>15</v>
      </c>
      <c r="F1142" s="502">
        <v>1</v>
      </c>
      <c r="G1142" s="469">
        <v>7200</v>
      </c>
      <c r="H1142" s="470">
        <f>+ROUND(F1142*G1142,0)</f>
        <v>7200</v>
      </c>
    </row>
    <row r="1143" spans="1:8" x14ac:dyDescent="0.2">
      <c r="A1143" s="464"/>
      <c r="B1143" s="1520" t="s">
        <v>642</v>
      </c>
      <c r="C1143" s="1520"/>
      <c r="D1143" s="1520"/>
      <c r="E1143" s="455" t="s">
        <v>641</v>
      </c>
      <c r="F1143" s="468">
        <v>3</v>
      </c>
      <c r="G1143" s="469">
        <v>1400</v>
      </c>
      <c r="H1143" s="470">
        <f>+ROUND(F1143*G1143,0)</f>
        <v>4200</v>
      </c>
    </row>
    <row r="1144" spans="1:8" x14ac:dyDescent="0.2">
      <c r="A1144" s="464"/>
      <c r="B1144" s="1520" t="s">
        <v>640</v>
      </c>
      <c r="C1144" s="1520"/>
      <c r="D1144" s="1520"/>
      <c r="E1144" s="455" t="s">
        <v>2</v>
      </c>
      <c r="F1144" s="468">
        <v>1</v>
      </c>
      <c r="G1144" s="469">
        <v>895</v>
      </c>
      <c r="H1144" s="470">
        <f>+ROUND(F1144*G1144,0)</f>
        <v>895</v>
      </c>
    </row>
    <row r="1145" spans="1:8" x14ac:dyDescent="0.2">
      <c r="A1145" s="464"/>
      <c r="B1145" s="1520" t="s">
        <v>639</v>
      </c>
      <c r="C1145" s="1520"/>
      <c r="D1145" s="1520"/>
      <c r="E1145" s="455" t="s">
        <v>2</v>
      </c>
      <c r="F1145" s="468">
        <v>3</v>
      </c>
      <c r="G1145" s="469">
        <v>577</v>
      </c>
      <c r="H1145" s="470">
        <f>+ROUND(F1145*G1145,0)</f>
        <v>1731</v>
      </c>
    </row>
    <row r="1146" spans="1:8" x14ac:dyDescent="0.2">
      <c r="A1146" s="464"/>
      <c r="B1146" s="1519"/>
      <c r="C1146" s="1519"/>
      <c r="D1146" s="1519"/>
      <c r="E1146" s="455"/>
      <c r="F1146" s="494"/>
      <c r="G1146" s="469"/>
      <c r="H1146" s="470"/>
    </row>
    <row r="1147" spans="1:8" x14ac:dyDescent="0.2">
      <c r="A1147" s="464"/>
      <c r="B1147" s="1519"/>
      <c r="C1147" s="1519"/>
      <c r="D1147" s="1519"/>
      <c r="E1147" s="454"/>
      <c r="F1147" s="453"/>
      <c r="G1147" s="473"/>
      <c r="H1147" s="470"/>
    </row>
    <row r="1148" spans="1:8" x14ac:dyDescent="0.2">
      <c r="A1148" s="453"/>
      <c r="B1148" s="453"/>
      <c r="C1148" s="453"/>
      <c r="D1148" s="453"/>
      <c r="E1148" s="454"/>
      <c r="F1148" s="453"/>
      <c r="G1148" s="454" t="s">
        <v>605</v>
      </c>
      <c r="H1148" s="462">
        <f>ROUND(SUM(H1141:H1147),0)</f>
        <v>41026</v>
      </c>
    </row>
    <row r="1149" spans="1:8" x14ac:dyDescent="0.2">
      <c r="A1149" s="453"/>
      <c r="B1149" s="453"/>
      <c r="C1149" s="453"/>
      <c r="D1149" s="453"/>
      <c r="E1149" s="454"/>
      <c r="F1149" s="453"/>
      <c r="G1149" s="454"/>
      <c r="H1149" s="462"/>
    </row>
    <row r="1150" spans="1:8" x14ac:dyDescent="0.2">
      <c r="A1150" s="462" t="s">
        <v>623</v>
      </c>
      <c r="B1150" s="453"/>
      <c r="C1150" s="453"/>
      <c r="D1150" s="453"/>
      <c r="E1150" s="454"/>
      <c r="F1150" s="453"/>
      <c r="G1150" s="454"/>
      <c r="H1150" s="462"/>
    </row>
    <row r="1151" spans="1:8" x14ac:dyDescent="0.2">
      <c r="A1151" s="463" t="s">
        <v>622</v>
      </c>
      <c r="B1151" s="1521" t="s">
        <v>621</v>
      </c>
      <c r="C1151" s="1521"/>
      <c r="D1151" s="474" t="s">
        <v>620</v>
      </c>
      <c r="E1151" s="475" t="s">
        <v>2</v>
      </c>
      <c r="F1151" s="476" t="s">
        <v>619</v>
      </c>
      <c r="G1151" s="477" t="s">
        <v>618</v>
      </c>
      <c r="H1151" s="477" t="s">
        <v>600</v>
      </c>
    </row>
    <row r="1152" spans="1:8" x14ac:dyDescent="0.2">
      <c r="A1152" s="478"/>
      <c r="B1152" s="465" t="s">
        <v>617</v>
      </c>
      <c r="D1152" s="479">
        <v>1E-3</v>
      </c>
      <c r="E1152" s="455" t="s">
        <v>616</v>
      </c>
      <c r="F1152" s="480">
        <v>1</v>
      </c>
      <c r="G1152" s="469">
        <v>380000</v>
      </c>
      <c r="H1152" s="473">
        <f>+ROUND(D1152*G1152,0)</f>
        <v>380</v>
      </c>
    </row>
    <row r="1153" spans="1:8" x14ac:dyDescent="0.2">
      <c r="A1153" s="478"/>
      <c r="B1153" s="465"/>
      <c r="D1153" s="481"/>
      <c r="E1153" s="455"/>
      <c r="F1153" s="482"/>
      <c r="G1153" s="483"/>
      <c r="H1153" s="470"/>
    </row>
    <row r="1154" spans="1:8" x14ac:dyDescent="0.2">
      <c r="A1154" s="478"/>
      <c r="E1154" s="484"/>
      <c r="F1154" s="484"/>
      <c r="G1154" s="473"/>
      <c r="H1154" s="470"/>
    </row>
    <row r="1155" spans="1:8" x14ac:dyDescent="0.2">
      <c r="E1155" s="485"/>
      <c r="F1155" s="484"/>
      <c r="G1155" s="454" t="s">
        <v>605</v>
      </c>
      <c r="H1155" s="486">
        <f>ROUND(SUM(H1152:H1154),0)</f>
        <v>380</v>
      </c>
    </row>
    <row r="1156" spans="1:8" x14ac:dyDescent="0.2">
      <c r="E1156" s="485"/>
      <c r="F1156" s="484"/>
      <c r="G1156" s="454"/>
      <c r="H1156" s="486"/>
    </row>
    <row r="1157" spans="1:8" x14ac:dyDescent="0.2">
      <c r="A1157" s="462" t="s">
        <v>615</v>
      </c>
      <c r="B1157" s="462"/>
      <c r="C1157" s="462"/>
      <c r="D1157" s="453"/>
      <c r="E1157" s="454"/>
      <c r="F1157" s="453"/>
      <c r="G1157" s="453"/>
      <c r="H1157" s="453"/>
    </row>
    <row r="1158" spans="1:8" x14ac:dyDescent="0.2">
      <c r="A1158" s="487" t="s">
        <v>421</v>
      </c>
      <c r="B1158" s="1512" t="s">
        <v>614</v>
      </c>
      <c r="C1158" s="1512"/>
      <c r="D1158" s="446" t="s">
        <v>613</v>
      </c>
      <c r="E1158" s="446" t="s">
        <v>612</v>
      </c>
      <c r="F1158" s="446" t="s">
        <v>611</v>
      </c>
      <c r="G1158" s="446" t="s">
        <v>610</v>
      </c>
      <c r="H1158" s="446" t="s">
        <v>609</v>
      </c>
    </row>
    <row r="1159" spans="1:8" x14ac:dyDescent="0.2">
      <c r="A1159" s="488">
        <v>1</v>
      </c>
      <c r="B1159" s="465" t="s">
        <v>608</v>
      </c>
      <c r="C1159" s="465"/>
      <c r="D1159" s="483">
        <v>80000</v>
      </c>
      <c r="E1159" s="489">
        <f>D1159*75%</f>
        <v>60000</v>
      </c>
      <c r="F1159" s="473">
        <f>(D1159+E1159)*A1159</f>
        <v>140000</v>
      </c>
      <c r="G1159" s="453">
        <v>8</v>
      </c>
      <c r="H1159" s="473">
        <f>+ROUND(F1159/G1159,0)</f>
        <v>17500</v>
      </c>
    </row>
    <row r="1160" spans="1:8" x14ac:dyDescent="0.2">
      <c r="A1160" s="488">
        <v>1</v>
      </c>
      <c r="B1160" s="447" t="s">
        <v>607</v>
      </c>
      <c r="C1160" s="465"/>
      <c r="D1160" s="483">
        <v>40000</v>
      </c>
      <c r="E1160" s="489">
        <f>D1160*75%</f>
        <v>30000</v>
      </c>
      <c r="F1160" s="473">
        <f>(D1160+E1160)*A1160</f>
        <v>70000</v>
      </c>
      <c r="G1160" s="453">
        <v>8</v>
      </c>
      <c r="H1160" s="473">
        <f>+ROUND(F1160/G1160,0)</f>
        <v>8750</v>
      </c>
    </row>
    <row r="1161" spans="1:8" x14ac:dyDescent="0.2">
      <c r="A1161" s="488">
        <v>1</v>
      </c>
      <c r="B1161" s="465" t="s">
        <v>606</v>
      </c>
      <c r="C1161" s="465"/>
      <c r="D1161" s="483">
        <v>25000</v>
      </c>
      <c r="E1161" s="489">
        <f>D1161*75%</f>
        <v>18750</v>
      </c>
      <c r="F1161" s="473">
        <f>(D1161+E1161)*A1161</f>
        <v>43750</v>
      </c>
      <c r="G1161" s="453">
        <v>8</v>
      </c>
      <c r="H1161" s="473">
        <f>+ROUND(F1161/G1161,0)</f>
        <v>5469</v>
      </c>
    </row>
    <row r="1162" spans="1:8" x14ac:dyDescent="0.2">
      <c r="A1162" s="453"/>
      <c r="B1162" s="453"/>
      <c r="C1162" s="453"/>
      <c r="D1162" s="453"/>
      <c r="E1162" s="454"/>
      <c r="F1162" s="453"/>
      <c r="G1162" s="454" t="s">
        <v>605</v>
      </c>
      <c r="H1162" s="486">
        <f>ROUND(SUM(H1159:H1161),0)</f>
        <v>31719</v>
      </c>
    </row>
    <row r="1163" spans="1:8" x14ac:dyDescent="0.2">
      <c r="A1163" s="453"/>
      <c r="B1163" s="453"/>
      <c r="C1163" s="453"/>
      <c r="D1163" s="453"/>
      <c r="E1163" s="454"/>
      <c r="F1163" s="453"/>
      <c r="G1163" s="453"/>
      <c r="H1163" s="453"/>
    </row>
    <row r="1164" spans="1:8" x14ac:dyDescent="0.2">
      <c r="A1164" s="490"/>
      <c r="B1164" s="453"/>
      <c r="C1164" s="453"/>
      <c r="D1164" s="453"/>
      <c r="E1164" s="491" t="s">
        <v>604</v>
      </c>
      <c r="F1164" s="492"/>
      <c r="G1164" s="492"/>
      <c r="H1164" s="493">
        <f>+ROUND(H1137+H1148+H1155+H1162,0)</f>
        <v>74325</v>
      </c>
    </row>
    <row r="1174" spans="1:8" ht="15.75" customHeight="1" x14ac:dyDescent="0.25">
      <c r="A1174" s="448"/>
      <c r="B1174" s="448"/>
      <c r="C1174" s="1513"/>
      <c r="D1174" s="1513"/>
      <c r="E1174" s="1513"/>
      <c r="F1174" s="449" t="s">
        <v>638</v>
      </c>
      <c r="G1174" s="450"/>
      <c r="H1174" s="451"/>
    </row>
    <row r="1175" spans="1:8" ht="15.75" x14ac:dyDescent="0.25">
      <c r="A1175" s="448"/>
      <c r="B1175" s="448"/>
      <c r="C1175" s="1513"/>
      <c r="D1175" s="1513"/>
      <c r="E1175" s="1513"/>
      <c r="F1175" s="1514" t="s">
        <v>637</v>
      </c>
      <c r="G1175" s="1514"/>
      <c r="H1175" s="1514"/>
    </row>
    <row r="1176" spans="1:8" x14ac:dyDescent="0.2">
      <c r="A1176" s="452"/>
      <c r="B1176" s="452"/>
      <c r="C1176" s="1513"/>
      <c r="D1176" s="1513"/>
      <c r="E1176" s="1513"/>
      <c r="F1176" s="1514"/>
      <c r="G1176" s="1514"/>
      <c r="H1176" s="1514"/>
    </row>
    <row r="1177" spans="1:8" x14ac:dyDescent="0.2">
      <c r="A1177" s="444"/>
      <c r="B1177" s="1515"/>
      <c r="C1177" s="1516"/>
      <c r="D1177" s="1516"/>
      <c r="E1177" s="444"/>
      <c r="F1177" s="453"/>
      <c r="G1177" s="454"/>
      <c r="H1177" s="455"/>
    </row>
    <row r="1178" spans="1:8" x14ac:dyDescent="0.2">
      <c r="A1178" s="501">
        <v>3</v>
      </c>
      <c r="B1178" s="418" t="s">
        <v>643</v>
      </c>
      <c r="C1178" s="417"/>
      <c r="D1178" s="457"/>
      <c r="E1178" s="454"/>
      <c r="F1178" s="453"/>
      <c r="G1178" s="454" t="s">
        <v>634</v>
      </c>
      <c r="H1178" s="455" t="s">
        <v>2</v>
      </c>
    </row>
    <row r="1179" spans="1:8" x14ac:dyDescent="0.2">
      <c r="A1179" s="458">
        <v>3.3</v>
      </c>
      <c r="B1179" s="1517" t="s">
        <v>569</v>
      </c>
      <c r="C1179" s="1517"/>
      <c r="D1179" s="1517"/>
      <c r="E1179" s="1517"/>
      <c r="F1179" s="459"/>
      <c r="G1179" s="454"/>
      <c r="H1179" s="455"/>
    </row>
    <row r="1180" spans="1:8" x14ac:dyDescent="0.2">
      <c r="A1180" s="458"/>
      <c r="B1180" s="1517"/>
      <c r="C1180" s="1517"/>
      <c r="D1180" s="1517"/>
      <c r="E1180" s="1517"/>
      <c r="F1180" s="461"/>
      <c r="G1180" s="454"/>
      <c r="H1180" s="455"/>
    </row>
    <row r="1181" spans="1:8" x14ac:dyDescent="0.2">
      <c r="A1181" s="458"/>
      <c r="B1181" s="459"/>
      <c r="C1181" s="459"/>
      <c r="D1181" s="459"/>
      <c r="E1181" s="459"/>
      <c r="F1181" s="459"/>
      <c r="G1181" s="416"/>
      <c r="H1181" s="416"/>
    </row>
    <row r="1182" spans="1:8" x14ac:dyDescent="0.2">
      <c r="A1182" s="462" t="s">
        <v>633</v>
      </c>
      <c r="B1182" s="462"/>
      <c r="C1182" s="453"/>
      <c r="D1182" s="445"/>
      <c r="E1182" s="445"/>
      <c r="F1182" s="445"/>
      <c r="G1182" s="445"/>
      <c r="H1182" s="445"/>
    </row>
    <row r="1183" spans="1:8" x14ac:dyDescent="0.2">
      <c r="A1183" s="463" t="s">
        <v>622</v>
      </c>
      <c r="B1183" s="453"/>
      <c r="C1183" s="446" t="s">
        <v>1</v>
      </c>
      <c r="D1183" s="446"/>
      <c r="E1183" s="446" t="s">
        <v>632</v>
      </c>
      <c r="F1183" s="446" t="s">
        <v>631</v>
      </c>
      <c r="G1183" s="446" t="s">
        <v>618</v>
      </c>
      <c r="H1183" s="446" t="s">
        <v>627</v>
      </c>
    </row>
    <row r="1184" spans="1:8" x14ac:dyDescent="0.2">
      <c r="A1184" s="464"/>
      <c r="B1184" s="1518" t="s">
        <v>630</v>
      </c>
      <c r="C1184" s="1518"/>
      <c r="D1184" s="1518"/>
      <c r="E1184" s="455">
        <v>60000</v>
      </c>
      <c r="F1184" s="453">
        <v>0.02</v>
      </c>
      <c r="G1184" s="466">
        <f>F1184*E1184</f>
        <v>1200</v>
      </c>
      <c r="H1184" s="466">
        <f>+G1184</f>
        <v>1200</v>
      </c>
    </row>
    <row r="1185" spans="1:8" x14ac:dyDescent="0.2">
      <c r="A1185" s="464"/>
      <c r="B1185" s="1518"/>
      <c r="C1185" s="1518"/>
      <c r="D1185" s="1518"/>
      <c r="E1185" s="455"/>
      <c r="F1185" s="453"/>
      <c r="G1185" s="466"/>
      <c r="H1185" s="466">
        <f>+G1185</f>
        <v>0</v>
      </c>
    </row>
    <row r="1186" spans="1:8" x14ac:dyDescent="0.2">
      <c r="A1186" s="464"/>
      <c r="B1186" s="465"/>
      <c r="C1186" s="453"/>
      <c r="D1186" s="453"/>
      <c r="E1186" s="455"/>
      <c r="F1186" s="453"/>
      <c r="G1186" s="466"/>
      <c r="H1186" s="466"/>
    </row>
    <row r="1187" spans="1:8" x14ac:dyDescent="0.2">
      <c r="A1187" s="464"/>
      <c r="B1187" s="465"/>
      <c r="C1187" s="465"/>
      <c r="D1187" s="453"/>
      <c r="E1187" s="455"/>
      <c r="F1187" s="453"/>
      <c r="G1187" s="453"/>
      <c r="H1187" s="453"/>
    </row>
    <row r="1188" spans="1:8" x14ac:dyDescent="0.2">
      <c r="A1188" s="453"/>
      <c r="B1188" s="453"/>
      <c r="C1188" s="453"/>
      <c r="D1188" s="453"/>
      <c r="E1188" s="454"/>
      <c r="F1188" s="453"/>
      <c r="G1188" s="454" t="s">
        <v>605</v>
      </c>
      <c r="H1188" s="467">
        <f>ROUND(SUM(H1184:H1187),0)</f>
        <v>1200</v>
      </c>
    </row>
    <row r="1189" spans="1:8" x14ac:dyDescent="0.2">
      <c r="A1189" s="453"/>
      <c r="B1189" s="453"/>
      <c r="C1189" s="453"/>
      <c r="D1189" s="453"/>
      <c r="E1189" s="454"/>
      <c r="F1189" s="453"/>
      <c r="G1189" s="454"/>
      <c r="H1189" s="467"/>
    </row>
    <row r="1190" spans="1:8" x14ac:dyDescent="0.2">
      <c r="A1190" s="462" t="s">
        <v>629</v>
      </c>
      <c r="B1190" s="462"/>
      <c r="C1190" s="462"/>
      <c r="D1190" s="462"/>
      <c r="E1190" s="454"/>
      <c r="F1190" s="453"/>
      <c r="G1190" s="453"/>
      <c r="H1190" s="453"/>
    </row>
    <row r="1191" spans="1:8" x14ac:dyDescent="0.2">
      <c r="A1191" s="463" t="s">
        <v>622</v>
      </c>
      <c r="B1191" s="453"/>
      <c r="C1191" s="446" t="s">
        <v>1</v>
      </c>
      <c r="D1191" s="446"/>
      <c r="E1191" s="446" t="s">
        <v>15</v>
      </c>
      <c r="F1191" s="446" t="s">
        <v>628</v>
      </c>
      <c r="G1191" s="446" t="s">
        <v>618</v>
      </c>
      <c r="H1191" s="446" t="s">
        <v>627</v>
      </c>
    </row>
    <row r="1192" spans="1:8" x14ac:dyDescent="0.2">
      <c r="A1192" s="464"/>
      <c r="B1192" s="1519" t="s">
        <v>626</v>
      </c>
      <c r="C1192" s="1519"/>
      <c r="D1192" s="1519"/>
      <c r="E1192" s="455" t="s">
        <v>625</v>
      </c>
      <c r="F1192" s="502">
        <v>24</v>
      </c>
      <c r="G1192" s="469">
        <v>1500</v>
      </c>
      <c r="H1192" s="470">
        <f>+ROUND(F1192*G1192,0)</f>
        <v>36000</v>
      </c>
    </row>
    <row r="1193" spans="1:8" x14ac:dyDescent="0.2">
      <c r="A1193" s="464"/>
      <c r="B1193" s="1519" t="s">
        <v>624</v>
      </c>
      <c r="C1193" s="1519"/>
      <c r="D1193" s="1519"/>
      <c r="E1193" s="455" t="s">
        <v>15</v>
      </c>
      <c r="F1193" s="502">
        <v>1</v>
      </c>
      <c r="G1193" s="469">
        <v>8100</v>
      </c>
      <c r="H1193" s="470">
        <f>+ROUND(F1193*G1193,0)</f>
        <v>8100</v>
      </c>
    </row>
    <row r="1194" spans="1:8" x14ac:dyDescent="0.2">
      <c r="A1194" s="464"/>
      <c r="B1194" s="1520" t="s">
        <v>642</v>
      </c>
      <c r="C1194" s="1520"/>
      <c r="D1194" s="1520"/>
      <c r="E1194" s="455" t="s">
        <v>641</v>
      </c>
      <c r="F1194" s="468">
        <v>3</v>
      </c>
      <c r="G1194" s="469">
        <v>1400</v>
      </c>
      <c r="H1194" s="470">
        <f>+ROUND(F1194*G1194,0)</f>
        <v>4200</v>
      </c>
    </row>
    <row r="1195" spans="1:8" x14ac:dyDescent="0.2">
      <c r="A1195" s="464"/>
      <c r="B1195" s="1520" t="s">
        <v>640</v>
      </c>
      <c r="C1195" s="1520"/>
      <c r="D1195" s="1520"/>
      <c r="E1195" s="455" t="s">
        <v>2</v>
      </c>
      <c r="F1195" s="468">
        <v>1</v>
      </c>
      <c r="G1195" s="469">
        <v>895</v>
      </c>
      <c r="H1195" s="470">
        <f>+ROUND(F1195*G1195,0)</f>
        <v>895</v>
      </c>
    </row>
    <row r="1196" spans="1:8" x14ac:dyDescent="0.2">
      <c r="A1196" s="464"/>
      <c r="B1196" s="1520" t="s">
        <v>639</v>
      </c>
      <c r="C1196" s="1520"/>
      <c r="D1196" s="1520"/>
      <c r="E1196" s="455" t="s">
        <v>2</v>
      </c>
      <c r="F1196" s="468">
        <v>3</v>
      </c>
      <c r="G1196" s="469">
        <v>577</v>
      </c>
      <c r="H1196" s="470">
        <f>+ROUND(F1196*G1196,0)</f>
        <v>1731</v>
      </c>
    </row>
    <row r="1197" spans="1:8" x14ac:dyDescent="0.2">
      <c r="A1197" s="464"/>
      <c r="B1197" s="1519"/>
      <c r="C1197" s="1519"/>
      <c r="D1197" s="1519"/>
      <c r="E1197" s="455"/>
      <c r="F1197" s="494"/>
      <c r="G1197" s="469"/>
      <c r="H1197" s="470"/>
    </row>
    <row r="1198" spans="1:8" x14ac:dyDescent="0.2">
      <c r="A1198" s="464"/>
      <c r="B1198" s="1519"/>
      <c r="C1198" s="1519"/>
      <c r="D1198" s="1519"/>
      <c r="E1198" s="454"/>
      <c r="F1198" s="453"/>
      <c r="G1198" s="473"/>
      <c r="H1198" s="470"/>
    </row>
    <row r="1199" spans="1:8" x14ac:dyDescent="0.2">
      <c r="A1199" s="453"/>
      <c r="B1199" s="453"/>
      <c r="C1199" s="453"/>
      <c r="D1199" s="453"/>
      <c r="E1199" s="454"/>
      <c r="F1199" s="453"/>
      <c r="G1199" s="454" t="s">
        <v>605</v>
      </c>
      <c r="H1199" s="462">
        <f>ROUND(SUM(H1192:H1198),0)</f>
        <v>50926</v>
      </c>
    </row>
    <row r="1200" spans="1:8" x14ac:dyDescent="0.2">
      <c r="A1200" s="453"/>
      <c r="B1200" s="453"/>
      <c r="C1200" s="453"/>
      <c r="D1200" s="453"/>
      <c r="E1200" s="454"/>
      <c r="F1200" s="453"/>
      <c r="G1200" s="454"/>
      <c r="H1200" s="462"/>
    </row>
    <row r="1201" spans="1:8" x14ac:dyDescent="0.2">
      <c r="A1201" s="462" t="s">
        <v>623</v>
      </c>
      <c r="B1201" s="453"/>
      <c r="C1201" s="453"/>
      <c r="D1201" s="453"/>
      <c r="E1201" s="454"/>
      <c r="F1201" s="453"/>
      <c r="G1201" s="454"/>
      <c r="H1201" s="462"/>
    </row>
    <row r="1202" spans="1:8" x14ac:dyDescent="0.2">
      <c r="A1202" s="463" t="s">
        <v>622</v>
      </c>
      <c r="B1202" s="1521" t="s">
        <v>621</v>
      </c>
      <c r="C1202" s="1521"/>
      <c r="D1202" s="474" t="s">
        <v>620</v>
      </c>
      <c r="E1202" s="475" t="s">
        <v>2</v>
      </c>
      <c r="F1202" s="476" t="s">
        <v>619</v>
      </c>
      <c r="G1202" s="477" t="s">
        <v>618</v>
      </c>
      <c r="H1202" s="477" t="s">
        <v>600</v>
      </c>
    </row>
    <row r="1203" spans="1:8" x14ac:dyDescent="0.2">
      <c r="A1203" s="478"/>
      <c r="B1203" s="465" t="s">
        <v>617</v>
      </c>
      <c r="D1203" s="479">
        <v>1E-3</v>
      </c>
      <c r="E1203" s="455" t="s">
        <v>616</v>
      </c>
      <c r="F1203" s="480">
        <v>1</v>
      </c>
      <c r="G1203" s="469">
        <v>380000</v>
      </c>
      <c r="H1203" s="473">
        <f>+ROUND(D1203*G1203,0)</f>
        <v>380</v>
      </c>
    </row>
    <row r="1204" spans="1:8" x14ac:dyDescent="0.2">
      <c r="A1204" s="478"/>
      <c r="B1204" s="465"/>
      <c r="D1204" s="481"/>
      <c r="E1204" s="455"/>
      <c r="F1204" s="482"/>
      <c r="G1204" s="483"/>
      <c r="H1204" s="470"/>
    </row>
    <row r="1205" spans="1:8" x14ac:dyDescent="0.2">
      <c r="A1205" s="478"/>
      <c r="E1205" s="484"/>
      <c r="F1205" s="484"/>
      <c r="G1205" s="473"/>
      <c r="H1205" s="470"/>
    </row>
    <row r="1206" spans="1:8" x14ac:dyDescent="0.2">
      <c r="E1206" s="485"/>
      <c r="F1206" s="484"/>
      <c r="G1206" s="454" t="s">
        <v>605</v>
      </c>
      <c r="H1206" s="486">
        <f>ROUND(SUM(H1203:H1205),0)</f>
        <v>380</v>
      </c>
    </row>
    <row r="1207" spans="1:8" x14ac:dyDescent="0.2">
      <c r="E1207" s="485"/>
      <c r="F1207" s="484"/>
      <c r="G1207" s="454"/>
      <c r="H1207" s="486"/>
    </row>
    <row r="1208" spans="1:8" x14ac:dyDescent="0.2">
      <c r="A1208" s="462" t="s">
        <v>615</v>
      </c>
      <c r="B1208" s="462"/>
      <c r="C1208" s="462"/>
      <c r="D1208" s="453"/>
      <c r="E1208" s="454"/>
      <c r="F1208" s="453"/>
      <c r="G1208" s="453"/>
      <c r="H1208" s="453"/>
    </row>
    <row r="1209" spans="1:8" x14ac:dyDescent="0.2">
      <c r="A1209" s="487" t="s">
        <v>421</v>
      </c>
      <c r="B1209" s="1512" t="s">
        <v>614</v>
      </c>
      <c r="C1209" s="1512"/>
      <c r="D1209" s="446" t="s">
        <v>613</v>
      </c>
      <c r="E1209" s="446" t="s">
        <v>612</v>
      </c>
      <c r="F1209" s="446" t="s">
        <v>611</v>
      </c>
      <c r="G1209" s="446" t="s">
        <v>610</v>
      </c>
      <c r="H1209" s="446" t="s">
        <v>609</v>
      </c>
    </row>
    <row r="1210" spans="1:8" x14ac:dyDescent="0.2">
      <c r="A1210" s="488">
        <v>1</v>
      </c>
      <c r="B1210" s="465" t="s">
        <v>608</v>
      </c>
      <c r="C1210" s="465"/>
      <c r="D1210" s="483">
        <v>80000</v>
      </c>
      <c r="E1210" s="489">
        <f>D1210*75%</f>
        <v>60000</v>
      </c>
      <c r="F1210" s="473">
        <f>(D1210+E1210)*A1210</f>
        <v>140000</v>
      </c>
      <c r="G1210" s="453">
        <v>8</v>
      </c>
      <c r="H1210" s="473">
        <f>+ROUND(F1210/G1210,0)</f>
        <v>17500</v>
      </c>
    </row>
    <row r="1211" spans="1:8" x14ac:dyDescent="0.2">
      <c r="A1211" s="488">
        <v>1</v>
      </c>
      <c r="B1211" s="447" t="s">
        <v>607</v>
      </c>
      <c r="C1211" s="465"/>
      <c r="D1211" s="483">
        <v>40000</v>
      </c>
      <c r="E1211" s="489">
        <f>D1211*75%</f>
        <v>30000</v>
      </c>
      <c r="F1211" s="473">
        <f>(D1211+E1211)*A1211</f>
        <v>70000</v>
      </c>
      <c r="G1211" s="453">
        <v>8</v>
      </c>
      <c r="H1211" s="473">
        <f>+ROUND(F1211/G1211,0)</f>
        <v>8750</v>
      </c>
    </row>
    <row r="1212" spans="1:8" x14ac:dyDescent="0.2">
      <c r="A1212" s="488">
        <v>1</v>
      </c>
      <c r="B1212" s="465" t="s">
        <v>606</v>
      </c>
      <c r="C1212" s="465"/>
      <c r="D1212" s="483">
        <v>25000</v>
      </c>
      <c r="E1212" s="489">
        <f>D1212*75%</f>
        <v>18750</v>
      </c>
      <c r="F1212" s="473">
        <f>(D1212+E1212)*A1212</f>
        <v>43750</v>
      </c>
      <c r="G1212" s="453">
        <v>8</v>
      </c>
      <c r="H1212" s="473">
        <f>+ROUND(F1212/G1212,0)</f>
        <v>5469</v>
      </c>
    </row>
    <row r="1213" spans="1:8" x14ac:dyDescent="0.2">
      <c r="A1213" s="453"/>
      <c r="B1213" s="453"/>
      <c r="C1213" s="453"/>
      <c r="D1213" s="453"/>
      <c r="E1213" s="454"/>
      <c r="F1213" s="453"/>
      <c r="G1213" s="454" t="s">
        <v>605</v>
      </c>
      <c r="H1213" s="486">
        <f>ROUND(SUM(H1210:H1212),0)</f>
        <v>31719</v>
      </c>
    </row>
    <row r="1214" spans="1:8" x14ac:dyDescent="0.2">
      <c r="A1214" s="453"/>
      <c r="B1214" s="453"/>
      <c r="C1214" s="453"/>
      <c r="D1214" s="453"/>
      <c r="E1214" s="454"/>
      <c r="F1214" s="453"/>
      <c r="G1214" s="453"/>
      <c r="H1214" s="453"/>
    </row>
    <row r="1215" spans="1:8" x14ac:dyDescent="0.2">
      <c r="A1215" s="490"/>
      <c r="B1215" s="453"/>
      <c r="C1215" s="453"/>
      <c r="D1215" s="453"/>
      <c r="E1215" s="491" t="s">
        <v>604</v>
      </c>
      <c r="F1215" s="492"/>
      <c r="G1215" s="492"/>
      <c r="H1215" s="493">
        <f>+ROUND(H1188+H1199+H1206+H1213,0)</f>
        <v>84225</v>
      </c>
    </row>
    <row r="1225" spans="1:8" ht="15.75" customHeight="1" x14ac:dyDescent="0.25">
      <c r="A1225" s="448"/>
      <c r="B1225" s="448"/>
      <c r="C1225" s="1513"/>
      <c r="D1225" s="1513"/>
      <c r="E1225" s="1513"/>
      <c r="F1225" s="449" t="s">
        <v>638</v>
      </c>
      <c r="G1225" s="450"/>
      <c r="H1225" s="451"/>
    </row>
    <row r="1226" spans="1:8" ht="15.75" x14ac:dyDescent="0.25">
      <c r="A1226" s="448"/>
      <c r="B1226" s="448"/>
      <c r="C1226" s="1513"/>
      <c r="D1226" s="1513"/>
      <c r="E1226" s="1513"/>
      <c r="F1226" s="1514" t="s">
        <v>637</v>
      </c>
      <c r="G1226" s="1514"/>
      <c r="H1226" s="1514"/>
    </row>
    <row r="1227" spans="1:8" x14ac:dyDescent="0.2">
      <c r="A1227" s="452"/>
      <c r="B1227" s="452"/>
      <c r="C1227" s="1513"/>
      <c r="D1227" s="1513"/>
      <c r="E1227" s="1513"/>
      <c r="F1227" s="1514"/>
      <c r="G1227" s="1514"/>
      <c r="H1227" s="1514"/>
    </row>
    <row r="1228" spans="1:8" x14ac:dyDescent="0.2">
      <c r="A1228" s="444"/>
      <c r="B1228" s="1515"/>
      <c r="C1228" s="1516"/>
      <c r="D1228" s="1516"/>
      <c r="E1228" s="444"/>
      <c r="F1228" s="453"/>
      <c r="G1228" s="454"/>
      <c r="H1228" s="455"/>
    </row>
    <row r="1229" spans="1:8" x14ac:dyDescent="0.2">
      <c r="A1229" s="501">
        <v>3</v>
      </c>
      <c r="B1229" s="418" t="s">
        <v>635</v>
      </c>
      <c r="C1229" s="417"/>
      <c r="D1229" s="457"/>
      <c r="E1229" s="454"/>
      <c r="F1229" s="453"/>
      <c r="G1229" s="454" t="s">
        <v>634</v>
      </c>
      <c r="H1229" s="455" t="s">
        <v>2</v>
      </c>
    </row>
    <row r="1230" spans="1:8" x14ac:dyDescent="0.2">
      <c r="A1230" s="458">
        <v>3.4</v>
      </c>
      <c r="B1230" s="1517" t="s">
        <v>568</v>
      </c>
      <c r="C1230" s="1517"/>
      <c r="D1230" s="1517"/>
      <c r="E1230" s="1517"/>
      <c r="F1230" s="459"/>
      <c r="G1230" s="454"/>
      <c r="H1230" s="455"/>
    </row>
    <row r="1231" spans="1:8" x14ac:dyDescent="0.2">
      <c r="A1231" s="458"/>
      <c r="B1231" s="1517"/>
      <c r="C1231" s="1517"/>
      <c r="D1231" s="1517"/>
      <c r="E1231" s="1517"/>
      <c r="F1231" s="461"/>
      <c r="G1231" s="454"/>
      <c r="H1231" s="455"/>
    </row>
    <row r="1232" spans="1:8" x14ac:dyDescent="0.2">
      <c r="A1232" s="458"/>
      <c r="B1232" s="459"/>
      <c r="C1232" s="459"/>
      <c r="D1232" s="459"/>
      <c r="E1232" s="459"/>
      <c r="F1232" s="459"/>
      <c r="G1232" s="416"/>
      <c r="H1232" s="416"/>
    </row>
    <row r="1233" spans="1:8" x14ac:dyDescent="0.2">
      <c r="A1233" s="462" t="s">
        <v>633</v>
      </c>
      <c r="B1233" s="462"/>
      <c r="C1233" s="453"/>
      <c r="D1233" s="445"/>
      <c r="E1233" s="445"/>
      <c r="F1233" s="445"/>
      <c r="G1233" s="445"/>
      <c r="H1233" s="445"/>
    </row>
    <row r="1234" spans="1:8" x14ac:dyDescent="0.2">
      <c r="A1234" s="463" t="s">
        <v>622</v>
      </c>
      <c r="B1234" s="453"/>
      <c r="C1234" s="446" t="s">
        <v>1</v>
      </c>
      <c r="D1234" s="446"/>
      <c r="E1234" s="446" t="s">
        <v>632</v>
      </c>
      <c r="F1234" s="446" t="s">
        <v>631</v>
      </c>
      <c r="G1234" s="446" t="s">
        <v>618</v>
      </c>
      <c r="H1234" s="446" t="s">
        <v>627</v>
      </c>
    </row>
    <row r="1235" spans="1:8" x14ac:dyDescent="0.2">
      <c r="A1235" s="464"/>
      <c r="B1235" s="1518" t="s">
        <v>630</v>
      </c>
      <c r="C1235" s="1518"/>
      <c r="D1235" s="1518"/>
      <c r="E1235" s="455">
        <v>60000</v>
      </c>
      <c r="F1235" s="453">
        <v>0.02</v>
      </c>
      <c r="G1235" s="466">
        <f>F1235*E1235</f>
        <v>1200</v>
      </c>
      <c r="H1235" s="466">
        <f>+G1235</f>
        <v>1200</v>
      </c>
    </row>
    <row r="1236" spans="1:8" x14ac:dyDescent="0.2">
      <c r="A1236" s="464"/>
      <c r="B1236" s="1518"/>
      <c r="C1236" s="1518"/>
      <c r="D1236" s="1518"/>
      <c r="E1236" s="455"/>
      <c r="F1236" s="453"/>
      <c r="G1236" s="466"/>
      <c r="H1236" s="466">
        <f>+G1236</f>
        <v>0</v>
      </c>
    </row>
    <row r="1237" spans="1:8" x14ac:dyDescent="0.2">
      <c r="A1237" s="464"/>
      <c r="B1237" s="465"/>
      <c r="C1237" s="453"/>
      <c r="D1237" s="453"/>
      <c r="E1237" s="455"/>
      <c r="F1237" s="453"/>
      <c r="G1237" s="466"/>
      <c r="H1237" s="466"/>
    </row>
    <row r="1238" spans="1:8" x14ac:dyDescent="0.2">
      <c r="A1238" s="464"/>
      <c r="B1238" s="465"/>
      <c r="C1238" s="465"/>
      <c r="D1238" s="453"/>
      <c r="E1238" s="455"/>
      <c r="F1238" s="453"/>
      <c r="G1238" s="453"/>
      <c r="H1238" s="453"/>
    </row>
    <row r="1239" spans="1:8" x14ac:dyDescent="0.2">
      <c r="A1239" s="453"/>
      <c r="B1239" s="453"/>
      <c r="C1239" s="453"/>
      <c r="D1239" s="453"/>
      <c r="E1239" s="454"/>
      <c r="F1239" s="453"/>
      <c r="G1239" s="454" t="s">
        <v>605</v>
      </c>
      <c r="H1239" s="467">
        <f>ROUND(SUM(H1235:H1238),0)</f>
        <v>1200</v>
      </c>
    </row>
    <row r="1240" spans="1:8" x14ac:dyDescent="0.2">
      <c r="A1240" s="453"/>
      <c r="B1240" s="453"/>
      <c r="C1240" s="453"/>
      <c r="D1240" s="453"/>
      <c r="E1240" s="454"/>
      <c r="F1240" s="453"/>
      <c r="G1240" s="454"/>
      <c r="H1240" s="467"/>
    </row>
    <row r="1241" spans="1:8" x14ac:dyDescent="0.2">
      <c r="A1241" s="462" t="s">
        <v>629</v>
      </c>
      <c r="B1241" s="462"/>
      <c r="C1241" s="462"/>
      <c r="D1241" s="462"/>
      <c r="E1241" s="454"/>
      <c r="F1241" s="453"/>
      <c r="G1241" s="453"/>
      <c r="H1241" s="453"/>
    </row>
    <row r="1242" spans="1:8" x14ac:dyDescent="0.2">
      <c r="A1242" s="463" t="s">
        <v>622</v>
      </c>
      <c r="B1242" s="453"/>
      <c r="C1242" s="446" t="s">
        <v>1</v>
      </c>
      <c r="D1242" s="446"/>
      <c r="E1242" s="446" t="s">
        <v>15</v>
      </c>
      <c r="F1242" s="446" t="s">
        <v>628</v>
      </c>
      <c r="G1242" s="446" t="s">
        <v>618</v>
      </c>
      <c r="H1242" s="446" t="s">
        <v>627</v>
      </c>
    </row>
    <row r="1243" spans="1:8" x14ac:dyDescent="0.2">
      <c r="A1243" s="464"/>
      <c r="B1243" s="1519" t="s">
        <v>626</v>
      </c>
      <c r="C1243" s="1519"/>
      <c r="D1243" s="1519"/>
      <c r="E1243" s="455" t="s">
        <v>625</v>
      </c>
      <c r="F1243" s="502">
        <v>30</v>
      </c>
      <c r="G1243" s="469">
        <v>1500</v>
      </c>
      <c r="H1243" s="470">
        <f>+ROUND(F1243*G1243,0)</f>
        <v>45000</v>
      </c>
    </row>
    <row r="1244" spans="1:8" x14ac:dyDescent="0.2">
      <c r="A1244" s="464"/>
      <c r="B1244" s="1519" t="s">
        <v>624</v>
      </c>
      <c r="C1244" s="1519"/>
      <c r="D1244" s="1519"/>
      <c r="E1244" s="455" t="s">
        <v>15</v>
      </c>
      <c r="F1244" s="502">
        <v>1</v>
      </c>
      <c r="G1244" s="469">
        <v>12300</v>
      </c>
      <c r="H1244" s="470">
        <f>+ROUND(F1244*G1244,0)</f>
        <v>12300</v>
      </c>
    </row>
    <row r="1245" spans="1:8" x14ac:dyDescent="0.2">
      <c r="A1245" s="464"/>
      <c r="B1245" s="1519"/>
      <c r="C1245" s="1519"/>
      <c r="D1245" s="1519"/>
      <c r="E1245" s="455"/>
      <c r="F1245" s="502"/>
      <c r="G1245" s="469"/>
      <c r="H1245" s="470">
        <f>+ROUND(F1245*G1245,0)</f>
        <v>0</v>
      </c>
    </row>
    <row r="1246" spans="1:8" x14ac:dyDescent="0.2">
      <c r="A1246" s="464"/>
      <c r="B1246" s="1519"/>
      <c r="C1246" s="1519"/>
      <c r="D1246" s="1519"/>
      <c r="E1246" s="455"/>
      <c r="F1246" s="494"/>
      <c r="G1246" s="469"/>
      <c r="H1246" s="470">
        <f>+ROUND(F1246*G1246,0)</f>
        <v>0</v>
      </c>
    </row>
    <row r="1247" spans="1:8" x14ac:dyDescent="0.2">
      <c r="A1247" s="464"/>
      <c r="B1247" s="1519"/>
      <c r="C1247" s="1519"/>
      <c r="D1247" s="1519"/>
      <c r="E1247" s="455"/>
      <c r="F1247" s="494"/>
      <c r="G1247" s="469"/>
      <c r="H1247" s="470"/>
    </row>
    <row r="1248" spans="1:8" x14ac:dyDescent="0.2">
      <c r="A1248" s="464"/>
      <c r="B1248" s="1519"/>
      <c r="C1248" s="1519"/>
      <c r="D1248" s="1519"/>
      <c r="E1248" s="455"/>
      <c r="F1248" s="494"/>
      <c r="G1248" s="469"/>
      <c r="H1248" s="470"/>
    </row>
    <row r="1249" spans="1:8" x14ac:dyDescent="0.2">
      <c r="A1249" s="464"/>
      <c r="B1249" s="1519"/>
      <c r="C1249" s="1519"/>
      <c r="D1249" s="1519"/>
      <c r="E1249" s="455"/>
      <c r="F1249" s="494"/>
      <c r="G1249" s="469"/>
      <c r="H1249" s="470"/>
    </row>
    <row r="1250" spans="1:8" x14ac:dyDescent="0.2">
      <c r="A1250" s="464"/>
      <c r="B1250" s="1519"/>
      <c r="C1250" s="1519"/>
      <c r="D1250" s="1519"/>
      <c r="E1250" s="454"/>
      <c r="F1250" s="453"/>
      <c r="G1250" s="473"/>
      <c r="H1250" s="470"/>
    </row>
    <row r="1251" spans="1:8" x14ac:dyDescent="0.2">
      <c r="A1251" s="453"/>
      <c r="B1251" s="453"/>
      <c r="C1251" s="453"/>
      <c r="D1251" s="453"/>
      <c r="E1251" s="454"/>
      <c r="F1251" s="453"/>
      <c r="G1251" s="454" t="s">
        <v>605</v>
      </c>
      <c r="H1251" s="462">
        <f>ROUND(SUM(H1243:H1250),0)</f>
        <v>57300</v>
      </c>
    </row>
    <row r="1252" spans="1:8" x14ac:dyDescent="0.2">
      <c r="A1252" s="453"/>
      <c r="B1252" s="453"/>
      <c r="C1252" s="453"/>
      <c r="D1252" s="453"/>
      <c r="E1252" s="454"/>
      <c r="F1252" s="453"/>
      <c r="G1252" s="454"/>
      <c r="H1252" s="462"/>
    </row>
    <row r="1253" spans="1:8" x14ac:dyDescent="0.2">
      <c r="A1253" s="462" t="s">
        <v>623</v>
      </c>
      <c r="B1253" s="453"/>
      <c r="C1253" s="453"/>
      <c r="D1253" s="453"/>
      <c r="E1253" s="454"/>
      <c r="F1253" s="453"/>
      <c r="G1253" s="454"/>
      <c r="H1253" s="462"/>
    </row>
    <row r="1254" spans="1:8" x14ac:dyDescent="0.2">
      <c r="A1254" s="463" t="s">
        <v>622</v>
      </c>
      <c r="B1254" s="1521" t="s">
        <v>621</v>
      </c>
      <c r="C1254" s="1521"/>
      <c r="D1254" s="474" t="s">
        <v>620</v>
      </c>
      <c r="E1254" s="475" t="s">
        <v>2</v>
      </c>
      <c r="F1254" s="476" t="s">
        <v>619</v>
      </c>
      <c r="G1254" s="477" t="s">
        <v>618</v>
      </c>
      <c r="H1254" s="477" t="s">
        <v>600</v>
      </c>
    </row>
    <row r="1255" spans="1:8" x14ac:dyDescent="0.2">
      <c r="A1255" s="478"/>
      <c r="B1255" s="465" t="s">
        <v>617</v>
      </c>
      <c r="D1255" s="479">
        <v>1E-3</v>
      </c>
      <c r="E1255" s="455" t="s">
        <v>616</v>
      </c>
      <c r="F1255" s="480">
        <v>1</v>
      </c>
      <c r="G1255" s="469">
        <v>380000</v>
      </c>
      <c r="H1255" s="473">
        <f>+ROUND(D1255*G1255,0)</f>
        <v>380</v>
      </c>
    </row>
    <row r="1256" spans="1:8" x14ac:dyDescent="0.2">
      <c r="A1256" s="478"/>
      <c r="B1256" s="465"/>
      <c r="D1256" s="481"/>
      <c r="E1256" s="455"/>
      <c r="F1256" s="482"/>
      <c r="G1256" s="483"/>
      <c r="H1256" s="470"/>
    </row>
    <row r="1257" spans="1:8" x14ac:dyDescent="0.2">
      <c r="A1257" s="478"/>
      <c r="E1257" s="484"/>
      <c r="F1257" s="484"/>
      <c r="G1257" s="473"/>
      <c r="H1257" s="470"/>
    </row>
    <row r="1258" spans="1:8" x14ac:dyDescent="0.2">
      <c r="E1258" s="485"/>
      <c r="F1258" s="484"/>
      <c r="G1258" s="454" t="s">
        <v>605</v>
      </c>
      <c r="H1258" s="486">
        <f>ROUND(SUM(H1255:H1257),0)</f>
        <v>380</v>
      </c>
    </row>
    <row r="1259" spans="1:8" x14ac:dyDescent="0.2">
      <c r="E1259" s="485"/>
      <c r="F1259" s="484"/>
      <c r="G1259" s="454"/>
      <c r="H1259" s="486"/>
    </row>
    <row r="1260" spans="1:8" x14ac:dyDescent="0.2">
      <c r="A1260" s="462" t="s">
        <v>615</v>
      </c>
      <c r="B1260" s="462"/>
      <c r="C1260" s="462"/>
      <c r="D1260" s="453"/>
      <c r="E1260" s="454"/>
      <c r="F1260" s="453"/>
      <c r="G1260" s="453"/>
      <c r="H1260" s="453"/>
    </row>
    <row r="1261" spans="1:8" x14ac:dyDescent="0.2">
      <c r="A1261" s="487" t="s">
        <v>421</v>
      </c>
      <c r="B1261" s="1512" t="s">
        <v>614</v>
      </c>
      <c r="C1261" s="1512"/>
      <c r="D1261" s="446" t="s">
        <v>613</v>
      </c>
      <c r="E1261" s="446" t="s">
        <v>612</v>
      </c>
      <c r="F1261" s="446" t="s">
        <v>611</v>
      </c>
      <c r="G1261" s="446" t="s">
        <v>610</v>
      </c>
      <c r="H1261" s="446" t="s">
        <v>609</v>
      </c>
    </row>
    <row r="1262" spans="1:8" x14ac:dyDescent="0.2">
      <c r="A1262" s="488">
        <v>1</v>
      </c>
      <c r="B1262" s="465" t="s">
        <v>608</v>
      </c>
      <c r="C1262" s="465"/>
      <c r="D1262" s="483">
        <v>80000</v>
      </c>
      <c r="E1262" s="489">
        <f>D1262*75%</f>
        <v>60000</v>
      </c>
      <c r="F1262" s="473">
        <f>(D1262+E1262)*A1262</f>
        <v>140000</v>
      </c>
      <c r="G1262" s="453">
        <v>10</v>
      </c>
      <c r="H1262" s="473">
        <f>+ROUND(F1262/G1262,0)</f>
        <v>14000</v>
      </c>
    </row>
    <row r="1263" spans="1:8" x14ac:dyDescent="0.2">
      <c r="A1263" s="488">
        <v>1</v>
      </c>
      <c r="B1263" s="447" t="s">
        <v>607</v>
      </c>
      <c r="C1263" s="465"/>
      <c r="D1263" s="483">
        <v>40000</v>
      </c>
      <c r="E1263" s="489">
        <f>D1263*75%</f>
        <v>30000</v>
      </c>
      <c r="F1263" s="473">
        <f>(D1263+E1263)*A1263</f>
        <v>70000</v>
      </c>
      <c r="G1263" s="453">
        <v>10</v>
      </c>
      <c r="H1263" s="473">
        <f>+ROUND(F1263/G1263,0)</f>
        <v>7000</v>
      </c>
    </row>
    <row r="1264" spans="1:8" x14ac:dyDescent="0.2">
      <c r="A1264" s="488">
        <v>1</v>
      </c>
      <c r="B1264" s="465" t="s">
        <v>606</v>
      </c>
      <c r="C1264" s="465"/>
      <c r="D1264" s="483">
        <v>25000</v>
      </c>
      <c r="E1264" s="489">
        <f>D1264*75%</f>
        <v>18750</v>
      </c>
      <c r="F1264" s="473">
        <f>(D1264+E1264)*A1264</f>
        <v>43750</v>
      </c>
      <c r="G1264" s="453">
        <v>10</v>
      </c>
      <c r="H1264" s="473">
        <f>+ROUND(F1264/G1264,0)</f>
        <v>4375</v>
      </c>
    </row>
    <row r="1265" spans="1:8" x14ac:dyDescent="0.2">
      <c r="A1265" s="453"/>
      <c r="B1265" s="453"/>
      <c r="C1265" s="453"/>
      <c r="D1265" s="453"/>
      <c r="E1265" s="454"/>
      <c r="F1265" s="453"/>
      <c r="G1265" s="454" t="s">
        <v>605</v>
      </c>
      <c r="H1265" s="486">
        <f>ROUND(SUM(H1262:H1264),0)</f>
        <v>25375</v>
      </c>
    </row>
    <row r="1266" spans="1:8" x14ac:dyDescent="0.2">
      <c r="A1266" s="453"/>
      <c r="B1266" s="453"/>
      <c r="C1266" s="453"/>
      <c r="D1266" s="453"/>
      <c r="E1266" s="454"/>
      <c r="F1266" s="453"/>
      <c r="G1266" s="453"/>
      <c r="H1266" s="453"/>
    </row>
    <row r="1267" spans="1:8" x14ac:dyDescent="0.2">
      <c r="A1267" s="490"/>
      <c r="B1267" s="453"/>
      <c r="C1267" s="453"/>
      <c r="D1267" s="453"/>
      <c r="E1267" s="491" t="s">
        <v>604</v>
      </c>
      <c r="F1267" s="492"/>
      <c r="G1267" s="492"/>
      <c r="H1267" s="493">
        <f>+ROUND(H1239+H1251+H1258+H1265,0)</f>
        <v>84255</v>
      </c>
    </row>
  </sheetData>
  <mergeCells count="311">
    <mergeCell ref="B944:D944"/>
    <mergeCell ref="B945:D945"/>
    <mergeCell ref="B951:C951"/>
    <mergeCell ref="B958:C958"/>
    <mergeCell ref="B1029:D1029"/>
    <mergeCell ref="B1031:E1032"/>
    <mergeCell ref="B1043:D1043"/>
    <mergeCell ref="B1044:D1044"/>
    <mergeCell ref="B1045:D1045"/>
    <mergeCell ref="C1026:E1028"/>
    <mergeCell ref="B946:D946"/>
    <mergeCell ref="B997:D997"/>
    <mergeCell ref="B998:D998"/>
    <mergeCell ref="C978:E980"/>
    <mergeCell ref="F1027:H1028"/>
    <mergeCell ref="F979:H980"/>
    <mergeCell ref="B981:D981"/>
    <mergeCell ref="B983:E984"/>
    <mergeCell ref="B995:D995"/>
    <mergeCell ref="B996:D996"/>
    <mergeCell ref="B1046:D1046"/>
    <mergeCell ref="B1052:C1052"/>
    <mergeCell ref="B1059:C1059"/>
    <mergeCell ref="B1004:C1004"/>
    <mergeCell ref="B1011:C1011"/>
    <mergeCell ref="B942:D942"/>
    <mergeCell ref="B943:D943"/>
    <mergeCell ref="B801:C801"/>
    <mergeCell ref="B808:C808"/>
    <mergeCell ref="B857:C857"/>
    <mergeCell ref="C925:E927"/>
    <mergeCell ref="C823:E825"/>
    <mergeCell ref="B842:D842"/>
    <mergeCell ref="B843:D843"/>
    <mergeCell ref="B844:D844"/>
    <mergeCell ref="B850:C850"/>
    <mergeCell ref="B891:D891"/>
    <mergeCell ref="B897:C897"/>
    <mergeCell ref="B904:C904"/>
    <mergeCell ref="C869:E871"/>
    <mergeCell ref="B872:D872"/>
    <mergeCell ref="B874:E875"/>
    <mergeCell ref="B886:D886"/>
    <mergeCell ref="B887:D887"/>
    <mergeCell ref="B888:D888"/>
    <mergeCell ref="B889:D889"/>
    <mergeCell ref="B890:D890"/>
    <mergeCell ref="B778:D778"/>
    <mergeCell ref="B780:E781"/>
    <mergeCell ref="B744:D744"/>
    <mergeCell ref="B750:C750"/>
    <mergeCell ref="B757:C757"/>
    <mergeCell ref="C775:E777"/>
    <mergeCell ref="F776:H777"/>
    <mergeCell ref="B928:D928"/>
    <mergeCell ref="B930:E931"/>
    <mergeCell ref="F926:H927"/>
    <mergeCell ref="F870:H871"/>
    <mergeCell ref="F824:H825"/>
    <mergeCell ref="B826:D826"/>
    <mergeCell ref="B828:E829"/>
    <mergeCell ref="B840:D840"/>
    <mergeCell ref="B841:D841"/>
    <mergeCell ref="F672:H673"/>
    <mergeCell ref="B674:D674"/>
    <mergeCell ref="B726:D726"/>
    <mergeCell ref="B728:E729"/>
    <mergeCell ref="B740:D740"/>
    <mergeCell ref="B742:D742"/>
    <mergeCell ref="B743:D743"/>
    <mergeCell ref="C723:E725"/>
    <mergeCell ref="F724:H725"/>
    <mergeCell ref="B648:C648"/>
    <mergeCell ref="B655:C655"/>
    <mergeCell ref="B624:E624"/>
    <mergeCell ref="B636:D636"/>
    <mergeCell ref="B637:D637"/>
    <mergeCell ref="B638:D638"/>
    <mergeCell ref="B639:D639"/>
    <mergeCell ref="B699:C699"/>
    <mergeCell ref="B706:C706"/>
    <mergeCell ref="B676:E677"/>
    <mergeCell ref="B688:D688"/>
    <mergeCell ref="B689:D689"/>
    <mergeCell ref="B690:D690"/>
    <mergeCell ref="B691:D691"/>
    <mergeCell ref="C671:E673"/>
    <mergeCell ref="B622:D622"/>
    <mergeCell ref="B588:D588"/>
    <mergeCell ref="B589:D589"/>
    <mergeCell ref="B590:D590"/>
    <mergeCell ref="B596:C596"/>
    <mergeCell ref="B603:C603"/>
    <mergeCell ref="B640:D640"/>
    <mergeCell ref="B641:D641"/>
    <mergeCell ref="B642:D642"/>
    <mergeCell ref="B572:E572"/>
    <mergeCell ref="B584:D584"/>
    <mergeCell ref="B585:D585"/>
    <mergeCell ref="B586:D586"/>
    <mergeCell ref="B587:D587"/>
    <mergeCell ref="C567:E569"/>
    <mergeCell ref="F568:H569"/>
    <mergeCell ref="B570:D570"/>
    <mergeCell ref="C619:E621"/>
    <mergeCell ref="F620:H621"/>
    <mergeCell ref="B536:D536"/>
    <mergeCell ref="B537:D537"/>
    <mergeCell ref="B538:D538"/>
    <mergeCell ref="B544:C544"/>
    <mergeCell ref="B551:C551"/>
    <mergeCell ref="B520:E520"/>
    <mergeCell ref="B532:D532"/>
    <mergeCell ref="B533:D533"/>
    <mergeCell ref="B534:D534"/>
    <mergeCell ref="B535:D535"/>
    <mergeCell ref="B481:D481"/>
    <mergeCell ref="B482:D482"/>
    <mergeCell ref="B483:D483"/>
    <mergeCell ref="C463:E465"/>
    <mergeCell ref="F464:H465"/>
    <mergeCell ref="B466:D466"/>
    <mergeCell ref="C515:E517"/>
    <mergeCell ref="F516:H517"/>
    <mergeCell ref="B518:D518"/>
    <mergeCell ref="B484:D484"/>
    <mergeCell ref="B485:D485"/>
    <mergeCell ref="B486:D486"/>
    <mergeCell ref="B492:C492"/>
    <mergeCell ref="B499:C499"/>
    <mergeCell ref="B440:C440"/>
    <mergeCell ref="B447:C447"/>
    <mergeCell ref="B416:E416"/>
    <mergeCell ref="B428:D428"/>
    <mergeCell ref="B429:D429"/>
    <mergeCell ref="B430:D430"/>
    <mergeCell ref="B431:D431"/>
    <mergeCell ref="B468:E468"/>
    <mergeCell ref="B480:D480"/>
    <mergeCell ref="B414:D414"/>
    <mergeCell ref="B380:D380"/>
    <mergeCell ref="B381:D381"/>
    <mergeCell ref="B382:D382"/>
    <mergeCell ref="B388:C388"/>
    <mergeCell ref="B395:C395"/>
    <mergeCell ref="B432:D432"/>
    <mergeCell ref="B433:D433"/>
    <mergeCell ref="B434:D434"/>
    <mergeCell ref="B364:E364"/>
    <mergeCell ref="B376:D376"/>
    <mergeCell ref="B377:D377"/>
    <mergeCell ref="B378:D378"/>
    <mergeCell ref="B379:D379"/>
    <mergeCell ref="C359:E361"/>
    <mergeCell ref="F360:H361"/>
    <mergeCell ref="B362:D362"/>
    <mergeCell ref="C411:E413"/>
    <mergeCell ref="F412:H413"/>
    <mergeCell ref="B277:D277"/>
    <mergeCell ref="B278:D278"/>
    <mergeCell ref="B284:C284"/>
    <mergeCell ref="B291:C291"/>
    <mergeCell ref="B328:D328"/>
    <mergeCell ref="B329:D329"/>
    <mergeCell ref="B330:D330"/>
    <mergeCell ref="B336:C336"/>
    <mergeCell ref="B343:C343"/>
    <mergeCell ref="B312:E312"/>
    <mergeCell ref="B324:D324"/>
    <mergeCell ref="B325:D325"/>
    <mergeCell ref="B326:D326"/>
    <mergeCell ref="B327:D327"/>
    <mergeCell ref="B174:D174"/>
    <mergeCell ref="B175:D175"/>
    <mergeCell ref="B176:D176"/>
    <mergeCell ref="C156:E158"/>
    <mergeCell ref="F157:H158"/>
    <mergeCell ref="B159:D159"/>
    <mergeCell ref="B275:D275"/>
    <mergeCell ref="C258:E260"/>
    <mergeCell ref="F259:H260"/>
    <mergeCell ref="B261:D261"/>
    <mergeCell ref="B177:D177"/>
    <mergeCell ref="B178:D178"/>
    <mergeCell ref="B179:D179"/>
    <mergeCell ref="B185:C185"/>
    <mergeCell ref="B192:C192"/>
    <mergeCell ref="B133:C133"/>
    <mergeCell ref="B140:C140"/>
    <mergeCell ref="B109:E109"/>
    <mergeCell ref="B121:D121"/>
    <mergeCell ref="B122:D122"/>
    <mergeCell ref="B123:D123"/>
    <mergeCell ref="B124:D124"/>
    <mergeCell ref="B161:E161"/>
    <mergeCell ref="B173:D173"/>
    <mergeCell ref="B107:D107"/>
    <mergeCell ref="B73:D73"/>
    <mergeCell ref="B74:D74"/>
    <mergeCell ref="B75:D75"/>
    <mergeCell ref="B81:C81"/>
    <mergeCell ref="B88:C88"/>
    <mergeCell ref="B125:D125"/>
    <mergeCell ref="B126:D126"/>
    <mergeCell ref="B127:D127"/>
    <mergeCell ref="B57:E57"/>
    <mergeCell ref="B69:D69"/>
    <mergeCell ref="B70:D70"/>
    <mergeCell ref="B71:D71"/>
    <mergeCell ref="B72:D72"/>
    <mergeCell ref="C52:E54"/>
    <mergeCell ref="F53:H54"/>
    <mergeCell ref="B55:D55"/>
    <mergeCell ref="C104:E106"/>
    <mergeCell ref="F105:H106"/>
    <mergeCell ref="B38:C38"/>
    <mergeCell ref="F2:H3"/>
    <mergeCell ref="A4:E4"/>
    <mergeCell ref="F4:H4"/>
    <mergeCell ref="B5:D5"/>
    <mergeCell ref="B7:E7"/>
    <mergeCell ref="C1:E3"/>
    <mergeCell ref="B19:D19"/>
    <mergeCell ref="B20:D20"/>
    <mergeCell ref="B21:D21"/>
    <mergeCell ref="B22:D22"/>
    <mergeCell ref="B23:D23"/>
    <mergeCell ref="B24:D24"/>
    <mergeCell ref="B25:D25"/>
    <mergeCell ref="B31:C31"/>
    <mergeCell ref="C1075:E1077"/>
    <mergeCell ref="F1076:H1077"/>
    <mergeCell ref="F206:H207"/>
    <mergeCell ref="B223:D223"/>
    <mergeCell ref="B1078:D1078"/>
    <mergeCell ref="B1080:E1081"/>
    <mergeCell ref="C205:E207"/>
    <mergeCell ref="B208:D208"/>
    <mergeCell ref="B210:E211"/>
    <mergeCell ref="B222:D222"/>
    <mergeCell ref="B224:D224"/>
    <mergeCell ref="B225:D225"/>
    <mergeCell ref="B233:C233"/>
    <mergeCell ref="B240:C240"/>
    <mergeCell ref="B795:D795"/>
    <mergeCell ref="B792:D792"/>
    <mergeCell ref="B793:D793"/>
    <mergeCell ref="B794:D794"/>
    <mergeCell ref="B741:D741"/>
    <mergeCell ref="B263:E263"/>
    <mergeCell ref="C307:E309"/>
    <mergeCell ref="F308:H309"/>
    <mergeCell ref="B310:D310"/>
    <mergeCell ref="B276:D276"/>
    <mergeCell ref="B1103:C1103"/>
    <mergeCell ref="B1110:C1110"/>
    <mergeCell ref="C1123:E1125"/>
    <mergeCell ref="F1124:H1125"/>
    <mergeCell ref="B1126:D1126"/>
    <mergeCell ref="B1128:E1129"/>
    <mergeCell ref="B1133:D1133"/>
    <mergeCell ref="B1085:D1085"/>
    <mergeCell ref="B1086:D1086"/>
    <mergeCell ref="B1093:D1093"/>
    <mergeCell ref="B1094:D1094"/>
    <mergeCell ref="B1095:D1095"/>
    <mergeCell ref="B1096:D1096"/>
    <mergeCell ref="B1097:D1097"/>
    <mergeCell ref="B1098:D1098"/>
    <mergeCell ref="B1099:D1099"/>
    <mergeCell ref="B1134:D1134"/>
    <mergeCell ref="B1141:D1141"/>
    <mergeCell ref="B1142:D1142"/>
    <mergeCell ref="B1143:D1143"/>
    <mergeCell ref="B1144:D1144"/>
    <mergeCell ref="B1145:D1145"/>
    <mergeCell ref="B1146:D1146"/>
    <mergeCell ref="B1147:D1147"/>
    <mergeCell ref="B1151:C1151"/>
    <mergeCell ref="B1249:D1249"/>
    <mergeCell ref="B1250:D1250"/>
    <mergeCell ref="B1254:C1254"/>
    <mergeCell ref="B1261:C1261"/>
    <mergeCell ref="C1225:E1227"/>
    <mergeCell ref="F1226:H1227"/>
    <mergeCell ref="B1228:D1228"/>
    <mergeCell ref="B1230:E1231"/>
    <mergeCell ref="B1235:D1235"/>
    <mergeCell ref="B1236:D1236"/>
    <mergeCell ref="B1243:D1243"/>
    <mergeCell ref="B1244:D1244"/>
    <mergeCell ref="B1245:D1245"/>
    <mergeCell ref="B1246:D1246"/>
    <mergeCell ref="B1194:D1194"/>
    <mergeCell ref="B1195:D1195"/>
    <mergeCell ref="B1196:D1196"/>
    <mergeCell ref="B1197:D1197"/>
    <mergeCell ref="B1198:D1198"/>
    <mergeCell ref="B1202:C1202"/>
    <mergeCell ref="B1209:C1209"/>
    <mergeCell ref="B1247:D1247"/>
    <mergeCell ref="B1248:D1248"/>
    <mergeCell ref="B1158:C1158"/>
    <mergeCell ref="C1174:E1176"/>
    <mergeCell ref="F1175:H1176"/>
    <mergeCell ref="B1177:D1177"/>
    <mergeCell ref="B1179:E1180"/>
    <mergeCell ref="B1184:D1184"/>
    <mergeCell ref="B1185:D1185"/>
    <mergeCell ref="B1192:D1192"/>
    <mergeCell ref="B1193:D1193"/>
  </mergeCells>
  <pageMargins left="0.75" right="0.75" top="1" bottom="1" header="0" footer="0"/>
  <pageSetup scale="91" orientation="portrait" horizontalDpi="300" verticalDpi="300" r:id="rId1"/>
  <headerFooter alignWithMargins="0"/>
  <rowBreaks count="23" manualBreakCount="23">
    <brk id="50" max="7" man="1"/>
    <brk id="101" max="7" man="1"/>
    <brk id="153" max="7" man="1"/>
    <brk id="203" max="7" man="1"/>
    <brk id="256" max="7" man="1"/>
    <brk id="305" max="7" man="1"/>
    <brk id="356" max="7" man="1"/>
    <brk id="460" max="7" man="1"/>
    <brk id="512" max="7" man="1"/>
    <brk id="565" max="7" man="1"/>
    <brk id="614" max="7" man="1"/>
    <brk id="667" max="7" man="1"/>
    <brk id="720" max="7" man="1"/>
    <brk id="772" max="7" man="1"/>
    <brk id="821" max="16383" man="1"/>
    <brk id="867" max="7" man="1"/>
    <brk id="921" max="7" man="1"/>
    <brk id="974" max="7" man="1"/>
    <brk id="1022" max="7" man="1"/>
    <brk id="1072" max="7" man="1"/>
    <brk id="1120" max="7" man="1"/>
    <brk id="1171" max="7" man="1"/>
    <brk id="1222" max="7" man="1"/>
  </rowBreaks>
  <colBreaks count="1" manualBreakCount="1">
    <brk id="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1444"/>
  <sheetViews>
    <sheetView zoomScaleSheetLayoutView="100" workbookViewId="0">
      <pane ySplit="5" topLeftCell="A1136" activePane="bottomLeft" state="frozen"/>
      <selection pane="bottomLeft" activeCell="A1148" sqref="A1148:C1148"/>
    </sheetView>
  </sheetViews>
  <sheetFormatPr baseColWidth="10" defaultColWidth="11.42578125" defaultRowHeight="12.75" x14ac:dyDescent="0.2"/>
  <cols>
    <col min="1" max="1" width="20.7109375" style="105" bestFit="1" customWidth="1"/>
    <col min="2" max="2" width="11.28515625" style="105" bestFit="1" customWidth="1"/>
    <col min="3" max="3" width="11.140625" style="105" bestFit="1" customWidth="1"/>
    <col min="4" max="4" width="12.140625" style="105" bestFit="1" customWidth="1"/>
    <col min="5" max="5" width="12.5703125" style="105" bestFit="1" customWidth="1"/>
    <col min="6" max="6" width="11.7109375" style="105" customWidth="1"/>
    <col min="7" max="7" width="13" style="105" bestFit="1" customWidth="1"/>
    <col min="8" max="8" width="11.42578125" style="105"/>
    <col min="9" max="10" width="13.85546875" style="105" bestFit="1" customWidth="1"/>
    <col min="11" max="11" width="13.7109375" style="105" bestFit="1" customWidth="1"/>
    <col min="12" max="12" width="11.42578125" style="105"/>
    <col min="13" max="13" width="13.85546875" style="105" bestFit="1" customWidth="1"/>
    <col min="14" max="16384" width="11.42578125" style="105"/>
  </cols>
  <sheetData>
    <row r="1" spans="1:7" s="1" customFormat="1" x14ac:dyDescent="0.2"/>
    <row r="2" spans="1:7" s="1" customFormat="1" x14ac:dyDescent="0.2"/>
    <row r="3" spans="1:7" s="1" customFormat="1" x14ac:dyDescent="0.2"/>
    <row r="4" spans="1:7" s="1" customFormat="1" x14ac:dyDescent="0.2"/>
    <row r="5" spans="1:7" s="1" customFormat="1" x14ac:dyDescent="0.2"/>
    <row r="6" spans="1:7" ht="13.5" hidden="1" thickBot="1" x14ac:dyDescent="0.25"/>
    <row r="7" spans="1:7" ht="27" hidden="1" customHeight="1" x14ac:dyDescent="0.2">
      <c r="A7" s="1548" t="s">
        <v>122</v>
      </c>
      <c r="B7" s="1549"/>
      <c r="C7" s="1550"/>
      <c r="D7" s="50"/>
      <c r="E7" s="50"/>
      <c r="F7" s="50"/>
      <c r="G7" s="98"/>
    </row>
    <row r="8" spans="1:7" ht="24" hidden="1" customHeight="1" thickBot="1" x14ac:dyDescent="0.25">
      <c r="A8" s="1551" t="s">
        <v>935</v>
      </c>
      <c r="B8" s="1552"/>
      <c r="C8" s="1553"/>
      <c r="D8" s="99"/>
      <c r="E8" s="99"/>
      <c r="F8" s="99"/>
      <c r="G8" s="100"/>
    </row>
    <row r="9" spans="1:7" ht="13.5" hidden="1" thickBot="1" x14ac:dyDescent="0.25">
      <c r="A9" s="179"/>
      <c r="B9" s="179"/>
      <c r="C9" s="179"/>
      <c r="D9" s="179"/>
      <c r="E9" s="179"/>
      <c r="F9" s="179"/>
      <c r="G9" s="179"/>
    </row>
    <row r="10" spans="1:7" ht="30.75" hidden="1" customHeight="1" thickBot="1" x14ac:dyDescent="0.25">
      <c r="A10" s="1558" t="s">
        <v>936</v>
      </c>
      <c r="B10" s="1559"/>
      <c r="C10" s="1560"/>
      <c r="D10" s="1565" t="s">
        <v>165</v>
      </c>
      <c r="E10" s="1559"/>
      <c r="F10" s="1559"/>
      <c r="G10" s="1560"/>
    </row>
    <row r="11" spans="1:7" ht="13.5" hidden="1" thickBot="1" x14ac:dyDescent="0.25">
      <c r="A11" s="192"/>
      <c r="B11" s="192"/>
      <c r="C11" s="192"/>
      <c r="D11" s="192"/>
      <c r="E11" s="192"/>
      <c r="F11" s="192"/>
      <c r="G11" s="192"/>
    </row>
    <row r="12" spans="1:7" ht="12.75" hidden="1" customHeight="1" thickBot="1" x14ac:dyDescent="0.25">
      <c r="A12" s="191"/>
      <c r="B12" s="179"/>
      <c r="D12" s="60" t="s">
        <v>124</v>
      </c>
      <c r="E12" s="61" t="s">
        <v>7</v>
      </c>
      <c r="F12" s="191"/>
      <c r="G12" s="191"/>
    </row>
    <row r="13" spans="1:7" ht="13.5" hidden="1" thickBot="1" x14ac:dyDescent="0.25">
      <c r="A13" s="186" t="s">
        <v>108</v>
      </c>
      <c r="B13" s="179"/>
      <c r="C13" s="179"/>
      <c r="D13" s="179"/>
      <c r="E13" s="179"/>
      <c r="F13" s="179"/>
      <c r="G13" s="179"/>
    </row>
    <row r="14" spans="1:7" ht="13.5" hidden="1" customHeight="1" thickBot="1" x14ac:dyDescent="0.25">
      <c r="A14" s="1530" t="s">
        <v>109</v>
      </c>
      <c r="B14" s="1554"/>
      <c r="C14" s="1531"/>
      <c r="D14" s="63" t="s">
        <v>110</v>
      </c>
      <c r="E14" s="63" t="s">
        <v>111</v>
      </c>
      <c r="F14" s="63" t="s">
        <v>112</v>
      </c>
      <c r="G14" s="104"/>
    </row>
    <row r="15" spans="1:7" hidden="1" x14ac:dyDescent="0.2">
      <c r="A15" s="1540" t="s">
        <v>131</v>
      </c>
      <c r="B15" s="1555"/>
      <c r="C15" s="1541"/>
      <c r="D15" s="130">
        <v>2062.5</v>
      </c>
      <c r="E15" s="131">
        <f>+E32</f>
        <v>5.0071428571428572E-2</v>
      </c>
      <c r="F15" s="130">
        <f>+E15*D15</f>
        <v>103.27232142857143</v>
      </c>
      <c r="G15" s="132"/>
    </row>
    <row r="16" spans="1:7" ht="13.5" hidden="1" thickBot="1" x14ac:dyDescent="0.25">
      <c r="A16" s="1542"/>
      <c r="B16" s="1564"/>
      <c r="C16" s="1535"/>
      <c r="D16" s="139"/>
      <c r="E16" s="141"/>
      <c r="F16" s="139"/>
      <c r="G16" s="140"/>
    </row>
    <row r="17" spans="1:7" ht="13.5" hidden="1" thickBot="1" x14ac:dyDescent="0.25">
      <c r="A17" s="1527" t="s">
        <v>125</v>
      </c>
      <c r="B17" s="1528"/>
      <c r="C17" s="1528"/>
      <c r="D17" s="1528"/>
      <c r="E17" s="1528"/>
      <c r="F17" s="1529"/>
      <c r="G17" s="181">
        <f>SUM(F15:F16)</f>
        <v>103.27232142857143</v>
      </c>
    </row>
    <row r="18" spans="1:7" ht="13.5" hidden="1" thickBot="1" x14ac:dyDescent="0.25">
      <c r="A18" s="186" t="s">
        <v>123</v>
      </c>
      <c r="B18" s="179"/>
      <c r="C18" s="179"/>
      <c r="D18" s="179"/>
      <c r="E18" s="179"/>
      <c r="F18" s="179"/>
      <c r="G18" s="179"/>
    </row>
    <row r="19" spans="1:7" ht="13.5" hidden="1" thickBot="1" x14ac:dyDescent="0.25">
      <c r="A19" s="1530" t="s">
        <v>109</v>
      </c>
      <c r="B19" s="1531"/>
      <c r="C19" s="63" t="s">
        <v>114</v>
      </c>
      <c r="D19" s="63" t="s">
        <v>115</v>
      </c>
      <c r="E19" s="63" t="s">
        <v>116</v>
      </c>
      <c r="F19" s="63" t="s">
        <v>112</v>
      </c>
      <c r="G19" s="104"/>
    </row>
    <row r="20" spans="1:7" hidden="1" x14ac:dyDescent="0.2">
      <c r="A20" s="1546" t="s">
        <v>163</v>
      </c>
      <c r="B20" s="1547"/>
      <c r="C20" s="129" t="s">
        <v>7</v>
      </c>
      <c r="D20" s="130">
        <v>2650</v>
      </c>
      <c r="E20" s="129">
        <v>1.05</v>
      </c>
      <c r="F20" s="130">
        <f>+E20*D20</f>
        <v>2782.5</v>
      </c>
      <c r="G20" s="132"/>
    </row>
    <row r="21" spans="1:7" hidden="1" x14ac:dyDescent="0.2">
      <c r="A21" s="1536" t="s">
        <v>43</v>
      </c>
      <c r="B21" s="1537"/>
      <c r="C21" s="134" t="s">
        <v>7</v>
      </c>
      <c r="D21" s="135">
        <v>3800</v>
      </c>
      <c r="E21" s="134">
        <v>0.08</v>
      </c>
      <c r="F21" s="135">
        <f>+E21*D21</f>
        <v>304</v>
      </c>
      <c r="G21" s="137"/>
    </row>
    <row r="22" spans="1:7" hidden="1" x14ac:dyDescent="0.2">
      <c r="A22" s="1536" t="s">
        <v>56</v>
      </c>
      <c r="B22" s="1537"/>
      <c r="C22" s="134" t="s">
        <v>2</v>
      </c>
      <c r="D22" s="135">
        <v>3400</v>
      </c>
      <c r="E22" s="134">
        <v>0.05</v>
      </c>
      <c r="F22" s="135">
        <f>+E22*D22</f>
        <v>170</v>
      </c>
      <c r="G22" s="137"/>
    </row>
    <row r="23" spans="1:7" ht="13.5" hidden="1" thickBot="1" x14ac:dyDescent="0.25">
      <c r="A23" s="1538"/>
      <c r="B23" s="1539"/>
      <c r="C23" s="138"/>
      <c r="D23" s="139"/>
      <c r="E23" s="138"/>
      <c r="F23" s="139"/>
      <c r="G23" s="140"/>
    </row>
    <row r="24" spans="1:7" ht="13.5" hidden="1" thickBot="1" x14ac:dyDescent="0.25">
      <c r="A24" s="1527" t="s">
        <v>125</v>
      </c>
      <c r="B24" s="1528"/>
      <c r="C24" s="1528"/>
      <c r="D24" s="1528"/>
      <c r="E24" s="1528"/>
      <c r="F24" s="1529" t="s">
        <v>113</v>
      </c>
      <c r="G24" s="181">
        <f>SUM(F20:F23)</f>
        <v>3256.5</v>
      </c>
    </row>
    <row r="25" spans="1:7" ht="13.5" hidden="1" thickBot="1" x14ac:dyDescent="0.25">
      <c r="A25" s="186" t="s">
        <v>117</v>
      </c>
      <c r="B25" s="179"/>
      <c r="C25" s="179"/>
      <c r="D25" s="179"/>
      <c r="E25" s="179"/>
      <c r="F25" s="179"/>
      <c r="G25" s="179"/>
    </row>
    <row r="26" spans="1:7" ht="13.5" hidden="1" thickBot="1" x14ac:dyDescent="0.25">
      <c r="A26" s="1530" t="s">
        <v>109</v>
      </c>
      <c r="B26" s="1531"/>
      <c r="C26" s="63" t="s">
        <v>114</v>
      </c>
      <c r="D26" s="63" t="s">
        <v>115</v>
      </c>
      <c r="E26" s="63" t="s">
        <v>116</v>
      </c>
      <c r="F26" s="63" t="s">
        <v>112</v>
      </c>
      <c r="G26" s="115"/>
    </row>
    <row r="27" spans="1:7" hidden="1" x14ac:dyDescent="0.2">
      <c r="A27" s="1540" t="s">
        <v>205</v>
      </c>
      <c r="B27" s="1541"/>
      <c r="C27" s="189" t="s">
        <v>159</v>
      </c>
      <c r="D27" s="130">
        <v>60714.285714285717</v>
      </c>
      <c r="E27" s="200">
        <v>0</v>
      </c>
      <c r="F27" s="135">
        <f>D27*E27</f>
        <v>0</v>
      </c>
      <c r="G27" s="132"/>
    </row>
    <row r="28" spans="1:7" ht="13.5" hidden="1" thickBot="1" x14ac:dyDescent="0.25">
      <c r="A28" s="1542"/>
      <c r="B28" s="1535"/>
      <c r="C28" s="189"/>
      <c r="D28" s="139"/>
      <c r="E28" s="201"/>
      <c r="F28" s="139">
        <f>D28*E28</f>
        <v>0</v>
      </c>
      <c r="G28" s="187"/>
    </row>
    <row r="29" spans="1:7" ht="13.5" hidden="1" thickBot="1" x14ac:dyDescent="0.25">
      <c r="A29" s="1527" t="s">
        <v>125</v>
      </c>
      <c r="B29" s="1528"/>
      <c r="C29" s="1528"/>
      <c r="D29" s="1528"/>
      <c r="E29" s="1528"/>
      <c r="F29" s="1529" t="s">
        <v>113</v>
      </c>
      <c r="G29" s="181">
        <f>SUM(F28:F28)</f>
        <v>0</v>
      </c>
    </row>
    <row r="30" spans="1:7" ht="13.5" hidden="1" thickBot="1" x14ac:dyDescent="0.25">
      <c r="A30" s="186" t="s">
        <v>119</v>
      </c>
      <c r="B30" s="179"/>
      <c r="C30" s="179"/>
      <c r="D30" s="179"/>
      <c r="E30" s="179"/>
      <c r="F30" s="179"/>
      <c r="G30" s="179"/>
    </row>
    <row r="31" spans="1:7" ht="21.75" hidden="1" thickBot="1" x14ac:dyDescent="0.25">
      <c r="A31" s="1530" t="s">
        <v>120</v>
      </c>
      <c r="B31" s="1531"/>
      <c r="C31" s="63" t="s">
        <v>121</v>
      </c>
      <c r="D31" s="63" t="s">
        <v>114</v>
      </c>
      <c r="E31" s="63" t="s">
        <v>116</v>
      </c>
      <c r="F31" s="63" t="s">
        <v>112</v>
      </c>
      <c r="G31" s="121"/>
    </row>
    <row r="32" spans="1:7" hidden="1" x14ac:dyDescent="0.2">
      <c r="A32" s="1532" t="s">
        <v>21</v>
      </c>
      <c r="B32" s="1533"/>
      <c r="C32" s="122">
        <v>7410.9600847008996</v>
      </c>
      <c r="D32" s="198">
        <v>1</v>
      </c>
      <c r="E32" s="198">
        <v>5.0071428571428572E-2</v>
      </c>
      <c r="F32" s="124">
        <f>+(C32*D32)*E32</f>
        <v>371.07735852680935</v>
      </c>
      <c r="G32" s="132"/>
    </row>
    <row r="33" spans="1:7" ht="13.5" hidden="1" thickBot="1" x14ac:dyDescent="0.25">
      <c r="A33" s="1534" t="s">
        <v>22</v>
      </c>
      <c r="B33" s="1535"/>
      <c r="C33" s="184">
        <v>4374.7823749999998</v>
      </c>
      <c r="D33" s="202">
        <v>1</v>
      </c>
      <c r="E33" s="202">
        <f>+E32</f>
        <v>5.0071428571428572E-2</v>
      </c>
      <c r="F33" s="182">
        <f>+(C33*D33)*E33</f>
        <v>219.05160320535714</v>
      </c>
      <c r="G33" s="140"/>
    </row>
    <row r="34" spans="1:7" ht="13.5" hidden="1" thickBot="1" x14ac:dyDescent="0.25">
      <c r="A34" s="1527" t="str">
        <f>+A29</f>
        <v>SUB-TOTAL</v>
      </c>
      <c r="B34" s="1528"/>
      <c r="C34" s="1528"/>
      <c r="D34" s="1528"/>
      <c r="E34" s="1528"/>
      <c r="F34" s="1529" t="s">
        <v>113</v>
      </c>
      <c r="G34" s="181">
        <f>SUM(F32:F33)</f>
        <v>590.12896173216654</v>
      </c>
    </row>
    <row r="35" spans="1:7" ht="11.25" hidden="1" customHeight="1" thickBot="1" x14ac:dyDescent="0.25">
      <c r="A35" s="179"/>
      <c r="B35" s="179"/>
      <c r="C35" s="179"/>
      <c r="D35" s="179"/>
      <c r="E35" s="179"/>
      <c r="F35" s="180"/>
      <c r="G35" s="179"/>
    </row>
    <row r="36" spans="1:7" ht="13.5" hidden="1" thickBot="1" x14ac:dyDescent="0.25">
      <c r="A36" s="1527" t="s">
        <v>156</v>
      </c>
      <c r="B36" s="1528"/>
      <c r="C36" s="1528"/>
      <c r="D36" s="1528"/>
      <c r="E36" s="1528"/>
      <c r="F36" s="1529"/>
      <c r="G36" s="178">
        <f>ROUND(G17+G24+G29+G34,0)</f>
        <v>3950</v>
      </c>
    </row>
    <row r="37" spans="1:7" hidden="1" x14ac:dyDescent="0.2"/>
    <row r="38" spans="1:7" ht="13.5" hidden="1" thickBot="1" x14ac:dyDescent="0.25"/>
    <row r="39" spans="1:7" ht="27" hidden="1" customHeight="1" x14ac:dyDescent="0.2">
      <c r="A39" s="1548" t="s">
        <v>122</v>
      </c>
      <c r="B39" s="1549"/>
      <c r="C39" s="1550"/>
      <c r="D39" s="50"/>
      <c r="E39" s="50"/>
      <c r="F39" s="50"/>
      <c r="G39" s="98"/>
    </row>
    <row r="40" spans="1:7" ht="24" hidden="1" customHeight="1" thickBot="1" x14ac:dyDescent="0.25">
      <c r="A40" s="1551" t="s">
        <v>935</v>
      </c>
      <c r="B40" s="1552"/>
      <c r="C40" s="1553"/>
      <c r="D40" s="99"/>
      <c r="E40" s="99"/>
      <c r="F40" s="99"/>
      <c r="G40" s="100"/>
    </row>
    <row r="41" spans="1:7" ht="13.5" hidden="1" thickBot="1" x14ac:dyDescent="0.25">
      <c r="A41" s="179"/>
      <c r="B41" s="179"/>
      <c r="C41" s="179"/>
      <c r="D41" s="179"/>
      <c r="E41" s="179"/>
      <c r="F41" s="179"/>
      <c r="G41" s="179"/>
    </row>
    <row r="42" spans="1:7" ht="30.75" hidden="1" customHeight="1" thickBot="1" x14ac:dyDescent="0.25">
      <c r="A42" s="1558" t="s">
        <v>936</v>
      </c>
      <c r="B42" s="1559"/>
      <c r="C42" s="1560"/>
      <c r="D42" s="1565" t="s">
        <v>166</v>
      </c>
      <c r="E42" s="1559"/>
      <c r="F42" s="1559"/>
      <c r="G42" s="1560"/>
    </row>
    <row r="43" spans="1:7" ht="13.5" hidden="1" thickBot="1" x14ac:dyDescent="0.25">
      <c r="A43" s="192"/>
      <c r="B43" s="192"/>
      <c r="C43" s="192"/>
      <c r="D43" s="192"/>
      <c r="E43" s="192"/>
      <c r="F43" s="192"/>
      <c r="G43" s="192"/>
    </row>
    <row r="44" spans="1:7" ht="12.75" hidden="1" customHeight="1" thickBot="1" x14ac:dyDescent="0.25">
      <c r="A44" s="191"/>
      <c r="B44" s="179"/>
      <c r="D44" s="60" t="s">
        <v>124</v>
      </c>
      <c r="E44" s="61" t="s">
        <v>7</v>
      </c>
      <c r="F44" s="191"/>
      <c r="G44" s="191"/>
    </row>
    <row r="45" spans="1:7" ht="13.5" hidden="1" thickBot="1" x14ac:dyDescent="0.25">
      <c r="A45" s="186" t="s">
        <v>108</v>
      </c>
      <c r="B45" s="179"/>
      <c r="C45" s="179"/>
      <c r="D45" s="179"/>
      <c r="E45" s="179"/>
      <c r="F45" s="179"/>
      <c r="G45" s="179"/>
    </row>
    <row r="46" spans="1:7" ht="13.5" hidden="1" customHeight="1" thickBot="1" x14ac:dyDescent="0.25">
      <c r="A46" s="1530" t="s">
        <v>109</v>
      </c>
      <c r="B46" s="1554"/>
      <c r="C46" s="1531"/>
      <c r="D46" s="63" t="s">
        <v>110</v>
      </c>
      <c r="E46" s="63" t="s">
        <v>111</v>
      </c>
      <c r="F46" s="63" t="s">
        <v>112</v>
      </c>
      <c r="G46" s="104"/>
    </row>
    <row r="47" spans="1:7" hidden="1" x14ac:dyDescent="0.2">
      <c r="A47" s="1540" t="s">
        <v>131</v>
      </c>
      <c r="B47" s="1555"/>
      <c r="C47" s="1541"/>
      <c r="D47" s="130">
        <v>2062.5</v>
      </c>
      <c r="E47" s="131">
        <f>+E64</f>
        <v>5.0071428571428572E-2</v>
      </c>
      <c r="F47" s="130">
        <f>+E47*D47</f>
        <v>103.27232142857143</v>
      </c>
      <c r="G47" s="132"/>
    </row>
    <row r="48" spans="1:7" ht="13.5" hidden="1" thickBot="1" x14ac:dyDescent="0.25">
      <c r="A48" s="1542"/>
      <c r="B48" s="1564"/>
      <c r="C48" s="1535"/>
      <c r="D48" s="139"/>
      <c r="E48" s="141"/>
      <c r="F48" s="139"/>
      <c r="G48" s="140"/>
    </row>
    <row r="49" spans="1:7" ht="13.5" hidden="1" thickBot="1" x14ac:dyDescent="0.25">
      <c r="A49" s="1527" t="s">
        <v>125</v>
      </c>
      <c r="B49" s="1528"/>
      <c r="C49" s="1528"/>
      <c r="D49" s="1528"/>
      <c r="E49" s="1528"/>
      <c r="F49" s="1529"/>
      <c r="G49" s="181">
        <f>SUM(F47:F48)</f>
        <v>103.27232142857143</v>
      </c>
    </row>
    <row r="50" spans="1:7" ht="13.5" hidden="1" thickBot="1" x14ac:dyDescent="0.25">
      <c r="A50" s="186" t="s">
        <v>123</v>
      </c>
      <c r="B50" s="179"/>
      <c r="C50" s="179"/>
      <c r="D50" s="179"/>
      <c r="E50" s="179"/>
      <c r="F50" s="179"/>
      <c r="G50" s="179"/>
    </row>
    <row r="51" spans="1:7" ht="13.5" hidden="1" thickBot="1" x14ac:dyDescent="0.25">
      <c r="A51" s="1530" t="s">
        <v>109</v>
      </c>
      <c r="B51" s="1531"/>
      <c r="C51" s="63" t="s">
        <v>114</v>
      </c>
      <c r="D51" s="63" t="s">
        <v>115</v>
      </c>
      <c r="E51" s="63" t="s">
        <v>116</v>
      </c>
      <c r="F51" s="63" t="s">
        <v>112</v>
      </c>
      <c r="G51" s="104"/>
    </row>
    <row r="52" spans="1:7" hidden="1" x14ac:dyDescent="0.2">
      <c r="A52" s="1546" t="s">
        <v>164</v>
      </c>
      <c r="B52" s="1547"/>
      <c r="C52" s="129" t="s">
        <v>7</v>
      </c>
      <c r="D52" s="130">
        <v>2650</v>
      </c>
      <c r="E52" s="129">
        <v>1.05</v>
      </c>
      <c r="F52" s="130">
        <f>+E52*D52</f>
        <v>2782.5</v>
      </c>
      <c r="G52" s="132"/>
    </row>
    <row r="53" spans="1:7" hidden="1" x14ac:dyDescent="0.2">
      <c r="A53" s="1536" t="s">
        <v>43</v>
      </c>
      <c r="B53" s="1537"/>
      <c r="C53" s="134" t="s">
        <v>7</v>
      </c>
      <c r="D53" s="135">
        <v>3800</v>
      </c>
      <c r="E53" s="134">
        <v>0.08</v>
      </c>
      <c r="F53" s="135">
        <f>+E53*D53</f>
        <v>304</v>
      </c>
      <c r="G53" s="137"/>
    </row>
    <row r="54" spans="1:7" hidden="1" x14ac:dyDescent="0.2">
      <c r="A54" s="1536" t="s">
        <v>56</v>
      </c>
      <c r="B54" s="1537"/>
      <c r="C54" s="134" t="s">
        <v>2</v>
      </c>
      <c r="D54" s="135">
        <v>3400</v>
      </c>
      <c r="E54" s="134">
        <v>0.05</v>
      </c>
      <c r="F54" s="135">
        <f>+E54*D54</f>
        <v>170</v>
      </c>
      <c r="G54" s="137"/>
    </row>
    <row r="55" spans="1:7" ht="13.5" hidden="1" thickBot="1" x14ac:dyDescent="0.25">
      <c r="A55" s="1538"/>
      <c r="B55" s="1539"/>
      <c r="C55" s="138"/>
      <c r="D55" s="139"/>
      <c r="E55" s="138"/>
      <c r="F55" s="139"/>
      <c r="G55" s="140"/>
    </row>
    <row r="56" spans="1:7" ht="13.5" hidden="1" thickBot="1" x14ac:dyDescent="0.25">
      <c r="A56" s="1527" t="s">
        <v>125</v>
      </c>
      <c r="B56" s="1528"/>
      <c r="C56" s="1528"/>
      <c r="D56" s="1528"/>
      <c r="E56" s="1528"/>
      <c r="F56" s="1529" t="s">
        <v>113</v>
      </c>
      <c r="G56" s="181">
        <f>SUM(F52:F55)</f>
        <v>3256.5</v>
      </c>
    </row>
    <row r="57" spans="1:7" ht="13.5" hidden="1" thickBot="1" x14ac:dyDescent="0.25">
      <c r="A57" s="186" t="s">
        <v>117</v>
      </c>
      <c r="B57" s="179"/>
      <c r="C57" s="179"/>
      <c r="D57" s="179"/>
      <c r="E57" s="179"/>
      <c r="F57" s="179"/>
      <c r="G57" s="179"/>
    </row>
    <row r="58" spans="1:7" ht="13.5" hidden="1" thickBot="1" x14ac:dyDescent="0.25">
      <c r="A58" s="1530" t="s">
        <v>109</v>
      </c>
      <c r="B58" s="1531"/>
      <c r="C58" s="63" t="s">
        <v>114</v>
      </c>
      <c r="D58" s="63" t="s">
        <v>115</v>
      </c>
      <c r="E58" s="63" t="s">
        <v>116</v>
      </c>
      <c r="F58" s="63" t="s">
        <v>112</v>
      </c>
      <c r="G58" s="115"/>
    </row>
    <row r="59" spans="1:7" hidden="1" x14ac:dyDescent="0.2">
      <c r="A59" s="1540" t="s">
        <v>205</v>
      </c>
      <c r="B59" s="1541"/>
      <c r="C59" s="189" t="s">
        <v>159</v>
      </c>
      <c r="D59" s="130">
        <v>60714.285714285717</v>
      </c>
      <c r="E59" s="200">
        <v>0</v>
      </c>
      <c r="F59" s="135">
        <f>D59*E59</f>
        <v>0</v>
      </c>
      <c r="G59" s="132"/>
    </row>
    <row r="60" spans="1:7" ht="13.5" hidden="1" thickBot="1" x14ac:dyDescent="0.25">
      <c r="A60" s="1542"/>
      <c r="B60" s="1535"/>
      <c r="C60" s="189"/>
      <c r="D60" s="139"/>
      <c r="E60" s="201"/>
      <c r="F60" s="139">
        <f>D60*E60</f>
        <v>0</v>
      </c>
      <c r="G60" s="187"/>
    </row>
    <row r="61" spans="1:7" ht="13.5" hidden="1" thickBot="1" x14ac:dyDescent="0.25">
      <c r="A61" s="1527" t="s">
        <v>125</v>
      </c>
      <c r="B61" s="1528"/>
      <c r="C61" s="1528"/>
      <c r="D61" s="1528"/>
      <c r="E61" s="1528"/>
      <c r="F61" s="1529" t="s">
        <v>113</v>
      </c>
      <c r="G61" s="181">
        <f>SUM(F60:F60)</f>
        <v>0</v>
      </c>
    </row>
    <row r="62" spans="1:7" ht="13.5" hidden="1" thickBot="1" x14ac:dyDescent="0.25">
      <c r="A62" s="186" t="s">
        <v>119</v>
      </c>
      <c r="B62" s="179"/>
      <c r="C62" s="179"/>
      <c r="D62" s="179"/>
      <c r="E62" s="179"/>
      <c r="F62" s="179"/>
      <c r="G62" s="179"/>
    </row>
    <row r="63" spans="1:7" ht="21.75" hidden="1" thickBot="1" x14ac:dyDescent="0.25">
      <c r="A63" s="1530" t="s">
        <v>120</v>
      </c>
      <c r="B63" s="1531"/>
      <c r="C63" s="63" t="s">
        <v>121</v>
      </c>
      <c r="D63" s="63" t="s">
        <v>114</v>
      </c>
      <c r="E63" s="63" t="s">
        <v>116</v>
      </c>
      <c r="F63" s="63" t="s">
        <v>112</v>
      </c>
      <c r="G63" s="121"/>
    </row>
    <row r="64" spans="1:7" hidden="1" x14ac:dyDescent="0.2">
      <c r="A64" s="1532" t="s">
        <v>21</v>
      </c>
      <c r="B64" s="1533"/>
      <c r="C64" s="122">
        <v>7410.9600847008996</v>
      </c>
      <c r="D64" s="198">
        <v>1</v>
      </c>
      <c r="E64" s="198">
        <v>5.0071428571428572E-2</v>
      </c>
      <c r="F64" s="124">
        <f>+(C64*D64)*E64</f>
        <v>371.07735852680935</v>
      </c>
      <c r="G64" s="132"/>
    </row>
    <row r="65" spans="1:7" ht="13.5" hidden="1" thickBot="1" x14ac:dyDescent="0.25">
      <c r="A65" s="1534" t="s">
        <v>22</v>
      </c>
      <c r="B65" s="1535"/>
      <c r="C65" s="184">
        <v>4374.7823749999998</v>
      </c>
      <c r="D65" s="202">
        <v>1</v>
      </c>
      <c r="E65" s="202">
        <f>+E64</f>
        <v>5.0071428571428572E-2</v>
      </c>
      <c r="F65" s="182">
        <f>+(C65*D65)*E65</f>
        <v>219.05160320535714</v>
      </c>
      <c r="G65" s="140"/>
    </row>
    <row r="66" spans="1:7" ht="13.5" hidden="1" thickBot="1" x14ac:dyDescent="0.25">
      <c r="A66" s="1527" t="str">
        <f>+A61</f>
        <v>SUB-TOTAL</v>
      </c>
      <c r="B66" s="1528"/>
      <c r="C66" s="1528"/>
      <c r="D66" s="1528"/>
      <c r="E66" s="1528"/>
      <c r="F66" s="1529" t="s">
        <v>113</v>
      </c>
      <c r="G66" s="181">
        <f>SUM(F64:F65)</f>
        <v>590.12896173216654</v>
      </c>
    </row>
    <row r="67" spans="1:7" ht="11.25" hidden="1" customHeight="1" thickBot="1" x14ac:dyDescent="0.25">
      <c r="A67" s="179"/>
      <c r="B67" s="179"/>
      <c r="C67" s="179"/>
      <c r="D67" s="179"/>
      <c r="E67" s="179"/>
      <c r="F67" s="180"/>
      <c r="G67" s="179"/>
    </row>
    <row r="68" spans="1:7" ht="13.5" hidden="1" thickBot="1" x14ac:dyDescent="0.25">
      <c r="A68" s="1527" t="s">
        <v>156</v>
      </c>
      <c r="B68" s="1528"/>
      <c r="C68" s="1528"/>
      <c r="D68" s="1528"/>
      <c r="E68" s="1528"/>
      <c r="F68" s="1529"/>
      <c r="G68" s="178">
        <f>ROUND(G49+G56+G61+G66,0)</f>
        <v>3950</v>
      </c>
    </row>
    <row r="69" spans="1:7" hidden="1" x14ac:dyDescent="0.2"/>
    <row r="70" spans="1:7" ht="13.5" hidden="1" thickBot="1" x14ac:dyDescent="0.25"/>
    <row r="71" spans="1:7" ht="27" hidden="1" customHeight="1" x14ac:dyDescent="0.2">
      <c r="A71" s="1548" t="s">
        <v>122</v>
      </c>
      <c r="B71" s="1549"/>
      <c r="C71" s="1550"/>
      <c r="D71" s="50"/>
      <c r="E71" s="50"/>
      <c r="F71" s="50"/>
      <c r="G71" s="98"/>
    </row>
    <row r="72" spans="1:7" ht="24" hidden="1" customHeight="1" thickBot="1" x14ac:dyDescent="0.25">
      <c r="A72" s="1551" t="s">
        <v>935</v>
      </c>
      <c r="B72" s="1552"/>
      <c r="C72" s="1553"/>
      <c r="D72" s="99"/>
      <c r="E72" s="99"/>
      <c r="F72" s="99"/>
      <c r="G72" s="100"/>
    </row>
    <row r="73" spans="1:7" ht="13.5" hidden="1" thickBot="1" x14ac:dyDescent="0.25">
      <c r="A73" s="179"/>
      <c r="B73" s="179"/>
      <c r="C73" s="179"/>
      <c r="D73" s="179"/>
      <c r="E73" s="179"/>
      <c r="F73" s="179"/>
      <c r="G73" s="179"/>
    </row>
    <row r="74" spans="1:7" ht="30.75" hidden="1" customHeight="1" thickBot="1" x14ac:dyDescent="0.25">
      <c r="A74" s="1558" t="s">
        <v>936</v>
      </c>
      <c r="B74" s="1559"/>
      <c r="C74" s="1560"/>
      <c r="D74" s="1565" t="s">
        <v>167</v>
      </c>
      <c r="E74" s="1559"/>
      <c r="F74" s="1559"/>
      <c r="G74" s="1560"/>
    </row>
    <row r="75" spans="1:7" ht="13.5" hidden="1" thickBot="1" x14ac:dyDescent="0.25">
      <c r="A75" s="192"/>
      <c r="B75" s="192"/>
      <c r="C75" s="192"/>
      <c r="D75" s="192"/>
      <c r="E75" s="192"/>
      <c r="F75" s="192"/>
      <c r="G75" s="192"/>
    </row>
    <row r="76" spans="1:7" ht="12.75" hidden="1" customHeight="1" thickBot="1" x14ac:dyDescent="0.25">
      <c r="A76" s="191"/>
      <c r="B76" s="179"/>
      <c r="D76" s="60" t="s">
        <v>124</v>
      </c>
      <c r="E76" s="61" t="s">
        <v>12</v>
      </c>
      <c r="F76" s="191"/>
      <c r="G76" s="191"/>
    </row>
    <row r="77" spans="1:7" ht="13.5" hidden="1" thickBot="1" x14ac:dyDescent="0.25">
      <c r="A77" s="186" t="s">
        <v>108</v>
      </c>
      <c r="B77" s="179"/>
      <c r="C77" s="179"/>
      <c r="D77" s="179"/>
      <c r="E77" s="179"/>
      <c r="F77" s="179"/>
      <c r="G77" s="179"/>
    </row>
    <row r="78" spans="1:7" ht="13.5" hidden="1" customHeight="1" thickBot="1" x14ac:dyDescent="0.25">
      <c r="A78" s="1530" t="s">
        <v>109</v>
      </c>
      <c r="B78" s="1554"/>
      <c r="C78" s="1531"/>
      <c r="D78" s="63" t="s">
        <v>110</v>
      </c>
      <c r="E78" s="63" t="s">
        <v>111</v>
      </c>
      <c r="F78" s="63" t="s">
        <v>112</v>
      </c>
      <c r="G78" s="104"/>
    </row>
    <row r="79" spans="1:7" hidden="1" x14ac:dyDescent="0.2">
      <c r="A79" s="1540" t="s">
        <v>131</v>
      </c>
      <c r="B79" s="1555"/>
      <c r="C79" s="1541"/>
      <c r="D79" s="130">
        <v>2062.5</v>
      </c>
      <c r="E79" s="131">
        <f>+E83</f>
        <v>1.5</v>
      </c>
      <c r="F79" s="130">
        <f>+E79*D79</f>
        <v>3093.75</v>
      </c>
      <c r="G79" s="132"/>
    </row>
    <row r="80" spans="1:7" hidden="1" x14ac:dyDescent="0.2">
      <c r="A80" s="1543" t="s">
        <v>953</v>
      </c>
      <c r="B80" s="1544"/>
      <c r="C80" s="1545" t="s">
        <v>4</v>
      </c>
      <c r="D80" s="135">
        <v>38462</v>
      </c>
      <c r="E80" s="136">
        <v>2</v>
      </c>
      <c r="F80" s="135">
        <f>+E80*D80</f>
        <v>76924</v>
      </c>
      <c r="G80" s="137"/>
    </row>
    <row r="81" spans="1:7" hidden="1" x14ac:dyDescent="0.2">
      <c r="A81" s="1543" t="s">
        <v>151</v>
      </c>
      <c r="B81" s="1544"/>
      <c r="C81" s="1545"/>
      <c r="D81" s="135">
        <v>350</v>
      </c>
      <c r="E81" s="136">
        <v>29</v>
      </c>
      <c r="F81" s="135">
        <f>+E81*D81</f>
        <v>10150</v>
      </c>
      <c r="G81" s="137"/>
    </row>
    <row r="82" spans="1:7" hidden="1" x14ac:dyDescent="0.2">
      <c r="A82" s="1543" t="s">
        <v>145</v>
      </c>
      <c r="B82" s="1544"/>
      <c r="C82" s="1545"/>
      <c r="D82" s="135">
        <v>450</v>
      </c>
      <c r="E82" s="136">
        <v>5</v>
      </c>
      <c r="F82" s="135">
        <f>+E82*D82</f>
        <v>2250</v>
      </c>
      <c r="G82" s="137"/>
    </row>
    <row r="83" spans="1:7" ht="13.5" hidden="1" thickBot="1" x14ac:dyDescent="0.25">
      <c r="A83" s="1542" t="s">
        <v>135</v>
      </c>
      <c r="B83" s="1564"/>
      <c r="C83" s="1535"/>
      <c r="D83" s="139">
        <v>7500</v>
      </c>
      <c r="E83" s="141">
        <v>1.5</v>
      </c>
      <c r="F83" s="139">
        <f>+E83*D83</f>
        <v>11250</v>
      </c>
      <c r="G83" s="140"/>
    </row>
    <row r="84" spans="1:7" ht="13.5" hidden="1" thickBot="1" x14ac:dyDescent="0.25">
      <c r="A84" s="1527" t="s">
        <v>125</v>
      </c>
      <c r="B84" s="1528"/>
      <c r="C84" s="1528"/>
      <c r="D84" s="1528"/>
      <c r="E84" s="1528"/>
      <c r="F84" s="1529"/>
      <c r="G84" s="181">
        <f>SUM(F79:F83)</f>
        <v>103667.75</v>
      </c>
    </row>
    <row r="85" spans="1:7" ht="13.5" hidden="1" thickBot="1" x14ac:dyDescent="0.25">
      <c r="A85" s="186" t="s">
        <v>123</v>
      </c>
      <c r="B85" s="179"/>
      <c r="C85" s="179"/>
      <c r="D85" s="179"/>
      <c r="E85" s="179"/>
      <c r="F85" s="179"/>
      <c r="G85" s="179"/>
    </row>
    <row r="86" spans="1:7" ht="13.5" hidden="1" thickBot="1" x14ac:dyDescent="0.25">
      <c r="A86" s="1530" t="s">
        <v>109</v>
      </c>
      <c r="B86" s="1531"/>
      <c r="C86" s="63" t="s">
        <v>114</v>
      </c>
      <c r="D86" s="63" t="s">
        <v>115</v>
      </c>
      <c r="E86" s="63" t="s">
        <v>116</v>
      </c>
      <c r="F86" s="63" t="s">
        <v>112</v>
      </c>
      <c r="G86" s="104"/>
    </row>
    <row r="87" spans="1:7" ht="20.25" hidden="1" customHeight="1" x14ac:dyDescent="0.2">
      <c r="A87" s="1546" t="s">
        <v>161</v>
      </c>
      <c r="B87" s="1547"/>
      <c r="C87" s="129" t="s">
        <v>12</v>
      </c>
      <c r="D87" s="130">
        <v>382373</v>
      </c>
      <c r="E87" s="129">
        <v>1.03</v>
      </c>
      <c r="F87" s="130">
        <f>+E87*D87</f>
        <v>393844.19</v>
      </c>
      <c r="G87" s="132"/>
    </row>
    <row r="88" spans="1:7" hidden="1" x14ac:dyDescent="0.2">
      <c r="A88" s="1536" t="s">
        <v>104</v>
      </c>
      <c r="B88" s="1537"/>
      <c r="C88" s="134" t="s">
        <v>105</v>
      </c>
      <c r="D88" s="135">
        <v>40</v>
      </c>
      <c r="E88" s="134">
        <v>50</v>
      </c>
      <c r="F88" s="135">
        <f>+E88*D88</f>
        <v>2000</v>
      </c>
      <c r="G88" s="137"/>
    </row>
    <row r="89" spans="1:7" hidden="1" x14ac:dyDescent="0.2">
      <c r="A89" s="1536"/>
      <c r="B89" s="1537"/>
      <c r="C89" s="134"/>
      <c r="D89" s="135"/>
      <c r="E89" s="134"/>
      <c r="F89" s="135"/>
      <c r="G89" s="137"/>
    </row>
    <row r="90" spans="1:7" ht="13.5" hidden="1" thickBot="1" x14ac:dyDescent="0.25">
      <c r="A90" s="1538"/>
      <c r="B90" s="1539"/>
      <c r="C90" s="138"/>
      <c r="D90" s="139"/>
      <c r="E90" s="138"/>
      <c r="F90" s="139"/>
      <c r="G90" s="140"/>
    </row>
    <row r="91" spans="1:7" ht="13.5" hidden="1" thickBot="1" x14ac:dyDescent="0.25">
      <c r="A91" s="1527" t="s">
        <v>125</v>
      </c>
      <c r="B91" s="1528"/>
      <c r="C91" s="1528"/>
      <c r="D91" s="1528"/>
      <c r="E91" s="1528"/>
      <c r="F91" s="1529" t="s">
        <v>113</v>
      </c>
      <c r="G91" s="181">
        <f>SUM(F87:F90)</f>
        <v>395844.19</v>
      </c>
    </row>
    <row r="92" spans="1:7" ht="13.5" hidden="1" thickBot="1" x14ac:dyDescent="0.25">
      <c r="A92" s="186" t="s">
        <v>117</v>
      </c>
      <c r="B92" s="179"/>
      <c r="C92" s="179"/>
      <c r="D92" s="179"/>
      <c r="E92" s="179"/>
      <c r="F92" s="179"/>
      <c r="G92" s="179"/>
    </row>
    <row r="93" spans="1:7" ht="13.5" hidden="1" thickBot="1" x14ac:dyDescent="0.25">
      <c r="A93" s="1530" t="s">
        <v>109</v>
      </c>
      <c r="B93" s="1531"/>
      <c r="C93" s="63" t="s">
        <v>114</v>
      </c>
      <c r="D93" s="63" t="s">
        <v>115</v>
      </c>
      <c r="E93" s="63" t="s">
        <v>116</v>
      </c>
      <c r="F93" s="63" t="s">
        <v>112</v>
      </c>
      <c r="G93" s="115"/>
    </row>
    <row r="94" spans="1:7" hidden="1" x14ac:dyDescent="0.2">
      <c r="A94" s="1540" t="s">
        <v>205</v>
      </c>
      <c r="B94" s="1541"/>
      <c r="C94" s="189" t="s">
        <v>159</v>
      </c>
      <c r="D94" s="130">
        <v>60714.285714285717</v>
      </c>
      <c r="E94" s="200">
        <v>0</v>
      </c>
      <c r="F94" s="135">
        <f>D94*E94</f>
        <v>0</v>
      </c>
      <c r="G94" s="132"/>
    </row>
    <row r="95" spans="1:7" ht="13.5" hidden="1" thickBot="1" x14ac:dyDescent="0.25">
      <c r="A95" s="1542"/>
      <c r="B95" s="1535"/>
      <c r="C95" s="189"/>
      <c r="D95" s="139"/>
      <c r="E95" s="201"/>
      <c r="F95" s="139">
        <f>D95*E95</f>
        <v>0</v>
      </c>
      <c r="G95" s="187"/>
    </row>
    <row r="96" spans="1:7" ht="13.5" hidden="1" thickBot="1" x14ac:dyDescent="0.25">
      <c r="A96" s="1527" t="s">
        <v>125</v>
      </c>
      <c r="B96" s="1528"/>
      <c r="C96" s="1528"/>
      <c r="D96" s="1528"/>
      <c r="E96" s="1528"/>
      <c r="F96" s="1529" t="s">
        <v>113</v>
      </c>
      <c r="G96" s="181">
        <f>SUM(F95:F95)</f>
        <v>0</v>
      </c>
    </row>
    <row r="97" spans="1:7" ht="13.5" hidden="1" thickBot="1" x14ac:dyDescent="0.25">
      <c r="A97" s="186" t="s">
        <v>119</v>
      </c>
      <c r="B97" s="179"/>
      <c r="C97" s="179"/>
      <c r="D97" s="179"/>
      <c r="E97" s="179"/>
      <c r="F97" s="179"/>
      <c r="G97" s="179"/>
    </row>
    <row r="98" spans="1:7" ht="21.75" hidden="1" thickBot="1" x14ac:dyDescent="0.25">
      <c r="A98" s="1530" t="s">
        <v>120</v>
      </c>
      <c r="B98" s="1531"/>
      <c r="C98" s="63" t="s">
        <v>121</v>
      </c>
      <c r="D98" s="63" t="s">
        <v>114</v>
      </c>
      <c r="E98" s="63" t="s">
        <v>116</v>
      </c>
      <c r="F98" s="63" t="s">
        <v>112</v>
      </c>
      <c r="G98" s="121"/>
    </row>
    <row r="99" spans="1:7" hidden="1" x14ac:dyDescent="0.2">
      <c r="A99" s="1532" t="s">
        <v>21</v>
      </c>
      <c r="B99" s="1533"/>
      <c r="C99" s="122">
        <v>7410.9600847008996</v>
      </c>
      <c r="D99" s="198">
        <v>1</v>
      </c>
      <c r="E99" s="198">
        <v>10</v>
      </c>
      <c r="F99" s="124">
        <f>+(C99*D99)*E99</f>
        <v>74109.600847009002</v>
      </c>
      <c r="G99" s="132"/>
    </row>
    <row r="100" spans="1:7" ht="13.5" hidden="1" thickBot="1" x14ac:dyDescent="0.25">
      <c r="A100" s="1534" t="s">
        <v>22</v>
      </c>
      <c r="B100" s="1535"/>
      <c r="C100" s="184">
        <v>4374.7823749999998</v>
      </c>
      <c r="D100" s="202">
        <v>2</v>
      </c>
      <c r="E100" s="202">
        <f>+E99</f>
        <v>10</v>
      </c>
      <c r="F100" s="182">
        <f>+(C100*D100)*E100</f>
        <v>87495.647499999992</v>
      </c>
      <c r="G100" s="140"/>
    </row>
    <row r="101" spans="1:7" ht="13.5" hidden="1" thickBot="1" x14ac:dyDescent="0.25">
      <c r="A101" s="1527" t="str">
        <f>+A96</f>
        <v>SUB-TOTAL</v>
      </c>
      <c r="B101" s="1528"/>
      <c r="C101" s="1528"/>
      <c r="D101" s="1528"/>
      <c r="E101" s="1528"/>
      <c r="F101" s="1529" t="s">
        <v>113</v>
      </c>
      <c r="G101" s="181">
        <f>SUM(F99:F100)</f>
        <v>161605.24834700901</v>
      </c>
    </row>
    <row r="102" spans="1:7" ht="11.25" hidden="1" customHeight="1" thickBot="1" x14ac:dyDescent="0.25">
      <c r="A102" s="179"/>
      <c r="B102" s="179"/>
      <c r="C102" s="179"/>
      <c r="D102" s="179"/>
      <c r="E102" s="179"/>
      <c r="F102" s="180"/>
      <c r="G102" s="179"/>
    </row>
    <row r="103" spans="1:7" ht="13.5" hidden="1" thickBot="1" x14ac:dyDescent="0.25">
      <c r="A103" s="1527" t="s">
        <v>156</v>
      </c>
      <c r="B103" s="1528"/>
      <c r="C103" s="1528"/>
      <c r="D103" s="1528"/>
      <c r="E103" s="1528"/>
      <c r="F103" s="1529"/>
      <c r="G103" s="178">
        <f>ROUND(G84+G91+G96+G101,0)</f>
        <v>661117</v>
      </c>
    </row>
    <row r="104" spans="1:7" hidden="1" x14ac:dyDescent="0.2"/>
    <row r="105" spans="1:7" ht="13.5" hidden="1" thickBot="1" x14ac:dyDescent="0.25"/>
    <row r="106" spans="1:7" ht="27" hidden="1" customHeight="1" x14ac:dyDescent="0.2">
      <c r="A106" s="1548" t="s">
        <v>122</v>
      </c>
      <c r="B106" s="1549"/>
      <c r="C106" s="1550"/>
      <c r="D106" s="50"/>
      <c r="E106" s="50"/>
      <c r="F106" s="50"/>
      <c r="G106" s="98"/>
    </row>
    <row r="107" spans="1:7" ht="24" hidden="1" customHeight="1" thickBot="1" x14ac:dyDescent="0.25">
      <c r="A107" s="1551" t="s">
        <v>935</v>
      </c>
      <c r="B107" s="1552"/>
      <c r="C107" s="1553"/>
      <c r="D107" s="99"/>
      <c r="E107" s="99"/>
      <c r="F107" s="99"/>
      <c r="G107" s="100"/>
    </row>
    <row r="108" spans="1:7" ht="13.5" hidden="1" thickBot="1" x14ac:dyDescent="0.25">
      <c r="A108" s="179"/>
      <c r="B108" s="179"/>
      <c r="C108" s="179"/>
      <c r="D108" s="179"/>
      <c r="E108" s="179"/>
      <c r="F108" s="179"/>
      <c r="G108" s="179"/>
    </row>
    <row r="109" spans="1:7" ht="30.75" hidden="1" customHeight="1" thickBot="1" x14ac:dyDescent="0.25">
      <c r="A109" s="1558" t="s">
        <v>936</v>
      </c>
      <c r="B109" s="1559"/>
      <c r="C109" s="1560"/>
      <c r="D109" s="1565" t="s">
        <v>331</v>
      </c>
      <c r="E109" s="1559"/>
      <c r="F109" s="1559"/>
      <c r="G109" s="1560"/>
    </row>
    <row r="110" spans="1:7" ht="13.5" hidden="1" thickBot="1" x14ac:dyDescent="0.25">
      <c r="A110" s="192"/>
      <c r="B110" s="192"/>
      <c r="C110" s="192"/>
      <c r="D110" s="192"/>
      <c r="E110" s="192"/>
      <c r="F110" s="192"/>
      <c r="G110" s="192"/>
    </row>
    <row r="111" spans="1:7" ht="12.75" hidden="1" customHeight="1" thickBot="1" x14ac:dyDescent="0.25">
      <c r="A111" s="191"/>
      <c r="B111" s="179"/>
      <c r="D111" s="60" t="s">
        <v>124</v>
      </c>
      <c r="E111" s="61" t="s">
        <v>12</v>
      </c>
      <c r="F111" s="191"/>
      <c r="G111" s="191"/>
    </row>
    <row r="112" spans="1:7" ht="13.5" hidden="1" thickBot="1" x14ac:dyDescent="0.25">
      <c r="A112" s="186" t="s">
        <v>108</v>
      </c>
      <c r="B112" s="179"/>
      <c r="C112" s="179"/>
      <c r="D112" s="179"/>
      <c r="E112" s="179"/>
      <c r="F112" s="179"/>
      <c r="G112" s="179"/>
    </row>
    <row r="113" spans="1:7" ht="13.5" hidden="1" customHeight="1" thickBot="1" x14ac:dyDescent="0.25">
      <c r="A113" s="1530" t="s">
        <v>109</v>
      </c>
      <c r="B113" s="1554"/>
      <c r="C113" s="1531"/>
      <c r="D113" s="63" t="s">
        <v>110</v>
      </c>
      <c r="E113" s="63" t="s">
        <v>111</v>
      </c>
      <c r="F113" s="63" t="s">
        <v>112</v>
      </c>
      <c r="G113" s="104"/>
    </row>
    <row r="114" spans="1:7" hidden="1" x14ac:dyDescent="0.2">
      <c r="A114" s="1540" t="s">
        <v>131</v>
      </c>
      <c r="B114" s="1555"/>
      <c r="C114" s="1541"/>
      <c r="D114" s="130">
        <v>2062.5</v>
      </c>
      <c r="E114" s="131">
        <f>+E116</f>
        <v>1.25</v>
      </c>
      <c r="F114" s="130">
        <f>+E114*D114</f>
        <v>2578.125</v>
      </c>
      <c r="G114" s="132"/>
    </row>
    <row r="115" spans="1:7" ht="13.5" hidden="1" customHeight="1" thickBot="1" x14ac:dyDescent="0.25">
      <c r="A115" s="1543" t="s">
        <v>953</v>
      </c>
      <c r="B115" s="1544"/>
      <c r="C115" s="1545" t="s">
        <v>4</v>
      </c>
      <c r="D115" s="135">
        <v>38462</v>
      </c>
      <c r="E115" s="136">
        <v>2</v>
      </c>
      <c r="F115" s="135">
        <f>+E115*D115</f>
        <v>76924</v>
      </c>
      <c r="G115" s="140"/>
    </row>
    <row r="116" spans="1:7" ht="13.5" hidden="1" thickBot="1" x14ac:dyDescent="0.25">
      <c r="A116" s="1542" t="s">
        <v>135</v>
      </c>
      <c r="B116" s="1564"/>
      <c r="C116" s="1535"/>
      <c r="D116" s="139">
        <v>7500</v>
      </c>
      <c r="E116" s="141">
        <v>1.25</v>
      </c>
      <c r="F116" s="139">
        <f>+E116*D116</f>
        <v>9375</v>
      </c>
      <c r="G116" s="140"/>
    </row>
    <row r="117" spans="1:7" ht="13.5" hidden="1" thickBot="1" x14ac:dyDescent="0.25">
      <c r="A117" s="1527" t="s">
        <v>125</v>
      </c>
      <c r="B117" s="1528"/>
      <c r="C117" s="1528"/>
      <c r="D117" s="1528"/>
      <c r="E117" s="1528"/>
      <c r="F117" s="1529"/>
      <c r="G117" s="181">
        <f>SUM(F114:F116)</f>
        <v>88877.125</v>
      </c>
    </row>
    <row r="118" spans="1:7" ht="13.5" hidden="1" thickBot="1" x14ac:dyDescent="0.25">
      <c r="A118" s="186" t="s">
        <v>123</v>
      </c>
      <c r="B118" s="179"/>
      <c r="C118" s="179"/>
      <c r="D118" s="179"/>
      <c r="E118" s="179"/>
      <c r="F118" s="179"/>
      <c r="G118" s="179"/>
    </row>
    <row r="119" spans="1:7" ht="13.5" hidden="1" thickBot="1" x14ac:dyDescent="0.25">
      <c r="A119" s="1530" t="s">
        <v>109</v>
      </c>
      <c r="B119" s="1531"/>
      <c r="C119" s="63" t="s">
        <v>114</v>
      </c>
      <c r="D119" s="63" t="s">
        <v>115</v>
      </c>
      <c r="E119" s="63" t="s">
        <v>116</v>
      </c>
      <c r="F119" s="63" t="s">
        <v>112</v>
      </c>
      <c r="G119" s="104"/>
    </row>
    <row r="120" spans="1:7" ht="23.25" hidden="1" customHeight="1" x14ac:dyDescent="0.2">
      <c r="A120" s="1546" t="s">
        <v>161</v>
      </c>
      <c r="B120" s="1547"/>
      <c r="C120" s="129" t="s">
        <v>12</v>
      </c>
      <c r="D120" s="130">
        <v>382373</v>
      </c>
      <c r="E120" s="129">
        <v>1.03</v>
      </c>
      <c r="F120" s="130">
        <f>+E120*D120</f>
        <v>393844.19</v>
      </c>
      <c r="G120" s="132"/>
    </row>
    <row r="121" spans="1:7" hidden="1" x14ac:dyDescent="0.2">
      <c r="A121" s="1536" t="s">
        <v>168</v>
      </c>
      <c r="B121" s="1537"/>
      <c r="C121" s="134" t="s">
        <v>7</v>
      </c>
      <c r="D121" s="135">
        <v>7350</v>
      </c>
      <c r="E121" s="134">
        <v>1.7</v>
      </c>
      <c r="F121" s="135">
        <f>+E121*D121</f>
        <v>12495</v>
      </c>
      <c r="G121" s="137"/>
    </row>
    <row r="122" spans="1:7" hidden="1" x14ac:dyDescent="0.2">
      <c r="A122" s="1536" t="s">
        <v>104</v>
      </c>
      <c r="B122" s="1537"/>
      <c r="C122" s="134" t="s">
        <v>105</v>
      </c>
      <c r="D122" s="135">
        <v>40</v>
      </c>
      <c r="E122" s="134">
        <v>50</v>
      </c>
      <c r="F122" s="135">
        <f>+E122*D122</f>
        <v>2000</v>
      </c>
      <c r="G122" s="137"/>
    </row>
    <row r="123" spans="1:7" ht="13.5" hidden="1" thickBot="1" x14ac:dyDescent="0.25">
      <c r="A123" s="1538"/>
      <c r="B123" s="1539"/>
      <c r="C123" s="138"/>
      <c r="D123" s="139"/>
      <c r="E123" s="138"/>
      <c r="F123" s="139"/>
      <c r="G123" s="140"/>
    </row>
    <row r="124" spans="1:7" ht="13.5" hidden="1" thickBot="1" x14ac:dyDescent="0.25">
      <c r="A124" s="1527" t="s">
        <v>125</v>
      </c>
      <c r="B124" s="1528"/>
      <c r="C124" s="1528"/>
      <c r="D124" s="1528"/>
      <c r="E124" s="1528"/>
      <c r="F124" s="1529" t="s">
        <v>113</v>
      </c>
      <c r="G124" s="181">
        <f>SUM(F120:F123)</f>
        <v>408339.19</v>
      </c>
    </row>
    <row r="125" spans="1:7" ht="13.5" hidden="1" thickBot="1" x14ac:dyDescent="0.25">
      <c r="A125" s="186" t="s">
        <v>117</v>
      </c>
      <c r="B125" s="179"/>
      <c r="C125" s="179"/>
      <c r="D125" s="179"/>
      <c r="E125" s="179"/>
      <c r="F125" s="179"/>
      <c r="G125" s="179"/>
    </row>
    <row r="126" spans="1:7" ht="13.5" hidden="1" thickBot="1" x14ac:dyDescent="0.25">
      <c r="A126" s="1530" t="s">
        <v>109</v>
      </c>
      <c r="B126" s="1531"/>
      <c r="C126" s="63" t="s">
        <v>114</v>
      </c>
      <c r="D126" s="63" t="s">
        <v>115</v>
      </c>
      <c r="E126" s="63" t="s">
        <v>116</v>
      </c>
      <c r="F126" s="63" t="s">
        <v>112</v>
      </c>
      <c r="G126" s="115"/>
    </row>
    <row r="127" spans="1:7" hidden="1" x14ac:dyDescent="0.2">
      <c r="A127" s="1540" t="s">
        <v>205</v>
      </c>
      <c r="B127" s="1541"/>
      <c r="C127" s="189" t="s">
        <v>159</v>
      </c>
      <c r="D127" s="130">
        <v>60714.285714285717</v>
      </c>
      <c r="E127" s="200">
        <v>0</v>
      </c>
      <c r="F127" s="135">
        <f>D127*E127</f>
        <v>0</v>
      </c>
      <c r="G127" s="132"/>
    </row>
    <row r="128" spans="1:7" ht="13.5" hidden="1" thickBot="1" x14ac:dyDescent="0.25">
      <c r="A128" s="1542"/>
      <c r="B128" s="1535"/>
      <c r="C128" s="189"/>
      <c r="D128" s="139"/>
      <c r="E128" s="201"/>
      <c r="F128" s="139">
        <f>D128*E128</f>
        <v>0</v>
      </c>
      <c r="G128" s="187"/>
    </row>
    <row r="129" spans="1:7" ht="13.5" hidden="1" thickBot="1" x14ac:dyDescent="0.25">
      <c r="A129" s="1527" t="s">
        <v>125</v>
      </c>
      <c r="B129" s="1528"/>
      <c r="C129" s="1528"/>
      <c r="D129" s="1528"/>
      <c r="E129" s="1528"/>
      <c r="F129" s="1529" t="s">
        <v>113</v>
      </c>
      <c r="G129" s="181">
        <f>SUM(F128:F128)</f>
        <v>0</v>
      </c>
    </row>
    <row r="130" spans="1:7" ht="13.5" hidden="1" thickBot="1" x14ac:dyDescent="0.25">
      <c r="A130" s="186" t="s">
        <v>119</v>
      </c>
      <c r="B130" s="179"/>
      <c r="C130" s="179"/>
      <c r="D130" s="179"/>
      <c r="E130" s="179"/>
      <c r="F130" s="179"/>
      <c r="G130" s="179"/>
    </row>
    <row r="131" spans="1:7" ht="21.75" hidden="1" thickBot="1" x14ac:dyDescent="0.25">
      <c r="A131" s="1530" t="s">
        <v>120</v>
      </c>
      <c r="B131" s="1531"/>
      <c r="C131" s="63" t="s">
        <v>121</v>
      </c>
      <c r="D131" s="63" t="s">
        <v>114</v>
      </c>
      <c r="E131" s="63" t="s">
        <v>116</v>
      </c>
      <c r="F131" s="63" t="s">
        <v>112</v>
      </c>
      <c r="G131" s="121"/>
    </row>
    <row r="132" spans="1:7" hidden="1" x14ac:dyDescent="0.2">
      <c r="A132" s="1532" t="s">
        <v>21</v>
      </c>
      <c r="B132" s="1533"/>
      <c r="C132" s="122">
        <v>7410.9600847008996</v>
      </c>
      <c r="D132" s="198">
        <v>1</v>
      </c>
      <c r="E132" s="198">
        <v>10</v>
      </c>
      <c r="F132" s="124">
        <f>+(C132*D132)*E132</f>
        <v>74109.600847009002</v>
      </c>
      <c r="G132" s="132"/>
    </row>
    <row r="133" spans="1:7" ht="13.5" hidden="1" thickBot="1" x14ac:dyDescent="0.25">
      <c r="A133" s="1534" t="s">
        <v>22</v>
      </c>
      <c r="B133" s="1535"/>
      <c r="C133" s="184">
        <v>4374.7823749999998</v>
      </c>
      <c r="D133" s="202">
        <v>2</v>
      </c>
      <c r="E133" s="202">
        <f>+E132</f>
        <v>10</v>
      </c>
      <c r="F133" s="182">
        <f>+(C133*D133)*E133</f>
        <v>87495.647499999992</v>
      </c>
      <c r="G133" s="140"/>
    </row>
    <row r="134" spans="1:7" ht="13.5" hidden="1" thickBot="1" x14ac:dyDescent="0.25">
      <c r="A134" s="1527" t="str">
        <f>+A129</f>
        <v>SUB-TOTAL</v>
      </c>
      <c r="B134" s="1528"/>
      <c r="C134" s="1528"/>
      <c r="D134" s="1528"/>
      <c r="E134" s="1528"/>
      <c r="F134" s="1529" t="s">
        <v>113</v>
      </c>
      <c r="G134" s="181">
        <f>SUM(F132:F133)</f>
        <v>161605.24834700901</v>
      </c>
    </row>
    <row r="135" spans="1:7" ht="11.25" hidden="1" customHeight="1" thickBot="1" x14ac:dyDescent="0.25">
      <c r="A135" s="179"/>
      <c r="B135" s="179"/>
      <c r="C135" s="179"/>
      <c r="D135" s="179"/>
      <c r="E135" s="179"/>
      <c r="F135" s="180"/>
      <c r="G135" s="179"/>
    </row>
    <row r="136" spans="1:7" ht="13.5" hidden="1" thickBot="1" x14ac:dyDescent="0.25">
      <c r="A136" s="1527" t="s">
        <v>156</v>
      </c>
      <c r="B136" s="1528"/>
      <c r="C136" s="1528"/>
      <c r="D136" s="1528"/>
      <c r="E136" s="1528"/>
      <c r="F136" s="1529"/>
      <c r="G136" s="178">
        <f>ROUND(G117+G124+G129+G134,0)</f>
        <v>658822</v>
      </c>
    </row>
    <row r="137" spans="1:7" hidden="1" x14ac:dyDescent="0.2"/>
    <row r="138" spans="1:7" ht="13.5" hidden="1" thickBot="1" x14ac:dyDescent="0.25"/>
    <row r="139" spans="1:7" ht="27" hidden="1" customHeight="1" x14ac:dyDescent="0.2">
      <c r="A139" s="1548" t="s">
        <v>122</v>
      </c>
      <c r="B139" s="1549"/>
      <c r="C139" s="1550"/>
      <c r="D139" s="50"/>
      <c r="E139" s="50"/>
      <c r="F139" s="50"/>
      <c r="G139" s="98"/>
    </row>
    <row r="140" spans="1:7" ht="24" hidden="1" customHeight="1" thickBot="1" x14ac:dyDescent="0.25">
      <c r="A140" s="1551" t="s">
        <v>935</v>
      </c>
      <c r="B140" s="1552"/>
      <c r="C140" s="1553"/>
      <c r="D140" s="99"/>
      <c r="E140" s="99"/>
      <c r="F140" s="99"/>
      <c r="G140" s="100"/>
    </row>
    <row r="141" spans="1:7" ht="13.5" hidden="1" thickBot="1" x14ac:dyDescent="0.25">
      <c r="A141" s="179"/>
      <c r="B141" s="179"/>
      <c r="C141" s="179"/>
      <c r="D141" s="179"/>
      <c r="E141" s="179"/>
      <c r="F141" s="179"/>
      <c r="G141" s="179"/>
    </row>
    <row r="142" spans="1:7" ht="30.75" hidden="1" customHeight="1" thickBot="1" x14ac:dyDescent="0.25">
      <c r="A142" s="1558" t="s">
        <v>936</v>
      </c>
      <c r="B142" s="1559"/>
      <c r="C142" s="1560"/>
      <c r="D142" s="1565" t="s">
        <v>332</v>
      </c>
      <c r="E142" s="1559"/>
      <c r="F142" s="1559"/>
      <c r="G142" s="1560"/>
    </row>
    <row r="143" spans="1:7" ht="13.5" hidden="1" thickBot="1" x14ac:dyDescent="0.25">
      <c r="A143" s="192"/>
      <c r="B143" s="192"/>
      <c r="C143" s="192"/>
      <c r="D143" s="192"/>
      <c r="E143" s="192"/>
      <c r="F143" s="192"/>
      <c r="G143" s="192"/>
    </row>
    <row r="144" spans="1:7" ht="12.75" hidden="1" customHeight="1" thickBot="1" x14ac:dyDescent="0.25">
      <c r="A144" s="191"/>
      <c r="B144" s="179"/>
      <c r="D144" s="60" t="s">
        <v>124</v>
      </c>
      <c r="E144" s="61" t="s">
        <v>12</v>
      </c>
      <c r="F144" s="191"/>
      <c r="G144" s="191"/>
    </row>
    <row r="145" spans="1:7" ht="13.5" hidden="1" thickBot="1" x14ac:dyDescent="0.25">
      <c r="A145" s="186" t="s">
        <v>108</v>
      </c>
      <c r="B145" s="179"/>
      <c r="C145" s="179"/>
      <c r="D145" s="179"/>
      <c r="E145" s="179"/>
      <c r="F145" s="179"/>
      <c r="G145" s="179"/>
    </row>
    <row r="146" spans="1:7" ht="13.5" hidden="1" customHeight="1" thickBot="1" x14ac:dyDescent="0.25">
      <c r="A146" s="1530" t="s">
        <v>109</v>
      </c>
      <c r="B146" s="1554"/>
      <c r="C146" s="1531"/>
      <c r="D146" s="63" t="s">
        <v>110</v>
      </c>
      <c r="E146" s="63" t="s">
        <v>111</v>
      </c>
      <c r="F146" s="63" t="s">
        <v>112</v>
      </c>
      <c r="G146" s="104"/>
    </row>
    <row r="147" spans="1:7" hidden="1" x14ac:dyDescent="0.2">
      <c r="A147" s="1540" t="s">
        <v>131</v>
      </c>
      <c r="B147" s="1555"/>
      <c r="C147" s="1541"/>
      <c r="D147" s="130">
        <v>2062.5</v>
      </c>
      <c r="E147" s="131">
        <v>1</v>
      </c>
      <c r="F147" s="130">
        <f>+E147*D147</f>
        <v>2062.5</v>
      </c>
      <c r="G147" s="132"/>
    </row>
    <row r="148" spans="1:7" ht="13.5" hidden="1" thickBot="1" x14ac:dyDescent="0.25">
      <c r="A148" s="1542" t="s">
        <v>953</v>
      </c>
      <c r="B148" s="1564"/>
      <c r="C148" s="1535" t="s">
        <v>4</v>
      </c>
      <c r="D148" s="139">
        <v>38462</v>
      </c>
      <c r="E148" s="141">
        <v>1.5</v>
      </c>
      <c r="F148" s="139">
        <f>+E148*D148</f>
        <v>57693</v>
      </c>
      <c r="G148" s="140"/>
    </row>
    <row r="149" spans="1:7" ht="13.5" hidden="1" thickBot="1" x14ac:dyDescent="0.25">
      <c r="A149" s="1527" t="s">
        <v>125</v>
      </c>
      <c r="B149" s="1528"/>
      <c r="C149" s="1528"/>
      <c r="D149" s="1528"/>
      <c r="E149" s="1528"/>
      <c r="F149" s="1529"/>
      <c r="G149" s="181">
        <f>SUM(F147:F148)</f>
        <v>59755.5</v>
      </c>
    </row>
    <row r="150" spans="1:7" ht="13.5" hidden="1" thickBot="1" x14ac:dyDescent="0.25">
      <c r="A150" s="186" t="s">
        <v>123</v>
      </c>
      <c r="B150" s="179"/>
      <c r="C150" s="179"/>
      <c r="D150" s="179"/>
      <c r="E150" s="179"/>
      <c r="F150" s="179"/>
      <c r="G150" s="179"/>
    </row>
    <row r="151" spans="1:7" ht="13.5" hidden="1" thickBot="1" x14ac:dyDescent="0.25">
      <c r="A151" s="1530" t="s">
        <v>109</v>
      </c>
      <c r="B151" s="1531"/>
      <c r="C151" s="63" t="s">
        <v>114</v>
      </c>
      <c r="D151" s="63" t="s">
        <v>115</v>
      </c>
      <c r="E151" s="63" t="s">
        <v>116</v>
      </c>
      <c r="F151" s="63" t="s">
        <v>112</v>
      </c>
      <c r="G151" s="104"/>
    </row>
    <row r="152" spans="1:7" ht="23.25" hidden="1" customHeight="1" x14ac:dyDescent="0.2">
      <c r="A152" s="1546" t="s">
        <v>161</v>
      </c>
      <c r="B152" s="1547"/>
      <c r="C152" s="129" t="s">
        <v>12</v>
      </c>
      <c r="D152" s="130">
        <v>382373</v>
      </c>
      <c r="E152" s="129">
        <v>1.03</v>
      </c>
      <c r="F152" s="130">
        <f>+E152*D152</f>
        <v>393844.19</v>
      </c>
      <c r="G152" s="132"/>
    </row>
    <row r="153" spans="1:7" hidden="1" x14ac:dyDescent="0.2">
      <c r="A153" s="1536" t="s">
        <v>168</v>
      </c>
      <c r="B153" s="1537"/>
      <c r="C153" s="134" t="s">
        <v>7</v>
      </c>
      <c r="D153" s="135">
        <v>7350</v>
      </c>
      <c r="E153" s="134">
        <v>1.7</v>
      </c>
      <c r="F153" s="135">
        <f>+E153*D153</f>
        <v>12495</v>
      </c>
      <c r="G153" s="137"/>
    </row>
    <row r="154" spans="1:7" hidden="1" x14ac:dyDescent="0.2">
      <c r="A154" s="1536" t="s">
        <v>104</v>
      </c>
      <c r="B154" s="1537"/>
      <c r="C154" s="134" t="s">
        <v>105</v>
      </c>
      <c r="D154" s="135">
        <v>40</v>
      </c>
      <c r="E154" s="134">
        <v>50</v>
      </c>
      <c r="F154" s="135">
        <f>+E154*D154</f>
        <v>2000</v>
      </c>
      <c r="G154" s="137"/>
    </row>
    <row r="155" spans="1:7" ht="13.5" hidden="1" thickBot="1" x14ac:dyDescent="0.25">
      <c r="A155" s="1538"/>
      <c r="B155" s="1539"/>
      <c r="C155" s="138"/>
      <c r="D155" s="139"/>
      <c r="E155" s="138"/>
      <c r="F155" s="139"/>
      <c r="G155" s="140"/>
    </row>
    <row r="156" spans="1:7" ht="13.5" hidden="1" thickBot="1" x14ac:dyDescent="0.25">
      <c r="A156" s="1527" t="s">
        <v>125</v>
      </c>
      <c r="B156" s="1528"/>
      <c r="C156" s="1528"/>
      <c r="D156" s="1528"/>
      <c r="E156" s="1528"/>
      <c r="F156" s="1529" t="s">
        <v>113</v>
      </c>
      <c r="G156" s="181">
        <f>SUM(F152:F155)</f>
        <v>408339.19</v>
      </c>
    </row>
    <row r="157" spans="1:7" ht="13.5" hidden="1" thickBot="1" x14ac:dyDescent="0.25">
      <c r="A157" s="186" t="s">
        <v>117</v>
      </c>
      <c r="B157" s="179"/>
      <c r="C157" s="179"/>
      <c r="D157" s="179"/>
      <c r="E157" s="179"/>
      <c r="F157" s="179"/>
      <c r="G157" s="179"/>
    </row>
    <row r="158" spans="1:7" ht="13.5" hidden="1" thickBot="1" x14ac:dyDescent="0.25">
      <c r="A158" s="1530" t="s">
        <v>109</v>
      </c>
      <c r="B158" s="1531"/>
      <c r="C158" s="63" t="s">
        <v>114</v>
      </c>
      <c r="D158" s="63" t="s">
        <v>115</v>
      </c>
      <c r="E158" s="63" t="s">
        <v>116</v>
      </c>
      <c r="F158" s="63" t="s">
        <v>112</v>
      </c>
      <c r="G158" s="115"/>
    </row>
    <row r="159" spans="1:7" hidden="1" x14ac:dyDescent="0.2">
      <c r="A159" s="1540" t="s">
        <v>205</v>
      </c>
      <c r="B159" s="1541"/>
      <c r="C159" s="189" t="s">
        <v>159</v>
      </c>
      <c r="D159" s="130">
        <v>60714.285714285717</v>
      </c>
      <c r="E159" s="200">
        <v>0</v>
      </c>
      <c r="F159" s="135">
        <f>D159*E159</f>
        <v>0</v>
      </c>
      <c r="G159" s="132"/>
    </row>
    <row r="160" spans="1:7" ht="13.5" hidden="1" thickBot="1" x14ac:dyDescent="0.25">
      <c r="A160" s="1542"/>
      <c r="B160" s="1535"/>
      <c r="C160" s="189"/>
      <c r="D160" s="139"/>
      <c r="E160" s="201"/>
      <c r="F160" s="139">
        <f>D160*E160</f>
        <v>0</v>
      </c>
      <c r="G160" s="187"/>
    </row>
    <row r="161" spans="1:7" ht="13.5" hidden="1" thickBot="1" x14ac:dyDescent="0.25">
      <c r="A161" s="1527" t="s">
        <v>125</v>
      </c>
      <c r="B161" s="1528"/>
      <c r="C161" s="1528"/>
      <c r="D161" s="1528"/>
      <c r="E161" s="1528"/>
      <c r="F161" s="1529" t="s">
        <v>113</v>
      </c>
      <c r="G161" s="181">
        <f>SUM(F160:F160)</f>
        <v>0</v>
      </c>
    </row>
    <row r="162" spans="1:7" ht="13.5" hidden="1" thickBot="1" x14ac:dyDescent="0.25">
      <c r="A162" s="186" t="s">
        <v>119</v>
      </c>
      <c r="B162" s="179"/>
      <c r="C162" s="179"/>
      <c r="D162" s="179"/>
      <c r="E162" s="179"/>
      <c r="F162" s="179"/>
      <c r="G162" s="179"/>
    </row>
    <row r="163" spans="1:7" ht="21.75" hidden="1" thickBot="1" x14ac:dyDescent="0.25">
      <c r="A163" s="1530" t="s">
        <v>120</v>
      </c>
      <c r="B163" s="1531"/>
      <c r="C163" s="63" t="s">
        <v>121</v>
      </c>
      <c r="D163" s="63" t="s">
        <v>114</v>
      </c>
      <c r="E163" s="63" t="s">
        <v>116</v>
      </c>
      <c r="F163" s="63" t="s">
        <v>112</v>
      </c>
      <c r="G163" s="121"/>
    </row>
    <row r="164" spans="1:7" hidden="1" x14ac:dyDescent="0.2">
      <c r="A164" s="1532" t="s">
        <v>21</v>
      </c>
      <c r="B164" s="1533"/>
      <c r="C164" s="122">
        <v>7410.9600847008996</v>
      </c>
      <c r="D164" s="198">
        <v>1</v>
      </c>
      <c r="E164" s="198">
        <v>10</v>
      </c>
      <c r="F164" s="124">
        <f>+(C164*D164)*E164</f>
        <v>74109.600847009002</v>
      </c>
      <c r="G164" s="132"/>
    </row>
    <row r="165" spans="1:7" ht="13.5" hidden="1" thickBot="1" x14ac:dyDescent="0.25">
      <c r="A165" s="1534" t="s">
        <v>22</v>
      </c>
      <c r="B165" s="1535"/>
      <c r="C165" s="184">
        <v>4374.7823749999998</v>
      </c>
      <c r="D165" s="202">
        <v>1</v>
      </c>
      <c r="E165" s="202">
        <f>+E164</f>
        <v>10</v>
      </c>
      <c r="F165" s="182">
        <f>+(C165*D165)*E165</f>
        <v>43747.823749999996</v>
      </c>
      <c r="G165" s="140"/>
    </row>
    <row r="166" spans="1:7" ht="13.5" hidden="1" thickBot="1" x14ac:dyDescent="0.25">
      <c r="A166" s="1527" t="str">
        <f>+A161</f>
        <v>SUB-TOTAL</v>
      </c>
      <c r="B166" s="1528"/>
      <c r="C166" s="1528"/>
      <c r="D166" s="1528"/>
      <c r="E166" s="1528"/>
      <c r="F166" s="1529" t="s">
        <v>113</v>
      </c>
      <c r="G166" s="181">
        <f>SUM(F164:F165)</f>
        <v>117857.424597009</v>
      </c>
    </row>
    <row r="167" spans="1:7" ht="11.25" hidden="1" customHeight="1" thickBot="1" x14ac:dyDescent="0.25">
      <c r="A167" s="179"/>
      <c r="B167" s="179"/>
      <c r="C167" s="179"/>
      <c r="D167" s="179"/>
      <c r="E167" s="179"/>
      <c r="F167" s="180"/>
      <c r="G167" s="179"/>
    </row>
    <row r="168" spans="1:7" ht="13.5" hidden="1" thickBot="1" x14ac:dyDescent="0.25">
      <c r="A168" s="1527" t="s">
        <v>156</v>
      </c>
      <c r="B168" s="1528"/>
      <c r="C168" s="1528"/>
      <c r="D168" s="1528"/>
      <c r="E168" s="1528"/>
      <c r="F168" s="1529"/>
      <c r="G168" s="178">
        <f>ROUND(G149+G156+G161+G166,0)</f>
        <v>585952</v>
      </c>
    </row>
    <row r="169" spans="1:7" hidden="1" x14ac:dyDescent="0.2"/>
    <row r="170" spans="1:7" ht="13.5" hidden="1" thickBot="1" x14ac:dyDescent="0.25"/>
    <row r="171" spans="1:7" ht="27" hidden="1" customHeight="1" x14ac:dyDescent="0.2">
      <c r="A171" s="1548" t="s">
        <v>122</v>
      </c>
      <c r="B171" s="1549"/>
      <c r="C171" s="1550"/>
      <c r="D171" s="50"/>
      <c r="E171" s="50"/>
      <c r="F171" s="50"/>
      <c r="G171" s="98"/>
    </row>
    <row r="172" spans="1:7" ht="24" hidden="1" customHeight="1" thickBot="1" x14ac:dyDescent="0.25">
      <c r="A172" s="1551" t="s">
        <v>935</v>
      </c>
      <c r="B172" s="1552"/>
      <c r="C172" s="1553"/>
      <c r="D172" s="99"/>
      <c r="E172" s="99"/>
      <c r="F172" s="99"/>
      <c r="G172" s="100"/>
    </row>
    <row r="173" spans="1:7" ht="13.5" hidden="1" thickBot="1" x14ac:dyDescent="0.25">
      <c r="A173" s="179"/>
      <c r="B173" s="179"/>
      <c r="C173" s="179"/>
      <c r="D173" s="179"/>
      <c r="E173" s="179"/>
      <c r="F173" s="179"/>
      <c r="G173" s="179"/>
    </row>
    <row r="174" spans="1:7" ht="30.75" hidden="1" customHeight="1" thickBot="1" x14ac:dyDescent="0.25">
      <c r="A174" s="1558" t="s">
        <v>936</v>
      </c>
      <c r="B174" s="1559"/>
      <c r="C174" s="1560"/>
      <c r="D174" s="1565" t="s">
        <v>333</v>
      </c>
      <c r="E174" s="1559"/>
      <c r="F174" s="1559"/>
      <c r="G174" s="1560"/>
    </row>
    <row r="175" spans="1:7" ht="13.5" hidden="1" thickBot="1" x14ac:dyDescent="0.25">
      <c r="A175" s="192"/>
      <c r="B175" s="192"/>
      <c r="C175" s="192"/>
      <c r="D175" s="192"/>
      <c r="E175" s="192"/>
      <c r="F175" s="192"/>
      <c r="G175" s="192"/>
    </row>
    <row r="176" spans="1:7" ht="12.75" hidden="1" customHeight="1" thickBot="1" x14ac:dyDescent="0.25">
      <c r="A176" s="191"/>
      <c r="B176" s="179"/>
      <c r="D176" s="60" t="s">
        <v>124</v>
      </c>
      <c r="E176" s="61" t="s">
        <v>12</v>
      </c>
      <c r="F176" s="191"/>
      <c r="G176" s="191"/>
    </row>
    <row r="177" spans="1:7" ht="13.5" hidden="1" thickBot="1" x14ac:dyDescent="0.25">
      <c r="A177" s="186" t="s">
        <v>108</v>
      </c>
      <c r="B177" s="179"/>
      <c r="C177" s="179"/>
      <c r="D177" s="179"/>
      <c r="E177" s="179"/>
      <c r="F177" s="179"/>
      <c r="G177" s="179"/>
    </row>
    <row r="178" spans="1:7" ht="13.5" hidden="1" customHeight="1" thickBot="1" x14ac:dyDescent="0.25">
      <c r="A178" s="1530" t="s">
        <v>109</v>
      </c>
      <c r="B178" s="1554"/>
      <c r="C178" s="1531"/>
      <c r="D178" s="63" t="s">
        <v>110</v>
      </c>
      <c r="E178" s="63" t="s">
        <v>111</v>
      </c>
      <c r="F178" s="63" t="s">
        <v>112</v>
      </c>
      <c r="G178" s="104"/>
    </row>
    <row r="179" spans="1:7" hidden="1" x14ac:dyDescent="0.2">
      <c r="A179" s="1540" t="s">
        <v>131</v>
      </c>
      <c r="B179" s="1555"/>
      <c r="C179" s="1541"/>
      <c r="D179" s="130">
        <v>2062.5</v>
      </c>
      <c r="E179" s="131">
        <v>2</v>
      </c>
      <c r="F179" s="130">
        <f>+E179*D179</f>
        <v>4125</v>
      </c>
      <c r="G179" s="132"/>
    </row>
    <row r="180" spans="1:7" ht="13.5" hidden="1" thickBot="1" x14ac:dyDescent="0.25">
      <c r="A180" s="1542" t="s">
        <v>953</v>
      </c>
      <c r="B180" s="1564"/>
      <c r="C180" s="1535" t="s">
        <v>4</v>
      </c>
      <c r="D180" s="139">
        <v>38462</v>
      </c>
      <c r="E180" s="141">
        <v>0.2</v>
      </c>
      <c r="F180" s="139">
        <f>+E180*D180</f>
        <v>7692.4000000000005</v>
      </c>
      <c r="G180" s="140"/>
    </row>
    <row r="181" spans="1:7" ht="13.5" hidden="1" thickBot="1" x14ac:dyDescent="0.25">
      <c r="A181" s="1527" t="s">
        <v>125</v>
      </c>
      <c r="B181" s="1528"/>
      <c r="C181" s="1528"/>
      <c r="D181" s="1528"/>
      <c r="E181" s="1528"/>
      <c r="F181" s="1529"/>
      <c r="G181" s="181">
        <f>SUM(F179:F180)</f>
        <v>11817.400000000001</v>
      </c>
    </row>
    <row r="182" spans="1:7" ht="13.5" hidden="1" thickBot="1" x14ac:dyDescent="0.25">
      <c r="A182" s="186" t="s">
        <v>123</v>
      </c>
      <c r="B182" s="179"/>
      <c r="C182" s="179"/>
      <c r="D182" s="179"/>
      <c r="E182" s="179"/>
      <c r="F182" s="179"/>
      <c r="G182" s="179"/>
    </row>
    <row r="183" spans="1:7" ht="13.5" hidden="1" thickBot="1" x14ac:dyDescent="0.25">
      <c r="A183" s="1530" t="s">
        <v>109</v>
      </c>
      <c r="B183" s="1531"/>
      <c r="C183" s="63" t="s">
        <v>114</v>
      </c>
      <c r="D183" s="63" t="s">
        <v>115</v>
      </c>
      <c r="E183" s="63" t="s">
        <v>116</v>
      </c>
      <c r="F183" s="63" t="s">
        <v>112</v>
      </c>
      <c r="G183" s="104"/>
    </row>
    <row r="184" spans="1:7" ht="23.25" hidden="1" customHeight="1" x14ac:dyDescent="0.2">
      <c r="A184" s="1546" t="s">
        <v>161</v>
      </c>
      <c r="B184" s="1547"/>
      <c r="C184" s="129" t="s">
        <v>12</v>
      </c>
      <c r="D184" s="130">
        <v>382373</v>
      </c>
      <c r="E184" s="131">
        <v>1.03</v>
      </c>
      <c r="F184" s="130">
        <f>+E184*D184</f>
        <v>393844.19</v>
      </c>
      <c r="G184" s="132"/>
    </row>
    <row r="185" spans="1:7" hidden="1" x14ac:dyDescent="0.2">
      <c r="A185" s="1536" t="s">
        <v>168</v>
      </c>
      <c r="B185" s="1537"/>
      <c r="C185" s="134" t="s">
        <v>7</v>
      </c>
      <c r="D185" s="135">
        <v>7350</v>
      </c>
      <c r="E185" s="134">
        <v>1.7</v>
      </c>
      <c r="F185" s="135">
        <f>+E185*D185</f>
        <v>12495</v>
      </c>
      <c r="G185" s="137"/>
    </row>
    <row r="186" spans="1:7" hidden="1" x14ac:dyDescent="0.2">
      <c r="A186" s="1536" t="s">
        <v>104</v>
      </c>
      <c r="B186" s="1537"/>
      <c r="C186" s="134" t="s">
        <v>105</v>
      </c>
      <c r="D186" s="135">
        <v>40</v>
      </c>
      <c r="E186" s="134">
        <v>50</v>
      </c>
      <c r="F186" s="135">
        <f>+E186*D186</f>
        <v>2000</v>
      </c>
      <c r="G186" s="137"/>
    </row>
    <row r="187" spans="1:7" ht="13.5" hidden="1" thickBot="1" x14ac:dyDescent="0.25">
      <c r="A187" s="1538"/>
      <c r="B187" s="1539"/>
      <c r="C187" s="138"/>
      <c r="D187" s="139"/>
      <c r="E187" s="138"/>
      <c r="F187" s="139"/>
      <c r="G187" s="140"/>
    </row>
    <row r="188" spans="1:7" ht="13.5" hidden="1" thickBot="1" x14ac:dyDescent="0.25">
      <c r="A188" s="1527" t="s">
        <v>125</v>
      </c>
      <c r="B188" s="1528"/>
      <c r="C188" s="1528"/>
      <c r="D188" s="1528"/>
      <c r="E188" s="1528"/>
      <c r="F188" s="1529" t="s">
        <v>113</v>
      </c>
      <c r="G188" s="181">
        <f>SUM(F184:F187)</f>
        <v>408339.19</v>
      </c>
    </row>
    <row r="189" spans="1:7" ht="13.5" hidden="1" thickBot="1" x14ac:dyDescent="0.25">
      <c r="A189" s="186" t="s">
        <v>117</v>
      </c>
      <c r="B189" s="179"/>
      <c r="C189" s="179"/>
      <c r="D189" s="179"/>
      <c r="E189" s="179"/>
      <c r="F189" s="179"/>
      <c r="G189" s="179"/>
    </row>
    <row r="190" spans="1:7" ht="13.5" hidden="1" thickBot="1" x14ac:dyDescent="0.25">
      <c r="A190" s="1530" t="s">
        <v>109</v>
      </c>
      <c r="B190" s="1531"/>
      <c r="C190" s="63" t="s">
        <v>114</v>
      </c>
      <c r="D190" s="63" t="s">
        <v>115</v>
      </c>
      <c r="E190" s="63" t="s">
        <v>116</v>
      </c>
      <c r="F190" s="63" t="s">
        <v>112</v>
      </c>
      <c r="G190" s="115"/>
    </row>
    <row r="191" spans="1:7" hidden="1" x14ac:dyDescent="0.2">
      <c r="A191" s="1540" t="s">
        <v>205</v>
      </c>
      <c r="B191" s="1541"/>
      <c r="C191" s="189" t="s">
        <v>159</v>
      </c>
      <c r="D191" s="130">
        <v>60714.285714285717</v>
      </c>
      <c r="E191" s="200">
        <v>0</v>
      </c>
      <c r="F191" s="135">
        <f>D191*E191</f>
        <v>0</v>
      </c>
      <c r="G191" s="132"/>
    </row>
    <row r="192" spans="1:7" ht="13.5" hidden="1" thickBot="1" x14ac:dyDescent="0.25">
      <c r="A192" s="1542"/>
      <c r="B192" s="1535"/>
      <c r="C192" s="189"/>
      <c r="D192" s="139"/>
      <c r="E192" s="201"/>
      <c r="F192" s="139">
        <f>D192*E192</f>
        <v>0</v>
      </c>
      <c r="G192" s="187"/>
    </row>
    <row r="193" spans="1:7" ht="13.5" hidden="1" thickBot="1" x14ac:dyDescent="0.25">
      <c r="A193" s="1527" t="s">
        <v>125</v>
      </c>
      <c r="B193" s="1528"/>
      <c r="C193" s="1528"/>
      <c r="D193" s="1528"/>
      <c r="E193" s="1528"/>
      <c r="F193" s="1529" t="s">
        <v>113</v>
      </c>
      <c r="G193" s="181">
        <f>SUM(F192:F192)</f>
        <v>0</v>
      </c>
    </row>
    <row r="194" spans="1:7" ht="13.5" hidden="1" thickBot="1" x14ac:dyDescent="0.25">
      <c r="A194" s="186" t="s">
        <v>119</v>
      </c>
      <c r="B194" s="179"/>
      <c r="C194" s="179"/>
      <c r="D194" s="179"/>
      <c r="E194" s="179"/>
      <c r="F194" s="179"/>
      <c r="G194" s="179"/>
    </row>
    <row r="195" spans="1:7" ht="21.75" hidden="1" thickBot="1" x14ac:dyDescent="0.25">
      <c r="A195" s="1530" t="s">
        <v>120</v>
      </c>
      <c r="B195" s="1531"/>
      <c r="C195" s="63" t="s">
        <v>121</v>
      </c>
      <c r="D195" s="63" t="s">
        <v>114</v>
      </c>
      <c r="E195" s="63" t="s">
        <v>116</v>
      </c>
      <c r="F195" s="63" t="s">
        <v>112</v>
      </c>
      <c r="G195" s="121"/>
    </row>
    <row r="196" spans="1:7" hidden="1" x14ac:dyDescent="0.2">
      <c r="A196" s="1532" t="s">
        <v>21</v>
      </c>
      <c r="B196" s="1533"/>
      <c r="C196" s="122">
        <v>7410.9600847008996</v>
      </c>
      <c r="D196" s="198">
        <v>1</v>
      </c>
      <c r="E196" s="198">
        <v>8</v>
      </c>
      <c r="F196" s="124">
        <f>+(C196*D196)*E196</f>
        <v>59287.680677607197</v>
      </c>
      <c r="G196" s="132"/>
    </row>
    <row r="197" spans="1:7" ht="13.5" hidden="1" thickBot="1" x14ac:dyDescent="0.25">
      <c r="A197" s="1534" t="s">
        <v>22</v>
      </c>
      <c r="B197" s="1535"/>
      <c r="C197" s="184">
        <v>4374.7823749999998</v>
      </c>
      <c r="D197" s="202">
        <v>1</v>
      </c>
      <c r="E197" s="202">
        <f>+E196</f>
        <v>8</v>
      </c>
      <c r="F197" s="182">
        <f>+(C197*D197)*E197</f>
        <v>34998.258999999998</v>
      </c>
      <c r="G197" s="140"/>
    </row>
    <row r="198" spans="1:7" ht="13.5" hidden="1" thickBot="1" x14ac:dyDescent="0.25">
      <c r="A198" s="1527" t="str">
        <f>+A193</f>
        <v>SUB-TOTAL</v>
      </c>
      <c r="B198" s="1528"/>
      <c r="C198" s="1528"/>
      <c r="D198" s="1528"/>
      <c r="E198" s="1528"/>
      <c r="F198" s="1529" t="s">
        <v>113</v>
      </c>
      <c r="G198" s="181">
        <f>SUM(F196:F197)</f>
        <v>94285.939677607195</v>
      </c>
    </row>
    <row r="199" spans="1:7" ht="11.25" hidden="1" customHeight="1" thickBot="1" x14ac:dyDescent="0.25">
      <c r="A199" s="179"/>
      <c r="B199" s="179"/>
      <c r="C199" s="179"/>
      <c r="D199" s="179"/>
      <c r="E199" s="179"/>
      <c r="F199" s="180"/>
      <c r="G199" s="179"/>
    </row>
    <row r="200" spans="1:7" ht="13.5" hidden="1" thickBot="1" x14ac:dyDescent="0.25">
      <c r="A200" s="1527" t="s">
        <v>156</v>
      </c>
      <c r="B200" s="1528"/>
      <c r="C200" s="1528"/>
      <c r="D200" s="1528"/>
      <c r="E200" s="1528"/>
      <c r="F200" s="1529"/>
      <c r="G200" s="178">
        <f>ROUND(G181+G188+G193+G198,0)</f>
        <v>514443</v>
      </c>
    </row>
    <row r="201" spans="1:7" hidden="1" x14ac:dyDescent="0.2"/>
    <row r="202" spans="1:7" ht="13.5" hidden="1" thickBot="1" x14ac:dyDescent="0.25"/>
    <row r="203" spans="1:7" ht="27" hidden="1" customHeight="1" x14ac:dyDescent="0.2">
      <c r="A203" s="1548" t="s">
        <v>122</v>
      </c>
      <c r="B203" s="1549"/>
      <c r="C203" s="1550"/>
      <c r="D203" s="50"/>
      <c r="E203" s="50"/>
      <c r="F203" s="50"/>
      <c r="G203" s="98"/>
    </row>
    <row r="204" spans="1:7" ht="24" hidden="1" customHeight="1" thickBot="1" x14ac:dyDescent="0.25">
      <c r="A204" s="1551" t="s">
        <v>935</v>
      </c>
      <c r="B204" s="1552"/>
      <c r="C204" s="1553"/>
      <c r="D204" s="99"/>
      <c r="E204" s="99"/>
      <c r="F204" s="99"/>
      <c r="G204" s="100"/>
    </row>
    <row r="205" spans="1:7" ht="13.5" hidden="1" thickBot="1" x14ac:dyDescent="0.25">
      <c r="A205" s="179"/>
      <c r="B205" s="179"/>
      <c r="C205" s="179"/>
      <c r="D205" s="179"/>
      <c r="E205" s="179"/>
      <c r="F205" s="179"/>
      <c r="G205" s="179"/>
    </row>
    <row r="206" spans="1:7" ht="35.25" hidden="1" customHeight="1" thickBot="1" x14ac:dyDescent="0.25">
      <c r="A206" s="1558" t="s">
        <v>936</v>
      </c>
      <c r="B206" s="1559"/>
      <c r="C206" s="1560"/>
      <c r="D206" s="1565" t="s">
        <v>171</v>
      </c>
      <c r="E206" s="1559"/>
      <c r="F206" s="1559"/>
      <c r="G206" s="1560"/>
    </row>
    <row r="207" spans="1:7" ht="13.5" hidden="1" thickBot="1" x14ac:dyDescent="0.25">
      <c r="A207" s="192"/>
      <c r="B207" s="192"/>
      <c r="C207" s="192"/>
      <c r="D207" s="192"/>
      <c r="E207" s="192"/>
      <c r="F207" s="192"/>
      <c r="G207" s="192"/>
    </row>
    <row r="208" spans="1:7" ht="12.75" hidden="1" customHeight="1" thickBot="1" x14ac:dyDescent="0.25">
      <c r="A208" s="191"/>
      <c r="B208" s="179"/>
      <c r="D208" s="60" t="s">
        <v>124</v>
      </c>
      <c r="E208" s="61" t="s">
        <v>4</v>
      </c>
      <c r="F208" s="191"/>
      <c r="G208" s="191"/>
    </row>
    <row r="209" spans="1:7" ht="13.5" hidden="1" thickBot="1" x14ac:dyDescent="0.25">
      <c r="A209" s="186" t="s">
        <v>108</v>
      </c>
      <c r="B209" s="179"/>
      <c r="C209" s="179"/>
      <c r="D209" s="179"/>
      <c r="E209" s="179"/>
      <c r="F209" s="179"/>
      <c r="G209" s="179"/>
    </row>
    <row r="210" spans="1:7" ht="13.5" hidden="1" customHeight="1" thickBot="1" x14ac:dyDescent="0.25">
      <c r="A210" s="1530" t="s">
        <v>109</v>
      </c>
      <c r="B210" s="1554"/>
      <c r="C210" s="1531"/>
      <c r="D210" s="63" t="s">
        <v>110</v>
      </c>
      <c r="E210" s="63" t="s">
        <v>111</v>
      </c>
      <c r="F210" s="63" t="s">
        <v>112</v>
      </c>
      <c r="G210" s="104"/>
    </row>
    <row r="211" spans="1:7" hidden="1" x14ac:dyDescent="0.2">
      <c r="A211" s="1540" t="s">
        <v>131</v>
      </c>
      <c r="B211" s="1555"/>
      <c r="C211" s="1541"/>
      <c r="D211" s="130">
        <v>2062.5</v>
      </c>
      <c r="E211" s="131">
        <f>+E230</f>
        <v>3.5</v>
      </c>
      <c r="F211" s="130">
        <f>+E211*D211</f>
        <v>7218.75</v>
      </c>
      <c r="G211" s="132"/>
    </row>
    <row r="212" spans="1:7" hidden="1" x14ac:dyDescent="0.2">
      <c r="A212" s="1543" t="s">
        <v>150</v>
      </c>
      <c r="B212" s="1544"/>
      <c r="C212" s="1545" t="s">
        <v>4</v>
      </c>
      <c r="D212" s="135">
        <v>12970</v>
      </c>
      <c r="E212" s="136">
        <v>1.05</v>
      </c>
      <c r="F212" s="135">
        <f>+E212*D212</f>
        <v>13618.5</v>
      </c>
      <c r="G212" s="137"/>
    </row>
    <row r="213" spans="1:7" ht="13.5" hidden="1" thickBot="1" x14ac:dyDescent="0.25">
      <c r="A213" s="1542" t="s">
        <v>135</v>
      </c>
      <c r="B213" s="1564"/>
      <c r="C213" s="1535"/>
      <c r="D213" s="139">
        <v>7500</v>
      </c>
      <c r="E213" s="141">
        <v>0.3</v>
      </c>
      <c r="F213" s="139">
        <f>+E213*D213</f>
        <v>2250</v>
      </c>
      <c r="G213" s="140"/>
    </row>
    <row r="214" spans="1:7" ht="13.5" hidden="1" thickBot="1" x14ac:dyDescent="0.25">
      <c r="A214" s="1527" t="s">
        <v>125</v>
      </c>
      <c r="B214" s="1528"/>
      <c r="C214" s="1528"/>
      <c r="D214" s="1528"/>
      <c r="E214" s="1528"/>
      <c r="F214" s="1529"/>
      <c r="G214" s="181">
        <f>SUM(F211:F213)</f>
        <v>23087.25</v>
      </c>
    </row>
    <row r="215" spans="1:7" ht="13.5" hidden="1" thickBot="1" x14ac:dyDescent="0.25">
      <c r="A215" s="186" t="s">
        <v>123</v>
      </c>
      <c r="B215" s="179"/>
      <c r="C215" s="179"/>
      <c r="D215" s="179"/>
      <c r="E215" s="179"/>
      <c r="F215" s="179"/>
      <c r="G215" s="179"/>
    </row>
    <row r="216" spans="1:7" ht="13.5" hidden="1" thickBot="1" x14ac:dyDescent="0.25">
      <c r="A216" s="1530" t="s">
        <v>109</v>
      </c>
      <c r="B216" s="1531"/>
      <c r="C216" s="63" t="s">
        <v>114</v>
      </c>
      <c r="D216" s="63" t="s">
        <v>115</v>
      </c>
      <c r="E216" s="63" t="s">
        <v>116</v>
      </c>
      <c r="F216" s="63" t="s">
        <v>112</v>
      </c>
      <c r="G216" s="104"/>
    </row>
    <row r="217" spans="1:7" ht="20.25" hidden="1" customHeight="1" x14ac:dyDescent="0.2">
      <c r="A217" s="1546" t="s">
        <v>161</v>
      </c>
      <c r="B217" s="1547"/>
      <c r="C217" s="129" t="s">
        <v>12</v>
      </c>
      <c r="D217" s="130">
        <v>382373</v>
      </c>
      <c r="E217" s="129">
        <v>0.21</v>
      </c>
      <c r="F217" s="130">
        <f>+E217*D217</f>
        <v>80298.33</v>
      </c>
      <c r="G217" s="132"/>
    </row>
    <row r="218" spans="1:7" hidden="1" x14ac:dyDescent="0.2">
      <c r="A218" s="1536" t="s">
        <v>954</v>
      </c>
      <c r="B218" s="1537"/>
      <c r="C218" s="134" t="s">
        <v>4</v>
      </c>
      <c r="D218" s="135">
        <v>9500.0000000000018</v>
      </c>
      <c r="E218" s="136">
        <v>1</v>
      </c>
      <c r="F218" s="135">
        <f>+E218*D218</f>
        <v>9500.0000000000018</v>
      </c>
      <c r="G218" s="137"/>
    </row>
    <row r="219" spans="1:7" hidden="1" x14ac:dyDescent="0.2">
      <c r="A219" s="1536" t="s">
        <v>47</v>
      </c>
      <c r="B219" s="1537"/>
      <c r="C219" s="134" t="s">
        <v>4</v>
      </c>
      <c r="D219" s="135">
        <v>2500</v>
      </c>
      <c r="E219" s="134">
        <v>1.05</v>
      </c>
      <c r="F219" s="135">
        <f>+E219*D219</f>
        <v>2625</v>
      </c>
      <c r="G219" s="137"/>
    </row>
    <row r="220" spans="1:7" hidden="1" x14ac:dyDescent="0.2">
      <c r="A220" s="1536" t="s">
        <v>162</v>
      </c>
      <c r="B220" s="1537"/>
      <c r="C220" s="134" t="s">
        <v>12</v>
      </c>
      <c r="D220" s="135">
        <v>327865</v>
      </c>
      <c r="E220" s="134">
        <v>0.03</v>
      </c>
      <c r="F220" s="135">
        <f>+E220*D220</f>
        <v>9835.9499999999989</v>
      </c>
      <c r="G220" s="137"/>
    </row>
    <row r="221" spans="1:7" ht="13.5" hidden="1" thickBot="1" x14ac:dyDescent="0.25">
      <c r="A221" s="1538" t="s">
        <v>939</v>
      </c>
      <c r="B221" s="1539"/>
      <c r="C221" s="138" t="s">
        <v>4</v>
      </c>
      <c r="D221" s="139">
        <v>5500</v>
      </c>
      <c r="E221" s="138">
        <v>1.03</v>
      </c>
      <c r="F221" s="139">
        <f>+E221*D221</f>
        <v>5665</v>
      </c>
      <c r="G221" s="140"/>
    </row>
    <row r="222" spans="1:7" ht="13.5" hidden="1" thickBot="1" x14ac:dyDescent="0.25">
      <c r="A222" s="1527" t="s">
        <v>125</v>
      </c>
      <c r="B222" s="1528"/>
      <c r="C222" s="1528"/>
      <c r="D222" s="1528"/>
      <c r="E222" s="1528"/>
      <c r="F222" s="1529" t="s">
        <v>113</v>
      </c>
      <c r="G222" s="181">
        <f>SUM(F217:F221)</f>
        <v>107924.28</v>
      </c>
    </row>
    <row r="223" spans="1:7" ht="13.5" hidden="1" thickBot="1" x14ac:dyDescent="0.25">
      <c r="A223" s="186" t="s">
        <v>117</v>
      </c>
      <c r="B223" s="179"/>
      <c r="C223" s="179"/>
      <c r="D223" s="179"/>
      <c r="E223" s="179"/>
      <c r="F223" s="179"/>
      <c r="G223" s="179"/>
    </row>
    <row r="224" spans="1:7" ht="13.5" hidden="1" thickBot="1" x14ac:dyDescent="0.25">
      <c r="A224" s="1530" t="s">
        <v>109</v>
      </c>
      <c r="B224" s="1531"/>
      <c r="C224" s="63" t="s">
        <v>114</v>
      </c>
      <c r="D224" s="63" t="s">
        <v>115</v>
      </c>
      <c r="E224" s="63" t="s">
        <v>116</v>
      </c>
      <c r="F224" s="63" t="s">
        <v>112</v>
      </c>
      <c r="G224" s="115"/>
    </row>
    <row r="225" spans="1:7" hidden="1" x14ac:dyDescent="0.2">
      <c r="A225" s="1540" t="s">
        <v>205</v>
      </c>
      <c r="B225" s="1541"/>
      <c r="C225" s="189" t="s">
        <v>159</v>
      </c>
      <c r="D225" s="130">
        <v>60714.285714285717</v>
      </c>
      <c r="E225" s="200">
        <v>0</v>
      </c>
      <c r="F225" s="135">
        <f>D225*E225</f>
        <v>0</v>
      </c>
      <c r="G225" s="132"/>
    </row>
    <row r="226" spans="1:7" ht="13.5" hidden="1" thickBot="1" x14ac:dyDescent="0.25">
      <c r="A226" s="1542"/>
      <c r="B226" s="1535"/>
      <c r="C226" s="189"/>
      <c r="D226" s="139"/>
      <c r="E226" s="201"/>
      <c r="F226" s="139">
        <f>D226*E226</f>
        <v>0</v>
      </c>
      <c r="G226" s="187"/>
    </row>
    <row r="227" spans="1:7" ht="13.5" hidden="1" thickBot="1" x14ac:dyDescent="0.25">
      <c r="A227" s="1527" t="s">
        <v>125</v>
      </c>
      <c r="B227" s="1528"/>
      <c r="C227" s="1528"/>
      <c r="D227" s="1528"/>
      <c r="E227" s="1528"/>
      <c r="F227" s="1529" t="s">
        <v>113</v>
      </c>
      <c r="G227" s="181">
        <f>SUM(F226:F226)</f>
        <v>0</v>
      </c>
    </row>
    <row r="228" spans="1:7" ht="13.5" hidden="1" thickBot="1" x14ac:dyDescent="0.25">
      <c r="A228" s="186" t="s">
        <v>119</v>
      </c>
      <c r="B228" s="179"/>
      <c r="C228" s="179"/>
      <c r="D228" s="179"/>
      <c r="E228" s="179"/>
      <c r="F228" s="179"/>
      <c r="G228" s="179"/>
    </row>
    <row r="229" spans="1:7" ht="21.75" hidden="1" thickBot="1" x14ac:dyDescent="0.25">
      <c r="A229" s="1530" t="s">
        <v>120</v>
      </c>
      <c r="B229" s="1531"/>
      <c r="C229" s="63" t="s">
        <v>121</v>
      </c>
      <c r="D229" s="63" t="s">
        <v>114</v>
      </c>
      <c r="E229" s="63" t="s">
        <v>116</v>
      </c>
      <c r="F229" s="63" t="s">
        <v>112</v>
      </c>
      <c r="G229" s="121"/>
    </row>
    <row r="230" spans="1:7" hidden="1" x14ac:dyDescent="0.2">
      <c r="A230" s="1532" t="s">
        <v>21</v>
      </c>
      <c r="B230" s="1533"/>
      <c r="C230" s="122">
        <v>7410.9600847008996</v>
      </c>
      <c r="D230" s="198">
        <v>1</v>
      </c>
      <c r="E230" s="198">
        <v>3.5</v>
      </c>
      <c r="F230" s="124">
        <f>+(C230*D230)*E230</f>
        <v>25938.360296453149</v>
      </c>
      <c r="G230" s="132"/>
    </row>
    <row r="231" spans="1:7" ht="13.5" hidden="1" thickBot="1" x14ac:dyDescent="0.25">
      <c r="A231" s="1534" t="s">
        <v>22</v>
      </c>
      <c r="B231" s="1535"/>
      <c r="C231" s="184">
        <v>4374.7823749999998</v>
      </c>
      <c r="D231" s="202">
        <v>1</v>
      </c>
      <c r="E231" s="202">
        <f>+E230</f>
        <v>3.5</v>
      </c>
      <c r="F231" s="182">
        <f>+(C231*D231)*E231</f>
        <v>15311.7383125</v>
      </c>
      <c r="G231" s="140"/>
    </row>
    <row r="232" spans="1:7" ht="13.5" hidden="1" thickBot="1" x14ac:dyDescent="0.25">
      <c r="A232" s="1527" t="str">
        <f>+A227</f>
        <v>SUB-TOTAL</v>
      </c>
      <c r="B232" s="1528"/>
      <c r="C232" s="1528"/>
      <c r="D232" s="1528"/>
      <c r="E232" s="1528"/>
      <c r="F232" s="1529" t="s">
        <v>113</v>
      </c>
      <c r="G232" s="181">
        <f>SUM(F230:F231)</f>
        <v>41250.098608953151</v>
      </c>
    </row>
    <row r="233" spans="1:7" ht="11.25" hidden="1" customHeight="1" thickBot="1" x14ac:dyDescent="0.25">
      <c r="A233" s="179"/>
      <c r="B233" s="179"/>
      <c r="C233" s="179"/>
      <c r="D233" s="179"/>
      <c r="E233" s="179"/>
      <c r="F233" s="180"/>
      <c r="G233" s="179"/>
    </row>
    <row r="234" spans="1:7" ht="13.5" hidden="1" thickBot="1" x14ac:dyDescent="0.25">
      <c r="A234" s="1527" t="s">
        <v>156</v>
      </c>
      <c r="B234" s="1528"/>
      <c r="C234" s="1528"/>
      <c r="D234" s="1528"/>
      <c r="E234" s="1528"/>
      <c r="F234" s="1529"/>
      <c r="G234" s="178">
        <f>ROUND(G214+G222+G227+G232,0)</f>
        <v>172262</v>
      </c>
    </row>
    <row r="235" spans="1:7" hidden="1" x14ac:dyDescent="0.2"/>
    <row r="236" spans="1:7" ht="13.5" hidden="1" thickBot="1" x14ac:dyDescent="0.25"/>
    <row r="237" spans="1:7" ht="27" hidden="1" customHeight="1" x14ac:dyDescent="0.2">
      <c r="A237" s="1548" t="s">
        <v>122</v>
      </c>
      <c r="B237" s="1549"/>
      <c r="C237" s="1550"/>
      <c r="D237" s="50"/>
      <c r="E237" s="50"/>
      <c r="F237" s="50"/>
      <c r="G237" s="98"/>
    </row>
    <row r="238" spans="1:7" ht="24" hidden="1" customHeight="1" thickBot="1" x14ac:dyDescent="0.25">
      <c r="A238" s="1551" t="s">
        <v>935</v>
      </c>
      <c r="B238" s="1552"/>
      <c r="C238" s="1553"/>
      <c r="D238" s="99"/>
      <c r="E238" s="99"/>
      <c r="F238" s="99"/>
      <c r="G238" s="100"/>
    </row>
    <row r="239" spans="1:7" ht="13.5" hidden="1" thickBot="1" x14ac:dyDescent="0.25">
      <c r="A239" s="179"/>
      <c r="B239" s="179"/>
      <c r="C239" s="179"/>
      <c r="D239" s="179"/>
      <c r="E239" s="179"/>
      <c r="F239" s="179"/>
      <c r="G239" s="179"/>
    </row>
    <row r="240" spans="1:7" ht="35.25" hidden="1" customHeight="1" thickBot="1" x14ac:dyDescent="0.25">
      <c r="A240" s="1558" t="s">
        <v>936</v>
      </c>
      <c r="B240" s="1559"/>
      <c r="C240" s="1560"/>
      <c r="D240" s="1565" t="s">
        <v>170</v>
      </c>
      <c r="E240" s="1559"/>
      <c r="F240" s="1559"/>
      <c r="G240" s="1560"/>
    </row>
    <row r="241" spans="1:7" ht="13.5" hidden="1" thickBot="1" x14ac:dyDescent="0.25">
      <c r="A241" s="192"/>
      <c r="B241" s="192"/>
      <c r="C241" s="192"/>
      <c r="D241" s="192"/>
      <c r="E241" s="192"/>
      <c r="F241" s="192"/>
      <c r="G241" s="192"/>
    </row>
    <row r="242" spans="1:7" ht="12.75" hidden="1" customHeight="1" thickBot="1" x14ac:dyDescent="0.25">
      <c r="A242" s="191"/>
      <c r="B242" s="179"/>
      <c r="D242" s="60" t="s">
        <v>124</v>
      </c>
      <c r="E242" s="61" t="s">
        <v>4</v>
      </c>
      <c r="F242" s="191"/>
      <c r="G242" s="191"/>
    </row>
    <row r="243" spans="1:7" ht="13.5" hidden="1" thickBot="1" x14ac:dyDescent="0.25">
      <c r="A243" s="186" t="s">
        <v>108</v>
      </c>
      <c r="B243" s="179"/>
      <c r="C243" s="179"/>
      <c r="D243" s="179"/>
      <c r="E243" s="179"/>
      <c r="F243" s="179"/>
      <c r="G243" s="179"/>
    </row>
    <row r="244" spans="1:7" ht="13.5" hidden="1" customHeight="1" thickBot="1" x14ac:dyDescent="0.25">
      <c r="A244" s="1530" t="s">
        <v>109</v>
      </c>
      <c r="B244" s="1554"/>
      <c r="C244" s="1531"/>
      <c r="D244" s="63" t="s">
        <v>110</v>
      </c>
      <c r="E244" s="63" t="s">
        <v>111</v>
      </c>
      <c r="F244" s="63" t="s">
        <v>112</v>
      </c>
      <c r="G244" s="104"/>
    </row>
    <row r="245" spans="1:7" hidden="1" x14ac:dyDescent="0.2">
      <c r="A245" s="1540" t="s">
        <v>131</v>
      </c>
      <c r="B245" s="1555"/>
      <c r="C245" s="1541"/>
      <c r="D245" s="130">
        <v>2062.5</v>
      </c>
      <c r="E245" s="131">
        <f>+E266</f>
        <v>3.5</v>
      </c>
      <c r="F245" s="130">
        <f>+E245*D245</f>
        <v>7218.75</v>
      </c>
      <c r="G245" s="132"/>
    </row>
    <row r="246" spans="1:7" hidden="1" x14ac:dyDescent="0.2">
      <c r="A246" s="1543" t="s">
        <v>953</v>
      </c>
      <c r="B246" s="1544"/>
      <c r="C246" s="1545" t="s">
        <v>4</v>
      </c>
      <c r="D246" s="135">
        <v>38462</v>
      </c>
      <c r="E246" s="136">
        <v>0.06</v>
      </c>
      <c r="F246" s="135">
        <f>+E246*D246</f>
        <v>2307.7199999999998</v>
      </c>
      <c r="G246" s="137"/>
    </row>
    <row r="247" spans="1:7" hidden="1" x14ac:dyDescent="0.2">
      <c r="A247" s="1543" t="s">
        <v>151</v>
      </c>
      <c r="B247" s="1544"/>
      <c r="C247" s="1545"/>
      <c r="D247" s="135">
        <v>350</v>
      </c>
      <c r="E247" s="136">
        <v>19</v>
      </c>
      <c r="F247" s="135">
        <f>+E247*D247</f>
        <v>6650</v>
      </c>
      <c r="G247" s="137"/>
    </row>
    <row r="248" spans="1:7" hidden="1" x14ac:dyDescent="0.2">
      <c r="A248" s="1543" t="s">
        <v>145</v>
      </c>
      <c r="B248" s="1544"/>
      <c r="C248" s="1545"/>
      <c r="D248" s="135">
        <v>450</v>
      </c>
      <c r="E248" s="136">
        <v>1.7</v>
      </c>
      <c r="F248" s="135">
        <f>+E248*D248</f>
        <v>765</v>
      </c>
      <c r="G248" s="137"/>
    </row>
    <row r="249" spans="1:7" ht="13.5" hidden="1" thickBot="1" x14ac:dyDescent="0.25">
      <c r="A249" s="1542" t="s">
        <v>135</v>
      </c>
      <c r="B249" s="1564"/>
      <c r="C249" s="1535"/>
      <c r="D249" s="139">
        <v>7500</v>
      </c>
      <c r="E249" s="141">
        <v>0.3</v>
      </c>
      <c r="F249" s="139">
        <f>+E249*D249</f>
        <v>2250</v>
      </c>
      <c r="G249" s="140"/>
    </row>
    <row r="250" spans="1:7" ht="13.5" hidden="1" thickBot="1" x14ac:dyDescent="0.25">
      <c r="A250" s="1527" t="s">
        <v>125</v>
      </c>
      <c r="B250" s="1528"/>
      <c r="C250" s="1528"/>
      <c r="D250" s="1528"/>
      <c r="E250" s="1528"/>
      <c r="F250" s="1529"/>
      <c r="G250" s="181">
        <f>SUM(F245:F249)</f>
        <v>19191.47</v>
      </c>
    </row>
    <row r="251" spans="1:7" ht="13.5" hidden="1" thickBot="1" x14ac:dyDescent="0.25">
      <c r="A251" s="186" t="s">
        <v>123</v>
      </c>
      <c r="B251" s="179"/>
      <c r="C251" s="179"/>
      <c r="D251" s="179"/>
      <c r="E251" s="179"/>
      <c r="F251" s="179"/>
      <c r="G251" s="179"/>
    </row>
    <row r="252" spans="1:7" ht="13.5" hidden="1" thickBot="1" x14ac:dyDescent="0.25">
      <c r="A252" s="1530" t="s">
        <v>109</v>
      </c>
      <c r="B252" s="1531"/>
      <c r="C252" s="63" t="s">
        <v>114</v>
      </c>
      <c r="D252" s="63" t="s">
        <v>115</v>
      </c>
      <c r="E252" s="63" t="s">
        <v>116</v>
      </c>
      <c r="F252" s="63" t="s">
        <v>112</v>
      </c>
      <c r="G252" s="104"/>
    </row>
    <row r="253" spans="1:7" hidden="1" x14ac:dyDescent="0.2">
      <c r="A253" s="1546" t="s">
        <v>161</v>
      </c>
      <c r="B253" s="1547"/>
      <c r="C253" s="129" t="s">
        <v>12</v>
      </c>
      <c r="D253" s="130">
        <v>382373</v>
      </c>
      <c r="E253" s="129">
        <v>0.13</v>
      </c>
      <c r="F253" s="130">
        <f>+E253*D253</f>
        <v>49708.490000000005</v>
      </c>
      <c r="G253" s="132"/>
    </row>
    <row r="254" spans="1:7" hidden="1" x14ac:dyDescent="0.2">
      <c r="A254" s="1536" t="s">
        <v>954</v>
      </c>
      <c r="B254" s="1537"/>
      <c r="C254" s="134" t="s">
        <v>4</v>
      </c>
      <c r="D254" s="135">
        <v>9500.0000000000018</v>
      </c>
      <c r="E254" s="134">
        <v>0.7</v>
      </c>
      <c r="F254" s="135">
        <f>+E254*D254</f>
        <v>6650.0000000000009</v>
      </c>
      <c r="G254" s="137"/>
    </row>
    <row r="255" spans="1:7" hidden="1" x14ac:dyDescent="0.2">
      <c r="A255" s="1536" t="s">
        <v>47</v>
      </c>
      <c r="B255" s="1537"/>
      <c r="C255" s="134" t="s">
        <v>4</v>
      </c>
      <c r="D255" s="135">
        <v>2500</v>
      </c>
      <c r="E255" s="134">
        <v>1.05</v>
      </c>
      <c r="F255" s="135">
        <f>+E255*D255</f>
        <v>2625</v>
      </c>
      <c r="G255" s="137"/>
    </row>
    <row r="256" spans="1:7" hidden="1" x14ac:dyDescent="0.2">
      <c r="A256" s="1536" t="s">
        <v>162</v>
      </c>
      <c r="B256" s="1537"/>
      <c r="C256" s="134" t="s">
        <v>12</v>
      </c>
      <c r="D256" s="135">
        <v>327865</v>
      </c>
      <c r="E256" s="134">
        <v>0.03</v>
      </c>
      <c r="F256" s="135">
        <f>+E256*D256</f>
        <v>9835.9499999999989</v>
      </c>
      <c r="G256" s="137"/>
    </row>
    <row r="257" spans="1:7" ht="13.5" hidden="1" thickBot="1" x14ac:dyDescent="0.25">
      <c r="A257" s="1538" t="s">
        <v>163</v>
      </c>
      <c r="B257" s="1539"/>
      <c r="C257" s="138" t="s">
        <v>7</v>
      </c>
      <c r="D257" s="139">
        <v>2650</v>
      </c>
      <c r="E257" s="138">
        <v>5.32</v>
      </c>
      <c r="F257" s="139">
        <f>+E257*D257</f>
        <v>14098</v>
      </c>
      <c r="G257" s="140"/>
    </row>
    <row r="258" spans="1:7" ht="13.5" hidden="1" thickBot="1" x14ac:dyDescent="0.25">
      <c r="A258" s="1527" t="s">
        <v>125</v>
      </c>
      <c r="B258" s="1528"/>
      <c r="C258" s="1528"/>
      <c r="D258" s="1528"/>
      <c r="E258" s="1528"/>
      <c r="F258" s="1529" t="s">
        <v>113</v>
      </c>
      <c r="G258" s="181">
        <f>SUM(F253:F257)</f>
        <v>82917.440000000002</v>
      </c>
    </row>
    <row r="259" spans="1:7" ht="13.5" hidden="1" thickBot="1" x14ac:dyDescent="0.25">
      <c r="A259" s="186" t="s">
        <v>117</v>
      </c>
      <c r="B259" s="179"/>
      <c r="C259" s="179"/>
      <c r="D259" s="179"/>
      <c r="E259" s="179"/>
      <c r="F259" s="179"/>
      <c r="G259" s="179"/>
    </row>
    <row r="260" spans="1:7" ht="13.5" hidden="1" thickBot="1" x14ac:dyDescent="0.25">
      <c r="A260" s="1530" t="s">
        <v>109</v>
      </c>
      <c r="B260" s="1531"/>
      <c r="C260" s="63" t="s">
        <v>114</v>
      </c>
      <c r="D260" s="63" t="s">
        <v>115</v>
      </c>
      <c r="E260" s="63" t="s">
        <v>116</v>
      </c>
      <c r="F260" s="63" t="s">
        <v>112</v>
      </c>
      <c r="G260" s="115"/>
    </row>
    <row r="261" spans="1:7" hidden="1" x14ac:dyDescent="0.2">
      <c r="A261" s="1540" t="s">
        <v>205</v>
      </c>
      <c r="B261" s="1541"/>
      <c r="C261" s="189" t="s">
        <v>159</v>
      </c>
      <c r="D261" s="130">
        <v>60714.285714285717</v>
      </c>
      <c r="E261" s="200">
        <v>0</v>
      </c>
      <c r="F261" s="135">
        <f>D261*E261</f>
        <v>0</v>
      </c>
      <c r="G261" s="132"/>
    </row>
    <row r="262" spans="1:7" ht="13.5" hidden="1" thickBot="1" x14ac:dyDescent="0.25">
      <c r="A262" s="1542"/>
      <c r="B262" s="1535"/>
      <c r="C262" s="189"/>
      <c r="D262" s="139"/>
      <c r="E262" s="201"/>
      <c r="F262" s="139">
        <f>D262*E262</f>
        <v>0</v>
      </c>
      <c r="G262" s="187"/>
    </row>
    <row r="263" spans="1:7" ht="13.5" hidden="1" thickBot="1" x14ac:dyDescent="0.25">
      <c r="A263" s="1527" t="s">
        <v>125</v>
      </c>
      <c r="B263" s="1528"/>
      <c r="C263" s="1528"/>
      <c r="D263" s="1528"/>
      <c r="E263" s="1528"/>
      <c r="F263" s="1529" t="s">
        <v>113</v>
      </c>
      <c r="G263" s="181">
        <f>SUM(F262:F262)</f>
        <v>0</v>
      </c>
    </row>
    <row r="264" spans="1:7" ht="13.5" hidden="1" thickBot="1" x14ac:dyDescent="0.25">
      <c r="A264" s="186" t="s">
        <v>119</v>
      </c>
      <c r="B264" s="179"/>
      <c r="C264" s="179"/>
      <c r="D264" s="179"/>
      <c r="E264" s="179"/>
      <c r="F264" s="179"/>
      <c r="G264" s="179"/>
    </row>
    <row r="265" spans="1:7" ht="21.75" hidden="1" thickBot="1" x14ac:dyDescent="0.25">
      <c r="A265" s="1530" t="s">
        <v>120</v>
      </c>
      <c r="B265" s="1531"/>
      <c r="C265" s="63" t="s">
        <v>121</v>
      </c>
      <c r="D265" s="63" t="s">
        <v>114</v>
      </c>
      <c r="E265" s="63" t="s">
        <v>116</v>
      </c>
      <c r="F265" s="63" t="s">
        <v>112</v>
      </c>
      <c r="G265" s="121"/>
    </row>
    <row r="266" spans="1:7" hidden="1" x14ac:dyDescent="0.2">
      <c r="A266" s="1532" t="s">
        <v>21</v>
      </c>
      <c r="B266" s="1533"/>
      <c r="C266" s="122">
        <v>7410.9600847008996</v>
      </c>
      <c r="D266" s="198">
        <v>1</v>
      </c>
      <c r="E266" s="198">
        <v>3.5</v>
      </c>
      <c r="F266" s="124">
        <f>+(C266*D266)*E266</f>
        <v>25938.360296453149</v>
      </c>
      <c r="G266" s="132"/>
    </row>
    <row r="267" spans="1:7" ht="13.5" hidden="1" thickBot="1" x14ac:dyDescent="0.25">
      <c r="A267" s="1534" t="s">
        <v>22</v>
      </c>
      <c r="B267" s="1535"/>
      <c r="C267" s="184">
        <v>4374.7823749999998</v>
      </c>
      <c r="D267" s="202">
        <v>1</v>
      </c>
      <c r="E267" s="202">
        <f>+E266</f>
        <v>3.5</v>
      </c>
      <c r="F267" s="182">
        <f>+(C267*D267)*E267</f>
        <v>15311.7383125</v>
      </c>
      <c r="G267" s="140"/>
    </row>
    <row r="268" spans="1:7" ht="13.5" hidden="1" thickBot="1" x14ac:dyDescent="0.25">
      <c r="A268" s="1527" t="str">
        <f>+A263</f>
        <v>SUB-TOTAL</v>
      </c>
      <c r="B268" s="1528"/>
      <c r="C268" s="1528"/>
      <c r="D268" s="1528"/>
      <c r="E268" s="1528"/>
      <c r="F268" s="1529" t="s">
        <v>113</v>
      </c>
      <c r="G268" s="181">
        <f>SUM(F266:F267)</f>
        <v>41250.098608953151</v>
      </c>
    </row>
    <row r="269" spans="1:7" ht="11.25" hidden="1" customHeight="1" thickBot="1" x14ac:dyDescent="0.25">
      <c r="A269" s="179"/>
      <c r="B269" s="179"/>
      <c r="C269" s="179"/>
      <c r="D269" s="179"/>
      <c r="E269" s="179"/>
      <c r="F269" s="180"/>
      <c r="G269" s="179"/>
    </row>
    <row r="270" spans="1:7" ht="13.5" hidden="1" thickBot="1" x14ac:dyDescent="0.25">
      <c r="A270" s="1527" t="s">
        <v>156</v>
      </c>
      <c r="B270" s="1528"/>
      <c r="C270" s="1528"/>
      <c r="D270" s="1528"/>
      <c r="E270" s="1528"/>
      <c r="F270" s="1529"/>
      <c r="G270" s="178">
        <f>ROUND(G250+G258+G263+G268,0)</f>
        <v>143359</v>
      </c>
    </row>
    <row r="271" spans="1:7" hidden="1" x14ac:dyDescent="0.2"/>
    <row r="272" spans="1:7" ht="13.5" hidden="1" thickBot="1" x14ac:dyDescent="0.25"/>
    <row r="273" spans="1:7" ht="27" hidden="1" customHeight="1" x14ac:dyDescent="0.2">
      <c r="A273" s="1548" t="s">
        <v>122</v>
      </c>
      <c r="B273" s="1549"/>
      <c r="C273" s="1550"/>
      <c r="D273" s="50"/>
      <c r="E273" s="50"/>
      <c r="F273" s="50"/>
      <c r="G273" s="98"/>
    </row>
    <row r="274" spans="1:7" ht="24" hidden="1" customHeight="1" thickBot="1" x14ac:dyDescent="0.25">
      <c r="A274" s="1551" t="s">
        <v>935</v>
      </c>
      <c r="B274" s="1552"/>
      <c r="C274" s="1553"/>
      <c r="D274" s="99"/>
      <c r="E274" s="99"/>
      <c r="F274" s="99"/>
      <c r="G274" s="100"/>
    </row>
    <row r="275" spans="1:7" ht="13.5" hidden="1" thickBot="1" x14ac:dyDescent="0.25">
      <c r="A275" s="179"/>
      <c r="B275" s="179"/>
      <c r="C275" s="179"/>
      <c r="D275" s="179"/>
      <c r="E275" s="179"/>
      <c r="F275" s="179"/>
      <c r="G275" s="179"/>
    </row>
    <row r="276" spans="1:7" ht="35.25" hidden="1" customHeight="1" thickBot="1" x14ac:dyDescent="0.25">
      <c r="A276" s="1558" t="s">
        <v>936</v>
      </c>
      <c r="B276" s="1559"/>
      <c r="C276" s="1560"/>
      <c r="D276" s="1565" t="s">
        <v>169</v>
      </c>
      <c r="E276" s="1559"/>
      <c r="F276" s="1559"/>
      <c r="G276" s="1560"/>
    </row>
    <row r="277" spans="1:7" ht="13.5" hidden="1" thickBot="1" x14ac:dyDescent="0.25">
      <c r="A277" s="192"/>
      <c r="B277" s="192"/>
      <c r="C277" s="192"/>
      <c r="D277" s="192"/>
      <c r="E277" s="192"/>
      <c r="F277" s="192"/>
      <c r="G277" s="192"/>
    </row>
    <row r="278" spans="1:7" ht="12.75" hidden="1" customHeight="1" thickBot="1" x14ac:dyDescent="0.25">
      <c r="A278" s="191"/>
      <c r="B278" s="179"/>
      <c r="D278" s="60" t="s">
        <v>124</v>
      </c>
      <c r="E278" s="61" t="s">
        <v>4</v>
      </c>
      <c r="F278" s="191"/>
      <c r="G278" s="191"/>
    </row>
    <row r="279" spans="1:7" ht="13.5" hidden="1" thickBot="1" x14ac:dyDescent="0.25">
      <c r="A279" s="186" t="s">
        <v>108</v>
      </c>
      <c r="B279" s="179"/>
      <c r="C279" s="179"/>
      <c r="D279" s="179"/>
      <c r="E279" s="179"/>
      <c r="F279" s="179"/>
      <c r="G279" s="179"/>
    </row>
    <row r="280" spans="1:7" ht="13.5" hidden="1" customHeight="1" thickBot="1" x14ac:dyDescent="0.25">
      <c r="A280" s="1530" t="s">
        <v>109</v>
      </c>
      <c r="B280" s="1554"/>
      <c r="C280" s="1531"/>
      <c r="D280" s="63" t="s">
        <v>110</v>
      </c>
      <c r="E280" s="63" t="s">
        <v>111</v>
      </c>
      <c r="F280" s="63" t="s">
        <v>112</v>
      </c>
      <c r="G280" s="104"/>
    </row>
    <row r="281" spans="1:7" hidden="1" x14ac:dyDescent="0.2">
      <c r="A281" s="1540" t="s">
        <v>131</v>
      </c>
      <c r="B281" s="1555"/>
      <c r="C281" s="1541"/>
      <c r="D281" s="130">
        <v>2062.5</v>
      </c>
      <c r="E281" s="131">
        <f>+E302</f>
        <v>3.4</v>
      </c>
      <c r="F281" s="130">
        <f>+E281*D281</f>
        <v>7012.5</v>
      </c>
      <c r="G281" s="132"/>
    </row>
    <row r="282" spans="1:7" hidden="1" x14ac:dyDescent="0.2">
      <c r="A282" s="1543" t="s">
        <v>953</v>
      </c>
      <c r="B282" s="1544"/>
      <c r="C282" s="1545" t="s">
        <v>4</v>
      </c>
      <c r="D282" s="135">
        <v>38462</v>
      </c>
      <c r="E282" s="136">
        <v>0.05</v>
      </c>
      <c r="F282" s="135">
        <f>+E282*D282</f>
        <v>1923.1000000000001</v>
      </c>
      <c r="G282" s="137"/>
    </row>
    <row r="283" spans="1:7" hidden="1" x14ac:dyDescent="0.2">
      <c r="A283" s="1543" t="s">
        <v>151</v>
      </c>
      <c r="B283" s="1544"/>
      <c r="C283" s="1545"/>
      <c r="D283" s="135">
        <v>350</v>
      </c>
      <c r="E283" s="136">
        <v>19</v>
      </c>
      <c r="F283" s="135">
        <f>+E283*D283</f>
        <v>6650</v>
      </c>
      <c r="G283" s="137"/>
    </row>
    <row r="284" spans="1:7" hidden="1" x14ac:dyDescent="0.2">
      <c r="A284" s="1543" t="s">
        <v>145</v>
      </c>
      <c r="B284" s="1544"/>
      <c r="C284" s="1545"/>
      <c r="D284" s="135">
        <v>450</v>
      </c>
      <c r="E284" s="136">
        <v>1.7</v>
      </c>
      <c r="F284" s="135">
        <f>+E284*D284</f>
        <v>765</v>
      </c>
      <c r="G284" s="137"/>
    </row>
    <row r="285" spans="1:7" ht="13.5" hidden="1" thickBot="1" x14ac:dyDescent="0.25">
      <c r="A285" s="1542" t="s">
        <v>135</v>
      </c>
      <c r="B285" s="1564"/>
      <c r="C285" s="1535"/>
      <c r="D285" s="139">
        <v>7500</v>
      </c>
      <c r="E285" s="141">
        <v>0.3</v>
      </c>
      <c r="F285" s="139">
        <f>+E285*D285</f>
        <v>2250</v>
      </c>
      <c r="G285" s="140"/>
    </row>
    <row r="286" spans="1:7" ht="13.5" hidden="1" thickBot="1" x14ac:dyDescent="0.25">
      <c r="A286" s="1527" t="s">
        <v>125</v>
      </c>
      <c r="B286" s="1528"/>
      <c r="C286" s="1528"/>
      <c r="D286" s="1528"/>
      <c r="E286" s="1528"/>
      <c r="F286" s="1529"/>
      <c r="G286" s="181">
        <f>SUM(F281:F285)</f>
        <v>18600.599999999999</v>
      </c>
    </row>
    <row r="287" spans="1:7" ht="13.5" hidden="1" thickBot="1" x14ac:dyDescent="0.25">
      <c r="A287" s="186" t="s">
        <v>123</v>
      </c>
      <c r="B287" s="179"/>
      <c r="C287" s="179"/>
      <c r="D287" s="179"/>
      <c r="E287" s="179"/>
      <c r="F287" s="179"/>
      <c r="G287" s="179"/>
    </row>
    <row r="288" spans="1:7" ht="13.5" hidden="1" thickBot="1" x14ac:dyDescent="0.25">
      <c r="A288" s="1530" t="s">
        <v>109</v>
      </c>
      <c r="B288" s="1531"/>
      <c r="C288" s="63" t="s">
        <v>114</v>
      </c>
      <c r="D288" s="63" t="s">
        <v>115</v>
      </c>
      <c r="E288" s="63" t="s">
        <v>116</v>
      </c>
      <c r="F288" s="63" t="s">
        <v>112</v>
      </c>
      <c r="G288" s="104"/>
    </row>
    <row r="289" spans="1:7" hidden="1" x14ac:dyDescent="0.2">
      <c r="A289" s="1546" t="s">
        <v>161</v>
      </c>
      <c r="B289" s="1547"/>
      <c r="C289" s="129" t="s">
        <v>12</v>
      </c>
      <c r="D289" s="130">
        <v>382373</v>
      </c>
      <c r="E289" s="129">
        <v>0.10299999999999999</v>
      </c>
      <c r="F289" s="130">
        <f>+E289*D289</f>
        <v>39384.418999999994</v>
      </c>
      <c r="G289" s="132"/>
    </row>
    <row r="290" spans="1:7" hidden="1" x14ac:dyDescent="0.2">
      <c r="A290" s="1536" t="s">
        <v>954</v>
      </c>
      <c r="B290" s="1537"/>
      <c r="C290" s="134" t="s">
        <v>4</v>
      </c>
      <c r="D290" s="135">
        <v>9500.0000000000018</v>
      </c>
      <c r="E290" s="134">
        <v>0.65</v>
      </c>
      <c r="F290" s="135">
        <f>+E290*D290</f>
        <v>6175.0000000000018</v>
      </c>
      <c r="G290" s="137"/>
    </row>
    <row r="291" spans="1:7" hidden="1" x14ac:dyDescent="0.2">
      <c r="A291" s="1536" t="s">
        <v>47</v>
      </c>
      <c r="B291" s="1537"/>
      <c r="C291" s="134" t="s">
        <v>4</v>
      </c>
      <c r="D291" s="135">
        <v>2500</v>
      </c>
      <c r="E291" s="134">
        <v>1.05</v>
      </c>
      <c r="F291" s="135">
        <f>+E291*D291</f>
        <v>2625</v>
      </c>
      <c r="G291" s="137"/>
    </row>
    <row r="292" spans="1:7" hidden="1" x14ac:dyDescent="0.2">
      <c r="A292" s="1536" t="s">
        <v>162</v>
      </c>
      <c r="B292" s="1537"/>
      <c r="C292" s="134" t="s">
        <v>12</v>
      </c>
      <c r="D292" s="135">
        <v>327865</v>
      </c>
      <c r="E292" s="134">
        <v>0.03</v>
      </c>
      <c r="F292" s="135">
        <f>+E292*D292</f>
        <v>9835.9499999999989</v>
      </c>
      <c r="G292" s="137"/>
    </row>
    <row r="293" spans="1:7" ht="13.5" hidden="1" thickBot="1" x14ac:dyDescent="0.25">
      <c r="A293" s="1538" t="s">
        <v>163</v>
      </c>
      <c r="B293" s="1539"/>
      <c r="C293" s="138" t="s">
        <v>7</v>
      </c>
      <c r="D293" s="139">
        <v>2650</v>
      </c>
      <c r="E293" s="138">
        <v>5</v>
      </c>
      <c r="F293" s="139">
        <f>+E293*D293</f>
        <v>13250</v>
      </c>
      <c r="G293" s="140"/>
    </row>
    <row r="294" spans="1:7" ht="13.5" hidden="1" thickBot="1" x14ac:dyDescent="0.25">
      <c r="A294" s="1527" t="s">
        <v>125</v>
      </c>
      <c r="B294" s="1528"/>
      <c r="C294" s="1528"/>
      <c r="D294" s="1528"/>
      <c r="E294" s="1528"/>
      <c r="F294" s="1529" t="s">
        <v>113</v>
      </c>
      <c r="G294" s="181">
        <f>SUM(F289:F293)</f>
        <v>71270.368999999992</v>
      </c>
    </row>
    <row r="295" spans="1:7" ht="13.5" hidden="1" thickBot="1" x14ac:dyDescent="0.25">
      <c r="A295" s="186" t="s">
        <v>117</v>
      </c>
      <c r="B295" s="179"/>
      <c r="C295" s="179"/>
      <c r="D295" s="179"/>
      <c r="E295" s="179"/>
      <c r="F295" s="179"/>
      <c r="G295" s="179"/>
    </row>
    <row r="296" spans="1:7" ht="13.5" hidden="1" thickBot="1" x14ac:dyDescent="0.25">
      <c r="A296" s="1530" t="s">
        <v>109</v>
      </c>
      <c r="B296" s="1531"/>
      <c r="C296" s="63" t="s">
        <v>114</v>
      </c>
      <c r="D296" s="63" t="s">
        <v>115</v>
      </c>
      <c r="E296" s="63" t="s">
        <v>116</v>
      </c>
      <c r="F296" s="63" t="s">
        <v>112</v>
      </c>
      <c r="G296" s="115"/>
    </row>
    <row r="297" spans="1:7" hidden="1" x14ac:dyDescent="0.2">
      <c r="A297" s="1540" t="s">
        <v>205</v>
      </c>
      <c r="B297" s="1541"/>
      <c r="C297" s="189" t="s">
        <v>159</v>
      </c>
      <c r="D297" s="130">
        <v>60714.285714285717</v>
      </c>
      <c r="E297" s="200">
        <v>0</v>
      </c>
      <c r="F297" s="135">
        <f>D297*E297</f>
        <v>0</v>
      </c>
      <c r="G297" s="132"/>
    </row>
    <row r="298" spans="1:7" ht="13.5" hidden="1" thickBot="1" x14ac:dyDescent="0.25">
      <c r="A298" s="1542"/>
      <c r="B298" s="1535"/>
      <c r="C298" s="189"/>
      <c r="D298" s="139"/>
      <c r="E298" s="201"/>
      <c r="F298" s="139">
        <f>D298*E298</f>
        <v>0</v>
      </c>
      <c r="G298" s="187"/>
    </row>
    <row r="299" spans="1:7" ht="13.5" hidden="1" thickBot="1" x14ac:dyDescent="0.25">
      <c r="A299" s="1527" t="s">
        <v>125</v>
      </c>
      <c r="B299" s="1528"/>
      <c r="C299" s="1528"/>
      <c r="D299" s="1528"/>
      <c r="E299" s="1528"/>
      <c r="F299" s="1529" t="s">
        <v>113</v>
      </c>
      <c r="G299" s="181">
        <f>SUM(F298:F298)</f>
        <v>0</v>
      </c>
    </row>
    <row r="300" spans="1:7" ht="13.5" hidden="1" thickBot="1" x14ac:dyDescent="0.25">
      <c r="A300" s="186" t="s">
        <v>119</v>
      </c>
      <c r="B300" s="179"/>
      <c r="C300" s="179"/>
      <c r="D300" s="179"/>
      <c r="E300" s="179"/>
      <c r="F300" s="179"/>
      <c r="G300" s="179"/>
    </row>
    <row r="301" spans="1:7" ht="21.75" hidden="1" thickBot="1" x14ac:dyDescent="0.25">
      <c r="A301" s="1530" t="s">
        <v>120</v>
      </c>
      <c r="B301" s="1531"/>
      <c r="C301" s="63" t="s">
        <v>121</v>
      </c>
      <c r="D301" s="63" t="s">
        <v>114</v>
      </c>
      <c r="E301" s="63" t="s">
        <v>116</v>
      </c>
      <c r="F301" s="63" t="s">
        <v>112</v>
      </c>
      <c r="G301" s="121"/>
    </row>
    <row r="302" spans="1:7" hidden="1" x14ac:dyDescent="0.2">
      <c r="A302" s="1532" t="s">
        <v>21</v>
      </c>
      <c r="B302" s="1533"/>
      <c r="C302" s="122">
        <v>7410.9600847008996</v>
      </c>
      <c r="D302" s="198">
        <v>1</v>
      </c>
      <c r="E302" s="198">
        <v>3.4</v>
      </c>
      <c r="F302" s="124">
        <f>+(C302*D302)*E302</f>
        <v>25197.264287983056</v>
      </c>
      <c r="G302" s="132"/>
    </row>
    <row r="303" spans="1:7" ht="13.5" hidden="1" thickBot="1" x14ac:dyDescent="0.25">
      <c r="A303" s="1534" t="s">
        <v>22</v>
      </c>
      <c r="B303" s="1535"/>
      <c r="C303" s="184">
        <v>4374.7823749999998</v>
      </c>
      <c r="D303" s="202">
        <v>1</v>
      </c>
      <c r="E303" s="202">
        <f>+E302</f>
        <v>3.4</v>
      </c>
      <c r="F303" s="182">
        <f>+(C303*D303)*E303</f>
        <v>14874.260074999998</v>
      </c>
      <c r="G303" s="140"/>
    </row>
    <row r="304" spans="1:7" ht="13.5" hidden="1" thickBot="1" x14ac:dyDescent="0.25">
      <c r="A304" s="1527" t="str">
        <f>+A299</f>
        <v>SUB-TOTAL</v>
      </c>
      <c r="B304" s="1528"/>
      <c r="C304" s="1528"/>
      <c r="D304" s="1528"/>
      <c r="E304" s="1528"/>
      <c r="F304" s="1529" t="s">
        <v>113</v>
      </c>
      <c r="G304" s="181">
        <f>SUM(F302:F303)</f>
        <v>40071.524362983051</v>
      </c>
    </row>
    <row r="305" spans="1:7" ht="11.25" hidden="1" customHeight="1" thickBot="1" x14ac:dyDescent="0.25">
      <c r="A305" s="179"/>
      <c r="B305" s="179"/>
      <c r="C305" s="179"/>
      <c r="D305" s="179"/>
      <c r="E305" s="179"/>
      <c r="F305" s="180"/>
      <c r="G305" s="179"/>
    </row>
    <row r="306" spans="1:7" ht="13.5" hidden="1" thickBot="1" x14ac:dyDescent="0.25">
      <c r="A306" s="1527" t="s">
        <v>156</v>
      </c>
      <c r="B306" s="1528"/>
      <c r="C306" s="1528"/>
      <c r="D306" s="1528"/>
      <c r="E306" s="1528"/>
      <c r="F306" s="1529"/>
      <c r="G306" s="178">
        <f>ROUND(G286+G294+G299+G304,0)</f>
        <v>129942</v>
      </c>
    </row>
    <row r="307" spans="1:7" hidden="1" x14ac:dyDescent="0.2"/>
    <row r="308" spans="1:7" ht="13.5" hidden="1" thickBot="1" x14ac:dyDescent="0.25"/>
    <row r="309" spans="1:7" ht="27" hidden="1" customHeight="1" x14ac:dyDescent="0.2">
      <c r="A309" s="1548" t="s">
        <v>122</v>
      </c>
      <c r="B309" s="1549"/>
      <c r="C309" s="1550"/>
      <c r="D309" s="50"/>
      <c r="E309" s="50"/>
      <c r="F309" s="50"/>
      <c r="G309" s="98"/>
    </row>
    <row r="310" spans="1:7" ht="24" hidden="1" customHeight="1" thickBot="1" x14ac:dyDescent="0.25">
      <c r="A310" s="1551" t="s">
        <v>935</v>
      </c>
      <c r="B310" s="1552"/>
      <c r="C310" s="1553"/>
      <c r="D310" s="99"/>
      <c r="E310" s="99"/>
      <c r="F310" s="99"/>
      <c r="G310" s="100"/>
    </row>
    <row r="311" spans="1:7" ht="13.5" hidden="1" thickBot="1" x14ac:dyDescent="0.25">
      <c r="A311" s="179"/>
      <c r="B311" s="179"/>
      <c r="C311" s="179"/>
      <c r="D311" s="179"/>
      <c r="E311" s="179"/>
      <c r="F311" s="179"/>
      <c r="G311" s="179"/>
    </row>
    <row r="312" spans="1:7" ht="35.25" hidden="1" customHeight="1" thickBot="1" x14ac:dyDescent="0.25">
      <c r="A312" s="1558" t="s">
        <v>936</v>
      </c>
      <c r="B312" s="1559"/>
      <c r="C312" s="1560"/>
      <c r="D312" s="1565" t="s">
        <v>172</v>
      </c>
      <c r="E312" s="1559"/>
      <c r="F312" s="1559"/>
      <c r="G312" s="1560"/>
    </row>
    <row r="313" spans="1:7" ht="13.5" hidden="1" thickBot="1" x14ac:dyDescent="0.25">
      <c r="A313" s="192"/>
      <c r="B313" s="192"/>
      <c r="C313" s="192"/>
      <c r="D313" s="192"/>
      <c r="E313" s="192"/>
      <c r="F313" s="192"/>
      <c r="G313" s="192"/>
    </row>
    <row r="314" spans="1:7" ht="12.75" hidden="1" customHeight="1" thickBot="1" x14ac:dyDescent="0.25">
      <c r="A314" s="191"/>
      <c r="B314" s="179"/>
      <c r="D314" s="60" t="s">
        <v>124</v>
      </c>
      <c r="E314" s="61" t="s">
        <v>12</v>
      </c>
      <c r="F314" s="191"/>
      <c r="G314" s="191"/>
    </row>
    <row r="315" spans="1:7" ht="13.5" hidden="1" thickBot="1" x14ac:dyDescent="0.25">
      <c r="A315" s="186" t="s">
        <v>108</v>
      </c>
      <c r="B315" s="179"/>
      <c r="C315" s="179"/>
      <c r="D315" s="179"/>
      <c r="E315" s="179"/>
      <c r="F315" s="179"/>
      <c r="G315" s="179"/>
    </row>
    <row r="316" spans="1:7" ht="13.5" hidden="1" customHeight="1" thickBot="1" x14ac:dyDescent="0.25">
      <c r="A316" s="1530" t="s">
        <v>109</v>
      </c>
      <c r="B316" s="1554"/>
      <c r="C316" s="1531"/>
      <c r="D316" s="63" t="s">
        <v>110</v>
      </c>
      <c r="E316" s="63" t="s">
        <v>111</v>
      </c>
      <c r="F316" s="63" t="s">
        <v>112</v>
      </c>
      <c r="G316" s="104"/>
    </row>
    <row r="317" spans="1:7" hidden="1" x14ac:dyDescent="0.2">
      <c r="A317" s="1540" t="s">
        <v>131</v>
      </c>
      <c r="B317" s="1555"/>
      <c r="C317" s="1541"/>
      <c r="D317" s="130">
        <v>2062.5</v>
      </c>
      <c r="E317" s="131">
        <f>+E335</f>
        <v>15</v>
      </c>
      <c r="F317" s="130">
        <f>+E317*D317</f>
        <v>30937.5</v>
      </c>
      <c r="G317" s="132"/>
    </row>
    <row r="318" spans="1:7" hidden="1" x14ac:dyDescent="0.2">
      <c r="A318" s="1543" t="s">
        <v>150</v>
      </c>
      <c r="B318" s="1544"/>
      <c r="C318" s="1545" t="s">
        <v>4</v>
      </c>
      <c r="D318" s="135">
        <v>12970</v>
      </c>
      <c r="E318" s="136">
        <f>1/0.15</f>
        <v>6.666666666666667</v>
      </c>
      <c r="F318" s="135">
        <f>+E318*D318</f>
        <v>86466.666666666672</v>
      </c>
      <c r="G318" s="137"/>
    </row>
    <row r="319" spans="1:7" ht="13.5" hidden="1" thickBot="1" x14ac:dyDescent="0.25">
      <c r="A319" s="1542" t="s">
        <v>135</v>
      </c>
      <c r="B319" s="1564"/>
      <c r="C319" s="1535"/>
      <c r="D319" s="139">
        <v>7500</v>
      </c>
      <c r="E319" s="141">
        <f>0.3/0.15</f>
        <v>2</v>
      </c>
      <c r="F319" s="139">
        <f>+E319*D319</f>
        <v>15000</v>
      </c>
      <c r="G319" s="140"/>
    </row>
    <row r="320" spans="1:7" ht="13.5" hidden="1" thickBot="1" x14ac:dyDescent="0.25">
      <c r="A320" s="1527" t="s">
        <v>125</v>
      </c>
      <c r="B320" s="1528"/>
      <c r="C320" s="1528"/>
      <c r="D320" s="1528"/>
      <c r="E320" s="1528"/>
      <c r="F320" s="1529"/>
      <c r="G320" s="181">
        <f>SUM(F317:F319)</f>
        <v>132404.16666666669</v>
      </c>
    </row>
    <row r="321" spans="1:7" ht="13.5" hidden="1" thickBot="1" x14ac:dyDescent="0.25">
      <c r="A321" s="186" t="s">
        <v>123</v>
      </c>
      <c r="B321" s="179"/>
      <c r="C321" s="179"/>
      <c r="D321" s="179"/>
      <c r="E321" s="179"/>
      <c r="F321" s="179"/>
      <c r="G321" s="179"/>
    </row>
    <row r="322" spans="1:7" ht="13.5" hidden="1" thickBot="1" x14ac:dyDescent="0.25">
      <c r="A322" s="1530" t="s">
        <v>109</v>
      </c>
      <c r="B322" s="1531"/>
      <c r="C322" s="63" t="s">
        <v>114</v>
      </c>
      <c r="D322" s="63" t="s">
        <v>115</v>
      </c>
      <c r="E322" s="63" t="s">
        <v>116</v>
      </c>
      <c r="F322" s="63" t="s">
        <v>112</v>
      </c>
      <c r="G322" s="104"/>
    </row>
    <row r="323" spans="1:7" hidden="1" x14ac:dyDescent="0.2">
      <c r="A323" s="1546" t="s">
        <v>161</v>
      </c>
      <c r="B323" s="1547"/>
      <c r="C323" s="129" t="s">
        <v>12</v>
      </c>
      <c r="D323" s="130">
        <v>382373</v>
      </c>
      <c r="E323" s="129">
        <v>1.03</v>
      </c>
      <c r="F323" s="130">
        <f>+E323*D323</f>
        <v>393844.19</v>
      </c>
      <c r="G323" s="132"/>
    </row>
    <row r="324" spans="1:7" hidden="1" x14ac:dyDescent="0.2">
      <c r="A324" s="1536" t="s">
        <v>104</v>
      </c>
      <c r="B324" s="1537"/>
      <c r="C324" s="134" t="s">
        <v>105</v>
      </c>
      <c r="D324" s="135">
        <v>40</v>
      </c>
      <c r="E324" s="134">
        <v>50</v>
      </c>
      <c r="F324" s="135">
        <f>+E324*D324</f>
        <v>2000</v>
      </c>
      <c r="G324" s="137"/>
    </row>
    <row r="325" spans="1:7" hidden="1" x14ac:dyDescent="0.2">
      <c r="A325" s="1536"/>
      <c r="B325" s="1537"/>
      <c r="C325" s="134"/>
      <c r="D325" s="135"/>
      <c r="E325" s="134"/>
      <c r="F325" s="135"/>
      <c r="G325" s="137"/>
    </row>
    <row r="326" spans="1:7" ht="13.5" hidden="1" thickBot="1" x14ac:dyDescent="0.25">
      <c r="A326" s="1538"/>
      <c r="B326" s="1539"/>
      <c r="C326" s="138"/>
      <c r="D326" s="139"/>
      <c r="E326" s="138"/>
      <c r="F326" s="139"/>
      <c r="G326" s="140"/>
    </row>
    <row r="327" spans="1:7" ht="13.5" hidden="1" thickBot="1" x14ac:dyDescent="0.25">
      <c r="A327" s="1527" t="s">
        <v>125</v>
      </c>
      <c r="B327" s="1528"/>
      <c r="C327" s="1528"/>
      <c r="D327" s="1528"/>
      <c r="E327" s="1528"/>
      <c r="F327" s="1529" t="s">
        <v>113</v>
      </c>
      <c r="G327" s="181">
        <f>SUM(F323:F326)</f>
        <v>395844.19</v>
      </c>
    </row>
    <row r="328" spans="1:7" ht="13.5" hidden="1" thickBot="1" x14ac:dyDescent="0.25">
      <c r="A328" s="186" t="s">
        <v>117</v>
      </c>
      <c r="B328" s="179"/>
      <c r="C328" s="179"/>
      <c r="D328" s="179"/>
      <c r="E328" s="179"/>
      <c r="F328" s="179"/>
      <c r="G328" s="179"/>
    </row>
    <row r="329" spans="1:7" ht="13.5" hidden="1" thickBot="1" x14ac:dyDescent="0.25">
      <c r="A329" s="1530" t="s">
        <v>109</v>
      </c>
      <c r="B329" s="1531"/>
      <c r="C329" s="63" t="s">
        <v>114</v>
      </c>
      <c r="D329" s="63" t="s">
        <v>115</v>
      </c>
      <c r="E329" s="63" t="s">
        <v>116</v>
      </c>
      <c r="F329" s="63" t="s">
        <v>112</v>
      </c>
      <c r="G329" s="115"/>
    </row>
    <row r="330" spans="1:7" hidden="1" x14ac:dyDescent="0.2">
      <c r="A330" s="1540" t="s">
        <v>205</v>
      </c>
      <c r="B330" s="1541"/>
      <c r="C330" s="189" t="s">
        <v>159</v>
      </c>
      <c r="D330" s="130">
        <v>60714.285714285717</v>
      </c>
      <c r="E330" s="200">
        <v>0</v>
      </c>
      <c r="F330" s="135">
        <f>D330*E330</f>
        <v>0</v>
      </c>
      <c r="G330" s="132"/>
    </row>
    <row r="331" spans="1:7" ht="13.5" hidden="1" thickBot="1" x14ac:dyDescent="0.25">
      <c r="A331" s="1542"/>
      <c r="B331" s="1535"/>
      <c r="C331" s="189"/>
      <c r="D331" s="139"/>
      <c r="E331" s="201"/>
      <c r="F331" s="139">
        <f>D331*E331</f>
        <v>0</v>
      </c>
      <c r="G331" s="187"/>
    </row>
    <row r="332" spans="1:7" ht="13.5" hidden="1" thickBot="1" x14ac:dyDescent="0.25">
      <c r="A332" s="1527" t="s">
        <v>125</v>
      </c>
      <c r="B332" s="1528"/>
      <c r="C332" s="1528"/>
      <c r="D332" s="1528"/>
      <c r="E332" s="1528"/>
      <c r="F332" s="1529" t="s">
        <v>113</v>
      </c>
      <c r="G332" s="181">
        <f>SUM(F331:F331)</f>
        <v>0</v>
      </c>
    </row>
    <row r="333" spans="1:7" ht="13.5" hidden="1" thickBot="1" x14ac:dyDescent="0.25">
      <c r="A333" s="186" t="s">
        <v>119</v>
      </c>
      <c r="B333" s="179"/>
      <c r="C333" s="179"/>
      <c r="D333" s="179"/>
      <c r="E333" s="179"/>
      <c r="F333" s="179"/>
      <c r="G333" s="179"/>
    </row>
    <row r="334" spans="1:7" ht="21.75" hidden="1" thickBot="1" x14ac:dyDescent="0.25">
      <c r="A334" s="1530" t="s">
        <v>120</v>
      </c>
      <c r="B334" s="1531"/>
      <c r="C334" s="63" t="s">
        <v>121</v>
      </c>
      <c r="D334" s="63" t="s">
        <v>114</v>
      </c>
      <c r="E334" s="63" t="s">
        <v>116</v>
      </c>
      <c r="F334" s="63" t="s">
        <v>112</v>
      </c>
      <c r="G334" s="121"/>
    </row>
    <row r="335" spans="1:7" hidden="1" x14ac:dyDescent="0.2">
      <c r="A335" s="1532" t="s">
        <v>21</v>
      </c>
      <c r="B335" s="1533"/>
      <c r="C335" s="122">
        <v>7410.9600847008996</v>
      </c>
      <c r="D335" s="198">
        <v>1</v>
      </c>
      <c r="E335" s="198">
        <v>15</v>
      </c>
      <c r="F335" s="124">
        <f>+(C335*D335)*E335</f>
        <v>111164.4012705135</v>
      </c>
      <c r="G335" s="132"/>
    </row>
    <row r="336" spans="1:7" ht="13.5" hidden="1" thickBot="1" x14ac:dyDescent="0.25">
      <c r="A336" s="1534" t="s">
        <v>22</v>
      </c>
      <c r="B336" s="1535"/>
      <c r="C336" s="184">
        <v>4374.7823749999998</v>
      </c>
      <c r="D336" s="202">
        <v>1</v>
      </c>
      <c r="E336" s="202">
        <f>+E335</f>
        <v>15</v>
      </c>
      <c r="F336" s="182">
        <f>+(C336*D336)*E336</f>
        <v>65621.735625000001</v>
      </c>
      <c r="G336" s="140"/>
    </row>
    <row r="337" spans="1:7" ht="13.5" hidden="1" thickBot="1" x14ac:dyDescent="0.25">
      <c r="A337" s="1527" t="str">
        <f>+A332</f>
        <v>SUB-TOTAL</v>
      </c>
      <c r="B337" s="1528"/>
      <c r="C337" s="1528"/>
      <c r="D337" s="1528"/>
      <c r="E337" s="1528"/>
      <c r="F337" s="1529" t="s">
        <v>113</v>
      </c>
      <c r="G337" s="181">
        <f>SUM(F335:F336)</f>
        <v>176786.13689551351</v>
      </c>
    </row>
    <row r="338" spans="1:7" ht="11.25" hidden="1" customHeight="1" thickBot="1" x14ac:dyDescent="0.25">
      <c r="A338" s="179"/>
      <c r="B338" s="179"/>
      <c r="C338" s="179"/>
      <c r="D338" s="179"/>
      <c r="E338" s="179"/>
      <c r="F338" s="180"/>
      <c r="G338" s="179"/>
    </row>
    <row r="339" spans="1:7" ht="13.5" hidden="1" thickBot="1" x14ac:dyDescent="0.25">
      <c r="A339" s="1527" t="s">
        <v>156</v>
      </c>
      <c r="B339" s="1528"/>
      <c r="C339" s="1528"/>
      <c r="D339" s="1528"/>
      <c r="E339" s="1528"/>
      <c r="F339" s="1529"/>
      <c r="G339" s="178">
        <f>ROUND(G320+G327+G332+G337,0)</f>
        <v>705034</v>
      </c>
    </row>
    <row r="340" spans="1:7" hidden="1" x14ac:dyDescent="0.2"/>
    <row r="341" spans="1:7" ht="13.5" hidden="1" thickBot="1" x14ac:dyDescent="0.25"/>
    <row r="342" spans="1:7" ht="27" hidden="1" customHeight="1" x14ac:dyDescent="0.2">
      <c r="A342" s="1548" t="s">
        <v>122</v>
      </c>
      <c r="B342" s="1549"/>
      <c r="C342" s="1550"/>
      <c r="D342" s="50"/>
      <c r="E342" s="50"/>
      <c r="F342" s="50"/>
      <c r="G342" s="98"/>
    </row>
    <row r="343" spans="1:7" ht="24" hidden="1" customHeight="1" thickBot="1" x14ac:dyDescent="0.25">
      <c r="A343" s="1551" t="s">
        <v>935</v>
      </c>
      <c r="B343" s="1552"/>
      <c r="C343" s="1553"/>
      <c r="D343" s="99"/>
      <c r="E343" s="99"/>
      <c r="F343" s="99"/>
      <c r="G343" s="100"/>
    </row>
    <row r="344" spans="1:7" ht="13.5" hidden="1" thickBot="1" x14ac:dyDescent="0.25">
      <c r="A344" s="179"/>
      <c r="B344" s="179"/>
      <c r="C344" s="179"/>
      <c r="D344" s="179"/>
      <c r="E344" s="179"/>
      <c r="F344" s="179"/>
      <c r="G344" s="179"/>
    </row>
    <row r="345" spans="1:7" ht="35.25" hidden="1" customHeight="1" thickBot="1" x14ac:dyDescent="0.25">
      <c r="A345" s="1558" t="s">
        <v>936</v>
      </c>
      <c r="B345" s="1559"/>
      <c r="C345" s="1560"/>
      <c r="D345" s="1565" t="s">
        <v>173</v>
      </c>
      <c r="E345" s="1559"/>
      <c r="F345" s="1559"/>
      <c r="G345" s="1560"/>
    </row>
    <row r="346" spans="1:7" ht="13.5" hidden="1" thickBot="1" x14ac:dyDescent="0.25">
      <c r="A346" s="192"/>
      <c r="B346" s="192"/>
      <c r="C346" s="192"/>
      <c r="D346" s="192"/>
      <c r="E346" s="192"/>
      <c r="F346" s="192"/>
      <c r="G346" s="192"/>
    </row>
    <row r="347" spans="1:7" ht="12.75" hidden="1" customHeight="1" thickBot="1" x14ac:dyDescent="0.25">
      <c r="A347" s="191"/>
      <c r="B347" s="179"/>
      <c r="D347" s="60" t="s">
        <v>124</v>
      </c>
      <c r="E347" s="61" t="s">
        <v>4</v>
      </c>
      <c r="F347" s="191"/>
      <c r="G347" s="191"/>
    </row>
    <row r="348" spans="1:7" ht="13.5" hidden="1" thickBot="1" x14ac:dyDescent="0.25">
      <c r="A348" s="186" t="s">
        <v>108</v>
      </c>
      <c r="B348" s="179"/>
      <c r="C348" s="179"/>
      <c r="D348" s="179"/>
      <c r="E348" s="179"/>
      <c r="F348" s="179"/>
      <c r="G348" s="179"/>
    </row>
    <row r="349" spans="1:7" ht="13.5" hidden="1" customHeight="1" thickBot="1" x14ac:dyDescent="0.25">
      <c r="A349" s="1530" t="s">
        <v>109</v>
      </c>
      <c r="B349" s="1554"/>
      <c r="C349" s="1531"/>
      <c r="D349" s="63" t="s">
        <v>110</v>
      </c>
      <c r="E349" s="63" t="s">
        <v>111</v>
      </c>
      <c r="F349" s="63" t="s">
        <v>112</v>
      </c>
      <c r="G349" s="104"/>
    </row>
    <row r="350" spans="1:7" hidden="1" x14ac:dyDescent="0.2">
      <c r="A350" s="1540" t="s">
        <v>131</v>
      </c>
      <c r="B350" s="1555"/>
      <c r="C350" s="1541"/>
      <c r="D350" s="130">
        <v>2062.5</v>
      </c>
      <c r="E350" s="131">
        <f>+E368</f>
        <v>0.96</v>
      </c>
      <c r="F350" s="130">
        <f>+E350*D350</f>
        <v>1980</v>
      </c>
      <c r="G350" s="132"/>
    </row>
    <row r="351" spans="1:7" hidden="1" x14ac:dyDescent="0.2">
      <c r="A351" s="1543" t="s">
        <v>150</v>
      </c>
      <c r="B351" s="1544"/>
      <c r="C351" s="1545" t="s">
        <v>4</v>
      </c>
      <c r="D351" s="135">
        <v>12970</v>
      </c>
      <c r="E351" s="136">
        <v>1</v>
      </c>
      <c r="F351" s="135">
        <f>+E351*D351</f>
        <v>12970</v>
      </c>
      <c r="G351" s="137"/>
    </row>
    <row r="352" spans="1:7" ht="13.5" hidden="1" thickBot="1" x14ac:dyDescent="0.25">
      <c r="A352" s="1542" t="s">
        <v>135</v>
      </c>
      <c r="B352" s="1564"/>
      <c r="C352" s="1535"/>
      <c r="D352" s="139">
        <v>7500</v>
      </c>
      <c r="E352" s="141">
        <f>8*0.07</f>
        <v>0.56000000000000005</v>
      </c>
      <c r="F352" s="139">
        <f>+E352*D352</f>
        <v>4200</v>
      </c>
      <c r="G352" s="140"/>
    </row>
    <row r="353" spans="1:7" ht="13.5" hidden="1" thickBot="1" x14ac:dyDescent="0.25">
      <c r="A353" s="1527" t="s">
        <v>125</v>
      </c>
      <c r="B353" s="1528"/>
      <c r="C353" s="1528"/>
      <c r="D353" s="1528"/>
      <c r="E353" s="1528"/>
      <c r="F353" s="1529"/>
      <c r="G353" s="181">
        <f>SUM(F350:F352)</f>
        <v>19150</v>
      </c>
    </row>
    <row r="354" spans="1:7" ht="13.5" hidden="1" thickBot="1" x14ac:dyDescent="0.25">
      <c r="A354" s="186" t="s">
        <v>123</v>
      </c>
      <c r="B354" s="179"/>
      <c r="C354" s="179"/>
      <c r="D354" s="179"/>
      <c r="E354" s="179"/>
      <c r="F354" s="179"/>
      <c r="G354" s="179"/>
    </row>
    <row r="355" spans="1:7" ht="13.5" hidden="1" thickBot="1" x14ac:dyDescent="0.25">
      <c r="A355" s="1530" t="s">
        <v>109</v>
      </c>
      <c r="B355" s="1531"/>
      <c r="C355" s="63" t="s">
        <v>114</v>
      </c>
      <c r="D355" s="63" t="s">
        <v>115</v>
      </c>
      <c r="E355" s="63" t="s">
        <v>116</v>
      </c>
      <c r="F355" s="63" t="s">
        <v>112</v>
      </c>
      <c r="G355" s="104"/>
    </row>
    <row r="356" spans="1:7" hidden="1" x14ac:dyDescent="0.2">
      <c r="A356" s="1546" t="s">
        <v>161</v>
      </c>
      <c r="B356" s="1547"/>
      <c r="C356" s="129" t="s">
        <v>12</v>
      </c>
      <c r="D356" s="130">
        <v>382373</v>
      </c>
      <c r="E356" s="129">
        <v>9.2999999999999999E-2</v>
      </c>
      <c r="F356" s="130">
        <f>+E356*D356</f>
        <v>35560.688999999998</v>
      </c>
      <c r="G356" s="132"/>
    </row>
    <row r="357" spans="1:7" hidden="1" x14ac:dyDescent="0.2">
      <c r="A357" s="1536" t="s">
        <v>59</v>
      </c>
      <c r="B357" s="1537"/>
      <c r="C357" s="134" t="s">
        <v>4</v>
      </c>
      <c r="D357" s="135">
        <v>36150</v>
      </c>
      <c r="E357" s="134">
        <v>1.03</v>
      </c>
      <c r="F357" s="135">
        <f>+E357*D357</f>
        <v>37234.5</v>
      </c>
      <c r="G357" s="137"/>
    </row>
    <row r="358" spans="1:7" hidden="1" x14ac:dyDescent="0.2">
      <c r="A358" s="1536" t="s">
        <v>174</v>
      </c>
      <c r="B358" s="1537"/>
      <c r="C358" s="134" t="s">
        <v>160</v>
      </c>
      <c r="D358" s="135">
        <v>2650</v>
      </c>
      <c r="E358" s="134">
        <v>1</v>
      </c>
      <c r="F358" s="135">
        <f>+E358*D358</f>
        <v>2650</v>
      </c>
      <c r="G358" s="137"/>
    </row>
    <row r="359" spans="1:7" ht="13.5" hidden="1" thickBot="1" x14ac:dyDescent="0.25">
      <c r="A359" s="1538" t="s">
        <v>939</v>
      </c>
      <c r="B359" s="1539"/>
      <c r="C359" s="138" t="s">
        <v>4</v>
      </c>
      <c r="D359" s="139">
        <v>5500</v>
      </c>
      <c r="E359" s="138">
        <v>1.05</v>
      </c>
      <c r="F359" s="139">
        <f>+E359*D359</f>
        <v>5775</v>
      </c>
      <c r="G359" s="140"/>
    </row>
    <row r="360" spans="1:7" ht="13.5" hidden="1" thickBot="1" x14ac:dyDescent="0.25">
      <c r="A360" s="1527" t="s">
        <v>125</v>
      </c>
      <c r="B360" s="1528"/>
      <c r="C360" s="1528"/>
      <c r="D360" s="1528"/>
      <c r="E360" s="1528"/>
      <c r="F360" s="1529" t="s">
        <v>113</v>
      </c>
      <c r="G360" s="181">
        <f>SUM(F356:F359)</f>
        <v>81220.188999999998</v>
      </c>
    </row>
    <row r="361" spans="1:7" ht="13.5" hidden="1" thickBot="1" x14ac:dyDescent="0.25">
      <c r="A361" s="186" t="s">
        <v>117</v>
      </c>
      <c r="B361" s="179"/>
      <c r="C361" s="179"/>
      <c r="D361" s="179"/>
      <c r="E361" s="179"/>
      <c r="F361" s="179"/>
      <c r="G361" s="179"/>
    </row>
    <row r="362" spans="1:7" ht="13.5" hidden="1" thickBot="1" x14ac:dyDescent="0.25">
      <c r="A362" s="1530" t="s">
        <v>109</v>
      </c>
      <c r="B362" s="1531"/>
      <c r="C362" s="63" t="s">
        <v>114</v>
      </c>
      <c r="D362" s="63" t="s">
        <v>115</v>
      </c>
      <c r="E362" s="63" t="s">
        <v>116</v>
      </c>
      <c r="F362" s="63" t="s">
        <v>112</v>
      </c>
      <c r="G362" s="115"/>
    </row>
    <row r="363" spans="1:7" hidden="1" x14ac:dyDescent="0.2">
      <c r="A363" s="1540" t="s">
        <v>205</v>
      </c>
      <c r="B363" s="1541"/>
      <c r="C363" s="189" t="s">
        <v>159</v>
      </c>
      <c r="D363" s="130">
        <v>60714.285714285717</v>
      </c>
      <c r="E363" s="200">
        <v>0</v>
      </c>
      <c r="F363" s="135">
        <f>D363*E363</f>
        <v>0</v>
      </c>
      <c r="G363" s="132"/>
    </row>
    <row r="364" spans="1:7" ht="13.5" hidden="1" thickBot="1" x14ac:dyDescent="0.25">
      <c r="A364" s="1542"/>
      <c r="B364" s="1535"/>
      <c r="C364" s="189"/>
      <c r="D364" s="139"/>
      <c r="E364" s="201"/>
      <c r="F364" s="139">
        <f>D364*E364</f>
        <v>0</v>
      </c>
      <c r="G364" s="187"/>
    </row>
    <row r="365" spans="1:7" ht="13.5" hidden="1" thickBot="1" x14ac:dyDescent="0.25">
      <c r="A365" s="1527" t="s">
        <v>125</v>
      </c>
      <c r="B365" s="1528"/>
      <c r="C365" s="1528"/>
      <c r="D365" s="1528"/>
      <c r="E365" s="1528"/>
      <c r="F365" s="1529" t="s">
        <v>113</v>
      </c>
      <c r="G365" s="181">
        <f>SUM(F364:F364)</f>
        <v>0</v>
      </c>
    </row>
    <row r="366" spans="1:7" ht="13.5" hidden="1" thickBot="1" x14ac:dyDescent="0.25">
      <c r="A366" s="186" t="s">
        <v>119</v>
      </c>
      <c r="B366" s="179"/>
      <c r="C366" s="179"/>
      <c r="D366" s="179"/>
      <c r="E366" s="179"/>
      <c r="F366" s="179"/>
      <c r="G366" s="179"/>
    </row>
    <row r="367" spans="1:7" ht="21.75" hidden="1" thickBot="1" x14ac:dyDescent="0.25">
      <c r="A367" s="1530" t="s">
        <v>120</v>
      </c>
      <c r="B367" s="1531"/>
      <c r="C367" s="63" t="s">
        <v>121</v>
      </c>
      <c r="D367" s="63" t="s">
        <v>114</v>
      </c>
      <c r="E367" s="63" t="s">
        <v>116</v>
      </c>
      <c r="F367" s="63" t="s">
        <v>112</v>
      </c>
      <c r="G367" s="121"/>
    </row>
    <row r="368" spans="1:7" hidden="1" x14ac:dyDescent="0.2">
      <c r="A368" s="1532" t="s">
        <v>21</v>
      </c>
      <c r="B368" s="1533"/>
      <c r="C368" s="122">
        <v>7410.9600847008996</v>
      </c>
      <c r="D368" s="198">
        <v>1</v>
      </c>
      <c r="E368" s="198">
        <v>0.96</v>
      </c>
      <c r="F368" s="124">
        <f>+(C368*D368)*E368</f>
        <v>7114.5216813128636</v>
      </c>
      <c r="G368" s="132"/>
    </row>
    <row r="369" spans="1:7" ht="13.5" hidden="1" thickBot="1" x14ac:dyDescent="0.25">
      <c r="A369" s="1534" t="s">
        <v>22</v>
      </c>
      <c r="B369" s="1535"/>
      <c r="C369" s="184">
        <v>4374.7823749999998</v>
      </c>
      <c r="D369" s="202">
        <v>1</v>
      </c>
      <c r="E369" s="202">
        <f>+E368</f>
        <v>0.96</v>
      </c>
      <c r="F369" s="182">
        <f>+(C369*D369)*E369</f>
        <v>4199.79108</v>
      </c>
      <c r="G369" s="140"/>
    </row>
    <row r="370" spans="1:7" ht="13.5" hidden="1" thickBot="1" x14ac:dyDescent="0.25">
      <c r="A370" s="1527" t="str">
        <f>+A365</f>
        <v>SUB-TOTAL</v>
      </c>
      <c r="B370" s="1528"/>
      <c r="C370" s="1528"/>
      <c r="D370" s="1528"/>
      <c r="E370" s="1528"/>
      <c r="F370" s="1529" t="s">
        <v>113</v>
      </c>
      <c r="G370" s="181">
        <f>SUM(F368:F369)</f>
        <v>11314.312761312864</v>
      </c>
    </row>
    <row r="371" spans="1:7" ht="11.25" hidden="1" customHeight="1" thickBot="1" x14ac:dyDescent="0.25">
      <c r="A371" s="179"/>
      <c r="B371" s="179"/>
      <c r="C371" s="179"/>
      <c r="D371" s="179"/>
      <c r="E371" s="179"/>
      <c r="F371" s="180"/>
      <c r="G371" s="179"/>
    </row>
    <row r="372" spans="1:7" ht="13.5" hidden="1" thickBot="1" x14ac:dyDescent="0.25">
      <c r="A372" s="1527" t="s">
        <v>156</v>
      </c>
      <c r="B372" s="1528"/>
      <c r="C372" s="1528"/>
      <c r="D372" s="1528"/>
      <c r="E372" s="1528"/>
      <c r="F372" s="1529"/>
      <c r="G372" s="178">
        <f>ROUND(G353+G360+G365+G370,0)</f>
        <v>111685</v>
      </c>
    </row>
    <row r="373" spans="1:7" hidden="1" x14ac:dyDescent="0.2"/>
    <row r="374" spans="1:7" ht="13.5" hidden="1" thickBot="1" x14ac:dyDescent="0.25"/>
    <row r="375" spans="1:7" ht="27" hidden="1" customHeight="1" x14ac:dyDescent="0.2">
      <c r="A375" s="1548" t="s">
        <v>122</v>
      </c>
      <c r="B375" s="1549"/>
      <c r="C375" s="1550"/>
      <c r="D375" s="50"/>
      <c r="E375" s="50"/>
      <c r="F375" s="50"/>
      <c r="G375" s="98"/>
    </row>
    <row r="376" spans="1:7" ht="24" hidden="1" customHeight="1" thickBot="1" x14ac:dyDescent="0.25">
      <c r="A376" s="1551" t="s">
        <v>935</v>
      </c>
      <c r="B376" s="1552"/>
      <c r="C376" s="1553"/>
      <c r="D376" s="99"/>
      <c r="E376" s="99"/>
      <c r="F376" s="99"/>
      <c r="G376" s="100"/>
    </row>
    <row r="377" spans="1:7" ht="13.5" hidden="1" thickBot="1" x14ac:dyDescent="0.25">
      <c r="A377" s="179"/>
      <c r="B377" s="179"/>
      <c r="C377" s="179"/>
      <c r="D377" s="179"/>
      <c r="E377" s="179"/>
      <c r="F377" s="179"/>
      <c r="G377" s="179"/>
    </row>
    <row r="378" spans="1:7" ht="30.75" hidden="1" customHeight="1" thickBot="1" x14ac:dyDescent="0.25">
      <c r="A378" s="1558" t="s">
        <v>936</v>
      </c>
      <c r="B378" s="1559"/>
      <c r="C378" s="1560"/>
      <c r="D378" s="1565" t="s">
        <v>175</v>
      </c>
      <c r="E378" s="1559"/>
      <c r="F378" s="1559"/>
      <c r="G378" s="1560"/>
    </row>
    <row r="379" spans="1:7" ht="13.5" hidden="1" thickBot="1" x14ac:dyDescent="0.25">
      <c r="A379" s="192"/>
      <c r="B379" s="192"/>
      <c r="C379" s="192"/>
      <c r="D379" s="192"/>
      <c r="E379" s="192"/>
      <c r="F379" s="192"/>
      <c r="G379" s="192"/>
    </row>
    <row r="380" spans="1:7" ht="12.75" hidden="1" customHeight="1" thickBot="1" x14ac:dyDescent="0.25">
      <c r="A380" s="191"/>
      <c r="B380" s="179"/>
      <c r="D380" s="60" t="s">
        <v>124</v>
      </c>
      <c r="E380" s="61" t="s">
        <v>6</v>
      </c>
      <c r="F380" s="191"/>
      <c r="G380" s="191"/>
    </row>
    <row r="381" spans="1:7" ht="13.5" hidden="1" thickBot="1" x14ac:dyDescent="0.25">
      <c r="A381" s="186" t="s">
        <v>108</v>
      </c>
      <c r="B381" s="179"/>
      <c r="C381" s="179"/>
      <c r="D381" s="179"/>
      <c r="E381" s="179"/>
      <c r="F381" s="179"/>
      <c r="G381" s="179"/>
    </row>
    <row r="382" spans="1:7" ht="13.5" hidden="1" customHeight="1" thickBot="1" x14ac:dyDescent="0.25">
      <c r="A382" s="1530" t="s">
        <v>109</v>
      </c>
      <c r="B382" s="1554"/>
      <c r="C382" s="1531"/>
      <c r="D382" s="63" t="s">
        <v>110</v>
      </c>
      <c r="E382" s="63" t="s">
        <v>111</v>
      </c>
      <c r="F382" s="63" t="s">
        <v>112</v>
      </c>
      <c r="G382" s="104"/>
    </row>
    <row r="383" spans="1:7" hidden="1" x14ac:dyDescent="0.2">
      <c r="A383" s="1540" t="s">
        <v>131</v>
      </c>
      <c r="B383" s="1555"/>
      <c r="C383" s="1541"/>
      <c r="D383" s="130">
        <v>2062.5</v>
      </c>
      <c r="E383" s="131">
        <f>+E400</f>
        <v>0.9</v>
      </c>
      <c r="F383" s="130">
        <f>+E383*D383</f>
        <v>1856.25</v>
      </c>
      <c r="G383" s="132"/>
    </row>
    <row r="384" spans="1:7" ht="13.5" hidden="1" thickBot="1" x14ac:dyDescent="0.25">
      <c r="A384" s="1542" t="s">
        <v>953</v>
      </c>
      <c r="B384" s="1564"/>
      <c r="C384" s="1535" t="s">
        <v>4</v>
      </c>
      <c r="D384" s="139">
        <v>38462</v>
      </c>
      <c r="E384" s="141">
        <v>0.03</v>
      </c>
      <c r="F384" s="139">
        <f>+E384*D384</f>
        <v>1153.8599999999999</v>
      </c>
      <c r="G384" s="140"/>
    </row>
    <row r="385" spans="1:7" ht="13.5" hidden="1" thickBot="1" x14ac:dyDescent="0.25">
      <c r="A385" s="1527" t="s">
        <v>125</v>
      </c>
      <c r="B385" s="1528"/>
      <c r="C385" s="1528"/>
      <c r="D385" s="1528"/>
      <c r="E385" s="1528"/>
      <c r="F385" s="1529"/>
      <c r="G385" s="181">
        <f>SUM(F383:F384)</f>
        <v>3010.1099999999997</v>
      </c>
    </row>
    <row r="386" spans="1:7" ht="13.5" hidden="1" thickBot="1" x14ac:dyDescent="0.25">
      <c r="A386" s="186" t="s">
        <v>123</v>
      </c>
      <c r="B386" s="179"/>
      <c r="C386" s="179"/>
      <c r="D386" s="179"/>
      <c r="E386" s="179"/>
      <c r="F386" s="179"/>
      <c r="G386" s="179"/>
    </row>
    <row r="387" spans="1:7" ht="13.5" hidden="1" thickBot="1" x14ac:dyDescent="0.25">
      <c r="A387" s="1530" t="s">
        <v>109</v>
      </c>
      <c r="B387" s="1531"/>
      <c r="C387" s="63" t="s">
        <v>114</v>
      </c>
      <c r="D387" s="63" t="s">
        <v>115</v>
      </c>
      <c r="E387" s="63" t="s">
        <v>116</v>
      </c>
      <c r="F387" s="63" t="s">
        <v>112</v>
      </c>
      <c r="G387" s="104"/>
    </row>
    <row r="388" spans="1:7" ht="20.25" hidden="1" customHeight="1" x14ac:dyDescent="0.2">
      <c r="A388" s="1546" t="s">
        <v>161</v>
      </c>
      <c r="B388" s="1547"/>
      <c r="C388" s="129" t="s">
        <v>12</v>
      </c>
      <c r="D388" s="130">
        <v>382373</v>
      </c>
      <c r="E388" s="129">
        <v>2.3E-2</v>
      </c>
      <c r="F388" s="130">
        <f>+E388*D388</f>
        <v>8794.5789999999997</v>
      </c>
      <c r="G388" s="132"/>
    </row>
    <row r="389" spans="1:7" hidden="1" x14ac:dyDescent="0.2">
      <c r="A389" s="1536" t="s">
        <v>163</v>
      </c>
      <c r="B389" s="1537"/>
      <c r="C389" s="134" t="s">
        <v>7</v>
      </c>
      <c r="D389" s="135">
        <v>2650</v>
      </c>
      <c r="E389" s="134">
        <v>2.1800000000000002</v>
      </c>
      <c r="F389" s="135">
        <f>+E389*D389</f>
        <v>5777</v>
      </c>
      <c r="G389" s="137"/>
    </row>
    <row r="390" spans="1:7" hidden="1" x14ac:dyDescent="0.2">
      <c r="A390" s="1536" t="s">
        <v>104</v>
      </c>
      <c r="B390" s="1537"/>
      <c r="C390" s="134" t="s">
        <v>105</v>
      </c>
      <c r="D390" s="135">
        <v>40</v>
      </c>
      <c r="E390" s="134">
        <v>15</v>
      </c>
      <c r="F390" s="135">
        <f>+E390*D390</f>
        <v>600</v>
      </c>
      <c r="G390" s="137"/>
    </row>
    <row r="391" spans="1:7" ht="13.5" hidden="1" thickBot="1" x14ac:dyDescent="0.25">
      <c r="A391" s="1538"/>
      <c r="B391" s="1539"/>
      <c r="C391" s="138"/>
      <c r="D391" s="139"/>
      <c r="E391" s="138"/>
      <c r="F391" s="139"/>
      <c r="G391" s="140"/>
    </row>
    <row r="392" spans="1:7" ht="13.5" hidden="1" thickBot="1" x14ac:dyDescent="0.25">
      <c r="A392" s="1527" t="s">
        <v>125</v>
      </c>
      <c r="B392" s="1528"/>
      <c r="C392" s="1528"/>
      <c r="D392" s="1528"/>
      <c r="E392" s="1528"/>
      <c r="F392" s="1529" t="s">
        <v>113</v>
      </c>
      <c r="G392" s="181">
        <f>SUM(F388:F391)</f>
        <v>15171.579</v>
      </c>
    </row>
    <row r="393" spans="1:7" ht="13.5" hidden="1" thickBot="1" x14ac:dyDescent="0.25">
      <c r="A393" s="186" t="s">
        <v>117</v>
      </c>
      <c r="B393" s="179"/>
      <c r="C393" s="179"/>
      <c r="D393" s="179"/>
      <c r="E393" s="179"/>
      <c r="F393" s="179"/>
      <c r="G393" s="179"/>
    </row>
    <row r="394" spans="1:7" ht="13.5" hidden="1" thickBot="1" x14ac:dyDescent="0.25">
      <c r="A394" s="1530" t="s">
        <v>109</v>
      </c>
      <c r="B394" s="1531"/>
      <c r="C394" s="63" t="s">
        <v>114</v>
      </c>
      <c r="D394" s="63" t="s">
        <v>115</v>
      </c>
      <c r="E394" s="63" t="s">
        <v>116</v>
      </c>
      <c r="F394" s="63" t="s">
        <v>112</v>
      </c>
      <c r="G394" s="115"/>
    </row>
    <row r="395" spans="1:7" hidden="1" x14ac:dyDescent="0.2">
      <c r="A395" s="1540" t="s">
        <v>205</v>
      </c>
      <c r="B395" s="1541"/>
      <c r="C395" s="189" t="s">
        <v>159</v>
      </c>
      <c r="D395" s="130">
        <v>60714.285714285717</v>
      </c>
      <c r="E395" s="200">
        <v>0</v>
      </c>
      <c r="F395" s="135">
        <f>D395*E395</f>
        <v>0</v>
      </c>
      <c r="G395" s="132"/>
    </row>
    <row r="396" spans="1:7" ht="13.5" hidden="1" thickBot="1" x14ac:dyDescent="0.25">
      <c r="A396" s="1542"/>
      <c r="B396" s="1535"/>
      <c r="C396" s="189"/>
      <c r="D396" s="139"/>
      <c r="E396" s="201"/>
      <c r="F396" s="139">
        <f>D396*E396</f>
        <v>0</v>
      </c>
      <c r="G396" s="187"/>
    </row>
    <row r="397" spans="1:7" ht="13.5" hidden="1" thickBot="1" x14ac:dyDescent="0.25">
      <c r="A397" s="1527" t="s">
        <v>125</v>
      </c>
      <c r="B397" s="1528"/>
      <c r="C397" s="1528"/>
      <c r="D397" s="1528"/>
      <c r="E397" s="1528"/>
      <c r="F397" s="1529" t="s">
        <v>113</v>
      </c>
      <c r="G397" s="181">
        <f>SUM(F396:F396)</f>
        <v>0</v>
      </c>
    </row>
    <row r="398" spans="1:7" ht="13.5" hidden="1" thickBot="1" x14ac:dyDescent="0.25">
      <c r="A398" s="186" t="s">
        <v>119</v>
      </c>
      <c r="B398" s="179"/>
      <c r="C398" s="179"/>
      <c r="D398" s="179"/>
      <c r="E398" s="179"/>
      <c r="F398" s="179"/>
      <c r="G398" s="179"/>
    </row>
    <row r="399" spans="1:7" ht="21.75" hidden="1" thickBot="1" x14ac:dyDescent="0.25">
      <c r="A399" s="1530" t="s">
        <v>120</v>
      </c>
      <c r="B399" s="1531"/>
      <c r="C399" s="63" t="s">
        <v>121</v>
      </c>
      <c r="D399" s="63" t="s">
        <v>114</v>
      </c>
      <c r="E399" s="63" t="s">
        <v>116</v>
      </c>
      <c r="F399" s="63" t="s">
        <v>112</v>
      </c>
      <c r="G399" s="121"/>
    </row>
    <row r="400" spans="1:7" hidden="1" x14ac:dyDescent="0.2">
      <c r="A400" s="1532" t="s">
        <v>21</v>
      </c>
      <c r="B400" s="1533"/>
      <c r="C400" s="122">
        <v>7410.9600847008996</v>
      </c>
      <c r="D400" s="198">
        <v>1</v>
      </c>
      <c r="E400" s="198">
        <v>0.9</v>
      </c>
      <c r="F400" s="124">
        <f>+(C400*D400)*E400</f>
        <v>6669.8640762308096</v>
      </c>
      <c r="G400" s="132"/>
    </row>
    <row r="401" spans="1:7" ht="13.5" hidden="1" thickBot="1" x14ac:dyDescent="0.25">
      <c r="A401" s="1534" t="s">
        <v>22</v>
      </c>
      <c r="B401" s="1535"/>
      <c r="C401" s="184">
        <v>4374.7823749999998</v>
      </c>
      <c r="D401" s="202">
        <v>2</v>
      </c>
      <c r="E401" s="202">
        <f>+E400</f>
        <v>0.9</v>
      </c>
      <c r="F401" s="182">
        <f>+(C401*D401)*E401</f>
        <v>7874.6082749999996</v>
      </c>
      <c r="G401" s="140"/>
    </row>
    <row r="402" spans="1:7" ht="13.5" hidden="1" thickBot="1" x14ac:dyDescent="0.25">
      <c r="A402" s="1527" t="str">
        <f>+A397</f>
        <v>SUB-TOTAL</v>
      </c>
      <c r="B402" s="1528"/>
      <c r="C402" s="1528"/>
      <c r="D402" s="1528"/>
      <c r="E402" s="1528"/>
      <c r="F402" s="1529" t="s">
        <v>113</v>
      </c>
      <c r="G402" s="181">
        <f>SUM(F400:F401)</f>
        <v>14544.472351230808</v>
      </c>
    </row>
    <row r="403" spans="1:7" ht="11.25" hidden="1" customHeight="1" thickBot="1" x14ac:dyDescent="0.25">
      <c r="A403" s="179"/>
      <c r="B403" s="179"/>
      <c r="C403" s="179"/>
      <c r="D403" s="179"/>
      <c r="E403" s="179"/>
      <c r="F403" s="180"/>
      <c r="G403" s="179"/>
    </row>
    <row r="404" spans="1:7" ht="13.5" hidden="1" thickBot="1" x14ac:dyDescent="0.25">
      <c r="A404" s="1527" t="s">
        <v>156</v>
      </c>
      <c r="B404" s="1528"/>
      <c r="C404" s="1528"/>
      <c r="D404" s="1528"/>
      <c r="E404" s="1528"/>
      <c r="F404" s="1529"/>
      <c r="G404" s="178">
        <f>ROUND(G385+G392+G397+G402,0)</f>
        <v>32726</v>
      </c>
    </row>
    <row r="405" spans="1:7" hidden="1" x14ac:dyDescent="0.2"/>
    <row r="406" spans="1:7" ht="13.5" hidden="1" thickBot="1" x14ac:dyDescent="0.25"/>
    <row r="407" spans="1:7" ht="27" hidden="1" customHeight="1" x14ac:dyDescent="0.2">
      <c r="A407" s="1548" t="s">
        <v>122</v>
      </c>
      <c r="B407" s="1549"/>
      <c r="C407" s="1550"/>
      <c r="D407" s="50"/>
      <c r="E407" s="50"/>
      <c r="F407" s="50"/>
      <c r="G407" s="98"/>
    </row>
    <row r="408" spans="1:7" ht="24" hidden="1" customHeight="1" thickBot="1" x14ac:dyDescent="0.25">
      <c r="A408" s="1551" t="s">
        <v>935</v>
      </c>
      <c r="B408" s="1552"/>
      <c r="C408" s="1553"/>
      <c r="D408" s="99"/>
      <c r="E408" s="99"/>
      <c r="F408" s="99"/>
      <c r="G408" s="100"/>
    </row>
    <row r="409" spans="1:7" ht="13.5" hidden="1" thickBot="1" x14ac:dyDescent="0.25">
      <c r="A409" s="179"/>
      <c r="B409" s="179"/>
      <c r="C409" s="179"/>
      <c r="D409" s="179"/>
      <c r="E409" s="179"/>
      <c r="F409" s="179"/>
      <c r="G409" s="179"/>
    </row>
    <row r="410" spans="1:7" ht="30.75" hidden="1" customHeight="1" thickBot="1" x14ac:dyDescent="0.25">
      <c r="A410" s="1558" t="s">
        <v>936</v>
      </c>
      <c r="B410" s="1559"/>
      <c r="C410" s="1560"/>
      <c r="D410" s="1565" t="s">
        <v>176</v>
      </c>
      <c r="E410" s="1559"/>
      <c r="F410" s="1559"/>
      <c r="G410" s="1560"/>
    </row>
    <row r="411" spans="1:7" ht="13.5" hidden="1" thickBot="1" x14ac:dyDescent="0.25">
      <c r="A411" s="192"/>
      <c r="B411" s="192"/>
      <c r="C411" s="192"/>
      <c r="D411" s="192"/>
      <c r="E411" s="192"/>
      <c r="F411" s="192"/>
      <c r="G411" s="192"/>
    </row>
    <row r="412" spans="1:7" ht="12.75" hidden="1" customHeight="1" thickBot="1" x14ac:dyDescent="0.25">
      <c r="A412" s="191"/>
      <c r="B412" s="179"/>
      <c r="D412" s="60" t="s">
        <v>124</v>
      </c>
      <c r="E412" s="61" t="s">
        <v>12</v>
      </c>
      <c r="F412" s="191"/>
      <c r="G412" s="191"/>
    </row>
    <row r="413" spans="1:7" ht="13.5" hidden="1" thickBot="1" x14ac:dyDescent="0.25">
      <c r="A413" s="186" t="s">
        <v>108</v>
      </c>
      <c r="B413" s="179"/>
      <c r="C413" s="179"/>
      <c r="D413" s="179"/>
      <c r="E413" s="179"/>
      <c r="F413" s="179"/>
      <c r="G413" s="179"/>
    </row>
    <row r="414" spans="1:7" ht="13.5" hidden="1" customHeight="1" thickBot="1" x14ac:dyDescent="0.25">
      <c r="A414" s="1530" t="s">
        <v>109</v>
      </c>
      <c r="B414" s="1554"/>
      <c r="C414" s="1531"/>
      <c r="D414" s="63" t="s">
        <v>110</v>
      </c>
      <c r="E414" s="63" t="s">
        <v>111</v>
      </c>
      <c r="F414" s="63" t="s">
        <v>112</v>
      </c>
      <c r="G414" s="104"/>
    </row>
    <row r="415" spans="1:7" hidden="1" x14ac:dyDescent="0.2">
      <c r="A415" s="1540" t="s">
        <v>131</v>
      </c>
      <c r="B415" s="1555"/>
      <c r="C415" s="1541"/>
      <c r="D415" s="130">
        <v>2062.5</v>
      </c>
      <c r="E415" s="131">
        <v>1.3</v>
      </c>
      <c r="F415" s="130">
        <f t="shared" ref="F415:F420" si="0">+E415*D415</f>
        <v>2681.25</v>
      </c>
      <c r="G415" s="132"/>
    </row>
    <row r="416" spans="1:7" hidden="1" x14ac:dyDescent="0.2">
      <c r="A416" s="1543" t="s">
        <v>953</v>
      </c>
      <c r="B416" s="1544"/>
      <c r="C416" s="1545" t="s">
        <v>4</v>
      </c>
      <c r="D416" s="135">
        <v>38462</v>
      </c>
      <c r="E416" s="136">
        <v>1.61</v>
      </c>
      <c r="F416" s="135">
        <f t="shared" si="0"/>
        <v>61923.820000000007</v>
      </c>
      <c r="G416" s="137"/>
    </row>
    <row r="417" spans="1:7" hidden="1" x14ac:dyDescent="0.2">
      <c r="A417" s="1543" t="s">
        <v>151</v>
      </c>
      <c r="B417" s="1544"/>
      <c r="C417" s="1545"/>
      <c r="D417" s="135">
        <v>350</v>
      </c>
      <c r="E417" s="136">
        <v>42</v>
      </c>
      <c r="F417" s="135">
        <f t="shared" si="0"/>
        <v>14700</v>
      </c>
      <c r="G417" s="137"/>
    </row>
    <row r="418" spans="1:7" hidden="1" x14ac:dyDescent="0.2">
      <c r="A418" s="1543" t="s">
        <v>145</v>
      </c>
      <c r="B418" s="1544"/>
      <c r="C418" s="1545"/>
      <c r="D418" s="135">
        <v>450</v>
      </c>
      <c r="E418" s="136">
        <v>27</v>
      </c>
      <c r="F418" s="135">
        <f t="shared" si="0"/>
        <v>12150</v>
      </c>
      <c r="G418" s="137"/>
    </row>
    <row r="419" spans="1:7" hidden="1" x14ac:dyDescent="0.2">
      <c r="A419" s="1543" t="s">
        <v>147</v>
      </c>
      <c r="B419" s="1544"/>
      <c r="C419" s="1545"/>
      <c r="D419" s="135">
        <v>1500</v>
      </c>
      <c r="E419" s="136">
        <v>2.1</v>
      </c>
      <c r="F419" s="135">
        <f t="shared" si="0"/>
        <v>3150</v>
      </c>
      <c r="G419" s="137"/>
    </row>
    <row r="420" spans="1:7" ht="13.5" hidden="1" thickBot="1" x14ac:dyDescent="0.25">
      <c r="A420" s="1542" t="s">
        <v>135</v>
      </c>
      <c r="B420" s="1564"/>
      <c r="C420" s="1535"/>
      <c r="D420" s="139">
        <v>7500</v>
      </c>
      <c r="E420" s="141">
        <f>0.2*8</f>
        <v>1.6</v>
      </c>
      <c r="F420" s="139">
        <f t="shared" si="0"/>
        <v>12000</v>
      </c>
      <c r="G420" s="140"/>
    </row>
    <row r="421" spans="1:7" ht="13.5" hidden="1" thickBot="1" x14ac:dyDescent="0.25">
      <c r="A421" s="1527" t="s">
        <v>125</v>
      </c>
      <c r="B421" s="1528"/>
      <c r="C421" s="1528"/>
      <c r="D421" s="1528"/>
      <c r="E421" s="1528"/>
      <c r="F421" s="1529"/>
      <c r="G421" s="181">
        <f>SUM(F415:F420)</f>
        <v>106605.07</v>
      </c>
    </row>
    <row r="422" spans="1:7" ht="13.5" hidden="1" thickBot="1" x14ac:dyDescent="0.25">
      <c r="A422" s="186" t="s">
        <v>123</v>
      </c>
      <c r="B422" s="179"/>
      <c r="C422" s="179"/>
      <c r="D422" s="179"/>
      <c r="E422" s="179"/>
      <c r="F422" s="179"/>
      <c r="G422" s="179"/>
    </row>
    <row r="423" spans="1:7" ht="13.5" hidden="1" thickBot="1" x14ac:dyDescent="0.25">
      <c r="A423" s="1530" t="s">
        <v>109</v>
      </c>
      <c r="B423" s="1531"/>
      <c r="C423" s="63" t="s">
        <v>114</v>
      </c>
      <c r="D423" s="63" t="s">
        <v>115</v>
      </c>
      <c r="E423" s="63" t="s">
        <v>116</v>
      </c>
      <c r="F423" s="63" t="s">
        <v>112</v>
      </c>
      <c r="G423" s="104"/>
    </row>
    <row r="424" spans="1:7" hidden="1" x14ac:dyDescent="0.2">
      <c r="A424" s="1546" t="s">
        <v>161</v>
      </c>
      <c r="B424" s="1547"/>
      <c r="C424" s="129" t="s">
        <v>12</v>
      </c>
      <c r="D424" s="130">
        <v>382373</v>
      </c>
      <c r="E424" s="129">
        <v>1.03</v>
      </c>
      <c r="F424" s="130">
        <f>+E424*D424</f>
        <v>393844.19</v>
      </c>
      <c r="G424" s="132"/>
    </row>
    <row r="425" spans="1:7" hidden="1" x14ac:dyDescent="0.2">
      <c r="A425" s="1536" t="s">
        <v>104</v>
      </c>
      <c r="B425" s="1537"/>
      <c r="C425" s="134" t="s">
        <v>105</v>
      </c>
      <c r="D425" s="135">
        <v>40</v>
      </c>
      <c r="E425" s="134">
        <v>50</v>
      </c>
      <c r="F425" s="135">
        <f>+E425*D425</f>
        <v>2000</v>
      </c>
      <c r="G425" s="137"/>
    </row>
    <row r="426" spans="1:7" hidden="1" x14ac:dyDescent="0.2">
      <c r="A426" s="1536"/>
      <c r="B426" s="1537"/>
      <c r="C426" s="134"/>
      <c r="D426" s="135"/>
      <c r="E426" s="134"/>
      <c r="F426" s="135"/>
      <c r="G426" s="137"/>
    </row>
    <row r="427" spans="1:7" ht="13.5" hidden="1" thickBot="1" x14ac:dyDescent="0.25">
      <c r="A427" s="1538"/>
      <c r="B427" s="1539"/>
      <c r="C427" s="138"/>
      <c r="D427" s="139"/>
      <c r="E427" s="138"/>
      <c r="F427" s="139"/>
      <c r="G427" s="140"/>
    </row>
    <row r="428" spans="1:7" ht="13.5" hidden="1" thickBot="1" x14ac:dyDescent="0.25">
      <c r="A428" s="1527" t="s">
        <v>125</v>
      </c>
      <c r="B428" s="1528"/>
      <c r="C428" s="1528"/>
      <c r="D428" s="1528"/>
      <c r="E428" s="1528"/>
      <c r="F428" s="1529" t="s">
        <v>113</v>
      </c>
      <c r="G428" s="181">
        <f>SUM(F424:F427)</f>
        <v>395844.19</v>
      </c>
    </row>
    <row r="429" spans="1:7" ht="13.5" hidden="1" thickBot="1" x14ac:dyDescent="0.25">
      <c r="A429" s="186" t="s">
        <v>117</v>
      </c>
      <c r="B429" s="179"/>
      <c r="C429" s="179"/>
      <c r="D429" s="179"/>
      <c r="E429" s="179"/>
      <c r="F429" s="179"/>
      <c r="G429" s="179"/>
    </row>
    <row r="430" spans="1:7" ht="13.5" hidden="1" thickBot="1" x14ac:dyDescent="0.25">
      <c r="A430" s="1530" t="s">
        <v>109</v>
      </c>
      <c r="B430" s="1531"/>
      <c r="C430" s="63" t="s">
        <v>114</v>
      </c>
      <c r="D430" s="63" t="s">
        <v>115</v>
      </c>
      <c r="E430" s="63" t="s">
        <v>116</v>
      </c>
      <c r="F430" s="63" t="s">
        <v>112</v>
      </c>
      <c r="G430" s="115"/>
    </row>
    <row r="431" spans="1:7" hidden="1" x14ac:dyDescent="0.2">
      <c r="A431" s="1540" t="s">
        <v>205</v>
      </c>
      <c r="B431" s="1541"/>
      <c r="C431" s="189" t="s">
        <v>159</v>
      </c>
      <c r="D431" s="130">
        <v>60714.285714285717</v>
      </c>
      <c r="E431" s="200">
        <v>0</v>
      </c>
      <c r="F431" s="135">
        <f>D431*E431</f>
        <v>0</v>
      </c>
      <c r="G431" s="132"/>
    </row>
    <row r="432" spans="1:7" ht="13.5" hidden="1" thickBot="1" x14ac:dyDescent="0.25">
      <c r="A432" s="1542"/>
      <c r="B432" s="1535"/>
      <c r="C432" s="189"/>
      <c r="D432" s="139"/>
      <c r="E432" s="201"/>
      <c r="F432" s="139">
        <f>D432*E432</f>
        <v>0</v>
      </c>
      <c r="G432" s="187"/>
    </row>
    <row r="433" spans="1:7" ht="13.5" hidden="1" thickBot="1" x14ac:dyDescent="0.25">
      <c r="A433" s="1527" t="s">
        <v>125</v>
      </c>
      <c r="B433" s="1528"/>
      <c r="C433" s="1528"/>
      <c r="D433" s="1528"/>
      <c r="E433" s="1528"/>
      <c r="F433" s="1529" t="s">
        <v>113</v>
      </c>
      <c r="G433" s="181">
        <f>SUM(F432:F432)</f>
        <v>0</v>
      </c>
    </row>
    <row r="434" spans="1:7" ht="13.5" hidden="1" thickBot="1" x14ac:dyDescent="0.25">
      <c r="A434" s="186" t="s">
        <v>119</v>
      </c>
      <c r="B434" s="179"/>
      <c r="C434" s="179"/>
      <c r="D434" s="179"/>
      <c r="E434" s="179"/>
      <c r="F434" s="179"/>
      <c r="G434" s="179"/>
    </row>
    <row r="435" spans="1:7" ht="21.75" hidden="1" thickBot="1" x14ac:dyDescent="0.25">
      <c r="A435" s="1530" t="s">
        <v>120</v>
      </c>
      <c r="B435" s="1531"/>
      <c r="C435" s="63" t="s">
        <v>121</v>
      </c>
      <c r="D435" s="63" t="s">
        <v>114</v>
      </c>
      <c r="E435" s="63" t="s">
        <v>116</v>
      </c>
      <c r="F435" s="63" t="s">
        <v>112</v>
      </c>
      <c r="G435" s="121"/>
    </row>
    <row r="436" spans="1:7" hidden="1" x14ac:dyDescent="0.2">
      <c r="A436" s="1532" t="s">
        <v>21</v>
      </c>
      <c r="B436" s="1533"/>
      <c r="C436" s="122">
        <v>7410.9600847008996</v>
      </c>
      <c r="D436" s="198">
        <v>1</v>
      </c>
      <c r="E436" s="198">
        <v>13</v>
      </c>
      <c r="F436" s="124">
        <f>+(C436*D436)*E436</f>
        <v>96342.481101111698</v>
      </c>
      <c r="G436" s="132"/>
    </row>
    <row r="437" spans="1:7" ht="13.5" hidden="1" thickBot="1" x14ac:dyDescent="0.25">
      <c r="A437" s="1534" t="s">
        <v>22</v>
      </c>
      <c r="B437" s="1535"/>
      <c r="C437" s="184">
        <v>4374.7823749999998</v>
      </c>
      <c r="D437" s="202">
        <v>1</v>
      </c>
      <c r="E437" s="202">
        <f>+E436</f>
        <v>13</v>
      </c>
      <c r="F437" s="182">
        <f>+(C437*D437)*E437</f>
        <v>56872.170874999996</v>
      </c>
      <c r="G437" s="140"/>
    </row>
    <row r="438" spans="1:7" ht="13.5" hidden="1" thickBot="1" x14ac:dyDescent="0.25">
      <c r="A438" s="1527" t="str">
        <f>+A433</f>
        <v>SUB-TOTAL</v>
      </c>
      <c r="B438" s="1528"/>
      <c r="C438" s="1528"/>
      <c r="D438" s="1528"/>
      <c r="E438" s="1528"/>
      <c r="F438" s="1529" t="s">
        <v>113</v>
      </c>
      <c r="G438" s="181">
        <f>SUM(F436:F437)</f>
        <v>153214.65197611169</v>
      </c>
    </row>
    <row r="439" spans="1:7" ht="11.25" hidden="1" customHeight="1" thickBot="1" x14ac:dyDescent="0.25">
      <c r="A439" s="179"/>
      <c r="B439" s="179"/>
      <c r="C439" s="179"/>
      <c r="D439" s="179"/>
      <c r="E439" s="179"/>
      <c r="F439" s="180"/>
      <c r="G439" s="179"/>
    </row>
    <row r="440" spans="1:7" ht="13.5" hidden="1" thickBot="1" x14ac:dyDescent="0.25">
      <c r="A440" s="1527" t="s">
        <v>156</v>
      </c>
      <c r="B440" s="1528"/>
      <c r="C440" s="1528"/>
      <c r="D440" s="1528"/>
      <c r="E440" s="1528"/>
      <c r="F440" s="1529"/>
      <c r="G440" s="178">
        <f>ROUND(G421+G428+G433+G438,0)</f>
        <v>655664</v>
      </c>
    </row>
    <row r="441" spans="1:7" hidden="1" x14ac:dyDescent="0.2"/>
    <row r="442" spans="1:7" ht="13.5" hidden="1" thickBot="1" x14ac:dyDescent="0.25"/>
    <row r="443" spans="1:7" ht="27" hidden="1" customHeight="1" x14ac:dyDescent="0.2">
      <c r="A443" s="1548" t="s">
        <v>122</v>
      </c>
      <c r="B443" s="1549"/>
      <c r="C443" s="1550"/>
      <c r="D443" s="50"/>
      <c r="E443" s="50"/>
      <c r="F443" s="50"/>
      <c r="G443" s="98"/>
    </row>
    <row r="444" spans="1:7" ht="24" hidden="1" customHeight="1" thickBot="1" x14ac:dyDescent="0.25">
      <c r="A444" s="1551" t="s">
        <v>935</v>
      </c>
      <c r="B444" s="1552"/>
      <c r="C444" s="1553"/>
      <c r="D444" s="99"/>
      <c r="E444" s="99"/>
      <c r="F444" s="99"/>
      <c r="G444" s="100"/>
    </row>
    <row r="445" spans="1:7" ht="13.5" hidden="1" thickBot="1" x14ac:dyDescent="0.25">
      <c r="A445" s="179"/>
      <c r="B445" s="179"/>
      <c r="C445" s="179"/>
      <c r="D445" s="179"/>
      <c r="E445" s="179"/>
      <c r="F445" s="179"/>
      <c r="G445" s="179"/>
    </row>
    <row r="446" spans="1:7" ht="30.75" hidden="1" customHeight="1" thickBot="1" x14ac:dyDescent="0.25">
      <c r="A446" s="1558" t="s">
        <v>936</v>
      </c>
      <c r="B446" s="1559"/>
      <c r="C446" s="1560"/>
      <c r="D446" s="1565" t="s">
        <v>177</v>
      </c>
      <c r="E446" s="1559"/>
      <c r="F446" s="1559"/>
      <c r="G446" s="1560"/>
    </row>
    <row r="447" spans="1:7" ht="13.5" hidden="1" thickBot="1" x14ac:dyDescent="0.25">
      <c r="A447" s="192"/>
      <c r="B447" s="192"/>
      <c r="C447" s="192"/>
      <c r="D447" s="192"/>
      <c r="E447" s="192"/>
      <c r="F447" s="192"/>
      <c r="G447" s="192"/>
    </row>
    <row r="448" spans="1:7" ht="12.75" hidden="1" customHeight="1" thickBot="1" x14ac:dyDescent="0.25">
      <c r="A448" s="191"/>
      <c r="B448" s="179"/>
      <c r="D448" s="60" t="s">
        <v>124</v>
      </c>
      <c r="E448" s="61" t="s">
        <v>12</v>
      </c>
      <c r="F448" s="191"/>
      <c r="G448" s="191"/>
    </row>
    <row r="449" spans="1:7" ht="13.5" hidden="1" thickBot="1" x14ac:dyDescent="0.25">
      <c r="A449" s="186" t="s">
        <v>108</v>
      </c>
      <c r="B449" s="179"/>
      <c r="C449" s="179"/>
      <c r="D449" s="179"/>
      <c r="E449" s="179"/>
      <c r="F449" s="179"/>
      <c r="G449" s="179"/>
    </row>
    <row r="450" spans="1:7" ht="13.5" hidden="1" customHeight="1" thickBot="1" x14ac:dyDescent="0.25">
      <c r="A450" s="1530" t="s">
        <v>109</v>
      </c>
      <c r="B450" s="1554"/>
      <c r="C450" s="1531"/>
      <c r="D450" s="63" t="s">
        <v>110</v>
      </c>
      <c r="E450" s="63" t="s">
        <v>111</v>
      </c>
      <c r="F450" s="63" t="s">
        <v>112</v>
      </c>
      <c r="G450" s="104"/>
    </row>
    <row r="451" spans="1:7" hidden="1" x14ac:dyDescent="0.2">
      <c r="A451" s="1540" t="s">
        <v>131</v>
      </c>
      <c r="B451" s="1555"/>
      <c r="C451" s="1541"/>
      <c r="D451" s="130">
        <v>2062.5</v>
      </c>
      <c r="E451" s="131">
        <v>1.5</v>
      </c>
      <c r="F451" s="130">
        <f t="shared" ref="F451:F456" si="1">+E451*D451</f>
        <v>3093.75</v>
      </c>
      <c r="G451" s="132"/>
    </row>
    <row r="452" spans="1:7" hidden="1" x14ac:dyDescent="0.2">
      <c r="A452" s="1543" t="s">
        <v>953</v>
      </c>
      <c r="B452" s="1544"/>
      <c r="C452" s="1545" t="s">
        <v>4</v>
      </c>
      <c r="D452" s="135">
        <v>38462</v>
      </c>
      <c r="E452" s="136">
        <v>1.8</v>
      </c>
      <c r="F452" s="135">
        <f t="shared" si="1"/>
        <v>69231.600000000006</v>
      </c>
      <c r="G452" s="137"/>
    </row>
    <row r="453" spans="1:7" hidden="1" x14ac:dyDescent="0.2">
      <c r="A453" s="1543" t="s">
        <v>151</v>
      </c>
      <c r="B453" s="1544"/>
      <c r="C453" s="1545"/>
      <c r="D453" s="135">
        <v>350</v>
      </c>
      <c r="E453" s="136">
        <v>42</v>
      </c>
      <c r="F453" s="135">
        <f t="shared" si="1"/>
        <v>14700</v>
      </c>
      <c r="G453" s="137"/>
    </row>
    <row r="454" spans="1:7" hidden="1" x14ac:dyDescent="0.2">
      <c r="A454" s="1543" t="s">
        <v>145</v>
      </c>
      <c r="B454" s="1544"/>
      <c r="C454" s="1545"/>
      <c r="D454" s="135">
        <v>450</v>
      </c>
      <c r="E454" s="136">
        <v>27</v>
      </c>
      <c r="F454" s="135">
        <f t="shared" si="1"/>
        <v>12150</v>
      </c>
      <c r="G454" s="137"/>
    </row>
    <row r="455" spans="1:7" hidden="1" x14ac:dyDescent="0.2">
      <c r="A455" s="1543" t="s">
        <v>147</v>
      </c>
      <c r="B455" s="1544"/>
      <c r="C455" s="1545"/>
      <c r="D455" s="135">
        <v>1500</v>
      </c>
      <c r="E455" s="136">
        <v>2.1</v>
      </c>
      <c r="F455" s="135">
        <f t="shared" si="1"/>
        <v>3150</v>
      </c>
      <c r="G455" s="137"/>
    </row>
    <row r="456" spans="1:7" ht="13.5" hidden="1" thickBot="1" x14ac:dyDescent="0.25">
      <c r="A456" s="1542" t="s">
        <v>135</v>
      </c>
      <c r="B456" s="1564"/>
      <c r="C456" s="1535"/>
      <c r="D456" s="139">
        <v>7500</v>
      </c>
      <c r="E456" s="141">
        <f>0.25*8</f>
        <v>2</v>
      </c>
      <c r="F456" s="139">
        <f t="shared" si="1"/>
        <v>15000</v>
      </c>
      <c r="G456" s="140"/>
    </row>
    <row r="457" spans="1:7" ht="13.5" hidden="1" thickBot="1" x14ac:dyDescent="0.25">
      <c r="A457" s="1527" t="s">
        <v>125</v>
      </c>
      <c r="B457" s="1528"/>
      <c r="C457" s="1528"/>
      <c r="D457" s="1528"/>
      <c r="E457" s="1528"/>
      <c r="F457" s="1529"/>
      <c r="G457" s="181">
        <f>SUM(F451:F456)</f>
        <v>117325.35</v>
      </c>
    </row>
    <row r="458" spans="1:7" ht="13.5" hidden="1" thickBot="1" x14ac:dyDescent="0.25">
      <c r="A458" s="186" t="s">
        <v>123</v>
      </c>
      <c r="B458" s="179"/>
      <c r="C458" s="179"/>
      <c r="D458" s="179"/>
      <c r="E458" s="179"/>
      <c r="F458" s="179"/>
      <c r="G458" s="179"/>
    </row>
    <row r="459" spans="1:7" ht="13.5" hidden="1" thickBot="1" x14ac:dyDescent="0.25">
      <c r="A459" s="1530" t="s">
        <v>109</v>
      </c>
      <c r="B459" s="1531"/>
      <c r="C459" s="63" t="s">
        <v>114</v>
      </c>
      <c r="D459" s="63" t="s">
        <v>115</v>
      </c>
      <c r="E459" s="63" t="s">
        <v>116</v>
      </c>
      <c r="F459" s="63" t="s">
        <v>112</v>
      </c>
      <c r="G459" s="104"/>
    </row>
    <row r="460" spans="1:7" hidden="1" x14ac:dyDescent="0.2">
      <c r="A460" s="1546" t="s">
        <v>161</v>
      </c>
      <c r="B460" s="1547"/>
      <c r="C460" s="129" t="s">
        <v>12</v>
      </c>
      <c r="D460" s="130">
        <v>382373</v>
      </c>
      <c r="E460" s="129">
        <v>1.03</v>
      </c>
      <c r="F460" s="130">
        <f>+E460*D460</f>
        <v>393844.19</v>
      </c>
      <c r="G460" s="132"/>
    </row>
    <row r="461" spans="1:7" hidden="1" x14ac:dyDescent="0.2">
      <c r="A461" s="1536" t="s">
        <v>104</v>
      </c>
      <c r="B461" s="1537"/>
      <c r="C461" s="134" t="s">
        <v>105</v>
      </c>
      <c r="D461" s="135">
        <v>40</v>
      </c>
      <c r="E461" s="134">
        <v>50</v>
      </c>
      <c r="F461" s="135">
        <f>+E461*D461</f>
        <v>2000</v>
      </c>
      <c r="G461" s="137"/>
    </row>
    <row r="462" spans="1:7" hidden="1" x14ac:dyDescent="0.2">
      <c r="A462" s="1536"/>
      <c r="B462" s="1537"/>
      <c r="C462" s="134"/>
      <c r="D462" s="135"/>
      <c r="E462" s="134"/>
      <c r="F462" s="135"/>
      <c r="G462" s="137"/>
    </row>
    <row r="463" spans="1:7" ht="13.5" hidden="1" thickBot="1" x14ac:dyDescent="0.25">
      <c r="A463" s="1538"/>
      <c r="B463" s="1539"/>
      <c r="C463" s="138"/>
      <c r="D463" s="139"/>
      <c r="E463" s="138"/>
      <c r="F463" s="139"/>
      <c r="G463" s="140"/>
    </row>
    <row r="464" spans="1:7" ht="13.5" hidden="1" thickBot="1" x14ac:dyDescent="0.25">
      <c r="A464" s="1527" t="s">
        <v>125</v>
      </c>
      <c r="B464" s="1528"/>
      <c r="C464" s="1528"/>
      <c r="D464" s="1528"/>
      <c r="E464" s="1528"/>
      <c r="F464" s="1529" t="s">
        <v>113</v>
      </c>
      <c r="G464" s="181">
        <f>SUM(F460:F463)</f>
        <v>395844.19</v>
      </c>
    </row>
    <row r="465" spans="1:7" ht="13.5" hidden="1" thickBot="1" x14ac:dyDescent="0.25">
      <c r="A465" s="186" t="s">
        <v>117</v>
      </c>
      <c r="B465" s="179"/>
      <c r="C465" s="179"/>
      <c r="D465" s="179"/>
      <c r="E465" s="179"/>
      <c r="F465" s="179"/>
      <c r="G465" s="179"/>
    </row>
    <row r="466" spans="1:7" ht="13.5" hidden="1" thickBot="1" x14ac:dyDescent="0.25">
      <c r="A466" s="1530" t="s">
        <v>109</v>
      </c>
      <c r="B466" s="1531"/>
      <c r="C466" s="63" t="s">
        <v>114</v>
      </c>
      <c r="D466" s="63" t="s">
        <v>115</v>
      </c>
      <c r="E466" s="63" t="s">
        <v>116</v>
      </c>
      <c r="F466" s="63" t="s">
        <v>112</v>
      </c>
      <c r="G466" s="115"/>
    </row>
    <row r="467" spans="1:7" hidden="1" x14ac:dyDescent="0.2">
      <c r="A467" s="1540" t="s">
        <v>205</v>
      </c>
      <c r="B467" s="1541"/>
      <c r="C467" s="189" t="s">
        <v>159</v>
      </c>
      <c r="D467" s="130">
        <v>60714.285714285717</v>
      </c>
      <c r="E467" s="200">
        <v>0</v>
      </c>
      <c r="F467" s="135">
        <f>D467*E467</f>
        <v>0</v>
      </c>
      <c r="G467" s="132"/>
    </row>
    <row r="468" spans="1:7" ht="13.5" hidden="1" thickBot="1" x14ac:dyDescent="0.25">
      <c r="A468" s="1542"/>
      <c r="B468" s="1535"/>
      <c r="C468" s="189"/>
      <c r="D468" s="139"/>
      <c r="E468" s="201"/>
      <c r="F468" s="139">
        <f>D468*E468</f>
        <v>0</v>
      </c>
      <c r="G468" s="187"/>
    </row>
    <row r="469" spans="1:7" ht="13.5" hidden="1" thickBot="1" x14ac:dyDescent="0.25">
      <c r="A469" s="1527" t="s">
        <v>125</v>
      </c>
      <c r="B469" s="1528"/>
      <c r="C469" s="1528"/>
      <c r="D469" s="1528"/>
      <c r="E469" s="1528"/>
      <c r="F469" s="1529" t="s">
        <v>113</v>
      </c>
      <c r="G469" s="181">
        <f>SUM(F468:F468)</f>
        <v>0</v>
      </c>
    </row>
    <row r="470" spans="1:7" ht="13.5" hidden="1" thickBot="1" x14ac:dyDescent="0.25">
      <c r="A470" s="186" t="s">
        <v>119</v>
      </c>
      <c r="B470" s="179"/>
      <c r="C470" s="179"/>
      <c r="D470" s="179"/>
      <c r="E470" s="179"/>
      <c r="F470" s="179"/>
      <c r="G470" s="179"/>
    </row>
    <row r="471" spans="1:7" ht="21.75" hidden="1" thickBot="1" x14ac:dyDescent="0.25">
      <c r="A471" s="1530" t="s">
        <v>120</v>
      </c>
      <c r="B471" s="1531"/>
      <c r="C471" s="63" t="s">
        <v>121</v>
      </c>
      <c r="D471" s="63" t="s">
        <v>114</v>
      </c>
      <c r="E471" s="63" t="s">
        <v>116</v>
      </c>
      <c r="F471" s="63" t="s">
        <v>112</v>
      </c>
      <c r="G471" s="121"/>
    </row>
    <row r="472" spans="1:7" hidden="1" x14ac:dyDescent="0.2">
      <c r="A472" s="1532" t="s">
        <v>21</v>
      </c>
      <c r="B472" s="1533"/>
      <c r="C472" s="122">
        <v>7410.9600847008996</v>
      </c>
      <c r="D472" s="198">
        <v>1</v>
      </c>
      <c r="E472" s="198">
        <v>15</v>
      </c>
      <c r="F472" s="124">
        <f>+(C472*D472)*E472</f>
        <v>111164.4012705135</v>
      </c>
      <c r="G472" s="132"/>
    </row>
    <row r="473" spans="1:7" ht="13.5" hidden="1" thickBot="1" x14ac:dyDescent="0.25">
      <c r="A473" s="1534" t="s">
        <v>22</v>
      </c>
      <c r="B473" s="1535"/>
      <c r="C473" s="184">
        <v>4374.7823749999998</v>
      </c>
      <c r="D473" s="202">
        <v>1</v>
      </c>
      <c r="E473" s="202">
        <f>+E472</f>
        <v>15</v>
      </c>
      <c r="F473" s="182">
        <f>+(C473*D473)*E473</f>
        <v>65621.735625000001</v>
      </c>
      <c r="G473" s="140"/>
    </row>
    <row r="474" spans="1:7" ht="13.5" hidden="1" thickBot="1" x14ac:dyDescent="0.25">
      <c r="A474" s="1527" t="str">
        <f>+A469</f>
        <v>SUB-TOTAL</v>
      </c>
      <c r="B474" s="1528"/>
      <c r="C474" s="1528"/>
      <c r="D474" s="1528"/>
      <c r="E474" s="1528"/>
      <c r="F474" s="1529" t="s">
        <v>113</v>
      </c>
      <c r="G474" s="181">
        <f>SUM(F472:F473)</f>
        <v>176786.13689551351</v>
      </c>
    </row>
    <row r="475" spans="1:7" ht="11.25" hidden="1" customHeight="1" thickBot="1" x14ac:dyDescent="0.25">
      <c r="A475" s="179"/>
      <c r="B475" s="179"/>
      <c r="C475" s="179"/>
      <c r="D475" s="179"/>
      <c r="E475" s="179"/>
      <c r="F475" s="180"/>
      <c r="G475" s="179"/>
    </row>
    <row r="476" spans="1:7" ht="13.5" hidden="1" thickBot="1" x14ac:dyDescent="0.25">
      <c r="A476" s="1527" t="s">
        <v>156</v>
      </c>
      <c r="B476" s="1528"/>
      <c r="C476" s="1528"/>
      <c r="D476" s="1528"/>
      <c r="E476" s="1528"/>
      <c r="F476" s="1529"/>
      <c r="G476" s="178">
        <f>ROUND(G457+G464+G469+G474,0)</f>
        <v>689956</v>
      </c>
    </row>
    <row r="477" spans="1:7" hidden="1" x14ac:dyDescent="0.2"/>
    <row r="478" spans="1:7" ht="13.5" hidden="1" thickBot="1" x14ac:dyDescent="0.25"/>
    <row r="479" spans="1:7" ht="27" hidden="1" customHeight="1" x14ac:dyDescent="0.2">
      <c r="A479" s="1548" t="s">
        <v>122</v>
      </c>
      <c r="B479" s="1549"/>
      <c r="C479" s="1550"/>
      <c r="D479" s="50"/>
      <c r="E479" s="50"/>
      <c r="F479" s="50"/>
      <c r="G479" s="98"/>
    </row>
    <row r="480" spans="1:7" ht="24" hidden="1" customHeight="1" thickBot="1" x14ac:dyDescent="0.25">
      <c r="A480" s="1551" t="s">
        <v>935</v>
      </c>
      <c r="B480" s="1552"/>
      <c r="C480" s="1553"/>
      <c r="D480" s="99"/>
      <c r="E480" s="99"/>
      <c r="F480" s="99"/>
      <c r="G480" s="100"/>
    </row>
    <row r="481" spans="1:7" ht="13.5" hidden="1" thickBot="1" x14ac:dyDescent="0.25">
      <c r="A481" s="179"/>
      <c r="B481" s="179"/>
      <c r="C481" s="179"/>
      <c r="D481" s="179"/>
      <c r="E481" s="179"/>
      <c r="F481" s="179"/>
      <c r="G481" s="179"/>
    </row>
    <row r="482" spans="1:7" ht="30.75" hidden="1" customHeight="1" thickBot="1" x14ac:dyDescent="0.25">
      <c r="A482" s="1558" t="s">
        <v>936</v>
      </c>
      <c r="B482" s="1559"/>
      <c r="C482" s="1560"/>
      <c r="D482" s="1565" t="s">
        <v>178</v>
      </c>
      <c r="E482" s="1559"/>
      <c r="F482" s="1559"/>
      <c r="G482" s="1560"/>
    </row>
    <row r="483" spans="1:7" ht="13.5" hidden="1" thickBot="1" x14ac:dyDescent="0.25">
      <c r="A483" s="192"/>
      <c r="B483" s="192"/>
      <c r="C483" s="192"/>
      <c r="D483" s="192"/>
      <c r="E483" s="192"/>
      <c r="F483" s="192"/>
      <c r="G483" s="192"/>
    </row>
    <row r="484" spans="1:7" ht="12.75" hidden="1" customHeight="1" thickBot="1" x14ac:dyDescent="0.25">
      <c r="A484" s="191"/>
      <c r="B484" s="179"/>
      <c r="D484" s="60" t="s">
        <v>124</v>
      </c>
      <c r="E484" s="61" t="s">
        <v>12</v>
      </c>
      <c r="F484" s="191"/>
      <c r="G484" s="191"/>
    </row>
    <row r="485" spans="1:7" ht="13.5" hidden="1" thickBot="1" x14ac:dyDescent="0.25">
      <c r="A485" s="186" t="s">
        <v>108</v>
      </c>
      <c r="B485" s="179"/>
      <c r="C485" s="179"/>
      <c r="D485" s="179"/>
      <c r="E485" s="179"/>
      <c r="F485" s="179"/>
      <c r="G485" s="179"/>
    </row>
    <row r="486" spans="1:7" ht="13.5" hidden="1" customHeight="1" thickBot="1" x14ac:dyDescent="0.25">
      <c r="A486" s="1530" t="s">
        <v>109</v>
      </c>
      <c r="B486" s="1554"/>
      <c r="C486" s="1531"/>
      <c r="D486" s="63" t="s">
        <v>110</v>
      </c>
      <c r="E486" s="63" t="s">
        <v>111</v>
      </c>
      <c r="F486" s="63" t="s">
        <v>112</v>
      </c>
      <c r="G486" s="104"/>
    </row>
    <row r="487" spans="1:7" hidden="1" x14ac:dyDescent="0.2">
      <c r="A487" s="1540" t="s">
        <v>131</v>
      </c>
      <c r="B487" s="1555"/>
      <c r="C487" s="1541"/>
      <c r="D487" s="130">
        <v>2062.5</v>
      </c>
      <c r="E487" s="131">
        <v>1.5</v>
      </c>
      <c r="F487" s="130">
        <f>+E487*D487</f>
        <v>3093.75</v>
      </c>
      <c r="G487" s="132"/>
    </row>
    <row r="488" spans="1:7" hidden="1" x14ac:dyDescent="0.2">
      <c r="A488" s="1543" t="s">
        <v>953</v>
      </c>
      <c r="B488" s="1544"/>
      <c r="C488" s="1545" t="s">
        <v>4</v>
      </c>
      <c r="D488" s="135">
        <v>38462</v>
      </c>
      <c r="E488" s="136">
        <v>1.6</v>
      </c>
      <c r="F488" s="135">
        <f>+E488*D488</f>
        <v>61539.200000000004</v>
      </c>
      <c r="G488" s="137"/>
    </row>
    <row r="489" spans="1:7" hidden="1" x14ac:dyDescent="0.2">
      <c r="A489" s="1543" t="s">
        <v>147</v>
      </c>
      <c r="B489" s="1544"/>
      <c r="C489" s="1545"/>
      <c r="D489" s="135">
        <v>1500</v>
      </c>
      <c r="E489" s="136">
        <v>5</v>
      </c>
      <c r="F489" s="135">
        <f>+E489*D489</f>
        <v>7500</v>
      </c>
      <c r="G489" s="137"/>
    </row>
    <row r="490" spans="1:7" ht="13.5" hidden="1" thickBot="1" x14ac:dyDescent="0.25">
      <c r="A490" s="1542" t="s">
        <v>135</v>
      </c>
      <c r="B490" s="1564"/>
      <c r="C490" s="1535"/>
      <c r="D490" s="139">
        <v>7500</v>
      </c>
      <c r="E490" s="141">
        <f>0.2*8</f>
        <v>1.6</v>
      </c>
      <c r="F490" s="139">
        <f>+E490*D490</f>
        <v>12000</v>
      </c>
      <c r="G490" s="140"/>
    </row>
    <row r="491" spans="1:7" ht="13.5" hidden="1" thickBot="1" x14ac:dyDescent="0.25">
      <c r="A491" s="1527" t="s">
        <v>125</v>
      </c>
      <c r="B491" s="1528"/>
      <c r="C491" s="1528"/>
      <c r="D491" s="1528"/>
      <c r="E491" s="1528"/>
      <c r="F491" s="1529"/>
      <c r="G491" s="181">
        <f>SUM(F487:F490)</f>
        <v>84132.950000000012</v>
      </c>
    </row>
    <row r="492" spans="1:7" ht="13.5" hidden="1" thickBot="1" x14ac:dyDescent="0.25">
      <c r="A492" s="186" t="s">
        <v>123</v>
      </c>
      <c r="B492" s="179"/>
      <c r="C492" s="179"/>
      <c r="D492" s="179"/>
      <c r="E492" s="179"/>
      <c r="F492" s="179"/>
      <c r="G492" s="179"/>
    </row>
    <row r="493" spans="1:7" ht="13.5" hidden="1" thickBot="1" x14ac:dyDescent="0.25">
      <c r="A493" s="1530" t="s">
        <v>109</v>
      </c>
      <c r="B493" s="1531"/>
      <c r="C493" s="63" t="s">
        <v>114</v>
      </c>
      <c r="D493" s="63" t="s">
        <v>115</v>
      </c>
      <c r="E493" s="63" t="s">
        <v>116</v>
      </c>
      <c r="F493" s="63" t="s">
        <v>112</v>
      </c>
      <c r="G493" s="104"/>
    </row>
    <row r="494" spans="1:7" hidden="1" x14ac:dyDescent="0.2">
      <c r="A494" s="1546" t="s">
        <v>161</v>
      </c>
      <c r="B494" s="1547"/>
      <c r="C494" s="129" t="s">
        <v>12</v>
      </c>
      <c r="D494" s="130">
        <v>382373</v>
      </c>
      <c r="E494" s="129">
        <v>1.03</v>
      </c>
      <c r="F494" s="130">
        <f>+E494*D494</f>
        <v>393844.19</v>
      </c>
      <c r="G494" s="132"/>
    </row>
    <row r="495" spans="1:7" hidden="1" x14ac:dyDescent="0.2">
      <c r="A495" s="1536" t="s">
        <v>104</v>
      </c>
      <c r="B495" s="1537"/>
      <c r="C495" s="134" t="s">
        <v>105</v>
      </c>
      <c r="D495" s="135">
        <v>40</v>
      </c>
      <c r="E495" s="134">
        <v>50</v>
      </c>
      <c r="F495" s="135">
        <f>+E495*D495</f>
        <v>2000</v>
      </c>
      <c r="G495" s="137"/>
    </row>
    <row r="496" spans="1:7" hidden="1" x14ac:dyDescent="0.2">
      <c r="A496" s="1536"/>
      <c r="B496" s="1537"/>
      <c r="C496" s="134"/>
      <c r="D496" s="135"/>
      <c r="E496" s="134"/>
      <c r="F496" s="135"/>
      <c r="G496" s="137"/>
    </row>
    <row r="497" spans="1:7" ht="13.5" hidden="1" thickBot="1" x14ac:dyDescent="0.25">
      <c r="A497" s="1538"/>
      <c r="B497" s="1539"/>
      <c r="C497" s="138"/>
      <c r="D497" s="139"/>
      <c r="E497" s="138"/>
      <c r="F497" s="139"/>
      <c r="G497" s="140"/>
    </row>
    <row r="498" spans="1:7" ht="13.5" hidden="1" thickBot="1" x14ac:dyDescent="0.25">
      <c r="A498" s="1527" t="s">
        <v>125</v>
      </c>
      <c r="B498" s="1528"/>
      <c r="C498" s="1528"/>
      <c r="D498" s="1528"/>
      <c r="E498" s="1528"/>
      <c r="F498" s="1529" t="s">
        <v>113</v>
      </c>
      <c r="G498" s="181">
        <f>SUM(F494:F497)</f>
        <v>395844.19</v>
      </c>
    </row>
    <row r="499" spans="1:7" ht="13.5" hidden="1" thickBot="1" x14ac:dyDescent="0.25">
      <c r="A499" s="186" t="s">
        <v>117</v>
      </c>
      <c r="B499" s="179"/>
      <c r="C499" s="179"/>
      <c r="D499" s="179"/>
      <c r="E499" s="179"/>
      <c r="F499" s="179"/>
      <c r="G499" s="179"/>
    </row>
    <row r="500" spans="1:7" ht="13.5" hidden="1" thickBot="1" x14ac:dyDescent="0.25">
      <c r="A500" s="1530" t="s">
        <v>109</v>
      </c>
      <c r="B500" s="1531"/>
      <c r="C500" s="63" t="s">
        <v>114</v>
      </c>
      <c r="D500" s="63" t="s">
        <v>115</v>
      </c>
      <c r="E500" s="63" t="s">
        <v>116</v>
      </c>
      <c r="F500" s="63" t="s">
        <v>112</v>
      </c>
      <c r="G500" s="115"/>
    </row>
    <row r="501" spans="1:7" hidden="1" x14ac:dyDescent="0.2">
      <c r="A501" s="1540" t="s">
        <v>205</v>
      </c>
      <c r="B501" s="1541"/>
      <c r="C501" s="189" t="s">
        <v>159</v>
      </c>
      <c r="D501" s="130">
        <v>60714.285714285717</v>
      </c>
      <c r="E501" s="200">
        <v>0</v>
      </c>
      <c r="F501" s="135">
        <f>D501*E501</f>
        <v>0</v>
      </c>
      <c r="G501" s="132"/>
    </row>
    <row r="502" spans="1:7" ht="13.5" hidden="1" thickBot="1" x14ac:dyDescent="0.25">
      <c r="A502" s="1542"/>
      <c r="B502" s="1535"/>
      <c r="C502" s="189"/>
      <c r="D502" s="139"/>
      <c r="E502" s="201"/>
      <c r="F502" s="139">
        <f>D502*E502</f>
        <v>0</v>
      </c>
      <c r="G502" s="187"/>
    </row>
    <row r="503" spans="1:7" ht="13.5" hidden="1" thickBot="1" x14ac:dyDescent="0.25">
      <c r="A503" s="1527" t="s">
        <v>125</v>
      </c>
      <c r="B503" s="1528"/>
      <c r="C503" s="1528"/>
      <c r="D503" s="1528"/>
      <c r="E503" s="1528"/>
      <c r="F503" s="1529" t="s">
        <v>113</v>
      </c>
      <c r="G503" s="181">
        <f>SUM(F502:F502)</f>
        <v>0</v>
      </c>
    </row>
    <row r="504" spans="1:7" ht="13.5" hidden="1" thickBot="1" x14ac:dyDescent="0.25">
      <c r="A504" s="186" t="s">
        <v>119</v>
      </c>
      <c r="B504" s="179"/>
      <c r="C504" s="179"/>
      <c r="D504" s="179"/>
      <c r="E504" s="179"/>
      <c r="F504" s="179"/>
      <c r="G504" s="179"/>
    </row>
    <row r="505" spans="1:7" ht="21.75" hidden="1" thickBot="1" x14ac:dyDescent="0.25">
      <c r="A505" s="1530" t="s">
        <v>120</v>
      </c>
      <c r="B505" s="1531"/>
      <c r="C505" s="63" t="s">
        <v>121</v>
      </c>
      <c r="D505" s="63" t="s">
        <v>114</v>
      </c>
      <c r="E505" s="63" t="s">
        <v>116</v>
      </c>
      <c r="F505" s="63" t="s">
        <v>112</v>
      </c>
      <c r="G505" s="121"/>
    </row>
    <row r="506" spans="1:7" hidden="1" x14ac:dyDescent="0.2">
      <c r="A506" s="1532" t="s">
        <v>21</v>
      </c>
      <c r="B506" s="1533"/>
      <c r="C506" s="122">
        <v>7410.9600847008996</v>
      </c>
      <c r="D506" s="198">
        <v>1</v>
      </c>
      <c r="E506" s="198">
        <v>13.5</v>
      </c>
      <c r="F506" s="124">
        <f>+(C506*D506)*E506</f>
        <v>100047.96114346215</v>
      </c>
      <c r="G506" s="132"/>
    </row>
    <row r="507" spans="1:7" ht="13.5" hidden="1" thickBot="1" x14ac:dyDescent="0.25">
      <c r="A507" s="1534" t="s">
        <v>22</v>
      </c>
      <c r="B507" s="1535"/>
      <c r="C507" s="184">
        <v>4374.7823749999998</v>
      </c>
      <c r="D507" s="202">
        <v>1</v>
      </c>
      <c r="E507" s="202">
        <f>+E506</f>
        <v>13.5</v>
      </c>
      <c r="F507" s="182">
        <f>+(C507*D507)*E507</f>
        <v>59059.562062499994</v>
      </c>
      <c r="G507" s="140"/>
    </row>
    <row r="508" spans="1:7" ht="13.5" hidden="1" thickBot="1" x14ac:dyDescent="0.25">
      <c r="A508" s="1527" t="str">
        <f>+A503</f>
        <v>SUB-TOTAL</v>
      </c>
      <c r="B508" s="1528"/>
      <c r="C508" s="1528"/>
      <c r="D508" s="1528"/>
      <c r="E508" s="1528"/>
      <c r="F508" s="1529" t="s">
        <v>113</v>
      </c>
      <c r="G508" s="181">
        <f>SUM(F506:F507)</f>
        <v>159107.52320596215</v>
      </c>
    </row>
    <row r="509" spans="1:7" ht="11.25" hidden="1" customHeight="1" thickBot="1" x14ac:dyDescent="0.25">
      <c r="A509" s="179"/>
      <c r="B509" s="179"/>
      <c r="C509" s="179"/>
      <c r="D509" s="179"/>
      <c r="E509" s="179"/>
      <c r="F509" s="180"/>
      <c r="G509" s="179"/>
    </row>
    <row r="510" spans="1:7" ht="13.5" hidden="1" thickBot="1" x14ac:dyDescent="0.25">
      <c r="A510" s="1527" t="s">
        <v>156</v>
      </c>
      <c r="B510" s="1528"/>
      <c r="C510" s="1528"/>
      <c r="D510" s="1528"/>
      <c r="E510" s="1528"/>
      <c r="F510" s="1529"/>
      <c r="G510" s="178">
        <f>ROUND(G491+G498+G503+G508,0)</f>
        <v>639085</v>
      </c>
    </row>
    <row r="511" spans="1:7" hidden="1" x14ac:dyDescent="0.2"/>
    <row r="512" spans="1:7" ht="13.5" hidden="1" thickBot="1" x14ac:dyDescent="0.25"/>
    <row r="513" spans="1:7" ht="27" hidden="1" customHeight="1" x14ac:dyDescent="0.2">
      <c r="A513" s="1548" t="s">
        <v>122</v>
      </c>
      <c r="B513" s="1549"/>
      <c r="C513" s="1550"/>
      <c r="D513" s="50"/>
      <c r="E513" s="50"/>
      <c r="F513" s="50"/>
      <c r="G513" s="98"/>
    </row>
    <row r="514" spans="1:7" ht="24" hidden="1" customHeight="1" thickBot="1" x14ac:dyDescent="0.25">
      <c r="A514" s="1551" t="s">
        <v>935</v>
      </c>
      <c r="B514" s="1552"/>
      <c r="C514" s="1553"/>
      <c r="D514" s="99"/>
      <c r="E514" s="99"/>
      <c r="F514" s="99"/>
      <c r="G514" s="100"/>
    </row>
    <row r="515" spans="1:7" ht="13.5" hidden="1" thickBot="1" x14ac:dyDescent="0.25">
      <c r="A515" s="179"/>
      <c r="B515" s="179"/>
      <c r="C515" s="179"/>
      <c r="D515" s="179"/>
      <c r="E515" s="179"/>
      <c r="F515" s="179"/>
      <c r="G515" s="179"/>
    </row>
    <row r="516" spans="1:7" ht="30.75" hidden="1" customHeight="1" thickBot="1" x14ac:dyDescent="0.25">
      <c r="A516" s="1558" t="s">
        <v>936</v>
      </c>
      <c r="B516" s="1559"/>
      <c r="C516" s="1560"/>
      <c r="D516" s="1565" t="s">
        <v>179</v>
      </c>
      <c r="E516" s="1559"/>
      <c r="F516" s="1559"/>
      <c r="G516" s="1560"/>
    </row>
    <row r="517" spans="1:7" ht="13.5" hidden="1" thickBot="1" x14ac:dyDescent="0.25">
      <c r="A517" s="192"/>
      <c r="B517" s="192"/>
      <c r="C517" s="192"/>
      <c r="D517" s="192"/>
      <c r="E517" s="192"/>
      <c r="F517" s="192"/>
      <c r="G517" s="192"/>
    </row>
    <row r="518" spans="1:7" ht="12.75" hidden="1" customHeight="1" thickBot="1" x14ac:dyDescent="0.25">
      <c r="A518" s="191"/>
      <c r="B518" s="179"/>
      <c r="D518" s="60" t="s">
        <v>124</v>
      </c>
      <c r="E518" s="61" t="s">
        <v>6</v>
      </c>
      <c r="F518" s="191"/>
      <c r="G518" s="191"/>
    </row>
    <row r="519" spans="1:7" ht="13.5" hidden="1" thickBot="1" x14ac:dyDescent="0.25">
      <c r="A519" s="186" t="s">
        <v>108</v>
      </c>
      <c r="B519" s="179"/>
      <c r="C519" s="179"/>
      <c r="D519" s="179"/>
      <c r="E519" s="179"/>
      <c r="F519" s="179"/>
      <c r="G519" s="179"/>
    </row>
    <row r="520" spans="1:7" ht="13.5" hidden="1" customHeight="1" thickBot="1" x14ac:dyDescent="0.25">
      <c r="A520" s="1530" t="s">
        <v>109</v>
      </c>
      <c r="B520" s="1554"/>
      <c r="C520" s="1531"/>
      <c r="D520" s="63" t="s">
        <v>110</v>
      </c>
      <c r="E520" s="63" t="s">
        <v>111</v>
      </c>
      <c r="F520" s="63" t="s">
        <v>112</v>
      </c>
      <c r="G520" s="104"/>
    </row>
    <row r="521" spans="1:7" hidden="1" x14ac:dyDescent="0.2">
      <c r="A521" s="1540" t="s">
        <v>131</v>
      </c>
      <c r="B521" s="1555"/>
      <c r="C521" s="1541"/>
      <c r="D521" s="130">
        <v>2062.5</v>
      </c>
      <c r="E521" s="131">
        <v>1.3</v>
      </c>
      <c r="F521" s="130">
        <f>+E521*D521</f>
        <v>2681.25</v>
      </c>
      <c r="G521" s="132"/>
    </row>
    <row r="522" spans="1:7" hidden="1" x14ac:dyDescent="0.2">
      <c r="A522" s="1543" t="s">
        <v>953</v>
      </c>
      <c r="B522" s="1544"/>
      <c r="C522" s="1545" t="s">
        <v>4</v>
      </c>
      <c r="D522" s="135">
        <v>38462</v>
      </c>
      <c r="E522" s="136">
        <v>0.16</v>
      </c>
      <c r="F522" s="135">
        <f>+E522*D522</f>
        <v>6153.92</v>
      </c>
      <c r="G522" s="137"/>
    </row>
    <row r="523" spans="1:7" ht="13.5" hidden="1" thickBot="1" x14ac:dyDescent="0.25">
      <c r="A523" s="1543" t="s">
        <v>147</v>
      </c>
      <c r="B523" s="1544"/>
      <c r="C523" s="1545"/>
      <c r="D523" s="135">
        <v>1500</v>
      </c>
      <c r="E523" s="136">
        <v>0.7</v>
      </c>
      <c r="F523" s="135">
        <f>+E523*D523</f>
        <v>1050</v>
      </c>
      <c r="G523" s="137"/>
    </row>
    <row r="524" spans="1:7" ht="13.5" hidden="1" thickBot="1" x14ac:dyDescent="0.25">
      <c r="A524" s="1527" t="s">
        <v>125</v>
      </c>
      <c r="B524" s="1528"/>
      <c r="C524" s="1528"/>
      <c r="D524" s="1528"/>
      <c r="E524" s="1528"/>
      <c r="F524" s="1529"/>
      <c r="G524" s="181">
        <f>SUM(F521:F523)</f>
        <v>9885.17</v>
      </c>
    </row>
    <row r="525" spans="1:7" ht="13.5" hidden="1" thickBot="1" x14ac:dyDescent="0.25">
      <c r="A525" s="186" t="s">
        <v>123</v>
      </c>
      <c r="B525" s="179"/>
      <c r="C525" s="179"/>
      <c r="D525" s="179"/>
      <c r="E525" s="179"/>
      <c r="F525" s="179"/>
      <c r="G525" s="179"/>
    </row>
    <row r="526" spans="1:7" ht="13.5" hidden="1" thickBot="1" x14ac:dyDescent="0.25">
      <c r="A526" s="1530" t="s">
        <v>109</v>
      </c>
      <c r="B526" s="1531"/>
      <c r="C526" s="63" t="s">
        <v>114</v>
      </c>
      <c r="D526" s="63" t="s">
        <v>115</v>
      </c>
      <c r="E526" s="63" t="s">
        <v>116</v>
      </c>
      <c r="F526" s="63" t="s">
        <v>112</v>
      </c>
      <c r="G526" s="104"/>
    </row>
    <row r="527" spans="1:7" hidden="1" x14ac:dyDescent="0.2">
      <c r="A527" s="1546" t="s">
        <v>161</v>
      </c>
      <c r="B527" s="1547"/>
      <c r="C527" s="129" t="s">
        <v>12</v>
      </c>
      <c r="D527" s="130">
        <v>382373</v>
      </c>
      <c r="E527" s="129">
        <v>3.5999999999999997E-2</v>
      </c>
      <c r="F527" s="130">
        <f>+E527*D527</f>
        <v>13765.427999999998</v>
      </c>
      <c r="G527" s="132"/>
    </row>
    <row r="528" spans="1:7" hidden="1" x14ac:dyDescent="0.2">
      <c r="A528" s="1536" t="s">
        <v>163</v>
      </c>
      <c r="B528" s="1537"/>
      <c r="C528" s="134" t="s">
        <v>7</v>
      </c>
      <c r="D528" s="135">
        <v>2650</v>
      </c>
      <c r="E528" s="134">
        <v>0.88</v>
      </c>
      <c r="F528" s="135">
        <f>+E528*D528</f>
        <v>2332</v>
      </c>
      <c r="G528" s="137"/>
    </row>
    <row r="529" spans="1:7" hidden="1" x14ac:dyDescent="0.2">
      <c r="A529" s="1536" t="s">
        <v>164</v>
      </c>
      <c r="B529" s="1537"/>
      <c r="C529" s="134" t="s">
        <v>7</v>
      </c>
      <c r="D529" s="135">
        <v>2650</v>
      </c>
      <c r="E529" s="134">
        <v>2.2400000000000002</v>
      </c>
      <c r="F529" s="135">
        <f>+E529*D529</f>
        <v>5936.0000000000009</v>
      </c>
      <c r="G529" s="137"/>
    </row>
    <row r="530" spans="1:7" ht="13.5" hidden="1" thickBot="1" x14ac:dyDescent="0.25">
      <c r="A530" s="1538" t="s">
        <v>104</v>
      </c>
      <c r="B530" s="1539"/>
      <c r="C530" s="138" t="s">
        <v>105</v>
      </c>
      <c r="D530" s="139">
        <v>40</v>
      </c>
      <c r="E530" s="138">
        <v>15</v>
      </c>
      <c r="F530" s="139">
        <f>+E530*D530</f>
        <v>600</v>
      </c>
      <c r="G530" s="140"/>
    </row>
    <row r="531" spans="1:7" ht="13.5" hidden="1" thickBot="1" x14ac:dyDescent="0.25">
      <c r="A531" s="1527" t="s">
        <v>125</v>
      </c>
      <c r="B531" s="1528"/>
      <c r="C531" s="1528"/>
      <c r="D531" s="1528"/>
      <c r="E531" s="1528"/>
      <c r="F531" s="1529" t="s">
        <v>113</v>
      </c>
      <c r="G531" s="181">
        <f>SUM(F527:F530)</f>
        <v>22633.428</v>
      </c>
    </row>
    <row r="532" spans="1:7" ht="13.5" hidden="1" thickBot="1" x14ac:dyDescent="0.25">
      <c r="A532" s="186" t="s">
        <v>117</v>
      </c>
      <c r="B532" s="179"/>
      <c r="C532" s="179"/>
      <c r="D532" s="179"/>
      <c r="E532" s="179"/>
      <c r="F532" s="179"/>
      <c r="G532" s="179"/>
    </row>
    <row r="533" spans="1:7" ht="13.5" hidden="1" thickBot="1" x14ac:dyDescent="0.25">
      <c r="A533" s="1530" t="s">
        <v>109</v>
      </c>
      <c r="B533" s="1531"/>
      <c r="C533" s="63" t="s">
        <v>114</v>
      </c>
      <c r="D533" s="63" t="s">
        <v>115</v>
      </c>
      <c r="E533" s="63" t="s">
        <v>116</v>
      </c>
      <c r="F533" s="63" t="s">
        <v>112</v>
      </c>
      <c r="G533" s="115"/>
    </row>
    <row r="534" spans="1:7" hidden="1" x14ac:dyDescent="0.2">
      <c r="A534" s="1540" t="s">
        <v>205</v>
      </c>
      <c r="B534" s="1541"/>
      <c r="C534" s="189" t="s">
        <v>159</v>
      </c>
      <c r="D534" s="130">
        <v>60714.285714285717</v>
      </c>
      <c r="E534" s="200">
        <v>0</v>
      </c>
      <c r="F534" s="135">
        <f>D534*E534</f>
        <v>0</v>
      </c>
      <c r="G534" s="132"/>
    </row>
    <row r="535" spans="1:7" ht="13.5" hidden="1" thickBot="1" x14ac:dyDescent="0.25">
      <c r="A535" s="1542"/>
      <c r="B535" s="1535"/>
      <c r="C535" s="189"/>
      <c r="D535" s="139"/>
      <c r="E535" s="201"/>
      <c r="F535" s="139">
        <f>D535*E535</f>
        <v>0</v>
      </c>
      <c r="G535" s="187"/>
    </row>
    <row r="536" spans="1:7" ht="13.5" hidden="1" thickBot="1" x14ac:dyDescent="0.25">
      <c r="A536" s="1527" t="s">
        <v>125</v>
      </c>
      <c r="B536" s="1528"/>
      <c r="C536" s="1528"/>
      <c r="D536" s="1528"/>
      <c r="E536" s="1528"/>
      <c r="F536" s="1529" t="s">
        <v>113</v>
      </c>
      <c r="G536" s="181">
        <f>SUM(F535:F535)</f>
        <v>0</v>
      </c>
    </row>
    <row r="537" spans="1:7" ht="13.5" hidden="1" thickBot="1" x14ac:dyDescent="0.25">
      <c r="A537" s="186" t="s">
        <v>119</v>
      </c>
      <c r="B537" s="179"/>
      <c r="C537" s="179"/>
      <c r="D537" s="179"/>
      <c r="E537" s="179"/>
      <c r="F537" s="179"/>
      <c r="G537" s="179"/>
    </row>
    <row r="538" spans="1:7" ht="21.75" hidden="1" thickBot="1" x14ac:dyDescent="0.25">
      <c r="A538" s="1530" t="s">
        <v>120</v>
      </c>
      <c r="B538" s="1531"/>
      <c r="C538" s="63" t="s">
        <v>121</v>
      </c>
      <c r="D538" s="63" t="s">
        <v>114</v>
      </c>
      <c r="E538" s="63" t="s">
        <v>116</v>
      </c>
      <c r="F538" s="63" t="s">
        <v>112</v>
      </c>
      <c r="G538" s="121"/>
    </row>
    <row r="539" spans="1:7" hidden="1" x14ac:dyDescent="0.2">
      <c r="A539" s="1532" t="s">
        <v>21</v>
      </c>
      <c r="B539" s="1533"/>
      <c r="C539" s="122">
        <v>7410.9600847008996</v>
      </c>
      <c r="D539" s="198">
        <v>1</v>
      </c>
      <c r="E539" s="198">
        <v>0.95</v>
      </c>
      <c r="F539" s="124">
        <f>+(C539*D539)*E539</f>
        <v>7040.4120804658542</v>
      </c>
      <c r="G539" s="132"/>
    </row>
    <row r="540" spans="1:7" ht="13.5" hidden="1" thickBot="1" x14ac:dyDescent="0.25">
      <c r="A540" s="1534" t="s">
        <v>22</v>
      </c>
      <c r="B540" s="1535"/>
      <c r="C540" s="184">
        <v>4374.7823749999998</v>
      </c>
      <c r="D540" s="202">
        <v>1</v>
      </c>
      <c r="E540" s="202">
        <f>+E539</f>
        <v>0.95</v>
      </c>
      <c r="F540" s="182">
        <f>+(C540*D540)*E540</f>
        <v>4156.04325625</v>
      </c>
      <c r="G540" s="140"/>
    </row>
    <row r="541" spans="1:7" ht="13.5" hidden="1" thickBot="1" x14ac:dyDescent="0.25">
      <c r="A541" s="1527" t="str">
        <f>+A536</f>
        <v>SUB-TOTAL</v>
      </c>
      <c r="B541" s="1528"/>
      <c r="C541" s="1528"/>
      <c r="D541" s="1528"/>
      <c r="E541" s="1528"/>
      <c r="F541" s="1529" t="s">
        <v>113</v>
      </c>
      <c r="G541" s="181">
        <f>SUM(F539:F540)</f>
        <v>11196.455336715855</v>
      </c>
    </row>
    <row r="542" spans="1:7" ht="11.25" hidden="1" customHeight="1" thickBot="1" x14ac:dyDescent="0.25">
      <c r="A542" s="179"/>
      <c r="B542" s="179"/>
      <c r="C542" s="179"/>
      <c r="D542" s="179"/>
      <c r="E542" s="179"/>
      <c r="F542" s="180"/>
      <c r="G542" s="179"/>
    </row>
    <row r="543" spans="1:7" ht="13.5" hidden="1" thickBot="1" x14ac:dyDescent="0.25">
      <c r="A543" s="1527" t="s">
        <v>156</v>
      </c>
      <c r="B543" s="1528"/>
      <c r="C543" s="1528"/>
      <c r="D543" s="1528"/>
      <c r="E543" s="1528"/>
      <c r="F543" s="1529"/>
      <c r="G543" s="178">
        <f>ROUND(G524+G531+G536+G541,0)</f>
        <v>43715</v>
      </c>
    </row>
    <row r="544" spans="1:7" hidden="1" x14ac:dyDescent="0.2"/>
    <row r="545" spans="1:7" ht="13.5" hidden="1" thickBot="1" x14ac:dyDescent="0.25"/>
    <row r="546" spans="1:7" ht="27" hidden="1" customHeight="1" x14ac:dyDescent="0.2">
      <c r="A546" s="1548" t="s">
        <v>122</v>
      </c>
      <c r="B546" s="1549"/>
      <c r="C546" s="1550"/>
      <c r="D546" s="50"/>
      <c r="E546" s="50"/>
      <c r="F546" s="50"/>
      <c r="G546" s="98"/>
    </row>
    <row r="547" spans="1:7" ht="24" hidden="1" customHeight="1" thickBot="1" x14ac:dyDescent="0.25">
      <c r="A547" s="1551" t="s">
        <v>935</v>
      </c>
      <c r="B547" s="1552"/>
      <c r="C547" s="1553"/>
      <c r="D547" s="99"/>
      <c r="E547" s="99"/>
      <c r="F547" s="99"/>
      <c r="G547" s="100"/>
    </row>
    <row r="548" spans="1:7" ht="13.5" hidden="1" thickBot="1" x14ac:dyDescent="0.25">
      <c r="A548" s="179"/>
      <c r="B548" s="179"/>
      <c r="C548" s="179"/>
      <c r="D548" s="179"/>
      <c r="E548" s="179"/>
      <c r="F548" s="179"/>
      <c r="G548" s="179"/>
    </row>
    <row r="549" spans="1:7" ht="30.75" hidden="1" customHeight="1" thickBot="1" x14ac:dyDescent="0.25">
      <c r="A549" s="1558" t="s">
        <v>936</v>
      </c>
      <c r="B549" s="1559"/>
      <c r="C549" s="1560"/>
      <c r="D549" s="1565" t="s">
        <v>180</v>
      </c>
      <c r="E549" s="1559"/>
      <c r="F549" s="1559"/>
      <c r="G549" s="1560"/>
    </row>
    <row r="550" spans="1:7" ht="13.5" hidden="1" thickBot="1" x14ac:dyDescent="0.25">
      <c r="A550" s="192"/>
      <c r="B550" s="192"/>
      <c r="C550" s="192"/>
      <c r="D550" s="192"/>
      <c r="E550" s="192"/>
      <c r="F550" s="192"/>
      <c r="G550" s="192"/>
    </row>
    <row r="551" spans="1:7" ht="12.75" hidden="1" customHeight="1" thickBot="1" x14ac:dyDescent="0.25">
      <c r="A551" s="191"/>
      <c r="B551" s="179"/>
      <c r="D551" s="60" t="s">
        <v>124</v>
      </c>
      <c r="E551" s="61" t="s">
        <v>6</v>
      </c>
      <c r="F551" s="191"/>
      <c r="G551" s="191"/>
    </row>
    <row r="552" spans="1:7" ht="13.5" hidden="1" thickBot="1" x14ac:dyDescent="0.25">
      <c r="A552" s="186" t="s">
        <v>108</v>
      </c>
      <c r="B552" s="179"/>
      <c r="C552" s="179"/>
      <c r="D552" s="179"/>
      <c r="E552" s="179"/>
      <c r="F552" s="179"/>
      <c r="G552" s="179"/>
    </row>
    <row r="553" spans="1:7" ht="13.5" hidden="1" customHeight="1" thickBot="1" x14ac:dyDescent="0.25">
      <c r="A553" s="1530" t="s">
        <v>109</v>
      </c>
      <c r="B553" s="1554"/>
      <c r="C553" s="1531"/>
      <c r="D553" s="63" t="s">
        <v>110</v>
      </c>
      <c r="E553" s="63" t="s">
        <v>111</v>
      </c>
      <c r="F553" s="63" t="s">
        <v>112</v>
      </c>
      <c r="G553" s="104"/>
    </row>
    <row r="554" spans="1:7" hidden="1" x14ac:dyDescent="0.2">
      <c r="A554" s="1540" t="s">
        <v>131</v>
      </c>
      <c r="B554" s="1555"/>
      <c r="C554" s="1541"/>
      <c r="D554" s="130">
        <v>2062.5</v>
      </c>
      <c r="E554" s="131">
        <f>+E573</f>
        <v>1.8</v>
      </c>
      <c r="F554" s="130">
        <f>+E554*D554</f>
        <v>3712.5</v>
      </c>
      <c r="G554" s="132"/>
    </row>
    <row r="555" spans="1:7" hidden="1" x14ac:dyDescent="0.2">
      <c r="A555" s="1543" t="s">
        <v>953</v>
      </c>
      <c r="B555" s="1544"/>
      <c r="C555" s="1545" t="s">
        <v>4</v>
      </c>
      <c r="D555" s="135">
        <v>38462</v>
      </c>
      <c r="E555" s="136">
        <v>0.18</v>
      </c>
      <c r="F555" s="135">
        <f>+E555*D555</f>
        <v>6923.16</v>
      </c>
      <c r="G555" s="137"/>
    </row>
    <row r="556" spans="1:7" hidden="1" x14ac:dyDescent="0.2">
      <c r="A556" s="1543" t="s">
        <v>147</v>
      </c>
      <c r="B556" s="1544"/>
      <c r="C556" s="1545"/>
      <c r="D556" s="135">
        <v>1500</v>
      </c>
      <c r="E556" s="136">
        <v>1.4</v>
      </c>
      <c r="F556" s="135">
        <f>+E556*D556</f>
        <v>2100</v>
      </c>
      <c r="G556" s="137"/>
    </row>
    <row r="557" spans="1:7" ht="13.5" hidden="1" thickBot="1" x14ac:dyDescent="0.25">
      <c r="A557" s="1542" t="s">
        <v>135</v>
      </c>
      <c r="B557" s="1564"/>
      <c r="C557" s="1535"/>
      <c r="D557" s="139">
        <v>7500</v>
      </c>
      <c r="E557" s="141">
        <f>0.02*8</f>
        <v>0.16</v>
      </c>
      <c r="F557" s="139">
        <f>+E557*D557</f>
        <v>1200</v>
      </c>
      <c r="G557" s="140"/>
    </row>
    <row r="558" spans="1:7" ht="13.5" hidden="1" thickBot="1" x14ac:dyDescent="0.25">
      <c r="A558" s="1527" t="s">
        <v>125</v>
      </c>
      <c r="B558" s="1528"/>
      <c r="C558" s="1528"/>
      <c r="D558" s="1528"/>
      <c r="E558" s="1528"/>
      <c r="F558" s="1529"/>
      <c r="G558" s="181">
        <f>SUM(F554:F557)</f>
        <v>13935.66</v>
      </c>
    </row>
    <row r="559" spans="1:7" ht="13.5" hidden="1" thickBot="1" x14ac:dyDescent="0.25">
      <c r="A559" s="186" t="s">
        <v>123</v>
      </c>
      <c r="B559" s="179"/>
      <c r="C559" s="179"/>
      <c r="D559" s="179"/>
      <c r="E559" s="179"/>
      <c r="F559" s="179"/>
      <c r="G559" s="179"/>
    </row>
    <row r="560" spans="1:7" ht="13.5" hidden="1" thickBot="1" x14ac:dyDescent="0.25">
      <c r="A560" s="1530" t="s">
        <v>109</v>
      </c>
      <c r="B560" s="1531"/>
      <c r="C560" s="63" t="s">
        <v>114</v>
      </c>
      <c r="D560" s="63" t="s">
        <v>115</v>
      </c>
      <c r="E560" s="63" t="s">
        <v>116</v>
      </c>
      <c r="F560" s="63" t="s">
        <v>112</v>
      </c>
      <c r="G560" s="104"/>
    </row>
    <row r="561" spans="1:7" hidden="1" x14ac:dyDescent="0.2">
      <c r="A561" s="1546" t="s">
        <v>161</v>
      </c>
      <c r="B561" s="1547"/>
      <c r="C561" s="129" t="s">
        <v>12</v>
      </c>
      <c r="D561" s="130">
        <v>382373</v>
      </c>
      <c r="E561" s="129">
        <v>0.09</v>
      </c>
      <c r="F561" s="130">
        <f>+E561*D561</f>
        <v>34413.57</v>
      </c>
      <c r="G561" s="132"/>
    </row>
    <row r="562" spans="1:7" hidden="1" x14ac:dyDescent="0.2">
      <c r="A562" s="1536" t="s">
        <v>163</v>
      </c>
      <c r="B562" s="1537"/>
      <c r="C562" s="134" t="s">
        <v>7</v>
      </c>
      <c r="D562" s="135">
        <v>2650</v>
      </c>
      <c r="E562" s="134">
        <v>3.87</v>
      </c>
      <c r="F562" s="135">
        <f>+E562*D562</f>
        <v>10255.5</v>
      </c>
      <c r="G562" s="137"/>
    </row>
    <row r="563" spans="1:7" hidden="1" x14ac:dyDescent="0.2">
      <c r="A563" s="1536" t="s">
        <v>164</v>
      </c>
      <c r="B563" s="1537"/>
      <c r="C563" s="134" t="s">
        <v>7</v>
      </c>
      <c r="D563" s="135">
        <v>2650</v>
      </c>
      <c r="E563" s="134">
        <v>7.75</v>
      </c>
      <c r="F563" s="135">
        <f>+E563*D563</f>
        <v>20537.5</v>
      </c>
      <c r="G563" s="137"/>
    </row>
    <row r="564" spans="1:7" ht="13.5" hidden="1" thickBot="1" x14ac:dyDescent="0.25">
      <c r="A564" s="1538" t="s">
        <v>104</v>
      </c>
      <c r="B564" s="1539"/>
      <c r="C564" s="138" t="s">
        <v>105</v>
      </c>
      <c r="D564" s="139">
        <v>40</v>
      </c>
      <c r="E564" s="138">
        <v>15</v>
      </c>
      <c r="F564" s="139">
        <f>+E564*D564</f>
        <v>600</v>
      </c>
      <c r="G564" s="140"/>
    </row>
    <row r="565" spans="1:7" ht="13.5" hidden="1" thickBot="1" x14ac:dyDescent="0.25">
      <c r="A565" s="1527" t="s">
        <v>125</v>
      </c>
      <c r="B565" s="1528"/>
      <c r="C565" s="1528"/>
      <c r="D565" s="1528"/>
      <c r="E565" s="1528"/>
      <c r="F565" s="1529" t="s">
        <v>113</v>
      </c>
      <c r="G565" s="181">
        <f>SUM(F561:F564)</f>
        <v>65806.570000000007</v>
      </c>
    </row>
    <row r="566" spans="1:7" ht="13.5" hidden="1" thickBot="1" x14ac:dyDescent="0.25">
      <c r="A566" s="186" t="s">
        <v>117</v>
      </c>
      <c r="B566" s="179"/>
      <c r="C566" s="179"/>
      <c r="D566" s="179"/>
      <c r="E566" s="179"/>
      <c r="F566" s="179"/>
      <c r="G566" s="179"/>
    </row>
    <row r="567" spans="1:7" ht="13.5" hidden="1" thickBot="1" x14ac:dyDescent="0.25">
      <c r="A567" s="1530" t="s">
        <v>109</v>
      </c>
      <c r="B567" s="1531"/>
      <c r="C567" s="63" t="s">
        <v>114</v>
      </c>
      <c r="D567" s="63" t="s">
        <v>115</v>
      </c>
      <c r="E567" s="63" t="s">
        <v>116</v>
      </c>
      <c r="F567" s="63" t="s">
        <v>112</v>
      </c>
      <c r="G567" s="115"/>
    </row>
    <row r="568" spans="1:7" hidden="1" x14ac:dyDescent="0.2">
      <c r="A568" s="1540" t="s">
        <v>205</v>
      </c>
      <c r="B568" s="1541"/>
      <c r="C568" s="189" t="s">
        <v>159</v>
      </c>
      <c r="D568" s="130">
        <v>60714.285714285717</v>
      </c>
      <c r="E568" s="200">
        <v>0</v>
      </c>
      <c r="F568" s="135">
        <f>D568*E568</f>
        <v>0</v>
      </c>
      <c r="G568" s="132"/>
    </row>
    <row r="569" spans="1:7" ht="13.5" hidden="1" thickBot="1" x14ac:dyDescent="0.25">
      <c r="A569" s="1542"/>
      <c r="B569" s="1535"/>
      <c r="C569" s="189"/>
      <c r="D569" s="139"/>
      <c r="E569" s="201"/>
      <c r="F569" s="139">
        <f>D569*E569</f>
        <v>0</v>
      </c>
      <c r="G569" s="187"/>
    </row>
    <row r="570" spans="1:7" ht="13.5" hidden="1" thickBot="1" x14ac:dyDescent="0.25">
      <c r="A570" s="1527" t="s">
        <v>125</v>
      </c>
      <c r="B570" s="1528"/>
      <c r="C570" s="1528"/>
      <c r="D570" s="1528"/>
      <c r="E570" s="1528"/>
      <c r="F570" s="1529" t="s">
        <v>113</v>
      </c>
      <c r="G570" s="181">
        <f>SUM(F569:F569)</f>
        <v>0</v>
      </c>
    </row>
    <row r="571" spans="1:7" ht="13.5" hidden="1" thickBot="1" x14ac:dyDescent="0.25">
      <c r="A571" s="186" t="s">
        <v>119</v>
      </c>
      <c r="B571" s="179"/>
      <c r="C571" s="179"/>
      <c r="D571" s="179"/>
      <c r="E571" s="179"/>
      <c r="F571" s="179"/>
      <c r="G571" s="179"/>
    </row>
    <row r="572" spans="1:7" ht="21.75" hidden="1" thickBot="1" x14ac:dyDescent="0.25">
      <c r="A572" s="1530" t="s">
        <v>120</v>
      </c>
      <c r="B572" s="1531"/>
      <c r="C572" s="63" t="s">
        <v>121</v>
      </c>
      <c r="D572" s="63" t="s">
        <v>114</v>
      </c>
      <c r="E572" s="63" t="s">
        <v>116</v>
      </c>
      <c r="F572" s="63" t="s">
        <v>112</v>
      </c>
      <c r="G572" s="121"/>
    </row>
    <row r="573" spans="1:7" hidden="1" x14ac:dyDescent="0.2">
      <c r="A573" s="1532" t="s">
        <v>21</v>
      </c>
      <c r="B573" s="1533"/>
      <c r="C573" s="122">
        <v>7410.9600847008996</v>
      </c>
      <c r="D573" s="198">
        <v>1</v>
      </c>
      <c r="E573" s="198">
        <v>1.8</v>
      </c>
      <c r="F573" s="124">
        <f>+(C573*D573)*E573</f>
        <v>13339.728152461619</v>
      </c>
      <c r="G573" s="132"/>
    </row>
    <row r="574" spans="1:7" ht="13.5" hidden="1" thickBot="1" x14ac:dyDescent="0.25">
      <c r="A574" s="1534" t="s">
        <v>22</v>
      </c>
      <c r="B574" s="1535"/>
      <c r="C574" s="184">
        <v>4374.7823749999998</v>
      </c>
      <c r="D574" s="202">
        <v>1</v>
      </c>
      <c r="E574" s="202">
        <f>+E573</f>
        <v>1.8</v>
      </c>
      <c r="F574" s="182">
        <f>+(C574*D574)*E574</f>
        <v>7874.6082749999996</v>
      </c>
      <c r="G574" s="140"/>
    </row>
    <row r="575" spans="1:7" ht="13.5" hidden="1" thickBot="1" x14ac:dyDescent="0.25">
      <c r="A575" s="1527" t="str">
        <f>+A570</f>
        <v>SUB-TOTAL</v>
      </c>
      <c r="B575" s="1528"/>
      <c r="C575" s="1528"/>
      <c r="D575" s="1528"/>
      <c r="E575" s="1528"/>
      <c r="F575" s="1529" t="s">
        <v>113</v>
      </c>
      <c r="G575" s="181">
        <f>SUM(F573:F574)</f>
        <v>21214.336427461618</v>
      </c>
    </row>
    <row r="576" spans="1:7" ht="11.25" hidden="1" customHeight="1" thickBot="1" x14ac:dyDescent="0.25">
      <c r="A576" s="179"/>
      <c r="B576" s="179"/>
      <c r="C576" s="179"/>
      <c r="D576" s="179"/>
      <c r="E576" s="179"/>
      <c r="F576" s="180"/>
      <c r="G576" s="179"/>
    </row>
    <row r="577" spans="1:7" ht="13.5" hidden="1" thickBot="1" x14ac:dyDescent="0.25">
      <c r="A577" s="1527" t="s">
        <v>156</v>
      </c>
      <c r="B577" s="1528"/>
      <c r="C577" s="1528"/>
      <c r="D577" s="1528"/>
      <c r="E577" s="1528"/>
      <c r="F577" s="1529"/>
      <c r="G577" s="178">
        <f>ROUND(G558+G565+G570+G575,0)</f>
        <v>100957</v>
      </c>
    </row>
    <row r="578" spans="1:7" hidden="1" x14ac:dyDescent="0.2"/>
    <row r="579" spans="1:7" ht="13.5" hidden="1" thickBot="1" x14ac:dyDescent="0.25"/>
    <row r="580" spans="1:7" ht="27" hidden="1" customHeight="1" x14ac:dyDescent="0.2">
      <c r="A580" s="1548" t="s">
        <v>122</v>
      </c>
      <c r="B580" s="1549"/>
      <c r="C580" s="1550"/>
      <c r="D580" s="50"/>
      <c r="E580" s="50"/>
      <c r="F580" s="50"/>
      <c r="G580" s="98"/>
    </row>
    <row r="581" spans="1:7" ht="24" hidden="1" customHeight="1" thickBot="1" x14ac:dyDescent="0.25">
      <c r="A581" s="1551" t="s">
        <v>935</v>
      </c>
      <c r="B581" s="1552"/>
      <c r="C581" s="1553"/>
      <c r="D581" s="99"/>
      <c r="E581" s="99"/>
      <c r="F581" s="99"/>
      <c r="G581" s="100"/>
    </row>
    <row r="582" spans="1:7" ht="13.5" hidden="1" thickBot="1" x14ac:dyDescent="0.25">
      <c r="A582" s="179"/>
      <c r="B582" s="179"/>
      <c r="C582" s="179"/>
      <c r="D582" s="179"/>
      <c r="E582" s="179"/>
      <c r="F582" s="179"/>
      <c r="G582" s="179"/>
    </row>
    <row r="583" spans="1:7" ht="30.75" hidden="1" customHeight="1" thickBot="1" x14ac:dyDescent="0.25">
      <c r="A583" s="1558" t="s">
        <v>936</v>
      </c>
      <c r="B583" s="1559"/>
      <c r="C583" s="1560"/>
      <c r="D583" s="1565" t="s">
        <v>182</v>
      </c>
      <c r="E583" s="1559"/>
      <c r="F583" s="1559"/>
      <c r="G583" s="1560"/>
    </row>
    <row r="584" spans="1:7" ht="13.5" hidden="1" thickBot="1" x14ac:dyDescent="0.25">
      <c r="A584" s="192"/>
      <c r="B584" s="192"/>
      <c r="C584" s="192"/>
      <c r="D584" s="192"/>
      <c r="E584" s="192"/>
      <c r="F584" s="192"/>
      <c r="G584" s="192"/>
    </row>
    <row r="585" spans="1:7" ht="12.75" hidden="1" customHeight="1" thickBot="1" x14ac:dyDescent="0.25">
      <c r="A585" s="191"/>
      <c r="B585" s="179"/>
      <c r="D585" s="60" t="s">
        <v>124</v>
      </c>
      <c r="E585" s="61" t="s">
        <v>6</v>
      </c>
      <c r="F585" s="191"/>
      <c r="G585" s="191"/>
    </row>
    <row r="586" spans="1:7" ht="13.5" hidden="1" thickBot="1" x14ac:dyDescent="0.25">
      <c r="A586" s="186" t="s">
        <v>108</v>
      </c>
      <c r="B586" s="179"/>
      <c r="C586" s="179"/>
      <c r="D586" s="179"/>
      <c r="E586" s="179"/>
      <c r="F586" s="179"/>
      <c r="G586" s="179"/>
    </row>
    <row r="587" spans="1:7" ht="13.5" hidden="1" customHeight="1" thickBot="1" x14ac:dyDescent="0.25">
      <c r="A587" s="1530" t="s">
        <v>109</v>
      </c>
      <c r="B587" s="1554"/>
      <c r="C587" s="1531"/>
      <c r="D587" s="63" t="s">
        <v>110</v>
      </c>
      <c r="E587" s="63" t="s">
        <v>111</v>
      </c>
      <c r="F587" s="63" t="s">
        <v>112</v>
      </c>
      <c r="G587" s="104"/>
    </row>
    <row r="588" spans="1:7" hidden="1" x14ac:dyDescent="0.2">
      <c r="A588" s="1540" t="s">
        <v>131</v>
      </c>
      <c r="B588" s="1555"/>
      <c r="C588" s="1541"/>
      <c r="D588" s="130">
        <v>2062.5</v>
      </c>
      <c r="E588" s="131">
        <f>+E607</f>
        <v>1.8</v>
      </c>
      <c r="F588" s="130">
        <f>+E588*D588</f>
        <v>3712.5</v>
      </c>
      <c r="G588" s="132"/>
    </row>
    <row r="589" spans="1:7" hidden="1" x14ac:dyDescent="0.2">
      <c r="A589" s="1543" t="s">
        <v>953</v>
      </c>
      <c r="B589" s="1544"/>
      <c r="C589" s="1545" t="s">
        <v>4</v>
      </c>
      <c r="D589" s="135">
        <v>38462</v>
      </c>
      <c r="E589" s="136">
        <v>0.18</v>
      </c>
      <c r="F589" s="135">
        <f>+E589*D589</f>
        <v>6923.16</v>
      </c>
      <c r="G589" s="137"/>
    </row>
    <row r="590" spans="1:7" hidden="1" x14ac:dyDescent="0.2">
      <c r="A590" s="1543" t="s">
        <v>147</v>
      </c>
      <c r="B590" s="1544"/>
      <c r="C590" s="1545"/>
      <c r="D590" s="135">
        <v>1500</v>
      </c>
      <c r="E590" s="136">
        <v>1.4</v>
      </c>
      <c r="F590" s="135">
        <f>+E590*D590</f>
        <v>2100</v>
      </c>
      <c r="G590" s="137"/>
    </row>
    <row r="591" spans="1:7" ht="13.5" hidden="1" thickBot="1" x14ac:dyDescent="0.25">
      <c r="A591" s="1542" t="s">
        <v>135</v>
      </c>
      <c r="B591" s="1564"/>
      <c r="C591" s="1535"/>
      <c r="D591" s="139">
        <v>7500</v>
      </c>
      <c r="E591" s="141">
        <f>0.02*8</f>
        <v>0.16</v>
      </c>
      <c r="F591" s="139">
        <f>+E591*D591</f>
        <v>1200</v>
      </c>
      <c r="G591" s="140"/>
    </row>
    <row r="592" spans="1:7" ht="13.5" hidden="1" thickBot="1" x14ac:dyDescent="0.25">
      <c r="A592" s="1527" t="s">
        <v>125</v>
      </c>
      <c r="B592" s="1528"/>
      <c r="C592" s="1528"/>
      <c r="D592" s="1528"/>
      <c r="E592" s="1528"/>
      <c r="F592" s="1529"/>
      <c r="G592" s="181">
        <f>SUM(F588:F591)</f>
        <v>13935.66</v>
      </c>
    </row>
    <row r="593" spans="1:7" ht="13.5" hidden="1" thickBot="1" x14ac:dyDescent="0.25">
      <c r="A593" s="186" t="s">
        <v>123</v>
      </c>
      <c r="B593" s="179"/>
      <c r="C593" s="179"/>
      <c r="D593" s="179"/>
      <c r="E593" s="179"/>
      <c r="F593" s="179"/>
      <c r="G593" s="179"/>
    </row>
    <row r="594" spans="1:7" ht="13.5" hidden="1" thickBot="1" x14ac:dyDescent="0.25">
      <c r="A594" s="1530" t="s">
        <v>109</v>
      </c>
      <c r="B594" s="1531"/>
      <c r="C594" s="63" t="s">
        <v>114</v>
      </c>
      <c r="D594" s="63" t="s">
        <v>115</v>
      </c>
      <c r="E594" s="63" t="s">
        <v>116</v>
      </c>
      <c r="F594" s="63" t="s">
        <v>112</v>
      </c>
      <c r="G594" s="104"/>
    </row>
    <row r="595" spans="1:7" hidden="1" x14ac:dyDescent="0.2">
      <c r="A595" s="1546" t="s">
        <v>161</v>
      </c>
      <c r="B595" s="1547"/>
      <c r="C595" s="129" t="s">
        <v>12</v>
      </c>
      <c r="D595" s="130">
        <v>382373</v>
      </c>
      <c r="E595" s="129">
        <v>9.2999999999999999E-2</v>
      </c>
      <c r="F595" s="130">
        <f>+E595*D595</f>
        <v>35560.688999999998</v>
      </c>
      <c r="G595" s="132"/>
    </row>
    <row r="596" spans="1:7" hidden="1" x14ac:dyDescent="0.2">
      <c r="A596" s="1536" t="s">
        <v>163</v>
      </c>
      <c r="B596" s="1537"/>
      <c r="C596" s="134" t="s">
        <v>7</v>
      </c>
      <c r="D596" s="135">
        <v>2650</v>
      </c>
      <c r="E596" s="134">
        <v>6.02</v>
      </c>
      <c r="F596" s="135">
        <f>+E596*D596</f>
        <v>15952.999999999998</v>
      </c>
      <c r="G596" s="137"/>
    </row>
    <row r="597" spans="1:7" hidden="1" x14ac:dyDescent="0.2">
      <c r="A597" s="1536" t="s">
        <v>164</v>
      </c>
      <c r="B597" s="1537"/>
      <c r="C597" s="134" t="s">
        <v>7</v>
      </c>
      <c r="D597" s="135">
        <v>2650</v>
      </c>
      <c r="E597" s="134">
        <v>7.08</v>
      </c>
      <c r="F597" s="135">
        <f>+E597*D597</f>
        <v>18762</v>
      </c>
      <c r="G597" s="137"/>
    </row>
    <row r="598" spans="1:7" ht="13.5" hidden="1" thickBot="1" x14ac:dyDescent="0.25">
      <c r="A598" s="1538" t="s">
        <v>104</v>
      </c>
      <c r="B598" s="1539"/>
      <c r="C598" s="138" t="s">
        <v>105</v>
      </c>
      <c r="D598" s="139">
        <v>40</v>
      </c>
      <c r="E598" s="138">
        <v>15</v>
      </c>
      <c r="F598" s="139">
        <f>+E598*D598</f>
        <v>600</v>
      </c>
      <c r="G598" s="140"/>
    </row>
    <row r="599" spans="1:7" ht="13.5" hidden="1" thickBot="1" x14ac:dyDescent="0.25">
      <c r="A599" s="1527" t="s">
        <v>125</v>
      </c>
      <c r="B599" s="1528"/>
      <c r="C599" s="1528"/>
      <c r="D599" s="1528"/>
      <c r="E599" s="1528"/>
      <c r="F599" s="1529" t="s">
        <v>113</v>
      </c>
      <c r="G599" s="181">
        <f>SUM(F595:F598)</f>
        <v>70875.688999999998</v>
      </c>
    </row>
    <row r="600" spans="1:7" ht="13.5" hidden="1" thickBot="1" x14ac:dyDescent="0.25">
      <c r="A600" s="186" t="s">
        <v>117</v>
      </c>
      <c r="B600" s="179"/>
      <c r="C600" s="179"/>
      <c r="D600" s="179"/>
      <c r="E600" s="179"/>
      <c r="F600" s="179"/>
      <c r="G600" s="179"/>
    </row>
    <row r="601" spans="1:7" ht="13.5" hidden="1" thickBot="1" x14ac:dyDescent="0.25">
      <c r="A601" s="1530" t="s">
        <v>109</v>
      </c>
      <c r="B601" s="1531"/>
      <c r="C601" s="63" t="s">
        <v>114</v>
      </c>
      <c r="D601" s="63" t="s">
        <v>115</v>
      </c>
      <c r="E601" s="63" t="s">
        <v>116</v>
      </c>
      <c r="F601" s="63" t="s">
        <v>112</v>
      </c>
      <c r="G601" s="115"/>
    </row>
    <row r="602" spans="1:7" hidden="1" x14ac:dyDescent="0.2">
      <c r="A602" s="1540" t="s">
        <v>205</v>
      </c>
      <c r="B602" s="1541"/>
      <c r="C602" s="189" t="s">
        <v>159</v>
      </c>
      <c r="D602" s="130">
        <v>60714.285714285717</v>
      </c>
      <c r="E602" s="200">
        <v>0</v>
      </c>
      <c r="F602" s="135">
        <f>D602*E602</f>
        <v>0</v>
      </c>
      <c r="G602" s="132"/>
    </row>
    <row r="603" spans="1:7" ht="13.5" hidden="1" thickBot="1" x14ac:dyDescent="0.25">
      <c r="A603" s="1542"/>
      <c r="B603" s="1535"/>
      <c r="C603" s="189"/>
      <c r="D603" s="139"/>
      <c r="E603" s="201"/>
      <c r="F603" s="139">
        <f>D603*E603</f>
        <v>0</v>
      </c>
      <c r="G603" s="187"/>
    </row>
    <row r="604" spans="1:7" ht="13.5" hidden="1" thickBot="1" x14ac:dyDescent="0.25">
      <c r="A604" s="1527" t="s">
        <v>125</v>
      </c>
      <c r="B604" s="1528"/>
      <c r="C604" s="1528"/>
      <c r="D604" s="1528"/>
      <c r="E604" s="1528"/>
      <c r="F604" s="1529" t="s">
        <v>113</v>
      </c>
      <c r="G604" s="181">
        <f>SUM(F603:F603)</f>
        <v>0</v>
      </c>
    </row>
    <row r="605" spans="1:7" ht="13.5" hidden="1" thickBot="1" x14ac:dyDescent="0.25">
      <c r="A605" s="186" t="s">
        <v>119</v>
      </c>
      <c r="B605" s="179"/>
      <c r="C605" s="179"/>
      <c r="D605" s="179"/>
      <c r="E605" s="179"/>
      <c r="F605" s="179"/>
      <c r="G605" s="179"/>
    </row>
    <row r="606" spans="1:7" ht="21.75" hidden="1" thickBot="1" x14ac:dyDescent="0.25">
      <c r="A606" s="1530" t="s">
        <v>120</v>
      </c>
      <c r="B606" s="1531"/>
      <c r="C606" s="63" t="s">
        <v>121</v>
      </c>
      <c r="D606" s="63" t="s">
        <v>114</v>
      </c>
      <c r="E606" s="63" t="s">
        <v>116</v>
      </c>
      <c r="F606" s="63" t="s">
        <v>112</v>
      </c>
      <c r="G606" s="121"/>
    </row>
    <row r="607" spans="1:7" hidden="1" x14ac:dyDescent="0.2">
      <c r="A607" s="1532" t="s">
        <v>21</v>
      </c>
      <c r="B607" s="1533"/>
      <c r="C607" s="122">
        <v>7410.9600847008996</v>
      </c>
      <c r="D607" s="198">
        <v>1</v>
      </c>
      <c r="E607" s="198">
        <v>1.8</v>
      </c>
      <c r="F607" s="124">
        <f>+(C607*D607)*E607</f>
        <v>13339.728152461619</v>
      </c>
      <c r="G607" s="132"/>
    </row>
    <row r="608" spans="1:7" ht="13.5" hidden="1" thickBot="1" x14ac:dyDescent="0.25">
      <c r="A608" s="1534" t="s">
        <v>22</v>
      </c>
      <c r="B608" s="1535"/>
      <c r="C608" s="184">
        <v>4374.7823749999998</v>
      </c>
      <c r="D608" s="202">
        <v>1</v>
      </c>
      <c r="E608" s="202">
        <f>+E607</f>
        <v>1.8</v>
      </c>
      <c r="F608" s="182">
        <f>+(C608*D608)*E608</f>
        <v>7874.6082749999996</v>
      </c>
      <c r="G608" s="140"/>
    </row>
    <row r="609" spans="1:7" ht="13.5" hidden="1" thickBot="1" x14ac:dyDescent="0.25">
      <c r="A609" s="1527" t="str">
        <f>+A604</f>
        <v>SUB-TOTAL</v>
      </c>
      <c r="B609" s="1528"/>
      <c r="C609" s="1528"/>
      <c r="D609" s="1528"/>
      <c r="E609" s="1528"/>
      <c r="F609" s="1529" t="s">
        <v>113</v>
      </c>
      <c r="G609" s="181">
        <f>SUM(F607:F608)</f>
        <v>21214.336427461618</v>
      </c>
    </row>
    <row r="610" spans="1:7" ht="11.25" hidden="1" customHeight="1" thickBot="1" x14ac:dyDescent="0.25">
      <c r="A610" s="179"/>
      <c r="B610" s="179"/>
      <c r="C610" s="179"/>
      <c r="D610" s="179"/>
      <c r="E610" s="179"/>
      <c r="F610" s="180"/>
      <c r="G610" s="179"/>
    </row>
    <row r="611" spans="1:7" ht="13.5" hidden="1" thickBot="1" x14ac:dyDescent="0.25">
      <c r="A611" s="1527" t="s">
        <v>156</v>
      </c>
      <c r="B611" s="1528"/>
      <c r="C611" s="1528"/>
      <c r="D611" s="1528"/>
      <c r="E611" s="1528"/>
      <c r="F611" s="1529"/>
      <c r="G611" s="178">
        <f>ROUND(G592+G599+G604+G609,0)</f>
        <v>106026</v>
      </c>
    </row>
    <row r="612" spans="1:7" hidden="1" x14ac:dyDescent="0.2"/>
    <row r="613" spans="1:7" ht="13.5" hidden="1" thickBot="1" x14ac:dyDescent="0.25"/>
    <row r="614" spans="1:7" ht="27" hidden="1" customHeight="1" x14ac:dyDescent="0.2">
      <c r="A614" s="1548" t="s">
        <v>122</v>
      </c>
      <c r="B614" s="1549"/>
      <c r="C614" s="1550"/>
      <c r="D614" s="50"/>
      <c r="E614" s="50"/>
      <c r="F614" s="50"/>
      <c r="G614" s="98"/>
    </row>
    <row r="615" spans="1:7" ht="24" hidden="1" customHeight="1" thickBot="1" x14ac:dyDescent="0.25">
      <c r="A615" s="1551" t="s">
        <v>935</v>
      </c>
      <c r="B615" s="1552"/>
      <c r="C615" s="1553"/>
      <c r="D615" s="99"/>
      <c r="E615" s="99"/>
      <c r="F615" s="99"/>
      <c r="G615" s="100"/>
    </row>
    <row r="616" spans="1:7" ht="13.5" hidden="1" thickBot="1" x14ac:dyDescent="0.25">
      <c r="A616" s="179"/>
      <c r="B616" s="179"/>
      <c r="C616" s="179"/>
      <c r="D616" s="179"/>
      <c r="E616" s="179"/>
      <c r="F616" s="179"/>
      <c r="G616" s="179"/>
    </row>
    <row r="617" spans="1:7" ht="30.75" hidden="1" customHeight="1" thickBot="1" x14ac:dyDescent="0.25">
      <c r="A617" s="1558" t="s">
        <v>936</v>
      </c>
      <c r="B617" s="1559"/>
      <c r="C617" s="1560"/>
      <c r="D617" s="1565" t="s">
        <v>181</v>
      </c>
      <c r="E617" s="1559"/>
      <c r="F617" s="1559"/>
      <c r="G617" s="1560"/>
    </row>
    <row r="618" spans="1:7" ht="13.5" hidden="1" thickBot="1" x14ac:dyDescent="0.25">
      <c r="A618" s="192"/>
      <c r="B618" s="192"/>
      <c r="C618" s="192"/>
      <c r="D618" s="192"/>
      <c r="E618" s="192"/>
      <c r="F618" s="192"/>
      <c r="G618" s="192"/>
    </row>
    <row r="619" spans="1:7" ht="12.75" hidden="1" customHeight="1" thickBot="1" x14ac:dyDescent="0.25">
      <c r="A619" s="191"/>
      <c r="B619" s="179"/>
      <c r="D619" s="60" t="s">
        <v>124</v>
      </c>
      <c r="E619" s="61" t="s">
        <v>6</v>
      </c>
      <c r="F619" s="191"/>
      <c r="G619" s="191"/>
    </row>
    <row r="620" spans="1:7" ht="13.5" hidden="1" thickBot="1" x14ac:dyDescent="0.25">
      <c r="A620" s="186" t="s">
        <v>108</v>
      </c>
      <c r="B620" s="179"/>
      <c r="C620" s="179"/>
      <c r="D620" s="179"/>
      <c r="E620" s="179"/>
      <c r="F620" s="179"/>
      <c r="G620" s="179"/>
    </row>
    <row r="621" spans="1:7" ht="13.5" hidden="1" customHeight="1" thickBot="1" x14ac:dyDescent="0.25">
      <c r="A621" s="1530" t="s">
        <v>109</v>
      </c>
      <c r="B621" s="1554"/>
      <c r="C621" s="1531"/>
      <c r="D621" s="63" t="s">
        <v>110</v>
      </c>
      <c r="E621" s="63" t="s">
        <v>111</v>
      </c>
      <c r="F621" s="63" t="s">
        <v>112</v>
      </c>
      <c r="G621" s="104"/>
    </row>
    <row r="622" spans="1:7" hidden="1" x14ac:dyDescent="0.2">
      <c r="A622" s="1540" t="s">
        <v>131</v>
      </c>
      <c r="B622" s="1555"/>
      <c r="C622" s="1541"/>
      <c r="D622" s="130">
        <v>2062.5</v>
      </c>
      <c r="E622" s="131">
        <f>+E641</f>
        <v>1.65</v>
      </c>
      <c r="F622" s="130">
        <f>+E622*D622</f>
        <v>3403.125</v>
      </c>
      <c r="G622" s="132"/>
    </row>
    <row r="623" spans="1:7" hidden="1" x14ac:dyDescent="0.2">
      <c r="A623" s="1543" t="s">
        <v>953</v>
      </c>
      <c r="B623" s="1544"/>
      <c r="C623" s="1545" t="s">
        <v>4</v>
      </c>
      <c r="D623" s="135">
        <v>38462</v>
      </c>
      <c r="E623" s="136">
        <v>0.16</v>
      </c>
      <c r="F623" s="135">
        <f>+E623*D623</f>
        <v>6153.92</v>
      </c>
      <c r="G623" s="137"/>
    </row>
    <row r="624" spans="1:7" hidden="1" x14ac:dyDescent="0.2">
      <c r="A624" s="1543" t="s">
        <v>147</v>
      </c>
      <c r="B624" s="1544"/>
      <c r="C624" s="1545"/>
      <c r="D624" s="135">
        <v>1500</v>
      </c>
      <c r="E624" s="136">
        <v>1.4</v>
      </c>
      <c r="F624" s="135">
        <f>+E624*D624</f>
        <v>2100</v>
      </c>
      <c r="G624" s="137"/>
    </row>
    <row r="625" spans="1:7" ht="13.5" hidden="1" thickBot="1" x14ac:dyDescent="0.25">
      <c r="A625" s="1542" t="s">
        <v>135</v>
      </c>
      <c r="B625" s="1564"/>
      <c r="C625" s="1535"/>
      <c r="D625" s="139">
        <v>7500</v>
      </c>
      <c r="E625" s="141">
        <f>0.02*8</f>
        <v>0.16</v>
      </c>
      <c r="F625" s="139">
        <f>+E625*D625</f>
        <v>1200</v>
      </c>
      <c r="G625" s="140"/>
    </row>
    <row r="626" spans="1:7" ht="13.5" hidden="1" thickBot="1" x14ac:dyDescent="0.25">
      <c r="A626" s="1527" t="s">
        <v>125</v>
      </c>
      <c r="B626" s="1528"/>
      <c r="C626" s="1528"/>
      <c r="D626" s="1528"/>
      <c r="E626" s="1528"/>
      <c r="F626" s="1529"/>
      <c r="G626" s="181">
        <f>SUM(F622:F625)</f>
        <v>12857.045</v>
      </c>
    </row>
    <row r="627" spans="1:7" ht="13.5" hidden="1" thickBot="1" x14ac:dyDescent="0.25">
      <c r="A627" s="186" t="s">
        <v>123</v>
      </c>
      <c r="B627" s="179"/>
      <c r="C627" s="179"/>
      <c r="D627" s="179"/>
      <c r="E627" s="179"/>
      <c r="F627" s="179"/>
      <c r="G627" s="179"/>
    </row>
    <row r="628" spans="1:7" ht="13.5" hidden="1" thickBot="1" x14ac:dyDescent="0.25">
      <c r="A628" s="1530" t="s">
        <v>109</v>
      </c>
      <c r="B628" s="1531"/>
      <c r="C628" s="63" t="s">
        <v>114</v>
      </c>
      <c r="D628" s="63" t="s">
        <v>115</v>
      </c>
      <c r="E628" s="63" t="s">
        <v>116</v>
      </c>
      <c r="F628" s="63" t="s">
        <v>112</v>
      </c>
      <c r="G628" s="104"/>
    </row>
    <row r="629" spans="1:7" hidden="1" x14ac:dyDescent="0.2">
      <c r="A629" s="1546" t="s">
        <v>161</v>
      </c>
      <c r="B629" s="1547"/>
      <c r="C629" s="129" t="s">
        <v>12</v>
      </c>
      <c r="D629" s="130">
        <v>382373</v>
      </c>
      <c r="E629" s="129">
        <v>6.3E-2</v>
      </c>
      <c r="F629" s="130">
        <f>+E629*D629</f>
        <v>24089.499</v>
      </c>
      <c r="G629" s="132"/>
    </row>
    <row r="630" spans="1:7" hidden="1" x14ac:dyDescent="0.2">
      <c r="A630" s="1536" t="s">
        <v>163</v>
      </c>
      <c r="B630" s="1537"/>
      <c r="C630" s="134" t="s">
        <v>7</v>
      </c>
      <c r="D630" s="135">
        <v>2650</v>
      </c>
      <c r="E630" s="134">
        <v>3.1920000000000002</v>
      </c>
      <c r="F630" s="135">
        <f>+E630*D630</f>
        <v>8458.8000000000011</v>
      </c>
      <c r="G630" s="137"/>
    </row>
    <row r="631" spans="1:7" hidden="1" x14ac:dyDescent="0.2">
      <c r="A631" s="1536" t="s">
        <v>164</v>
      </c>
      <c r="B631" s="1537"/>
      <c r="C631" s="134" t="s">
        <v>7</v>
      </c>
      <c r="D631" s="135">
        <v>2650</v>
      </c>
      <c r="E631" s="134">
        <v>6.2</v>
      </c>
      <c r="F631" s="135">
        <f>+E631*D631</f>
        <v>16430</v>
      </c>
      <c r="G631" s="137"/>
    </row>
    <row r="632" spans="1:7" ht="13.5" hidden="1" thickBot="1" x14ac:dyDescent="0.25">
      <c r="A632" s="1538" t="s">
        <v>104</v>
      </c>
      <c r="B632" s="1539"/>
      <c r="C632" s="138" t="s">
        <v>105</v>
      </c>
      <c r="D632" s="139">
        <v>40</v>
      </c>
      <c r="E632" s="138">
        <v>15</v>
      </c>
      <c r="F632" s="139">
        <f>+E632*D632</f>
        <v>600</v>
      </c>
      <c r="G632" s="140"/>
    </row>
    <row r="633" spans="1:7" ht="13.5" hidden="1" thickBot="1" x14ac:dyDescent="0.25">
      <c r="A633" s="1527" t="s">
        <v>125</v>
      </c>
      <c r="B633" s="1528"/>
      <c r="C633" s="1528"/>
      <c r="D633" s="1528"/>
      <c r="E633" s="1528"/>
      <c r="F633" s="1529" t="s">
        <v>113</v>
      </c>
      <c r="G633" s="181">
        <f>SUM(F629:F632)</f>
        <v>49578.298999999999</v>
      </c>
    </row>
    <row r="634" spans="1:7" ht="13.5" hidden="1" thickBot="1" x14ac:dyDescent="0.25">
      <c r="A634" s="186" t="s">
        <v>117</v>
      </c>
      <c r="B634" s="179"/>
      <c r="C634" s="179"/>
      <c r="D634" s="179"/>
      <c r="E634" s="179"/>
      <c r="F634" s="179"/>
      <c r="G634" s="179"/>
    </row>
    <row r="635" spans="1:7" ht="13.5" hidden="1" thickBot="1" x14ac:dyDescent="0.25">
      <c r="A635" s="1530" t="s">
        <v>109</v>
      </c>
      <c r="B635" s="1531"/>
      <c r="C635" s="63" t="s">
        <v>114</v>
      </c>
      <c r="D635" s="63" t="s">
        <v>115</v>
      </c>
      <c r="E635" s="63" t="s">
        <v>116</v>
      </c>
      <c r="F635" s="63" t="s">
        <v>112</v>
      </c>
      <c r="G635" s="115"/>
    </row>
    <row r="636" spans="1:7" hidden="1" x14ac:dyDescent="0.2">
      <c r="A636" s="1540" t="s">
        <v>205</v>
      </c>
      <c r="B636" s="1541"/>
      <c r="C636" s="189" t="s">
        <v>159</v>
      </c>
      <c r="D636" s="130">
        <v>60714.285714285717</v>
      </c>
      <c r="E636" s="200">
        <v>0</v>
      </c>
      <c r="F636" s="135">
        <f>D636*E636</f>
        <v>0</v>
      </c>
      <c r="G636" s="132"/>
    </row>
    <row r="637" spans="1:7" ht="13.5" hidden="1" thickBot="1" x14ac:dyDescent="0.25">
      <c r="A637" s="1542"/>
      <c r="B637" s="1535"/>
      <c r="C637" s="189"/>
      <c r="D637" s="139"/>
      <c r="E637" s="201"/>
      <c r="F637" s="139">
        <f>D637*E637</f>
        <v>0</v>
      </c>
      <c r="G637" s="187"/>
    </row>
    <row r="638" spans="1:7" ht="13.5" hidden="1" thickBot="1" x14ac:dyDescent="0.25">
      <c r="A638" s="1527" t="s">
        <v>125</v>
      </c>
      <c r="B638" s="1528"/>
      <c r="C638" s="1528"/>
      <c r="D638" s="1528"/>
      <c r="E638" s="1528"/>
      <c r="F638" s="1529" t="s">
        <v>113</v>
      </c>
      <c r="G638" s="181">
        <f>SUM(F637:F637)</f>
        <v>0</v>
      </c>
    </row>
    <row r="639" spans="1:7" ht="13.5" hidden="1" thickBot="1" x14ac:dyDescent="0.25">
      <c r="A639" s="186" t="s">
        <v>119</v>
      </c>
      <c r="B639" s="179"/>
      <c r="C639" s="179"/>
      <c r="D639" s="179"/>
      <c r="E639" s="179"/>
      <c r="F639" s="179"/>
      <c r="G639" s="179"/>
    </row>
    <row r="640" spans="1:7" ht="21.75" hidden="1" thickBot="1" x14ac:dyDescent="0.25">
      <c r="A640" s="1530" t="s">
        <v>120</v>
      </c>
      <c r="B640" s="1531"/>
      <c r="C640" s="63" t="s">
        <v>121</v>
      </c>
      <c r="D640" s="63" t="s">
        <v>114</v>
      </c>
      <c r="E640" s="63" t="s">
        <v>116</v>
      </c>
      <c r="F640" s="63" t="s">
        <v>112</v>
      </c>
      <c r="G640" s="121"/>
    </row>
    <row r="641" spans="1:7" hidden="1" x14ac:dyDescent="0.2">
      <c r="A641" s="1532" t="s">
        <v>21</v>
      </c>
      <c r="B641" s="1533"/>
      <c r="C641" s="122">
        <v>7410.9600847008996</v>
      </c>
      <c r="D641" s="198">
        <v>1</v>
      </c>
      <c r="E641" s="198">
        <v>1.65</v>
      </c>
      <c r="F641" s="124">
        <f>+(C641*D641)*E641</f>
        <v>12228.084139756484</v>
      </c>
      <c r="G641" s="132"/>
    </row>
    <row r="642" spans="1:7" ht="13.5" hidden="1" thickBot="1" x14ac:dyDescent="0.25">
      <c r="A642" s="1534" t="s">
        <v>22</v>
      </c>
      <c r="B642" s="1535"/>
      <c r="C642" s="184">
        <v>4374.7823749999998</v>
      </c>
      <c r="D642" s="202">
        <v>1</v>
      </c>
      <c r="E642" s="202">
        <f>+E641</f>
        <v>1.65</v>
      </c>
      <c r="F642" s="182">
        <f>+(C642*D642)*E642</f>
        <v>7218.3909187499994</v>
      </c>
      <c r="G642" s="140"/>
    </row>
    <row r="643" spans="1:7" ht="13.5" hidden="1" thickBot="1" x14ac:dyDescent="0.25">
      <c r="A643" s="1527" t="str">
        <f>+A638</f>
        <v>SUB-TOTAL</v>
      </c>
      <c r="B643" s="1528"/>
      <c r="C643" s="1528"/>
      <c r="D643" s="1528"/>
      <c r="E643" s="1528"/>
      <c r="F643" s="1529" t="s">
        <v>113</v>
      </c>
      <c r="G643" s="181">
        <f>SUM(F641:F642)</f>
        <v>19446.475058506483</v>
      </c>
    </row>
    <row r="644" spans="1:7" ht="11.25" hidden="1" customHeight="1" thickBot="1" x14ac:dyDescent="0.25">
      <c r="A644" s="179"/>
      <c r="B644" s="179"/>
      <c r="C644" s="179"/>
      <c r="D644" s="179"/>
      <c r="E644" s="179"/>
      <c r="F644" s="180"/>
      <c r="G644" s="179"/>
    </row>
    <row r="645" spans="1:7" ht="13.5" hidden="1" thickBot="1" x14ac:dyDescent="0.25">
      <c r="A645" s="1527" t="s">
        <v>156</v>
      </c>
      <c r="B645" s="1528"/>
      <c r="C645" s="1528"/>
      <c r="D645" s="1528"/>
      <c r="E645" s="1528"/>
      <c r="F645" s="1529"/>
      <c r="G645" s="178">
        <f>ROUND(G626+G633+G638+G643,0)</f>
        <v>81882</v>
      </c>
    </row>
    <row r="646" spans="1:7" hidden="1" x14ac:dyDescent="0.2"/>
    <row r="647" spans="1:7" ht="13.5" hidden="1" thickBot="1" x14ac:dyDescent="0.25"/>
    <row r="648" spans="1:7" ht="27" hidden="1" customHeight="1" x14ac:dyDescent="0.2">
      <c r="A648" s="1548" t="s">
        <v>122</v>
      </c>
      <c r="B648" s="1549"/>
      <c r="C648" s="1550"/>
      <c r="D648" s="50"/>
      <c r="E648" s="50"/>
      <c r="F648" s="50"/>
      <c r="G648" s="98"/>
    </row>
    <row r="649" spans="1:7" ht="24" hidden="1" customHeight="1" thickBot="1" x14ac:dyDescent="0.25">
      <c r="A649" s="1551" t="s">
        <v>935</v>
      </c>
      <c r="B649" s="1552"/>
      <c r="C649" s="1553"/>
      <c r="D649" s="99"/>
      <c r="E649" s="99"/>
      <c r="F649" s="99"/>
      <c r="G649" s="100"/>
    </row>
    <row r="650" spans="1:7" ht="13.5" hidden="1" thickBot="1" x14ac:dyDescent="0.25">
      <c r="A650" s="179"/>
      <c r="B650" s="179"/>
      <c r="C650" s="179"/>
      <c r="D650" s="179"/>
      <c r="E650" s="179"/>
      <c r="F650" s="179"/>
      <c r="G650" s="179"/>
    </row>
    <row r="651" spans="1:7" ht="30.75" hidden="1" customHeight="1" thickBot="1" x14ac:dyDescent="0.25">
      <c r="A651" s="1558" t="s">
        <v>936</v>
      </c>
      <c r="B651" s="1559"/>
      <c r="C651" s="1560"/>
      <c r="D651" s="1565" t="s">
        <v>183</v>
      </c>
      <c r="E651" s="1559"/>
      <c r="F651" s="1559"/>
      <c r="G651" s="1560"/>
    </row>
    <row r="652" spans="1:7" ht="13.5" hidden="1" thickBot="1" x14ac:dyDescent="0.25">
      <c r="A652" s="192"/>
      <c r="B652" s="192"/>
      <c r="C652" s="192"/>
      <c r="D652" s="192"/>
      <c r="E652" s="192"/>
      <c r="F652" s="192"/>
      <c r="G652" s="192"/>
    </row>
    <row r="653" spans="1:7" ht="12.75" hidden="1" customHeight="1" thickBot="1" x14ac:dyDescent="0.25">
      <c r="A653" s="191"/>
      <c r="B653" s="179"/>
      <c r="D653" s="60" t="s">
        <v>124</v>
      </c>
      <c r="E653" s="61" t="s">
        <v>6</v>
      </c>
      <c r="F653" s="191"/>
      <c r="G653" s="191"/>
    </row>
    <row r="654" spans="1:7" ht="13.5" hidden="1" thickBot="1" x14ac:dyDescent="0.25">
      <c r="A654" s="186" t="s">
        <v>108</v>
      </c>
      <c r="B654" s="179"/>
      <c r="C654" s="179"/>
      <c r="D654" s="179"/>
      <c r="E654" s="179"/>
      <c r="F654" s="179"/>
      <c r="G654" s="179"/>
    </row>
    <row r="655" spans="1:7" ht="13.5" hidden="1" customHeight="1" thickBot="1" x14ac:dyDescent="0.25">
      <c r="A655" s="1530" t="s">
        <v>109</v>
      </c>
      <c r="B655" s="1554"/>
      <c r="C655" s="1531"/>
      <c r="D655" s="63" t="s">
        <v>110</v>
      </c>
      <c r="E655" s="63" t="s">
        <v>111</v>
      </c>
      <c r="F655" s="63" t="s">
        <v>112</v>
      </c>
      <c r="G655" s="104"/>
    </row>
    <row r="656" spans="1:7" hidden="1" x14ac:dyDescent="0.2">
      <c r="A656" s="1540" t="s">
        <v>131</v>
      </c>
      <c r="B656" s="1555"/>
      <c r="C656" s="1541"/>
      <c r="D656" s="130">
        <v>2062.5</v>
      </c>
      <c r="E656" s="131">
        <f>+E675</f>
        <v>1.65</v>
      </c>
      <c r="F656" s="130">
        <f>+E656*D656</f>
        <v>3403.125</v>
      </c>
      <c r="G656" s="132"/>
    </row>
    <row r="657" spans="1:7" hidden="1" x14ac:dyDescent="0.2">
      <c r="A657" s="1543" t="s">
        <v>953</v>
      </c>
      <c r="B657" s="1544"/>
      <c r="C657" s="1545" t="s">
        <v>4</v>
      </c>
      <c r="D657" s="135">
        <v>38462</v>
      </c>
      <c r="E657" s="136">
        <v>0.18</v>
      </c>
      <c r="F657" s="135">
        <f>+E657*D657</f>
        <v>6923.16</v>
      </c>
      <c r="G657" s="137"/>
    </row>
    <row r="658" spans="1:7" hidden="1" x14ac:dyDescent="0.2">
      <c r="A658" s="1543" t="s">
        <v>147</v>
      </c>
      <c r="B658" s="1544"/>
      <c r="C658" s="1545"/>
      <c r="D658" s="135">
        <v>1500</v>
      </c>
      <c r="E658" s="136">
        <v>1.4</v>
      </c>
      <c r="F658" s="135">
        <f>+E658*D658</f>
        <v>2100</v>
      </c>
      <c r="G658" s="137"/>
    </row>
    <row r="659" spans="1:7" ht="13.5" hidden="1" thickBot="1" x14ac:dyDescent="0.25">
      <c r="A659" s="1542" t="s">
        <v>135</v>
      </c>
      <c r="B659" s="1564"/>
      <c r="C659" s="1535"/>
      <c r="D659" s="139">
        <v>7500</v>
      </c>
      <c r="E659" s="141">
        <f>0.02*8</f>
        <v>0.16</v>
      </c>
      <c r="F659" s="139">
        <f>+E659*D659</f>
        <v>1200</v>
      </c>
      <c r="G659" s="140"/>
    </row>
    <row r="660" spans="1:7" ht="13.5" hidden="1" thickBot="1" x14ac:dyDescent="0.25">
      <c r="A660" s="1527" t="s">
        <v>125</v>
      </c>
      <c r="B660" s="1528"/>
      <c r="C660" s="1528"/>
      <c r="D660" s="1528"/>
      <c r="E660" s="1528"/>
      <c r="F660" s="1529"/>
      <c r="G660" s="181">
        <f>SUM(F656:F659)</f>
        <v>13626.285</v>
      </c>
    </row>
    <row r="661" spans="1:7" ht="13.5" hidden="1" thickBot="1" x14ac:dyDescent="0.25">
      <c r="A661" s="186" t="s">
        <v>123</v>
      </c>
      <c r="B661" s="179"/>
      <c r="C661" s="179"/>
      <c r="D661" s="179"/>
      <c r="E661" s="179"/>
      <c r="F661" s="179"/>
      <c r="G661" s="179"/>
    </row>
    <row r="662" spans="1:7" ht="13.5" hidden="1" thickBot="1" x14ac:dyDescent="0.25">
      <c r="A662" s="1530" t="s">
        <v>109</v>
      </c>
      <c r="B662" s="1531"/>
      <c r="C662" s="63" t="s">
        <v>114</v>
      </c>
      <c r="D662" s="63" t="s">
        <v>115</v>
      </c>
      <c r="E662" s="63" t="s">
        <v>116</v>
      </c>
      <c r="F662" s="63" t="s">
        <v>112</v>
      </c>
      <c r="G662" s="104"/>
    </row>
    <row r="663" spans="1:7" hidden="1" x14ac:dyDescent="0.2">
      <c r="A663" s="1546" t="s">
        <v>161</v>
      </c>
      <c r="B663" s="1547"/>
      <c r="C663" s="129" t="s">
        <v>12</v>
      </c>
      <c r="D663" s="130">
        <v>382373</v>
      </c>
      <c r="E663" s="129">
        <v>9.2999999999999999E-2</v>
      </c>
      <c r="F663" s="130">
        <f>+E663*D663</f>
        <v>35560.688999999998</v>
      </c>
      <c r="G663" s="132"/>
    </row>
    <row r="664" spans="1:7" hidden="1" x14ac:dyDescent="0.2">
      <c r="A664" s="1536" t="s">
        <v>163</v>
      </c>
      <c r="B664" s="1537"/>
      <c r="C664" s="134" t="s">
        <v>7</v>
      </c>
      <c r="D664" s="135">
        <v>2650</v>
      </c>
      <c r="E664" s="134">
        <v>5.15</v>
      </c>
      <c r="F664" s="135">
        <f>+E664*D664</f>
        <v>13647.500000000002</v>
      </c>
      <c r="G664" s="137"/>
    </row>
    <row r="665" spans="1:7" hidden="1" x14ac:dyDescent="0.2">
      <c r="A665" s="1536" t="s">
        <v>164</v>
      </c>
      <c r="B665" s="1537"/>
      <c r="C665" s="134" t="s">
        <v>7</v>
      </c>
      <c r="D665" s="135">
        <v>2650</v>
      </c>
      <c r="E665" s="134">
        <v>9.3000000000000007</v>
      </c>
      <c r="F665" s="135">
        <f>+E665*D665</f>
        <v>24645.000000000004</v>
      </c>
      <c r="G665" s="137"/>
    </row>
    <row r="666" spans="1:7" ht="13.5" hidden="1" thickBot="1" x14ac:dyDescent="0.25">
      <c r="A666" s="1538" t="s">
        <v>104</v>
      </c>
      <c r="B666" s="1539"/>
      <c r="C666" s="138" t="s">
        <v>105</v>
      </c>
      <c r="D666" s="139">
        <v>40</v>
      </c>
      <c r="E666" s="138">
        <v>15</v>
      </c>
      <c r="F666" s="139">
        <f>+E666*D666</f>
        <v>600</v>
      </c>
      <c r="G666" s="140"/>
    </row>
    <row r="667" spans="1:7" ht="13.5" hidden="1" thickBot="1" x14ac:dyDescent="0.25">
      <c r="A667" s="1527" t="s">
        <v>125</v>
      </c>
      <c r="B667" s="1528"/>
      <c r="C667" s="1528"/>
      <c r="D667" s="1528"/>
      <c r="E667" s="1528"/>
      <c r="F667" s="1529" t="s">
        <v>113</v>
      </c>
      <c r="G667" s="181">
        <f>SUM(F663:F666)</f>
        <v>74453.188999999998</v>
      </c>
    </row>
    <row r="668" spans="1:7" ht="13.5" hidden="1" thickBot="1" x14ac:dyDescent="0.25">
      <c r="A668" s="186" t="s">
        <v>117</v>
      </c>
      <c r="B668" s="179"/>
      <c r="C668" s="179"/>
      <c r="D668" s="179"/>
      <c r="E668" s="179"/>
      <c r="F668" s="179"/>
      <c r="G668" s="179"/>
    </row>
    <row r="669" spans="1:7" ht="13.5" hidden="1" thickBot="1" x14ac:dyDescent="0.25">
      <c r="A669" s="1530" t="s">
        <v>109</v>
      </c>
      <c r="B669" s="1531"/>
      <c r="C669" s="63" t="s">
        <v>114</v>
      </c>
      <c r="D669" s="63" t="s">
        <v>115</v>
      </c>
      <c r="E669" s="63" t="s">
        <v>116</v>
      </c>
      <c r="F669" s="63" t="s">
        <v>112</v>
      </c>
      <c r="G669" s="115"/>
    </row>
    <row r="670" spans="1:7" hidden="1" x14ac:dyDescent="0.2">
      <c r="A670" s="1540" t="s">
        <v>205</v>
      </c>
      <c r="B670" s="1541"/>
      <c r="C670" s="189" t="s">
        <v>159</v>
      </c>
      <c r="D670" s="130">
        <v>60714.285714285717</v>
      </c>
      <c r="E670" s="200">
        <v>0</v>
      </c>
      <c r="F670" s="135">
        <f>D670*E670</f>
        <v>0</v>
      </c>
      <c r="G670" s="132"/>
    </row>
    <row r="671" spans="1:7" ht="13.5" hidden="1" thickBot="1" x14ac:dyDescent="0.25">
      <c r="A671" s="1542"/>
      <c r="B671" s="1535"/>
      <c r="C671" s="189"/>
      <c r="D671" s="139"/>
      <c r="E671" s="201"/>
      <c r="F671" s="139">
        <f>D671*E671</f>
        <v>0</v>
      </c>
      <c r="G671" s="187"/>
    </row>
    <row r="672" spans="1:7" ht="13.5" hidden="1" thickBot="1" x14ac:dyDescent="0.25">
      <c r="A672" s="1527" t="s">
        <v>125</v>
      </c>
      <c r="B672" s="1528"/>
      <c r="C672" s="1528"/>
      <c r="D672" s="1528"/>
      <c r="E672" s="1528"/>
      <c r="F672" s="1529" t="s">
        <v>113</v>
      </c>
      <c r="G672" s="181">
        <f>SUM(F671:F671)</f>
        <v>0</v>
      </c>
    </row>
    <row r="673" spans="1:7" ht="13.5" hidden="1" thickBot="1" x14ac:dyDescent="0.25">
      <c r="A673" s="186" t="s">
        <v>119</v>
      </c>
      <c r="B673" s="179"/>
      <c r="C673" s="179"/>
      <c r="D673" s="179"/>
      <c r="E673" s="179"/>
      <c r="F673" s="179"/>
      <c r="G673" s="179"/>
    </row>
    <row r="674" spans="1:7" ht="21.75" hidden="1" thickBot="1" x14ac:dyDescent="0.25">
      <c r="A674" s="1530" t="s">
        <v>120</v>
      </c>
      <c r="B674" s="1531"/>
      <c r="C674" s="63" t="s">
        <v>121</v>
      </c>
      <c r="D674" s="63" t="s">
        <v>114</v>
      </c>
      <c r="E674" s="63" t="s">
        <v>116</v>
      </c>
      <c r="F674" s="63" t="s">
        <v>112</v>
      </c>
      <c r="G674" s="121"/>
    </row>
    <row r="675" spans="1:7" hidden="1" x14ac:dyDescent="0.2">
      <c r="A675" s="1532" t="s">
        <v>21</v>
      </c>
      <c r="B675" s="1533"/>
      <c r="C675" s="122">
        <v>7410.9600847008996</v>
      </c>
      <c r="D675" s="198">
        <v>1</v>
      </c>
      <c r="E675" s="198">
        <v>1.65</v>
      </c>
      <c r="F675" s="124">
        <f>+(C675*D675)*E675</f>
        <v>12228.084139756484</v>
      </c>
      <c r="G675" s="132"/>
    </row>
    <row r="676" spans="1:7" ht="13.5" hidden="1" thickBot="1" x14ac:dyDescent="0.25">
      <c r="A676" s="1534" t="s">
        <v>22</v>
      </c>
      <c r="B676" s="1535"/>
      <c r="C676" s="184">
        <v>4374.7823749999998</v>
      </c>
      <c r="D676" s="202">
        <v>1</v>
      </c>
      <c r="E676" s="202">
        <f>+E675</f>
        <v>1.65</v>
      </c>
      <c r="F676" s="182">
        <f>+(C676*D676)*E676</f>
        <v>7218.3909187499994</v>
      </c>
      <c r="G676" s="140"/>
    </row>
    <row r="677" spans="1:7" ht="13.5" hidden="1" thickBot="1" x14ac:dyDescent="0.25">
      <c r="A677" s="1527" t="str">
        <f>+A672</f>
        <v>SUB-TOTAL</v>
      </c>
      <c r="B677" s="1528"/>
      <c r="C677" s="1528"/>
      <c r="D677" s="1528"/>
      <c r="E677" s="1528"/>
      <c r="F677" s="1529" t="s">
        <v>113</v>
      </c>
      <c r="G677" s="181">
        <f>SUM(F675:F676)</f>
        <v>19446.475058506483</v>
      </c>
    </row>
    <row r="678" spans="1:7" ht="11.25" hidden="1" customHeight="1" thickBot="1" x14ac:dyDescent="0.25">
      <c r="A678" s="179"/>
      <c r="B678" s="179"/>
      <c r="C678" s="179"/>
      <c r="D678" s="179"/>
      <c r="E678" s="179"/>
      <c r="F678" s="180"/>
      <c r="G678" s="179"/>
    </row>
    <row r="679" spans="1:7" ht="13.5" hidden="1" thickBot="1" x14ac:dyDescent="0.25">
      <c r="A679" s="1527" t="s">
        <v>156</v>
      </c>
      <c r="B679" s="1528"/>
      <c r="C679" s="1528"/>
      <c r="D679" s="1528"/>
      <c r="E679" s="1528"/>
      <c r="F679" s="1529"/>
      <c r="G679" s="178">
        <f>ROUND(G660+G667+G672+G677,0)</f>
        <v>107526</v>
      </c>
    </row>
    <row r="680" spans="1:7" hidden="1" x14ac:dyDescent="0.2"/>
    <row r="681" spans="1:7" ht="13.5" hidden="1" thickBot="1" x14ac:dyDescent="0.25"/>
    <row r="682" spans="1:7" ht="27" hidden="1" customHeight="1" x14ac:dyDescent="0.2">
      <c r="A682" s="1548" t="s">
        <v>122</v>
      </c>
      <c r="B682" s="1549"/>
      <c r="C682" s="1550"/>
      <c r="D682" s="50"/>
      <c r="E682" s="50"/>
      <c r="F682" s="50"/>
      <c r="G682" s="98"/>
    </row>
    <row r="683" spans="1:7" ht="24" hidden="1" customHeight="1" thickBot="1" x14ac:dyDescent="0.25">
      <c r="A683" s="1551" t="s">
        <v>935</v>
      </c>
      <c r="B683" s="1552"/>
      <c r="C683" s="1553"/>
      <c r="D683" s="99"/>
      <c r="E683" s="99"/>
      <c r="F683" s="99"/>
      <c r="G683" s="100"/>
    </row>
    <row r="684" spans="1:7" ht="13.5" hidden="1" thickBot="1" x14ac:dyDescent="0.25">
      <c r="A684" s="179"/>
      <c r="B684" s="179"/>
      <c r="C684" s="179"/>
      <c r="D684" s="179"/>
      <c r="E684" s="179"/>
      <c r="F684" s="179"/>
      <c r="G684" s="179"/>
    </row>
    <row r="685" spans="1:7" ht="30.75" hidden="1" customHeight="1" thickBot="1" x14ac:dyDescent="0.25">
      <c r="A685" s="1558" t="s">
        <v>936</v>
      </c>
      <c r="B685" s="1559"/>
      <c r="C685" s="1560"/>
      <c r="D685" s="1565" t="s">
        <v>184</v>
      </c>
      <c r="E685" s="1559"/>
      <c r="F685" s="1559"/>
      <c r="G685" s="1560"/>
    </row>
    <row r="686" spans="1:7" ht="13.5" hidden="1" thickBot="1" x14ac:dyDescent="0.25">
      <c r="A686" s="192"/>
      <c r="B686" s="192"/>
      <c r="C686" s="192"/>
      <c r="D686" s="192"/>
      <c r="E686" s="192"/>
      <c r="F686" s="192"/>
      <c r="G686" s="192"/>
    </row>
    <row r="687" spans="1:7" ht="12.75" hidden="1" customHeight="1" thickBot="1" x14ac:dyDescent="0.25">
      <c r="A687" s="191"/>
      <c r="B687" s="179"/>
      <c r="D687" s="60" t="s">
        <v>124</v>
      </c>
      <c r="E687" s="61" t="s">
        <v>6</v>
      </c>
      <c r="F687" s="191"/>
      <c r="G687" s="191"/>
    </row>
    <row r="688" spans="1:7" ht="13.5" hidden="1" thickBot="1" x14ac:dyDescent="0.25">
      <c r="A688" s="186" t="s">
        <v>108</v>
      </c>
      <c r="B688" s="179"/>
      <c r="C688" s="179"/>
      <c r="D688" s="179"/>
      <c r="E688" s="179"/>
      <c r="F688" s="179"/>
      <c r="G688" s="179"/>
    </row>
    <row r="689" spans="1:7" ht="13.5" hidden="1" customHeight="1" thickBot="1" x14ac:dyDescent="0.25">
      <c r="A689" s="1530" t="s">
        <v>109</v>
      </c>
      <c r="B689" s="1554"/>
      <c r="C689" s="1531"/>
      <c r="D689" s="63" t="s">
        <v>110</v>
      </c>
      <c r="E689" s="63" t="s">
        <v>111</v>
      </c>
      <c r="F689" s="63" t="s">
        <v>112</v>
      </c>
      <c r="G689" s="104"/>
    </row>
    <row r="690" spans="1:7" hidden="1" x14ac:dyDescent="0.2">
      <c r="A690" s="1540" t="s">
        <v>131</v>
      </c>
      <c r="B690" s="1555"/>
      <c r="C690" s="1541"/>
      <c r="D690" s="130">
        <v>2062.5</v>
      </c>
      <c r="E690" s="131">
        <f>+E709</f>
        <v>0.85</v>
      </c>
      <c r="F690" s="130">
        <f>+E690*D690</f>
        <v>1753.125</v>
      </c>
      <c r="G690" s="132"/>
    </row>
    <row r="691" spans="1:7" hidden="1" x14ac:dyDescent="0.2">
      <c r="A691" s="1543" t="s">
        <v>953</v>
      </c>
      <c r="B691" s="1544"/>
      <c r="C691" s="1545" t="s">
        <v>4</v>
      </c>
      <c r="D691" s="135">
        <v>38462</v>
      </c>
      <c r="E691" s="136">
        <v>0.06</v>
      </c>
      <c r="F691" s="135">
        <f>+E691*D691</f>
        <v>2307.7199999999998</v>
      </c>
      <c r="G691" s="137"/>
    </row>
    <row r="692" spans="1:7" hidden="1" x14ac:dyDescent="0.2">
      <c r="A692" s="1543" t="s">
        <v>147</v>
      </c>
      <c r="B692" s="1544"/>
      <c r="C692" s="1545"/>
      <c r="D692" s="135">
        <v>1500</v>
      </c>
      <c r="E692" s="136">
        <v>0.35</v>
      </c>
      <c r="F692" s="135">
        <f>+E692*D692</f>
        <v>525</v>
      </c>
      <c r="G692" s="137"/>
    </row>
    <row r="693" spans="1:7" ht="13.5" hidden="1" thickBot="1" x14ac:dyDescent="0.25">
      <c r="A693" s="1542"/>
      <c r="B693" s="1564"/>
      <c r="C693" s="1535"/>
      <c r="D693" s="139"/>
      <c r="E693" s="141"/>
      <c r="F693" s="139"/>
      <c r="G693" s="140"/>
    </row>
    <row r="694" spans="1:7" ht="13.5" hidden="1" thickBot="1" x14ac:dyDescent="0.25">
      <c r="A694" s="1527" t="s">
        <v>125</v>
      </c>
      <c r="B694" s="1528"/>
      <c r="C694" s="1528"/>
      <c r="D694" s="1528"/>
      <c r="E694" s="1528"/>
      <c r="F694" s="1529"/>
      <c r="G694" s="181">
        <f>SUM(F690:F693)</f>
        <v>4585.8449999999993</v>
      </c>
    </row>
    <row r="695" spans="1:7" ht="13.5" hidden="1" thickBot="1" x14ac:dyDescent="0.25">
      <c r="A695" s="186" t="s">
        <v>123</v>
      </c>
      <c r="B695" s="179"/>
      <c r="C695" s="179"/>
      <c r="D695" s="179"/>
      <c r="E695" s="179"/>
      <c r="F695" s="179"/>
      <c r="G695" s="179"/>
    </row>
    <row r="696" spans="1:7" ht="13.5" hidden="1" thickBot="1" x14ac:dyDescent="0.25">
      <c r="A696" s="1530" t="s">
        <v>109</v>
      </c>
      <c r="B696" s="1531"/>
      <c r="C696" s="63" t="s">
        <v>114</v>
      </c>
      <c r="D696" s="63" t="s">
        <v>115</v>
      </c>
      <c r="E696" s="63" t="s">
        <v>116</v>
      </c>
      <c r="F696" s="63" t="s">
        <v>112</v>
      </c>
      <c r="G696" s="104"/>
    </row>
    <row r="697" spans="1:7" hidden="1" x14ac:dyDescent="0.2">
      <c r="A697" s="1546" t="s">
        <v>161</v>
      </c>
      <c r="B697" s="1547"/>
      <c r="C697" s="129" t="s">
        <v>12</v>
      </c>
      <c r="D697" s="130">
        <v>382373</v>
      </c>
      <c r="E697" s="129">
        <v>1.2E-2</v>
      </c>
      <c r="F697" s="130">
        <f>+E697*D697</f>
        <v>4588.4759999999997</v>
      </c>
      <c r="G697" s="132"/>
    </row>
    <row r="698" spans="1:7" hidden="1" x14ac:dyDescent="0.2">
      <c r="A698" s="1536" t="s">
        <v>163</v>
      </c>
      <c r="B698" s="1537"/>
      <c r="C698" s="134" t="s">
        <v>7</v>
      </c>
      <c r="D698" s="135">
        <v>2650</v>
      </c>
      <c r="E698" s="134">
        <v>0.42</v>
      </c>
      <c r="F698" s="135">
        <f>+E698*D698</f>
        <v>1113</v>
      </c>
      <c r="G698" s="137"/>
    </row>
    <row r="699" spans="1:7" hidden="1" x14ac:dyDescent="0.2">
      <c r="A699" s="1536" t="s">
        <v>164</v>
      </c>
      <c r="B699" s="1537"/>
      <c r="C699" s="134" t="s">
        <v>7</v>
      </c>
      <c r="D699" s="135">
        <v>2650</v>
      </c>
      <c r="E699" s="134">
        <v>2</v>
      </c>
      <c r="F699" s="135">
        <f>+E699*D699</f>
        <v>5300</v>
      </c>
      <c r="G699" s="137"/>
    </row>
    <row r="700" spans="1:7" ht="13.5" hidden="1" thickBot="1" x14ac:dyDescent="0.25">
      <c r="A700" s="1538" t="s">
        <v>104</v>
      </c>
      <c r="B700" s="1539"/>
      <c r="C700" s="138" t="s">
        <v>105</v>
      </c>
      <c r="D700" s="139">
        <v>40</v>
      </c>
      <c r="E700" s="138">
        <v>5</v>
      </c>
      <c r="F700" s="139">
        <f>+E700*D700</f>
        <v>200</v>
      </c>
      <c r="G700" s="140"/>
    </row>
    <row r="701" spans="1:7" ht="13.5" hidden="1" thickBot="1" x14ac:dyDescent="0.25">
      <c r="A701" s="1527" t="s">
        <v>125</v>
      </c>
      <c r="B701" s="1528"/>
      <c r="C701" s="1528"/>
      <c r="D701" s="1528"/>
      <c r="E701" s="1528"/>
      <c r="F701" s="1529" t="s">
        <v>113</v>
      </c>
      <c r="G701" s="181">
        <f>SUM(F697:F700)</f>
        <v>11201.475999999999</v>
      </c>
    </row>
    <row r="702" spans="1:7" ht="13.5" hidden="1" thickBot="1" x14ac:dyDescent="0.25">
      <c r="A702" s="186" t="s">
        <v>117</v>
      </c>
      <c r="B702" s="179"/>
      <c r="C702" s="179"/>
      <c r="D702" s="179"/>
      <c r="E702" s="179"/>
      <c r="F702" s="179"/>
      <c r="G702" s="179"/>
    </row>
    <row r="703" spans="1:7" ht="13.5" hidden="1" thickBot="1" x14ac:dyDescent="0.25">
      <c r="A703" s="1530" t="s">
        <v>109</v>
      </c>
      <c r="B703" s="1531"/>
      <c r="C703" s="63" t="s">
        <v>114</v>
      </c>
      <c r="D703" s="63" t="s">
        <v>115</v>
      </c>
      <c r="E703" s="63" t="s">
        <v>116</v>
      </c>
      <c r="F703" s="63" t="s">
        <v>112</v>
      </c>
      <c r="G703" s="115"/>
    </row>
    <row r="704" spans="1:7" hidden="1" x14ac:dyDescent="0.2">
      <c r="A704" s="1540" t="s">
        <v>205</v>
      </c>
      <c r="B704" s="1541"/>
      <c r="C704" s="189" t="s">
        <v>159</v>
      </c>
      <c r="D704" s="130">
        <v>60714.285714285717</v>
      </c>
      <c r="E704" s="200">
        <v>0</v>
      </c>
      <c r="F704" s="135">
        <f>D704*E704</f>
        <v>0</v>
      </c>
      <c r="G704" s="132"/>
    </row>
    <row r="705" spans="1:7" ht="13.5" hidden="1" thickBot="1" x14ac:dyDescent="0.25">
      <c r="A705" s="1542"/>
      <c r="B705" s="1535"/>
      <c r="C705" s="189"/>
      <c r="D705" s="139"/>
      <c r="E705" s="201"/>
      <c r="F705" s="139">
        <f>D705*E705</f>
        <v>0</v>
      </c>
      <c r="G705" s="187"/>
    </row>
    <row r="706" spans="1:7" ht="13.5" hidden="1" thickBot="1" x14ac:dyDescent="0.25">
      <c r="A706" s="1527" t="s">
        <v>125</v>
      </c>
      <c r="B706" s="1528"/>
      <c r="C706" s="1528"/>
      <c r="D706" s="1528"/>
      <c r="E706" s="1528"/>
      <c r="F706" s="1529" t="s">
        <v>113</v>
      </c>
      <c r="G706" s="181">
        <f>SUM(F705:F705)</f>
        <v>0</v>
      </c>
    </row>
    <row r="707" spans="1:7" ht="13.5" hidden="1" thickBot="1" x14ac:dyDescent="0.25">
      <c r="A707" s="186" t="s">
        <v>119</v>
      </c>
      <c r="B707" s="179"/>
      <c r="C707" s="179"/>
      <c r="D707" s="179"/>
      <c r="E707" s="179"/>
      <c r="F707" s="179"/>
      <c r="G707" s="179"/>
    </row>
    <row r="708" spans="1:7" ht="21.75" hidden="1" thickBot="1" x14ac:dyDescent="0.25">
      <c r="A708" s="1530" t="s">
        <v>120</v>
      </c>
      <c r="B708" s="1531"/>
      <c r="C708" s="63" t="s">
        <v>121</v>
      </c>
      <c r="D708" s="63" t="s">
        <v>114</v>
      </c>
      <c r="E708" s="63" t="s">
        <v>116</v>
      </c>
      <c r="F708" s="63" t="s">
        <v>112</v>
      </c>
      <c r="G708" s="121"/>
    </row>
    <row r="709" spans="1:7" hidden="1" x14ac:dyDescent="0.2">
      <c r="A709" s="1532" t="s">
        <v>21</v>
      </c>
      <c r="B709" s="1533"/>
      <c r="C709" s="122">
        <v>7410.9600847008996</v>
      </c>
      <c r="D709" s="198">
        <v>1</v>
      </c>
      <c r="E709" s="198">
        <v>0.85</v>
      </c>
      <c r="F709" s="124">
        <f>+(C709*D709)*E709</f>
        <v>6299.3160719957641</v>
      </c>
      <c r="G709" s="132"/>
    </row>
    <row r="710" spans="1:7" ht="13.5" hidden="1" thickBot="1" x14ac:dyDescent="0.25">
      <c r="A710" s="1534" t="s">
        <v>22</v>
      </c>
      <c r="B710" s="1535"/>
      <c r="C710" s="184">
        <v>4374.7823749999998</v>
      </c>
      <c r="D710" s="202">
        <v>1</v>
      </c>
      <c r="E710" s="202">
        <f>+E709</f>
        <v>0.85</v>
      </c>
      <c r="F710" s="182">
        <f>+(C710*D710)*E710</f>
        <v>3718.5650187499996</v>
      </c>
      <c r="G710" s="140"/>
    </row>
    <row r="711" spans="1:7" ht="13.5" hidden="1" thickBot="1" x14ac:dyDescent="0.25">
      <c r="A711" s="1527" t="str">
        <f>+A706</f>
        <v>SUB-TOTAL</v>
      </c>
      <c r="B711" s="1528"/>
      <c r="C711" s="1528"/>
      <c r="D711" s="1528"/>
      <c r="E711" s="1528"/>
      <c r="F711" s="1529" t="s">
        <v>113</v>
      </c>
      <c r="G711" s="181">
        <f>SUM(F709:F710)</f>
        <v>10017.881090745763</v>
      </c>
    </row>
    <row r="712" spans="1:7" ht="11.25" hidden="1" customHeight="1" thickBot="1" x14ac:dyDescent="0.25">
      <c r="A712" s="179"/>
      <c r="B712" s="179"/>
      <c r="C712" s="179"/>
      <c r="D712" s="179"/>
      <c r="E712" s="179"/>
      <c r="F712" s="180"/>
      <c r="G712" s="179"/>
    </row>
    <row r="713" spans="1:7" ht="13.5" hidden="1" thickBot="1" x14ac:dyDescent="0.25">
      <c r="A713" s="1527" t="s">
        <v>156</v>
      </c>
      <c r="B713" s="1528"/>
      <c r="C713" s="1528"/>
      <c r="D713" s="1528"/>
      <c r="E713" s="1528"/>
      <c r="F713" s="1529"/>
      <c r="G713" s="178">
        <f>ROUND(G694+G701+G706+G711,0)</f>
        <v>25805</v>
      </c>
    </row>
    <row r="714" spans="1:7" hidden="1" x14ac:dyDescent="0.2"/>
    <row r="715" spans="1:7" ht="13.5" hidden="1" thickBot="1" x14ac:dyDescent="0.25"/>
    <row r="716" spans="1:7" ht="27" hidden="1" customHeight="1" x14ac:dyDescent="0.2">
      <c r="A716" s="1548" t="s">
        <v>122</v>
      </c>
      <c r="B716" s="1549"/>
      <c r="C716" s="1550"/>
      <c r="D716" s="50"/>
      <c r="E716" s="50"/>
      <c r="F716" s="50"/>
      <c r="G716" s="98"/>
    </row>
    <row r="717" spans="1:7" ht="24" hidden="1" customHeight="1" thickBot="1" x14ac:dyDescent="0.25">
      <c r="A717" s="1551" t="s">
        <v>935</v>
      </c>
      <c r="B717" s="1552"/>
      <c r="C717" s="1553"/>
      <c r="D717" s="99"/>
      <c r="E717" s="99"/>
      <c r="F717" s="99"/>
      <c r="G717" s="100"/>
    </row>
    <row r="718" spans="1:7" ht="13.5" hidden="1" thickBot="1" x14ac:dyDescent="0.25">
      <c r="A718" s="179"/>
      <c r="B718" s="179"/>
      <c r="C718" s="179"/>
      <c r="D718" s="179"/>
      <c r="E718" s="179"/>
      <c r="F718" s="179"/>
      <c r="G718" s="179"/>
    </row>
    <row r="719" spans="1:7" ht="30.75" hidden="1" customHeight="1" thickBot="1" x14ac:dyDescent="0.25">
      <c r="A719" s="1558" t="s">
        <v>936</v>
      </c>
      <c r="B719" s="1559"/>
      <c r="C719" s="1560"/>
      <c r="D719" s="1565" t="s">
        <v>185</v>
      </c>
      <c r="E719" s="1559"/>
      <c r="F719" s="1559"/>
      <c r="G719" s="1560"/>
    </row>
    <row r="720" spans="1:7" ht="13.5" hidden="1" thickBot="1" x14ac:dyDescent="0.25">
      <c r="A720" s="192"/>
      <c r="B720" s="192"/>
      <c r="C720" s="192"/>
      <c r="D720" s="192"/>
      <c r="E720" s="192"/>
      <c r="F720" s="192"/>
      <c r="G720" s="192"/>
    </row>
    <row r="721" spans="1:7" ht="12.75" hidden="1" customHeight="1" thickBot="1" x14ac:dyDescent="0.25">
      <c r="A721" s="191"/>
      <c r="B721" s="179"/>
      <c r="D721" s="60" t="s">
        <v>124</v>
      </c>
      <c r="E721" s="61" t="s">
        <v>6</v>
      </c>
      <c r="F721" s="191"/>
      <c r="G721" s="191"/>
    </row>
    <row r="722" spans="1:7" ht="13.5" hidden="1" thickBot="1" x14ac:dyDescent="0.25">
      <c r="A722" s="186" t="s">
        <v>108</v>
      </c>
      <c r="B722" s="179"/>
      <c r="C722" s="179"/>
      <c r="D722" s="179"/>
      <c r="E722" s="179"/>
      <c r="F722" s="179"/>
      <c r="G722" s="179"/>
    </row>
    <row r="723" spans="1:7" ht="13.5" hidden="1" customHeight="1" thickBot="1" x14ac:dyDescent="0.25">
      <c r="A723" s="1530" t="s">
        <v>109</v>
      </c>
      <c r="B723" s="1554"/>
      <c r="C723" s="1531"/>
      <c r="D723" s="63" t="s">
        <v>110</v>
      </c>
      <c r="E723" s="63" t="s">
        <v>111</v>
      </c>
      <c r="F723" s="63" t="s">
        <v>112</v>
      </c>
      <c r="G723" s="104"/>
    </row>
    <row r="724" spans="1:7" hidden="1" x14ac:dyDescent="0.2">
      <c r="A724" s="1540" t="s">
        <v>131</v>
      </c>
      <c r="B724" s="1555"/>
      <c r="C724" s="1541"/>
      <c r="D724" s="130">
        <v>2062.5</v>
      </c>
      <c r="E724" s="131">
        <f>+E743</f>
        <v>1.2</v>
      </c>
      <c r="F724" s="130">
        <f>+E724*D724</f>
        <v>2475</v>
      </c>
      <c r="G724" s="132"/>
    </row>
    <row r="725" spans="1:7" hidden="1" x14ac:dyDescent="0.2">
      <c r="A725" s="1543" t="s">
        <v>953</v>
      </c>
      <c r="B725" s="1544"/>
      <c r="C725" s="1545" t="s">
        <v>4</v>
      </c>
      <c r="D725" s="135">
        <v>38462</v>
      </c>
      <c r="E725" s="136">
        <v>0.18</v>
      </c>
      <c r="F725" s="135">
        <f>+E725*D725</f>
        <v>6923.16</v>
      </c>
      <c r="G725" s="137"/>
    </row>
    <row r="726" spans="1:7" hidden="1" x14ac:dyDescent="0.2">
      <c r="A726" s="1543" t="s">
        <v>147</v>
      </c>
      <c r="B726" s="1544"/>
      <c r="C726" s="1545"/>
      <c r="D726" s="135">
        <v>1500</v>
      </c>
      <c r="E726" s="136">
        <v>1.4</v>
      </c>
      <c r="F726" s="135">
        <f>+E726*D726</f>
        <v>2100</v>
      </c>
      <c r="G726" s="137"/>
    </row>
    <row r="727" spans="1:7" ht="13.5" hidden="1" thickBot="1" x14ac:dyDescent="0.25">
      <c r="A727" s="1542" t="s">
        <v>135</v>
      </c>
      <c r="B727" s="1564"/>
      <c r="C727" s="1535"/>
      <c r="D727" s="139">
        <v>7500</v>
      </c>
      <c r="E727" s="141">
        <f>0.02*8</f>
        <v>0.16</v>
      </c>
      <c r="F727" s="139">
        <f>+E727*D727</f>
        <v>1200</v>
      </c>
      <c r="G727" s="140"/>
    </row>
    <row r="728" spans="1:7" ht="13.5" hidden="1" thickBot="1" x14ac:dyDescent="0.25">
      <c r="A728" s="1527" t="s">
        <v>125</v>
      </c>
      <c r="B728" s="1528"/>
      <c r="C728" s="1528"/>
      <c r="D728" s="1528"/>
      <c r="E728" s="1528"/>
      <c r="F728" s="1529"/>
      <c r="G728" s="181">
        <f>SUM(F724:F727)</f>
        <v>12698.16</v>
      </c>
    </row>
    <row r="729" spans="1:7" ht="13.5" hidden="1" thickBot="1" x14ac:dyDescent="0.25">
      <c r="A729" s="186" t="s">
        <v>123</v>
      </c>
      <c r="B729" s="179"/>
      <c r="C729" s="179"/>
      <c r="D729" s="179"/>
      <c r="E729" s="179"/>
      <c r="F729" s="179"/>
      <c r="G729" s="179"/>
    </row>
    <row r="730" spans="1:7" ht="13.5" hidden="1" thickBot="1" x14ac:dyDescent="0.25">
      <c r="A730" s="1530" t="s">
        <v>109</v>
      </c>
      <c r="B730" s="1531"/>
      <c r="C730" s="63" t="s">
        <v>114</v>
      </c>
      <c r="D730" s="63" t="s">
        <v>115</v>
      </c>
      <c r="E730" s="63" t="s">
        <v>116</v>
      </c>
      <c r="F730" s="63" t="s">
        <v>112</v>
      </c>
      <c r="G730" s="104"/>
    </row>
    <row r="731" spans="1:7" hidden="1" x14ac:dyDescent="0.2">
      <c r="A731" s="1546" t="s">
        <v>161</v>
      </c>
      <c r="B731" s="1547"/>
      <c r="C731" s="129" t="s">
        <v>12</v>
      </c>
      <c r="D731" s="130">
        <v>382373</v>
      </c>
      <c r="E731" s="129">
        <v>0.09</v>
      </c>
      <c r="F731" s="130">
        <f>+E731*D731</f>
        <v>34413.57</v>
      </c>
      <c r="G731" s="132"/>
    </row>
    <row r="732" spans="1:7" hidden="1" x14ac:dyDescent="0.2">
      <c r="A732" s="1536" t="s">
        <v>163</v>
      </c>
      <c r="B732" s="1537"/>
      <c r="C732" s="134" t="s">
        <v>7</v>
      </c>
      <c r="D732" s="135">
        <v>2650</v>
      </c>
      <c r="E732" s="134">
        <v>3.87</v>
      </c>
      <c r="F732" s="135">
        <f>+E732*D732</f>
        <v>10255.5</v>
      </c>
      <c r="G732" s="137"/>
    </row>
    <row r="733" spans="1:7" hidden="1" x14ac:dyDescent="0.2">
      <c r="A733" s="1536" t="s">
        <v>164</v>
      </c>
      <c r="B733" s="1537"/>
      <c r="C733" s="134" t="s">
        <v>7</v>
      </c>
      <c r="D733" s="135">
        <v>2650</v>
      </c>
      <c r="E733" s="134">
        <v>6.2</v>
      </c>
      <c r="F733" s="135">
        <f>+E733*D733</f>
        <v>16430</v>
      </c>
      <c r="G733" s="137"/>
    </row>
    <row r="734" spans="1:7" ht="13.5" hidden="1" thickBot="1" x14ac:dyDescent="0.25">
      <c r="A734" s="1538" t="s">
        <v>104</v>
      </c>
      <c r="B734" s="1539"/>
      <c r="C734" s="138" t="s">
        <v>105</v>
      </c>
      <c r="D734" s="139">
        <v>40</v>
      </c>
      <c r="E734" s="138">
        <v>15</v>
      </c>
      <c r="F734" s="139">
        <f>+E734*D734</f>
        <v>600</v>
      </c>
      <c r="G734" s="140"/>
    </row>
    <row r="735" spans="1:7" ht="13.5" hidden="1" thickBot="1" x14ac:dyDescent="0.25">
      <c r="A735" s="1527" t="s">
        <v>125</v>
      </c>
      <c r="B735" s="1528"/>
      <c r="C735" s="1528"/>
      <c r="D735" s="1528"/>
      <c r="E735" s="1528"/>
      <c r="F735" s="1529" t="s">
        <v>113</v>
      </c>
      <c r="G735" s="181">
        <f>SUM(F731:F734)</f>
        <v>61699.07</v>
      </c>
    </row>
    <row r="736" spans="1:7" ht="13.5" hidden="1" thickBot="1" x14ac:dyDescent="0.25">
      <c r="A736" s="186" t="s">
        <v>117</v>
      </c>
      <c r="B736" s="179"/>
      <c r="C736" s="179"/>
      <c r="D736" s="179"/>
      <c r="E736" s="179"/>
      <c r="F736" s="179"/>
      <c r="G736" s="179"/>
    </row>
    <row r="737" spans="1:7" ht="13.5" hidden="1" thickBot="1" x14ac:dyDescent="0.25">
      <c r="A737" s="1530" t="s">
        <v>109</v>
      </c>
      <c r="B737" s="1531"/>
      <c r="C737" s="63" t="s">
        <v>114</v>
      </c>
      <c r="D737" s="63" t="s">
        <v>115</v>
      </c>
      <c r="E737" s="63" t="s">
        <v>116</v>
      </c>
      <c r="F737" s="63" t="s">
        <v>112</v>
      </c>
      <c r="G737" s="115"/>
    </row>
    <row r="738" spans="1:7" hidden="1" x14ac:dyDescent="0.2">
      <c r="A738" s="1540" t="s">
        <v>205</v>
      </c>
      <c r="B738" s="1541"/>
      <c r="C738" s="189" t="s">
        <v>159</v>
      </c>
      <c r="D738" s="130">
        <v>60714.285714285717</v>
      </c>
      <c r="E738" s="200">
        <v>0</v>
      </c>
      <c r="F738" s="135">
        <f>D738*E738</f>
        <v>0</v>
      </c>
      <c r="G738" s="132"/>
    </row>
    <row r="739" spans="1:7" ht="13.5" hidden="1" thickBot="1" x14ac:dyDescent="0.25">
      <c r="A739" s="1542"/>
      <c r="B739" s="1535"/>
      <c r="C739" s="189"/>
      <c r="D739" s="139"/>
      <c r="E739" s="201"/>
      <c r="F739" s="139">
        <f>D739*E739</f>
        <v>0</v>
      </c>
      <c r="G739" s="187"/>
    </row>
    <row r="740" spans="1:7" ht="13.5" hidden="1" thickBot="1" x14ac:dyDescent="0.25">
      <c r="A740" s="1527" t="s">
        <v>125</v>
      </c>
      <c r="B740" s="1528"/>
      <c r="C740" s="1528"/>
      <c r="D740" s="1528"/>
      <c r="E740" s="1528"/>
      <c r="F740" s="1529" t="s">
        <v>113</v>
      </c>
      <c r="G740" s="181">
        <f>SUM(F739:F739)</f>
        <v>0</v>
      </c>
    </row>
    <row r="741" spans="1:7" ht="13.5" hidden="1" thickBot="1" x14ac:dyDescent="0.25">
      <c r="A741" s="186" t="s">
        <v>119</v>
      </c>
      <c r="B741" s="179"/>
      <c r="C741" s="179"/>
      <c r="D741" s="179"/>
      <c r="E741" s="179"/>
      <c r="F741" s="179"/>
      <c r="G741" s="179"/>
    </row>
    <row r="742" spans="1:7" ht="21.75" hidden="1" thickBot="1" x14ac:dyDescent="0.25">
      <c r="A742" s="1530" t="s">
        <v>120</v>
      </c>
      <c r="B742" s="1531"/>
      <c r="C742" s="63" t="s">
        <v>121</v>
      </c>
      <c r="D742" s="63" t="s">
        <v>114</v>
      </c>
      <c r="E742" s="63" t="s">
        <v>116</v>
      </c>
      <c r="F742" s="63" t="s">
        <v>112</v>
      </c>
      <c r="G742" s="121"/>
    </row>
    <row r="743" spans="1:7" hidden="1" x14ac:dyDescent="0.2">
      <c r="A743" s="1532" t="s">
        <v>21</v>
      </c>
      <c r="B743" s="1533"/>
      <c r="C743" s="122">
        <v>7410.9600847008996</v>
      </c>
      <c r="D743" s="198">
        <v>1</v>
      </c>
      <c r="E743" s="198">
        <v>1.2</v>
      </c>
      <c r="F743" s="124">
        <f>+(C743*D743)*E743</f>
        <v>8893.1521016410788</v>
      </c>
      <c r="G743" s="132"/>
    </row>
    <row r="744" spans="1:7" ht="13.5" hidden="1" thickBot="1" x14ac:dyDescent="0.25">
      <c r="A744" s="1534" t="s">
        <v>22</v>
      </c>
      <c r="B744" s="1535"/>
      <c r="C744" s="184">
        <v>4374.7823749999998</v>
      </c>
      <c r="D744" s="202">
        <v>1</v>
      </c>
      <c r="E744" s="202">
        <f>+E743</f>
        <v>1.2</v>
      </c>
      <c r="F744" s="182">
        <f>+(C744*D744)*E744</f>
        <v>5249.7388499999997</v>
      </c>
      <c r="G744" s="140"/>
    </row>
    <row r="745" spans="1:7" ht="13.5" hidden="1" thickBot="1" x14ac:dyDescent="0.25">
      <c r="A745" s="1527" t="str">
        <f>+A740</f>
        <v>SUB-TOTAL</v>
      </c>
      <c r="B745" s="1528"/>
      <c r="C745" s="1528"/>
      <c r="D745" s="1528"/>
      <c r="E745" s="1528"/>
      <c r="F745" s="1529" t="s">
        <v>113</v>
      </c>
      <c r="G745" s="181">
        <f>SUM(F743:F744)</f>
        <v>14142.890951641079</v>
      </c>
    </row>
    <row r="746" spans="1:7" ht="11.25" hidden="1" customHeight="1" thickBot="1" x14ac:dyDescent="0.25">
      <c r="A746" s="179"/>
      <c r="B746" s="179"/>
      <c r="C746" s="179"/>
      <c r="D746" s="179"/>
      <c r="E746" s="179"/>
      <c r="F746" s="180"/>
      <c r="G746" s="179"/>
    </row>
    <row r="747" spans="1:7" ht="13.5" hidden="1" thickBot="1" x14ac:dyDescent="0.25">
      <c r="A747" s="1527" t="s">
        <v>156</v>
      </c>
      <c r="B747" s="1528"/>
      <c r="C747" s="1528"/>
      <c r="D747" s="1528"/>
      <c r="E747" s="1528"/>
      <c r="F747" s="1529"/>
      <c r="G747" s="178">
        <f>ROUND(G728+G735+G740+G745,0)</f>
        <v>88540</v>
      </c>
    </row>
    <row r="748" spans="1:7" hidden="1" x14ac:dyDescent="0.2"/>
    <row r="749" spans="1:7" ht="13.5" hidden="1" thickBot="1" x14ac:dyDescent="0.25"/>
    <row r="750" spans="1:7" ht="27" hidden="1" customHeight="1" x14ac:dyDescent="0.2">
      <c r="A750" s="1548" t="s">
        <v>122</v>
      </c>
      <c r="B750" s="1549"/>
      <c r="C750" s="1550"/>
      <c r="D750" s="50"/>
      <c r="E750" s="50"/>
      <c r="F750" s="50"/>
      <c r="G750" s="98"/>
    </row>
    <row r="751" spans="1:7" ht="24" hidden="1" customHeight="1" thickBot="1" x14ac:dyDescent="0.25">
      <c r="A751" s="1551" t="s">
        <v>935</v>
      </c>
      <c r="B751" s="1552"/>
      <c r="C751" s="1553"/>
      <c r="D751" s="99"/>
      <c r="E751" s="99"/>
      <c r="F751" s="99"/>
      <c r="G751" s="100"/>
    </row>
    <row r="752" spans="1:7" ht="13.5" hidden="1" thickBot="1" x14ac:dyDescent="0.25">
      <c r="A752" s="179"/>
      <c r="B752" s="179"/>
      <c r="C752" s="179"/>
      <c r="D752" s="179"/>
      <c r="E752" s="179"/>
      <c r="F752" s="179"/>
      <c r="G752" s="179"/>
    </row>
    <row r="753" spans="1:7" ht="30.75" hidden="1" customHeight="1" thickBot="1" x14ac:dyDescent="0.25">
      <c r="A753" s="1558" t="s">
        <v>936</v>
      </c>
      <c r="B753" s="1559"/>
      <c r="C753" s="1560"/>
      <c r="D753" s="1565" t="s">
        <v>186</v>
      </c>
      <c r="E753" s="1559"/>
      <c r="F753" s="1559"/>
      <c r="G753" s="1560"/>
    </row>
    <row r="754" spans="1:7" ht="13.5" hidden="1" thickBot="1" x14ac:dyDescent="0.25">
      <c r="A754" s="192"/>
      <c r="B754" s="192"/>
      <c r="C754" s="192"/>
      <c r="D754" s="192"/>
      <c r="E754" s="192"/>
      <c r="F754" s="192"/>
      <c r="G754" s="192"/>
    </row>
    <row r="755" spans="1:7" ht="12.75" hidden="1" customHeight="1" thickBot="1" x14ac:dyDescent="0.25">
      <c r="A755" s="191"/>
      <c r="B755" s="179"/>
      <c r="D755" s="60" t="s">
        <v>124</v>
      </c>
      <c r="E755" s="61" t="s">
        <v>6</v>
      </c>
      <c r="F755" s="191"/>
      <c r="G755" s="191"/>
    </row>
    <row r="756" spans="1:7" ht="13.5" hidden="1" thickBot="1" x14ac:dyDescent="0.25">
      <c r="A756" s="186" t="s">
        <v>108</v>
      </c>
      <c r="B756" s="179"/>
      <c r="C756" s="179"/>
      <c r="D756" s="179"/>
      <c r="E756" s="179"/>
      <c r="F756" s="179"/>
      <c r="G756" s="179"/>
    </row>
    <row r="757" spans="1:7" ht="13.5" hidden="1" customHeight="1" thickBot="1" x14ac:dyDescent="0.25">
      <c r="A757" s="1530" t="s">
        <v>109</v>
      </c>
      <c r="B757" s="1554"/>
      <c r="C757" s="1531"/>
      <c r="D757" s="63" t="s">
        <v>110</v>
      </c>
      <c r="E757" s="63" t="s">
        <v>111</v>
      </c>
      <c r="F757" s="63" t="s">
        <v>112</v>
      </c>
      <c r="G757" s="104"/>
    </row>
    <row r="758" spans="1:7" hidden="1" x14ac:dyDescent="0.2">
      <c r="A758" s="1540" t="s">
        <v>131</v>
      </c>
      <c r="B758" s="1555"/>
      <c r="C758" s="1541"/>
      <c r="D758" s="130">
        <v>2062.5</v>
      </c>
      <c r="E758" s="131">
        <f>+E777</f>
        <v>1.2</v>
      </c>
      <c r="F758" s="130">
        <f>+E758*D758</f>
        <v>2475</v>
      </c>
      <c r="G758" s="132"/>
    </row>
    <row r="759" spans="1:7" hidden="1" x14ac:dyDescent="0.2">
      <c r="A759" s="1543" t="s">
        <v>953</v>
      </c>
      <c r="B759" s="1544"/>
      <c r="C759" s="1545" t="s">
        <v>4</v>
      </c>
      <c r="D759" s="135">
        <v>38462</v>
      </c>
      <c r="E759" s="136">
        <v>0.18</v>
      </c>
      <c r="F759" s="135">
        <f>+E759*D759</f>
        <v>6923.16</v>
      </c>
      <c r="G759" s="137"/>
    </row>
    <row r="760" spans="1:7" hidden="1" x14ac:dyDescent="0.2">
      <c r="A760" s="1543" t="s">
        <v>147</v>
      </c>
      <c r="B760" s="1544"/>
      <c r="C760" s="1545"/>
      <c r="D760" s="135">
        <v>1500</v>
      </c>
      <c r="E760" s="136">
        <v>1.4</v>
      </c>
      <c r="F760" s="135">
        <f>+E760*D760</f>
        <v>2100</v>
      </c>
      <c r="G760" s="137"/>
    </row>
    <row r="761" spans="1:7" ht="13.5" hidden="1" thickBot="1" x14ac:dyDescent="0.25">
      <c r="A761" s="1542" t="s">
        <v>135</v>
      </c>
      <c r="B761" s="1564"/>
      <c r="C761" s="1535"/>
      <c r="D761" s="139">
        <v>7500</v>
      </c>
      <c r="E761" s="141">
        <f>0.02*8</f>
        <v>0.16</v>
      </c>
      <c r="F761" s="139">
        <f>+E761*D761</f>
        <v>1200</v>
      </c>
      <c r="G761" s="140"/>
    </row>
    <row r="762" spans="1:7" ht="13.5" hidden="1" thickBot="1" x14ac:dyDescent="0.25">
      <c r="A762" s="1527" t="s">
        <v>125</v>
      </c>
      <c r="B762" s="1528"/>
      <c r="C762" s="1528"/>
      <c r="D762" s="1528"/>
      <c r="E762" s="1528"/>
      <c r="F762" s="1529"/>
      <c r="G762" s="181">
        <f>SUM(F758:F761)</f>
        <v>12698.16</v>
      </c>
    </row>
    <row r="763" spans="1:7" ht="13.5" hidden="1" thickBot="1" x14ac:dyDescent="0.25">
      <c r="A763" s="186" t="s">
        <v>123</v>
      </c>
      <c r="B763" s="179"/>
      <c r="C763" s="179"/>
      <c r="D763" s="179"/>
      <c r="E763" s="179"/>
      <c r="F763" s="179"/>
      <c r="G763" s="179"/>
    </row>
    <row r="764" spans="1:7" ht="13.5" hidden="1" thickBot="1" x14ac:dyDescent="0.25">
      <c r="A764" s="1530" t="s">
        <v>109</v>
      </c>
      <c r="B764" s="1531"/>
      <c r="C764" s="63" t="s">
        <v>114</v>
      </c>
      <c r="D764" s="63" t="s">
        <v>115</v>
      </c>
      <c r="E764" s="63" t="s">
        <v>116</v>
      </c>
      <c r="F764" s="63" t="s">
        <v>112</v>
      </c>
      <c r="G764" s="104"/>
    </row>
    <row r="765" spans="1:7" hidden="1" x14ac:dyDescent="0.2">
      <c r="A765" s="1546" t="s">
        <v>161</v>
      </c>
      <c r="B765" s="1547"/>
      <c r="C765" s="129" t="s">
        <v>12</v>
      </c>
      <c r="D765" s="130">
        <v>382373</v>
      </c>
      <c r="E765" s="129">
        <v>0.125</v>
      </c>
      <c r="F765" s="130">
        <f>+E765*D765</f>
        <v>47796.625</v>
      </c>
      <c r="G765" s="132"/>
    </row>
    <row r="766" spans="1:7" hidden="1" x14ac:dyDescent="0.2">
      <c r="A766" s="1536" t="s">
        <v>163</v>
      </c>
      <c r="B766" s="1537"/>
      <c r="C766" s="134" t="s">
        <v>7</v>
      </c>
      <c r="D766" s="135">
        <v>2650</v>
      </c>
      <c r="E766" s="134">
        <v>4.2300000000000004</v>
      </c>
      <c r="F766" s="135">
        <f>+E766*D766</f>
        <v>11209.500000000002</v>
      </c>
      <c r="G766" s="137"/>
    </row>
    <row r="767" spans="1:7" hidden="1" x14ac:dyDescent="0.2">
      <c r="A767" s="1536" t="s">
        <v>164</v>
      </c>
      <c r="B767" s="1537"/>
      <c r="C767" s="134" t="s">
        <v>7</v>
      </c>
      <c r="D767" s="135">
        <v>2650</v>
      </c>
      <c r="E767" s="134">
        <v>7.44</v>
      </c>
      <c r="F767" s="135">
        <f>+E767*D767</f>
        <v>19716</v>
      </c>
      <c r="G767" s="137"/>
    </row>
    <row r="768" spans="1:7" ht="13.5" hidden="1" thickBot="1" x14ac:dyDescent="0.25">
      <c r="A768" s="1538" t="s">
        <v>104</v>
      </c>
      <c r="B768" s="1539"/>
      <c r="C768" s="138" t="s">
        <v>105</v>
      </c>
      <c r="D768" s="139">
        <v>40</v>
      </c>
      <c r="E768" s="138">
        <v>15</v>
      </c>
      <c r="F768" s="139">
        <f>+E768*D768</f>
        <v>600</v>
      </c>
      <c r="G768" s="140"/>
    </row>
    <row r="769" spans="1:7" ht="13.5" hidden="1" thickBot="1" x14ac:dyDescent="0.25">
      <c r="A769" s="1527" t="s">
        <v>125</v>
      </c>
      <c r="B769" s="1528"/>
      <c r="C769" s="1528"/>
      <c r="D769" s="1528"/>
      <c r="E769" s="1528"/>
      <c r="F769" s="1529" t="s">
        <v>113</v>
      </c>
      <c r="G769" s="181">
        <f>SUM(F765:F768)</f>
        <v>79322.125</v>
      </c>
    </row>
    <row r="770" spans="1:7" ht="13.5" hidden="1" thickBot="1" x14ac:dyDescent="0.25">
      <c r="A770" s="186" t="s">
        <v>117</v>
      </c>
      <c r="B770" s="179"/>
      <c r="C770" s="179"/>
      <c r="D770" s="179"/>
      <c r="E770" s="179"/>
      <c r="F770" s="179"/>
      <c r="G770" s="179"/>
    </row>
    <row r="771" spans="1:7" ht="13.5" hidden="1" thickBot="1" x14ac:dyDescent="0.25">
      <c r="A771" s="1530" t="s">
        <v>109</v>
      </c>
      <c r="B771" s="1531"/>
      <c r="C771" s="63" t="s">
        <v>114</v>
      </c>
      <c r="D771" s="63" t="s">
        <v>115</v>
      </c>
      <c r="E771" s="63" t="s">
        <v>116</v>
      </c>
      <c r="F771" s="63" t="s">
        <v>112</v>
      </c>
      <c r="G771" s="115"/>
    </row>
    <row r="772" spans="1:7" hidden="1" x14ac:dyDescent="0.2">
      <c r="A772" s="1540" t="s">
        <v>205</v>
      </c>
      <c r="B772" s="1541"/>
      <c r="C772" s="189" t="s">
        <v>159</v>
      </c>
      <c r="D772" s="130">
        <v>60714.285714285717</v>
      </c>
      <c r="E772" s="200">
        <v>0</v>
      </c>
      <c r="F772" s="135">
        <f>D772*E772</f>
        <v>0</v>
      </c>
      <c r="G772" s="132"/>
    </row>
    <row r="773" spans="1:7" ht="13.5" hidden="1" thickBot="1" x14ac:dyDescent="0.25">
      <c r="A773" s="1542"/>
      <c r="B773" s="1535"/>
      <c r="C773" s="189"/>
      <c r="D773" s="139"/>
      <c r="E773" s="201"/>
      <c r="F773" s="139">
        <f>D773*E773</f>
        <v>0</v>
      </c>
      <c r="G773" s="187"/>
    </row>
    <row r="774" spans="1:7" ht="13.5" hidden="1" thickBot="1" x14ac:dyDescent="0.25">
      <c r="A774" s="1527" t="s">
        <v>125</v>
      </c>
      <c r="B774" s="1528"/>
      <c r="C774" s="1528"/>
      <c r="D774" s="1528"/>
      <c r="E774" s="1528"/>
      <c r="F774" s="1529" t="s">
        <v>113</v>
      </c>
      <c r="G774" s="181">
        <f>SUM(F773:F773)</f>
        <v>0</v>
      </c>
    </row>
    <row r="775" spans="1:7" ht="13.5" hidden="1" thickBot="1" x14ac:dyDescent="0.25">
      <c r="A775" s="186" t="s">
        <v>119</v>
      </c>
      <c r="B775" s="179"/>
      <c r="C775" s="179"/>
      <c r="D775" s="179"/>
      <c r="E775" s="179"/>
      <c r="F775" s="179"/>
      <c r="G775" s="179"/>
    </row>
    <row r="776" spans="1:7" ht="21.75" hidden="1" thickBot="1" x14ac:dyDescent="0.25">
      <c r="A776" s="1530" t="s">
        <v>120</v>
      </c>
      <c r="B776" s="1531"/>
      <c r="C776" s="63" t="s">
        <v>121</v>
      </c>
      <c r="D776" s="63" t="s">
        <v>114</v>
      </c>
      <c r="E776" s="63" t="s">
        <v>116</v>
      </c>
      <c r="F776" s="63" t="s">
        <v>112</v>
      </c>
      <c r="G776" s="121"/>
    </row>
    <row r="777" spans="1:7" hidden="1" x14ac:dyDescent="0.2">
      <c r="A777" s="1532" t="s">
        <v>21</v>
      </c>
      <c r="B777" s="1533"/>
      <c r="C777" s="122">
        <v>7410.9600847008996</v>
      </c>
      <c r="D777" s="198">
        <v>1</v>
      </c>
      <c r="E777" s="198">
        <v>1.2</v>
      </c>
      <c r="F777" s="124">
        <f>+(C777*D777)*E777</f>
        <v>8893.1521016410788</v>
      </c>
      <c r="G777" s="132"/>
    </row>
    <row r="778" spans="1:7" ht="13.5" hidden="1" thickBot="1" x14ac:dyDescent="0.25">
      <c r="A778" s="1534" t="s">
        <v>22</v>
      </c>
      <c r="B778" s="1535"/>
      <c r="C778" s="184">
        <v>4374.7823749999998</v>
      </c>
      <c r="D778" s="202">
        <v>1</v>
      </c>
      <c r="E778" s="202">
        <f>+E777</f>
        <v>1.2</v>
      </c>
      <c r="F778" s="182">
        <f>+(C778*D778)*E778</f>
        <v>5249.7388499999997</v>
      </c>
      <c r="G778" s="140"/>
    </row>
    <row r="779" spans="1:7" ht="13.5" hidden="1" thickBot="1" x14ac:dyDescent="0.25">
      <c r="A779" s="1527" t="str">
        <f>+A774</f>
        <v>SUB-TOTAL</v>
      </c>
      <c r="B779" s="1528"/>
      <c r="C779" s="1528"/>
      <c r="D779" s="1528"/>
      <c r="E779" s="1528"/>
      <c r="F779" s="1529" t="s">
        <v>113</v>
      </c>
      <c r="G779" s="181">
        <f>SUM(F777:F778)</f>
        <v>14142.890951641079</v>
      </c>
    </row>
    <row r="780" spans="1:7" ht="11.25" hidden="1" customHeight="1" thickBot="1" x14ac:dyDescent="0.25">
      <c r="A780" s="179"/>
      <c r="B780" s="179"/>
      <c r="C780" s="179"/>
      <c r="D780" s="179"/>
      <c r="E780" s="179"/>
      <c r="F780" s="180"/>
      <c r="G780" s="179"/>
    </row>
    <row r="781" spans="1:7" ht="13.5" hidden="1" thickBot="1" x14ac:dyDescent="0.25">
      <c r="A781" s="1527" t="s">
        <v>156</v>
      </c>
      <c r="B781" s="1528"/>
      <c r="C781" s="1528"/>
      <c r="D781" s="1528"/>
      <c r="E781" s="1528"/>
      <c r="F781" s="1529"/>
      <c r="G781" s="178">
        <f>ROUND(G762+G769+G774+G779,0)</f>
        <v>106163</v>
      </c>
    </row>
    <row r="782" spans="1:7" hidden="1" x14ac:dyDescent="0.2"/>
    <row r="783" spans="1:7" ht="13.5" hidden="1" thickBot="1" x14ac:dyDescent="0.25"/>
    <row r="784" spans="1:7" ht="27" hidden="1" customHeight="1" x14ac:dyDescent="0.2">
      <c r="A784" s="1548" t="s">
        <v>122</v>
      </c>
      <c r="B784" s="1549"/>
      <c r="C784" s="1550"/>
      <c r="D784" s="50"/>
      <c r="E784" s="50"/>
      <c r="F784" s="50"/>
      <c r="G784" s="98"/>
    </row>
    <row r="785" spans="1:7" ht="24" hidden="1" customHeight="1" thickBot="1" x14ac:dyDescent="0.25">
      <c r="A785" s="1551" t="s">
        <v>935</v>
      </c>
      <c r="B785" s="1552"/>
      <c r="C785" s="1553"/>
      <c r="D785" s="99"/>
      <c r="E785" s="99"/>
      <c r="F785" s="99"/>
      <c r="G785" s="100"/>
    </row>
    <row r="786" spans="1:7" ht="13.5" hidden="1" thickBot="1" x14ac:dyDescent="0.25">
      <c r="A786" s="179"/>
      <c r="B786" s="179"/>
      <c r="C786" s="179"/>
      <c r="D786" s="179"/>
      <c r="E786" s="179"/>
      <c r="F786" s="179"/>
      <c r="G786" s="179"/>
    </row>
    <row r="787" spans="1:7" ht="30.75" hidden="1" customHeight="1" thickBot="1" x14ac:dyDescent="0.25">
      <c r="A787" s="1558" t="s">
        <v>936</v>
      </c>
      <c r="B787" s="1559"/>
      <c r="C787" s="1560"/>
      <c r="D787" s="1565" t="s">
        <v>187</v>
      </c>
      <c r="E787" s="1559"/>
      <c r="F787" s="1559"/>
      <c r="G787" s="1560"/>
    </row>
    <row r="788" spans="1:7" ht="13.5" hidden="1" thickBot="1" x14ac:dyDescent="0.25">
      <c r="A788" s="192"/>
      <c r="B788" s="192"/>
      <c r="C788" s="192"/>
      <c r="D788" s="192"/>
      <c r="E788" s="192"/>
      <c r="F788" s="192"/>
      <c r="G788" s="192"/>
    </row>
    <row r="789" spans="1:7" ht="12.75" hidden="1" customHeight="1" thickBot="1" x14ac:dyDescent="0.25">
      <c r="A789" s="191"/>
      <c r="B789" s="179"/>
      <c r="D789" s="60" t="s">
        <v>124</v>
      </c>
      <c r="E789" s="61" t="s">
        <v>6</v>
      </c>
      <c r="F789" s="191"/>
      <c r="G789" s="191"/>
    </row>
    <row r="790" spans="1:7" ht="13.5" hidden="1" thickBot="1" x14ac:dyDescent="0.25">
      <c r="A790" s="186" t="s">
        <v>108</v>
      </c>
      <c r="B790" s="179"/>
      <c r="C790" s="179"/>
      <c r="D790" s="179"/>
      <c r="E790" s="179"/>
      <c r="F790" s="179"/>
      <c r="G790" s="179"/>
    </row>
    <row r="791" spans="1:7" ht="13.5" hidden="1" customHeight="1" thickBot="1" x14ac:dyDescent="0.25">
      <c r="A791" s="1530" t="s">
        <v>109</v>
      </c>
      <c r="B791" s="1554"/>
      <c r="C791" s="1531"/>
      <c r="D791" s="63" t="s">
        <v>110</v>
      </c>
      <c r="E791" s="63" t="s">
        <v>111</v>
      </c>
      <c r="F791" s="63" t="s">
        <v>112</v>
      </c>
      <c r="G791" s="104"/>
    </row>
    <row r="792" spans="1:7" hidden="1" x14ac:dyDescent="0.2">
      <c r="A792" s="1540" t="s">
        <v>131</v>
      </c>
      <c r="B792" s="1555"/>
      <c r="C792" s="1541"/>
      <c r="D792" s="130">
        <v>2062.5</v>
      </c>
      <c r="E792" s="131">
        <f>+E811</f>
        <v>1.2</v>
      </c>
      <c r="F792" s="130">
        <f>+E792*D792</f>
        <v>2475</v>
      </c>
      <c r="G792" s="132"/>
    </row>
    <row r="793" spans="1:7" hidden="1" x14ac:dyDescent="0.2">
      <c r="A793" s="1543" t="s">
        <v>953</v>
      </c>
      <c r="B793" s="1544"/>
      <c r="C793" s="1545" t="s">
        <v>4</v>
      </c>
      <c r="D793" s="135">
        <v>38462</v>
      </c>
      <c r="E793" s="136">
        <v>0.22</v>
      </c>
      <c r="F793" s="135">
        <f>+E793*D793</f>
        <v>8461.64</v>
      </c>
      <c r="G793" s="137"/>
    </row>
    <row r="794" spans="1:7" hidden="1" x14ac:dyDescent="0.2">
      <c r="A794" s="1543" t="s">
        <v>147</v>
      </c>
      <c r="B794" s="1544"/>
      <c r="C794" s="1545"/>
      <c r="D794" s="135">
        <v>1500</v>
      </c>
      <c r="E794" s="136">
        <v>1.4</v>
      </c>
      <c r="F794" s="135">
        <f>+E794*D794</f>
        <v>2100</v>
      </c>
      <c r="G794" s="137"/>
    </row>
    <row r="795" spans="1:7" ht="13.5" hidden="1" thickBot="1" x14ac:dyDescent="0.25">
      <c r="A795" s="1542" t="s">
        <v>135</v>
      </c>
      <c r="B795" s="1564"/>
      <c r="C795" s="1535"/>
      <c r="D795" s="139">
        <v>7500</v>
      </c>
      <c r="E795" s="141">
        <f>0.02*8</f>
        <v>0.16</v>
      </c>
      <c r="F795" s="139">
        <f>+E795*D795</f>
        <v>1200</v>
      </c>
      <c r="G795" s="140"/>
    </row>
    <row r="796" spans="1:7" ht="13.5" hidden="1" thickBot="1" x14ac:dyDescent="0.25">
      <c r="A796" s="1527" t="s">
        <v>125</v>
      </c>
      <c r="B796" s="1528"/>
      <c r="C796" s="1528"/>
      <c r="D796" s="1528"/>
      <c r="E796" s="1528"/>
      <c r="F796" s="1529"/>
      <c r="G796" s="181">
        <f>SUM(F792:F795)</f>
        <v>14236.64</v>
      </c>
    </row>
    <row r="797" spans="1:7" ht="13.5" hidden="1" thickBot="1" x14ac:dyDescent="0.25">
      <c r="A797" s="186" t="s">
        <v>123</v>
      </c>
      <c r="B797" s="179"/>
      <c r="C797" s="179"/>
      <c r="D797" s="179"/>
      <c r="E797" s="179"/>
      <c r="F797" s="179"/>
      <c r="G797" s="179"/>
    </row>
    <row r="798" spans="1:7" ht="13.5" hidden="1" thickBot="1" x14ac:dyDescent="0.25">
      <c r="A798" s="1530" t="s">
        <v>109</v>
      </c>
      <c r="B798" s="1531"/>
      <c r="C798" s="63" t="s">
        <v>114</v>
      </c>
      <c r="D798" s="63" t="s">
        <v>115</v>
      </c>
      <c r="E798" s="63" t="s">
        <v>116</v>
      </c>
      <c r="F798" s="63" t="s">
        <v>112</v>
      </c>
      <c r="G798" s="104"/>
    </row>
    <row r="799" spans="1:7" hidden="1" x14ac:dyDescent="0.2">
      <c r="A799" s="1546" t="s">
        <v>161</v>
      </c>
      <c r="B799" s="1547"/>
      <c r="C799" s="129" t="s">
        <v>12</v>
      </c>
      <c r="D799" s="130">
        <v>382373</v>
      </c>
      <c r="E799" s="129">
        <v>0.09</v>
      </c>
      <c r="F799" s="130">
        <f>+E799*D799</f>
        <v>34413.57</v>
      </c>
      <c r="G799" s="132"/>
    </row>
    <row r="800" spans="1:7" hidden="1" x14ac:dyDescent="0.2">
      <c r="A800" s="1536" t="s">
        <v>163</v>
      </c>
      <c r="B800" s="1537"/>
      <c r="C800" s="134" t="s">
        <v>7</v>
      </c>
      <c r="D800" s="135">
        <v>2650</v>
      </c>
      <c r="E800" s="134">
        <v>6.2</v>
      </c>
      <c r="F800" s="135">
        <f>+E800*D800</f>
        <v>16430</v>
      </c>
      <c r="G800" s="137"/>
    </row>
    <row r="801" spans="1:7" hidden="1" x14ac:dyDescent="0.2">
      <c r="A801" s="1536" t="s">
        <v>164</v>
      </c>
      <c r="B801" s="1537"/>
      <c r="C801" s="134" t="s">
        <v>7</v>
      </c>
      <c r="D801" s="135">
        <v>2650</v>
      </c>
      <c r="E801" s="134">
        <v>6.44</v>
      </c>
      <c r="F801" s="135">
        <f>+E801*D801</f>
        <v>17066</v>
      </c>
      <c r="G801" s="137"/>
    </row>
    <row r="802" spans="1:7" ht="13.5" hidden="1" thickBot="1" x14ac:dyDescent="0.25">
      <c r="A802" s="1538" t="s">
        <v>104</v>
      </c>
      <c r="B802" s="1539"/>
      <c r="C802" s="138" t="s">
        <v>105</v>
      </c>
      <c r="D802" s="139">
        <v>40</v>
      </c>
      <c r="E802" s="138">
        <v>15</v>
      </c>
      <c r="F802" s="139">
        <f>+E802*D802</f>
        <v>600</v>
      </c>
      <c r="G802" s="140"/>
    </row>
    <row r="803" spans="1:7" ht="13.5" hidden="1" thickBot="1" x14ac:dyDescent="0.25">
      <c r="A803" s="1527" t="s">
        <v>125</v>
      </c>
      <c r="B803" s="1528"/>
      <c r="C803" s="1528"/>
      <c r="D803" s="1528"/>
      <c r="E803" s="1528"/>
      <c r="F803" s="1529" t="s">
        <v>113</v>
      </c>
      <c r="G803" s="181">
        <f>SUM(F799:F802)</f>
        <v>68509.570000000007</v>
      </c>
    </row>
    <row r="804" spans="1:7" ht="13.5" hidden="1" thickBot="1" x14ac:dyDescent="0.25">
      <c r="A804" s="186" t="s">
        <v>117</v>
      </c>
      <c r="B804" s="179"/>
      <c r="C804" s="179"/>
      <c r="D804" s="179"/>
      <c r="E804" s="179"/>
      <c r="F804" s="179"/>
      <c r="G804" s="179"/>
    </row>
    <row r="805" spans="1:7" ht="13.5" hidden="1" thickBot="1" x14ac:dyDescent="0.25">
      <c r="A805" s="1530" t="s">
        <v>109</v>
      </c>
      <c r="B805" s="1531"/>
      <c r="C805" s="63" t="s">
        <v>114</v>
      </c>
      <c r="D805" s="63" t="s">
        <v>115</v>
      </c>
      <c r="E805" s="63" t="s">
        <v>116</v>
      </c>
      <c r="F805" s="63" t="s">
        <v>112</v>
      </c>
      <c r="G805" s="115"/>
    </row>
    <row r="806" spans="1:7" hidden="1" x14ac:dyDescent="0.2">
      <c r="A806" s="1540" t="s">
        <v>205</v>
      </c>
      <c r="B806" s="1541"/>
      <c r="C806" s="189" t="s">
        <v>159</v>
      </c>
      <c r="D806" s="130">
        <v>60714.285714285717</v>
      </c>
      <c r="E806" s="200">
        <v>0</v>
      </c>
      <c r="F806" s="135">
        <f>D806*E806</f>
        <v>0</v>
      </c>
      <c r="G806" s="132"/>
    </row>
    <row r="807" spans="1:7" ht="13.5" hidden="1" thickBot="1" x14ac:dyDescent="0.25">
      <c r="A807" s="1542"/>
      <c r="B807" s="1535"/>
      <c r="C807" s="189"/>
      <c r="D807" s="139"/>
      <c r="E807" s="201"/>
      <c r="F807" s="139">
        <f>D807*E807</f>
        <v>0</v>
      </c>
      <c r="G807" s="187"/>
    </row>
    <row r="808" spans="1:7" ht="13.5" hidden="1" thickBot="1" x14ac:dyDescent="0.25">
      <c r="A808" s="1527" t="s">
        <v>125</v>
      </c>
      <c r="B808" s="1528"/>
      <c r="C808" s="1528"/>
      <c r="D808" s="1528"/>
      <c r="E808" s="1528"/>
      <c r="F808" s="1529" t="s">
        <v>113</v>
      </c>
      <c r="G808" s="181">
        <f>SUM(F807:F807)</f>
        <v>0</v>
      </c>
    </row>
    <row r="809" spans="1:7" ht="13.5" hidden="1" thickBot="1" x14ac:dyDescent="0.25">
      <c r="A809" s="186" t="s">
        <v>119</v>
      </c>
      <c r="B809" s="179"/>
      <c r="C809" s="179"/>
      <c r="D809" s="179"/>
      <c r="E809" s="179"/>
      <c r="F809" s="179"/>
      <c r="G809" s="179"/>
    </row>
    <row r="810" spans="1:7" ht="21.75" hidden="1" thickBot="1" x14ac:dyDescent="0.25">
      <c r="A810" s="1530" t="s">
        <v>120</v>
      </c>
      <c r="B810" s="1531"/>
      <c r="C810" s="63" t="s">
        <v>121</v>
      </c>
      <c r="D810" s="63" t="s">
        <v>114</v>
      </c>
      <c r="E810" s="63" t="s">
        <v>116</v>
      </c>
      <c r="F810" s="63" t="s">
        <v>112</v>
      </c>
      <c r="G810" s="121"/>
    </row>
    <row r="811" spans="1:7" hidden="1" x14ac:dyDescent="0.2">
      <c r="A811" s="1532" t="s">
        <v>21</v>
      </c>
      <c r="B811" s="1533"/>
      <c r="C811" s="122">
        <v>7410.9600847008996</v>
      </c>
      <c r="D811" s="198">
        <v>1</v>
      </c>
      <c r="E811" s="198">
        <v>1.2</v>
      </c>
      <c r="F811" s="124">
        <f>+(C811*D811)*E811</f>
        <v>8893.1521016410788</v>
      </c>
      <c r="G811" s="132"/>
    </row>
    <row r="812" spans="1:7" ht="13.5" hidden="1" thickBot="1" x14ac:dyDescent="0.25">
      <c r="A812" s="1534" t="s">
        <v>22</v>
      </c>
      <c r="B812" s="1535"/>
      <c r="C812" s="184">
        <v>4374.7823749999998</v>
      </c>
      <c r="D812" s="202">
        <v>1</v>
      </c>
      <c r="E812" s="202">
        <f>+E811</f>
        <v>1.2</v>
      </c>
      <c r="F812" s="182">
        <f>+(C812*D812)*E812</f>
        <v>5249.7388499999997</v>
      </c>
      <c r="G812" s="140"/>
    </row>
    <row r="813" spans="1:7" ht="13.5" hidden="1" thickBot="1" x14ac:dyDescent="0.25">
      <c r="A813" s="1527" t="str">
        <f>+A808</f>
        <v>SUB-TOTAL</v>
      </c>
      <c r="B813" s="1528"/>
      <c r="C813" s="1528"/>
      <c r="D813" s="1528"/>
      <c r="E813" s="1528"/>
      <c r="F813" s="1529" t="s">
        <v>113</v>
      </c>
      <c r="G813" s="181">
        <f>SUM(F811:F812)</f>
        <v>14142.890951641079</v>
      </c>
    </row>
    <row r="814" spans="1:7" ht="11.25" hidden="1" customHeight="1" thickBot="1" x14ac:dyDescent="0.25">
      <c r="A814" s="179"/>
      <c r="B814" s="179"/>
      <c r="C814" s="179"/>
      <c r="D814" s="179"/>
      <c r="E814" s="179"/>
      <c r="F814" s="180"/>
      <c r="G814" s="179"/>
    </row>
    <row r="815" spans="1:7" ht="13.5" hidden="1" thickBot="1" x14ac:dyDescent="0.25">
      <c r="A815" s="1527" t="s">
        <v>156</v>
      </c>
      <c r="B815" s="1528"/>
      <c r="C815" s="1528"/>
      <c r="D815" s="1528"/>
      <c r="E815" s="1528"/>
      <c r="F815" s="1529"/>
      <c r="G815" s="178">
        <f>ROUND(G796+G803+G808+G813,0)</f>
        <v>96889</v>
      </c>
    </row>
    <row r="816" spans="1:7" hidden="1" x14ac:dyDescent="0.2"/>
    <row r="817" spans="1:7" ht="13.5" hidden="1" thickBot="1" x14ac:dyDescent="0.25"/>
    <row r="818" spans="1:7" ht="27" hidden="1" customHeight="1" x14ac:dyDescent="0.2">
      <c r="A818" s="1548" t="s">
        <v>122</v>
      </c>
      <c r="B818" s="1549"/>
      <c r="C818" s="1550"/>
      <c r="D818" s="50"/>
      <c r="E818" s="50"/>
      <c r="F818" s="50"/>
      <c r="G818" s="98"/>
    </row>
    <row r="819" spans="1:7" ht="24" hidden="1" customHeight="1" thickBot="1" x14ac:dyDescent="0.25">
      <c r="A819" s="1551" t="s">
        <v>935</v>
      </c>
      <c r="B819" s="1552"/>
      <c r="C819" s="1553"/>
      <c r="D819" s="99"/>
      <c r="E819" s="99"/>
      <c r="F819" s="99"/>
      <c r="G819" s="100"/>
    </row>
    <row r="820" spans="1:7" ht="13.5" hidden="1" thickBot="1" x14ac:dyDescent="0.25">
      <c r="A820" s="179"/>
      <c r="B820" s="179"/>
      <c r="C820" s="179"/>
      <c r="D820" s="179"/>
      <c r="E820" s="179"/>
      <c r="F820" s="179"/>
      <c r="G820" s="179"/>
    </row>
    <row r="821" spans="1:7" ht="30.75" hidden="1" customHeight="1" thickBot="1" x14ac:dyDescent="0.25">
      <c r="A821" s="1558" t="s">
        <v>936</v>
      </c>
      <c r="B821" s="1559"/>
      <c r="C821" s="1560"/>
      <c r="D821" s="1565" t="s">
        <v>189</v>
      </c>
      <c r="E821" s="1559"/>
      <c r="F821" s="1559"/>
      <c r="G821" s="1560"/>
    </row>
    <row r="822" spans="1:7" ht="13.5" hidden="1" thickBot="1" x14ac:dyDescent="0.25">
      <c r="A822" s="192"/>
      <c r="B822" s="192"/>
      <c r="C822" s="192"/>
      <c r="D822" s="192"/>
      <c r="E822" s="192"/>
      <c r="F822" s="192"/>
      <c r="G822" s="192"/>
    </row>
    <row r="823" spans="1:7" ht="12.75" hidden="1" customHeight="1" thickBot="1" x14ac:dyDescent="0.25">
      <c r="A823" s="191"/>
      <c r="B823" s="179"/>
      <c r="D823" s="60" t="s">
        <v>124</v>
      </c>
      <c r="E823" s="61" t="s">
        <v>6</v>
      </c>
      <c r="F823" s="191"/>
      <c r="G823" s="191"/>
    </row>
    <row r="824" spans="1:7" ht="13.5" hidden="1" thickBot="1" x14ac:dyDescent="0.25">
      <c r="A824" s="186" t="s">
        <v>108</v>
      </c>
      <c r="B824" s="179"/>
      <c r="C824" s="179"/>
      <c r="D824" s="179"/>
      <c r="E824" s="179"/>
      <c r="F824" s="179"/>
      <c r="G824" s="179"/>
    </row>
    <row r="825" spans="1:7" ht="13.5" hidden="1" customHeight="1" thickBot="1" x14ac:dyDescent="0.25">
      <c r="A825" s="1530" t="s">
        <v>109</v>
      </c>
      <c r="B825" s="1554"/>
      <c r="C825" s="1531"/>
      <c r="D825" s="63" t="s">
        <v>110</v>
      </c>
      <c r="E825" s="63" t="s">
        <v>111</v>
      </c>
      <c r="F825" s="63" t="s">
        <v>112</v>
      </c>
      <c r="G825" s="104"/>
    </row>
    <row r="826" spans="1:7" hidden="1" x14ac:dyDescent="0.2">
      <c r="A826" s="1540" t="s">
        <v>131</v>
      </c>
      <c r="B826" s="1555"/>
      <c r="C826" s="1541"/>
      <c r="D826" s="130">
        <v>2062.5</v>
      </c>
      <c r="E826" s="131">
        <f>+E845</f>
        <v>1</v>
      </c>
      <c r="F826" s="130">
        <f>+E826*D826</f>
        <v>2062.5</v>
      </c>
      <c r="G826" s="132"/>
    </row>
    <row r="827" spans="1:7" hidden="1" x14ac:dyDescent="0.2">
      <c r="A827" s="1543" t="s">
        <v>953</v>
      </c>
      <c r="B827" s="1544"/>
      <c r="C827" s="1545" t="s">
        <v>4</v>
      </c>
      <c r="D827" s="135">
        <v>38462</v>
      </c>
      <c r="E827" s="136">
        <v>0.11</v>
      </c>
      <c r="F827" s="135">
        <f>+E827*D827</f>
        <v>4230.82</v>
      </c>
      <c r="G827" s="137"/>
    </row>
    <row r="828" spans="1:7" hidden="1" x14ac:dyDescent="0.2">
      <c r="A828" s="1543" t="s">
        <v>147</v>
      </c>
      <c r="B828" s="1544"/>
      <c r="C828" s="1545"/>
      <c r="D828" s="135">
        <v>1500</v>
      </c>
      <c r="E828" s="136">
        <v>0.4</v>
      </c>
      <c r="F828" s="135">
        <f>+E828*D828</f>
        <v>600</v>
      </c>
      <c r="G828" s="137"/>
    </row>
    <row r="829" spans="1:7" ht="13.5" hidden="1" thickBot="1" x14ac:dyDescent="0.25">
      <c r="A829" s="1542"/>
      <c r="B829" s="1564"/>
      <c r="C829" s="1535"/>
      <c r="D829" s="139"/>
      <c r="E829" s="141"/>
      <c r="F829" s="139"/>
      <c r="G829" s="140"/>
    </row>
    <row r="830" spans="1:7" ht="13.5" hidden="1" thickBot="1" x14ac:dyDescent="0.25">
      <c r="A830" s="1527" t="s">
        <v>125</v>
      </c>
      <c r="B830" s="1528"/>
      <c r="C830" s="1528"/>
      <c r="D830" s="1528"/>
      <c r="E830" s="1528"/>
      <c r="F830" s="1529"/>
      <c r="G830" s="181">
        <f>SUM(F826:F829)</f>
        <v>6893.32</v>
      </c>
    </row>
    <row r="831" spans="1:7" ht="13.5" hidden="1" thickBot="1" x14ac:dyDescent="0.25">
      <c r="A831" s="186" t="s">
        <v>123</v>
      </c>
      <c r="B831" s="179"/>
      <c r="C831" s="179"/>
      <c r="D831" s="179"/>
      <c r="E831" s="179"/>
      <c r="F831" s="179"/>
      <c r="G831" s="179"/>
    </row>
    <row r="832" spans="1:7" ht="13.5" hidden="1" thickBot="1" x14ac:dyDescent="0.25">
      <c r="A832" s="1530" t="s">
        <v>109</v>
      </c>
      <c r="B832" s="1531"/>
      <c r="C832" s="63" t="s">
        <v>114</v>
      </c>
      <c r="D832" s="63" t="s">
        <v>115</v>
      </c>
      <c r="E832" s="63" t="s">
        <v>116</v>
      </c>
      <c r="F832" s="63" t="s">
        <v>112</v>
      </c>
      <c r="G832" s="104"/>
    </row>
    <row r="833" spans="1:7" hidden="1" x14ac:dyDescent="0.2">
      <c r="A833" s="1546" t="s">
        <v>161</v>
      </c>
      <c r="B833" s="1547"/>
      <c r="C833" s="129" t="s">
        <v>12</v>
      </c>
      <c r="D833" s="130">
        <v>382373</v>
      </c>
      <c r="E833" s="129">
        <v>2.4E-2</v>
      </c>
      <c r="F833" s="130">
        <f>+E833*D833</f>
        <v>9176.9519999999993</v>
      </c>
      <c r="G833" s="132"/>
    </row>
    <row r="834" spans="1:7" hidden="1" x14ac:dyDescent="0.2">
      <c r="A834" s="1536" t="s">
        <v>163</v>
      </c>
      <c r="B834" s="1537"/>
      <c r="C834" s="134" t="s">
        <v>7</v>
      </c>
      <c r="D834" s="135">
        <v>2650</v>
      </c>
      <c r="E834" s="134">
        <v>2.02</v>
      </c>
      <c r="F834" s="135">
        <f>+E834*D834</f>
        <v>5353</v>
      </c>
      <c r="G834" s="137"/>
    </row>
    <row r="835" spans="1:7" hidden="1" x14ac:dyDescent="0.2">
      <c r="A835" s="1536" t="s">
        <v>164</v>
      </c>
      <c r="B835" s="1537"/>
      <c r="C835" s="134" t="s">
        <v>7</v>
      </c>
      <c r="D835" s="135">
        <v>2650</v>
      </c>
      <c r="E835" s="136">
        <v>4</v>
      </c>
      <c r="F835" s="135">
        <f>+E835*D835</f>
        <v>10600</v>
      </c>
      <c r="G835" s="137"/>
    </row>
    <row r="836" spans="1:7" ht="13.5" hidden="1" thickBot="1" x14ac:dyDescent="0.25">
      <c r="A836" s="1538" t="s">
        <v>104</v>
      </c>
      <c r="B836" s="1539"/>
      <c r="C836" s="138" t="s">
        <v>105</v>
      </c>
      <c r="D836" s="139">
        <v>40</v>
      </c>
      <c r="E836" s="141">
        <v>5</v>
      </c>
      <c r="F836" s="139">
        <f>+E836*D836</f>
        <v>200</v>
      </c>
      <c r="G836" s="140"/>
    </row>
    <row r="837" spans="1:7" ht="13.5" hidden="1" thickBot="1" x14ac:dyDescent="0.25">
      <c r="A837" s="1527" t="s">
        <v>125</v>
      </c>
      <c r="B837" s="1528"/>
      <c r="C837" s="1528"/>
      <c r="D837" s="1528"/>
      <c r="E837" s="1528"/>
      <c r="F837" s="1529" t="s">
        <v>113</v>
      </c>
      <c r="G837" s="181">
        <f>SUM(F833:F836)</f>
        <v>25329.951999999997</v>
      </c>
    </row>
    <row r="838" spans="1:7" ht="13.5" hidden="1" thickBot="1" x14ac:dyDescent="0.25">
      <c r="A838" s="186" t="s">
        <v>117</v>
      </c>
      <c r="B838" s="179"/>
      <c r="C838" s="179"/>
      <c r="D838" s="179"/>
      <c r="E838" s="179"/>
      <c r="F838" s="179"/>
      <c r="G838" s="179"/>
    </row>
    <row r="839" spans="1:7" ht="13.5" hidden="1" thickBot="1" x14ac:dyDescent="0.25">
      <c r="A839" s="1530" t="s">
        <v>109</v>
      </c>
      <c r="B839" s="1531"/>
      <c r="C839" s="63" t="s">
        <v>114</v>
      </c>
      <c r="D839" s="63" t="s">
        <v>115</v>
      </c>
      <c r="E839" s="63" t="s">
        <v>116</v>
      </c>
      <c r="F839" s="63" t="s">
        <v>112</v>
      </c>
      <c r="G839" s="115"/>
    </row>
    <row r="840" spans="1:7" hidden="1" x14ac:dyDescent="0.2">
      <c r="A840" s="1540" t="s">
        <v>205</v>
      </c>
      <c r="B840" s="1541"/>
      <c r="C840" s="189" t="s">
        <v>159</v>
      </c>
      <c r="D840" s="130">
        <v>60714.285714285717</v>
      </c>
      <c r="E840" s="200">
        <v>0</v>
      </c>
      <c r="F840" s="135">
        <f>D840*E840</f>
        <v>0</v>
      </c>
      <c r="G840" s="132"/>
    </row>
    <row r="841" spans="1:7" ht="13.5" hidden="1" thickBot="1" x14ac:dyDescent="0.25">
      <c r="A841" s="1542"/>
      <c r="B841" s="1535"/>
      <c r="C841" s="189"/>
      <c r="D841" s="139"/>
      <c r="E841" s="201"/>
      <c r="F841" s="139">
        <f>D841*E841</f>
        <v>0</v>
      </c>
      <c r="G841" s="187"/>
    </row>
    <row r="842" spans="1:7" ht="13.5" hidden="1" thickBot="1" x14ac:dyDescent="0.25">
      <c r="A842" s="1527" t="s">
        <v>125</v>
      </c>
      <c r="B842" s="1528"/>
      <c r="C842" s="1528"/>
      <c r="D842" s="1528"/>
      <c r="E842" s="1528"/>
      <c r="F842" s="1529" t="s">
        <v>113</v>
      </c>
      <c r="G842" s="181">
        <f>SUM(F841:F841)</f>
        <v>0</v>
      </c>
    </row>
    <row r="843" spans="1:7" ht="13.5" hidden="1" thickBot="1" x14ac:dyDescent="0.25">
      <c r="A843" s="186" t="s">
        <v>119</v>
      </c>
      <c r="B843" s="179"/>
      <c r="C843" s="179"/>
      <c r="D843" s="179"/>
      <c r="E843" s="179"/>
      <c r="F843" s="179"/>
      <c r="G843" s="179"/>
    </row>
    <row r="844" spans="1:7" ht="21.75" hidden="1" thickBot="1" x14ac:dyDescent="0.25">
      <c r="A844" s="1530" t="s">
        <v>120</v>
      </c>
      <c r="B844" s="1531"/>
      <c r="C844" s="63" t="s">
        <v>121</v>
      </c>
      <c r="D844" s="63" t="s">
        <v>114</v>
      </c>
      <c r="E844" s="63" t="s">
        <v>116</v>
      </c>
      <c r="F844" s="63" t="s">
        <v>112</v>
      </c>
      <c r="G844" s="121"/>
    </row>
    <row r="845" spans="1:7" hidden="1" x14ac:dyDescent="0.2">
      <c r="A845" s="1532" t="s">
        <v>21</v>
      </c>
      <c r="B845" s="1533"/>
      <c r="C845" s="122">
        <v>7410.9600847008996</v>
      </c>
      <c r="D845" s="198">
        <v>1</v>
      </c>
      <c r="E845" s="198">
        <v>1</v>
      </c>
      <c r="F845" s="124">
        <f>+(C845*D845)*E845</f>
        <v>7410.9600847008996</v>
      </c>
      <c r="G845" s="132"/>
    </row>
    <row r="846" spans="1:7" ht="13.5" hidden="1" thickBot="1" x14ac:dyDescent="0.25">
      <c r="A846" s="1534" t="s">
        <v>22</v>
      </c>
      <c r="B846" s="1535"/>
      <c r="C846" s="184">
        <v>4374.7823749999998</v>
      </c>
      <c r="D846" s="202">
        <v>1</v>
      </c>
      <c r="E846" s="202">
        <f>+E845</f>
        <v>1</v>
      </c>
      <c r="F846" s="182">
        <f>+(C846*D846)*E846</f>
        <v>4374.7823749999998</v>
      </c>
      <c r="G846" s="140"/>
    </row>
    <row r="847" spans="1:7" ht="13.5" hidden="1" thickBot="1" x14ac:dyDescent="0.25">
      <c r="A847" s="1527" t="str">
        <f>+A842</f>
        <v>SUB-TOTAL</v>
      </c>
      <c r="B847" s="1528"/>
      <c r="C847" s="1528"/>
      <c r="D847" s="1528"/>
      <c r="E847" s="1528"/>
      <c r="F847" s="1529" t="s">
        <v>113</v>
      </c>
      <c r="G847" s="181">
        <f>SUM(F845:F846)</f>
        <v>11785.742459700899</v>
      </c>
    </row>
    <row r="848" spans="1:7" ht="11.25" hidden="1" customHeight="1" thickBot="1" x14ac:dyDescent="0.25">
      <c r="A848" s="179"/>
      <c r="B848" s="179"/>
      <c r="C848" s="179"/>
      <c r="D848" s="179"/>
      <c r="E848" s="179"/>
      <c r="F848" s="180"/>
      <c r="G848" s="179"/>
    </row>
    <row r="849" spans="1:7" ht="13.5" hidden="1" thickBot="1" x14ac:dyDescent="0.25">
      <c r="A849" s="1527" t="s">
        <v>156</v>
      </c>
      <c r="B849" s="1528"/>
      <c r="C849" s="1528"/>
      <c r="D849" s="1528"/>
      <c r="E849" s="1528"/>
      <c r="F849" s="1529"/>
      <c r="G849" s="178">
        <f>ROUND(G830+G837+G842+G847,0)</f>
        <v>44009</v>
      </c>
    </row>
    <row r="850" spans="1:7" hidden="1" x14ac:dyDescent="0.2"/>
    <row r="851" spans="1:7" ht="13.5" hidden="1" thickBot="1" x14ac:dyDescent="0.25"/>
    <row r="852" spans="1:7" ht="27" hidden="1" customHeight="1" x14ac:dyDescent="0.2">
      <c r="A852" s="1548" t="s">
        <v>122</v>
      </c>
      <c r="B852" s="1549"/>
      <c r="C852" s="1550"/>
      <c r="D852" s="50"/>
      <c r="E852" s="50"/>
      <c r="F852" s="50"/>
      <c r="G852" s="98"/>
    </row>
    <row r="853" spans="1:7" ht="24" hidden="1" customHeight="1" thickBot="1" x14ac:dyDescent="0.25">
      <c r="A853" s="1551" t="s">
        <v>935</v>
      </c>
      <c r="B853" s="1552"/>
      <c r="C853" s="1553"/>
      <c r="D853" s="99"/>
      <c r="E853" s="99"/>
      <c r="F853" s="99"/>
      <c r="G853" s="100"/>
    </row>
    <row r="854" spans="1:7" ht="13.5" hidden="1" thickBot="1" x14ac:dyDescent="0.25">
      <c r="A854" s="179"/>
      <c r="B854" s="179"/>
      <c r="C854" s="179"/>
      <c r="D854" s="179"/>
      <c r="E854" s="179"/>
      <c r="F854" s="179"/>
      <c r="G854" s="179"/>
    </row>
    <row r="855" spans="1:7" ht="30.75" hidden="1" customHeight="1" thickBot="1" x14ac:dyDescent="0.25">
      <c r="A855" s="1558" t="s">
        <v>936</v>
      </c>
      <c r="B855" s="1559"/>
      <c r="C855" s="1560"/>
      <c r="D855" s="1565" t="s">
        <v>188</v>
      </c>
      <c r="E855" s="1559"/>
      <c r="F855" s="1559"/>
      <c r="G855" s="1560"/>
    </row>
    <row r="856" spans="1:7" ht="13.5" hidden="1" thickBot="1" x14ac:dyDescent="0.25">
      <c r="A856" s="192"/>
      <c r="B856" s="192"/>
      <c r="C856" s="192"/>
      <c r="D856" s="192"/>
      <c r="E856" s="192"/>
      <c r="F856" s="192"/>
      <c r="G856" s="192"/>
    </row>
    <row r="857" spans="1:7" ht="12.75" hidden="1" customHeight="1" thickBot="1" x14ac:dyDescent="0.25">
      <c r="A857" s="191"/>
      <c r="B857" s="179"/>
      <c r="D857" s="60" t="s">
        <v>124</v>
      </c>
      <c r="E857" s="61" t="s">
        <v>6</v>
      </c>
      <c r="F857" s="191"/>
      <c r="G857" s="191"/>
    </row>
    <row r="858" spans="1:7" ht="13.5" hidden="1" thickBot="1" x14ac:dyDescent="0.25">
      <c r="A858" s="186" t="s">
        <v>108</v>
      </c>
      <c r="B858" s="179"/>
      <c r="C858" s="179"/>
      <c r="D858" s="179"/>
      <c r="E858" s="179"/>
      <c r="F858" s="179"/>
      <c r="G858" s="179"/>
    </row>
    <row r="859" spans="1:7" ht="13.5" hidden="1" customHeight="1" thickBot="1" x14ac:dyDescent="0.25">
      <c r="A859" s="1530" t="s">
        <v>109</v>
      </c>
      <c r="B859" s="1554"/>
      <c r="C859" s="1531"/>
      <c r="D859" s="63" t="s">
        <v>110</v>
      </c>
      <c r="E859" s="63" t="s">
        <v>111</v>
      </c>
      <c r="F859" s="63" t="s">
        <v>112</v>
      </c>
      <c r="G859" s="104"/>
    </row>
    <row r="860" spans="1:7" hidden="1" x14ac:dyDescent="0.2">
      <c r="A860" s="1540" t="s">
        <v>131</v>
      </c>
      <c r="B860" s="1555"/>
      <c r="C860" s="1541"/>
      <c r="D860" s="130">
        <v>2062.5</v>
      </c>
      <c r="E860" s="131">
        <f>+E879</f>
        <v>1</v>
      </c>
      <c r="F860" s="130">
        <f>+E860*D860</f>
        <v>2062.5</v>
      </c>
      <c r="G860" s="132"/>
    </row>
    <row r="861" spans="1:7" hidden="1" x14ac:dyDescent="0.2">
      <c r="A861" s="1543" t="s">
        <v>953</v>
      </c>
      <c r="B861" s="1544"/>
      <c r="C861" s="1545" t="s">
        <v>4</v>
      </c>
      <c r="D861" s="135">
        <v>38462</v>
      </c>
      <c r="E861" s="136">
        <v>0.14000000000000001</v>
      </c>
      <c r="F861" s="135">
        <f>+E861*D861</f>
        <v>5384.68</v>
      </c>
      <c r="G861" s="137"/>
    </row>
    <row r="862" spans="1:7" hidden="1" x14ac:dyDescent="0.2">
      <c r="A862" s="1543" t="s">
        <v>147</v>
      </c>
      <c r="B862" s="1544"/>
      <c r="C862" s="1545"/>
      <c r="D862" s="135">
        <v>1500</v>
      </c>
      <c r="E862" s="136">
        <v>0.5</v>
      </c>
      <c r="F862" s="135">
        <f>+E862*D862</f>
        <v>750</v>
      </c>
      <c r="G862" s="137"/>
    </row>
    <row r="863" spans="1:7" ht="13.5" hidden="1" thickBot="1" x14ac:dyDescent="0.25">
      <c r="A863" s="1542"/>
      <c r="B863" s="1564"/>
      <c r="C863" s="1535"/>
      <c r="D863" s="139"/>
      <c r="E863" s="141"/>
      <c r="F863" s="139"/>
      <c r="G863" s="140"/>
    </row>
    <row r="864" spans="1:7" ht="13.5" hidden="1" thickBot="1" x14ac:dyDescent="0.25">
      <c r="A864" s="1527" t="s">
        <v>125</v>
      </c>
      <c r="B864" s="1528"/>
      <c r="C864" s="1528"/>
      <c r="D864" s="1528"/>
      <c r="E864" s="1528"/>
      <c r="F864" s="1529"/>
      <c r="G864" s="181">
        <f>SUM(F860:F863)</f>
        <v>8197.18</v>
      </c>
    </row>
    <row r="865" spans="1:7" ht="13.5" hidden="1" thickBot="1" x14ac:dyDescent="0.25">
      <c r="A865" s="186" t="s">
        <v>123</v>
      </c>
      <c r="B865" s="179"/>
      <c r="C865" s="179"/>
      <c r="D865" s="179"/>
      <c r="E865" s="179"/>
      <c r="F865" s="179"/>
      <c r="G865" s="179"/>
    </row>
    <row r="866" spans="1:7" ht="13.5" hidden="1" thickBot="1" x14ac:dyDescent="0.25">
      <c r="A866" s="1530" t="s">
        <v>109</v>
      </c>
      <c r="B866" s="1531"/>
      <c r="C866" s="63" t="s">
        <v>114</v>
      </c>
      <c r="D866" s="63" t="s">
        <v>115</v>
      </c>
      <c r="E866" s="63" t="s">
        <v>116</v>
      </c>
      <c r="F866" s="63" t="s">
        <v>112</v>
      </c>
      <c r="G866" s="104"/>
    </row>
    <row r="867" spans="1:7" hidden="1" x14ac:dyDescent="0.2">
      <c r="A867" s="1546" t="s">
        <v>161</v>
      </c>
      <c r="B867" s="1547"/>
      <c r="C867" s="129" t="s">
        <v>12</v>
      </c>
      <c r="D867" s="130">
        <v>382373</v>
      </c>
      <c r="E867" s="129">
        <v>0.03</v>
      </c>
      <c r="F867" s="130">
        <f>+E867*D867</f>
        <v>11471.189999999999</v>
      </c>
      <c r="G867" s="132"/>
    </row>
    <row r="868" spans="1:7" hidden="1" x14ac:dyDescent="0.2">
      <c r="A868" s="1536" t="s">
        <v>163</v>
      </c>
      <c r="B868" s="1537"/>
      <c r="C868" s="134" t="s">
        <v>7</v>
      </c>
      <c r="D868" s="135">
        <v>2650</v>
      </c>
      <c r="E868" s="134">
        <v>2.35</v>
      </c>
      <c r="F868" s="135">
        <f>+E868*D868</f>
        <v>6227.5</v>
      </c>
      <c r="G868" s="137"/>
    </row>
    <row r="869" spans="1:7" hidden="1" x14ac:dyDescent="0.2">
      <c r="A869" s="1536" t="s">
        <v>164</v>
      </c>
      <c r="B869" s="1537"/>
      <c r="C869" s="134" t="s">
        <v>7</v>
      </c>
      <c r="D869" s="135">
        <v>2650</v>
      </c>
      <c r="E869" s="136">
        <v>4</v>
      </c>
      <c r="F869" s="135">
        <f>+E869*D869</f>
        <v>10600</v>
      </c>
      <c r="G869" s="137"/>
    </row>
    <row r="870" spans="1:7" ht="13.5" hidden="1" thickBot="1" x14ac:dyDescent="0.25">
      <c r="A870" s="1538" t="s">
        <v>104</v>
      </c>
      <c r="B870" s="1539"/>
      <c r="C870" s="138" t="s">
        <v>105</v>
      </c>
      <c r="D870" s="139">
        <v>40</v>
      </c>
      <c r="E870" s="141">
        <v>5</v>
      </c>
      <c r="F870" s="139">
        <f>+E870*D870</f>
        <v>200</v>
      </c>
      <c r="G870" s="140"/>
    </row>
    <row r="871" spans="1:7" ht="13.5" hidden="1" thickBot="1" x14ac:dyDescent="0.25">
      <c r="A871" s="1527" t="s">
        <v>125</v>
      </c>
      <c r="B871" s="1528"/>
      <c r="C871" s="1528"/>
      <c r="D871" s="1528"/>
      <c r="E871" s="1528"/>
      <c r="F871" s="1529" t="s">
        <v>113</v>
      </c>
      <c r="G871" s="181">
        <f>SUM(F867:F870)</f>
        <v>28498.69</v>
      </c>
    </row>
    <row r="872" spans="1:7" ht="13.5" hidden="1" thickBot="1" x14ac:dyDescent="0.25">
      <c r="A872" s="186" t="s">
        <v>117</v>
      </c>
      <c r="B872" s="179"/>
      <c r="C872" s="179"/>
      <c r="D872" s="179"/>
      <c r="E872" s="179"/>
      <c r="F872" s="179"/>
      <c r="G872" s="179"/>
    </row>
    <row r="873" spans="1:7" ht="13.5" hidden="1" thickBot="1" x14ac:dyDescent="0.25">
      <c r="A873" s="1530" t="s">
        <v>109</v>
      </c>
      <c r="B873" s="1531"/>
      <c r="C873" s="63" t="s">
        <v>114</v>
      </c>
      <c r="D873" s="63" t="s">
        <v>115</v>
      </c>
      <c r="E873" s="63" t="s">
        <v>116</v>
      </c>
      <c r="F873" s="63" t="s">
        <v>112</v>
      </c>
      <c r="G873" s="115"/>
    </row>
    <row r="874" spans="1:7" hidden="1" x14ac:dyDescent="0.2">
      <c r="A874" s="1540" t="s">
        <v>205</v>
      </c>
      <c r="B874" s="1541"/>
      <c r="C874" s="189" t="s">
        <v>159</v>
      </c>
      <c r="D874" s="130">
        <v>60714.285714285717</v>
      </c>
      <c r="E874" s="200">
        <v>0</v>
      </c>
      <c r="F874" s="135">
        <f>D874*E874</f>
        <v>0</v>
      </c>
      <c r="G874" s="132"/>
    </row>
    <row r="875" spans="1:7" ht="13.5" hidden="1" thickBot="1" x14ac:dyDescent="0.25">
      <c r="A875" s="1542"/>
      <c r="B875" s="1535"/>
      <c r="C875" s="189"/>
      <c r="D875" s="139"/>
      <c r="E875" s="201"/>
      <c r="F875" s="139">
        <f>D875*E875</f>
        <v>0</v>
      </c>
      <c r="G875" s="187"/>
    </row>
    <row r="876" spans="1:7" ht="13.5" hidden="1" thickBot="1" x14ac:dyDescent="0.25">
      <c r="A876" s="1527" t="s">
        <v>125</v>
      </c>
      <c r="B876" s="1528"/>
      <c r="C876" s="1528"/>
      <c r="D876" s="1528"/>
      <c r="E876" s="1528"/>
      <c r="F876" s="1529" t="s">
        <v>113</v>
      </c>
      <c r="G876" s="181">
        <f>SUM(F875:F875)</f>
        <v>0</v>
      </c>
    </row>
    <row r="877" spans="1:7" ht="13.5" hidden="1" thickBot="1" x14ac:dyDescent="0.25">
      <c r="A877" s="186" t="s">
        <v>119</v>
      </c>
      <c r="B877" s="179"/>
      <c r="C877" s="179"/>
      <c r="D877" s="179"/>
      <c r="E877" s="179"/>
      <c r="F877" s="179"/>
      <c r="G877" s="179"/>
    </row>
    <row r="878" spans="1:7" ht="21.75" hidden="1" thickBot="1" x14ac:dyDescent="0.25">
      <c r="A878" s="1530" t="s">
        <v>120</v>
      </c>
      <c r="B878" s="1531"/>
      <c r="C878" s="63" t="s">
        <v>121</v>
      </c>
      <c r="D878" s="63" t="s">
        <v>114</v>
      </c>
      <c r="E878" s="63" t="s">
        <v>116</v>
      </c>
      <c r="F878" s="63" t="s">
        <v>112</v>
      </c>
      <c r="G878" s="121"/>
    </row>
    <row r="879" spans="1:7" hidden="1" x14ac:dyDescent="0.2">
      <c r="A879" s="1532" t="s">
        <v>21</v>
      </c>
      <c r="B879" s="1533"/>
      <c r="C879" s="122">
        <v>7410.9600847008996</v>
      </c>
      <c r="D879" s="198">
        <v>1</v>
      </c>
      <c r="E879" s="198">
        <v>1</v>
      </c>
      <c r="F879" s="124">
        <f>+(C879*D879)*E879</f>
        <v>7410.9600847008996</v>
      </c>
      <c r="G879" s="132"/>
    </row>
    <row r="880" spans="1:7" ht="13.5" hidden="1" thickBot="1" x14ac:dyDescent="0.25">
      <c r="A880" s="1534" t="s">
        <v>22</v>
      </c>
      <c r="B880" s="1535"/>
      <c r="C880" s="184">
        <v>4374.7823749999998</v>
      </c>
      <c r="D880" s="202">
        <v>1</v>
      </c>
      <c r="E880" s="202">
        <f>+E879</f>
        <v>1</v>
      </c>
      <c r="F880" s="182">
        <f>+(C880*D880)*E880</f>
        <v>4374.7823749999998</v>
      </c>
      <c r="G880" s="140"/>
    </row>
    <row r="881" spans="1:7" ht="13.5" hidden="1" thickBot="1" x14ac:dyDescent="0.25">
      <c r="A881" s="1527" t="str">
        <f>+A876</f>
        <v>SUB-TOTAL</v>
      </c>
      <c r="B881" s="1528"/>
      <c r="C881" s="1528"/>
      <c r="D881" s="1528"/>
      <c r="E881" s="1528"/>
      <c r="F881" s="1529" t="s">
        <v>113</v>
      </c>
      <c r="G881" s="181">
        <f>SUM(F879:F880)</f>
        <v>11785.742459700899</v>
      </c>
    </row>
    <row r="882" spans="1:7" ht="11.25" hidden="1" customHeight="1" thickBot="1" x14ac:dyDescent="0.25">
      <c r="A882" s="179"/>
      <c r="B882" s="179"/>
      <c r="C882" s="179"/>
      <c r="D882" s="179"/>
      <c r="E882" s="179"/>
      <c r="F882" s="180"/>
      <c r="G882" s="179"/>
    </row>
    <row r="883" spans="1:7" ht="13.5" hidden="1" thickBot="1" x14ac:dyDescent="0.25">
      <c r="A883" s="1527" t="s">
        <v>156</v>
      </c>
      <c r="B883" s="1528"/>
      <c r="C883" s="1528"/>
      <c r="D883" s="1528"/>
      <c r="E883" s="1528"/>
      <c r="F883" s="1529"/>
      <c r="G883" s="178">
        <f>ROUND(G864+G871+G876+G881,0)</f>
        <v>48482</v>
      </c>
    </row>
    <row r="884" spans="1:7" hidden="1" x14ac:dyDescent="0.2"/>
    <row r="885" spans="1:7" ht="13.5" hidden="1" thickBot="1" x14ac:dyDescent="0.25"/>
    <row r="886" spans="1:7" ht="27" hidden="1" customHeight="1" x14ac:dyDescent="0.2">
      <c r="A886" s="1548" t="s">
        <v>122</v>
      </c>
      <c r="B886" s="1549"/>
      <c r="C886" s="1550"/>
      <c r="D886" s="50"/>
      <c r="E886" s="50"/>
      <c r="F886" s="50"/>
      <c r="G886" s="98"/>
    </row>
    <row r="887" spans="1:7" ht="24" hidden="1" customHeight="1" thickBot="1" x14ac:dyDescent="0.25">
      <c r="A887" s="1551" t="s">
        <v>935</v>
      </c>
      <c r="B887" s="1552"/>
      <c r="C887" s="1553"/>
      <c r="D887" s="99"/>
      <c r="E887" s="99"/>
      <c r="F887" s="99"/>
      <c r="G887" s="100"/>
    </row>
    <row r="888" spans="1:7" ht="13.5" hidden="1" thickBot="1" x14ac:dyDescent="0.25">
      <c r="A888" s="179"/>
      <c r="B888" s="179"/>
      <c r="C888" s="179"/>
      <c r="D888" s="179"/>
      <c r="E888" s="179"/>
      <c r="F888" s="179"/>
      <c r="G888" s="179"/>
    </row>
    <row r="889" spans="1:7" ht="30.75" hidden="1" customHeight="1" thickBot="1" x14ac:dyDescent="0.25">
      <c r="A889" s="1558" t="s">
        <v>936</v>
      </c>
      <c r="B889" s="1559"/>
      <c r="C889" s="1560"/>
      <c r="D889" s="1565" t="s">
        <v>334</v>
      </c>
      <c r="E889" s="1559"/>
      <c r="F889" s="1559"/>
      <c r="G889" s="1560"/>
    </row>
    <row r="890" spans="1:7" ht="13.5" hidden="1" thickBot="1" x14ac:dyDescent="0.25">
      <c r="A890" s="192"/>
      <c r="B890" s="192"/>
      <c r="C890" s="192"/>
      <c r="D890" s="192"/>
      <c r="E890" s="192"/>
      <c r="F890" s="192"/>
      <c r="G890" s="192"/>
    </row>
    <row r="891" spans="1:7" ht="12.75" hidden="1" customHeight="1" thickBot="1" x14ac:dyDescent="0.25">
      <c r="A891" s="191"/>
      <c r="B891" s="179"/>
      <c r="D891" s="60" t="s">
        <v>124</v>
      </c>
      <c r="E891" s="61" t="s">
        <v>6</v>
      </c>
      <c r="F891" s="191"/>
      <c r="G891" s="191"/>
    </row>
    <row r="892" spans="1:7" ht="13.5" hidden="1" thickBot="1" x14ac:dyDescent="0.25">
      <c r="A892" s="186" t="s">
        <v>108</v>
      </c>
      <c r="B892" s="179"/>
      <c r="C892" s="179"/>
      <c r="D892" s="179"/>
      <c r="E892" s="179"/>
      <c r="F892" s="179"/>
      <c r="G892" s="179"/>
    </row>
    <row r="893" spans="1:7" ht="13.5" hidden="1" customHeight="1" thickBot="1" x14ac:dyDescent="0.25">
      <c r="A893" s="1530" t="s">
        <v>109</v>
      </c>
      <c r="B893" s="1554"/>
      <c r="C893" s="1531"/>
      <c r="D893" s="63" t="s">
        <v>110</v>
      </c>
      <c r="E893" s="63" t="s">
        <v>111</v>
      </c>
      <c r="F893" s="63" t="s">
        <v>112</v>
      </c>
      <c r="G893" s="104"/>
    </row>
    <row r="894" spans="1:7" hidden="1" x14ac:dyDescent="0.2">
      <c r="A894" s="1540" t="s">
        <v>131</v>
      </c>
      <c r="B894" s="1555"/>
      <c r="C894" s="1541"/>
      <c r="D894" s="130">
        <v>2062.5</v>
      </c>
      <c r="E894" s="131">
        <f>+E913</f>
        <v>1.1000000000000001</v>
      </c>
      <c r="F894" s="130">
        <f>+E894*D894</f>
        <v>2268.75</v>
      </c>
      <c r="G894" s="132"/>
    </row>
    <row r="895" spans="1:7" hidden="1" x14ac:dyDescent="0.2">
      <c r="A895" s="1543" t="s">
        <v>953</v>
      </c>
      <c r="B895" s="1544"/>
      <c r="C895" s="1545" t="s">
        <v>4</v>
      </c>
      <c r="D895" s="135">
        <v>38462</v>
      </c>
      <c r="E895" s="136">
        <v>0.16</v>
      </c>
      <c r="F895" s="135">
        <f>+E895*D895</f>
        <v>6153.92</v>
      </c>
      <c r="G895" s="137"/>
    </row>
    <row r="896" spans="1:7" hidden="1" x14ac:dyDescent="0.2">
      <c r="A896" s="1543" t="s">
        <v>147</v>
      </c>
      <c r="B896" s="1544"/>
      <c r="C896" s="1545"/>
      <c r="D896" s="135">
        <v>1500</v>
      </c>
      <c r="E896" s="136">
        <v>0.6</v>
      </c>
      <c r="F896" s="135">
        <f>+E896*D896</f>
        <v>900</v>
      </c>
      <c r="G896" s="137"/>
    </row>
    <row r="897" spans="1:7" ht="13.5" hidden="1" thickBot="1" x14ac:dyDescent="0.25">
      <c r="A897" s="1542"/>
      <c r="B897" s="1564"/>
      <c r="C897" s="1535"/>
      <c r="D897" s="139"/>
      <c r="E897" s="141"/>
      <c r="F897" s="139"/>
      <c r="G897" s="140"/>
    </row>
    <row r="898" spans="1:7" ht="13.5" hidden="1" thickBot="1" x14ac:dyDescent="0.25">
      <c r="A898" s="1527" t="s">
        <v>125</v>
      </c>
      <c r="B898" s="1528"/>
      <c r="C898" s="1528"/>
      <c r="D898" s="1528"/>
      <c r="E898" s="1528"/>
      <c r="F898" s="1529"/>
      <c r="G898" s="181">
        <f>SUM(F894:F897)</f>
        <v>9322.67</v>
      </c>
    </row>
    <row r="899" spans="1:7" ht="13.5" hidden="1" thickBot="1" x14ac:dyDescent="0.25">
      <c r="A899" s="186" t="s">
        <v>123</v>
      </c>
      <c r="B899" s="179"/>
      <c r="C899" s="179"/>
      <c r="D899" s="179"/>
      <c r="E899" s="179"/>
      <c r="F899" s="179"/>
      <c r="G899" s="179"/>
    </row>
    <row r="900" spans="1:7" ht="13.5" hidden="1" thickBot="1" x14ac:dyDescent="0.25">
      <c r="A900" s="1530" t="s">
        <v>109</v>
      </c>
      <c r="B900" s="1531"/>
      <c r="C900" s="63" t="s">
        <v>114</v>
      </c>
      <c r="D900" s="63" t="s">
        <v>115</v>
      </c>
      <c r="E900" s="63" t="s">
        <v>116</v>
      </c>
      <c r="F900" s="63" t="s">
        <v>112</v>
      </c>
      <c r="G900" s="104"/>
    </row>
    <row r="901" spans="1:7" hidden="1" x14ac:dyDescent="0.2">
      <c r="A901" s="1546" t="s">
        <v>161</v>
      </c>
      <c r="B901" s="1547"/>
      <c r="C901" s="129" t="s">
        <v>12</v>
      </c>
      <c r="D901" s="130">
        <v>382373</v>
      </c>
      <c r="E901" s="129">
        <v>3.5999999999999997E-2</v>
      </c>
      <c r="F901" s="130">
        <f>+E901*D901</f>
        <v>13765.427999999998</v>
      </c>
      <c r="G901" s="132"/>
    </row>
    <row r="902" spans="1:7" hidden="1" x14ac:dyDescent="0.2">
      <c r="A902" s="1536" t="s">
        <v>163</v>
      </c>
      <c r="B902" s="1537"/>
      <c r="C902" s="134" t="s">
        <v>7</v>
      </c>
      <c r="D902" s="135">
        <v>2650</v>
      </c>
      <c r="E902" s="134">
        <v>2.7</v>
      </c>
      <c r="F902" s="135">
        <f>+E902*D902</f>
        <v>7155.0000000000009</v>
      </c>
      <c r="G902" s="137"/>
    </row>
    <row r="903" spans="1:7" hidden="1" x14ac:dyDescent="0.2">
      <c r="A903" s="1536" t="s">
        <v>164</v>
      </c>
      <c r="B903" s="1537"/>
      <c r="C903" s="134" t="s">
        <v>7</v>
      </c>
      <c r="D903" s="135">
        <v>2650</v>
      </c>
      <c r="E903" s="136">
        <v>4</v>
      </c>
      <c r="F903" s="135">
        <f>+E903*D903</f>
        <v>10600</v>
      </c>
      <c r="G903" s="137"/>
    </row>
    <row r="904" spans="1:7" ht="13.5" hidden="1" thickBot="1" x14ac:dyDescent="0.25">
      <c r="A904" s="1538" t="s">
        <v>104</v>
      </c>
      <c r="B904" s="1539"/>
      <c r="C904" s="138" t="s">
        <v>105</v>
      </c>
      <c r="D904" s="139">
        <v>40</v>
      </c>
      <c r="E904" s="141">
        <v>5</v>
      </c>
      <c r="F904" s="139">
        <f>+E904*D904</f>
        <v>200</v>
      </c>
      <c r="G904" s="140"/>
    </row>
    <row r="905" spans="1:7" ht="13.5" hidden="1" thickBot="1" x14ac:dyDescent="0.25">
      <c r="A905" s="1527" t="s">
        <v>125</v>
      </c>
      <c r="B905" s="1528"/>
      <c r="C905" s="1528"/>
      <c r="D905" s="1528"/>
      <c r="E905" s="1528"/>
      <c r="F905" s="1529" t="s">
        <v>113</v>
      </c>
      <c r="G905" s="181">
        <f>SUM(F901:F904)</f>
        <v>31720.428</v>
      </c>
    </row>
    <row r="906" spans="1:7" ht="13.5" hidden="1" thickBot="1" x14ac:dyDescent="0.25">
      <c r="A906" s="186" t="s">
        <v>117</v>
      </c>
      <c r="B906" s="179"/>
      <c r="C906" s="179"/>
      <c r="D906" s="179"/>
      <c r="E906" s="179"/>
      <c r="F906" s="179"/>
      <c r="G906" s="179"/>
    </row>
    <row r="907" spans="1:7" ht="13.5" hidden="1" thickBot="1" x14ac:dyDescent="0.25">
      <c r="A907" s="1530" t="s">
        <v>109</v>
      </c>
      <c r="B907" s="1531"/>
      <c r="C907" s="63" t="s">
        <v>114</v>
      </c>
      <c r="D907" s="63" t="s">
        <v>115</v>
      </c>
      <c r="E907" s="63" t="s">
        <v>116</v>
      </c>
      <c r="F907" s="63" t="s">
        <v>112</v>
      </c>
      <c r="G907" s="115"/>
    </row>
    <row r="908" spans="1:7" hidden="1" x14ac:dyDescent="0.2">
      <c r="A908" s="1540" t="s">
        <v>205</v>
      </c>
      <c r="B908" s="1541"/>
      <c r="C908" s="189" t="s">
        <v>159</v>
      </c>
      <c r="D908" s="130">
        <v>60714.285714285717</v>
      </c>
      <c r="E908" s="200">
        <v>0</v>
      </c>
      <c r="F908" s="135">
        <f>D908*E908</f>
        <v>0</v>
      </c>
      <c r="G908" s="132"/>
    </row>
    <row r="909" spans="1:7" ht="13.5" hidden="1" thickBot="1" x14ac:dyDescent="0.25">
      <c r="A909" s="1542"/>
      <c r="B909" s="1535"/>
      <c r="C909" s="189"/>
      <c r="D909" s="139"/>
      <c r="E909" s="201"/>
      <c r="F909" s="139">
        <f>D909*E909</f>
        <v>0</v>
      </c>
      <c r="G909" s="187"/>
    </row>
    <row r="910" spans="1:7" ht="13.5" hidden="1" thickBot="1" x14ac:dyDescent="0.25">
      <c r="A910" s="1527" t="s">
        <v>125</v>
      </c>
      <c r="B910" s="1528"/>
      <c r="C910" s="1528"/>
      <c r="D910" s="1528"/>
      <c r="E910" s="1528"/>
      <c r="F910" s="1529" t="s">
        <v>113</v>
      </c>
      <c r="G910" s="181">
        <f>SUM(F909:F909)</f>
        <v>0</v>
      </c>
    </row>
    <row r="911" spans="1:7" ht="13.5" hidden="1" thickBot="1" x14ac:dyDescent="0.25">
      <c r="A911" s="186" t="s">
        <v>119</v>
      </c>
      <c r="B911" s="179"/>
      <c r="C911" s="179"/>
      <c r="D911" s="179"/>
      <c r="E911" s="179"/>
      <c r="F911" s="179"/>
      <c r="G911" s="179"/>
    </row>
    <row r="912" spans="1:7" ht="21.75" hidden="1" thickBot="1" x14ac:dyDescent="0.25">
      <c r="A912" s="1530" t="s">
        <v>120</v>
      </c>
      <c r="B912" s="1531"/>
      <c r="C912" s="63" t="s">
        <v>121</v>
      </c>
      <c r="D912" s="63" t="s">
        <v>114</v>
      </c>
      <c r="E912" s="63" t="s">
        <v>116</v>
      </c>
      <c r="F912" s="63" t="s">
        <v>112</v>
      </c>
      <c r="G912" s="121"/>
    </row>
    <row r="913" spans="1:7" hidden="1" x14ac:dyDescent="0.2">
      <c r="A913" s="1532" t="s">
        <v>21</v>
      </c>
      <c r="B913" s="1533"/>
      <c r="C913" s="122">
        <v>7410.9600847008996</v>
      </c>
      <c r="D913" s="198">
        <v>1</v>
      </c>
      <c r="E913" s="198">
        <v>1.1000000000000001</v>
      </c>
      <c r="F913" s="124">
        <f>+(C913*D913)*E913</f>
        <v>8152.0560931709906</v>
      </c>
      <c r="G913" s="132"/>
    </row>
    <row r="914" spans="1:7" ht="13.5" hidden="1" thickBot="1" x14ac:dyDescent="0.25">
      <c r="A914" s="1534" t="s">
        <v>22</v>
      </c>
      <c r="B914" s="1535"/>
      <c r="C914" s="184">
        <v>4374.7823749999998</v>
      </c>
      <c r="D914" s="202">
        <v>1</v>
      </c>
      <c r="E914" s="202">
        <f>+E913</f>
        <v>1.1000000000000001</v>
      </c>
      <c r="F914" s="182">
        <f>+(C914*D914)*E914</f>
        <v>4812.2606125000002</v>
      </c>
      <c r="G914" s="140"/>
    </row>
    <row r="915" spans="1:7" ht="13.5" hidden="1" thickBot="1" x14ac:dyDescent="0.25">
      <c r="A915" s="1527" t="str">
        <f>+A910</f>
        <v>SUB-TOTAL</v>
      </c>
      <c r="B915" s="1528"/>
      <c r="C915" s="1528"/>
      <c r="D915" s="1528"/>
      <c r="E915" s="1528"/>
      <c r="F915" s="1529" t="s">
        <v>113</v>
      </c>
      <c r="G915" s="181">
        <f>SUM(F913:F914)</f>
        <v>12964.31670567099</v>
      </c>
    </row>
    <row r="916" spans="1:7" ht="11.25" hidden="1" customHeight="1" thickBot="1" x14ac:dyDescent="0.25">
      <c r="A916" s="179"/>
      <c r="B916" s="179"/>
      <c r="C916" s="179"/>
      <c r="D916" s="179"/>
      <c r="E916" s="179"/>
      <c r="F916" s="180"/>
      <c r="G916" s="179"/>
    </row>
    <row r="917" spans="1:7" ht="13.5" hidden="1" thickBot="1" x14ac:dyDescent="0.25">
      <c r="A917" s="1527" t="s">
        <v>156</v>
      </c>
      <c r="B917" s="1528"/>
      <c r="C917" s="1528"/>
      <c r="D917" s="1528"/>
      <c r="E917" s="1528"/>
      <c r="F917" s="1529"/>
      <c r="G917" s="178">
        <f>ROUND(G898+G905+G910+G915,0)</f>
        <v>54007</v>
      </c>
    </row>
    <row r="918" spans="1:7" hidden="1" x14ac:dyDescent="0.2"/>
    <row r="919" spans="1:7" ht="13.5" hidden="1" thickBot="1" x14ac:dyDescent="0.25"/>
    <row r="920" spans="1:7" ht="27" hidden="1" customHeight="1" x14ac:dyDescent="0.2">
      <c r="A920" s="1548" t="s">
        <v>122</v>
      </c>
      <c r="B920" s="1549"/>
      <c r="C920" s="1550"/>
      <c r="D920" s="50"/>
      <c r="E920" s="50"/>
      <c r="F920" s="50"/>
      <c r="G920" s="98"/>
    </row>
    <row r="921" spans="1:7" ht="24" hidden="1" customHeight="1" thickBot="1" x14ac:dyDescent="0.25">
      <c r="A921" s="1551" t="s">
        <v>935</v>
      </c>
      <c r="B921" s="1552"/>
      <c r="C921" s="1553"/>
      <c r="D921" s="99"/>
      <c r="E921" s="99"/>
      <c r="F921" s="99"/>
      <c r="G921" s="100"/>
    </row>
    <row r="922" spans="1:7" ht="13.5" hidden="1" thickBot="1" x14ac:dyDescent="0.25">
      <c r="A922" s="179"/>
      <c r="B922" s="179"/>
      <c r="C922" s="179"/>
      <c r="D922" s="179"/>
      <c r="E922" s="179"/>
      <c r="F922" s="179"/>
      <c r="G922" s="179"/>
    </row>
    <row r="923" spans="1:7" ht="57.75" hidden="1" customHeight="1" thickBot="1" x14ac:dyDescent="0.25">
      <c r="A923" s="1558" t="s">
        <v>936</v>
      </c>
      <c r="B923" s="1559"/>
      <c r="C923" s="1560"/>
      <c r="D923" s="1565" t="s">
        <v>190</v>
      </c>
      <c r="E923" s="1559"/>
      <c r="F923" s="1559"/>
      <c r="G923" s="1560"/>
    </row>
    <row r="924" spans="1:7" ht="13.5" hidden="1" thickBot="1" x14ac:dyDescent="0.25">
      <c r="A924" s="192"/>
      <c r="B924" s="192"/>
      <c r="C924" s="192"/>
      <c r="D924" s="192"/>
      <c r="E924" s="192"/>
      <c r="F924" s="192"/>
      <c r="G924" s="192"/>
    </row>
    <row r="925" spans="1:7" ht="12.75" hidden="1" customHeight="1" thickBot="1" x14ac:dyDescent="0.25">
      <c r="A925" s="191"/>
      <c r="B925" s="179"/>
      <c r="D925" s="60" t="s">
        <v>124</v>
      </c>
      <c r="E925" s="61" t="s">
        <v>12</v>
      </c>
      <c r="F925" s="191"/>
      <c r="G925" s="191"/>
    </row>
    <row r="926" spans="1:7" ht="13.5" hidden="1" thickBot="1" x14ac:dyDescent="0.25">
      <c r="A926" s="186" t="s">
        <v>108</v>
      </c>
      <c r="B926" s="179"/>
      <c r="C926" s="179"/>
      <c r="D926" s="179"/>
      <c r="E926" s="179"/>
      <c r="F926" s="179"/>
      <c r="G926" s="179"/>
    </row>
    <row r="927" spans="1:7" ht="13.5" hidden="1" customHeight="1" thickBot="1" x14ac:dyDescent="0.25">
      <c r="A927" s="1530" t="s">
        <v>109</v>
      </c>
      <c r="B927" s="1554"/>
      <c r="C927" s="1531"/>
      <c r="D927" s="63" t="s">
        <v>110</v>
      </c>
      <c r="E927" s="63" t="s">
        <v>111</v>
      </c>
      <c r="F927" s="63" t="s">
        <v>112</v>
      </c>
      <c r="G927" s="104"/>
    </row>
    <row r="928" spans="1:7" hidden="1" x14ac:dyDescent="0.2">
      <c r="A928" s="1540" t="s">
        <v>131</v>
      </c>
      <c r="B928" s="1555"/>
      <c r="C928" s="1541"/>
      <c r="D928" s="130">
        <v>2062.5</v>
      </c>
      <c r="E928" s="131">
        <f>+E947</f>
        <v>4</v>
      </c>
      <c r="F928" s="130">
        <f>+E928*D928</f>
        <v>8250</v>
      </c>
      <c r="G928" s="132"/>
    </row>
    <row r="929" spans="1:7" hidden="1" x14ac:dyDescent="0.2">
      <c r="A929" s="1543" t="s">
        <v>937</v>
      </c>
      <c r="B929" s="1544"/>
      <c r="C929" s="1545" t="s">
        <v>4</v>
      </c>
      <c r="D929" s="135">
        <v>85000</v>
      </c>
      <c r="E929" s="136">
        <v>1</v>
      </c>
      <c r="F929" s="135">
        <f>+E929*D929</f>
        <v>85000</v>
      </c>
      <c r="G929" s="137"/>
    </row>
    <row r="930" spans="1:7" hidden="1" x14ac:dyDescent="0.2">
      <c r="A930" s="1543" t="s">
        <v>144</v>
      </c>
      <c r="B930" s="1544"/>
      <c r="C930" s="1545"/>
      <c r="D930" s="135">
        <v>125000</v>
      </c>
      <c r="E930" s="136">
        <v>1</v>
      </c>
      <c r="F930" s="135">
        <f>+E930*D930</f>
        <v>125000</v>
      </c>
      <c r="G930" s="137"/>
    </row>
    <row r="931" spans="1:7" ht="13.5" hidden="1" thickBot="1" x14ac:dyDescent="0.25">
      <c r="A931" s="1542" t="s">
        <v>135</v>
      </c>
      <c r="B931" s="1564"/>
      <c r="C931" s="1535"/>
      <c r="D931" s="139">
        <v>7500</v>
      </c>
      <c r="E931" s="141">
        <v>2</v>
      </c>
      <c r="F931" s="139">
        <f>+E931*D931</f>
        <v>15000</v>
      </c>
      <c r="G931" s="140"/>
    </row>
    <row r="932" spans="1:7" ht="13.5" hidden="1" thickBot="1" x14ac:dyDescent="0.25">
      <c r="A932" s="1527" t="s">
        <v>125</v>
      </c>
      <c r="B932" s="1528"/>
      <c r="C932" s="1528"/>
      <c r="D932" s="1528"/>
      <c r="E932" s="1528"/>
      <c r="F932" s="1529"/>
      <c r="G932" s="181">
        <f>SUM(F928:F931)</f>
        <v>233250</v>
      </c>
    </row>
    <row r="933" spans="1:7" ht="13.5" hidden="1" thickBot="1" x14ac:dyDescent="0.25">
      <c r="A933" s="186" t="s">
        <v>123</v>
      </c>
      <c r="B933" s="179"/>
      <c r="C933" s="179"/>
      <c r="D933" s="179"/>
      <c r="E933" s="179"/>
      <c r="F933" s="179"/>
      <c r="G933" s="179"/>
    </row>
    <row r="934" spans="1:7" ht="13.5" hidden="1" thickBot="1" x14ac:dyDescent="0.25">
      <c r="A934" s="1530" t="s">
        <v>109</v>
      </c>
      <c r="B934" s="1531"/>
      <c r="C934" s="63" t="s">
        <v>114</v>
      </c>
      <c r="D934" s="63" t="s">
        <v>115</v>
      </c>
      <c r="E934" s="63" t="s">
        <v>116</v>
      </c>
      <c r="F934" s="63" t="s">
        <v>112</v>
      </c>
      <c r="G934" s="104"/>
    </row>
    <row r="935" spans="1:7" hidden="1" x14ac:dyDescent="0.2">
      <c r="A935" s="1546" t="s">
        <v>955</v>
      </c>
      <c r="B935" s="1547"/>
      <c r="C935" s="129" t="s">
        <v>12</v>
      </c>
      <c r="D935" s="130">
        <v>424073</v>
      </c>
      <c r="E935" s="129">
        <v>1.03</v>
      </c>
      <c r="F935" s="130">
        <f>+E935*D935</f>
        <v>436795.19</v>
      </c>
      <c r="G935" s="132"/>
    </row>
    <row r="936" spans="1:7" hidden="1" x14ac:dyDescent="0.2">
      <c r="A936" s="1536" t="s">
        <v>104</v>
      </c>
      <c r="B936" s="1537"/>
      <c r="C936" s="134" t="s">
        <v>105</v>
      </c>
      <c r="D936" s="135">
        <v>40</v>
      </c>
      <c r="E936" s="134">
        <v>15</v>
      </c>
      <c r="F936" s="135">
        <f>+E936*D936</f>
        <v>600</v>
      </c>
      <c r="G936" s="137"/>
    </row>
    <row r="937" spans="1:7" hidden="1" x14ac:dyDescent="0.2">
      <c r="A937" s="1536"/>
      <c r="B937" s="1537"/>
      <c r="C937" s="134"/>
      <c r="D937" s="135"/>
      <c r="E937" s="134"/>
      <c r="F937" s="135"/>
      <c r="G937" s="137"/>
    </row>
    <row r="938" spans="1:7" ht="13.5" hidden="1" thickBot="1" x14ac:dyDescent="0.25">
      <c r="A938" s="1538"/>
      <c r="B938" s="1539"/>
      <c r="C938" s="138"/>
      <c r="D938" s="139"/>
      <c r="E938" s="138"/>
      <c r="F938" s="139"/>
      <c r="G938" s="140"/>
    </row>
    <row r="939" spans="1:7" ht="13.5" hidden="1" thickBot="1" x14ac:dyDescent="0.25">
      <c r="A939" s="1527" t="s">
        <v>125</v>
      </c>
      <c r="B939" s="1528"/>
      <c r="C939" s="1528"/>
      <c r="D939" s="1528"/>
      <c r="E939" s="1528"/>
      <c r="F939" s="1529" t="s">
        <v>113</v>
      </c>
      <c r="G939" s="181">
        <f>SUM(F935:F938)</f>
        <v>437395.19</v>
      </c>
    </row>
    <row r="940" spans="1:7" ht="13.5" hidden="1" thickBot="1" x14ac:dyDescent="0.25">
      <c r="A940" s="186" t="s">
        <v>117</v>
      </c>
      <c r="B940" s="179"/>
      <c r="C940" s="179"/>
      <c r="D940" s="179"/>
      <c r="E940" s="179"/>
      <c r="F940" s="179"/>
      <c r="G940" s="179"/>
    </row>
    <row r="941" spans="1:7" ht="13.5" hidden="1" thickBot="1" x14ac:dyDescent="0.25">
      <c r="A941" s="1530" t="s">
        <v>109</v>
      </c>
      <c r="B941" s="1531"/>
      <c r="C941" s="63" t="s">
        <v>114</v>
      </c>
      <c r="D941" s="63" t="s">
        <v>115</v>
      </c>
      <c r="E941" s="63" t="s">
        <v>116</v>
      </c>
      <c r="F941" s="63" t="s">
        <v>112</v>
      </c>
      <c r="G941" s="115"/>
    </row>
    <row r="942" spans="1:7" hidden="1" x14ac:dyDescent="0.2">
      <c r="A942" s="1540" t="s">
        <v>205</v>
      </c>
      <c r="B942" s="1541"/>
      <c r="C942" s="189" t="s">
        <v>159</v>
      </c>
      <c r="D942" s="130">
        <v>60714.285714285717</v>
      </c>
      <c r="E942" s="200">
        <v>0</v>
      </c>
      <c r="F942" s="135">
        <f>D942*E942</f>
        <v>0</v>
      </c>
      <c r="G942" s="132"/>
    </row>
    <row r="943" spans="1:7" ht="13.5" hidden="1" thickBot="1" x14ac:dyDescent="0.25">
      <c r="A943" s="1542"/>
      <c r="B943" s="1535"/>
      <c r="C943" s="189"/>
      <c r="D943" s="139"/>
      <c r="E943" s="201"/>
      <c r="F943" s="139">
        <f>D943*E943</f>
        <v>0</v>
      </c>
      <c r="G943" s="187"/>
    </row>
    <row r="944" spans="1:7" ht="13.5" hidden="1" thickBot="1" x14ac:dyDescent="0.25">
      <c r="A944" s="1527" t="s">
        <v>125</v>
      </c>
      <c r="B944" s="1528"/>
      <c r="C944" s="1528"/>
      <c r="D944" s="1528"/>
      <c r="E944" s="1528"/>
      <c r="F944" s="1529" t="s">
        <v>113</v>
      </c>
      <c r="G944" s="181">
        <f>SUM(F943:F943)</f>
        <v>0</v>
      </c>
    </row>
    <row r="945" spans="1:7" ht="13.5" hidden="1" thickBot="1" x14ac:dyDescent="0.25">
      <c r="A945" s="186" t="s">
        <v>119</v>
      </c>
      <c r="B945" s="179"/>
      <c r="C945" s="179"/>
      <c r="D945" s="179"/>
      <c r="E945" s="179"/>
      <c r="F945" s="179"/>
      <c r="G945" s="179"/>
    </row>
    <row r="946" spans="1:7" ht="21.75" hidden="1" thickBot="1" x14ac:dyDescent="0.25">
      <c r="A946" s="1530" t="s">
        <v>120</v>
      </c>
      <c r="B946" s="1531"/>
      <c r="C946" s="63" t="s">
        <v>121</v>
      </c>
      <c r="D946" s="63" t="s">
        <v>114</v>
      </c>
      <c r="E946" s="63" t="s">
        <v>116</v>
      </c>
      <c r="F946" s="63" t="s">
        <v>112</v>
      </c>
      <c r="G946" s="121"/>
    </row>
    <row r="947" spans="1:7" hidden="1" x14ac:dyDescent="0.2">
      <c r="A947" s="1532" t="s">
        <v>21</v>
      </c>
      <c r="B947" s="1533"/>
      <c r="C947" s="122">
        <v>7410.9600847008996</v>
      </c>
      <c r="D947" s="198">
        <v>2</v>
      </c>
      <c r="E947" s="198">
        <f>1/0.25</f>
        <v>4</v>
      </c>
      <c r="F947" s="124">
        <f>+(C947*D947)*E947</f>
        <v>59287.680677607197</v>
      </c>
      <c r="G947" s="132"/>
    </row>
    <row r="948" spans="1:7" ht="13.5" hidden="1" thickBot="1" x14ac:dyDescent="0.25">
      <c r="A948" s="1534" t="s">
        <v>22</v>
      </c>
      <c r="B948" s="1535"/>
      <c r="C948" s="184">
        <v>4374.7823749999998</v>
      </c>
      <c r="D948" s="202">
        <v>4</v>
      </c>
      <c r="E948" s="202">
        <f>+E947</f>
        <v>4</v>
      </c>
      <c r="F948" s="182">
        <f>+(C948*D948)*E948</f>
        <v>69996.517999999996</v>
      </c>
      <c r="G948" s="140"/>
    </row>
    <row r="949" spans="1:7" ht="13.5" hidden="1" thickBot="1" x14ac:dyDescent="0.25">
      <c r="A949" s="1527" t="str">
        <f>+A944</f>
        <v>SUB-TOTAL</v>
      </c>
      <c r="B949" s="1528"/>
      <c r="C949" s="1528"/>
      <c r="D949" s="1528"/>
      <c r="E949" s="1528"/>
      <c r="F949" s="1529" t="s">
        <v>113</v>
      </c>
      <c r="G949" s="181">
        <f>SUM(F947:F948)</f>
        <v>129284.1986776072</v>
      </c>
    </row>
    <row r="950" spans="1:7" ht="11.25" hidden="1" customHeight="1" thickBot="1" x14ac:dyDescent="0.25">
      <c r="A950" s="179"/>
      <c r="B950" s="179"/>
      <c r="C950" s="179"/>
      <c r="D950" s="179"/>
      <c r="E950" s="179"/>
      <c r="F950" s="180"/>
      <c r="G950" s="179"/>
    </row>
    <row r="951" spans="1:7" ht="13.5" hidden="1" thickBot="1" x14ac:dyDescent="0.25">
      <c r="A951" s="1527" t="s">
        <v>156</v>
      </c>
      <c r="B951" s="1528"/>
      <c r="C951" s="1528"/>
      <c r="D951" s="1528"/>
      <c r="E951" s="1528"/>
      <c r="F951" s="1529"/>
      <c r="G951" s="178">
        <f>ROUND(G932+G939+G944+G949,0)</f>
        <v>799929</v>
      </c>
    </row>
    <row r="952" spans="1:7" hidden="1" x14ac:dyDescent="0.2"/>
    <row r="953" spans="1:7" ht="13.5" hidden="1" thickBot="1" x14ac:dyDescent="0.25"/>
    <row r="954" spans="1:7" ht="27" hidden="1" customHeight="1" x14ac:dyDescent="0.2">
      <c r="A954" s="1548" t="s">
        <v>122</v>
      </c>
      <c r="B954" s="1549"/>
      <c r="C954" s="1550"/>
      <c r="D954" s="50"/>
      <c r="E954" s="50"/>
      <c r="F954" s="50"/>
      <c r="G954" s="98"/>
    </row>
    <row r="955" spans="1:7" ht="24" hidden="1" customHeight="1" thickBot="1" x14ac:dyDescent="0.25">
      <c r="A955" s="1551" t="s">
        <v>935</v>
      </c>
      <c r="B955" s="1552"/>
      <c r="C955" s="1553"/>
      <c r="D955" s="99"/>
      <c r="E955" s="99"/>
      <c r="F955" s="99"/>
      <c r="G955" s="100"/>
    </row>
    <row r="956" spans="1:7" ht="13.5" hidden="1" thickBot="1" x14ac:dyDescent="0.25">
      <c r="A956" s="179"/>
      <c r="B956" s="179"/>
      <c r="C956" s="179"/>
      <c r="D956" s="179"/>
      <c r="E956" s="179"/>
      <c r="F956" s="179"/>
      <c r="G956" s="179"/>
    </row>
    <row r="957" spans="1:7" ht="57.75" hidden="1" customHeight="1" thickBot="1" x14ac:dyDescent="0.25">
      <c r="A957" s="1558" t="s">
        <v>936</v>
      </c>
      <c r="B957" s="1559"/>
      <c r="C957" s="1560"/>
      <c r="D957" s="1565" t="s">
        <v>335</v>
      </c>
      <c r="E957" s="1559"/>
      <c r="F957" s="1559"/>
      <c r="G957" s="1560"/>
    </row>
    <row r="958" spans="1:7" ht="13.5" hidden="1" thickBot="1" x14ac:dyDescent="0.25">
      <c r="A958" s="192"/>
      <c r="B958" s="192"/>
      <c r="C958" s="192"/>
      <c r="D958" s="192"/>
      <c r="E958" s="192"/>
      <c r="F958" s="192"/>
      <c r="G958" s="192"/>
    </row>
    <row r="959" spans="1:7" ht="12.75" hidden="1" customHeight="1" thickBot="1" x14ac:dyDescent="0.25">
      <c r="A959" s="191"/>
      <c r="B959" s="179"/>
      <c r="D959" s="60" t="s">
        <v>124</v>
      </c>
      <c r="E959" s="61" t="s">
        <v>12</v>
      </c>
      <c r="F959" s="191"/>
      <c r="G959" s="191"/>
    </row>
    <row r="960" spans="1:7" ht="13.5" hidden="1" thickBot="1" x14ac:dyDescent="0.25">
      <c r="A960" s="186" t="s">
        <v>108</v>
      </c>
      <c r="B960" s="179"/>
      <c r="C960" s="179"/>
      <c r="D960" s="179"/>
      <c r="E960" s="179"/>
      <c r="F960" s="179"/>
      <c r="G960" s="179"/>
    </row>
    <row r="961" spans="1:7" ht="13.5" hidden="1" customHeight="1" thickBot="1" x14ac:dyDescent="0.25">
      <c r="A961" s="1530" t="s">
        <v>109</v>
      </c>
      <c r="B961" s="1554"/>
      <c r="C961" s="1531"/>
      <c r="D961" s="63" t="s">
        <v>110</v>
      </c>
      <c r="E961" s="63" t="s">
        <v>111</v>
      </c>
      <c r="F961" s="63" t="s">
        <v>112</v>
      </c>
      <c r="G961" s="104"/>
    </row>
    <row r="962" spans="1:7" hidden="1" x14ac:dyDescent="0.2">
      <c r="A962" s="1540" t="s">
        <v>131</v>
      </c>
      <c r="B962" s="1555"/>
      <c r="C962" s="1541"/>
      <c r="D962" s="130">
        <v>2062.5</v>
      </c>
      <c r="E962" s="131">
        <v>0.3</v>
      </c>
      <c r="F962" s="130">
        <f>+E962*D962</f>
        <v>618.75</v>
      </c>
      <c r="G962" s="132"/>
    </row>
    <row r="963" spans="1:7" hidden="1" x14ac:dyDescent="0.2">
      <c r="A963" s="1543"/>
      <c r="B963" s="1544"/>
      <c r="C963" s="1545"/>
      <c r="D963" s="135"/>
      <c r="E963" s="136"/>
      <c r="F963" s="135">
        <f>+E963*D963</f>
        <v>0</v>
      </c>
      <c r="G963" s="137"/>
    </row>
    <row r="964" spans="1:7" hidden="1" x14ac:dyDescent="0.2">
      <c r="A964" s="1543"/>
      <c r="B964" s="1544"/>
      <c r="C964" s="1545"/>
      <c r="D964" s="135"/>
      <c r="E964" s="136"/>
      <c r="F964" s="135">
        <f>+E964*D964</f>
        <v>0</v>
      </c>
      <c r="G964" s="137"/>
    </row>
    <row r="965" spans="1:7" ht="13.5" hidden="1" thickBot="1" x14ac:dyDescent="0.25">
      <c r="A965" s="1542"/>
      <c r="B965" s="1564"/>
      <c r="C965" s="1535"/>
      <c r="D965" s="139"/>
      <c r="E965" s="141"/>
      <c r="F965" s="139">
        <f>+E965*D965</f>
        <v>0</v>
      </c>
      <c r="G965" s="140"/>
    </row>
    <row r="966" spans="1:7" ht="13.5" hidden="1" thickBot="1" x14ac:dyDescent="0.25">
      <c r="A966" s="1527" t="s">
        <v>125</v>
      </c>
      <c r="B966" s="1528"/>
      <c r="C966" s="1528"/>
      <c r="D966" s="1528"/>
      <c r="E966" s="1528"/>
      <c r="F966" s="1529"/>
      <c r="G966" s="181">
        <f>SUM(F962:F965)</f>
        <v>618.75</v>
      </c>
    </row>
    <row r="967" spans="1:7" ht="13.5" hidden="1" thickBot="1" x14ac:dyDescent="0.25">
      <c r="A967" s="186" t="s">
        <v>123</v>
      </c>
      <c r="B967" s="179"/>
      <c r="C967" s="179"/>
      <c r="D967" s="179"/>
      <c r="E967" s="179"/>
      <c r="F967" s="179"/>
      <c r="G967" s="179"/>
    </row>
    <row r="968" spans="1:7" ht="13.5" hidden="1" thickBot="1" x14ac:dyDescent="0.25">
      <c r="A968" s="1530" t="s">
        <v>109</v>
      </c>
      <c r="B968" s="1531"/>
      <c r="C968" s="63" t="s">
        <v>114</v>
      </c>
      <c r="D968" s="63" t="s">
        <v>115</v>
      </c>
      <c r="E968" s="63" t="s">
        <v>116</v>
      </c>
      <c r="F968" s="63" t="s">
        <v>112</v>
      </c>
      <c r="G968" s="104"/>
    </row>
    <row r="969" spans="1:7" ht="24" hidden="1" customHeight="1" x14ac:dyDescent="0.2">
      <c r="A969" s="1546" t="s">
        <v>65</v>
      </c>
      <c r="B969" s="1547"/>
      <c r="C969" s="129" t="s">
        <v>12</v>
      </c>
      <c r="D969" s="130">
        <v>35000</v>
      </c>
      <c r="E969" s="129">
        <v>1</v>
      </c>
      <c r="F969" s="130">
        <f>+E969*D969</f>
        <v>35000</v>
      </c>
      <c r="G969" s="132"/>
    </row>
    <row r="970" spans="1:7" hidden="1" x14ac:dyDescent="0.2">
      <c r="A970" s="1536" t="s">
        <v>44</v>
      </c>
      <c r="B970" s="1537"/>
      <c r="C970" s="134" t="s">
        <v>7</v>
      </c>
      <c r="D970" s="135">
        <v>3000</v>
      </c>
      <c r="E970" s="134">
        <v>0.2</v>
      </c>
      <c r="F970" s="135">
        <f>+E970*D970</f>
        <v>600</v>
      </c>
      <c r="G970" s="137"/>
    </row>
    <row r="971" spans="1:7" hidden="1" x14ac:dyDescent="0.2">
      <c r="A971" s="1536" t="s">
        <v>48</v>
      </c>
      <c r="B971" s="1537"/>
      <c r="C971" s="134" t="s">
        <v>2</v>
      </c>
      <c r="D971" s="135">
        <v>65000</v>
      </c>
      <c r="E971" s="134">
        <v>1</v>
      </c>
      <c r="F971" s="135">
        <f>+E971*D971</f>
        <v>65000</v>
      </c>
      <c r="G971" s="137"/>
    </row>
    <row r="972" spans="1:7" ht="13.5" hidden="1" thickBot="1" x14ac:dyDescent="0.25">
      <c r="A972" s="1538" t="s">
        <v>146</v>
      </c>
      <c r="B972" s="1539"/>
      <c r="C972" s="138" t="s">
        <v>12</v>
      </c>
      <c r="D972" s="139">
        <v>3000</v>
      </c>
      <c r="E972" s="138">
        <v>1</v>
      </c>
      <c r="F972" s="135">
        <f>+E972*D972</f>
        <v>3000</v>
      </c>
      <c r="G972" s="140"/>
    </row>
    <row r="973" spans="1:7" ht="13.5" hidden="1" thickBot="1" x14ac:dyDescent="0.25">
      <c r="A973" s="1527" t="s">
        <v>125</v>
      </c>
      <c r="B973" s="1528"/>
      <c r="C973" s="1528"/>
      <c r="D973" s="1528"/>
      <c r="E973" s="1528"/>
      <c r="F973" s="1529" t="s">
        <v>113</v>
      </c>
      <c r="G973" s="181">
        <f>SUM(F969:F972)</f>
        <v>103600</v>
      </c>
    </row>
    <row r="974" spans="1:7" ht="13.5" hidden="1" thickBot="1" x14ac:dyDescent="0.25">
      <c r="A974" s="186" t="s">
        <v>117</v>
      </c>
      <c r="B974" s="179"/>
      <c r="C974" s="179"/>
      <c r="D974" s="179"/>
      <c r="E974" s="179"/>
      <c r="F974" s="179"/>
      <c r="G974" s="179"/>
    </row>
    <row r="975" spans="1:7" ht="13.5" hidden="1" thickBot="1" x14ac:dyDescent="0.25">
      <c r="A975" s="1530" t="s">
        <v>109</v>
      </c>
      <c r="B975" s="1531"/>
      <c r="C975" s="63" t="s">
        <v>114</v>
      </c>
      <c r="D975" s="63" t="s">
        <v>115</v>
      </c>
      <c r="E975" s="63" t="s">
        <v>116</v>
      </c>
      <c r="F975" s="63" t="s">
        <v>112</v>
      </c>
      <c r="G975" s="115"/>
    </row>
    <row r="976" spans="1:7" hidden="1" x14ac:dyDescent="0.2">
      <c r="A976" s="1540" t="s">
        <v>205</v>
      </c>
      <c r="B976" s="1541"/>
      <c r="C976" s="189" t="s">
        <v>159</v>
      </c>
      <c r="D976" s="130">
        <v>60714.285714285717</v>
      </c>
      <c r="E976" s="200">
        <v>0</v>
      </c>
      <c r="F976" s="135">
        <f>D976*E976</f>
        <v>0</v>
      </c>
      <c r="G976" s="132"/>
    </row>
    <row r="977" spans="1:7" ht="13.5" hidden="1" thickBot="1" x14ac:dyDescent="0.25">
      <c r="A977" s="1542"/>
      <c r="B977" s="1535"/>
      <c r="C977" s="189"/>
      <c r="D977" s="139"/>
      <c r="E977" s="201"/>
      <c r="F977" s="139">
        <f>D977*E977</f>
        <v>0</v>
      </c>
      <c r="G977" s="187"/>
    </row>
    <row r="978" spans="1:7" ht="13.5" hidden="1" thickBot="1" x14ac:dyDescent="0.25">
      <c r="A978" s="1527" t="s">
        <v>125</v>
      </c>
      <c r="B978" s="1528"/>
      <c r="C978" s="1528"/>
      <c r="D978" s="1528"/>
      <c r="E978" s="1528"/>
      <c r="F978" s="1529" t="s">
        <v>113</v>
      </c>
      <c r="G978" s="181">
        <f>SUM(F977:F977)</f>
        <v>0</v>
      </c>
    </row>
    <row r="979" spans="1:7" ht="13.5" hidden="1" thickBot="1" x14ac:dyDescent="0.25">
      <c r="A979" s="186" t="s">
        <v>119</v>
      </c>
      <c r="B979" s="179"/>
      <c r="C979" s="179"/>
      <c r="D979" s="179"/>
      <c r="E979" s="179"/>
      <c r="F979" s="179"/>
      <c r="G979" s="179"/>
    </row>
    <row r="980" spans="1:7" ht="21.75" hidden="1" thickBot="1" x14ac:dyDescent="0.25">
      <c r="A980" s="1530" t="s">
        <v>120</v>
      </c>
      <c r="B980" s="1531"/>
      <c r="C980" s="63" t="s">
        <v>121</v>
      </c>
      <c r="D980" s="63" t="s">
        <v>114</v>
      </c>
      <c r="E980" s="63" t="s">
        <v>116</v>
      </c>
      <c r="F980" s="63" t="s">
        <v>112</v>
      </c>
      <c r="G980" s="121"/>
    </row>
    <row r="981" spans="1:7" hidden="1" x14ac:dyDescent="0.2">
      <c r="A981" s="1532" t="s">
        <v>21</v>
      </c>
      <c r="B981" s="1533"/>
      <c r="C981" s="122">
        <v>7410.9600847008996</v>
      </c>
      <c r="D981" s="198">
        <v>1</v>
      </c>
      <c r="E981" s="198">
        <v>1.3</v>
      </c>
      <c r="F981" s="124">
        <f>+(C981*D981)*E981</f>
        <v>9634.2481101111698</v>
      </c>
      <c r="G981" s="132"/>
    </row>
    <row r="982" spans="1:7" ht="13.5" hidden="1" thickBot="1" x14ac:dyDescent="0.25">
      <c r="A982" s="1534" t="s">
        <v>22</v>
      </c>
      <c r="B982" s="1535"/>
      <c r="C982" s="184">
        <v>4374.7823749999998</v>
      </c>
      <c r="D982" s="202">
        <v>2</v>
      </c>
      <c r="E982" s="202">
        <f>+E981</f>
        <v>1.3</v>
      </c>
      <c r="F982" s="182">
        <f>+(C982*D982)*E982</f>
        <v>11374.434175</v>
      </c>
      <c r="G982" s="140"/>
    </row>
    <row r="983" spans="1:7" ht="13.5" hidden="1" thickBot="1" x14ac:dyDescent="0.25">
      <c r="A983" s="1527" t="str">
        <f>+A978</f>
        <v>SUB-TOTAL</v>
      </c>
      <c r="B983" s="1528"/>
      <c r="C983" s="1528"/>
      <c r="D983" s="1528"/>
      <c r="E983" s="1528"/>
      <c r="F983" s="1529" t="s">
        <v>113</v>
      </c>
      <c r="G983" s="181">
        <f>SUM(F981:F982)</f>
        <v>21008.682285111172</v>
      </c>
    </row>
    <row r="984" spans="1:7" ht="11.25" hidden="1" customHeight="1" thickBot="1" x14ac:dyDescent="0.25">
      <c r="A984" s="179"/>
      <c r="B984" s="179"/>
      <c r="C984" s="179"/>
      <c r="D984" s="179"/>
      <c r="E984" s="179"/>
      <c r="F984" s="180"/>
      <c r="G984" s="179"/>
    </row>
    <row r="985" spans="1:7" ht="13.5" hidden="1" thickBot="1" x14ac:dyDescent="0.25">
      <c r="A985" s="1527" t="s">
        <v>156</v>
      </c>
      <c r="B985" s="1528"/>
      <c r="C985" s="1528"/>
      <c r="D985" s="1528"/>
      <c r="E985" s="1528"/>
      <c r="F985" s="1529"/>
      <c r="G985" s="178">
        <f>ROUND(G966+G973+G978+G983,0)</f>
        <v>125227</v>
      </c>
    </row>
    <row r="986" spans="1:7" hidden="1" x14ac:dyDescent="0.2">
      <c r="A986" s="196"/>
      <c r="B986" s="196"/>
      <c r="C986" s="196"/>
      <c r="D986" s="196"/>
      <c r="E986" s="196"/>
      <c r="F986" s="196"/>
      <c r="G986" s="197"/>
    </row>
    <row r="987" spans="1:7" ht="13.5" hidden="1" thickBot="1" x14ac:dyDescent="0.25"/>
    <row r="988" spans="1:7" ht="27" hidden="1" customHeight="1" x14ac:dyDescent="0.2">
      <c r="A988" s="1548" t="s">
        <v>122</v>
      </c>
      <c r="B988" s="1549"/>
      <c r="C988" s="1550"/>
      <c r="D988" s="50"/>
      <c r="E988" s="50"/>
      <c r="F988" s="50"/>
      <c r="G988" s="98"/>
    </row>
    <row r="989" spans="1:7" ht="24" hidden="1" customHeight="1" thickBot="1" x14ac:dyDescent="0.25">
      <c r="A989" s="1551" t="s">
        <v>935</v>
      </c>
      <c r="B989" s="1552"/>
      <c r="C989" s="1553"/>
      <c r="D989" s="99"/>
      <c r="E989" s="99"/>
      <c r="F989" s="99"/>
      <c r="G989" s="100"/>
    </row>
    <row r="990" spans="1:7" ht="13.5" hidden="1" thickBot="1" x14ac:dyDescent="0.25">
      <c r="A990" s="179"/>
      <c r="B990" s="179"/>
      <c r="C990" s="179"/>
      <c r="D990" s="179"/>
      <c r="E990" s="179"/>
      <c r="F990" s="179"/>
      <c r="G990" s="179"/>
    </row>
    <row r="991" spans="1:7" ht="72" hidden="1" customHeight="1" thickBot="1" x14ac:dyDescent="0.25">
      <c r="A991" s="1558" t="s">
        <v>936</v>
      </c>
      <c r="B991" s="1559"/>
      <c r="C991" s="1560"/>
      <c r="D991" s="1565" t="s">
        <v>336</v>
      </c>
      <c r="E991" s="1559"/>
      <c r="F991" s="1559"/>
      <c r="G991" s="1560"/>
    </row>
    <row r="992" spans="1:7" ht="13.5" hidden="1" thickBot="1" x14ac:dyDescent="0.25">
      <c r="A992" s="192"/>
      <c r="B992" s="192"/>
      <c r="C992" s="192"/>
      <c r="D992" s="192"/>
      <c r="E992" s="192"/>
      <c r="F992" s="192"/>
      <c r="G992" s="192"/>
    </row>
    <row r="993" spans="1:10" ht="12.75" hidden="1" customHeight="1" thickBot="1" x14ac:dyDescent="0.25">
      <c r="A993" s="191"/>
      <c r="B993" s="179"/>
      <c r="D993" s="60" t="s">
        <v>124</v>
      </c>
      <c r="E993" s="61" t="s">
        <v>4</v>
      </c>
      <c r="F993" s="191"/>
      <c r="G993" s="191"/>
    </row>
    <row r="994" spans="1:10" ht="13.5" hidden="1" thickBot="1" x14ac:dyDescent="0.25">
      <c r="A994" s="186" t="s">
        <v>108</v>
      </c>
      <c r="B994" s="179"/>
      <c r="C994" s="179"/>
      <c r="D994" s="179"/>
      <c r="E994" s="179"/>
      <c r="F994" s="179"/>
      <c r="G994" s="179"/>
    </row>
    <row r="995" spans="1:10" ht="13.5" hidden="1" customHeight="1" thickBot="1" x14ac:dyDescent="0.25">
      <c r="A995" s="1530" t="s">
        <v>109</v>
      </c>
      <c r="B995" s="1554"/>
      <c r="C995" s="1531"/>
      <c r="D995" s="63" t="s">
        <v>110</v>
      </c>
      <c r="E995" s="63" t="s">
        <v>111</v>
      </c>
      <c r="F995" s="63" t="s">
        <v>112</v>
      </c>
      <c r="G995" s="104"/>
    </row>
    <row r="996" spans="1:10" hidden="1" x14ac:dyDescent="0.2">
      <c r="A996" s="1540" t="s">
        <v>131</v>
      </c>
      <c r="B996" s="1555"/>
      <c r="C996" s="1541"/>
      <c r="D996" s="130">
        <v>2062.5</v>
      </c>
      <c r="E996" s="131">
        <v>0.2</v>
      </c>
      <c r="F996" s="130">
        <f>+E996*D996</f>
        <v>412.5</v>
      </c>
      <c r="G996" s="132"/>
      <c r="J996" s="199"/>
    </row>
    <row r="997" spans="1:10" hidden="1" x14ac:dyDescent="0.2">
      <c r="A997" s="1543" t="s">
        <v>139</v>
      </c>
      <c r="B997" s="1544"/>
      <c r="C997" s="1545"/>
      <c r="D997" s="135">
        <v>8125</v>
      </c>
      <c r="E997" s="136">
        <v>0.4</v>
      </c>
      <c r="F997" s="135">
        <f>+E997*D997</f>
        <v>3250</v>
      </c>
      <c r="G997" s="137"/>
    </row>
    <row r="998" spans="1:10" hidden="1" x14ac:dyDescent="0.2">
      <c r="A998" s="1543" t="s">
        <v>147</v>
      </c>
      <c r="B998" s="1544"/>
      <c r="C998" s="1545"/>
      <c r="D998" s="135">
        <v>187.5</v>
      </c>
      <c r="E998" s="136">
        <v>1.6</v>
      </c>
      <c r="F998" s="135">
        <f>+E998*D998</f>
        <v>300</v>
      </c>
      <c r="G998" s="137"/>
      <c r="I998" s="199"/>
    </row>
    <row r="999" spans="1:10" ht="13.5" hidden="1" thickBot="1" x14ac:dyDescent="0.25">
      <c r="A999" s="1542"/>
      <c r="B999" s="1564"/>
      <c r="C999" s="1535"/>
      <c r="D999" s="139"/>
      <c r="E999" s="141"/>
      <c r="F999" s="139">
        <f>+E999*D999</f>
        <v>0</v>
      </c>
      <c r="G999" s="140"/>
    </row>
    <row r="1000" spans="1:10" ht="13.5" hidden="1" thickBot="1" x14ac:dyDescent="0.25">
      <c r="A1000" s="1527" t="s">
        <v>125</v>
      </c>
      <c r="B1000" s="1528"/>
      <c r="C1000" s="1528"/>
      <c r="D1000" s="1528"/>
      <c r="E1000" s="1528"/>
      <c r="F1000" s="1529"/>
      <c r="G1000" s="181">
        <f>SUM(F996:F999)</f>
        <v>3962.5</v>
      </c>
    </row>
    <row r="1001" spans="1:10" ht="13.5" hidden="1" thickBot="1" x14ac:dyDescent="0.25">
      <c r="A1001" s="186" t="s">
        <v>123</v>
      </c>
      <c r="B1001" s="179"/>
      <c r="C1001" s="179"/>
      <c r="D1001" s="179"/>
      <c r="E1001" s="179"/>
      <c r="F1001" s="179"/>
      <c r="G1001" s="179"/>
    </row>
    <row r="1002" spans="1:10" ht="13.5" hidden="1" thickBot="1" x14ac:dyDescent="0.25">
      <c r="A1002" s="1530" t="s">
        <v>109</v>
      </c>
      <c r="B1002" s="1531"/>
      <c r="C1002" s="63" t="s">
        <v>114</v>
      </c>
      <c r="D1002" s="63" t="s">
        <v>115</v>
      </c>
      <c r="E1002" s="63" t="s">
        <v>116</v>
      </c>
      <c r="F1002" s="63" t="s">
        <v>112</v>
      </c>
      <c r="G1002" s="104"/>
    </row>
    <row r="1003" spans="1:10" hidden="1" x14ac:dyDescent="0.2">
      <c r="A1003" s="1536" t="s">
        <v>940</v>
      </c>
      <c r="B1003" s="1537"/>
      <c r="C1003" s="134" t="s">
        <v>4</v>
      </c>
      <c r="D1003" s="135">
        <v>13500</v>
      </c>
      <c r="E1003" s="134">
        <v>0.46</v>
      </c>
      <c r="F1003" s="135">
        <f>+E1003*D1003</f>
        <v>6210</v>
      </c>
      <c r="G1003" s="137"/>
    </row>
    <row r="1004" spans="1:10" ht="22.5" hidden="1" customHeight="1" x14ac:dyDescent="0.2">
      <c r="A1004" s="1536" t="s">
        <v>941</v>
      </c>
      <c r="B1004" s="1537"/>
      <c r="C1004" s="134" t="s">
        <v>6</v>
      </c>
      <c r="D1004" s="135">
        <v>18034</v>
      </c>
      <c r="E1004" s="134">
        <v>0.51</v>
      </c>
      <c r="F1004" s="135">
        <f>D1004*E1004</f>
        <v>9197.34</v>
      </c>
      <c r="G1004" s="137"/>
    </row>
    <row r="1005" spans="1:10" hidden="1" x14ac:dyDescent="0.2">
      <c r="A1005" s="1543" t="s">
        <v>942</v>
      </c>
      <c r="B1005" s="1545"/>
      <c r="C1005" s="134" t="s">
        <v>6</v>
      </c>
      <c r="D1005" s="203">
        <v>6509</v>
      </c>
      <c r="E1005" s="204">
        <v>0.7</v>
      </c>
      <c r="F1005" s="135">
        <f t="shared" ref="F1005:F1012" si="2">D1005*E1005</f>
        <v>4556.2999999999993</v>
      </c>
      <c r="G1005" s="205"/>
    </row>
    <row r="1006" spans="1:10" hidden="1" x14ac:dyDescent="0.2">
      <c r="A1006" s="1543" t="s">
        <v>943</v>
      </c>
      <c r="B1006" s="1545"/>
      <c r="C1006" s="134" t="s">
        <v>7</v>
      </c>
      <c r="D1006" s="203">
        <v>2634</v>
      </c>
      <c r="E1006" s="204">
        <v>1.91</v>
      </c>
      <c r="F1006" s="135">
        <f t="shared" si="2"/>
        <v>5030.9399999999996</v>
      </c>
      <c r="G1006" s="205"/>
    </row>
    <row r="1007" spans="1:10" hidden="1" x14ac:dyDescent="0.2">
      <c r="A1007" s="1543" t="s">
        <v>944</v>
      </c>
      <c r="B1007" s="1545"/>
      <c r="C1007" s="134" t="s">
        <v>6</v>
      </c>
      <c r="D1007" s="203">
        <v>1584</v>
      </c>
      <c r="E1007" s="206">
        <v>1.39</v>
      </c>
      <c r="F1007" s="135">
        <f t="shared" si="2"/>
        <v>2201.7599999999998</v>
      </c>
      <c r="G1007" s="205"/>
    </row>
    <row r="1008" spans="1:10" hidden="1" x14ac:dyDescent="0.2">
      <c r="A1008" s="1543" t="s">
        <v>945</v>
      </c>
      <c r="B1008" s="1545"/>
      <c r="C1008" s="134" t="s">
        <v>6</v>
      </c>
      <c r="D1008" s="203">
        <v>5775</v>
      </c>
      <c r="E1008" s="204">
        <v>2.59</v>
      </c>
      <c r="F1008" s="135">
        <f t="shared" si="2"/>
        <v>14957.25</v>
      </c>
      <c r="G1008" s="205"/>
    </row>
    <row r="1009" spans="1:9" hidden="1" x14ac:dyDescent="0.2">
      <c r="A1009" s="1543" t="s">
        <v>58</v>
      </c>
      <c r="B1009" s="1545"/>
      <c r="C1009" s="134" t="s">
        <v>7</v>
      </c>
      <c r="D1009" s="203">
        <v>11000</v>
      </c>
      <c r="E1009" s="204">
        <v>0.3</v>
      </c>
      <c r="F1009" s="135">
        <f t="shared" si="2"/>
        <v>3300</v>
      </c>
      <c r="G1009" s="205"/>
      <c r="I1009" s="199"/>
    </row>
    <row r="1010" spans="1:9" hidden="1" x14ac:dyDescent="0.2">
      <c r="A1010" s="1543" t="s">
        <v>93</v>
      </c>
      <c r="B1010" s="1545"/>
      <c r="C1010" s="204" t="s">
        <v>64</v>
      </c>
      <c r="D1010" s="203">
        <v>51500</v>
      </c>
      <c r="E1010" s="204">
        <v>2.5000000000000001E-2</v>
      </c>
      <c r="F1010" s="135">
        <f t="shared" si="2"/>
        <v>1287.5</v>
      </c>
      <c r="G1010" s="205"/>
      <c r="I1010" s="199"/>
    </row>
    <row r="1011" spans="1:9" hidden="1" x14ac:dyDescent="0.2">
      <c r="A1011" s="1543" t="s">
        <v>913</v>
      </c>
      <c r="B1011" s="1545"/>
      <c r="C1011" s="204" t="str">
        <f>C1010</f>
        <v>GAL</v>
      </c>
      <c r="D1011" s="203">
        <v>30000</v>
      </c>
      <c r="E1011" s="204">
        <v>2.5000000000000001E-2</v>
      </c>
      <c r="F1011" s="135">
        <f t="shared" si="2"/>
        <v>750</v>
      </c>
      <c r="G1011" s="205"/>
    </row>
    <row r="1012" spans="1:9" ht="13.5" hidden="1" thickBot="1" x14ac:dyDescent="0.25">
      <c r="A1012" s="1543" t="s">
        <v>92</v>
      </c>
      <c r="B1012" s="1545"/>
      <c r="C1012" s="204" t="str">
        <f>C1011</f>
        <v>GAL</v>
      </c>
      <c r="D1012" s="203">
        <v>15500</v>
      </c>
      <c r="E1012" s="204">
        <v>0.06</v>
      </c>
      <c r="F1012" s="135">
        <f t="shared" si="2"/>
        <v>930</v>
      </c>
      <c r="G1012" s="205"/>
    </row>
    <row r="1013" spans="1:9" ht="13.5" hidden="1" thickBot="1" x14ac:dyDescent="0.25">
      <c r="A1013" s="1527" t="s">
        <v>125</v>
      </c>
      <c r="B1013" s="1528"/>
      <c r="C1013" s="1528"/>
      <c r="D1013" s="1528"/>
      <c r="E1013" s="1528"/>
      <c r="F1013" s="1529" t="s">
        <v>113</v>
      </c>
      <c r="G1013" s="181">
        <f>SUM(F1003:F1012)</f>
        <v>48421.09</v>
      </c>
    </row>
    <row r="1014" spans="1:9" ht="13.5" hidden="1" thickBot="1" x14ac:dyDescent="0.25">
      <c r="A1014" s="186" t="s">
        <v>117</v>
      </c>
      <c r="B1014" s="179"/>
      <c r="C1014" s="179"/>
      <c r="D1014" s="179"/>
      <c r="E1014" s="179"/>
      <c r="F1014" s="179"/>
      <c r="G1014" s="179"/>
    </row>
    <row r="1015" spans="1:9" ht="13.5" hidden="1" thickBot="1" x14ac:dyDescent="0.25">
      <c r="A1015" s="1530" t="s">
        <v>109</v>
      </c>
      <c r="B1015" s="1531"/>
      <c r="C1015" s="63" t="s">
        <v>114</v>
      </c>
      <c r="D1015" s="63" t="s">
        <v>115</v>
      </c>
      <c r="E1015" s="63" t="s">
        <v>116</v>
      </c>
      <c r="F1015" s="63" t="s">
        <v>112</v>
      </c>
      <c r="G1015" s="115"/>
    </row>
    <row r="1016" spans="1:9" hidden="1" x14ac:dyDescent="0.2">
      <c r="A1016" s="1540" t="s">
        <v>205</v>
      </c>
      <c r="B1016" s="1541"/>
      <c r="C1016" s="189" t="s">
        <v>159</v>
      </c>
      <c r="D1016" s="130">
        <v>60714.285714285717</v>
      </c>
      <c r="E1016" s="200">
        <v>1.4999999999999999E-2</v>
      </c>
      <c r="F1016" s="135">
        <f>D1016*E1016</f>
        <v>910.71428571428578</v>
      </c>
      <c r="G1016" s="132"/>
    </row>
    <row r="1017" spans="1:9" ht="13.5" hidden="1" thickBot="1" x14ac:dyDescent="0.25">
      <c r="A1017" s="1542"/>
      <c r="B1017" s="1535"/>
      <c r="C1017" s="189"/>
      <c r="D1017" s="139"/>
      <c r="E1017" s="201"/>
      <c r="F1017" s="139">
        <f>D1017*E1017</f>
        <v>0</v>
      </c>
      <c r="G1017" s="187"/>
    </row>
    <row r="1018" spans="1:9" ht="13.5" hidden="1" thickBot="1" x14ac:dyDescent="0.25">
      <c r="A1018" s="1527" t="s">
        <v>125</v>
      </c>
      <c r="B1018" s="1528"/>
      <c r="C1018" s="1528"/>
      <c r="D1018" s="1528"/>
      <c r="E1018" s="1528"/>
      <c r="F1018" s="1529" t="s">
        <v>113</v>
      </c>
      <c r="G1018" s="181">
        <f>SUM(F1016:F1017)</f>
        <v>910.71428571428578</v>
      </c>
    </row>
    <row r="1019" spans="1:9" ht="13.5" hidden="1" thickBot="1" x14ac:dyDescent="0.25">
      <c r="A1019" s="186" t="s">
        <v>119</v>
      </c>
      <c r="B1019" s="179"/>
      <c r="C1019" s="179"/>
      <c r="D1019" s="179"/>
      <c r="E1019" s="179"/>
      <c r="F1019" s="179"/>
      <c r="G1019" s="179"/>
    </row>
    <row r="1020" spans="1:9" ht="21.75" hidden="1" thickBot="1" x14ac:dyDescent="0.25">
      <c r="A1020" s="1530" t="s">
        <v>120</v>
      </c>
      <c r="B1020" s="1531"/>
      <c r="C1020" s="63" t="s">
        <v>121</v>
      </c>
      <c r="D1020" s="63" t="s">
        <v>114</v>
      </c>
      <c r="E1020" s="63" t="s">
        <v>116</v>
      </c>
      <c r="F1020" s="63" t="s">
        <v>112</v>
      </c>
      <c r="G1020" s="121"/>
    </row>
    <row r="1021" spans="1:9" hidden="1" x14ac:dyDescent="0.2">
      <c r="A1021" s="1532" t="s">
        <v>21</v>
      </c>
      <c r="B1021" s="1533"/>
      <c r="C1021" s="122">
        <v>7410.9600847008996</v>
      </c>
      <c r="D1021" s="198">
        <v>1</v>
      </c>
      <c r="E1021" s="198">
        <v>0.9</v>
      </c>
      <c r="F1021" s="124">
        <f>+(C1021*D1021)*E1021</f>
        <v>6669.8640762308096</v>
      </c>
      <c r="G1021" s="132"/>
    </row>
    <row r="1022" spans="1:9" ht="13.5" hidden="1" thickBot="1" x14ac:dyDescent="0.25">
      <c r="A1022" s="1534" t="s">
        <v>22</v>
      </c>
      <c r="B1022" s="1535"/>
      <c r="C1022" s="184">
        <v>4374.7823749999998</v>
      </c>
      <c r="D1022" s="202">
        <v>2</v>
      </c>
      <c r="E1022" s="202">
        <f>+E1021</f>
        <v>0.9</v>
      </c>
      <c r="F1022" s="182">
        <f>+(C1022*D1022)*E1022</f>
        <v>7874.6082749999996</v>
      </c>
      <c r="G1022" s="140"/>
    </row>
    <row r="1023" spans="1:9" ht="13.5" hidden="1" thickBot="1" x14ac:dyDescent="0.25">
      <c r="A1023" s="1527" t="str">
        <f>+A1018</f>
        <v>SUB-TOTAL</v>
      </c>
      <c r="B1023" s="1528"/>
      <c r="C1023" s="1528"/>
      <c r="D1023" s="1528"/>
      <c r="E1023" s="1528"/>
      <c r="F1023" s="1529" t="s">
        <v>113</v>
      </c>
      <c r="G1023" s="181">
        <f>SUM(F1021:F1022)</f>
        <v>14544.472351230808</v>
      </c>
    </row>
    <row r="1024" spans="1:9" ht="11.25" hidden="1" customHeight="1" thickBot="1" x14ac:dyDescent="0.25">
      <c r="A1024" s="179"/>
      <c r="B1024" s="179"/>
      <c r="C1024" s="179"/>
      <c r="D1024" s="179"/>
      <c r="E1024" s="179"/>
      <c r="F1024" s="180"/>
      <c r="G1024" s="179"/>
    </row>
    <row r="1025" spans="1:10" ht="13.5" hidden="1" thickBot="1" x14ac:dyDescent="0.25">
      <c r="A1025" s="1527" t="s">
        <v>156</v>
      </c>
      <c r="B1025" s="1528"/>
      <c r="C1025" s="1528"/>
      <c r="D1025" s="1528"/>
      <c r="E1025" s="1528"/>
      <c r="F1025" s="1529"/>
      <c r="G1025" s="178">
        <f>ROUND(G1000+G1013+G1018+G1023,0)</f>
        <v>67839</v>
      </c>
    </row>
    <row r="1026" spans="1:10" hidden="1" x14ac:dyDescent="0.2">
      <c r="A1026" s="207"/>
      <c r="B1026" s="207"/>
      <c r="C1026" s="207"/>
      <c r="D1026" s="207"/>
      <c r="E1026" s="207"/>
      <c r="F1026" s="207"/>
      <c r="G1026" s="208"/>
    </row>
    <row r="1027" spans="1:10" ht="13.5" thickBot="1" x14ac:dyDescent="0.25">
      <c r="A1027" s="209"/>
      <c r="B1027" s="209"/>
      <c r="C1027" s="209"/>
      <c r="D1027" s="209"/>
      <c r="E1027" s="209"/>
      <c r="F1027" s="209"/>
      <c r="G1027" s="210"/>
    </row>
    <row r="1028" spans="1:10" ht="27" customHeight="1" x14ac:dyDescent="0.2">
      <c r="A1028" s="1548" t="s">
        <v>122</v>
      </c>
      <c r="B1028" s="1549"/>
      <c r="C1028" s="1550"/>
      <c r="D1028" s="50"/>
      <c r="E1028" s="50"/>
      <c r="F1028" s="50"/>
      <c r="G1028" s="98"/>
    </row>
    <row r="1029" spans="1:10" ht="24" customHeight="1" thickBot="1" x14ac:dyDescent="0.25">
      <c r="A1029" s="1551" t="s">
        <v>935</v>
      </c>
      <c r="B1029" s="1552"/>
      <c r="C1029" s="1553"/>
      <c r="D1029" s="99"/>
      <c r="E1029" s="99"/>
      <c r="F1029" s="99"/>
      <c r="G1029" s="100"/>
    </row>
    <row r="1030" spans="1:10" ht="13.5" thickBot="1" x14ac:dyDescent="0.25">
      <c r="A1030" s="179"/>
      <c r="B1030" s="179"/>
      <c r="C1030" s="179"/>
      <c r="D1030" s="179"/>
      <c r="E1030" s="179"/>
      <c r="F1030" s="179"/>
      <c r="G1030" s="179"/>
    </row>
    <row r="1031" spans="1:10" ht="72" customHeight="1" thickBot="1" x14ac:dyDescent="0.25">
      <c r="A1031" s="1558" t="s">
        <v>936</v>
      </c>
      <c r="B1031" s="1559"/>
      <c r="C1031" s="1560"/>
      <c r="D1031" s="1561" t="s">
        <v>337</v>
      </c>
      <c r="E1031" s="1562"/>
      <c r="F1031" s="1562"/>
      <c r="G1031" s="1563"/>
    </row>
    <row r="1032" spans="1:10" ht="13.5" thickBot="1" x14ac:dyDescent="0.25">
      <c r="A1032" s="192"/>
      <c r="B1032" s="192"/>
      <c r="C1032" s="192"/>
      <c r="D1032" s="192"/>
      <c r="E1032" s="192"/>
      <c r="F1032" s="192"/>
      <c r="G1032" s="192"/>
    </row>
    <row r="1033" spans="1:10" ht="12.75" customHeight="1" thickBot="1" x14ac:dyDescent="0.25">
      <c r="A1033" s="191"/>
      <c r="B1033" s="179"/>
      <c r="D1033" s="60" t="s">
        <v>124</v>
      </c>
      <c r="E1033" s="61" t="s">
        <v>4</v>
      </c>
      <c r="F1033" s="191"/>
      <c r="G1033" s="191"/>
    </row>
    <row r="1034" spans="1:10" ht="13.5" thickBot="1" x14ac:dyDescent="0.25">
      <c r="A1034" s="186" t="s">
        <v>108</v>
      </c>
      <c r="B1034" s="179"/>
      <c r="C1034" s="179"/>
      <c r="D1034" s="179"/>
      <c r="E1034" s="179"/>
      <c r="F1034" s="179"/>
      <c r="G1034" s="179"/>
    </row>
    <row r="1035" spans="1:10" ht="13.5" customHeight="1" thickBot="1" x14ac:dyDescent="0.25">
      <c r="A1035" s="1530" t="s">
        <v>109</v>
      </c>
      <c r="B1035" s="1554"/>
      <c r="C1035" s="1531"/>
      <c r="D1035" s="63" t="s">
        <v>110</v>
      </c>
      <c r="E1035" s="63" t="s">
        <v>111</v>
      </c>
      <c r="F1035" s="63" t="s">
        <v>112</v>
      </c>
      <c r="G1035" s="104"/>
    </row>
    <row r="1036" spans="1:10" x14ac:dyDescent="0.2">
      <c r="A1036" s="1540" t="s">
        <v>131</v>
      </c>
      <c r="B1036" s="1555"/>
      <c r="C1036" s="1541"/>
      <c r="D1036" s="130">
        <v>2062.5</v>
      </c>
      <c r="E1036" s="131">
        <v>0.2</v>
      </c>
      <c r="F1036" s="130">
        <f>+E1036*D1036</f>
        <v>412.5</v>
      </c>
      <c r="G1036" s="132"/>
      <c r="J1036" s="199"/>
    </row>
    <row r="1037" spans="1:10" x14ac:dyDescent="0.2">
      <c r="A1037" s="1543" t="s">
        <v>139</v>
      </c>
      <c r="B1037" s="1544"/>
      <c r="C1037" s="1545"/>
      <c r="D1037" s="135">
        <v>8125</v>
      </c>
      <c r="E1037" s="136">
        <v>0.4</v>
      </c>
      <c r="F1037" s="135">
        <f>+E1037*D1037</f>
        <v>3250</v>
      </c>
      <c r="G1037" s="137"/>
    </row>
    <row r="1038" spans="1:10" x14ac:dyDescent="0.2">
      <c r="A1038" s="1543" t="s">
        <v>147</v>
      </c>
      <c r="B1038" s="1544"/>
      <c r="C1038" s="1545"/>
      <c r="D1038" s="135">
        <v>187.5</v>
      </c>
      <c r="E1038" s="136">
        <v>1.6</v>
      </c>
      <c r="F1038" s="135">
        <f>+E1038*D1038</f>
        <v>300</v>
      </c>
      <c r="G1038" s="137"/>
      <c r="I1038" s="199"/>
    </row>
    <row r="1039" spans="1:10" ht="13.5" thickBot="1" x14ac:dyDescent="0.25">
      <c r="A1039" s="1542"/>
      <c r="B1039" s="1564"/>
      <c r="C1039" s="1535"/>
      <c r="D1039" s="139"/>
      <c r="E1039" s="141"/>
      <c r="F1039" s="139">
        <f>+E1039*D1039</f>
        <v>0</v>
      </c>
      <c r="G1039" s="140"/>
    </row>
    <row r="1040" spans="1:10" ht="13.5" thickBot="1" x14ac:dyDescent="0.25">
      <c r="A1040" s="1527" t="s">
        <v>125</v>
      </c>
      <c r="B1040" s="1528"/>
      <c r="C1040" s="1528"/>
      <c r="D1040" s="1528"/>
      <c r="E1040" s="1528"/>
      <c r="F1040" s="1529"/>
      <c r="G1040" s="181">
        <f>SUM(F1036:F1039)</f>
        <v>3962.5</v>
      </c>
    </row>
    <row r="1041" spans="1:9" ht="13.5" thickBot="1" x14ac:dyDescent="0.25">
      <c r="A1041" s="186" t="s">
        <v>123</v>
      </c>
      <c r="B1041" s="179"/>
      <c r="C1041" s="179"/>
      <c r="D1041" s="179"/>
      <c r="E1041" s="179"/>
      <c r="F1041" s="179"/>
      <c r="G1041" s="179"/>
    </row>
    <row r="1042" spans="1:9" ht="13.5" thickBot="1" x14ac:dyDescent="0.25">
      <c r="A1042" s="1530" t="s">
        <v>109</v>
      </c>
      <c r="B1042" s="1531"/>
      <c r="C1042" s="63" t="s">
        <v>114</v>
      </c>
      <c r="D1042" s="63" t="s">
        <v>115</v>
      </c>
      <c r="E1042" s="63" t="s">
        <v>116</v>
      </c>
      <c r="F1042" s="63" t="s">
        <v>112</v>
      </c>
      <c r="G1042" s="104"/>
    </row>
    <row r="1043" spans="1:9" ht="12.75" customHeight="1" x14ac:dyDescent="0.2">
      <c r="A1043" s="1573" t="s">
        <v>940</v>
      </c>
      <c r="B1043" s="1574"/>
      <c r="C1043" s="211" t="s">
        <v>2</v>
      </c>
      <c r="D1043" s="212">
        <v>13500</v>
      </c>
      <c r="E1043" s="211">
        <v>0.97</v>
      </c>
      <c r="F1043" s="212">
        <f>+E1043*D1043</f>
        <v>13095</v>
      </c>
      <c r="G1043" s="213"/>
    </row>
    <row r="1044" spans="1:9" ht="22.5" customHeight="1" x14ac:dyDescent="0.2">
      <c r="A1044" s="1536" t="s">
        <v>946</v>
      </c>
      <c r="B1044" s="1537"/>
      <c r="C1044" s="134" t="s">
        <v>6</v>
      </c>
      <c r="D1044" s="135">
        <v>8834</v>
      </c>
      <c r="E1044" s="134">
        <v>0.35</v>
      </c>
      <c r="F1044" s="135">
        <f>D1044*E1044</f>
        <v>3091.8999999999996</v>
      </c>
      <c r="G1044" s="137"/>
    </row>
    <row r="1045" spans="1:9" x14ac:dyDescent="0.2">
      <c r="A1045" s="1566" t="s">
        <v>947</v>
      </c>
      <c r="B1045" s="1567"/>
      <c r="C1045" s="134" t="s">
        <v>2</v>
      </c>
      <c r="D1045" s="135">
        <v>2651</v>
      </c>
      <c r="E1045" s="134">
        <v>0.18</v>
      </c>
      <c r="F1045" s="135">
        <f t="shared" ref="F1045:F1052" si="3">D1045*E1045</f>
        <v>477.18</v>
      </c>
      <c r="G1045" s="205"/>
    </row>
    <row r="1046" spans="1:9" x14ac:dyDescent="0.2">
      <c r="A1046" s="1566" t="s">
        <v>942</v>
      </c>
      <c r="B1046" s="1567"/>
      <c r="C1046" s="134" t="s">
        <v>6</v>
      </c>
      <c r="D1046" s="135">
        <v>6509</v>
      </c>
      <c r="E1046" s="134">
        <v>0.92</v>
      </c>
      <c r="F1046" s="135">
        <f t="shared" si="3"/>
        <v>5988.2800000000007</v>
      </c>
      <c r="G1046" s="205"/>
    </row>
    <row r="1047" spans="1:9" x14ac:dyDescent="0.2">
      <c r="A1047" s="1566" t="s">
        <v>944</v>
      </c>
      <c r="B1047" s="1567"/>
      <c r="C1047" s="134" t="s">
        <v>6</v>
      </c>
      <c r="D1047" s="135">
        <v>1584</v>
      </c>
      <c r="E1047" s="136">
        <v>1.52</v>
      </c>
      <c r="F1047" s="135">
        <f t="shared" si="3"/>
        <v>2407.6799999999998</v>
      </c>
      <c r="G1047" s="205"/>
    </row>
    <row r="1048" spans="1:9" x14ac:dyDescent="0.2">
      <c r="A1048" s="1566" t="s">
        <v>945</v>
      </c>
      <c r="B1048" s="1567"/>
      <c r="C1048" s="134" t="s">
        <v>6</v>
      </c>
      <c r="D1048" s="135">
        <v>5775</v>
      </c>
      <c r="E1048" s="134">
        <v>3.02</v>
      </c>
      <c r="F1048" s="135">
        <f t="shared" si="3"/>
        <v>17440.5</v>
      </c>
      <c r="G1048" s="205"/>
    </row>
    <row r="1049" spans="1:9" x14ac:dyDescent="0.2">
      <c r="A1049" s="1566" t="s">
        <v>58</v>
      </c>
      <c r="B1049" s="1567"/>
      <c r="C1049" s="134" t="s">
        <v>7</v>
      </c>
      <c r="D1049" s="135">
        <v>11000</v>
      </c>
      <c r="E1049" s="134">
        <v>0.15</v>
      </c>
      <c r="F1049" s="135">
        <f t="shared" si="3"/>
        <v>1650</v>
      </c>
      <c r="G1049" s="205"/>
      <c r="I1049" s="199"/>
    </row>
    <row r="1050" spans="1:9" x14ac:dyDescent="0.2">
      <c r="A1050" s="1566" t="s">
        <v>93</v>
      </c>
      <c r="B1050" s="1567"/>
      <c r="C1050" s="134" t="s">
        <v>64</v>
      </c>
      <c r="D1050" s="135">
        <v>51500</v>
      </c>
      <c r="E1050" s="134">
        <v>5.7000000000000002E-2</v>
      </c>
      <c r="F1050" s="135">
        <f t="shared" si="3"/>
        <v>2935.5</v>
      </c>
      <c r="G1050" s="205"/>
    </row>
    <row r="1051" spans="1:9" ht="13.5" customHeight="1" x14ac:dyDescent="0.2">
      <c r="A1051" s="1566" t="s">
        <v>913</v>
      </c>
      <c r="B1051" s="1567"/>
      <c r="C1051" s="134" t="str">
        <f>C1050</f>
        <v>GAL</v>
      </c>
      <c r="D1051" s="135">
        <v>30000</v>
      </c>
      <c r="E1051" s="134">
        <v>5.7000000000000002E-2</v>
      </c>
      <c r="F1051" s="135">
        <f t="shared" si="3"/>
        <v>1710</v>
      </c>
      <c r="G1051" s="205"/>
    </row>
    <row r="1052" spans="1:9" ht="13.5" customHeight="1" thickBot="1" x14ac:dyDescent="0.25">
      <c r="A1052" s="1568" t="s">
        <v>92</v>
      </c>
      <c r="B1052" s="1569"/>
      <c r="C1052" s="138" t="s">
        <v>64</v>
      </c>
      <c r="D1052" s="135">
        <v>15500</v>
      </c>
      <c r="E1052" s="138">
        <v>0.06</v>
      </c>
      <c r="F1052" s="139">
        <f t="shared" si="3"/>
        <v>930</v>
      </c>
      <c r="G1052" s="187"/>
    </row>
    <row r="1053" spans="1:9" ht="13.5" thickBot="1" x14ac:dyDescent="0.25">
      <c r="A1053" s="1570" t="s">
        <v>125</v>
      </c>
      <c r="B1053" s="1571"/>
      <c r="C1053" s="1571"/>
      <c r="D1053" s="1571"/>
      <c r="E1053" s="1571"/>
      <c r="F1053" s="1572" t="s">
        <v>113</v>
      </c>
      <c r="G1053" s="214">
        <f>SUM(F1043:F1052)</f>
        <v>49726.04</v>
      </c>
    </row>
    <row r="1054" spans="1:9" ht="13.5" thickBot="1" x14ac:dyDescent="0.25">
      <c r="A1054" s="186" t="s">
        <v>117</v>
      </c>
      <c r="B1054" s="179"/>
      <c r="C1054" s="179"/>
      <c r="D1054" s="179"/>
      <c r="E1054" s="179"/>
      <c r="F1054" s="179"/>
      <c r="G1054" s="179"/>
    </row>
    <row r="1055" spans="1:9" ht="13.5" thickBot="1" x14ac:dyDescent="0.25">
      <c r="A1055" s="1530" t="s">
        <v>109</v>
      </c>
      <c r="B1055" s="1531"/>
      <c r="C1055" s="63" t="s">
        <v>114</v>
      </c>
      <c r="D1055" s="63" t="s">
        <v>115</v>
      </c>
      <c r="E1055" s="63" t="s">
        <v>116</v>
      </c>
      <c r="F1055" s="63" t="s">
        <v>112</v>
      </c>
      <c r="G1055" s="115"/>
    </row>
    <row r="1056" spans="1:9" x14ac:dyDescent="0.2">
      <c r="A1056" s="1540" t="s">
        <v>205</v>
      </c>
      <c r="B1056" s="1541"/>
      <c r="C1056" s="189" t="s">
        <v>159</v>
      </c>
      <c r="D1056" s="130">
        <v>60714.285714285717</v>
      </c>
      <c r="E1056" s="200">
        <v>0.01</v>
      </c>
      <c r="F1056" s="135">
        <f>D1056*E1056</f>
        <v>607.14285714285722</v>
      </c>
      <c r="G1056" s="132"/>
    </row>
    <row r="1057" spans="1:7" ht="13.5" thickBot="1" x14ac:dyDescent="0.25">
      <c r="A1057" s="1542"/>
      <c r="B1057" s="1535"/>
      <c r="C1057" s="189"/>
      <c r="D1057" s="139"/>
      <c r="E1057" s="201"/>
      <c r="F1057" s="139">
        <f>D1057*E1057</f>
        <v>0</v>
      </c>
      <c r="G1057" s="187"/>
    </row>
    <row r="1058" spans="1:7" ht="13.5" thickBot="1" x14ac:dyDescent="0.25">
      <c r="A1058" s="1527" t="s">
        <v>125</v>
      </c>
      <c r="B1058" s="1528"/>
      <c r="C1058" s="1528"/>
      <c r="D1058" s="1528"/>
      <c r="E1058" s="1528"/>
      <c r="F1058" s="1529" t="s">
        <v>113</v>
      </c>
      <c r="G1058" s="181">
        <f>SUM(F1056:F1057)</f>
        <v>607.14285714285722</v>
      </c>
    </row>
    <row r="1059" spans="1:7" ht="13.5" thickBot="1" x14ac:dyDescent="0.25">
      <c r="A1059" s="186" t="s">
        <v>119</v>
      </c>
      <c r="B1059" s="179"/>
      <c r="C1059" s="179"/>
      <c r="D1059" s="179"/>
      <c r="E1059" s="179"/>
      <c r="F1059" s="179"/>
      <c r="G1059" s="179"/>
    </row>
    <row r="1060" spans="1:7" ht="21.75" thickBot="1" x14ac:dyDescent="0.25">
      <c r="A1060" s="1530" t="s">
        <v>120</v>
      </c>
      <c r="B1060" s="1531"/>
      <c r="C1060" s="63" t="s">
        <v>121</v>
      </c>
      <c r="D1060" s="63" t="s">
        <v>114</v>
      </c>
      <c r="E1060" s="63" t="s">
        <v>116</v>
      </c>
      <c r="F1060" s="63" t="s">
        <v>112</v>
      </c>
      <c r="G1060" s="121"/>
    </row>
    <row r="1061" spans="1:7" x14ac:dyDescent="0.2">
      <c r="A1061" s="1532" t="s">
        <v>21</v>
      </c>
      <c r="B1061" s="1533"/>
      <c r="C1061" s="122">
        <v>7410.9600847008996</v>
      </c>
      <c r="D1061" s="198">
        <v>1</v>
      </c>
      <c r="E1061" s="198">
        <v>0.9</v>
      </c>
      <c r="F1061" s="124">
        <f>+(C1061*D1061)*E1061</f>
        <v>6669.8640762308096</v>
      </c>
      <c r="G1061" s="132"/>
    </row>
    <row r="1062" spans="1:7" ht="13.5" thickBot="1" x14ac:dyDescent="0.25">
      <c r="A1062" s="1534" t="s">
        <v>22</v>
      </c>
      <c r="B1062" s="1535"/>
      <c r="C1062" s="184">
        <v>4374.7823749999998</v>
      </c>
      <c r="D1062" s="202">
        <v>2</v>
      </c>
      <c r="E1062" s="202">
        <f>+E1061</f>
        <v>0.9</v>
      </c>
      <c r="F1062" s="182">
        <f>+(C1062*D1062)*E1062</f>
        <v>7874.6082749999996</v>
      </c>
      <c r="G1062" s="140"/>
    </row>
    <row r="1063" spans="1:7" ht="13.5" thickBot="1" x14ac:dyDescent="0.25">
      <c r="A1063" s="1527" t="str">
        <f>+A1058</f>
        <v>SUB-TOTAL</v>
      </c>
      <c r="B1063" s="1528"/>
      <c r="C1063" s="1528"/>
      <c r="D1063" s="1528"/>
      <c r="E1063" s="1528"/>
      <c r="F1063" s="1529" t="s">
        <v>113</v>
      </c>
      <c r="G1063" s="181">
        <f>SUM(F1061:F1062)</f>
        <v>14544.472351230808</v>
      </c>
    </row>
    <row r="1064" spans="1:7" ht="11.25" customHeight="1" thickBot="1" x14ac:dyDescent="0.25">
      <c r="A1064" s="179"/>
      <c r="B1064" s="179"/>
      <c r="C1064" s="179"/>
      <c r="D1064" s="179"/>
      <c r="E1064" s="179"/>
      <c r="F1064" s="180"/>
      <c r="G1064" s="179"/>
    </row>
    <row r="1065" spans="1:7" ht="13.5" thickBot="1" x14ac:dyDescent="0.25">
      <c r="A1065" s="1527" t="s">
        <v>156</v>
      </c>
      <c r="B1065" s="1528"/>
      <c r="C1065" s="1528"/>
      <c r="D1065" s="1528"/>
      <c r="E1065" s="1528"/>
      <c r="F1065" s="1529"/>
      <c r="G1065" s="178">
        <f>ROUND(G1040+G1053+G1058+G1063,0)</f>
        <v>68840</v>
      </c>
    </row>
    <row r="1066" spans="1:7" x14ac:dyDescent="0.2">
      <c r="A1066" s="196"/>
      <c r="B1066" s="196"/>
      <c r="C1066" s="196"/>
      <c r="D1066" s="196"/>
      <c r="E1066" s="196"/>
      <c r="F1066" s="196"/>
      <c r="G1066" s="197"/>
    </row>
    <row r="1067" spans="1:7" ht="13.5" hidden="1" thickBot="1" x14ac:dyDescent="0.25"/>
    <row r="1068" spans="1:7" ht="27" hidden="1" customHeight="1" x14ac:dyDescent="0.2">
      <c r="A1068" s="1548" t="s">
        <v>122</v>
      </c>
      <c r="B1068" s="1549"/>
      <c r="C1068" s="1550"/>
      <c r="D1068" s="50"/>
      <c r="E1068" s="50"/>
      <c r="F1068" s="50"/>
      <c r="G1068" s="98"/>
    </row>
    <row r="1069" spans="1:7" ht="24" hidden="1" customHeight="1" thickBot="1" x14ac:dyDescent="0.25">
      <c r="A1069" s="1551" t="s">
        <v>935</v>
      </c>
      <c r="B1069" s="1552"/>
      <c r="C1069" s="1553"/>
      <c r="D1069" s="99"/>
      <c r="E1069" s="99"/>
      <c r="F1069" s="99"/>
      <c r="G1069" s="100"/>
    </row>
    <row r="1070" spans="1:7" ht="13.5" hidden="1" thickBot="1" x14ac:dyDescent="0.25">
      <c r="A1070" s="179"/>
      <c r="B1070" s="179"/>
      <c r="C1070" s="179"/>
      <c r="D1070" s="179"/>
      <c r="E1070" s="179"/>
      <c r="F1070" s="179"/>
      <c r="G1070" s="179"/>
    </row>
    <row r="1071" spans="1:7" ht="72" hidden="1" customHeight="1" thickBot="1" x14ac:dyDescent="0.25">
      <c r="A1071" s="1558" t="s">
        <v>936</v>
      </c>
      <c r="B1071" s="1559"/>
      <c r="C1071" s="1560"/>
      <c r="D1071" s="1565" t="s">
        <v>338</v>
      </c>
      <c r="E1071" s="1559"/>
      <c r="F1071" s="1559"/>
      <c r="G1071" s="1560"/>
    </row>
    <row r="1072" spans="1:7" ht="13.5" hidden="1" thickBot="1" x14ac:dyDescent="0.25">
      <c r="A1072" s="192"/>
      <c r="B1072" s="192"/>
      <c r="C1072" s="192"/>
      <c r="D1072" s="192"/>
      <c r="E1072" s="192"/>
      <c r="F1072" s="192"/>
      <c r="G1072" s="192"/>
    </row>
    <row r="1073" spans="1:10" ht="12.75" hidden="1" customHeight="1" thickBot="1" x14ac:dyDescent="0.25">
      <c r="A1073" s="191"/>
      <c r="B1073" s="179"/>
      <c r="D1073" s="60" t="s">
        <v>124</v>
      </c>
      <c r="E1073" s="61" t="s">
        <v>4</v>
      </c>
      <c r="F1073" s="191"/>
      <c r="G1073" s="191"/>
    </row>
    <row r="1074" spans="1:10" ht="13.5" hidden="1" thickBot="1" x14ac:dyDescent="0.25">
      <c r="A1074" s="186" t="s">
        <v>108</v>
      </c>
      <c r="B1074" s="179"/>
      <c r="C1074" s="179"/>
      <c r="D1074" s="179"/>
      <c r="E1074" s="179"/>
      <c r="F1074" s="179"/>
      <c r="G1074" s="179"/>
    </row>
    <row r="1075" spans="1:10" ht="13.5" hidden="1" customHeight="1" thickBot="1" x14ac:dyDescent="0.25">
      <c r="A1075" s="1530" t="s">
        <v>109</v>
      </c>
      <c r="B1075" s="1554"/>
      <c r="C1075" s="1531"/>
      <c r="D1075" s="63" t="s">
        <v>110</v>
      </c>
      <c r="E1075" s="63" t="s">
        <v>111</v>
      </c>
      <c r="F1075" s="63" t="s">
        <v>112</v>
      </c>
      <c r="G1075" s="104"/>
    </row>
    <row r="1076" spans="1:10" hidden="1" x14ac:dyDescent="0.2">
      <c r="A1076" s="1540" t="s">
        <v>131</v>
      </c>
      <c r="B1076" s="1555"/>
      <c r="C1076" s="1541"/>
      <c r="D1076" s="130">
        <v>2062.5</v>
      </c>
      <c r="E1076" s="131">
        <v>0.2</v>
      </c>
      <c r="F1076" s="130">
        <f>+E1076*D1076</f>
        <v>412.5</v>
      </c>
      <c r="G1076" s="132"/>
      <c r="J1076" s="199"/>
    </row>
    <row r="1077" spans="1:10" hidden="1" x14ac:dyDescent="0.2">
      <c r="A1077" s="1543" t="s">
        <v>139</v>
      </c>
      <c r="B1077" s="1544"/>
      <c r="C1077" s="1545"/>
      <c r="D1077" s="135">
        <v>8125</v>
      </c>
      <c r="E1077" s="136">
        <v>0.4</v>
      </c>
      <c r="F1077" s="135">
        <f>+E1077*D1077</f>
        <v>3250</v>
      </c>
      <c r="G1077" s="137"/>
    </row>
    <row r="1078" spans="1:10" hidden="1" x14ac:dyDescent="0.2">
      <c r="A1078" s="1543" t="s">
        <v>147</v>
      </c>
      <c r="B1078" s="1544"/>
      <c r="C1078" s="1545"/>
      <c r="D1078" s="135">
        <v>187.5</v>
      </c>
      <c r="E1078" s="136">
        <v>1.6</v>
      </c>
      <c r="F1078" s="135">
        <f>+E1078*D1078</f>
        <v>300</v>
      </c>
      <c r="G1078" s="137"/>
      <c r="I1078" s="199"/>
    </row>
    <row r="1079" spans="1:10" ht="13.5" hidden="1" thickBot="1" x14ac:dyDescent="0.25">
      <c r="A1079" s="1542"/>
      <c r="B1079" s="1564"/>
      <c r="C1079" s="1535"/>
      <c r="D1079" s="139"/>
      <c r="E1079" s="141"/>
      <c r="F1079" s="139">
        <f>+E1079*D1079</f>
        <v>0</v>
      </c>
      <c r="G1079" s="140"/>
    </row>
    <row r="1080" spans="1:10" ht="13.5" hidden="1" thickBot="1" x14ac:dyDescent="0.25">
      <c r="A1080" s="1527" t="s">
        <v>125</v>
      </c>
      <c r="B1080" s="1528"/>
      <c r="C1080" s="1528"/>
      <c r="D1080" s="1528"/>
      <c r="E1080" s="1528"/>
      <c r="F1080" s="1529"/>
      <c r="G1080" s="181">
        <f>SUM(F1076:F1079)</f>
        <v>3962.5</v>
      </c>
    </row>
    <row r="1081" spans="1:10" ht="13.5" hidden="1" thickBot="1" x14ac:dyDescent="0.25">
      <c r="A1081" s="186" t="s">
        <v>123</v>
      </c>
      <c r="B1081" s="179"/>
      <c r="C1081" s="179"/>
      <c r="D1081" s="179"/>
      <c r="E1081" s="179"/>
      <c r="F1081" s="179"/>
      <c r="G1081" s="179"/>
    </row>
    <row r="1082" spans="1:10" ht="13.5" hidden="1" thickBot="1" x14ac:dyDescent="0.25">
      <c r="A1082" s="1530" t="s">
        <v>109</v>
      </c>
      <c r="B1082" s="1531"/>
      <c r="C1082" s="63" t="s">
        <v>114</v>
      </c>
      <c r="D1082" s="63" t="s">
        <v>115</v>
      </c>
      <c r="E1082" s="63" t="s">
        <v>116</v>
      </c>
      <c r="F1082" s="63" t="s">
        <v>112</v>
      </c>
      <c r="G1082" s="104"/>
    </row>
    <row r="1083" spans="1:10" hidden="1" x14ac:dyDescent="0.2">
      <c r="A1083" s="1536" t="s">
        <v>940</v>
      </c>
      <c r="B1083" s="1537"/>
      <c r="C1083" s="134" t="s">
        <v>4</v>
      </c>
      <c r="D1083" s="203">
        <v>13500</v>
      </c>
      <c r="E1083" s="134">
        <v>0.46</v>
      </c>
      <c r="F1083" s="135">
        <f>+E1083*D1083</f>
        <v>6210</v>
      </c>
      <c r="G1083" s="137"/>
    </row>
    <row r="1084" spans="1:10" ht="14.25" hidden="1" customHeight="1" x14ac:dyDescent="0.2">
      <c r="A1084" s="1536" t="s">
        <v>943</v>
      </c>
      <c r="B1084" s="1537"/>
      <c r="C1084" s="134" t="s">
        <v>7</v>
      </c>
      <c r="D1084" s="203">
        <v>2634</v>
      </c>
      <c r="E1084" s="134">
        <f t="shared" ref="E1084:E1090" si="4">E1006</f>
        <v>1.91</v>
      </c>
      <c r="F1084" s="135">
        <f>D1084*E1084</f>
        <v>5030.9399999999996</v>
      </c>
      <c r="G1084" s="137"/>
    </row>
    <row r="1085" spans="1:10" hidden="1" x14ac:dyDescent="0.2">
      <c r="A1085" s="1536" t="s">
        <v>944</v>
      </c>
      <c r="B1085" s="1537"/>
      <c r="C1085" s="134" t="s">
        <v>6</v>
      </c>
      <c r="D1085" s="203">
        <v>1584</v>
      </c>
      <c r="E1085" s="134">
        <f t="shared" si="4"/>
        <v>1.39</v>
      </c>
      <c r="F1085" s="135">
        <f t="shared" ref="F1085:F1090" si="5">D1085*E1085</f>
        <v>2201.7599999999998</v>
      </c>
      <c r="G1085" s="205"/>
    </row>
    <row r="1086" spans="1:10" hidden="1" x14ac:dyDescent="0.2">
      <c r="A1086" s="1536" t="s">
        <v>945</v>
      </c>
      <c r="B1086" s="1537"/>
      <c r="C1086" s="134" t="s">
        <v>6</v>
      </c>
      <c r="D1086" s="203">
        <v>5775</v>
      </c>
      <c r="E1086" s="134">
        <f t="shared" si="4"/>
        <v>2.59</v>
      </c>
      <c r="F1086" s="135">
        <f t="shared" si="5"/>
        <v>14957.25</v>
      </c>
      <c r="G1086" s="205"/>
    </row>
    <row r="1087" spans="1:10" hidden="1" x14ac:dyDescent="0.2">
      <c r="A1087" s="1543" t="s">
        <v>58</v>
      </c>
      <c r="B1087" s="1545"/>
      <c r="C1087" s="134" t="s">
        <v>7</v>
      </c>
      <c r="D1087" s="203">
        <v>11000</v>
      </c>
      <c r="E1087" s="134">
        <f t="shared" si="4"/>
        <v>0.3</v>
      </c>
      <c r="F1087" s="135">
        <f t="shared" si="5"/>
        <v>3300</v>
      </c>
      <c r="G1087" s="205"/>
    </row>
    <row r="1088" spans="1:10" hidden="1" x14ac:dyDescent="0.2">
      <c r="A1088" s="1543" t="s">
        <v>93</v>
      </c>
      <c r="B1088" s="1545"/>
      <c r="C1088" s="134" t="s">
        <v>64</v>
      </c>
      <c r="D1088" s="203">
        <v>51500</v>
      </c>
      <c r="E1088" s="134">
        <f t="shared" si="4"/>
        <v>2.5000000000000001E-2</v>
      </c>
      <c r="F1088" s="135">
        <f t="shared" si="5"/>
        <v>1287.5</v>
      </c>
      <c r="G1088" s="205"/>
    </row>
    <row r="1089" spans="1:9" hidden="1" x14ac:dyDescent="0.2">
      <c r="A1089" s="1543" t="s">
        <v>913</v>
      </c>
      <c r="B1089" s="1545"/>
      <c r="C1089" s="204" t="s">
        <v>64</v>
      </c>
      <c r="D1089" s="203">
        <v>30000</v>
      </c>
      <c r="E1089" s="134">
        <f t="shared" si="4"/>
        <v>2.5000000000000001E-2</v>
      </c>
      <c r="F1089" s="135">
        <f t="shared" si="5"/>
        <v>750</v>
      </c>
      <c r="G1089" s="205"/>
      <c r="I1089" s="199"/>
    </row>
    <row r="1090" spans="1:9" hidden="1" x14ac:dyDescent="0.2">
      <c r="A1090" s="1543" t="s">
        <v>92</v>
      </c>
      <c r="B1090" s="1545"/>
      <c r="C1090" s="204" t="s">
        <v>64</v>
      </c>
      <c r="D1090" s="203">
        <v>15500</v>
      </c>
      <c r="E1090" s="134">
        <f t="shared" si="4"/>
        <v>0.06</v>
      </c>
      <c r="F1090" s="135">
        <f t="shared" si="5"/>
        <v>930</v>
      </c>
      <c r="G1090" s="205"/>
    </row>
    <row r="1091" spans="1:9" ht="13.5" hidden="1" thickBot="1" x14ac:dyDescent="0.25">
      <c r="A1091" s="1543"/>
      <c r="B1091" s="1545"/>
      <c r="C1091" s="204"/>
      <c r="D1091" s="203"/>
      <c r="E1091" s="204"/>
      <c r="F1091" s="135"/>
      <c r="G1091" s="205"/>
    </row>
    <row r="1092" spans="1:9" ht="13.5" hidden="1" thickBot="1" x14ac:dyDescent="0.25">
      <c r="A1092" s="1527" t="s">
        <v>125</v>
      </c>
      <c r="B1092" s="1528"/>
      <c r="C1092" s="1528"/>
      <c r="D1092" s="1528"/>
      <c r="E1092" s="1528"/>
      <c r="F1092" s="1529" t="s">
        <v>113</v>
      </c>
      <c r="G1092" s="181">
        <f>SUM(F1083:F1091)</f>
        <v>34667.449999999997</v>
      </c>
    </row>
    <row r="1093" spans="1:9" ht="13.5" hidden="1" thickBot="1" x14ac:dyDescent="0.25">
      <c r="A1093" s="186" t="s">
        <v>117</v>
      </c>
      <c r="B1093" s="179"/>
      <c r="C1093" s="179"/>
      <c r="D1093" s="179"/>
      <c r="E1093" s="179"/>
      <c r="F1093" s="179"/>
      <c r="G1093" s="179"/>
    </row>
    <row r="1094" spans="1:9" ht="13.5" hidden="1" thickBot="1" x14ac:dyDescent="0.25">
      <c r="A1094" s="1530" t="s">
        <v>109</v>
      </c>
      <c r="B1094" s="1531"/>
      <c r="C1094" s="63" t="s">
        <v>114</v>
      </c>
      <c r="D1094" s="63" t="s">
        <v>115</v>
      </c>
      <c r="E1094" s="63" t="s">
        <v>116</v>
      </c>
      <c r="F1094" s="63" t="s">
        <v>112</v>
      </c>
      <c r="G1094" s="115"/>
    </row>
    <row r="1095" spans="1:9" hidden="1" x14ac:dyDescent="0.2">
      <c r="A1095" s="1540" t="s">
        <v>205</v>
      </c>
      <c r="B1095" s="1541"/>
      <c r="C1095" s="189" t="s">
        <v>159</v>
      </c>
      <c r="D1095" s="130">
        <v>60714.285714285717</v>
      </c>
      <c r="E1095" s="200">
        <v>1.4999999999999999E-2</v>
      </c>
      <c r="F1095" s="135">
        <f>D1095*E1095</f>
        <v>910.71428571428578</v>
      </c>
      <c r="G1095" s="132"/>
    </row>
    <row r="1096" spans="1:9" ht="13.5" hidden="1" thickBot="1" x14ac:dyDescent="0.25">
      <c r="A1096" s="1542"/>
      <c r="B1096" s="1535"/>
      <c r="C1096" s="189"/>
      <c r="D1096" s="139"/>
      <c r="E1096" s="201"/>
      <c r="F1096" s="139">
        <f>D1096*E1096</f>
        <v>0</v>
      </c>
      <c r="G1096" s="187"/>
    </row>
    <row r="1097" spans="1:9" ht="13.5" hidden="1" thickBot="1" x14ac:dyDescent="0.25">
      <c r="A1097" s="1527" t="s">
        <v>125</v>
      </c>
      <c r="B1097" s="1528"/>
      <c r="C1097" s="1528"/>
      <c r="D1097" s="1528"/>
      <c r="E1097" s="1528"/>
      <c r="F1097" s="1529" t="s">
        <v>113</v>
      </c>
      <c r="G1097" s="181">
        <f>SUM(F1095:F1096)</f>
        <v>910.71428571428578</v>
      </c>
    </row>
    <row r="1098" spans="1:9" ht="13.5" hidden="1" thickBot="1" x14ac:dyDescent="0.25">
      <c r="A1098" s="186" t="s">
        <v>119</v>
      </c>
      <c r="B1098" s="179"/>
      <c r="C1098" s="179"/>
      <c r="D1098" s="179"/>
      <c r="E1098" s="179"/>
      <c r="F1098" s="179"/>
      <c r="G1098" s="179"/>
    </row>
    <row r="1099" spans="1:9" ht="21.75" hidden="1" thickBot="1" x14ac:dyDescent="0.25">
      <c r="A1099" s="1530" t="s">
        <v>120</v>
      </c>
      <c r="B1099" s="1531"/>
      <c r="C1099" s="63" t="s">
        <v>121</v>
      </c>
      <c r="D1099" s="63" t="s">
        <v>114</v>
      </c>
      <c r="E1099" s="63" t="s">
        <v>116</v>
      </c>
      <c r="F1099" s="63" t="s">
        <v>112</v>
      </c>
      <c r="G1099" s="121"/>
    </row>
    <row r="1100" spans="1:9" hidden="1" x14ac:dyDescent="0.2">
      <c r="A1100" s="1532" t="s">
        <v>21</v>
      </c>
      <c r="B1100" s="1533"/>
      <c r="C1100" s="122">
        <v>7410.9600847008996</v>
      </c>
      <c r="D1100" s="198">
        <v>1</v>
      </c>
      <c r="E1100" s="198">
        <v>0.7</v>
      </c>
      <c r="F1100" s="124">
        <f>+(C1100*D1100)*E1100</f>
        <v>5187.6720592906295</v>
      </c>
      <c r="G1100" s="132"/>
    </row>
    <row r="1101" spans="1:9" ht="13.5" hidden="1" thickBot="1" x14ac:dyDescent="0.25">
      <c r="A1101" s="1534" t="s">
        <v>22</v>
      </c>
      <c r="B1101" s="1535"/>
      <c r="C1101" s="184">
        <v>4374.7823749999998</v>
      </c>
      <c r="D1101" s="202">
        <v>2</v>
      </c>
      <c r="E1101" s="202">
        <f>+E1100</f>
        <v>0.7</v>
      </c>
      <c r="F1101" s="182">
        <f>+(C1101*D1101)*E1101</f>
        <v>6124.6953249999997</v>
      </c>
      <c r="G1101" s="140"/>
    </row>
    <row r="1102" spans="1:9" ht="13.5" hidden="1" thickBot="1" x14ac:dyDescent="0.25">
      <c r="A1102" s="1527" t="str">
        <f>+A1097</f>
        <v>SUB-TOTAL</v>
      </c>
      <c r="B1102" s="1528"/>
      <c r="C1102" s="1528"/>
      <c r="D1102" s="1528"/>
      <c r="E1102" s="1528"/>
      <c r="F1102" s="1529" t="s">
        <v>113</v>
      </c>
      <c r="G1102" s="181">
        <f>SUM(F1100:F1101)</f>
        <v>11312.367384290628</v>
      </c>
    </row>
    <row r="1103" spans="1:9" ht="11.25" hidden="1" customHeight="1" thickBot="1" x14ac:dyDescent="0.25">
      <c r="A1103" s="179"/>
      <c r="B1103" s="179"/>
      <c r="C1103" s="179"/>
      <c r="D1103" s="179"/>
      <c r="E1103" s="179"/>
      <c r="F1103" s="180"/>
      <c r="G1103" s="179"/>
    </row>
    <row r="1104" spans="1:9" ht="13.5" hidden="1" thickBot="1" x14ac:dyDescent="0.25">
      <c r="A1104" s="1527" t="s">
        <v>156</v>
      </c>
      <c r="B1104" s="1528"/>
      <c r="C1104" s="1528"/>
      <c r="D1104" s="1528"/>
      <c r="E1104" s="1528"/>
      <c r="F1104" s="1529"/>
      <c r="G1104" s="178">
        <f>ROUND(G1080+G1092+G1097+G1102,0)</f>
        <v>50853</v>
      </c>
    </row>
    <row r="1105" spans="1:10" hidden="1" x14ac:dyDescent="0.2">
      <c r="A1105" s="196"/>
      <c r="B1105" s="196"/>
      <c r="C1105" s="196"/>
      <c r="D1105" s="196"/>
      <c r="E1105" s="196"/>
      <c r="F1105" s="196"/>
      <c r="G1105" s="197"/>
    </row>
    <row r="1106" spans="1:10" ht="13.5" thickBot="1" x14ac:dyDescent="0.25"/>
    <row r="1107" spans="1:10" ht="27" customHeight="1" x14ac:dyDescent="0.2">
      <c r="A1107" s="1548" t="s">
        <v>122</v>
      </c>
      <c r="B1107" s="1549"/>
      <c r="C1107" s="1550"/>
      <c r="D1107" s="50"/>
      <c r="E1107" s="50"/>
      <c r="F1107" s="50"/>
      <c r="G1107" s="98"/>
    </row>
    <row r="1108" spans="1:10" ht="24" customHeight="1" thickBot="1" x14ac:dyDescent="0.25">
      <c r="A1108" s="1551" t="s">
        <v>935</v>
      </c>
      <c r="B1108" s="1552"/>
      <c r="C1108" s="1553"/>
      <c r="D1108" s="99"/>
      <c r="E1108" s="99"/>
      <c r="F1108" s="99"/>
      <c r="G1108" s="100"/>
    </row>
    <row r="1109" spans="1:10" ht="13.5" thickBot="1" x14ac:dyDescent="0.25">
      <c r="A1109" s="179"/>
      <c r="B1109" s="179"/>
      <c r="C1109" s="179"/>
      <c r="D1109" s="179"/>
      <c r="E1109" s="179"/>
      <c r="F1109" s="179"/>
      <c r="G1109" s="179"/>
    </row>
    <row r="1110" spans="1:10" ht="72" customHeight="1" thickBot="1" x14ac:dyDescent="0.25">
      <c r="A1110" s="1558" t="s">
        <v>936</v>
      </c>
      <c r="B1110" s="1559"/>
      <c r="C1110" s="1560"/>
      <c r="D1110" s="1561" t="s">
        <v>363</v>
      </c>
      <c r="E1110" s="1562"/>
      <c r="F1110" s="1562"/>
      <c r="G1110" s="1563"/>
    </row>
    <row r="1111" spans="1:10" ht="13.5" thickBot="1" x14ac:dyDescent="0.25">
      <c r="A1111" s="192"/>
      <c r="B1111" s="192"/>
      <c r="C1111" s="192"/>
      <c r="D1111" s="192"/>
      <c r="E1111" s="192"/>
      <c r="F1111" s="192"/>
      <c r="G1111" s="192"/>
    </row>
    <row r="1112" spans="1:10" ht="12.75" customHeight="1" thickBot="1" x14ac:dyDescent="0.25">
      <c r="A1112" s="191"/>
      <c r="B1112" s="179"/>
      <c r="D1112" s="60" t="s">
        <v>124</v>
      </c>
      <c r="E1112" s="61" t="s">
        <v>4</v>
      </c>
      <c r="F1112" s="191"/>
      <c r="G1112" s="191"/>
    </row>
    <row r="1113" spans="1:10" ht="13.5" thickBot="1" x14ac:dyDescent="0.25">
      <c r="A1113" s="186" t="s">
        <v>108</v>
      </c>
      <c r="B1113" s="179"/>
      <c r="C1113" s="179"/>
      <c r="D1113" s="179"/>
      <c r="E1113" s="179"/>
      <c r="F1113" s="179"/>
      <c r="G1113" s="179"/>
    </row>
    <row r="1114" spans="1:10" ht="13.5" customHeight="1" thickBot="1" x14ac:dyDescent="0.25">
      <c r="A1114" s="1530" t="s">
        <v>109</v>
      </c>
      <c r="B1114" s="1554"/>
      <c r="C1114" s="1531"/>
      <c r="D1114" s="63" t="s">
        <v>110</v>
      </c>
      <c r="E1114" s="63" t="s">
        <v>111</v>
      </c>
      <c r="F1114" s="63" t="s">
        <v>112</v>
      </c>
      <c r="G1114" s="104"/>
    </row>
    <row r="1115" spans="1:10" x14ac:dyDescent="0.2">
      <c r="A1115" s="1540" t="s">
        <v>131</v>
      </c>
      <c r="B1115" s="1555"/>
      <c r="C1115" s="1541"/>
      <c r="D1115" s="130">
        <v>2062.5</v>
      </c>
      <c r="E1115" s="131">
        <v>0.2</v>
      </c>
      <c r="F1115" s="130">
        <f>+E1115*D1115</f>
        <v>412.5</v>
      </c>
      <c r="G1115" s="132"/>
      <c r="J1115" s="199"/>
    </row>
    <row r="1116" spans="1:10" x14ac:dyDescent="0.2">
      <c r="A1116" s="1543" t="s">
        <v>139</v>
      </c>
      <c r="B1116" s="1544"/>
      <c r="C1116" s="1545"/>
      <c r="D1116" s="135">
        <v>8125</v>
      </c>
      <c r="E1116" s="136">
        <v>0.4</v>
      </c>
      <c r="F1116" s="135">
        <f>+E1116*D1116</f>
        <v>3250</v>
      </c>
      <c r="G1116" s="137"/>
    </row>
    <row r="1117" spans="1:10" x14ac:dyDescent="0.2">
      <c r="A1117" s="1543" t="s">
        <v>147</v>
      </c>
      <c r="B1117" s="1544"/>
      <c r="C1117" s="1545"/>
      <c r="D1117" s="135">
        <v>187.5</v>
      </c>
      <c r="E1117" s="136">
        <v>1.6</v>
      </c>
      <c r="F1117" s="135">
        <f>+E1117*D1117</f>
        <v>300</v>
      </c>
      <c r="G1117" s="137"/>
      <c r="I1117" s="199"/>
    </row>
    <row r="1118" spans="1:10" ht="13.5" thickBot="1" x14ac:dyDescent="0.25">
      <c r="A1118" s="1542"/>
      <c r="B1118" s="1564"/>
      <c r="C1118" s="1535"/>
      <c r="D1118" s="139"/>
      <c r="E1118" s="141"/>
      <c r="F1118" s="139">
        <f>+E1118*D1118</f>
        <v>0</v>
      </c>
      <c r="G1118" s="140"/>
    </row>
    <row r="1119" spans="1:10" ht="13.5" thickBot="1" x14ac:dyDescent="0.25">
      <c r="A1119" s="1527" t="s">
        <v>125</v>
      </c>
      <c r="B1119" s="1528"/>
      <c r="C1119" s="1528"/>
      <c r="D1119" s="1528"/>
      <c r="E1119" s="1528"/>
      <c r="F1119" s="1529"/>
      <c r="G1119" s="181">
        <f>SUM(F1115:F1118)</f>
        <v>3962.5</v>
      </c>
    </row>
    <row r="1120" spans="1:10" ht="13.5" thickBot="1" x14ac:dyDescent="0.25">
      <c r="A1120" s="186" t="s">
        <v>123</v>
      </c>
      <c r="B1120" s="179"/>
      <c r="C1120" s="179"/>
      <c r="D1120" s="179"/>
      <c r="E1120" s="179"/>
      <c r="F1120" s="179"/>
      <c r="G1120" s="179"/>
    </row>
    <row r="1121" spans="1:7" ht="13.5" thickBot="1" x14ac:dyDescent="0.25">
      <c r="A1121" s="1530" t="s">
        <v>109</v>
      </c>
      <c r="B1121" s="1531"/>
      <c r="C1121" s="63" t="s">
        <v>114</v>
      </c>
      <c r="D1121" s="63" t="s">
        <v>115</v>
      </c>
      <c r="E1121" s="63" t="s">
        <v>116</v>
      </c>
      <c r="F1121" s="63" t="s">
        <v>112</v>
      </c>
      <c r="G1121" s="104"/>
    </row>
    <row r="1122" spans="1:7" x14ac:dyDescent="0.2">
      <c r="A1122" s="1536" t="s">
        <v>943</v>
      </c>
      <c r="B1122" s="1537"/>
      <c r="C1122" s="134" t="s">
        <v>7</v>
      </c>
      <c r="D1122" s="203">
        <v>2634</v>
      </c>
      <c r="E1122" s="134">
        <v>13.68</v>
      </c>
      <c r="F1122" s="135">
        <f>+E1122*D1122</f>
        <v>36033.120000000003</v>
      </c>
      <c r="G1122" s="137"/>
    </row>
    <row r="1123" spans="1:7" ht="14.25" customHeight="1" x14ac:dyDescent="0.2">
      <c r="A1123" s="1536" t="s">
        <v>945</v>
      </c>
      <c r="B1123" s="1537"/>
      <c r="C1123" s="134" t="s">
        <v>6</v>
      </c>
      <c r="D1123" s="203">
        <v>5775</v>
      </c>
      <c r="E1123" s="134">
        <v>3.02</v>
      </c>
      <c r="F1123" s="135">
        <f t="shared" ref="F1123:F1128" si="6">D1123*E1123</f>
        <v>17440.5</v>
      </c>
      <c r="G1123" s="137"/>
    </row>
    <row r="1124" spans="1:7" x14ac:dyDescent="0.2">
      <c r="A1124" s="1536" t="s">
        <v>944</v>
      </c>
      <c r="B1124" s="1537"/>
      <c r="C1124" s="134" t="s">
        <v>6</v>
      </c>
      <c r="D1124" s="203">
        <v>1584</v>
      </c>
      <c r="E1124" s="134">
        <v>1.33</v>
      </c>
      <c r="F1124" s="135">
        <f t="shared" si="6"/>
        <v>2106.7200000000003</v>
      </c>
      <c r="G1124" s="205"/>
    </row>
    <row r="1125" spans="1:7" x14ac:dyDescent="0.2">
      <c r="A1125" s="1536" t="s">
        <v>942</v>
      </c>
      <c r="B1125" s="1537"/>
      <c r="C1125" s="134" t="s">
        <v>6</v>
      </c>
      <c r="D1125" s="203">
        <v>6509</v>
      </c>
      <c r="E1125" s="134">
        <v>0.99</v>
      </c>
      <c r="F1125" s="135">
        <f t="shared" si="6"/>
        <v>6443.91</v>
      </c>
      <c r="G1125" s="205"/>
    </row>
    <row r="1126" spans="1:7" x14ac:dyDescent="0.2">
      <c r="A1126" s="1543" t="s">
        <v>93</v>
      </c>
      <c r="B1126" s="1545"/>
      <c r="C1126" s="134" t="s">
        <v>64</v>
      </c>
      <c r="D1126" s="203">
        <v>51500</v>
      </c>
      <c r="E1126" s="134">
        <v>5.7000000000000002E-2</v>
      </c>
      <c r="F1126" s="135">
        <f t="shared" si="6"/>
        <v>2935.5</v>
      </c>
      <c r="G1126" s="205"/>
    </row>
    <row r="1127" spans="1:7" ht="12.75" customHeight="1" x14ac:dyDescent="0.2">
      <c r="A1127" s="1543" t="s">
        <v>913</v>
      </c>
      <c r="B1127" s="1545"/>
      <c r="C1127" s="134" t="s">
        <v>64</v>
      </c>
      <c r="D1127" s="203">
        <v>30000</v>
      </c>
      <c r="E1127" s="134">
        <f>E1050</f>
        <v>5.7000000000000002E-2</v>
      </c>
      <c r="F1127" s="135">
        <f t="shared" si="6"/>
        <v>1710</v>
      </c>
      <c r="G1127" s="205"/>
    </row>
    <row r="1128" spans="1:7" x14ac:dyDescent="0.2">
      <c r="A1128" s="1543" t="s">
        <v>92</v>
      </c>
      <c r="B1128" s="1545"/>
      <c r="C1128" s="204" t="s">
        <v>64</v>
      </c>
      <c r="D1128" s="203">
        <v>15500</v>
      </c>
      <c r="E1128" s="134">
        <f>E1052</f>
        <v>0.06</v>
      </c>
      <c r="F1128" s="135">
        <f t="shared" si="6"/>
        <v>930</v>
      </c>
      <c r="G1128" s="205"/>
    </row>
    <row r="1129" spans="1:7" ht="13.5" thickBot="1" x14ac:dyDescent="0.25">
      <c r="A1129" s="1543"/>
      <c r="B1129" s="1545"/>
      <c r="C1129" s="204"/>
      <c r="D1129" s="203"/>
      <c r="E1129" s="204"/>
      <c r="F1129" s="135"/>
      <c r="G1129" s="205"/>
    </row>
    <row r="1130" spans="1:7" ht="13.5" thickBot="1" x14ac:dyDescent="0.25">
      <c r="A1130" s="1527" t="s">
        <v>125</v>
      </c>
      <c r="B1130" s="1528"/>
      <c r="C1130" s="1528"/>
      <c r="D1130" s="1528"/>
      <c r="E1130" s="1528"/>
      <c r="F1130" s="1529" t="s">
        <v>113</v>
      </c>
      <c r="G1130" s="181">
        <f>SUM(F1122:F1129)</f>
        <v>67599.75</v>
      </c>
    </row>
    <row r="1131" spans="1:7" ht="13.5" thickBot="1" x14ac:dyDescent="0.25">
      <c r="A1131" s="186" t="s">
        <v>117</v>
      </c>
      <c r="B1131" s="179"/>
      <c r="C1131" s="179"/>
      <c r="D1131" s="179"/>
      <c r="E1131" s="179"/>
      <c r="F1131" s="179"/>
      <c r="G1131" s="179"/>
    </row>
    <row r="1132" spans="1:7" ht="13.5" thickBot="1" x14ac:dyDescent="0.25">
      <c r="A1132" s="1530" t="s">
        <v>109</v>
      </c>
      <c r="B1132" s="1531"/>
      <c r="C1132" s="63" t="s">
        <v>114</v>
      </c>
      <c r="D1132" s="63" t="s">
        <v>115</v>
      </c>
      <c r="E1132" s="63" t="s">
        <v>116</v>
      </c>
      <c r="F1132" s="63" t="s">
        <v>112</v>
      </c>
      <c r="G1132" s="115"/>
    </row>
    <row r="1133" spans="1:7" x14ac:dyDescent="0.2">
      <c r="A1133" s="1540" t="s">
        <v>205</v>
      </c>
      <c r="B1133" s="1541"/>
      <c r="C1133" s="189" t="s">
        <v>159</v>
      </c>
      <c r="D1133" s="130">
        <v>60714.285714285717</v>
      </c>
      <c r="E1133" s="200">
        <v>0.01</v>
      </c>
      <c r="F1133" s="135">
        <f>D1133*E1133</f>
        <v>607.14285714285722</v>
      </c>
      <c r="G1133" s="132"/>
    </row>
    <row r="1134" spans="1:7" ht="13.5" thickBot="1" x14ac:dyDescent="0.25">
      <c r="A1134" s="1542"/>
      <c r="B1134" s="1535"/>
      <c r="C1134" s="189"/>
      <c r="D1134" s="139"/>
      <c r="E1134" s="201"/>
      <c r="F1134" s="139">
        <f>D1134*E1134</f>
        <v>0</v>
      </c>
      <c r="G1134" s="187"/>
    </row>
    <row r="1135" spans="1:7" ht="13.5" thickBot="1" x14ac:dyDescent="0.25">
      <c r="A1135" s="1527" t="s">
        <v>125</v>
      </c>
      <c r="B1135" s="1528"/>
      <c r="C1135" s="1528"/>
      <c r="D1135" s="1528"/>
      <c r="E1135" s="1528"/>
      <c r="F1135" s="1529" t="s">
        <v>113</v>
      </c>
      <c r="G1135" s="181">
        <f>SUM(F1133:F1134)</f>
        <v>607.14285714285722</v>
      </c>
    </row>
    <row r="1136" spans="1:7" ht="13.5" thickBot="1" x14ac:dyDescent="0.25">
      <c r="A1136" s="186" t="s">
        <v>119</v>
      </c>
      <c r="B1136" s="179"/>
      <c r="C1136" s="179"/>
      <c r="D1136" s="179"/>
      <c r="E1136" s="179"/>
      <c r="F1136" s="179"/>
      <c r="G1136" s="179"/>
    </row>
    <row r="1137" spans="1:7" ht="21.75" thickBot="1" x14ac:dyDescent="0.25">
      <c r="A1137" s="1530" t="s">
        <v>120</v>
      </c>
      <c r="B1137" s="1531"/>
      <c r="C1137" s="63" t="s">
        <v>121</v>
      </c>
      <c r="D1137" s="63" t="s">
        <v>114</v>
      </c>
      <c r="E1137" s="63" t="s">
        <v>116</v>
      </c>
      <c r="F1137" s="63" t="s">
        <v>112</v>
      </c>
      <c r="G1137" s="121"/>
    </row>
    <row r="1138" spans="1:7" x14ac:dyDescent="0.2">
      <c r="A1138" s="1532" t="s">
        <v>21</v>
      </c>
      <c r="B1138" s="1533"/>
      <c r="C1138" s="122">
        <v>7410.9600847008996</v>
      </c>
      <c r="D1138" s="198">
        <v>1</v>
      </c>
      <c r="E1138" s="198">
        <v>0.7</v>
      </c>
      <c r="F1138" s="124">
        <f>+(C1138*D1138)*E1138</f>
        <v>5187.6720592906295</v>
      </c>
      <c r="G1138" s="132"/>
    </row>
    <row r="1139" spans="1:7" ht="13.5" thickBot="1" x14ac:dyDescent="0.25">
      <c r="A1139" s="1534" t="s">
        <v>22</v>
      </c>
      <c r="B1139" s="1535"/>
      <c r="C1139" s="184">
        <v>4374.7823749999998</v>
      </c>
      <c r="D1139" s="202">
        <v>2</v>
      </c>
      <c r="E1139" s="202">
        <f>+E1138</f>
        <v>0.7</v>
      </c>
      <c r="F1139" s="182">
        <f>+(C1139*D1139)*E1139</f>
        <v>6124.6953249999997</v>
      </c>
      <c r="G1139" s="140"/>
    </row>
    <row r="1140" spans="1:7" ht="13.5" thickBot="1" x14ac:dyDescent="0.25">
      <c r="A1140" s="1527" t="str">
        <f>+A1135</f>
        <v>SUB-TOTAL</v>
      </c>
      <c r="B1140" s="1528"/>
      <c r="C1140" s="1528"/>
      <c r="D1140" s="1528"/>
      <c r="E1140" s="1528"/>
      <c r="F1140" s="1529" t="s">
        <v>113</v>
      </c>
      <c r="G1140" s="181">
        <f>SUM(F1138:F1139)</f>
        <v>11312.367384290628</v>
      </c>
    </row>
    <row r="1141" spans="1:7" ht="11.25" customHeight="1" thickBot="1" x14ac:dyDescent="0.25">
      <c r="A1141" s="179"/>
      <c r="B1141" s="179"/>
      <c r="C1141" s="179"/>
      <c r="D1141" s="179"/>
      <c r="E1141" s="179"/>
      <c r="F1141" s="180"/>
      <c r="G1141" s="179"/>
    </row>
    <row r="1142" spans="1:7" ht="13.5" thickBot="1" x14ac:dyDescent="0.25">
      <c r="A1142" s="1527" t="s">
        <v>156</v>
      </c>
      <c r="B1142" s="1528"/>
      <c r="C1142" s="1528"/>
      <c r="D1142" s="1528"/>
      <c r="E1142" s="1528"/>
      <c r="F1142" s="1529"/>
      <c r="G1142" s="178">
        <f>ROUND(G1119+G1130+G1135+G1140,0)</f>
        <v>83482</v>
      </c>
    </row>
    <row r="1143" spans="1:7" x14ac:dyDescent="0.2">
      <c r="A1143" s="207"/>
      <c r="B1143" s="207"/>
      <c r="C1143" s="207"/>
      <c r="D1143" s="207"/>
      <c r="E1143" s="207"/>
      <c r="F1143" s="207"/>
      <c r="G1143" s="208"/>
    </row>
    <row r="1144" spans="1:7" ht="13.5" thickBot="1" x14ac:dyDescent="0.25">
      <c r="A1144" s="209"/>
      <c r="B1144" s="209"/>
      <c r="C1144" s="209"/>
      <c r="D1144" s="209"/>
      <c r="E1144" s="209"/>
      <c r="F1144" s="209"/>
      <c r="G1144" s="210"/>
    </row>
    <row r="1145" spans="1:7" ht="27" customHeight="1" x14ac:dyDescent="0.2">
      <c r="A1145" s="1548" t="s">
        <v>122</v>
      </c>
      <c r="B1145" s="1549"/>
      <c r="C1145" s="1550"/>
      <c r="D1145" s="50"/>
      <c r="E1145" s="50"/>
      <c r="F1145" s="50"/>
      <c r="G1145" s="98"/>
    </row>
    <row r="1146" spans="1:7" ht="24" customHeight="1" thickBot="1" x14ac:dyDescent="0.25">
      <c r="A1146" s="1551" t="s">
        <v>935</v>
      </c>
      <c r="B1146" s="1552"/>
      <c r="C1146" s="1553"/>
      <c r="D1146" s="99"/>
      <c r="E1146" s="99"/>
      <c r="F1146" s="99"/>
      <c r="G1146" s="100"/>
    </row>
    <row r="1147" spans="1:7" ht="13.5" thickBot="1" x14ac:dyDescent="0.25">
      <c r="A1147" s="179"/>
      <c r="B1147" s="179"/>
      <c r="C1147" s="179"/>
      <c r="D1147" s="179"/>
      <c r="E1147" s="179"/>
      <c r="F1147" s="179"/>
      <c r="G1147" s="179"/>
    </row>
    <row r="1148" spans="1:7" ht="72" customHeight="1" thickBot="1" x14ac:dyDescent="0.25">
      <c r="A1148" s="1558" t="s">
        <v>936</v>
      </c>
      <c r="B1148" s="1559"/>
      <c r="C1148" s="1560"/>
      <c r="D1148" s="1561" t="s">
        <v>339</v>
      </c>
      <c r="E1148" s="1562"/>
      <c r="F1148" s="1562"/>
      <c r="G1148" s="1563"/>
    </row>
    <row r="1149" spans="1:7" ht="13.5" thickBot="1" x14ac:dyDescent="0.25">
      <c r="A1149" s="192"/>
      <c r="B1149" s="192"/>
      <c r="C1149" s="192"/>
      <c r="D1149" s="192"/>
      <c r="E1149" s="192"/>
      <c r="F1149" s="192"/>
      <c r="G1149" s="192"/>
    </row>
    <row r="1150" spans="1:7" ht="12.75" customHeight="1" thickBot="1" x14ac:dyDescent="0.25">
      <c r="A1150" s="191"/>
      <c r="B1150" s="179"/>
      <c r="D1150" s="60" t="s">
        <v>124</v>
      </c>
      <c r="E1150" s="61" t="s">
        <v>4</v>
      </c>
      <c r="F1150" s="191"/>
      <c r="G1150" s="191"/>
    </row>
    <row r="1151" spans="1:7" ht="13.5" thickBot="1" x14ac:dyDescent="0.25">
      <c r="A1151" s="186" t="s">
        <v>108</v>
      </c>
      <c r="B1151" s="179"/>
      <c r="C1151" s="179"/>
      <c r="D1151" s="179"/>
      <c r="E1151" s="179"/>
      <c r="F1151" s="179"/>
      <c r="G1151" s="179"/>
    </row>
    <row r="1152" spans="1:7" ht="13.5" customHeight="1" thickBot="1" x14ac:dyDescent="0.25">
      <c r="A1152" s="1530" t="s">
        <v>109</v>
      </c>
      <c r="B1152" s="1554"/>
      <c r="C1152" s="1531"/>
      <c r="D1152" s="63" t="s">
        <v>110</v>
      </c>
      <c r="E1152" s="63" t="s">
        <v>111</v>
      </c>
      <c r="F1152" s="63" t="s">
        <v>112</v>
      </c>
      <c r="G1152" s="104"/>
    </row>
    <row r="1153" spans="1:10" x14ac:dyDescent="0.2">
      <c r="A1153" s="1540" t="s">
        <v>131</v>
      </c>
      <c r="B1153" s="1555"/>
      <c r="C1153" s="1541"/>
      <c r="D1153" s="130">
        <v>2062.5</v>
      </c>
      <c r="E1153" s="131">
        <v>0.2</v>
      </c>
      <c r="F1153" s="130">
        <f>+E1153*D1153</f>
        <v>412.5</v>
      </c>
      <c r="G1153" s="132"/>
      <c r="J1153" s="199"/>
    </row>
    <row r="1154" spans="1:10" x14ac:dyDescent="0.2">
      <c r="A1154" s="1543" t="s">
        <v>139</v>
      </c>
      <c r="B1154" s="1544"/>
      <c r="C1154" s="1545"/>
      <c r="D1154" s="135">
        <v>8125</v>
      </c>
      <c r="E1154" s="136">
        <v>0.4</v>
      </c>
      <c r="F1154" s="135">
        <f>+E1154*D1154</f>
        <v>3250</v>
      </c>
      <c r="G1154" s="137"/>
    </row>
    <row r="1155" spans="1:10" x14ac:dyDescent="0.2">
      <c r="A1155" s="1543" t="s">
        <v>147</v>
      </c>
      <c r="B1155" s="1544"/>
      <c r="C1155" s="1545"/>
      <c r="D1155" s="135">
        <v>187.5</v>
      </c>
      <c r="E1155" s="136">
        <v>1.6</v>
      </c>
      <c r="F1155" s="135">
        <f>+E1155*D1155</f>
        <v>300</v>
      </c>
      <c r="G1155" s="137"/>
      <c r="I1155" s="199"/>
    </row>
    <row r="1156" spans="1:10" ht="13.5" thickBot="1" x14ac:dyDescent="0.25">
      <c r="A1156" s="1542"/>
      <c r="B1156" s="1564"/>
      <c r="C1156" s="1535"/>
      <c r="D1156" s="139"/>
      <c r="E1156" s="141"/>
      <c r="F1156" s="139">
        <f>+E1156*D1156</f>
        <v>0</v>
      </c>
      <c r="G1156" s="140"/>
    </row>
    <row r="1157" spans="1:10" ht="13.5" thickBot="1" x14ac:dyDescent="0.25">
      <c r="A1157" s="1527" t="s">
        <v>125</v>
      </c>
      <c r="B1157" s="1528"/>
      <c r="C1157" s="1528"/>
      <c r="D1157" s="1528"/>
      <c r="E1157" s="1528"/>
      <c r="F1157" s="1529"/>
      <c r="G1157" s="181">
        <f>SUM(F1153:F1156)</f>
        <v>3962.5</v>
      </c>
    </row>
    <row r="1158" spans="1:10" ht="13.5" thickBot="1" x14ac:dyDescent="0.25">
      <c r="A1158" s="186" t="s">
        <v>123</v>
      </c>
      <c r="B1158" s="179"/>
      <c r="C1158" s="179"/>
      <c r="D1158" s="179"/>
      <c r="E1158" s="179"/>
      <c r="F1158" s="179"/>
      <c r="G1158" s="179"/>
    </row>
    <row r="1159" spans="1:10" ht="13.5" thickBot="1" x14ac:dyDescent="0.25">
      <c r="A1159" s="1530" t="s">
        <v>109</v>
      </c>
      <c r="B1159" s="1531"/>
      <c r="C1159" s="63" t="s">
        <v>114</v>
      </c>
      <c r="D1159" s="63" t="s">
        <v>115</v>
      </c>
      <c r="E1159" s="63" t="s">
        <v>116</v>
      </c>
      <c r="F1159" s="63" t="s">
        <v>112</v>
      </c>
      <c r="G1159" s="104"/>
    </row>
    <row r="1160" spans="1:10" x14ac:dyDescent="0.2">
      <c r="A1160" s="1536" t="s">
        <v>940</v>
      </c>
      <c r="B1160" s="1537"/>
      <c r="C1160" s="134" t="s">
        <v>7</v>
      </c>
      <c r="D1160" s="203">
        <v>13500</v>
      </c>
      <c r="E1160" s="134">
        <v>1</v>
      </c>
      <c r="F1160" s="135">
        <f>+E1160*D1160</f>
        <v>13500</v>
      </c>
      <c r="G1160" s="137"/>
    </row>
    <row r="1161" spans="1:10" ht="14.25" customHeight="1" x14ac:dyDescent="0.2">
      <c r="A1161" s="1536" t="s">
        <v>945</v>
      </c>
      <c r="B1161" s="1537"/>
      <c r="C1161" s="134" t="s">
        <v>6</v>
      </c>
      <c r="D1161" s="203">
        <v>5775</v>
      </c>
      <c r="E1161" s="134">
        <v>2.19</v>
      </c>
      <c r="F1161" s="135">
        <f t="shared" ref="F1161:F1166" si="7">D1161*E1161</f>
        <v>12647.25</v>
      </c>
      <c r="G1161" s="137"/>
    </row>
    <row r="1162" spans="1:10" x14ac:dyDescent="0.2">
      <c r="A1162" s="1536" t="s">
        <v>944</v>
      </c>
      <c r="B1162" s="1537"/>
      <c r="C1162" s="134" t="s">
        <v>6</v>
      </c>
      <c r="D1162" s="203">
        <v>1584</v>
      </c>
      <c r="E1162" s="134">
        <v>1.6</v>
      </c>
      <c r="F1162" s="135">
        <f t="shared" si="7"/>
        <v>2534.4</v>
      </c>
      <c r="G1162" s="205"/>
    </row>
    <row r="1163" spans="1:10" x14ac:dyDescent="0.2">
      <c r="A1163" s="1536" t="s">
        <v>948</v>
      </c>
      <c r="B1163" s="1537"/>
      <c r="C1163" s="134" t="s">
        <v>6</v>
      </c>
      <c r="D1163" s="203">
        <v>30000</v>
      </c>
      <c r="E1163" s="134">
        <v>0.12</v>
      </c>
      <c r="F1163" s="135">
        <f t="shared" si="7"/>
        <v>3600</v>
      </c>
      <c r="G1163" s="205"/>
    </row>
    <row r="1164" spans="1:10" x14ac:dyDescent="0.2">
      <c r="A1164" s="1543" t="s">
        <v>93</v>
      </c>
      <c r="B1164" s="1545"/>
      <c r="C1164" s="134" t="s">
        <v>64</v>
      </c>
      <c r="D1164" s="203">
        <v>51500</v>
      </c>
      <c r="E1164" s="134">
        <v>5.7000000000000002E-2</v>
      </c>
      <c r="F1164" s="135">
        <f t="shared" si="7"/>
        <v>2935.5</v>
      </c>
      <c r="G1164" s="205"/>
    </row>
    <row r="1165" spans="1:10" ht="12.75" customHeight="1" x14ac:dyDescent="0.2">
      <c r="A1165" s="1543" t="s">
        <v>913</v>
      </c>
      <c r="B1165" s="1545"/>
      <c r="C1165" s="134" t="s">
        <v>64</v>
      </c>
      <c r="D1165" s="203">
        <v>30000</v>
      </c>
      <c r="E1165" s="134">
        <v>5.7000000000000002E-2</v>
      </c>
      <c r="F1165" s="135">
        <f t="shared" si="7"/>
        <v>1710</v>
      </c>
      <c r="G1165" s="205"/>
    </row>
    <row r="1166" spans="1:10" x14ac:dyDescent="0.2">
      <c r="A1166" s="1543" t="s">
        <v>92</v>
      </c>
      <c r="B1166" s="1545"/>
      <c r="C1166" s="204" t="s">
        <v>64</v>
      </c>
      <c r="D1166" s="203">
        <v>15500</v>
      </c>
      <c r="E1166" s="134">
        <v>0.06</v>
      </c>
      <c r="F1166" s="135">
        <f t="shared" si="7"/>
        <v>930</v>
      </c>
      <c r="G1166" s="205"/>
    </row>
    <row r="1167" spans="1:10" ht="13.5" thickBot="1" x14ac:dyDescent="0.25">
      <c r="A1167" s="1543"/>
      <c r="B1167" s="1545"/>
      <c r="C1167" s="204"/>
      <c r="D1167" s="203"/>
      <c r="E1167" s="204"/>
      <c r="F1167" s="135"/>
      <c r="G1167" s="205"/>
    </row>
    <row r="1168" spans="1:10" ht="13.5" thickBot="1" x14ac:dyDescent="0.25">
      <c r="A1168" s="1527" t="s">
        <v>125</v>
      </c>
      <c r="B1168" s="1528"/>
      <c r="C1168" s="1528"/>
      <c r="D1168" s="1528"/>
      <c r="E1168" s="1528"/>
      <c r="F1168" s="1529" t="s">
        <v>113</v>
      </c>
      <c r="G1168" s="181">
        <f>SUM(F1160:F1167)</f>
        <v>37857.15</v>
      </c>
    </row>
    <row r="1169" spans="1:7" ht="13.5" thickBot="1" x14ac:dyDescent="0.25">
      <c r="A1169" s="186" t="s">
        <v>117</v>
      </c>
      <c r="B1169" s="179"/>
      <c r="C1169" s="179"/>
      <c r="D1169" s="179"/>
      <c r="E1169" s="179"/>
      <c r="F1169" s="179"/>
      <c r="G1169" s="179"/>
    </row>
    <row r="1170" spans="1:7" ht="13.5" thickBot="1" x14ac:dyDescent="0.25">
      <c r="A1170" s="1530" t="s">
        <v>109</v>
      </c>
      <c r="B1170" s="1531"/>
      <c r="C1170" s="63" t="s">
        <v>114</v>
      </c>
      <c r="D1170" s="63" t="s">
        <v>115</v>
      </c>
      <c r="E1170" s="63" t="s">
        <v>116</v>
      </c>
      <c r="F1170" s="63" t="s">
        <v>112</v>
      </c>
      <c r="G1170" s="115"/>
    </row>
    <row r="1171" spans="1:7" x14ac:dyDescent="0.2">
      <c r="A1171" s="1540" t="s">
        <v>205</v>
      </c>
      <c r="B1171" s="1541"/>
      <c r="C1171" s="189" t="s">
        <v>159</v>
      </c>
      <c r="D1171" s="130">
        <v>60714.285714285717</v>
      </c>
      <c r="E1171" s="200">
        <v>0.01</v>
      </c>
      <c r="F1171" s="135">
        <f>D1171*E1171</f>
        <v>607.14285714285722</v>
      </c>
      <c r="G1171" s="132"/>
    </row>
    <row r="1172" spans="1:7" ht="13.5" thickBot="1" x14ac:dyDescent="0.25">
      <c r="A1172" s="1542"/>
      <c r="B1172" s="1535"/>
      <c r="C1172" s="189"/>
      <c r="D1172" s="139"/>
      <c r="E1172" s="201"/>
      <c r="F1172" s="139">
        <f>D1172*E1172</f>
        <v>0</v>
      </c>
      <c r="G1172" s="187"/>
    </row>
    <row r="1173" spans="1:7" ht="13.5" thickBot="1" x14ac:dyDescent="0.25">
      <c r="A1173" s="1527" t="s">
        <v>125</v>
      </c>
      <c r="B1173" s="1528"/>
      <c r="C1173" s="1528"/>
      <c r="D1173" s="1528"/>
      <c r="E1173" s="1528"/>
      <c r="F1173" s="1529" t="s">
        <v>113</v>
      </c>
      <c r="G1173" s="181">
        <f>SUM(F1171:F1172)</f>
        <v>607.14285714285722</v>
      </c>
    </row>
    <row r="1174" spans="1:7" ht="13.5" thickBot="1" x14ac:dyDescent="0.25">
      <c r="A1174" s="186" t="s">
        <v>119</v>
      </c>
      <c r="B1174" s="179"/>
      <c r="C1174" s="179"/>
      <c r="D1174" s="179"/>
      <c r="E1174" s="179"/>
      <c r="F1174" s="179"/>
      <c r="G1174" s="179"/>
    </row>
    <row r="1175" spans="1:7" ht="21.75" thickBot="1" x14ac:dyDescent="0.25">
      <c r="A1175" s="1530" t="s">
        <v>120</v>
      </c>
      <c r="B1175" s="1531"/>
      <c r="C1175" s="63" t="s">
        <v>121</v>
      </c>
      <c r="D1175" s="63" t="s">
        <v>114</v>
      </c>
      <c r="E1175" s="63" t="s">
        <v>116</v>
      </c>
      <c r="F1175" s="63" t="s">
        <v>112</v>
      </c>
      <c r="G1175" s="121"/>
    </row>
    <row r="1176" spans="1:7" x14ac:dyDescent="0.2">
      <c r="A1176" s="1532" t="s">
        <v>21</v>
      </c>
      <c r="B1176" s="1533"/>
      <c r="C1176" s="122">
        <v>7410.9600847008996</v>
      </c>
      <c r="D1176" s="198">
        <v>1</v>
      </c>
      <c r="E1176" s="198">
        <v>0.7</v>
      </c>
      <c r="F1176" s="124">
        <f>+(C1176*D1176)*E1176</f>
        <v>5187.6720592906295</v>
      </c>
      <c r="G1176" s="132"/>
    </row>
    <row r="1177" spans="1:7" ht="13.5" thickBot="1" x14ac:dyDescent="0.25">
      <c r="A1177" s="1534" t="s">
        <v>22</v>
      </c>
      <c r="B1177" s="1535"/>
      <c r="C1177" s="184">
        <v>4374.7823749999998</v>
      </c>
      <c r="D1177" s="202">
        <v>2</v>
      </c>
      <c r="E1177" s="202">
        <f>+E1176</f>
        <v>0.7</v>
      </c>
      <c r="F1177" s="182">
        <f>+(C1177*D1177)*E1177</f>
        <v>6124.6953249999997</v>
      </c>
      <c r="G1177" s="140"/>
    </row>
    <row r="1178" spans="1:7" ht="13.5" thickBot="1" x14ac:dyDescent="0.25">
      <c r="A1178" s="1527" t="str">
        <f>+A1173</f>
        <v>SUB-TOTAL</v>
      </c>
      <c r="B1178" s="1528"/>
      <c r="C1178" s="1528"/>
      <c r="D1178" s="1528"/>
      <c r="E1178" s="1528"/>
      <c r="F1178" s="1529" t="s">
        <v>113</v>
      </c>
      <c r="G1178" s="181">
        <f>SUM(F1176:F1177)</f>
        <v>11312.367384290628</v>
      </c>
    </row>
    <row r="1179" spans="1:7" ht="11.25" customHeight="1" thickBot="1" x14ac:dyDescent="0.25">
      <c r="A1179" s="179"/>
      <c r="B1179" s="179"/>
      <c r="C1179" s="179"/>
      <c r="D1179" s="179"/>
      <c r="E1179" s="179"/>
      <c r="F1179" s="180"/>
      <c r="G1179" s="179"/>
    </row>
    <row r="1180" spans="1:7" ht="13.5" thickBot="1" x14ac:dyDescent="0.25">
      <c r="A1180" s="1527" t="s">
        <v>156</v>
      </c>
      <c r="B1180" s="1528"/>
      <c r="C1180" s="1528"/>
      <c r="D1180" s="1528"/>
      <c r="E1180" s="1528"/>
      <c r="F1180" s="1529"/>
      <c r="G1180" s="178">
        <f>ROUND(G1157+G1168+G1173+G1178,0)</f>
        <v>53739</v>
      </c>
    </row>
    <row r="1181" spans="1:7" x14ac:dyDescent="0.2">
      <c r="A1181" s="207"/>
      <c r="B1181" s="207"/>
      <c r="C1181" s="207"/>
      <c r="D1181" s="207"/>
      <c r="E1181" s="207"/>
      <c r="F1181" s="207"/>
      <c r="G1181" s="208"/>
    </row>
    <row r="1182" spans="1:7" ht="13.5" hidden="1" thickBot="1" x14ac:dyDescent="0.25">
      <c r="A1182" s="209"/>
      <c r="B1182" s="209"/>
      <c r="C1182" s="209"/>
      <c r="D1182" s="209"/>
      <c r="E1182" s="209"/>
      <c r="F1182" s="209"/>
      <c r="G1182" s="210"/>
    </row>
    <row r="1183" spans="1:7" ht="27" hidden="1" customHeight="1" x14ac:dyDescent="0.2">
      <c r="A1183" s="1548" t="s">
        <v>122</v>
      </c>
      <c r="B1183" s="1549"/>
      <c r="C1183" s="1550"/>
      <c r="D1183" s="50"/>
      <c r="E1183" s="50"/>
      <c r="F1183" s="50"/>
      <c r="G1183" s="98"/>
    </row>
    <row r="1184" spans="1:7" ht="24" hidden="1" customHeight="1" thickBot="1" x14ac:dyDescent="0.25">
      <c r="A1184" s="1551" t="s">
        <v>935</v>
      </c>
      <c r="B1184" s="1552"/>
      <c r="C1184" s="1553"/>
      <c r="D1184" s="99"/>
      <c r="E1184" s="99"/>
      <c r="F1184" s="99"/>
      <c r="G1184" s="100"/>
    </row>
    <row r="1185" spans="1:10" ht="13.5" hidden="1" thickBot="1" x14ac:dyDescent="0.25">
      <c r="A1185" s="179"/>
      <c r="B1185" s="179"/>
      <c r="C1185" s="179"/>
      <c r="D1185" s="179"/>
      <c r="E1185" s="179"/>
      <c r="F1185" s="179"/>
      <c r="G1185" s="179"/>
    </row>
    <row r="1186" spans="1:10" ht="72" hidden="1" customHeight="1" thickBot="1" x14ac:dyDescent="0.25">
      <c r="A1186" s="1558" t="s">
        <v>936</v>
      </c>
      <c r="B1186" s="1559"/>
      <c r="C1186" s="1560"/>
      <c r="D1186" s="1565" t="s">
        <v>340</v>
      </c>
      <c r="E1186" s="1559"/>
      <c r="F1186" s="1559"/>
      <c r="G1186" s="1560"/>
    </row>
    <row r="1187" spans="1:10" ht="13.5" hidden="1" thickBot="1" x14ac:dyDescent="0.25">
      <c r="A1187" s="192"/>
      <c r="B1187" s="192"/>
      <c r="C1187" s="192"/>
      <c r="D1187" s="192"/>
      <c r="E1187" s="192"/>
      <c r="F1187" s="192"/>
      <c r="G1187" s="192"/>
    </row>
    <row r="1188" spans="1:10" ht="12.75" hidden="1" customHeight="1" thickBot="1" x14ac:dyDescent="0.25">
      <c r="A1188" s="191"/>
      <c r="B1188" s="179"/>
      <c r="D1188" s="60" t="s">
        <v>124</v>
      </c>
      <c r="E1188" s="61" t="s">
        <v>6</v>
      </c>
      <c r="F1188" s="191"/>
      <c r="G1188" s="191"/>
    </row>
    <row r="1189" spans="1:10" ht="13.5" hidden="1" thickBot="1" x14ac:dyDescent="0.25">
      <c r="A1189" s="186" t="s">
        <v>108</v>
      </c>
      <c r="B1189" s="179"/>
      <c r="C1189" s="179"/>
      <c r="D1189" s="179"/>
      <c r="E1189" s="179"/>
      <c r="F1189" s="179"/>
      <c r="G1189" s="179"/>
    </row>
    <row r="1190" spans="1:10" ht="13.5" hidden="1" customHeight="1" thickBot="1" x14ac:dyDescent="0.25">
      <c r="A1190" s="1530" t="s">
        <v>109</v>
      </c>
      <c r="B1190" s="1554"/>
      <c r="C1190" s="1531"/>
      <c r="D1190" s="63" t="s">
        <v>110</v>
      </c>
      <c r="E1190" s="63" t="s">
        <v>111</v>
      </c>
      <c r="F1190" s="63" t="s">
        <v>112</v>
      </c>
      <c r="G1190" s="104"/>
    </row>
    <row r="1191" spans="1:10" hidden="1" x14ac:dyDescent="0.2">
      <c r="A1191" s="1540" t="s">
        <v>131</v>
      </c>
      <c r="B1191" s="1555"/>
      <c r="C1191" s="1541"/>
      <c r="D1191" s="130">
        <v>2062.5</v>
      </c>
      <c r="E1191" s="131">
        <v>0.2</v>
      </c>
      <c r="F1191" s="130">
        <f>+E1191*D1191</f>
        <v>412.5</v>
      </c>
      <c r="G1191" s="132"/>
      <c r="J1191" s="199"/>
    </row>
    <row r="1192" spans="1:10" hidden="1" x14ac:dyDescent="0.2">
      <c r="A1192" s="1543" t="s">
        <v>139</v>
      </c>
      <c r="B1192" s="1544"/>
      <c r="C1192" s="1545"/>
      <c r="D1192" s="135">
        <v>8125</v>
      </c>
      <c r="E1192" s="136">
        <v>0.2</v>
      </c>
      <c r="F1192" s="135">
        <f>+E1192*D1192</f>
        <v>1625</v>
      </c>
      <c r="G1192" s="137"/>
    </row>
    <row r="1193" spans="1:10" hidden="1" x14ac:dyDescent="0.2">
      <c r="A1193" s="1543" t="s">
        <v>147</v>
      </c>
      <c r="B1193" s="1544"/>
      <c r="C1193" s="1545"/>
      <c r="D1193" s="135">
        <v>187.5</v>
      </c>
      <c r="E1193" s="136">
        <v>1</v>
      </c>
      <c r="F1193" s="135">
        <f>+E1193*D1193</f>
        <v>187.5</v>
      </c>
      <c r="G1193" s="137"/>
      <c r="I1193" s="199"/>
    </row>
    <row r="1194" spans="1:10" ht="13.5" hidden="1" thickBot="1" x14ac:dyDescent="0.25">
      <c r="A1194" s="1542"/>
      <c r="B1194" s="1564"/>
      <c r="C1194" s="1535"/>
      <c r="D1194" s="139"/>
      <c r="E1194" s="141"/>
      <c r="F1194" s="139">
        <f>+E1194*D1194</f>
        <v>0</v>
      </c>
      <c r="G1194" s="140"/>
    </row>
    <row r="1195" spans="1:10" ht="13.5" hidden="1" thickBot="1" x14ac:dyDescent="0.25">
      <c r="A1195" s="1527" t="s">
        <v>125</v>
      </c>
      <c r="B1195" s="1528"/>
      <c r="C1195" s="1528"/>
      <c r="D1195" s="1528"/>
      <c r="E1195" s="1528"/>
      <c r="F1195" s="1529"/>
      <c r="G1195" s="181">
        <f>SUM(F1191:F1194)</f>
        <v>2225</v>
      </c>
    </row>
    <row r="1196" spans="1:10" ht="13.5" hidden="1" thickBot="1" x14ac:dyDescent="0.25">
      <c r="A1196" s="186" t="s">
        <v>123</v>
      </c>
      <c r="B1196" s="179"/>
      <c r="C1196" s="179"/>
      <c r="D1196" s="179"/>
      <c r="E1196" s="179"/>
      <c r="F1196" s="179"/>
      <c r="G1196" s="179"/>
      <c r="I1196" s="105">
        <f>6/5.6</f>
        <v>1.0714285714285714</v>
      </c>
    </row>
    <row r="1197" spans="1:10" ht="13.5" hidden="1" thickBot="1" x14ac:dyDescent="0.25">
      <c r="A1197" s="1530" t="s">
        <v>109</v>
      </c>
      <c r="B1197" s="1531"/>
      <c r="C1197" s="63" t="s">
        <v>114</v>
      </c>
      <c r="D1197" s="63" t="s">
        <v>115</v>
      </c>
      <c r="E1197" s="63" t="s">
        <v>116</v>
      </c>
      <c r="F1197" s="63" t="s">
        <v>112</v>
      </c>
      <c r="G1197" s="104"/>
    </row>
    <row r="1198" spans="1:10" hidden="1" x14ac:dyDescent="0.2">
      <c r="A1198" s="1536" t="s">
        <v>941</v>
      </c>
      <c r="B1198" s="1537"/>
      <c r="C1198" s="134" t="s">
        <v>6</v>
      </c>
      <c r="D1198" s="203">
        <v>18034</v>
      </c>
      <c r="E1198" s="134">
        <v>1.05</v>
      </c>
      <c r="F1198" s="135">
        <f>+E1198*D1198</f>
        <v>18935.7</v>
      </c>
      <c r="G1198" s="137"/>
      <c r="I1198" s="199">
        <f>5.6*D1198</f>
        <v>100990.39999999999</v>
      </c>
    </row>
    <row r="1199" spans="1:10" ht="12.75" hidden="1" customHeight="1" x14ac:dyDescent="0.2">
      <c r="A1199" s="1536" t="s">
        <v>92</v>
      </c>
      <c r="B1199" s="1537"/>
      <c r="C1199" s="134" t="s">
        <v>64</v>
      </c>
      <c r="D1199" s="203">
        <v>15500</v>
      </c>
      <c r="E1199" s="134">
        <v>0.06</v>
      </c>
      <c r="F1199" s="135">
        <f>D1199*E1199</f>
        <v>930</v>
      </c>
      <c r="G1199" s="137"/>
      <c r="I1199" s="199">
        <f>D1198*6</f>
        <v>108204</v>
      </c>
    </row>
    <row r="1200" spans="1:10" hidden="1" x14ac:dyDescent="0.2">
      <c r="A1200" s="1536" t="s">
        <v>93</v>
      </c>
      <c r="B1200" s="1537"/>
      <c r="C1200" s="134" t="s">
        <v>64</v>
      </c>
      <c r="D1200" s="203">
        <v>51500</v>
      </c>
      <c r="E1200" s="134">
        <v>2.5000000000000001E-2</v>
      </c>
      <c r="F1200" s="135">
        <f>D1200*E1200</f>
        <v>1287.5</v>
      </c>
      <c r="G1200" s="205"/>
      <c r="I1200" s="199">
        <f>F1198*5.6</f>
        <v>106039.92</v>
      </c>
    </row>
    <row r="1201" spans="1:9" hidden="1" x14ac:dyDescent="0.2">
      <c r="A1201" s="1536" t="s">
        <v>913</v>
      </c>
      <c r="B1201" s="1537"/>
      <c r="C1201" s="134" t="s">
        <v>64</v>
      </c>
      <c r="D1201" s="203">
        <v>30000</v>
      </c>
      <c r="E1201" s="134">
        <v>2.5000000000000001E-2</v>
      </c>
      <c r="F1201" s="135">
        <f>D1201*E1201</f>
        <v>750</v>
      </c>
      <c r="G1201" s="205"/>
    </row>
    <row r="1202" spans="1:9" hidden="1" x14ac:dyDescent="0.2">
      <c r="A1202" s="1543"/>
      <c r="B1202" s="1545"/>
      <c r="C1202" s="134"/>
      <c r="D1202" s="203"/>
      <c r="E1202" s="134"/>
      <c r="F1202" s="135"/>
      <c r="G1202" s="205"/>
    </row>
    <row r="1203" spans="1:9" hidden="1" x14ac:dyDescent="0.2">
      <c r="A1203" s="1543"/>
      <c r="B1203" s="1545"/>
      <c r="C1203" s="134"/>
      <c r="D1203" s="203"/>
      <c r="E1203" s="134"/>
      <c r="F1203" s="135"/>
      <c r="G1203" s="205"/>
    </row>
    <row r="1204" spans="1:9" hidden="1" x14ac:dyDescent="0.2">
      <c r="A1204" s="1543"/>
      <c r="B1204" s="1545"/>
      <c r="C1204" s="204"/>
      <c r="D1204" s="203"/>
      <c r="E1204" s="134"/>
      <c r="F1204" s="135"/>
      <c r="G1204" s="205"/>
      <c r="I1204" s="199"/>
    </row>
    <row r="1205" spans="1:9" hidden="1" x14ac:dyDescent="0.2">
      <c r="A1205" s="1543"/>
      <c r="B1205" s="1545"/>
      <c r="C1205" s="204"/>
      <c r="D1205" s="203"/>
      <c r="E1205" s="134"/>
      <c r="F1205" s="135"/>
      <c r="G1205" s="205"/>
    </row>
    <row r="1206" spans="1:9" ht="13.5" hidden="1" thickBot="1" x14ac:dyDescent="0.25">
      <c r="A1206" s="1543"/>
      <c r="B1206" s="1545"/>
      <c r="C1206" s="204"/>
      <c r="D1206" s="203"/>
      <c r="E1206" s="204"/>
      <c r="F1206" s="135"/>
      <c r="G1206" s="205"/>
    </row>
    <row r="1207" spans="1:9" ht="13.5" hidden="1" thickBot="1" x14ac:dyDescent="0.25">
      <c r="A1207" s="1527" t="s">
        <v>125</v>
      </c>
      <c r="B1207" s="1528"/>
      <c r="C1207" s="1528"/>
      <c r="D1207" s="1528"/>
      <c r="E1207" s="1528"/>
      <c r="F1207" s="1529" t="s">
        <v>113</v>
      </c>
      <c r="G1207" s="181">
        <f>SUM(F1198:F1206)</f>
        <v>21903.200000000001</v>
      </c>
    </row>
    <row r="1208" spans="1:9" ht="13.5" hidden="1" thickBot="1" x14ac:dyDescent="0.25">
      <c r="A1208" s="186" t="s">
        <v>117</v>
      </c>
      <c r="B1208" s="179"/>
      <c r="C1208" s="179"/>
      <c r="D1208" s="179"/>
      <c r="E1208" s="179"/>
      <c r="F1208" s="179"/>
      <c r="G1208" s="179"/>
    </row>
    <row r="1209" spans="1:9" ht="13.5" hidden="1" thickBot="1" x14ac:dyDescent="0.25">
      <c r="A1209" s="1530" t="s">
        <v>109</v>
      </c>
      <c r="B1209" s="1531"/>
      <c r="C1209" s="63" t="s">
        <v>114</v>
      </c>
      <c r="D1209" s="63" t="s">
        <v>115</v>
      </c>
      <c r="E1209" s="63" t="s">
        <v>116</v>
      </c>
      <c r="F1209" s="63" t="s">
        <v>112</v>
      </c>
      <c r="G1209" s="115"/>
    </row>
    <row r="1210" spans="1:9" hidden="1" x14ac:dyDescent="0.2">
      <c r="A1210" s="1540" t="s">
        <v>205</v>
      </c>
      <c r="B1210" s="1541"/>
      <c r="C1210" s="189" t="s">
        <v>159</v>
      </c>
      <c r="D1210" s="130">
        <v>60714.285714285717</v>
      </c>
      <c r="E1210" s="200">
        <v>0</v>
      </c>
      <c r="F1210" s="135">
        <f>D1210*E1210</f>
        <v>0</v>
      </c>
      <c r="G1210" s="132"/>
    </row>
    <row r="1211" spans="1:9" ht="13.5" hidden="1" thickBot="1" x14ac:dyDescent="0.25">
      <c r="A1211" s="1542"/>
      <c r="B1211" s="1535"/>
      <c r="C1211" s="189"/>
      <c r="D1211" s="139"/>
      <c r="E1211" s="201"/>
      <c r="F1211" s="139">
        <f>D1211*E1211</f>
        <v>0</v>
      </c>
      <c r="G1211" s="187"/>
    </row>
    <row r="1212" spans="1:9" ht="13.5" hidden="1" thickBot="1" x14ac:dyDescent="0.25">
      <c r="A1212" s="1527" t="s">
        <v>125</v>
      </c>
      <c r="B1212" s="1528"/>
      <c r="C1212" s="1528"/>
      <c r="D1212" s="1528"/>
      <c r="E1212" s="1528"/>
      <c r="F1212" s="1529" t="s">
        <v>113</v>
      </c>
      <c r="G1212" s="181">
        <f>SUM(F1210:F1211)</f>
        <v>0</v>
      </c>
    </row>
    <row r="1213" spans="1:9" ht="13.5" hidden="1" thickBot="1" x14ac:dyDescent="0.25">
      <c r="A1213" s="186" t="s">
        <v>119</v>
      </c>
      <c r="B1213" s="179"/>
      <c r="C1213" s="179"/>
      <c r="D1213" s="179"/>
      <c r="E1213" s="179"/>
      <c r="F1213" s="179"/>
      <c r="G1213" s="179"/>
    </row>
    <row r="1214" spans="1:9" ht="21.75" hidden="1" thickBot="1" x14ac:dyDescent="0.25">
      <c r="A1214" s="1530" t="s">
        <v>120</v>
      </c>
      <c r="B1214" s="1531"/>
      <c r="C1214" s="63" t="s">
        <v>121</v>
      </c>
      <c r="D1214" s="63" t="s">
        <v>114</v>
      </c>
      <c r="E1214" s="63" t="s">
        <v>116</v>
      </c>
      <c r="F1214" s="63" t="s">
        <v>112</v>
      </c>
      <c r="G1214" s="121"/>
    </row>
    <row r="1215" spans="1:9" hidden="1" x14ac:dyDescent="0.2">
      <c r="A1215" s="1532" t="s">
        <v>21</v>
      </c>
      <c r="B1215" s="1533"/>
      <c r="C1215" s="122">
        <v>7410.9600847008996</v>
      </c>
      <c r="D1215" s="198">
        <v>1</v>
      </c>
      <c r="E1215" s="198">
        <v>0.4</v>
      </c>
      <c r="F1215" s="124">
        <f>+(C1215*D1215)*E1215</f>
        <v>2964.3840338803602</v>
      </c>
      <c r="G1215" s="132"/>
    </row>
    <row r="1216" spans="1:9" ht="13.5" hidden="1" thickBot="1" x14ac:dyDescent="0.25">
      <c r="A1216" s="1534" t="s">
        <v>22</v>
      </c>
      <c r="B1216" s="1535"/>
      <c r="C1216" s="184">
        <v>4374.7823749999998</v>
      </c>
      <c r="D1216" s="202">
        <v>2</v>
      </c>
      <c r="E1216" s="202">
        <f>+E1215</f>
        <v>0.4</v>
      </c>
      <c r="F1216" s="182">
        <f>+(C1216*D1216)*E1216</f>
        <v>3499.8258999999998</v>
      </c>
      <c r="G1216" s="140"/>
    </row>
    <row r="1217" spans="1:10" ht="13.5" hidden="1" thickBot="1" x14ac:dyDescent="0.25">
      <c r="A1217" s="1527" t="str">
        <f>+A1212</f>
        <v>SUB-TOTAL</v>
      </c>
      <c r="B1217" s="1528"/>
      <c r="C1217" s="1528"/>
      <c r="D1217" s="1528"/>
      <c r="E1217" s="1528"/>
      <c r="F1217" s="1529" t="s">
        <v>113</v>
      </c>
      <c r="G1217" s="181">
        <f>SUM(F1215:F1216)</f>
        <v>6464.20993388036</v>
      </c>
    </row>
    <row r="1218" spans="1:10" ht="11.25" hidden="1" customHeight="1" thickBot="1" x14ac:dyDescent="0.25">
      <c r="A1218" s="179"/>
      <c r="B1218" s="179"/>
      <c r="C1218" s="179"/>
      <c r="D1218" s="179"/>
      <c r="E1218" s="179"/>
      <c r="F1218" s="180"/>
      <c r="G1218" s="179"/>
    </row>
    <row r="1219" spans="1:10" ht="13.5" hidden="1" thickBot="1" x14ac:dyDescent="0.25">
      <c r="A1219" s="1527" t="s">
        <v>156</v>
      </c>
      <c r="B1219" s="1528"/>
      <c r="C1219" s="1528"/>
      <c r="D1219" s="1528"/>
      <c r="E1219" s="1528"/>
      <c r="F1219" s="1529"/>
      <c r="G1219" s="178">
        <f>ROUND(G1195+G1207+G1212+G1217,0)</f>
        <v>30592</v>
      </c>
    </row>
    <row r="1220" spans="1:10" hidden="1" x14ac:dyDescent="0.2">
      <c r="A1220" s="207"/>
      <c r="B1220" s="207"/>
      <c r="C1220" s="207"/>
      <c r="D1220" s="207"/>
      <c r="E1220" s="207"/>
      <c r="F1220" s="207"/>
      <c r="G1220" s="208"/>
    </row>
    <row r="1221" spans="1:10" ht="13.5" hidden="1" thickBot="1" x14ac:dyDescent="0.25">
      <c r="A1221" s="209"/>
      <c r="B1221" s="209"/>
      <c r="C1221" s="209"/>
      <c r="D1221" s="209"/>
      <c r="E1221" s="209"/>
      <c r="F1221" s="209"/>
      <c r="G1221" s="210"/>
    </row>
    <row r="1222" spans="1:10" ht="27" hidden="1" customHeight="1" x14ac:dyDescent="0.2">
      <c r="A1222" s="1548" t="s">
        <v>122</v>
      </c>
      <c r="B1222" s="1549"/>
      <c r="C1222" s="1550"/>
      <c r="D1222" s="50"/>
      <c r="E1222" s="50"/>
      <c r="F1222" s="50"/>
      <c r="G1222" s="98"/>
    </row>
    <row r="1223" spans="1:10" ht="24" hidden="1" customHeight="1" thickBot="1" x14ac:dyDescent="0.25">
      <c r="A1223" s="1551" t="s">
        <v>935</v>
      </c>
      <c r="B1223" s="1552"/>
      <c r="C1223" s="1553"/>
      <c r="D1223" s="99"/>
      <c r="E1223" s="99"/>
      <c r="F1223" s="99"/>
      <c r="G1223" s="100"/>
    </row>
    <row r="1224" spans="1:10" ht="72" hidden="1" customHeight="1" thickBot="1" x14ac:dyDescent="0.25">
      <c r="A1224" s="1558" t="s">
        <v>936</v>
      </c>
      <c r="B1224" s="1559"/>
      <c r="C1224" s="1560"/>
      <c r="D1224" s="1565" t="s">
        <v>341</v>
      </c>
      <c r="E1224" s="1559"/>
      <c r="F1224" s="1559"/>
      <c r="G1224" s="1560"/>
    </row>
    <row r="1225" spans="1:10" ht="13.5" hidden="1" thickBot="1" x14ac:dyDescent="0.25">
      <c r="A1225" s="192"/>
      <c r="B1225" s="192"/>
      <c r="C1225" s="192"/>
      <c r="D1225" s="192"/>
      <c r="E1225" s="192"/>
      <c r="F1225" s="192"/>
      <c r="G1225" s="192"/>
    </row>
    <row r="1226" spans="1:10" ht="12.75" hidden="1" customHeight="1" thickBot="1" x14ac:dyDescent="0.25">
      <c r="A1226" s="191"/>
      <c r="B1226" s="179"/>
      <c r="D1226" s="60" t="s">
        <v>124</v>
      </c>
      <c r="E1226" s="61" t="s">
        <v>6</v>
      </c>
      <c r="F1226" s="191"/>
      <c r="G1226" s="191"/>
    </row>
    <row r="1227" spans="1:10" ht="13.5" hidden="1" thickBot="1" x14ac:dyDescent="0.25">
      <c r="A1227" s="186" t="s">
        <v>108</v>
      </c>
      <c r="B1227" s="179"/>
      <c r="C1227" s="179"/>
      <c r="D1227" s="179"/>
      <c r="E1227" s="179"/>
      <c r="F1227" s="179"/>
      <c r="G1227" s="179"/>
    </row>
    <row r="1228" spans="1:10" ht="13.5" hidden="1" customHeight="1" thickBot="1" x14ac:dyDescent="0.25">
      <c r="A1228" s="1530" t="s">
        <v>109</v>
      </c>
      <c r="B1228" s="1554"/>
      <c r="C1228" s="1531"/>
      <c r="D1228" s="63" t="s">
        <v>110</v>
      </c>
      <c r="E1228" s="63" t="s">
        <v>111</v>
      </c>
      <c r="F1228" s="63" t="s">
        <v>112</v>
      </c>
      <c r="G1228" s="104"/>
    </row>
    <row r="1229" spans="1:10" hidden="1" x14ac:dyDescent="0.2">
      <c r="A1229" s="1540" t="s">
        <v>131</v>
      </c>
      <c r="B1229" s="1555"/>
      <c r="C1229" s="1541"/>
      <c r="D1229" s="130">
        <v>2062.5</v>
      </c>
      <c r="E1229" s="131">
        <v>0.2</v>
      </c>
      <c r="F1229" s="130">
        <f>+E1229*D1229</f>
        <v>412.5</v>
      </c>
      <c r="G1229" s="132"/>
      <c r="J1229" s="199"/>
    </row>
    <row r="1230" spans="1:10" hidden="1" x14ac:dyDescent="0.2">
      <c r="A1230" s="1543" t="s">
        <v>139</v>
      </c>
      <c r="B1230" s="1544"/>
      <c r="C1230" s="1545"/>
      <c r="D1230" s="135">
        <v>8125</v>
      </c>
      <c r="E1230" s="136">
        <v>0.2</v>
      </c>
      <c r="F1230" s="135">
        <f>+E1230*D1230</f>
        <v>1625</v>
      </c>
      <c r="G1230" s="137"/>
    </row>
    <row r="1231" spans="1:10" hidden="1" x14ac:dyDescent="0.2">
      <c r="A1231" s="1543" t="s">
        <v>147</v>
      </c>
      <c r="B1231" s="1544"/>
      <c r="C1231" s="1545"/>
      <c r="D1231" s="135">
        <v>187.5</v>
      </c>
      <c r="E1231" s="136">
        <v>1</v>
      </c>
      <c r="F1231" s="135">
        <f>+E1231*D1231</f>
        <v>187.5</v>
      </c>
      <c r="G1231" s="137"/>
      <c r="I1231" s="199"/>
    </row>
    <row r="1232" spans="1:10" ht="13.5" hidden="1" thickBot="1" x14ac:dyDescent="0.25">
      <c r="A1232" s="1542"/>
      <c r="B1232" s="1564"/>
      <c r="C1232" s="1535"/>
      <c r="D1232" s="139"/>
      <c r="E1232" s="141"/>
      <c r="F1232" s="139"/>
      <c r="G1232" s="140"/>
    </row>
    <row r="1233" spans="1:14" ht="13.5" hidden="1" thickBot="1" x14ac:dyDescent="0.25">
      <c r="A1233" s="1527" t="s">
        <v>125</v>
      </c>
      <c r="B1233" s="1528"/>
      <c r="C1233" s="1528"/>
      <c r="D1233" s="1528"/>
      <c r="E1233" s="1528"/>
      <c r="F1233" s="1529"/>
      <c r="G1233" s="181">
        <f>SUM(F1229:F1232)</f>
        <v>2225</v>
      </c>
    </row>
    <row r="1234" spans="1:14" ht="13.5" hidden="1" thickBot="1" x14ac:dyDescent="0.25">
      <c r="A1234" s="186" t="s">
        <v>123</v>
      </c>
      <c r="B1234" s="179"/>
      <c r="C1234" s="179"/>
      <c r="D1234" s="179"/>
      <c r="E1234" s="179"/>
      <c r="F1234" s="179"/>
      <c r="G1234" s="179"/>
      <c r="I1234" s="105">
        <f>6/5.6</f>
        <v>1.0714285714285714</v>
      </c>
    </row>
    <row r="1235" spans="1:14" ht="13.5" hidden="1" thickBot="1" x14ac:dyDescent="0.25">
      <c r="A1235" s="1530" t="s">
        <v>109</v>
      </c>
      <c r="B1235" s="1531"/>
      <c r="C1235" s="63" t="s">
        <v>114</v>
      </c>
      <c r="D1235" s="63" t="s">
        <v>115</v>
      </c>
      <c r="E1235" s="63" t="s">
        <v>116</v>
      </c>
      <c r="F1235" s="63" t="s">
        <v>112</v>
      </c>
      <c r="G1235" s="104"/>
      <c r="K1235" s="199">
        <f>0.6*8*D1236</f>
        <v>42403.199999999997</v>
      </c>
      <c r="M1235" s="199">
        <f>5*8*D1236</f>
        <v>353360</v>
      </c>
    </row>
    <row r="1236" spans="1:14" hidden="1" x14ac:dyDescent="0.2">
      <c r="A1236" s="1536" t="s">
        <v>946</v>
      </c>
      <c r="B1236" s="1537"/>
      <c r="C1236" s="134" t="s">
        <v>6</v>
      </c>
      <c r="D1236" s="203">
        <v>8834</v>
      </c>
      <c r="E1236" s="134">
        <v>1.1200000000000001</v>
      </c>
      <c r="F1236" s="135">
        <f>+E1236*D1236</f>
        <v>9894.0800000000017</v>
      </c>
      <c r="G1236" s="137"/>
      <c r="I1236" s="199">
        <f>5.6*D1236</f>
        <v>49470.399999999994</v>
      </c>
      <c r="K1236" s="199">
        <f>0.12*D1236</f>
        <v>1060.08</v>
      </c>
      <c r="M1236" s="199">
        <f>M1235+K1235</f>
        <v>395763.20000000001</v>
      </c>
      <c r="N1236" s="199">
        <f>M1236/5/8</f>
        <v>9894.08</v>
      </c>
    </row>
    <row r="1237" spans="1:14" ht="12.75" hidden="1" customHeight="1" x14ac:dyDescent="0.2">
      <c r="A1237" s="1536" t="s">
        <v>93</v>
      </c>
      <c r="B1237" s="1537"/>
      <c r="C1237" s="134" t="s">
        <v>2</v>
      </c>
      <c r="D1237" s="203">
        <v>51500</v>
      </c>
      <c r="E1237" s="134">
        <v>5.7000000000000002E-2</v>
      </c>
      <c r="F1237" s="135">
        <f>D1237*E1237</f>
        <v>2935.5</v>
      </c>
      <c r="G1237" s="137"/>
      <c r="I1237" s="199">
        <f>D1236*6</f>
        <v>53004</v>
      </c>
      <c r="N1237" s="199">
        <f>N1236-D1236</f>
        <v>1060.08</v>
      </c>
    </row>
    <row r="1238" spans="1:14" hidden="1" x14ac:dyDescent="0.2">
      <c r="A1238" s="1536" t="s">
        <v>913</v>
      </c>
      <c r="B1238" s="1537"/>
      <c r="C1238" s="134" t="s">
        <v>2</v>
      </c>
      <c r="D1238" s="203">
        <v>30000</v>
      </c>
      <c r="E1238" s="134">
        <v>5.7000000000000002E-2</v>
      </c>
      <c r="F1238" s="135">
        <f>D1238*E1238</f>
        <v>1710</v>
      </c>
      <c r="G1238" s="205"/>
      <c r="I1238" s="199">
        <f>F1236*5.6</f>
        <v>55406.848000000005</v>
      </c>
    </row>
    <row r="1239" spans="1:14" hidden="1" x14ac:dyDescent="0.2">
      <c r="A1239" s="1536" t="s">
        <v>92</v>
      </c>
      <c r="B1239" s="1537"/>
      <c r="C1239" s="134" t="s">
        <v>4</v>
      </c>
      <c r="D1239" s="203">
        <v>15500</v>
      </c>
      <c r="E1239" s="134">
        <v>0.06</v>
      </c>
      <c r="F1239" s="135">
        <f>D1239*E1239</f>
        <v>930</v>
      </c>
      <c r="G1239" s="205"/>
    </row>
    <row r="1240" spans="1:14" hidden="1" x14ac:dyDescent="0.2">
      <c r="A1240" s="1543"/>
      <c r="B1240" s="1545"/>
      <c r="C1240" s="134"/>
      <c r="D1240" s="203"/>
      <c r="E1240" s="134"/>
      <c r="F1240" s="135"/>
      <c r="G1240" s="205"/>
    </row>
    <row r="1241" spans="1:14" hidden="1" x14ac:dyDescent="0.2">
      <c r="A1241" s="1543"/>
      <c r="B1241" s="1545"/>
      <c r="C1241" s="134"/>
      <c r="D1241" s="203"/>
      <c r="E1241" s="134"/>
      <c r="F1241" s="135"/>
      <c r="G1241" s="205"/>
    </row>
    <row r="1242" spans="1:14" hidden="1" x14ac:dyDescent="0.2">
      <c r="A1242" s="1543"/>
      <c r="B1242" s="1545"/>
      <c r="C1242" s="204"/>
      <c r="D1242" s="203"/>
      <c r="E1242" s="134"/>
      <c r="F1242" s="135"/>
      <c r="G1242" s="205"/>
      <c r="I1242" s="199"/>
    </row>
    <row r="1243" spans="1:14" hidden="1" x14ac:dyDescent="0.2">
      <c r="A1243" s="1543"/>
      <c r="B1243" s="1545"/>
      <c r="C1243" s="204"/>
      <c r="D1243" s="203"/>
      <c r="E1243" s="134"/>
      <c r="F1243" s="135"/>
      <c r="G1243" s="205"/>
    </row>
    <row r="1244" spans="1:14" ht="13.5" hidden="1" thickBot="1" x14ac:dyDescent="0.25">
      <c r="A1244" s="1543"/>
      <c r="B1244" s="1545"/>
      <c r="C1244" s="204"/>
      <c r="D1244" s="203"/>
      <c r="E1244" s="204"/>
      <c r="F1244" s="135"/>
      <c r="G1244" s="205"/>
    </row>
    <row r="1245" spans="1:14" ht="13.5" hidden="1" thickBot="1" x14ac:dyDescent="0.25">
      <c r="A1245" s="1527" t="s">
        <v>125</v>
      </c>
      <c r="B1245" s="1528"/>
      <c r="C1245" s="1528"/>
      <c r="D1245" s="1528"/>
      <c r="E1245" s="1528"/>
      <c r="F1245" s="1529" t="s">
        <v>113</v>
      </c>
      <c r="G1245" s="181">
        <f>SUM(F1236:F1244)</f>
        <v>15469.580000000002</v>
      </c>
    </row>
    <row r="1246" spans="1:14" ht="13.5" hidden="1" thickBot="1" x14ac:dyDescent="0.25">
      <c r="A1246" s="186" t="s">
        <v>117</v>
      </c>
      <c r="B1246" s="179"/>
      <c r="C1246" s="179"/>
      <c r="D1246" s="179"/>
      <c r="E1246" s="179"/>
      <c r="F1246" s="179"/>
      <c r="G1246" s="179"/>
    </row>
    <row r="1247" spans="1:14" ht="13.5" hidden="1" thickBot="1" x14ac:dyDescent="0.25">
      <c r="A1247" s="1530" t="s">
        <v>109</v>
      </c>
      <c r="B1247" s="1531"/>
      <c r="C1247" s="63" t="s">
        <v>114</v>
      </c>
      <c r="D1247" s="63" t="s">
        <v>115</v>
      </c>
      <c r="E1247" s="63" t="s">
        <v>116</v>
      </c>
      <c r="F1247" s="63" t="s">
        <v>112</v>
      </c>
      <c r="G1247" s="115"/>
    </row>
    <row r="1248" spans="1:14" hidden="1" x14ac:dyDescent="0.2">
      <c r="A1248" s="1540" t="s">
        <v>205</v>
      </c>
      <c r="B1248" s="1541"/>
      <c r="C1248" s="189" t="s">
        <v>159</v>
      </c>
      <c r="D1248" s="130">
        <v>60714.285714285717</v>
      </c>
      <c r="E1248" s="200">
        <v>0</v>
      </c>
      <c r="F1248" s="135">
        <f>D1248*E1248</f>
        <v>0</v>
      </c>
      <c r="G1248" s="132"/>
    </row>
    <row r="1249" spans="1:9" ht="13.5" hidden="1" thickBot="1" x14ac:dyDescent="0.25">
      <c r="A1249" s="1542"/>
      <c r="B1249" s="1535"/>
      <c r="C1249" s="189"/>
      <c r="D1249" s="139"/>
      <c r="E1249" s="201"/>
      <c r="F1249" s="139">
        <f>D1249*E1249</f>
        <v>0</v>
      </c>
      <c r="G1249" s="187"/>
    </row>
    <row r="1250" spans="1:9" ht="13.5" hidden="1" thickBot="1" x14ac:dyDescent="0.25">
      <c r="A1250" s="1527" t="s">
        <v>125</v>
      </c>
      <c r="B1250" s="1528"/>
      <c r="C1250" s="1528"/>
      <c r="D1250" s="1528"/>
      <c r="E1250" s="1528"/>
      <c r="F1250" s="1529" t="s">
        <v>113</v>
      </c>
      <c r="G1250" s="181">
        <f>SUM(F1248:F1249)</f>
        <v>0</v>
      </c>
    </row>
    <row r="1251" spans="1:9" ht="13.5" hidden="1" thickBot="1" x14ac:dyDescent="0.25">
      <c r="A1251" s="186" t="s">
        <v>119</v>
      </c>
      <c r="B1251" s="179"/>
      <c r="C1251" s="179"/>
      <c r="D1251" s="179"/>
      <c r="E1251" s="179"/>
      <c r="F1251" s="179"/>
      <c r="G1251" s="179"/>
    </row>
    <row r="1252" spans="1:9" ht="21.75" hidden="1" thickBot="1" x14ac:dyDescent="0.25">
      <c r="A1252" s="1530" t="s">
        <v>120</v>
      </c>
      <c r="B1252" s="1531"/>
      <c r="C1252" s="63" t="s">
        <v>121</v>
      </c>
      <c r="D1252" s="63" t="s">
        <v>114</v>
      </c>
      <c r="E1252" s="63" t="s">
        <v>116</v>
      </c>
      <c r="F1252" s="63" t="s">
        <v>112</v>
      </c>
      <c r="G1252" s="121"/>
    </row>
    <row r="1253" spans="1:9" hidden="1" x14ac:dyDescent="0.2">
      <c r="A1253" s="1532" t="s">
        <v>21</v>
      </c>
      <c r="B1253" s="1533"/>
      <c r="C1253" s="122">
        <v>7410.9600847008996</v>
      </c>
      <c r="D1253" s="198">
        <v>1</v>
      </c>
      <c r="E1253" s="198">
        <v>0.4</v>
      </c>
      <c r="F1253" s="124">
        <f>+(C1253*D1253)*E1253</f>
        <v>2964.3840338803602</v>
      </c>
      <c r="G1253" s="132"/>
      <c r="I1253" s="199">
        <f>G1245*0.3</f>
        <v>4640.8740000000007</v>
      </c>
    </row>
    <row r="1254" spans="1:9" ht="13.5" hidden="1" thickBot="1" x14ac:dyDescent="0.25">
      <c r="A1254" s="1534" t="s">
        <v>22</v>
      </c>
      <c r="B1254" s="1535"/>
      <c r="C1254" s="184">
        <v>4374.7823749999998</v>
      </c>
      <c r="D1254" s="202">
        <v>2</v>
      </c>
      <c r="E1254" s="202">
        <f>+E1253</f>
        <v>0.4</v>
      </c>
      <c r="F1254" s="182">
        <f>+(C1254*D1254)*E1254</f>
        <v>3499.8258999999998</v>
      </c>
      <c r="G1254" s="140"/>
    </row>
    <row r="1255" spans="1:9" ht="13.5" hidden="1" thickBot="1" x14ac:dyDescent="0.25">
      <c r="A1255" s="1527" t="str">
        <f>+A1250</f>
        <v>SUB-TOTAL</v>
      </c>
      <c r="B1255" s="1528"/>
      <c r="C1255" s="1528"/>
      <c r="D1255" s="1528"/>
      <c r="E1255" s="1528"/>
      <c r="F1255" s="1529" t="s">
        <v>113</v>
      </c>
      <c r="G1255" s="181">
        <f>SUM(F1253:F1254)</f>
        <v>6464.20993388036</v>
      </c>
    </row>
    <row r="1256" spans="1:9" ht="11.25" hidden="1" customHeight="1" thickBot="1" x14ac:dyDescent="0.25">
      <c r="A1256" s="179"/>
      <c r="B1256" s="179"/>
      <c r="C1256" s="179"/>
      <c r="D1256" s="179"/>
      <c r="E1256" s="179"/>
      <c r="F1256" s="180"/>
      <c r="G1256" s="179"/>
    </row>
    <row r="1257" spans="1:9" ht="13.5" hidden="1" thickBot="1" x14ac:dyDescent="0.25">
      <c r="A1257" s="1527" t="s">
        <v>156</v>
      </c>
      <c r="B1257" s="1528"/>
      <c r="C1257" s="1528"/>
      <c r="D1257" s="1528"/>
      <c r="E1257" s="1528"/>
      <c r="F1257" s="1529"/>
      <c r="G1257" s="178">
        <f>ROUND(G1233+G1245+G1250+G1255,0)</f>
        <v>24159</v>
      </c>
    </row>
    <row r="1258" spans="1:9" hidden="1" x14ac:dyDescent="0.2">
      <c r="A1258" s="207"/>
      <c r="B1258" s="207"/>
      <c r="C1258" s="207"/>
      <c r="D1258" s="207"/>
      <c r="E1258" s="207"/>
      <c r="F1258" s="207"/>
      <c r="G1258" s="208"/>
    </row>
    <row r="1259" spans="1:9" ht="13.5" hidden="1" thickBot="1" x14ac:dyDescent="0.25">
      <c r="A1259" s="209"/>
      <c r="B1259" s="209"/>
      <c r="C1259" s="209"/>
      <c r="D1259" s="209"/>
      <c r="E1259" s="209"/>
      <c r="F1259" s="209"/>
      <c r="G1259" s="210"/>
    </row>
    <row r="1260" spans="1:9" ht="27" hidden="1" customHeight="1" x14ac:dyDescent="0.2">
      <c r="A1260" s="1548" t="s">
        <v>122</v>
      </c>
      <c r="B1260" s="1549"/>
      <c r="C1260" s="1550"/>
      <c r="D1260" s="50"/>
      <c r="E1260" s="50"/>
      <c r="F1260" s="50"/>
      <c r="G1260" s="98"/>
    </row>
    <row r="1261" spans="1:9" ht="24" hidden="1" customHeight="1" thickBot="1" x14ac:dyDescent="0.25">
      <c r="A1261" s="1551" t="s">
        <v>935</v>
      </c>
      <c r="B1261" s="1552"/>
      <c r="C1261" s="1553"/>
      <c r="D1261" s="99"/>
      <c r="E1261" s="99"/>
      <c r="F1261" s="99"/>
      <c r="G1261" s="100"/>
    </row>
    <row r="1262" spans="1:9" ht="72" hidden="1" customHeight="1" thickBot="1" x14ac:dyDescent="0.25">
      <c r="A1262" s="1558" t="s">
        <v>936</v>
      </c>
      <c r="B1262" s="1559"/>
      <c r="C1262" s="1560"/>
      <c r="D1262" s="1565" t="s">
        <v>342</v>
      </c>
      <c r="E1262" s="1559"/>
      <c r="F1262" s="1559"/>
      <c r="G1262" s="1560"/>
    </row>
    <row r="1263" spans="1:9" ht="13.5" hidden="1" thickBot="1" x14ac:dyDescent="0.25">
      <c r="A1263" s="192"/>
      <c r="B1263" s="192"/>
      <c r="C1263" s="192"/>
      <c r="D1263" s="192"/>
      <c r="E1263" s="192"/>
      <c r="F1263" s="192"/>
      <c r="G1263" s="192"/>
    </row>
    <row r="1264" spans="1:9" ht="12.75" hidden="1" customHeight="1" thickBot="1" x14ac:dyDescent="0.25">
      <c r="A1264" s="191"/>
      <c r="B1264" s="179"/>
      <c r="D1264" s="60" t="s">
        <v>124</v>
      </c>
      <c r="E1264" s="61" t="s">
        <v>6</v>
      </c>
      <c r="F1264" s="191"/>
      <c r="G1264" s="191"/>
    </row>
    <row r="1265" spans="1:10" ht="13.5" hidden="1" thickBot="1" x14ac:dyDescent="0.25">
      <c r="A1265" s="186" t="s">
        <v>108</v>
      </c>
      <c r="B1265" s="179"/>
      <c r="C1265" s="179"/>
      <c r="D1265" s="179"/>
      <c r="E1265" s="179"/>
      <c r="F1265" s="179"/>
      <c r="G1265" s="179"/>
    </row>
    <row r="1266" spans="1:10" ht="13.5" hidden="1" customHeight="1" thickBot="1" x14ac:dyDescent="0.25">
      <c r="A1266" s="1530" t="s">
        <v>109</v>
      </c>
      <c r="B1266" s="1554"/>
      <c r="C1266" s="1531"/>
      <c r="D1266" s="63" t="s">
        <v>110</v>
      </c>
      <c r="E1266" s="63" t="s">
        <v>111</v>
      </c>
      <c r="F1266" s="63" t="s">
        <v>112</v>
      </c>
      <c r="G1266" s="104"/>
    </row>
    <row r="1267" spans="1:10" hidden="1" x14ac:dyDescent="0.2">
      <c r="A1267" s="1540" t="s">
        <v>131</v>
      </c>
      <c r="B1267" s="1555"/>
      <c r="C1267" s="1541"/>
      <c r="D1267" s="130">
        <v>2062.5</v>
      </c>
      <c r="E1267" s="131">
        <v>0.1</v>
      </c>
      <c r="F1267" s="130">
        <f>+E1267*D1267</f>
        <v>206.25</v>
      </c>
      <c r="G1267" s="132"/>
      <c r="J1267" s="199"/>
    </row>
    <row r="1268" spans="1:10" hidden="1" x14ac:dyDescent="0.2">
      <c r="A1268" s="1543" t="s">
        <v>139</v>
      </c>
      <c r="B1268" s="1544"/>
      <c r="C1268" s="1545"/>
      <c r="D1268" s="135">
        <v>8125</v>
      </c>
      <c r="E1268" s="136">
        <v>0.1</v>
      </c>
      <c r="F1268" s="135">
        <f>+E1268*D1268</f>
        <v>812.5</v>
      </c>
      <c r="G1268" s="137"/>
    </row>
    <row r="1269" spans="1:10" hidden="1" x14ac:dyDescent="0.2">
      <c r="A1269" s="1543" t="s">
        <v>147</v>
      </c>
      <c r="B1269" s="1544"/>
      <c r="C1269" s="1545"/>
      <c r="D1269" s="135">
        <v>187.5</v>
      </c>
      <c r="E1269" s="136">
        <v>0.5</v>
      </c>
      <c r="F1269" s="135">
        <f>+E1269*D1269</f>
        <v>93.75</v>
      </c>
      <c r="G1269" s="137"/>
      <c r="I1269" s="199"/>
    </row>
    <row r="1270" spans="1:10" ht="13.5" hidden="1" thickBot="1" x14ac:dyDescent="0.25">
      <c r="A1270" s="1542"/>
      <c r="B1270" s="1564"/>
      <c r="C1270" s="1535"/>
      <c r="D1270" s="139"/>
      <c r="E1270" s="141"/>
      <c r="F1270" s="139">
        <f>+E1270*D1270</f>
        <v>0</v>
      </c>
      <c r="G1270" s="140"/>
    </row>
    <row r="1271" spans="1:10" ht="13.5" hidden="1" thickBot="1" x14ac:dyDescent="0.25">
      <c r="A1271" s="1527" t="s">
        <v>125</v>
      </c>
      <c r="B1271" s="1528"/>
      <c r="C1271" s="1528"/>
      <c r="D1271" s="1528"/>
      <c r="E1271" s="1528"/>
      <c r="F1271" s="1529"/>
      <c r="G1271" s="181">
        <f>SUM(F1267:F1270)</f>
        <v>1112.5</v>
      </c>
    </row>
    <row r="1272" spans="1:10" ht="13.5" hidden="1" thickBot="1" x14ac:dyDescent="0.25">
      <c r="A1272" s="186" t="s">
        <v>123</v>
      </c>
      <c r="B1272" s="179"/>
      <c r="C1272" s="179"/>
      <c r="D1272" s="179"/>
      <c r="E1272" s="179"/>
      <c r="F1272" s="179"/>
      <c r="G1272" s="179"/>
      <c r="I1272" s="105">
        <f>6/5.6</f>
        <v>1.0714285714285714</v>
      </c>
    </row>
    <row r="1273" spans="1:10" ht="13.5" hidden="1" thickBot="1" x14ac:dyDescent="0.25">
      <c r="A1273" s="1530" t="s">
        <v>109</v>
      </c>
      <c r="B1273" s="1531"/>
      <c r="C1273" s="63" t="s">
        <v>114</v>
      </c>
      <c r="D1273" s="63" t="s">
        <v>115</v>
      </c>
      <c r="E1273" s="63" t="s">
        <v>116</v>
      </c>
      <c r="F1273" s="63" t="s">
        <v>112</v>
      </c>
      <c r="G1273" s="104"/>
    </row>
    <row r="1274" spans="1:10" hidden="1" x14ac:dyDescent="0.2">
      <c r="A1274" s="1536" t="s">
        <v>942</v>
      </c>
      <c r="B1274" s="1537"/>
      <c r="C1274" s="134" t="s">
        <v>6</v>
      </c>
      <c r="D1274" s="203">
        <v>6509</v>
      </c>
      <c r="E1274" s="134">
        <v>1</v>
      </c>
      <c r="F1274" s="135">
        <f>+E1274*D1274</f>
        <v>6509</v>
      </c>
      <c r="G1274" s="137"/>
      <c r="I1274" s="199">
        <f>5.6*D1274</f>
        <v>36450.399999999994</v>
      </c>
    </row>
    <row r="1275" spans="1:10" ht="12.75" hidden="1" customHeight="1" x14ac:dyDescent="0.2">
      <c r="A1275" s="1536" t="s">
        <v>92</v>
      </c>
      <c r="B1275" s="1537"/>
      <c r="C1275" s="134" t="s">
        <v>64</v>
      </c>
      <c r="D1275" s="203">
        <v>15500</v>
      </c>
      <c r="E1275" s="134">
        <v>0.06</v>
      </c>
      <c r="F1275" s="135">
        <f>D1275*E1275</f>
        <v>930</v>
      </c>
      <c r="G1275" s="137"/>
      <c r="I1275" s="199">
        <f>D1274*6</f>
        <v>39054</v>
      </c>
    </row>
    <row r="1276" spans="1:10" hidden="1" x14ac:dyDescent="0.2">
      <c r="A1276" s="1536" t="s">
        <v>93</v>
      </c>
      <c r="B1276" s="1537"/>
      <c r="C1276" s="134" t="s">
        <v>64</v>
      </c>
      <c r="D1276" s="203">
        <v>51500</v>
      </c>
      <c r="E1276" s="134">
        <v>2.5000000000000001E-2</v>
      </c>
      <c r="F1276" s="135">
        <f>D1276*E1276</f>
        <v>1287.5</v>
      </c>
      <c r="G1276" s="205"/>
      <c r="I1276" s="199">
        <f>F1274*5.6</f>
        <v>36450.399999999994</v>
      </c>
    </row>
    <row r="1277" spans="1:10" hidden="1" x14ac:dyDescent="0.2">
      <c r="A1277" s="1536" t="s">
        <v>913</v>
      </c>
      <c r="B1277" s="1537"/>
      <c r="C1277" s="134" t="s">
        <v>64</v>
      </c>
      <c r="D1277" s="203">
        <v>30000</v>
      </c>
      <c r="E1277" s="134">
        <v>2.5000000000000001E-2</v>
      </c>
      <c r="F1277" s="135">
        <f>D1277*E1277</f>
        <v>750</v>
      </c>
      <c r="G1277" s="205"/>
    </row>
    <row r="1278" spans="1:10" hidden="1" x14ac:dyDescent="0.2">
      <c r="A1278" s="1543"/>
      <c r="B1278" s="1545"/>
      <c r="C1278" s="134"/>
      <c r="D1278" s="203"/>
      <c r="E1278" s="134"/>
      <c r="F1278" s="135"/>
      <c r="G1278" s="205"/>
    </row>
    <row r="1279" spans="1:10" hidden="1" x14ac:dyDescent="0.2">
      <c r="A1279" s="1543"/>
      <c r="B1279" s="1545"/>
      <c r="C1279" s="134"/>
      <c r="D1279" s="203"/>
      <c r="E1279" s="134"/>
      <c r="F1279" s="135"/>
      <c r="G1279" s="205"/>
    </row>
    <row r="1280" spans="1:10" hidden="1" x14ac:dyDescent="0.2">
      <c r="A1280" s="1543"/>
      <c r="B1280" s="1545"/>
      <c r="C1280" s="204"/>
      <c r="D1280" s="203"/>
      <c r="E1280" s="134"/>
      <c r="F1280" s="135"/>
      <c r="G1280" s="205"/>
      <c r="I1280" s="199"/>
    </row>
    <row r="1281" spans="1:9" hidden="1" x14ac:dyDescent="0.2">
      <c r="A1281" s="1543"/>
      <c r="B1281" s="1545"/>
      <c r="C1281" s="204"/>
      <c r="D1281" s="203"/>
      <c r="E1281" s="134"/>
      <c r="F1281" s="135"/>
      <c r="G1281" s="205"/>
    </row>
    <row r="1282" spans="1:9" ht="13.5" hidden="1" thickBot="1" x14ac:dyDescent="0.25">
      <c r="A1282" s="1543"/>
      <c r="B1282" s="1545"/>
      <c r="C1282" s="204"/>
      <c r="D1282" s="203"/>
      <c r="E1282" s="204"/>
      <c r="F1282" s="135"/>
      <c r="G1282" s="205"/>
    </row>
    <row r="1283" spans="1:9" ht="13.5" hidden="1" thickBot="1" x14ac:dyDescent="0.25">
      <c r="A1283" s="1527" t="s">
        <v>125</v>
      </c>
      <c r="B1283" s="1528"/>
      <c r="C1283" s="1528"/>
      <c r="D1283" s="1528"/>
      <c r="E1283" s="1528"/>
      <c r="F1283" s="1529" t="s">
        <v>113</v>
      </c>
      <c r="G1283" s="181">
        <f>SUM(F1274:F1282)</f>
        <v>9476.5</v>
      </c>
    </row>
    <row r="1284" spans="1:9" ht="13.5" hidden="1" thickBot="1" x14ac:dyDescent="0.25">
      <c r="A1284" s="186" t="s">
        <v>117</v>
      </c>
      <c r="B1284" s="179"/>
      <c r="C1284" s="179"/>
      <c r="D1284" s="179"/>
      <c r="E1284" s="179"/>
      <c r="F1284" s="179"/>
      <c r="G1284" s="179"/>
    </row>
    <row r="1285" spans="1:9" ht="13.5" hidden="1" thickBot="1" x14ac:dyDescent="0.25">
      <c r="A1285" s="1530" t="s">
        <v>109</v>
      </c>
      <c r="B1285" s="1531"/>
      <c r="C1285" s="63" t="s">
        <v>114</v>
      </c>
      <c r="D1285" s="63" t="s">
        <v>115</v>
      </c>
      <c r="E1285" s="63" t="s">
        <v>116</v>
      </c>
      <c r="F1285" s="63" t="s">
        <v>112</v>
      </c>
      <c r="G1285" s="115"/>
    </row>
    <row r="1286" spans="1:9" hidden="1" x14ac:dyDescent="0.2">
      <c r="A1286" s="1540" t="s">
        <v>205</v>
      </c>
      <c r="B1286" s="1541"/>
      <c r="C1286" s="189" t="s">
        <v>159</v>
      </c>
      <c r="D1286" s="130">
        <v>60714.285714285717</v>
      </c>
      <c r="E1286" s="200">
        <v>0</v>
      </c>
      <c r="F1286" s="135">
        <f>D1286*E1286</f>
        <v>0</v>
      </c>
      <c r="G1286" s="132"/>
    </row>
    <row r="1287" spans="1:9" ht="13.5" hidden="1" thickBot="1" x14ac:dyDescent="0.25">
      <c r="A1287" s="1542"/>
      <c r="B1287" s="1535"/>
      <c r="C1287" s="189"/>
      <c r="D1287" s="139"/>
      <c r="E1287" s="201"/>
      <c r="F1287" s="139">
        <f>D1287*E1287</f>
        <v>0</v>
      </c>
      <c r="G1287" s="187"/>
    </row>
    <row r="1288" spans="1:9" ht="13.5" hidden="1" thickBot="1" x14ac:dyDescent="0.25">
      <c r="A1288" s="1527" t="s">
        <v>125</v>
      </c>
      <c r="B1288" s="1528"/>
      <c r="C1288" s="1528"/>
      <c r="D1288" s="1528"/>
      <c r="E1288" s="1528"/>
      <c r="F1288" s="1529" t="s">
        <v>113</v>
      </c>
      <c r="G1288" s="181">
        <f>SUM(F1286:F1287)</f>
        <v>0</v>
      </c>
    </row>
    <row r="1289" spans="1:9" ht="13.5" hidden="1" thickBot="1" x14ac:dyDescent="0.25">
      <c r="A1289" s="186" t="s">
        <v>119</v>
      </c>
      <c r="B1289" s="179"/>
      <c r="C1289" s="179"/>
      <c r="D1289" s="179"/>
      <c r="E1289" s="179"/>
      <c r="F1289" s="179"/>
      <c r="G1289" s="179"/>
      <c r="I1289" s="199"/>
    </row>
    <row r="1290" spans="1:9" ht="21.75" hidden="1" thickBot="1" x14ac:dyDescent="0.25">
      <c r="A1290" s="1530" t="s">
        <v>120</v>
      </c>
      <c r="B1290" s="1531"/>
      <c r="C1290" s="63" t="s">
        <v>121</v>
      </c>
      <c r="D1290" s="63" t="s">
        <v>114</v>
      </c>
      <c r="E1290" s="63" t="s">
        <v>116</v>
      </c>
      <c r="F1290" s="63" t="s">
        <v>112</v>
      </c>
      <c r="G1290" s="121"/>
    </row>
    <row r="1291" spans="1:9" hidden="1" x14ac:dyDescent="0.2">
      <c r="A1291" s="1532" t="s">
        <v>21</v>
      </c>
      <c r="B1291" s="1533"/>
      <c r="C1291" s="122">
        <v>7410.9600847008996</v>
      </c>
      <c r="D1291" s="198">
        <v>1</v>
      </c>
      <c r="E1291" s="198">
        <v>0.2</v>
      </c>
      <c r="F1291" s="124">
        <f>+(C1291*D1291)*E1291</f>
        <v>1482.1920169401801</v>
      </c>
      <c r="G1291" s="132"/>
    </row>
    <row r="1292" spans="1:9" ht="13.5" hidden="1" thickBot="1" x14ac:dyDescent="0.25">
      <c r="A1292" s="1534" t="s">
        <v>22</v>
      </c>
      <c r="B1292" s="1535"/>
      <c r="C1292" s="184">
        <v>4374.7823749999998</v>
      </c>
      <c r="D1292" s="202">
        <v>2</v>
      </c>
      <c r="E1292" s="202">
        <f>+E1291</f>
        <v>0.2</v>
      </c>
      <c r="F1292" s="182">
        <f>+(C1292*D1292)*E1292</f>
        <v>1749.9129499999999</v>
      </c>
      <c r="G1292" s="140"/>
    </row>
    <row r="1293" spans="1:9" ht="13.5" hidden="1" thickBot="1" x14ac:dyDescent="0.25">
      <c r="A1293" s="1527" t="str">
        <f>+A1288</f>
        <v>SUB-TOTAL</v>
      </c>
      <c r="B1293" s="1528"/>
      <c r="C1293" s="1528"/>
      <c r="D1293" s="1528"/>
      <c r="E1293" s="1528"/>
      <c r="F1293" s="1529" t="s">
        <v>113</v>
      </c>
      <c r="G1293" s="181">
        <f>SUM(F1291:F1292)</f>
        <v>3232.10496694018</v>
      </c>
    </row>
    <row r="1294" spans="1:9" ht="11.25" hidden="1" customHeight="1" thickBot="1" x14ac:dyDescent="0.25">
      <c r="A1294" s="179"/>
      <c r="B1294" s="179"/>
      <c r="C1294" s="179"/>
      <c r="D1294" s="179"/>
      <c r="E1294" s="179"/>
      <c r="F1294" s="180"/>
      <c r="G1294" s="179"/>
    </row>
    <row r="1295" spans="1:9" ht="13.5" hidden="1" thickBot="1" x14ac:dyDescent="0.25">
      <c r="A1295" s="1527" t="s">
        <v>156</v>
      </c>
      <c r="B1295" s="1528"/>
      <c r="C1295" s="1528"/>
      <c r="D1295" s="1528"/>
      <c r="E1295" s="1528"/>
      <c r="F1295" s="1529"/>
      <c r="G1295" s="178">
        <f>ROUND(G1271+G1283+G1288+G1293,0)</f>
        <v>13821</v>
      </c>
    </row>
    <row r="1296" spans="1:9" hidden="1" x14ac:dyDescent="0.2">
      <c r="A1296" s="207"/>
      <c r="B1296" s="207"/>
      <c r="C1296" s="207"/>
      <c r="D1296" s="207"/>
      <c r="E1296" s="207"/>
      <c r="F1296" s="207"/>
      <c r="G1296" s="208"/>
    </row>
    <row r="1297" spans="1:9" ht="13.5" hidden="1" thickBot="1" x14ac:dyDescent="0.25">
      <c r="A1297" s="209"/>
      <c r="B1297" s="209"/>
      <c r="C1297" s="209"/>
      <c r="D1297" s="209"/>
      <c r="E1297" s="209"/>
      <c r="F1297" s="209"/>
      <c r="G1297" s="210"/>
    </row>
    <row r="1298" spans="1:9" ht="27" hidden="1" customHeight="1" x14ac:dyDescent="0.2">
      <c r="A1298" s="1548" t="s">
        <v>122</v>
      </c>
      <c r="B1298" s="1549"/>
      <c r="C1298" s="1550"/>
      <c r="D1298" s="50"/>
      <c r="E1298" s="50"/>
      <c r="F1298" s="50"/>
      <c r="G1298" s="98"/>
    </row>
    <row r="1299" spans="1:9" ht="24" hidden="1" customHeight="1" thickBot="1" x14ac:dyDescent="0.25">
      <c r="A1299" s="1551" t="s">
        <v>935</v>
      </c>
      <c r="B1299" s="1552"/>
      <c r="C1299" s="1553"/>
      <c r="D1299" s="99"/>
      <c r="E1299" s="99"/>
      <c r="F1299" s="99"/>
      <c r="G1299" s="100"/>
    </row>
    <row r="1300" spans="1:9" ht="13.5" hidden="1" thickBot="1" x14ac:dyDescent="0.25">
      <c r="A1300" s="179"/>
      <c r="B1300" s="179"/>
      <c r="C1300" s="179"/>
      <c r="D1300" s="179"/>
      <c r="E1300" s="179"/>
      <c r="F1300" s="179"/>
      <c r="G1300" s="179"/>
    </row>
    <row r="1301" spans="1:9" ht="30.75" hidden="1" customHeight="1" thickBot="1" x14ac:dyDescent="0.25">
      <c r="A1301" s="1558" t="s">
        <v>936</v>
      </c>
      <c r="B1301" s="1559"/>
      <c r="C1301" s="1560"/>
      <c r="D1301" s="1565" t="s">
        <v>343</v>
      </c>
      <c r="E1301" s="1559"/>
      <c r="F1301" s="1559"/>
      <c r="G1301" s="1560"/>
    </row>
    <row r="1302" spans="1:9" ht="13.5" hidden="1" thickBot="1" x14ac:dyDescent="0.25">
      <c r="A1302" s="192"/>
      <c r="B1302" s="192"/>
      <c r="C1302" s="192"/>
      <c r="D1302" s="192"/>
      <c r="E1302" s="192"/>
      <c r="F1302" s="192"/>
      <c r="G1302" s="192"/>
    </row>
    <row r="1303" spans="1:9" ht="12.75" hidden="1" customHeight="1" thickBot="1" x14ac:dyDescent="0.25">
      <c r="A1303" s="191"/>
      <c r="B1303" s="179"/>
      <c r="D1303" s="60" t="s">
        <v>124</v>
      </c>
      <c r="E1303" s="61" t="s">
        <v>6</v>
      </c>
      <c r="F1303" s="191"/>
      <c r="G1303" s="191"/>
    </row>
    <row r="1304" spans="1:9" ht="13.5" hidden="1" thickBot="1" x14ac:dyDescent="0.25">
      <c r="A1304" s="186" t="s">
        <v>108</v>
      </c>
      <c r="B1304" s="179"/>
      <c r="C1304" s="179"/>
      <c r="D1304" s="179"/>
      <c r="E1304" s="179"/>
      <c r="F1304" s="179"/>
      <c r="G1304" s="179"/>
    </row>
    <row r="1305" spans="1:9" ht="13.5" hidden="1" customHeight="1" thickBot="1" x14ac:dyDescent="0.25">
      <c r="A1305" s="1530" t="s">
        <v>109</v>
      </c>
      <c r="B1305" s="1554"/>
      <c r="C1305" s="1531"/>
      <c r="D1305" s="63" t="s">
        <v>110</v>
      </c>
      <c r="E1305" s="63" t="s">
        <v>111</v>
      </c>
      <c r="F1305" s="63" t="s">
        <v>112</v>
      </c>
      <c r="G1305" s="104"/>
    </row>
    <row r="1306" spans="1:9" hidden="1" x14ac:dyDescent="0.2">
      <c r="A1306" s="1540" t="s">
        <v>131</v>
      </c>
      <c r="B1306" s="1555"/>
      <c r="C1306" s="1541"/>
      <c r="D1306" s="130">
        <v>2062.5</v>
      </c>
      <c r="E1306" s="131">
        <f>+E1325</f>
        <v>1.2</v>
      </c>
      <c r="F1306" s="130">
        <f>+E1306*D1306</f>
        <v>2475</v>
      </c>
      <c r="G1306" s="132"/>
    </row>
    <row r="1307" spans="1:9" hidden="1" x14ac:dyDescent="0.2">
      <c r="A1307" s="1543" t="s">
        <v>953</v>
      </c>
      <c r="B1307" s="1544"/>
      <c r="C1307" s="1545" t="s">
        <v>4</v>
      </c>
      <c r="D1307" s="135">
        <v>38462</v>
      </c>
      <c r="E1307" s="136">
        <v>0.35</v>
      </c>
      <c r="F1307" s="135">
        <f>+E1307*D1307</f>
        <v>13461.699999999999</v>
      </c>
      <c r="G1307" s="137"/>
    </row>
    <row r="1308" spans="1:9" hidden="1" x14ac:dyDescent="0.2">
      <c r="A1308" s="1543" t="s">
        <v>134</v>
      </c>
      <c r="B1308" s="1544"/>
      <c r="C1308" s="1545"/>
      <c r="D1308" s="135">
        <v>7500</v>
      </c>
      <c r="E1308" s="136">
        <v>0.04</v>
      </c>
      <c r="F1308" s="135">
        <f>+E1308*D1308</f>
        <v>300</v>
      </c>
      <c r="G1308" s="137"/>
    </row>
    <row r="1309" spans="1:9" ht="13.5" hidden="1" thickBot="1" x14ac:dyDescent="0.25">
      <c r="A1309" s="1542"/>
      <c r="B1309" s="1564"/>
      <c r="C1309" s="1535"/>
      <c r="D1309" s="139"/>
      <c r="E1309" s="141"/>
      <c r="F1309" s="139"/>
      <c r="G1309" s="140"/>
    </row>
    <row r="1310" spans="1:9" ht="13.5" hidden="1" thickBot="1" x14ac:dyDescent="0.25">
      <c r="A1310" s="1527" t="s">
        <v>125</v>
      </c>
      <c r="B1310" s="1528"/>
      <c r="C1310" s="1528"/>
      <c r="D1310" s="1528"/>
      <c r="E1310" s="1528"/>
      <c r="F1310" s="1529"/>
      <c r="G1310" s="181">
        <f>SUM(F1306:F1309)</f>
        <v>16236.699999999999</v>
      </c>
    </row>
    <row r="1311" spans="1:9" ht="13.5" hidden="1" thickBot="1" x14ac:dyDescent="0.25">
      <c r="A1311" s="186" t="s">
        <v>123</v>
      </c>
      <c r="B1311" s="179"/>
      <c r="C1311" s="179"/>
      <c r="D1311" s="179"/>
      <c r="E1311" s="179"/>
      <c r="F1311" s="179"/>
      <c r="G1311" s="179"/>
    </row>
    <row r="1312" spans="1:9" ht="13.5" hidden="1" thickBot="1" x14ac:dyDescent="0.25">
      <c r="A1312" s="1530" t="s">
        <v>109</v>
      </c>
      <c r="B1312" s="1531"/>
      <c r="C1312" s="63" t="s">
        <v>114</v>
      </c>
      <c r="D1312" s="63" t="s">
        <v>115</v>
      </c>
      <c r="E1312" s="63" t="s">
        <v>116</v>
      </c>
      <c r="F1312" s="63" t="s">
        <v>112</v>
      </c>
      <c r="G1312" s="104"/>
      <c r="I1312" s="105">
        <f>0.2*0.2</f>
        <v>4.0000000000000008E-2</v>
      </c>
    </row>
    <row r="1313" spans="1:9" ht="22.5" hidden="1" customHeight="1" x14ac:dyDescent="0.2">
      <c r="A1313" s="1546" t="s">
        <v>161</v>
      </c>
      <c r="B1313" s="1547"/>
      <c r="C1313" s="129" t="s">
        <v>12</v>
      </c>
      <c r="D1313" s="130">
        <v>276450</v>
      </c>
      <c r="E1313" s="129">
        <v>0.04</v>
      </c>
      <c r="F1313" s="130">
        <f>+E1313*D1313</f>
        <v>11058</v>
      </c>
      <c r="G1313" s="132"/>
      <c r="I1313" s="215">
        <f>1/(0.2*0.2)</f>
        <v>24.999999999999996</v>
      </c>
    </row>
    <row r="1314" spans="1:9" hidden="1" x14ac:dyDescent="0.2">
      <c r="A1314" s="1536"/>
      <c r="B1314" s="1537"/>
      <c r="C1314" s="134"/>
      <c r="D1314" s="135"/>
      <c r="E1314" s="134"/>
      <c r="F1314" s="135"/>
      <c r="G1314" s="137"/>
      <c r="I1314" s="105">
        <f>8*0.7</f>
        <v>5.6</v>
      </c>
    </row>
    <row r="1315" spans="1:9" hidden="1" x14ac:dyDescent="0.2">
      <c r="A1315" s="1536"/>
      <c r="B1315" s="1537"/>
      <c r="C1315" s="134"/>
      <c r="D1315" s="135"/>
      <c r="E1315" s="136"/>
      <c r="F1315" s="135"/>
      <c r="G1315" s="137"/>
    </row>
    <row r="1316" spans="1:9" ht="13.5" hidden="1" thickBot="1" x14ac:dyDescent="0.25">
      <c r="A1316" s="1538"/>
      <c r="B1316" s="1539"/>
      <c r="C1316" s="138"/>
      <c r="D1316" s="139"/>
      <c r="E1316" s="141"/>
      <c r="F1316" s="139"/>
      <c r="G1316" s="140"/>
    </row>
    <row r="1317" spans="1:9" ht="13.5" hidden="1" thickBot="1" x14ac:dyDescent="0.25">
      <c r="A1317" s="1527" t="s">
        <v>125</v>
      </c>
      <c r="B1317" s="1528"/>
      <c r="C1317" s="1528"/>
      <c r="D1317" s="1528"/>
      <c r="E1317" s="1528"/>
      <c r="F1317" s="1529" t="s">
        <v>113</v>
      </c>
      <c r="G1317" s="181">
        <f>SUM(F1313:F1316)</f>
        <v>11058</v>
      </c>
    </row>
    <row r="1318" spans="1:9" ht="13.5" hidden="1" thickBot="1" x14ac:dyDescent="0.25">
      <c r="A1318" s="186" t="s">
        <v>117</v>
      </c>
      <c r="B1318" s="179"/>
      <c r="C1318" s="179"/>
      <c r="D1318" s="179"/>
      <c r="E1318" s="179"/>
      <c r="F1318" s="179"/>
      <c r="G1318" s="179"/>
    </row>
    <row r="1319" spans="1:9" ht="13.5" hidden="1" thickBot="1" x14ac:dyDescent="0.25">
      <c r="A1319" s="1530" t="s">
        <v>109</v>
      </c>
      <c r="B1319" s="1531"/>
      <c r="C1319" s="63" t="s">
        <v>114</v>
      </c>
      <c r="D1319" s="63" t="s">
        <v>115</v>
      </c>
      <c r="E1319" s="63" t="s">
        <v>116</v>
      </c>
      <c r="F1319" s="63" t="s">
        <v>112</v>
      </c>
      <c r="G1319" s="115"/>
    </row>
    <row r="1320" spans="1:9" hidden="1" x14ac:dyDescent="0.2">
      <c r="A1320" s="1540" t="s">
        <v>205</v>
      </c>
      <c r="B1320" s="1541"/>
      <c r="C1320" s="189" t="s">
        <v>159</v>
      </c>
      <c r="D1320" s="130">
        <v>60714.285714285717</v>
      </c>
      <c r="E1320" s="200">
        <v>0</v>
      </c>
      <c r="F1320" s="135">
        <f>D1320*E1320</f>
        <v>0</v>
      </c>
      <c r="G1320" s="132"/>
    </row>
    <row r="1321" spans="1:9" ht="13.5" hidden="1" thickBot="1" x14ac:dyDescent="0.25">
      <c r="A1321" s="1542"/>
      <c r="B1321" s="1535"/>
      <c r="C1321" s="189"/>
      <c r="D1321" s="139"/>
      <c r="E1321" s="201"/>
      <c r="F1321" s="139">
        <f>D1321*E1321</f>
        <v>0</v>
      </c>
      <c r="G1321" s="187"/>
    </row>
    <row r="1322" spans="1:9" ht="13.5" hidden="1" thickBot="1" x14ac:dyDescent="0.25">
      <c r="A1322" s="1527" t="s">
        <v>125</v>
      </c>
      <c r="B1322" s="1528"/>
      <c r="C1322" s="1528"/>
      <c r="D1322" s="1528"/>
      <c r="E1322" s="1528"/>
      <c r="F1322" s="1529" t="s">
        <v>113</v>
      </c>
      <c r="G1322" s="181">
        <f>SUM(F1321:F1321)</f>
        <v>0</v>
      </c>
    </row>
    <row r="1323" spans="1:9" ht="13.5" hidden="1" thickBot="1" x14ac:dyDescent="0.25">
      <c r="A1323" s="186" t="s">
        <v>119</v>
      </c>
      <c r="B1323" s="179"/>
      <c r="C1323" s="179"/>
      <c r="D1323" s="179"/>
      <c r="E1323" s="179"/>
      <c r="F1323" s="179"/>
      <c r="G1323" s="179"/>
    </row>
    <row r="1324" spans="1:9" ht="21.75" hidden="1" thickBot="1" x14ac:dyDescent="0.25">
      <c r="A1324" s="1530" t="s">
        <v>120</v>
      </c>
      <c r="B1324" s="1531"/>
      <c r="C1324" s="63" t="s">
        <v>121</v>
      </c>
      <c r="D1324" s="63" t="s">
        <v>114</v>
      </c>
      <c r="E1324" s="63" t="s">
        <v>116</v>
      </c>
      <c r="F1324" s="63" t="s">
        <v>112</v>
      </c>
      <c r="G1324" s="121"/>
    </row>
    <row r="1325" spans="1:9" hidden="1" x14ac:dyDescent="0.2">
      <c r="A1325" s="1532" t="s">
        <v>21</v>
      </c>
      <c r="B1325" s="1533"/>
      <c r="C1325" s="122">
        <v>7410.9600847008996</v>
      </c>
      <c r="D1325" s="198">
        <v>1</v>
      </c>
      <c r="E1325" s="198">
        <v>1.2</v>
      </c>
      <c r="F1325" s="124">
        <f>+(C1325*D1325)*E1325</f>
        <v>8893.1521016410788</v>
      </c>
      <c r="G1325" s="132"/>
    </row>
    <row r="1326" spans="1:9" ht="13.5" hidden="1" thickBot="1" x14ac:dyDescent="0.25">
      <c r="A1326" s="1534" t="s">
        <v>22</v>
      </c>
      <c r="B1326" s="1535"/>
      <c r="C1326" s="184">
        <v>4374.7823749999998</v>
      </c>
      <c r="D1326" s="202">
        <v>1</v>
      </c>
      <c r="E1326" s="202">
        <f>+E1325</f>
        <v>1.2</v>
      </c>
      <c r="F1326" s="182">
        <f>+(C1326*D1326)*E1326</f>
        <v>5249.7388499999997</v>
      </c>
      <c r="G1326" s="140"/>
    </row>
    <row r="1327" spans="1:9" ht="13.5" hidden="1" thickBot="1" x14ac:dyDescent="0.25">
      <c r="A1327" s="1527" t="str">
        <f>+A1322</f>
        <v>SUB-TOTAL</v>
      </c>
      <c r="B1327" s="1528"/>
      <c r="C1327" s="1528"/>
      <c r="D1327" s="1528"/>
      <c r="E1327" s="1528"/>
      <c r="F1327" s="1529" t="s">
        <v>113</v>
      </c>
      <c r="G1327" s="181">
        <f>SUM(F1325:F1326)</f>
        <v>14142.890951641079</v>
      </c>
    </row>
    <row r="1328" spans="1:9" ht="11.25" hidden="1" customHeight="1" thickBot="1" x14ac:dyDescent="0.25">
      <c r="A1328" s="179"/>
      <c r="B1328" s="179"/>
      <c r="C1328" s="179"/>
      <c r="D1328" s="179"/>
      <c r="E1328" s="179"/>
      <c r="F1328" s="180"/>
      <c r="G1328" s="179"/>
    </row>
    <row r="1329" spans="1:7" ht="13.5" hidden="1" thickBot="1" x14ac:dyDescent="0.25">
      <c r="A1329" s="1527" t="s">
        <v>156</v>
      </c>
      <c r="B1329" s="1528"/>
      <c r="C1329" s="1528"/>
      <c r="D1329" s="1528"/>
      <c r="E1329" s="1528"/>
      <c r="F1329" s="1529"/>
      <c r="G1329" s="178">
        <f>ROUND(G1310+G1317+G1322+G1327,0)</f>
        <v>41438</v>
      </c>
    </row>
    <row r="1330" spans="1:7" hidden="1" x14ac:dyDescent="0.2">
      <c r="A1330" s="196"/>
      <c r="B1330" s="196"/>
      <c r="C1330" s="196"/>
      <c r="D1330" s="196"/>
      <c r="E1330" s="196"/>
      <c r="F1330" s="196"/>
      <c r="G1330" s="197"/>
    </row>
    <row r="1331" spans="1:7" ht="13.5" hidden="1" thickBot="1" x14ac:dyDescent="0.25"/>
    <row r="1332" spans="1:7" ht="27" hidden="1" customHeight="1" x14ac:dyDescent="0.2">
      <c r="A1332" s="1548" t="s">
        <v>122</v>
      </c>
      <c r="B1332" s="1549"/>
      <c r="C1332" s="1550"/>
      <c r="D1332" s="50"/>
      <c r="E1332" s="50"/>
      <c r="F1332" s="50"/>
      <c r="G1332" s="98"/>
    </row>
    <row r="1333" spans="1:7" ht="24" hidden="1" customHeight="1" thickBot="1" x14ac:dyDescent="0.25">
      <c r="A1333" s="1551" t="s">
        <v>935</v>
      </c>
      <c r="B1333" s="1552"/>
      <c r="C1333" s="1553"/>
      <c r="D1333" s="99"/>
      <c r="E1333" s="99"/>
      <c r="F1333" s="99"/>
      <c r="G1333" s="100"/>
    </row>
    <row r="1334" spans="1:7" ht="13.5" hidden="1" thickBot="1" x14ac:dyDescent="0.25">
      <c r="A1334" s="179"/>
      <c r="B1334" s="179"/>
      <c r="C1334" s="179"/>
      <c r="D1334" s="179"/>
      <c r="E1334" s="179"/>
      <c r="F1334" s="179"/>
      <c r="G1334" s="179"/>
    </row>
    <row r="1335" spans="1:7" ht="30.75" hidden="1" customHeight="1" thickBot="1" x14ac:dyDescent="0.25">
      <c r="A1335" s="1558" t="s">
        <v>936</v>
      </c>
      <c r="B1335" s="1559"/>
      <c r="C1335" s="1560"/>
      <c r="D1335" s="1565" t="s">
        <v>344</v>
      </c>
      <c r="E1335" s="1559"/>
      <c r="F1335" s="1559"/>
      <c r="G1335" s="1560"/>
    </row>
    <row r="1336" spans="1:7" ht="13.5" hidden="1" thickBot="1" x14ac:dyDescent="0.25">
      <c r="A1336" s="192"/>
      <c r="B1336" s="192"/>
      <c r="C1336" s="192"/>
      <c r="D1336" s="192"/>
      <c r="E1336" s="192"/>
      <c r="F1336" s="192"/>
      <c r="G1336" s="192"/>
    </row>
    <row r="1337" spans="1:7" ht="12.75" hidden="1" customHeight="1" thickBot="1" x14ac:dyDescent="0.25">
      <c r="A1337" s="191"/>
      <c r="B1337" s="179"/>
      <c r="D1337" s="60" t="s">
        <v>124</v>
      </c>
      <c r="E1337" s="61" t="s">
        <v>6</v>
      </c>
      <c r="F1337" s="191"/>
      <c r="G1337" s="191"/>
    </row>
    <row r="1338" spans="1:7" ht="13.5" hidden="1" thickBot="1" x14ac:dyDescent="0.25">
      <c r="A1338" s="186" t="s">
        <v>108</v>
      </c>
      <c r="B1338" s="179"/>
      <c r="C1338" s="179"/>
      <c r="D1338" s="179"/>
      <c r="E1338" s="179"/>
      <c r="F1338" s="179"/>
      <c r="G1338" s="179"/>
    </row>
    <row r="1339" spans="1:7" ht="13.5" hidden="1" customHeight="1" thickBot="1" x14ac:dyDescent="0.25">
      <c r="A1339" s="1530" t="s">
        <v>109</v>
      </c>
      <c r="B1339" s="1554"/>
      <c r="C1339" s="1531"/>
      <c r="D1339" s="63" t="s">
        <v>110</v>
      </c>
      <c r="E1339" s="63" t="s">
        <v>111</v>
      </c>
      <c r="F1339" s="63" t="s">
        <v>112</v>
      </c>
      <c r="G1339" s="104"/>
    </row>
    <row r="1340" spans="1:7" hidden="1" x14ac:dyDescent="0.2">
      <c r="A1340" s="1540" t="s">
        <v>131</v>
      </c>
      <c r="B1340" s="1555"/>
      <c r="C1340" s="1541"/>
      <c r="D1340" s="130">
        <v>2062.5</v>
      </c>
      <c r="E1340" s="131">
        <f>+E1359</f>
        <v>1.1000000000000001</v>
      </c>
      <c r="F1340" s="130">
        <f>+E1340*D1340</f>
        <v>2268.75</v>
      </c>
      <c r="G1340" s="132"/>
    </row>
    <row r="1341" spans="1:7" hidden="1" x14ac:dyDescent="0.2">
      <c r="A1341" s="1543" t="s">
        <v>953</v>
      </c>
      <c r="B1341" s="1544"/>
      <c r="C1341" s="1545" t="s">
        <v>4</v>
      </c>
      <c r="D1341" s="135">
        <v>38462</v>
      </c>
      <c r="E1341" s="136">
        <v>0.3</v>
      </c>
      <c r="F1341" s="135">
        <f>+E1341*D1341</f>
        <v>11538.6</v>
      </c>
      <c r="G1341" s="137"/>
    </row>
    <row r="1342" spans="1:7" hidden="1" x14ac:dyDescent="0.2">
      <c r="A1342" s="1543" t="s">
        <v>134</v>
      </c>
      <c r="B1342" s="1544"/>
      <c r="C1342" s="1545"/>
      <c r="D1342" s="135">
        <v>7500</v>
      </c>
      <c r="E1342" s="136">
        <v>0.04</v>
      </c>
      <c r="F1342" s="135">
        <f>+E1342*D1342</f>
        <v>300</v>
      </c>
      <c r="G1342" s="137"/>
    </row>
    <row r="1343" spans="1:7" ht="13.5" hidden="1" thickBot="1" x14ac:dyDescent="0.25">
      <c r="A1343" s="1542"/>
      <c r="B1343" s="1564"/>
      <c r="C1343" s="1535"/>
      <c r="D1343" s="139"/>
      <c r="E1343" s="141"/>
      <c r="F1343" s="139"/>
      <c r="G1343" s="140"/>
    </row>
    <row r="1344" spans="1:7" ht="13.5" hidden="1" thickBot="1" x14ac:dyDescent="0.25">
      <c r="A1344" s="1527" t="s">
        <v>125</v>
      </c>
      <c r="B1344" s="1528"/>
      <c r="C1344" s="1528"/>
      <c r="D1344" s="1528"/>
      <c r="E1344" s="1528"/>
      <c r="F1344" s="1529"/>
      <c r="G1344" s="181">
        <f>SUM(F1340:F1343)</f>
        <v>14107.35</v>
      </c>
    </row>
    <row r="1345" spans="1:9" ht="13.5" hidden="1" thickBot="1" x14ac:dyDescent="0.25">
      <c r="A1345" s="186" t="s">
        <v>123</v>
      </c>
      <c r="B1345" s="179"/>
      <c r="C1345" s="179"/>
      <c r="D1345" s="179"/>
      <c r="E1345" s="179"/>
      <c r="F1345" s="179"/>
      <c r="G1345" s="179"/>
    </row>
    <row r="1346" spans="1:9" ht="13.5" hidden="1" thickBot="1" x14ac:dyDescent="0.25">
      <c r="A1346" s="1530" t="s">
        <v>109</v>
      </c>
      <c r="B1346" s="1531"/>
      <c r="C1346" s="63" t="s">
        <v>114</v>
      </c>
      <c r="D1346" s="63" t="s">
        <v>115</v>
      </c>
      <c r="E1346" s="63" t="s">
        <v>116</v>
      </c>
      <c r="F1346" s="63" t="s">
        <v>112</v>
      </c>
      <c r="G1346" s="104"/>
      <c r="I1346" s="105">
        <f>0.2*0.2</f>
        <v>4.0000000000000008E-2</v>
      </c>
    </row>
    <row r="1347" spans="1:9" ht="22.5" hidden="1" customHeight="1" x14ac:dyDescent="0.2">
      <c r="A1347" s="1546" t="s">
        <v>161</v>
      </c>
      <c r="B1347" s="1547"/>
      <c r="C1347" s="129" t="s">
        <v>12</v>
      </c>
      <c r="D1347" s="130">
        <f>D1313</f>
        <v>276450</v>
      </c>
      <c r="E1347" s="129">
        <v>0.04</v>
      </c>
      <c r="F1347" s="130">
        <f>+E1347*D1347</f>
        <v>11058</v>
      </c>
      <c r="G1347" s="132"/>
      <c r="I1347" s="215">
        <f>1/(0.2*0.2)</f>
        <v>24.999999999999996</v>
      </c>
    </row>
    <row r="1348" spans="1:9" hidden="1" x14ac:dyDescent="0.2">
      <c r="A1348" s="1536"/>
      <c r="B1348" s="1537"/>
      <c r="C1348" s="134"/>
      <c r="D1348" s="135"/>
      <c r="E1348" s="134"/>
      <c r="F1348" s="135"/>
      <c r="G1348" s="137"/>
      <c r="I1348" s="105">
        <f>8*0.7</f>
        <v>5.6</v>
      </c>
    </row>
    <row r="1349" spans="1:9" hidden="1" x14ac:dyDescent="0.2">
      <c r="A1349" s="1536"/>
      <c r="B1349" s="1537"/>
      <c r="C1349" s="134"/>
      <c r="D1349" s="135"/>
      <c r="E1349" s="136"/>
      <c r="F1349" s="135"/>
      <c r="G1349" s="137"/>
    </row>
    <row r="1350" spans="1:9" ht="13.5" hidden="1" thickBot="1" x14ac:dyDescent="0.25">
      <c r="A1350" s="1538"/>
      <c r="B1350" s="1539"/>
      <c r="C1350" s="138"/>
      <c r="D1350" s="139"/>
      <c r="E1350" s="141"/>
      <c r="F1350" s="139"/>
      <c r="G1350" s="140"/>
    </row>
    <row r="1351" spans="1:9" ht="13.5" hidden="1" thickBot="1" x14ac:dyDescent="0.25">
      <c r="A1351" s="1527" t="s">
        <v>125</v>
      </c>
      <c r="B1351" s="1528"/>
      <c r="C1351" s="1528"/>
      <c r="D1351" s="1528"/>
      <c r="E1351" s="1528"/>
      <c r="F1351" s="1529" t="s">
        <v>113</v>
      </c>
      <c r="G1351" s="181">
        <f>SUM(F1347:F1350)</f>
        <v>11058</v>
      </c>
    </row>
    <row r="1352" spans="1:9" ht="13.5" hidden="1" thickBot="1" x14ac:dyDescent="0.25">
      <c r="A1352" s="186" t="s">
        <v>117</v>
      </c>
      <c r="B1352" s="179"/>
      <c r="C1352" s="179"/>
      <c r="D1352" s="179"/>
      <c r="E1352" s="179"/>
      <c r="F1352" s="179"/>
      <c r="G1352" s="179"/>
    </row>
    <row r="1353" spans="1:9" ht="13.5" hidden="1" thickBot="1" x14ac:dyDescent="0.25">
      <c r="A1353" s="1530" t="s">
        <v>109</v>
      </c>
      <c r="B1353" s="1531"/>
      <c r="C1353" s="63" t="s">
        <v>114</v>
      </c>
      <c r="D1353" s="63" t="s">
        <v>115</v>
      </c>
      <c r="E1353" s="63" t="s">
        <v>116</v>
      </c>
      <c r="F1353" s="63" t="s">
        <v>112</v>
      </c>
      <c r="G1353" s="115"/>
    </row>
    <row r="1354" spans="1:9" hidden="1" x14ac:dyDescent="0.2">
      <c r="A1354" s="1540" t="s">
        <v>205</v>
      </c>
      <c r="B1354" s="1541"/>
      <c r="C1354" s="189" t="s">
        <v>159</v>
      </c>
      <c r="D1354" s="130">
        <v>60714.285714285717</v>
      </c>
      <c r="E1354" s="200">
        <v>0</v>
      </c>
      <c r="F1354" s="135">
        <f>D1354*E1354</f>
        <v>0</v>
      </c>
      <c r="G1354" s="132"/>
    </row>
    <row r="1355" spans="1:9" ht="13.5" hidden="1" thickBot="1" x14ac:dyDescent="0.25">
      <c r="A1355" s="1542"/>
      <c r="B1355" s="1535"/>
      <c r="C1355" s="189"/>
      <c r="D1355" s="139"/>
      <c r="E1355" s="201"/>
      <c r="F1355" s="139">
        <f>D1355*E1355</f>
        <v>0</v>
      </c>
      <c r="G1355" s="187"/>
    </row>
    <row r="1356" spans="1:9" ht="13.5" hidden="1" thickBot="1" x14ac:dyDescent="0.25">
      <c r="A1356" s="1527" t="s">
        <v>125</v>
      </c>
      <c r="B1356" s="1528"/>
      <c r="C1356" s="1528"/>
      <c r="D1356" s="1528"/>
      <c r="E1356" s="1528"/>
      <c r="F1356" s="1529" t="s">
        <v>113</v>
      </c>
      <c r="G1356" s="181">
        <f>SUM(F1355:F1355)</f>
        <v>0</v>
      </c>
    </row>
    <row r="1357" spans="1:9" ht="13.5" hidden="1" thickBot="1" x14ac:dyDescent="0.25">
      <c r="A1357" s="186" t="s">
        <v>119</v>
      </c>
      <c r="B1357" s="179"/>
      <c r="C1357" s="179"/>
      <c r="D1357" s="179"/>
      <c r="E1357" s="179"/>
      <c r="F1357" s="179"/>
      <c r="G1357" s="179"/>
    </row>
    <row r="1358" spans="1:9" ht="21.75" hidden="1" thickBot="1" x14ac:dyDescent="0.25">
      <c r="A1358" s="1530" t="s">
        <v>120</v>
      </c>
      <c r="B1358" s="1531"/>
      <c r="C1358" s="63" t="s">
        <v>121</v>
      </c>
      <c r="D1358" s="63" t="s">
        <v>114</v>
      </c>
      <c r="E1358" s="63" t="s">
        <v>116</v>
      </c>
      <c r="F1358" s="63" t="s">
        <v>112</v>
      </c>
      <c r="G1358" s="121"/>
    </row>
    <row r="1359" spans="1:9" hidden="1" x14ac:dyDescent="0.2">
      <c r="A1359" s="1532" t="s">
        <v>21</v>
      </c>
      <c r="B1359" s="1533"/>
      <c r="C1359" s="122">
        <v>7410.9600847008996</v>
      </c>
      <c r="D1359" s="198">
        <v>1</v>
      </c>
      <c r="E1359" s="198">
        <v>1.1000000000000001</v>
      </c>
      <c r="F1359" s="124">
        <f>+(C1359*D1359)*E1359</f>
        <v>8152.0560931709906</v>
      </c>
      <c r="G1359" s="132"/>
    </row>
    <row r="1360" spans="1:9" ht="13.5" hidden="1" thickBot="1" x14ac:dyDescent="0.25">
      <c r="A1360" s="1534" t="s">
        <v>22</v>
      </c>
      <c r="B1360" s="1535"/>
      <c r="C1360" s="184">
        <v>4374.7823749999998</v>
      </c>
      <c r="D1360" s="202">
        <v>1</v>
      </c>
      <c r="E1360" s="202">
        <f>+E1359</f>
        <v>1.1000000000000001</v>
      </c>
      <c r="F1360" s="182">
        <f>+(C1360*D1360)*E1360</f>
        <v>4812.2606125000002</v>
      </c>
      <c r="G1360" s="140"/>
    </row>
    <row r="1361" spans="1:7" ht="13.5" hidden="1" thickBot="1" x14ac:dyDescent="0.25">
      <c r="A1361" s="1527" t="str">
        <f>+A1356</f>
        <v>SUB-TOTAL</v>
      </c>
      <c r="B1361" s="1528"/>
      <c r="C1361" s="1528"/>
      <c r="D1361" s="1528"/>
      <c r="E1361" s="1528"/>
      <c r="F1361" s="1529" t="s">
        <v>113</v>
      </c>
      <c r="G1361" s="181">
        <f>SUM(F1359:F1360)</f>
        <v>12964.31670567099</v>
      </c>
    </row>
    <row r="1362" spans="1:7" ht="11.25" hidden="1" customHeight="1" thickBot="1" x14ac:dyDescent="0.25">
      <c r="A1362" s="179"/>
      <c r="B1362" s="179"/>
      <c r="C1362" s="179"/>
      <c r="D1362" s="179"/>
      <c r="E1362" s="179"/>
      <c r="F1362" s="180"/>
      <c r="G1362" s="179"/>
    </row>
    <row r="1363" spans="1:7" ht="13.5" hidden="1" thickBot="1" x14ac:dyDescent="0.25">
      <c r="A1363" s="1527" t="s">
        <v>156</v>
      </c>
      <c r="B1363" s="1528"/>
      <c r="C1363" s="1528"/>
      <c r="D1363" s="1528"/>
      <c r="E1363" s="1528"/>
      <c r="F1363" s="1529"/>
      <c r="G1363" s="178">
        <f>ROUND(G1344+G1351+G1356+G1361,0)</f>
        <v>38130</v>
      </c>
    </row>
    <row r="1364" spans="1:7" hidden="1" x14ac:dyDescent="0.2"/>
    <row r="1365" spans="1:7" ht="13.5" thickBot="1" x14ac:dyDescent="0.25"/>
    <row r="1366" spans="1:7" ht="27" customHeight="1" x14ac:dyDescent="0.2">
      <c r="A1366" s="1548" t="s">
        <v>122</v>
      </c>
      <c r="B1366" s="1549"/>
      <c r="C1366" s="1550"/>
      <c r="D1366" s="50"/>
      <c r="E1366" s="50"/>
      <c r="F1366" s="50"/>
      <c r="G1366" s="98"/>
    </row>
    <row r="1367" spans="1:7" ht="24" customHeight="1" thickBot="1" x14ac:dyDescent="0.25">
      <c r="A1367" s="1551" t="s">
        <v>935</v>
      </c>
      <c r="B1367" s="1552"/>
      <c r="C1367" s="1553"/>
      <c r="D1367" s="99"/>
      <c r="E1367" s="99"/>
      <c r="F1367" s="99"/>
      <c r="G1367" s="100"/>
    </row>
    <row r="1368" spans="1:7" ht="13.5" thickBot="1" x14ac:dyDescent="0.25">
      <c r="A1368" s="179"/>
      <c r="B1368" s="179"/>
      <c r="C1368" s="179"/>
      <c r="D1368" s="179"/>
      <c r="E1368" s="179"/>
      <c r="F1368" s="179"/>
      <c r="G1368" s="179"/>
    </row>
    <row r="1369" spans="1:7" ht="51" customHeight="1" thickBot="1" x14ac:dyDescent="0.25">
      <c r="A1369" s="1558" t="s">
        <v>936</v>
      </c>
      <c r="B1369" s="1559"/>
      <c r="C1369" s="1560"/>
      <c r="D1369" s="1561" t="s">
        <v>359</v>
      </c>
      <c r="E1369" s="1562"/>
      <c r="F1369" s="1562"/>
      <c r="G1369" s="1563"/>
    </row>
    <row r="1370" spans="1:7" ht="13.5" thickBot="1" x14ac:dyDescent="0.25">
      <c r="A1370" s="192"/>
      <c r="B1370" s="192"/>
      <c r="C1370" s="192"/>
      <c r="D1370" s="192"/>
      <c r="E1370" s="192"/>
      <c r="F1370" s="192"/>
      <c r="G1370" s="192"/>
    </row>
    <row r="1371" spans="1:7" ht="12.75" customHeight="1" thickBot="1" x14ac:dyDescent="0.25">
      <c r="A1371" s="191"/>
      <c r="B1371" s="179"/>
      <c r="D1371" s="60" t="s">
        <v>124</v>
      </c>
      <c r="E1371" s="61" t="s">
        <v>6</v>
      </c>
      <c r="F1371" s="191"/>
      <c r="G1371" s="191"/>
    </row>
    <row r="1372" spans="1:7" ht="13.5" thickBot="1" x14ac:dyDescent="0.25">
      <c r="A1372" s="186" t="s">
        <v>108</v>
      </c>
      <c r="B1372" s="179"/>
      <c r="C1372" s="179"/>
      <c r="D1372" s="179"/>
      <c r="E1372" s="179"/>
      <c r="F1372" s="179"/>
      <c r="G1372" s="179"/>
    </row>
    <row r="1373" spans="1:7" ht="13.5" customHeight="1" thickBot="1" x14ac:dyDescent="0.25">
      <c r="A1373" s="1530" t="s">
        <v>109</v>
      </c>
      <c r="B1373" s="1554"/>
      <c r="C1373" s="1531"/>
      <c r="D1373" s="63" t="s">
        <v>110</v>
      </c>
      <c r="E1373" s="63" t="s">
        <v>111</v>
      </c>
      <c r="F1373" s="63" t="s">
        <v>112</v>
      </c>
      <c r="G1373" s="104"/>
    </row>
    <row r="1374" spans="1:7" x14ac:dyDescent="0.2">
      <c r="A1374" s="1540" t="s">
        <v>131</v>
      </c>
      <c r="B1374" s="1555"/>
      <c r="C1374" s="1541"/>
      <c r="D1374" s="130">
        <v>2062.5</v>
      </c>
      <c r="E1374" s="131">
        <v>1.3</v>
      </c>
      <c r="F1374" s="130">
        <f>+E1374*D1374</f>
        <v>2681.25</v>
      </c>
      <c r="G1374" s="132"/>
    </row>
    <row r="1375" spans="1:7" x14ac:dyDescent="0.2">
      <c r="A1375" s="1543" t="s">
        <v>953</v>
      </c>
      <c r="B1375" s="1544"/>
      <c r="C1375" s="1545" t="s">
        <v>4</v>
      </c>
      <c r="D1375" s="135">
        <v>38462</v>
      </c>
      <c r="E1375" s="136">
        <v>0.25</v>
      </c>
      <c r="F1375" s="135">
        <f>+E1375*D1375</f>
        <v>9615.5</v>
      </c>
      <c r="G1375" s="137"/>
    </row>
    <row r="1376" spans="1:7" ht="13.5" thickBot="1" x14ac:dyDescent="0.25">
      <c r="A1376" s="1543" t="s">
        <v>134</v>
      </c>
      <c r="B1376" s="1544"/>
      <c r="C1376" s="1545"/>
      <c r="D1376" s="135">
        <v>7500</v>
      </c>
      <c r="E1376" s="136">
        <v>0.04</v>
      </c>
      <c r="F1376" s="135">
        <f>D1376*E1376</f>
        <v>300</v>
      </c>
      <c r="G1376" s="137"/>
    </row>
    <row r="1377" spans="1:7" ht="13.5" thickBot="1" x14ac:dyDescent="0.25">
      <c r="A1377" s="1527" t="s">
        <v>125</v>
      </c>
      <c r="B1377" s="1528"/>
      <c r="C1377" s="1528"/>
      <c r="D1377" s="1528"/>
      <c r="E1377" s="1528"/>
      <c r="F1377" s="1529"/>
      <c r="G1377" s="181">
        <f>SUM(F1374:F1376)</f>
        <v>12596.75</v>
      </c>
    </row>
    <row r="1378" spans="1:7" ht="13.5" thickBot="1" x14ac:dyDescent="0.25">
      <c r="A1378" s="186" t="s">
        <v>123</v>
      </c>
      <c r="B1378" s="179"/>
      <c r="C1378" s="179"/>
      <c r="D1378" s="179"/>
      <c r="E1378" s="179"/>
      <c r="F1378" s="179"/>
      <c r="G1378" s="179"/>
    </row>
    <row r="1379" spans="1:7" ht="13.5" thickBot="1" x14ac:dyDescent="0.25">
      <c r="A1379" s="1530" t="s">
        <v>109</v>
      </c>
      <c r="B1379" s="1531"/>
      <c r="C1379" s="63" t="s">
        <v>114</v>
      </c>
      <c r="D1379" s="63" t="s">
        <v>115</v>
      </c>
      <c r="E1379" s="63" t="s">
        <v>116</v>
      </c>
      <c r="F1379" s="63" t="s">
        <v>112</v>
      </c>
      <c r="G1379" s="104"/>
    </row>
    <row r="1380" spans="1:7" ht="21.75" customHeight="1" x14ac:dyDescent="0.2">
      <c r="A1380" s="1546" t="e">
        <f>+#REF!</f>
        <v>#REF!</v>
      </c>
      <c r="B1380" s="1547"/>
      <c r="C1380" s="129" t="e">
        <f>+#REF!</f>
        <v>#REF!</v>
      </c>
      <c r="D1380" s="130" t="e">
        <f>+#REF!</f>
        <v>#REF!</v>
      </c>
      <c r="E1380" s="129">
        <f>0.3*0.1</f>
        <v>0.03</v>
      </c>
      <c r="F1380" s="130" t="e">
        <f>+E1380*D1380</f>
        <v>#REF!</v>
      </c>
      <c r="G1380" s="132"/>
    </row>
    <row r="1381" spans="1:7" x14ac:dyDescent="0.15">
      <c r="A1381" s="1556" t="e">
        <f>+'10'!#REF!</f>
        <v>#REF!</v>
      </c>
      <c r="B1381" s="1557"/>
      <c r="C1381" s="112" t="e">
        <f>+'10'!#REF!</f>
        <v>#REF!</v>
      </c>
      <c r="D1381" s="113" t="e">
        <f>+'10'!#REF!</f>
        <v>#REF!</v>
      </c>
      <c r="E1381" s="134">
        <v>1.52</v>
      </c>
      <c r="F1381" s="135" t="e">
        <f>+E1381*D1381</f>
        <v>#REF!</v>
      </c>
      <c r="G1381" s="137"/>
    </row>
    <row r="1382" spans="1:7" ht="13.5" customHeight="1" x14ac:dyDescent="0.15">
      <c r="A1382" s="1556"/>
      <c r="B1382" s="1557"/>
      <c r="C1382" s="112"/>
      <c r="D1382" s="113"/>
      <c r="E1382" s="134"/>
      <c r="F1382" s="135"/>
      <c r="G1382" s="137"/>
    </row>
    <row r="1383" spans="1:7" ht="13.5" thickBot="1" x14ac:dyDescent="0.25">
      <c r="A1383" s="1538"/>
      <c r="B1383" s="1539"/>
      <c r="C1383" s="138"/>
      <c r="D1383" s="139"/>
      <c r="E1383" s="138"/>
      <c r="F1383" s="139"/>
      <c r="G1383" s="140"/>
    </row>
    <row r="1384" spans="1:7" ht="13.5" thickBot="1" x14ac:dyDescent="0.25">
      <c r="A1384" s="1527" t="s">
        <v>125</v>
      </c>
      <c r="B1384" s="1528"/>
      <c r="C1384" s="1528"/>
      <c r="D1384" s="1528"/>
      <c r="E1384" s="1528"/>
      <c r="F1384" s="1529" t="s">
        <v>113</v>
      </c>
      <c r="G1384" s="181" t="e">
        <f>SUM(F1380:F1383)</f>
        <v>#REF!</v>
      </c>
    </row>
    <row r="1385" spans="1:7" ht="13.5" thickBot="1" x14ac:dyDescent="0.25">
      <c r="A1385" s="186" t="s">
        <v>117</v>
      </c>
      <c r="B1385" s="179"/>
      <c r="C1385" s="179"/>
      <c r="D1385" s="179"/>
      <c r="E1385" s="179"/>
      <c r="F1385" s="179"/>
      <c r="G1385" s="179"/>
    </row>
    <row r="1386" spans="1:7" ht="13.5" thickBot="1" x14ac:dyDescent="0.25">
      <c r="A1386" s="1530" t="s">
        <v>109</v>
      </c>
      <c r="B1386" s="1531"/>
      <c r="C1386" s="63" t="s">
        <v>114</v>
      </c>
      <c r="D1386" s="63" t="s">
        <v>115</v>
      </c>
      <c r="E1386" s="63" t="s">
        <v>116</v>
      </c>
      <c r="F1386" s="63" t="s">
        <v>112</v>
      </c>
      <c r="G1386" s="115"/>
    </row>
    <row r="1387" spans="1:7" x14ac:dyDescent="0.2">
      <c r="A1387" s="1540" t="s">
        <v>205</v>
      </c>
      <c r="B1387" s="1541"/>
      <c r="C1387" s="189" t="s">
        <v>159</v>
      </c>
      <c r="D1387" s="130">
        <v>60714.285714285717</v>
      </c>
      <c r="E1387" s="200">
        <v>0</v>
      </c>
      <c r="F1387" s="135">
        <f>D1387*E1387</f>
        <v>0</v>
      </c>
      <c r="G1387" s="132"/>
    </row>
    <row r="1388" spans="1:7" ht="13.5" thickBot="1" x14ac:dyDescent="0.25">
      <c r="A1388" s="1542"/>
      <c r="B1388" s="1535"/>
      <c r="C1388" s="189"/>
      <c r="D1388" s="139"/>
      <c r="E1388" s="201"/>
      <c r="F1388" s="139">
        <f>D1388*E1388</f>
        <v>0</v>
      </c>
      <c r="G1388" s="187"/>
    </row>
    <row r="1389" spans="1:7" ht="13.5" thickBot="1" x14ac:dyDescent="0.25">
      <c r="A1389" s="1527" t="s">
        <v>125</v>
      </c>
      <c r="B1389" s="1528"/>
      <c r="C1389" s="1528"/>
      <c r="D1389" s="1528"/>
      <c r="E1389" s="1528"/>
      <c r="F1389" s="1529" t="s">
        <v>113</v>
      </c>
      <c r="G1389" s="181">
        <f>SUM(F1388:F1388)</f>
        <v>0</v>
      </c>
    </row>
    <row r="1390" spans="1:7" ht="13.5" thickBot="1" x14ac:dyDescent="0.25">
      <c r="A1390" s="186" t="s">
        <v>119</v>
      </c>
      <c r="B1390" s="179"/>
      <c r="C1390" s="179"/>
      <c r="D1390" s="179"/>
      <c r="E1390" s="179"/>
      <c r="F1390" s="179"/>
      <c r="G1390" s="179"/>
    </row>
    <row r="1391" spans="1:7" ht="21.75" thickBot="1" x14ac:dyDescent="0.25">
      <c r="A1391" s="1530" t="s">
        <v>120</v>
      </c>
      <c r="B1391" s="1531"/>
      <c r="C1391" s="63" t="s">
        <v>121</v>
      </c>
      <c r="D1391" s="63" t="s">
        <v>114</v>
      </c>
      <c r="E1391" s="63" t="s">
        <v>116</v>
      </c>
      <c r="F1391" s="63" t="s">
        <v>112</v>
      </c>
      <c r="G1391" s="121"/>
    </row>
    <row r="1392" spans="1:7" x14ac:dyDescent="0.2">
      <c r="A1392" s="1532" t="s">
        <v>21</v>
      </c>
      <c r="B1392" s="1533"/>
      <c r="C1392" s="122">
        <v>7410.9600847008996</v>
      </c>
      <c r="D1392" s="198">
        <v>1</v>
      </c>
      <c r="E1392" s="198">
        <v>0.8011063829787235</v>
      </c>
      <c r="F1392" s="124">
        <f>+(C1392*D1392)*E1392</f>
        <v>5936.9674278544317</v>
      </c>
      <c r="G1392" s="132"/>
    </row>
    <row r="1393" spans="1:7" ht="13.5" thickBot="1" x14ac:dyDescent="0.25">
      <c r="A1393" s="1534" t="s">
        <v>22</v>
      </c>
      <c r="B1393" s="1535"/>
      <c r="C1393" s="184">
        <v>4374.7823749999998</v>
      </c>
      <c r="D1393" s="202">
        <v>1</v>
      </c>
      <c r="E1393" s="202">
        <f>+E1392</f>
        <v>0.8011063829787235</v>
      </c>
      <c r="F1393" s="182">
        <f>+(C1393*D1393)*E1393</f>
        <v>3504.6660847553194</v>
      </c>
      <c r="G1393" s="140"/>
    </row>
    <row r="1394" spans="1:7" ht="13.5" thickBot="1" x14ac:dyDescent="0.25">
      <c r="A1394" s="1527" t="str">
        <f>+A1389</f>
        <v>SUB-TOTAL</v>
      </c>
      <c r="B1394" s="1528"/>
      <c r="C1394" s="1528"/>
      <c r="D1394" s="1528"/>
      <c r="E1394" s="1528"/>
      <c r="F1394" s="1529" t="s">
        <v>113</v>
      </c>
      <c r="G1394" s="181">
        <f>SUM(F1392:F1393)</f>
        <v>9441.6335126097511</v>
      </c>
    </row>
    <row r="1395" spans="1:7" ht="11.25" customHeight="1" thickBot="1" x14ac:dyDescent="0.25">
      <c r="A1395" s="179"/>
      <c r="B1395" s="179"/>
      <c r="C1395" s="179"/>
      <c r="D1395" s="179"/>
      <c r="E1395" s="179"/>
      <c r="F1395" s="180"/>
      <c r="G1395" s="179"/>
    </row>
    <row r="1396" spans="1:7" ht="13.5" thickBot="1" x14ac:dyDescent="0.25">
      <c r="A1396" s="1527" t="s">
        <v>156</v>
      </c>
      <c r="B1396" s="1528"/>
      <c r="C1396" s="1528"/>
      <c r="D1396" s="1528"/>
      <c r="E1396" s="1528"/>
      <c r="F1396" s="1529"/>
      <c r="G1396" s="178" t="e">
        <f>ROUND(G1377+G1384+G1389+G1394,0)</f>
        <v>#REF!</v>
      </c>
    </row>
    <row r="1397" spans="1:7" x14ac:dyDescent="0.2">
      <c r="A1397" s="196"/>
      <c r="B1397" s="196"/>
      <c r="C1397" s="196"/>
      <c r="D1397" s="196"/>
      <c r="E1397" s="196"/>
      <c r="F1397" s="196"/>
      <c r="G1397" s="197"/>
    </row>
    <row r="1398" spans="1:7" ht="27" hidden="1" customHeight="1" x14ac:dyDescent="0.2">
      <c r="A1398" s="1548" t="s">
        <v>122</v>
      </c>
      <c r="B1398" s="1549"/>
      <c r="C1398" s="1550"/>
      <c r="D1398" s="50"/>
      <c r="E1398" s="50"/>
      <c r="F1398" s="50"/>
      <c r="G1398" s="98"/>
    </row>
    <row r="1399" spans="1:7" ht="24" hidden="1" customHeight="1" thickBot="1" x14ac:dyDescent="0.25">
      <c r="A1399" s="1551" t="s">
        <v>935</v>
      </c>
      <c r="B1399" s="1552"/>
      <c r="C1399" s="1553"/>
      <c r="D1399" s="99"/>
      <c r="E1399" s="99"/>
      <c r="F1399" s="99"/>
      <c r="G1399" s="100"/>
    </row>
    <row r="1400" spans="1:7" ht="13.5" hidden="1" thickBot="1" x14ac:dyDescent="0.25">
      <c r="A1400" s="192"/>
      <c r="B1400" s="192"/>
      <c r="C1400" s="192"/>
      <c r="D1400" s="192"/>
      <c r="E1400" s="192"/>
      <c r="F1400" s="192"/>
      <c r="G1400" s="192"/>
    </row>
    <row r="1401" spans="1:7" ht="12.75" hidden="1" customHeight="1" thickBot="1" x14ac:dyDescent="0.25">
      <c r="A1401" s="191"/>
      <c r="B1401" s="179"/>
      <c r="D1401" s="60" t="s">
        <v>124</v>
      </c>
      <c r="E1401" s="61" t="s">
        <v>6</v>
      </c>
      <c r="F1401" s="191"/>
      <c r="G1401" s="191"/>
    </row>
    <row r="1402" spans="1:7" ht="13.5" hidden="1" thickBot="1" x14ac:dyDescent="0.25">
      <c r="A1402" s="186" t="s">
        <v>108</v>
      </c>
      <c r="B1402" s="179"/>
      <c r="C1402" s="179"/>
      <c r="D1402" s="179"/>
      <c r="E1402" s="179"/>
      <c r="F1402" s="179"/>
      <c r="G1402" s="179"/>
    </row>
    <row r="1403" spans="1:7" ht="13.5" hidden="1" customHeight="1" thickBot="1" x14ac:dyDescent="0.25">
      <c r="A1403" s="1530" t="s">
        <v>109</v>
      </c>
      <c r="B1403" s="1554"/>
      <c r="C1403" s="1531"/>
      <c r="D1403" s="63" t="s">
        <v>110</v>
      </c>
      <c r="E1403" s="63" t="s">
        <v>111</v>
      </c>
      <c r="F1403" s="63" t="s">
        <v>112</v>
      </c>
      <c r="G1403" s="104"/>
    </row>
    <row r="1404" spans="1:7" hidden="1" x14ac:dyDescent="0.2">
      <c r="A1404" s="1540" t="s">
        <v>131</v>
      </c>
      <c r="B1404" s="1555"/>
      <c r="C1404" s="1541"/>
      <c r="D1404" s="130">
        <v>2062.5</v>
      </c>
      <c r="E1404" s="131">
        <v>0.2</v>
      </c>
      <c r="F1404" s="130">
        <f>+E1404*D1404</f>
        <v>412.5</v>
      </c>
      <c r="G1404" s="132"/>
    </row>
    <row r="1405" spans="1:7" hidden="1" x14ac:dyDescent="0.2">
      <c r="A1405" s="1543" t="s">
        <v>953</v>
      </c>
      <c r="B1405" s="1544"/>
      <c r="C1405" s="1545" t="s">
        <v>4</v>
      </c>
      <c r="D1405" s="135">
        <v>38462</v>
      </c>
      <c r="E1405" s="136">
        <v>0.1</v>
      </c>
      <c r="F1405" s="135">
        <f>+E1405*D1405</f>
        <v>3846.2000000000003</v>
      </c>
      <c r="G1405" s="137"/>
    </row>
    <row r="1406" spans="1:7" ht="13.5" hidden="1" thickBot="1" x14ac:dyDescent="0.25">
      <c r="A1406" s="1543"/>
      <c r="B1406" s="1544"/>
      <c r="C1406" s="1545"/>
      <c r="D1406" s="135"/>
      <c r="E1406" s="136"/>
      <c r="F1406" s="135"/>
      <c r="G1406" s="137"/>
    </row>
    <row r="1407" spans="1:7" ht="13.5" hidden="1" thickBot="1" x14ac:dyDescent="0.25">
      <c r="A1407" s="1527" t="s">
        <v>125</v>
      </c>
      <c r="B1407" s="1528"/>
      <c r="C1407" s="1528"/>
      <c r="D1407" s="1528"/>
      <c r="E1407" s="1528"/>
      <c r="F1407" s="1529"/>
      <c r="G1407" s="181">
        <f>SUM(F1404:F1406)</f>
        <v>4258.7000000000007</v>
      </c>
    </row>
    <row r="1408" spans="1:7" ht="13.5" hidden="1" thickBot="1" x14ac:dyDescent="0.25">
      <c r="A1408" s="186" t="s">
        <v>123</v>
      </c>
      <c r="B1408" s="179"/>
      <c r="C1408" s="179"/>
      <c r="D1408" s="179"/>
      <c r="E1408" s="179"/>
      <c r="F1408" s="179"/>
      <c r="G1408" s="179"/>
    </row>
    <row r="1409" spans="1:7" ht="13.5" hidden="1" thickBot="1" x14ac:dyDescent="0.25">
      <c r="A1409" s="1530" t="s">
        <v>109</v>
      </c>
      <c r="B1409" s="1531"/>
      <c r="C1409" s="63" t="s">
        <v>114</v>
      </c>
      <c r="D1409" s="63" t="s">
        <v>115</v>
      </c>
      <c r="E1409" s="63" t="s">
        <v>116</v>
      </c>
      <c r="F1409" s="63" t="s">
        <v>112</v>
      </c>
      <c r="G1409" s="104"/>
    </row>
    <row r="1410" spans="1:7" hidden="1" x14ac:dyDescent="0.2">
      <c r="A1410" s="1546" t="s">
        <v>161</v>
      </c>
      <c r="B1410" s="1547"/>
      <c r="C1410" s="129" t="s">
        <v>12</v>
      </c>
      <c r="D1410" s="130">
        <v>276450</v>
      </c>
      <c r="E1410" s="129">
        <v>0.08</v>
      </c>
      <c r="F1410" s="130">
        <f>+E1410*D1410</f>
        <v>22116</v>
      </c>
      <c r="G1410" s="132"/>
    </row>
    <row r="1411" spans="1:7" hidden="1" x14ac:dyDescent="0.2">
      <c r="A1411" s="1536"/>
      <c r="B1411" s="1537"/>
      <c r="C1411" s="134"/>
      <c r="D1411" s="135"/>
      <c r="E1411" s="134"/>
      <c r="F1411" s="135"/>
      <c r="G1411" s="137"/>
    </row>
    <row r="1412" spans="1:7" hidden="1" x14ac:dyDescent="0.2">
      <c r="A1412" s="1536"/>
      <c r="B1412" s="1537"/>
      <c r="C1412" s="134"/>
      <c r="D1412" s="135"/>
      <c r="E1412" s="134"/>
      <c r="F1412" s="135"/>
      <c r="G1412" s="137"/>
    </row>
    <row r="1413" spans="1:7" ht="13.5" hidden="1" thickBot="1" x14ac:dyDescent="0.25">
      <c r="A1413" s="1538"/>
      <c r="B1413" s="1539"/>
      <c r="C1413" s="138"/>
      <c r="D1413" s="139"/>
      <c r="E1413" s="138"/>
      <c r="F1413" s="139"/>
      <c r="G1413" s="140"/>
    </row>
    <row r="1414" spans="1:7" ht="13.5" hidden="1" thickBot="1" x14ac:dyDescent="0.25">
      <c r="A1414" s="1527" t="s">
        <v>125</v>
      </c>
      <c r="B1414" s="1528"/>
      <c r="C1414" s="1528"/>
      <c r="D1414" s="1528"/>
      <c r="E1414" s="1528"/>
      <c r="F1414" s="1529" t="s">
        <v>113</v>
      </c>
      <c r="G1414" s="181">
        <f>SUM(F1410:F1413)</f>
        <v>22116</v>
      </c>
    </row>
    <row r="1415" spans="1:7" ht="13.5" hidden="1" thickBot="1" x14ac:dyDescent="0.25">
      <c r="A1415" s="186" t="s">
        <v>117</v>
      </c>
      <c r="B1415" s="179"/>
      <c r="C1415" s="179"/>
      <c r="D1415" s="179"/>
      <c r="E1415" s="179"/>
      <c r="F1415" s="179"/>
      <c r="G1415" s="179"/>
    </row>
    <row r="1416" spans="1:7" ht="13.5" hidden="1" thickBot="1" x14ac:dyDescent="0.25">
      <c r="A1416" s="1530" t="s">
        <v>109</v>
      </c>
      <c r="B1416" s="1531"/>
      <c r="C1416" s="63" t="s">
        <v>114</v>
      </c>
      <c r="D1416" s="63" t="s">
        <v>115</v>
      </c>
      <c r="E1416" s="63" t="s">
        <v>116</v>
      </c>
      <c r="F1416" s="63" t="s">
        <v>112</v>
      </c>
      <c r="G1416" s="115"/>
    </row>
    <row r="1417" spans="1:7" hidden="1" x14ac:dyDescent="0.2">
      <c r="A1417" s="1540" t="s">
        <v>205</v>
      </c>
      <c r="B1417" s="1541"/>
      <c r="C1417" s="189" t="s">
        <v>159</v>
      </c>
      <c r="D1417" s="130">
        <v>60714.285714285717</v>
      </c>
      <c r="E1417" s="200">
        <v>0</v>
      </c>
      <c r="F1417" s="135">
        <f>D1417*E1417</f>
        <v>0</v>
      </c>
      <c r="G1417" s="132"/>
    </row>
    <row r="1418" spans="1:7" ht="13.5" hidden="1" thickBot="1" x14ac:dyDescent="0.25">
      <c r="A1418" s="1542"/>
      <c r="B1418" s="1535"/>
      <c r="C1418" s="189"/>
      <c r="D1418" s="139"/>
      <c r="E1418" s="201"/>
      <c r="F1418" s="139">
        <f>D1418*E1418</f>
        <v>0</v>
      </c>
      <c r="G1418" s="187"/>
    </row>
    <row r="1419" spans="1:7" ht="13.5" hidden="1" thickBot="1" x14ac:dyDescent="0.25">
      <c r="A1419" s="1527" t="s">
        <v>125</v>
      </c>
      <c r="B1419" s="1528"/>
      <c r="C1419" s="1528"/>
      <c r="D1419" s="1528"/>
      <c r="E1419" s="1528"/>
      <c r="F1419" s="1529" t="s">
        <v>113</v>
      </c>
      <c r="G1419" s="181">
        <f>SUM(F1418:F1418)</f>
        <v>0</v>
      </c>
    </row>
    <row r="1420" spans="1:7" ht="13.5" hidden="1" thickBot="1" x14ac:dyDescent="0.25">
      <c r="A1420" s="186" t="s">
        <v>119</v>
      </c>
      <c r="B1420" s="179"/>
      <c r="C1420" s="179"/>
      <c r="D1420" s="179"/>
      <c r="E1420" s="179"/>
      <c r="F1420" s="179"/>
      <c r="G1420" s="179"/>
    </row>
    <row r="1421" spans="1:7" ht="21.75" hidden="1" thickBot="1" x14ac:dyDescent="0.25">
      <c r="A1421" s="1530" t="s">
        <v>120</v>
      </c>
      <c r="B1421" s="1531"/>
      <c r="C1421" s="63" t="s">
        <v>121</v>
      </c>
      <c r="D1421" s="63" t="s">
        <v>114</v>
      </c>
      <c r="E1421" s="63" t="s">
        <v>116</v>
      </c>
      <c r="F1421" s="63" t="s">
        <v>112</v>
      </c>
      <c r="G1421" s="121"/>
    </row>
    <row r="1422" spans="1:7" hidden="1" x14ac:dyDescent="0.2">
      <c r="A1422" s="1532" t="s">
        <v>21</v>
      </c>
      <c r="B1422" s="1533"/>
      <c r="C1422" s="122">
        <v>7410.9600847008996</v>
      </c>
      <c r="D1422" s="198">
        <v>1</v>
      </c>
      <c r="E1422" s="198">
        <v>1.2</v>
      </c>
      <c r="F1422" s="124">
        <f>+(C1422*D1422)*E1422</f>
        <v>8893.1521016410788</v>
      </c>
      <c r="G1422" s="132"/>
    </row>
    <row r="1423" spans="1:7" ht="13.5" hidden="1" thickBot="1" x14ac:dyDescent="0.25">
      <c r="A1423" s="1534" t="s">
        <v>22</v>
      </c>
      <c r="B1423" s="1535"/>
      <c r="C1423" s="184">
        <v>4374.7823749999998</v>
      </c>
      <c r="D1423" s="202">
        <v>1</v>
      </c>
      <c r="E1423" s="202">
        <f>+E1422</f>
        <v>1.2</v>
      </c>
      <c r="F1423" s="182">
        <f>+(C1423*D1423)*E1423</f>
        <v>5249.7388499999997</v>
      </c>
      <c r="G1423" s="140"/>
    </row>
    <row r="1424" spans="1:7" ht="13.5" hidden="1" thickBot="1" x14ac:dyDescent="0.25">
      <c r="A1424" s="1527" t="str">
        <f>+A1419</f>
        <v>SUB-TOTAL</v>
      </c>
      <c r="B1424" s="1528"/>
      <c r="C1424" s="1528"/>
      <c r="D1424" s="1528"/>
      <c r="E1424" s="1528"/>
      <c r="F1424" s="1529" t="s">
        <v>113</v>
      </c>
      <c r="G1424" s="181">
        <f>SUM(F1422:F1423)</f>
        <v>14142.890951641079</v>
      </c>
    </row>
    <row r="1425" spans="1:7" ht="11.25" hidden="1" customHeight="1" thickBot="1" x14ac:dyDescent="0.25">
      <c r="A1425" s="179"/>
      <c r="B1425" s="179"/>
      <c r="C1425" s="179"/>
      <c r="D1425" s="179"/>
      <c r="E1425" s="179"/>
      <c r="F1425" s="180"/>
      <c r="G1425" s="179"/>
    </row>
    <row r="1426" spans="1:7" ht="13.5" hidden="1" thickBot="1" x14ac:dyDescent="0.25">
      <c r="A1426" s="1527" t="s">
        <v>156</v>
      </c>
      <c r="B1426" s="1528"/>
      <c r="C1426" s="1528"/>
      <c r="D1426" s="1528"/>
      <c r="E1426" s="1528"/>
      <c r="F1426" s="1529"/>
      <c r="G1426" s="178">
        <f>ROUND(G1407+G1414+G1419+G1424,0)</f>
        <v>40518</v>
      </c>
    </row>
    <row r="1427" spans="1:7" hidden="1" x14ac:dyDescent="0.2"/>
    <row r="1428" spans="1:7" hidden="1" x14ac:dyDescent="0.2"/>
    <row r="1429" spans="1:7" hidden="1" x14ac:dyDescent="0.2"/>
    <row r="1430" spans="1:7" hidden="1" x14ac:dyDescent="0.2"/>
    <row r="1431" spans="1:7" hidden="1" x14ac:dyDescent="0.2"/>
    <row r="1432" spans="1:7" hidden="1" x14ac:dyDescent="0.2"/>
    <row r="1433" spans="1:7" hidden="1" x14ac:dyDescent="0.2"/>
    <row r="1434" spans="1:7" hidden="1" x14ac:dyDescent="0.2"/>
    <row r="1435" spans="1:7" hidden="1" x14ac:dyDescent="0.2"/>
    <row r="1436" spans="1:7" hidden="1" x14ac:dyDescent="0.2"/>
    <row r="1437" spans="1:7" hidden="1" x14ac:dyDescent="0.2"/>
    <row r="1438" spans="1:7" hidden="1" x14ac:dyDescent="0.2"/>
    <row r="1439" spans="1:7" hidden="1" x14ac:dyDescent="0.2"/>
    <row r="1440" spans="1:7" hidden="1" x14ac:dyDescent="0.2"/>
    <row r="1441" hidden="1" x14ac:dyDescent="0.2"/>
    <row r="1442" hidden="1" x14ac:dyDescent="0.2"/>
    <row r="1443" hidden="1" x14ac:dyDescent="0.2"/>
    <row r="1444" hidden="1" x14ac:dyDescent="0.2"/>
  </sheetData>
  <mergeCells count="1056">
    <mergeCell ref="A23:B23"/>
    <mergeCell ref="A24:F24"/>
    <mergeCell ref="A26:B26"/>
    <mergeCell ref="A27:B27"/>
    <mergeCell ref="A28:B28"/>
    <mergeCell ref="A29:F29"/>
    <mergeCell ref="A16:C16"/>
    <mergeCell ref="A17:F17"/>
    <mergeCell ref="A19:B19"/>
    <mergeCell ref="A20:B20"/>
    <mergeCell ref="A21:B21"/>
    <mergeCell ref="A22:B22"/>
    <mergeCell ref="A7:C7"/>
    <mergeCell ref="A8:C8"/>
    <mergeCell ref="A10:C10"/>
    <mergeCell ref="D10:G10"/>
    <mergeCell ref="A14:C14"/>
    <mergeCell ref="A15:C15"/>
    <mergeCell ref="A49:F49"/>
    <mergeCell ref="A51:B51"/>
    <mergeCell ref="A52:B52"/>
    <mergeCell ref="A53:B53"/>
    <mergeCell ref="A54:B54"/>
    <mergeCell ref="A55:B55"/>
    <mergeCell ref="A40:C40"/>
    <mergeCell ref="A42:C42"/>
    <mergeCell ref="D42:G42"/>
    <mergeCell ref="A46:C46"/>
    <mergeCell ref="A47:C47"/>
    <mergeCell ref="A48:C48"/>
    <mergeCell ref="A31:B31"/>
    <mergeCell ref="A32:B32"/>
    <mergeCell ref="A33:B33"/>
    <mergeCell ref="A34:F34"/>
    <mergeCell ref="A36:F36"/>
    <mergeCell ref="A39:C39"/>
    <mergeCell ref="A74:C74"/>
    <mergeCell ref="D74:G74"/>
    <mergeCell ref="A78:C78"/>
    <mergeCell ref="A79:C79"/>
    <mergeCell ref="A80:C80"/>
    <mergeCell ref="A81:C81"/>
    <mergeCell ref="A64:B64"/>
    <mergeCell ref="A65:B65"/>
    <mergeCell ref="A66:F66"/>
    <mergeCell ref="A68:F68"/>
    <mergeCell ref="A71:C71"/>
    <mergeCell ref="A72:C72"/>
    <mergeCell ref="A56:F56"/>
    <mergeCell ref="A58:B58"/>
    <mergeCell ref="A59:B59"/>
    <mergeCell ref="A60:B60"/>
    <mergeCell ref="A61:F61"/>
    <mergeCell ref="A63:B63"/>
    <mergeCell ref="A96:F96"/>
    <mergeCell ref="A98:B98"/>
    <mergeCell ref="A99:B99"/>
    <mergeCell ref="A100:B100"/>
    <mergeCell ref="A101:F101"/>
    <mergeCell ref="A103:F103"/>
    <mergeCell ref="A89:B89"/>
    <mergeCell ref="A90:B90"/>
    <mergeCell ref="A91:F91"/>
    <mergeCell ref="A93:B93"/>
    <mergeCell ref="A94:B94"/>
    <mergeCell ref="A95:B95"/>
    <mergeCell ref="A82:C82"/>
    <mergeCell ref="A83:C83"/>
    <mergeCell ref="A84:F84"/>
    <mergeCell ref="A86:B86"/>
    <mergeCell ref="A87:B87"/>
    <mergeCell ref="A88:B88"/>
    <mergeCell ref="A122:B122"/>
    <mergeCell ref="A123:B123"/>
    <mergeCell ref="A124:F124"/>
    <mergeCell ref="A126:B126"/>
    <mergeCell ref="A127:B127"/>
    <mergeCell ref="A128:B128"/>
    <mergeCell ref="A115:C115"/>
    <mergeCell ref="A116:C116"/>
    <mergeCell ref="A117:F117"/>
    <mergeCell ref="A119:B119"/>
    <mergeCell ref="A120:B120"/>
    <mergeCell ref="A121:B121"/>
    <mergeCell ref="A106:C106"/>
    <mergeCell ref="A107:C107"/>
    <mergeCell ref="A109:C109"/>
    <mergeCell ref="D109:G109"/>
    <mergeCell ref="A113:C113"/>
    <mergeCell ref="A114:C114"/>
    <mergeCell ref="A148:C148"/>
    <mergeCell ref="A149:F149"/>
    <mergeCell ref="A151:B151"/>
    <mergeCell ref="A152:B152"/>
    <mergeCell ref="A153:B153"/>
    <mergeCell ref="A154:B154"/>
    <mergeCell ref="A139:C139"/>
    <mergeCell ref="A140:C140"/>
    <mergeCell ref="A142:C142"/>
    <mergeCell ref="D142:G142"/>
    <mergeCell ref="A146:C146"/>
    <mergeCell ref="A147:C147"/>
    <mergeCell ref="A129:F129"/>
    <mergeCell ref="A131:B131"/>
    <mergeCell ref="A132:B132"/>
    <mergeCell ref="A133:B133"/>
    <mergeCell ref="A134:F134"/>
    <mergeCell ref="A136:F136"/>
    <mergeCell ref="A172:C172"/>
    <mergeCell ref="A174:C174"/>
    <mergeCell ref="D174:G174"/>
    <mergeCell ref="A178:C178"/>
    <mergeCell ref="A179:C179"/>
    <mergeCell ref="A180:C180"/>
    <mergeCell ref="A163:B163"/>
    <mergeCell ref="A164:B164"/>
    <mergeCell ref="A165:B165"/>
    <mergeCell ref="A166:F166"/>
    <mergeCell ref="A168:F168"/>
    <mergeCell ref="A171:C171"/>
    <mergeCell ref="A155:B155"/>
    <mergeCell ref="A156:F156"/>
    <mergeCell ref="A158:B158"/>
    <mergeCell ref="A159:B159"/>
    <mergeCell ref="A160:B160"/>
    <mergeCell ref="A161:F161"/>
    <mergeCell ref="A196:B196"/>
    <mergeCell ref="A197:B197"/>
    <mergeCell ref="A198:F198"/>
    <mergeCell ref="A200:F200"/>
    <mergeCell ref="A203:C203"/>
    <mergeCell ref="A204:C204"/>
    <mergeCell ref="A188:F188"/>
    <mergeCell ref="A190:B190"/>
    <mergeCell ref="A191:B191"/>
    <mergeCell ref="A192:B192"/>
    <mergeCell ref="A193:F193"/>
    <mergeCell ref="A195:B195"/>
    <mergeCell ref="A181:F181"/>
    <mergeCell ref="A183:B183"/>
    <mergeCell ref="A184:B184"/>
    <mergeCell ref="A185:B185"/>
    <mergeCell ref="A186:B186"/>
    <mergeCell ref="A187:B187"/>
    <mergeCell ref="A221:B221"/>
    <mergeCell ref="A222:F222"/>
    <mergeCell ref="A224:B224"/>
    <mergeCell ref="A225:B225"/>
    <mergeCell ref="A226:B226"/>
    <mergeCell ref="A227:F227"/>
    <mergeCell ref="A214:F214"/>
    <mergeCell ref="A216:B216"/>
    <mergeCell ref="A217:B217"/>
    <mergeCell ref="A218:B218"/>
    <mergeCell ref="A219:B219"/>
    <mergeCell ref="A220:B220"/>
    <mergeCell ref="A206:C206"/>
    <mergeCell ref="D206:G206"/>
    <mergeCell ref="A210:C210"/>
    <mergeCell ref="A211:C211"/>
    <mergeCell ref="A212:C212"/>
    <mergeCell ref="A213:C213"/>
    <mergeCell ref="A247:C247"/>
    <mergeCell ref="A248:C248"/>
    <mergeCell ref="A249:C249"/>
    <mergeCell ref="A250:F250"/>
    <mergeCell ref="A252:B252"/>
    <mergeCell ref="A253:B253"/>
    <mergeCell ref="A238:C238"/>
    <mergeCell ref="A240:C240"/>
    <mergeCell ref="D240:G240"/>
    <mergeCell ref="A244:C244"/>
    <mergeCell ref="A245:C245"/>
    <mergeCell ref="A246:C246"/>
    <mergeCell ref="A229:B229"/>
    <mergeCell ref="A230:B230"/>
    <mergeCell ref="A231:B231"/>
    <mergeCell ref="A232:F232"/>
    <mergeCell ref="A234:F234"/>
    <mergeCell ref="A237:C237"/>
    <mergeCell ref="A268:F268"/>
    <mergeCell ref="A270:F270"/>
    <mergeCell ref="A273:C273"/>
    <mergeCell ref="A274:C274"/>
    <mergeCell ref="A276:C276"/>
    <mergeCell ref="D276:G276"/>
    <mergeCell ref="A261:B261"/>
    <mergeCell ref="A262:B262"/>
    <mergeCell ref="A263:F263"/>
    <mergeCell ref="A265:B265"/>
    <mergeCell ref="A266:B266"/>
    <mergeCell ref="A267:B267"/>
    <mergeCell ref="A254:B254"/>
    <mergeCell ref="A255:B255"/>
    <mergeCell ref="A256:B256"/>
    <mergeCell ref="A257:B257"/>
    <mergeCell ref="A258:F258"/>
    <mergeCell ref="A260:B260"/>
    <mergeCell ref="A293:B293"/>
    <mergeCell ref="A294:F294"/>
    <mergeCell ref="A296:B296"/>
    <mergeCell ref="A297:B297"/>
    <mergeCell ref="A298:B298"/>
    <mergeCell ref="A299:F299"/>
    <mergeCell ref="A286:F286"/>
    <mergeCell ref="A288:B288"/>
    <mergeCell ref="A289:B289"/>
    <mergeCell ref="A290:B290"/>
    <mergeCell ref="A291:B291"/>
    <mergeCell ref="A292:B292"/>
    <mergeCell ref="A280:C280"/>
    <mergeCell ref="A281:C281"/>
    <mergeCell ref="A282:C282"/>
    <mergeCell ref="A283:C283"/>
    <mergeCell ref="A284:C284"/>
    <mergeCell ref="A285:C285"/>
    <mergeCell ref="A319:C319"/>
    <mergeCell ref="A320:F320"/>
    <mergeCell ref="A322:B322"/>
    <mergeCell ref="A323:B323"/>
    <mergeCell ref="A324:B324"/>
    <mergeCell ref="A325:B325"/>
    <mergeCell ref="A310:C310"/>
    <mergeCell ref="A312:C312"/>
    <mergeCell ref="D312:G312"/>
    <mergeCell ref="A316:C316"/>
    <mergeCell ref="A317:C317"/>
    <mergeCell ref="A318:C318"/>
    <mergeCell ref="A301:B301"/>
    <mergeCell ref="A302:B302"/>
    <mergeCell ref="A303:B303"/>
    <mergeCell ref="A304:F304"/>
    <mergeCell ref="A306:F306"/>
    <mergeCell ref="A309:C309"/>
    <mergeCell ref="A343:C343"/>
    <mergeCell ref="A345:C345"/>
    <mergeCell ref="D345:G345"/>
    <mergeCell ref="A349:C349"/>
    <mergeCell ref="A350:C350"/>
    <mergeCell ref="A351:C351"/>
    <mergeCell ref="A334:B334"/>
    <mergeCell ref="A335:B335"/>
    <mergeCell ref="A336:B336"/>
    <mergeCell ref="A337:F337"/>
    <mergeCell ref="A339:F339"/>
    <mergeCell ref="A342:C342"/>
    <mergeCell ref="A326:B326"/>
    <mergeCell ref="A327:F327"/>
    <mergeCell ref="A329:B329"/>
    <mergeCell ref="A330:B330"/>
    <mergeCell ref="A331:B331"/>
    <mergeCell ref="A332:F332"/>
    <mergeCell ref="A367:B367"/>
    <mergeCell ref="A368:B368"/>
    <mergeCell ref="A369:B369"/>
    <mergeCell ref="A370:F370"/>
    <mergeCell ref="A372:F372"/>
    <mergeCell ref="A375:C375"/>
    <mergeCell ref="A359:B359"/>
    <mergeCell ref="A360:F360"/>
    <mergeCell ref="A362:B362"/>
    <mergeCell ref="A363:B363"/>
    <mergeCell ref="A364:B364"/>
    <mergeCell ref="A365:F365"/>
    <mergeCell ref="A352:C352"/>
    <mergeCell ref="A353:F353"/>
    <mergeCell ref="A355:B355"/>
    <mergeCell ref="A356:B356"/>
    <mergeCell ref="A357:B357"/>
    <mergeCell ref="A358:B358"/>
    <mergeCell ref="A392:F392"/>
    <mergeCell ref="A394:B394"/>
    <mergeCell ref="A395:B395"/>
    <mergeCell ref="A396:B396"/>
    <mergeCell ref="A397:F397"/>
    <mergeCell ref="A399:B399"/>
    <mergeCell ref="A385:F385"/>
    <mergeCell ref="A387:B387"/>
    <mergeCell ref="A388:B388"/>
    <mergeCell ref="A389:B389"/>
    <mergeCell ref="A390:B390"/>
    <mergeCell ref="A391:B391"/>
    <mergeCell ref="A376:C376"/>
    <mergeCell ref="A378:C378"/>
    <mergeCell ref="D378:G378"/>
    <mergeCell ref="A382:C382"/>
    <mergeCell ref="A383:C383"/>
    <mergeCell ref="A384:C384"/>
    <mergeCell ref="A418:C418"/>
    <mergeCell ref="A419:C419"/>
    <mergeCell ref="A420:C420"/>
    <mergeCell ref="A421:F421"/>
    <mergeCell ref="A423:B423"/>
    <mergeCell ref="A424:B424"/>
    <mergeCell ref="A410:C410"/>
    <mergeCell ref="D410:G410"/>
    <mergeCell ref="A414:C414"/>
    <mergeCell ref="A415:C415"/>
    <mergeCell ref="A416:C416"/>
    <mergeCell ref="A417:C417"/>
    <mergeCell ref="A400:B400"/>
    <mergeCell ref="A401:B401"/>
    <mergeCell ref="A402:F402"/>
    <mergeCell ref="A404:F404"/>
    <mergeCell ref="A407:C407"/>
    <mergeCell ref="A408:C408"/>
    <mergeCell ref="A440:F440"/>
    <mergeCell ref="A443:C443"/>
    <mergeCell ref="A444:C444"/>
    <mergeCell ref="A446:C446"/>
    <mergeCell ref="D446:G446"/>
    <mergeCell ref="A450:C450"/>
    <mergeCell ref="A432:B432"/>
    <mergeCell ref="A433:F433"/>
    <mergeCell ref="A435:B435"/>
    <mergeCell ref="A436:B436"/>
    <mergeCell ref="A437:B437"/>
    <mergeCell ref="A438:F438"/>
    <mergeCell ref="A425:B425"/>
    <mergeCell ref="A426:B426"/>
    <mergeCell ref="A427:B427"/>
    <mergeCell ref="A428:F428"/>
    <mergeCell ref="A430:B430"/>
    <mergeCell ref="A431:B431"/>
    <mergeCell ref="A464:F464"/>
    <mergeCell ref="A466:B466"/>
    <mergeCell ref="A467:B467"/>
    <mergeCell ref="A468:B468"/>
    <mergeCell ref="A469:F469"/>
    <mergeCell ref="A471:B471"/>
    <mergeCell ref="A457:F457"/>
    <mergeCell ref="A459:B459"/>
    <mergeCell ref="A460:B460"/>
    <mergeCell ref="A461:B461"/>
    <mergeCell ref="A462:B462"/>
    <mergeCell ref="A463:B463"/>
    <mergeCell ref="A451:C451"/>
    <mergeCell ref="A452:C452"/>
    <mergeCell ref="A453:C453"/>
    <mergeCell ref="A454:C454"/>
    <mergeCell ref="A455:C455"/>
    <mergeCell ref="A456:C456"/>
    <mergeCell ref="A490:C490"/>
    <mergeCell ref="A491:F491"/>
    <mergeCell ref="A493:B493"/>
    <mergeCell ref="A494:B494"/>
    <mergeCell ref="A495:B495"/>
    <mergeCell ref="A496:B496"/>
    <mergeCell ref="A482:C482"/>
    <mergeCell ref="D482:G482"/>
    <mergeCell ref="A486:C486"/>
    <mergeCell ref="A487:C487"/>
    <mergeCell ref="A488:C488"/>
    <mergeCell ref="A489:C489"/>
    <mergeCell ref="A472:B472"/>
    <mergeCell ref="A473:B473"/>
    <mergeCell ref="A474:F474"/>
    <mergeCell ref="A476:F476"/>
    <mergeCell ref="A479:C479"/>
    <mergeCell ref="A480:C480"/>
    <mergeCell ref="A514:C514"/>
    <mergeCell ref="A516:C516"/>
    <mergeCell ref="D516:G516"/>
    <mergeCell ref="A520:C520"/>
    <mergeCell ref="A521:C521"/>
    <mergeCell ref="A522:C522"/>
    <mergeCell ref="A505:B505"/>
    <mergeCell ref="A506:B506"/>
    <mergeCell ref="A507:B507"/>
    <mergeCell ref="A508:F508"/>
    <mergeCell ref="A510:F510"/>
    <mergeCell ref="A513:C513"/>
    <mergeCell ref="A497:B497"/>
    <mergeCell ref="A498:F498"/>
    <mergeCell ref="A500:B500"/>
    <mergeCell ref="A501:B501"/>
    <mergeCell ref="A502:B502"/>
    <mergeCell ref="A503:F503"/>
    <mergeCell ref="A538:B538"/>
    <mergeCell ref="A539:B539"/>
    <mergeCell ref="A540:B540"/>
    <mergeCell ref="A541:F541"/>
    <mergeCell ref="A543:F543"/>
    <mergeCell ref="A546:C546"/>
    <mergeCell ref="A530:B530"/>
    <mergeCell ref="A531:F531"/>
    <mergeCell ref="A533:B533"/>
    <mergeCell ref="A534:B534"/>
    <mergeCell ref="A535:B535"/>
    <mergeCell ref="A536:F536"/>
    <mergeCell ref="A523:C523"/>
    <mergeCell ref="A524:F524"/>
    <mergeCell ref="A526:B526"/>
    <mergeCell ref="A527:B527"/>
    <mergeCell ref="A528:B528"/>
    <mergeCell ref="A529:B529"/>
    <mergeCell ref="A563:B563"/>
    <mergeCell ref="A564:B564"/>
    <mergeCell ref="A565:F565"/>
    <mergeCell ref="A567:B567"/>
    <mergeCell ref="A568:B568"/>
    <mergeCell ref="A569:B569"/>
    <mergeCell ref="A556:C556"/>
    <mergeCell ref="A557:C557"/>
    <mergeCell ref="A558:F558"/>
    <mergeCell ref="A560:B560"/>
    <mergeCell ref="A561:B561"/>
    <mergeCell ref="A562:B562"/>
    <mergeCell ref="A547:C547"/>
    <mergeCell ref="A549:C549"/>
    <mergeCell ref="D549:G549"/>
    <mergeCell ref="A553:C553"/>
    <mergeCell ref="A554:C554"/>
    <mergeCell ref="A555:C555"/>
    <mergeCell ref="A589:C589"/>
    <mergeCell ref="A590:C590"/>
    <mergeCell ref="A591:C591"/>
    <mergeCell ref="A592:F592"/>
    <mergeCell ref="A594:B594"/>
    <mergeCell ref="A595:B595"/>
    <mergeCell ref="A580:C580"/>
    <mergeCell ref="A581:C581"/>
    <mergeCell ref="A583:C583"/>
    <mergeCell ref="D583:G583"/>
    <mergeCell ref="A587:C587"/>
    <mergeCell ref="A588:C588"/>
    <mergeCell ref="A570:F570"/>
    <mergeCell ref="A572:B572"/>
    <mergeCell ref="A573:B573"/>
    <mergeCell ref="A574:B574"/>
    <mergeCell ref="A575:F575"/>
    <mergeCell ref="A577:F577"/>
    <mergeCell ref="A611:F611"/>
    <mergeCell ref="A614:C614"/>
    <mergeCell ref="A615:C615"/>
    <mergeCell ref="A617:C617"/>
    <mergeCell ref="D617:G617"/>
    <mergeCell ref="A621:C621"/>
    <mergeCell ref="A603:B603"/>
    <mergeCell ref="A604:F604"/>
    <mergeCell ref="A606:B606"/>
    <mergeCell ref="A607:B607"/>
    <mergeCell ref="A608:B608"/>
    <mergeCell ref="A609:F609"/>
    <mergeCell ref="A596:B596"/>
    <mergeCell ref="A597:B597"/>
    <mergeCell ref="A598:B598"/>
    <mergeCell ref="A599:F599"/>
    <mergeCell ref="A601:B601"/>
    <mergeCell ref="A602:B602"/>
    <mergeCell ref="A636:B636"/>
    <mergeCell ref="A637:B637"/>
    <mergeCell ref="A638:F638"/>
    <mergeCell ref="A640:B640"/>
    <mergeCell ref="A641:B641"/>
    <mergeCell ref="A642:B642"/>
    <mergeCell ref="A629:B629"/>
    <mergeCell ref="A630:B630"/>
    <mergeCell ref="A631:B631"/>
    <mergeCell ref="A632:B632"/>
    <mergeCell ref="A633:F633"/>
    <mergeCell ref="A635:B635"/>
    <mergeCell ref="A622:C622"/>
    <mergeCell ref="A623:C623"/>
    <mergeCell ref="A624:C624"/>
    <mergeCell ref="A625:C625"/>
    <mergeCell ref="A626:F626"/>
    <mergeCell ref="A628:B628"/>
    <mergeCell ref="A662:B662"/>
    <mergeCell ref="A663:B663"/>
    <mergeCell ref="A664:B664"/>
    <mergeCell ref="A665:B665"/>
    <mergeCell ref="A666:B666"/>
    <mergeCell ref="A667:F667"/>
    <mergeCell ref="A655:C655"/>
    <mergeCell ref="A656:C656"/>
    <mergeCell ref="A657:C657"/>
    <mergeCell ref="A658:C658"/>
    <mergeCell ref="A659:C659"/>
    <mergeCell ref="A660:F660"/>
    <mergeCell ref="A643:F643"/>
    <mergeCell ref="A645:F645"/>
    <mergeCell ref="A648:C648"/>
    <mergeCell ref="A649:C649"/>
    <mergeCell ref="A651:C651"/>
    <mergeCell ref="D651:G651"/>
    <mergeCell ref="A689:C689"/>
    <mergeCell ref="A690:C690"/>
    <mergeCell ref="A691:C691"/>
    <mergeCell ref="A692:C692"/>
    <mergeCell ref="A693:C693"/>
    <mergeCell ref="A694:F694"/>
    <mergeCell ref="A676:B676"/>
    <mergeCell ref="A677:F677"/>
    <mergeCell ref="A679:F679"/>
    <mergeCell ref="A682:C682"/>
    <mergeCell ref="A683:C683"/>
    <mergeCell ref="A685:C685"/>
    <mergeCell ref="D685:G685"/>
    <mergeCell ref="A669:B669"/>
    <mergeCell ref="A670:B670"/>
    <mergeCell ref="A671:B671"/>
    <mergeCell ref="A672:F672"/>
    <mergeCell ref="A674:B674"/>
    <mergeCell ref="A675:B675"/>
    <mergeCell ref="A710:B710"/>
    <mergeCell ref="A711:F711"/>
    <mergeCell ref="A713:F713"/>
    <mergeCell ref="A716:C716"/>
    <mergeCell ref="A717:C717"/>
    <mergeCell ref="A719:C719"/>
    <mergeCell ref="D719:G719"/>
    <mergeCell ref="A703:B703"/>
    <mergeCell ref="A704:B704"/>
    <mergeCell ref="A705:B705"/>
    <mergeCell ref="A706:F706"/>
    <mergeCell ref="A708:B708"/>
    <mergeCell ref="A709:B709"/>
    <mergeCell ref="A696:B696"/>
    <mergeCell ref="A697:B697"/>
    <mergeCell ref="A698:B698"/>
    <mergeCell ref="A699:B699"/>
    <mergeCell ref="A700:B700"/>
    <mergeCell ref="A701:F701"/>
    <mergeCell ref="A737:B737"/>
    <mergeCell ref="A738:B738"/>
    <mergeCell ref="A739:B739"/>
    <mergeCell ref="A740:F740"/>
    <mergeCell ref="A742:B742"/>
    <mergeCell ref="A743:B743"/>
    <mergeCell ref="A730:B730"/>
    <mergeCell ref="A731:B731"/>
    <mergeCell ref="A732:B732"/>
    <mergeCell ref="A733:B733"/>
    <mergeCell ref="A734:B734"/>
    <mergeCell ref="A735:F735"/>
    <mergeCell ref="A723:C723"/>
    <mergeCell ref="A724:C724"/>
    <mergeCell ref="A725:C725"/>
    <mergeCell ref="A726:C726"/>
    <mergeCell ref="A727:C727"/>
    <mergeCell ref="A728:F728"/>
    <mergeCell ref="A764:B764"/>
    <mergeCell ref="A765:B765"/>
    <mergeCell ref="A766:B766"/>
    <mergeCell ref="A767:B767"/>
    <mergeCell ref="A768:B768"/>
    <mergeCell ref="A769:F769"/>
    <mergeCell ref="A757:C757"/>
    <mergeCell ref="A758:C758"/>
    <mergeCell ref="A759:C759"/>
    <mergeCell ref="A760:C760"/>
    <mergeCell ref="A761:C761"/>
    <mergeCell ref="A762:F762"/>
    <mergeCell ref="A744:B744"/>
    <mergeCell ref="A745:F745"/>
    <mergeCell ref="A747:F747"/>
    <mergeCell ref="A750:C750"/>
    <mergeCell ref="A751:C751"/>
    <mergeCell ref="A753:C753"/>
    <mergeCell ref="D753:G753"/>
    <mergeCell ref="A791:C791"/>
    <mergeCell ref="A792:C792"/>
    <mergeCell ref="A793:C793"/>
    <mergeCell ref="A794:C794"/>
    <mergeCell ref="A795:C795"/>
    <mergeCell ref="A796:F796"/>
    <mergeCell ref="A778:B778"/>
    <mergeCell ref="A779:F779"/>
    <mergeCell ref="A781:F781"/>
    <mergeCell ref="A784:C784"/>
    <mergeCell ref="A785:C785"/>
    <mergeCell ref="A787:C787"/>
    <mergeCell ref="D787:G787"/>
    <mergeCell ref="A771:B771"/>
    <mergeCell ref="A772:B772"/>
    <mergeCell ref="A773:B773"/>
    <mergeCell ref="A774:F774"/>
    <mergeCell ref="A776:B776"/>
    <mergeCell ref="A777:B777"/>
    <mergeCell ref="A812:B812"/>
    <mergeCell ref="A813:F813"/>
    <mergeCell ref="A815:F815"/>
    <mergeCell ref="A818:C818"/>
    <mergeCell ref="A819:C819"/>
    <mergeCell ref="A821:C821"/>
    <mergeCell ref="D821:G821"/>
    <mergeCell ref="A805:B805"/>
    <mergeCell ref="A806:B806"/>
    <mergeCell ref="A807:B807"/>
    <mergeCell ref="A808:F808"/>
    <mergeCell ref="A810:B810"/>
    <mergeCell ref="A811:B811"/>
    <mergeCell ref="A798:B798"/>
    <mergeCell ref="A799:B799"/>
    <mergeCell ref="A800:B800"/>
    <mergeCell ref="A801:B801"/>
    <mergeCell ref="A802:B802"/>
    <mergeCell ref="A803:F803"/>
    <mergeCell ref="A839:B839"/>
    <mergeCell ref="A840:B840"/>
    <mergeCell ref="A841:B841"/>
    <mergeCell ref="A842:F842"/>
    <mergeCell ref="A844:B844"/>
    <mergeCell ref="A845:B845"/>
    <mergeCell ref="A832:B832"/>
    <mergeCell ref="A833:B833"/>
    <mergeCell ref="A834:B834"/>
    <mergeCell ref="A835:B835"/>
    <mergeCell ref="A836:B836"/>
    <mergeCell ref="A837:F837"/>
    <mergeCell ref="A825:C825"/>
    <mergeCell ref="A826:C826"/>
    <mergeCell ref="A827:C827"/>
    <mergeCell ref="A828:C828"/>
    <mergeCell ref="A829:C829"/>
    <mergeCell ref="A830:F830"/>
    <mergeCell ref="A866:B866"/>
    <mergeCell ref="A867:B867"/>
    <mergeCell ref="A868:B868"/>
    <mergeCell ref="A869:B869"/>
    <mergeCell ref="A870:B870"/>
    <mergeCell ref="A871:F871"/>
    <mergeCell ref="A859:C859"/>
    <mergeCell ref="A860:C860"/>
    <mergeCell ref="A861:C861"/>
    <mergeCell ref="A862:C862"/>
    <mergeCell ref="A863:C863"/>
    <mergeCell ref="A864:F864"/>
    <mergeCell ref="A846:B846"/>
    <mergeCell ref="A847:F847"/>
    <mergeCell ref="A849:F849"/>
    <mergeCell ref="A852:C852"/>
    <mergeCell ref="A853:C853"/>
    <mergeCell ref="A855:C855"/>
    <mergeCell ref="D855:G855"/>
    <mergeCell ref="A893:C893"/>
    <mergeCell ref="A894:C894"/>
    <mergeCell ref="A895:C895"/>
    <mergeCell ref="A896:C896"/>
    <mergeCell ref="A897:C897"/>
    <mergeCell ref="A898:F898"/>
    <mergeCell ref="A880:B880"/>
    <mergeCell ref="A881:F881"/>
    <mergeCell ref="A883:F883"/>
    <mergeCell ref="A886:C886"/>
    <mergeCell ref="A887:C887"/>
    <mergeCell ref="A889:C889"/>
    <mergeCell ref="D889:G889"/>
    <mergeCell ref="A873:B873"/>
    <mergeCell ref="A874:B874"/>
    <mergeCell ref="A875:B875"/>
    <mergeCell ref="A876:F876"/>
    <mergeCell ref="A878:B878"/>
    <mergeCell ref="A879:B879"/>
    <mergeCell ref="A914:B914"/>
    <mergeCell ref="A915:F915"/>
    <mergeCell ref="A917:F917"/>
    <mergeCell ref="A920:C920"/>
    <mergeCell ref="A921:C921"/>
    <mergeCell ref="A923:C923"/>
    <mergeCell ref="D923:G923"/>
    <mergeCell ref="A907:B907"/>
    <mergeCell ref="A908:B908"/>
    <mergeCell ref="A909:B909"/>
    <mergeCell ref="A910:F910"/>
    <mergeCell ref="A912:B912"/>
    <mergeCell ref="A913:B913"/>
    <mergeCell ref="A900:B900"/>
    <mergeCell ref="A901:B901"/>
    <mergeCell ref="A902:B902"/>
    <mergeCell ref="A903:B903"/>
    <mergeCell ref="A904:B904"/>
    <mergeCell ref="A905:F905"/>
    <mergeCell ref="A941:B941"/>
    <mergeCell ref="A942:B942"/>
    <mergeCell ref="A943:B943"/>
    <mergeCell ref="A944:F944"/>
    <mergeCell ref="A946:B946"/>
    <mergeCell ref="A947:B947"/>
    <mergeCell ref="A934:B934"/>
    <mergeCell ref="A935:B935"/>
    <mergeCell ref="A936:B936"/>
    <mergeCell ref="A937:B937"/>
    <mergeCell ref="A938:B938"/>
    <mergeCell ref="A939:F939"/>
    <mergeCell ref="A927:C927"/>
    <mergeCell ref="A928:C928"/>
    <mergeCell ref="A929:C929"/>
    <mergeCell ref="A930:C930"/>
    <mergeCell ref="A931:C931"/>
    <mergeCell ref="A932:F932"/>
    <mergeCell ref="A968:B968"/>
    <mergeCell ref="A969:B969"/>
    <mergeCell ref="A970:B970"/>
    <mergeCell ref="A971:B971"/>
    <mergeCell ref="A972:B972"/>
    <mergeCell ref="A973:F973"/>
    <mergeCell ref="A961:C961"/>
    <mergeCell ref="A962:C962"/>
    <mergeCell ref="A963:C963"/>
    <mergeCell ref="A964:C964"/>
    <mergeCell ref="A965:C965"/>
    <mergeCell ref="A966:F966"/>
    <mergeCell ref="A948:B948"/>
    <mergeCell ref="A949:F949"/>
    <mergeCell ref="A951:F951"/>
    <mergeCell ref="A954:C954"/>
    <mergeCell ref="A955:C955"/>
    <mergeCell ref="A957:C957"/>
    <mergeCell ref="D957:G957"/>
    <mergeCell ref="A995:C995"/>
    <mergeCell ref="A996:C996"/>
    <mergeCell ref="A997:C997"/>
    <mergeCell ref="A998:C998"/>
    <mergeCell ref="A999:C999"/>
    <mergeCell ref="A1000:F1000"/>
    <mergeCell ref="A982:B982"/>
    <mergeCell ref="A983:F983"/>
    <mergeCell ref="A985:F985"/>
    <mergeCell ref="A988:C988"/>
    <mergeCell ref="A989:C989"/>
    <mergeCell ref="A991:C991"/>
    <mergeCell ref="D991:G991"/>
    <mergeCell ref="A975:B975"/>
    <mergeCell ref="A976:B976"/>
    <mergeCell ref="A977:B977"/>
    <mergeCell ref="A978:F978"/>
    <mergeCell ref="A980:B980"/>
    <mergeCell ref="A981:B981"/>
    <mergeCell ref="A1015:B1015"/>
    <mergeCell ref="A1016:B1016"/>
    <mergeCell ref="A1017:B1017"/>
    <mergeCell ref="A1018:F1018"/>
    <mergeCell ref="A1020:B1020"/>
    <mergeCell ref="A1021:B1021"/>
    <mergeCell ref="A1008:B1008"/>
    <mergeCell ref="A1009:B1009"/>
    <mergeCell ref="A1010:B1010"/>
    <mergeCell ref="A1011:B1011"/>
    <mergeCell ref="A1012:B1012"/>
    <mergeCell ref="A1013:F1013"/>
    <mergeCell ref="A1002:B1002"/>
    <mergeCell ref="A1003:B1003"/>
    <mergeCell ref="A1004:B1004"/>
    <mergeCell ref="A1005:B1005"/>
    <mergeCell ref="A1006:B1006"/>
    <mergeCell ref="A1007:B1007"/>
    <mergeCell ref="A1042:B1042"/>
    <mergeCell ref="A1043:B1043"/>
    <mergeCell ref="A1044:B1044"/>
    <mergeCell ref="A1045:B1045"/>
    <mergeCell ref="A1046:B1046"/>
    <mergeCell ref="A1047:B1047"/>
    <mergeCell ref="A1035:C1035"/>
    <mergeCell ref="A1036:C1036"/>
    <mergeCell ref="A1037:C1037"/>
    <mergeCell ref="A1038:C1038"/>
    <mergeCell ref="A1039:C1039"/>
    <mergeCell ref="A1040:F1040"/>
    <mergeCell ref="A1022:B1022"/>
    <mergeCell ref="A1023:F1023"/>
    <mergeCell ref="A1025:F1025"/>
    <mergeCell ref="A1028:C1028"/>
    <mergeCell ref="A1029:C1029"/>
    <mergeCell ref="A1031:C1031"/>
    <mergeCell ref="D1031:G1031"/>
    <mergeCell ref="A1062:B1062"/>
    <mergeCell ref="A1063:F1063"/>
    <mergeCell ref="A1065:F1065"/>
    <mergeCell ref="A1068:C1068"/>
    <mergeCell ref="A1069:C1069"/>
    <mergeCell ref="A1071:C1071"/>
    <mergeCell ref="D1071:G1071"/>
    <mergeCell ref="A1055:B1055"/>
    <mergeCell ref="A1056:B1056"/>
    <mergeCell ref="A1057:B1057"/>
    <mergeCell ref="A1058:F1058"/>
    <mergeCell ref="A1060:B1060"/>
    <mergeCell ref="A1061:B1061"/>
    <mergeCell ref="A1048:B1048"/>
    <mergeCell ref="A1049:B1049"/>
    <mergeCell ref="A1050:B1050"/>
    <mergeCell ref="A1051:B1051"/>
    <mergeCell ref="A1052:B1052"/>
    <mergeCell ref="A1053:F1053"/>
    <mergeCell ref="A1088:B1088"/>
    <mergeCell ref="A1089:B1089"/>
    <mergeCell ref="A1090:B1090"/>
    <mergeCell ref="A1091:B1091"/>
    <mergeCell ref="A1092:F1092"/>
    <mergeCell ref="A1094:B1094"/>
    <mergeCell ref="A1082:B1082"/>
    <mergeCell ref="A1083:B1083"/>
    <mergeCell ref="A1084:B1084"/>
    <mergeCell ref="A1085:B1085"/>
    <mergeCell ref="A1086:B1086"/>
    <mergeCell ref="A1087:B1087"/>
    <mergeCell ref="A1075:C1075"/>
    <mergeCell ref="A1076:C1076"/>
    <mergeCell ref="A1077:C1077"/>
    <mergeCell ref="A1078:C1078"/>
    <mergeCell ref="A1079:C1079"/>
    <mergeCell ref="A1080:F1080"/>
    <mergeCell ref="A1114:C1114"/>
    <mergeCell ref="A1115:C1115"/>
    <mergeCell ref="A1116:C1116"/>
    <mergeCell ref="A1117:C1117"/>
    <mergeCell ref="A1118:C1118"/>
    <mergeCell ref="A1119:F1119"/>
    <mergeCell ref="A1102:F1102"/>
    <mergeCell ref="A1104:F1104"/>
    <mergeCell ref="A1107:C1107"/>
    <mergeCell ref="A1108:C1108"/>
    <mergeCell ref="A1110:C1110"/>
    <mergeCell ref="D1110:G1110"/>
    <mergeCell ref="A1095:B1095"/>
    <mergeCell ref="A1096:B1096"/>
    <mergeCell ref="A1097:F1097"/>
    <mergeCell ref="A1099:B1099"/>
    <mergeCell ref="A1100:B1100"/>
    <mergeCell ref="A1101:B1101"/>
    <mergeCell ref="A1134:B1134"/>
    <mergeCell ref="A1135:F1135"/>
    <mergeCell ref="A1137:B1137"/>
    <mergeCell ref="A1138:B1138"/>
    <mergeCell ref="A1139:B1139"/>
    <mergeCell ref="A1140:F1140"/>
    <mergeCell ref="A1127:B1127"/>
    <mergeCell ref="A1128:B1128"/>
    <mergeCell ref="A1129:B1129"/>
    <mergeCell ref="A1130:F1130"/>
    <mergeCell ref="A1132:B1132"/>
    <mergeCell ref="A1133:B1133"/>
    <mergeCell ref="A1121:B1121"/>
    <mergeCell ref="A1122:B1122"/>
    <mergeCell ref="A1123:B1123"/>
    <mergeCell ref="A1124:B1124"/>
    <mergeCell ref="A1125:B1125"/>
    <mergeCell ref="A1126:B1126"/>
    <mergeCell ref="A1160:B1160"/>
    <mergeCell ref="A1161:B1161"/>
    <mergeCell ref="A1162:B1162"/>
    <mergeCell ref="A1163:B1163"/>
    <mergeCell ref="A1164:B1164"/>
    <mergeCell ref="A1165:B1165"/>
    <mergeCell ref="A1153:C1153"/>
    <mergeCell ref="A1154:C1154"/>
    <mergeCell ref="A1155:C1155"/>
    <mergeCell ref="A1156:C1156"/>
    <mergeCell ref="A1157:F1157"/>
    <mergeCell ref="A1159:B1159"/>
    <mergeCell ref="A1142:F1142"/>
    <mergeCell ref="A1145:C1145"/>
    <mergeCell ref="A1146:C1146"/>
    <mergeCell ref="A1148:C1148"/>
    <mergeCell ref="D1148:G1148"/>
    <mergeCell ref="A1152:C1152"/>
    <mergeCell ref="A1183:C1183"/>
    <mergeCell ref="A1184:C1184"/>
    <mergeCell ref="A1186:C1186"/>
    <mergeCell ref="D1186:G1186"/>
    <mergeCell ref="A1190:C1190"/>
    <mergeCell ref="A1191:C1191"/>
    <mergeCell ref="A1173:F1173"/>
    <mergeCell ref="A1175:B1175"/>
    <mergeCell ref="A1176:B1176"/>
    <mergeCell ref="A1177:B1177"/>
    <mergeCell ref="A1178:F1178"/>
    <mergeCell ref="A1180:F1180"/>
    <mergeCell ref="A1166:B1166"/>
    <mergeCell ref="A1167:B1167"/>
    <mergeCell ref="A1168:F1168"/>
    <mergeCell ref="A1170:B1170"/>
    <mergeCell ref="A1171:B1171"/>
    <mergeCell ref="A1172:B1172"/>
    <mergeCell ref="A1205:B1205"/>
    <mergeCell ref="A1206:B1206"/>
    <mergeCell ref="A1207:F1207"/>
    <mergeCell ref="A1209:B1209"/>
    <mergeCell ref="A1210:B1210"/>
    <mergeCell ref="A1211:B1211"/>
    <mergeCell ref="A1199:B1199"/>
    <mergeCell ref="A1200:B1200"/>
    <mergeCell ref="A1201:B1201"/>
    <mergeCell ref="A1202:B1202"/>
    <mergeCell ref="A1203:B1203"/>
    <mergeCell ref="A1204:B1204"/>
    <mergeCell ref="A1192:C1192"/>
    <mergeCell ref="A1193:C1193"/>
    <mergeCell ref="A1194:C1194"/>
    <mergeCell ref="A1195:F1195"/>
    <mergeCell ref="A1197:B1197"/>
    <mergeCell ref="A1198:B1198"/>
    <mergeCell ref="A1230:C1230"/>
    <mergeCell ref="A1231:C1231"/>
    <mergeCell ref="A1232:C1232"/>
    <mergeCell ref="A1233:F1233"/>
    <mergeCell ref="A1235:B1235"/>
    <mergeCell ref="A1236:B1236"/>
    <mergeCell ref="A1222:C1222"/>
    <mergeCell ref="A1223:C1223"/>
    <mergeCell ref="A1224:C1224"/>
    <mergeCell ref="D1224:G1224"/>
    <mergeCell ref="A1228:C1228"/>
    <mergeCell ref="A1229:C1229"/>
    <mergeCell ref="A1212:F1212"/>
    <mergeCell ref="A1214:B1214"/>
    <mergeCell ref="A1215:B1215"/>
    <mergeCell ref="A1216:B1216"/>
    <mergeCell ref="A1217:F1217"/>
    <mergeCell ref="A1219:F1219"/>
    <mergeCell ref="A1250:F1250"/>
    <mergeCell ref="A1252:B1252"/>
    <mergeCell ref="A1253:B1253"/>
    <mergeCell ref="A1254:B1254"/>
    <mergeCell ref="A1255:F1255"/>
    <mergeCell ref="A1257:F1257"/>
    <mergeCell ref="A1243:B1243"/>
    <mergeCell ref="A1244:B1244"/>
    <mergeCell ref="A1245:F1245"/>
    <mergeCell ref="A1247:B1247"/>
    <mergeCell ref="A1248:B1248"/>
    <mergeCell ref="A1249:B1249"/>
    <mergeCell ref="A1237:B1237"/>
    <mergeCell ref="A1238:B1238"/>
    <mergeCell ref="A1239:B1239"/>
    <mergeCell ref="A1240:B1240"/>
    <mergeCell ref="A1241:B1241"/>
    <mergeCell ref="A1242:B1242"/>
    <mergeCell ref="A1275:B1275"/>
    <mergeCell ref="A1276:B1276"/>
    <mergeCell ref="A1277:B1277"/>
    <mergeCell ref="A1278:B1278"/>
    <mergeCell ref="A1279:B1279"/>
    <mergeCell ref="A1280:B1280"/>
    <mergeCell ref="A1268:C1268"/>
    <mergeCell ref="A1269:C1269"/>
    <mergeCell ref="A1270:C1270"/>
    <mergeCell ref="A1271:F1271"/>
    <mergeCell ref="A1273:B1273"/>
    <mergeCell ref="A1274:B1274"/>
    <mergeCell ref="A1260:C1260"/>
    <mergeCell ref="A1261:C1261"/>
    <mergeCell ref="A1262:C1262"/>
    <mergeCell ref="D1262:G1262"/>
    <mergeCell ref="A1266:C1266"/>
    <mergeCell ref="A1267:C1267"/>
    <mergeCell ref="A1298:C1298"/>
    <mergeCell ref="A1299:C1299"/>
    <mergeCell ref="A1301:C1301"/>
    <mergeCell ref="D1301:G1301"/>
    <mergeCell ref="A1305:C1305"/>
    <mergeCell ref="A1306:C1306"/>
    <mergeCell ref="A1288:F1288"/>
    <mergeCell ref="A1290:B1290"/>
    <mergeCell ref="A1291:B1291"/>
    <mergeCell ref="A1292:B1292"/>
    <mergeCell ref="A1293:F1293"/>
    <mergeCell ref="A1295:F1295"/>
    <mergeCell ref="A1281:B1281"/>
    <mergeCell ref="A1282:B1282"/>
    <mergeCell ref="A1283:F1283"/>
    <mergeCell ref="A1285:B1285"/>
    <mergeCell ref="A1286:B1286"/>
    <mergeCell ref="A1287:B1287"/>
    <mergeCell ref="A1321:B1321"/>
    <mergeCell ref="A1322:F1322"/>
    <mergeCell ref="A1324:B1324"/>
    <mergeCell ref="A1325:B1325"/>
    <mergeCell ref="A1326:B1326"/>
    <mergeCell ref="A1327:F1327"/>
    <mergeCell ref="A1314:B1314"/>
    <mergeCell ref="A1315:B1315"/>
    <mergeCell ref="A1316:B1316"/>
    <mergeCell ref="A1317:F1317"/>
    <mergeCell ref="A1319:B1319"/>
    <mergeCell ref="A1320:B1320"/>
    <mergeCell ref="A1307:C1307"/>
    <mergeCell ref="A1308:C1308"/>
    <mergeCell ref="A1309:C1309"/>
    <mergeCell ref="A1310:F1310"/>
    <mergeCell ref="A1312:B1312"/>
    <mergeCell ref="A1313:B1313"/>
    <mergeCell ref="A1347:B1347"/>
    <mergeCell ref="A1348:B1348"/>
    <mergeCell ref="A1349:B1349"/>
    <mergeCell ref="A1350:B1350"/>
    <mergeCell ref="A1351:F1351"/>
    <mergeCell ref="A1353:B1353"/>
    <mergeCell ref="A1340:C1340"/>
    <mergeCell ref="A1341:C1341"/>
    <mergeCell ref="A1342:C1342"/>
    <mergeCell ref="A1343:C1343"/>
    <mergeCell ref="A1344:F1344"/>
    <mergeCell ref="A1346:B1346"/>
    <mergeCell ref="A1329:F1329"/>
    <mergeCell ref="A1332:C1332"/>
    <mergeCell ref="A1333:C1333"/>
    <mergeCell ref="A1335:C1335"/>
    <mergeCell ref="D1335:G1335"/>
    <mergeCell ref="A1339:C1339"/>
    <mergeCell ref="A1373:C1373"/>
    <mergeCell ref="A1374:C1374"/>
    <mergeCell ref="A1375:C1375"/>
    <mergeCell ref="A1376:C1376"/>
    <mergeCell ref="A1377:F1377"/>
    <mergeCell ref="A1379:B1379"/>
    <mergeCell ref="A1361:F1361"/>
    <mergeCell ref="A1363:F1363"/>
    <mergeCell ref="A1366:C1366"/>
    <mergeCell ref="A1367:C1367"/>
    <mergeCell ref="A1369:C1369"/>
    <mergeCell ref="D1369:G1369"/>
    <mergeCell ref="A1354:B1354"/>
    <mergeCell ref="A1355:B1355"/>
    <mergeCell ref="A1356:F1356"/>
    <mergeCell ref="A1358:B1358"/>
    <mergeCell ref="A1359:B1359"/>
    <mergeCell ref="A1360:B1360"/>
    <mergeCell ref="A1394:F1394"/>
    <mergeCell ref="A1396:F1396"/>
    <mergeCell ref="A1398:C1398"/>
    <mergeCell ref="A1399:C1399"/>
    <mergeCell ref="A1403:C1403"/>
    <mergeCell ref="A1404:C1404"/>
    <mergeCell ref="A1387:B1387"/>
    <mergeCell ref="A1388:B1388"/>
    <mergeCell ref="A1389:F1389"/>
    <mergeCell ref="A1391:B1391"/>
    <mergeCell ref="A1392:B1392"/>
    <mergeCell ref="A1393:B1393"/>
    <mergeCell ref="A1380:B1380"/>
    <mergeCell ref="A1381:B1381"/>
    <mergeCell ref="A1382:B1382"/>
    <mergeCell ref="A1383:B1383"/>
    <mergeCell ref="A1384:F1384"/>
    <mergeCell ref="A1386:B1386"/>
    <mergeCell ref="A1419:F1419"/>
    <mergeCell ref="A1421:B1421"/>
    <mergeCell ref="A1422:B1422"/>
    <mergeCell ref="A1423:B1423"/>
    <mergeCell ref="A1424:F1424"/>
    <mergeCell ref="A1426:F1426"/>
    <mergeCell ref="A1412:B1412"/>
    <mergeCell ref="A1413:B1413"/>
    <mergeCell ref="A1414:F1414"/>
    <mergeCell ref="A1416:B1416"/>
    <mergeCell ref="A1417:B1417"/>
    <mergeCell ref="A1418:B1418"/>
    <mergeCell ref="A1405:C1405"/>
    <mergeCell ref="A1406:C1406"/>
    <mergeCell ref="A1407:F1407"/>
    <mergeCell ref="A1409:B1409"/>
    <mergeCell ref="A1410:B1410"/>
    <mergeCell ref="A1411:B1411"/>
  </mergeCells>
  <printOptions horizontalCentered="1"/>
  <pageMargins left="0.70866141732283472" right="0.62992125984251968" top="0.74803149606299213" bottom="0.74803149606299213" header="0.31496062992125984" footer="0.31496062992125984"/>
  <pageSetup orientation="portrait" r:id="rId1"/>
  <rowBreaks count="4" manualBreakCount="4">
    <brk id="1066" max="6" man="1"/>
    <brk id="1143" max="6" man="1"/>
    <brk id="1181" max="6" man="1"/>
    <brk id="1397" max="6"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M432"/>
  <sheetViews>
    <sheetView view="pageBreakPreview" topLeftCell="A394" zoomScaleNormal="100" zoomScaleSheetLayoutView="100" workbookViewId="0">
      <selection activeCell="H410" sqref="H410"/>
    </sheetView>
  </sheetViews>
  <sheetFormatPr baseColWidth="10" defaultColWidth="11.42578125" defaultRowHeight="14.25" x14ac:dyDescent="0.2"/>
  <cols>
    <col min="1" max="1" width="3.7109375" style="579" customWidth="1"/>
    <col min="2" max="2" width="8.7109375" style="650" customWidth="1"/>
    <col min="3" max="3" width="37.28515625" style="579" customWidth="1"/>
    <col min="4" max="4" width="7.28515625" style="579" customWidth="1"/>
    <col min="5" max="5" width="9.7109375" style="651" customWidth="1"/>
    <col min="6" max="6" width="13.7109375" style="652" customWidth="1"/>
    <col min="7" max="7" width="22.42578125" style="652" bestFit="1" customWidth="1"/>
    <col min="8" max="8" width="31.5703125" style="579" customWidth="1"/>
    <col min="9" max="9" width="19.42578125" style="579" customWidth="1"/>
    <col min="10" max="10" width="19.85546875" style="579" customWidth="1"/>
    <col min="11" max="11" width="23" style="579" customWidth="1"/>
    <col min="12" max="12" width="19.5703125" style="579" customWidth="1"/>
    <col min="13" max="16384" width="11.42578125" style="579"/>
  </cols>
  <sheetData>
    <row r="1" spans="1:12" ht="77.25" customHeight="1" x14ac:dyDescent="0.3">
      <c r="A1" s="634"/>
      <c r="B1" s="1626"/>
      <c r="C1" s="1626"/>
      <c r="D1" s="1627" t="s">
        <v>1555</v>
      </c>
      <c r="E1" s="1627"/>
      <c r="F1" s="1627"/>
      <c r="G1" s="1627"/>
      <c r="H1" s="635"/>
      <c r="I1" s="963"/>
      <c r="J1" s="635"/>
      <c r="K1" s="635"/>
      <c r="L1" s="635"/>
    </row>
    <row r="2" spans="1:12" ht="50.25" customHeight="1" x14ac:dyDescent="0.2">
      <c r="B2" s="1628" t="s">
        <v>1556</v>
      </c>
      <c r="C2" s="1628"/>
      <c r="D2" s="1628"/>
      <c r="E2" s="1628"/>
      <c r="F2" s="1628"/>
      <c r="G2" s="1628"/>
      <c r="H2" s="636"/>
      <c r="I2" s="964"/>
      <c r="J2" s="636"/>
      <c r="K2" s="636"/>
      <c r="L2" s="636"/>
    </row>
    <row r="3" spans="1:12" ht="17.25" customHeight="1" thickBot="1" x14ac:dyDescent="0.25">
      <c r="B3" s="1629" t="s">
        <v>1722</v>
      </c>
      <c r="C3" s="1629"/>
      <c r="D3" s="1629"/>
      <c r="E3" s="1629"/>
      <c r="F3" s="1629"/>
      <c r="G3" s="1629"/>
      <c r="I3" s="621"/>
    </row>
    <row r="4" spans="1:12" ht="17.25" customHeight="1" thickBot="1" x14ac:dyDescent="0.25">
      <c r="B4" s="1630" t="str">
        <f>'M.CANTID.GENERAL'!A5</f>
        <v>CAPITULO 1: ACUEDUCTO</v>
      </c>
      <c r="C4" s="1631"/>
      <c r="D4" s="1631"/>
      <c r="E4" s="1631"/>
      <c r="F4" s="1631"/>
      <c r="G4" s="1632"/>
      <c r="I4" s="621"/>
    </row>
    <row r="5" spans="1:12" ht="15.75" x14ac:dyDescent="0.2">
      <c r="B5" s="747"/>
      <c r="C5" s="747"/>
      <c r="D5" s="747"/>
      <c r="E5" s="747"/>
      <c r="F5" s="747" t="s">
        <v>847</v>
      </c>
      <c r="G5" s="748" t="s">
        <v>1725</v>
      </c>
      <c r="I5" s="621"/>
    </row>
    <row r="6" spans="1:12" ht="33" customHeight="1" x14ac:dyDescent="0.2">
      <c r="B6" s="637" t="s">
        <v>0</v>
      </c>
      <c r="C6" s="637" t="s">
        <v>1</v>
      </c>
      <c r="D6" s="637" t="s">
        <v>878</v>
      </c>
      <c r="E6" s="638" t="s">
        <v>421</v>
      </c>
      <c r="F6" s="639" t="s">
        <v>879</v>
      </c>
      <c r="G6" s="639" t="s">
        <v>600</v>
      </c>
      <c r="I6" s="621"/>
    </row>
    <row r="7" spans="1:12" ht="17.25" customHeight="1" x14ac:dyDescent="0.2">
      <c r="B7" s="1622" t="str">
        <f>'M.CANTID.GENERAL'!A7</f>
        <v>1.1. BOCATOMA - CAPTACION</v>
      </c>
      <c r="C7" s="1623"/>
      <c r="D7" s="1623"/>
      <c r="E7" s="1623"/>
      <c r="F7" s="1623"/>
      <c r="G7" s="1624"/>
      <c r="I7" s="621"/>
    </row>
    <row r="8" spans="1:12" ht="17.25" customHeight="1" x14ac:dyDescent="0.2">
      <c r="B8" s="640" t="str">
        <f>'M.CANTID.GENERAL'!B9</f>
        <v>1.1.1.</v>
      </c>
      <c r="C8" s="1600" t="str">
        <f>'M.CANTID.GENERAL'!C9</f>
        <v>CAPTACION QUEBRADA LA VENTA</v>
      </c>
      <c r="D8" s="1600"/>
      <c r="E8" s="1600"/>
      <c r="F8" s="1600"/>
      <c r="G8" s="1600"/>
      <c r="I8" s="621"/>
    </row>
    <row r="9" spans="1:12" ht="17.25" customHeight="1" x14ac:dyDescent="0.2">
      <c r="B9" s="640"/>
      <c r="C9" s="1600" t="str">
        <f>'M.CANTID.GENERAL'!C10</f>
        <v>OBRA CIVIL</v>
      </c>
      <c r="D9" s="1600"/>
      <c r="E9" s="1600"/>
      <c r="F9" s="1600"/>
      <c r="G9" s="1600"/>
      <c r="I9" s="621"/>
    </row>
    <row r="10" spans="1:12" ht="27" customHeight="1" x14ac:dyDescent="0.2">
      <c r="B10" s="641" t="str">
        <f>'M.CANTID.GENERAL'!B12</f>
        <v>1.1.1.1.</v>
      </c>
      <c r="C10" s="717" t="e">
        <f>'M.CANTID.GENERAL'!C12</f>
        <v>#REF!</v>
      </c>
      <c r="D10" s="642" t="str">
        <f>'M.CANTID.GENERAL'!P14</f>
        <v>ML</v>
      </c>
      <c r="E10" s="643">
        <f>'M.CANTID.GENERAL'!O14</f>
        <v>25</v>
      </c>
      <c r="F10" s="644" t="e">
        <f>#REF!</f>
        <v>#REF!</v>
      </c>
      <c r="G10" s="645" t="e">
        <f t="shared" ref="G10:G16" si="0">ROUND((+E10*F10),0)</f>
        <v>#REF!</v>
      </c>
      <c r="I10" s="621"/>
    </row>
    <row r="11" spans="1:12" ht="28.5" customHeight="1" x14ac:dyDescent="0.2">
      <c r="B11" s="641" t="str">
        <f>'M.CANTID.GENERAL'!B15</f>
        <v>1.1.1.2.</v>
      </c>
      <c r="C11" s="717" t="e">
        <f>'M.CANTID.GENERAL'!C15</f>
        <v>#REF!</v>
      </c>
      <c r="D11" s="642" t="str">
        <f>'M.CANTID.GENERAL'!P17</f>
        <v>UND</v>
      </c>
      <c r="E11" s="643">
        <f>'M.CANTID.GENERAL'!O17</f>
        <v>1</v>
      </c>
      <c r="F11" s="644" t="e">
        <f>#REF!</f>
        <v>#REF!</v>
      </c>
      <c r="G11" s="645" t="e">
        <f t="shared" si="0"/>
        <v>#REF!</v>
      </c>
      <c r="I11" s="621"/>
    </row>
    <row r="12" spans="1:12" ht="29.25" customHeight="1" x14ac:dyDescent="0.2">
      <c r="B12" s="641" t="str">
        <f>'M.CANTID.GENERAL'!B18</f>
        <v>1.1.1.3.</v>
      </c>
      <c r="C12" s="717" t="e">
        <f>'M.CANTID.GENERAL'!C18</f>
        <v>#REF!</v>
      </c>
      <c r="D12" s="642" t="str">
        <f>'M.CANTID.GENERAL'!P20</f>
        <v>UND</v>
      </c>
      <c r="E12" s="643">
        <f>'M.CANTID.GENERAL'!O20</f>
        <v>1</v>
      </c>
      <c r="F12" s="644" t="e">
        <f>#REF!</f>
        <v>#REF!</v>
      </c>
      <c r="G12" s="645" t="e">
        <f>ROUND((+E12*F12),0)</f>
        <v>#REF!</v>
      </c>
      <c r="I12" s="621"/>
    </row>
    <row r="13" spans="1:12" ht="54.75" customHeight="1" x14ac:dyDescent="0.2">
      <c r="B13" s="641" t="str">
        <f>'M.CANTID.GENERAL'!B21</f>
        <v>1.1.1.4.</v>
      </c>
      <c r="C13" s="717" t="e">
        <f>'M.CANTID.GENERAL'!C21</f>
        <v>#REF!</v>
      </c>
      <c r="D13" s="642" t="str">
        <f>'M.CANTID.GENERAL'!P23</f>
        <v>UND</v>
      </c>
      <c r="E13" s="643">
        <f>'M.CANTID.GENERAL'!O23</f>
        <v>1</v>
      </c>
      <c r="F13" s="644" t="e">
        <f>#REF!</f>
        <v>#REF!</v>
      </c>
      <c r="G13" s="645" t="e">
        <f>ROUND((+E13*F13),0)</f>
        <v>#REF!</v>
      </c>
      <c r="I13" s="621"/>
    </row>
    <row r="14" spans="1:12" ht="54.75" customHeight="1" x14ac:dyDescent="0.2">
      <c r="B14" s="641" t="str">
        <f>'M.CANTID.GENERAL'!B24</f>
        <v>1.1.1.5.</v>
      </c>
      <c r="C14" s="717" t="e">
        <f>'M.CANTID.GENERAL'!C24</f>
        <v>#REF!</v>
      </c>
      <c r="D14" s="642" t="str">
        <f>'M.CANTID.GENERAL'!P26</f>
        <v>UND</v>
      </c>
      <c r="E14" s="643">
        <f>'M.CANTID.GENERAL'!O26</f>
        <v>1</v>
      </c>
      <c r="F14" s="644" t="e">
        <f>#REF!</f>
        <v>#REF!</v>
      </c>
      <c r="G14" s="645" t="e">
        <f t="shared" si="0"/>
        <v>#REF!</v>
      </c>
      <c r="I14" s="621"/>
    </row>
    <row r="15" spans="1:12" ht="53.25" customHeight="1" x14ac:dyDescent="0.2">
      <c r="B15" s="641" t="str">
        <f>'M.CANTID.GENERAL'!B27</f>
        <v>1.1.1.6.</v>
      </c>
      <c r="C15" s="707" t="e">
        <f>'M.CANTID.GENERAL'!C27</f>
        <v>#REF!</v>
      </c>
      <c r="D15" s="703" t="str">
        <f>'M.CANTID.GENERAL'!P29</f>
        <v>UND</v>
      </c>
      <c r="E15" s="704">
        <f>'M.CANTID.GENERAL'!O29</f>
        <v>1</v>
      </c>
      <c r="F15" s="705" t="e">
        <f>#REF!</f>
        <v>#REF!</v>
      </c>
      <c r="G15" s="645" t="e">
        <f t="shared" si="0"/>
        <v>#REF!</v>
      </c>
      <c r="I15" s="621"/>
    </row>
    <row r="16" spans="1:12" ht="17.25" customHeight="1" x14ac:dyDescent="0.2">
      <c r="B16" s="641" t="str">
        <f>'M.CANTID.GENERAL'!B30</f>
        <v>1.1.1.7.</v>
      </c>
      <c r="C16" s="707" t="e">
        <f>'M.CANTID.GENERAL'!C30</f>
        <v>#REF!</v>
      </c>
      <c r="D16" s="703" t="str">
        <f>'M.CANTID.GENERAL'!P32</f>
        <v>VIAJE</v>
      </c>
      <c r="E16" s="704">
        <f>'M.CANTID.GENERAL'!O32</f>
        <v>20</v>
      </c>
      <c r="F16" s="705" t="e">
        <f>#REF!</f>
        <v>#REF!</v>
      </c>
      <c r="G16" s="645" t="e">
        <f t="shared" si="0"/>
        <v>#REF!</v>
      </c>
      <c r="I16" s="621"/>
    </row>
    <row r="17" spans="2:9" ht="17.25" customHeight="1" x14ac:dyDescent="0.2">
      <c r="B17" s="640"/>
      <c r="C17" s="1600" t="str">
        <f>'M.CANTID.GENERAL'!C35</f>
        <v>SUMINISTROS</v>
      </c>
      <c r="D17" s="1600"/>
      <c r="E17" s="1600"/>
      <c r="F17" s="1600"/>
      <c r="G17" s="1600"/>
      <c r="I17" s="621"/>
    </row>
    <row r="18" spans="2:9" ht="15" thickBot="1" x14ac:dyDescent="0.25">
      <c r="B18" s="641" t="str">
        <f>'M.CANTID.GENERAL'!B36</f>
        <v>1.1.1.8.</v>
      </c>
      <c r="C18" s="961" t="e">
        <f>'M.CANTID.GENERAL'!C36</f>
        <v>#REF!</v>
      </c>
      <c r="D18" s="642" t="str">
        <f>'M.CANTID.GENERAL'!P38</f>
        <v>ML</v>
      </c>
      <c r="E18" s="643">
        <f>'M.CANTID.GENERAL'!O38</f>
        <v>25</v>
      </c>
      <c r="F18" s="644" t="e">
        <f>#REF!</f>
        <v>#REF!</v>
      </c>
      <c r="G18" s="645" t="e">
        <f>ROUND((+E18*F18),0)</f>
        <v>#REF!</v>
      </c>
      <c r="I18" s="621"/>
    </row>
    <row r="19" spans="2:9" ht="15" thickBot="1" x14ac:dyDescent="0.25">
      <c r="B19" s="1597" t="s">
        <v>1076</v>
      </c>
      <c r="C19" s="1597"/>
      <c r="D19" s="1597"/>
      <c r="E19" s="1597"/>
      <c r="F19" s="1597"/>
      <c r="G19" s="728" t="e">
        <f>SUM(G10:G16)</f>
        <v>#REF!</v>
      </c>
      <c r="I19" s="621"/>
    </row>
    <row r="20" spans="2:9" ht="15" thickBot="1" x14ac:dyDescent="0.25">
      <c r="B20" s="1597" t="s">
        <v>1077</v>
      </c>
      <c r="C20" s="1597"/>
      <c r="D20" s="1597"/>
      <c r="E20" s="1597"/>
      <c r="F20" s="1597"/>
      <c r="G20" s="728" t="e">
        <f>SUM(G18)</f>
        <v>#REF!</v>
      </c>
    </row>
    <row r="21" spans="2:9" ht="15" thickBot="1" x14ac:dyDescent="0.25">
      <c r="B21" s="1598" t="s">
        <v>1161</v>
      </c>
      <c r="C21" s="1598"/>
      <c r="D21" s="1598"/>
      <c r="E21" s="1598"/>
      <c r="F21" s="1598"/>
      <c r="G21" s="729" t="e">
        <f>SUM(G19:G20)</f>
        <v>#REF!</v>
      </c>
      <c r="I21" s="789" t="e">
        <f>G19+G20</f>
        <v>#REF!</v>
      </c>
    </row>
    <row r="22" spans="2:9" ht="16.5" customHeight="1" x14ac:dyDescent="0.2">
      <c r="B22" s="1622" t="str">
        <f>'M.CANTID.GENERAL'!A40</f>
        <v>1.2. ADUCCIONES</v>
      </c>
      <c r="C22" s="1623"/>
      <c r="D22" s="1623"/>
      <c r="E22" s="1623"/>
      <c r="F22" s="1623"/>
      <c r="G22" s="1624"/>
      <c r="I22" s="621"/>
    </row>
    <row r="23" spans="2:9" ht="22.5" customHeight="1" x14ac:dyDescent="0.2">
      <c r="B23" s="640" t="str">
        <f>'M.CANTID.GENERAL'!B42</f>
        <v>1.2.1.</v>
      </c>
      <c r="C23" s="1600" t="str">
        <f>'M.CANTID.GENERAL'!C42</f>
        <v>ADUCCION BOCATOMA - DESARENADOR</v>
      </c>
      <c r="D23" s="1600"/>
      <c r="E23" s="1600"/>
      <c r="F23" s="1600"/>
      <c r="G23" s="1600"/>
      <c r="I23" s="621"/>
    </row>
    <row r="24" spans="2:9" ht="17.25" customHeight="1" x14ac:dyDescent="0.2">
      <c r="B24" s="640"/>
      <c r="C24" s="1600" t="str">
        <f>'M.CANTID.GENERAL'!C43</f>
        <v>OBRA CIVIL</v>
      </c>
      <c r="D24" s="1600"/>
      <c r="E24" s="1600"/>
      <c r="F24" s="1600"/>
      <c r="G24" s="1600"/>
      <c r="I24" s="621"/>
    </row>
    <row r="25" spans="2:9" x14ac:dyDescent="0.2">
      <c r="B25" s="641" t="str">
        <f>'M.CANTID.GENERAL'!B45</f>
        <v>1.2.1.1.</v>
      </c>
      <c r="C25" s="717" t="e">
        <f>'M.CANTID.GENERAL'!C45</f>
        <v>#REF!</v>
      </c>
      <c r="D25" s="642" t="str">
        <f>'M.CANTID.GENERAL'!P47</f>
        <v>ML</v>
      </c>
      <c r="E25" s="643">
        <f>'M.CANTID.GENERAL'!O47</f>
        <v>166.98</v>
      </c>
      <c r="F25" s="644" t="e">
        <f>#REF!</f>
        <v>#REF!</v>
      </c>
      <c r="G25" s="645" t="e">
        <f>ROUND((+E25*F25),0)</f>
        <v>#REF!</v>
      </c>
      <c r="I25" s="621"/>
    </row>
    <row r="26" spans="2:9" x14ac:dyDescent="0.2">
      <c r="B26" s="641" t="str">
        <f>'M.CANTID.GENERAL'!B48</f>
        <v>1.2.1.2.</v>
      </c>
      <c r="C26" s="717" t="e">
        <f>'M.CANTID.GENERAL'!C48</f>
        <v>#REF!</v>
      </c>
      <c r="D26" s="642" t="str">
        <f>'M.CANTID.GENERAL'!P50</f>
        <v>M3</v>
      </c>
      <c r="E26" s="643">
        <f>'M.CANTID.GENERAL'!O50</f>
        <v>390.73</v>
      </c>
      <c r="F26" s="644" t="e">
        <f>#REF!</f>
        <v>#REF!</v>
      </c>
      <c r="G26" s="645" t="e">
        <f t="shared" ref="G26:G37" si="1">ROUND((+E26*F26),0)</f>
        <v>#REF!</v>
      </c>
      <c r="I26" s="621"/>
    </row>
    <row r="27" spans="2:9" x14ac:dyDescent="0.2">
      <c r="B27" s="641" t="str">
        <f>'M.CANTID.GENERAL'!B51</f>
        <v>1.2.1.3.</v>
      </c>
      <c r="C27" s="717" t="e">
        <f>'M.CANTID.GENERAL'!C51</f>
        <v>#REF!</v>
      </c>
      <c r="D27" s="642" t="str">
        <f>'M.CANTID.GENERAL'!P53</f>
        <v>M3</v>
      </c>
      <c r="E27" s="643">
        <f>'M.CANTID.GENERAL'!O53</f>
        <v>77.27</v>
      </c>
      <c r="F27" s="644" t="e">
        <f>#REF!</f>
        <v>#REF!</v>
      </c>
      <c r="G27" s="645" t="e">
        <f t="shared" si="1"/>
        <v>#REF!</v>
      </c>
      <c r="I27" s="621"/>
    </row>
    <row r="28" spans="2:9" x14ac:dyDescent="0.2">
      <c r="B28" s="641" t="str">
        <f>'M.CANTID.GENERAL'!B54</f>
        <v>1.2.1.4.</v>
      </c>
      <c r="C28" s="953" t="e">
        <f>'M.CANTID.GENERAL'!C54</f>
        <v>#REF!</v>
      </c>
      <c r="D28" s="642" t="str">
        <f>'M.CANTID.GENERAL'!P56</f>
        <v>M3-Km</v>
      </c>
      <c r="E28" s="643">
        <f>'M.CANTID.GENERAL'!O56</f>
        <v>434.15</v>
      </c>
      <c r="F28" s="644" t="e">
        <f>#REF!</f>
        <v>#REF!</v>
      </c>
      <c r="G28" s="645" t="e">
        <f t="shared" si="1"/>
        <v>#REF!</v>
      </c>
      <c r="I28" s="621"/>
    </row>
    <row r="29" spans="2:9" x14ac:dyDescent="0.2">
      <c r="B29" s="641" t="str">
        <f>'M.CANTID.GENERAL'!B57</f>
        <v>1.2.1.5.</v>
      </c>
      <c r="C29" s="717" t="e">
        <f>'M.CANTID.GENERAL'!C57</f>
        <v>#REF!</v>
      </c>
      <c r="D29" s="642" t="str">
        <f>'M.CANTID.GENERAL'!P59</f>
        <v>M3</v>
      </c>
      <c r="E29" s="643">
        <f>'M.CANTID.GENERAL'!O59</f>
        <v>303.89999999999998</v>
      </c>
      <c r="F29" s="682" t="e">
        <f>#REF!</f>
        <v>#REF!</v>
      </c>
      <c r="G29" s="645" t="e">
        <f>ROUND((+E29*F29),0)</f>
        <v>#REF!</v>
      </c>
      <c r="I29" s="621"/>
    </row>
    <row r="30" spans="2:9" x14ac:dyDescent="0.2">
      <c r="B30" s="641" t="str">
        <f>'M.CANTID.GENERAL'!B60</f>
        <v>1.2.1.6.</v>
      </c>
      <c r="C30" s="717" t="e">
        <f>'M.CANTID.GENERAL'!C60</f>
        <v>#REF!</v>
      </c>
      <c r="D30" s="642" t="str">
        <f>'M.CANTID.GENERAL'!P62</f>
        <v>ML</v>
      </c>
      <c r="E30" s="643">
        <f>'M.CANTID.GENERAL'!O62</f>
        <v>166.98</v>
      </c>
      <c r="F30" s="644" t="e">
        <f>#REF!</f>
        <v>#REF!</v>
      </c>
      <c r="G30" s="645" t="e">
        <f t="shared" si="1"/>
        <v>#REF!</v>
      </c>
      <c r="I30" s="621"/>
    </row>
    <row r="31" spans="2:9" ht="29.25" customHeight="1" x14ac:dyDescent="0.2">
      <c r="B31" s="641" t="str">
        <f>'M.CANTID.GENERAL'!B63</f>
        <v>1.2.1.7.</v>
      </c>
      <c r="C31" s="717" t="e">
        <f>'M.CANTID.GENERAL'!C63</f>
        <v>#REF!</v>
      </c>
      <c r="D31" s="642" t="str">
        <f>'M.CANTID.GENERAL'!P65</f>
        <v>UND</v>
      </c>
      <c r="E31" s="643">
        <f>'M.CANTID.GENERAL'!O65</f>
        <v>1</v>
      </c>
      <c r="F31" s="644" t="e">
        <f>#REF!</f>
        <v>#REF!</v>
      </c>
      <c r="G31" s="645" t="e">
        <f t="shared" si="1"/>
        <v>#REF!</v>
      </c>
      <c r="I31" s="621"/>
    </row>
    <row r="32" spans="2:9" x14ac:dyDescent="0.2">
      <c r="B32" s="641" t="str">
        <f>'M.CANTID.GENERAL'!B66</f>
        <v>1.2.1.8.</v>
      </c>
      <c r="C32" s="717" t="e">
        <f>'M.CANTID.GENERAL'!C66</f>
        <v>#REF!</v>
      </c>
      <c r="D32" s="642" t="str">
        <f>'M.CANTID.GENERAL'!P68</f>
        <v>UND</v>
      </c>
      <c r="E32" s="643">
        <f>'M.CANTID.GENERAL'!O68</f>
        <v>2</v>
      </c>
      <c r="F32" s="644" t="e">
        <f>#REF!</f>
        <v>#REF!</v>
      </c>
      <c r="G32" s="645" t="e">
        <f>ROUND((+E32*F32),0)</f>
        <v>#REF!</v>
      </c>
      <c r="I32" s="621"/>
    </row>
    <row r="33" spans="2:9" ht="43.5" customHeight="1" x14ac:dyDescent="0.2">
      <c r="B33" s="641" t="str">
        <f>'M.CANTID.GENERAL'!B69</f>
        <v>1.2.1.9.</v>
      </c>
      <c r="C33" s="717" t="e">
        <f>'M.CANTID.GENERAL'!C69</f>
        <v>#REF!</v>
      </c>
      <c r="D33" s="642" t="str">
        <f>'M.CANTID.GENERAL'!P71</f>
        <v>UND</v>
      </c>
      <c r="E33" s="643">
        <f>'M.CANTID.GENERAL'!O71</f>
        <v>1</v>
      </c>
      <c r="F33" s="644" t="e">
        <f>#REF!</f>
        <v>#REF!</v>
      </c>
      <c r="G33" s="645" t="e">
        <f t="shared" si="1"/>
        <v>#REF!</v>
      </c>
      <c r="I33" s="621"/>
    </row>
    <row r="34" spans="2:9" x14ac:dyDescent="0.2">
      <c r="B34" s="641" t="str">
        <f>'M.CANTID.GENERAL'!B72</f>
        <v>1.2.1.10.</v>
      </c>
      <c r="C34" s="717" t="e">
        <f>'M.CANTID.GENERAL'!C72</f>
        <v>#REF!</v>
      </c>
      <c r="D34" s="642" t="str">
        <f>'M.CANTID.GENERAL'!P74</f>
        <v>UND</v>
      </c>
      <c r="E34" s="643">
        <f>'M.CANTID.GENERAL'!O74</f>
        <v>2</v>
      </c>
      <c r="F34" s="644" t="e">
        <f>#REF!</f>
        <v>#REF!</v>
      </c>
      <c r="G34" s="645" t="e">
        <f t="shared" si="1"/>
        <v>#REF!</v>
      </c>
      <c r="I34" s="621"/>
    </row>
    <row r="35" spans="2:9" ht="42" customHeight="1" x14ac:dyDescent="0.2">
      <c r="B35" s="641" t="str">
        <f>'M.CANTID.GENERAL'!B75</f>
        <v>1.2.1.11.</v>
      </c>
      <c r="C35" s="717" t="e">
        <f>'M.CANTID.GENERAL'!C75</f>
        <v>#REF!</v>
      </c>
      <c r="D35" s="642" t="str">
        <f>'M.CANTID.GENERAL'!P77</f>
        <v>UND</v>
      </c>
      <c r="E35" s="643">
        <f>'M.CANTID.GENERAL'!O77</f>
        <v>1</v>
      </c>
      <c r="F35" s="644" t="e">
        <f>#REF!</f>
        <v>#REF!</v>
      </c>
      <c r="G35" s="645" t="e">
        <f t="shared" si="1"/>
        <v>#REF!</v>
      </c>
      <c r="I35" s="621"/>
    </row>
    <row r="36" spans="2:9" x14ac:dyDescent="0.2">
      <c r="B36" s="641" t="str">
        <f>'M.CANTID.GENERAL'!B78</f>
        <v>1.2.1.12.</v>
      </c>
      <c r="C36" s="717" t="e">
        <f>'M.CANTID.GENERAL'!C78</f>
        <v>#REF!</v>
      </c>
      <c r="D36" s="642" t="str">
        <f>'M.CANTID.GENERAL'!P80</f>
        <v>ML</v>
      </c>
      <c r="E36" s="643">
        <f>'M.CANTID.GENERAL'!O80</f>
        <v>50</v>
      </c>
      <c r="F36" s="644" t="e">
        <f>#REF!</f>
        <v>#REF!</v>
      </c>
      <c r="G36" s="645" t="e">
        <f t="shared" si="1"/>
        <v>#REF!</v>
      </c>
      <c r="I36" s="621"/>
    </row>
    <row r="37" spans="2:9" x14ac:dyDescent="0.2">
      <c r="B37" s="641" t="str">
        <f>'M.CANTID.GENERAL'!B81</f>
        <v>1.2.1.13.</v>
      </c>
      <c r="C37" s="952" t="e">
        <f>'M.CANTID.GENERAL'!C81</f>
        <v>#REF!</v>
      </c>
      <c r="D37" s="642" t="str">
        <f>'M.CANTID.GENERAL'!P84</f>
        <v>UND</v>
      </c>
      <c r="E37" s="643">
        <f>'M.CANTID.GENERAL'!O84</f>
        <v>3</v>
      </c>
      <c r="F37" s="644" t="e">
        <f>#REF!</f>
        <v>#REF!</v>
      </c>
      <c r="G37" s="645" t="e">
        <f t="shared" si="1"/>
        <v>#REF!</v>
      </c>
      <c r="I37" s="621"/>
    </row>
    <row r="38" spans="2:9" ht="17.25" customHeight="1" x14ac:dyDescent="0.2">
      <c r="B38" s="640"/>
      <c r="C38" s="1600" t="str">
        <f>'M.CANTID.GENERAL'!C87</f>
        <v>SUMINISTROS</v>
      </c>
      <c r="D38" s="1600"/>
      <c r="E38" s="1600"/>
      <c r="F38" s="1600"/>
      <c r="G38" s="1600"/>
      <c r="I38" s="621"/>
    </row>
    <row r="39" spans="2:9" ht="30" customHeight="1" thickBot="1" x14ac:dyDescent="0.25">
      <c r="B39" s="641" t="str">
        <f>'M.CANTID.GENERAL'!B88</f>
        <v>1.2.1.14.</v>
      </c>
      <c r="C39" s="717" t="e">
        <f>'M.CANTID.GENERAL'!C88</f>
        <v>#REF!</v>
      </c>
      <c r="D39" s="642" t="str">
        <f>'M.CANTID.GENERAL'!P90</f>
        <v>ML</v>
      </c>
      <c r="E39" s="643">
        <f>'M.CANTID.GENERAL'!O90</f>
        <v>166.98</v>
      </c>
      <c r="F39" s="644" t="e">
        <f>#REF!</f>
        <v>#REF!</v>
      </c>
      <c r="G39" s="645" t="e">
        <f>ROUND((+E39*F39),0)</f>
        <v>#REF!</v>
      </c>
      <c r="I39" s="621"/>
    </row>
    <row r="40" spans="2:9" ht="25.5" customHeight="1" thickBot="1" x14ac:dyDescent="0.25">
      <c r="B40" s="1625" t="s">
        <v>1579</v>
      </c>
      <c r="C40" s="1625"/>
      <c r="D40" s="1625"/>
      <c r="E40" s="1625"/>
      <c r="F40" s="1625"/>
      <c r="G40" s="728" t="e">
        <f>SUM(G25:G37)</f>
        <v>#REF!</v>
      </c>
      <c r="I40" s="621"/>
    </row>
    <row r="41" spans="2:9" ht="27" customHeight="1" thickBot="1" x14ac:dyDescent="0.25">
      <c r="B41" s="1625" t="s">
        <v>1580</v>
      </c>
      <c r="C41" s="1625"/>
      <c r="D41" s="1625"/>
      <c r="E41" s="1625"/>
      <c r="F41" s="1625"/>
      <c r="G41" s="728" t="e">
        <f>ROUND((G39),0)</f>
        <v>#REF!</v>
      </c>
      <c r="I41" s="789" t="e">
        <f>G40+G41</f>
        <v>#REF!</v>
      </c>
    </row>
    <row r="42" spans="2:9" ht="27" customHeight="1" x14ac:dyDescent="0.2">
      <c r="B42" s="640" t="str">
        <f>'M.CANTID.GENERAL'!B94</f>
        <v>1.2.2.</v>
      </c>
      <c r="C42" s="1600" t="str">
        <f>'M.CANTID.GENERAL'!C94</f>
        <v>ADUCCION DESARENADOR - PTAP ACUEDUCTO TESALIA</v>
      </c>
      <c r="D42" s="1600"/>
      <c r="E42" s="1600"/>
      <c r="F42" s="1600"/>
      <c r="G42" s="1600"/>
      <c r="I42" s="789"/>
    </row>
    <row r="43" spans="2:9" ht="17.25" customHeight="1" x14ac:dyDescent="0.2">
      <c r="B43" s="640"/>
      <c r="C43" s="1600" t="str">
        <f>'M.CANTID.GENERAL'!C95</f>
        <v>OBRA CIVIL</v>
      </c>
      <c r="D43" s="1600"/>
      <c r="E43" s="1600"/>
      <c r="F43" s="1600"/>
      <c r="G43" s="1600"/>
      <c r="I43" s="621"/>
    </row>
    <row r="44" spans="2:9" x14ac:dyDescent="0.2">
      <c r="B44" s="641" t="str">
        <f>'M.CANTID.GENERAL'!B97</f>
        <v>1.2.2.1.</v>
      </c>
      <c r="C44" s="717" t="e">
        <f>'M.CANTID.GENERAL'!C97</f>
        <v>#REF!</v>
      </c>
      <c r="D44" s="642" t="str">
        <f>'M.CANTID.GENERAL'!P103</f>
        <v>ML</v>
      </c>
      <c r="E44" s="643">
        <f>'M.CANTID.GENERAL'!O103</f>
        <v>12174.76</v>
      </c>
      <c r="F44" s="644" t="e">
        <f>#REF!</f>
        <v>#REF!</v>
      </c>
      <c r="G44" s="645" t="e">
        <f t="shared" ref="G44:G57" si="2">ROUND((+E44*F44),0)</f>
        <v>#REF!</v>
      </c>
      <c r="I44" s="789"/>
    </row>
    <row r="45" spans="2:9" x14ac:dyDescent="0.2">
      <c r="B45" s="641" t="str">
        <f>'M.CANTID.GENERAL'!B104</f>
        <v>1.2.2.2.</v>
      </c>
      <c r="C45" s="717" t="e">
        <f>'M.CANTID.GENERAL'!C104</f>
        <v>#REF!</v>
      </c>
      <c r="D45" s="642" t="str">
        <f>'M.CANTID.GENERAL'!P110</f>
        <v>M3</v>
      </c>
      <c r="E45" s="643">
        <f>'M.CANTID.GENERAL'!O110</f>
        <v>15461.95</v>
      </c>
      <c r="F45" s="644" t="e">
        <f>#REF!</f>
        <v>#REF!</v>
      </c>
      <c r="G45" s="645" t="e">
        <f t="shared" si="2"/>
        <v>#REF!</v>
      </c>
      <c r="I45" s="789"/>
    </row>
    <row r="46" spans="2:9" x14ac:dyDescent="0.2">
      <c r="B46" s="641" t="str">
        <f>'M.CANTID.GENERAL'!B111</f>
        <v>1.2.2.3.</v>
      </c>
      <c r="C46" s="717" t="e">
        <f>'M.CANTID.GENERAL'!C111</f>
        <v>#REF!</v>
      </c>
      <c r="D46" s="642" t="str">
        <f>'M.CANTID.GENERAL'!P117</f>
        <v>M3</v>
      </c>
      <c r="E46" s="643">
        <f>'M.CANTID.GENERAL'!O117</f>
        <v>4837.0600000000004</v>
      </c>
      <c r="F46" s="644" t="e">
        <f>#REF!</f>
        <v>#REF!</v>
      </c>
      <c r="G46" s="645" t="e">
        <f t="shared" si="2"/>
        <v>#REF!</v>
      </c>
      <c r="I46" s="789"/>
    </row>
    <row r="47" spans="2:9" ht="67.5" customHeight="1" x14ac:dyDescent="0.2">
      <c r="B47" s="641" t="str">
        <f>'M.CANTID.GENERAL'!B118</f>
        <v>1.2.2.4.</v>
      </c>
      <c r="C47" s="717" t="e">
        <f>'M.CANTID.GENERAL'!C118</f>
        <v>#REF!</v>
      </c>
      <c r="D47" s="642" t="str">
        <f>'M.CANTID.GENERAL'!P124</f>
        <v>M3-Km</v>
      </c>
      <c r="E47" s="643">
        <f>'M.CANTID.GENERAL'!O124</f>
        <v>25567</v>
      </c>
      <c r="F47" s="644" t="e">
        <f>#REF!</f>
        <v>#REF!</v>
      </c>
      <c r="G47" s="645" t="e">
        <f t="shared" si="2"/>
        <v>#REF!</v>
      </c>
      <c r="I47" s="789"/>
    </row>
    <row r="48" spans="2:9" ht="27.75" customHeight="1" x14ac:dyDescent="0.2">
      <c r="B48" s="641" t="str">
        <f>'M.CANTID.GENERAL'!B125</f>
        <v>1.2.2.5.</v>
      </c>
      <c r="C48" s="717" t="e">
        <f>'M.CANTID.GENERAL'!C125</f>
        <v>#REF!</v>
      </c>
      <c r="D48" s="642" t="str">
        <f>'M.CANTID.GENERAL'!P131</f>
        <v>M3</v>
      </c>
      <c r="E48" s="643">
        <f>'M.CANTID.GENERAL'!O131</f>
        <v>10348.549999999999</v>
      </c>
      <c r="F48" s="682" t="e">
        <f>#REF!</f>
        <v>#REF!</v>
      </c>
      <c r="G48" s="645" t="e">
        <f t="shared" si="2"/>
        <v>#REF!</v>
      </c>
      <c r="I48" s="789"/>
    </row>
    <row r="49" spans="2:9" x14ac:dyDescent="0.2">
      <c r="B49" s="641" t="str">
        <f>'M.CANTID.GENERAL'!B132</f>
        <v>1.2.2.6.</v>
      </c>
      <c r="C49" s="717" t="e">
        <f>'M.CANTID.GENERAL'!C132</f>
        <v>#REF!</v>
      </c>
      <c r="D49" s="642" t="str">
        <f>'M.CANTID.GENERAL'!P137</f>
        <v>ML</v>
      </c>
      <c r="E49" s="643">
        <f>'M.CANTID.GENERAL'!O137</f>
        <v>5220.6899999999996</v>
      </c>
      <c r="F49" s="644" t="e">
        <f>#REF!</f>
        <v>#REF!</v>
      </c>
      <c r="G49" s="645" t="e">
        <f t="shared" si="2"/>
        <v>#REF!</v>
      </c>
      <c r="I49" s="789"/>
    </row>
    <row r="50" spans="2:9" ht="40.5" customHeight="1" x14ac:dyDescent="0.2">
      <c r="B50" s="641" t="str">
        <f>'M.CANTID.GENERAL'!B138</f>
        <v>1.2.2.7.</v>
      </c>
      <c r="C50" s="717" t="e">
        <f>'M.CANTID.GENERAL'!C138</f>
        <v>#REF!</v>
      </c>
      <c r="D50" s="642" t="str">
        <f>'M.CANTID.GENERAL'!P140</f>
        <v>ML</v>
      </c>
      <c r="E50" s="643">
        <f>'M.CANTID.GENERAL'!O140</f>
        <v>6954.07</v>
      </c>
      <c r="F50" s="644" t="e">
        <f>#REF!</f>
        <v>#REF!</v>
      </c>
      <c r="G50" s="645" t="e">
        <f t="shared" si="2"/>
        <v>#REF!</v>
      </c>
      <c r="I50" s="789"/>
    </row>
    <row r="51" spans="2:9" ht="30.75" customHeight="1" x14ac:dyDescent="0.2">
      <c r="B51" s="641" t="str">
        <f>'M.CANTID.GENERAL'!B141</f>
        <v>1.2.2.8.</v>
      </c>
      <c r="C51" s="717" t="e">
        <f>'M.CANTID.GENERAL'!C141</f>
        <v>#REF!</v>
      </c>
      <c r="D51" s="642" t="str">
        <f>'M.CANTID.GENERAL'!P143</f>
        <v>UND</v>
      </c>
      <c r="E51" s="643">
        <f>'M.CANTID.GENERAL'!O143</f>
        <v>1</v>
      </c>
      <c r="F51" s="644" t="e">
        <f>#REF!</f>
        <v>#REF!</v>
      </c>
      <c r="G51" s="645" t="e">
        <f t="shared" si="2"/>
        <v>#REF!</v>
      </c>
      <c r="I51" s="789"/>
    </row>
    <row r="52" spans="2:9" ht="55.5" customHeight="1" x14ac:dyDescent="0.2">
      <c r="B52" s="641" t="str">
        <f>'M.CANTID.GENERAL'!B144</f>
        <v>1.2.2.9.</v>
      </c>
      <c r="C52" s="717" t="e">
        <f>'M.CANTID.GENERAL'!C144</f>
        <v>#REF!</v>
      </c>
      <c r="D52" s="642" t="str">
        <f>'M.CANTID.GENERAL'!P146</f>
        <v>UND</v>
      </c>
      <c r="E52" s="643">
        <f>'M.CANTID.GENERAL'!O146</f>
        <v>11</v>
      </c>
      <c r="F52" s="644" t="e">
        <f>#REF!</f>
        <v>#REF!</v>
      </c>
      <c r="G52" s="645" t="e">
        <f t="shared" si="2"/>
        <v>#REF!</v>
      </c>
      <c r="I52" s="789"/>
    </row>
    <row r="53" spans="2:9" ht="40.5" customHeight="1" x14ac:dyDescent="0.2">
      <c r="B53" s="641" t="str">
        <f>'M.CANTID.GENERAL'!B147</f>
        <v>1.2.10.</v>
      </c>
      <c r="C53" s="717" t="e">
        <f>'M.CANTID.GENERAL'!C147</f>
        <v>#REF!</v>
      </c>
      <c r="D53" s="642" t="str">
        <f>'M.CANTID.GENERAL'!P149</f>
        <v>UND</v>
      </c>
      <c r="E53" s="643">
        <f>'M.CANTID.GENERAL'!O149</f>
        <v>11</v>
      </c>
      <c r="F53" s="644" t="e">
        <f>#REF!</f>
        <v>#REF!</v>
      </c>
      <c r="G53" s="645" t="e">
        <f t="shared" si="2"/>
        <v>#REF!</v>
      </c>
      <c r="I53" s="789"/>
    </row>
    <row r="54" spans="2:9" ht="40.5" customHeight="1" x14ac:dyDescent="0.2">
      <c r="B54" s="641" t="str">
        <f>'M.CANTID.GENERAL'!B150</f>
        <v>1.2.2.11.</v>
      </c>
      <c r="C54" s="717" t="e">
        <f>'M.CANTID.GENERAL'!C150</f>
        <v>#REF!</v>
      </c>
      <c r="D54" s="642" t="str">
        <f>'M.CANTID.GENERAL'!P152</f>
        <v>UND</v>
      </c>
      <c r="E54" s="643">
        <f>'M.CANTID.GENERAL'!O152</f>
        <v>18</v>
      </c>
      <c r="F54" s="644" t="e">
        <f>#REF!</f>
        <v>#REF!</v>
      </c>
      <c r="G54" s="645" t="e">
        <f>ROUND((+E54*F54),0)</f>
        <v>#REF!</v>
      </c>
      <c r="I54" s="789"/>
    </row>
    <row r="55" spans="2:9" ht="40.5" customHeight="1" x14ac:dyDescent="0.2">
      <c r="B55" s="641" t="str">
        <f>'M.CANTID.GENERAL'!B153</f>
        <v>1.2.2.12.</v>
      </c>
      <c r="C55" s="717" t="e">
        <f>'M.CANTID.GENERAL'!C153</f>
        <v>#REF!</v>
      </c>
      <c r="D55" s="642" t="str">
        <f>'M.CANTID.GENERAL'!P155</f>
        <v>UND</v>
      </c>
      <c r="E55" s="643">
        <f>'M.CANTID.GENERAL'!O155</f>
        <v>4</v>
      </c>
      <c r="F55" s="644" t="e">
        <f>#REF!</f>
        <v>#REF!</v>
      </c>
      <c r="G55" s="645" t="e">
        <f>ROUND((+E55*F55),0)</f>
        <v>#REF!</v>
      </c>
      <c r="I55" s="789"/>
    </row>
    <row r="56" spans="2:9" ht="93" customHeight="1" x14ac:dyDescent="0.2">
      <c r="B56" s="641" t="str">
        <f>'M.CANTID.GENERAL'!B156</f>
        <v>1.2.2.13.</v>
      </c>
      <c r="C56" s="952" t="e">
        <f>'M.CANTID.GENERAL'!C156</f>
        <v>#REF!</v>
      </c>
      <c r="D56" s="642" t="str">
        <f>'M.CANTID.GENERAL'!P159</f>
        <v>UND</v>
      </c>
      <c r="E56" s="643">
        <f>'M.CANTID.GENERAL'!O159</f>
        <v>22</v>
      </c>
      <c r="F56" s="644" t="e">
        <f>#REF!</f>
        <v>#REF!</v>
      </c>
      <c r="G56" s="645" t="e">
        <f t="shared" si="2"/>
        <v>#REF!</v>
      </c>
      <c r="I56" s="789"/>
    </row>
    <row r="57" spans="2:9" ht="132" customHeight="1" x14ac:dyDescent="0.2">
      <c r="B57" s="641" t="str">
        <f>'M.CANTID.GENERAL'!B160</f>
        <v>1.2.2.14.</v>
      </c>
      <c r="C57" s="717" t="e">
        <f>'M.CANTID.GENERAL'!C160</f>
        <v>#REF!</v>
      </c>
      <c r="D57" s="642" t="str">
        <f>'M.CANTID.GENERAL'!P162</f>
        <v>ML</v>
      </c>
      <c r="E57" s="643">
        <f>'M.CANTID.GENERAL'!O162</f>
        <v>615.5</v>
      </c>
      <c r="F57" s="644" t="e">
        <f>#REF!</f>
        <v>#REF!</v>
      </c>
      <c r="G57" s="645" t="e">
        <f t="shared" si="2"/>
        <v>#REF!</v>
      </c>
      <c r="I57" s="789"/>
    </row>
    <row r="58" spans="2:9" ht="134.25" customHeight="1" x14ac:dyDescent="0.2">
      <c r="B58" s="641" t="str">
        <f>'M.CANTID.GENERAL'!B163</f>
        <v>1.2.2.15.</v>
      </c>
      <c r="C58" s="717" t="e">
        <f>'M.CANTID.GENERAL'!C163</f>
        <v>#REF!</v>
      </c>
      <c r="D58" s="642" t="str">
        <f>'M.CANTID.GENERAL'!P165</f>
        <v>UND</v>
      </c>
      <c r="E58" s="643">
        <f>'M.CANTID.GENERAL'!O165</f>
        <v>1</v>
      </c>
      <c r="F58" s="644" t="e">
        <f>#REF!</f>
        <v>#REF!</v>
      </c>
      <c r="G58" s="645" t="e">
        <f>ROUND((+E58*F58),0)</f>
        <v>#REF!</v>
      </c>
      <c r="I58" s="789"/>
    </row>
    <row r="59" spans="2:9" ht="17.25" customHeight="1" x14ac:dyDescent="0.2">
      <c r="B59" s="640"/>
      <c r="C59" s="1600" t="str">
        <f>'M.CANTID.GENERAL'!C167</f>
        <v>SUMINISTROS</v>
      </c>
      <c r="D59" s="1600"/>
      <c r="E59" s="1600"/>
      <c r="F59" s="1600"/>
      <c r="G59" s="1600"/>
      <c r="I59" s="621"/>
    </row>
    <row r="60" spans="2:9" x14ac:dyDescent="0.2">
      <c r="B60" s="641" t="str">
        <f>'M.CANTID.GENERAL'!B168</f>
        <v>1.2.2.16.</v>
      </c>
      <c r="C60" s="717" t="e">
        <f>'M.CANTID.GENERAL'!C168</f>
        <v>#REF!</v>
      </c>
      <c r="D60" s="642" t="str">
        <f>'M.CANTID.GENERAL'!P170</f>
        <v>ML</v>
      </c>
      <c r="E60" s="643">
        <f>'M.CANTID.GENERAL'!O170</f>
        <v>86.84</v>
      </c>
      <c r="F60" s="644" t="e">
        <f>#REF!</f>
        <v>#REF!</v>
      </c>
      <c r="G60" s="645" t="e">
        <f>ROUND((+E60*F60),0)</f>
        <v>#REF!</v>
      </c>
      <c r="I60" s="789"/>
    </row>
    <row r="61" spans="2:9" x14ac:dyDescent="0.2">
      <c r="B61" s="641" t="str">
        <f>'M.CANTID.GENERAL'!B171</f>
        <v>1.2.2.17.</v>
      </c>
      <c r="C61" s="717" t="e">
        <f>'M.CANTID.GENERAL'!C171</f>
        <v>#REF!</v>
      </c>
      <c r="D61" s="642" t="str">
        <f>'M.CANTID.GENERAL'!P173</f>
        <v>ML</v>
      </c>
      <c r="E61" s="643">
        <f>'M.CANTID.GENERAL'!O173</f>
        <v>137.59</v>
      </c>
      <c r="F61" s="644" t="e">
        <f>#REF!</f>
        <v>#REF!</v>
      </c>
      <c r="G61" s="645" t="e">
        <f t="shared" ref="G61:G64" si="3">ROUND((+E61*F61),0)</f>
        <v>#REF!</v>
      </c>
      <c r="I61" s="789"/>
    </row>
    <row r="62" spans="2:9" x14ac:dyDescent="0.2">
      <c r="B62" s="641" t="str">
        <f>'M.CANTID.GENERAL'!B176</f>
        <v>1.2.2.18.</v>
      </c>
      <c r="C62" s="717" t="e">
        <f>'M.CANTID.GENERAL'!C176</f>
        <v>#REF!</v>
      </c>
      <c r="D62" s="642" t="str">
        <f>'M.CANTID.GENERAL'!P178</f>
        <v>ML</v>
      </c>
      <c r="E62" s="643">
        <f>'M.CANTID.GENERAL'!O178</f>
        <v>911.06</v>
      </c>
      <c r="F62" s="644" t="e">
        <f>#REF!</f>
        <v>#REF!</v>
      </c>
      <c r="G62" s="645" t="e">
        <f t="shared" si="3"/>
        <v>#REF!</v>
      </c>
      <c r="I62" s="789"/>
    </row>
    <row r="63" spans="2:9" x14ac:dyDescent="0.2">
      <c r="B63" s="641" t="str">
        <f>'M.CANTID.GENERAL'!B179</f>
        <v>1.2.2.19.</v>
      </c>
      <c r="C63" s="717" t="e">
        <f>'M.CANTID.GENERAL'!C179</f>
        <v>#REF!</v>
      </c>
      <c r="D63" s="642" t="str">
        <f>'M.CANTID.GENERAL'!P181</f>
        <v>ML</v>
      </c>
      <c r="E63" s="643">
        <f>'M.CANTID.GENERAL'!O181</f>
        <v>4085.2</v>
      </c>
      <c r="F63" s="644" t="e">
        <f>#REF!</f>
        <v>#REF!</v>
      </c>
      <c r="G63" s="645" t="e">
        <f t="shared" si="3"/>
        <v>#REF!</v>
      </c>
      <c r="I63" s="789"/>
    </row>
    <row r="64" spans="2:9" ht="30" customHeight="1" thickBot="1" x14ac:dyDescent="0.25">
      <c r="B64" s="641" t="str">
        <f>'M.CANTID.GENERAL'!B182</f>
        <v>1.2.2.20.</v>
      </c>
      <c r="C64" s="717" t="e">
        <f>'M.CANTID.GENERAL'!C182</f>
        <v>#REF!</v>
      </c>
      <c r="D64" s="642" t="str">
        <f>'M.CANTID.GENERAL'!P184</f>
        <v>ML</v>
      </c>
      <c r="E64" s="643">
        <f>'M.CANTID.GENERAL'!O184</f>
        <v>6954.07</v>
      </c>
      <c r="F64" s="644" t="e">
        <f>#REF!</f>
        <v>#REF!</v>
      </c>
      <c r="G64" s="645" t="e">
        <f t="shared" si="3"/>
        <v>#REF!</v>
      </c>
      <c r="I64" s="789"/>
    </row>
    <row r="65" spans="2:9" ht="25.5" customHeight="1" thickBot="1" x14ac:dyDescent="0.25">
      <c r="B65" s="1597" t="s">
        <v>1581</v>
      </c>
      <c r="C65" s="1597"/>
      <c r="D65" s="1597"/>
      <c r="E65" s="1597"/>
      <c r="F65" s="1597"/>
      <c r="G65" s="728" t="e">
        <f>SUM(G44:G58)</f>
        <v>#REF!</v>
      </c>
      <c r="I65" s="789"/>
    </row>
    <row r="66" spans="2:9" ht="25.5" customHeight="1" thickBot="1" x14ac:dyDescent="0.25">
      <c r="B66" s="1597" t="s">
        <v>1582</v>
      </c>
      <c r="C66" s="1597"/>
      <c r="D66" s="1597"/>
      <c r="E66" s="1597"/>
      <c r="F66" s="1597"/>
      <c r="G66" s="728" t="e">
        <f>SUM(G60:G64)</f>
        <v>#REF!</v>
      </c>
      <c r="I66" s="789" t="e">
        <f>G65+G66</f>
        <v>#REF!</v>
      </c>
    </row>
    <row r="67" spans="2:9" ht="15" thickBot="1" x14ac:dyDescent="0.25">
      <c r="B67" s="1598" t="s">
        <v>1164</v>
      </c>
      <c r="C67" s="1598"/>
      <c r="D67" s="1598"/>
      <c r="E67" s="1598"/>
      <c r="F67" s="1598"/>
      <c r="G67" s="729" t="e">
        <f>G40+G65</f>
        <v>#REF!</v>
      </c>
      <c r="I67" s="621"/>
    </row>
    <row r="68" spans="2:9" ht="15" thickBot="1" x14ac:dyDescent="0.25">
      <c r="B68" s="1598" t="s">
        <v>1163</v>
      </c>
      <c r="C68" s="1598"/>
      <c r="D68" s="1598"/>
      <c r="E68" s="1598"/>
      <c r="F68" s="1598"/>
      <c r="G68" s="729" t="e">
        <f>G41+G66</f>
        <v>#REF!</v>
      </c>
      <c r="I68" s="621"/>
    </row>
    <row r="69" spans="2:9" ht="15" thickBot="1" x14ac:dyDescent="0.25">
      <c r="B69" s="1598" t="s">
        <v>1162</v>
      </c>
      <c r="C69" s="1598"/>
      <c r="D69" s="1598"/>
      <c r="E69" s="1598"/>
      <c r="F69" s="1598"/>
      <c r="G69" s="729" t="e">
        <f>SUM(G67:G68)</f>
        <v>#REF!</v>
      </c>
      <c r="I69" s="789" t="e">
        <f>G67+G68</f>
        <v>#REF!</v>
      </c>
    </row>
    <row r="70" spans="2:9" ht="16.5" thickBot="1" x14ac:dyDescent="0.25">
      <c r="B70" s="1601" t="str">
        <f>'M.CANTID.GENERAL'!A187</f>
        <v>1.3. DESARENADOR</v>
      </c>
      <c r="C70" s="1602"/>
      <c r="D70" s="1602"/>
      <c r="E70" s="1602"/>
      <c r="F70" s="1602"/>
      <c r="G70" s="1603"/>
      <c r="I70" s="621"/>
    </row>
    <row r="71" spans="2:9" x14ac:dyDescent="0.2">
      <c r="B71" s="706" t="str">
        <f>'M.CANTID.GENERAL'!B189</f>
        <v>1.3.1.</v>
      </c>
      <c r="C71" s="1621" t="str">
        <f>'M.CANTID.GENERAL'!C189</f>
        <v>DESARENADOR ACUEDUCTO TESALIA</v>
      </c>
      <c r="D71" s="1621"/>
      <c r="E71" s="1621"/>
      <c r="F71" s="1621"/>
      <c r="G71" s="1621"/>
      <c r="I71" s="621"/>
    </row>
    <row r="72" spans="2:9" ht="17.25" customHeight="1" x14ac:dyDescent="0.2">
      <c r="B72" s="640"/>
      <c r="C72" s="1600" t="str">
        <f>'M.CANTID.GENERAL'!C190</f>
        <v>OBRA CIVIL</v>
      </c>
      <c r="D72" s="1600"/>
      <c r="E72" s="1600"/>
      <c r="F72" s="1600"/>
      <c r="G72" s="1600"/>
      <c r="I72" s="621"/>
    </row>
    <row r="73" spans="2:9" x14ac:dyDescent="0.2">
      <c r="B73" s="641" t="str">
        <f>'M.CANTID.GENERAL'!B193</f>
        <v>1.3.1.1.</v>
      </c>
      <c r="C73" s="717" t="e">
        <f>'M.CANTID.GENERAL'!C193</f>
        <v>#REF!</v>
      </c>
      <c r="D73" s="646" t="str">
        <f>'M.CANTID.GENERAL'!P198</f>
        <v>M2</v>
      </c>
      <c r="E73" s="643">
        <f>'M.CANTID.GENERAL'!O198</f>
        <v>44.79</v>
      </c>
      <c r="F73" s="682" t="e">
        <f>#REF!</f>
        <v>#REF!</v>
      </c>
      <c r="G73" s="645" t="e">
        <f t="shared" ref="G73:G93" si="4">ROUND((+E73*F73),0)</f>
        <v>#REF!</v>
      </c>
      <c r="I73" s="621"/>
    </row>
    <row r="74" spans="2:9" x14ac:dyDescent="0.2">
      <c r="B74" s="641" t="str">
        <f>'M.CANTID.GENERAL'!B199</f>
        <v>1.3.1.2.</v>
      </c>
      <c r="C74" s="717" t="e">
        <f>'M.CANTID.GENERAL'!C199</f>
        <v>#REF!</v>
      </c>
      <c r="D74" s="646" t="str">
        <f>'M.CANTID.GENERAL'!P201</f>
        <v>M3</v>
      </c>
      <c r="E74" s="643">
        <f>'M.CANTID.GENERAL'!O201</f>
        <v>326.27</v>
      </c>
      <c r="F74" s="644" t="e">
        <f>#REF!</f>
        <v>#REF!</v>
      </c>
      <c r="G74" s="645" t="e">
        <f t="shared" si="4"/>
        <v>#REF!</v>
      </c>
      <c r="I74" s="621"/>
    </row>
    <row r="75" spans="2:9" x14ac:dyDescent="0.2">
      <c r="B75" s="641" t="str">
        <f>'M.CANTID.GENERAL'!B202</f>
        <v>1.3.1.3.</v>
      </c>
      <c r="C75" s="717" t="e">
        <f>'M.CANTID.GENERAL'!C202</f>
        <v>#REF!</v>
      </c>
      <c r="D75" s="646" t="str">
        <f>'M.CANTID.GENERAL'!P204</f>
        <v>M3-Km</v>
      </c>
      <c r="E75" s="643">
        <f>'M.CANTID.GENERAL'!O204</f>
        <v>1631.34</v>
      </c>
      <c r="F75" s="644" t="e">
        <f>#REF!</f>
        <v>#REF!</v>
      </c>
      <c r="G75" s="645" t="e">
        <f t="shared" si="4"/>
        <v>#REF!</v>
      </c>
      <c r="I75" s="621"/>
    </row>
    <row r="76" spans="2:9" x14ac:dyDescent="0.2">
      <c r="B76" s="641" t="str">
        <f>'M.CANTID.GENERAL'!B205</f>
        <v>1.3.1.4.</v>
      </c>
      <c r="C76" s="717" t="e">
        <f>'M.CANTID.GENERAL'!C205</f>
        <v>#REF!</v>
      </c>
      <c r="D76" s="646" t="str">
        <f>'M.CANTID.GENERAL'!P207</f>
        <v>M3</v>
      </c>
      <c r="E76" s="643">
        <f>'M.CANTID.GENERAL'!O207</f>
        <v>211.12</v>
      </c>
      <c r="F76" s="644" t="e">
        <f>#REF!</f>
        <v>#REF!</v>
      </c>
      <c r="G76" s="645" t="e">
        <f t="shared" si="4"/>
        <v>#REF!</v>
      </c>
      <c r="I76" s="621"/>
    </row>
    <row r="77" spans="2:9" x14ac:dyDescent="0.2">
      <c r="B77" s="641" t="str">
        <f>'M.CANTID.GENERAL'!B208</f>
        <v>1.3.1.5.</v>
      </c>
      <c r="C77" s="717" t="e">
        <f>'M.CANTID.GENERAL'!C208</f>
        <v>#REF!</v>
      </c>
      <c r="D77" s="646" t="str">
        <f>'M.CANTID.GENERAL'!P213</f>
        <v>M3</v>
      </c>
      <c r="E77" s="643">
        <f>'M.CANTID.GENERAL'!O213</f>
        <v>2.2400000000000002</v>
      </c>
      <c r="F77" s="644" t="e">
        <f>#REF!</f>
        <v>#REF!</v>
      </c>
      <c r="G77" s="645" t="e">
        <f t="shared" si="4"/>
        <v>#REF!</v>
      </c>
      <c r="I77" s="621"/>
    </row>
    <row r="78" spans="2:9" x14ac:dyDescent="0.2">
      <c r="B78" s="641" t="str">
        <f>'M.CANTID.GENERAL'!B214</f>
        <v>1.3.1.6.</v>
      </c>
      <c r="C78" s="717" t="e">
        <f>'M.CANTID.GENERAL'!C214</f>
        <v>#REF!</v>
      </c>
      <c r="D78" s="646" t="str">
        <f>'M.CANTID.GENERAL'!P239</f>
        <v>M3</v>
      </c>
      <c r="E78" s="643">
        <f>'M.CANTID.GENERAL'!O239</f>
        <v>51.97</v>
      </c>
      <c r="F78" s="644" t="e">
        <f>#REF!</f>
        <v>#REF!</v>
      </c>
      <c r="G78" s="645" t="e">
        <f t="shared" si="4"/>
        <v>#REF!</v>
      </c>
      <c r="I78" s="621"/>
    </row>
    <row r="79" spans="2:9" x14ac:dyDescent="0.2">
      <c r="B79" s="641" t="str">
        <f>'M.CANTID.GENERAL'!B240</f>
        <v>1.3.1.7.</v>
      </c>
      <c r="C79" s="717" t="e">
        <f>'M.CANTID.GENERAL'!C240</f>
        <v>#REF!</v>
      </c>
      <c r="D79" s="646" t="str">
        <f>'M.CANTID.GENERAL'!P242</f>
        <v>KG</v>
      </c>
      <c r="E79" s="643">
        <f>'M.CANTID.GENERAL'!O242</f>
        <v>10194.040000000001</v>
      </c>
      <c r="F79" s="644" t="e">
        <f>#REF!</f>
        <v>#REF!</v>
      </c>
      <c r="G79" s="645" t="e">
        <f t="shared" si="4"/>
        <v>#REF!</v>
      </c>
      <c r="I79" s="621"/>
    </row>
    <row r="80" spans="2:9" x14ac:dyDescent="0.2">
      <c r="B80" s="641" t="str">
        <f>'M.CANTID.GENERAL'!B243</f>
        <v>1.3.1.8.</v>
      </c>
      <c r="C80" s="717" t="e">
        <f>'M.CANTID.GENERAL'!C243</f>
        <v>#REF!</v>
      </c>
      <c r="D80" s="646" t="str">
        <f>'M.CANTID.GENERAL'!P247</f>
        <v>ML</v>
      </c>
      <c r="E80" s="643">
        <f>'M.CANTID.GENERAL'!O247</f>
        <v>80</v>
      </c>
      <c r="F80" s="644" t="e">
        <f>#REF!</f>
        <v>#REF!</v>
      </c>
      <c r="G80" s="645" t="e">
        <f t="shared" si="4"/>
        <v>#REF!</v>
      </c>
      <c r="I80" s="621"/>
    </row>
    <row r="81" spans="2:9" x14ac:dyDescent="0.2">
      <c r="B81" s="641" t="str">
        <f>'M.CANTID.GENERAL'!B248</f>
        <v>1.3.1.9.</v>
      </c>
      <c r="C81" s="717" t="e">
        <f>'M.CANTID.GENERAL'!C248</f>
        <v>#REF!</v>
      </c>
      <c r="D81" s="646" t="str">
        <f>'M.CANTID.GENERAL'!P250</f>
        <v>ML</v>
      </c>
      <c r="E81" s="643">
        <f>'M.CANTID.GENERAL'!O250</f>
        <v>12</v>
      </c>
      <c r="F81" s="644" t="e">
        <f>#REF!</f>
        <v>#REF!</v>
      </c>
      <c r="G81" s="645" t="e">
        <f t="shared" si="4"/>
        <v>#REF!</v>
      </c>
      <c r="I81" s="621"/>
    </row>
    <row r="82" spans="2:9" ht="30" customHeight="1" x14ac:dyDescent="0.2">
      <c r="B82" s="641" t="str">
        <f>'M.CANTID.GENERAL'!B251</f>
        <v>1.3.1.10.</v>
      </c>
      <c r="C82" s="717" t="e">
        <f>'M.CANTID.GENERAL'!C251</f>
        <v>#REF!</v>
      </c>
      <c r="D82" s="646" t="str">
        <f>'M.CANTID.GENERAL'!P255</f>
        <v>UND</v>
      </c>
      <c r="E82" s="643">
        <f>'M.CANTID.GENERAL'!O255</f>
        <v>3</v>
      </c>
      <c r="F82" s="644" t="e">
        <f>#REF!</f>
        <v>#REF!</v>
      </c>
      <c r="G82" s="645" t="e">
        <f t="shared" si="4"/>
        <v>#REF!</v>
      </c>
      <c r="I82" s="621"/>
    </row>
    <row r="83" spans="2:9" ht="27.75" customHeight="1" x14ac:dyDescent="0.2">
      <c r="B83" s="641" t="str">
        <f>'M.CANTID.GENERAL'!B256</f>
        <v>1.3.1.11.</v>
      </c>
      <c r="C83" s="717" t="e">
        <f>'M.CANTID.GENERAL'!C256</f>
        <v>#REF!</v>
      </c>
      <c r="D83" s="646" t="str">
        <f>'M.CANTID.GENERAL'!P258</f>
        <v>UND</v>
      </c>
      <c r="E83" s="643">
        <f>'M.CANTID.GENERAL'!O258</f>
        <v>1</v>
      </c>
      <c r="F83" s="644" t="e">
        <f>#REF!</f>
        <v>#REF!</v>
      </c>
      <c r="G83" s="645" t="e">
        <f>ROUND((+E83*F83),0)</f>
        <v>#REF!</v>
      </c>
      <c r="I83" s="621"/>
    </row>
    <row r="84" spans="2:9" ht="40.5" customHeight="1" x14ac:dyDescent="0.2">
      <c r="B84" s="641" t="str">
        <f>'M.CANTID.GENERAL'!B259</f>
        <v>1.3.1.12.</v>
      </c>
      <c r="C84" s="717" t="e">
        <f>'M.CANTID.GENERAL'!C259</f>
        <v>#REF!</v>
      </c>
      <c r="D84" s="646" t="str">
        <f>'M.CANTID.GENERAL'!P263</f>
        <v>UND</v>
      </c>
      <c r="E84" s="643">
        <f>'M.CANTID.GENERAL'!O263</f>
        <v>3</v>
      </c>
      <c r="F84" s="644" t="e">
        <f>#REF!</f>
        <v>#REF!</v>
      </c>
      <c r="G84" s="645" t="e">
        <f t="shared" si="4"/>
        <v>#REF!</v>
      </c>
      <c r="I84" s="621"/>
    </row>
    <row r="85" spans="2:9" ht="42" customHeight="1" x14ac:dyDescent="0.2">
      <c r="B85" s="641" t="str">
        <f>'M.CANTID.GENERAL'!B264</f>
        <v>1.3.1.13.</v>
      </c>
      <c r="C85" s="717" t="e">
        <f>'M.CANTID.GENERAL'!C264</f>
        <v>#REF!</v>
      </c>
      <c r="D85" s="646" t="str">
        <f>'M.CANTID.GENERAL'!P268</f>
        <v>UND</v>
      </c>
      <c r="E85" s="643">
        <f>'M.CANTID.GENERAL'!O268</f>
        <v>3</v>
      </c>
      <c r="F85" s="644" t="e">
        <f>#REF!</f>
        <v>#REF!</v>
      </c>
      <c r="G85" s="645" t="e">
        <f t="shared" si="4"/>
        <v>#REF!</v>
      </c>
      <c r="I85" s="621"/>
    </row>
    <row r="86" spans="2:9" x14ac:dyDescent="0.2">
      <c r="B86" s="641" t="str">
        <f>'M.CANTID.GENERAL'!B269</f>
        <v>1.3.1.14.</v>
      </c>
      <c r="C86" s="717" t="e">
        <f>'M.CANTID.GENERAL'!C269</f>
        <v>#REF!</v>
      </c>
      <c r="D86" s="646" t="str">
        <f>'M.CANTID.GENERAL'!P272</f>
        <v>UND</v>
      </c>
      <c r="E86" s="643">
        <f>'M.CANTID.GENERAL'!O272</f>
        <v>4</v>
      </c>
      <c r="F86" s="644" t="e">
        <f>#REF!</f>
        <v>#REF!</v>
      </c>
      <c r="G86" s="645" t="e">
        <f>ROUND((+E86*F86),0)</f>
        <v>#REF!</v>
      </c>
      <c r="I86" s="621"/>
    </row>
    <row r="87" spans="2:9" ht="41.25" customHeight="1" x14ac:dyDescent="0.2">
      <c r="B87" s="641" t="str">
        <f>'M.CANTID.GENERAL'!B273</f>
        <v>1.3.1.15.</v>
      </c>
      <c r="C87" s="717" t="e">
        <f>'M.CANTID.GENERAL'!C273</f>
        <v>#REF!</v>
      </c>
      <c r="D87" s="646" t="str">
        <f>'M.CANTID.GENERAL'!P275</f>
        <v>UND</v>
      </c>
      <c r="E87" s="643">
        <f>'M.CANTID.GENERAL'!O275</f>
        <v>1</v>
      </c>
      <c r="F87" s="644" t="e">
        <f>#REF!</f>
        <v>#REF!</v>
      </c>
      <c r="G87" s="645" t="e">
        <f>ROUND((+E87*F87),0)</f>
        <v>#REF!</v>
      </c>
      <c r="I87" s="621"/>
    </row>
    <row r="88" spans="2:9" ht="146.25" customHeight="1" x14ac:dyDescent="0.2">
      <c r="B88" s="641" t="str">
        <f>'M.CANTID.GENERAL'!B276</f>
        <v>1.3.1.16.</v>
      </c>
      <c r="C88" s="717" t="e">
        <f>'M.CANTID.GENERAL'!C276</f>
        <v>#REF!</v>
      </c>
      <c r="D88" s="646" t="str">
        <f>'M.CANTID.GENERAL'!P279</f>
        <v>ML</v>
      </c>
      <c r="E88" s="643">
        <f>'M.CANTID.GENERAL'!O279</f>
        <v>105</v>
      </c>
      <c r="F88" s="644" t="e">
        <f>#REF!</f>
        <v>#REF!</v>
      </c>
      <c r="G88" s="645" t="e">
        <f t="shared" si="4"/>
        <v>#REF!</v>
      </c>
      <c r="I88" s="621"/>
    </row>
    <row r="89" spans="2:9" x14ac:dyDescent="0.2">
      <c r="B89" s="641" t="str">
        <f>'M.CANTID.GENERAL'!B280</f>
        <v>1.3.1.17.</v>
      </c>
      <c r="C89" s="707" t="e">
        <f>'M.CANTID.GENERAL'!C280</f>
        <v>#REF!</v>
      </c>
      <c r="D89" s="696" t="str">
        <f>'M.CANTID.GENERAL'!P282</f>
        <v>ML</v>
      </c>
      <c r="E89" s="704">
        <f>'M.CANTID.GENERAL'!O282</f>
        <v>3</v>
      </c>
      <c r="F89" s="705" t="e">
        <f>#REF!</f>
        <v>#REF!</v>
      </c>
      <c r="G89" s="645" t="e">
        <f t="shared" si="4"/>
        <v>#REF!</v>
      </c>
      <c r="I89" s="621"/>
    </row>
    <row r="90" spans="2:9" x14ac:dyDescent="0.2">
      <c r="B90" s="641" t="str">
        <f>'M.CANTID.GENERAL'!B283</f>
        <v>1.3.1.18.</v>
      </c>
      <c r="C90" s="707" t="e">
        <f>'M.CANTID.GENERAL'!C283</f>
        <v>#REF!</v>
      </c>
      <c r="D90" s="696" t="str">
        <f>'M.CANTID.GENERAL'!P285</f>
        <v>UND</v>
      </c>
      <c r="E90" s="704">
        <f>'M.CANTID.GENERAL'!O285</f>
        <v>1</v>
      </c>
      <c r="F90" s="705" t="e">
        <f>#REF!</f>
        <v>#REF!</v>
      </c>
      <c r="G90" s="645" t="e">
        <f t="shared" si="4"/>
        <v>#REF!</v>
      </c>
      <c r="I90" s="621"/>
    </row>
    <row r="91" spans="2:9" ht="29.25" customHeight="1" x14ac:dyDescent="0.2">
      <c r="B91" s="641" t="str">
        <f>'M.CANTID.GENERAL'!B286</f>
        <v>1.3.1.19.</v>
      </c>
      <c r="C91" s="717" t="e">
        <f>'M.CANTID.GENERAL'!C286</f>
        <v>#REF!</v>
      </c>
      <c r="D91" s="646" t="str">
        <f>'M.CANTID.GENERAL'!P288</f>
        <v>UND</v>
      </c>
      <c r="E91" s="643">
        <f>'M.CANTID.GENERAL'!O288</f>
        <v>1</v>
      </c>
      <c r="F91" s="644" t="e">
        <f>#REF!</f>
        <v>#REF!</v>
      </c>
      <c r="G91" s="645" t="e">
        <f t="shared" si="4"/>
        <v>#REF!</v>
      </c>
      <c r="I91" s="621"/>
    </row>
    <row r="92" spans="2:9" ht="29.25" customHeight="1" x14ac:dyDescent="0.2">
      <c r="B92" s="641" t="str">
        <f>'M.CANTID.GENERAL'!B289</f>
        <v>1.3.1.20.</v>
      </c>
      <c r="C92" s="717" t="e">
        <f>'M.CANTID.GENERAL'!C289</f>
        <v>#REF!</v>
      </c>
      <c r="D92" s="646" t="str">
        <f>'M.CANTID.GENERAL'!P291</f>
        <v>UND</v>
      </c>
      <c r="E92" s="643">
        <f>'M.CANTID.GENERAL'!O291</f>
        <v>1</v>
      </c>
      <c r="F92" s="644" t="e">
        <f>#REF!</f>
        <v>#REF!</v>
      </c>
      <c r="G92" s="645" t="e">
        <f t="shared" si="4"/>
        <v>#REF!</v>
      </c>
      <c r="I92" s="621"/>
    </row>
    <row r="93" spans="2:9" x14ac:dyDescent="0.2">
      <c r="B93" s="641" t="str">
        <f>'M.CANTID.GENERAL'!B292</f>
        <v>1.3.1.21.</v>
      </c>
      <c r="C93" s="717" t="e">
        <f>'M.CANTID.GENERAL'!C292</f>
        <v>#REF!</v>
      </c>
      <c r="D93" s="646" t="str">
        <f>'M.CANTID.GENERAL'!P295</f>
        <v>UND</v>
      </c>
      <c r="E93" s="643">
        <f>'M.CANTID.GENERAL'!O295</f>
        <v>3</v>
      </c>
      <c r="F93" s="644" t="e">
        <f>#REF!</f>
        <v>#REF!</v>
      </c>
      <c r="G93" s="645" t="e">
        <f t="shared" si="4"/>
        <v>#REF!</v>
      </c>
      <c r="I93" s="621"/>
    </row>
    <row r="94" spans="2:9" ht="17.25" customHeight="1" x14ac:dyDescent="0.2">
      <c r="B94" s="640"/>
      <c r="C94" s="1600" t="str">
        <f>'M.CANTID.GENERAL'!C297</f>
        <v>SUMINISTROS</v>
      </c>
      <c r="D94" s="1600"/>
      <c r="E94" s="1600"/>
      <c r="F94" s="1600"/>
      <c r="G94" s="1600"/>
      <c r="I94" s="621"/>
    </row>
    <row r="95" spans="2:9" ht="27" customHeight="1" x14ac:dyDescent="0.2">
      <c r="B95" s="641" t="str">
        <f>'M.CANTID.GENERAL'!B298</f>
        <v>1.3.1.22.</v>
      </c>
      <c r="C95" s="717" t="e">
        <f>'M.CANTID.GENERAL'!C298</f>
        <v>#REF!</v>
      </c>
      <c r="D95" s="646" t="str">
        <f>'M.CANTID.GENERAL'!P302</f>
        <v>ML</v>
      </c>
      <c r="E95" s="643">
        <f>'M.CANTID.GENERAL'!O302</f>
        <v>80</v>
      </c>
      <c r="F95" s="644" t="e">
        <f>#REF!</f>
        <v>#REF!</v>
      </c>
      <c r="G95" s="645" t="e">
        <f>ROUND((+E95*F95),0)</f>
        <v>#REF!</v>
      </c>
      <c r="I95" s="621"/>
    </row>
    <row r="96" spans="2:9" ht="27" customHeight="1" thickBot="1" x14ac:dyDescent="0.25">
      <c r="B96" s="641" t="str">
        <f>'M.CANTID.GENERAL'!B303</f>
        <v>1.3.1.23.</v>
      </c>
      <c r="C96" s="717" t="e">
        <f>'M.CANTID.GENERAL'!C303</f>
        <v>#REF!</v>
      </c>
      <c r="D96" s="646" t="str">
        <f>'M.CANTID.GENERAL'!P305</f>
        <v>ML</v>
      </c>
      <c r="E96" s="643">
        <f>'M.CANTID.GENERAL'!O305</f>
        <v>12</v>
      </c>
      <c r="F96" s="644" t="e">
        <f>#REF!</f>
        <v>#REF!</v>
      </c>
      <c r="G96" s="645" t="e">
        <f>ROUND((+E96*F96),0)</f>
        <v>#REF!</v>
      </c>
      <c r="I96" s="621"/>
    </row>
    <row r="97" spans="2:9" ht="15" thickBot="1" x14ac:dyDescent="0.25">
      <c r="B97" s="1597" t="s">
        <v>1586</v>
      </c>
      <c r="C97" s="1597"/>
      <c r="D97" s="1597"/>
      <c r="E97" s="1597"/>
      <c r="F97" s="1597"/>
      <c r="G97" s="728" t="e">
        <f>SUM(G73:G93)</f>
        <v>#REF!</v>
      </c>
      <c r="I97" s="621"/>
    </row>
    <row r="98" spans="2:9" ht="15" thickBot="1" x14ac:dyDescent="0.25">
      <c r="B98" s="1597" t="s">
        <v>1587</v>
      </c>
      <c r="C98" s="1597"/>
      <c r="D98" s="1597"/>
      <c r="E98" s="1597"/>
      <c r="F98" s="1597"/>
      <c r="G98" s="728" t="e">
        <f>SUM(G95:G96)</f>
        <v>#REF!</v>
      </c>
    </row>
    <row r="99" spans="2:9" ht="15" thickBot="1" x14ac:dyDescent="0.25">
      <c r="B99" s="1598" t="s">
        <v>1729</v>
      </c>
      <c r="C99" s="1598"/>
      <c r="D99" s="1598"/>
      <c r="E99" s="1598"/>
      <c r="F99" s="1598"/>
      <c r="G99" s="729" t="e">
        <f>SUM(G97:G98)</f>
        <v>#REF!</v>
      </c>
      <c r="I99" s="789" t="e">
        <f>G97+G98</f>
        <v>#REF!</v>
      </c>
    </row>
    <row r="100" spans="2:9" ht="16.5" thickBot="1" x14ac:dyDescent="0.25">
      <c r="B100" s="1601" t="str">
        <f>'M.CANTID.GENERAL'!A317</f>
        <v>1.4. PLANTA DE TRATAMIENTO DE AGUA POTABLE-PTAP ACUEDUCTO TESALIA</v>
      </c>
      <c r="C100" s="1602"/>
      <c r="D100" s="1602"/>
      <c r="E100" s="1602"/>
      <c r="F100" s="1602"/>
      <c r="G100" s="1603"/>
      <c r="I100" s="621"/>
    </row>
    <row r="101" spans="2:9" ht="16.5" customHeight="1" x14ac:dyDescent="0.2">
      <c r="B101" s="791" t="str">
        <f>'M.CANTID.GENERAL'!B319</f>
        <v>1.4.1.</v>
      </c>
      <c r="C101" s="1620" t="str">
        <f>'M.CANTID.GENERAL'!C319</f>
        <v>SEDE ADMINISTRATIVA Y OPERATIVA</v>
      </c>
      <c r="D101" s="1620"/>
      <c r="E101" s="1620"/>
      <c r="F101" s="1620"/>
      <c r="G101" s="1620"/>
      <c r="I101" s="789"/>
    </row>
    <row r="102" spans="2:9" ht="17.25" customHeight="1" x14ac:dyDescent="0.2">
      <c r="B102" s="640"/>
      <c r="C102" s="1600" t="str">
        <f>'M.CANTID.GENERAL'!C320</f>
        <v>OBRA CIVIL</v>
      </c>
      <c r="D102" s="1600"/>
      <c r="E102" s="1600"/>
      <c r="F102" s="1600"/>
      <c r="G102" s="1600"/>
      <c r="I102" s="621"/>
    </row>
    <row r="103" spans="2:9" x14ac:dyDescent="0.2">
      <c r="B103" s="712" t="str">
        <f>'M.CANTID.GENERAL'!B322</f>
        <v>1.4.1.1.</v>
      </c>
      <c r="C103" s="717" t="e">
        <f>'M.CANTID.GENERAL'!C322</f>
        <v>#REF!</v>
      </c>
      <c r="D103" s="683" t="str">
        <f>'M.CANTID.GENERAL'!P324</f>
        <v>M2</v>
      </c>
      <c r="E103" s="792">
        <f>'M.CANTID.GENERAL'!O324</f>
        <v>170.19</v>
      </c>
      <c r="F103" s="682" t="e">
        <f>#REF!</f>
        <v>#REF!</v>
      </c>
      <c r="G103" s="756" t="e">
        <f t="shared" ref="G103:G146" si="5">ROUND((+E103*F103),0)</f>
        <v>#REF!</v>
      </c>
      <c r="I103" s="965"/>
    </row>
    <row r="104" spans="2:9" x14ac:dyDescent="0.2">
      <c r="B104" s="712" t="str">
        <f>'M.CANTID.GENERAL'!B325</f>
        <v>1.4.1.2.</v>
      </c>
      <c r="C104" s="717" t="e">
        <f>'M.CANTID.GENERAL'!C325</f>
        <v>#REF!</v>
      </c>
      <c r="D104" s="683" t="str">
        <f>'M.CANTID.GENERAL'!P333</f>
        <v>M3</v>
      </c>
      <c r="E104" s="792">
        <f>'M.CANTID.GENERAL'!O333</f>
        <v>136.32</v>
      </c>
      <c r="F104" s="682" t="e">
        <f>#REF!</f>
        <v>#REF!</v>
      </c>
      <c r="G104" s="756" t="e">
        <f t="shared" si="5"/>
        <v>#REF!</v>
      </c>
      <c r="I104" s="965"/>
    </row>
    <row r="105" spans="2:9" x14ac:dyDescent="0.2">
      <c r="B105" s="712" t="str">
        <f>'M.CANTID.GENERAL'!B334</f>
        <v>1.4.1.3.</v>
      </c>
      <c r="C105" s="717" t="e">
        <f>'M.CANTID.GENERAL'!C334</f>
        <v>#REF!</v>
      </c>
      <c r="D105" s="646" t="str">
        <f>'M.CANTID.GENERAL'!P342</f>
        <v>M3-Km</v>
      </c>
      <c r="E105" s="648">
        <f>'M.CANTID.GENERAL'!O342</f>
        <v>681.58</v>
      </c>
      <c r="F105" s="644" t="e">
        <f>#REF!</f>
        <v>#REF!</v>
      </c>
      <c r="G105" s="645" t="e">
        <f t="shared" si="5"/>
        <v>#REF!</v>
      </c>
      <c r="I105" s="621"/>
    </row>
    <row r="106" spans="2:9" x14ac:dyDescent="0.2">
      <c r="B106" s="712" t="str">
        <f>'M.CANTID.GENERAL'!B343</f>
        <v>1.4.1.4.</v>
      </c>
      <c r="C106" s="717" t="e">
        <f>'M.CANTID.GENERAL'!C343</f>
        <v>#REF!</v>
      </c>
      <c r="D106" s="646" t="str">
        <f>'M.CANTID.GENERAL'!P351</f>
        <v>M3</v>
      </c>
      <c r="E106" s="648">
        <f>'M.CANTID.GENERAL'!O351</f>
        <v>82.17</v>
      </c>
      <c r="F106" s="644" t="e">
        <f>#REF!</f>
        <v>#REF!</v>
      </c>
      <c r="G106" s="645" t="e">
        <f t="shared" si="5"/>
        <v>#REF!</v>
      </c>
      <c r="I106" s="621"/>
    </row>
    <row r="107" spans="2:9" x14ac:dyDescent="0.2">
      <c r="B107" s="712" t="str">
        <f>'M.CANTID.GENERAL'!B352</f>
        <v>1.4.1.5.</v>
      </c>
      <c r="C107" s="717" t="e">
        <f>'M.CANTID.GENERAL'!C352</f>
        <v>#REF!</v>
      </c>
      <c r="D107" s="646" t="str">
        <f>'M.CANTID.GENERAL'!P358</f>
        <v>M3</v>
      </c>
      <c r="E107" s="648">
        <f>'M.CANTID.GENERAL'!O358</f>
        <v>3.96</v>
      </c>
      <c r="F107" s="644" t="e">
        <f>#REF!</f>
        <v>#REF!</v>
      </c>
      <c r="G107" s="645" t="e">
        <f t="shared" si="5"/>
        <v>#REF!</v>
      </c>
      <c r="I107" s="621"/>
    </row>
    <row r="108" spans="2:9" x14ac:dyDescent="0.2">
      <c r="B108" s="712" t="str">
        <f>'M.CANTID.GENERAL'!B359</f>
        <v>1.4.1.6.</v>
      </c>
      <c r="C108" s="717" t="e">
        <f>'M.CANTID.GENERAL'!C359</f>
        <v>#REF!</v>
      </c>
      <c r="D108" s="646" t="str">
        <f>'M.CANTID.GENERAL'!P361</f>
        <v>M3</v>
      </c>
      <c r="E108" s="648">
        <f>'M.CANTID.GENERAL'!O361</f>
        <v>5.25</v>
      </c>
      <c r="F108" s="644" t="e">
        <f>#REF!</f>
        <v>#REF!</v>
      </c>
      <c r="G108" s="645" t="e">
        <f t="shared" si="5"/>
        <v>#REF!</v>
      </c>
      <c r="I108" s="621"/>
    </row>
    <row r="109" spans="2:9" x14ac:dyDescent="0.2">
      <c r="B109" s="712" t="str">
        <f>'M.CANTID.GENERAL'!B362</f>
        <v>1.4.1.7.</v>
      </c>
      <c r="C109" s="717" t="e">
        <f>'M.CANTID.GENERAL'!C362</f>
        <v>#REF!</v>
      </c>
      <c r="D109" s="646" t="str">
        <f>'M.CANTID.GENERAL'!P366</f>
        <v>M3</v>
      </c>
      <c r="E109" s="648">
        <f>'M.CANTID.GENERAL'!O366</f>
        <v>8.19</v>
      </c>
      <c r="F109" s="644" t="e">
        <f>#REF!</f>
        <v>#REF!</v>
      </c>
      <c r="G109" s="645" t="e">
        <f t="shared" si="5"/>
        <v>#REF!</v>
      </c>
      <c r="I109" s="621"/>
    </row>
    <row r="110" spans="2:9" x14ac:dyDescent="0.2">
      <c r="B110" s="712" t="str">
        <f>'M.CANTID.GENERAL'!B371</f>
        <v>1.4.1.8.</v>
      </c>
      <c r="C110" s="717" t="e">
        <f>'M.CANTID.GENERAL'!C371</f>
        <v>#REF!</v>
      </c>
      <c r="D110" s="646" t="str">
        <f>'M.CANTID.GENERAL'!P374</f>
        <v>M3</v>
      </c>
      <c r="E110" s="648">
        <f>'M.CANTID.GENERAL'!O374</f>
        <v>5.4</v>
      </c>
      <c r="F110" s="644" t="e">
        <f>#REF!</f>
        <v>#REF!</v>
      </c>
      <c r="G110" s="645" t="e">
        <f t="shared" si="5"/>
        <v>#REF!</v>
      </c>
      <c r="I110" s="621"/>
    </row>
    <row r="111" spans="2:9" x14ac:dyDescent="0.2">
      <c r="B111" s="712" t="str">
        <f>'M.CANTID.GENERAL'!B376</f>
        <v>1.4.1.9.</v>
      </c>
      <c r="C111" s="717" t="e">
        <f>'M.CANTID.GENERAL'!C376</f>
        <v>#REF!</v>
      </c>
      <c r="D111" s="646" t="str">
        <f>'M.CANTID.GENERAL'!P380</f>
        <v>M3</v>
      </c>
      <c r="E111" s="648">
        <f>'M.CANTID.GENERAL'!O380</f>
        <v>8.19</v>
      </c>
      <c r="F111" s="644" t="e">
        <f>#REF!</f>
        <v>#REF!</v>
      </c>
      <c r="G111" s="645" t="e">
        <f t="shared" si="5"/>
        <v>#REF!</v>
      </c>
      <c r="I111" s="621"/>
    </row>
    <row r="112" spans="2:9" x14ac:dyDescent="0.2">
      <c r="B112" s="712" t="str">
        <f>'M.CANTID.GENERAL'!B381</f>
        <v>1.4.1.10.</v>
      </c>
      <c r="C112" s="717" t="e">
        <f>'M.CANTID.GENERAL'!C381</f>
        <v>#REF!</v>
      </c>
      <c r="D112" s="646" t="str">
        <f>'M.CANTID.GENERAL'!P387</f>
        <v>UND</v>
      </c>
      <c r="E112" s="648">
        <f>'M.CANTID.GENERAL'!O387</f>
        <v>5</v>
      </c>
      <c r="F112" s="644" t="e">
        <f>#REF!</f>
        <v>#REF!</v>
      </c>
      <c r="G112" s="645" t="e">
        <f t="shared" si="5"/>
        <v>#REF!</v>
      </c>
      <c r="I112" s="621"/>
    </row>
    <row r="113" spans="2:9" x14ac:dyDescent="0.2">
      <c r="B113" s="712" t="str">
        <f>'M.CANTID.GENERAL'!B388</f>
        <v>1.4.1.11.</v>
      </c>
      <c r="C113" s="717" t="e">
        <f>'M.CANTID.GENERAL'!C388</f>
        <v>#REF!</v>
      </c>
      <c r="D113" s="646" t="str">
        <f>'M.CANTID.GENERAL'!P391</f>
        <v>UND</v>
      </c>
      <c r="E113" s="648">
        <f>'M.CANTID.GENERAL'!O391</f>
        <v>2</v>
      </c>
      <c r="F113" s="644" t="e">
        <f>#REF!</f>
        <v>#REF!</v>
      </c>
      <c r="G113" s="645" t="e">
        <f t="shared" si="5"/>
        <v>#REF!</v>
      </c>
      <c r="I113" s="621"/>
    </row>
    <row r="114" spans="2:9" x14ac:dyDescent="0.2">
      <c r="B114" s="712" t="str">
        <f>'M.CANTID.GENERAL'!B392</f>
        <v>1.4.1.12.</v>
      </c>
      <c r="C114" s="717" t="e">
        <f>'M.CANTID.GENERAL'!C392</f>
        <v>#REF!</v>
      </c>
      <c r="D114" s="646" t="str">
        <f>'M.CANTID.GENERAL'!P404</f>
        <v>ML</v>
      </c>
      <c r="E114" s="648">
        <f>'M.CANTID.GENERAL'!O404</f>
        <v>26.85</v>
      </c>
      <c r="F114" s="644" t="e">
        <f>#REF!</f>
        <v>#REF!</v>
      </c>
      <c r="G114" s="645" t="e">
        <f t="shared" si="5"/>
        <v>#REF!</v>
      </c>
      <c r="I114" s="621"/>
    </row>
    <row r="115" spans="2:9" x14ac:dyDescent="0.2">
      <c r="B115" s="712" t="str">
        <f>'M.CANTID.GENERAL'!B405</f>
        <v>1.4.1.13.</v>
      </c>
      <c r="C115" s="717" t="e">
        <f>'M.CANTID.GENERAL'!C405</f>
        <v>#REF!</v>
      </c>
      <c r="D115" s="646" t="str">
        <f>'M.CANTID.GENERAL'!P407</f>
        <v>KG</v>
      </c>
      <c r="E115" s="648">
        <f>'M.CANTID.GENERAL'!O407</f>
        <v>3838.14</v>
      </c>
      <c r="F115" s="649" t="e">
        <f>#REF!</f>
        <v>#REF!</v>
      </c>
      <c r="G115" s="645" t="e">
        <f t="shared" si="5"/>
        <v>#REF!</v>
      </c>
      <c r="I115" s="621"/>
    </row>
    <row r="116" spans="2:9" ht="42" customHeight="1" x14ac:dyDescent="0.2">
      <c r="B116" s="712" t="str">
        <f>'M.CANTID.GENERAL'!B408</f>
        <v>1.4.1.14.</v>
      </c>
      <c r="C116" s="717" t="e">
        <f>'M.CANTID.GENERAL'!C408</f>
        <v>#REF!</v>
      </c>
      <c r="D116" s="646" t="str">
        <f>'M.CANTID.GENERAL'!P420</f>
        <v>M2</v>
      </c>
      <c r="E116" s="648">
        <f>'M.CANTID.GENERAL'!O420</f>
        <v>192.56</v>
      </c>
      <c r="F116" s="649" t="e">
        <f>#REF!</f>
        <v>#REF!</v>
      </c>
      <c r="G116" s="645" t="e">
        <f t="shared" si="5"/>
        <v>#REF!</v>
      </c>
      <c r="I116" s="621"/>
    </row>
    <row r="117" spans="2:9" x14ac:dyDescent="0.2">
      <c r="B117" s="712" t="str">
        <f>'M.CANTID.GENERAL'!B421</f>
        <v>1.4.1.15.</v>
      </c>
      <c r="C117" s="717" t="e">
        <f>'M.CANTID.GENERAL'!C421</f>
        <v>#REF!</v>
      </c>
      <c r="D117" s="646" t="str">
        <f>'M.CANTID.GENERAL'!P438</f>
        <v>M2</v>
      </c>
      <c r="E117" s="648">
        <f>'M.CANTID.GENERAL'!O438</f>
        <v>534.52</v>
      </c>
      <c r="F117" s="649" t="e">
        <f>#REF!</f>
        <v>#REF!</v>
      </c>
      <c r="G117" s="645" t="e">
        <f t="shared" si="5"/>
        <v>#REF!</v>
      </c>
      <c r="I117" s="621"/>
    </row>
    <row r="118" spans="2:9" ht="27" customHeight="1" x14ac:dyDescent="0.2">
      <c r="B118" s="712" t="str">
        <f>'M.CANTID.GENERAL'!B440</f>
        <v>1.4.1.16.</v>
      </c>
      <c r="C118" s="717" t="e">
        <f>'M.CANTID.GENERAL'!C440</f>
        <v>#REF!</v>
      </c>
      <c r="D118" s="646" t="str">
        <f>'M.CANTID.GENERAL'!P442</f>
        <v>M2</v>
      </c>
      <c r="E118" s="648">
        <f>'M.CANTID.GENERAL'!O442</f>
        <v>153.16999999999999</v>
      </c>
      <c r="F118" s="649" t="e">
        <f>#REF!</f>
        <v>#REF!</v>
      </c>
      <c r="G118" s="645" t="e">
        <f t="shared" si="5"/>
        <v>#REF!</v>
      </c>
      <c r="I118" s="621"/>
    </row>
    <row r="119" spans="2:9" x14ac:dyDescent="0.2">
      <c r="B119" s="712" t="str">
        <f>'M.CANTID.GENERAL'!B443</f>
        <v>1.4.1.17.</v>
      </c>
      <c r="C119" s="717" t="e">
        <f>'M.CANTID.GENERAL'!C443</f>
        <v>#REF!</v>
      </c>
      <c r="D119" s="646" t="str">
        <f>'M.CANTID.GENERAL'!P445</f>
        <v>M2</v>
      </c>
      <c r="E119" s="648">
        <f>'M.CANTID.GENERAL'!O445</f>
        <v>144.66</v>
      </c>
      <c r="F119" s="649" t="e">
        <f>#REF!</f>
        <v>#REF!</v>
      </c>
      <c r="G119" s="645" t="e">
        <f t="shared" si="5"/>
        <v>#REF!</v>
      </c>
      <c r="I119" s="621"/>
    </row>
    <row r="120" spans="2:9" x14ac:dyDescent="0.2">
      <c r="B120" s="712" t="str">
        <f>'M.CANTID.GENERAL'!B446</f>
        <v>1.4.1.18.</v>
      </c>
      <c r="C120" s="717" t="e">
        <f>'M.CANTID.GENERAL'!C446</f>
        <v>#REF!</v>
      </c>
      <c r="D120" s="646" t="str">
        <f>'M.CANTID.GENERAL'!P448</f>
        <v>M2</v>
      </c>
      <c r="E120" s="648">
        <f>'M.CANTID.GENERAL'!O448</f>
        <v>153.16999999999999</v>
      </c>
      <c r="F120" s="649" t="e">
        <f>#REF!</f>
        <v>#REF!</v>
      </c>
      <c r="G120" s="645" t="e">
        <f t="shared" si="5"/>
        <v>#REF!</v>
      </c>
      <c r="I120" s="621"/>
    </row>
    <row r="121" spans="2:9" x14ac:dyDescent="0.2">
      <c r="B121" s="712" t="str">
        <f>'M.CANTID.GENERAL'!B451</f>
        <v>1.4.1.19.</v>
      </c>
      <c r="C121" s="717" t="e">
        <f>'M.CANTID.GENERAL'!C451</f>
        <v>#REF!</v>
      </c>
      <c r="D121" s="646" t="str">
        <f>'M.CANTID.GENERAL'!P453</f>
        <v>M2</v>
      </c>
      <c r="E121" s="648">
        <f>'M.CANTID.GENERAL'!O453</f>
        <v>144.66</v>
      </c>
      <c r="F121" s="649" t="e">
        <f>#REF!</f>
        <v>#REF!</v>
      </c>
      <c r="G121" s="645" t="e">
        <f t="shared" si="5"/>
        <v>#REF!</v>
      </c>
      <c r="I121" s="621"/>
    </row>
    <row r="122" spans="2:9" x14ac:dyDescent="0.2">
      <c r="B122" s="712" t="str">
        <f>'M.CANTID.GENERAL'!B454</f>
        <v>1.4.1.20.</v>
      </c>
      <c r="C122" s="717" t="e">
        <f>'M.CANTID.GENERAL'!C454</f>
        <v>#REF!</v>
      </c>
      <c r="D122" s="646" t="str">
        <f>'M.CANTID.GENERAL'!P456</f>
        <v>ML</v>
      </c>
      <c r="E122" s="648">
        <f>'M.CANTID.GENERAL'!O456</f>
        <v>160.5</v>
      </c>
      <c r="F122" s="649" t="e">
        <f>#REF!</f>
        <v>#REF!</v>
      </c>
      <c r="G122" s="645" t="e">
        <f t="shared" si="5"/>
        <v>#REF!</v>
      </c>
      <c r="I122" s="621"/>
    </row>
    <row r="123" spans="2:9" x14ac:dyDescent="0.2">
      <c r="B123" s="712" t="str">
        <f>'M.CANTID.GENERAL'!B457</f>
        <v>1.4.1.21.</v>
      </c>
      <c r="C123" s="717" t="e">
        <f>'M.CANTID.GENERAL'!C457</f>
        <v>#REF!</v>
      </c>
      <c r="D123" s="646" t="str">
        <f>'M.CANTID.GENERAL'!P465</f>
        <v>M2</v>
      </c>
      <c r="E123" s="648">
        <f>'M.CANTID.GENERAL'!O465</f>
        <v>67.75</v>
      </c>
      <c r="F123" s="649" t="e">
        <f>#REF!</f>
        <v>#REF!</v>
      </c>
      <c r="G123" s="645" t="e">
        <f t="shared" si="5"/>
        <v>#REF!</v>
      </c>
      <c r="I123" s="621"/>
    </row>
    <row r="124" spans="2:9" x14ac:dyDescent="0.2">
      <c r="B124" s="712" t="str">
        <f>'M.CANTID.GENERAL'!B472</f>
        <v>1.4.1.22.</v>
      </c>
      <c r="C124" s="717" t="e">
        <f>'M.CANTID.GENERAL'!C472</f>
        <v>#REF!</v>
      </c>
      <c r="D124" s="646" t="str">
        <f>'M.CANTID.GENERAL'!P478</f>
        <v>UND</v>
      </c>
      <c r="E124" s="648">
        <f>'M.CANTID.GENERAL'!O478</f>
        <v>5</v>
      </c>
      <c r="F124" s="649" t="e">
        <f>#REF!</f>
        <v>#REF!</v>
      </c>
      <c r="G124" s="645" t="e">
        <f t="shared" si="5"/>
        <v>#REF!</v>
      </c>
      <c r="I124" s="621"/>
    </row>
    <row r="125" spans="2:9" x14ac:dyDescent="0.2">
      <c r="B125" s="712" t="str">
        <f>'M.CANTID.GENERAL'!B479</f>
        <v>1.4.1.23.</v>
      </c>
      <c r="C125" s="717" t="e">
        <f>'M.CANTID.GENERAL'!C479</f>
        <v>#REF!</v>
      </c>
      <c r="D125" s="646" t="str">
        <f>'M.CANTID.GENERAL'!P485</f>
        <v>UND</v>
      </c>
      <c r="E125" s="648">
        <f>'M.CANTID.GENERAL'!O485</f>
        <v>5</v>
      </c>
      <c r="F125" s="649" t="e">
        <f>#REF!</f>
        <v>#REF!</v>
      </c>
      <c r="G125" s="645" t="e">
        <f t="shared" si="5"/>
        <v>#REF!</v>
      </c>
      <c r="I125" s="621"/>
    </row>
    <row r="126" spans="2:9" x14ac:dyDescent="0.2">
      <c r="B126" s="712" t="str">
        <f>'M.CANTID.GENERAL'!B486</f>
        <v>1.4.1.24.</v>
      </c>
      <c r="C126" s="717" t="e">
        <f>'M.CANTID.GENERAL'!C486</f>
        <v>#REF!</v>
      </c>
      <c r="D126" s="646" t="str">
        <f>'M.CANTID.GENERAL'!P488</f>
        <v>UND</v>
      </c>
      <c r="E126" s="648">
        <f>'M.CANTID.GENERAL'!O488</f>
        <v>1</v>
      </c>
      <c r="F126" s="649" t="e">
        <f>#REF!</f>
        <v>#REF!</v>
      </c>
      <c r="G126" s="645" t="e">
        <f t="shared" si="5"/>
        <v>#REF!</v>
      </c>
      <c r="I126" s="621"/>
    </row>
    <row r="127" spans="2:9" x14ac:dyDescent="0.2">
      <c r="B127" s="712" t="str">
        <f>'M.CANTID.GENERAL'!B489</f>
        <v>1.4.25.</v>
      </c>
      <c r="C127" s="717" t="e">
        <f>'M.CANTID.GENERAL'!C489</f>
        <v>#REF!</v>
      </c>
      <c r="D127" s="646" t="str">
        <f>'M.CANTID.GENERAL'!P495</f>
        <v>UND</v>
      </c>
      <c r="E127" s="648">
        <f>'M.CANTID.GENERAL'!O495</f>
        <v>1</v>
      </c>
      <c r="F127" s="649" t="e">
        <f>#REF!</f>
        <v>#REF!</v>
      </c>
      <c r="G127" s="645" t="e">
        <f t="shared" si="5"/>
        <v>#REF!</v>
      </c>
      <c r="I127" s="621"/>
    </row>
    <row r="128" spans="2:9" x14ac:dyDescent="0.2">
      <c r="B128" s="712" t="str">
        <f>'M.CANTID.GENERAL'!B496</f>
        <v>1.4.1.26.</v>
      </c>
      <c r="C128" s="717" t="e">
        <f>'M.CANTID.GENERAL'!C496</f>
        <v>#REF!</v>
      </c>
      <c r="D128" s="646" t="str">
        <f>'M.CANTID.GENERAL'!P504</f>
        <v>UND</v>
      </c>
      <c r="E128" s="648">
        <f>'M.CANTID.GENERAL'!O504</f>
        <v>8</v>
      </c>
      <c r="F128" s="649" t="e">
        <f>#REF!</f>
        <v>#REF!</v>
      </c>
      <c r="G128" s="645" t="e">
        <f t="shared" si="5"/>
        <v>#REF!</v>
      </c>
      <c r="I128" s="621"/>
    </row>
    <row r="129" spans="2:9" x14ac:dyDescent="0.2">
      <c r="B129" s="712" t="str">
        <f>'M.CANTID.GENERAL'!B505</f>
        <v>1.4.1.27.</v>
      </c>
      <c r="C129" s="717" t="e">
        <f>'M.CANTID.GENERAL'!C505</f>
        <v>#REF!</v>
      </c>
      <c r="D129" s="646" t="str">
        <f>'M.CANTID.GENERAL'!P508</f>
        <v>UND</v>
      </c>
      <c r="E129" s="648">
        <f>'M.CANTID.GENERAL'!O508</f>
        <v>2</v>
      </c>
      <c r="F129" s="649" t="e">
        <f>#REF!</f>
        <v>#REF!</v>
      </c>
      <c r="G129" s="645" t="e">
        <f t="shared" si="5"/>
        <v>#REF!</v>
      </c>
      <c r="I129" s="621"/>
    </row>
    <row r="130" spans="2:9" x14ac:dyDescent="0.2">
      <c r="B130" s="712" t="str">
        <f>'M.CANTID.GENERAL'!B509</f>
        <v>1.4.1.28.</v>
      </c>
      <c r="C130" s="717" t="e">
        <f>'M.CANTID.GENERAL'!C509</f>
        <v>#REF!</v>
      </c>
      <c r="D130" s="646" t="str">
        <f>'M.CANTID.GENERAL'!P515</f>
        <v>M2</v>
      </c>
      <c r="E130" s="648">
        <f>'M.CANTID.GENERAL'!O515</f>
        <v>20.3</v>
      </c>
      <c r="F130" s="649" t="e">
        <f>#REF!</f>
        <v>#REF!</v>
      </c>
      <c r="G130" s="645" t="e">
        <f t="shared" si="5"/>
        <v>#REF!</v>
      </c>
      <c r="I130" s="621"/>
    </row>
    <row r="131" spans="2:9" x14ac:dyDescent="0.2">
      <c r="B131" s="712" t="str">
        <f>'M.CANTID.GENERAL'!B516</f>
        <v>1.4.1.29.</v>
      </c>
      <c r="C131" s="717" t="e">
        <f>'M.CANTID.GENERAL'!C516</f>
        <v>#REF!</v>
      </c>
      <c r="D131" s="646" t="str">
        <f>'M.CANTID.GENERAL'!P525</f>
        <v>M2</v>
      </c>
      <c r="E131" s="648">
        <f>'M.CANTID.GENERAL'!O525</f>
        <v>34.07</v>
      </c>
      <c r="F131" s="649" t="e">
        <f>#REF!</f>
        <v>#REF!</v>
      </c>
      <c r="G131" s="645" t="e">
        <f t="shared" si="5"/>
        <v>#REF!</v>
      </c>
      <c r="I131" s="621"/>
    </row>
    <row r="132" spans="2:9" x14ac:dyDescent="0.2">
      <c r="B132" s="712" t="str">
        <f>'M.CANTID.GENERAL'!B526</f>
        <v>1.4.1.30.</v>
      </c>
      <c r="C132" s="717" t="e">
        <f>'M.CANTID.GENERAL'!C526</f>
        <v>#REF!</v>
      </c>
      <c r="D132" s="646" t="str">
        <f>'M.CANTID.GENERAL'!P544</f>
        <v>M2</v>
      </c>
      <c r="E132" s="648">
        <f>'M.CANTID.GENERAL'!O544</f>
        <v>174.61</v>
      </c>
      <c r="F132" s="649" t="e">
        <f>#REF!</f>
        <v>#REF!</v>
      </c>
      <c r="G132" s="645" t="e">
        <f t="shared" si="5"/>
        <v>#REF!</v>
      </c>
      <c r="I132" s="621"/>
    </row>
    <row r="133" spans="2:9" x14ac:dyDescent="0.2">
      <c r="B133" s="712" t="str">
        <f>'M.CANTID.GENERAL'!B545</f>
        <v>1.4.1.31.</v>
      </c>
      <c r="C133" s="717" t="e">
        <f>'M.CANTID.GENERAL'!C545</f>
        <v>#REF!</v>
      </c>
      <c r="D133" s="646" t="str">
        <f>'M.CANTID.GENERAL'!P563</f>
        <v>M2</v>
      </c>
      <c r="E133" s="648">
        <f>'M.CANTID.GENERAL'!O563</f>
        <v>174.61</v>
      </c>
      <c r="F133" s="649" t="e">
        <f>#REF!</f>
        <v>#REF!</v>
      </c>
      <c r="G133" s="645" t="e">
        <f t="shared" si="5"/>
        <v>#REF!</v>
      </c>
      <c r="I133" s="621"/>
    </row>
    <row r="134" spans="2:9" x14ac:dyDescent="0.2">
      <c r="B134" s="712" t="str">
        <f>'M.CANTID.GENERAL'!B564</f>
        <v>1.4.1.32.</v>
      </c>
      <c r="C134" s="717" t="e">
        <f>'M.CANTID.GENERAL'!C564</f>
        <v>#REF!</v>
      </c>
      <c r="D134" s="646" t="str">
        <f>'M.CANTID.GENERAL'!P582</f>
        <v>M2</v>
      </c>
      <c r="E134" s="648">
        <f>'M.CANTID.GENERAL'!O582</f>
        <v>224.41</v>
      </c>
      <c r="F134" s="649" t="e">
        <f>#REF!</f>
        <v>#REF!</v>
      </c>
      <c r="G134" s="645" t="e">
        <f t="shared" si="5"/>
        <v>#REF!</v>
      </c>
      <c r="I134" s="621"/>
    </row>
    <row r="135" spans="2:9" x14ac:dyDescent="0.2">
      <c r="B135" s="712" t="str">
        <f>'M.CANTID.GENERAL'!B583</f>
        <v>1.4.1.33.</v>
      </c>
      <c r="C135" s="717" t="e">
        <f>'M.CANTID.GENERAL'!C583</f>
        <v>#REF!</v>
      </c>
      <c r="D135" s="646" t="str">
        <f>'M.CANTID.GENERAL'!P592</f>
        <v>UND</v>
      </c>
      <c r="E135" s="648">
        <f>'M.CANTID.GENERAL'!O592</f>
        <v>15</v>
      </c>
      <c r="F135" s="649" t="e">
        <f>#REF!</f>
        <v>#REF!</v>
      </c>
      <c r="G135" s="645" t="e">
        <f t="shared" si="5"/>
        <v>#REF!</v>
      </c>
      <c r="I135" s="621"/>
    </row>
    <row r="136" spans="2:9" x14ac:dyDescent="0.2">
      <c r="B136" s="712" t="str">
        <f>'M.CANTID.GENERAL'!B593</f>
        <v>1.4.1.34.</v>
      </c>
      <c r="C136" s="717" t="e">
        <f>'M.CANTID.GENERAL'!C593</f>
        <v>#REF!</v>
      </c>
      <c r="D136" s="646" t="str">
        <f>'M.CANTID.GENERAL'!P595</f>
        <v>ML</v>
      </c>
      <c r="E136" s="648">
        <f>'M.CANTID.GENERAL'!O595</f>
        <v>48</v>
      </c>
      <c r="F136" s="649" t="e">
        <f>#REF!</f>
        <v>#REF!</v>
      </c>
      <c r="G136" s="645" t="e">
        <f t="shared" si="5"/>
        <v>#REF!</v>
      </c>
      <c r="I136" s="621"/>
    </row>
    <row r="137" spans="2:9" x14ac:dyDescent="0.2">
      <c r="B137" s="712" t="str">
        <f>'M.CANTID.GENERAL'!B596</f>
        <v>1.4.1.35.</v>
      </c>
      <c r="C137" s="717" t="e">
        <f>'M.CANTID.GENERAL'!C596</f>
        <v>#REF!</v>
      </c>
      <c r="D137" s="646" t="str">
        <f>'M.CANTID.GENERAL'!P601</f>
        <v>UND</v>
      </c>
      <c r="E137" s="648">
        <f>'M.CANTID.GENERAL'!O601</f>
        <v>5</v>
      </c>
      <c r="F137" s="649" t="e">
        <f>#REF!</f>
        <v>#REF!</v>
      </c>
      <c r="G137" s="645" t="e">
        <f t="shared" si="5"/>
        <v>#REF!</v>
      </c>
      <c r="I137" s="621"/>
    </row>
    <row r="138" spans="2:9" x14ac:dyDescent="0.2">
      <c r="B138" s="712" t="str">
        <f>'M.CANTID.GENERAL'!B602</f>
        <v>1.4.1.36.</v>
      </c>
      <c r="C138" s="717" t="e">
        <f>'M.CANTID.GENERAL'!C602</f>
        <v>#REF!</v>
      </c>
      <c r="D138" s="646" t="str">
        <f>'M.CANTID.GENERAL'!P604</f>
        <v>UND</v>
      </c>
      <c r="E138" s="648">
        <f>'M.CANTID.GENERAL'!O604</f>
        <v>1</v>
      </c>
      <c r="F138" s="649" t="e">
        <f>#REF!</f>
        <v>#REF!</v>
      </c>
      <c r="G138" s="645" t="e">
        <f t="shared" si="5"/>
        <v>#REF!</v>
      </c>
      <c r="I138" s="621"/>
    </row>
    <row r="139" spans="2:9" x14ac:dyDescent="0.2">
      <c r="B139" s="712" t="str">
        <f>'M.CANTID.GENERAL'!B605</f>
        <v>1.4.1.37.</v>
      </c>
      <c r="C139" s="717" t="e">
        <f>'M.CANTID.GENERAL'!C605</f>
        <v>#REF!</v>
      </c>
      <c r="D139" s="646" t="str">
        <f>'M.CANTID.GENERAL'!P613</f>
        <v>UND</v>
      </c>
      <c r="E139" s="648">
        <f>'M.CANTID.GENERAL'!O613</f>
        <v>8</v>
      </c>
      <c r="F139" s="649" t="e">
        <f>#REF!</f>
        <v>#REF!</v>
      </c>
      <c r="G139" s="645" t="e">
        <f t="shared" si="5"/>
        <v>#REF!</v>
      </c>
      <c r="I139" s="621"/>
    </row>
    <row r="140" spans="2:9" x14ac:dyDescent="0.2">
      <c r="B140" s="712" t="str">
        <f>'M.CANTID.GENERAL'!B614</f>
        <v>1.4.1.38.</v>
      </c>
      <c r="C140" s="717" t="e">
        <f>'M.CANTID.GENERAL'!C614</f>
        <v>#REF!</v>
      </c>
      <c r="D140" s="646" t="str">
        <f>'M.CANTID.GENERAL'!P622</f>
        <v>UND</v>
      </c>
      <c r="E140" s="648">
        <f>'M.CANTID.GENERAL'!O622</f>
        <v>8</v>
      </c>
      <c r="F140" s="649" t="e">
        <f>#REF!</f>
        <v>#REF!</v>
      </c>
      <c r="G140" s="645" t="e">
        <f t="shared" si="5"/>
        <v>#REF!</v>
      </c>
      <c r="I140" s="621"/>
    </row>
    <row r="141" spans="2:9" x14ac:dyDescent="0.2">
      <c r="B141" s="712" t="str">
        <f>'M.CANTID.GENERAL'!B623</f>
        <v>1.4.1.39.</v>
      </c>
      <c r="C141" s="717" t="e">
        <f>'M.CANTID.GENERAL'!C623</f>
        <v>#REF!</v>
      </c>
      <c r="D141" s="646" t="str">
        <f>'M.CANTID.GENERAL'!P629</f>
        <v>UND</v>
      </c>
      <c r="E141" s="648">
        <f>'M.CANTID.GENERAL'!O629</f>
        <v>5</v>
      </c>
      <c r="F141" s="649" t="e">
        <f>#REF!</f>
        <v>#REF!</v>
      </c>
      <c r="G141" s="645" t="e">
        <f t="shared" si="5"/>
        <v>#REF!</v>
      </c>
      <c r="I141" s="621"/>
    </row>
    <row r="142" spans="2:9" x14ac:dyDescent="0.2">
      <c r="B142" s="712" t="str">
        <f>'M.CANTID.GENERAL'!B630</f>
        <v>1.4.1.40.</v>
      </c>
      <c r="C142" s="717" t="e">
        <f>'M.CANTID.GENERAL'!C630</f>
        <v>#REF!</v>
      </c>
      <c r="D142" s="696" t="str">
        <f>'M.CANTID.GENERAL'!P632</f>
        <v>ML</v>
      </c>
      <c r="E142" s="697">
        <f>'M.CANTID.GENERAL'!O632</f>
        <v>18</v>
      </c>
      <c r="F142" s="698" t="e">
        <f>#REF!</f>
        <v>#REF!</v>
      </c>
      <c r="G142" s="645" t="e">
        <f t="shared" si="5"/>
        <v>#REF!</v>
      </c>
      <c r="I142" s="621"/>
    </row>
    <row r="143" spans="2:9" x14ac:dyDescent="0.2">
      <c r="B143" s="712" t="str">
        <f>'M.CANTID.GENERAL'!B634</f>
        <v>1.4.1.41.</v>
      </c>
      <c r="C143" s="717" t="e">
        <f>'M.CANTID.GENERAL'!C634</f>
        <v>#REF!</v>
      </c>
      <c r="D143" s="696" t="str">
        <f>'M.CANTID.GENERAL'!P636</f>
        <v>ML</v>
      </c>
      <c r="E143" s="697">
        <f>'M.CANTID.GENERAL'!O636</f>
        <v>60</v>
      </c>
      <c r="F143" s="698" t="e">
        <f>#REF!</f>
        <v>#REF!</v>
      </c>
      <c r="G143" s="645" t="e">
        <f t="shared" si="5"/>
        <v>#REF!</v>
      </c>
      <c r="I143" s="621"/>
    </row>
    <row r="144" spans="2:9" x14ac:dyDescent="0.2">
      <c r="B144" s="712" t="str">
        <f>'M.CANTID.GENERAL'!B638</f>
        <v>1.4.1.42.</v>
      </c>
      <c r="C144" s="717" t="e">
        <f>'M.CANTID.GENERAL'!C638</f>
        <v>#REF!</v>
      </c>
      <c r="D144" s="696" t="str">
        <f>'M.CANTID.GENERAL'!P651</f>
        <v>KG</v>
      </c>
      <c r="E144" s="697">
        <f>'M.CANTID.GENERAL'!O651</f>
        <v>2244.77</v>
      </c>
      <c r="F144" s="698" t="e">
        <f>#REF!</f>
        <v>#REF!</v>
      </c>
      <c r="G144" s="645" t="e">
        <f t="shared" si="5"/>
        <v>#REF!</v>
      </c>
      <c r="I144" s="621"/>
    </row>
    <row r="145" spans="2:9" x14ac:dyDescent="0.2">
      <c r="B145" s="712" t="str">
        <f>'M.CANTID.GENERAL'!B652</f>
        <v>1.4.1.43.</v>
      </c>
      <c r="C145" s="717" t="e">
        <f>'M.CANTID.GENERAL'!C652</f>
        <v>#REF!</v>
      </c>
      <c r="D145" s="696" t="str">
        <f>'M.CANTID.GENERAL'!P655</f>
        <v>M2</v>
      </c>
      <c r="E145" s="697">
        <f>'M.CANTID.GENERAL'!O655</f>
        <v>184.6</v>
      </c>
      <c r="F145" s="698" t="e">
        <f>#REF!</f>
        <v>#REF!</v>
      </c>
      <c r="G145" s="645" t="e">
        <f t="shared" si="5"/>
        <v>#REF!</v>
      </c>
      <c r="I145" s="621"/>
    </row>
    <row r="146" spans="2:9" ht="69.75" customHeight="1" x14ac:dyDescent="0.2">
      <c r="B146" s="712" t="str">
        <f>'M.CANTID.GENERAL'!B656</f>
        <v>1.4.1.44.</v>
      </c>
      <c r="C146" s="717" t="e">
        <f>'M.CANTID.GENERAL'!C656</f>
        <v>#REF!</v>
      </c>
      <c r="D146" s="696" t="str">
        <f>'M.CANTID.GENERAL'!P658</f>
        <v>UND</v>
      </c>
      <c r="E146" s="697">
        <f>'M.CANTID.GENERAL'!O658</f>
        <v>12</v>
      </c>
      <c r="F146" s="698" t="e">
        <f>#REF!</f>
        <v>#REF!</v>
      </c>
      <c r="G146" s="645" t="e">
        <f t="shared" si="5"/>
        <v>#REF!</v>
      </c>
      <c r="I146" s="621"/>
    </row>
    <row r="147" spans="2:9" x14ac:dyDescent="0.2">
      <c r="B147" s="640"/>
      <c r="C147" s="1617" t="str">
        <f>'M.CANTID.GENERAL'!C660</f>
        <v>SUMINISTROS</v>
      </c>
      <c r="D147" s="1618"/>
      <c r="E147" s="1618"/>
      <c r="F147" s="1618"/>
      <c r="G147" s="1619"/>
      <c r="I147" s="621"/>
    </row>
    <row r="148" spans="2:9" x14ac:dyDescent="0.2">
      <c r="B148" s="647" t="str">
        <f>'M.CANTID.GENERAL'!B661</f>
        <v>1.4.1.45.</v>
      </c>
      <c r="C148" s="717" t="e">
        <f>'M.CANTID.GENERAL'!C661</f>
        <v>#REF!</v>
      </c>
      <c r="D148" s="646" t="str">
        <f>'M.CANTID.GENERAL'!P663</f>
        <v>ML</v>
      </c>
      <c r="E148" s="648">
        <f>'M.CANTID.GENERAL'!O663</f>
        <v>48</v>
      </c>
      <c r="F148" s="649" t="e">
        <f>#REF!</f>
        <v>#REF!</v>
      </c>
      <c r="G148" s="645" t="e">
        <f>ROUND((+E148*F148),0)</f>
        <v>#REF!</v>
      </c>
      <c r="I148" s="621"/>
    </row>
    <row r="149" spans="2:9" x14ac:dyDescent="0.2">
      <c r="B149" s="647" t="str">
        <f>'M.CANTID.GENERAL'!B664</f>
        <v>1.4.1.46.</v>
      </c>
      <c r="C149" s="717" t="e">
        <f>'M.CANTID.GENERAL'!C664</f>
        <v>#REF!</v>
      </c>
      <c r="D149" s="646" t="str">
        <f>'M.CANTID.GENERAL'!P666</f>
        <v>ML</v>
      </c>
      <c r="E149" s="648">
        <f>'M.CANTID.GENERAL'!O666</f>
        <v>18</v>
      </c>
      <c r="F149" s="649" t="e">
        <f>#REF!</f>
        <v>#REF!</v>
      </c>
      <c r="G149" s="645" t="e">
        <f>ROUND((+E149*F149),0)</f>
        <v>#REF!</v>
      </c>
      <c r="I149" s="621"/>
    </row>
    <row r="150" spans="2:9" ht="45.75" customHeight="1" thickBot="1" x14ac:dyDescent="0.25">
      <c r="B150" s="647" t="str">
        <f>'M.CANTID.GENERAL'!B667</f>
        <v>1.4.1.47.</v>
      </c>
      <c r="C150" s="717" t="e">
        <f>'M.CANTID.GENERAL'!C667</f>
        <v>#REF!</v>
      </c>
      <c r="D150" s="646" t="str">
        <f>'M.CANTID.GENERAL'!P669</f>
        <v>ML</v>
      </c>
      <c r="E150" s="648">
        <f>'M.CANTID.GENERAL'!O669</f>
        <v>60</v>
      </c>
      <c r="F150" s="649" t="e">
        <f>#REF!</f>
        <v>#REF!</v>
      </c>
      <c r="G150" s="645" t="e">
        <f>ROUND((+E150*F150),0)</f>
        <v>#REF!</v>
      </c>
      <c r="I150" s="621"/>
    </row>
    <row r="151" spans="2:9" ht="15" thickBot="1" x14ac:dyDescent="0.25">
      <c r="B151" s="1597" t="s">
        <v>1619</v>
      </c>
      <c r="C151" s="1597"/>
      <c r="D151" s="1597"/>
      <c r="E151" s="1597"/>
      <c r="F151" s="1597"/>
      <c r="G151" s="728" t="e">
        <f>SUM(G103:G146)</f>
        <v>#REF!</v>
      </c>
      <c r="I151" s="621"/>
    </row>
    <row r="152" spans="2:9" ht="15" thickBot="1" x14ac:dyDescent="0.25">
      <c r="B152" s="1597" t="s">
        <v>1620</v>
      </c>
      <c r="C152" s="1597"/>
      <c r="D152" s="1597"/>
      <c r="E152" s="1597"/>
      <c r="F152" s="1597"/>
      <c r="G152" s="728" t="e">
        <f>SUM(G148:G150)</f>
        <v>#REF!</v>
      </c>
      <c r="I152" s="789" t="e">
        <f>G151+G152</f>
        <v>#REF!</v>
      </c>
    </row>
    <row r="153" spans="2:9" ht="15" thickBot="1" x14ac:dyDescent="0.25">
      <c r="B153" s="679" t="str">
        <f>'M.CANTID.GENERAL'!B672</f>
        <v>1.4.2.</v>
      </c>
      <c r="C153" s="1606" t="str">
        <f>'M.CANTID.GENERAL'!C672</f>
        <v>CAMARA DE LLEGA Y AQUIETAMIENTO DEL AGUA</v>
      </c>
      <c r="D153" s="1607"/>
      <c r="E153" s="1607"/>
      <c r="F153" s="1607"/>
      <c r="G153" s="1608"/>
      <c r="I153" s="621"/>
    </row>
    <row r="154" spans="2:9" ht="17.25" customHeight="1" thickBot="1" x14ac:dyDescent="0.25">
      <c r="B154" s="640"/>
      <c r="C154" s="1600" t="str">
        <f>'M.CANTID.GENERAL'!C673</f>
        <v>OBRA CIVIL</v>
      </c>
      <c r="D154" s="1600"/>
      <c r="E154" s="1600"/>
      <c r="F154" s="1600"/>
      <c r="G154" s="1600"/>
      <c r="I154" s="621"/>
    </row>
    <row r="155" spans="2:9" x14ac:dyDescent="0.2">
      <c r="B155" s="719" t="str">
        <f>'M.CANTID.GENERAL'!B675</f>
        <v>1.4.2.1.</v>
      </c>
      <c r="C155" s="720" t="e">
        <f>'M.CANTID.GENERAL'!C675</f>
        <v>#REF!</v>
      </c>
      <c r="D155" s="721" t="str">
        <f>'M.CANTID.GENERAL'!P681</f>
        <v>M2</v>
      </c>
      <c r="E155" s="722">
        <f>'M.CANTID.GENERAL'!O681</f>
        <v>29.92</v>
      </c>
      <c r="F155" s="723" t="e">
        <f>#REF!</f>
        <v>#REF!</v>
      </c>
      <c r="G155" s="822" t="e">
        <f t="shared" ref="G155:G172" si="6">ROUND((+E155*F155),0)</f>
        <v>#REF!</v>
      </c>
      <c r="I155" s="621"/>
    </row>
    <row r="156" spans="2:9" x14ac:dyDescent="0.2">
      <c r="B156" s="714" t="str">
        <f>'M.CANTID.GENERAL'!B682</f>
        <v>1.4.2.2.</v>
      </c>
      <c r="C156" s="718" t="e">
        <f>'M.CANTID.GENERAL'!C682</f>
        <v>#REF!</v>
      </c>
      <c r="D156" s="680" t="str">
        <f>'M.CANTID.GENERAL'!P690</f>
        <v>M3</v>
      </c>
      <c r="E156" s="681">
        <f>'M.CANTID.GENERAL'!O690</f>
        <v>205.13</v>
      </c>
      <c r="F156" s="682" t="e">
        <f>#REF!</f>
        <v>#REF!</v>
      </c>
      <c r="G156" s="756" t="e">
        <f t="shared" si="6"/>
        <v>#REF!</v>
      </c>
      <c r="I156" s="621"/>
    </row>
    <row r="157" spans="2:9" x14ac:dyDescent="0.2">
      <c r="B157" s="714" t="str">
        <f>'M.CANTID.GENERAL'!B691</f>
        <v>1.4.2.3.</v>
      </c>
      <c r="C157" s="718" t="e">
        <f>'M.CANTID.GENERAL'!C691</f>
        <v>#REF!</v>
      </c>
      <c r="D157" s="680" t="str">
        <f>'M.CANTID.GENERAL'!P694</f>
        <v>M3</v>
      </c>
      <c r="E157" s="681">
        <f>'M.CANTID.GENERAL'!O694</f>
        <v>10.050000000000001</v>
      </c>
      <c r="F157" s="644" t="e">
        <f>#REF!</f>
        <v>#REF!</v>
      </c>
      <c r="G157" s="756" t="e">
        <f t="shared" si="6"/>
        <v>#REF!</v>
      </c>
      <c r="I157" s="621"/>
    </row>
    <row r="158" spans="2:9" x14ac:dyDescent="0.2">
      <c r="B158" s="714" t="str">
        <f>'M.CANTID.GENERAL'!B695</f>
        <v>1.4.2.4.</v>
      </c>
      <c r="C158" s="718" t="e">
        <f>'M.CANTID.GENERAL'!C695</f>
        <v>#REF!</v>
      </c>
      <c r="D158" s="680" t="str">
        <f>'M.CANTID.GENERAL'!P703</f>
        <v>M3-Km</v>
      </c>
      <c r="E158" s="681">
        <f>'M.CANTID.GENERAL'!O703</f>
        <v>1025.6300000000001</v>
      </c>
      <c r="F158" s="644" t="e">
        <f>#REF!</f>
        <v>#REF!</v>
      </c>
      <c r="G158" s="756" t="e">
        <f t="shared" si="6"/>
        <v>#REF!</v>
      </c>
      <c r="I158" s="621"/>
    </row>
    <row r="159" spans="2:9" x14ac:dyDescent="0.2">
      <c r="B159" s="714" t="str">
        <f>'M.CANTID.GENERAL'!B704</f>
        <v>1.4.2.5.</v>
      </c>
      <c r="C159" s="718" t="e">
        <f>'M.CANTID.GENERAL'!C704</f>
        <v>#REF!</v>
      </c>
      <c r="D159" s="680" t="str">
        <f>'M.CANTID.GENERAL'!P712</f>
        <v>M3</v>
      </c>
      <c r="E159" s="681">
        <f>'M.CANTID.GENERAL'!O712</f>
        <v>143.88999999999999</v>
      </c>
      <c r="F159" s="644" t="e">
        <f>#REF!</f>
        <v>#REF!</v>
      </c>
      <c r="G159" s="756" t="e">
        <f t="shared" si="6"/>
        <v>#REF!</v>
      </c>
      <c r="I159" s="621"/>
    </row>
    <row r="160" spans="2:9" x14ac:dyDescent="0.2">
      <c r="B160" s="714" t="str">
        <f>'M.CANTID.GENERAL'!B713</f>
        <v>1.4.2.6.</v>
      </c>
      <c r="C160" s="718" t="e">
        <f>'M.CANTID.GENERAL'!C713</f>
        <v>#REF!</v>
      </c>
      <c r="D160" s="680" t="str">
        <f>'M.CANTID.GENERAL'!P719</f>
        <v>M3</v>
      </c>
      <c r="E160" s="681">
        <f>'M.CANTID.GENERAL'!O719</f>
        <v>1.51</v>
      </c>
      <c r="F160" s="644" t="e">
        <f>#REF!</f>
        <v>#REF!</v>
      </c>
      <c r="G160" s="756" t="e">
        <f t="shared" si="6"/>
        <v>#REF!</v>
      </c>
      <c r="I160" s="621"/>
    </row>
    <row r="161" spans="2:9" ht="44.25" customHeight="1" x14ac:dyDescent="0.2">
      <c r="B161" s="714" t="str">
        <f>'M.CANTID.GENERAL'!B720</f>
        <v>1.4.2.7.</v>
      </c>
      <c r="C161" s="718" t="e">
        <f>'M.CANTID.GENERAL'!C720</f>
        <v>#REF!</v>
      </c>
      <c r="D161" s="680" t="str">
        <f>'M.CANTID.GENERAL'!P744</f>
        <v>M3</v>
      </c>
      <c r="E161" s="681">
        <f>'M.CANTID.GENERAL'!O744</f>
        <v>22.69</v>
      </c>
      <c r="F161" s="682" t="e">
        <f>#REF!</f>
        <v>#REF!</v>
      </c>
      <c r="G161" s="756" t="e">
        <f t="shared" si="6"/>
        <v>#REF!</v>
      </c>
      <c r="I161" s="621"/>
    </row>
    <row r="162" spans="2:9" ht="80.25" customHeight="1" x14ac:dyDescent="0.2">
      <c r="B162" s="714" t="str">
        <f>'M.CANTID.GENERAL'!B745</f>
        <v>1.4.2.8.</v>
      </c>
      <c r="C162" s="718" t="e">
        <f>'M.CANTID.GENERAL'!C745</f>
        <v>#REF!</v>
      </c>
      <c r="D162" s="680" t="str">
        <f>'M.CANTID.GENERAL'!P747</f>
        <v>KG</v>
      </c>
      <c r="E162" s="681">
        <f>'M.CANTID.GENERAL'!O747</f>
        <v>3242.37</v>
      </c>
      <c r="F162" s="682" t="e">
        <f>#REF!</f>
        <v>#REF!</v>
      </c>
      <c r="G162" s="645" t="e">
        <f t="shared" si="6"/>
        <v>#REF!</v>
      </c>
      <c r="I162" s="621"/>
    </row>
    <row r="163" spans="2:9" x14ac:dyDescent="0.2">
      <c r="B163" s="714" t="str">
        <f>'M.CANTID.GENERAL'!B748</f>
        <v>1.4.2.9.</v>
      </c>
      <c r="C163" s="718" t="e">
        <f>'M.CANTID.GENERAL'!C748</f>
        <v>#REF!</v>
      </c>
      <c r="D163" s="680" t="str">
        <f>'M.CANTID.GENERAL'!P754</f>
        <v>ML</v>
      </c>
      <c r="E163" s="681">
        <f>'M.CANTID.GENERAL'!O754</f>
        <v>57.7</v>
      </c>
      <c r="F163" s="682" t="e">
        <f>#REF!</f>
        <v>#REF!</v>
      </c>
      <c r="G163" s="645" t="e">
        <f t="shared" si="6"/>
        <v>#REF!</v>
      </c>
      <c r="I163" s="621"/>
    </row>
    <row r="164" spans="2:9" x14ac:dyDescent="0.2">
      <c r="B164" s="714" t="str">
        <f>'M.CANTID.GENERAL'!B759</f>
        <v>1.4.2.10.</v>
      </c>
      <c r="C164" s="718" t="e">
        <f>'M.CANTID.GENERAL'!C759</f>
        <v>#REF!</v>
      </c>
      <c r="D164" s="680" t="str">
        <f>'M.CANTID.GENERAL'!P762</f>
        <v>ML</v>
      </c>
      <c r="E164" s="681">
        <f>'M.CANTID.GENERAL'!O762</f>
        <v>24</v>
      </c>
      <c r="F164" s="644" t="e">
        <f>#REF!</f>
        <v>#REF!</v>
      </c>
      <c r="G164" s="645" t="e">
        <f t="shared" si="6"/>
        <v>#REF!</v>
      </c>
      <c r="I164" s="621"/>
    </row>
    <row r="165" spans="2:9" ht="29.25" customHeight="1" x14ac:dyDescent="0.2">
      <c r="B165" s="714" t="str">
        <f>'M.CANTID.GENERAL'!B763</f>
        <v>1.4.2.11.</v>
      </c>
      <c r="C165" s="718" t="e">
        <f>'M.CANTID.GENERAL'!C763</f>
        <v>#REF!</v>
      </c>
      <c r="D165" s="680" t="str">
        <f>'M.CANTID.GENERAL'!P766</f>
        <v>UND</v>
      </c>
      <c r="E165" s="681">
        <f>'M.CANTID.GENERAL'!O766</f>
        <v>4</v>
      </c>
      <c r="F165" s="682" t="e">
        <f>#REF!</f>
        <v>#REF!</v>
      </c>
      <c r="G165" s="645" t="e">
        <f t="shared" si="6"/>
        <v>#REF!</v>
      </c>
      <c r="I165" s="621"/>
    </row>
    <row r="166" spans="2:9" ht="30" customHeight="1" x14ac:dyDescent="0.2">
      <c r="B166" s="714" t="str">
        <f>'M.CANTID.GENERAL'!B767</f>
        <v>1.4.2.12.</v>
      </c>
      <c r="C166" s="718" t="e">
        <f>'M.CANTID.GENERAL'!C767</f>
        <v>#REF!</v>
      </c>
      <c r="D166" s="680" t="str">
        <f>'M.CANTID.GENERAL'!P770</f>
        <v>UND</v>
      </c>
      <c r="E166" s="681">
        <f>'M.CANTID.GENERAL'!O770</f>
        <v>7</v>
      </c>
      <c r="F166" s="682" t="e">
        <f>#REF!</f>
        <v>#REF!</v>
      </c>
      <c r="G166" s="645" t="e">
        <f t="shared" si="6"/>
        <v>#REF!</v>
      </c>
      <c r="I166" s="621"/>
    </row>
    <row r="167" spans="2:9" ht="42" customHeight="1" x14ac:dyDescent="0.2">
      <c r="B167" s="714" t="str">
        <f>'M.CANTID.GENERAL'!B771</f>
        <v>1.4.2.13.</v>
      </c>
      <c r="C167" s="718" t="e">
        <f>'M.CANTID.GENERAL'!C771</f>
        <v>#REF!</v>
      </c>
      <c r="D167" s="680" t="str">
        <f>'M.CANTID.GENERAL'!P773</f>
        <v>UND</v>
      </c>
      <c r="E167" s="681">
        <f>'M.CANTID.GENERAL'!O773</f>
        <v>1</v>
      </c>
      <c r="F167" s="644" t="e">
        <f>#REF!</f>
        <v>#REF!</v>
      </c>
      <c r="G167" s="645" t="e">
        <f t="shared" si="6"/>
        <v>#REF!</v>
      </c>
      <c r="I167" s="621"/>
    </row>
    <row r="168" spans="2:9" x14ac:dyDescent="0.2">
      <c r="B168" s="714" t="str">
        <f>'M.CANTID.GENERAL'!B774</f>
        <v>1.4.2.14.</v>
      </c>
      <c r="C168" s="718" t="e">
        <f>'M.CANTID.GENERAL'!C774</f>
        <v>#REF!</v>
      </c>
      <c r="D168" s="680" t="str">
        <f>'M.CANTID.GENERAL'!P777</f>
        <v>UND</v>
      </c>
      <c r="E168" s="681">
        <f>'M.CANTID.GENERAL'!O777</f>
        <v>2</v>
      </c>
      <c r="F168" s="644" t="e">
        <f>#REF!</f>
        <v>#REF!</v>
      </c>
      <c r="G168" s="645" t="e">
        <f t="shared" si="6"/>
        <v>#REF!</v>
      </c>
      <c r="I168" s="621"/>
    </row>
    <row r="169" spans="2:9" x14ac:dyDescent="0.2">
      <c r="B169" s="714" t="str">
        <f>'M.CANTID.GENERAL'!B778</f>
        <v>1.4.2.15.</v>
      </c>
      <c r="C169" s="718" t="e">
        <f>'M.CANTID.GENERAL'!C778</f>
        <v>#REF!</v>
      </c>
      <c r="D169" s="680" t="str">
        <f>'M.CANTID.GENERAL'!P780</f>
        <v>UND</v>
      </c>
      <c r="E169" s="681">
        <f>'M.CANTID.GENERAL'!O780</f>
        <v>2</v>
      </c>
      <c r="F169" s="644" t="e">
        <f>#REF!</f>
        <v>#REF!</v>
      </c>
      <c r="G169" s="645" t="e">
        <f t="shared" si="6"/>
        <v>#REF!</v>
      </c>
      <c r="I169" s="621"/>
    </row>
    <row r="170" spans="2:9" x14ac:dyDescent="0.2">
      <c r="B170" s="714" t="str">
        <f>'M.CANTID.GENERAL'!B781</f>
        <v>1.4.2.16.</v>
      </c>
      <c r="C170" s="718" t="e">
        <f>'M.CANTID.GENERAL'!C781</f>
        <v>#REF!</v>
      </c>
      <c r="D170" s="680" t="str">
        <f>'M.CANTID.GENERAL'!P783</f>
        <v>UND</v>
      </c>
      <c r="E170" s="681">
        <f>'M.CANTID.GENERAL'!O783</f>
        <v>3</v>
      </c>
      <c r="F170" s="644" t="e">
        <f>#REF!</f>
        <v>#REF!</v>
      </c>
      <c r="G170" s="645" t="e">
        <f t="shared" si="6"/>
        <v>#REF!</v>
      </c>
      <c r="I170" s="621"/>
    </row>
    <row r="171" spans="2:9" x14ac:dyDescent="0.2">
      <c r="B171" s="714" t="str">
        <f>'M.CANTID.GENERAL'!B784</f>
        <v>1.4.2.17.</v>
      </c>
      <c r="C171" s="718" t="e">
        <f>'M.CANTID.GENERAL'!C784</f>
        <v>#REF!</v>
      </c>
      <c r="D171" s="680" t="str">
        <f>'M.CANTID.GENERAL'!P786</f>
        <v>UND</v>
      </c>
      <c r="E171" s="681">
        <f>'M.CANTID.GENERAL'!O786</f>
        <v>1</v>
      </c>
      <c r="F171" s="644" t="e">
        <f>#REF!</f>
        <v>#REF!</v>
      </c>
      <c r="G171" s="645" t="e">
        <f t="shared" si="6"/>
        <v>#REF!</v>
      </c>
      <c r="I171" s="621"/>
    </row>
    <row r="172" spans="2:9" ht="33" customHeight="1" x14ac:dyDescent="0.2">
      <c r="B172" s="714" t="str">
        <f>'M.CANTID.GENERAL'!B787</f>
        <v>1.4.2.18.</v>
      </c>
      <c r="C172" s="718" t="e">
        <f>'M.CANTID.GENERAL'!C787</f>
        <v>#REF!</v>
      </c>
      <c r="D172" s="680" t="str">
        <f>'M.CANTID.GENERAL'!P789</f>
        <v>UND</v>
      </c>
      <c r="E172" s="681">
        <f>'M.CANTID.GENERAL'!O789</f>
        <v>2</v>
      </c>
      <c r="F172" s="644" t="e">
        <f>#REF!</f>
        <v>#REF!</v>
      </c>
      <c r="G172" s="645" t="e">
        <f t="shared" si="6"/>
        <v>#REF!</v>
      </c>
      <c r="I172" s="621"/>
    </row>
    <row r="173" spans="2:9" x14ac:dyDescent="0.2">
      <c r="B173" s="640"/>
      <c r="C173" s="1600" t="str">
        <f>'M.CANTID.GENERAL'!C791</f>
        <v>SUMINISTROS</v>
      </c>
      <c r="D173" s="1600"/>
      <c r="E173" s="1600"/>
      <c r="F173" s="1600"/>
      <c r="G173" s="1600"/>
      <c r="I173" s="621"/>
    </row>
    <row r="174" spans="2:9" ht="27" customHeight="1" thickBot="1" x14ac:dyDescent="0.25">
      <c r="B174" s="714" t="str">
        <f>'M.CANTID.GENERAL'!B792</f>
        <v>1.4.2.19.</v>
      </c>
      <c r="C174" s="718" t="e">
        <f>'M.CANTID.GENERAL'!C792</f>
        <v>#REF!</v>
      </c>
      <c r="D174" s="680" t="str">
        <f>'M.CANTID.GENERAL'!P795</f>
        <v>ML</v>
      </c>
      <c r="E174" s="681">
        <f>'M.CANTID.GENERAL'!O795</f>
        <v>24</v>
      </c>
      <c r="F174" s="644" t="e">
        <f>#REF!</f>
        <v>#REF!</v>
      </c>
      <c r="G174" s="645" t="e">
        <f>ROUND((+E174*F174),0)</f>
        <v>#REF!</v>
      </c>
      <c r="I174" s="621"/>
    </row>
    <row r="175" spans="2:9" ht="15" thickBot="1" x14ac:dyDescent="0.25">
      <c r="B175" s="1597" t="s">
        <v>1105</v>
      </c>
      <c r="C175" s="1597"/>
      <c r="D175" s="1597"/>
      <c r="E175" s="1597"/>
      <c r="F175" s="1597"/>
      <c r="G175" s="728" t="e">
        <f>SUM(G155:G172)</f>
        <v>#REF!</v>
      </c>
      <c r="I175" s="621"/>
    </row>
    <row r="176" spans="2:9" ht="15" thickBot="1" x14ac:dyDescent="0.25">
      <c r="B176" s="1597" t="s">
        <v>1106</v>
      </c>
      <c r="C176" s="1597"/>
      <c r="D176" s="1597"/>
      <c r="E176" s="1597"/>
      <c r="F176" s="1597"/>
      <c r="G176" s="728" t="e">
        <f>SUM(G174)</f>
        <v>#REF!</v>
      </c>
      <c r="I176" s="789" t="e">
        <f>G175+G176</f>
        <v>#REF!</v>
      </c>
    </row>
    <row r="177" spans="2:9" ht="33.75" customHeight="1" thickBot="1" x14ac:dyDescent="0.25">
      <c r="B177" s="679" t="str">
        <f>'M.CANTID.GENERAL'!B797</f>
        <v>1.4.3.</v>
      </c>
      <c r="C177" s="1611" t="str">
        <f>'M.CANTID.GENERAL'!C797</f>
        <v>FLOCULADOR, SEDIMENTADOR, CANAL DE AGUA SEDIMENTADA Y CANAL DE LAVADO.</v>
      </c>
      <c r="D177" s="1612"/>
      <c r="E177" s="1612"/>
      <c r="F177" s="1612"/>
      <c r="G177" s="1613"/>
      <c r="I177" s="621"/>
    </row>
    <row r="178" spans="2:9" ht="17.25" customHeight="1" thickBot="1" x14ac:dyDescent="0.25">
      <c r="B178" s="640"/>
      <c r="C178" s="1600" t="str">
        <f>'M.CANTID.GENERAL'!C798</f>
        <v>OBRA CIVIL</v>
      </c>
      <c r="D178" s="1600"/>
      <c r="E178" s="1600"/>
      <c r="F178" s="1600"/>
      <c r="G178" s="1600"/>
      <c r="I178" s="621"/>
    </row>
    <row r="179" spans="2:9" ht="43.5" customHeight="1" x14ac:dyDescent="0.2">
      <c r="B179" s="719" t="str">
        <f>'M.CANTID.GENERAL'!B800</f>
        <v>1.4.3.1.</v>
      </c>
      <c r="C179" s="720" t="e">
        <f>'M.CANTID.GENERAL'!C800</f>
        <v>#REF!</v>
      </c>
      <c r="D179" s="721" t="str">
        <f>'M.CANTID.GENERAL'!P804</f>
        <v>M2</v>
      </c>
      <c r="E179" s="722">
        <f>'M.CANTID.GENERAL'!O804</f>
        <v>57.55</v>
      </c>
      <c r="F179" s="723" t="e">
        <f>#REF!</f>
        <v>#REF!</v>
      </c>
      <c r="G179" s="822" t="e">
        <f t="shared" ref="G179:G205" si="7">ROUND((+E179*F179),0)</f>
        <v>#REF!</v>
      </c>
      <c r="I179" s="621"/>
    </row>
    <row r="180" spans="2:9" ht="18" customHeight="1" x14ac:dyDescent="0.2">
      <c r="B180" s="714" t="str">
        <f>'M.CANTID.GENERAL'!B805</f>
        <v>1.4.3.2.</v>
      </c>
      <c r="C180" s="718" t="e">
        <f>'M.CANTID.GENERAL'!C805</f>
        <v>#REF!</v>
      </c>
      <c r="D180" s="680" t="str">
        <f>'M.CANTID.GENERAL'!P812</f>
        <v>M3</v>
      </c>
      <c r="E180" s="681">
        <f>'M.CANTID.GENERAL'!O812</f>
        <v>579.76</v>
      </c>
      <c r="F180" s="682" t="e">
        <f>#REF!</f>
        <v>#REF!</v>
      </c>
      <c r="G180" s="756" t="e">
        <f t="shared" si="7"/>
        <v>#REF!</v>
      </c>
      <c r="I180" s="621"/>
    </row>
    <row r="181" spans="2:9" ht="54" customHeight="1" x14ac:dyDescent="0.2">
      <c r="B181" s="714" t="str">
        <f>'M.CANTID.GENERAL'!B813</f>
        <v>1.4.3.3.</v>
      </c>
      <c r="C181" s="718" t="e">
        <f>'M.CANTID.GENERAL'!C813</f>
        <v>#REF!</v>
      </c>
      <c r="D181" s="680" t="str">
        <f>'M.CANTID.GENERAL'!P817</f>
        <v>M3</v>
      </c>
      <c r="E181" s="681">
        <f>'M.CANTID.GENERAL'!O817</f>
        <v>16.68</v>
      </c>
      <c r="F181" s="644" t="e">
        <f>#REF!</f>
        <v>#REF!</v>
      </c>
      <c r="G181" s="756" t="e">
        <f t="shared" si="7"/>
        <v>#REF!</v>
      </c>
      <c r="I181" s="621"/>
    </row>
    <row r="182" spans="2:9" ht="70.5" customHeight="1" x14ac:dyDescent="0.2">
      <c r="B182" s="714" t="str">
        <f>'M.CANTID.GENERAL'!B818</f>
        <v>1.4.3.4.</v>
      </c>
      <c r="C182" s="718" t="e">
        <f>'M.CANTID.GENERAL'!C818</f>
        <v>#REF!</v>
      </c>
      <c r="D182" s="680" t="str">
        <f>'M.CANTID.GENERAL'!P825</f>
        <v>M3-Km</v>
      </c>
      <c r="E182" s="681">
        <f>'M.CANTID.GENERAL'!O825</f>
        <v>2898.81</v>
      </c>
      <c r="F182" s="644" t="e">
        <f>#REF!</f>
        <v>#REF!</v>
      </c>
      <c r="G182" s="756" t="e">
        <f t="shared" si="7"/>
        <v>#REF!</v>
      </c>
      <c r="I182" s="621"/>
    </row>
    <row r="183" spans="2:9" ht="43.5" customHeight="1" x14ac:dyDescent="0.2">
      <c r="B183" s="714" t="str">
        <f>'M.CANTID.GENERAL'!B827</f>
        <v>1.4.3.5.</v>
      </c>
      <c r="C183" s="718" t="e">
        <f>'M.CANTID.GENERAL'!C827</f>
        <v>#REF!</v>
      </c>
      <c r="D183" s="680" t="str">
        <f>'M.CANTID.GENERAL'!P834</f>
        <v>M3</v>
      </c>
      <c r="E183" s="681">
        <f>'M.CANTID.GENERAL'!O834</f>
        <v>372.3</v>
      </c>
      <c r="F183" s="644" t="e">
        <f>#REF!</f>
        <v>#REF!</v>
      </c>
      <c r="G183" s="756" t="e">
        <f t="shared" si="7"/>
        <v>#REF!</v>
      </c>
      <c r="I183" s="621"/>
    </row>
    <row r="184" spans="2:9" ht="43.5" customHeight="1" x14ac:dyDescent="0.2">
      <c r="B184" s="714" t="str">
        <f>'M.CANTID.GENERAL'!B835</f>
        <v>1.4.3.6.</v>
      </c>
      <c r="C184" s="718" t="e">
        <f>'M.CANTID.GENERAL'!C835</f>
        <v>#REF!</v>
      </c>
      <c r="D184" s="680" t="str">
        <f>'M.CANTID.GENERAL'!P839</f>
        <v>M3</v>
      </c>
      <c r="E184" s="681">
        <f>'M.CANTID.GENERAL'!O839</f>
        <v>2.88</v>
      </c>
      <c r="F184" s="644" t="e">
        <f>#REF!</f>
        <v>#REF!</v>
      </c>
      <c r="G184" s="756" t="e">
        <f t="shared" si="7"/>
        <v>#REF!</v>
      </c>
      <c r="I184" s="621"/>
    </row>
    <row r="185" spans="2:9" ht="46.5" customHeight="1" x14ac:dyDescent="0.2">
      <c r="B185" s="714" t="str">
        <f>'M.CANTID.GENERAL'!B840</f>
        <v>1.4.3.7.</v>
      </c>
      <c r="C185" s="718" t="e">
        <f>'M.CANTID.GENERAL'!C840</f>
        <v>#REF!</v>
      </c>
      <c r="D185" s="680" t="str">
        <f>'M.CANTID.GENERAL'!P877</f>
        <v>M3</v>
      </c>
      <c r="E185" s="681">
        <f>'M.CANTID.GENERAL'!O877</f>
        <v>103.2</v>
      </c>
      <c r="F185" s="682" t="e">
        <f>#REF!</f>
        <v>#REF!</v>
      </c>
      <c r="G185" s="756" t="e">
        <f t="shared" si="7"/>
        <v>#REF!</v>
      </c>
      <c r="I185" s="621"/>
    </row>
    <row r="186" spans="2:9" ht="84.75" customHeight="1" x14ac:dyDescent="0.2">
      <c r="B186" s="714" t="str">
        <f>'M.CANTID.GENERAL'!B878</f>
        <v>1.4.3.8.</v>
      </c>
      <c r="C186" s="718" t="e">
        <f>'M.CANTID.GENERAL'!C878</f>
        <v>#REF!</v>
      </c>
      <c r="D186" s="680" t="str">
        <f>'M.CANTID.GENERAL'!P881</f>
        <v>KG</v>
      </c>
      <c r="E186" s="681">
        <f>'M.CANTID.GENERAL'!O881</f>
        <v>15681.51</v>
      </c>
      <c r="F186" s="682" t="e">
        <f>#REF!</f>
        <v>#REF!</v>
      </c>
      <c r="G186" s="645" t="e">
        <f t="shared" si="7"/>
        <v>#REF!</v>
      </c>
      <c r="I186" s="621"/>
    </row>
    <row r="187" spans="2:9" ht="34.5" customHeight="1" x14ac:dyDescent="0.2">
      <c r="B187" s="714" t="str">
        <f>'M.CANTID.GENERAL'!B884</f>
        <v>1.4.3.9.</v>
      </c>
      <c r="C187" s="718" t="e">
        <f>'M.CANTID.GENERAL'!C884</f>
        <v>#REF!</v>
      </c>
      <c r="D187" s="680" t="str">
        <f>'M.CANTID.GENERAL'!P888</f>
        <v>ML</v>
      </c>
      <c r="E187" s="681">
        <f>'M.CANTID.GENERAL'!O888</f>
        <v>257.64</v>
      </c>
      <c r="F187" s="682" t="e">
        <f>#REF!</f>
        <v>#REF!</v>
      </c>
      <c r="G187" s="645" t="e">
        <f t="shared" si="7"/>
        <v>#REF!</v>
      </c>
      <c r="I187" s="621"/>
    </row>
    <row r="188" spans="2:9" x14ac:dyDescent="0.2">
      <c r="B188" s="714" t="str">
        <f>'M.CANTID.GENERAL'!B889</f>
        <v>1.4.3.10.</v>
      </c>
      <c r="C188" s="718" t="e">
        <f>'M.CANTID.GENERAL'!C889</f>
        <v>#REF!</v>
      </c>
      <c r="D188" s="680" t="str">
        <f>'M.CANTID.GENERAL'!P892</f>
        <v>ML</v>
      </c>
      <c r="E188" s="681">
        <f>'M.CANTID.GENERAL'!O892</f>
        <v>22</v>
      </c>
      <c r="F188" s="649" t="e">
        <f>#REF!</f>
        <v>#REF!</v>
      </c>
      <c r="G188" s="645" t="e">
        <f t="shared" si="7"/>
        <v>#REF!</v>
      </c>
      <c r="I188" s="621"/>
    </row>
    <row r="189" spans="2:9" ht="30" customHeight="1" x14ac:dyDescent="0.2">
      <c r="B189" s="714" t="str">
        <f>'M.CANTID.GENERAL'!B893</f>
        <v>1.4.3.11.</v>
      </c>
      <c r="C189" s="718" t="e">
        <f>'M.CANTID.GENERAL'!C893</f>
        <v>#REF!</v>
      </c>
      <c r="D189" s="680" t="str">
        <f>'M.CANTID.GENERAL'!P896</f>
        <v>ML</v>
      </c>
      <c r="E189" s="681">
        <f>'M.CANTID.GENERAL'!O896</f>
        <v>30.5</v>
      </c>
      <c r="F189" s="644" t="e">
        <f>#REF!</f>
        <v>#REF!</v>
      </c>
      <c r="G189" s="645" t="e">
        <f t="shared" si="7"/>
        <v>#REF!</v>
      </c>
      <c r="I189" s="621"/>
    </row>
    <row r="190" spans="2:9" ht="30" customHeight="1" x14ac:dyDescent="0.2">
      <c r="B190" s="714" t="str">
        <f>'M.CANTID.GENERAL'!B897</f>
        <v>1.4.3.12.</v>
      </c>
      <c r="C190" s="718" t="e">
        <f>'M.CANTID.GENERAL'!C897</f>
        <v>#REF!</v>
      </c>
      <c r="D190" s="683" t="str">
        <f>'M.CANTID.GENERAL'!P901</f>
        <v>ML</v>
      </c>
      <c r="E190" s="681">
        <f>'M.CANTID.GENERAL'!O901</f>
        <v>18</v>
      </c>
      <c r="F190" s="644" t="e">
        <f>#REF!</f>
        <v>#REF!</v>
      </c>
      <c r="G190" s="645" t="e">
        <f>ROUND((+E190*F190),0)</f>
        <v>#REF!</v>
      </c>
      <c r="I190" s="621"/>
    </row>
    <row r="191" spans="2:9" ht="30" customHeight="1" x14ac:dyDescent="0.2">
      <c r="B191" s="714" t="str">
        <f>'M.CANTID.GENERAL'!B902</f>
        <v>1.4.3.13.</v>
      </c>
      <c r="C191" s="718" t="e">
        <f>'M.CANTID.GENERAL'!C902</f>
        <v>#REF!</v>
      </c>
      <c r="D191" s="683" t="str">
        <f>'M.CANTID.GENERAL'!P904</f>
        <v>UND</v>
      </c>
      <c r="E191" s="681">
        <f>'M.CANTID.GENERAL'!O904</f>
        <v>4</v>
      </c>
      <c r="F191" s="682" t="e">
        <f>#REF!</f>
        <v>#REF!</v>
      </c>
      <c r="G191" s="645" t="e">
        <f>ROUND((+E191*F191),0)</f>
        <v>#REF!</v>
      </c>
      <c r="I191" s="621"/>
    </row>
    <row r="192" spans="2:9" ht="28.5" customHeight="1" x14ac:dyDescent="0.2">
      <c r="B192" s="714" t="str">
        <f>'M.CANTID.GENERAL'!B905</f>
        <v>1.4.3.14.</v>
      </c>
      <c r="C192" s="718" t="e">
        <f>'M.CANTID.GENERAL'!C905</f>
        <v>#REF!</v>
      </c>
      <c r="D192" s="680" t="str">
        <f>'M.CANTID.GENERAL'!P908</f>
        <v>UND</v>
      </c>
      <c r="E192" s="681">
        <f>'M.CANTID.GENERAL'!O908</f>
        <v>4</v>
      </c>
      <c r="F192" s="649" t="e">
        <f>#REF!</f>
        <v>#REF!</v>
      </c>
      <c r="G192" s="645" t="e">
        <f t="shared" si="7"/>
        <v>#REF!</v>
      </c>
      <c r="I192" s="621"/>
    </row>
    <row r="193" spans="2:9" ht="28.5" customHeight="1" x14ac:dyDescent="0.2">
      <c r="B193" s="714" t="str">
        <f>'M.CANTID.GENERAL'!B909</f>
        <v>1.4.3.15.</v>
      </c>
      <c r="C193" s="718" t="e">
        <f>'M.CANTID.GENERAL'!C909</f>
        <v>#REF!</v>
      </c>
      <c r="D193" s="683" t="str">
        <f>'M.CANTID.GENERAL'!P917</f>
        <v>UND</v>
      </c>
      <c r="E193" s="681">
        <f>'M.CANTID.GENERAL'!O917</f>
        <v>16</v>
      </c>
      <c r="F193" s="682" t="e">
        <f>#REF!</f>
        <v>#REF!</v>
      </c>
      <c r="G193" s="645" t="e">
        <f>ROUND((+E193*F193),0)</f>
        <v>#REF!</v>
      </c>
      <c r="I193" s="621"/>
    </row>
    <row r="194" spans="2:9" ht="40.5" customHeight="1" x14ac:dyDescent="0.2">
      <c r="B194" s="714" t="str">
        <f>'M.CANTID.GENERAL'!B918</f>
        <v>1.4.3.16.</v>
      </c>
      <c r="C194" s="718" t="e">
        <f>'M.CANTID.GENERAL'!C918</f>
        <v>#REF!</v>
      </c>
      <c r="D194" s="683" t="str">
        <f>'M.CANTID.GENERAL'!P920</f>
        <v>UND</v>
      </c>
      <c r="E194" s="681">
        <f>'M.CANTID.GENERAL'!O920</f>
        <v>4</v>
      </c>
      <c r="F194" s="682" t="e">
        <f>#REF!</f>
        <v>#REF!</v>
      </c>
      <c r="G194" s="645" t="e">
        <f>ROUND((+E194*F194),0)</f>
        <v>#REF!</v>
      </c>
      <c r="I194" s="621"/>
    </row>
    <row r="195" spans="2:9" ht="48" customHeight="1" x14ac:dyDescent="0.2">
      <c r="B195" s="714" t="str">
        <f>'M.CANTID.GENERAL'!B921</f>
        <v>1.4.3.17.</v>
      </c>
      <c r="C195" s="718" t="e">
        <f>'M.CANTID.GENERAL'!C921</f>
        <v>#REF!</v>
      </c>
      <c r="D195" s="680" t="str">
        <f>'M.CANTID.GENERAL'!P923</f>
        <v>UND</v>
      </c>
      <c r="E195" s="681">
        <f>'M.CANTID.GENERAL'!O923</f>
        <v>2</v>
      </c>
      <c r="F195" s="649" t="e">
        <f>#REF!</f>
        <v>#REF!</v>
      </c>
      <c r="G195" s="645" t="e">
        <f t="shared" si="7"/>
        <v>#REF!</v>
      </c>
      <c r="I195" s="621"/>
    </row>
    <row r="196" spans="2:9" ht="42.75" customHeight="1" x14ac:dyDescent="0.2">
      <c r="B196" s="714" t="str">
        <f>'M.CANTID.GENERAL'!B924</f>
        <v>1.4.3.18.</v>
      </c>
      <c r="C196" s="718" t="e">
        <f>'M.CANTID.GENERAL'!C924</f>
        <v>#REF!</v>
      </c>
      <c r="D196" s="683" t="str">
        <f>'M.CANTID.GENERAL'!P928</f>
        <v>UND</v>
      </c>
      <c r="E196" s="681">
        <f>'M.CANTID.GENERAL'!O928</f>
        <v>3</v>
      </c>
      <c r="F196" s="644" t="e">
        <f>#REF!</f>
        <v>#REF!</v>
      </c>
      <c r="G196" s="645" t="e">
        <f t="shared" si="7"/>
        <v>#REF!</v>
      </c>
      <c r="I196" s="621"/>
    </row>
    <row r="197" spans="2:9" ht="57" customHeight="1" x14ac:dyDescent="0.2">
      <c r="B197" s="714" t="str">
        <f>'M.CANTID.GENERAL'!B929</f>
        <v>1.4.3.19.</v>
      </c>
      <c r="C197" s="718" t="e">
        <f>'M.CANTID.GENERAL'!C929</f>
        <v>#REF!</v>
      </c>
      <c r="D197" s="683" t="str">
        <f>'M.CANTID.GENERAL'!P933</f>
        <v>UND</v>
      </c>
      <c r="E197" s="681">
        <f>'M.CANTID.GENERAL'!O933</f>
        <v>12</v>
      </c>
      <c r="F197" s="644" t="e">
        <f>#REF!</f>
        <v>#REF!</v>
      </c>
      <c r="G197" s="645" t="e">
        <f t="shared" si="7"/>
        <v>#REF!</v>
      </c>
      <c r="I197" s="621"/>
    </row>
    <row r="198" spans="2:9" ht="66.75" customHeight="1" x14ac:dyDescent="0.2">
      <c r="B198" s="714" t="str">
        <f>'M.CANTID.GENERAL'!B934</f>
        <v>1.4.3.20.</v>
      </c>
      <c r="C198" s="718" t="e">
        <f>'M.CANTID.GENERAL'!C934</f>
        <v>#REF!</v>
      </c>
      <c r="D198" s="680" t="str">
        <f>'M.CANTID.GENERAL'!P937</f>
        <v>UND</v>
      </c>
      <c r="E198" s="681">
        <f>'M.CANTID.GENERAL'!O937</f>
        <v>2</v>
      </c>
      <c r="F198" s="649" t="e">
        <f>#REF!</f>
        <v>#REF!</v>
      </c>
      <c r="G198" s="645" t="e">
        <f t="shared" si="7"/>
        <v>#REF!</v>
      </c>
      <c r="I198" s="621"/>
    </row>
    <row r="199" spans="2:9" ht="84.75" customHeight="1" x14ac:dyDescent="0.2">
      <c r="B199" s="714" t="str">
        <f>'M.CANTID.GENERAL'!B938</f>
        <v>1.4.3.21.</v>
      </c>
      <c r="C199" s="718" t="e">
        <f>'M.CANTID.GENERAL'!C938</f>
        <v>#REF!</v>
      </c>
      <c r="D199" s="683" t="str">
        <f>'M.CANTID.GENERAL'!P945</f>
        <v>UND</v>
      </c>
      <c r="E199" s="681">
        <f>'M.CANTID.GENERAL'!O945</f>
        <v>6</v>
      </c>
      <c r="F199" s="644" t="e">
        <f>#REF!</f>
        <v>#REF!</v>
      </c>
      <c r="G199" s="645" t="e">
        <f t="shared" si="7"/>
        <v>#REF!</v>
      </c>
      <c r="I199" s="621"/>
    </row>
    <row r="200" spans="2:9" ht="80.25" customHeight="1" x14ac:dyDescent="0.2">
      <c r="B200" s="714" t="str">
        <f>'M.CANTID.GENERAL'!B942</f>
        <v>1.4.3.22.</v>
      </c>
      <c r="C200" s="718" t="e">
        <f>'M.CANTID.GENERAL'!C942</f>
        <v>#REF!</v>
      </c>
      <c r="D200" s="683" t="str">
        <f>'M.CANTID.GENERAL'!P945</f>
        <v>UND</v>
      </c>
      <c r="E200" s="681">
        <f>'M.CANTID.GENERAL'!O945</f>
        <v>6</v>
      </c>
      <c r="F200" s="644" t="e">
        <f>#REF!</f>
        <v>#REF!</v>
      </c>
      <c r="G200" s="645" t="e">
        <f t="shared" si="7"/>
        <v>#REF!</v>
      </c>
      <c r="I200" s="621"/>
    </row>
    <row r="201" spans="2:9" ht="42.75" customHeight="1" x14ac:dyDescent="0.2">
      <c r="B201" s="714" t="str">
        <f>'M.CANTID.GENERAL'!B946</f>
        <v>1.4.3.23.</v>
      </c>
      <c r="C201" s="718" t="e">
        <f>'M.CANTID.GENERAL'!C946</f>
        <v>#REF!</v>
      </c>
      <c r="D201" s="683" t="str">
        <f>'M.CANTID.GENERAL'!P948</f>
        <v>M2</v>
      </c>
      <c r="E201" s="681">
        <f>'M.CANTID.GENERAL'!O948</f>
        <v>24.23</v>
      </c>
      <c r="F201" s="682" t="e">
        <f>#REF!</f>
        <v>#REF!</v>
      </c>
      <c r="G201" s="645" t="e">
        <f t="shared" si="7"/>
        <v>#REF!</v>
      </c>
      <c r="I201" s="621"/>
    </row>
    <row r="202" spans="2:9" ht="71.25" customHeight="1" x14ac:dyDescent="0.2">
      <c r="B202" s="714" t="str">
        <f>'M.CANTID.GENERAL'!B949</f>
        <v>1.4.3.24.</v>
      </c>
      <c r="C202" s="718" t="e">
        <f>'M.CANTID.GENERAL'!C949</f>
        <v>#REF!</v>
      </c>
      <c r="D202" s="683" t="str">
        <f>'M.CANTID.GENERAL'!P951</f>
        <v>M2</v>
      </c>
      <c r="E202" s="681">
        <f>'M.CANTID.GENERAL'!O951</f>
        <v>24.23</v>
      </c>
      <c r="F202" s="682" t="e">
        <f>#REF!</f>
        <v>#REF!</v>
      </c>
      <c r="G202" s="645" t="e">
        <f t="shared" si="7"/>
        <v>#REF!</v>
      </c>
      <c r="I202" s="621"/>
    </row>
    <row r="203" spans="2:9" ht="16.5" customHeight="1" x14ac:dyDescent="0.2">
      <c r="B203" s="714" t="str">
        <f>'M.CANTID.GENERAL'!B952</f>
        <v>1.4.3.25.</v>
      </c>
      <c r="C203" s="718" t="e">
        <f>'M.CANTID.GENERAL'!C952</f>
        <v>#REF!</v>
      </c>
      <c r="D203" s="683" t="str">
        <f>'M.CANTID.GENERAL'!P954</f>
        <v>M3</v>
      </c>
      <c r="E203" s="681">
        <f>'M.CANTID.GENERAL'!O954</f>
        <v>3.91</v>
      </c>
      <c r="F203" s="682" t="e">
        <f>#REF!</f>
        <v>#REF!</v>
      </c>
      <c r="G203" s="645" t="e">
        <f t="shared" si="7"/>
        <v>#REF!</v>
      </c>
      <c r="I203" s="621"/>
    </row>
    <row r="204" spans="2:9" ht="16.5" customHeight="1" x14ac:dyDescent="0.2">
      <c r="B204" s="714" t="str">
        <f>'M.CANTID.GENERAL'!B955</f>
        <v>1.4.3.26.</v>
      </c>
      <c r="C204" s="718" t="e">
        <f>'M.CANTID.GENERAL'!C955</f>
        <v>#REF!</v>
      </c>
      <c r="D204" s="683" t="str">
        <f>'M.CANTID.GENERAL'!P957</f>
        <v>M3</v>
      </c>
      <c r="E204" s="681">
        <f>'M.CANTID.GENERAL'!O957</f>
        <v>1.74</v>
      </c>
      <c r="F204" s="682" t="e">
        <f>#REF!</f>
        <v>#REF!</v>
      </c>
      <c r="G204" s="645" t="e">
        <f t="shared" si="7"/>
        <v>#REF!</v>
      </c>
      <c r="I204" s="621"/>
    </row>
    <row r="205" spans="2:9" ht="16.5" customHeight="1" x14ac:dyDescent="0.2">
      <c r="B205" s="715" t="str">
        <f>'M.CANTID.GENERAL'!B959</f>
        <v>1.4.3.27.</v>
      </c>
      <c r="C205" s="716" t="e">
        <f>'M.CANTID.GENERAL'!C959</f>
        <v>#REF!</v>
      </c>
      <c r="D205" s="713" t="str">
        <f>'M.CANTID.GENERAL'!P961</f>
        <v>M3</v>
      </c>
      <c r="E205" s="699">
        <f>'M.CANTID.GENERAL'!O961</f>
        <v>1.74</v>
      </c>
      <c r="F205" s="700" t="e">
        <f>#REF!</f>
        <v>#REF!</v>
      </c>
      <c r="G205" s="731" t="e">
        <f t="shared" si="7"/>
        <v>#REF!</v>
      </c>
      <c r="I205" s="621"/>
    </row>
    <row r="206" spans="2:9" ht="16.5" customHeight="1" x14ac:dyDescent="0.2">
      <c r="B206" s="715"/>
      <c r="C206" s="1600" t="str">
        <f>'M.CANTID.GENERAL'!C964</f>
        <v>SUMINISTROS</v>
      </c>
      <c r="D206" s="1600"/>
      <c r="E206" s="1600"/>
      <c r="F206" s="1600"/>
      <c r="G206" s="1600"/>
      <c r="I206" s="621"/>
    </row>
    <row r="207" spans="2:9" ht="33.75" customHeight="1" x14ac:dyDescent="0.2">
      <c r="B207" s="714" t="str">
        <f>'M.CANTID.GENERAL'!B965</f>
        <v>1.4.3.28.</v>
      </c>
      <c r="C207" s="718" t="e">
        <f>'M.CANTID.GENERAL'!C965</f>
        <v>#REF!</v>
      </c>
      <c r="D207" s="680" t="str">
        <f>'M.CANTID.GENERAL'!P968</f>
        <v>ML</v>
      </c>
      <c r="E207" s="681">
        <f>'M.CANTID.GENERAL'!O968</f>
        <v>22</v>
      </c>
      <c r="F207" s="649" t="e">
        <f>#REF!</f>
        <v>#REF!</v>
      </c>
      <c r="G207" s="645" t="e">
        <f>ROUND((+E207*F207),0)</f>
        <v>#REF!</v>
      </c>
      <c r="I207" s="621"/>
    </row>
    <row r="208" spans="2:9" ht="36" customHeight="1" x14ac:dyDescent="0.2">
      <c r="B208" s="714" t="str">
        <f>'M.CANTID.GENERAL'!B969</f>
        <v>1.4.3.29.</v>
      </c>
      <c r="C208" s="718" t="e">
        <f>'M.CANTID.GENERAL'!C969</f>
        <v>#REF!</v>
      </c>
      <c r="D208" s="680" t="str">
        <f>'M.CANTID.GENERAL'!P972</f>
        <v>ML</v>
      </c>
      <c r="E208" s="681">
        <f>'M.CANTID.GENERAL'!O972</f>
        <v>30.5</v>
      </c>
      <c r="F208" s="644" t="e">
        <f>#REF!</f>
        <v>#REF!</v>
      </c>
      <c r="G208" s="645" t="e">
        <f>ROUND((+E208*F208),0)</f>
        <v>#REF!</v>
      </c>
      <c r="I208" s="621"/>
    </row>
    <row r="209" spans="2:9" ht="30" customHeight="1" thickBot="1" x14ac:dyDescent="0.25">
      <c r="B209" s="714" t="str">
        <f>'M.CANTID.GENERAL'!B973</f>
        <v>1.4.3.30.</v>
      </c>
      <c r="C209" s="718" t="e">
        <f>'M.CANTID.GENERAL'!C973</f>
        <v>#REF!</v>
      </c>
      <c r="D209" s="683" t="str">
        <f>'M.CANTID.GENERAL'!P977</f>
        <v>ML</v>
      </c>
      <c r="E209" s="681">
        <f>'M.CANTID.GENERAL'!O977</f>
        <v>18</v>
      </c>
      <c r="F209" s="644" t="e">
        <f>#REF!</f>
        <v>#REF!</v>
      </c>
      <c r="G209" s="645" t="e">
        <f>ROUND((+E209*F209),0)</f>
        <v>#REF!</v>
      </c>
      <c r="I209" s="621"/>
    </row>
    <row r="210" spans="2:9" ht="38.25" customHeight="1" thickBot="1" x14ac:dyDescent="0.25">
      <c r="B210" s="1614" t="s">
        <v>1634</v>
      </c>
      <c r="C210" s="1615"/>
      <c r="D210" s="1615"/>
      <c r="E210" s="1615"/>
      <c r="F210" s="1616"/>
      <c r="G210" s="728" t="e">
        <f>SUM(G179:G205)</f>
        <v>#REF!</v>
      </c>
      <c r="I210" s="621"/>
    </row>
    <row r="211" spans="2:9" ht="39" customHeight="1" thickBot="1" x14ac:dyDescent="0.25">
      <c r="B211" s="1610" t="s">
        <v>1635</v>
      </c>
      <c r="C211" s="1610"/>
      <c r="D211" s="1610"/>
      <c r="E211" s="1610"/>
      <c r="F211" s="1610"/>
      <c r="G211" s="728" t="e">
        <f>SUM(G207:G209)</f>
        <v>#REF!</v>
      </c>
    </row>
    <row r="212" spans="2:9" ht="21" customHeight="1" thickBot="1" x14ac:dyDescent="0.25">
      <c r="B212" s="679" t="str">
        <f>'M.CANTID.GENERAL'!B981</f>
        <v>1.4.4.</v>
      </c>
      <c r="C212" s="1606" t="str">
        <f>'M.CANTID.GENERAL'!C981</f>
        <v>CANAL DE DESINFECICON</v>
      </c>
      <c r="D212" s="1607"/>
      <c r="E212" s="1607"/>
      <c r="F212" s="1607"/>
      <c r="G212" s="1608"/>
      <c r="I212" s="621"/>
    </row>
    <row r="213" spans="2:9" ht="17.25" customHeight="1" thickBot="1" x14ac:dyDescent="0.25">
      <c r="B213" s="640"/>
      <c r="C213" s="1600" t="str">
        <f>'M.CANTID.GENERAL'!C982</f>
        <v>OBRA CIVIL</v>
      </c>
      <c r="D213" s="1600"/>
      <c r="E213" s="1600"/>
      <c r="F213" s="1609"/>
      <c r="G213" s="1600"/>
      <c r="I213" s="621"/>
    </row>
    <row r="214" spans="2:9" ht="45" customHeight="1" x14ac:dyDescent="0.2">
      <c r="B214" s="719" t="str">
        <f>'M.CANTID.GENERAL'!B984</f>
        <v>1.4.4.1.</v>
      </c>
      <c r="C214" s="720" t="e">
        <f>'M.CANTID.GENERAL'!C984</f>
        <v>#REF!</v>
      </c>
      <c r="D214" s="727" t="str">
        <f>'M.CANTID.GENERAL'!P987</f>
        <v>M2</v>
      </c>
      <c r="E214" s="722">
        <f>'M.CANTID.GENERAL'!O987</f>
        <v>39.51</v>
      </c>
      <c r="F214" s="723" t="e">
        <f>#REF!</f>
        <v>#REF!</v>
      </c>
      <c r="G214" s="783" t="e">
        <f t="shared" ref="G214:G215" si="8">ROUND((+E214*F214),0)</f>
        <v>#REF!</v>
      </c>
      <c r="I214" s="621"/>
    </row>
    <row r="215" spans="2:9" ht="20.25" customHeight="1" x14ac:dyDescent="0.2">
      <c r="B215" s="714" t="str">
        <f>'M.CANTID.GENERAL'!B989</f>
        <v>1.4.4.2.</v>
      </c>
      <c r="C215" s="718" t="e">
        <f>'M.CANTID.GENERAL'!C989</f>
        <v>#REF!</v>
      </c>
      <c r="D215" s="683" t="str">
        <f>'M.CANTID.GENERAL'!P993</f>
        <v>M3</v>
      </c>
      <c r="E215" s="681">
        <f>'M.CANTID.GENERAL'!O993</f>
        <v>163.36000000000001</v>
      </c>
      <c r="F215" s="682" t="e">
        <f>#REF!</f>
        <v>#REF!</v>
      </c>
      <c r="G215" s="645" t="e">
        <f t="shared" si="8"/>
        <v>#REF!</v>
      </c>
      <c r="I215" s="621"/>
    </row>
    <row r="216" spans="2:9" ht="53.25" customHeight="1" x14ac:dyDescent="0.2">
      <c r="B216" s="714" t="str">
        <f>'M.CANTID.GENERAL'!B994</f>
        <v>1.4.4.3.</v>
      </c>
      <c r="C216" s="718" t="e">
        <f>'M.CANTID.GENERAL'!C994</f>
        <v>#REF!</v>
      </c>
      <c r="D216" s="683" t="str">
        <f>'M.CANTID.GENERAL'!P996</f>
        <v>M3</v>
      </c>
      <c r="E216" s="681">
        <f>'M.CANTID.GENERAL'!O996</f>
        <v>2.5099999999999998</v>
      </c>
      <c r="F216" s="644" t="e">
        <f>#REF!</f>
        <v>#REF!</v>
      </c>
      <c r="G216" s="645" t="e">
        <f>ROUND((+E216*F216),0)</f>
        <v>#REF!</v>
      </c>
      <c r="I216" s="621"/>
    </row>
    <row r="217" spans="2:9" ht="70.5" customHeight="1" x14ac:dyDescent="0.2">
      <c r="B217" s="714" t="str">
        <f>'M.CANTID.GENERAL'!B997</f>
        <v>1.4.4.4.</v>
      </c>
      <c r="C217" s="718" t="e">
        <f>'M.CANTID.GENERAL'!C997</f>
        <v>#REF!</v>
      </c>
      <c r="D217" s="683" t="str">
        <f>'M.CANTID.GENERAL'!P1001</f>
        <v>M3-Km</v>
      </c>
      <c r="E217" s="681">
        <f>'M.CANTID.GENERAL'!O1001</f>
        <v>816.78</v>
      </c>
      <c r="F217" s="644" t="e">
        <f>#REF!</f>
        <v>#REF!</v>
      </c>
      <c r="G217" s="645" t="e">
        <f t="shared" ref="G217:G220" si="9">ROUND((+E217*F217),0)</f>
        <v>#REF!</v>
      </c>
      <c r="I217" s="621"/>
    </row>
    <row r="218" spans="2:9" ht="45" customHeight="1" x14ac:dyDescent="0.2">
      <c r="B218" s="714" t="str">
        <f>'M.CANTID.GENERAL'!B1003</f>
        <v>1.4.4.5.</v>
      </c>
      <c r="C218" s="718" t="e">
        <f>'M.CANTID.GENERAL'!C1011</f>
        <v>#REF!</v>
      </c>
      <c r="D218" s="683" t="str">
        <f>'M.CANTID.GENERAL'!P1007</f>
        <v>M3</v>
      </c>
      <c r="E218" s="681">
        <f>'M.CANTID.GENERAL'!O1007</f>
        <v>71.209999999999994</v>
      </c>
      <c r="F218" s="682" t="e">
        <f>#REF!</f>
        <v>#REF!</v>
      </c>
      <c r="G218" s="645" t="e">
        <f t="shared" si="9"/>
        <v>#REF!</v>
      </c>
      <c r="I218" s="621"/>
    </row>
    <row r="219" spans="2:9" ht="45" customHeight="1" x14ac:dyDescent="0.2">
      <c r="B219" s="714" t="str">
        <f>'M.CANTID.GENERAL'!B1011</f>
        <v>1.4.4.6.</v>
      </c>
      <c r="C219" s="718" t="e">
        <f>'M.CANTID.GENERAL'!C1011</f>
        <v>#REF!</v>
      </c>
      <c r="D219" s="683" t="str">
        <f>'M.CANTID.GENERAL'!P1014</f>
        <v>M3</v>
      </c>
      <c r="E219" s="681">
        <f>'M.CANTID.GENERAL'!O1014</f>
        <v>1.98</v>
      </c>
      <c r="F219" s="682" t="e">
        <f>#REF!</f>
        <v>#REF!</v>
      </c>
      <c r="G219" s="645" t="e">
        <f t="shared" si="9"/>
        <v>#REF!</v>
      </c>
      <c r="I219" s="621"/>
    </row>
    <row r="220" spans="2:9" ht="45" customHeight="1" x14ac:dyDescent="0.2">
      <c r="B220" s="714" t="str">
        <f>'M.CANTID.GENERAL'!B1015</f>
        <v>1.4.4.7.</v>
      </c>
      <c r="C220" s="718" t="e">
        <f>'M.CANTID.GENERAL'!C1015</f>
        <v>#REF!</v>
      </c>
      <c r="D220" s="683" t="str">
        <f>'M.CANTID.GENERAL'!P1027</f>
        <v>M3</v>
      </c>
      <c r="E220" s="681">
        <f>'M.CANTID.GENERAL'!O1027</f>
        <v>38.06</v>
      </c>
      <c r="F220" s="682" t="e">
        <f>#REF!</f>
        <v>#REF!</v>
      </c>
      <c r="G220" s="645" t="e">
        <f t="shared" si="9"/>
        <v>#REF!</v>
      </c>
      <c r="I220" s="621"/>
    </row>
    <row r="221" spans="2:9" ht="83.25" customHeight="1" x14ac:dyDescent="0.2">
      <c r="B221" s="714" t="str">
        <f>'M.CANTID.GENERAL'!B1028</f>
        <v>1.4.4.8.</v>
      </c>
      <c r="C221" s="718" t="e">
        <f>'M.CANTID.GENERAL'!C1028</f>
        <v>#REF!</v>
      </c>
      <c r="D221" s="683" t="str">
        <f>'M.CANTID.GENERAL'!P1030</f>
        <v>KG</v>
      </c>
      <c r="E221" s="681">
        <f>'M.CANTID.GENERAL'!O1030</f>
        <v>6319.76</v>
      </c>
      <c r="F221" s="682" t="e">
        <f>#REF!</f>
        <v>#REF!</v>
      </c>
      <c r="G221" s="645" t="e">
        <f>ROUND((+E221*F221),0)</f>
        <v>#REF!</v>
      </c>
      <c r="I221" s="621"/>
    </row>
    <row r="222" spans="2:9" ht="33.75" customHeight="1" x14ac:dyDescent="0.2">
      <c r="B222" s="714" t="str">
        <f>'M.CANTID.GENERAL'!B1031</f>
        <v>1.4.4.9.</v>
      </c>
      <c r="C222" s="718" t="e">
        <f>'M.CANTID.GENERAL'!C1031</f>
        <v>#REF!</v>
      </c>
      <c r="D222" s="683" t="str">
        <f>'M.CANTID.GENERAL'!P1033</f>
        <v>ML</v>
      </c>
      <c r="E222" s="681">
        <f>'M.CANTID.GENERAL'!O1033</f>
        <v>24.1</v>
      </c>
      <c r="F222" s="682" t="e">
        <f>#REF!</f>
        <v>#REF!</v>
      </c>
      <c r="G222" s="645" t="e">
        <f t="shared" ref="G222" si="10">ROUND((+E222*F222),0)</f>
        <v>#REF!</v>
      </c>
      <c r="I222" s="621"/>
    </row>
    <row r="223" spans="2:9" ht="33.75" customHeight="1" x14ac:dyDescent="0.2">
      <c r="B223" s="714" t="str">
        <f>'M.CANTID.GENERAL'!B1034</f>
        <v>1.4.4.10.</v>
      </c>
      <c r="C223" s="718" t="e">
        <f>'M.CANTID.GENERAL'!C1034</f>
        <v>#REF!</v>
      </c>
      <c r="D223" s="683" t="str">
        <f>'M.CANTID.GENERAL'!P1036</f>
        <v>ML</v>
      </c>
      <c r="E223" s="681">
        <f>'M.CANTID.GENERAL'!O1036</f>
        <v>6</v>
      </c>
      <c r="F223" s="644" t="e">
        <f>#REF!</f>
        <v>#REF!</v>
      </c>
      <c r="G223" s="645" t="e">
        <f>ROUND((+E223*F223),0)</f>
        <v>#REF!</v>
      </c>
      <c r="I223" s="621"/>
    </row>
    <row r="224" spans="2:9" ht="32.25" customHeight="1" x14ac:dyDescent="0.2">
      <c r="B224" s="714" t="str">
        <f>'M.CANTID.GENERAL'!B1037</f>
        <v>1.4.4.11.</v>
      </c>
      <c r="C224" s="718" t="e">
        <f>'M.CANTID.GENERAL'!C1037</f>
        <v>#REF!</v>
      </c>
      <c r="D224" s="683" t="str">
        <f>'M.CANTID.GENERAL'!P1039</f>
        <v>UND</v>
      </c>
      <c r="E224" s="681">
        <f>'M.CANTID.GENERAL'!O1039</f>
        <v>1</v>
      </c>
      <c r="F224" s="682" t="e">
        <f>#REF!</f>
        <v>#REF!</v>
      </c>
      <c r="G224" s="645" t="e">
        <f>ROUND((+E224*F224),0)</f>
        <v>#REF!</v>
      </c>
      <c r="I224" s="621"/>
    </row>
    <row r="225" spans="2:9" ht="45" customHeight="1" x14ac:dyDescent="0.2">
      <c r="B225" s="714" t="str">
        <f>'M.CANTID.GENERAL'!B1040</f>
        <v>1.4.4.12.</v>
      </c>
      <c r="C225" s="718" t="e">
        <f>'M.CANTID.GENERAL'!C1040</f>
        <v>#REF!</v>
      </c>
      <c r="D225" s="683" t="str">
        <f>'M.CANTID.GENERAL'!P1042</f>
        <v>UND</v>
      </c>
      <c r="E225" s="681">
        <f>'M.CANTID.GENERAL'!O1042</f>
        <v>1</v>
      </c>
      <c r="F225" s="644" t="e">
        <f>#REF!</f>
        <v>#REF!</v>
      </c>
      <c r="G225" s="645" t="e">
        <f t="shared" ref="G225" si="11">ROUND((+E225*F225),0)</f>
        <v>#REF!</v>
      </c>
      <c r="I225" s="621"/>
    </row>
    <row r="226" spans="2:9" ht="19.5" customHeight="1" x14ac:dyDescent="0.2">
      <c r="B226" s="640"/>
      <c r="C226" s="1600" t="str">
        <f>'M.CANTID.GENERAL'!C1044</f>
        <v>SUMINISTROS</v>
      </c>
      <c r="D226" s="1600"/>
      <c r="E226" s="1600"/>
      <c r="F226" s="1600"/>
      <c r="G226" s="1600"/>
      <c r="I226" s="621"/>
    </row>
    <row r="227" spans="2:9" ht="33.75" customHeight="1" thickBot="1" x14ac:dyDescent="0.25">
      <c r="B227" s="714" t="str">
        <f>'M.CANTID.GENERAL'!B1045</f>
        <v>1.4.4.13.</v>
      </c>
      <c r="C227" s="718" t="e">
        <f>'M.CANTID.GENERAL'!C1045</f>
        <v>#REF!</v>
      </c>
      <c r="D227" s="683" t="str">
        <f>'M.CANTID.GENERAL'!P1047</f>
        <v>ML</v>
      </c>
      <c r="E227" s="681">
        <f>'M.CANTID.GENERAL'!O1047</f>
        <v>6</v>
      </c>
      <c r="F227" s="644" t="e">
        <f>#REF!</f>
        <v>#REF!</v>
      </c>
      <c r="G227" s="645" t="e">
        <f>ROUND((+E227*F227),0)</f>
        <v>#REF!</v>
      </c>
      <c r="I227" s="621"/>
    </row>
    <row r="228" spans="2:9" ht="24.75" customHeight="1" thickBot="1" x14ac:dyDescent="0.25">
      <c r="B228" s="1597" t="s">
        <v>1642</v>
      </c>
      <c r="C228" s="1597"/>
      <c r="D228" s="1597"/>
      <c r="E228" s="1597"/>
      <c r="F228" s="1597"/>
      <c r="G228" s="728" t="e">
        <f>SUM(G214:G225)</f>
        <v>#REF!</v>
      </c>
      <c r="I228" s="621"/>
    </row>
    <row r="229" spans="2:9" ht="16.5" customHeight="1" thickBot="1" x14ac:dyDescent="0.25">
      <c r="B229" s="1597" t="s">
        <v>1643</v>
      </c>
      <c r="C229" s="1597"/>
      <c r="D229" s="1597"/>
      <c r="E229" s="1597"/>
      <c r="F229" s="1597"/>
      <c r="G229" s="728" t="e">
        <f>SUM(G227:G227)</f>
        <v>#REF!</v>
      </c>
      <c r="I229" s="789" t="e">
        <f>G228+G229</f>
        <v>#REF!</v>
      </c>
    </row>
    <row r="230" spans="2:9" ht="15" thickBot="1" x14ac:dyDescent="0.25">
      <c r="B230" s="679" t="str">
        <f>'M.CANTID.GENERAL'!B1054</f>
        <v>1.4.5.</v>
      </c>
      <c r="C230" s="1606" t="str">
        <f>'M.CANTID.GENERAL'!C1054</f>
        <v>ESPESADOR GRAVIMETRICO</v>
      </c>
      <c r="D230" s="1607"/>
      <c r="E230" s="1607"/>
      <c r="F230" s="1607"/>
      <c r="G230" s="1608"/>
      <c r="I230" s="621"/>
    </row>
    <row r="231" spans="2:9" ht="17.25" customHeight="1" thickBot="1" x14ac:dyDescent="0.25">
      <c r="B231" s="640"/>
      <c r="C231" s="1600" t="str">
        <f>'M.CANTID.GENERAL'!C1055</f>
        <v>OBRA CIVIL</v>
      </c>
      <c r="D231" s="1600"/>
      <c r="E231" s="1600"/>
      <c r="F231" s="1609"/>
      <c r="G231" s="1600"/>
      <c r="I231" s="621"/>
    </row>
    <row r="232" spans="2:9" x14ac:dyDescent="0.2">
      <c r="B232" s="719" t="str">
        <f>'M.CANTID.GENERAL'!B1057</f>
        <v>1.4.5.1.</v>
      </c>
      <c r="C232" s="720" t="e">
        <f>'M.CANTID.GENERAL'!C1057</f>
        <v>#REF!</v>
      </c>
      <c r="D232" s="727" t="str">
        <f>'M.CANTID.GENERAL'!P1061</f>
        <v>M2</v>
      </c>
      <c r="E232" s="722">
        <f>'M.CANTID.GENERAL'!O1061</f>
        <v>26.4</v>
      </c>
      <c r="F232" s="723" t="e">
        <f>#REF!</f>
        <v>#REF!</v>
      </c>
      <c r="G232" s="783" t="e">
        <f t="shared" ref="G232:G248" si="12">ROUND((+E232*F232),0)</f>
        <v>#REF!</v>
      </c>
      <c r="I232" s="621"/>
    </row>
    <row r="233" spans="2:9" x14ac:dyDescent="0.2">
      <c r="B233" s="714" t="str">
        <f>'M.CANTID.GENERAL'!B1063</f>
        <v>1.4.5.2.</v>
      </c>
      <c r="C233" s="718" t="e">
        <f>'M.CANTID.GENERAL'!C1063</f>
        <v>#REF!</v>
      </c>
      <c r="D233" s="683" t="str">
        <f>'M.CANTID.GENERAL'!P1070</f>
        <v>M3</v>
      </c>
      <c r="E233" s="681">
        <f>'M.CANTID.GENERAL'!O1070</f>
        <v>471.4</v>
      </c>
      <c r="F233" s="682" t="e">
        <f>#REF!</f>
        <v>#REF!</v>
      </c>
      <c r="G233" s="645" t="e">
        <f t="shared" si="12"/>
        <v>#REF!</v>
      </c>
      <c r="I233" s="621"/>
    </row>
    <row r="234" spans="2:9" x14ac:dyDescent="0.2">
      <c r="B234" s="714" t="str">
        <f>'M.CANTID.GENERAL'!B1071</f>
        <v>1.4.5.3.</v>
      </c>
      <c r="C234" s="718" t="e">
        <f>'M.CANTID.GENERAL'!C1071</f>
        <v>#REF!</v>
      </c>
      <c r="D234" s="683" t="str">
        <f>'M.CANTID.GENERAL'!P1075</f>
        <v>M3</v>
      </c>
      <c r="E234" s="681">
        <f>'M.CANTID.GENERAL'!O1075</f>
        <v>44.41</v>
      </c>
      <c r="F234" s="644" t="e">
        <f>#REF!</f>
        <v>#REF!</v>
      </c>
      <c r="G234" s="645" t="e">
        <f>ROUND((+E234*F234),0)</f>
        <v>#REF!</v>
      </c>
      <c r="I234" s="621"/>
    </row>
    <row r="235" spans="2:9" x14ac:dyDescent="0.2">
      <c r="B235" s="714" t="str">
        <f>'M.CANTID.GENERAL'!B1076</f>
        <v>1.4.5.4.</v>
      </c>
      <c r="C235" s="718" t="e">
        <f>'M.CANTID.GENERAL'!C1076</f>
        <v>#REF!</v>
      </c>
      <c r="D235" s="683" t="str">
        <f>'M.CANTID.GENERAL'!P1083</f>
        <v>M3-Km</v>
      </c>
      <c r="E235" s="681">
        <f>'M.CANTID.GENERAL'!O1083</f>
        <v>2357</v>
      </c>
      <c r="F235" s="644" t="e">
        <f>#REF!</f>
        <v>#REF!</v>
      </c>
      <c r="G235" s="645" t="e">
        <f t="shared" si="12"/>
        <v>#REF!</v>
      </c>
      <c r="I235" s="621"/>
    </row>
    <row r="236" spans="2:9" x14ac:dyDescent="0.2">
      <c r="B236" s="714" t="str">
        <f>'M.CANTID.GENERAL'!B1085</f>
        <v>1.4.5.5.</v>
      </c>
      <c r="C236" s="718" t="e">
        <f>'M.CANTID.GENERAL'!C1085</f>
        <v>#REF!</v>
      </c>
      <c r="D236" s="683" t="str">
        <f>'M.CANTID.GENERAL'!P1092</f>
        <v>M3</v>
      </c>
      <c r="E236" s="681">
        <f>'M.CANTID.GENERAL'!O1092</f>
        <v>342.94</v>
      </c>
      <c r="F236" s="682" t="e">
        <f>#REF!</f>
        <v>#REF!</v>
      </c>
      <c r="G236" s="645" t="e">
        <f t="shared" si="12"/>
        <v>#REF!</v>
      </c>
      <c r="I236" s="621"/>
    </row>
    <row r="237" spans="2:9" x14ac:dyDescent="0.2">
      <c r="B237" s="714" t="str">
        <f>'M.CANTID.GENERAL'!B1093</f>
        <v>1.4.5.6.</v>
      </c>
      <c r="C237" s="718" t="e">
        <f>'M.CANTID.GENERAL'!C1093</f>
        <v>#REF!</v>
      </c>
      <c r="D237" s="683" t="str">
        <f>'M.CANTID.GENERAL'!P1097</f>
        <v>M3</v>
      </c>
      <c r="E237" s="681">
        <f>'M.CANTID.GENERAL'!O1097</f>
        <v>1.32</v>
      </c>
      <c r="F237" s="682" t="e">
        <f>#REF!</f>
        <v>#REF!</v>
      </c>
      <c r="G237" s="645" t="e">
        <f t="shared" si="12"/>
        <v>#REF!</v>
      </c>
      <c r="I237" s="621"/>
    </row>
    <row r="238" spans="2:9" x14ac:dyDescent="0.2">
      <c r="B238" s="714" t="str">
        <f>'M.CANTID.GENERAL'!B1100</f>
        <v>1.4.5.7.</v>
      </c>
      <c r="C238" s="718" t="e">
        <f>'M.CANTID.GENERAL'!C1100</f>
        <v>#REF!</v>
      </c>
      <c r="D238" s="683" t="str">
        <f>'M.CANTID.GENERAL'!P1116</f>
        <v>M3</v>
      </c>
      <c r="E238" s="681">
        <f>'M.CANTID.GENERAL'!O1116</f>
        <v>58.88</v>
      </c>
      <c r="F238" s="682" t="e">
        <f>#REF!</f>
        <v>#REF!</v>
      </c>
      <c r="G238" s="645" t="e">
        <f t="shared" si="12"/>
        <v>#REF!</v>
      </c>
      <c r="I238" s="621"/>
    </row>
    <row r="239" spans="2:9" x14ac:dyDescent="0.2">
      <c r="B239" s="714" t="str">
        <f>'M.CANTID.GENERAL'!B1117</f>
        <v>1.4.5.8.</v>
      </c>
      <c r="C239" s="718" t="e">
        <f>'M.CANTID.GENERAL'!C1117</f>
        <v>#REF!</v>
      </c>
      <c r="D239" s="683" t="str">
        <f>'M.CANTID.GENERAL'!P1119</f>
        <v>KG</v>
      </c>
      <c r="E239" s="681">
        <f>'M.CANTID.GENERAL'!O1119</f>
        <v>7814.67</v>
      </c>
      <c r="F239" s="682" t="e">
        <f>#REF!</f>
        <v>#REF!</v>
      </c>
      <c r="G239" s="645" t="e">
        <f>ROUND((+E239*F239),0)</f>
        <v>#REF!</v>
      </c>
      <c r="I239" s="621"/>
    </row>
    <row r="240" spans="2:9" x14ac:dyDescent="0.2">
      <c r="B240" s="714" t="str">
        <f>'M.CANTID.GENERAL'!B1120</f>
        <v>1.4.5.9.</v>
      </c>
      <c r="C240" s="718" t="e">
        <f>'M.CANTID.GENERAL'!C1120</f>
        <v>#REF!</v>
      </c>
      <c r="D240" s="683" t="str">
        <f>'M.CANTID.GENERAL'!P1124</f>
        <v>ML</v>
      </c>
      <c r="E240" s="681">
        <f>'M.CANTID.GENERAL'!O1124</f>
        <v>29.6</v>
      </c>
      <c r="F240" s="682" t="e">
        <f>#REF!</f>
        <v>#REF!</v>
      </c>
      <c r="G240" s="645" t="e">
        <f t="shared" si="12"/>
        <v>#REF!</v>
      </c>
      <c r="I240" s="621"/>
    </row>
    <row r="241" spans="2:9" x14ac:dyDescent="0.2">
      <c r="B241" s="714" t="str">
        <f>'M.CANTID.GENERAL'!B1125</f>
        <v>1.4.5.10.</v>
      </c>
      <c r="C241" s="718" t="e">
        <f>'M.CANTID.GENERAL'!C1125</f>
        <v>#REF!</v>
      </c>
      <c r="D241" s="683" t="str">
        <f>'M.CANTID.GENERAL'!P1127</f>
        <v>ML</v>
      </c>
      <c r="E241" s="681">
        <f>'M.CANTID.GENERAL'!O1127</f>
        <v>12</v>
      </c>
      <c r="F241" s="682" t="e">
        <f>#REF!</f>
        <v>#REF!</v>
      </c>
      <c r="G241" s="645" t="e">
        <f>ROUND((+E241*F241),0)</f>
        <v>#REF!</v>
      </c>
      <c r="I241" s="621"/>
    </row>
    <row r="242" spans="2:9" x14ac:dyDescent="0.2">
      <c r="B242" s="714" t="str">
        <f>'M.CANTID.GENERAL'!B1128</f>
        <v>1.4.5.11.</v>
      </c>
      <c r="C242" s="718" t="e">
        <f>'M.CANTID.GENERAL'!C1128</f>
        <v>#REF!</v>
      </c>
      <c r="D242" s="683" t="str">
        <f>'M.CANTID.GENERAL'!P1130</f>
        <v>ML</v>
      </c>
      <c r="E242" s="681">
        <f>'M.CANTID.GENERAL'!O1130</f>
        <v>66</v>
      </c>
      <c r="F242" s="682" t="e">
        <f>#REF!</f>
        <v>#REF!</v>
      </c>
      <c r="G242" s="645" t="e">
        <f t="shared" si="12"/>
        <v>#REF!</v>
      </c>
      <c r="I242" s="621"/>
    </row>
    <row r="243" spans="2:9" x14ac:dyDescent="0.2">
      <c r="B243" s="714" t="str">
        <f>'M.CANTID.GENERAL'!B1131</f>
        <v>1.4.5.12.</v>
      </c>
      <c r="C243" s="718" t="e">
        <f>'M.CANTID.GENERAL'!C1131</f>
        <v>#REF!</v>
      </c>
      <c r="D243" s="683" t="str">
        <f>'M.CANTID.GENERAL'!P1133</f>
        <v>ML</v>
      </c>
      <c r="E243" s="681">
        <f>'M.CANTID.GENERAL'!O1133</f>
        <v>36</v>
      </c>
      <c r="F243" s="682" t="e">
        <f>#REF!</f>
        <v>#REF!</v>
      </c>
      <c r="G243" s="645" t="e">
        <f>ROUND((+E243*F243),0)</f>
        <v>#REF!</v>
      </c>
      <c r="I243" s="621"/>
    </row>
    <row r="244" spans="2:9" x14ac:dyDescent="0.2">
      <c r="B244" s="714" t="str">
        <f>'M.CANTID.GENERAL'!B1134</f>
        <v>1.4.5.13.</v>
      </c>
      <c r="C244" s="718" t="e">
        <f>'M.CANTID.GENERAL'!C1134</f>
        <v>#REF!</v>
      </c>
      <c r="D244" s="683" t="str">
        <f>'M.CANTID.GENERAL'!P1137</f>
        <v>UND</v>
      </c>
      <c r="E244" s="681">
        <f>'M.CANTID.GENERAL'!O1137</f>
        <v>2</v>
      </c>
      <c r="F244" s="682" t="e">
        <f>#REF!</f>
        <v>#REF!</v>
      </c>
      <c r="G244" s="645" t="e">
        <f>ROUND((+E244*F244),0)</f>
        <v>#REF!</v>
      </c>
      <c r="I244" s="621"/>
    </row>
    <row r="245" spans="2:9" x14ac:dyDescent="0.2">
      <c r="B245" s="714" t="str">
        <f>'M.CANTID.GENERAL'!B1138</f>
        <v>1.4.5.14.</v>
      </c>
      <c r="C245" s="718" t="e">
        <f>'M.CANTID.GENERAL'!C1138</f>
        <v>#REF!</v>
      </c>
      <c r="D245" s="683" t="str">
        <f>'M.CANTID.GENERAL'!P1141</f>
        <v>UND</v>
      </c>
      <c r="E245" s="681">
        <f>'M.CANTID.GENERAL'!O1141</f>
        <v>3</v>
      </c>
      <c r="F245" s="682" t="e">
        <f>#REF!</f>
        <v>#REF!</v>
      </c>
      <c r="G245" s="645" t="e">
        <f t="shared" si="12"/>
        <v>#REF!</v>
      </c>
      <c r="I245" s="621"/>
    </row>
    <row r="246" spans="2:9" x14ac:dyDescent="0.2">
      <c r="B246" s="714" t="str">
        <f>'M.CANTID.GENERAL'!B1142</f>
        <v>1.4.5.15.</v>
      </c>
      <c r="C246" s="718" t="e">
        <f>'M.CANTID.GENERAL'!C1142</f>
        <v>#REF!</v>
      </c>
      <c r="D246" s="683" t="str">
        <f>'M.CANTID.GENERAL'!P1144</f>
        <v>UND</v>
      </c>
      <c r="E246" s="681">
        <f>'M.CANTID.GENERAL'!O1144</f>
        <v>1</v>
      </c>
      <c r="F246" s="682" t="e">
        <f>#REF!</f>
        <v>#REF!</v>
      </c>
      <c r="G246" s="645" t="e">
        <f>ROUND((+E246*F246),0)</f>
        <v>#REF!</v>
      </c>
      <c r="I246" s="621"/>
    </row>
    <row r="247" spans="2:9" x14ac:dyDescent="0.2">
      <c r="B247" s="714" t="str">
        <f>'M.CANTID.GENERAL'!B1145</f>
        <v>1.4.5.16.</v>
      </c>
      <c r="C247" s="718" t="e">
        <f>'M.CANTID.GENERAL'!C1145</f>
        <v>#REF!</v>
      </c>
      <c r="D247" s="683" t="str">
        <f>'M.CANTID.GENERAL'!P1147</f>
        <v>UND</v>
      </c>
      <c r="E247" s="681">
        <f>'M.CANTID.GENERAL'!O1147</f>
        <v>1</v>
      </c>
      <c r="F247" s="682" t="e">
        <f>#REF!</f>
        <v>#REF!</v>
      </c>
      <c r="G247" s="645" t="e">
        <f>ROUND((+E247*F247),0)</f>
        <v>#REF!</v>
      </c>
      <c r="I247" s="621"/>
    </row>
    <row r="248" spans="2:9" x14ac:dyDescent="0.2">
      <c r="B248" s="714" t="str">
        <f>'M.CANTID.GENERAL'!B1148</f>
        <v>1.4.5.17.</v>
      </c>
      <c r="C248" s="718" t="e">
        <f>'M.CANTID.GENERAL'!C1148</f>
        <v>#REF!</v>
      </c>
      <c r="D248" s="683" t="str">
        <f>'M.CANTID.GENERAL'!P1150</f>
        <v>UND</v>
      </c>
      <c r="E248" s="681">
        <f>'M.CANTID.GENERAL'!O1150</f>
        <v>1</v>
      </c>
      <c r="F248" s="682" t="e">
        <f>#REF!</f>
        <v>#REF!</v>
      </c>
      <c r="G248" s="645" t="e">
        <f t="shared" si="12"/>
        <v>#REF!</v>
      </c>
      <c r="I248" s="621"/>
    </row>
    <row r="249" spans="2:9" x14ac:dyDescent="0.2">
      <c r="B249" s="640"/>
      <c r="C249" s="1600" t="str">
        <f>'M.CANTID.GENERAL'!C1152</f>
        <v>SUMINISTROS</v>
      </c>
      <c r="D249" s="1600"/>
      <c r="E249" s="1600"/>
      <c r="F249" s="1600"/>
      <c r="G249" s="1600"/>
      <c r="I249" s="621"/>
    </row>
    <row r="250" spans="2:9" x14ac:dyDescent="0.2">
      <c r="B250" s="714" t="str">
        <f>'M.CANTID.GENERAL'!B1153</f>
        <v>1.4.5.18.</v>
      </c>
      <c r="C250" s="718" t="e">
        <f>'M.CANTID.GENERAL'!C1153</f>
        <v>#REF!</v>
      </c>
      <c r="D250" s="683" t="str">
        <f>'M.CANTID.GENERAL'!P1155</f>
        <v>ML</v>
      </c>
      <c r="E250" s="681">
        <f>'M.CANTID.GENERAL'!O1155</f>
        <v>12</v>
      </c>
      <c r="F250" s="682" t="e">
        <f>#REF!</f>
        <v>#REF!</v>
      </c>
      <c r="G250" s="645" t="e">
        <f>ROUND((+E250*F250),0)</f>
        <v>#REF!</v>
      </c>
      <c r="I250" s="621"/>
    </row>
    <row r="251" spans="2:9" x14ac:dyDescent="0.2">
      <c r="B251" s="714" t="str">
        <f>'M.CANTID.GENERAL'!B1156</f>
        <v>1.4.5.19.</v>
      </c>
      <c r="C251" s="718" t="e">
        <f>'M.CANTID.GENERAL'!C1156</f>
        <v>#REF!</v>
      </c>
      <c r="D251" s="683" t="str">
        <f>'M.CANTID.GENERAL'!P1158</f>
        <v>ML</v>
      </c>
      <c r="E251" s="681">
        <f>'M.CANTID.GENERAL'!O1158</f>
        <v>66</v>
      </c>
      <c r="F251" s="682" t="e">
        <f>#REF!</f>
        <v>#REF!</v>
      </c>
      <c r="G251" s="645" t="e">
        <f>ROUND((+E251*F251),0)</f>
        <v>#REF!</v>
      </c>
      <c r="I251" s="621"/>
    </row>
    <row r="252" spans="2:9" ht="15" thickBot="1" x14ac:dyDescent="0.25">
      <c r="B252" s="714" t="str">
        <f>'M.CANTID.GENERAL'!B1161</f>
        <v>1.4.5.20.</v>
      </c>
      <c r="C252" s="718" t="e">
        <f>'M.CANTID.GENERAL'!C1161</f>
        <v>#REF!</v>
      </c>
      <c r="D252" s="683" t="str">
        <f>'M.CANTID.GENERAL'!P1163</f>
        <v>ML</v>
      </c>
      <c r="E252" s="681">
        <f>'M.CANTID.GENERAL'!O1163</f>
        <v>36</v>
      </c>
      <c r="F252" s="682" t="e">
        <f>#REF!</f>
        <v>#REF!</v>
      </c>
      <c r="G252" s="645" t="e">
        <f>ROUND((+E252*F252),0)</f>
        <v>#REF!</v>
      </c>
      <c r="I252" s="621"/>
    </row>
    <row r="253" spans="2:9" ht="15" thickBot="1" x14ac:dyDescent="0.25">
      <c r="B253" s="1597" t="s">
        <v>1115</v>
      </c>
      <c r="C253" s="1597"/>
      <c r="D253" s="1597"/>
      <c r="E253" s="1597"/>
      <c r="F253" s="1597"/>
      <c r="G253" s="728" t="e">
        <f>SUM(G232:G248)</f>
        <v>#REF!</v>
      </c>
      <c r="I253" s="621"/>
    </row>
    <row r="254" spans="2:9" ht="15" thickBot="1" x14ac:dyDescent="0.25">
      <c r="B254" s="1597" t="s">
        <v>1116</v>
      </c>
      <c r="C254" s="1597"/>
      <c r="D254" s="1597"/>
      <c r="E254" s="1597"/>
      <c r="F254" s="1597"/>
      <c r="G254" s="728" t="e">
        <f>SUM(G250:G252)</f>
        <v>#REF!</v>
      </c>
      <c r="I254" s="789" t="e">
        <f>G253+G254</f>
        <v>#REF!</v>
      </c>
    </row>
    <row r="255" spans="2:9" ht="17.25" customHeight="1" thickBot="1" x14ac:dyDescent="0.25">
      <c r="B255" s="694" t="str">
        <f>'M.CANTID.GENERAL'!B1166</f>
        <v>1.4.6.</v>
      </c>
      <c r="C255" s="1606" t="str">
        <f>'M.CANTID.GENERAL'!C1166</f>
        <v>LECHOS DE SECADO</v>
      </c>
      <c r="D255" s="1607"/>
      <c r="E255" s="1607"/>
      <c r="F255" s="1607"/>
      <c r="G255" s="1608"/>
      <c r="I255" s="621"/>
    </row>
    <row r="256" spans="2:9" ht="17.25" customHeight="1" thickBot="1" x14ac:dyDescent="0.25">
      <c r="B256" s="640"/>
      <c r="C256" s="1604" t="str">
        <f>'M.CANTID.GENERAL'!C1167</f>
        <v>OBRA CIVIL</v>
      </c>
      <c r="D256" s="1604"/>
      <c r="E256" s="1604"/>
      <c r="F256" s="1604"/>
      <c r="G256" s="1604"/>
      <c r="I256" s="621"/>
    </row>
    <row r="257" spans="2:9" ht="42.75" customHeight="1" x14ac:dyDescent="0.2">
      <c r="B257" s="719" t="str">
        <f>'M.CANTID.GENERAL'!B1169</f>
        <v>1.4.6.1.</v>
      </c>
      <c r="C257" s="741" t="e">
        <f>'M.CANTID.GENERAL'!C1169</f>
        <v>#REF!</v>
      </c>
      <c r="D257" s="830" t="str">
        <f>'M.CANTID.GENERAL'!P1172</f>
        <v>M2</v>
      </c>
      <c r="E257" s="743">
        <f>'M.CANTID.GENERAL'!O1172</f>
        <v>49.98</v>
      </c>
      <c r="F257" s="744" t="e">
        <f>#REF!</f>
        <v>#REF!</v>
      </c>
      <c r="G257" s="745" t="e">
        <f t="shared" ref="G257:G271" si="13">ROUND((+E257*F257),0)</f>
        <v>#REF!</v>
      </c>
      <c r="I257" s="621"/>
    </row>
    <row r="258" spans="2:9" ht="21.75" customHeight="1" x14ac:dyDescent="0.2">
      <c r="B258" s="714" t="str">
        <f>'M.CANTID.GENERAL'!B1173</f>
        <v>1.4.6.2.</v>
      </c>
      <c r="C258" s="718" t="e">
        <f>'M.CANTID.GENERAL'!C1173</f>
        <v>#REF!</v>
      </c>
      <c r="D258" s="683" t="str">
        <f>'M.CANTID.GENERAL'!P1178</f>
        <v>M3</v>
      </c>
      <c r="E258" s="681">
        <f>'M.CANTID.GENERAL'!O1178</f>
        <v>104.24</v>
      </c>
      <c r="F258" s="682" t="e">
        <f>#REF!</f>
        <v>#REF!</v>
      </c>
      <c r="G258" s="645" t="e">
        <f t="shared" si="13"/>
        <v>#REF!</v>
      </c>
      <c r="I258" s="621"/>
    </row>
    <row r="259" spans="2:9" ht="57.75" customHeight="1" x14ac:dyDescent="0.2">
      <c r="B259" s="714" t="str">
        <f>'M.CANTID.GENERAL'!B1179</f>
        <v>1.4.6.3.</v>
      </c>
      <c r="C259" s="718" t="e">
        <f>'M.CANTID.GENERAL'!C1179</f>
        <v>#REF!</v>
      </c>
      <c r="D259" s="683" t="str">
        <f>'M.CANTID.GENERAL'!P1182</f>
        <v>M3</v>
      </c>
      <c r="E259" s="681">
        <f>'M.CANTID.GENERAL'!O1182</f>
        <v>17.149999999999999</v>
      </c>
      <c r="F259" s="644" t="e">
        <f>#REF!</f>
        <v>#REF!</v>
      </c>
      <c r="G259" s="645" t="e">
        <f>ROUND((+E259*F259),0)</f>
        <v>#REF!</v>
      </c>
      <c r="I259" s="621"/>
    </row>
    <row r="260" spans="2:9" ht="68.25" customHeight="1" x14ac:dyDescent="0.2">
      <c r="B260" s="714" t="str">
        <f>'M.CANTID.GENERAL'!B1183</f>
        <v>1.4.6.4.</v>
      </c>
      <c r="C260" s="832" t="e">
        <f>'M.CANTID.GENERAL'!C1183</f>
        <v>#REF!</v>
      </c>
      <c r="D260" s="646" t="str">
        <f>'M.CANTID.GENERAL'!P1188</f>
        <v>M3-Km</v>
      </c>
      <c r="E260" s="648">
        <f>'M.CANTID.GENERAL'!O1188</f>
        <v>521.19000000000005</v>
      </c>
      <c r="F260" s="644" t="e">
        <f>#REF!</f>
        <v>#REF!</v>
      </c>
      <c r="G260" s="645" t="e">
        <f t="shared" si="13"/>
        <v>#REF!</v>
      </c>
      <c r="I260" s="621"/>
    </row>
    <row r="261" spans="2:9" ht="45.75" customHeight="1" x14ac:dyDescent="0.2">
      <c r="B261" s="714" t="str">
        <f>'M.CANTID.GENERAL'!B1189</f>
        <v>1.4.6.5.</v>
      </c>
      <c r="C261" s="718" t="e">
        <f>'M.CANTID.GENERAL'!C1189</f>
        <v>#REF!</v>
      </c>
      <c r="D261" s="683" t="str">
        <f>'M.CANTID.GENERAL'!P1194</f>
        <v>M3</v>
      </c>
      <c r="E261" s="681">
        <f>'M.CANTID.GENERAL'!O1194</f>
        <v>59.3</v>
      </c>
      <c r="F261" s="682" t="e">
        <f>#REF!</f>
        <v>#REF!</v>
      </c>
      <c r="G261" s="645" t="e">
        <f t="shared" si="13"/>
        <v>#REF!</v>
      </c>
      <c r="I261" s="621"/>
    </row>
    <row r="262" spans="2:9" ht="46.5" customHeight="1" x14ac:dyDescent="0.2">
      <c r="B262" s="714" t="str">
        <f>'M.CANTID.GENERAL'!B1195</f>
        <v>1.4.6.6.</v>
      </c>
      <c r="C262" s="718" t="e">
        <f>'M.CANTID.GENERAL'!C1195</f>
        <v>#REF!</v>
      </c>
      <c r="D262" s="683" t="str">
        <f>'M.CANTID.GENERAL'!P1198</f>
        <v>M3</v>
      </c>
      <c r="E262" s="681">
        <f>'M.CANTID.GENERAL'!O1198</f>
        <v>2.5</v>
      </c>
      <c r="F262" s="682" t="e">
        <f>#REF!</f>
        <v>#REF!</v>
      </c>
      <c r="G262" s="645" t="e">
        <f t="shared" si="13"/>
        <v>#REF!</v>
      </c>
      <c r="I262" s="621"/>
    </row>
    <row r="263" spans="2:9" ht="46.5" customHeight="1" x14ac:dyDescent="0.2">
      <c r="B263" s="714" t="str">
        <f>'M.CANTID.GENERAL'!B1199</f>
        <v>1.4.6.7.</v>
      </c>
      <c r="C263" s="718" t="e">
        <f>'M.CANTID.GENERAL'!C1199</f>
        <v>#REF!</v>
      </c>
      <c r="D263" s="683" t="str">
        <f>'M.CANTID.GENERAL'!P1210</f>
        <v>M3</v>
      </c>
      <c r="E263" s="681">
        <f>'M.CANTID.GENERAL'!O1210</f>
        <v>30.85</v>
      </c>
      <c r="F263" s="682" t="e">
        <f>#REF!</f>
        <v>#REF!</v>
      </c>
      <c r="G263" s="645" t="e">
        <f t="shared" si="13"/>
        <v>#REF!</v>
      </c>
      <c r="I263" s="621"/>
    </row>
    <row r="264" spans="2:9" ht="84" customHeight="1" x14ac:dyDescent="0.2">
      <c r="B264" s="714" t="str">
        <f>'M.CANTID.GENERAL'!B1211</f>
        <v>1.4.6.8.</v>
      </c>
      <c r="C264" s="718" t="e">
        <f>'M.CANTID.GENERAL'!C1211</f>
        <v>#REF!</v>
      </c>
      <c r="D264" s="683" t="str">
        <f>'M.CANTID.GENERAL'!P1213</f>
        <v>KG</v>
      </c>
      <c r="E264" s="681">
        <f>'M.CANTID.GENERAL'!O1213</f>
        <v>3743.78</v>
      </c>
      <c r="F264" s="682" t="e">
        <f>#REF!</f>
        <v>#REF!</v>
      </c>
      <c r="G264" s="645" t="e">
        <f t="shared" si="13"/>
        <v>#REF!</v>
      </c>
      <c r="I264" s="621"/>
    </row>
    <row r="265" spans="2:9" ht="36.75" customHeight="1" x14ac:dyDescent="0.2">
      <c r="B265" s="714" t="str">
        <f>'M.CANTID.GENERAL'!B1214</f>
        <v>1.4.6.9.</v>
      </c>
      <c r="C265" s="718" t="e">
        <f>'M.CANTID.GENERAL'!C1214</f>
        <v>#REF!</v>
      </c>
      <c r="D265" s="683" t="str">
        <f>'M.CANTID.GENERAL'!P1217</f>
        <v>ML</v>
      </c>
      <c r="E265" s="681">
        <f>'M.CANTID.GENERAL'!O1217</f>
        <v>48.7</v>
      </c>
      <c r="F265" s="682" t="e">
        <f>#REF!</f>
        <v>#REF!</v>
      </c>
      <c r="G265" s="645" t="e">
        <f t="shared" si="13"/>
        <v>#REF!</v>
      </c>
      <c r="I265" s="621"/>
    </row>
    <row r="266" spans="2:9" ht="28.5" customHeight="1" x14ac:dyDescent="0.2">
      <c r="B266" s="714" t="str">
        <f>'M.CANTID.GENERAL'!B1218</f>
        <v>1.4.6.10.</v>
      </c>
      <c r="C266" s="718" t="e">
        <f>'M.CANTID.GENERAL'!C1218</f>
        <v>#REF!</v>
      </c>
      <c r="D266" s="683" t="str">
        <f>'M.CANTID.GENERAL'!P1220</f>
        <v>ML</v>
      </c>
      <c r="E266" s="681">
        <f>'M.CANTID.GENERAL'!O1220</f>
        <v>30</v>
      </c>
      <c r="F266" s="682" t="e">
        <f>#REF!</f>
        <v>#REF!</v>
      </c>
      <c r="G266" s="645" t="e">
        <f t="shared" si="13"/>
        <v>#REF!</v>
      </c>
      <c r="I266" s="621"/>
    </row>
    <row r="267" spans="2:9" ht="29.25" customHeight="1" x14ac:dyDescent="0.2">
      <c r="B267" s="714" t="str">
        <f>'M.CANTID.GENERAL'!B1223</f>
        <v>1.4.6.11.</v>
      </c>
      <c r="C267" s="718" t="e">
        <f>'M.CANTID.GENERAL'!C1223</f>
        <v>#REF!</v>
      </c>
      <c r="D267" s="683" t="str">
        <f>'M.CANTID.GENERAL'!P1225</f>
        <v>ML</v>
      </c>
      <c r="E267" s="681">
        <f>'M.CANTID.GENERAL'!O1225</f>
        <v>18</v>
      </c>
      <c r="F267" s="682" t="e">
        <f>#REF!</f>
        <v>#REF!</v>
      </c>
      <c r="G267" s="645" t="e">
        <f t="shared" si="13"/>
        <v>#REF!</v>
      </c>
      <c r="I267" s="621"/>
    </row>
    <row r="268" spans="2:9" ht="40.5" customHeight="1" x14ac:dyDescent="0.2">
      <c r="B268" s="714" t="str">
        <f>'M.CANTID.GENERAL'!B1226</f>
        <v>1.4.6.12.</v>
      </c>
      <c r="C268" s="718" t="e">
        <f>'M.CANTID.GENERAL'!C1226</f>
        <v>#REF!</v>
      </c>
      <c r="D268" s="683" t="str">
        <f>'M.CANTID.GENERAL'!P1228</f>
        <v>UND</v>
      </c>
      <c r="E268" s="681">
        <f>'M.CANTID.GENERAL'!O1228</f>
        <v>4</v>
      </c>
      <c r="F268" s="682" t="e">
        <f>#REF!</f>
        <v>#REF!</v>
      </c>
      <c r="G268" s="645" t="e">
        <f t="shared" si="13"/>
        <v>#REF!</v>
      </c>
      <c r="I268" s="621"/>
    </row>
    <row r="269" spans="2:9" ht="33" customHeight="1" x14ac:dyDescent="0.2">
      <c r="B269" s="714" t="str">
        <f>'M.CANTID.GENERAL'!B1229</f>
        <v>1.4.6.13.</v>
      </c>
      <c r="C269" s="718" t="e">
        <f>'M.CANTID.GENERAL'!C1229</f>
        <v>#REF!</v>
      </c>
      <c r="D269" s="683" t="str">
        <f>'M.CANTID.GENERAL'!P1234</f>
        <v>KG</v>
      </c>
      <c r="E269" s="681">
        <f>'M.CANTID.GENERAL'!O1234</f>
        <v>1648.64</v>
      </c>
      <c r="F269" s="682" t="e">
        <f>#REF!</f>
        <v>#REF!</v>
      </c>
      <c r="G269" s="645" t="e">
        <f t="shared" si="13"/>
        <v>#REF!</v>
      </c>
      <c r="I269" s="621"/>
    </row>
    <row r="270" spans="2:9" ht="32.25" customHeight="1" x14ac:dyDescent="0.2">
      <c r="B270" s="714" t="str">
        <f>'M.CANTID.GENERAL'!B1235</f>
        <v>1.4.6.14.</v>
      </c>
      <c r="C270" s="718" t="e">
        <f>'M.CANTID.GENERAL'!C1235</f>
        <v>#REF!</v>
      </c>
      <c r="D270" s="683" t="str">
        <f>'M.CANTID.GENERAL'!P1237</f>
        <v>M2</v>
      </c>
      <c r="E270" s="681">
        <f>'M.CANTID.GENERAL'!O1237</f>
        <v>85.8</v>
      </c>
      <c r="F270" s="682" t="e">
        <f>#REF!</f>
        <v>#REF!</v>
      </c>
      <c r="G270" s="645" t="e">
        <f t="shared" si="13"/>
        <v>#REF!</v>
      </c>
      <c r="I270" s="621"/>
    </row>
    <row r="271" spans="2:9" ht="69" customHeight="1" x14ac:dyDescent="0.2">
      <c r="B271" s="714" t="str">
        <f>'M.CANTID.GENERAL'!B1238</f>
        <v>1.4.6.15.</v>
      </c>
      <c r="C271" s="718" t="e">
        <f>'M.CANTID.GENERAL'!C1238</f>
        <v>#REF!</v>
      </c>
      <c r="D271" s="683" t="str">
        <f>'M.CANTID.GENERAL'!P1240</f>
        <v>UND</v>
      </c>
      <c r="E271" s="681">
        <f>'M.CANTID.GENERAL'!O1240</f>
        <v>10</v>
      </c>
      <c r="F271" s="682" t="e">
        <f>#REF!</f>
        <v>#REF!</v>
      </c>
      <c r="G271" s="645" t="e">
        <f t="shared" si="13"/>
        <v>#REF!</v>
      </c>
      <c r="I271" s="621"/>
    </row>
    <row r="272" spans="2:9" x14ac:dyDescent="0.2">
      <c r="B272" s="640"/>
      <c r="C272" s="1600" t="str">
        <f>'M.CANTID.GENERAL'!C1242</f>
        <v>SUMINISTROS</v>
      </c>
      <c r="D272" s="1600"/>
      <c r="E272" s="1600"/>
      <c r="F272" s="1600"/>
      <c r="G272" s="1600"/>
      <c r="I272" s="621"/>
    </row>
    <row r="273" spans="2:9" ht="27" customHeight="1" x14ac:dyDescent="0.2">
      <c r="B273" s="714" t="str">
        <f>'M.CANTID.GENERAL'!B1243</f>
        <v>1.4.6.16.</v>
      </c>
      <c r="C273" s="718" t="e">
        <f>'M.CANTID.GENERAL'!C1243</f>
        <v>#REF!</v>
      </c>
      <c r="D273" s="683" t="str">
        <f>'M.CANTID.GENERAL'!P1245</f>
        <v>ML</v>
      </c>
      <c r="E273" s="681">
        <f>'M.CANTID.GENERAL'!O1245</f>
        <v>30</v>
      </c>
      <c r="F273" s="682" t="e">
        <f>#REF!</f>
        <v>#REF!</v>
      </c>
      <c r="G273" s="645" t="e">
        <f>ROUND((+E273*F273),0)</f>
        <v>#REF!</v>
      </c>
      <c r="I273" s="621"/>
    </row>
    <row r="274" spans="2:9" ht="30.75" customHeight="1" thickBot="1" x14ac:dyDescent="0.25">
      <c r="B274" s="714" t="str">
        <f>'M.CANTID.GENERAL'!B1247</f>
        <v>1.4.6.17.</v>
      </c>
      <c r="C274" s="718" t="e">
        <f>'M.CANTID.GENERAL'!C1247</f>
        <v>#REF!</v>
      </c>
      <c r="D274" s="683" t="str">
        <f>'M.CANTID.GENERAL'!P1249</f>
        <v>ML</v>
      </c>
      <c r="E274" s="681">
        <f>'M.CANTID.GENERAL'!O1249</f>
        <v>18</v>
      </c>
      <c r="F274" s="682" t="e">
        <f>#REF!</f>
        <v>#REF!</v>
      </c>
      <c r="G274" s="645" t="e">
        <f>ROUND((+E274*F274),0)</f>
        <v>#REF!</v>
      </c>
      <c r="I274" s="621"/>
    </row>
    <row r="275" spans="2:9" ht="15" thickBot="1" x14ac:dyDescent="0.25">
      <c r="B275" s="1597" t="s">
        <v>1118</v>
      </c>
      <c r="C275" s="1597"/>
      <c r="D275" s="1597"/>
      <c r="E275" s="1597"/>
      <c r="F275" s="1597"/>
      <c r="G275" s="728" t="e">
        <f>SUM(G257:G271)</f>
        <v>#REF!</v>
      </c>
      <c r="I275" s="621"/>
    </row>
    <row r="276" spans="2:9" ht="15" thickBot="1" x14ac:dyDescent="0.25">
      <c r="B276" s="1597" t="s">
        <v>1119</v>
      </c>
      <c r="C276" s="1597"/>
      <c r="D276" s="1597"/>
      <c r="E276" s="1597"/>
      <c r="F276" s="1597"/>
      <c r="G276" s="728" t="e">
        <f>SUM(G273:G274)</f>
        <v>#REF!</v>
      </c>
      <c r="I276" s="789" t="e">
        <f>G275+G276</f>
        <v>#REF!</v>
      </c>
    </row>
    <row r="277" spans="2:9" ht="15" thickBot="1" x14ac:dyDescent="0.25">
      <c r="B277" s="679" t="str">
        <f>'M.CANTID.GENERAL'!B1258</f>
        <v>1.4.7.</v>
      </c>
      <c r="C277" s="1606" t="str">
        <f>'M.CANTID.GENERAL'!C1258</f>
        <v>EQUIPOS Y ELEMENTOS ESPECIALES</v>
      </c>
      <c r="D277" s="1607"/>
      <c r="E277" s="1607"/>
      <c r="F277" s="1607"/>
      <c r="G277" s="1608"/>
      <c r="I277" s="621"/>
    </row>
    <row r="278" spans="2:9" ht="17.25" customHeight="1" thickBot="1" x14ac:dyDescent="0.25">
      <c r="B278" s="640"/>
      <c r="C278" s="1604" t="str">
        <f>'M.CANTID.GENERAL'!C1259</f>
        <v>OBRA CIVIL</v>
      </c>
      <c r="D278" s="1604"/>
      <c r="E278" s="1604"/>
      <c r="F278" s="1604"/>
      <c r="G278" s="1604"/>
      <c r="I278" s="621"/>
    </row>
    <row r="279" spans="2:9" ht="39.75" customHeight="1" x14ac:dyDescent="0.2">
      <c r="B279" s="712" t="str">
        <f>'M.CANTID.GENERAL'!B1261</f>
        <v>1.4.7.1.</v>
      </c>
      <c r="C279" s="718" t="e">
        <f>'M.CANTID.GENERAL'!C1261</f>
        <v>#REF!</v>
      </c>
      <c r="D279" s="680" t="str">
        <f>'M.CANTID.GENERAL'!P1264</f>
        <v>UND</v>
      </c>
      <c r="E279" s="684">
        <f>'M.CANTID.GENERAL'!O1264</f>
        <v>2</v>
      </c>
      <c r="F279" s="685" t="e">
        <f>#REF!</f>
        <v>#REF!</v>
      </c>
      <c r="G279" s="645" t="e">
        <f t="shared" ref="G279:G282" si="14">ROUND((+E279*F279),0)</f>
        <v>#REF!</v>
      </c>
      <c r="I279" s="621"/>
    </row>
    <row r="280" spans="2:9" ht="109.5" customHeight="1" x14ac:dyDescent="0.2">
      <c r="B280" s="712" t="str">
        <f>'M.CANTID.GENERAL'!B1266</f>
        <v>1.4.7.2.</v>
      </c>
      <c r="C280" s="954" t="e">
        <f>'M.CANTID.GENERAL'!C1266</f>
        <v>#REF!</v>
      </c>
      <c r="D280" s="680" t="str">
        <f>'M.CANTID.GENERAL'!P1268</f>
        <v>ML</v>
      </c>
      <c r="E280" s="684">
        <f>'M.CANTID.GENERAL'!O1268</f>
        <v>203.35</v>
      </c>
      <c r="F280" s="685" t="e">
        <f>#REF!</f>
        <v>#REF!</v>
      </c>
      <c r="G280" s="645" t="e">
        <f t="shared" si="14"/>
        <v>#REF!</v>
      </c>
      <c r="I280" s="621"/>
    </row>
    <row r="281" spans="2:9" ht="46.5" customHeight="1" x14ac:dyDescent="0.2">
      <c r="B281" s="712" t="str">
        <f>'M.CANTID.GENERAL'!B1269</f>
        <v>1.4.7.3.</v>
      </c>
      <c r="C281" s="718" t="e">
        <f>'M.CANTID.GENERAL'!C1269</f>
        <v>#REF!</v>
      </c>
      <c r="D281" s="680" t="str">
        <f>'M.CANTID.GENERAL'!P1271</f>
        <v>ML</v>
      </c>
      <c r="E281" s="684">
        <f>'M.CANTID.GENERAL'!O1271</f>
        <v>6</v>
      </c>
      <c r="F281" s="705" t="e">
        <f>#REF!</f>
        <v>#REF!</v>
      </c>
      <c r="G281" s="645" t="e">
        <f>ROUND((+E281*F281),0)</f>
        <v>#REF!</v>
      </c>
      <c r="I281" s="621"/>
    </row>
    <row r="282" spans="2:9" ht="43.5" customHeight="1" x14ac:dyDescent="0.2">
      <c r="B282" s="712" t="str">
        <f>'M.CANTID.GENERAL'!B1272</f>
        <v>1.4.7.4.</v>
      </c>
      <c r="C282" s="718" t="e">
        <f>'M.CANTID.GENERAL'!C1272</f>
        <v>#REF!</v>
      </c>
      <c r="D282" s="680" t="str">
        <f>'M.CANTID.GENERAL'!P1274</f>
        <v>UND</v>
      </c>
      <c r="E282" s="684">
        <f>'M.CANTID.GENERAL'!O1274</f>
        <v>3</v>
      </c>
      <c r="F282" s="685" t="e">
        <f>#REF!</f>
        <v>#REF!</v>
      </c>
      <c r="G282" s="645" t="e">
        <f t="shared" si="14"/>
        <v>#REF!</v>
      </c>
      <c r="I282" s="621"/>
    </row>
    <row r="283" spans="2:9" ht="43.5" customHeight="1" x14ac:dyDescent="0.2">
      <c r="B283" s="712" t="str">
        <f>'M.CANTID.GENERAL'!B1275</f>
        <v>1.4.7.5.</v>
      </c>
      <c r="C283" s="718" t="e">
        <f>'M.CANTID.GENERAL'!C1275</f>
        <v>#REF!</v>
      </c>
      <c r="D283" s="680" t="str">
        <f>'M.CANTID.GENERAL'!P1278</f>
        <v>M2</v>
      </c>
      <c r="E283" s="684">
        <f>'M.CANTID.GENERAL'!O1278</f>
        <v>14.22</v>
      </c>
      <c r="F283" s="685" t="e">
        <f>#REF!</f>
        <v>#REF!</v>
      </c>
      <c r="G283" s="645" t="e">
        <f>ROUND((+E283*F283),0)</f>
        <v>#REF!</v>
      </c>
      <c r="I283" s="621"/>
    </row>
    <row r="284" spans="2:9" ht="68.25" customHeight="1" thickBot="1" x14ac:dyDescent="0.25">
      <c r="B284" s="712" t="str">
        <f>'M.CANTID.GENERAL'!B1279</f>
        <v>1.4.7.6.</v>
      </c>
      <c r="C284" s="954" t="e">
        <f>'M.CANTID.GENERAL'!C1279</f>
        <v>#REF!</v>
      </c>
      <c r="D284" s="680" t="str">
        <f>'M.CANTID.GENERAL'!P1281</f>
        <v>UND</v>
      </c>
      <c r="E284" s="684">
        <f>'M.CANTID.GENERAL'!O1281</f>
        <v>1</v>
      </c>
      <c r="F284" s="685" t="e">
        <f>#REF!</f>
        <v>#REF!</v>
      </c>
      <c r="G284" s="645" t="e">
        <f>ROUND((+E284*F284),0)</f>
        <v>#REF!</v>
      </c>
      <c r="I284" s="621"/>
    </row>
    <row r="285" spans="2:9" ht="15" thickBot="1" x14ac:dyDescent="0.25">
      <c r="B285" s="1597" t="s">
        <v>1120</v>
      </c>
      <c r="C285" s="1597"/>
      <c r="D285" s="1597"/>
      <c r="E285" s="1597"/>
      <c r="F285" s="1597"/>
      <c r="G285" s="728" t="e">
        <f>SUM(G279:G284)</f>
        <v>#REF!</v>
      </c>
      <c r="I285" s="621"/>
    </row>
    <row r="286" spans="2:9" ht="15" thickBot="1" x14ac:dyDescent="0.25">
      <c r="B286" s="1597" t="s">
        <v>1121</v>
      </c>
      <c r="C286" s="1597"/>
      <c r="D286" s="1597"/>
      <c r="E286" s="1597"/>
      <c r="F286" s="1597"/>
      <c r="G286" s="728">
        <v>0</v>
      </c>
      <c r="I286" s="789" t="e">
        <f>G285+G286</f>
        <v>#REF!</v>
      </c>
    </row>
    <row r="287" spans="2:9" ht="15" thickBot="1" x14ac:dyDescent="0.25">
      <c r="B287" s="1598" t="s">
        <v>1165</v>
      </c>
      <c r="C287" s="1598"/>
      <c r="D287" s="1598"/>
      <c r="E287" s="1598"/>
      <c r="F287" s="1598"/>
      <c r="G287" s="754" t="e">
        <f>G151+G175+G210+G228+G253+G275+G285</f>
        <v>#REF!</v>
      </c>
      <c r="I287" s="621"/>
    </row>
    <row r="288" spans="2:9" ht="15" thickBot="1" x14ac:dyDescent="0.25">
      <c r="B288" s="1598" t="s">
        <v>1166</v>
      </c>
      <c r="C288" s="1598"/>
      <c r="D288" s="1598"/>
      <c r="E288" s="1598"/>
      <c r="F288" s="1598"/>
      <c r="G288" s="729" t="e">
        <f>G152+G176+G211+G229+G254+G276+G286</f>
        <v>#REF!</v>
      </c>
    </row>
    <row r="289" spans="2:9" ht="15" thickBot="1" x14ac:dyDescent="0.25">
      <c r="B289" s="1598" t="s">
        <v>1687</v>
      </c>
      <c r="C289" s="1598"/>
      <c r="D289" s="1598"/>
      <c r="E289" s="1598"/>
      <c r="F289" s="1598"/>
      <c r="G289" s="729" t="e">
        <f>SUM(G287:G288)</f>
        <v>#REF!</v>
      </c>
      <c r="I289" s="789" t="e">
        <f>G287+G288</f>
        <v>#REF!</v>
      </c>
    </row>
    <row r="290" spans="2:9" ht="18.75" customHeight="1" thickBot="1" x14ac:dyDescent="0.25">
      <c r="B290" s="1601" t="str">
        <f>'M.CANTID.GENERAL'!A1284</f>
        <v>1.5. TANQUE DE ALMACENAMIENTO</v>
      </c>
      <c r="C290" s="1602"/>
      <c r="D290" s="1602"/>
      <c r="E290" s="1602"/>
      <c r="F290" s="1602"/>
      <c r="G290" s="1603"/>
      <c r="I290" s="621"/>
    </row>
    <row r="291" spans="2:9" ht="17.25" customHeight="1" thickBot="1" x14ac:dyDescent="0.25">
      <c r="B291" s="908"/>
      <c r="C291" s="1604" t="str">
        <f>'M.CANTID.GENERAL'!C1286</f>
        <v>OBRA CIVIL</v>
      </c>
      <c r="D291" s="1604"/>
      <c r="E291" s="1604"/>
      <c r="F291" s="1604"/>
      <c r="G291" s="1605"/>
      <c r="I291" s="621"/>
    </row>
    <row r="292" spans="2:9" ht="42" customHeight="1" x14ac:dyDescent="0.2">
      <c r="B292" s="740" t="str">
        <f>'M.CANTID.GENERAL'!B1287</f>
        <v>1.5.1.</v>
      </c>
      <c r="C292" s="741" t="e">
        <f>'M.CANTID.GENERAL'!C1287</f>
        <v>#REF!</v>
      </c>
      <c r="D292" s="742" t="str">
        <f>'M.CANTID.GENERAL'!P1292</f>
        <v>M2</v>
      </c>
      <c r="E292" s="743">
        <f>'M.CANTID.GENERAL'!O1292</f>
        <v>285.08</v>
      </c>
      <c r="F292" s="744" t="e">
        <f>#REF!</f>
        <v>#REF!</v>
      </c>
      <c r="G292" s="745" t="e">
        <f t="shared" ref="G292:G301" si="15">ROUND((+E292*F292),0)</f>
        <v>#REF!</v>
      </c>
      <c r="I292" s="621"/>
    </row>
    <row r="293" spans="2:9" x14ac:dyDescent="0.2">
      <c r="B293" s="714" t="str">
        <f>'M.CANTID.GENERAL'!B1297</f>
        <v>1.5.2.</v>
      </c>
      <c r="C293" s="718" t="e">
        <f>'M.CANTID.GENERAL'!C1297</f>
        <v>#REF!</v>
      </c>
      <c r="D293" s="680" t="str">
        <f>'M.CANTID.GENERAL'!P1302</f>
        <v>M3</v>
      </c>
      <c r="E293" s="681">
        <f>'M.CANTID.GENERAL'!O1302</f>
        <v>1519.31</v>
      </c>
      <c r="F293" s="682" t="e">
        <f>#REF!</f>
        <v>#REF!</v>
      </c>
      <c r="G293" s="645" t="e">
        <f t="shared" si="15"/>
        <v>#REF!</v>
      </c>
      <c r="I293" s="621"/>
    </row>
    <row r="294" spans="2:9" ht="48" customHeight="1" x14ac:dyDescent="0.2">
      <c r="B294" s="740" t="str">
        <f>'M.CANTID.GENERAL'!B1303</f>
        <v>1.5.3.</v>
      </c>
      <c r="C294" s="955" t="e">
        <f>'M.CANTID.GENERAL'!C1303</f>
        <v>#REF!</v>
      </c>
      <c r="D294" s="646" t="str">
        <f>'M.CANTID.GENERAL'!P1308</f>
        <v>M3-Km</v>
      </c>
      <c r="E294" s="648">
        <f>'M.CANTID.GENERAL'!O1308</f>
        <v>7596.53</v>
      </c>
      <c r="F294" s="644" t="e">
        <f>#REF!</f>
        <v>#REF!</v>
      </c>
      <c r="G294" s="645" t="e">
        <f t="shared" si="15"/>
        <v>#REF!</v>
      </c>
      <c r="I294" s="621"/>
    </row>
    <row r="295" spans="2:9" x14ac:dyDescent="0.2">
      <c r="B295" s="714" t="str">
        <f>'M.CANTID.GENERAL'!B1309</f>
        <v>1.5.4.</v>
      </c>
      <c r="C295" s="718" t="e">
        <f>'M.CANTID.GENERAL'!C1309</f>
        <v>#REF!</v>
      </c>
      <c r="D295" s="680" t="str">
        <f>'M.CANTID.GENERAL'!P1314</f>
        <v>M3</v>
      </c>
      <c r="E295" s="681">
        <f>'M.CANTID.GENERAL'!O1314</f>
        <v>393.66</v>
      </c>
      <c r="F295" s="682" t="e">
        <f>#REF!</f>
        <v>#REF!</v>
      </c>
      <c r="G295" s="645" t="e">
        <f t="shared" si="15"/>
        <v>#REF!</v>
      </c>
      <c r="I295" s="621"/>
    </row>
    <row r="296" spans="2:9" x14ac:dyDescent="0.2">
      <c r="B296" s="740" t="str">
        <f>'M.CANTID.GENERAL'!B1315</f>
        <v>1.5.5.</v>
      </c>
      <c r="C296" s="718" t="e">
        <f>'M.CANTID.GENERAL'!C1315</f>
        <v>#REF!</v>
      </c>
      <c r="D296" s="680" t="str">
        <f>'M.CANTID.GENERAL'!P1320</f>
        <v>M3</v>
      </c>
      <c r="E296" s="681">
        <f>'M.CANTID.GENERAL'!O1320</f>
        <v>14.25</v>
      </c>
      <c r="F296" s="682" t="e">
        <f>#REF!</f>
        <v>#REF!</v>
      </c>
      <c r="G296" s="645" t="e">
        <f t="shared" si="15"/>
        <v>#REF!</v>
      </c>
      <c r="I296" s="621"/>
    </row>
    <row r="297" spans="2:9" ht="42" customHeight="1" x14ac:dyDescent="0.2">
      <c r="B297" s="714" t="str">
        <f>'M.CANTID.GENERAL'!B1321</f>
        <v>1.5.6.</v>
      </c>
      <c r="C297" s="718" t="e">
        <f>'M.CANTID.GENERAL'!C1321</f>
        <v>#REF!</v>
      </c>
      <c r="D297" s="680" t="str">
        <f>'M.CANTID.GENERAL'!P1338</f>
        <v>M3</v>
      </c>
      <c r="E297" s="681">
        <f>'M.CANTID.GENERAL'!O1338</f>
        <v>350.67</v>
      </c>
      <c r="F297" s="682" t="e">
        <f>#REF!</f>
        <v>#REF!</v>
      </c>
      <c r="G297" s="645" t="e">
        <f t="shared" si="15"/>
        <v>#REF!</v>
      </c>
      <c r="I297" s="621"/>
    </row>
    <row r="298" spans="2:9" x14ac:dyDescent="0.2">
      <c r="B298" s="740" t="str">
        <f>'M.CANTID.GENERAL'!B1339</f>
        <v>1.5.7.</v>
      </c>
      <c r="C298" s="718" t="e">
        <f>'M.CANTID.GENERAL'!C1339</f>
        <v>#REF!</v>
      </c>
      <c r="D298" s="680" t="str">
        <f>'M.CANTID.GENERAL'!P1341</f>
        <v>ML</v>
      </c>
      <c r="E298" s="681">
        <f>'M.CANTID.GENERAL'!O1341</f>
        <v>68.900000000000006</v>
      </c>
      <c r="F298" s="682" t="e">
        <f>#REF!</f>
        <v>#REF!</v>
      </c>
      <c r="G298" s="645" t="e">
        <f t="shared" si="15"/>
        <v>#REF!</v>
      </c>
      <c r="I298" s="621"/>
    </row>
    <row r="299" spans="2:9" ht="55.5" customHeight="1" x14ac:dyDescent="0.2">
      <c r="B299" s="714" t="str">
        <f>'M.CANTID.GENERAL'!B1342</f>
        <v>1.5.8.</v>
      </c>
      <c r="C299" s="954" t="e">
        <f>'M.CANTID.GENERAL'!C1342</f>
        <v>#REF!</v>
      </c>
      <c r="D299" s="680" t="str">
        <f>'M.CANTID.GENERAL'!P1344</f>
        <v>KG</v>
      </c>
      <c r="E299" s="681">
        <f>'M.CANTID.GENERAL'!O1344</f>
        <v>72305.75</v>
      </c>
      <c r="F299" s="682" t="e">
        <f>#REF!</f>
        <v>#REF!</v>
      </c>
      <c r="G299" s="645" t="e">
        <f t="shared" si="15"/>
        <v>#REF!</v>
      </c>
      <c r="I299" s="621"/>
    </row>
    <row r="300" spans="2:9" x14ac:dyDescent="0.2">
      <c r="B300" s="740" t="str">
        <f>'M.CANTID.GENERAL'!B1347</f>
        <v>1.5.9.</v>
      </c>
      <c r="C300" s="718" t="e">
        <f>'M.CANTID.GENERAL'!C1347</f>
        <v>#REF!</v>
      </c>
      <c r="D300" s="680" t="str">
        <f>'M.CANTID.GENERAL'!P1352</f>
        <v>ML</v>
      </c>
      <c r="E300" s="681">
        <f>'M.CANTID.GENERAL'!O1352</f>
        <v>158</v>
      </c>
      <c r="F300" s="644" t="e">
        <f>#REF!</f>
        <v>#REF!</v>
      </c>
      <c r="G300" s="645" t="e">
        <f t="shared" si="15"/>
        <v>#REF!</v>
      </c>
      <c r="I300" s="621"/>
    </row>
    <row r="301" spans="2:9" ht="27.75" customHeight="1" x14ac:dyDescent="0.2">
      <c r="B301" s="714" t="str">
        <f>'M.CANTID.GENERAL'!B1353</f>
        <v>1.5.10.</v>
      </c>
      <c r="C301" s="718" t="e">
        <f>'M.CANTID.GENERAL'!C1353</f>
        <v>#REF!</v>
      </c>
      <c r="D301" s="680" t="str">
        <f>'M.CANTID.GENERAL'!P1358</f>
        <v>UND</v>
      </c>
      <c r="E301" s="681">
        <f>'M.CANTID.GENERAL'!O1358</f>
        <v>15</v>
      </c>
      <c r="F301" s="644" t="e">
        <f>#REF!</f>
        <v>#REF!</v>
      </c>
      <c r="G301" s="645" t="e">
        <f t="shared" si="15"/>
        <v>#REF!</v>
      </c>
      <c r="I301" s="621"/>
    </row>
    <row r="302" spans="2:9" x14ac:dyDescent="0.2">
      <c r="B302" s="714" t="str">
        <f>'M.CANTID.GENERAL'!B1359</f>
        <v>1.5.11.</v>
      </c>
      <c r="C302" s="718" t="e">
        <f>'M.CANTID.GENERAL'!C1359</f>
        <v>#REF!</v>
      </c>
      <c r="D302" s="680" t="str">
        <f>'M.CANTID.GENERAL'!P1362</f>
        <v>UND</v>
      </c>
      <c r="E302" s="681">
        <f>'M.CANTID.GENERAL'!O1362</f>
        <v>4</v>
      </c>
      <c r="F302" s="644" t="e">
        <f>#REF!</f>
        <v>#REF!</v>
      </c>
      <c r="G302" s="645" t="e">
        <f>ROUND((+E302*F302),0)</f>
        <v>#REF!</v>
      </c>
      <c r="I302" s="621"/>
    </row>
    <row r="303" spans="2:9" x14ac:dyDescent="0.2">
      <c r="B303" s="740" t="str">
        <f>'M.CANTID.GENERAL'!B1363</f>
        <v>1.5.12.</v>
      </c>
      <c r="C303" s="718" t="e">
        <f>'M.CANTID.GENERAL'!C1363</f>
        <v>#REF!</v>
      </c>
      <c r="D303" s="680" t="str">
        <f>'M.CANTID.GENERAL'!P1368</f>
        <v>UND</v>
      </c>
      <c r="E303" s="681">
        <f>'M.CANTID.GENERAL'!O1368</f>
        <v>7</v>
      </c>
      <c r="F303" s="644" t="e">
        <f>#REF!</f>
        <v>#REF!</v>
      </c>
      <c r="G303" s="645" t="e">
        <f>ROUND((+E303*F303),0)</f>
        <v>#REF!</v>
      </c>
      <c r="I303" s="621"/>
    </row>
    <row r="304" spans="2:9" x14ac:dyDescent="0.2">
      <c r="B304" s="714" t="str">
        <f>'M.CANTID.GENERAL'!B1369</f>
        <v>1.5.13.</v>
      </c>
      <c r="C304" s="718" t="e">
        <f>'M.CANTID.GENERAL'!C1369</f>
        <v>#REF!</v>
      </c>
      <c r="D304" s="680" t="str">
        <f>'M.CANTID.GENERAL'!P1374</f>
        <v>UND</v>
      </c>
      <c r="E304" s="681">
        <f>'M.CANTID.GENERAL'!O1374</f>
        <v>4</v>
      </c>
      <c r="F304" s="644" t="e">
        <f>#REF!</f>
        <v>#REF!</v>
      </c>
      <c r="G304" s="645" t="e">
        <f>ROUND((+E304*F304),0)</f>
        <v>#REF!</v>
      </c>
      <c r="I304" s="621"/>
    </row>
    <row r="305" spans="2:9" x14ac:dyDescent="0.2">
      <c r="B305" s="740" t="str">
        <f>'M.CANTID.GENERAL'!B1375</f>
        <v>1.5.14.</v>
      </c>
      <c r="C305" s="718" t="e">
        <f>'M.CANTID.GENERAL'!C1375</f>
        <v>#REF!</v>
      </c>
      <c r="D305" s="680" t="str">
        <f>'M.CANTID.GENERAL'!P1380</f>
        <v>UND</v>
      </c>
      <c r="E305" s="681">
        <f>'M.CANTID.GENERAL'!O1380</f>
        <v>5</v>
      </c>
      <c r="F305" s="644" t="e">
        <f>#REF!</f>
        <v>#REF!</v>
      </c>
      <c r="G305" s="645" t="e">
        <f>ROUND((+E305*F305),0)</f>
        <v>#REF!</v>
      </c>
      <c r="I305" s="621"/>
    </row>
    <row r="306" spans="2:9" x14ac:dyDescent="0.2">
      <c r="B306" s="640"/>
      <c r="C306" s="1600" t="str">
        <f>'M.CANTID.GENERAL'!C1382</f>
        <v>SUMINISTROS</v>
      </c>
      <c r="D306" s="1600"/>
      <c r="E306" s="1600"/>
      <c r="F306" s="1600"/>
      <c r="G306" s="1600"/>
      <c r="I306" s="621"/>
    </row>
    <row r="307" spans="2:9" ht="30" customHeight="1" thickBot="1" x14ac:dyDescent="0.25">
      <c r="B307" s="714" t="str">
        <f>'M.CANTID.GENERAL'!B1383</f>
        <v>1.5.15.</v>
      </c>
      <c r="C307" s="726" t="e">
        <f>'M.CANTID.GENERAL'!C1383</f>
        <v>#REF!</v>
      </c>
      <c r="D307" s="724" t="str">
        <f>'M.CANTID.GENERAL'!P1388</f>
        <v>ML</v>
      </c>
      <c r="E307" s="725">
        <f>'M.CANTID.GENERAL'!O1388</f>
        <v>158</v>
      </c>
      <c r="F307" s="831" t="e">
        <f>#REF!</f>
        <v>#REF!</v>
      </c>
      <c r="G307" s="732" t="e">
        <f>ROUND((+E307*F307),0)</f>
        <v>#REF!</v>
      </c>
      <c r="I307" s="621"/>
    </row>
    <row r="308" spans="2:9" ht="18.75" customHeight="1" thickBot="1" x14ac:dyDescent="0.25">
      <c r="B308" s="1597" t="s">
        <v>1679</v>
      </c>
      <c r="C308" s="1597"/>
      <c r="D308" s="1597"/>
      <c r="E308" s="1597"/>
      <c r="F308" s="1597"/>
      <c r="G308" s="753" t="e">
        <f>SUM(G292:G305)</f>
        <v>#REF!</v>
      </c>
      <c r="I308" s="621"/>
    </row>
    <row r="309" spans="2:9" ht="17.25" customHeight="1" thickBot="1" x14ac:dyDescent="0.25">
      <c r="B309" s="1597" t="s">
        <v>1680</v>
      </c>
      <c r="C309" s="1597"/>
      <c r="D309" s="1597"/>
      <c r="E309" s="1597"/>
      <c r="F309" s="1597"/>
      <c r="G309" s="728" t="e">
        <f>SUM(G307)</f>
        <v>#REF!</v>
      </c>
    </row>
    <row r="310" spans="2:9" ht="15" thickBot="1" x14ac:dyDescent="0.25">
      <c r="B310" s="1598" t="s">
        <v>1681</v>
      </c>
      <c r="C310" s="1598"/>
      <c r="D310" s="1598"/>
      <c r="E310" s="1598"/>
      <c r="F310" s="1598"/>
      <c r="G310" s="754" t="e">
        <f>SUM(G308:G309)</f>
        <v>#REF!</v>
      </c>
      <c r="I310" s="789" t="e">
        <f>G308+G309</f>
        <v>#REF!</v>
      </c>
    </row>
    <row r="311" spans="2:9" ht="16.5" thickBot="1" x14ac:dyDescent="0.25">
      <c r="B311" s="1601" t="str">
        <f>'M.CANTID.GENERAL'!A1407</f>
        <v>1.6. RED DE DISTRIBUCION</v>
      </c>
      <c r="C311" s="1602"/>
      <c r="D311" s="1602"/>
      <c r="E311" s="1602"/>
      <c r="F311" s="1602"/>
      <c r="G311" s="1603"/>
      <c r="I311" s="621"/>
    </row>
    <row r="312" spans="2:9" ht="17.25" customHeight="1" x14ac:dyDescent="0.2">
      <c r="B312" s="640"/>
      <c r="C312" s="1596" t="str">
        <f>'M.CANTID.GENERAL'!C1409</f>
        <v>OBRA CIVIL</v>
      </c>
      <c r="D312" s="1596"/>
      <c r="E312" s="1596"/>
      <c r="F312" s="1596"/>
      <c r="G312" s="1596"/>
      <c r="I312" s="621"/>
    </row>
    <row r="313" spans="2:9" x14ac:dyDescent="0.2">
      <c r="B313" s="740" t="str">
        <f>'M.CANTID.GENERAL'!B1410</f>
        <v>1.6.1.</v>
      </c>
      <c r="C313" s="741" t="e">
        <f>'M.CANTID.GENERAL'!C1410</f>
        <v>#REF!</v>
      </c>
      <c r="D313" s="742" t="str">
        <f>'M.CANTID.GENERAL'!P1415</f>
        <v>ML</v>
      </c>
      <c r="E313" s="743">
        <f>'M.CANTID.GENERAL'!O1415</f>
        <v>27423.56</v>
      </c>
      <c r="F313" s="746" t="e">
        <f>#REF!</f>
        <v>#REF!</v>
      </c>
      <c r="G313" s="745" t="e">
        <f t="shared" ref="G313:G344" si="16">ROUND((+E313*F313),0)</f>
        <v>#REF!</v>
      </c>
      <c r="I313" s="621"/>
    </row>
    <row r="314" spans="2:9" x14ac:dyDescent="0.2">
      <c r="B314" s="714" t="str">
        <f>'M.CANTID.GENERAL'!B1416</f>
        <v>1.6.2.</v>
      </c>
      <c r="C314" s="718" t="e">
        <f>'M.CANTID.GENERAL'!C1416</f>
        <v>#REF!</v>
      </c>
      <c r="D314" s="680" t="str">
        <f>'M.CANTID.GENERAL'!P1424</f>
        <v>M3</v>
      </c>
      <c r="E314" s="681">
        <f>'M.CANTID.GENERAL'!O1424</f>
        <v>19450.47</v>
      </c>
      <c r="F314" s="644" t="e">
        <f>#REF!</f>
        <v>#REF!</v>
      </c>
      <c r="G314" s="645" t="e">
        <f t="shared" si="16"/>
        <v>#REF!</v>
      </c>
      <c r="I314" s="966"/>
    </row>
    <row r="315" spans="2:9" x14ac:dyDescent="0.2">
      <c r="B315" s="714" t="str">
        <f>'M.CANTID.GENERAL'!B1425</f>
        <v>1.6.3.</v>
      </c>
      <c r="C315" s="718" t="e">
        <f>'M.CANTID.GENERAL'!C1425</f>
        <v>#REF!</v>
      </c>
      <c r="D315" s="680" t="str">
        <f>'M.CANTID.GENERAL'!P1433</f>
        <v>M3</v>
      </c>
      <c r="E315" s="681">
        <f>'M.CANTID.GENERAL'!O1433</f>
        <v>5226.17</v>
      </c>
      <c r="F315" s="644" t="e">
        <f>#REF!</f>
        <v>#REF!</v>
      </c>
      <c r="G315" s="645" t="e">
        <f t="shared" si="16"/>
        <v>#REF!</v>
      </c>
      <c r="I315" s="621"/>
    </row>
    <row r="316" spans="2:9" x14ac:dyDescent="0.2">
      <c r="B316" s="714" t="str">
        <f>'M.CANTID.GENERAL'!B1434</f>
        <v>1.6.4.</v>
      </c>
      <c r="C316" s="718" t="e">
        <f>'M.CANTID.GENERAL'!C1434</f>
        <v>#REF!</v>
      </c>
      <c r="D316" s="680" t="str">
        <f>'M.CANTID.GENERAL'!P1442</f>
        <v>M3-Km</v>
      </c>
      <c r="E316" s="681">
        <f>'M.CANTID.GENERAL'!O1442</f>
        <v>51763.42</v>
      </c>
      <c r="F316" s="644" t="e">
        <f>#REF!</f>
        <v>#REF!</v>
      </c>
      <c r="G316" s="645" t="e">
        <f>ROUND((+E316*F316),0)</f>
        <v>#REF!</v>
      </c>
      <c r="I316" s="621"/>
    </row>
    <row r="317" spans="2:9" x14ac:dyDescent="0.2">
      <c r="B317" s="714" t="str">
        <f>'M.CANTID.GENERAL'!B1444</f>
        <v>1.6.5.</v>
      </c>
      <c r="C317" s="718" t="e">
        <f>'M.CANTID.GENERAL'!C1444</f>
        <v>#REF!</v>
      </c>
      <c r="D317" s="680" t="str">
        <f>'M.CANTID.GENERAL'!P1452</f>
        <v>M3</v>
      </c>
      <c r="E317" s="681">
        <f>'M.CANTID.GENERAL'!O1452</f>
        <v>9097.7900000000009</v>
      </c>
      <c r="F317" s="644" t="e">
        <f>#REF!</f>
        <v>#REF!</v>
      </c>
      <c r="G317" s="645" t="e">
        <f>ROUND((+E317*F317),0)</f>
        <v>#REF!</v>
      </c>
      <c r="I317" s="621"/>
    </row>
    <row r="318" spans="2:9" x14ac:dyDescent="0.2">
      <c r="B318" s="714" t="str">
        <f>'M.CANTID.GENERAL'!B1456</f>
        <v>1.6.6.</v>
      </c>
      <c r="C318" s="718" t="e">
        <f>'M.CANTID.GENERAL'!C1456</f>
        <v>#REF!</v>
      </c>
      <c r="D318" s="680" t="str">
        <f>'M.CANTID.GENERAL'!P1464</f>
        <v>M3</v>
      </c>
      <c r="E318" s="681">
        <f>'M.CANTID.GENERAL'!O1464</f>
        <v>5012.96</v>
      </c>
      <c r="F318" s="644" t="e">
        <f>#REF!</f>
        <v>#REF!</v>
      </c>
      <c r="G318" s="645" t="e">
        <f t="shared" si="16"/>
        <v>#REF!</v>
      </c>
      <c r="I318" s="621"/>
    </row>
    <row r="319" spans="2:9" x14ac:dyDescent="0.2">
      <c r="B319" s="714" t="str">
        <f>'M.CANTID.GENERAL'!B1465</f>
        <v>1.6.7.</v>
      </c>
      <c r="C319" s="718" t="e">
        <f>'M.CANTID.GENERAL'!C1465</f>
        <v>#REF!</v>
      </c>
      <c r="D319" s="680" t="str">
        <f>'M.CANTID.GENERAL'!P1467</f>
        <v>ML</v>
      </c>
      <c r="E319" s="681">
        <f>'M.CANTID.GENERAL'!O1467</f>
        <v>530.71</v>
      </c>
      <c r="F319" s="644" t="e">
        <f>#REF!</f>
        <v>#REF!</v>
      </c>
      <c r="G319" s="645" t="e">
        <f>ROUND((+E319*F319),0)</f>
        <v>#REF!</v>
      </c>
      <c r="I319" s="621"/>
    </row>
    <row r="320" spans="2:9" x14ac:dyDescent="0.2">
      <c r="B320" s="714" t="str">
        <f>'M.CANTID.GENERAL'!B1468</f>
        <v>1.6.8.</v>
      </c>
      <c r="C320" s="718" t="e">
        <f>'M.CANTID.GENERAL'!C1468</f>
        <v>#REF!</v>
      </c>
      <c r="D320" s="680" t="str">
        <f>'M.CANTID.GENERAL'!P1470</f>
        <v>ML</v>
      </c>
      <c r="E320" s="681">
        <f>'M.CANTID.GENERAL'!O1470</f>
        <v>7343.15</v>
      </c>
      <c r="F320" s="644" t="e">
        <f>#REF!</f>
        <v>#REF!</v>
      </c>
      <c r="G320" s="645" t="e">
        <f>ROUND((+E320*F320),0)</f>
        <v>#REF!</v>
      </c>
      <c r="I320" s="621"/>
    </row>
    <row r="321" spans="2:9" x14ac:dyDescent="0.2">
      <c r="B321" s="714" t="str">
        <f>'M.CANTID.GENERAL'!B1471</f>
        <v>1.6.9.</v>
      </c>
      <c r="C321" s="718" t="e">
        <f>'M.CANTID.GENERAL'!C1471</f>
        <v>#REF!</v>
      </c>
      <c r="D321" s="680" t="str">
        <f>'M.CANTID.GENERAL'!P1473</f>
        <v>ML</v>
      </c>
      <c r="E321" s="681">
        <f>'M.CANTID.GENERAL'!O1473</f>
        <v>15879.73</v>
      </c>
      <c r="F321" s="644" t="e">
        <f>#REF!</f>
        <v>#REF!</v>
      </c>
      <c r="G321" s="645" t="e">
        <f>ROUND((+E321*F321),0)</f>
        <v>#REF!</v>
      </c>
      <c r="I321" s="621"/>
    </row>
    <row r="322" spans="2:9" x14ac:dyDescent="0.2">
      <c r="B322" s="714" t="str">
        <f>'M.CANTID.GENERAL'!B1474</f>
        <v>1.6.10.</v>
      </c>
      <c r="C322" s="718" t="e">
        <f>'M.CANTID.GENERAL'!C1474</f>
        <v>#REF!</v>
      </c>
      <c r="D322" s="680" t="str">
        <f>'M.CANTID.GENERAL'!P1476</f>
        <v>ML</v>
      </c>
      <c r="E322" s="681">
        <f>'M.CANTID.GENERAL'!O1476</f>
        <v>3669.97</v>
      </c>
      <c r="F322" s="644" t="e">
        <f>#REF!</f>
        <v>#REF!</v>
      </c>
      <c r="G322" s="645" t="e">
        <f t="shared" si="16"/>
        <v>#REF!</v>
      </c>
      <c r="I322" s="621"/>
    </row>
    <row r="323" spans="2:9" x14ac:dyDescent="0.2">
      <c r="B323" s="714" t="str">
        <f>'M.CANTID.GENERAL'!B1477</f>
        <v>1.6.11.</v>
      </c>
      <c r="C323" s="718" t="e">
        <f>'M.CANTID.GENERAL'!C1477</f>
        <v>#REF!</v>
      </c>
      <c r="D323" s="680" t="str">
        <f>'M.CANTID.GENERAL'!P1479</f>
        <v>UND</v>
      </c>
      <c r="E323" s="681">
        <f>'M.CANTID.GENERAL'!O1479</f>
        <v>4</v>
      </c>
      <c r="F323" s="682" t="e">
        <f>#REF!</f>
        <v>#REF!</v>
      </c>
      <c r="G323" s="645" t="e">
        <f>ROUND((+E323*F323),0)</f>
        <v>#REF!</v>
      </c>
      <c r="I323" s="621"/>
    </row>
    <row r="324" spans="2:9" x14ac:dyDescent="0.2">
      <c r="B324" s="714" t="str">
        <f>'M.CANTID.GENERAL'!B1480</f>
        <v>1.6.12.</v>
      </c>
      <c r="C324" s="718" t="e">
        <f>'M.CANTID.GENERAL'!C1480</f>
        <v>#REF!</v>
      </c>
      <c r="D324" s="680" t="str">
        <f>'M.CANTID.GENERAL'!P1482</f>
        <v>UND</v>
      </c>
      <c r="E324" s="681">
        <f>'M.CANTID.GENERAL'!O1482</f>
        <v>6</v>
      </c>
      <c r="F324" s="644" t="e">
        <f>#REF!</f>
        <v>#REF!</v>
      </c>
      <c r="G324" s="645" t="e">
        <f t="shared" si="16"/>
        <v>#REF!</v>
      </c>
      <c r="I324" s="621"/>
    </row>
    <row r="325" spans="2:9" x14ac:dyDescent="0.2">
      <c r="B325" s="714" t="str">
        <f>'M.CANTID.GENERAL'!B1483</f>
        <v>1.6.13.</v>
      </c>
      <c r="C325" s="718" t="e">
        <f>'M.CANTID.GENERAL'!C1483</f>
        <v>#REF!</v>
      </c>
      <c r="D325" s="680" t="str">
        <f>'M.CANTID.GENERAL'!P1485</f>
        <v>UND</v>
      </c>
      <c r="E325" s="681">
        <f>'M.CANTID.GENERAL'!O1485</f>
        <v>2</v>
      </c>
      <c r="F325" s="644" t="e">
        <f>#REF!</f>
        <v>#REF!</v>
      </c>
      <c r="G325" s="645" t="e">
        <f t="shared" si="16"/>
        <v>#REF!</v>
      </c>
      <c r="I325" s="621"/>
    </row>
    <row r="326" spans="2:9" x14ac:dyDescent="0.2">
      <c r="B326" s="714" t="str">
        <f>'M.CANTID.GENERAL'!B1486</f>
        <v>1.6.14.</v>
      </c>
      <c r="C326" s="718" t="e">
        <f>'M.CANTID.GENERAL'!C1486</f>
        <v>#REF!</v>
      </c>
      <c r="D326" s="680" t="str">
        <f>'M.CANTID.GENERAL'!P1490</f>
        <v>UND</v>
      </c>
      <c r="E326" s="681">
        <f>'M.CANTID.GENERAL'!O1490</f>
        <v>12</v>
      </c>
      <c r="F326" s="644" t="e">
        <f>#REF!</f>
        <v>#REF!</v>
      </c>
      <c r="G326" s="645" t="e">
        <f t="shared" si="16"/>
        <v>#REF!</v>
      </c>
      <c r="I326" s="621"/>
    </row>
    <row r="327" spans="2:9" x14ac:dyDescent="0.2">
      <c r="B327" s="714" t="str">
        <f>'M.CANTID.GENERAL'!B1491</f>
        <v>1.6.15.</v>
      </c>
      <c r="C327" s="718" t="e">
        <f>'M.CANTID.GENERAL'!C1491</f>
        <v>#REF!</v>
      </c>
      <c r="D327" s="680" t="str">
        <f>'M.CANTID.GENERAL'!P1493</f>
        <v>UND</v>
      </c>
      <c r="E327" s="681">
        <f>'M.CANTID.GENERAL'!O1493</f>
        <v>3</v>
      </c>
      <c r="F327" s="644" t="e">
        <f>#REF!</f>
        <v>#REF!</v>
      </c>
      <c r="G327" s="645" t="e">
        <f>ROUND((+E327*F327),0)</f>
        <v>#REF!</v>
      </c>
      <c r="I327" s="621"/>
    </row>
    <row r="328" spans="2:9" x14ac:dyDescent="0.2">
      <c r="B328" s="714" t="str">
        <f>'M.CANTID.GENERAL'!B1496</f>
        <v>1.6.16.</v>
      </c>
      <c r="C328" s="718" t="e">
        <f>'M.CANTID.GENERAL'!C1496</f>
        <v>#REF!</v>
      </c>
      <c r="D328" s="680" t="str">
        <f>'M.CANTID.GENERAL'!P1498</f>
        <v>UND</v>
      </c>
      <c r="E328" s="681">
        <f>'M.CANTID.GENERAL'!O1498</f>
        <v>2</v>
      </c>
      <c r="F328" s="644" t="e">
        <f>#REF!</f>
        <v>#REF!</v>
      </c>
      <c r="G328" s="645" t="e">
        <f t="shared" si="16"/>
        <v>#REF!</v>
      </c>
      <c r="I328" s="621"/>
    </row>
    <row r="329" spans="2:9" x14ac:dyDescent="0.2">
      <c r="B329" s="714" t="str">
        <f>'M.CANTID.GENERAL'!B1499</f>
        <v>1.6.17.</v>
      </c>
      <c r="C329" s="718" t="e">
        <f>'M.CANTID.GENERAL'!C1499</f>
        <v>#REF!</v>
      </c>
      <c r="D329" s="680" t="str">
        <f>'M.CANTID.GENERAL'!P1501</f>
        <v>UND</v>
      </c>
      <c r="E329" s="681">
        <f>'M.CANTID.GENERAL'!O1501</f>
        <v>4</v>
      </c>
      <c r="F329" s="644" t="e">
        <f>#REF!</f>
        <v>#REF!</v>
      </c>
      <c r="G329" s="645" t="e">
        <f t="shared" si="16"/>
        <v>#REF!</v>
      </c>
      <c r="I329" s="621"/>
    </row>
    <row r="330" spans="2:9" x14ac:dyDescent="0.2">
      <c r="B330" s="714" t="str">
        <f>'M.CANTID.GENERAL'!B1502</f>
        <v>1.6.18.</v>
      </c>
      <c r="C330" s="718" t="e">
        <f>'M.CANTID.GENERAL'!C1502</f>
        <v>#REF!</v>
      </c>
      <c r="D330" s="680" t="str">
        <f>'M.CANTID.GENERAL'!P1504</f>
        <v>UND</v>
      </c>
      <c r="E330" s="681">
        <f>'M.CANTID.GENERAL'!O1504</f>
        <v>1</v>
      </c>
      <c r="F330" s="644" t="e">
        <f>#REF!</f>
        <v>#REF!</v>
      </c>
      <c r="G330" s="645" t="e">
        <f>ROUND((+E330*F330),0)</f>
        <v>#REF!</v>
      </c>
      <c r="I330" s="621"/>
    </row>
    <row r="331" spans="2:9" x14ac:dyDescent="0.2">
      <c r="B331" s="714" t="str">
        <f>'M.CANTID.GENERAL'!B1505</f>
        <v>1.6.19.</v>
      </c>
      <c r="C331" s="718" t="e">
        <f>'M.CANTID.GENERAL'!C1505</f>
        <v>#REF!</v>
      </c>
      <c r="D331" s="680" t="str">
        <f>'M.CANTID.GENERAL'!P1507</f>
        <v>UND</v>
      </c>
      <c r="E331" s="681">
        <f>'M.CANTID.GENERAL'!O1507</f>
        <v>6</v>
      </c>
      <c r="F331" s="644" t="e">
        <f>#REF!</f>
        <v>#REF!</v>
      </c>
      <c r="G331" s="645" t="e">
        <f t="shared" si="16"/>
        <v>#REF!</v>
      </c>
      <c r="I331" s="621"/>
    </row>
    <row r="332" spans="2:9" x14ac:dyDescent="0.2">
      <c r="B332" s="714" t="str">
        <f>'M.CANTID.GENERAL'!B1508</f>
        <v>1.6.20.</v>
      </c>
      <c r="C332" s="718" t="e">
        <f>'M.CANTID.GENERAL'!C1508</f>
        <v>#REF!</v>
      </c>
      <c r="D332" s="680" t="str">
        <f>'M.CANTID.GENERAL'!P1510</f>
        <v>UND</v>
      </c>
      <c r="E332" s="681">
        <f>'M.CANTID.GENERAL'!O1510</f>
        <v>5</v>
      </c>
      <c r="F332" s="644" t="e">
        <f>#REF!</f>
        <v>#REF!</v>
      </c>
      <c r="G332" s="645" t="e">
        <f t="shared" si="16"/>
        <v>#REF!</v>
      </c>
      <c r="I332" s="621"/>
    </row>
    <row r="333" spans="2:9" x14ac:dyDescent="0.2">
      <c r="B333" s="714" t="str">
        <f>'M.CANTID.GENERAL'!B1511</f>
        <v>1.6.21.</v>
      </c>
      <c r="C333" s="718" t="e">
        <f>'M.CANTID.GENERAL'!C1511</f>
        <v>#REF!</v>
      </c>
      <c r="D333" s="680" t="str">
        <f>'M.CANTID.GENERAL'!P1513</f>
        <v>UND</v>
      </c>
      <c r="E333" s="681">
        <f>'M.CANTID.GENERAL'!O1513</f>
        <v>2</v>
      </c>
      <c r="F333" s="644" t="e">
        <f>#REF!</f>
        <v>#REF!</v>
      </c>
      <c r="G333" s="645" t="e">
        <f t="shared" si="16"/>
        <v>#REF!</v>
      </c>
      <c r="I333" s="621"/>
    </row>
    <row r="334" spans="2:9" x14ac:dyDescent="0.2">
      <c r="B334" s="714" t="str">
        <f>'M.CANTID.GENERAL'!B1514</f>
        <v>1.6.22.</v>
      </c>
      <c r="C334" s="718" t="e">
        <f>'M.CANTID.GENERAL'!C1514</f>
        <v>#REF!</v>
      </c>
      <c r="D334" s="680" t="str">
        <f>'M.CANTID.GENERAL'!P1516</f>
        <v>UND</v>
      </c>
      <c r="E334" s="681">
        <f>'M.CANTID.GENERAL'!O1516</f>
        <v>1</v>
      </c>
      <c r="F334" s="644" t="e">
        <f>#REF!</f>
        <v>#REF!</v>
      </c>
      <c r="G334" s="645" t="e">
        <f t="shared" si="16"/>
        <v>#REF!</v>
      </c>
      <c r="I334" s="621"/>
    </row>
    <row r="335" spans="2:9" x14ac:dyDescent="0.2">
      <c r="B335" s="714" t="str">
        <f>'M.CANTID.GENERAL'!B1517</f>
        <v>1.6.23.</v>
      </c>
      <c r="C335" s="718" t="e">
        <f>'M.CANTID.GENERAL'!C1517</f>
        <v>#REF!</v>
      </c>
      <c r="D335" s="680" t="str">
        <f>'M.CANTID.GENERAL'!P1519</f>
        <v>UND</v>
      </c>
      <c r="E335" s="681">
        <f>'M.CANTID.GENERAL'!O1519</f>
        <v>45</v>
      </c>
      <c r="F335" s="682" t="e">
        <f>#REF!</f>
        <v>#REF!</v>
      </c>
      <c r="G335" s="756" t="e">
        <f t="shared" si="16"/>
        <v>#REF!</v>
      </c>
      <c r="I335" s="621"/>
    </row>
    <row r="336" spans="2:9" x14ac:dyDescent="0.2">
      <c r="B336" s="714" t="str">
        <f>'M.CANTID.GENERAL'!B1520</f>
        <v>1.6.24.</v>
      </c>
      <c r="C336" s="718" t="e">
        <f>'M.CANTID.GENERAL'!C1520</f>
        <v>#REF!</v>
      </c>
      <c r="D336" s="680" t="str">
        <f>'M.CANTID.GENERAL'!P1522</f>
        <v>UND</v>
      </c>
      <c r="E336" s="681">
        <f>'M.CANTID.GENERAL'!O1522</f>
        <v>101</v>
      </c>
      <c r="F336" s="682" t="e">
        <f>#REF!</f>
        <v>#REF!</v>
      </c>
      <c r="G336" s="756" t="e">
        <f t="shared" si="16"/>
        <v>#REF!</v>
      </c>
      <c r="I336" s="621"/>
    </row>
    <row r="337" spans="2:9" x14ac:dyDescent="0.2">
      <c r="B337" s="714" t="str">
        <f>'M.CANTID.GENERAL'!B1523</f>
        <v>1.6.25.</v>
      </c>
      <c r="C337" s="718" t="e">
        <f>'M.CANTID.GENERAL'!C1523</f>
        <v>#REF!</v>
      </c>
      <c r="D337" s="680" t="str">
        <f>'M.CANTID.GENERAL'!P1525</f>
        <v>UND</v>
      </c>
      <c r="E337" s="681">
        <f>'M.CANTID.GENERAL'!O1525</f>
        <v>47</v>
      </c>
      <c r="F337" s="682" t="e">
        <f>#REF!</f>
        <v>#REF!</v>
      </c>
      <c r="G337" s="756" t="e">
        <f t="shared" si="16"/>
        <v>#REF!</v>
      </c>
      <c r="I337" s="621"/>
    </row>
    <row r="338" spans="2:9" ht="38.25" customHeight="1" x14ac:dyDescent="0.2">
      <c r="B338" s="714" t="str">
        <f>'M.CANTID.GENERAL'!B1526</f>
        <v>1.6.26.</v>
      </c>
      <c r="C338" s="718" t="e">
        <f>'M.CANTID.GENERAL'!C1526</f>
        <v>#REF!</v>
      </c>
      <c r="D338" s="680" t="str">
        <f>'M.CANTID.GENERAL'!P1529</f>
        <v>UND</v>
      </c>
      <c r="E338" s="681">
        <f>'M.CANTID.GENERAL'!O1529</f>
        <v>193</v>
      </c>
      <c r="F338" s="682" t="e">
        <f>#REF!</f>
        <v>#REF!</v>
      </c>
      <c r="G338" s="756" t="e">
        <f t="shared" si="16"/>
        <v>#REF!</v>
      </c>
      <c r="I338" s="621"/>
    </row>
    <row r="339" spans="2:9" x14ac:dyDescent="0.2">
      <c r="B339" s="714" t="str">
        <f>'M.CANTID.GENERAL'!B1530</f>
        <v>1.6.27.</v>
      </c>
      <c r="C339" s="718" t="e">
        <f>'M.CANTID.GENERAL'!C1530</f>
        <v>#REF!</v>
      </c>
      <c r="D339" s="680" t="str">
        <f>'M.CANTID.GENERAL'!P1532</f>
        <v>UND</v>
      </c>
      <c r="E339" s="681">
        <f>'M.CANTID.GENERAL'!O1532</f>
        <v>1</v>
      </c>
      <c r="F339" s="682" t="e">
        <f>#REF!</f>
        <v>#REF!</v>
      </c>
      <c r="G339" s="756" t="e">
        <f t="shared" si="16"/>
        <v>#REF!</v>
      </c>
      <c r="I339" s="621"/>
    </row>
    <row r="340" spans="2:9" x14ac:dyDescent="0.2">
      <c r="B340" s="714" t="str">
        <f>'M.CANTID.GENERAL'!B1533</f>
        <v>1.6.28.</v>
      </c>
      <c r="C340" s="718" t="e">
        <f>'M.CANTID.GENERAL'!C1533</f>
        <v>#REF!</v>
      </c>
      <c r="D340" s="680" t="str">
        <f>'M.CANTID.GENERAL'!P1535</f>
        <v>UND</v>
      </c>
      <c r="E340" s="681">
        <f>'M.CANTID.GENERAL'!O1535</f>
        <v>2</v>
      </c>
      <c r="F340" s="682" t="e">
        <f>#REF!</f>
        <v>#REF!</v>
      </c>
      <c r="G340" s="756" t="e">
        <f t="shared" si="16"/>
        <v>#REF!</v>
      </c>
      <c r="I340" s="621"/>
    </row>
    <row r="341" spans="2:9" x14ac:dyDescent="0.2">
      <c r="B341" s="714" t="str">
        <f>'M.CANTID.GENERAL'!B1536</f>
        <v>1.6.29.</v>
      </c>
      <c r="C341" s="718" t="e">
        <f>'M.CANTID.GENERAL'!C1536</f>
        <v>#REF!</v>
      </c>
      <c r="D341" s="680" t="str">
        <f>'M.CANTID.GENERAL'!P1538</f>
        <v>UND</v>
      </c>
      <c r="E341" s="681">
        <f>'M.CANTID.GENERAL'!O1538</f>
        <v>2</v>
      </c>
      <c r="F341" s="682" t="e">
        <f>#REF!</f>
        <v>#REF!</v>
      </c>
      <c r="G341" s="756" t="e">
        <f t="shared" si="16"/>
        <v>#REF!</v>
      </c>
      <c r="I341" s="621"/>
    </row>
    <row r="342" spans="2:9" x14ac:dyDescent="0.2">
      <c r="B342" s="714" t="str">
        <f>'M.CANTID.GENERAL'!B1539</f>
        <v>1.6.30.</v>
      </c>
      <c r="C342" s="718" t="e">
        <f>'M.CANTID.GENERAL'!C1539</f>
        <v>#REF!</v>
      </c>
      <c r="D342" s="680" t="str">
        <f>'M.CANTID.GENERAL'!P1541</f>
        <v>UND</v>
      </c>
      <c r="E342" s="681">
        <f>'M.CANTID.GENERAL'!O1541</f>
        <v>1</v>
      </c>
      <c r="F342" s="682" t="e">
        <f>#REF!</f>
        <v>#REF!</v>
      </c>
      <c r="G342" s="756" t="e">
        <f t="shared" si="16"/>
        <v>#REF!</v>
      </c>
      <c r="I342" s="621"/>
    </row>
    <row r="343" spans="2:9" x14ac:dyDescent="0.2">
      <c r="B343" s="714" t="str">
        <f>'M.CANTID.GENERAL'!B1542</f>
        <v>1.6.31.</v>
      </c>
      <c r="C343" s="718" t="e">
        <f>'M.CANTID.GENERAL'!C1542</f>
        <v>#REF!</v>
      </c>
      <c r="D343" s="680" t="str">
        <f>'M.CANTID.GENERAL'!P1545</f>
        <v>UND</v>
      </c>
      <c r="E343" s="681">
        <f>'M.CANTID.GENERAL'!O1545</f>
        <v>2</v>
      </c>
      <c r="F343" s="682" t="e">
        <f>#REF!</f>
        <v>#REF!</v>
      </c>
      <c r="G343" s="756" t="e">
        <f t="shared" si="16"/>
        <v>#REF!</v>
      </c>
      <c r="I343" s="621"/>
    </row>
    <row r="344" spans="2:9" x14ac:dyDescent="0.2">
      <c r="B344" s="714" t="str">
        <f>'M.CANTID.GENERAL'!B1546</f>
        <v>1.6.32.</v>
      </c>
      <c r="C344" s="718" t="e">
        <f>'M.CANTID.GENERAL'!C1546</f>
        <v>#REF!</v>
      </c>
      <c r="D344" s="680" t="str">
        <f>'M.CANTID.GENERAL'!P1549</f>
        <v>UND</v>
      </c>
      <c r="E344" s="681">
        <f>'M.CANTID.GENERAL'!O1549</f>
        <v>3</v>
      </c>
      <c r="F344" s="682" t="e">
        <f>#REF!</f>
        <v>#REF!</v>
      </c>
      <c r="G344" s="756" t="e">
        <f t="shared" si="16"/>
        <v>#REF!</v>
      </c>
      <c r="I344" s="621"/>
    </row>
    <row r="345" spans="2:9" ht="24" customHeight="1" x14ac:dyDescent="0.2">
      <c r="B345" s="640"/>
      <c r="C345" s="1600" t="str">
        <f>'M.CANTID.GENERAL'!C1551</f>
        <v>SUMINISTROS</v>
      </c>
      <c r="D345" s="1600"/>
      <c r="E345" s="1600"/>
      <c r="F345" s="1600"/>
      <c r="G345" s="1600"/>
      <c r="I345" s="621"/>
    </row>
    <row r="346" spans="2:9" ht="24" customHeight="1" x14ac:dyDescent="0.2">
      <c r="B346" s="714" t="str">
        <f>'M.CANTID.GENERAL'!B1553</f>
        <v>1.6.33.</v>
      </c>
      <c r="C346" s="718" t="e">
        <f>'M.CANTID.GENERAL'!C1553</f>
        <v>#REF!</v>
      </c>
      <c r="D346" s="680" t="str">
        <f>'M.CANTID.GENERAL'!P1555</f>
        <v>ML</v>
      </c>
      <c r="E346" s="681">
        <f>'M.CANTID.GENERAL'!O1555</f>
        <v>530.71</v>
      </c>
      <c r="F346" s="644" t="e">
        <f>#REF!</f>
        <v>#REF!</v>
      </c>
      <c r="G346" s="645" t="e">
        <f t="shared" ref="G346:G349" si="17">ROUND((+E346*F346),0)</f>
        <v>#REF!</v>
      </c>
      <c r="I346" s="621"/>
    </row>
    <row r="347" spans="2:9" ht="31.5" customHeight="1" x14ac:dyDescent="0.2">
      <c r="B347" s="714" t="str">
        <f>'M.CANTID.GENERAL'!B1556</f>
        <v>1.6.34.</v>
      </c>
      <c r="C347" s="718" t="e">
        <f>'M.CANTID.GENERAL'!C1556</f>
        <v>#REF!</v>
      </c>
      <c r="D347" s="680" t="str">
        <f>'M.CANTID.GENERAL'!P1558</f>
        <v>ML</v>
      </c>
      <c r="E347" s="681">
        <f>'M.CANTID.GENERAL'!O1558</f>
        <v>7343.15</v>
      </c>
      <c r="F347" s="644" t="e">
        <f>#REF!</f>
        <v>#REF!</v>
      </c>
      <c r="G347" s="645" t="e">
        <f t="shared" si="17"/>
        <v>#REF!</v>
      </c>
      <c r="I347" s="621"/>
    </row>
    <row r="348" spans="2:9" ht="35.25" customHeight="1" x14ac:dyDescent="0.2">
      <c r="B348" s="714" t="str">
        <f>'M.CANTID.GENERAL'!B1559</f>
        <v>1.6.35.</v>
      </c>
      <c r="C348" s="718" t="e">
        <f>'M.CANTID.GENERAL'!C1559</f>
        <v>#REF!</v>
      </c>
      <c r="D348" s="680" t="str">
        <f>'M.CANTID.GENERAL'!P1561</f>
        <v>ML</v>
      </c>
      <c r="E348" s="681">
        <f>'M.CANTID.GENERAL'!O1561</f>
        <v>15879.73</v>
      </c>
      <c r="F348" s="644" t="e">
        <f>#REF!</f>
        <v>#REF!</v>
      </c>
      <c r="G348" s="645" t="e">
        <f t="shared" si="17"/>
        <v>#REF!</v>
      </c>
      <c r="I348" s="621"/>
    </row>
    <row r="349" spans="2:9" ht="32.25" customHeight="1" thickBot="1" x14ac:dyDescent="0.25">
      <c r="B349" s="714" t="str">
        <f>'M.CANTID.GENERAL'!B1562</f>
        <v>1.6.36.</v>
      </c>
      <c r="C349" s="718" t="e">
        <f>'M.CANTID.GENERAL'!C1562</f>
        <v>#REF!</v>
      </c>
      <c r="D349" s="680" t="str">
        <f>'M.CANTID.GENERAL'!P1564</f>
        <v>ML</v>
      </c>
      <c r="E349" s="681">
        <f>'M.CANTID.GENERAL'!O1564</f>
        <v>3669.97</v>
      </c>
      <c r="F349" s="644" t="e">
        <f>#REF!</f>
        <v>#REF!</v>
      </c>
      <c r="G349" s="645" t="e">
        <f t="shared" si="17"/>
        <v>#REF!</v>
      </c>
      <c r="I349" s="621"/>
    </row>
    <row r="350" spans="2:9" ht="15" thickBot="1" x14ac:dyDescent="0.25">
      <c r="B350" s="1597" t="s">
        <v>1167</v>
      </c>
      <c r="C350" s="1597"/>
      <c r="D350" s="1597"/>
      <c r="E350" s="1597"/>
      <c r="F350" s="1597"/>
      <c r="G350" s="753" t="e">
        <f>SUM(G313:G344)</f>
        <v>#REF!</v>
      </c>
      <c r="I350" s="621"/>
    </row>
    <row r="351" spans="2:9" ht="15" thickBot="1" x14ac:dyDescent="0.25">
      <c r="B351" s="1597" t="s">
        <v>1168</v>
      </c>
      <c r="C351" s="1597"/>
      <c r="D351" s="1597"/>
      <c r="E351" s="1597"/>
      <c r="F351" s="1597"/>
      <c r="G351" s="753" t="e">
        <f>SUM(G346:G349)</f>
        <v>#REF!</v>
      </c>
    </row>
    <row r="352" spans="2:9" ht="15" thickBot="1" x14ac:dyDescent="0.25">
      <c r="B352" s="1598" t="s">
        <v>1169</v>
      </c>
      <c r="C352" s="1598"/>
      <c r="D352" s="1598"/>
      <c r="E352" s="1598"/>
      <c r="F352" s="1598"/>
      <c r="G352" s="754" t="e">
        <f>SUM(G350:G351)</f>
        <v>#REF!</v>
      </c>
      <c r="I352" s="789" t="e">
        <f>G350+G351</f>
        <v>#REF!</v>
      </c>
    </row>
    <row r="353" spans="2:9" ht="16.5" thickBot="1" x14ac:dyDescent="0.25">
      <c r="B353" s="1601" t="str">
        <f>'M.CANTID.GENERAL'!A1618</f>
        <v>1.7. RED ELECTRICA</v>
      </c>
      <c r="C353" s="1602"/>
      <c r="D353" s="1602"/>
      <c r="E353" s="1602"/>
      <c r="F353" s="1602"/>
      <c r="G353" s="1603"/>
      <c r="I353" s="621"/>
    </row>
    <row r="354" spans="2:9" x14ac:dyDescent="0.2">
      <c r="B354" s="640"/>
      <c r="C354" s="1596" t="str">
        <f>'M.CANTID.GENERAL'!C1620</f>
        <v>OBRA CIVIL</v>
      </c>
      <c r="D354" s="1596"/>
      <c r="E354" s="1596"/>
      <c r="F354" s="1596"/>
      <c r="G354" s="1596"/>
      <c r="I354" s="621"/>
    </row>
    <row r="355" spans="2:9" x14ac:dyDescent="0.2">
      <c r="B355" s="740" t="str">
        <f>'M.CANTID.GENERAL'!B1621</f>
        <v>1.7.1.</v>
      </c>
      <c r="C355" s="845" t="e">
        <f>'M.CANTID.GENERAL'!C1621</f>
        <v>#REF!</v>
      </c>
      <c r="D355" s="742" t="str">
        <f>'M.CANTID.GENERAL'!P1623</f>
        <v>KM</v>
      </c>
      <c r="E355" s="743">
        <f>'M.CANTID.GENERAL'!O1623</f>
        <v>1</v>
      </c>
      <c r="F355" s="746" t="e">
        <f>#REF!</f>
        <v>#REF!</v>
      </c>
      <c r="G355" s="745" t="e">
        <f t="shared" ref="G355:G389" si="18">ROUND((+E355*F355),0)</f>
        <v>#REF!</v>
      </c>
      <c r="I355" s="621"/>
    </row>
    <row r="356" spans="2:9" x14ac:dyDescent="0.2">
      <c r="B356" s="714" t="str">
        <f>'M.CANTID.GENERAL'!B1624</f>
        <v>1.7.2.</v>
      </c>
      <c r="C356" s="846" t="e">
        <f>'M.CANTID.GENERAL'!C1624</f>
        <v>#REF!</v>
      </c>
      <c r="D356" s="680" t="str">
        <f>'M.CANTID.GENERAL'!P1626</f>
        <v>UND</v>
      </c>
      <c r="E356" s="681">
        <f>'M.CANTID.GENERAL'!O1626</f>
        <v>1</v>
      </c>
      <c r="F356" s="644" t="e">
        <f>#REF!</f>
        <v>#REF!</v>
      </c>
      <c r="G356" s="645" t="e">
        <f t="shared" si="18"/>
        <v>#REF!</v>
      </c>
      <c r="I356" s="966"/>
    </row>
    <row r="357" spans="2:9" x14ac:dyDescent="0.2">
      <c r="B357" s="714" t="str">
        <f>'M.CANTID.GENERAL'!B1627</f>
        <v>1.7.3.</v>
      </c>
      <c r="C357" s="846" t="e">
        <f>'M.CANTID.GENERAL'!C1627</f>
        <v>#REF!</v>
      </c>
      <c r="D357" s="680" t="str">
        <f>'M.CANTID.GENERAL'!P1629</f>
        <v>UND</v>
      </c>
      <c r="E357" s="681">
        <f>'M.CANTID.GENERAL'!O1629</f>
        <v>1</v>
      </c>
      <c r="F357" s="644" t="e">
        <f>#REF!</f>
        <v>#REF!</v>
      </c>
      <c r="G357" s="645" t="e">
        <f t="shared" si="18"/>
        <v>#REF!</v>
      </c>
      <c r="I357" s="621"/>
    </row>
    <row r="358" spans="2:9" x14ac:dyDescent="0.2">
      <c r="B358" s="714" t="str">
        <f>'M.CANTID.GENERAL'!B1630</f>
        <v>1.7.4.</v>
      </c>
      <c r="C358" s="846" t="e">
        <f>'M.CANTID.GENERAL'!C1630</f>
        <v>#REF!</v>
      </c>
      <c r="D358" s="680" t="str">
        <f>'M.CANTID.GENERAL'!P1632</f>
        <v>UND</v>
      </c>
      <c r="E358" s="681">
        <f>'M.CANTID.GENERAL'!O1632</f>
        <v>1</v>
      </c>
      <c r="F358" s="644" t="e">
        <f>#REF!</f>
        <v>#REF!</v>
      </c>
      <c r="G358" s="645" t="e">
        <f t="shared" si="18"/>
        <v>#REF!</v>
      </c>
      <c r="I358" s="621"/>
    </row>
    <row r="359" spans="2:9" x14ac:dyDescent="0.2">
      <c r="B359" s="714" t="str">
        <f>'M.CANTID.GENERAL'!B1633</f>
        <v>1.7.5.</v>
      </c>
      <c r="C359" s="846" t="e">
        <f>'M.CANTID.GENERAL'!C1633</f>
        <v>#REF!</v>
      </c>
      <c r="D359" s="680" t="str">
        <f>'M.CANTID.GENERAL'!P1635</f>
        <v>UND</v>
      </c>
      <c r="E359" s="681">
        <f>'M.CANTID.GENERAL'!O1635</f>
        <v>1</v>
      </c>
      <c r="F359" s="644" t="e">
        <f>#REF!</f>
        <v>#REF!</v>
      </c>
      <c r="G359" s="645" t="e">
        <f t="shared" si="18"/>
        <v>#REF!</v>
      </c>
      <c r="I359" s="621"/>
    </row>
    <row r="360" spans="2:9" x14ac:dyDescent="0.2">
      <c r="B360" s="714" t="str">
        <f>'M.CANTID.GENERAL'!B1636</f>
        <v>1.7.6.</v>
      </c>
      <c r="C360" s="846" t="e">
        <f>'M.CANTID.GENERAL'!C1636</f>
        <v>#REF!</v>
      </c>
      <c r="D360" s="680" t="str">
        <f>'M.CANTID.GENERAL'!P1638</f>
        <v>UND</v>
      </c>
      <c r="E360" s="681">
        <f>'M.CANTID.GENERAL'!O1638</f>
        <v>1</v>
      </c>
      <c r="F360" s="644" t="e">
        <f>#REF!</f>
        <v>#REF!</v>
      </c>
      <c r="G360" s="645" t="e">
        <f t="shared" si="18"/>
        <v>#REF!</v>
      </c>
      <c r="I360" s="621"/>
    </row>
    <row r="361" spans="2:9" x14ac:dyDescent="0.2">
      <c r="B361" s="714" t="str">
        <f>'M.CANTID.GENERAL'!B1639</f>
        <v>1.7.7.</v>
      </c>
      <c r="C361" s="846" t="e">
        <f>'M.CANTID.GENERAL'!C1639</f>
        <v>#REF!</v>
      </c>
      <c r="D361" s="680" t="str">
        <f>'M.CANTID.GENERAL'!P1641</f>
        <v>UND</v>
      </c>
      <c r="E361" s="681">
        <f>'M.CANTID.GENERAL'!O1641</f>
        <v>1</v>
      </c>
      <c r="F361" s="644" t="e">
        <f>#REF!</f>
        <v>#REF!</v>
      </c>
      <c r="G361" s="645" t="e">
        <f t="shared" si="18"/>
        <v>#REF!</v>
      </c>
      <c r="I361" s="621"/>
    </row>
    <row r="362" spans="2:9" x14ac:dyDescent="0.2">
      <c r="B362" s="714" t="str">
        <f>'M.CANTID.GENERAL'!B1642</f>
        <v>1.7.8.</v>
      </c>
      <c r="C362" s="846" t="e">
        <f>'M.CANTID.GENERAL'!C1642</f>
        <v>#REF!</v>
      </c>
      <c r="D362" s="680" t="str">
        <f>'M.CANTID.GENERAL'!P1644</f>
        <v>ML</v>
      </c>
      <c r="E362" s="681">
        <f>'M.CANTID.GENERAL'!O1644</f>
        <v>15</v>
      </c>
      <c r="F362" s="644" t="e">
        <f>#REF!</f>
        <v>#REF!</v>
      </c>
      <c r="G362" s="645" t="e">
        <f t="shared" si="18"/>
        <v>#REF!</v>
      </c>
      <c r="I362" s="621"/>
    </row>
    <row r="363" spans="2:9" x14ac:dyDescent="0.2">
      <c r="B363" s="714" t="str">
        <f>'M.CANTID.GENERAL'!B1645</f>
        <v>1.7.9.</v>
      </c>
      <c r="C363" s="846" t="e">
        <f>'M.CANTID.GENERAL'!C1645</f>
        <v>#REF!</v>
      </c>
      <c r="D363" s="680" t="str">
        <f>'M.CANTID.GENERAL'!P1647</f>
        <v>UND</v>
      </c>
      <c r="E363" s="681">
        <f>'M.CANTID.GENERAL'!O1647</f>
        <v>1</v>
      </c>
      <c r="F363" s="644" t="e">
        <f>#REF!</f>
        <v>#REF!</v>
      </c>
      <c r="G363" s="645" t="e">
        <f t="shared" si="18"/>
        <v>#REF!</v>
      </c>
      <c r="I363" s="621"/>
    </row>
    <row r="364" spans="2:9" x14ac:dyDescent="0.2">
      <c r="B364" s="714" t="str">
        <f>'M.CANTID.GENERAL'!B1648</f>
        <v>1.7.10.</v>
      </c>
      <c r="C364" s="846" t="e">
        <f>'M.CANTID.GENERAL'!C1648</f>
        <v>#REF!</v>
      </c>
      <c r="D364" s="680" t="str">
        <f>'M.CANTID.GENERAL'!P1650</f>
        <v>UND</v>
      </c>
      <c r="E364" s="681">
        <f>'M.CANTID.GENERAL'!O1650</f>
        <v>1</v>
      </c>
      <c r="F364" s="682" t="e">
        <f>#REF!</f>
        <v>#REF!</v>
      </c>
      <c r="G364" s="645" t="e">
        <f t="shared" si="18"/>
        <v>#REF!</v>
      </c>
      <c r="I364" s="621"/>
    </row>
    <row r="365" spans="2:9" x14ac:dyDescent="0.2">
      <c r="B365" s="714" t="str">
        <f>'M.CANTID.GENERAL'!B1651</f>
        <v>1.7.11.</v>
      </c>
      <c r="C365" s="846" t="e">
        <f>'M.CANTID.GENERAL'!C1651</f>
        <v>#REF!</v>
      </c>
      <c r="D365" s="680" t="str">
        <f>'M.CANTID.GENERAL'!P1653</f>
        <v>UND</v>
      </c>
      <c r="E365" s="681">
        <f>'M.CANTID.GENERAL'!O1653</f>
        <v>3</v>
      </c>
      <c r="F365" s="682" t="e">
        <f>#REF!</f>
        <v>#REF!</v>
      </c>
      <c r="G365" s="645" t="e">
        <f t="shared" si="18"/>
        <v>#REF!</v>
      </c>
      <c r="I365" s="621"/>
    </row>
    <row r="366" spans="2:9" x14ac:dyDescent="0.2">
      <c r="B366" s="714" t="str">
        <f>'M.CANTID.GENERAL'!B1654</f>
        <v>1.7.12.</v>
      </c>
      <c r="C366" s="846" t="e">
        <f>'M.CANTID.GENERAL'!C1654</f>
        <v>#REF!</v>
      </c>
      <c r="D366" s="680" t="str">
        <f>'M.CANTID.GENERAL'!P1656</f>
        <v>UND</v>
      </c>
      <c r="E366" s="681">
        <f>'M.CANTID.GENERAL'!O1656</f>
        <v>18</v>
      </c>
      <c r="F366" s="682" t="e">
        <f>#REF!</f>
        <v>#REF!</v>
      </c>
      <c r="G366" s="645" t="e">
        <f t="shared" si="18"/>
        <v>#REF!</v>
      </c>
      <c r="I366" s="621"/>
    </row>
    <row r="367" spans="2:9" x14ac:dyDescent="0.2">
      <c r="B367" s="714" t="str">
        <f>'M.CANTID.GENERAL'!B1657</f>
        <v>1.7.13.</v>
      </c>
      <c r="C367" s="846" t="e">
        <f>'M.CANTID.GENERAL'!C1657</f>
        <v>#REF!</v>
      </c>
      <c r="D367" s="680" t="str">
        <f>'M.CANTID.GENERAL'!P1659</f>
        <v>ML</v>
      </c>
      <c r="E367" s="681">
        <f>'M.CANTID.GENERAL'!O1659</f>
        <v>14.4</v>
      </c>
      <c r="F367" s="644" t="e">
        <f>#REF!</f>
        <v>#REF!</v>
      </c>
      <c r="G367" s="645" t="e">
        <f t="shared" si="18"/>
        <v>#REF!</v>
      </c>
      <c r="I367" s="621"/>
    </row>
    <row r="368" spans="2:9" x14ac:dyDescent="0.2">
      <c r="B368" s="714" t="str">
        <f>'M.CANTID.GENERAL'!B1660</f>
        <v>1.7.14.</v>
      </c>
      <c r="C368" s="846" t="e">
        <f>'M.CANTID.GENERAL'!C1660</f>
        <v>#REF!</v>
      </c>
      <c r="D368" s="680" t="str">
        <f>'M.CANTID.GENERAL'!P1662</f>
        <v>ML</v>
      </c>
      <c r="E368" s="681">
        <f>'M.CANTID.GENERAL'!O1662</f>
        <v>20</v>
      </c>
      <c r="F368" s="644" t="e">
        <f>#REF!</f>
        <v>#REF!</v>
      </c>
      <c r="G368" s="645" t="e">
        <f t="shared" si="18"/>
        <v>#REF!</v>
      </c>
      <c r="I368" s="621"/>
    </row>
    <row r="369" spans="2:9" x14ac:dyDescent="0.2">
      <c r="B369" s="714" t="str">
        <f>'M.CANTID.GENERAL'!B1665</f>
        <v>1.7.15.</v>
      </c>
      <c r="C369" s="846" t="e">
        <f>'M.CANTID.GENERAL'!C1665</f>
        <v>#REF!</v>
      </c>
      <c r="D369" s="680" t="str">
        <f>'M.CANTID.GENERAL'!P1667</f>
        <v>UND</v>
      </c>
      <c r="E369" s="681">
        <f>'M.CANTID.GENERAL'!O1667</f>
        <v>5</v>
      </c>
      <c r="F369" s="682" t="e">
        <f>#REF!</f>
        <v>#REF!</v>
      </c>
      <c r="G369" s="645" t="e">
        <f t="shared" si="18"/>
        <v>#REF!</v>
      </c>
      <c r="I369" s="621"/>
    </row>
    <row r="370" spans="2:9" x14ac:dyDescent="0.2">
      <c r="B370" s="714" t="str">
        <f>'M.CANTID.GENERAL'!B1668</f>
        <v>1.7.16.</v>
      </c>
      <c r="C370" s="846" t="e">
        <f>'M.CANTID.GENERAL'!C1668</f>
        <v>#REF!</v>
      </c>
      <c r="D370" s="680" t="str">
        <f>'M.CANTID.GENERAL'!P1670</f>
        <v>UND</v>
      </c>
      <c r="E370" s="681">
        <f>'M.CANTID.GENERAL'!O1670</f>
        <v>5</v>
      </c>
      <c r="F370" s="682" t="e">
        <f>#REF!</f>
        <v>#REF!</v>
      </c>
      <c r="G370" s="645" t="e">
        <f t="shared" si="18"/>
        <v>#REF!</v>
      </c>
      <c r="I370" s="621"/>
    </row>
    <row r="371" spans="2:9" x14ac:dyDescent="0.2">
      <c r="B371" s="714" t="str">
        <f>'M.CANTID.GENERAL'!B1671</f>
        <v>1.7.17.</v>
      </c>
      <c r="C371" s="846" t="e">
        <f>'M.CANTID.GENERAL'!C1671</f>
        <v>#REF!</v>
      </c>
      <c r="D371" s="680" t="str">
        <f>'M.CANTID.GENERAL'!P1673</f>
        <v>UND</v>
      </c>
      <c r="E371" s="681">
        <f>'M.CANTID.GENERAL'!O1673</f>
        <v>2</v>
      </c>
      <c r="F371" s="644" t="e">
        <f>#REF!</f>
        <v>#REF!</v>
      </c>
      <c r="G371" s="645" t="e">
        <f t="shared" si="18"/>
        <v>#REF!</v>
      </c>
      <c r="I371" s="621"/>
    </row>
    <row r="372" spans="2:9" x14ac:dyDescent="0.2">
      <c r="B372" s="714" t="str">
        <f>'M.CANTID.GENERAL'!B1674</f>
        <v>1.7.18.</v>
      </c>
      <c r="C372" s="846" t="e">
        <f>'M.CANTID.GENERAL'!C1674</f>
        <v>#REF!</v>
      </c>
      <c r="D372" s="680" t="str">
        <f>'M.CANTID.GENERAL'!P1676</f>
        <v>UND</v>
      </c>
      <c r="E372" s="681">
        <f>'M.CANTID.GENERAL'!O1676</f>
        <v>1</v>
      </c>
      <c r="F372" s="644" t="e">
        <f>#REF!</f>
        <v>#REF!</v>
      </c>
      <c r="G372" s="645" t="e">
        <f t="shared" si="18"/>
        <v>#REF!</v>
      </c>
      <c r="I372" s="621"/>
    </row>
    <row r="373" spans="2:9" x14ac:dyDescent="0.2">
      <c r="B373" s="714" t="str">
        <f>'M.CANTID.GENERAL'!B1677</f>
        <v>1.7.19.</v>
      </c>
      <c r="C373" s="846" t="e">
        <f>'M.CANTID.GENERAL'!C1677</f>
        <v>#REF!</v>
      </c>
      <c r="D373" s="680" t="str">
        <f>'M.CANTID.GENERAL'!P1679</f>
        <v>UND</v>
      </c>
      <c r="E373" s="681">
        <f>'M.CANTID.GENERAL'!O1679</f>
        <v>1</v>
      </c>
      <c r="F373" s="644" t="e">
        <f>#REF!</f>
        <v>#REF!</v>
      </c>
      <c r="G373" s="645" t="e">
        <f t="shared" si="18"/>
        <v>#REF!</v>
      </c>
      <c r="I373" s="621"/>
    </row>
    <row r="374" spans="2:9" x14ac:dyDescent="0.2">
      <c r="B374" s="714" t="str">
        <f>'M.CANTID.GENERAL'!B1680</f>
        <v>1.7.20.</v>
      </c>
      <c r="C374" s="846" t="e">
        <f>'M.CANTID.GENERAL'!C1680</f>
        <v>#REF!</v>
      </c>
      <c r="D374" s="680" t="str">
        <f>'M.CANTID.GENERAL'!P1682</f>
        <v>UND</v>
      </c>
      <c r="E374" s="681">
        <f>'M.CANTID.GENERAL'!O1682</f>
        <v>1</v>
      </c>
      <c r="F374" s="644" t="e">
        <f>#REF!</f>
        <v>#REF!</v>
      </c>
      <c r="G374" s="645" t="e">
        <f t="shared" si="18"/>
        <v>#REF!</v>
      </c>
      <c r="I374" s="621"/>
    </row>
    <row r="375" spans="2:9" x14ac:dyDescent="0.2">
      <c r="B375" s="714" t="str">
        <f>'M.CANTID.GENERAL'!B1683</f>
        <v>1.7.21.</v>
      </c>
      <c r="C375" s="846" t="e">
        <f>'M.CANTID.GENERAL'!C1683</f>
        <v>#REF!</v>
      </c>
      <c r="D375" s="680" t="str">
        <f>'M.CANTID.GENERAL'!P1685</f>
        <v>UND</v>
      </c>
      <c r="E375" s="681">
        <f>'M.CANTID.GENERAL'!O1685</f>
        <v>1</v>
      </c>
      <c r="F375" s="644" t="e">
        <f>#REF!</f>
        <v>#REF!</v>
      </c>
      <c r="G375" s="645" t="e">
        <f t="shared" si="18"/>
        <v>#REF!</v>
      </c>
      <c r="I375" s="621"/>
    </row>
    <row r="376" spans="2:9" x14ac:dyDescent="0.2">
      <c r="B376" s="714" t="str">
        <f>'M.CANTID.GENERAL'!B1686</f>
        <v>1.7.22.</v>
      </c>
      <c r="C376" s="846" t="e">
        <f>'M.CANTID.GENERAL'!C1686</f>
        <v>#REF!</v>
      </c>
      <c r="D376" s="680" t="str">
        <f>'M.CANTID.GENERAL'!P1688</f>
        <v>UND</v>
      </c>
      <c r="E376" s="681">
        <f>'M.CANTID.GENERAL'!O1688</f>
        <v>5</v>
      </c>
      <c r="F376" s="644" t="e">
        <f>#REF!</f>
        <v>#REF!</v>
      </c>
      <c r="G376" s="645" t="e">
        <f t="shared" si="18"/>
        <v>#REF!</v>
      </c>
      <c r="I376" s="621"/>
    </row>
    <row r="377" spans="2:9" x14ac:dyDescent="0.2">
      <c r="B377" s="714" t="str">
        <f>'M.CANTID.GENERAL'!B1689</f>
        <v>1.7.23.</v>
      </c>
      <c r="C377" s="846" t="e">
        <f>'M.CANTID.GENERAL'!C1689</f>
        <v>#REF!</v>
      </c>
      <c r="D377" s="680" t="str">
        <f>'M.CANTID.GENERAL'!P1691</f>
        <v>UND</v>
      </c>
      <c r="E377" s="681">
        <f>'M.CANTID.GENERAL'!O1691</f>
        <v>2</v>
      </c>
      <c r="F377" s="644" t="e">
        <f>#REF!</f>
        <v>#REF!</v>
      </c>
      <c r="G377" s="645" t="e">
        <f t="shared" si="18"/>
        <v>#REF!</v>
      </c>
      <c r="I377" s="621"/>
    </row>
    <row r="378" spans="2:9" x14ac:dyDescent="0.2">
      <c r="B378" s="714" t="str">
        <f>'M.CANTID.GENERAL'!B1692</f>
        <v>1.7.24.</v>
      </c>
      <c r="C378" s="846" t="e">
        <f>'M.CANTID.GENERAL'!C1692</f>
        <v>#REF!</v>
      </c>
      <c r="D378" s="680" t="str">
        <f>'M.CANTID.GENERAL'!P1694</f>
        <v>UND</v>
      </c>
      <c r="E378" s="681">
        <f>'M.CANTID.GENERAL'!O1694</f>
        <v>14</v>
      </c>
      <c r="F378" s="644" t="e">
        <f>#REF!</f>
        <v>#REF!</v>
      </c>
      <c r="G378" s="645" t="e">
        <f t="shared" si="18"/>
        <v>#REF!</v>
      </c>
      <c r="I378" s="621"/>
    </row>
    <row r="379" spans="2:9" x14ac:dyDescent="0.2">
      <c r="B379" s="714" t="str">
        <f>'M.CANTID.GENERAL'!B1695</f>
        <v>1.7.25.</v>
      </c>
      <c r="C379" s="846" t="e">
        <f>'M.CANTID.GENERAL'!C1695</f>
        <v>#REF!</v>
      </c>
      <c r="D379" s="680" t="str">
        <f>'M.CANTID.GENERAL'!P1697</f>
        <v>UND</v>
      </c>
      <c r="E379" s="681">
        <f>'M.CANTID.GENERAL'!O1697</f>
        <v>8</v>
      </c>
      <c r="F379" s="644" t="e">
        <f>#REF!</f>
        <v>#REF!</v>
      </c>
      <c r="G379" s="645" t="e">
        <f t="shared" si="18"/>
        <v>#REF!</v>
      </c>
      <c r="I379" s="621"/>
    </row>
    <row r="380" spans="2:9" x14ac:dyDescent="0.2">
      <c r="B380" s="714" t="str">
        <f>'M.CANTID.GENERAL'!B1698</f>
        <v>1.7.26.</v>
      </c>
      <c r="C380" s="846" t="e">
        <f>'M.CANTID.GENERAL'!C1698</f>
        <v>#REF!</v>
      </c>
      <c r="D380" s="680" t="str">
        <f>'M.CANTID.GENERAL'!P1700</f>
        <v>UND</v>
      </c>
      <c r="E380" s="681">
        <f>'M.CANTID.GENERAL'!O1700</f>
        <v>2</v>
      </c>
      <c r="F380" s="644" t="e">
        <f>#REF!</f>
        <v>#REF!</v>
      </c>
      <c r="G380" s="645" t="e">
        <f t="shared" si="18"/>
        <v>#REF!</v>
      </c>
      <c r="I380" s="621"/>
    </row>
    <row r="381" spans="2:9" x14ac:dyDescent="0.2">
      <c r="B381" s="714" t="str">
        <f>'M.CANTID.GENERAL'!B1701</f>
        <v>1.7.27.</v>
      </c>
      <c r="C381" s="846" t="e">
        <f>'M.CANTID.GENERAL'!C1701</f>
        <v>#REF!</v>
      </c>
      <c r="D381" s="680" t="str">
        <f>'M.CANTID.GENERAL'!P1703</f>
        <v>UND</v>
      </c>
      <c r="E381" s="681">
        <f>'M.CANTID.GENERAL'!O1703</f>
        <v>13</v>
      </c>
      <c r="F381" s="644" t="e">
        <f>#REF!</f>
        <v>#REF!</v>
      </c>
      <c r="G381" s="645" t="e">
        <f t="shared" si="18"/>
        <v>#REF!</v>
      </c>
      <c r="I381" s="621"/>
    </row>
    <row r="382" spans="2:9" x14ac:dyDescent="0.2">
      <c r="B382" s="714" t="str">
        <f>'M.CANTID.GENERAL'!B1704</f>
        <v>1.7.28.</v>
      </c>
      <c r="C382" s="846" t="e">
        <f>'M.CANTID.GENERAL'!C1704</f>
        <v>#REF!</v>
      </c>
      <c r="D382" s="680" t="str">
        <f>'M.CANTID.GENERAL'!P1706</f>
        <v>UND</v>
      </c>
      <c r="E382" s="681">
        <f>'M.CANTID.GENERAL'!O1706</f>
        <v>2</v>
      </c>
      <c r="F382" s="644" t="e">
        <f>#REF!</f>
        <v>#REF!</v>
      </c>
      <c r="G382" s="645" t="e">
        <f t="shared" si="18"/>
        <v>#REF!</v>
      </c>
      <c r="I382" s="621"/>
    </row>
    <row r="383" spans="2:9" x14ac:dyDescent="0.2">
      <c r="B383" s="714" t="str">
        <f>'M.CANTID.GENERAL'!B1707</f>
        <v>1.7.29.</v>
      </c>
      <c r="C383" s="846" t="e">
        <f>'M.CANTID.GENERAL'!C1707</f>
        <v>#REF!</v>
      </c>
      <c r="D383" s="680" t="str">
        <f>'M.CANTID.GENERAL'!P1709</f>
        <v>UND</v>
      </c>
      <c r="E383" s="681">
        <f>'M.CANTID.GENERAL'!O1709</f>
        <v>2</v>
      </c>
      <c r="F383" s="682" t="e">
        <f>#REF!</f>
        <v>#REF!</v>
      </c>
      <c r="G383" s="756" t="e">
        <f t="shared" si="18"/>
        <v>#REF!</v>
      </c>
      <c r="I383" s="621"/>
    </row>
    <row r="384" spans="2:9" x14ac:dyDescent="0.2">
      <c r="B384" s="714" t="str">
        <f>'M.CANTID.GENERAL'!B1710</f>
        <v>1.7.30.</v>
      </c>
      <c r="C384" s="846" t="e">
        <f>'M.CANTID.GENERAL'!C1710</f>
        <v>#REF!</v>
      </c>
      <c r="D384" s="680" t="str">
        <f>'M.CANTID.GENERAL'!P1712</f>
        <v>UND</v>
      </c>
      <c r="E384" s="681">
        <f>'M.CANTID.GENERAL'!O1712</f>
        <v>12</v>
      </c>
      <c r="F384" s="682" t="e">
        <f>#REF!</f>
        <v>#REF!</v>
      </c>
      <c r="G384" s="756" t="e">
        <f t="shared" si="18"/>
        <v>#REF!</v>
      </c>
      <c r="I384" s="621"/>
    </row>
    <row r="385" spans="2:10" x14ac:dyDescent="0.2">
      <c r="B385" s="714" t="str">
        <f>'M.CANTID.GENERAL'!B1713</f>
        <v>1.7.31.</v>
      </c>
      <c r="C385" s="846" t="e">
        <f>'M.CANTID.GENERAL'!C1713</f>
        <v>#REF!</v>
      </c>
      <c r="D385" s="680" t="str">
        <f>'M.CANTID.GENERAL'!P1715</f>
        <v>UND</v>
      </c>
      <c r="E385" s="681">
        <f>'M.CANTID.GENERAL'!O1715</f>
        <v>27</v>
      </c>
      <c r="F385" s="682" t="e">
        <f>#REF!</f>
        <v>#REF!</v>
      </c>
      <c r="G385" s="756" t="e">
        <f t="shared" si="18"/>
        <v>#REF!</v>
      </c>
      <c r="I385" s="621"/>
    </row>
    <row r="386" spans="2:10" x14ac:dyDescent="0.2">
      <c r="B386" s="714" t="str">
        <f>'M.CANTID.GENERAL'!B1716</f>
        <v>1.7.32.</v>
      </c>
      <c r="C386" s="846" t="e">
        <f>'M.CANTID.GENERAL'!C1716</f>
        <v>#REF!</v>
      </c>
      <c r="D386" s="680" t="str">
        <f>'M.CANTID.GENERAL'!P1718</f>
        <v>ML</v>
      </c>
      <c r="E386" s="681">
        <f>'M.CANTID.GENERAL'!O1718</f>
        <v>21</v>
      </c>
      <c r="F386" s="682" t="e">
        <f>#REF!</f>
        <v>#REF!</v>
      </c>
      <c r="G386" s="756" t="e">
        <f t="shared" si="18"/>
        <v>#REF!</v>
      </c>
      <c r="I386" s="621"/>
    </row>
    <row r="387" spans="2:10" x14ac:dyDescent="0.2">
      <c r="B387" s="714" t="str">
        <f>'M.CANTID.GENERAL'!B1719</f>
        <v>1.7.33.</v>
      </c>
      <c r="C387" s="846" t="e">
        <f>'M.CANTID.GENERAL'!C1719</f>
        <v>#REF!</v>
      </c>
      <c r="D387" s="680" t="str">
        <f>'M.CANTID.GENERAL'!P1721</f>
        <v>UND</v>
      </c>
      <c r="E387" s="681">
        <f>'M.CANTID.GENERAL'!O1721</f>
        <v>12</v>
      </c>
      <c r="F387" s="682" t="e">
        <f>#REF!</f>
        <v>#REF!</v>
      </c>
      <c r="G387" s="756" t="e">
        <f t="shared" si="18"/>
        <v>#REF!</v>
      </c>
      <c r="I387" s="621"/>
    </row>
    <row r="388" spans="2:10" x14ac:dyDescent="0.2">
      <c r="B388" s="714" t="str">
        <f>'M.CANTID.GENERAL'!B1722</f>
        <v>1.7.34.</v>
      </c>
      <c r="C388" s="846" t="e">
        <f>'M.CANTID.GENERAL'!C1722</f>
        <v>#REF!</v>
      </c>
      <c r="D388" s="680" t="str">
        <f>'M.CANTID.GENERAL'!P1724</f>
        <v>UND</v>
      </c>
      <c r="E388" s="681">
        <f>'M.CANTID.GENERAL'!O1724</f>
        <v>1</v>
      </c>
      <c r="F388" s="682" t="e">
        <f>#REF!</f>
        <v>#REF!</v>
      </c>
      <c r="G388" s="756" t="e">
        <f t="shared" si="18"/>
        <v>#REF!</v>
      </c>
      <c r="I388" s="621"/>
    </row>
    <row r="389" spans="2:10" x14ac:dyDescent="0.2">
      <c r="B389" s="714" t="str">
        <f>'M.CANTID.GENERAL'!B1726</f>
        <v>1.7.35.</v>
      </c>
      <c r="C389" s="846" t="e">
        <f>'M.CANTID.GENERAL'!C1726</f>
        <v>#REF!</v>
      </c>
      <c r="D389" s="680" t="str">
        <f>'M.CANTID.GENERAL'!P1728</f>
        <v>UND</v>
      </c>
      <c r="E389" s="681">
        <f>'M.CANTID.GENERAL'!O1728</f>
        <v>10</v>
      </c>
      <c r="F389" s="682" t="e">
        <f>#REF!</f>
        <v>#REF!</v>
      </c>
      <c r="G389" s="756" t="e">
        <f t="shared" si="18"/>
        <v>#REF!</v>
      </c>
      <c r="I389" s="621"/>
    </row>
    <row r="390" spans="2:10" ht="28.5" customHeight="1" x14ac:dyDescent="0.2">
      <c r="B390" s="714" t="str">
        <f>'M.CANTID.GENERAL'!B1730</f>
        <v>1.7.36.</v>
      </c>
      <c r="C390" s="846" t="e">
        <f>'M.CANTID.GENERAL'!C1730</f>
        <v>#REF!</v>
      </c>
      <c r="D390" s="680" t="str">
        <f>'M.CANTID.GENERAL'!P1732</f>
        <v>UND</v>
      </c>
      <c r="E390" s="681">
        <f>'M.CANTID.GENERAL'!O1732</f>
        <v>12</v>
      </c>
      <c r="F390" s="682" t="e">
        <f>#REF!</f>
        <v>#REF!</v>
      </c>
      <c r="G390" s="756" t="e">
        <f>F390*E390</f>
        <v>#REF!</v>
      </c>
      <c r="I390" s="621"/>
    </row>
    <row r="391" spans="2:10" ht="29.25" customHeight="1" x14ac:dyDescent="0.2">
      <c r="B391" s="714" t="str">
        <f>'M.CANTID.GENERAL'!B1733</f>
        <v>1.7.37.</v>
      </c>
      <c r="C391" s="846" t="e">
        <f>'M.CANTID.GENERAL'!C1733</f>
        <v>#REF!</v>
      </c>
      <c r="D391" s="680" t="str">
        <f>'M.CANTID.GENERAL'!P1735</f>
        <v>UND</v>
      </c>
      <c r="E391" s="681">
        <f>'M.CANTID.GENERAL'!O1735</f>
        <v>8</v>
      </c>
      <c r="F391" s="682" t="e">
        <f>#REF!</f>
        <v>#REF!</v>
      </c>
      <c r="G391" s="756" t="e">
        <f>F391*E391</f>
        <v>#REF!</v>
      </c>
      <c r="I391" s="621"/>
    </row>
    <row r="392" spans="2:10" ht="32.25" customHeight="1" x14ac:dyDescent="0.2">
      <c r="B392" s="714" t="str">
        <f>'M.CANTID.GENERAL'!B1737</f>
        <v>1.7.38.</v>
      </c>
      <c r="C392" s="846" t="e">
        <f>'M.CANTID.GENERAL'!C1737</f>
        <v>#REF!</v>
      </c>
      <c r="D392" s="680" t="str">
        <f>'M.CANTID.GENERAL'!P1739</f>
        <v>UND</v>
      </c>
      <c r="E392" s="681">
        <f>'M.CANTID.GENERAL'!O1739</f>
        <v>1</v>
      </c>
      <c r="F392" s="682" t="e">
        <f>#REF!</f>
        <v>#REF!</v>
      </c>
      <c r="G392" s="756" t="e">
        <f>F392*E392</f>
        <v>#REF!</v>
      </c>
      <c r="I392" s="621"/>
    </row>
    <row r="393" spans="2:10" ht="33" customHeight="1" x14ac:dyDescent="0.2">
      <c r="B393" s="714" t="str">
        <f>'M.CANTID.GENERAL'!B1740</f>
        <v>1.7.39.</v>
      </c>
      <c r="C393" s="846" t="e">
        <f>'M.CANTID.GENERAL'!C1740</f>
        <v>#REF!</v>
      </c>
      <c r="D393" s="680" t="str">
        <f>'M.CANTID.GENERAL'!P1742</f>
        <v>UND</v>
      </c>
      <c r="E393" s="681">
        <f>'M.CANTID.GENERAL'!O1742</f>
        <v>1</v>
      </c>
      <c r="F393" s="682" t="e">
        <f>#REF!</f>
        <v>#REF!</v>
      </c>
      <c r="G393" s="756" t="e">
        <f>F393*E393</f>
        <v>#REF!</v>
      </c>
      <c r="I393" s="621"/>
    </row>
    <row r="394" spans="2:10" ht="15" thickBot="1" x14ac:dyDescent="0.25">
      <c r="B394" s="714"/>
      <c r="C394" s="846"/>
      <c r="D394" s="680"/>
      <c r="E394" s="681"/>
      <c r="F394" s="682"/>
      <c r="G394" s="756"/>
      <c r="I394" s="621"/>
    </row>
    <row r="395" spans="2:10" ht="15" customHeight="1" thickBot="1" x14ac:dyDescent="0.25">
      <c r="B395" s="1597" t="s">
        <v>1175</v>
      </c>
      <c r="C395" s="1597"/>
      <c r="D395" s="1597"/>
      <c r="E395" s="1597"/>
      <c r="F395" s="1597"/>
      <c r="G395" s="753" t="e">
        <f>SUM(G355:G394)</f>
        <v>#REF!</v>
      </c>
      <c r="I395" s="621"/>
    </row>
    <row r="396" spans="2:10" ht="15" customHeight="1" thickBot="1" x14ac:dyDescent="0.25">
      <c r="B396" s="1597" t="s">
        <v>1176</v>
      </c>
      <c r="C396" s="1597"/>
      <c r="D396" s="1597"/>
      <c r="E396" s="1597"/>
      <c r="F396" s="1597"/>
      <c r="G396" s="753">
        <v>0</v>
      </c>
    </row>
    <row r="397" spans="2:10" ht="15" customHeight="1" thickBot="1" x14ac:dyDescent="0.25">
      <c r="B397" s="1598" t="s">
        <v>1174</v>
      </c>
      <c r="C397" s="1598"/>
      <c r="D397" s="1598"/>
      <c r="E397" s="1598"/>
      <c r="F397" s="1598"/>
      <c r="G397" s="754" t="e">
        <f>SUM(G395:G396)</f>
        <v>#REF!</v>
      </c>
      <c r="I397" s="789" t="e">
        <f>G395+G396</f>
        <v>#REF!</v>
      </c>
    </row>
    <row r="398" spans="2:10" ht="15" customHeight="1" thickBot="1" x14ac:dyDescent="0.25">
      <c r="B398" s="1599" t="s">
        <v>1148</v>
      </c>
      <c r="C398" s="1599"/>
      <c r="D398" s="1599"/>
      <c r="E398" s="1599"/>
      <c r="F398" s="1599"/>
      <c r="G398" s="829" t="e">
        <f>G19+G67+G97+G287+G308+G350+G395</f>
        <v>#REF!</v>
      </c>
      <c r="I398" s="621"/>
    </row>
    <row r="399" spans="2:10" ht="15" customHeight="1" thickBot="1" x14ac:dyDescent="0.25">
      <c r="B399" s="1599" t="s">
        <v>1149</v>
      </c>
      <c r="C399" s="1599"/>
      <c r="D399" s="1599"/>
      <c r="E399" s="1599"/>
      <c r="F399" s="1599"/>
      <c r="G399" s="829" t="e">
        <f>G20+G68+G98+G288+G309+G351+G396</f>
        <v>#REF!</v>
      </c>
      <c r="I399" s="621"/>
    </row>
    <row r="400" spans="2:10" ht="15" customHeight="1" thickBot="1" x14ac:dyDescent="0.25">
      <c r="B400" s="1593" t="s">
        <v>1715</v>
      </c>
      <c r="C400" s="1593"/>
      <c r="D400" s="1593"/>
      <c r="E400" s="1593"/>
      <c r="F400" s="1593"/>
      <c r="G400" s="833" t="e">
        <f>G398</f>
        <v>#REF!</v>
      </c>
      <c r="I400" s="708"/>
      <c r="J400" s="709"/>
    </row>
    <row r="401" spans="2:13" ht="15" customHeight="1" thickBot="1" x14ac:dyDescent="0.25">
      <c r="B401" s="1594" t="s">
        <v>856</v>
      </c>
      <c r="C401" s="1595"/>
      <c r="D401" s="1595"/>
      <c r="E401" s="1595"/>
      <c r="F401" s="686">
        <f>SUM(E402:E404)</f>
        <v>0.3</v>
      </c>
      <c r="G401" s="689" t="e">
        <f>SUM(G402:G404)</f>
        <v>#REF!</v>
      </c>
      <c r="I401" s="621"/>
    </row>
    <row r="402" spans="2:13" ht="15" customHeight="1" thickBot="1" x14ac:dyDescent="0.25">
      <c r="B402" s="1583" t="s">
        <v>857</v>
      </c>
      <c r="C402" s="1584"/>
      <c r="D402" s="1585"/>
      <c r="E402" s="687">
        <v>0.23</v>
      </c>
      <c r="F402" s="688"/>
      <c r="G402" s="689" t="e">
        <f>ROUND((G$400*E402),0)</f>
        <v>#REF!</v>
      </c>
      <c r="I402" s="621"/>
    </row>
    <row r="403" spans="2:13" ht="15" customHeight="1" thickBot="1" x14ac:dyDescent="0.25">
      <c r="B403" s="1583" t="s">
        <v>858</v>
      </c>
      <c r="C403" s="1584"/>
      <c r="D403" s="1585"/>
      <c r="E403" s="687">
        <v>0.02</v>
      </c>
      <c r="F403" s="688"/>
      <c r="G403" s="689" t="e">
        <f>ROUND((G$400*E403),0)</f>
        <v>#REF!</v>
      </c>
      <c r="I403" s="621"/>
      <c r="J403" s="709"/>
    </row>
    <row r="404" spans="2:13" ht="15" customHeight="1" thickBot="1" x14ac:dyDescent="0.25">
      <c r="B404" s="1583" t="s">
        <v>859</v>
      </c>
      <c r="C404" s="1584"/>
      <c r="D404" s="1585"/>
      <c r="E404" s="687">
        <v>0.05</v>
      </c>
      <c r="F404" s="688"/>
      <c r="G404" s="689" t="e">
        <f>ROUND((G$400*E404),0)</f>
        <v>#REF!</v>
      </c>
      <c r="I404" s="621"/>
    </row>
    <row r="405" spans="2:13" ht="15" customHeight="1" thickBot="1" x14ac:dyDescent="0.25">
      <c r="B405" s="1593" t="s">
        <v>1682</v>
      </c>
      <c r="C405" s="1593"/>
      <c r="D405" s="1593"/>
      <c r="E405" s="1593"/>
      <c r="F405" s="1593"/>
      <c r="G405" s="833" t="e">
        <f>G400+G401</f>
        <v>#REF!</v>
      </c>
      <c r="I405" s="621"/>
    </row>
    <row r="406" spans="2:13" ht="15" customHeight="1" thickBot="1" x14ac:dyDescent="0.25">
      <c r="B406" s="1580" t="s">
        <v>1716</v>
      </c>
      <c r="C406" s="1581"/>
      <c r="D406" s="1581"/>
      <c r="E406" s="1581"/>
      <c r="F406" s="1582"/>
      <c r="G406" s="835" t="e">
        <f>G399</f>
        <v>#REF!</v>
      </c>
      <c r="I406" s="621"/>
    </row>
    <row r="407" spans="2:13" s="572" customFormat="1" ht="15" customHeight="1" thickBot="1" x14ac:dyDescent="0.25">
      <c r="B407" s="1583" t="s">
        <v>927</v>
      </c>
      <c r="C407" s="1584"/>
      <c r="D407" s="1585"/>
      <c r="E407" s="687">
        <v>0.12</v>
      </c>
      <c r="F407" s="688"/>
      <c r="G407" s="834" t="e">
        <f>ROUND((G$406*E407),0)</f>
        <v>#REF!</v>
      </c>
      <c r="I407" s="967"/>
    </row>
    <row r="408" spans="2:13" ht="15" customHeight="1" thickBot="1" x14ac:dyDescent="0.25">
      <c r="B408" s="1586" t="s">
        <v>1717</v>
      </c>
      <c r="C408" s="1586"/>
      <c r="D408" s="1586"/>
      <c r="E408" s="1586"/>
      <c r="F408" s="1586"/>
      <c r="G408" s="835" t="e">
        <f>G406+G407</f>
        <v>#REF!</v>
      </c>
      <c r="H408" s="691"/>
      <c r="I408" s="621"/>
    </row>
    <row r="409" spans="2:13" ht="15" customHeight="1" thickBot="1" x14ac:dyDescent="0.25">
      <c r="B409" s="1587" t="s">
        <v>1469</v>
      </c>
      <c r="C409" s="1588"/>
      <c r="D409" s="1588"/>
      <c r="E409" s="1589"/>
      <c r="F409" s="848">
        <v>0.01</v>
      </c>
      <c r="G409" s="849" t="e">
        <f>ROUND((G$400*F409),0)</f>
        <v>#REF!</v>
      </c>
      <c r="H409" s="691"/>
      <c r="I409" s="621"/>
    </row>
    <row r="410" spans="2:13" ht="15" customHeight="1" thickBot="1" x14ac:dyDescent="0.25">
      <c r="B410" s="1576" t="s">
        <v>1177</v>
      </c>
      <c r="C410" s="1577"/>
      <c r="D410" s="1578"/>
      <c r="E410" s="755"/>
      <c r="F410" s="688"/>
      <c r="G410" s="689">
        <v>7000000</v>
      </c>
      <c r="H410" s="691"/>
      <c r="I410" s="621"/>
    </row>
    <row r="411" spans="2:13" ht="32.25" customHeight="1" thickBot="1" x14ac:dyDescent="0.25">
      <c r="B411" s="1590" t="s">
        <v>1721</v>
      </c>
      <c r="C411" s="1591"/>
      <c r="D411" s="1592"/>
      <c r="E411" s="755"/>
      <c r="F411" s="688"/>
      <c r="G411" s="689">
        <v>5000000</v>
      </c>
      <c r="H411" s="691"/>
      <c r="I411" s="621"/>
    </row>
    <row r="412" spans="2:13" ht="15" customHeight="1" thickBot="1" x14ac:dyDescent="0.25">
      <c r="B412" s="1575" t="s">
        <v>1677</v>
      </c>
      <c r="C412" s="1575"/>
      <c r="D412" s="1575"/>
      <c r="E412" s="1575"/>
      <c r="F412" s="1575"/>
      <c r="G412" s="850" t="e">
        <f>G405+G408+G409+G410+G411</f>
        <v>#REF!</v>
      </c>
      <c r="I412" s="621"/>
      <c r="J412" s="786"/>
    </row>
    <row r="413" spans="2:13" ht="15" customHeight="1" thickBot="1" x14ac:dyDescent="0.25">
      <c r="B413" s="1576" t="s">
        <v>1718</v>
      </c>
      <c r="C413" s="1577"/>
      <c r="D413" s="1578"/>
      <c r="E413" s="755">
        <v>8.4500000000000006E-2</v>
      </c>
      <c r="F413" s="688"/>
      <c r="G413" s="689" t="e">
        <f>ROUND((G$412*E413),0)</f>
        <v>#REF!</v>
      </c>
      <c r="I413" s="789"/>
    </row>
    <row r="414" spans="2:13" ht="15" customHeight="1" thickBot="1" x14ac:dyDescent="0.25">
      <c r="B414" s="1579" t="s">
        <v>1730</v>
      </c>
      <c r="C414" s="1579"/>
      <c r="D414" s="1579"/>
      <c r="E414" s="1579"/>
      <c r="F414" s="1579"/>
      <c r="G414" s="852" t="e">
        <f>G412+G413</f>
        <v>#REF!</v>
      </c>
      <c r="I414" s="968"/>
      <c r="J414" s="572"/>
      <c r="K414" s="784"/>
      <c r="L414" s="572"/>
      <c r="M414" s="572"/>
    </row>
    <row r="415" spans="2:13" ht="21.75" customHeight="1" x14ac:dyDescent="0.2">
      <c r="B415" s="839"/>
      <c r="C415" s="839"/>
      <c r="D415" s="839"/>
      <c r="E415" s="839"/>
      <c r="F415" s="839"/>
      <c r="G415" s="840"/>
      <c r="I415" s="968"/>
      <c r="J415" s="572"/>
      <c r="K415" s="784"/>
      <c r="L415" s="572"/>
      <c r="M415" s="572"/>
    </row>
    <row r="416" spans="2:13" ht="21.75" customHeight="1" x14ac:dyDescent="0.2">
      <c r="B416" s="839"/>
      <c r="C416" s="839"/>
      <c r="D416" s="839"/>
      <c r="E416" s="839"/>
      <c r="F416" s="913"/>
      <c r="G416" s="840"/>
      <c r="I416" s="968"/>
      <c r="J416" s="572"/>
      <c r="K416" s="784"/>
      <c r="L416" s="572"/>
      <c r="M416" s="572"/>
    </row>
    <row r="417" spans="2:13" x14ac:dyDescent="0.2">
      <c r="B417" s="701"/>
      <c r="C417" s="701"/>
      <c r="D417" s="701"/>
      <c r="E417" s="701"/>
      <c r="F417" s="969" t="s">
        <v>1733</v>
      </c>
      <c r="G417" s="970" t="e">
        <f>G418-G414</f>
        <v>#REF!</v>
      </c>
      <c r="I417" s="967"/>
      <c r="J417" s="572"/>
      <c r="K417" s="572"/>
      <c r="L417" s="572"/>
      <c r="M417" s="572"/>
    </row>
    <row r="418" spans="2:13" x14ac:dyDescent="0.2">
      <c r="B418" s="701"/>
      <c r="C418" s="701"/>
      <c r="D418" s="701"/>
      <c r="E418" s="701"/>
      <c r="F418" s="969"/>
      <c r="G418" s="971" t="e">
        <f>'PRES.FASE 1-ADUCCION'!G114+'01'!#REF!+'PRES.FASE 3-DISTRIBUCCION'!G63</f>
        <v>#REF!</v>
      </c>
      <c r="I418" s="789"/>
    </row>
    <row r="419" spans="2:13" x14ac:dyDescent="0.2">
      <c r="B419" s="837"/>
      <c r="C419" s="837"/>
      <c r="D419" s="701"/>
      <c r="E419" s="837"/>
      <c r="F419" s="837"/>
      <c r="G419" s="838"/>
      <c r="I419" s="621"/>
      <c r="J419" s="785"/>
    </row>
    <row r="420" spans="2:13" ht="15" x14ac:dyDescent="0.2">
      <c r="B420" s="946" t="s">
        <v>1673</v>
      </c>
      <c r="C420" s="947"/>
      <c r="D420" s="628"/>
      <c r="E420" s="628"/>
      <c r="F420" s="677"/>
      <c r="G420" s="690"/>
      <c r="H420" s="692"/>
      <c r="I420" s="621"/>
    </row>
    <row r="421" spans="2:13" ht="10.5" customHeight="1" x14ac:dyDescent="0.2">
      <c r="B421" s="946" t="s">
        <v>1674</v>
      </c>
      <c r="C421" s="946"/>
      <c r="D421" s="674"/>
      <c r="E421" s="674"/>
      <c r="F421" s="676"/>
      <c r="G421" s="690"/>
    </row>
    <row r="422" spans="2:13" x14ac:dyDescent="0.2">
      <c r="B422" s="948" t="s">
        <v>1675</v>
      </c>
      <c r="C422" s="794"/>
      <c r="D422" s="674"/>
      <c r="E422" s="674"/>
      <c r="F422" s="676"/>
    </row>
    <row r="423" spans="2:13" x14ac:dyDescent="0.2">
      <c r="B423" s="674"/>
      <c r="D423" s="653"/>
      <c r="E423" s="674"/>
    </row>
    <row r="424" spans="2:13" x14ac:dyDescent="0.2">
      <c r="H424" s="652"/>
      <c r="I424" s="652"/>
      <c r="J424" s="652"/>
      <c r="K424" s="652"/>
    </row>
    <row r="425" spans="2:13" x14ac:dyDescent="0.2">
      <c r="H425" s="652"/>
      <c r="I425" s="652"/>
      <c r="J425" s="652"/>
      <c r="K425" s="652"/>
    </row>
    <row r="427" spans="2:13" x14ac:dyDescent="0.2">
      <c r="I427" s="652"/>
    </row>
    <row r="428" spans="2:13" x14ac:dyDescent="0.2">
      <c r="I428" s="652"/>
    </row>
    <row r="429" spans="2:13" x14ac:dyDescent="0.2">
      <c r="I429" s="652"/>
    </row>
    <row r="430" spans="2:13" x14ac:dyDescent="0.2">
      <c r="I430" s="652"/>
    </row>
    <row r="431" spans="2:13" x14ac:dyDescent="0.2">
      <c r="B431" s="579"/>
      <c r="E431" s="579"/>
      <c r="F431" s="579"/>
      <c r="G431" s="579"/>
      <c r="I431" s="652"/>
    </row>
    <row r="432" spans="2:13" x14ac:dyDescent="0.2">
      <c r="B432" s="579"/>
      <c r="E432" s="579"/>
      <c r="F432" s="579"/>
      <c r="G432" s="579"/>
      <c r="I432" s="652"/>
      <c r="J432" s="652"/>
    </row>
  </sheetData>
  <autoFilter ref="B6:G414" xr:uid="{00000000-0009-0000-0000-000005000000}"/>
  <mergeCells count="105">
    <mergeCell ref="C8:G8"/>
    <mergeCell ref="C9:G9"/>
    <mergeCell ref="C17:G17"/>
    <mergeCell ref="B19:F19"/>
    <mergeCell ref="B20:F20"/>
    <mergeCell ref="B21:F21"/>
    <mergeCell ref="B1:C1"/>
    <mergeCell ref="D1:G1"/>
    <mergeCell ref="B2:G2"/>
    <mergeCell ref="B3:G3"/>
    <mergeCell ref="B4:G4"/>
    <mergeCell ref="B7:G7"/>
    <mergeCell ref="C42:G42"/>
    <mergeCell ref="C43:G43"/>
    <mergeCell ref="C59:G59"/>
    <mergeCell ref="B65:F65"/>
    <mergeCell ref="B66:F66"/>
    <mergeCell ref="B67:F67"/>
    <mergeCell ref="B22:G22"/>
    <mergeCell ref="C23:G23"/>
    <mergeCell ref="C24:G24"/>
    <mergeCell ref="C38:G38"/>
    <mergeCell ref="B40:F40"/>
    <mergeCell ref="B41:F41"/>
    <mergeCell ref="B97:F97"/>
    <mergeCell ref="B98:F98"/>
    <mergeCell ref="B99:F99"/>
    <mergeCell ref="B100:G100"/>
    <mergeCell ref="C101:G101"/>
    <mergeCell ref="C102:G102"/>
    <mergeCell ref="B68:F68"/>
    <mergeCell ref="B69:F69"/>
    <mergeCell ref="B70:G70"/>
    <mergeCell ref="C71:G71"/>
    <mergeCell ref="C72:G72"/>
    <mergeCell ref="C94:G94"/>
    <mergeCell ref="B175:F175"/>
    <mergeCell ref="B176:F176"/>
    <mergeCell ref="C177:G177"/>
    <mergeCell ref="C178:G178"/>
    <mergeCell ref="C206:G206"/>
    <mergeCell ref="B210:F210"/>
    <mergeCell ref="C147:G147"/>
    <mergeCell ref="B151:F151"/>
    <mergeCell ref="B152:F152"/>
    <mergeCell ref="C153:G153"/>
    <mergeCell ref="C154:G154"/>
    <mergeCell ref="C173:G173"/>
    <mergeCell ref="C230:G230"/>
    <mergeCell ref="C231:G231"/>
    <mergeCell ref="C249:G249"/>
    <mergeCell ref="B253:F253"/>
    <mergeCell ref="B254:F254"/>
    <mergeCell ref="C255:G255"/>
    <mergeCell ref="B211:F211"/>
    <mergeCell ref="C212:G212"/>
    <mergeCell ref="C213:G213"/>
    <mergeCell ref="C226:G226"/>
    <mergeCell ref="B228:F228"/>
    <mergeCell ref="B229:F229"/>
    <mergeCell ref="B285:F285"/>
    <mergeCell ref="B286:F286"/>
    <mergeCell ref="B287:F287"/>
    <mergeCell ref="B288:F288"/>
    <mergeCell ref="B289:F289"/>
    <mergeCell ref="B290:G290"/>
    <mergeCell ref="C256:G256"/>
    <mergeCell ref="C272:G272"/>
    <mergeCell ref="B275:F275"/>
    <mergeCell ref="B276:F276"/>
    <mergeCell ref="C277:G277"/>
    <mergeCell ref="C278:G278"/>
    <mergeCell ref="C312:G312"/>
    <mergeCell ref="C345:G345"/>
    <mergeCell ref="B350:F350"/>
    <mergeCell ref="B351:F351"/>
    <mergeCell ref="B352:F352"/>
    <mergeCell ref="B353:G353"/>
    <mergeCell ref="C291:G291"/>
    <mergeCell ref="C306:G306"/>
    <mergeCell ref="B308:F308"/>
    <mergeCell ref="B309:F309"/>
    <mergeCell ref="B310:F310"/>
    <mergeCell ref="B311:G311"/>
    <mergeCell ref="B400:F400"/>
    <mergeCell ref="B401:E401"/>
    <mergeCell ref="B402:D402"/>
    <mergeCell ref="B403:D403"/>
    <mergeCell ref="B404:D404"/>
    <mergeCell ref="B405:F405"/>
    <mergeCell ref="C354:G354"/>
    <mergeCell ref="B395:F395"/>
    <mergeCell ref="B396:F396"/>
    <mergeCell ref="B397:F397"/>
    <mergeCell ref="B398:F398"/>
    <mergeCell ref="B399:F399"/>
    <mergeCell ref="B412:F412"/>
    <mergeCell ref="B413:D413"/>
    <mergeCell ref="B414:F414"/>
    <mergeCell ref="B406:F406"/>
    <mergeCell ref="B407:D407"/>
    <mergeCell ref="B408:F408"/>
    <mergeCell ref="B409:E409"/>
    <mergeCell ref="B410:D410"/>
    <mergeCell ref="B411:D411"/>
  </mergeCells>
  <printOptions horizontalCentered="1"/>
  <pageMargins left="0.19685039370078741" right="0.19685039370078741" top="0.19685039370078741" bottom="0.19685039370078741" header="0" footer="0"/>
  <pageSetup scale="92" orientation="portrait" horizontalDpi="4294967293" verticalDpi="4294967293" r:id="rId1"/>
  <rowBreaks count="2" manualBreakCount="2">
    <brk id="346" max="6" man="1"/>
    <brk id="368" max="6"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sheetPr>
  <dimension ref="A1:M132"/>
  <sheetViews>
    <sheetView view="pageBreakPreview" topLeftCell="A97" zoomScaleNormal="100" zoomScaleSheetLayoutView="100" workbookViewId="0">
      <selection activeCell="D126" sqref="D126"/>
    </sheetView>
  </sheetViews>
  <sheetFormatPr baseColWidth="10" defaultColWidth="11.42578125" defaultRowHeight="14.25" x14ac:dyDescent="0.2"/>
  <cols>
    <col min="1" max="1" width="3.7109375" style="579" customWidth="1"/>
    <col min="2" max="2" width="8.7109375" style="650" customWidth="1"/>
    <col min="3" max="3" width="37.28515625" style="579" customWidth="1"/>
    <col min="4" max="4" width="7.28515625" style="579" customWidth="1"/>
    <col min="5" max="5" width="9.7109375" style="651" customWidth="1"/>
    <col min="6" max="6" width="13.7109375" style="652" customWidth="1"/>
    <col min="7" max="7" width="22.42578125" style="652" bestFit="1" customWidth="1"/>
    <col min="8" max="8" width="31.5703125" style="579" customWidth="1"/>
    <col min="9" max="9" width="19.42578125" style="579" customWidth="1"/>
    <col min="10" max="10" width="19.85546875" style="579" customWidth="1"/>
    <col min="11" max="11" width="23" style="579" customWidth="1"/>
    <col min="12" max="12" width="19.5703125" style="579" customWidth="1"/>
    <col min="13" max="16384" width="11.42578125" style="579"/>
  </cols>
  <sheetData>
    <row r="1" spans="1:12" ht="77.25" customHeight="1" x14ac:dyDescent="0.3">
      <c r="A1" s="634"/>
      <c r="B1" s="1626"/>
      <c r="C1" s="1626"/>
      <c r="D1" s="1627" t="s">
        <v>1555</v>
      </c>
      <c r="E1" s="1627"/>
      <c r="F1" s="1627"/>
      <c r="G1" s="1627"/>
      <c r="H1" s="635"/>
      <c r="I1" s="963"/>
      <c r="J1" s="635"/>
      <c r="K1" s="635"/>
      <c r="L1" s="635"/>
    </row>
    <row r="2" spans="1:12" ht="50.25" customHeight="1" x14ac:dyDescent="0.2">
      <c r="B2" s="1628" t="s">
        <v>1556</v>
      </c>
      <c r="C2" s="1628"/>
      <c r="D2" s="1628"/>
      <c r="E2" s="1628"/>
      <c r="F2" s="1628"/>
      <c r="G2" s="1628"/>
      <c r="H2" s="636"/>
      <c r="I2" s="964"/>
      <c r="J2" s="636"/>
      <c r="K2" s="636"/>
      <c r="L2" s="636"/>
    </row>
    <row r="3" spans="1:12" ht="17.25" customHeight="1" thickBot="1" x14ac:dyDescent="0.25">
      <c r="B3" s="1629" t="s">
        <v>1723</v>
      </c>
      <c r="C3" s="1629"/>
      <c r="D3" s="1629"/>
      <c r="E3" s="1629"/>
      <c r="F3" s="1629"/>
      <c r="G3" s="1629"/>
      <c r="I3" s="621"/>
    </row>
    <row r="4" spans="1:12" ht="17.25" customHeight="1" thickBot="1" x14ac:dyDescent="0.25">
      <c r="B4" s="1630" t="str">
        <f>'M.CANTID.FASE 1-ADUCCION'!A5</f>
        <v>CAPITULO 1: ACUEDUCTO</v>
      </c>
      <c r="C4" s="1631"/>
      <c r="D4" s="1631"/>
      <c r="E4" s="1631"/>
      <c r="F4" s="1631"/>
      <c r="G4" s="1632"/>
      <c r="I4" s="621"/>
    </row>
    <row r="5" spans="1:12" ht="15.75" x14ac:dyDescent="0.2">
      <c r="B5" s="747"/>
      <c r="C5" s="747"/>
      <c r="D5" s="747"/>
      <c r="E5" s="747"/>
      <c r="F5" s="747" t="s">
        <v>847</v>
      </c>
      <c r="G5" s="748" t="s">
        <v>1725</v>
      </c>
      <c r="I5" s="621"/>
    </row>
    <row r="6" spans="1:12" ht="33" customHeight="1" x14ac:dyDescent="0.2">
      <c r="B6" s="637" t="s">
        <v>0</v>
      </c>
      <c r="C6" s="637" t="s">
        <v>1</v>
      </c>
      <c r="D6" s="637" t="s">
        <v>878</v>
      </c>
      <c r="E6" s="638" t="s">
        <v>421</v>
      </c>
      <c r="F6" s="639" t="s">
        <v>879</v>
      </c>
      <c r="G6" s="639" t="s">
        <v>600</v>
      </c>
      <c r="I6" s="621"/>
    </row>
    <row r="7" spans="1:12" ht="17.25" customHeight="1" x14ac:dyDescent="0.2">
      <c r="B7" s="1622" t="str">
        <f>'M.CANTID.FASE 1-ADUCCION'!A7</f>
        <v>1.1. BOCATOMA - CAPTACION</v>
      </c>
      <c r="C7" s="1623"/>
      <c r="D7" s="1623"/>
      <c r="E7" s="1623"/>
      <c r="F7" s="1623"/>
      <c r="G7" s="1624"/>
      <c r="I7" s="621"/>
    </row>
    <row r="8" spans="1:12" ht="17.25" customHeight="1" x14ac:dyDescent="0.2">
      <c r="B8" s="640" t="str">
        <f>'M.CANTID.FASE 1-ADUCCION'!B9</f>
        <v>1.1.1.</v>
      </c>
      <c r="C8" s="1600" t="str">
        <f>'M.CANTID.FASE 1-ADUCCION'!C9</f>
        <v>CAPTACION QUEBRADA LA VENTA</v>
      </c>
      <c r="D8" s="1600"/>
      <c r="E8" s="1600"/>
      <c r="F8" s="1600"/>
      <c r="G8" s="1600"/>
      <c r="I8" s="621"/>
    </row>
    <row r="9" spans="1:12" ht="17.25" customHeight="1" x14ac:dyDescent="0.2">
      <c r="B9" s="640"/>
      <c r="C9" s="1600" t="str">
        <f>'M.CANTID.FASE 1-ADUCCION'!C10</f>
        <v>OBRA CIVIL</v>
      </c>
      <c r="D9" s="1600"/>
      <c r="E9" s="1600"/>
      <c r="F9" s="1600"/>
      <c r="G9" s="1600"/>
      <c r="I9" s="621"/>
    </row>
    <row r="10" spans="1:12" ht="27" customHeight="1" x14ac:dyDescent="0.2">
      <c r="B10" s="641" t="str">
        <f>'M.CANTID.FASE 1-ADUCCION'!B12</f>
        <v>1.1.1.1.</v>
      </c>
      <c r="C10" s="717" t="e">
        <f>'M.CANTID.FASE 1-ADUCCION'!C12</f>
        <v>#REF!</v>
      </c>
      <c r="D10" s="642" t="str">
        <f>'M.CANTID.FASE 1-ADUCCION'!P14</f>
        <v>ML</v>
      </c>
      <c r="E10" s="643">
        <f>'M.CANTID.FASE 1-ADUCCION'!O14</f>
        <v>25</v>
      </c>
      <c r="F10" s="644" t="e">
        <f>#REF!</f>
        <v>#REF!</v>
      </c>
      <c r="G10" s="645" t="e">
        <f t="shared" ref="G10:G15" si="0">ROUND((+E10*F10),0)</f>
        <v>#REF!</v>
      </c>
      <c r="I10" s="621"/>
    </row>
    <row r="11" spans="1:12" ht="28.5" customHeight="1" x14ac:dyDescent="0.2">
      <c r="B11" s="641" t="str">
        <f>'M.CANTID.FASE 1-ADUCCION'!B15</f>
        <v>1.1.1.2.</v>
      </c>
      <c r="C11" s="717" t="e">
        <f>'M.CANTID.FASE 1-ADUCCION'!C15</f>
        <v>#REF!</v>
      </c>
      <c r="D11" s="642" t="str">
        <f>'M.CANTID.FASE 1-ADUCCION'!P17</f>
        <v>UND</v>
      </c>
      <c r="E11" s="643">
        <f>'M.CANTID.FASE 1-ADUCCION'!O17</f>
        <v>1</v>
      </c>
      <c r="F11" s="644" t="e">
        <f>#REF!</f>
        <v>#REF!</v>
      </c>
      <c r="G11" s="645" t="e">
        <f t="shared" si="0"/>
        <v>#REF!</v>
      </c>
      <c r="I11" s="621"/>
    </row>
    <row r="12" spans="1:12" ht="29.25" customHeight="1" x14ac:dyDescent="0.2">
      <c r="B12" s="641" t="str">
        <f>'M.CANTID.FASE 1-ADUCCION'!B18</f>
        <v>1.1.1.3.</v>
      </c>
      <c r="C12" s="717" t="e">
        <f>'M.CANTID.FASE 1-ADUCCION'!C18</f>
        <v>#REF!</v>
      </c>
      <c r="D12" s="642" t="str">
        <f>'M.CANTID.FASE 1-ADUCCION'!P20</f>
        <v>UND</v>
      </c>
      <c r="E12" s="643">
        <f>'M.CANTID.FASE 1-ADUCCION'!O20</f>
        <v>1</v>
      </c>
      <c r="F12" s="644" t="e">
        <f>#REF!</f>
        <v>#REF!</v>
      </c>
      <c r="G12" s="645" t="e">
        <f>ROUND((+E12*F12),0)</f>
        <v>#REF!</v>
      </c>
      <c r="I12" s="621"/>
    </row>
    <row r="13" spans="1:12" ht="54.75" customHeight="1" x14ac:dyDescent="0.2">
      <c r="B13" s="641" t="str">
        <f>'M.CANTID.FASE 1-ADUCCION'!B21</f>
        <v>1.1.1.4.</v>
      </c>
      <c r="C13" s="717" t="e">
        <f>'M.CANTID.FASE 1-ADUCCION'!C21</f>
        <v>#REF!</v>
      </c>
      <c r="D13" s="642" t="str">
        <f>'M.CANTID.FASE 1-ADUCCION'!P23</f>
        <v>UND</v>
      </c>
      <c r="E13" s="643">
        <f>'M.CANTID.FASE 1-ADUCCION'!O23</f>
        <v>1</v>
      </c>
      <c r="F13" s="644" t="e">
        <f>#REF!</f>
        <v>#REF!</v>
      </c>
      <c r="G13" s="645" t="e">
        <f>ROUND((+E13*F13),0)</f>
        <v>#REF!</v>
      </c>
      <c r="I13" s="621"/>
    </row>
    <row r="14" spans="1:12" ht="54.75" customHeight="1" x14ac:dyDescent="0.2">
      <c r="B14" s="641" t="str">
        <f>'M.CANTID.FASE 1-ADUCCION'!B24</f>
        <v>1.1.1.5.</v>
      </c>
      <c r="C14" s="717" t="e">
        <f>'M.CANTID.FASE 1-ADUCCION'!C24</f>
        <v>#REF!</v>
      </c>
      <c r="D14" s="642" t="str">
        <f>'M.CANTID.FASE 1-ADUCCION'!P26</f>
        <v>UND</v>
      </c>
      <c r="E14" s="643">
        <f>'M.CANTID.FASE 1-ADUCCION'!O26</f>
        <v>1</v>
      </c>
      <c r="F14" s="644" t="e">
        <f>#REF!</f>
        <v>#REF!</v>
      </c>
      <c r="G14" s="645" t="e">
        <f t="shared" si="0"/>
        <v>#REF!</v>
      </c>
      <c r="I14" s="621"/>
    </row>
    <row r="15" spans="1:12" ht="53.25" customHeight="1" x14ac:dyDescent="0.2">
      <c r="B15" s="641" t="str">
        <f>'M.CANTID.FASE 1-ADUCCION'!B27</f>
        <v>1.1.1.6.</v>
      </c>
      <c r="C15" s="707" t="e">
        <f>'M.CANTID.FASE 1-ADUCCION'!C27</f>
        <v>#REF!</v>
      </c>
      <c r="D15" s="703" t="str">
        <f>'M.CANTID.FASE 1-ADUCCION'!P29</f>
        <v>UND</v>
      </c>
      <c r="E15" s="704">
        <f>'M.CANTID.FASE 1-ADUCCION'!O29</f>
        <v>1</v>
      </c>
      <c r="F15" s="705" t="e">
        <f>#REF!</f>
        <v>#REF!</v>
      </c>
      <c r="G15" s="645" t="e">
        <f t="shared" si="0"/>
        <v>#REF!</v>
      </c>
      <c r="I15" s="621"/>
    </row>
    <row r="16" spans="1:12" ht="17.25" customHeight="1" x14ac:dyDescent="0.2">
      <c r="B16" s="641" t="str">
        <f>'M.CANTID.FASE 1-ADUCCION'!B30</f>
        <v>1.1.1.7.</v>
      </c>
      <c r="C16" s="707" t="e">
        <f>'M.CANTID.FASE 1-ADUCCION'!C30</f>
        <v>#REF!</v>
      </c>
      <c r="D16" s="703" t="str">
        <f>'M.CANTID.FASE 1-ADUCCION'!P32</f>
        <v>VIAJE</v>
      </c>
      <c r="E16" s="704">
        <f>'M.CANTID.FASE 1-ADUCCION'!O32</f>
        <v>20</v>
      </c>
      <c r="F16" s="705" t="e">
        <f>#REF!</f>
        <v>#REF!</v>
      </c>
      <c r="G16" s="645" t="e">
        <f t="shared" ref="G16" si="1">ROUND((+E16*F16),0)</f>
        <v>#REF!</v>
      </c>
      <c r="I16" s="621"/>
    </row>
    <row r="17" spans="2:9" ht="17.25" customHeight="1" x14ac:dyDescent="0.2">
      <c r="B17" s="640"/>
      <c r="C17" s="1600" t="str">
        <f>'M.CANTID.FASE 1-ADUCCION'!C35</f>
        <v>SUMINISTROS</v>
      </c>
      <c r="D17" s="1600"/>
      <c r="E17" s="1600"/>
      <c r="F17" s="1600"/>
      <c r="G17" s="1600"/>
      <c r="I17" s="621"/>
    </row>
    <row r="18" spans="2:9" ht="15" thickBot="1" x14ac:dyDescent="0.25">
      <c r="B18" s="641" t="str">
        <f>'M.CANTID.FASE 1-ADUCCION'!B36</f>
        <v>1.1.1.8.</v>
      </c>
      <c r="C18" s="717" t="e">
        <f>'M.CANTID.FASE 1-ADUCCION'!C36</f>
        <v>#REF!</v>
      </c>
      <c r="D18" s="642" t="str">
        <f>'M.CANTID.FASE 1-ADUCCION'!P38</f>
        <v>ML</v>
      </c>
      <c r="E18" s="643">
        <f>'M.CANTID.FASE 1-ADUCCION'!O38</f>
        <v>25</v>
      </c>
      <c r="F18" s="644" t="e">
        <f>#REF!</f>
        <v>#REF!</v>
      </c>
      <c r="G18" s="645" t="e">
        <f>ROUND((+E18*F18),0)</f>
        <v>#REF!</v>
      </c>
      <c r="I18" s="621"/>
    </row>
    <row r="19" spans="2:9" ht="15" thickBot="1" x14ac:dyDescent="0.25">
      <c r="B19" s="1597" t="s">
        <v>1076</v>
      </c>
      <c r="C19" s="1597"/>
      <c r="D19" s="1597"/>
      <c r="E19" s="1597"/>
      <c r="F19" s="1597"/>
      <c r="G19" s="728" t="e">
        <f>SUM(G10:G16)</f>
        <v>#REF!</v>
      </c>
      <c r="I19" s="621"/>
    </row>
    <row r="20" spans="2:9" ht="15" thickBot="1" x14ac:dyDescent="0.25">
      <c r="B20" s="1597" t="s">
        <v>1077</v>
      </c>
      <c r="C20" s="1597"/>
      <c r="D20" s="1597"/>
      <c r="E20" s="1597"/>
      <c r="F20" s="1597"/>
      <c r="G20" s="728" t="e">
        <f>SUM(G18)</f>
        <v>#REF!</v>
      </c>
    </row>
    <row r="21" spans="2:9" ht="15" thickBot="1" x14ac:dyDescent="0.25">
      <c r="B21" s="1598" t="s">
        <v>1161</v>
      </c>
      <c r="C21" s="1598"/>
      <c r="D21" s="1598"/>
      <c r="E21" s="1598"/>
      <c r="F21" s="1598"/>
      <c r="G21" s="729" t="e">
        <f>SUM(G19:G20)</f>
        <v>#REF!</v>
      </c>
      <c r="I21" s="789" t="e">
        <f>G19+G20</f>
        <v>#REF!</v>
      </c>
    </row>
    <row r="22" spans="2:9" ht="16.5" customHeight="1" x14ac:dyDescent="0.2">
      <c r="B22" s="1622" t="str">
        <f>'M.CANTID.FASE 1-ADUCCION'!A40</f>
        <v>1.2. ADUCCIONES</v>
      </c>
      <c r="C22" s="1623"/>
      <c r="D22" s="1623"/>
      <c r="E22" s="1623"/>
      <c r="F22" s="1623"/>
      <c r="G22" s="1624"/>
      <c r="I22" s="621"/>
    </row>
    <row r="23" spans="2:9" ht="22.5" customHeight="1" x14ac:dyDescent="0.2">
      <c r="B23" s="640" t="str">
        <f>'M.CANTID.FASE 1-ADUCCION'!B42</f>
        <v>1.2.1.</v>
      </c>
      <c r="C23" s="1600" t="str">
        <f>'M.CANTID.FASE 1-ADUCCION'!C42</f>
        <v>ADUCCION BOCATOMA - DESARENADOR</v>
      </c>
      <c r="D23" s="1600"/>
      <c r="E23" s="1600"/>
      <c r="F23" s="1600"/>
      <c r="G23" s="1600"/>
      <c r="I23" s="621"/>
    </row>
    <row r="24" spans="2:9" ht="17.25" customHeight="1" x14ac:dyDescent="0.2">
      <c r="B24" s="640"/>
      <c r="C24" s="1600" t="str">
        <f>'M.CANTID.FASE 1-ADUCCION'!C43</f>
        <v>OBRA CIVIL</v>
      </c>
      <c r="D24" s="1600"/>
      <c r="E24" s="1600"/>
      <c r="F24" s="1600"/>
      <c r="G24" s="1600"/>
      <c r="I24" s="621"/>
    </row>
    <row r="25" spans="2:9" x14ac:dyDescent="0.2">
      <c r="B25" s="641" t="str">
        <f>'M.CANTID.FASE 1-ADUCCION'!B45</f>
        <v>1.2.1.1.</v>
      </c>
      <c r="C25" s="717" t="e">
        <f>'M.CANTID.FASE 1-ADUCCION'!C45</f>
        <v>#REF!</v>
      </c>
      <c r="D25" s="642" t="str">
        <f>'M.CANTID.FASE 1-ADUCCION'!P47</f>
        <v>ML</v>
      </c>
      <c r="E25" s="643">
        <f>'M.CANTID.FASE 1-ADUCCION'!O47</f>
        <v>166.98</v>
      </c>
      <c r="F25" s="644" t="e">
        <f>#REF!</f>
        <v>#REF!</v>
      </c>
      <c r="G25" s="645" t="e">
        <f>ROUND((+E25*F25),0)</f>
        <v>#REF!</v>
      </c>
      <c r="I25" s="621"/>
    </row>
    <row r="26" spans="2:9" x14ac:dyDescent="0.2">
      <c r="B26" s="641" t="str">
        <f>'M.CANTID.FASE 1-ADUCCION'!B48</f>
        <v>1.2.1.2.</v>
      </c>
      <c r="C26" s="717" t="e">
        <f>'M.CANTID.FASE 1-ADUCCION'!C48</f>
        <v>#REF!</v>
      </c>
      <c r="D26" s="642" t="str">
        <f>'M.CANTID.FASE 1-ADUCCION'!P50</f>
        <v>M3</v>
      </c>
      <c r="E26" s="643">
        <f>'M.CANTID.FASE 1-ADUCCION'!O50</f>
        <v>390.73</v>
      </c>
      <c r="F26" s="644" t="e">
        <f>#REF!</f>
        <v>#REF!</v>
      </c>
      <c r="G26" s="645" t="e">
        <f t="shared" ref="G26:G37" si="2">ROUND((+E26*F26),0)</f>
        <v>#REF!</v>
      </c>
      <c r="I26" s="621"/>
    </row>
    <row r="27" spans="2:9" x14ac:dyDescent="0.2">
      <c r="B27" s="641" t="str">
        <f>'M.CANTID.FASE 1-ADUCCION'!B51</f>
        <v>1.2.1.3.</v>
      </c>
      <c r="C27" s="717" t="e">
        <f>'M.CANTID.FASE 1-ADUCCION'!C51</f>
        <v>#REF!</v>
      </c>
      <c r="D27" s="642" t="str">
        <f>'M.CANTID.FASE 1-ADUCCION'!P53</f>
        <v>M3</v>
      </c>
      <c r="E27" s="643">
        <f>'M.CANTID.FASE 1-ADUCCION'!O53</f>
        <v>77.27</v>
      </c>
      <c r="F27" s="644" t="e">
        <f>#REF!</f>
        <v>#REF!</v>
      </c>
      <c r="G27" s="645" t="e">
        <f t="shared" si="2"/>
        <v>#REF!</v>
      </c>
      <c r="I27" s="621"/>
    </row>
    <row r="28" spans="2:9" x14ac:dyDescent="0.2">
      <c r="B28" s="641" t="str">
        <f>'M.CANTID.FASE 1-ADUCCION'!B54</f>
        <v>1.2.1.4.</v>
      </c>
      <c r="C28" s="953" t="e">
        <f>'M.CANTID.FASE 1-ADUCCION'!C54</f>
        <v>#REF!</v>
      </c>
      <c r="D28" s="642" t="str">
        <f>'M.CANTID.FASE 1-ADUCCION'!P56</f>
        <v>M3-Km</v>
      </c>
      <c r="E28" s="643">
        <f>'M.CANTID.FASE 1-ADUCCION'!O56</f>
        <v>434.15</v>
      </c>
      <c r="F28" s="644" t="e">
        <f>#REF!</f>
        <v>#REF!</v>
      </c>
      <c r="G28" s="645" t="e">
        <f t="shared" si="2"/>
        <v>#REF!</v>
      </c>
      <c r="I28" s="621"/>
    </row>
    <row r="29" spans="2:9" x14ac:dyDescent="0.2">
      <c r="B29" s="641" t="str">
        <f>'M.CANTID.FASE 1-ADUCCION'!B57</f>
        <v>1.2.1.5.</v>
      </c>
      <c r="C29" s="717" t="e">
        <f>'M.CANTID.FASE 1-ADUCCION'!C57</f>
        <v>#REF!</v>
      </c>
      <c r="D29" s="642" t="str">
        <f>'M.CANTID.FASE 1-ADUCCION'!P59</f>
        <v>M3</v>
      </c>
      <c r="E29" s="643">
        <f>'M.CANTID.FASE 1-ADUCCION'!O59</f>
        <v>303.89999999999998</v>
      </c>
      <c r="F29" s="682" t="e">
        <f>#REF!</f>
        <v>#REF!</v>
      </c>
      <c r="G29" s="645" t="e">
        <f>ROUND((+E29*F29),0)</f>
        <v>#REF!</v>
      </c>
      <c r="I29" s="621"/>
    </row>
    <row r="30" spans="2:9" x14ac:dyDescent="0.2">
      <c r="B30" s="641" t="str">
        <f>'M.CANTID.FASE 1-ADUCCION'!B60</f>
        <v>1.2.1.6.</v>
      </c>
      <c r="C30" s="717" t="e">
        <f>'M.CANTID.FASE 1-ADUCCION'!C60</f>
        <v>#REF!</v>
      </c>
      <c r="D30" s="642" t="str">
        <f>'M.CANTID.FASE 1-ADUCCION'!P62</f>
        <v>ML</v>
      </c>
      <c r="E30" s="643">
        <f>'M.CANTID.FASE 1-ADUCCION'!O62</f>
        <v>166.98</v>
      </c>
      <c r="F30" s="644" t="e">
        <f>#REF!</f>
        <v>#REF!</v>
      </c>
      <c r="G30" s="645" t="e">
        <f t="shared" si="2"/>
        <v>#REF!</v>
      </c>
      <c r="I30" s="621"/>
    </row>
    <row r="31" spans="2:9" ht="29.25" customHeight="1" x14ac:dyDescent="0.2">
      <c r="B31" s="641" t="str">
        <f>'M.CANTID.FASE 1-ADUCCION'!B63</f>
        <v>1.2.1.7.</v>
      </c>
      <c r="C31" s="717" t="e">
        <f>'M.CANTID.FASE 1-ADUCCION'!C63</f>
        <v>#REF!</v>
      </c>
      <c r="D31" s="642" t="str">
        <f>'M.CANTID.FASE 1-ADUCCION'!P65</f>
        <v>UND</v>
      </c>
      <c r="E31" s="643">
        <f>'M.CANTID.FASE 1-ADUCCION'!O65</f>
        <v>1</v>
      </c>
      <c r="F31" s="644" t="e">
        <f>#REF!</f>
        <v>#REF!</v>
      </c>
      <c r="G31" s="645" t="e">
        <f t="shared" si="2"/>
        <v>#REF!</v>
      </c>
      <c r="I31" s="621"/>
    </row>
    <row r="32" spans="2:9" x14ac:dyDescent="0.2">
      <c r="B32" s="641" t="str">
        <f>'M.CANTID.FASE 1-ADUCCION'!B66</f>
        <v>1.2.1.8.</v>
      </c>
      <c r="C32" s="717" t="e">
        <f>'M.CANTID.FASE 1-ADUCCION'!C66</f>
        <v>#REF!</v>
      </c>
      <c r="D32" s="642" t="str">
        <f>'M.CANTID.FASE 1-ADUCCION'!P68</f>
        <v>UND</v>
      </c>
      <c r="E32" s="643">
        <f>'M.CANTID.FASE 1-ADUCCION'!O68</f>
        <v>2</v>
      </c>
      <c r="F32" s="644" t="e">
        <f>#REF!</f>
        <v>#REF!</v>
      </c>
      <c r="G32" s="645" t="e">
        <f>ROUND((+E32*F32),0)</f>
        <v>#REF!</v>
      </c>
      <c r="I32" s="621"/>
    </row>
    <row r="33" spans="2:9" ht="43.5" customHeight="1" x14ac:dyDescent="0.2">
      <c r="B33" s="641" t="str">
        <f>'M.CANTID.FASE 1-ADUCCION'!B69</f>
        <v>1.2.1.9.</v>
      </c>
      <c r="C33" s="717" t="e">
        <f>'M.CANTID.FASE 1-ADUCCION'!C69</f>
        <v>#REF!</v>
      </c>
      <c r="D33" s="642" t="str">
        <f>'M.CANTID.FASE 1-ADUCCION'!P71</f>
        <v>UND</v>
      </c>
      <c r="E33" s="643">
        <f>'M.CANTID.FASE 1-ADUCCION'!O71</f>
        <v>1</v>
      </c>
      <c r="F33" s="644" t="e">
        <f>#REF!</f>
        <v>#REF!</v>
      </c>
      <c r="G33" s="645" t="e">
        <f t="shared" si="2"/>
        <v>#REF!</v>
      </c>
      <c r="I33" s="621"/>
    </row>
    <row r="34" spans="2:9" x14ac:dyDescent="0.2">
      <c r="B34" s="641" t="str">
        <f>'M.CANTID.FASE 1-ADUCCION'!B72</f>
        <v>1.2.1.10.</v>
      </c>
      <c r="C34" s="717" t="e">
        <f>'M.CANTID.FASE 1-ADUCCION'!C72</f>
        <v>#REF!</v>
      </c>
      <c r="D34" s="642" t="str">
        <f>'M.CANTID.FASE 1-ADUCCION'!P74</f>
        <v>UND</v>
      </c>
      <c r="E34" s="643">
        <f>'M.CANTID.FASE 1-ADUCCION'!O74</f>
        <v>2</v>
      </c>
      <c r="F34" s="644" t="e">
        <f>#REF!</f>
        <v>#REF!</v>
      </c>
      <c r="G34" s="645" t="e">
        <f t="shared" si="2"/>
        <v>#REF!</v>
      </c>
      <c r="I34" s="621"/>
    </row>
    <row r="35" spans="2:9" ht="42" customHeight="1" x14ac:dyDescent="0.2">
      <c r="B35" s="641" t="str">
        <f>'M.CANTID.FASE 1-ADUCCION'!B75</f>
        <v>1.2.1.11.</v>
      </c>
      <c r="C35" s="717" t="e">
        <f>'M.CANTID.FASE 1-ADUCCION'!C75</f>
        <v>#REF!</v>
      </c>
      <c r="D35" s="642" t="str">
        <f>'M.CANTID.FASE 1-ADUCCION'!P77</f>
        <v>UND</v>
      </c>
      <c r="E35" s="643">
        <f>'M.CANTID.FASE 1-ADUCCION'!O77</f>
        <v>1</v>
      </c>
      <c r="F35" s="644" t="e">
        <f>#REF!</f>
        <v>#REF!</v>
      </c>
      <c r="G35" s="645" t="e">
        <f t="shared" si="2"/>
        <v>#REF!</v>
      </c>
      <c r="I35" s="621"/>
    </row>
    <row r="36" spans="2:9" x14ac:dyDescent="0.2">
      <c r="B36" s="641" t="str">
        <f>'M.CANTID.FASE 1-ADUCCION'!B78</f>
        <v>1.2.1.12.</v>
      </c>
      <c r="C36" s="717" t="e">
        <f>'M.CANTID.FASE 1-ADUCCION'!C78</f>
        <v>#REF!</v>
      </c>
      <c r="D36" s="642" t="str">
        <f>'M.CANTID.FASE 1-ADUCCION'!P80</f>
        <v>ML</v>
      </c>
      <c r="E36" s="643">
        <f>'M.CANTID.FASE 1-ADUCCION'!O80</f>
        <v>50</v>
      </c>
      <c r="F36" s="644" t="e">
        <f>#REF!</f>
        <v>#REF!</v>
      </c>
      <c r="G36" s="645" t="e">
        <f t="shared" si="2"/>
        <v>#REF!</v>
      </c>
      <c r="I36" s="621"/>
    </row>
    <row r="37" spans="2:9" x14ac:dyDescent="0.2">
      <c r="B37" s="641" t="str">
        <f>'M.CANTID.FASE 1-ADUCCION'!B81</f>
        <v>1.2.1.13.</v>
      </c>
      <c r="C37" s="952" t="e">
        <f>'M.CANTID.FASE 1-ADUCCION'!C81</f>
        <v>#REF!</v>
      </c>
      <c r="D37" s="642" t="str">
        <f>'M.CANTID.FASE 1-ADUCCION'!P84</f>
        <v>UND</v>
      </c>
      <c r="E37" s="643">
        <f>'M.CANTID.FASE 1-ADUCCION'!O84</f>
        <v>3</v>
      </c>
      <c r="F37" s="644" t="e">
        <f>#REF!</f>
        <v>#REF!</v>
      </c>
      <c r="G37" s="645" t="e">
        <f t="shared" si="2"/>
        <v>#REF!</v>
      </c>
      <c r="I37" s="621"/>
    </row>
    <row r="38" spans="2:9" ht="17.25" customHeight="1" x14ac:dyDescent="0.2">
      <c r="B38" s="640"/>
      <c r="C38" s="1600" t="str">
        <f>'M.CANTID.FASE 1-ADUCCION'!C87</f>
        <v>SUMINISTROS</v>
      </c>
      <c r="D38" s="1600"/>
      <c r="E38" s="1600"/>
      <c r="F38" s="1600"/>
      <c r="G38" s="1600"/>
      <c r="I38" s="621"/>
    </row>
    <row r="39" spans="2:9" ht="30" customHeight="1" thickBot="1" x14ac:dyDescent="0.25">
      <c r="B39" s="641" t="str">
        <f>'M.CANTID.FASE 1-ADUCCION'!B88</f>
        <v>1.2.1.14.</v>
      </c>
      <c r="C39" s="717" t="e">
        <f>'M.CANTID.FASE 1-ADUCCION'!C88</f>
        <v>#REF!</v>
      </c>
      <c r="D39" s="642" t="str">
        <f>'M.CANTID.FASE 1-ADUCCION'!P90</f>
        <v>ML</v>
      </c>
      <c r="E39" s="643">
        <f>'M.CANTID.FASE 1-ADUCCION'!O90</f>
        <v>166.98</v>
      </c>
      <c r="F39" s="644" t="e">
        <f>#REF!</f>
        <v>#REF!</v>
      </c>
      <c r="G39" s="645" t="e">
        <f>ROUND((+E39*F39),0)</f>
        <v>#REF!</v>
      </c>
      <c r="I39" s="621"/>
    </row>
    <row r="40" spans="2:9" ht="25.5" customHeight="1" thickBot="1" x14ac:dyDescent="0.25">
      <c r="B40" s="1625" t="s">
        <v>1579</v>
      </c>
      <c r="C40" s="1625"/>
      <c r="D40" s="1625"/>
      <c r="E40" s="1625"/>
      <c r="F40" s="1625"/>
      <c r="G40" s="728" t="e">
        <f>SUM(G25:G37)</f>
        <v>#REF!</v>
      </c>
      <c r="I40" s="621"/>
    </row>
    <row r="41" spans="2:9" ht="27" customHeight="1" thickBot="1" x14ac:dyDescent="0.25">
      <c r="B41" s="1625" t="s">
        <v>1580</v>
      </c>
      <c r="C41" s="1625"/>
      <c r="D41" s="1625"/>
      <c r="E41" s="1625"/>
      <c r="F41" s="1625"/>
      <c r="G41" s="728" t="e">
        <f>ROUND((G39),0)</f>
        <v>#REF!</v>
      </c>
      <c r="I41" s="789" t="e">
        <f>G40+G41</f>
        <v>#REF!</v>
      </c>
    </row>
    <row r="42" spans="2:9" ht="27" customHeight="1" x14ac:dyDescent="0.2">
      <c r="B42" s="640" t="str">
        <f>'M.CANTID.FASE 1-ADUCCION'!B94</f>
        <v>1.2.2.</v>
      </c>
      <c r="C42" s="1600" t="str">
        <f>'M.CANTID.FASE 1-ADUCCION'!C94</f>
        <v>ADUCCION DESARENADOR - PTAP ACUEDUCTO TESALIA</v>
      </c>
      <c r="D42" s="1600"/>
      <c r="E42" s="1600"/>
      <c r="F42" s="1600"/>
      <c r="G42" s="1600"/>
      <c r="I42" s="789"/>
    </row>
    <row r="43" spans="2:9" ht="17.25" customHeight="1" x14ac:dyDescent="0.2">
      <c r="B43" s="640"/>
      <c r="C43" s="1600" t="str">
        <f>'M.CANTID.FASE 1-ADUCCION'!C95</f>
        <v>OBRA CIVIL</v>
      </c>
      <c r="D43" s="1600"/>
      <c r="E43" s="1600"/>
      <c r="F43" s="1600"/>
      <c r="G43" s="1600"/>
      <c r="I43" s="621"/>
    </row>
    <row r="44" spans="2:9" x14ac:dyDescent="0.2">
      <c r="B44" s="641" t="str">
        <f>'M.CANTID.FASE 1-ADUCCION'!B97</f>
        <v>1.2.2.1.</v>
      </c>
      <c r="C44" s="717" t="e">
        <f>'M.CANTID.FASE 1-ADUCCION'!C97</f>
        <v>#REF!</v>
      </c>
      <c r="D44" s="642" t="str">
        <f>'M.CANTID.FASE 1-ADUCCION'!P103</f>
        <v>ML</v>
      </c>
      <c r="E44" s="643">
        <f>'M.CANTID.FASE 1-ADUCCION'!O103</f>
        <v>12174.76</v>
      </c>
      <c r="F44" s="644" t="e">
        <f>#REF!</f>
        <v>#REF!</v>
      </c>
      <c r="G44" s="645" t="e">
        <f t="shared" ref="G44:G57" si="3">ROUND((+E44*F44),0)</f>
        <v>#REF!</v>
      </c>
      <c r="I44" s="789"/>
    </row>
    <row r="45" spans="2:9" x14ac:dyDescent="0.2">
      <c r="B45" s="641" t="str">
        <f>'M.CANTID.FASE 1-ADUCCION'!B104</f>
        <v>1.2.2.2.</v>
      </c>
      <c r="C45" s="717" t="e">
        <f>'M.CANTID.FASE 1-ADUCCION'!C104</f>
        <v>#REF!</v>
      </c>
      <c r="D45" s="642" t="str">
        <f>'M.CANTID.FASE 1-ADUCCION'!P110</f>
        <v>M3</v>
      </c>
      <c r="E45" s="643">
        <f>'M.CANTID.FASE 1-ADUCCION'!O110</f>
        <v>15461.95</v>
      </c>
      <c r="F45" s="644" t="e">
        <f>#REF!</f>
        <v>#REF!</v>
      </c>
      <c r="G45" s="645" t="e">
        <f t="shared" si="3"/>
        <v>#REF!</v>
      </c>
      <c r="I45" s="789"/>
    </row>
    <row r="46" spans="2:9" x14ac:dyDescent="0.2">
      <c r="B46" s="641" t="str">
        <f>'M.CANTID.FASE 1-ADUCCION'!B111</f>
        <v>1.2.2.3.</v>
      </c>
      <c r="C46" s="717" t="e">
        <f>'M.CANTID.FASE 1-ADUCCION'!C111</f>
        <v>#REF!</v>
      </c>
      <c r="D46" s="642" t="str">
        <f>'M.CANTID.FASE 1-ADUCCION'!P117</f>
        <v>M3</v>
      </c>
      <c r="E46" s="643">
        <f>'M.CANTID.FASE 1-ADUCCION'!O117</f>
        <v>4837.0600000000004</v>
      </c>
      <c r="F46" s="644" t="e">
        <f>#REF!</f>
        <v>#REF!</v>
      </c>
      <c r="G46" s="645" t="e">
        <f t="shared" si="3"/>
        <v>#REF!</v>
      </c>
      <c r="I46" s="789"/>
    </row>
    <row r="47" spans="2:9" ht="67.5" customHeight="1" x14ac:dyDescent="0.2">
      <c r="B47" s="641" t="str">
        <f>'M.CANTID.FASE 1-ADUCCION'!B118</f>
        <v>1.2.2.4.</v>
      </c>
      <c r="C47" s="717" t="e">
        <f>'M.CANTID.FASE 1-ADUCCION'!C118</f>
        <v>#REF!</v>
      </c>
      <c r="D47" s="642" t="str">
        <f>'M.CANTID.FASE 1-ADUCCION'!P124</f>
        <v>M3-Km</v>
      </c>
      <c r="E47" s="643">
        <f>'M.CANTID.FASE 1-ADUCCION'!O124</f>
        <v>25567</v>
      </c>
      <c r="F47" s="644" t="e">
        <f>#REF!</f>
        <v>#REF!</v>
      </c>
      <c r="G47" s="645" t="e">
        <f t="shared" si="3"/>
        <v>#REF!</v>
      </c>
      <c r="I47" s="789"/>
    </row>
    <row r="48" spans="2:9" ht="27.75" customHeight="1" x14ac:dyDescent="0.2">
      <c r="B48" s="641" t="str">
        <f>'M.CANTID.FASE 1-ADUCCION'!B125</f>
        <v>1.2.2.5.</v>
      </c>
      <c r="C48" s="717" t="e">
        <f>'M.CANTID.FASE 1-ADUCCION'!C125</f>
        <v>#REF!</v>
      </c>
      <c r="D48" s="642" t="str">
        <f>'M.CANTID.FASE 1-ADUCCION'!P131</f>
        <v>M3</v>
      </c>
      <c r="E48" s="643">
        <f>'M.CANTID.FASE 1-ADUCCION'!O131</f>
        <v>10348.549999999999</v>
      </c>
      <c r="F48" s="682" t="e">
        <f>#REF!</f>
        <v>#REF!</v>
      </c>
      <c r="G48" s="645" t="e">
        <f t="shared" si="3"/>
        <v>#REF!</v>
      </c>
      <c r="I48" s="789"/>
    </row>
    <row r="49" spans="2:9" x14ac:dyDescent="0.2">
      <c r="B49" s="641" t="str">
        <f>'M.CANTID.FASE 1-ADUCCION'!B132</f>
        <v>1.2.2.6.</v>
      </c>
      <c r="C49" s="717" t="e">
        <f>'M.CANTID.FASE 1-ADUCCION'!C132</f>
        <v>#REF!</v>
      </c>
      <c r="D49" s="642" t="str">
        <f>'M.CANTID.FASE 1-ADUCCION'!P137</f>
        <v>ML</v>
      </c>
      <c r="E49" s="643">
        <f>'M.CANTID.FASE 1-ADUCCION'!O137</f>
        <v>5220.6899999999996</v>
      </c>
      <c r="F49" s="644" t="e">
        <f>#REF!</f>
        <v>#REF!</v>
      </c>
      <c r="G49" s="645" t="e">
        <f t="shared" si="3"/>
        <v>#REF!</v>
      </c>
      <c r="I49" s="789"/>
    </row>
    <row r="50" spans="2:9" ht="40.5" customHeight="1" x14ac:dyDescent="0.2">
      <c r="B50" s="641" t="str">
        <f>'M.CANTID.FASE 1-ADUCCION'!B138</f>
        <v>1.2.2.7.</v>
      </c>
      <c r="C50" s="717" t="e">
        <f>'M.CANTID.FASE 1-ADUCCION'!C138</f>
        <v>#REF!</v>
      </c>
      <c r="D50" s="642" t="str">
        <f>'M.CANTID.FASE 1-ADUCCION'!P140</f>
        <v>ML</v>
      </c>
      <c r="E50" s="643">
        <f>'M.CANTID.FASE 1-ADUCCION'!O140</f>
        <v>6954.07</v>
      </c>
      <c r="F50" s="644" t="e">
        <f>#REF!</f>
        <v>#REF!</v>
      </c>
      <c r="G50" s="645" t="e">
        <f t="shared" ref="G50" si="4">ROUND((+E50*F50),0)</f>
        <v>#REF!</v>
      </c>
      <c r="I50" s="789"/>
    </row>
    <row r="51" spans="2:9" ht="30.75" customHeight="1" x14ac:dyDescent="0.2">
      <c r="B51" s="641" t="str">
        <f>'M.CANTID.FASE 1-ADUCCION'!B141</f>
        <v>1.2.2.8.</v>
      </c>
      <c r="C51" s="717" t="e">
        <f>'M.CANTID.FASE 1-ADUCCION'!C141</f>
        <v>#REF!</v>
      </c>
      <c r="D51" s="642" t="str">
        <f>'M.CANTID.FASE 1-ADUCCION'!P143</f>
        <v>UND</v>
      </c>
      <c r="E51" s="643">
        <f>'M.CANTID.FASE 1-ADUCCION'!O143</f>
        <v>1</v>
      </c>
      <c r="F51" s="644" t="e">
        <f>#REF!</f>
        <v>#REF!</v>
      </c>
      <c r="G51" s="645" t="e">
        <f t="shared" si="3"/>
        <v>#REF!</v>
      </c>
      <c r="I51" s="789"/>
    </row>
    <row r="52" spans="2:9" ht="55.5" customHeight="1" x14ac:dyDescent="0.2">
      <c r="B52" s="641" t="str">
        <f>'M.CANTID.FASE 1-ADUCCION'!B144</f>
        <v>1.2.2.9.</v>
      </c>
      <c r="C52" s="717" t="e">
        <f>'M.CANTID.FASE 1-ADUCCION'!C144</f>
        <v>#REF!</v>
      </c>
      <c r="D52" s="642" t="str">
        <f>'M.CANTID.FASE 1-ADUCCION'!P146</f>
        <v>UND</v>
      </c>
      <c r="E52" s="643">
        <f>'M.CANTID.FASE 1-ADUCCION'!O146</f>
        <v>11</v>
      </c>
      <c r="F52" s="644" t="e">
        <f>#REF!</f>
        <v>#REF!</v>
      </c>
      <c r="G52" s="645" t="e">
        <f t="shared" si="3"/>
        <v>#REF!</v>
      </c>
      <c r="I52" s="789"/>
    </row>
    <row r="53" spans="2:9" ht="40.5" customHeight="1" x14ac:dyDescent="0.2">
      <c r="B53" s="641" t="str">
        <f>'M.CANTID.FASE 1-ADUCCION'!B147</f>
        <v>1.2.10.</v>
      </c>
      <c r="C53" s="717" t="e">
        <f>'M.CANTID.FASE 1-ADUCCION'!C147</f>
        <v>#REF!</v>
      </c>
      <c r="D53" s="642" t="str">
        <f>'M.CANTID.FASE 1-ADUCCION'!P149</f>
        <v>UND</v>
      </c>
      <c r="E53" s="643">
        <f>'M.CANTID.FASE 1-ADUCCION'!O149</f>
        <v>11</v>
      </c>
      <c r="F53" s="644" t="e">
        <f>#REF!</f>
        <v>#REF!</v>
      </c>
      <c r="G53" s="645" t="e">
        <f t="shared" si="3"/>
        <v>#REF!</v>
      </c>
      <c r="I53" s="789"/>
    </row>
    <row r="54" spans="2:9" ht="40.5" customHeight="1" x14ac:dyDescent="0.2">
      <c r="B54" s="641" t="str">
        <f>'M.CANTID.FASE 1-ADUCCION'!B150</f>
        <v>1.2.2.11.</v>
      </c>
      <c r="C54" s="717" t="e">
        <f>'M.CANTID.FASE 1-ADUCCION'!C150</f>
        <v>#REF!</v>
      </c>
      <c r="D54" s="642" t="str">
        <f>'M.CANTID.FASE 1-ADUCCION'!P152</f>
        <v>UND</v>
      </c>
      <c r="E54" s="643">
        <f>'M.CANTID.FASE 1-ADUCCION'!O152</f>
        <v>18</v>
      </c>
      <c r="F54" s="644" t="e">
        <f>#REF!</f>
        <v>#REF!</v>
      </c>
      <c r="G54" s="645" t="e">
        <f>ROUND((+E54*F54),0)</f>
        <v>#REF!</v>
      </c>
      <c r="I54" s="789"/>
    </row>
    <row r="55" spans="2:9" ht="40.5" customHeight="1" x14ac:dyDescent="0.2">
      <c r="B55" s="641" t="str">
        <f>'M.CANTID.FASE 1-ADUCCION'!B153</f>
        <v>1.2.2.12.</v>
      </c>
      <c r="C55" s="717" t="e">
        <f>'M.CANTID.FASE 1-ADUCCION'!C153</f>
        <v>#REF!</v>
      </c>
      <c r="D55" s="642" t="str">
        <f>'M.CANTID.FASE 1-ADUCCION'!P155</f>
        <v>UND</v>
      </c>
      <c r="E55" s="643">
        <f>'M.CANTID.FASE 1-ADUCCION'!O155</f>
        <v>4</v>
      </c>
      <c r="F55" s="644" t="e">
        <f>#REF!</f>
        <v>#REF!</v>
      </c>
      <c r="G55" s="645" t="e">
        <f>ROUND((+E55*F55),0)</f>
        <v>#REF!</v>
      </c>
      <c r="I55" s="789"/>
    </row>
    <row r="56" spans="2:9" ht="93" customHeight="1" x14ac:dyDescent="0.2">
      <c r="B56" s="641" t="str">
        <f>'M.CANTID.FASE 1-ADUCCION'!B156</f>
        <v>1.2.2.13.</v>
      </c>
      <c r="C56" s="952" t="e">
        <f>'M.CANTID.FASE 1-ADUCCION'!C156</f>
        <v>#REF!</v>
      </c>
      <c r="D56" s="642" t="str">
        <f>'M.CANTID.FASE 1-ADUCCION'!P159</f>
        <v>UND</v>
      </c>
      <c r="E56" s="643">
        <f>'M.CANTID.FASE 1-ADUCCION'!O159</f>
        <v>22</v>
      </c>
      <c r="F56" s="644" t="e">
        <f>#REF!</f>
        <v>#REF!</v>
      </c>
      <c r="G56" s="645" t="e">
        <f t="shared" si="3"/>
        <v>#REF!</v>
      </c>
      <c r="I56" s="789"/>
    </row>
    <row r="57" spans="2:9" ht="132" customHeight="1" x14ac:dyDescent="0.2">
      <c r="B57" s="641" t="str">
        <f>'M.CANTID.FASE 1-ADUCCION'!B160</f>
        <v>1.2.2.14.</v>
      </c>
      <c r="C57" s="717" t="e">
        <f>'M.CANTID.FASE 1-ADUCCION'!C160</f>
        <v>#REF!</v>
      </c>
      <c r="D57" s="642" t="str">
        <f>'M.CANTID.FASE 1-ADUCCION'!P162</f>
        <v>ML</v>
      </c>
      <c r="E57" s="643">
        <f>'M.CANTID.FASE 1-ADUCCION'!O162</f>
        <v>615.5</v>
      </c>
      <c r="F57" s="644" t="e">
        <f>#REF!</f>
        <v>#REF!</v>
      </c>
      <c r="G57" s="645" t="e">
        <f t="shared" si="3"/>
        <v>#REF!</v>
      </c>
      <c r="I57" s="789"/>
    </row>
    <row r="58" spans="2:9" ht="134.25" customHeight="1" x14ac:dyDescent="0.2">
      <c r="B58" s="641" t="str">
        <f>'M.CANTID.FASE 1-ADUCCION'!B163</f>
        <v>1.2.2.15.</v>
      </c>
      <c r="C58" s="717" t="e">
        <f>'M.CANTID.FASE 1-ADUCCION'!C163</f>
        <v>#REF!</v>
      </c>
      <c r="D58" s="642" t="str">
        <f>'M.CANTID.FASE 1-ADUCCION'!P165</f>
        <v>UND</v>
      </c>
      <c r="E58" s="643">
        <f>'M.CANTID.FASE 1-ADUCCION'!O165</f>
        <v>1</v>
      </c>
      <c r="F58" s="644" t="e">
        <f>#REF!</f>
        <v>#REF!</v>
      </c>
      <c r="G58" s="645" t="e">
        <f>ROUND((+E58*F58),0)</f>
        <v>#REF!</v>
      </c>
      <c r="I58" s="789"/>
    </row>
    <row r="59" spans="2:9" ht="17.25" customHeight="1" x14ac:dyDescent="0.2">
      <c r="B59" s="640"/>
      <c r="C59" s="1600" t="str">
        <f>'M.CANTID.FASE 1-ADUCCION'!C167</f>
        <v>SUMINISTROS</v>
      </c>
      <c r="D59" s="1600"/>
      <c r="E59" s="1600"/>
      <c r="F59" s="1600"/>
      <c r="G59" s="1600"/>
      <c r="I59" s="621"/>
    </row>
    <row r="60" spans="2:9" x14ac:dyDescent="0.2">
      <c r="B60" s="641" t="str">
        <f>'M.CANTID.FASE 1-ADUCCION'!B168</f>
        <v>1.2.2.16.</v>
      </c>
      <c r="C60" s="717" t="e">
        <f>'M.CANTID.FASE 1-ADUCCION'!C168</f>
        <v>#REF!</v>
      </c>
      <c r="D60" s="642" t="str">
        <f>'M.CANTID.FASE 1-ADUCCION'!P170</f>
        <v>ML</v>
      </c>
      <c r="E60" s="643">
        <f>'M.CANTID.FASE 1-ADUCCION'!O170</f>
        <v>86.84</v>
      </c>
      <c r="F60" s="644" t="e">
        <f>#REF!</f>
        <v>#REF!</v>
      </c>
      <c r="G60" s="645" t="e">
        <f>ROUND((+E60*F60),0)</f>
        <v>#REF!</v>
      </c>
      <c r="I60" s="789"/>
    </row>
    <row r="61" spans="2:9" x14ac:dyDescent="0.2">
      <c r="B61" s="641" t="str">
        <f>'M.CANTID.FASE 1-ADUCCION'!B171</f>
        <v>1.2.2.17.</v>
      </c>
      <c r="C61" s="717" t="e">
        <f>'M.CANTID.FASE 1-ADUCCION'!C171</f>
        <v>#REF!</v>
      </c>
      <c r="D61" s="642" t="str">
        <f>'M.CANTID.FASE 1-ADUCCION'!P173</f>
        <v>ML</v>
      </c>
      <c r="E61" s="643">
        <f>'M.CANTID.FASE 1-ADUCCION'!O173</f>
        <v>137.59</v>
      </c>
      <c r="F61" s="644" t="e">
        <f>#REF!</f>
        <v>#REF!</v>
      </c>
      <c r="G61" s="645" t="e">
        <f t="shared" ref="G61:G64" si="5">ROUND((+E61*F61),0)</f>
        <v>#REF!</v>
      </c>
      <c r="I61" s="789"/>
    </row>
    <row r="62" spans="2:9" x14ac:dyDescent="0.2">
      <c r="B62" s="641" t="str">
        <f>'M.CANTID.FASE 1-ADUCCION'!B176</f>
        <v>1.2.2.18.</v>
      </c>
      <c r="C62" s="717" t="e">
        <f>'M.CANTID.FASE 1-ADUCCION'!C176</f>
        <v>#REF!</v>
      </c>
      <c r="D62" s="642" t="str">
        <f>'M.CANTID.FASE 1-ADUCCION'!P178</f>
        <v>ML</v>
      </c>
      <c r="E62" s="643">
        <f>'M.CANTID.FASE 1-ADUCCION'!O178</f>
        <v>911.06</v>
      </c>
      <c r="F62" s="644" t="e">
        <f>#REF!</f>
        <v>#REF!</v>
      </c>
      <c r="G62" s="645" t="e">
        <f t="shared" si="5"/>
        <v>#REF!</v>
      </c>
      <c r="I62" s="789"/>
    </row>
    <row r="63" spans="2:9" x14ac:dyDescent="0.2">
      <c r="B63" s="641" t="str">
        <f>'M.CANTID.FASE 1-ADUCCION'!B179</f>
        <v>1.2.2.19.</v>
      </c>
      <c r="C63" s="717" t="e">
        <f>'M.CANTID.FASE 1-ADUCCION'!C179</f>
        <v>#REF!</v>
      </c>
      <c r="D63" s="642" t="str">
        <f>'M.CANTID.FASE 1-ADUCCION'!P181</f>
        <v>ML</v>
      </c>
      <c r="E63" s="643">
        <f>'M.CANTID.FASE 1-ADUCCION'!O181</f>
        <v>4085.2</v>
      </c>
      <c r="F63" s="644" t="e">
        <f>#REF!</f>
        <v>#REF!</v>
      </c>
      <c r="G63" s="645" t="e">
        <f t="shared" si="5"/>
        <v>#REF!</v>
      </c>
      <c r="I63" s="789"/>
    </row>
    <row r="64" spans="2:9" ht="30" customHeight="1" thickBot="1" x14ac:dyDescent="0.25">
      <c r="B64" s="641" t="str">
        <f>'M.CANTID.FASE 1-ADUCCION'!B182</f>
        <v>1.2.2.20.</v>
      </c>
      <c r="C64" s="717" t="e">
        <f>'M.CANTID.FASE 1-ADUCCION'!C182</f>
        <v>#REF!</v>
      </c>
      <c r="D64" s="642" t="str">
        <f>'M.CANTID.FASE 1-ADUCCION'!P184</f>
        <v>ML</v>
      </c>
      <c r="E64" s="643">
        <f>'M.CANTID.FASE 1-ADUCCION'!O184</f>
        <v>6954.07</v>
      </c>
      <c r="F64" s="644" t="e">
        <f>#REF!</f>
        <v>#REF!</v>
      </c>
      <c r="G64" s="645" t="e">
        <f t="shared" si="5"/>
        <v>#REF!</v>
      </c>
      <c r="I64" s="789"/>
    </row>
    <row r="65" spans="2:9" ht="25.5" customHeight="1" thickBot="1" x14ac:dyDescent="0.25">
      <c r="B65" s="1597" t="s">
        <v>1581</v>
      </c>
      <c r="C65" s="1597"/>
      <c r="D65" s="1597"/>
      <c r="E65" s="1597"/>
      <c r="F65" s="1597"/>
      <c r="G65" s="728" t="e">
        <f>SUM(G44:G58)</f>
        <v>#REF!</v>
      </c>
      <c r="I65" s="789"/>
    </row>
    <row r="66" spans="2:9" ht="25.5" customHeight="1" thickBot="1" x14ac:dyDescent="0.25">
      <c r="B66" s="1597" t="s">
        <v>1582</v>
      </c>
      <c r="C66" s="1597"/>
      <c r="D66" s="1597"/>
      <c r="E66" s="1597"/>
      <c r="F66" s="1597"/>
      <c r="G66" s="728" t="e">
        <f>SUM(G60:G64)</f>
        <v>#REF!</v>
      </c>
      <c r="I66" s="789" t="e">
        <f>G65+G66</f>
        <v>#REF!</v>
      </c>
    </row>
    <row r="67" spans="2:9" ht="15" thickBot="1" x14ac:dyDescent="0.25">
      <c r="B67" s="1598" t="s">
        <v>1164</v>
      </c>
      <c r="C67" s="1598"/>
      <c r="D67" s="1598"/>
      <c r="E67" s="1598"/>
      <c r="F67" s="1598"/>
      <c r="G67" s="729" t="e">
        <f>G40+G65</f>
        <v>#REF!</v>
      </c>
      <c r="I67" s="621"/>
    </row>
    <row r="68" spans="2:9" ht="15" thickBot="1" x14ac:dyDescent="0.25">
      <c r="B68" s="1598" t="s">
        <v>1163</v>
      </c>
      <c r="C68" s="1598"/>
      <c r="D68" s="1598"/>
      <c r="E68" s="1598"/>
      <c r="F68" s="1598"/>
      <c r="G68" s="729" t="e">
        <f>G41+G66</f>
        <v>#REF!</v>
      </c>
    </row>
    <row r="69" spans="2:9" ht="15" thickBot="1" x14ac:dyDescent="0.25">
      <c r="B69" s="1598" t="s">
        <v>1162</v>
      </c>
      <c r="C69" s="1598"/>
      <c r="D69" s="1598"/>
      <c r="E69" s="1598"/>
      <c r="F69" s="1598"/>
      <c r="G69" s="729" t="e">
        <f>SUM(G67:G68)</f>
        <v>#REF!</v>
      </c>
      <c r="I69" s="789" t="e">
        <f>G67+G68</f>
        <v>#REF!</v>
      </c>
    </row>
    <row r="70" spans="2:9" ht="16.5" thickBot="1" x14ac:dyDescent="0.25">
      <c r="B70" s="1601" t="str">
        <f>'M.CANTID.FASE 1-ADUCCION'!A187</f>
        <v>1.3. DESARENADOR</v>
      </c>
      <c r="C70" s="1602"/>
      <c r="D70" s="1602"/>
      <c r="E70" s="1602"/>
      <c r="F70" s="1602"/>
      <c r="G70" s="1603"/>
      <c r="I70" s="621"/>
    </row>
    <row r="71" spans="2:9" x14ac:dyDescent="0.2">
      <c r="B71" s="706" t="str">
        <f>'M.CANTID.FASE 1-ADUCCION'!B189</f>
        <v>1.3.1.</v>
      </c>
      <c r="C71" s="1621" t="str">
        <f>'M.CANTID.FASE 1-ADUCCION'!C189</f>
        <v>DESARENADOR ACUEDUCTO TESALIA</v>
      </c>
      <c r="D71" s="1621"/>
      <c r="E71" s="1621"/>
      <c r="F71" s="1621"/>
      <c r="G71" s="1621"/>
      <c r="I71" s="621"/>
    </row>
    <row r="72" spans="2:9" ht="17.25" customHeight="1" x14ac:dyDescent="0.2">
      <c r="B72" s="640"/>
      <c r="C72" s="1600" t="str">
        <f>'M.CANTID.FASE 1-ADUCCION'!C190</f>
        <v>OBRA CIVIL</v>
      </c>
      <c r="D72" s="1600"/>
      <c r="E72" s="1600"/>
      <c r="F72" s="1600"/>
      <c r="G72" s="1600"/>
      <c r="I72" s="621"/>
    </row>
    <row r="73" spans="2:9" x14ac:dyDescent="0.2">
      <c r="B73" s="641" t="str">
        <f>'M.CANTID.FASE 1-ADUCCION'!B193</f>
        <v>1.3.1.1.</v>
      </c>
      <c r="C73" s="717" t="e">
        <f>'M.CANTID.FASE 1-ADUCCION'!C193</f>
        <v>#REF!</v>
      </c>
      <c r="D73" s="646" t="str">
        <f>'M.CANTID.FASE 1-ADUCCION'!P198</f>
        <v>M2</v>
      </c>
      <c r="E73" s="643">
        <f>'M.CANTID.FASE 1-ADUCCION'!O198</f>
        <v>44.79</v>
      </c>
      <c r="F73" s="682" t="e">
        <f>#REF!</f>
        <v>#REF!</v>
      </c>
      <c r="G73" s="645" t="e">
        <f t="shared" ref="G73:G93" si="6">ROUND((+E73*F73),0)</f>
        <v>#REF!</v>
      </c>
      <c r="I73" s="621"/>
    </row>
    <row r="74" spans="2:9" x14ac:dyDescent="0.2">
      <c r="B74" s="641" t="str">
        <f>'M.CANTID.FASE 1-ADUCCION'!B199</f>
        <v>1.3.1.2.</v>
      </c>
      <c r="C74" s="717" t="e">
        <f>'M.CANTID.FASE 1-ADUCCION'!C199</f>
        <v>#REF!</v>
      </c>
      <c r="D74" s="646" t="str">
        <f>'M.CANTID.FASE 1-ADUCCION'!P201</f>
        <v>M3</v>
      </c>
      <c r="E74" s="643">
        <f>'M.CANTID.FASE 1-ADUCCION'!O201</f>
        <v>326.27</v>
      </c>
      <c r="F74" s="644" t="e">
        <f>#REF!</f>
        <v>#REF!</v>
      </c>
      <c r="G74" s="645" t="e">
        <f t="shared" si="6"/>
        <v>#REF!</v>
      </c>
      <c r="I74" s="621"/>
    </row>
    <row r="75" spans="2:9" x14ac:dyDescent="0.2">
      <c r="B75" s="641" t="str">
        <f>'M.CANTID.FASE 1-ADUCCION'!B202</f>
        <v>1.3.1.3.</v>
      </c>
      <c r="C75" s="717" t="e">
        <f>'M.CANTID.FASE 1-ADUCCION'!C202</f>
        <v>#REF!</v>
      </c>
      <c r="D75" s="646" t="str">
        <f>'M.CANTID.FASE 1-ADUCCION'!P204</f>
        <v>M3-Km</v>
      </c>
      <c r="E75" s="643">
        <f>'M.CANTID.FASE 1-ADUCCION'!O204</f>
        <v>1631.34</v>
      </c>
      <c r="F75" s="644" t="e">
        <f>#REF!</f>
        <v>#REF!</v>
      </c>
      <c r="G75" s="645" t="e">
        <f t="shared" si="6"/>
        <v>#REF!</v>
      </c>
      <c r="I75" s="621"/>
    </row>
    <row r="76" spans="2:9" x14ac:dyDescent="0.2">
      <c r="B76" s="641" t="str">
        <f>'M.CANTID.FASE 1-ADUCCION'!B205</f>
        <v>1.3.1.4.</v>
      </c>
      <c r="C76" s="717" t="e">
        <f>'M.CANTID.FASE 1-ADUCCION'!C205</f>
        <v>#REF!</v>
      </c>
      <c r="D76" s="646" t="str">
        <f>'M.CANTID.FASE 1-ADUCCION'!P207</f>
        <v>M3</v>
      </c>
      <c r="E76" s="643">
        <f>'M.CANTID.FASE 1-ADUCCION'!O207</f>
        <v>211.12</v>
      </c>
      <c r="F76" s="644" t="e">
        <f>#REF!</f>
        <v>#REF!</v>
      </c>
      <c r="G76" s="645" t="e">
        <f t="shared" si="6"/>
        <v>#REF!</v>
      </c>
      <c r="I76" s="621"/>
    </row>
    <row r="77" spans="2:9" x14ac:dyDescent="0.2">
      <c r="B77" s="641" t="str">
        <f>'M.CANTID.FASE 1-ADUCCION'!B208</f>
        <v>1.3.1.5.</v>
      </c>
      <c r="C77" s="717" t="e">
        <f>'M.CANTID.FASE 1-ADUCCION'!C208</f>
        <v>#REF!</v>
      </c>
      <c r="D77" s="646" t="str">
        <f>'M.CANTID.FASE 1-ADUCCION'!P213</f>
        <v>M3</v>
      </c>
      <c r="E77" s="643">
        <f>'M.CANTID.FASE 1-ADUCCION'!O213</f>
        <v>2.2400000000000002</v>
      </c>
      <c r="F77" s="644" t="e">
        <f>#REF!</f>
        <v>#REF!</v>
      </c>
      <c r="G77" s="645" t="e">
        <f t="shared" si="6"/>
        <v>#REF!</v>
      </c>
      <c r="I77" s="621"/>
    </row>
    <row r="78" spans="2:9" x14ac:dyDescent="0.2">
      <c r="B78" s="641" t="str">
        <f>'M.CANTID.FASE 1-ADUCCION'!B214</f>
        <v>1.3.1.6.</v>
      </c>
      <c r="C78" s="717" t="e">
        <f>'M.CANTID.FASE 1-ADUCCION'!C214</f>
        <v>#REF!</v>
      </c>
      <c r="D78" s="646" t="str">
        <f>'M.CANTID.FASE 1-ADUCCION'!P239</f>
        <v>M3</v>
      </c>
      <c r="E78" s="643">
        <f>'M.CANTID.FASE 1-ADUCCION'!O239</f>
        <v>51.97</v>
      </c>
      <c r="F78" s="644" t="e">
        <f>#REF!</f>
        <v>#REF!</v>
      </c>
      <c r="G78" s="645" t="e">
        <f t="shared" si="6"/>
        <v>#REF!</v>
      </c>
      <c r="I78" s="621"/>
    </row>
    <row r="79" spans="2:9" x14ac:dyDescent="0.2">
      <c r="B79" s="641" t="str">
        <f>'M.CANTID.FASE 1-ADUCCION'!B240</f>
        <v>1.3.1.7.</v>
      </c>
      <c r="C79" s="717" t="e">
        <f>'M.CANTID.FASE 1-ADUCCION'!C240</f>
        <v>#REF!</v>
      </c>
      <c r="D79" s="646" t="str">
        <f>'M.CANTID.FASE 1-ADUCCION'!P242</f>
        <v>KG</v>
      </c>
      <c r="E79" s="643">
        <f>'M.CANTID.FASE 1-ADUCCION'!O242</f>
        <v>10194.040000000001</v>
      </c>
      <c r="F79" s="644" t="e">
        <f>#REF!</f>
        <v>#REF!</v>
      </c>
      <c r="G79" s="645" t="e">
        <f t="shared" si="6"/>
        <v>#REF!</v>
      </c>
      <c r="I79" s="621"/>
    </row>
    <row r="80" spans="2:9" x14ac:dyDescent="0.2">
      <c r="B80" s="641" t="str">
        <f>'M.CANTID.FASE 1-ADUCCION'!B243</f>
        <v>1.3.1.8.</v>
      </c>
      <c r="C80" s="717" t="e">
        <f>'M.CANTID.FASE 1-ADUCCION'!C243</f>
        <v>#REF!</v>
      </c>
      <c r="D80" s="646" t="str">
        <f>'M.CANTID.FASE 1-ADUCCION'!P247</f>
        <v>ML</v>
      </c>
      <c r="E80" s="643">
        <f>'M.CANTID.FASE 1-ADUCCION'!O247</f>
        <v>80</v>
      </c>
      <c r="F80" s="644" t="e">
        <f>#REF!</f>
        <v>#REF!</v>
      </c>
      <c r="G80" s="645" t="e">
        <f t="shared" si="6"/>
        <v>#REF!</v>
      </c>
      <c r="I80" s="621"/>
    </row>
    <row r="81" spans="2:9" x14ac:dyDescent="0.2">
      <c r="B81" s="641" t="str">
        <f>'M.CANTID.FASE 1-ADUCCION'!B248</f>
        <v>1.3.1.9.</v>
      </c>
      <c r="C81" s="717" t="e">
        <f>'M.CANTID.FASE 1-ADUCCION'!C248</f>
        <v>#REF!</v>
      </c>
      <c r="D81" s="646" t="str">
        <f>'M.CANTID.FASE 1-ADUCCION'!P250</f>
        <v>ML</v>
      </c>
      <c r="E81" s="643">
        <f>'M.CANTID.FASE 1-ADUCCION'!O250</f>
        <v>12</v>
      </c>
      <c r="F81" s="644" t="e">
        <f>#REF!</f>
        <v>#REF!</v>
      </c>
      <c r="G81" s="645" t="e">
        <f t="shared" ref="G81" si="7">ROUND((+E81*F81),0)</f>
        <v>#REF!</v>
      </c>
      <c r="I81" s="621"/>
    </row>
    <row r="82" spans="2:9" ht="30" customHeight="1" x14ac:dyDescent="0.2">
      <c r="B82" s="641" t="str">
        <f>'M.CANTID.FASE 1-ADUCCION'!B251</f>
        <v>1.3.1.10.</v>
      </c>
      <c r="C82" s="717" t="e">
        <f>'M.CANTID.FASE 1-ADUCCION'!C251</f>
        <v>#REF!</v>
      </c>
      <c r="D82" s="646" t="str">
        <f>'M.CANTID.FASE 1-ADUCCION'!P255</f>
        <v>UND</v>
      </c>
      <c r="E82" s="643">
        <f>'M.CANTID.FASE 1-ADUCCION'!O255</f>
        <v>3</v>
      </c>
      <c r="F82" s="644" t="e">
        <f>#REF!</f>
        <v>#REF!</v>
      </c>
      <c r="G82" s="645" t="e">
        <f t="shared" si="6"/>
        <v>#REF!</v>
      </c>
      <c r="I82" s="621"/>
    </row>
    <row r="83" spans="2:9" ht="27.75" customHeight="1" x14ac:dyDescent="0.2">
      <c r="B83" s="641" t="str">
        <f>'M.CANTID.FASE 1-ADUCCION'!B256</f>
        <v>1.3.1.11.</v>
      </c>
      <c r="C83" s="717" t="e">
        <f>'M.CANTID.FASE 1-ADUCCION'!C256</f>
        <v>#REF!</v>
      </c>
      <c r="D83" s="646" t="str">
        <f>'M.CANTID.FASE 1-ADUCCION'!P258</f>
        <v>UND</v>
      </c>
      <c r="E83" s="643">
        <f>'M.CANTID.FASE 1-ADUCCION'!O258</f>
        <v>1</v>
      </c>
      <c r="F83" s="644" t="e">
        <f>#REF!</f>
        <v>#REF!</v>
      </c>
      <c r="G83" s="645" t="e">
        <f>ROUND((+E83*F83),0)</f>
        <v>#REF!</v>
      </c>
      <c r="I83" s="621"/>
    </row>
    <row r="84" spans="2:9" ht="40.5" customHeight="1" x14ac:dyDescent="0.2">
      <c r="B84" s="641" t="str">
        <f>'M.CANTID.FASE 1-ADUCCION'!B259</f>
        <v>1.3.1.12.</v>
      </c>
      <c r="C84" s="717" t="e">
        <f>'M.CANTID.FASE 1-ADUCCION'!C259</f>
        <v>#REF!</v>
      </c>
      <c r="D84" s="646" t="str">
        <f>'M.CANTID.FASE 1-ADUCCION'!P263</f>
        <v>UND</v>
      </c>
      <c r="E84" s="643">
        <f>'M.CANTID.FASE 1-ADUCCION'!O263</f>
        <v>3</v>
      </c>
      <c r="F84" s="644" t="e">
        <f>#REF!</f>
        <v>#REF!</v>
      </c>
      <c r="G84" s="645" t="e">
        <f t="shared" si="6"/>
        <v>#REF!</v>
      </c>
      <c r="I84" s="621"/>
    </row>
    <row r="85" spans="2:9" ht="42" customHeight="1" x14ac:dyDescent="0.2">
      <c r="B85" s="641" t="str">
        <f>'M.CANTID.FASE 1-ADUCCION'!B264</f>
        <v>1.3.1.13.</v>
      </c>
      <c r="C85" s="717" t="e">
        <f>'M.CANTID.FASE 1-ADUCCION'!C264</f>
        <v>#REF!</v>
      </c>
      <c r="D85" s="646" t="str">
        <f>'M.CANTID.FASE 1-ADUCCION'!P268</f>
        <v>UND</v>
      </c>
      <c r="E85" s="643">
        <f>'M.CANTID.FASE 1-ADUCCION'!O268</f>
        <v>3</v>
      </c>
      <c r="F85" s="644" t="e">
        <f>#REF!</f>
        <v>#REF!</v>
      </c>
      <c r="G85" s="645" t="e">
        <f t="shared" si="6"/>
        <v>#REF!</v>
      </c>
      <c r="I85" s="621"/>
    </row>
    <row r="86" spans="2:9" x14ac:dyDescent="0.2">
      <c r="B86" s="641" t="str">
        <f>'M.CANTID.FASE 1-ADUCCION'!B269</f>
        <v>1.3.1.14.</v>
      </c>
      <c r="C86" s="717" t="e">
        <f>'M.CANTID.FASE 1-ADUCCION'!C269</f>
        <v>#REF!</v>
      </c>
      <c r="D86" s="646" t="str">
        <f>'M.CANTID.FASE 1-ADUCCION'!P272</f>
        <v>UND</v>
      </c>
      <c r="E86" s="643">
        <f>'M.CANTID.FASE 1-ADUCCION'!O272</f>
        <v>4</v>
      </c>
      <c r="F86" s="644" t="e">
        <f>#REF!</f>
        <v>#REF!</v>
      </c>
      <c r="G86" s="645" t="e">
        <f>ROUND((+E86*F86),0)</f>
        <v>#REF!</v>
      </c>
      <c r="I86" s="621"/>
    </row>
    <row r="87" spans="2:9" ht="41.25" customHeight="1" x14ac:dyDescent="0.2">
      <c r="B87" s="641" t="str">
        <f>'M.CANTID.FASE 1-ADUCCION'!B273</f>
        <v>1.3.1.15.</v>
      </c>
      <c r="C87" s="717" t="e">
        <f>'M.CANTID.FASE 1-ADUCCION'!C273</f>
        <v>#REF!</v>
      </c>
      <c r="D87" s="646" t="str">
        <f>'M.CANTID.FASE 1-ADUCCION'!P275</f>
        <v>UND</v>
      </c>
      <c r="E87" s="643">
        <f>'M.CANTID.FASE 1-ADUCCION'!O275</f>
        <v>1</v>
      </c>
      <c r="F87" s="644" t="e">
        <f>#REF!</f>
        <v>#REF!</v>
      </c>
      <c r="G87" s="645" t="e">
        <f>ROUND((+E87*F87),0)</f>
        <v>#REF!</v>
      </c>
      <c r="I87" s="621"/>
    </row>
    <row r="88" spans="2:9" ht="146.25" customHeight="1" x14ac:dyDescent="0.2">
      <c r="B88" s="641" t="str">
        <f>'M.CANTID.FASE 1-ADUCCION'!B276</f>
        <v>1.3.1.16.</v>
      </c>
      <c r="C88" s="717" t="e">
        <f>'M.CANTID.FASE 1-ADUCCION'!C276</f>
        <v>#REF!</v>
      </c>
      <c r="D88" s="646" t="str">
        <f>'M.CANTID.FASE 1-ADUCCION'!P279</f>
        <v>ML</v>
      </c>
      <c r="E88" s="643">
        <f>'M.CANTID.FASE 1-ADUCCION'!O279</f>
        <v>105</v>
      </c>
      <c r="F88" s="644" t="e">
        <f>#REF!</f>
        <v>#REF!</v>
      </c>
      <c r="G88" s="645" t="e">
        <f t="shared" si="6"/>
        <v>#REF!</v>
      </c>
      <c r="I88" s="621"/>
    </row>
    <row r="89" spans="2:9" x14ac:dyDescent="0.2">
      <c r="B89" s="641" t="str">
        <f>'M.CANTID.FASE 1-ADUCCION'!B280</f>
        <v>1.3.1.17.</v>
      </c>
      <c r="C89" s="707" t="e">
        <f>'M.CANTID.FASE 1-ADUCCION'!C280</f>
        <v>#REF!</v>
      </c>
      <c r="D89" s="696" t="str">
        <f>'M.CANTID.FASE 1-ADUCCION'!P282</f>
        <v>ML</v>
      </c>
      <c r="E89" s="704">
        <f>'M.CANTID.FASE 1-ADUCCION'!O282</f>
        <v>3</v>
      </c>
      <c r="F89" s="705" t="e">
        <f>#REF!</f>
        <v>#REF!</v>
      </c>
      <c r="G89" s="645" t="e">
        <f t="shared" si="6"/>
        <v>#REF!</v>
      </c>
      <c r="I89" s="621"/>
    </row>
    <row r="90" spans="2:9" x14ac:dyDescent="0.2">
      <c r="B90" s="641" t="str">
        <f>'M.CANTID.FASE 1-ADUCCION'!B283</f>
        <v>1.3.1.18.</v>
      </c>
      <c r="C90" s="707" t="e">
        <f>'M.CANTID.FASE 1-ADUCCION'!C283</f>
        <v>#REF!</v>
      </c>
      <c r="D90" s="696" t="str">
        <f>'M.CANTID.FASE 1-ADUCCION'!P285</f>
        <v>UND</v>
      </c>
      <c r="E90" s="704">
        <f>'M.CANTID.FASE 1-ADUCCION'!O285</f>
        <v>1</v>
      </c>
      <c r="F90" s="705" t="e">
        <f>#REF!</f>
        <v>#REF!</v>
      </c>
      <c r="G90" s="645" t="e">
        <f t="shared" ref="G90" si="8">ROUND((+E90*F90),0)</f>
        <v>#REF!</v>
      </c>
      <c r="I90" s="621"/>
    </row>
    <row r="91" spans="2:9" ht="29.25" customHeight="1" x14ac:dyDescent="0.2">
      <c r="B91" s="641" t="str">
        <f>'M.CANTID.FASE 1-ADUCCION'!B286</f>
        <v>1.3.1.19.</v>
      </c>
      <c r="C91" s="717" t="e">
        <f>'M.CANTID.FASE 1-ADUCCION'!C286</f>
        <v>#REF!</v>
      </c>
      <c r="D91" s="646" t="str">
        <f>'M.CANTID.FASE 1-ADUCCION'!P288</f>
        <v>UND</v>
      </c>
      <c r="E91" s="643">
        <f>'M.CANTID.FASE 1-ADUCCION'!O288</f>
        <v>1</v>
      </c>
      <c r="F91" s="644" t="e">
        <f>#REF!</f>
        <v>#REF!</v>
      </c>
      <c r="G91" s="645" t="e">
        <f t="shared" si="6"/>
        <v>#REF!</v>
      </c>
      <c r="I91" s="621"/>
    </row>
    <row r="92" spans="2:9" ht="29.25" customHeight="1" x14ac:dyDescent="0.2">
      <c r="B92" s="641" t="str">
        <f>'M.CANTID.FASE 1-ADUCCION'!B289</f>
        <v>1.3.1.20.</v>
      </c>
      <c r="C92" s="717" t="e">
        <f>'M.CANTID.FASE 1-ADUCCION'!C289</f>
        <v>#REF!</v>
      </c>
      <c r="D92" s="646" t="str">
        <f>'M.CANTID.FASE 1-ADUCCION'!P291</f>
        <v>UND</v>
      </c>
      <c r="E92" s="643">
        <f>'M.CANTID.FASE 1-ADUCCION'!O291</f>
        <v>1</v>
      </c>
      <c r="F92" s="644" t="e">
        <f>#REF!</f>
        <v>#REF!</v>
      </c>
      <c r="G92" s="645" t="e">
        <f t="shared" ref="G92" si="9">ROUND((+E92*F92),0)</f>
        <v>#REF!</v>
      </c>
      <c r="I92" s="621"/>
    </row>
    <row r="93" spans="2:9" x14ac:dyDescent="0.2">
      <c r="B93" s="641" t="str">
        <f>'M.CANTID.FASE 1-ADUCCION'!B292</f>
        <v>1.3.1.21.</v>
      </c>
      <c r="C93" s="717" t="e">
        <f>'M.CANTID.FASE 1-ADUCCION'!C292</f>
        <v>#REF!</v>
      </c>
      <c r="D93" s="646" t="str">
        <f>'M.CANTID.FASE 1-ADUCCION'!P295</f>
        <v>UND</v>
      </c>
      <c r="E93" s="643">
        <f>'M.CANTID.FASE 1-ADUCCION'!O295</f>
        <v>3</v>
      </c>
      <c r="F93" s="644" t="e">
        <f>#REF!</f>
        <v>#REF!</v>
      </c>
      <c r="G93" s="645" t="e">
        <f t="shared" si="6"/>
        <v>#REF!</v>
      </c>
      <c r="I93" s="621"/>
    </row>
    <row r="94" spans="2:9" ht="17.25" customHeight="1" x14ac:dyDescent="0.2">
      <c r="B94" s="640"/>
      <c r="C94" s="1600" t="str">
        <f>'M.CANTID.FASE 1-ADUCCION'!C297</f>
        <v>SUMINISTROS</v>
      </c>
      <c r="D94" s="1600"/>
      <c r="E94" s="1600"/>
      <c r="F94" s="1600"/>
      <c r="G94" s="1600"/>
      <c r="I94" s="621"/>
    </row>
    <row r="95" spans="2:9" ht="27" customHeight="1" x14ac:dyDescent="0.2">
      <c r="B95" s="641" t="str">
        <f>'M.CANTID.FASE 1-ADUCCION'!B298</f>
        <v>1.3.1.22.</v>
      </c>
      <c r="C95" s="717" t="e">
        <f>'M.CANTID.FASE 1-ADUCCION'!C298</f>
        <v>#REF!</v>
      </c>
      <c r="D95" s="646" t="str">
        <f>'M.CANTID.FASE 1-ADUCCION'!P302</f>
        <v>ML</v>
      </c>
      <c r="E95" s="643">
        <f>'M.CANTID.FASE 1-ADUCCION'!O302</f>
        <v>80</v>
      </c>
      <c r="F95" s="644" t="e">
        <f>#REF!</f>
        <v>#REF!</v>
      </c>
      <c r="G95" s="645" t="e">
        <f>ROUND((+E95*F95),0)</f>
        <v>#REF!</v>
      </c>
      <c r="I95" s="621"/>
    </row>
    <row r="96" spans="2:9" ht="27" customHeight="1" thickBot="1" x14ac:dyDescent="0.25">
      <c r="B96" s="641" t="str">
        <f>'M.CANTID.FASE 1-ADUCCION'!B303</f>
        <v>1.3.1.23.</v>
      </c>
      <c r="C96" s="717" t="e">
        <f>'M.CANTID.FASE 1-ADUCCION'!C303</f>
        <v>#REF!</v>
      </c>
      <c r="D96" s="646" t="str">
        <f>'M.CANTID.FASE 1-ADUCCION'!P305</f>
        <v>ML</v>
      </c>
      <c r="E96" s="643">
        <f>'M.CANTID.FASE 1-ADUCCION'!O305</f>
        <v>12</v>
      </c>
      <c r="F96" s="644" t="e">
        <f>#REF!</f>
        <v>#REF!</v>
      </c>
      <c r="G96" s="645" t="e">
        <f>ROUND((+E96*F96),0)</f>
        <v>#REF!</v>
      </c>
      <c r="I96" s="621"/>
    </row>
    <row r="97" spans="2:10" ht="15" thickBot="1" x14ac:dyDescent="0.25">
      <c r="B97" s="1597" t="s">
        <v>1586</v>
      </c>
      <c r="C97" s="1597"/>
      <c r="D97" s="1597"/>
      <c r="E97" s="1597"/>
      <c r="F97" s="1597"/>
      <c r="G97" s="728" t="e">
        <f>SUM(G73:G93)</f>
        <v>#REF!</v>
      </c>
      <c r="I97" s="621"/>
    </row>
    <row r="98" spans="2:10" ht="15" thickBot="1" x14ac:dyDescent="0.25">
      <c r="B98" s="1597" t="s">
        <v>1587</v>
      </c>
      <c r="C98" s="1597"/>
      <c r="D98" s="1597"/>
      <c r="E98" s="1597"/>
      <c r="F98" s="1597"/>
      <c r="G98" s="728" t="e">
        <f>SUM(G95:G96)</f>
        <v>#REF!</v>
      </c>
    </row>
    <row r="99" spans="2:10" ht="15" thickBot="1" x14ac:dyDescent="0.25">
      <c r="B99" s="1598" t="s">
        <v>1729</v>
      </c>
      <c r="C99" s="1598"/>
      <c r="D99" s="1598"/>
      <c r="E99" s="1598"/>
      <c r="F99" s="1598"/>
      <c r="G99" s="729" t="e">
        <f>SUM(G97:G98)</f>
        <v>#REF!</v>
      </c>
      <c r="I99" s="789" t="e">
        <f>G97+G98</f>
        <v>#REF!</v>
      </c>
    </row>
    <row r="100" spans="2:10" ht="15" customHeight="1" thickBot="1" x14ac:dyDescent="0.25">
      <c r="B100" s="1599" t="s">
        <v>1148</v>
      </c>
      <c r="C100" s="1599"/>
      <c r="D100" s="1599"/>
      <c r="E100" s="1599"/>
      <c r="F100" s="1599"/>
      <c r="G100" s="829" t="e">
        <f>G19+G67+G97</f>
        <v>#REF!</v>
      </c>
      <c r="I100" s="621"/>
    </row>
    <row r="101" spans="2:10" ht="15" customHeight="1" thickBot="1" x14ac:dyDescent="0.25">
      <c r="B101" s="1599" t="s">
        <v>1149</v>
      </c>
      <c r="C101" s="1599"/>
      <c r="D101" s="1599"/>
      <c r="E101" s="1599"/>
      <c r="F101" s="1599"/>
      <c r="G101" s="829" t="e">
        <f>G20+G68+G98</f>
        <v>#REF!</v>
      </c>
      <c r="I101" s="621"/>
    </row>
    <row r="102" spans="2:10" ht="15" customHeight="1" thickBot="1" x14ac:dyDescent="0.25">
      <c r="B102" s="1593" t="s">
        <v>1715</v>
      </c>
      <c r="C102" s="1593"/>
      <c r="D102" s="1593"/>
      <c r="E102" s="1593"/>
      <c r="F102" s="1593"/>
      <c r="G102" s="833" t="e">
        <f>G100</f>
        <v>#REF!</v>
      </c>
      <c r="I102" s="708"/>
      <c r="J102" s="709"/>
    </row>
    <row r="103" spans="2:10" ht="15" customHeight="1" thickBot="1" x14ac:dyDescent="0.25">
      <c r="B103" s="1594" t="s">
        <v>856</v>
      </c>
      <c r="C103" s="1595"/>
      <c r="D103" s="1595"/>
      <c r="E103" s="1595"/>
      <c r="F103" s="686">
        <f>SUM(E104:E106)</f>
        <v>0.3</v>
      </c>
      <c r="G103" s="689" t="e">
        <f>SUM(G104:G106)</f>
        <v>#REF!</v>
      </c>
      <c r="I103" s="621"/>
    </row>
    <row r="104" spans="2:10" ht="15" customHeight="1" thickBot="1" x14ac:dyDescent="0.25">
      <c r="B104" s="1583" t="s">
        <v>857</v>
      </c>
      <c r="C104" s="1584"/>
      <c r="D104" s="1585"/>
      <c r="E104" s="687">
        <v>0.23</v>
      </c>
      <c r="F104" s="688"/>
      <c r="G104" s="689" t="e">
        <f>ROUND((G$102*E104),0)</f>
        <v>#REF!</v>
      </c>
      <c r="I104" s="621"/>
    </row>
    <row r="105" spans="2:10" ht="15" customHeight="1" thickBot="1" x14ac:dyDescent="0.25">
      <c r="B105" s="1583" t="s">
        <v>858</v>
      </c>
      <c r="C105" s="1584"/>
      <c r="D105" s="1585"/>
      <c r="E105" s="687">
        <v>0.02</v>
      </c>
      <c r="F105" s="688"/>
      <c r="G105" s="689" t="e">
        <f>ROUND((G$102*E105),0)</f>
        <v>#REF!</v>
      </c>
      <c r="I105" s="621"/>
      <c r="J105" s="709"/>
    </row>
    <row r="106" spans="2:10" ht="15" customHeight="1" thickBot="1" x14ac:dyDescent="0.25">
      <c r="B106" s="1583" t="s">
        <v>859</v>
      </c>
      <c r="C106" s="1584"/>
      <c r="D106" s="1585"/>
      <c r="E106" s="687">
        <v>0.05</v>
      </c>
      <c r="F106" s="688"/>
      <c r="G106" s="689" t="e">
        <f>ROUND((G$102*E106),0)</f>
        <v>#REF!</v>
      </c>
      <c r="I106" s="621"/>
    </row>
    <row r="107" spans="2:10" ht="15" customHeight="1" thickBot="1" x14ac:dyDescent="0.25">
      <c r="B107" s="1593" t="s">
        <v>1682</v>
      </c>
      <c r="C107" s="1593"/>
      <c r="D107" s="1593"/>
      <c r="E107" s="1593"/>
      <c r="F107" s="1593"/>
      <c r="G107" s="833" t="e">
        <f>G102+G103</f>
        <v>#REF!</v>
      </c>
      <c r="I107" s="621"/>
    </row>
    <row r="108" spans="2:10" ht="15" customHeight="1" thickBot="1" x14ac:dyDescent="0.25">
      <c r="B108" s="1580" t="s">
        <v>1716</v>
      </c>
      <c r="C108" s="1581"/>
      <c r="D108" s="1581"/>
      <c r="E108" s="1581"/>
      <c r="F108" s="1582"/>
      <c r="G108" s="835" t="e">
        <f>G101</f>
        <v>#REF!</v>
      </c>
      <c r="I108" s="621"/>
    </row>
    <row r="109" spans="2:10" s="572" customFormat="1" ht="15" customHeight="1" thickBot="1" x14ac:dyDescent="0.25">
      <c r="B109" s="1583" t="s">
        <v>927</v>
      </c>
      <c r="C109" s="1584"/>
      <c r="D109" s="1585"/>
      <c r="E109" s="687">
        <v>0.12</v>
      </c>
      <c r="F109" s="688"/>
      <c r="G109" s="834" t="e">
        <f>ROUND((G$108*E109),0)</f>
        <v>#REF!</v>
      </c>
      <c r="I109" s="967"/>
    </row>
    <row r="110" spans="2:10" ht="15" customHeight="1" thickBot="1" x14ac:dyDescent="0.25">
      <c r="B110" s="1586" t="s">
        <v>1717</v>
      </c>
      <c r="C110" s="1586"/>
      <c r="D110" s="1586"/>
      <c r="E110" s="1586"/>
      <c r="F110" s="1586"/>
      <c r="G110" s="835" t="e">
        <f>G108+G109</f>
        <v>#REF!</v>
      </c>
      <c r="H110" s="691"/>
      <c r="I110" s="621"/>
    </row>
    <row r="111" spans="2:10" ht="15" customHeight="1" thickBot="1" x14ac:dyDescent="0.25">
      <c r="B111" s="1587" t="s">
        <v>1469</v>
      </c>
      <c r="C111" s="1588"/>
      <c r="D111" s="1588"/>
      <c r="E111" s="1589"/>
      <c r="F111" s="848">
        <v>0.01</v>
      </c>
      <c r="G111" s="849" t="e">
        <f>ROUND((G$102*F111),0)</f>
        <v>#REF!</v>
      </c>
      <c r="H111" s="691"/>
      <c r="I111" s="621"/>
    </row>
    <row r="112" spans="2:10" ht="15" customHeight="1" thickBot="1" x14ac:dyDescent="0.25">
      <c r="B112" s="1575" t="s">
        <v>1677</v>
      </c>
      <c r="C112" s="1575"/>
      <c r="D112" s="1575"/>
      <c r="E112" s="1575"/>
      <c r="F112" s="1575"/>
      <c r="G112" s="850" t="e">
        <f>G107+G110+G111</f>
        <v>#REF!</v>
      </c>
      <c r="I112" s="621"/>
      <c r="J112" s="786"/>
    </row>
    <row r="113" spans="2:13" ht="15" customHeight="1" thickBot="1" x14ac:dyDescent="0.25">
      <c r="B113" s="1576" t="s">
        <v>1718</v>
      </c>
      <c r="C113" s="1577"/>
      <c r="D113" s="1578"/>
      <c r="E113" s="755">
        <v>8.4500000000000006E-2</v>
      </c>
      <c r="F113" s="688"/>
      <c r="G113" s="689" t="e">
        <f>ROUND((G$112*E113),0)</f>
        <v>#REF!</v>
      </c>
      <c r="I113" s="789"/>
    </row>
    <row r="114" spans="2:13" ht="15" customHeight="1" thickBot="1" x14ac:dyDescent="0.25">
      <c r="B114" s="1579" t="s">
        <v>1731</v>
      </c>
      <c r="C114" s="1579"/>
      <c r="D114" s="1579"/>
      <c r="E114" s="1579"/>
      <c r="F114" s="1579"/>
      <c r="G114" s="852" t="e">
        <f>G112+G113</f>
        <v>#REF!</v>
      </c>
      <c r="I114" s="968"/>
      <c r="J114" s="572"/>
      <c r="K114" s="784"/>
      <c r="L114" s="572"/>
      <c r="M114" s="572"/>
    </row>
    <row r="115" spans="2:13" ht="21.75" customHeight="1" x14ac:dyDescent="0.2">
      <c r="B115" s="839"/>
      <c r="C115" s="839"/>
      <c r="D115" s="839"/>
      <c r="E115" s="839"/>
      <c r="F115" s="839"/>
      <c r="G115" s="840"/>
      <c r="I115" s="968"/>
      <c r="J115" s="572"/>
      <c r="K115" s="784"/>
      <c r="L115" s="572"/>
      <c r="M115" s="572"/>
    </row>
    <row r="116" spans="2:13" ht="21.75" customHeight="1" x14ac:dyDescent="0.2">
      <c r="B116" s="839"/>
      <c r="C116" s="839"/>
      <c r="D116" s="839"/>
      <c r="E116" s="839"/>
      <c r="F116" s="913"/>
      <c r="G116" s="840"/>
      <c r="I116" s="733"/>
      <c r="J116" s="572"/>
      <c r="K116" s="784"/>
      <c r="L116" s="572"/>
      <c r="M116" s="572"/>
    </row>
    <row r="117" spans="2:13" x14ac:dyDescent="0.2">
      <c r="B117" s="701"/>
      <c r="C117" s="701"/>
      <c r="D117" s="701"/>
      <c r="E117" s="701"/>
      <c r="F117" s="701"/>
      <c r="G117" s="702"/>
      <c r="I117" s="572"/>
      <c r="J117" s="572"/>
      <c r="K117" s="572"/>
      <c r="L117" s="572"/>
      <c r="M117" s="572"/>
    </row>
    <row r="118" spans="2:13" x14ac:dyDescent="0.2">
      <c r="B118" s="701"/>
      <c r="C118" s="701"/>
      <c r="D118" s="701"/>
      <c r="E118" s="701"/>
      <c r="F118" s="701"/>
      <c r="G118" s="702"/>
      <c r="I118" s="709"/>
    </row>
    <row r="119" spans="2:13" x14ac:dyDescent="0.2">
      <c r="B119" s="837"/>
      <c r="C119" s="837"/>
      <c r="D119" s="701"/>
      <c r="E119" s="837"/>
      <c r="F119" s="837"/>
      <c r="G119" s="838"/>
      <c r="J119" s="785"/>
    </row>
    <row r="120" spans="2:13" ht="15" x14ac:dyDescent="0.2">
      <c r="B120" s="946" t="s">
        <v>1673</v>
      </c>
      <c r="C120" s="947"/>
      <c r="D120" s="628"/>
      <c r="E120" s="628"/>
      <c r="F120" s="677"/>
      <c r="G120" s="690"/>
      <c r="H120" s="692"/>
    </row>
    <row r="121" spans="2:13" ht="10.5" customHeight="1" x14ac:dyDescent="0.2">
      <c r="B121" s="946" t="s">
        <v>1674</v>
      </c>
      <c r="C121" s="946"/>
      <c r="D121" s="674"/>
      <c r="E121" s="674"/>
      <c r="F121" s="676"/>
      <c r="G121" s="690"/>
    </row>
    <row r="122" spans="2:13" x14ac:dyDescent="0.2">
      <c r="B122" s="948" t="s">
        <v>1675</v>
      </c>
      <c r="C122" s="794"/>
      <c r="D122" s="674"/>
      <c r="E122" s="674"/>
      <c r="F122" s="676"/>
    </row>
    <row r="123" spans="2:13" x14ac:dyDescent="0.2">
      <c r="B123" s="674"/>
      <c r="D123" s="653"/>
      <c r="E123" s="674"/>
    </row>
    <row r="124" spans="2:13" x14ac:dyDescent="0.2">
      <c r="H124" s="652"/>
      <c r="I124" s="652"/>
      <c r="J124" s="652"/>
      <c r="K124" s="652"/>
    </row>
    <row r="125" spans="2:13" x14ac:dyDescent="0.2">
      <c r="H125" s="652"/>
      <c r="I125" s="652"/>
      <c r="J125" s="652"/>
      <c r="K125" s="652"/>
    </row>
    <row r="127" spans="2:13" x14ac:dyDescent="0.2">
      <c r="I127" s="652"/>
    </row>
    <row r="128" spans="2:13" x14ac:dyDescent="0.2">
      <c r="I128" s="652"/>
    </row>
    <row r="129" spans="2:10" x14ac:dyDescent="0.2">
      <c r="I129" s="652"/>
    </row>
    <row r="130" spans="2:10" x14ac:dyDescent="0.2">
      <c r="I130" s="652"/>
    </row>
    <row r="131" spans="2:10" x14ac:dyDescent="0.2">
      <c r="B131" s="579"/>
      <c r="E131" s="579"/>
      <c r="F131" s="579"/>
      <c r="G131" s="579"/>
      <c r="I131" s="652"/>
    </row>
    <row r="132" spans="2:10" x14ac:dyDescent="0.2">
      <c r="B132" s="579"/>
      <c r="E132" s="579"/>
      <c r="F132" s="579"/>
      <c r="G132" s="579"/>
      <c r="I132" s="652"/>
      <c r="J132" s="652"/>
    </row>
  </sheetData>
  <autoFilter ref="B6:G114" xr:uid="{00000000-0009-0000-0000-000006000000}"/>
  <mergeCells count="48">
    <mergeCell ref="B98:F98"/>
    <mergeCell ref="B21:F21"/>
    <mergeCell ref="B70:G70"/>
    <mergeCell ref="B22:G22"/>
    <mergeCell ref="C23:G23"/>
    <mergeCell ref="B97:F97"/>
    <mergeCell ref="B41:F41"/>
    <mergeCell ref="B68:F68"/>
    <mergeCell ref="C59:G59"/>
    <mergeCell ref="C43:G43"/>
    <mergeCell ref="B40:F40"/>
    <mergeCell ref="C71:G71"/>
    <mergeCell ref="C94:G94"/>
    <mergeCell ref="B100:F100"/>
    <mergeCell ref="B101:F101"/>
    <mergeCell ref="D1:G1"/>
    <mergeCell ref="B1:C1"/>
    <mergeCell ref="B2:G2"/>
    <mergeCell ref="B3:G3"/>
    <mergeCell ref="C8:G8"/>
    <mergeCell ref="B7:G7"/>
    <mergeCell ref="B4:G4"/>
    <mergeCell ref="B99:F99"/>
    <mergeCell ref="B67:F67"/>
    <mergeCell ref="C42:G42"/>
    <mergeCell ref="B65:F65"/>
    <mergeCell ref="B66:F66"/>
    <mergeCell ref="B69:F69"/>
    <mergeCell ref="C72:G72"/>
    <mergeCell ref="B102:F102"/>
    <mergeCell ref="B106:D106"/>
    <mergeCell ref="B107:F107"/>
    <mergeCell ref="B112:F112"/>
    <mergeCell ref="B103:E103"/>
    <mergeCell ref="B104:D104"/>
    <mergeCell ref="B111:E111"/>
    <mergeCell ref="B114:F114"/>
    <mergeCell ref="B108:F108"/>
    <mergeCell ref="B109:D109"/>
    <mergeCell ref="B110:F110"/>
    <mergeCell ref="B105:D105"/>
    <mergeCell ref="B113:D113"/>
    <mergeCell ref="B20:F20"/>
    <mergeCell ref="C9:G9"/>
    <mergeCell ref="C17:G17"/>
    <mergeCell ref="C24:G24"/>
    <mergeCell ref="C38:G38"/>
    <mergeCell ref="B19:F19"/>
  </mergeCells>
  <printOptions horizontalCentered="1"/>
  <pageMargins left="0.19685039370078741" right="0.19685039370078741" top="0.19685039370078741" bottom="0.19685039370078741" header="0" footer="0"/>
  <pageSetup scale="92" orientation="portrait" horizontalDpi="4294967293" verticalDpi="4294967293"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030A0"/>
  </sheetPr>
  <dimension ref="A1:W335"/>
  <sheetViews>
    <sheetView tabSelected="1" view="pageBreakPreview" zoomScaleNormal="100" zoomScaleSheetLayoutView="100" workbookViewId="0">
      <selection activeCell="R282" sqref="R282"/>
    </sheetView>
  </sheetViews>
  <sheetFormatPr baseColWidth="10" defaultColWidth="11.42578125" defaultRowHeight="14.25" outlineLevelRow="1" x14ac:dyDescent="0.2"/>
  <cols>
    <col min="1" max="1" width="11.42578125" style="579" customWidth="1"/>
    <col min="2" max="2" width="11.42578125" style="650" customWidth="1"/>
    <col min="3" max="3" width="15.7109375" style="579" customWidth="1"/>
    <col min="4" max="4" width="11.42578125" style="579" customWidth="1"/>
    <col min="5" max="5" width="11.42578125" style="651" customWidth="1"/>
    <col min="6" max="6" width="11.42578125" style="652" customWidth="1"/>
    <col min="7" max="7" width="14.140625" style="652" customWidth="1"/>
    <col min="8" max="8" width="13.140625" style="579" customWidth="1"/>
    <col min="9" max="9" width="13.7109375" style="579" customWidth="1"/>
    <col min="10" max="10" width="15.28515625" style="579" bestFit="1" customWidth="1"/>
    <col min="11" max="11" width="18.85546875" style="579" bestFit="1" customWidth="1"/>
    <col min="12" max="12" width="20.140625" style="579" bestFit="1" customWidth="1"/>
    <col min="13" max="13" width="14.28515625" style="579" customWidth="1"/>
    <col min="14" max="14" width="17.5703125" style="579" customWidth="1"/>
    <col min="15" max="15" width="18.140625" style="579" bestFit="1" customWidth="1"/>
    <col min="16" max="16" width="18.28515625" style="579" bestFit="1" customWidth="1"/>
    <col min="17" max="16384" width="11.42578125" style="579"/>
  </cols>
  <sheetData>
    <row r="1" spans="1:23" x14ac:dyDescent="0.2">
      <c r="A1" s="1336"/>
      <c r="B1" s="1337"/>
      <c r="C1" s="1338"/>
      <c r="D1" s="1338"/>
      <c r="E1" s="1339"/>
      <c r="F1" s="1340"/>
      <c r="G1" s="1340"/>
      <c r="H1" s="1338"/>
      <c r="I1" s="1338"/>
      <c r="J1" s="1338"/>
      <c r="K1" s="1338"/>
      <c r="L1" s="1338"/>
      <c r="M1" s="1338"/>
      <c r="N1" s="1222"/>
    </row>
    <row r="2" spans="1:23" ht="21.75" customHeight="1" x14ac:dyDescent="0.25">
      <c r="A2" s="1341"/>
      <c r="B2" s="1770" t="s">
        <v>2695</v>
      </c>
      <c r="C2" s="1770"/>
      <c r="D2" s="1770"/>
      <c r="E2" s="1342"/>
      <c r="F2" s="1342"/>
      <c r="G2" s="1342"/>
      <c r="H2" s="1342"/>
      <c r="I2" s="1342"/>
      <c r="N2" s="1224"/>
    </row>
    <row r="3" spans="1:23" ht="15.75" x14ac:dyDescent="0.25">
      <c r="A3" s="1341"/>
      <c r="B3" s="1331" t="s">
        <v>2605</v>
      </c>
      <c r="C3" s="1332" t="s">
        <v>2696</v>
      </c>
      <c r="D3" s="1331" t="s">
        <v>2697</v>
      </c>
      <c r="E3" s="1342"/>
      <c r="F3" s="1342"/>
      <c r="G3" s="1342"/>
      <c r="H3" s="1342"/>
      <c r="I3" s="1342"/>
      <c r="N3" s="1224"/>
    </row>
    <row r="4" spans="1:23" x14ac:dyDescent="0.2">
      <c r="A4" s="1341"/>
      <c r="B4" s="579"/>
      <c r="D4" s="1343"/>
      <c r="E4" s="1343"/>
      <c r="F4" s="1343"/>
      <c r="G4" s="1343"/>
      <c r="H4" s="1343"/>
      <c r="I4" s="1343"/>
      <c r="J4" s="1343"/>
      <c r="K4" s="1343"/>
      <c r="N4" s="1224"/>
    </row>
    <row r="5" spans="1:23" ht="15" x14ac:dyDescent="0.2">
      <c r="A5" s="1341"/>
      <c r="B5" s="579"/>
      <c r="D5" s="1771" t="s">
        <v>2698</v>
      </c>
      <c r="E5" s="1771"/>
      <c r="F5" s="1771"/>
      <c r="G5" s="1771"/>
      <c r="H5" s="1771"/>
      <c r="I5" s="1771"/>
      <c r="J5" s="1771"/>
      <c r="K5" s="1771"/>
      <c r="N5" s="1224"/>
    </row>
    <row r="6" spans="1:23" ht="15.75" thickBot="1" x14ac:dyDescent="0.25">
      <c r="A6" s="1341"/>
      <c r="B6" s="579"/>
      <c r="D6" s="1771" t="s">
        <v>2699</v>
      </c>
      <c r="E6" s="1771"/>
      <c r="F6" s="1771"/>
      <c r="G6" s="1771"/>
      <c r="H6" s="1771"/>
      <c r="I6" s="1771"/>
      <c r="J6" s="1771"/>
      <c r="K6" s="1771"/>
      <c r="N6" s="1224"/>
    </row>
    <row r="7" spans="1:23" ht="14.25" customHeight="1" x14ac:dyDescent="0.2">
      <c r="A7" s="1764" t="s">
        <v>2700</v>
      </c>
      <c r="B7" s="1765"/>
      <c r="C7" s="1765"/>
      <c r="D7" s="1765"/>
      <c r="E7" s="1765"/>
      <c r="F7" s="1765"/>
      <c r="G7" s="1765"/>
      <c r="H7" s="1765"/>
      <c r="I7" s="1765"/>
      <c r="J7" s="1765"/>
      <c r="K7" s="1765"/>
      <c r="L7" s="1765"/>
      <c r="M7" s="1765"/>
      <c r="N7" s="1766"/>
    </row>
    <row r="8" spans="1:23" ht="16.5" customHeight="1" thickBot="1" x14ac:dyDescent="0.25">
      <c r="A8" s="1767"/>
      <c r="B8" s="1768"/>
      <c r="C8" s="1768"/>
      <c r="D8" s="1768"/>
      <c r="E8" s="1768"/>
      <c r="F8" s="1768"/>
      <c r="G8" s="1768"/>
      <c r="H8" s="1768"/>
      <c r="I8" s="1768"/>
      <c r="J8" s="1768"/>
      <c r="K8" s="1768"/>
      <c r="L8" s="1768"/>
      <c r="M8" s="1768"/>
      <c r="N8" s="1769"/>
    </row>
    <row r="9" spans="1:23" ht="33.75" customHeight="1" thickBot="1" x14ac:dyDescent="0.25">
      <c r="A9" s="1761" t="s">
        <v>2701</v>
      </c>
      <c r="B9" s="1762"/>
      <c r="C9" s="1762"/>
      <c r="D9" s="1762"/>
      <c r="E9" s="1762"/>
      <c r="F9" s="1762"/>
      <c r="G9" s="1762"/>
      <c r="H9" s="1762"/>
      <c r="I9" s="1762"/>
      <c r="J9" s="1762"/>
      <c r="K9" s="1762"/>
      <c r="L9" s="1762"/>
      <c r="M9" s="1762"/>
      <c r="N9" s="1763"/>
    </row>
    <row r="10" spans="1:23" ht="30.75" customHeight="1" x14ac:dyDescent="0.2">
      <c r="A10" s="1772" t="s">
        <v>2702</v>
      </c>
      <c r="B10" s="1774" t="s">
        <v>2703</v>
      </c>
      <c r="C10" s="1333" t="s">
        <v>2704</v>
      </c>
      <c r="D10" s="1757" t="s">
        <v>14</v>
      </c>
      <c r="E10" s="1750"/>
      <c r="F10" s="1750"/>
      <c r="G10" s="1750"/>
      <c r="H10" s="1758"/>
      <c r="I10" s="1774" t="s">
        <v>878</v>
      </c>
      <c r="J10" s="1749" t="s">
        <v>628</v>
      </c>
      <c r="K10" s="1750"/>
      <c r="L10" s="1776" t="s">
        <v>879</v>
      </c>
      <c r="M10" s="1753" t="s">
        <v>2705</v>
      </c>
      <c r="N10" s="1754"/>
    </row>
    <row r="11" spans="1:23" ht="25.5" customHeight="1" thickBot="1" x14ac:dyDescent="0.25">
      <c r="A11" s="1773"/>
      <c r="B11" s="1775"/>
      <c r="C11" s="1334" t="s">
        <v>2706</v>
      </c>
      <c r="D11" s="1759"/>
      <c r="E11" s="1752"/>
      <c r="F11" s="1752"/>
      <c r="G11" s="1752"/>
      <c r="H11" s="1760"/>
      <c r="I11" s="1775"/>
      <c r="J11" s="1751"/>
      <c r="K11" s="1752"/>
      <c r="L11" s="1777"/>
      <c r="M11" s="1755"/>
      <c r="N11" s="1756"/>
    </row>
    <row r="12" spans="1:23" customFormat="1" ht="13.5" customHeight="1" x14ac:dyDescent="0.25">
      <c r="A12" s="1740" t="s">
        <v>2711</v>
      </c>
      <c r="B12" s="1741"/>
      <c r="C12" s="1741"/>
      <c r="D12" s="1741"/>
      <c r="E12" s="1741"/>
      <c r="F12" s="1741"/>
      <c r="G12" s="1741"/>
      <c r="H12" s="1741"/>
      <c r="I12" s="1741"/>
      <c r="J12" s="1741"/>
      <c r="K12" s="1741"/>
      <c r="L12" s="1741"/>
      <c r="M12" s="1741"/>
      <c r="N12" s="1742"/>
      <c r="O12" s="1220"/>
      <c r="P12" s="1221">
        <v>0.29430390748599844</v>
      </c>
      <c r="Q12" s="1221">
        <f>+T12</f>
        <v>0</v>
      </c>
      <c r="R12" s="1027"/>
      <c r="S12" s="1027"/>
      <c r="T12" s="1027"/>
      <c r="U12" s="1027"/>
      <c r="V12" s="1027"/>
      <c r="W12" s="1027"/>
    </row>
    <row r="13" spans="1:23" customFormat="1" ht="13.5" customHeight="1" x14ac:dyDescent="0.25">
      <c r="A13" s="1743"/>
      <c r="B13" s="1744"/>
      <c r="C13" s="1744"/>
      <c r="D13" s="1744"/>
      <c r="E13" s="1744"/>
      <c r="F13" s="1744"/>
      <c r="G13" s="1744"/>
      <c r="H13" s="1744"/>
      <c r="I13" s="1744"/>
      <c r="J13" s="1744"/>
      <c r="K13" s="1744"/>
      <c r="L13" s="1744"/>
      <c r="M13" s="1744"/>
      <c r="N13" s="1745"/>
      <c r="O13" s="1220"/>
      <c r="P13" s="1220"/>
      <c r="R13" s="1027"/>
      <c r="S13" s="1027"/>
      <c r="T13" s="1027"/>
      <c r="U13" s="1027"/>
      <c r="V13" s="1027"/>
      <c r="W13" s="1027"/>
    </row>
    <row r="14" spans="1:23" customFormat="1" ht="13.5" customHeight="1" thickBot="1" x14ac:dyDescent="0.3">
      <c r="A14" s="1746"/>
      <c r="B14" s="1747"/>
      <c r="C14" s="1747"/>
      <c r="D14" s="1747"/>
      <c r="E14" s="1747"/>
      <c r="F14" s="1747"/>
      <c r="G14" s="1747"/>
      <c r="H14" s="1747"/>
      <c r="I14" s="1747"/>
      <c r="J14" s="1747"/>
      <c r="K14" s="1747"/>
      <c r="L14" s="1747"/>
      <c r="M14" s="1747"/>
      <c r="N14" s="1748"/>
      <c r="O14" s="1220" t="s">
        <v>2637</v>
      </c>
      <c r="P14" s="1220" t="s">
        <v>2654</v>
      </c>
      <c r="R14" s="1027"/>
      <c r="S14" s="1027"/>
      <c r="T14" s="1027"/>
      <c r="U14" s="1027"/>
      <c r="V14" s="1027"/>
      <c r="W14" s="1027"/>
    </row>
    <row r="15" spans="1:23" customFormat="1" ht="13.5" customHeight="1" x14ac:dyDescent="0.25">
      <c r="A15" s="1344" t="s">
        <v>2323</v>
      </c>
      <c r="B15" s="1345">
        <v>5</v>
      </c>
      <c r="C15" s="1028"/>
      <c r="D15" s="1345" t="s">
        <v>2409</v>
      </c>
      <c r="E15" s="1345">
        <v>5</v>
      </c>
      <c r="F15" s="1028"/>
      <c r="G15" s="1027"/>
      <c r="H15" s="1027"/>
      <c r="I15" s="1027"/>
      <c r="J15" s="1027"/>
      <c r="K15" s="1027"/>
      <c r="L15" s="1027"/>
      <c r="M15" s="1027"/>
      <c r="N15" s="1346"/>
      <c r="O15" s="1335">
        <v>1.2943039074859899</v>
      </c>
      <c r="P15" s="1221">
        <v>0</v>
      </c>
      <c r="R15" s="1027"/>
      <c r="S15" s="1027"/>
      <c r="T15" s="1027"/>
      <c r="U15" s="1027"/>
      <c r="V15" s="1027"/>
      <c r="W15" s="1027"/>
    </row>
    <row r="16" spans="1:23" customFormat="1" ht="13.5" customHeight="1" x14ac:dyDescent="0.25">
      <c r="A16" s="1347"/>
      <c r="B16" s="1028"/>
      <c r="C16" s="1028"/>
      <c r="D16" s="1028"/>
      <c r="E16" s="1028"/>
      <c r="F16" s="1028"/>
      <c r="G16" s="1027"/>
      <c r="H16" s="1664" t="s">
        <v>2408</v>
      </c>
      <c r="I16" s="1664"/>
      <c r="J16" s="1664"/>
      <c r="K16" s="1664"/>
      <c r="L16" s="1664"/>
      <c r="M16" s="1654">
        <f>SUM(M17:N31)</f>
        <v>49302900.980000004</v>
      </c>
      <c r="N16" s="1647"/>
      <c r="O16" s="1027"/>
      <c r="P16" s="1027"/>
      <c r="Q16" s="1027"/>
      <c r="R16" s="1027"/>
      <c r="S16" s="1027"/>
      <c r="T16" s="1027"/>
      <c r="U16" s="1027"/>
      <c r="V16" s="1027"/>
      <c r="W16" s="1027"/>
    </row>
    <row r="17" spans="1:23" customFormat="1" ht="13.5" customHeight="1" outlineLevel="1" x14ac:dyDescent="0.25">
      <c r="A17" s="1348" t="s">
        <v>1783</v>
      </c>
      <c r="B17" s="1160" t="s">
        <v>1784</v>
      </c>
      <c r="C17" s="1652" t="s">
        <v>197</v>
      </c>
      <c r="D17" s="1652"/>
      <c r="E17" s="1652"/>
      <c r="F17" s="1652"/>
      <c r="G17" s="1652"/>
      <c r="H17" s="1652"/>
      <c r="I17" s="1652"/>
      <c r="J17" s="1652"/>
      <c r="K17" s="1652"/>
      <c r="L17" s="1652"/>
      <c r="M17" s="1654"/>
      <c r="N17" s="1655"/>
      <c r="O17" s="1027"/>
      <c r="P17" s="1027"/>
      <c r="Q17" s="1027"/>
      <c r="R17" s="1027"/>
      <c r="S17" s="1027"/>
      <c r="T17" s="1027"/>
      <c r="U17" s="1027"/>
      <c r="V17" s="1027"/>
      <c r="W17" s="1027"/>
    </row>
    <row r="18" spans="1:23" customFormat="1" ht="30" customHeight="1" outlineLevel="1" x14ac:dyDescent="0.25">
      <c r="A18" s="1349" t="s">
        <v>1785</v>
      </c>
      <c r="B18" s="1161" t="str">
        <f>VLOOKUP(C18,'06'!$B$8:$N$225,13,FALSE)</f>
        <v>G001</v>
      </c>
      <c r="C18" s="1409" t="s">
        <v>2133</v>
      </c>
      <c r="D18" s="1409"/>
      <c r="E18" s="1409"/>
      <c r="F18" s="1409"/>
      <c r="G18" s="1409"/>
      <c r="H18" s="1409"/>
      <c r="I18" s="1162" t="str">
        <f>VLOOKUP(C18,'06'!$B$8:$N$225,7,FALSE)</f>
        <v>M</v>
      </c>
      <c r="J18" s="1646">
        <f>+'07'!N5</f>
        <v>6122.3551723074543</v>
      </c>
      <c r="K18" s="1646"/>
      <c r="L18" s="1170">
        <f>'08'!AF34</f>
        <v>5</v>
      </c>
      <c r="M18" s="1646">
        <f>ROUND((+L18*J18),2)</f>
        <v>30611.78</v>
      </c>
      <c r="N18" s="1658"/>
      <c r="O18" s="1225">
        <v>5602.045001498087</v>
      </c>
      <c r="P18" s="1225">
        <v>28010.225007490437</v>
      </c>
      <c r="Q18" s="1027"/>
      <c r="R18" s="1027"/>
      <c r="S18" s="1027"/>
      <c r="T18" s="1027"/>
      <c r="U18" s="1027"/>
      <c r="V18" s="1027"/>
      <c r="W18" s="1027"/>
    </row>
    <row r="19" spans="1:23" customFormat="1" ht="13.5" customHeight="1" outlineLevel="1" x14ac:dyDescent="0.25">
      <c r="A19" s="1350" t="s">
        <v>1789</v>
      </c>
      <c r="B19" s="1159" t="s">
        <v>1784</v>
      </c>
      <c r="C19" s="1659" t="s">
        <v>1787</v>
      </c>
      <c r="D19" s="1660"/>
      <c r="E19" s="1660"/>
      <c r="F19" s="1660"/>
      <c r="G19" s="1660"/>
      <c r="H19" s="1660"/>
      <c r="I19" s="1660"/>
      <c r="J19" s="1660"/>
      <c r="K19" s="1660"/>
      <c r="L19" s="1661"/>
      <c r="M19" s="1662"/>
      <c r="N19" s="1663"/>
      <c r="O19" s="1225"/>
      <c r="P19" s="1225"/>
      <c r="Q19" s="1027"/>
      <c r="R19" s="1027"/>
      <c r="S19" s="1027"/>
      <c r="T19" s="1027"/>
      <c r="U19" s="1027"/>
      <c r="V19" s="1027"/>
      <c r="W19" s="1027"/>
    </row>
    <row r="20" spans="1:23" customFormat="1" ht="13.5" customHeight="1" outlineLevel="1" x14ac:dyDescent="0.25">
      <c r="A20" s="1351" t="s">
        <v>1788</v>
      </c>
      <c r="B20" s="1032" t="str">
        <f>VLOOKUP(C20,'06'!$B$8:$N$225,13,FALSE)</f>
        <v>G005</v>
      </c>
      <c r="C20" s="1648" t="s">
        <v>2198</v>
      </c>
      <c r="D20" s="1649"/>
      <c r="E20" s="1649"/>
      <c r="F20" s="1649"/>
      <c r="G20" s="1649"/>
      <c r="H20" s="1650"/>
      <c r="I20" s="1033" t="str">
        <f>VLOOKUP(C20,'06'!$B$8:$N$225,7,FALSE)</f>
        <v>M3</v>
      </c>
      <c r="J20" s="1644">
        <f>+'07'!N49</f>
        <v>25587.553216218992</v>
      </c>
      <c r="K20" s="1645"/>
      <c r="L20" s="1170">
        <f>'08'!AF71</f>
        <v>4.5</v>
      </c>
      <c r="M20" s="1644">
        <f>ROUND((+L20*J20),2)</f>
        <v>115143.99</v>
      </c>
      <c r="N20" s="1651"/>
      <c r="O20" s="1225">
        <v>25587.553216218992</v>
      </c>
      <c r="P20" s="1225">
        <v>115143.98947298547</v>
      </c>
      <c r="Q20" s="1027"/>
      <c r="R20" s="1027"/>
      <c r="S20" s="1027"/>
      <c r="T20" s="1027"/>
      <c r="U20" s="1027"/>
      <c r="V20" s="1027"/>
      <c r="W20" s="1027"/>
    </row>
    <row r="21" spans="1:23" customFormat="1" ht="13.5" customHeight="1" outlineLevel="1" x14ac:dyDescent="0.25">
      <c r="A21" s="1352" t="s">
        <v>1792</v>
      </c>
      <c r="B21" s="1031" t="s">
        <v>1784</v>
      </c>
      <c r="C21" s="1633" t="s">
        <v>1791</v>
      </c>
      <c r="D21" s="1634"/>
      <c r="E21" s="1634"/>
      <c r="F21" s="1634"/>
      <c r="G21" s="1634"/>
      <c r="H21" s="1634"/>
      <c r="I21" s="1634"/>
      <c r="J21" s="1634"/>
      <c r="K21" s="1634"/>
      <c r="L21" s="1635"/>
      <c r="M21" s="1636"/>
      <c r="N21" s="1637"/>
      <c r="O21" s="1225"/>
      <c r="P21" s="1225"/>
      <c r="Q21" s="1027"/>
      <c r="R21" s="1027"/>
      <c r="S21" s="1027"/>
      <c r="T21" s="1027"/>
      <c r="U21" s="1027"/>
      <c r="V21" s="1027"/>
      <c r="W21" s="1027"/>
    </row>
    <row r="22" spans="1:23" customFormat="1" ht="13.5" customHeight="1" outlineLevel="1" x14ac:dyDescent="0.25">
      <c r="A22" s="1351" t="s">
        <v>1798</v>
      </c>
      <c r="B22" s="1032" t="str">
        <f>VLOOKUP(C22,'06'!$B$8:$N$225,13,FALSE)</f>
        <v>G008</v>
      </c>
      <c r="C22" s="1648" t="s">
        <v>2162</v>
      </c>
      <c r="D22" s="1649"/>
      <c r="E22" s="1649"/>
      <c r="F22" s="1649"/>
      <c r="G22" s="1649"/>
      <c r="H22" s="1650"/>
      <c r="I22" s="1033" t="str">
        <f>VLOOKUP(C22,'06'!$B$8:$N$225,7,FALSE)</f>
        <v>M3</v>
      </c>
      <c r="J22" s="1644">
        <f>+'07'!N95</f>
        <v>114043.88878436026</v>
      </c>
      <c r="K22" s="1645"/>
      <c r="L22" s="1170">
        <f>'08'!AF108</f>
        <v>0.75</v>
      </c>
      <c r="M22" s="1644">
        <f>ROUND((+L22*J22),2)</f>
        <v>85532.92</v>
      </c>
      <c r="N22" s="1651"/>
      <c r="O22" s="1225">
        <v>111398.90671828802</v>
      </c>
      <c r="P22" s="1225">
        <v>83549.180038716018</v>
      </c>
      <c r="Q22" s="1027"/>
      <c r="R22" s="1027"/>
      <c r="S22" s="1027"/>
      <c r="T22" s="1027"/>
      <c r="U22" s="1027"/>
      <c r="V22" s="1027"/>
      <c r="W22" s="1027"/>
    </row>
    <row r="23" spans="1:23" customFormat="1" ht="13.5" customHeight="1" outlineLevel="1" x14ac:dyDescent="0.25">
      <c r="A23" s="1351" t="s">
        <v>2194</v>
      </c>
      <c r="B23" s="1032" t="str">
        <f>VLOOKUP(C23,'06'!$B$8:$N$225,13,FALSE)</f>
        <v>G009</v>
      </c>
      <c r="C23" s="1648" t="s">
        <v>2169</v>
      </c>
      <c r="D23" s="1649"/>
      <c r="E23" s="1649"/>
      <c r="F23" s="1649"/>
      <c r="G23" s="1649"/>
      <c r="H23" s="1650"/>
      <c r="I23" s="1033" t="str">
        <f>VLOOKUP(C23,'06'!$B$8:$N$225,7,FALSE)</f>
        <v>M3</v>
      </c>
      <c r="J23" s="1644">
        <f>+'07'!N140</f>
        <v>175652.75478069339</v>
      </c>
      <c r="K23" s="1645"/>
      <c r="L23" s="1170">
        <f>'08'!AF145</f>
        <v>0.75</v>
      </c>
      <c r="M23" s="1644">
        <f>ROUND((+L23*J23),2)</f>
        <v>131739.57</v>
      </c>
      <c r="N23" s="1651"/>
      <c r="O23" s="1225">
        <v>173007.77271462115</v>
      </c>
      <c r="P23" s="1225">
        <v>129755.82953596587</v>
      </c>
      <c r="Q23" s="1027"/>
      <c r="R23" s="1027"/>
      <c r="S23" s="1027"/>
      <c r="T23" s="1027"/>
      <c r="U23" s="1027"/>
      <c r="V23" s="1027"/>
      <c r="W23" s="1027"/>
    </row>
    <row r="24" spans="1:23" customFormat="1" ht="30" customHeight="1" outlineLevel="1" x14ac:dyDescent="0.25">
      <c r="A24" s="1351" t="s">
        <v>2195</v>
      </c>
      <c r="B24" s="1032" t="str">
        <f>VLOOKUP(C24,'06'!$B$8:$N$225,13,FALSE)</f>
        <v>G011</v>
      </c>
      <c r="C24" s="1648" t="s">
        <v>2172</v>
      </c>
      <c r="D24" s="1649"/>
      <c r="E24" s="1649"/>
      <c r="F24" s="1649"/>
      <c r="G24" s="1649"/>
      <c r="H24" s="1650"/>
      <c r="I24" s="1033" t="str">
        <f>VLOOKUP(C24,'06'!$B$8:$N$225,7,FALSE)</f>
        <v>M3</v>
      </c>
      <c r="J24" s="1644">
        <f>+'07'!N185</f>
        <v>30956.641395291757</v>
      </c>
      <c r="K24" s="1645"/>
      <c r="L24" s="1170">
        <f>'08'!AF182</f>
        <v>3</v>
      </c>
      <c r="M24" s="1644">
        <f>ROUND((+L24*J24),2)</f>
        <v>92869.92</v>
      </c>
      <c r="N24" s="1651"/>
      <c r="O24" s="1225">
        <v>27555.986192574794</v>
      </c>
      <c r="P24" s="1225">
        <v>82667.958577724377</v>
      </c>
      <c r="Q24" s="1027"/>
      <c r="R24" s="1027"/>
      <c r="S24" s="1027"/>
      <c r="T24" s="1027"/>
      <c r="U24" s="1027"/>
      <c r="V24" s="1027"/>
      <c r="W24" s="1027"/>
    </row>
    <row r="25" spans="1:23" customFormat="1" ht="13.5" customHeight="1" outlineLevel="1" x14ac:dyDescent="0.25">
      <c r="A25" s="1353" t="s">
        <v>1793</v>
      </c>
      <c r="B25" s="1031" t="s">
        <v>1784</v>
      </c>
      <c r="C25" s="1633" t="s">
        <v>1790</v>
      </c>
      <c r="D25" s="1634"/>
      <c r="E25" s="1634"/>
      <c r="F25" s="1634"/>
      <c r="G25" s="1634"/>
      <c r="H25" s="1634"/>
      <c r="I25" s="1634"/>
      <c r="J25" s="1634"/>
      <c r="K25" s="1634"/>
      <c r="L25" s="1635"/>
      <c r="M25" s="1636"/>
      <c r="N25" s="1637"/>
      <c r="O25" s="1225"/>
      <c r="P25" s="1225"/>
      <c r="Q25" s="1027"/>
      <c r="R25" s="1027"/>
      <c r="S25" s="1027"/>
      <c r="T25" s="1027"/>
      <c r="U25" s="1027"/>
      <c r="V25" s="1027"/>
      <c r="W25" s="1027"/>
    </row>
    <row r="26" spans="1:23" customFormat="1" ht="30" customHeight="1" outlineLevel="1" x14ac:dyDescent="0.25">
      <c r="A26" s="1351" t="s">
        <v>1799</v>
      </c>
      <c r="B26" s="1032" t="str">
        <f>VLOOKUP(C26,'06'!$B$8:$N$225,13,FALSE)</f>
        <v>G013</v>
      </c>
      <c r="C26" s="1648" t="s">
        <v>2177</v>
      </c>
      <c r="D26" s="1649"/>
      <c r="E26" s="1649"/>
      <c r="F26" s="1649"/>
      <c r="G26" s="1649"/>
      <c r="H26" s="1650"/>
      <c r="I26" s="1033" t="str">
        <f>VLOOKUP(C26,'06'!$B$8:$N$225,7,FALSE)</f>
        <v>M3-KM</v>
      </c>
      <c r="J26" s="1644">
        <f>+'07'!N229</f>
        <v>3271.2560446782409</v>
      </c>
      <c r="K26" s="1645"/>
      <c r="L26" s="1170">
        <f>'08'!AF219</f>
        <v>9.3800000000000008</v>
      </c>
      <c r="M26" s="1644">
        <f>ROUND((+L26*J26),2)</f>
        <v>30684.38</v>
      </c>
      <c r="N26" s="1651"/>
      <c r="O26" s="1225">
        <v>3271.2560446782409</v>
      </c>
      <c r="P26" s="1225">
        <v>30684.381699081903</v>
      </c>
      <c r="Q26" s="1027"/>
      <c r="R26" s="1027"/>
      <c r="S26" s="1027"/>
      <c r="T26" s="1027"/>
      <c r="U26" s="1027"/>
      <c r="V26" s="1027"/>
      <c r="W26" s="1027"/>
    </row>
    <row r="27" spans="1:23" customFormat="1" ht="30" customHeight="1" outlineLevel="1" x14ac:dyDescent="0.25">
      <c r="A27" s="1351" t="s">
        <v>2196</v>
      </c>
      <c r="B27" s="1032" t="str">
        <f>VLOOKUP(C27,'06'!$B$8:$N$225,13,FALSE)</f>
        <v>G014</v>
      </c>
      <c r="C27" s="1648" t="s">
        <v>2182</v>
      </c>
      <c r="D27" s="1649"/>
      <c r="E27" s="1649"/>
      <c r="F27" s="1649"/>
      <c r="G27" s="1649"/>
      <c r="H27" s="1650"/>
      <c r="I27" s="1033" t="str">
        <f>VLOOKUP(C27,'06'!$B$8:$N$225,7,FALSE)</f>
        <v>M3</v>
      </c>
      <c r="J27" s="1644">
        <f>+'07'!N274</f>
        <v>5824.3675836869543</v>
      </c>
      <c r="K27" s="1645"/>
      <c r="L27" s="1170">
        <f>'08'!AF256</f>
        <v>1.88</v>
      </c>
      <c r="M27" s="1644">
        <f>ROUND((+L27*J27),2)</f>
        <v>10949.81</v>
      </c>
      <c r="N27" s="1651"/>
      <c r="O27" s="1225">
        <v>5824.3675836869543</v>
      </c>
      <c r="P27" s="1225">
        <v>10949.811057331473</v>
      </c>
      <c r="Q27" s="1027"/>
      <c r="R27" s="1027"/>
      <c r="S27" s="1027"/>
      <c r="T27" s="1027"/>
      <c r="U27" s="1027"/>
      <c r="V27" s="1027"/>
      <c r="W27" s="1027"/>
    </row>
    <row r="28" spans="1:23" customFormat="1" ht="13.5" customHeight="1" outlineLevel="1" x14ac:dyDescent="0.25">
      <c r="A28" s="1353" t="s">
        <v>1797</v>
      </c>
      <c r="B28" s="1031" t="s">
        <v>1784</v>
      </c>
      <c r="C28" s="1633" t="s">
        <v>96</v>
      </c>
      <c r="D28" s="1411"/>
      <c r="E28" s="1411"/>
      <c r="F28" s="1411"/>
      <c r="G28" s="1411"/>
      <c r="H28" s="1411"/>
      <c r="I28" s="1411"/>
      <c r="J28" s="1411"/>
      <c r="K28" s="1411"/>
      <c r="L28" s="1412"/>
      <c r="M28" s="1636"/>
      <c r="N28" s="1638"/>
      <c r="O28" s="1225"/>
      <c r="P28" s="1225"/>
      <c r="Q28" s="1027"/>
      <c r="R28" s="1027"/>
      <c r="S28" s="1027"/>
      <c r="T28" s="1027"/>
      <c r="U28" s="1027"/>
      <c r="V28" s="1027"/>
      <c r="W28" s="1027"/>
    </row>
    <row r="29" spans="1:23" customFormat="1" ht="30" customHeight="1" outlineLevel="1" x14ac:dyDescent="0.25">
      <c r="A29" s="1351" t="s">
        <v>1800</v>
      </c>
      <c r="B29" s="1032" t="str">
        <f>VLOOKUP(C29,'06'!$B$8:$N$225,13,FALSE)</f>
        <v>G015</v>
      </c>
      <c r="C29" s="1648" t="s">
        <v>2185</v>
      </c>
      <c r="D29" s="1649"/>
      <c r="E29" s="1649"/>
      <c r="F29" s="1649"/>
      <c r="G29" s="1649"/>
      <c r="H29" s="1649"/>
      <c r="I29" s="1033" t="str">
        <f>VLOOKUP(C29,'06'!$B$8:$N$225,7,FALSE)</f>
        <v>ML</v>
      </c>
      <c r="J29" s="1644">
        <f>+'07'!N319</f>
        <v>176933.21851246076</v>
      </c>
      <c r="K29" s="1645"/>
      <c r="L29" s="1170">
        <f>'08'!AF293</f>
        <v>5</v>
      </c>
      <c r="M29" s="1644">
        <f>ROUND((+L29*J29),2)</f>
        <v>884666.09</v>
      </c>
      <c r="N29" s="1638"/>
      <c r="O29" s="1225">
        <v>175389.17912225582</v>
      </c>
      <c r="P29" s="1225">
        <v>876945.89561127918</v>
      </c>
      <c r="Q29" s="1027"/>
      <c r="R29" s="1027"/>
      <c r="S29" s="1027"/>
      <c r="T29" s="1027"/>
      <c r="U29" s="1027"/>
      <c r="V29" s="1027"/>
      <c r="W29" s="1027"/>
    </row>
    <row r="30" spans="1:23" customFormat="1" ht="13.5" customHeight="1" outlineLevel="1" x14ac:dyDescent="0.25">
      <c r="A30" s="1353" t="s">
        <v>1801</v>
      </c>
      <c r="B30" s="1031" t="s">
        <v>1784</v>
      </c>
      <c r="C30" s="1633" t="s">
        <v>1796</v>
      </c>
      <c r="D30" s="1411"/>
      <c r="E30" s="1411"/>
      <c r="F30" s="1411"/>
      <c r="G30" s="1411"/>
      <c r="H30" s="1411"/>
      <c r="I30" s="1411"/>
      <c r="J30" s="1411"/>
      <c r="K30" s="1411"/>
      <c r="L30" s="1412"/>
      <c r="M30" s="1636"/>
      <c r="N30" s="1638"/>
      <c r="O30" s="1225"/>
      <c r="P30" s="1225"/>
      <c r="Q30" s="1027"/>
      <c r="R30" s="1027"/>
      <c r="S30" s="1027"/>
      <c r="T30" s="1027"/>
      <c r="U30" s="1027"/>
      <c r="V30" s="1027"/>
      <c r="W30" s="1027"/>
    </row>
    <row r="31" spans="1:23" customFormat="1" ht="60" customHeight="1" outlineLevel="1" x14ac:dyDescent="0.25">
      <c r="A31" s="1349" t="s">
        <v>1802</v>
      </c>
      <c r="B31" s="1161" t="str">
        <f>VLOOKUP(C31,'06'!$B$8:$N$225,13,FALSE)</f>
        <v>G071</v>
      </c>
      <c r="C31" s="1648" t="s">
        <v>2187</v>
      </c>
      <c r="D31" s="1649"/>
      <c r="E31" s="1649"/>
      <c r="F31" s="1649"/>
      <c r="G31" s="1649"/>
      <c r="H31" s="1649"/>
      <c r="I31" s="1162" t="str">
        <f>VLOOKUP(C31,'06'!$B$8:$N$225,7,FALSE)</f>
        <v>UND</v>
      </c>
      <c r="J31" s="1644">
        <f>+'07'!N2901</f>
        <v>47920702.516965717</v>
      </c>
      <c r="K31" s="1645"/>
      <c r="L31" s="1170">
        <f>'08'!AF330</f>
        <v>1</v>
      </c>
      <c r="M31" s="1646">
        <f>ROUND((+L31*J31),2)</f>
        <v>47920702.520000003</v>
      </c>
      <c r="N31" s="1647"/>
      <c r="O31" s="1225">
        <v>46325656.056163035</v>
      </c>
      <c r="P31" s="1225">
        <v>46325656.056163035</v>
      </c>
      <c r="Q31" s="1027"/>
      <c r="R31" s="1027"/>
      <c r="S31" s="1027"/>
      <c r="T31" s="1027"/>
      <c r="U31" s="1027"/>
      <c r="V31" s="1027"/>
      <c r="W31" s="1027"/>
    </row>
    <row r="32" spans="1:23" customFormat="1" x14ac:dyDescent="0.25">
      <c r="A32" s="1223"/>
      <c r="H32" s="1354"/>
      <c r="I32" s="1355"/>
      <c r="J32" s="1036"/>
      <c r="K32" s="799"/>
      <c r="L32" s="1356"/>
      <c r="M32" s="1035"/>
      <c r="N32" s="1357"/>
      <c r="O32" s="1225"/>
      <c r="P32" s="1225"/>
      <c r="Q32" s="1027"/>
      <c r="R32" s="1027"/>
      <c r="S32" s="1027"/>
      <c r="T32" s="1027"/>
      <c r="U32" s="1027"/>
      <c r="V32" s="1027"/>
      <c r="W32" s="1027"/>
    </row>
    <row r="33" spans="1:23" customFormat="1" ht="13.5" customHeight="1" x14ac:dyDescent="0.25">
      <c r="A33" s="1223"/>
      <c r="H33" s="1664" t="s">
        <v>2407</v>
      </c>
      <c r="I33" s="1664"/>
      <c r="J33" s="1664"/>
      <c r="K33" s="1664"/>
      <c r="L33" s="1664"/>
      <c r="M33" s="1654">
        <f>SUM(M36:N61)</f>
        <v>151535426.65999997</v>
      </c>
      <c r="N33" s="1655"/>
      <c r="O33" s="1225"/>
      <c r="P33" s="1225"/>
      <c r="Q33" s="1027"/>
      <c r="R33" s="1027"/>
      <c r="S33" s="1027"/>
      <c r="T33" s="1027"/>
      <c r="U33" s="1027"/>
      <c r="V33" s="1027"/>
      <c r="W33" s="1027"/>
    </row>
    <row r="34" spans="1:23" customFormat="1" ht="13.5" customHeight="1" outlineLevel="1" x14ac:dyDescent="0.25">
      <c r="A34" s="1358" t="s">
        <v>0</v>
      </c>
      <c r="B34" s="1656" t="s">
        <v>1781</v>
      </c>
      <c r="C34" s="1656"/>
      <c r="D34" s="1656"/>
      <c r="E34" s="1656"/>
      <c r="F34" s="1656"/>
      <c r="G34" s="1656"/>
      <c r="H34" s="1656"/>
      <c r="I34" s="1037" t="s">
        <v>1782</v>
      </c>
      <c r="J34" s="1657" t="s">
        <v>879</v>
      </c>
      <c r="K34" s="1657"/>
      <c r="L34" s="1037" t="s">
        <v>628</v>
      </c>
      <c r="M34" s="1656" t="s">
        <v>1172</v>
      </c>
      <c r="N34" s="1665"/>
      <c r="O34" s="1225"/>
      <c r="P34" s="1225"/>
      <c r="Q34" s="1027"/>
      <c r="R34" s="1027"/>
      <c r="S34" s="1027"/>
      <c r="T34" s="1027"/>
      <c r="U34" s="1027"/>
      <c r="V34" s="1027"/>
      <c r="W34" s="1027"/>
    </row>
    <row r="35" spans="1:23" customFormat="1" ht="13.5" customHeight="1" outlineLevel="1" x14ac:dyDescent="0.25">
      <c r="A35" s="1348" t="s">
        <v>1803</v>
      </c>
      <c r="B35" s="1160" t="s">
        <v>1784</v>
      </c>
      <c r="C35" s="1652" t="s">
        <v>197</v>
      </c>
      <c r="D35" s="1652"/>
      <c r="E35" s="1652"/>
      <c r="F35" s="1652"/>
      <c r="G35" s="1652"/>
      <c r="H35" s="1652"/>
      <c r="I35" s="1652"/>
      <c r="J35" s="1652"/>
      <c r="K35" s="1652"/>
      <c r="L35" s="1652"/>
      <c r="M35" s="1654"/>
      <c r="N35" s="1655"/>
      <c r="O35" s="1225"/>
      <c r="P35" s="1225"/>
      <c r="Q35" s="1027"/>
      <c r="R35" s="1027"/>
      <c r="S35" s="1027"/>
      <c r="T35" s="1027"/>
      <c r="U35" s="1027"/>
      <c r="V35" s="1027"/>
      <c r="W35" s="1027"/>
    </row>
    <row r="36" spans="1:23" customFormat="1" ht="40.5" customHeight="1" outlineLevel="1" x14ac:dyDescent="0.25">
      <c r="A36" s="1349" t="s">
        <v>1810</v>
      </c>
      <c r="B36" s="1161" t="str">
        <f>VLOOKUP(C36,'06'!$B$8:$N$225,13,FALSE)</f>
        <v>G978</v>
      </c>
      <c r="C36" s="1648" t="s">
        <v>2365</v>
      </c>
      <c r="D36" s="1649"/>
      <c r="E36" s="1649"/>
      <c r="F36" s="1649"/>
      <c r="G36" s="1649"/>
      <c r="H36" s="1649"/>
      <c r="I36" s="1162" t="str">
        <f>VLOOKUP(C36,'06'!$B$8:$N$225,7,FALSE)</f>
        <v>M2</v>
      </c>
      <c r="J36" s="1646">
        <f>+'07'!N1562</f>
        <v>5158.341051402459</v>
      </c>
      <c r="K36" s="1646"/>
      <c r="L36" s="1170">
        <f>'08'!AF404</f>
        <v>47.230000000000004</v>
      </c>
      <c r="M36" s="1646">
        <f>ROUND((+L36*J36),2)</f>
        <v>243628.45</v>
      </c>
      <c r="N36" s="1658"/>
      <c r="O36" s="1225">
        <v>4596.0306496675757</v>
      </c>
      <c r="P36" s="1225">
        <v>217070.52758379962</v>
      </c>
      <c r="Q36" s="1027"/>
      <c r="R36" s="1027"/>
      <c r="S36" s="1027"/>
      <c r="T36" s="1027"/>
      <c r="U36" s="1027"/>
      <c r="V36" s="1027"/>
      <c r="W36" s="1027"/>
    </row>
    <row r="37" spans="1:23" customFormat="1" ht="13.5" outlineLevel="1" x14ac:dyDescent="0.25">
      <c r="A37" s="1348" t="s">
        <v>1786</v>
      </c>
      <c r="B37" s="1160" t="s">
        <v>1784</v>
      </c>
      <c r="C37" s="1652" t="s">
        <v>1787</v>
      </c>
      <c r="D37" s="1652"/>
      <c r="E37" s="1652"/>
      <c r="F37" s="1652"/>
      <c r="G37" s="1652"/>
      <c r="H37" s="1652"/>
      <c r="I37" s="1652"/>
      <c r="J37" s="1652"/>
      <c r="K37" s="1652"/>
      <c r="L37" s="1652"/>
      <c r="M37" s="1654"/>
      <c r="N37" s="1655"/>
      <c r="O37" s="1225"/>
      <c r="P37" s="1225"/>
      <c r="Q37" s="1027"/>
      <c r="R37" s="1027"/>
      <c r="S37" s="1027"/>
      <c r="T37" s="1027"/>
      <c r="U37" s="1027"/>
      <c r="V37" s="1027"/>
      <c r="W37" s="1027"/>
    </row>
    <row r="38" spans="1:23" customFormat="1" ht="13.5" customHeight="1" outlineLevel="1" x14ac:dyDescent="0.25">
      <c r="A38" s="1349" t="s">
        <v>1811</v>
      </c>
      <c r="B38" s="1161" t="str">
        <f>VLOOKUP(C38,'06'!$B$8:$N$225,13,FALSE)</f>
        <v>G005</v>
      </c>
      <c r="C38" s="1648" t="s">
        <v>2198</v>
      </c>
      <c r="D38" s="1649"/>
      <c r="E38" s="1649"/>
      <c r="F38" s="1649"/>
      <c r="G38" s="1649"/>
      <c r="H38" s="1650"/>
      <c r="I38" s="1162" t="str">
        <f>VLOOKUP(C38,'06'!$B$8:$N$225,7,FALSE)</f>
        <v>M3</v>
      </c>
      <c r="J38" s="1646">
        <f>+'07'!N49</f>
        <v>25587.553216218992</v>
      </c>
      <c r="K38" s="1646"/>
      <c r="L38" s="1170">
        <f>'08'!AF442</f>
        <v>85.39</v>
      </c>
      <c r="M38" s="1646">
        <f>ROUND((+L38*J38),2)</f>
        <v>2184921.17</v>
      </c>
      <c r="N38" s="1658"/>
      <c r="O38" s="1225">
        <v>25587.553216218992</v>
      </c>
      <c r="P38" s="1225">
        <v>2184921.1691329395</v>
      </c>
      <c r="Q38" s="1027"/>
      <c r="R38" s="1027"/>
      <c r="S38" s="1027"/>
      <c r="T38" s="1027"/>
      <c r="U38" s="1027"/>
      <c r="V38" s="1027"/>
      <c r="W38" s="1027"/>
    </row>
    <row r="39" spans="1:23" customFormat="1" ht="13.5" customHeight="1" outlineLevel="1" x14ac:dyDescent="0.25">
      <c r="A39" s="1348" t="s">
        <v>1805</v>
      </c>
      <c r="B39" s="1160" t="s">
        <v>1784</v>
      </c>
      <c r="C39" s="1652" t="s">
        <v>1791</v>
      </c>
      <c r="D39" s="1652"/>
      <c r="E39" s="1652"/>
      <c r="F39" s="1652"/>
      <c r="G39" s="1652"/>
      <c r="H39" s="1652"/>
      <c r="I39" s="1652"/>
      <c r="J39" s="1652"/>
      <c r="K39" s="1652"/>
      <c r="L39" s="1652"/>
      <c r="M39" s="1654"/>
      <c r="N39" s="1655"/>
      <c r="O39" s="1225"/>
      <c r="P39" s="1225"/>
      <c r="Q39" s="1027"/>
      <c r="R39" s="1027"/>
      <c r="S39" s="1027"/>
      <c r="T39" s="1027"/>
      <c r="U39" s="1027"/>
      <c r="V39" s="1027"/>
      <c r="W39" s="1027"/>
    </row>
    <row r="40" spans="1:23" customFormat="1" ht="13.5" customHeight="1" outlineLevel="1" x14ac:dyDescent="0.25">
      <c r="A40" s="1349" t="s">
        <v>1812</v>
      </c>
      <c r="B40" s="1161" t="str">
        <f>VLOOKUP(C40,'06'!$B$8:$N$225,13,FALSE)</f>
        <v>G008</v>
      </c>
      <c r="C40" s="1648" t="s">
        <v>2162</v>
      </c>
      <c r="D40" s="1649"/>
      <c r="E40" s="1649"/>
      <c r="F40" s="1649"/>
      <c r="G40" s="1649"/>
      <c r="H40" s="1650"/>
      <c r="I40" s="1162" t="str">
        <f>VLOOKUP(C40,'06'!$B$8:$N$225,7,FALSE)</f>
        <v>M3</v>
      </c>
      <c r="J40" s="1646">
        <f>+'07'!N95</f>
        <v>114043.88878436026</v>
      </c>
      <c r="K40" s="1646"/>
      <c r="L40" s="1170">
        <f>'08'!AF480</f>
        <v>1.6400000000000003</v>
      </c>
      <c r="M40" s="1646">
        <f>ROUND((+L40*J40),2)</f>
        <v>187031.98</v>
      </c>
      <c r="N40" s="1658"/>
      <c r="O40" s="1225">
        <v>111398.90671828802</v>
      </c>
      <c r="P40" s="1225">
        <v>182694.20701799239</v>
      </c>
      <c r="Q40" s="1027"/>
      <c r="R40" s="1027"/>
      <c r="S40" s="1027"/>
      <c r="T40" s="1027"/>
      <c r="U40" s="1027"/>
      <c r="V40" s="1027"/>
      <c r="W40" s="1027"/>
    </row>
    <row r="41" spans="1:23" customFormat="1" ht="27" customHeight="1" outlineLevel="1" x14ac:dyDescent="0.25">
      <c r="A41" s="1349" t="s">
        <v>1813</v>
      </c>
      <c r="B41" s="1161" t="str">
        <f>VLOOKUP(C41,'06'!$B$8:$N$225,13,FALSE)</f>
        <v>G004</v>
      </c>
      <c r="C41" s="1409" t="s">
        <v>2327</v>
      </c>
      <c r="D41" s="1409"/>
      <c r="E41" s="1409"/>
      <c r="F41" s="1409"/>
      <c r="G41" s="1409"/>
      <c r="H41" s="1409"/>
      <c r="I41" s="1162" t="str">
        <f>VLOOKUP(C41,'06'!$B$8:$N$225,7,FALSE)</f>
        <v>M3</v>
      </c>
      <c r="J41" s="1646">
        <f>+'07'!N409</f>
        <v>124202.21838737666</v>
      </c>
      <c r="K41" s="1646"/>
      <c r="L41" s="1170">
        <f>'08'!AF518</f>
        <v>11.93</v>
      </c>
      <c r="M41" s="1646">
        <f>ROUND((+L41*J41),2)</f>
        <v>1481732.47</v>
      </c>
      <c r="N41" s="1658"/>
      <c r="O41" s="1225">
        <v>121563.23869761667</v>
      </c>
      <c r="P41" s="1225">
        <v>1450249.4376625668</v>
      </c>
      <c r="Q41" s="1027"/>
      <c r="R41" s="1027"/>
      <c r="S41" s="1027"/>
      <c r="T41" s="1027"/>
      <c r="U41" s="1027"/>
      <c r="V41" s="1027"/>
      <c r="W41" s="1027"/>
    </row>
    <row r="42" spans="1:23" customFormat="1" ht="27" customHeight="1" outlineLevel="1" x14ac:dyDescent="0.25">
      <c r="A42" s="1349" t="s">
        <v>2410</v>
      </c>
      <c r="B42" s="1161" t="str">
        <f>VLOOKUP(C42,'06'!$B$8:$N$225,13,FALSE)</f>
        <v>G011</v>
      </c>
      <c r="C42" s="1648" t="s">
        <v>2172</v>
      </c>
      <c r="D42" s="1649"/>
      <c r="E42" s="1649"/>
      <c r="F42" s="1649"/>
      <c r="G42" s="1649"/>
      <c r="H42" s="1650"/>
      <c r="I42" s="1162" t="str">
        <f>VLOOKUP(C42,'06'!$B$8:$N$225,7,FALSE)</f>
        <v>M3</v>
      </c>
      <c r="J42" s="1646">
        <f>+'07'!N185</f>
        <v>30956.641395291757</v>
      </c>
      <c r="K42" s="1646"/>
      <c r="L42" s="1170">
        <f>'08'!AF556</f>
        <v>26.4</v>
      </c>
      <c r="M42" s="1646">
        <f>ROUND((+L42*J42),2)</f>
        <v>817255.33</v>
      </c>
      <c r="N42" s="1658"/>
      <c r="O42" s="1225">
        <v>27555.986192574794</v>
      </c>
      <c r="P42" s="1225">
        <v>727478.0354839745</v>
      </c>
      <c r="Q42" s="1027"/>
      <c r="R42" s="1027"/>
      <c r="S42" s="1027"/>
      <c r="T42" s="1027"/>
      <c r="U42" s="1027"/>
      <c r="V42" s="1027"/>
      <c r="W42" s="1027"/>
    </row>
    <row r="43" spans="1:23" customFormat="1" ht="13.5" outlineLevel="1" x14ac:dyDescent="0.25">
      <c r="A43" s="1348" t="s">
        <v>1804</v>
      </c>
      <c r="B43" s="1160" t="s">
        <v>1784</v>
      </c>
      <c r="C43" s="1652" t="s">
        <v>1790</v>
      </c>
      <c r="D43" s="1652"/>
      <c r="E43" s="1652"/>
      <c r="F43" s="1652"/>
      <c r="G43" s="1652"/>
      <c r="H43" s="1652"/>
      <c r="I43" s="1652"/>
      <c r="J43" s="1652"/>
      <c r="K43" s="1652"/>
      <c r="L43" s="1652"/>
      <c r="M43" s="1654"/>
      <c r="N43" s="1655"/>
      <c r="O43" s="1225"/>
      <c r="P43" s="1225"/>
      <c r="Q43" s="1027"/>
      <c r="R43" s="1027"/>
      <c r="S43" s="1027"/>
      <c r="T43" s="1027"/>
      <c r="U43" s="1027"/>
      <c r="V43" s="1027"/>
      <c r="W43" s="1027"/>
    </row>
    <row r="44" spans="1:23" customFormat="1" ht="27" customHeight="1" outlineLevel="1" x14ac:dyDescent="0.25">
      <c r="A44" s="1349" t="s">
        <v>1814</v>
      </c>
      <c r="B44" s="1161" t="str">
        <f>VLOOKUP(C44,'06'!$B$8:$N$225,13,FALSE)</f>
        <v>G013</v>
      </c>
      <c r="C44" s="1648" t="s">
        <v>2177</v>
      </c>
      <c r="D44" s="1649"/>
      <c r="E44" s="1649"/>
      <c r="F44" s="1649"/>
      <c r="G44" s="1649"/>
      <c r="H44" s="1650"/>
      <c r="I44" s="1162" t="str">
        <f>VLOOKUP(C44,'06'!$B$8:$N$225,7,FALSE)</f>
        <v>M3-KM</v>
      </c>
      <c r="J44" s="1646">
        <f>+'07'!N229</f>
        <v>3271.2560446782409</v>
      </c>
      <c r="K44" s="1646"/>
      <c r="L44" s="1170">
        <f>'08'!AF594</f>
        <v>368.69</v>
      </c>
      <c r="M44" s="1646">
        <f>ROUND((+L44*J44),2)</f>
        <v>1206079.3899999999</v>
      </c>
      <c r="N44" s="1658"/>
      <c r="O44" s="1225">
        <v>3271.2560446782409</v>
      </c>
      <c r="P44" s="1225">
        <v>1206079.3911124207</v>
      </c>
      <c r="Q44" s="1027"/>
      <c r="R44" s="1027"/>
      <c r="S44" s="1027"/>
      <c r="T44" s="1027"/>
      <c r="U44" s="1027"/>
      <c r="V44" s="1027"/>
      <c r="W44" s="1027"/>
    </row>
    <row r="45" spans="1:23" customFormat="1" ht="27" customHeight="1" outlineLevel="1" x14ac:dyDescent="0.25">
      <c r="A45" s="1349" t="s">
        <v>2132</v>
      </c>
      <c r="B45" s="1161" t="str">
        <f>VLOOKUP(C45,'06'!$B$8:$N$225,13,FALSE)</f>
        <v>G014</v>
      </c>
      <c r="C45" s="1648" t="s">
        <v>2182</v>
      </c>
      <c r="D45" s="1649"/>
      <c r="E45" s="1649"/>
      <c r="F45" s="1649"/>
      <c r="G45" s="1649"/>
      <c r="H45" s="1650"/>
      <c r="I45" s="1162" t="str">
        <f>VLOOKUP(C45,'06'!$B$8:$N$225,7,FALSE)</f>
        <v>M3</v>
      </c>
      <c r="J45" s="1646">
        <f>+'07'!N274</f>
        <v>5824.3675836869543</v>
      </c>
      <c r="K45" s="1646"/>
      <c r="L45" s="1170">
        <f>'08'!AF632</f>
        <v>73.739999999999995</v>
      </c>
      <c r="M45" s="1646">
        <f>ROUND((+L45*J45),2)</f>
        <v>429488.87</v>
      </c>
      <c r="N45" s="1658"/>
      <c r="O45" s="1225">
        <v>5824.3675836869543</v>
      </c>
      <c r="P45" s="1225">
        <v>429488.86562107597</v>
      </c>
      <c r="Q45" s="1027"/>
      <c r="R45" s="1027"/>
      <c r="S45" s="1027"/>
      <c r="T45" s="1027"/>
      <c r="U45" s="1027"/>
      <c r="V45" s="1027"/>
      <c r="W45" s="1027"/>
    </row>
    <row r="46" spans="1:23" customFormat="1" ht="13.5" customHeight="1" outlineLevel="1" x14ac:dyDescent="0.25">
      <c r="A46" s="1348" t="s">
        <v>1806</v>
      </c>
      <c r="B46" s="1160" t="s">
        <v>1784</v>
      </c>
      <c r="C46" s="1652" t="s">
        <v>1794</v>
      </c>
      <c r="D46" s="1652"/>
      <c r="E46" s="1652"/>
      <c r="F46" s="1652"/>
      <c r="G46" s="1652"/>
      <c r="H46" s="1652"/>
      <c r="I46" s="1652"/>
      <c r="J46" s="1652"/>
      <c r="K46" s="1652"/>
      <c r="L46" s="1652"/>
      <c r="M46" s="1654"/>
      <c r="N46" s="1655"/>
      <c r="O46" s="1225"/>
      <c r="P46" s="1225"/>
      <c r="Q46" s="1027"/>
      <c r="R46" s="1027"/>
      <c r="S46" s="1027"/>
      <c r="T46" s="1027"/>
      <c r="U46" s="1027"/>
      <c r="V46" s="1027"/>
      <c r="W46" s="1027"/>
    </row>
    <row r="47" spans="1:23" customFormat="1" ht="30" customHeight="1" outlineLevel="1" x14ac:dyDescent="0.25">
      <c r="A47" s="1349" t="s">
        <v>1815</v>
      </c>
      <c r="B47" s="1161" t="str">
        <f>VLOOKUP(C47,'06'!$B$8:$N$225,13,FALSE)</f>
        <v>G018</v>
      </c>
      <c r="C47" s="1409" t="s">
        <v>2329</v>
      </c>
      <c r="D47" s="1409"/>
      <c r="E47" s="1409"/>
      <c r="F47" s="1409"/>
      <c r="G47" s="1409"/>
      <c r="H47" s="1409"/>
      <c r="I47" s="1162" t="str">
        <f>VLOOKUP(C47,'06'!$B$8:$N$225,7,FALSE)</f>
        <v>M3</v>
      </c>
      <c r="J47" s="1646">
        <f>+'07'!N454</f>
        <v>725724.88143541082</v>
      </c>
      <c r="K47" s="1646"/>
      <c r="L47" s="1170">
        <f>'08'!AF670</f>
        <v>1.49</v>
      </c>
      <c r="M47" s="1646">
        <f>ROUND((+L47*J47),2)</f>
        <v>1081330.07</v>
      </c>
      <c r="N47" s="1658"/>
      <c r="O47" s="1225">
        <v>671967.70655736153</v>
      </c>
      <c r="P47" s="1225">
        <v>1001231.8827704687</v>
      </c>
      <c r="Q47" s="1027"/>
      <c r="R47" s="1027"/>
      <c r="S47" s="1027"/>
      <c r="T47" s="1027"/>
      <c r="U47" s="1027"/>
      <c r="V47" s="1027"/>
      <c r="W47" s="1027"/>
    </row>
    <row r="48" spans="1:23" customFormat="1" ht="30" customHeight="1" outlineLevel="1" x14ac:dyDescent="0.25">
      <c r="A48" s="1349" t="s">
        <v>1816</v>
      </c>
      <c r="B48" s="1161" t="str">
        <f>VLOOKUP(C48,'06'!$B$8:$N$225,13,FALSE)</f>
        <v>G019</v>
      </c>
      <c r="C48" s="1409" t="s">
        <v>2331</v>
      </c>
      <c r="D48" s="1409"/>
      <c r="E48" s="1409"/>
      <c r="F48" s="1409"/>
      <c r="G48" s="1409"/>
      <c r="H48" s="1409"/>
      <c r="I48" s="1162" t="str">
        <f>VLOOKUP(C48,'06'!$B$8:$N$225,7,FALSE)</f>
        <v>M3</v>
      </c>
      <c r="J48" s="1646">
        <f>+'07'!N496</f>
        <v>1461311.8817958308</v>
      </c>
      <c r="K48" s="1646"/>
      <c r="L48" s="1170">
        <f>'08'!AF710</f>
        <v>22.9</v>
      </c>
      <c r="M48" s="1646">
        <f>ROUND((+L48*J48),2)</f>
        <v>33464042.09</v>
      </c>
      <c r="N48" s="1647"/>
      <c r="O48" s="1225">
        <v>1363119.4626060962</v>
      </c>
      <c r="P48" s="1225">
        <v>31215435.693679601</v>
      </c>
      <c r="Q48" s="1027"/>
      <c r="R48" s="1027"/>
      <c r="S48" s="1027"/>
      <c r="T48" s="1027"/>
      <c r="U48" s="1027"/>
      <c r="V48" s="1027"/>
      <c r="W48" s="1027"/>
    </row>
    <row r="49" spans="1:23" customFormat="1" ht="13.5" outlineLevel="1" x14ac:dyDescent="0.25">
      <c r="A49" s="1348" t="s">
        <v>1807</v>
      </c>
      <c r="B49" s="1160" t="s">
        <v>1784</v>
      </c>
      <c r="C49" s="1652" t="s">
        <v>1795</v>
      </c>
      <c r="D49" s="1653"/>
      <c r="E49" s="1653"/>
      <c r="F49" s="1653"/>
      <c r="G49" s="1653"/>
      <c r="H49" s="1653"/>
      <c r="I49" s="1653"/>
      <c r="J49" s="1653"/>
      <c r="K49" s="1653"/>
      <c r="L49" s="1653"/>
      <c r="M49" s="1654"/>
      <c r="N49" s="1647"/>
      <c r="O49" s="1225"/>
      <c r="P49" s="1225"/>
      <c r="Q49" s="1027"/>
      <c r="R49" s="1027"/>
      <c r="S49" s="1027"/>
      <c r="T49" s="1027"/>
      <c r="U49" s="1027"/>
      <c r="V49" s="1027"/>
      <c r="W49" s="1027"/>
    </row>
    <row r="50" spans="1:23" customFormat="1" ht="54" customHeight="1" outlineLevel="1" x14ac:dyDescent="0.25">
      <c r="A50" s="1349" t="s">
        <v>1817</v>
      </c>
      <c r="B50" s="1161" t="str">
        <f>VLOOKUP(C50,'06'!$B$8:$N$225,13,FALSE)</f>
        <v>G007</v>
      </c>
      <c r="C50" s="1409" t="s">
        <v>2332</v>
      </c>
      <c r="D50" s="1409"/>
      <c r="E50" s="1409"/>
      <c r="F50" s="1409"/>
      <c r="G50" s="1409"/>
      <c r="H50" s="1409"/>
      <c r="I50" s="1162" t="str">
        <f>VLOOKUP(C50,'06'!$B$8:$N$225,7,FALSE)</f>
        <v>KG</v>
      </c>
      <c r="J50" s="1646">
        <f>+'07'!N538</f>
        <v>10058.957727500896</v>
      </c>
      <c r="K50" s="1646"/>
      <c r="L50" s="1170">
        <f>'08'!AF778</f>
        <v>3237.9351999999994</v>
      </c>
      <c r="M50" s="1646">
        <f>ROUND((+L50*J50),2)</f>
        <v>32570253.300000001</v>
      </c>
      <c r="N50" s="1647"/>
      <c r="O50" s="1225">
        <v>9696.0980201588973</v>
      </c>
      <c r="P50" s="1225">
        <v>31395337.082122799</v>
      </c>
      <c r="Q50" s="1027"/>
      <c r="R50" s="1027"/>
      <c r="S50" s="1027"/>
      <c r="T50" s="1027"/>
      <c r="U50" s="1027"/>
      <c r="V50" s="1027"/>
      <c r="W50" s="1027"/>
    </row>
    <row r="51" spans="1:23" customFormat="1" ht="13.5" outlineLevel="1" x14ac:dyDescent="0.25">
      <c r="A51" s="1348" t="s">
        <v>1808</v>
      </c>
      <c r="B51" s="1160" t="s">
        <v>1784</v>
      </c>
      <c r="C51" s="1652" t="s">
        <v>96</v>
      </c>
      <c r="D51" s="1653"/>
      <c r="E51" s="1653"/>
      <c r="F51" s="1653"/>
      <c r="G51" s="1653"/>
      <c r="H51" s="1653"/>
      <c r="I51" s="1653"/>
      <c r="J51" s="1653"/>
      <c r="K51" s="1653"/>
      <c r="L51" s="1653"/>
      <c r="M51" s="1654"/>
      <c r="N51" s="1647"/>
      <c r="O51" s="1225"/>
      <c r="P51" s="1225"/>
      <c r="Q51" s="1027"/>
      <c r="R51" s="1027"/>
      <c r="S51" s="1027"/>
      <c r="T51" s="1027"/>
      <c r="U51" s="1027"/>
      <c r="V51" s="1027"/>
      <c r="W51" s="1027"/>
    </row>
    <row r="52" spans="1:23" customFormat="1" ht="30" customHeight="1" outlineLevel="1" x14ac:dyDescent="0.25">
      <c r="A52" s="1349" t="s">
        <v>1818</v>
      </c>
      <c r="B52" s="1161" t="str">
        <f>VLOOKUP(C52,'06'!$B$8:$N$225,13,FALSE)</f>
        <v>G999</v>
      </c>
      <c r="C52" s="1409" t="s">
        <v>2333</v>
      </c>
      <c r="D52" s="1409"/>
      <c r="E52" s="1409"/>
      <c r="F52" s="1409"/>
      <c r="G52" s="1409"/>
      <c r="H52" s="1409"/>
      <c r="I52" s="1162" t="str">
        <f>VLOOKUP(C52,'06'!$B$8:$N$225,7,FALSE)</f>
        <v>ML</v>
      </c>
      <c r="J52" s="1646">
        <f>+'07'!N580</f>
        <v>300902.18019152089</v>
      </c>
      <c r="K52" s="1646"/>
      <c r="L52" s="1170">
        <f>'08'!AF819</f>
        <v>24</v>
      </c>
      <c r="M52" s="1646">
        <f>ROUND((+L52*J52),2)</f>
        <v>7221652.3200000003</v>
      </c>
      <c r="N52" s="1647"/>
      <c r="O52" s="1225">
        <v>298764.09529315354</v>
      </c>
      <c r="P52" s="1225">
        <v>7170338.287035685</v>
      </c>
      <c r="Q52" s="1027"/>
      <c r="R52" s="1027"/>
      <c r="S52" s="1027"/>
      <c r="T52" s="1027"/>
      <c r="U52" s="1027"/>
      <c r="V52" s="1027"/>
      <c r="W52" s="1027"/>
    </row>
    <row r="53" spans="1:23" customFormat="1" ht="13.5" outlineLevel="1" x14ac:dyDescent="0.25">
      <c r="A53" s="1348" t="s">
        <v>1809</v>
      </c>
      <c r="B53" s="1160" t="s">
        <v>1784</v>
      </c>
      <c r="C53" s="1652" t="s">
        <v>1796</v>
      </c>
      <c r="D53" s="1653"/>
      <c r="E53" s="1653"/>
      <c r="F53" s="1653"/>
      <c r="G53" s="1653"/>
      <c r="H53" s="1653"/>
      <c r="I53" s="1653"/>
      <c r="J53" s="1653"/>
      <c r="K53" s="1653"/>
      <c r="L53" s="1653"/>
      <c r="M53" s="1654"/>
      <c r="N53" s="1647"/>
      <c r="O53" s="1225"/>
      <c r="P53" s="1225"/>
      <c r="Q53" s="1027"/>
      <c r="R53" s="1027"/>
      <c r="S53" s="1027"/>
      <c r="T53" s="1027"/>
      <c r="U53" s="1027"/>
      <c r="V53" s="1027"/>
      <c r="W53" s="1027"/>
    </row>
    <row r="54" spans="1:23" customFormat="1" ht="30" customHeight="1" outlineLevel="1" x14ac:dyDescent="0.25">
      <c r="A54" s="1349" t="s">
        <v>1819</v>
      </c>
      <c r="B54" s="1161" t="str">
        <f>VLOOKUP(C54,'06'!$B$8:$N$225,13,FALSE)</f>
        <v>G998</v>
      </c>
      <c r="C54" s="1409" t="s">
        <v>2334</v>
      </c>
      <c r="D54" s="1409"/>
      <c r="E54" s="1409"/>
      <c r="F54" s="1409"/>
      <c r="G54" s="1409"/>
      <c r="H54" s="1409"/>
      <c r="I54" s="1162" t="str">
        <f>VLOOKUP(C54,'06'!$B$8:$N$225,7,FALSE)</f>
        <v>ML</v>
      </c>
      <c r="J54" s="1646">
        <f>+'07'!N625</f>
        <v>77165.282260475069</v>
      </c>
      <c r="K54" s="1646"/>
      <c r="L54" s="1170">
        <f>'08'!AF860</f>
        <v>69.2</v>
      </c>
      <c r="M54" s="1646">
        <f>ROUND((+L54*J54),2)</f>
        <v>5339837.53</v>
      </c>
      <c r="N54" s="1647"/>
      <c r="O54" s="1225">
        <v>75561.718586699586</v>
      </c>
      <c r="P54" s="1225">
        <v>5228870.9261996113</v>
      </c>
      <c r="Q54" s="1027"/>
      <c r="R54" s="1027"/>
      <c r="S54" s="1027"/>
      <c r="T54" s="1027"/>
      <c r="U54" s="1027"/>
      <c r="V54" s="1027"/>
      <c r="W54" s="1027"/>
    </row>
    <row r="55" spans="1:23" customFormat="1" ht="13.5" customHeight="1" outlineLevel="1" x14ac:dyDescent="0.25">
      <c r="A55" s="1349" t="s">
        <v>1820</v>
      </c>
      <c r="B55" s="1161" t="str">
        <f>VLOOKUP(C55,'06'!$B$8:$N$225,13,FALSE)</f>
        <v>G997</v>
      </c>
      <c r="C55" s="1409" t="s">
        <v>2335</v>
      </c>
      <c r="D55" s="1409"/>
      <c r="E55" s="1409"/>
      <c r="F55" s="1409"/>
      <c r="G55" s="1409"/>
      <c r="H55" s="1409"/>
      <c r="I55" s="1162" t="str">
        <f>VLOOKUP(C55,'06'!$B$8:$N$225,7,FALSE)</f>
        <v>UND</v>
      </c>
      <c r="J55" s="1646">
        <f>+'07'!N670</f>
        <v>1292709.8819521065</v>
      </c>
      <c r="K55" s="1646"/>
      <c r="L55" s="1170">
        <f>'08'!AF901</f>
        <v>5</v>
      </c>
      <c r="M55" s="1646">
        <f t="shared" ref="M55:M61" si="0">ROUND((+L55*J55),2)</f>
        <v>6463549.4100000001</v>
      </c>
      <c r="N55" s="1647"/>
      <c r="O55" s="1225">
        <v>1278715.1444355205</v>
      </c>
      <c r="P55" s="1225">
        <v>6393575.7221776024</v>
      </c>
      <c r="Q55" s="1027"/>
      <c r="R55" s="1027"/>
      <c r="S55" s="1027"/>
      <c r="T55" s="1027"/>
      <c r="U55" s="1027"/>
      <c r="V55" s="1027"/>
      <c r="W55" s="1027"/>
    </row>
    <row r="56" spans="1:23" customFormat="1" ht="13.5" customHeight="1" outlineLevel="1" x14ac:dyDescent="0.25">
      <c r="A56" s="1349" t="s">
        <v>1821</v>
      </c>
      <c r="B56" s="1161" t="str">
        <f>VLOOKUP(C56,'06'!$B$8:$N$225,13,FALSE)</f>
        <v>G996</v>
      </c>
      <c r="C56" s="1409" t="s">
        <v>2336</v>
      </c>
      <c r="D56" s="1409"/>
      <c r="E56" s="1409"/>
      <c r="F56" s="1409"/>
      <c r="G56" s="1409"/>
      <c r="H56" s="1409"/>
      <c r="I56" s="1162" t="str">
        <f>VLOOKUP(C56,'06'!$B$8:$N$225,7,FALSE)</f>
        <v>UND</v>
      </c>
      <c r="J56" s="1646">
        <f>+'07'!N715</f>
        <v>1600915.999922208</v>
      </c>
      <c r="K56" s="1646"/>
      <c r="L56" s="1170">
        <f>'08'!AF942</f>
        <v>7</v>
      </c>
      <c r="M56" s="1646">
        <f t="shared" si="0"/>
        <v>11206412</v>
      </c>
      <c r="N56" s="1647"/>
      <c r="O56" s="1225">
        <v>1586921.2624056218</v>
      </c>
      <c r="P56" s="1225">
        <v>11108448.836839352</v>
      </c>
      <c r="Q56" s="1027"/>
      <c r="R56" s="1027"/>
      <c r="S56" s="1027"/>
      <c r="T56" s="1027"/>
      <c r="U56" s="1027"/>
      <c r="V56" s="1027"/>
      <c r="W56" s="1027"/>
    </row>
    <row r="57" spans="1:23" customFormat="1" ht="30" customHeight="1" outlineLevel="1" x14ac:dyDescent="0.25">
      <c r="A57" s="1349" t="s">
        <v>1822</v>
      </c>
      <c r="B57" s="1161" t="str">
        <f>VLOOKUP(C57,'06'!$B$8:$N$225,13,FALSE)</f>
        <v>G995</v>
      </c>
      <c r="C57" s="1409" t="s">
        <v>2337</v>
      </c>
      <c r="D57" s="1409"/>
      <c r="E57" s="1409"/>
      <c r="F57" s="1409"/>
      <c r="G57" s="1409"/>
      <c r="H57" s="1409"/>
      <c r="I57" s="1162" t="str">
        <f>VLOOKUP(C57,'06'!$B$8:$N$225,7,FALSE)</f>
        <v>UND</v>
      </c>
      <c r="J57" s="1646">
        <f>+'07'!N760</f>
        <v>3318593.0443635131</v>
      </c>
      <c r="K57" s="1646"/>
      <c r="L57" s="1170">
        <f>'08'!AF983</f>
        <v>1</v>
      </c>
      <c r="M57" s="1646">
        <f t="shared" si="0"/>
        <v>3318593.04</v>
      </c>
      <c r="N57" s="1647"/>
      <c r="O57" s="1225">
        <v>3292936.0191763015</v>
      </c>
      <c r="P57" s="1225">
        <v>3292936.0191763015</v>
      </c>
      <c r="Q57" s="1027"/>
      <c r="R57" s="1027"/>
      <c r="S57" s="1027"/>
      <c r="T57" s="1027"/>
      <c r="U57" s="1027"/>
      <c r="V57" s="1027"/>
      <c r="W57" s="1027"/>
    </row>
    <row r="58" spans="1:23" customFormat="1" ht="30" customHeight="1" outlineLevel="1" x14ac:dyDescent="0.25">
      <c r="A58" s="1349" t="s">
        <v>1823</v>
      </c>
      <c r="B58" s="1161" t="str">
        <f>VLOOKUP(C58,'06'!$B$8:$N$225,13,FALSE)</f>
        <v>G994</v>
      </c>
      <c r="C58" s="1409" t="s">
        <v>2338</v>
      </c>
      <c r="D58" s="1409"/>
      <c r="E58" s="1409"/>
      <c r="F58" s="1409"/>
      <c r="G58" s="1409"/>
      <c r="H58" s="1409"/>
      <c r="I58" s="1162" t="str">
        <f>VLOOKUP(C58,'06'!$B$8:$N$225,7,FALSE)</f>
        <v>UND</v>
      </c>
      <c r="J58" s="1646">
        <f>+'07'!N808</f>
        <v>4861575.703367291</v>
      </c>
      <c r="K58" s="1646"/>
      <c r="L58" s="1170">
        <f>'08'!AF1024</f>
        <v>2</v>
      </c>
      <c r="M58" s="1646">
        <f t="shared" si="0"/>
        <v>9723151.4100000001</v>
      </c>
      <c r="N58" s="1647"/>
      <c r="O58" s="1225">
        <v>4835918.678180079</v>
      </c>
      <c r="P58" s="1225">
        <v>9671837.356360158</v>
      </c>
      <c r="Q58" s="1027"/>
      <c r="R58" s="1027"/>
      <c r="S58" s="1027"/>
      <c r="T58" s="1027"/>
      <c r="U58" s="1027"/>
      <c r="V58" s="1027"/>
      <c r="W58" s="1027"/>
    </row>
    <row r="59" spans="1:23" customFormat="1" ht="41.25" customHeight="1" outlineLevel="1" x14ac:dyDescent="0.25">
      <c r="A59" s="1349" t="s">
        <v>1824</v>
      </c>
      <c r="B59" s="1161" t="str">
        <f>VLOOKUP(C59,'06'!$B$8:$N$225,13,FALSE)</f>
        <v>G993</v>
      </c>
      <c r="C59" s="1409" t="s">
        <v>2339</v>
      </c>
      <c r="D59" s="1409"/>
      <c r="E59" s="1409"/>
      <c r="F59" s="1409"/>
      <c r="G59" s="1409"/>
      <c r="H59" s="1409"/>
      <c r="I59" s="1162" t="str">
        <f>VLOOKUP(C59,'06'!$B$8:$N$225,7,FALSE)</f>
        <v>UND</v>
      </c>
      <c r="J59" s="1646">
        <f>+'07'!N856</f>
        <v>5587284.1773003573</v>
      </c>
      <c r="K59" s="1646"/>
      <c r="L59" s="1170">
        <f>'08'!AF1065</f>
        <v>2</v>
      </c>
      <c r="M59" s="1646">
        <f t="shared" si="0"/>
        <v>11174568.35</v>
      </c>
      <c r="N59" s="1647"/>
      <c r="O59" s="1225">
        <v>5556495.754841526</v>
      </c>
      <c r="P59" s="1225">
        <v>11112991.509683052</v>
      </c>
      <c r="Q59" s="1027"/>
      <c r="R59" s="1027"/>
      <c r="S59" s="1027"/>
      <c r="T59" s="1027"/>
      <c r="U59" s="1027"/>
      <c r="V59" s="1027"/>
      <c r="W59" s="1027"/>
    </row>
    <row r="60" spans="1:23" customFormat="1" ht="46.5" customHeight="1" outlineLevel="1" x14ac:dyDescent="0.25">
      <c r="A60" s="1349" t="s">
        <v>1825</v>
      </c>
      <c r="B60" s="1161" t="str">
        <f>VLOOKUP(C60,'06'!$B$8:$N$225,13,FALSE)</f>
        <v>G992</v>
      </c>
      <c r="C60" s="1409" t="s">
        <v>2340</v>
      </c>
      <c r="D60" s="1409"/>
      <c r="E60" s="1409"/>
      <c r="F60" s="1409"/>
      <c r="G60" s="1409"/>
      <c r="H60" s="1409"/>
      <c r="I60" s="1162" t="str">
        <f>VLOOKUP(C60,'06'!$B$8:$N$225,7,FALSE)</f>
        <v>UND</v>
      </c>
      <c r="J60" s="1646">
        <f>+'07'!N904</f>
        <v>6146941.1868972993</v>
      </c>
      <c r="K60" s="1646"/>
      <c r="L60" s="1170">
        <f>'08'!AF1106</f>
        <v>3</v>
      </c>
      <c r="M60" s="1646">
        <f t="shared" si="0"/>
        <v>18440823.559999999</v>
      </c>
      <c r="N60" s="1647"/>
      <c r="O60" s="1225">
        <v>6116152.764438468</v>
      </c>
      <c r="P60" s="1225">
        <v>18348458.293315403</v>
      </c>
      <c r="Q60" s="1027"/>
      <c r="R60" s="1027"/>
      <c r="S60" s="1027"/>
      <c r="T60" s="1027"/>
      <c r="U60" s="1027"/>
      <c r="V60" s="1027"/>
      <c r="W60" s="1027"/>
    </row>
    <row r="61" spans="1:23" customFormat="1" ht="30" customHeight="1" outlineLevel="1" x14ac:dyDescent="0.25">
      <c r="A61" s="1349" t="s">
        <v>1826</v>
      </c>
      <c r="B61" s="1161" t="str">
        <f>VLOOKUP(C61,'06'!$B$8:$N$225,13,FALSE)</f>
        <v>G991</v>
      </c>
      <c r="C61" s="1409" t="s">
        <v>2341</v>
      </c>
      <c r="D61" s="1409"/>
      <c r="E61" s="1409"/>
      <c r="F61" s="1409"/>
      <c r="G61" s="1409"/>
      <c r="H61" s="1409"/>
      <c r="I61" s="1162" t="str">
        <f>VLOOKUP(C61,'06'!$B$8:$N$225,7,FALSE)</f>
        <v>UND</v>
      </c>
      <c r="J61" s="1646">
        <f>+'07'!N952</f>
        <v>1660358.6409112788</v>
      </c>
      <c r="K61" s="1646"/>
      <c r="L61" s="1170">
        <f>'08'!AF1147</f>
        <v>3</v>
      </c>
      <c r="M61" s="1646">
        <f t="shared" si="0"/>
        <v>4981075.92</v>
      </c>
      <c r="N61" s="1647"/>
      <c r="O61" s="1225">
        <v>1644964.4361533828</v>
      </c>
      <c r="P61" s="1225">
        <v>4934893.3084601481</v>
      </c>
      <c r="Q61" s="1027"/>
      <c r="R61" s="1027"/>
      <c r="S61" s="1027"/>
      <c r="T61" s="1027"/>
      <c r="U61" s="1027"/>
      <c r="V61" s="1027"/>
      <c r="W61" s="1027"/>
    </row>
    <row r="62" spans="1:23" customFormat="1" x14ac:dyDescent="0.25">
      <c r="A62" s="1359"/>
      <c r="D62" s="1354"/>
      <c r="E62" s="1354"/>
      <c r="F62" s="1354"/>
      <c r="G62" s="1354"/>
      <c r="H62" s="1354"/>
      <c r="I62" s="1355"/>
      <c r="J62" s="1036"/>
      <c r="K62" s="799"/>
      <c r="L62" s="1356"/>
      <c r="M62" s="1035"/>
      <c r="N62" s="1357"/>
      <c r="O62" s="1225"/>
      <c r="P62" s="1225"/>
      <c r="Q62" s="1027"/>
      <c r="R62" s="1027"/>
      <c r="S62" s="1027"/>
      <c r="T62" s="1027"/>
      <c r="U62" s="1027"/>
      <c r="V62" s="1027"/>
      <c r="W62" s="1027"/>
    </row>
    <row r="63" spans="1:23" customFormat="1" ht="27" customHeight="1" x14ac:dyDescent="0.25">
      <c r="A63" s="1223"/>
      <c r="H63" s="1666" t="s">
        <v>2566</v>
      </c>
      <c r="I63" s="1666"/>
      <c r="J63" s="1666"/>
      <c r="K63" s="1666"/>
      <c r="L63" s="1667"/>
      <c r="M63" s="1654">
        <f>SUM(M66:N103)</f>
        <v>792558474.44000018</v>
      </c>
      <c r="N63" s="1647"/>
      <c r="O63" s="1225"/>
      <c r="P63" s="1225"/>
      <c r="Q63" s="1027"/>
      <c r="R63" s="1027"/>
      <c r="S63" s="1027"/>
      <c r="T63" s="1027"/>
      <c r="U63" s="1027"/>
      <c r="V63" s="1027"/>
      <c r="W63" s="1027"/>
    </row>
    <row r="64" spans="1:23" customFormat="1" ht="13.5" customHeight="1" outlineLevel="1" x14ac:dyDescent="0.25">
      <c r="A64" s="1358" t="s">
        <v>0</v>
      </c>
      <c r="B64" s="1656" t="s">
        <v>1781</v>
      </c>
      <c r="C64" s="1656"/>
      <c r="D64" s="1656"/>
      <c r="E64" s="1656"/>
      <c r="F64" s="1656"/>
      <c r="G64" s="1656"/>
      <c r="H64" s="1656"/>
      <c r="I64" s="1037" t="s">
        <v>1782</v>
      </c>
      <c r="J64" s="1657" t="s">
        <v>879</v>
      </c>
      <c r="K64" s="1653"/>
      <c r="L64" s="1037" t="s">
        <v>628</v>
      </c>
      <c r="M64" s="1656" t="s">
        <v>1172</v>
      </c>
      <c r="N64" s="1647"/>
      <c r="O64" s="1225"/>
      <c r="P64" s="1225"/>
      <c r="Q64" s="1027"/>
      <c r="R64" s="1027"/>
      <c r="S64" s="1027"/>
      <c r="T64" s="1027"/>
      <c r="U64" s="1027"/>
      <c r="V64" s="1027"/>
      <c r="W64" s="1027"/>
    </row>
    <row r="65" spans="1:16" ht="13.5" customHeight="1" outlineLevel="1" x14ac:dyDescent="0.25">
      <c r="A65" s="1353" t="s">
        <v>2006</v>
      </c>
      <c r="B65" s="1031" t="s">
        <v>1784</v>
      </c>
      <c r="C65" s="1633" t="s">
        <v>197</v>
      </c>
      <c r="D65" s="1411"/>
      <c r="E65" s="1411"/>
      <c r="F65" s="1411"/>
      <c r="G65" s="1411"/>
      <c r="H65" s="1411"/>
      <c r="I65" s="1411"/>
      <c r="J65" s="1411"/>
      <c r="K65" s="1411"/>
      <c r="L65" s="1411"/>
      <c r="M65" s="1636"/>
      <c r="N65" s="1638"/>
      <c r="O65" s="1225"/>
      <c r="P65" s="1225"/>
    </row>
    <row r="66" spans="1:16" ht="40.5" customHeight="1" outlineLevel="1" x14ac:dyDescent="0.25">
      <c r="A66" s="1351" t="s">
        <v>2014</v>
      </c>
      <c r="B66" s="1032" t="str">
        <f>VLOOKUP(C66,'06'!$B$8:$N$225,13,FALSE)</f>
        <v>G978</v>
      </c>
      <c r="C66" s="1648" t="s">
        <v>2365</v>
      </c>
      <c r="D66" s="1649"/>
      <c r="E66" s="1649"/>
      <c r="F66" s="1649"/>
      <c r="G66" s="1649"/>
      <c r="H66" s="1649"/>
      <c r="I66" s="1033" t="str">
        <f>VLOOKUP(C66,'06'!$B$8:$N$225,7,FALSE)</f>
        <v>M2</v>
      </c>
      <c r="J66" s="1644">
        <f>+'07'!N1562</f>
        <v>5158.341051402459</v>
      </c>
      <c r="K66" s="1645"/>
      <c r="L66" s="1034">
        <f>'08'!AF1184</f>
        <v>164.72</v>
      </c>
      <c r="M66" s="1646">
        <f t="shared" ref="M66" si="1">ROUND((+L66*J66),2)</f>
        <v>849681.94</v>
      </c>
      <c r="N66" s="1647"/>
      <c r="O66" s="1225">
        <v>4596.0306496675757</v>
      </c>
      <c r="P66" s="1225">
        <v>757058.16861324303</v>
      </c>
    </row>
    <row r="67" spans="1:16" ht="15" outlineLevel="1" x14ac:dyDescent="0.25">
      <c r="A67" s="1353" t="s">
        <v>2007</v>
      </c>
      <c r="B67" s="1031" t="s">
        <v>1784</v>
      </c>
      <c r="C67" s="1633" t="s">
        <v>1787</v>
      </c>
      <c r="D67" s="1411"/>
      <c r="E67" s="1411"/>
      <c r="F67" s="1411"/>
      <c r="G67" s="1411"/>
      <c r="H67" s="1411"/>
      <c r="I67" s="1411"/>
      <c r="J67" s="1411"/>
      <c r="K67" s="1411"/>
      <c r="L67" s="1411"/>
      <c r="M67" s="1636"/>
      <c r="N67" s="1638"/>
      <c r="O67" s="1225"/>
      <c r="P67" s="1225"/>
    </row>
    <row r="68" spans="1:16" ht="13.5" customHeight="1" outlineLevel="1" x14ac:dyDescent="0.25">
      <c r="A68" s="1351" t="s">
        <v>2015</v>
      </c>
      <c r="B68" s="1032" t="str">
        <f>VLOOKUP(C68,'06'!$B$8:$N$225,13,FALSE)</f>
        <v>G005</v>
      </c>
      <c r="C68" s="1648" t="s">
        <v>2198</v>
      </c>
      <c r="D68" s="1649"/>
      <c r="E68" s="1649"/>
      <c r="F68" s="1649"/>
      <c r="G68" s="1649"/>
      <c r="H68" s="1649"/>
      <c r="I68" s="1033" t="str">
        <f>VLOOKUP(C68,'06'!$B$8:$N$225,7,FALSE)</f>
        <v>M3</v>
      </c>
      <c r="J68" s="1644">
        <f>+'07'!N49</f>
        <v>25587.553216218992</v>
      </c>
      <c r="K68" s="1645"/>
      <c r="L68" s="1034">
        <f>+'08'!AF1221</f>
        <v>751</v>
      </c>
      <c r="M68" s="1646">
        <f t="shared" ref="M68" si="2">ROUND((+L68*J68),2)</f>
        <v>19216252.469999999</v>
      </c>
      <c r="N68" s="1647"/>
      <c r="O68" s="1225">
        <v>25587.553216218992</v>
      </c>
      <c r="P68" s="1225">
        <v>19216252.465380464</v>
      </c>
    </row>
    <row r="69" spans="1:16" ht="15" outlineLevel="1" x14ac:dyDescent="0.25">
      <c r="A69" s="1352" t="s">
        <v>2008</v>
      </c>
      <c r="B69" s="1031" t="s">
        <v>1784</v>
      </c>
      <c r="C69" s="1633" t="s">
        <v>1791</v>
      </c>
      <c r="D69" s="1411"/>
      <c r="E69" s="1411"/>
      <c r="F69" s="1411"/>
      <c r="G69" s="1411"/>
      <c r="H69" s="1411"/>
      <c r="I69" s="1411"/>
      <c r="J69" s="1411"/>
      <c r="K69" s="1411"/>
      <c r="L69" s="1411"/>
      <c r="M69" s="1636"/>
      <c r="N69" s="1638"/>
      <c r="O69" s="1225"/>
      <c r="P69" s="1225"/>
    </row>
    <row r="70" spans="1:16" ht="13.5" customHeight="1" outlineLevel="1" x14ac:dyDescent="0.25">
      <c r="A70" s="1351" t="s">
        <v>2016</v>
      </c>
      <c r="B70" s="1032" t="str">
        <f>VLOOKUP(C70,'06'!$B$8:$N$225,13,FALSE)</f>
        <v>G008</v>
      </c>
      <c r="C70" s="1648" t="s">
        <v>2162</v>
      </c>
      <c r="D70" s="1649"/>
      <c r="E70" s="1649"/>
      <c r="F70" s="1649"/>
      <c r="G70" s="1649"/>
      <c r="H70" s="1649"/>
      <c r="I70" s="1033" t="str">
        <f>VLOOKUP(C70,'06'!$B$8:$N$225,7,FALSE)</f>
        <v>M3</v>
      </c>
      <c r="J70" s="1644">
        <f>+'07'!N95</f>
        <v>114043.88878436026</v>
      </c>
      <c r="K70" s="1645"/>
      <c r="L70" s="1034">
        <f>+'08'!AF1258</f>
        <v>16.689999999999998</v>
      </c>
      <c r="M70" s="1646">
        <f t="shared" ref="M70" si="3">ROUND((+L70*J70),2)</f>
        <v>1903392.5</v>
      </c>
      <c r="N70" s="1647"/>
      <c r="O70" s="1225">
        <v>111398.90671828802</v>
      </c>
      <c r="P70" s="1225">
        <v>1859247.7531282268</v>
      </c>
    </row>
    <row r="71" spans="1:16" ht="30" customHeight="1" outlineLevel="1" x14ac:dyDescent="0.25">
      <c r="A71" s="1351" t="s">
        <v>2017</v>
      </c>
      <c r="B71" s="1032" t="str">
        <f>VLOOKUP(C71,'06'!$B$8:$N$225,13,FALSE)</f>
        <v>G004</v>
      </c>
      <c r="C71" s="1648" t="s">
        <v>2327</v>
      </c>
      <c r="D71" s="1649"/>
      <c r="E71" s="1649"/>
      <c r="F71" s="1649"/>
      <c r="G71" s="1649"/>
      <c r="H71" s="1649"/>
      <c r="I71" s="1033" t="str">
        <f>VLOOKUP(C71,'06'!$B$8:$N$225,7,FALSE)</f>
        <v>M3</v>
      </c>
      <c r="J71" s="1644">
        <f>+'07'!N409</f>
        <v>124202.21838737666</v>
      </c>
      <c r="K71" s="1645"/>
      <c r="L71" s="1034">
        <f>+'08'!AF1295</f>
        <v>26.540000000000003</v>
      </c>
      <c r="M71" s="1646">
        <f t="shared" ref="M71:M72" si="4">ROUND((+L71*J71),2)</f>
        <v>3296326.88</v>
      </c>
      <c r="N71" s="1647"/>
      <c r="O71" s="1225">
        <v>121563.23869761667</v>
      </c>
      <c r="P71" s="1225">
        <v>3226288.3550347467</v>
      </c>
    </row>
    <row r="72" spans="1:16" ht="30" customHeight="1" outlineLevel="1" x14ac:dyDescent="0.25">
      <c r="A72" s="1351" t="s">
        <v>2416</v>
      </c>
      <c r="B72" s="1032" t="str">
        <f>VLOOKUP(C72,'06'!$B$8:$N$225,13,FALSE)</f>
        <v>G011</v>
      </c>
      <c r="C72" s="1648" t="s">
        <v>2172</v>
      </c>
      <c r="D72" s="1649"/>
      <c r="E72" s="1649"/>
      <c r="F72" s="1649"/>
      <c r="G72" s="1649"/>
      <c r="H72" s="1650"/>
      <c r="I72" s="1033" t="str">
        <f>VLOOKUP(C72,'06'!$B$8:$N$225,7,FALSE)</f>
        <v>M3</v>
      </c>
      <c r="J72" s="1644">
        <f>+'07'!N185</f>
        <v>30956.641395291757</v>
      </c>
      <c r="K72" s="1645"/>
      <c r="L72" s="1034">
        <f>+'08'!AF1332</f>
        <v>253.06</v>
      </c>
      <c r="M72" s="1646">
        <f t="shared" si="4"/>
        <v>7833887.6699999999</v>
      </c>
      <c r="N72" s="1647"/>
      <c r="O72" s="1225">
        <v>27555.986192574794</v>
      </c>
      <c r="P72" s="1225">
        <v>6973317.8658929775</v>
      </c>
    </row>
    <row r="73" spans="1:16" ht="15" outlineLevel="1" x14ac:dyDescent="0.25">
      <c r="A73" s="1353" t="s">
        <v>2009</v>
      </c>
      <c r="B73" s="1031" t="s">
        <v>1784</v>
      </c>
      <c r="C73" s="1633" t="s">
        <v>1790</v>
      </c>
      <c r="D73" s="1411"/>
      <c r="E73" s="1411"/>
      <c r="F73" s="1411"/>
      <c r="G73" s="1411"/>
      <c r="H73" s="1411"/>
      <c r="I73" s="1411"/>
      <c r="J73" s="1411"/>
      <c r="K73" s="1411"/>
      <c r="L73" s="1412"/>
      <c r="M73" s="1636"/>
      <c r="N73" s="1638"/>
      <c r="O73" s="1225"/>
      <c r="P73" s="1225"/>
    </row>
    <row r="74" spans="1:16" ht="27" customHeight="1" outlineLevel="1" x14ac:dyDescent="0.25">
      <c r="A74" s="1351" t="s">
        <v>2018</v>
      </c>
      <c r="B74" s="1032" t="str">
        <f>VLOOKUP(C74,'06'!$B$8:$N$225,13,FALSE)</f>
        <v>G013</v>
      </c>
      <c r="C74" s="1648" t="s">
        <v>2177</v>
      </c>
      <c r="D74" s="1649"/>
      <c r="E74" s="1649"/>
      <c r="F74" s="1649"/>
      <c r="G74" s="1649"/>
      <c r="H74" s="1649"/>
      <c r="I74" s="1033" t="str">
        <f>VLOOKUP(C74,'06'!$B$8:$N$225,7,FALSE)</f>
        <v>M3-KM</v>
      </c>
      <c r="J74" s="1644">
        <f>+'07'!N229</f>
        <v>3271.2560446782409</v>
      </c>
      <c r="K74" s="1645"/>
      <c r="L74" s="1034">
        <f>+'08'!AF1370</f>
        <v>3112.13</v>
      </c>
      <c r="M74" s="1646">
        <f t="shared" ref="M74" si="5">ROUND((+L74*J74),2)</f>
        <v>10180574.07</v>
      </c>
      <c r="N74" s="1647"/>
      <c r="O74" s="1225">
        <v>3271.2560446782409</v>
      </c>
      <c r="P74" s="1225">
        <v>10180574.074324494</v>
      </c>
    </row>
    <row r="75" spans="1:16" ht="27" customHeight="1" outlineLevel="1" x14ac:dyDescent="0.25">
      <c r="A75" s="1351" t="s">
        <v>2330</v>
      </c>
      <c r="B75" s="1032" t="str">
        <f>VLOOKUP(C75,'06'!$B$8:$N$225,13,FALSE)</f>
        <v>G014</v>
      </c>
      <c r="C75" s="1648" t="s">
        <v>2182</v>
      </c>
      <c r="D75" s="1649"/>
      <c r="E75" s="1649"/>
      <c r="F75" s="1649"/>
      <c r="G75" s="1649"/>
      <c r="H75" s="1649"/>
      <c r="I75" s="1033" t="str">
        <f>VLOOKUP(C75,'06'!$B$8:$N$225,7,FALSE)</f>
        <v>M3</v>
      </c>
      <c r="J75" s="1644">
        <f>+'07'!N274</f>
        <v>5824.3675836869543</v>
      </c>
      <c r="K75" s="1645"/>
      <c r="L75" s="1034">
        <f>+'08'!AF1408</f>
        <v>622.42999999999995</v>
      </c>
      <c r="M75" s="1646">
        <f t="shared" ref="M75" si="6">ROUND((+L75*J75),2)</f>
        <v>3625261.12</v>
      </c>
      <c r="N75" s="1647"/>
      <c r="O75" s="1225">
        <v>5824.3675836869543</v>
      </c>
      <c r="P75" s="1225">
        <v>3625261.1151142707</v>
      </c>
    </row>
    <row r="76" spans="1:16" ht="15" outlineLevel="1" x14ac:dyDescent="0.25">
      <c r="A76" s="1353" t="s">
        <v>2010</v>
      </c>
      <c r="B76" s="1031" t="s">
        <v>1784</v>
      </c>
      <c r="C76" s="1633" t="s">
        <v>1794</v>
      </c>
      <c r="D76" s="1411"/>
      <c r="E76" s="1411"/>
      <c r="F76" s="1411"/>
      <c r="G76" s="1411"/>
      <c r="H76" s="1411"/>
      <c r="I76" s="1411"/>
      <c r="J76" s="1411"/>
      <c r="K76" s="1411"/>
      <c r="L76" s="1412"/>
      <c r="M76" s="1636"/>
      <c r="N76" s="1638"/>
      <c r="O76" s="1225"/>
      <c r="P76" s="1225"/>
    </row>
    <row r="77" spans="1:16" ht="30" customHeight="1" outlineLevel="1" x14ac:dyDescent="0.25">
      <c r="A77" s="1351" t="s">
        <v>2019</v>
      </c>
      <c r="B77" s="1032" t="str">
        <f>VLOOKUP(C77,'06'!$B$8:$N$225,13,FALSE)</f>
        <v>G018</v>
      </c>
      <c r="C77" s="1648" t="s">
        <v>2329</v>
      </c>
      <c r="D77" s="1649"/>
      <c r="E77" s="1649"/>
      <c r="F77" s="1649"/>
      <c r="G77" s="1649"/>
      <c r="H77" s="1649"/>
      <c r="I77" s="1033" t="str">
        <f>VLOOKUP(C77,'06'!$B$8:$N$225,7,FALSE)</f>
        <v>M3</v>
      </c>
      <c r="J77" s="1644">
        <f>+'07'!N454</f>
        <v>725724.88143541082</v>
      </c>
      <c r="K77" s="1645"/>
      <c r="L77" s="1034">
        <f>+'08'!AF1445</f>
        <v>6.6300000000000008</v>
      </c>
      <c r="M77" s="1646">
        <f t="shared" ref="M77" si="7">ROUND((+L77*J77),2)</f>
        <v>4811555.96</v>
      </c>
      <c r="N77" s="1647"/>
      <c r="O77" s="1225">
        <v>671967.70655736153</v>
      </c>
      <c r="P77" s="1225">
        <v>4455145.8944753073</v>
      </c>
    </row>
    <row r="78" spans="1:16" ht="30" customHeight="1" outlineLevel="1" x14ac:dyDescent="0.25">
      <c r="A78" s="1351" t="s">
        <v>2020</v>
      </c>
      <c r="B78" s="1032" t="str">
        <f>VLOOKUP(C78,'06'!$B$8:$N$225,13,FALSE)</f>
        <v>G019</v>
      </c>
      <c r="C78" s="1648" t="s">
        <v>2331</v>
      </c>
      <c r="D78" s="1649"/>
      <c r="E78" s="1649"/>
      <c r="F78" s="1649"/>
      <c r="G78" s="1649"/>
      <c r="H78" s="1649"/>
      <c r="I78" s="1033" t="str">
        <f>VLOOKUP(C78,'06'!$B$8:$N$225,7,FALSE)</f>
        <v>M3</v>
      </c>
      <c r="J78" s="1644">
        <f>+'07'!N496</f>
        <v>1461311.8817958308</v>
      </c>
      <c r="K78" s="1645"/>
      <c r="L78" s="1034">
        <f>+'08'!AF1489</f>
        <v>176.26999999999998</v>
      </c>
      <c r="M78" s="1646">
        <f t="shared" ref="M78" si="8">ROUND((+L78*J78),2)</f>
        <v>257585445.40000001</v>
      </c>
      <c r="N78" s="1647"/>
      <c r="O78" s="1225">
        <v>1363119.4626060962</v>
      </c>
      <c r="P78" s="1225">
        <v>240277067.67357653</v>
      </c>
    </row>
    <row r="79" spans="1:16" ht="15" outlineLevel="1" x14ac:dyDescent="0.25">
      <c r="A79" s="1353" t="s">
        <v>2011</v>
      </c>
      <c r="B79" s="1031" t="s">
        <v>1784</v>
      </c>
      <c r="C79" s="1633" t="s">
        <v>1795</v>
      </c>
      <c r="D79" s="1411"/>
      <c r="E79" s="1411"/>
      <c r="F79" s="1411"/>
      <c r="G79" s="1411"/>
      <c r="H79" s="1411"/>
      <c r="I79" s="1411"/>
      <c r="J79" s="1411"/>
      <c r="K79" s="1411"/>
      <c r="L79" s="1412"/>
      <c r="M79" s="1636"/>
      <c r="N79" s="1638"/>
      <c r="O79" s="1225"/>
      <c r="P79" s="1225"/>
    </row>
    <row r="80" spans="1:16" ht="54" customHeight="1" outlineLevel="1" x14ac:dyDescent="0.25">
      <c r="A80" s="1351" t="s">
        <v>2021</v>
      </c>
      <c r="B80" s="1032" t="str">
        <f>VLOOKUP(C80,'06'!$B$8:$N$225,13,FALSE)</f>
        <v>G007</v>
      </c>
      <c r="C80" s="1648" t="s">
        <v>2332</v>
      </c>
      <c r="D80" s="1649"/>
      <c r="E80" s="1649"/>
      <c r="F80" s="1649"/>
      <c r="G80" s="1649"/>
      <c r="H80" s="1649"/>
      <c r="I80" s="1033" t="str">
        <f>VLOOKUP(C80,'06'!$B$8:$N$225,7,FALSE)</f>
        <v>KG</v>
      </c>
      <c r="J80" s="1644">
        <f>+'07'!N538</f>
        <v>10058.957727500896</v>
      </c>
      <c r="K80" s="1645"/>
      <c r="L80" s="1034">
        <f>+'08'!AF1557</f>
        <v>15681.51</v>
      </c>
      <c r="M80" s="1646">
        <f t="shared" ref="M80" si="9">ROUND((+L80*J80),2)</f>
        <v>157739646.19</v>
      </c>
      <c r="N80" s="1647"/>
      <c r="O80" s="1225">
        <v>9696.0980201588973</v>
      </c>
      <c r="P80" s="1225">
        <v>152049458.06410196</v>
      </c>
    </row>
    <row r="81" spans="1:16" ht="15" outlineLevel="1" x14ac:dyDescent="0.25">
      <c r="A81" s="1353" t="s">
        <v>2012</v>
      </c>
      <c r="B81" s="1031" t="s">
        <v>1784</v>
      </c>
      <c r="C81" s="1633" t="s">
        <v>96</v>
      </c>
      <c r="D81" s="1411"/>
      <c r="E81" s="1411"/>
      <c r="F81" s="1411"/>
      <c r="G81" s="1411"/>
      <c r="H81" s="1411"/>
      <c r="I81" s="1411"/>
      <c r="J81" s="1411"/>
      <c r="K81" s="1411"/>
      <c r="L81" s="1412"/>
      <c r="M81" s="1636"/>
      <c r="N81" s="1638"/>
      <c r="O81" s="1225"/>
      <c r="P81" s="1225"/>
    </row>
    <row r="82" spans="1:16" ht="30" customHeight="1" outlineLevel="1" x14ac:dyDescent="0.25">
      <c r="A82" s="1351" t="s">
        <v>2022</v>
      </c>
      <c r="B82" s="1032" t="str">
        <f>VLOOKUP(C82,'06'!$B$8:$N$225,13,FALSE)</f>
        <v>G990</v>
      </c>
      <c r="C82" s="1648" t="s">
        <v>2342</v>
      </c>
      <c r="D82" s="1649"/>
      <c r="E82" s="1649"/>
      <c r="F82" s="1649"/>
      <c r="G82" s="1649"/>
      <c r="H82" s="1649"/>
      <c r="I82" s="1033" t="str">
        <f>VLOOKUP(C82,'06'!$B$8:$N$225,7,FALSE)</f>
        <v>ML</v>
      </c>
      <c r="J82" s="1644">
        <f>+'07'!N999</f>
        <v>89908.320003387329</v>
      </c>
      <c r="K82" s="1645"/>
      <c r="L82" s="1034">
        <f>+'08'!AF1598</f>
        <v>22</v>
      </c>
      <c r="M82" s="1646">
        <f t="shared" ref="M82" si="10">ROUND((+L82*J82),2)</f>
        <v>1977983.04</v>
      </c>
      <c r="N82" s="1647"/>
      <c r="O82" s="1225">
        <v>88625.469064366946</v>
      </c>
      <c r="P82" s="1225">
        <v>1949760.3194160727</v>
      </c>
    </row>
    <row r="83" spans="1:16" ht="30" customHeight="1" outlineLevel="1" x14ac:dyDescent="0.25">
      <c r="A83" s="1351" t="s">
        <v>2023</v>
      </c>
      <c r="B83" s="1032" t="str">
        <f>VLOOKUP(C83,'06'!$B$8:$N$225,13,FALSE)</f>
        <v>G989</v>
      </c>
      <c r="C83" s="1648" t="s">
        <v>2344</v>
      </c>
      <c r="D83" s="1649"/>
      <c r="E83" s="1649"/>
      <c r="F83" s="1649"/>
      <c r="G83" s="1649"/>
      <c r="H83" s="1649"/>
      <c r="I83" s="1033" t="str">
        <f>VLOOKUP(C83,'06'!$B$8:$N$225,7,FALSE)</f>
        <v>ML</v>
      </c>
      <c r="J83" s="1644">
        <f>+'07'!N1043</f>
        <v>180886.15215797513</v>
      </c>
      <c r="K83" s="1645"/>
      <c r="L83" s="1034">
        <f>+'08'!AF1639</f>
        <v>30.5</v>
      </c>
      <c r="M83" s="1646">
        <f t="shared" ref="M83:M84" si="11">ROUND((+L83*J83),2)</f>
        <v>5517027.6399999997</v>
      </c>
      <c r="N83" s="1647"/>
      <c r="O83" s="1225">
        <v>179405.93953602854</v>
      </c>
      <c r="P83" s="1225">
        <v>5471881.1558488701</v>
      </c>
    </row>
    <row r="84" spans="1:16" ht="30" customHeight="1" outlineLevel="1" x14ac:dyDescent="0.25">
      <c r="A84" s="1351" t="s">
        <v>2024</v>
      </c>
      <c r="B84" s="1032" t="str">
        <f>VLOOKUP(C84,'06'!$B$8:$N$225,13,FALSE)</f>
        <v>G999</v>
      </c>
      <c r="C84" s="1648" t="s">
        <v>2333</v>
      </c>
      <c r="D84" s="1649"/>
      <c r="E84" s="1649"/>
      <c r="F84" s="1649"/>
      <c r="G84" s="1649"/>
      <c r="H84" s="1649"/>
      <c r="I84" s="1033" t="str">
        <f>VLOOKUP(C84,'06'!$B$8:$N$225,7,FALSE)</f>
        <v>ML</v>
      </c>
      <c r="J84" s="1644">
        <f>+'07'!N580</f>
        <v>300902.18019152089</v>
      </c>
      <c r="K84" s="1645"/>
      <c r="L84" s="1034">
        <f>+'08'!AF1680</f>
        <v>18</v>
      </c>
      <c r="M84" s="1646">
        <f t="shared" si="11"/>
        <v>5416239.2400000002</v>
      </c>
      <c r="N84" s="1647"/>
      <c r="O84" s="1225">
        <v>298764.09529315354</v>
      </c>
      <c r="P84" s="1225">
        <v>5377753.7152767638</v>
      </c>
    </row>
    <row r="85" spans="1:16" ht="15" outlineLevel="1" x14ac:dyDescent="0.25">
      <c r="A85" s="1353" t="s">
        <v>2013</v>
      </c>
      <c r="B85" s="1031" t="s">
        <v>1784</v>
      </c>
      <c r="C85" s="1633" t="s">
        <v>1796</v>
      </c>
      <c r="D85" s="1411"/>
      <c r="E85" s="1411"/>
      <c r="F85" s="1411"/>
      <c r="G85" s="1411"/>
      <c r="H85" s="1411"/>
      <c r="I85" s="1411"/>
      <c r="J85" s="1411"/>
      <c r="K85" s="1411"/>
      <c r="L85" s="1412"/>
      <c r="M85" s="1636"/>
      <c r="N85" s="1638"/>
      <c r="O85" s="1225"/>
      <c r="P85" s="1225"/>
    </row>
    <row r="86" spans="1:16" ht="30" customHeight="1" outlineLevel="1" x14ac:dyDescent="0.25">
      <c r="A86" s="1351" t="s">
        <v>2025</v>
      </c>
      <c r="B86" s="1032" t="str">
        <f>VLOOKUP(C86,'06'!$B$8:$N$225,13,FALSE)</f>
        <v>G998</v>
      </c>
      <c r="C86" s="1409" t="s">
        <v>2334</v>
      </c>
      <c r="D86" s="1409"/>
      <c r="E86" s="1409"/>
      <c r="F86" s="1409"/>
      <c r="G86" s="1409"/>
      <c r="H86" s="1409"/>
      <c r="I86" s="1033" t="str">
        <f>VLOOKUP(C86,'06'!$B$8:$N$225,7,FALSE)</f>
        <v>ML</v>
      </c>
      <c r="J86" s="1644">
        <f>+'07'!N625</f>
        <v>77165.282260475069</v>
      </c>
      <c r="K86" s="1645"/>
      <c r="L86" s="1034">
        <f>+'08'!AF1721</f>
        <v>190.76999999999998</v>
      </c>
      <c r="M86" s="1646">
        <f t="shared" ref="M86" si="12">ROUND((+L86*J86),2)</f>
        <v>14720820.9</v>
      </c>
      <c r="N86" s="1647"/>
      <c r="O86" s="1225">
        <v>75561.718586699586</v>
      </c>
      <c r="P86" s="1225">
        <v>14414909.054784678</v>
      </c>
    </row>
    <row r="87" spans="1:16" ht="13.5" customHeight="1" outlineLevel="1" x14ac:dyDescent="0.25">
      <c r="A87" s="1351" t="s">
        <v>2026</v>
      </c>
      <c r="B87" s="1032" t="str">
        <f>VLOOKUP(C87,'06'!$B$8:$N$225,13,FALSE)</f>
        <v>G988</v>
      </c>
      <c r="C87" s="1409" t="s">
        <v>2312</v>
      </c>
      <c r="D87" s="1409"/>
      <c r="E87" s="1409"/>
      <c r="F87" s="1409"/>
      <c r="G87" s="1409"/>
      <c r="H87" s="1409"/>
      <c r="I87" s="1033" t="str">
        <f>VLOOKUP(C87,'06'!$B$8:$N$225,7,FALSE)</f>
        <v>UND</v>
      </c>
      <c r="J87" s="1644">
        <f>+'07'!N1087</f>
        <v>617600.53376905771</v>
      </c>
      <c r="K87" s="1645"/>
      <c r="L87" s="1034">
        <f>+'08'!AF1762</f>
        <v>4</v>
      </c>
      <c r="M87" s="1646">
        <f t="shared" ref="M87:M103" si="13">ROUND((+L87*J87),2)</f>
        <v>2470402.14</v>
      </c>
      <c r="N87" s="1647"/>
      <c r="O87" s="1225">
        <v>606281.26077770139</v>
      </c>
      <c r="P87" s="1225">
        <v>2425125.0431108056</v>
      </c>
    </row>
    <row r="88" spans="1:16" ht="13.5" customHeight="1" outlineLevel="1" x14ac:dyDescent="0.25">
      <c r="A88" s="1351" t="s">
        <v>2027</v>
      </c>
      <c r="B88" s="1032" t="str">
        <f>VLOOKUP(C88,'06'!$B$8:$N$225,13,FALSE)</f>
        <v>G997</v>
      </c>
      <c r="C88" s="1409" t="s">
        <v>2335</v>
      </c>
      <c r="D88" s="1409"/>
      <c r="E88" s="1409"/>
      <c r="F88" s="1409"/>
      <c r="G88" s="1409"/>
      <c r="H88" s="1409"/>
      <c r="I88" s="1033" t="str">
        <f>VLOOKUP(C88,'06'!$B$8:$N$225,7,FALSE)</f>
        <v>UND</v>
      </c>
      <c r="J88" s="1644">
        <f>+'07'!N670</f>
        <v>1292709.8819521065</v>
      </c>
      <c r="K88" s="1645"/>
      <c r="L88" s="1034">
        <f>+'08'!AF1803</f>
        <v>6</v>
      </c>
      <c r="M88" s="1646">
        <f t="shared" si="13"/>
        <v>7756259.29</v>
      </c>
      <c r="N88" s="1647"/>
      <c r="O88" s="1225">
        <v>1278715.1444355205</v>
      </c>
      <c r="P88" s="1225">
        <v>7672290.8666131236</v>
      </c>
    </row>
    <row r="89" spans="1:16" ht="13.5" customHeight="1" outlineLevel="1" x14ac:dyDescent="0.25">
      <c r="A89" s="1351" t="s">
        <v>2028</v>
      </c>
      <c r="B89" s="1032" t="str">
        <f>VLOOKUP(C89,'06'!$B$8:$N$225,13,FALSE)</f>
        <v>G996</v>
      </c>
      <c r="C89" s="1409" t="s">
        <v>2336</v>
      </c>
      <c r="D89" s="1409"/>
      <c r="E89" s="1409"/>
      <c r="F89" s="1409"/>
      <c r="G89" s="1409"/>
      <c r="H89" s="1409"/>
      <c r="I89" s="1033" t="str">
        <f>VLOOKUP(C89,'06'!$B$8:$N$225,7,FALSE)</f>
        <v>UND</v>
      </c>
      <c r="J89" s="1644">
        <f>+'07'!N715</f>
        <v>1600915.999922208</v>
      </c>
      <c r="K89" s="1645"/>
      <c r="L89" s="1034">
        <f>+'08'!AF1844</f>
        <v>32</v>
      </c>
      <c r="M89" s="1646">
        <f t="shared" si="13"/>
        <v>51229312</v>
      </c>
      <c r="N89" s="1647"/>
      <c r="O89" s="1225">
        <v>1586921.2624056218</v>
      </c>
      <c r="P89" s="1225">
        <v>50781480.396979898</v>
      </c>
    </row>
    <row r="90" spans="1:16" ht="13.5" customHeight="1" outlineLevel="1" x14ac:dyDescent="0.25">
      <c r="A90" s="1351" t="s">
        <v>2029</v>
      </c>
      <c r="B90" s="1032" t="str">
        <f>VLOOKUP(C90,'06'!$B$8:$N$225,13,FALSE)</f>
        <v>G961</v>
      </c>
      <c r="C90" s="1409" t="s">
        <v>2431</v>
      </c>
      <c r="D90" s="1409"/>
      <c r="E90" s="1409"/>
      <c r="F90" s="1409"/>
      <c r="G90" s="1409"/>
      <c r="H90" s="1409"/>
      <c r="I90" s="1033" t="str">
        <f>VLOOKUP(C90,'06'!$B$8:$N$225,7,FALSE)</f>
        <v>UND</v>
      </c>
      <c r="J90" s="1644">
        <f>+'07'!N2443</f>
        <v>2551062.6087971814</v>
      </c>
      <c r="K90" s="1645"/>
      <c r="L90" s="1034">
        <f>+'08'!AF1885</f>
        <v>2</v>
      </c>
      <c r="M90" s="1646">
        <f t="shared" si="13"/>
        <v>5102125.22</v>
      </c>
      <c r="N90" s="1647"/>
      <c r="O90" s="1225">
        <v>2533957.9296102431</v>
      </c>
      <c r="P90" s="1225">
        <v>5067915.8592204861</v>
      </c>
    </row>
    <row r="91" spans="1:16" ht="30" customHeight="1" outlineLevel="1" x14ac:dyDescent="0.25">
      <c r="A91" s="1351" t="s">
        <v>2030</v>
      </c>
      <c r="B91" s="1032" t="str">
        <f>VLOOKUP(C91,'06'!$B$8:$N$225,13,FALSE)</f>
        <v>G987</v>
      </c>
      <c r="C91" s="1648" t="s">
        <v>2347</v>
      </c>
      <c r="D91" s="1649"/>
      <c r="E91" s="1649"/>
      <c r="F91" s="1649"/>
      <c r="G91" s="1649"/>
      <c r="H91" s="1649"/>
      <c r="I91" s="1033" t="str">
        <f>VLOOKUP(C91,'06'!$B$8:$N$225,7,FALSE)</f>
        <v>UND</v>
      </c>
      <c r="J91" s="1644">
        <f>+'07'!N1131</f>
        <v>1574828.6860299017</v>
      </c>
      <c r="K91" s="1645"/>
      <c r="L91" s="1034">
        <f>+'08'!AF1926</f>
        <v>4</v>
      </c>
      <c r="M91" s="1646">
        <f t="shared" si="13"/>
        <v>6299314.7400000002</v>
      </c>
      <c r="N91" s="1647"/>
      <c r="O91" s="1225">
        <v>1547339.0230508936</v>
      </c>
      <c r="P91" s="1225">
        <v>6189356.0922035743</v>
      </c>
    </row>
    <row r="92" spans="1:16" ht="30" customHeight="1" outlineLevel="1" x14ac:dyDescent="0.25">
      <c r="A92" s="1351" t="s">
        <v>2031</v>
      </c>
      <c r="B92" s="1032" t="str">
        <f>VLOOKUP(C92,'06'!$B$8:$N$225,13,FALSE)</f>
        <v>G995</v>
      </c>
      <c r="C92" s="1409" t="s">
        <v>2337</v>
      </c>
      <c r="D92" s="1409"/>
      <c r="E92" s="1409"/>
      <c r="F92" s="1409"/>
      <c r="G92" s="1409"/>
      <c r="H92" s="1409"/>
      <c r="I92" s="1033" t="str">
        <f>VLOOKUP(C92,'06'!$B$8:$N$225,7,FALSE)</f>
        <v>UND</v>
      </c>
      <c r="J92" s="1644">
        <f>+'07'!N760</f>
        <v>3318593.0443635131</v>
      </c>
      <c r="K92" s="1645"/>
      <c r="L92" s="1034">
        <f>+'08'!AF1967</f>
        <v>2</v>
      </c>
      <c r="M92" s="1646">
        <f t="shared" si="13"/>
        <v>6637186.0899999999</v>
      </c>
      <c r="N92" s="1647"/>
      <c r="O92" s="1225">
        <v>3292936.0191763015</v>
      </c>
      <c r="P92" s="1225">
        <v>6585872.0383526031</v>
      </c>
    </row>
    <row r="93" spans="1:16" ht="30" customHeight="1" outlineLevel="1" x14ac:dyDescent="0.25">
      <c r="A93" s="1351" t="s">
        <v>2032</v>
      </c>
      <c r="B93" s="1032" t="str">
        <f>VLOOKUP(C93,'06'!$B$8:$N$225,13,FALSE)</f>
        <v>G994</v>
      </c>
      <c r="C93" s="1409" t="s">
        <v>2338</v>
      </c>
      <c r="D93" s="1409"/>
      <c r="E93" s="1409"/>
      <c r="F93" s="1409"/>
      <c r="G93" s="1409"/>
      <c r="H93" s="1409"/>
      <c r="I93" s="1033" t="str">
        <f>VLOOKUP(C93,'06'!$B$8:$N$225,7,FALSE)</f>
        <v>UND</v>
      </c>
      <c r="J93" s="1644">
        <f>+'07'!N808</f>
        <v>4861575.703367291</v>
      </c>
      <c r="K93" s="1645"/>
      <c r="L93" s="1034">
        <f>+'08'!AF2008</f>
        <v>2</v>
      </c>
      <c r="M93" s="1646">
        <f t="shared" si="13"/>
        <v>9723151.4100000001</v>
      </c>
      <c r="N93" s="1647"/>
      <c r="O93" s="1225">
        <v>4835918.678180079</v>
      </c>
      <c r="P93" s="1225">
        <v>9671837.356360158</v>
      </c>
    </row>
    <row r="94" spans="1:16" ht="40.5" customHeight="1" outlineLevel="1" x14ac:dyDescent="0.25">
      <c r="A94" s="1351" t="s">
        <v>2033</v>
      </c>
      <c r="B94" s="1032" t="str">
        <f>VLOOKUP(C94,'06'!$B$8:$N$225,13,FALSE)</f>
        <v>G992</v>
      </c>
      <c r="C94" s="1409" t="s">
        <v>2340</v>
      </c>
      <c r="D94" s="1409"/>
      <c r="E94" s="1409"/>
      <c r="F94" s="1409"/>
      <c r="G94" s="1409"/>
      <c r="H94" s="1409"/>
      <c r="I94" s="1033" t="str">
        <f>VLOOKUP(C94,'06'!$B$8:$N$225,7,FALSE)</f>
        <v>UND</v>
      </c>
      <c r="J94" s="1644">
        <f>+'07'!N904</f>
        <v>6146941.1868972993</v>
      </c>
      <c r="K94" s="1645"/>
      <c r="L94" s="1034">
        <f>+'08'!AF2049</f>
        <v>12</v>
      </c>
      <c r="M94" s="1646">
        <f t="shared" si="13"/>
        <v>73763294.239999995</v>
      </c>
      <c r="N94" s="1647"/>
      <c r="O94" s="1225">
        <v>6116152.764438468</v>
      </c>
      <c r="P94" s="1225">
        <v>73393833.173261613</v>
      </c>
    </row>
    <row r="95" spans="1:16" ht="59.25" customHeight="1" outlineLevel="1" x14ac:dyDescent="0.25">
      <c r="A95" s="1351" t="s">
        <v>2034</v>
      </c>
      <c r="B95" s="1032" t="str">
        <f>VLOOKUP(C95,'06'!$B$8:$N$225,13,FALSE)</f>
        <v>G986</v>
      </c>
      <c r="C95" s="1648" t="s">
        <v>2349</v>
      </c>
      <c r="D95" s="1649"/>
      <c r="E95" s="1649"/>
      <c r="F95" s="1649"/>
      <c r="G95" s="1649"/>
      <c r="H95" s="1649"/>
      <c r="I95" s="1033" t="str">
        <f>VLOOKUP(C95,'06'!$B$8:$N$225,7,FALSE)</f>
        <v>UND</v>
      </c>
      <c r="J95" s="1644">
        <f>+'07'!N1175</f>
        <v>4050575.6705097444</v>
      </c>
      <c r="K95" s="1645"/>
      <c r="L95" s="1034">
        <f>+'08'!AF2090</f>
        <v>2</v>
      </c>
      <c r="M95" s="1646">
        <f t="shared" si="13"/>
        <v>8101151.3399999999</v>
      </c>
      <c r="N95" s="1647"/>
      <c r="O95" s="1225">
        <v>3970397.4868209707</v>
      </c>
      <c r="P95" s="1225">
        <v>7940794.9736419413</v>
      </c>
    </row>
    <row r="96" spans="1:16" ht="67.5" customHeight="1" outlineLevel="1" x14ac:dyDescent="0.25">
      <c r="A96" s="1351" t="s">
        <v>2035</v>
      </c>
      <c r="B96" s="1032" t="str">
        <f>VLOOKUP(C96,'06'!$B$8:$N$225,13,FALSE)</f>
        <v>G985</v>
      </c>
      <c r="C96" s="1648" t="s">
        <v>2351</v>
      </c>
      <c r="D96" s="1649"/>
      <c r="E96" s="1649"/>
      <c r="F96" s="1649"/>
      <c r="G96" s="1649"/>
      <c r="H96" s="1649"/>
      <c r="I96" s="1033" t="str">
        <f>VLOOKUP(C96,'06'!$B$8:$N$225,7,FALSE)</f>
        <v>UND</v>
      </c>
      <c r="J96" s="1644">
        <f>+'07'!N1219</f>
        <v>9921428.1189927384</v>
      </c>
      <c r="K96" s="1645"/>
      <c r="L96" s="1034">
        <f>+'08'!AF2131</f>
        <v>6</v>
      </c>
      <c r="M96" s="1646">
        <f t="shared" si="13"/>
        <v>59528568.710000001</v>
      </c>
      <c r="N96" s="1647"/>
      <c r="O96" s="1225">
        <v>9814523.8740743734</v>
      </c>
      <c r="P96" s="1225">
        <v>58887143.24444624</v>
      </c>
    </row>
    <row r="97" spans="1:23" ht="67.5" customHeight="1" outlineLevel="1" x14ac:dyDescent="0.25">
      <c r="A97" s="1351" t="s">
        <v>2036</v>
      </c>
      <c r="B97" s="1032" t="str">
        <f>VLOOKUP(C97,'06'!$B$8:$N$225,13,FALSE)</f>
        <v>G984</v>
      </c>
      <c r="C97" s="1648" t="s">
        <v>2353</v>
      </c>
      <c r="D97" s="1649"/>
      <c r="E97" s="1649"/>
      <c r="F97" s="1649"/>
      <c r="G97" s="1649"/>
      <c r="H97" s="1649"/>
      <c r="I97" s="1033" t="str">
        <f>VLOOKUP(C97,'06'!$B$8:$N$225,7,FALSE)</f>
        <v>UND</v>
      </c>
      <c r="J97" s="1644">
        <f>+'07'!N1268</f>
        <v>2993459.4255906548</v>
      </c>
      <c r="K97" s="1645"/>
      <c r="L97" s="1034">
        <f>+'08'!AF2172</f>
        <v>6</v>
      </c>
      <c r="M97" s="1646">
        <f t="shared" si="13"/>
        <v>17960756.550000001</v>
      </c>
      <c r="N97" s="1647"/>
      <c r="O97" s="1225">
        <v>2913281.2419018811</v>
      </c>
      <c r="P97" s="1225">
        <v>17479687.451411285</v>
      </c>
    </row>
    <row r="98" spans="1:23" ht="30" customHeight="1" outlineLevel="1" x14ac:dyDescent="0.25">
      <c r="A98" s="1351" t="s">
        <v>2037</v>
      </c>
      <c r="B98" s="1032" t="str">
        <f>VLOOKUP(C98,'06'!$B$8:$N$225,13,FALSE)</f>
        <v>G983</v>
      </c>
      <c r="C98" s="1648" t="s">
        <v>2355</v>
      </c>
      <c r="D98" s="1649"/>
      <c r="E98" s="1649"/>
      <c r="F98" s="1649"/>
      <c r="G98" s="1649"/>
      <c r="H98" s="1649"/>
      <c r="I98" s="1033" t="str">
        <f>VLOOKUP(C98,'06'!$B$8:$N$225,7,FALSE)</f>
        <v>M2</v>
      </c>
      <c r="J98" s="1644">
        <f>+'07'!N1317</f>
        <v>441273.47267807601</v>
      </c>
      <c r="K98" s="1645"/>
      <c r="L98" s="1034">
        <f>+'08'!AF2213</f>
        <v>8.68</v>
      </c>
      <c r="M98" s="1646">
        <f t="shared" si="13"/>
        <v>3830253.74</v>
      </c>
      <c r="N98" s="1647"/>
      <c r="O98" s="1225">
        <v>427910.44206328026</v>
      </c>
      <c r="P98" s="1225">
        <v>3714262.6371092726</v>
      </c>
    </row>
    <row r="99" spans="1:23" ht="54" customHeight="1" outlineLevel="1" x14ac:dyDescent="0.25">
      <c r="A99" s="1351" t="s">
        <v>2038</v>
      </c>
      <c r="B99" s="1032" t="str">
        <f>VLOOKUP(C99,'06'!$B$8:$N$225,13,FALSE)</f>
        <v>G982</v>
      </c>
      <c r="C99" s="1648" t="s">
        <v>2357</v>
      </c>
      <c r="D99" s="1649"/>
      <c r="E99" s="1649"/>
      <c r="F99" s="1649"/>
      <c r="G99" s="1649"/>
      <c r="H99" s="1649"/>
      <c r="I99" s="1033" t="str">
        <f>VLOOKUP(C99,'06'!$B$8:$N$225,7,FALSE)</f>
        <v>M2</v>
      </c>
      <c r="J99" s="1644">
        <f>+'07'!N1366</f>
        <v>1231132.6197644991</v>
      </c>
      <c r="K99" s="1645"/>
      <c r="L99" s="1034">
        <f>+'08'!AF2254</f>
        <v>26.24</v>
      </c>
      <c r="M99" s="1646">
        <f t="shared" si="13"/>
        <v>32304919.940000001</v>
      </c>
      <c r="N99" s="1647"/>
      <c r="O99" s="1225">
        <v>1225787.4075185808</v>
      </c>
      <c r="P99" s="1225">
        <v>32164661.573287558</v>
      </c>
    </row>
    <row r="100" spans="1:23" ht="13.5" customHeight="1" outlineLevel="1" x14ac:dyDescent="0.25">
      <c r="A100" s="1351" t="s">
        <v>2039</v>
      </c>
      <c r="B100" s="1032" t="str">
        <f>VLOOKUP(C100,'06'!$B$8:$N$225,13,FALSE)</f>
        <v>G981</v>
      </c>
      <c r="C100" s="1648" t="s">
        <v>2359</v>
      </c>
      <c r="D100" s="1649"/>
      <c r="E100" s="1649"/>
      <c r="F100" s="1649"/>
      <c r="G100" s="1649"/>
      <c r="H100" s="1649"/>
      <c r="I100" s="1033" t="str">
        <f>VLOOKUP(C100,'06'!$B$8:$N$225,7,FALSE)</f>
        <v>M3</v>
      </c>
      <c r="J100" s="1644">
        <f>+'07'!N1415</f>
        <v>1254089.2325247277</v>
      </c>
      <c r="K100" s="1645"/>
      <c r="L100" s="1034">
        <f>+'08'!AF2295</f>
        <v>3.91</v>
      </c>
      <c r="M100" s="1646">
        <f t="shared" si="13"/>
        <v>4903488.9000000004</v>
      </c>
      <c r="N100" s="1647"/>
      <c r="O100" s="1225">
        <v>1251683.8870140647</v>
      </c>
      <c r="P100" s="1225">
        <v>4894083.9982249932</v>
      </c>
    </row>
    <row r="101" spans="1:23" ht="13.5" customHeight="1" outlineLevel="1" x14ac:dyDescent="0.25">
      <c r="A101" s="1351" t="s">
        <v>2040</v>
      </c>
      <c r="B101" s="1032" t="str">
        <f>VLOOKUP(C101,'06'!$B$8:$N$225,13,FALSE)</f>
        <v>G980</v>
      </c>
      <c r="C101" s="1648" t="s">
        <v>2361</v>
      </c>
      <c r="D101" s="1649"/>
      <c r="E101" s="1649"/>
      <c r="F101" s="1649"/>
      <c r="G101" s="1649"/>
      <c r="H101" s="1649"/>
      <c r="I101" s="1033" t="str">
        <f>VLOOKUP(C101,'06'!$B$8:$N$225,7,FALSE)</f>
        <v>M3</v>
      </c>
      <c r="J101" s="1644">
        <f>+'07'!N1464</f>
        <v>1107444.5998065651</v>
      </c>
      <c r="K101" s="1645"/>
      <c r="L101" s="1034">
        <f>+'08'!AF2336</f>
        <v>1.74</v>
      </c>
      <c r="M101" s="1646">
        <f t="shared" si="13"/>
        <v>1926953.6</v>
      </c>
      <c r="N101" s="1647"/>
      <c r="O101" s="1225">
        <v>1105039.2542959019</v>
      </c>
      <c r="P101" s="1225">
        <v>1922768.3024748692</v>
      </c>
    </row>
    <row r="102" spans="1:23" ht="13.5" customHeight="1" outlineLevel="1" x14ac:dyDescent="0.25">
      <c r="A102" s="1351" t="s">
        <v>2429</v>
      </c>
      <c r="B102" s="1032" t="str">
        <f>VLOOKUP(C102,'06'!$B$8:$N$225,13,FALSE)</f>
        <v>G979</v>
      </c>
      <c r="C102" s="1648" t="s">
        <v>2363</v>
      </c>
      <c r="D102" s="1649"/>
      <c r="E102" s="1649"/>
      <c r="F102" s="1649"/>
      <c r="G102" s="1649"/>
      <c r="H102" s="1649"/>
      <c r="I102" s="1033" t="str">
        <f>VLOOKUP(C102,'06'!$B$8:$N$225,7,FALSE)</f>
        <v>M3</v>
      </c>
      <c r="J102" s="1644">
        <f>+'07'!N1513</f>
        <v>1111651.0875058945</v>
      </c>
      <c r="K102" s="1645"/>
      <c r="L102" s="1034">
        <f>+'08'!AF2377</f>
        <v>1.74</v>
      </c>
      <c r="M102" s="1646">
        <f t="shared" si="13"/>
        <v>1934272.89</v>
      </c>
      <c r="N102" s="1647"/>
      <c r="O102" s="1225">
        <v>1109245.7419952315</v>
      </c>
      <c r="P102" s="1225">
        <v>1930087.5910717028</v>
      </c>
    </row>
    <row r="103" spans="1:23" ht="27" customHeight="1" outlineLevel="1" x14ac:dyDescent="0.25">
      <c r="A103" s="1351" t="s">
        <v>2437</v>
      </c>
      <c r="B103" s="1032" t="str">
        <f>VLOOKUP(C103,'06'!$B$8:$N$225,13,FALSE)</f>
        <v>G963</v>
      </c>
      <c r="C103" s="1648" t="s">
        <v>2402</v>
      </c>
      <c r="D103" s="1649"/>
      <c r="E103" s="1649"/>
      <c r="F103" s="1649"/>
      <c r="G103" s="1649"/>
      <c r="H103" s="1649"/>
      <c r="I103" s="1033" t="str">
        <f>VLOOKUP(C103,'06'!$B$8:$N$225,7,FALSE)</f>
        <v>UND</v>
      </c>
      <c r="J103" s="1644">
        <f>+'07'!N2335</f>
        <v>2206484.3098345255</v>
      </c>
      <c r="K103" s="1645"/>
      <c r="L103" s="1034">
        <f>+'08'!AF2418</f>
        <v>2</v>
      </c>
      <c r="M103" s="1646">
        <f t="shared" si="13"/>
        <v>4412968.62</v>
      </c>
      <c r="N103" s="1647"/>
      <c r="O103" s="1225">
        <v>2197687.547790681</v>
      </c>
      <c r="P103" s="1225">
        <v>4395375.095581362</v>
      </c>
    </row>
    <row r="104" spans="1:23" ht="13.5" customHeight="1" x14ac:dyDescent="0.25">
      <c r="A104" s="1223"/>
      <c r="B104"/>
      <c r="C104"/>
      <c r="D104"/>
      <c r="E104"/>
      <c r="F104"/>
      <c r="G104"/>
      <c r="H104"/>
      <c r="I104"/>
      <c r="J104"/>
      <c r="K104"/>
      <c r="L104"/>
      <c r="M104"/>
      <c r="N104" s="1360"/>
      <c r="O104" s="1225"/>
      <c r="P104" s="1225"/>
    </row>
    <row r="105" spans="1:23" customFormat="1" ht="13.5" customHeight="1" x14ac:dyDescent="0.25">
      <c r="A105" s="1223"/>
      <c r="H105" s="1668" t="s">
        <v>2406</v>
      </c>
      <c r="I105" s="1668"/>
      <c r="J105" s="1668"/>
      <c r="K105" s="1668"/>
      <c r="L105" s="1669"/>
      <c r="M105" s="1654">
        <f>SUM(M108:N128)</f>
        <v>137429294.75999999</v>
      </c>
      <c r="N105" s="1647"/>
      <c r="O105" s="1225"/>
      <c r="P105" s="1225"/>
      <c r="Q105" s="1027"/>
      <c r="R105" s="1027"/>
      <c r="S105" s="1027"/>
      <c r="T105" s="1027"/>
      <c r="U105" s="1027"/>
      <c r="V105" s="1027"/>
      <c r="W105" s="1027"/>
    </row>
    <row r="106" spans="1:23" customFormat="1" ht="13.5" customHeight="1" outlineLevel="1" x14ac:dyDescent="0.25">
      <c r="A106" s="1358" t="s">
        <v>0</v>
      </c>
      <c r="B106" s="1656" t="s">
        <v>1781</v>
      </c>
      <c r="C106" s="1656"/>
      <c r="D106" s="1656"/>
      <c r="E106" s="1656"/>
      <c r="F106" s="1656"/>
      <c r="G106" s="1656"/>
      <c r="H106" s="1656"/>
      <c r="I106" s="1037" t="s">
        <v>1782</v>
      </c>
      <c r="J106" s="1657" t="s">
        <v>879</v>
      </c>
      <c r="K106" s="1653"/>
      <c r="L106" s="1037" t="s">
        <v>628</v>
      </c>
      <c r="M106" s="1656" t="s">
        <v>1172</v>
      </c>
      <c r="N106" s="1647"/>
      <c r="O106" s="1225"/>
      <c r="P106" s="1225"/>
      <c r="Q106" s="1027"/>
      <c r="R106" s="1027"/>
      <c r="S106" s="1027"/>
      <c r="T106" s="1027"/>
      <c r="U106" s="1027"/>
      <c r="V106" s="1027"/>
      <c r="W106" s="1027"/>
    </row>
    <row r="107" spans="1:23" ht="13.5" customHeight="1" outlineLevel="1" x14ac:dyDescent="0.25">
      <c r="A107" s="1353" t="s">
        <v>2041</v>
      </c>
      <c r="B107" s="1031" t="s">
        <v>1784</v>
      </c>
      <c r="C107" s="1633" t="s">
        <v>197</v>
      </c>
      <c r="D107" s="1411"/>
      <c r="E107" s="1411"/>
      <c r="F107" s="1411"/>
      <c r="G107" s="1411"/>
      <c r="H107" s="1411"/>
      <c r="I107" s="1411"/>
      <c r="J107" s="1411"/>
      <c r="K107" s="1411"/>
      <c r="L107" s="1411"/>
      <c r="M107" s="1636"/>
      <c r="N107" s="1638"/>
      <c r="O107" s="1225"/>
      <c r="P107" s="1225"/>
    </row>
    <row r="108" spans="1:23" ht="40.5" customHeight="1" outlineLevel="1" x14ac:dyDescent="0.25">
      <c r="A108" s="1351" t="s">
        <v>2042</v>
      </c>
      <c r="B108" s="1032" t="str">
        <f>VLOOKUP(C108,'06'!$B$8:$N$225,13,FALSE)</f>
        <v>G978</v>
      </c>
      <c r="C108" s="1648" t="s">
        <v>2365</v>
      </c>
      <c r="D108" s="1649"/>
      <c r="E108" s="1649"/>
      <c r="F108" s="1649"/>
      <c r="G108" s="1649"/>
      <c r="H108" s="1649"/>
      <c r="I108" s="1033" t="str">
        <f>VLOOKUP(C108,'06'!$B$8:$N$225,7,FALSE)</f>
        <v>M2</v>
      </c>
      <c r="J108" s="1644">
        <f>+'07'!N1562</f>
        <v>5158.341051402459</v>
      </c>
      <c r="K108" s="1645"/>
      <c r="L108" s="1034">
        <f>+'08'!AF2459</f>
        <v>46.42</v>
      </c>
      <c r="M108" s="1646">
        <f t="shared" ref="M108" si="14">ROUND((+L108*J108),2)</f>
        <v>239450.19</v>
      </c>
      <c r="N108" s="1647"/>
      <c r="O108" s="1225">
        <v>4596.0306496675757</v>
      </c>
      <c r="P108" s="1225">
        <v>213347.74275756886</v>
      </c>
    </row>
    <row r="109" spans="1:23" ht="15" outlineLevel="1" x14ac:dyDescent="0.25">
      <c r="A109" s="1353" t="s">
        <v>2043</v>
      </c>
      <c r="B109" s="1031" t="s">
        <v>1784</v>
      </c>
      <c r="C109" s="1633" t="s">
        <v>1787</v>
      </c>
      <c r="D109" s="1411"/>
      <c r="E109" s="1411"/>
      <c r="F109" s="1411"/>
      <c r="G109" s="1411"/>
      <c r="H109" s="1411"/>
      <c r="I109" s="1411"/>
      <c r="J109" s="1411"/>
      <c r="K109" s="1411"/>
      <c r="L109" s="1411"/>
      <c r="M109" s="1636"/>
      <c r="N109" s="1638"/>
      <c r="O109" s="1225"/>
      <c r="P109" s="1225"/>
    </row>
    <row r="110" spans="1:23" ht="13.5" customHeight="1" outlineLevel="1" x14ac:dyDescent="0.25">
      <c r="A110" s="1351" t="s">
        <v>2044</v>
      </c>
      <c r="B110" s="1032" t="str">
        <f>VLOOKUP(C110,'06'!$B$8:$N$225,13,FALSE)</f>
        <v>G977</v>
      </c>
      <c r="C110" s="1648" t="s">
        <v>2367</v>
      </c>
      <c r="D110" s="1649"/>
      <c r="E110" s="1649"/>
      <c r="F110" s="1649"/>
      <c r="G110" s="1649"/>
      <c r="H110" s="1649"/>
      <c r="I110" s="1033" t="str">
        <f>VLOOKUP(C110,'06'!$B$8:$N$225,7,FALSE)</f>
        <v>M3</v>
      </c>
      <c r="J110" s="1644">
        <f>+'07'!N1611</f>
        <v>42028.622073968225</v>
      </c>
      <c r="K110" s="1645"/>
      <c r="L110" s="1034">
        <f>+'08'!AF2500</f>
        <v>92.78</v>
      </c>
      <c r="M110" s="1646">
        <f t="shared" ref="M110" si="15">ROUND((+L110*J110),2)</f>
        <v>3899415.56</v>
      </c>
      <c r="N110" s="1647"/>
      <c r="O110" s="1225">
        <v>35614.367378866315</v>
      </c>
      <c r="P110" s="1225">
        <v>3304301.0054112165</v>
      </c>
    </row>
    <row r="111" spans="1:23" ht="15" outlineLevel="1" x14ac:dyDescent="0.25">
      <c r="A111" s="1352" t="s">
        <v>2045</v>
      </c>
      <c r="B111" s="1031" t="s">
        <v>1784</v>
      </c>
      <c r="C111" s="1633" t="s">
        <v>1791</v>
      </c>
      <c r="D111" s="1411"/>
      <c r="E111" s="1411"/>
      <c r="F111" s="1411"/>
      <c r="G111" s="1411"/>
      <c r="H111" s="1411"/>
      <c r="I111" s="1411"/>
      <c r="J111" s="1411"/>
      <c r="K111" s="1411"/>
      <c r="L111" s="1411"/>
      <c r="M111" s="1636"/>
      <c r="N111" s="1638"/>
      <c r="O111" s="1225"/>
      <c r="P111" s="1225"/>
    </row>
    <row r="112" spans="1:23" ht="40.5" customHeight="1" outlineLevel="1" x14ac:dyDescent="0.25">
      <c r="A112" s="1351" t="s">
        <v>2046</v>
      </c>
      <c r="B112" s="1032" t="str">
        <f>VLOOKUP(C112,'06'!$B$8:$N$225,13,FALSE)</f>
        <v>G976</v>
      </c>
      <c r="C112" s="1648" t="s">
        <v>2369</v>
      </c>
      <c r="D112" s="1649"/>
      <c r="E112" s="1649"/>
      <c r="F112" s="1649"/>
      <c r="G112" s="1649"/>
      <c r="H112" s="1649"/>
      <c r="I112" s="1033" t="str">
        <f>VLOOKUP(C112,'06'!$B$8:$N$225,7,FALSE)</f>
        <v>M3</v>
      </c>
      <c r="J112" s="1644">
        <f>+'07'!N1660</f>
        <v>104305.35712080231</v>
      </c>
      <c r="K112" s="1645"/>
      <c r="L112" s="1034">
        <f>+'08'!AF2541</f>
        <v>0.5</v>
      </c>
      <c r="M112" s="1646">
        <f t="shared" ref="M112" si="16">ROUND((+L112*J112),2)</f>
        <v>52152.68</v>
      </c>
      <c r="N112" s="1647"/>
      <c r="O112" s="1225">
        <v>101556.39082290149</v>
      </c>
      <c r="P112" s="1225">
        <v>50778.195411450746</v>
      </c>
    </row>
    <row r="113" spans="1:16" ht="30" customHeight="1" outlineLevel="1" x14ac:dyDescent="0.25">
      <c r="A113" s="1351" t="s">
        <v>2047</v>
      </c>
      <c r="B113" s="1032" t="str">
        <f>VLOOKUP(C113,'06'!$B$8:$N$225,13,FALSE)</f>
        <v>G004</v>
      </c>
      <c r="C113" s="1409" t="s">
        <v>2327</v>
      </c>
      <c r="D113" s="1409"/>
      <c r="E113" s="1409"/>
      <c r="F113" s="1409"/>
      <c r="G113" s="1409"/>
      <c r="H113" s="1409"/>
      <c r="I113" s="1033" t="str">
        <f>VLOOKUP(C113,'06'!$B$8:$N$225,7,FALSE)</f>
        <v>M3</v>
      </c>
      <c r="J113" s="1644">
        <f>+'07'!N409</f>
        <v>124202.21838737666</v>
      </c>
      <c r="K113" s="1645"/>
      <c r="L113" s="1034">
        <f>+'08'!AF2582</f>
        <v>7.35</v>
      </c>
      <c r="M113" s="1646">
        <f t="shared" ref="M113:M114" si="17">ROUND((+L113*J113),2)</f>
        <v>912886.31</v>
      </c>
      <c r="N113" s="1647"/>
      <c r="O113" s="1225">
        <v>121563.23869761667</v>
      </c>
      <c r="P113" s="1225">
        <v>893489.80442748254</v>
      </c>
    </row>
    <row r="114" spans="1:16" ht="30" customHeight="1" outlineLevel="1" x14ac:dyDescent="0.25">
      <c r="A114" s="1351" t="s">
        <v>2455</v>
      </c>
      <c r="B114" s="1032" t="str">
        <f>VLOOKUP(C114,'06'!$B$8:$N$225,13,FALSE)</f>
        <v>G011</v>
      </c>
      <c r="C114" s="1648" t="s">
        <v>2172</v>
      </c>
      <c r="D114" s="1649"/>
      <c r="E114" s="1649"/>
      <c r="F114" s="1649"/>
      <c r="G114" s="1649"/>
      <c r="H114" s="1650"/>
      <c r="I114" s="1033" t="str">
        <f>VLOOKUP(C114,'06'!$B$8:$N$225,7,FALSE)</f>
        <v>M3</v>
      </c>
      <c r="J114" s="1644">
        <f>+'07'!N185</f>
        <v>30956.641395291757</v>
      </c>
      <c r="K114" s="1645"/>
      <c r="L114" s="1034">
        <f>+'08'!AF2619</f>
        <v>0.19999999999999996</v>
      </c>
      <c r="M114" s="1646">
        <f t="shared" si="17"/>
        <v>6191.33</v>
      </c>
      <c r="N114" s="1647"/>
      <c r="O114" s="1225">
        <v>27555.986192574794</v>
      </c>
      <c r="P114" s="1225">
        <v>5511.1972385149575</v>
      </c>
    </row>
    <row r="115" spans="1:16" ht="15" outlineLevel="1" x14ac:dyDescent="0.25">
      <c r="A115" s="1353" t="s">
        <v>2048</v>
      </c>
      <c r="B115" s="1031" t="s">
        <v>1784</v>
      </c>
      <c r="C115" s="1633" t="s">
        <v>1790</v>
      </c>
      <c r="D115" s="1411"/>
      <c r="E115" s="1411"/>
      <c r="F115" s="1411"/>
      <c r="G115" s="1411"/>
      <c r="H115" s="1411"/>
      <c r="I115" s="1411"/>
      <c r="J115" s="1411"/>
      <c r="K115" s="1411"/>
      <c r="L115" s="1412"/>
      <c r="M115" s="1636"/>
      <c r="N115" s="1638"/>
      <c r="O115" s="1225"/>
      <c r="P115" s="1225"/>
    </row>
    <row r="116" spans="1:16" ht="30" customHeight="1" outlineLevel="1" x14ac:dyDescent="0.25">
      <c r="A116" s="1351" t="s">
        <v>2049</v>
      </c>
      <c r="B116" s="1032" t="str">
        <f>VLOOKUP(C116,'06'!$B$8:$N$225,13,FALSE)</f>
        <v>G013</v>
      </c>
      <c r="C116" s="1648" t="s">
        <v>2177</v>
      </c>
      <c r="D116" s="1649"/>
      <c r="E116" s="1649"/>
      <c r="F116" s="1649"/>
      <c r="G116" s="1649"/>
      <c r="H116" s="1650"/>
      <c r="I116" s="1033" t="str">
        <f>VLOOKUP(C116,'06'!$B$8:$N$225,7,FALSE)</f>
        <v>M3-KM</v>
      </c>
      <c r="J116" s="1644">
        <f>+'07'!N229</f>
        <v>3271.2560446782409</v>
      </c>
      <c r="K116" s="1645"/>
      <c r="L116" s="1034">
        <f>+'08'!AF2657</f>
        <v>578.63</v>
      </c>
      <c r="M116" s="1646">
        <f t="shared" ref="M116" si="18">ROUND((+L116*J116),2)</f>
        <v>1892846.89</v>
      </c>
      <c r="N116" s="1647"/>
      <c r="O116" s="1225">
        <v>3271.2560446782409</v>
      </c>
      <c r="P116" s="1225">
        <v>1892846.8851321705</v>
      </c>
    </row>
    <row r="117" spans="1:16" ht="30" customHeight="1" outlineLevel="1" x14ac:dyDescent="0.25">
      <c r="A117" s="1351" t="s">
        <v>2370</v>
      </c>
      <c r="B117" s="1032" t="str">
        <f>VLOOKUP(C117,'06'!$B$8:$N$225,13,FALSE)</f>
        <v>G014</v>
      </c>
      <c r="C117" s="1648" t="s">
        <v>2182</v>
      </c>
      <c r="D117" s="1649"/>
      <c r="E117" s="1649"/>
      <c r="F117" s="1649"/>
      <c r="G117" s="1649"/>
      <c r="H117" s="1650"/>
      <c r="I117" s="1033" t="str">
        <f>VLOOKUP(C117,'06'!$B$8:$N$225,7,FALSE)</f>
        <v>M3</v>
      </c>
      <c r="J117" s="1644">
        <f>+'07'!N274</f>
        <v>5824.3675836869543</v>
      </c>
      <c r="K117" s="1645"/>
      <c r="L117" s="1034">
        <f>+'08'!AF2695</f>
        <v>115.73</v>
      </c>
      <c r="M117" s="1646">
        <f t="shared" ref="M117" si="19">ROUND((+L117*J117),2)</f>
        <v>674054.06</v>
      </c>
      <c r="N117" s="1647"/>
      <c r="O117" s="1225">
        <v>5824.3675836869543</v>
      </c>
      <c r="P117" s="1225">
        <v>674054.06046009122</v>
      </c>
    </row>
    <row r="118" spans="1:16" ht="15" outlineLevel="1" x14ac:dyDescent="0.25">
      <c r="A118" s="1353" t="s">
        <v>2050</v>
      </c>
      <c r="B118" s="1031" t="s">
        <v>1784</v>
      </c>
      <c r="C118" s="1633" t="s">
        <v>1794</v>
      </c>
      <c r="D118" s="1411"/>
      <c r="E118" s="1411"/>
      <c r="F118" s="1411"/>
      <c r="G118" s="1411"/>
      <c r="H118" s="1411"/>
      <c r="I118" s="1411"/>
      <c r="J118" s="1411"/>
      <c r="K118" s="1411"/>
      <c r="L118" s="1412"/>
      <c r="M118" s="1636"/>
      <c r="N118" s="1638"/>
      <c r="O118" s="1225"/>
      <c r="P118" s="1225"/>
    </row>
    <row r="119" spans="1:16" ht="30" customHeight="1" outlineLevel="1" x14ac:dyDescent="0.25">
      <c r="A119" s="1351" t="s">
        <v>2051</v>
      </c>
      <c r="B119" s="1032" t="str">
        <f>VLOOKUP(C119,'06'!$B$8:$N$225,13,FALSE)</f>
        <v>G018</v>
      </c>
      <c r="C119" s="1409" t="s">
        <v>2329</v>
      </c>
      <c r="D119" s="1409"/>
      <c r="E119" s="1409"/>
      <c r="F119" s="1409"/>
      <c r="G119" s="1409"/>
      <c r="H119" s="1409"/>
      <c r="I119" s="1033" t="str">
        <f>VLOOKUP(C119,'06'!$B$8:$N$225,7,FALSE)</f>
        <v>M3</v>
      </c>
      <c r="J119" s="1644">
        <f>+'07'!N454</f>
        <v>725724.88143541082</v>
      </c>
      <c r="K119" s="1645"/>
      <c r="L119" s="1034">
        <f>+'08'!AF2736</f>
        <v>1.86</v>
      </c>
      <c r="M119" s="1646">
        <f t="shared" ref="M119" si="20">ROUND((+L119*J119),2)</f>
        <v>1349848.28</v>
      </c>
      <c r="N119" s="1647"/>
      <c r="O119" s="1225">
        <v>671967.70655736153</v>
      </c>
      <c r="P119" s="1225">
        <v>1249859.9341966924</v>
      </c>
    </row>
    <row r="120" spans="1:16" ht="30" customHeight="1" outlineLevel="1" x14ac:dyDescent="0.25">
      <c r="A120" s="1351" t="s">
        <v>2052</v>
      </c>
      <c r="B120" s="1032" t="str">
        <f>VLOOKUP(C120,'06'!$B$8:$N$225,13,FALSE)</f>
        <v>G019</v>
      </c>
      <c r="C120" s="1409" t="s">
        <v>2331</v>
      </c>
      <c r="D120" s="1409"/>
      <c r="E120" s="1409"/>
      <c r="F120" s="1409"/>
      <c r="G120" s="1409"/>
      <c r="H120" s="1409"/>
      <c r="I120" s="1033" t="str">
        <f>VLOOKUP(C120,'06'!$B$8:$N$225,7,FALSE)</f>
        <v>M3</v>
      </c>
      <c r="J120" s="1644">
        <f>+'07'!N496</f>
        <v>1461311.8817958308</v>
      </c>
      <c r="K120" s="1645"/>
      <c r="L120" s="1034">
        <f>+'08'!AF2777</f>
        <v>37.43</v>
      </c>
      <c r="M120" s="1646">
        <f t="shared" ref="M120" si="21">ROUND((+L120*J120),2)</f>
        <v>54696903.740000002</v>
      </c>
      <c r="N120" s="1647"/>
      <c r="O120" s="1225">
        <v>1363119.4626060962</v>
      </c>
      <c r="P120" s="1225">
        <v>51021561.485346176</v>
      </c>
    </row>
    <row r="121" spans="1:16" ht="15" outlineLevel="1" x14ac:dyDescent="0.25">
      <c r="A121" s="1353" t="s">
        <v>2053</v>
      </c>
      <c r="B121" s="1031" t="s">
        <v>1784</v>
      </c>
      <c r="C121" s="1633" t="s">
        <v>1795</v>
      </c>
      <c r="D121" s="1411"/>
      <c r="E121" s="1411"/>
      <c r="F121" s="1411"/>
      <c r="G121" s="1411"/>
      <c r="H121" s="1411"/>
      <c r="I121" s="1411"/>
      <c r="J121" s="1411"/>
      <c r="K121" s="1411"/>
      <c r="L121" s="1412"/>
      <c r="M121" s="1636"/>
      <c r="N121" s="1638"/>
      <c r="O121" s="1225"/>
      <c r="P121" s="1225"/>
    </row>
    <row r="122" spans="1:16" ht="54" customHeight="1" outlineLevel="1" x14ac:dyDescent="0.25">
      <c r="A122" s="1351" t="s">
        <v>2054</v>
      </c>
      <c r="B122" s="1032" t="str">
        <f>VLOOKUP(C122,'06'!$B$8:$N$225,13,FALSE)</f>
        <v>G007</v>
      </c>
      <c r="C122" s="1409" t="s">
        <v>2332</v>
      </c>
      <c r="D122" s="1409"/>
      <c r="E122" s="1409"/>
      <c r="F122" s="1409"/>
      <c r="G122" s="1409"/>
      <c r="H122" s="1409"/>
      <c r="I122" s="1033" t="str">
        <f>VLOOKUP(C122,'06'!$B$8:$N$225,7,FALSE)</f>
        <v>KG</v>
      </c>
      <c r="J122" s="1644">
        <f>+'07'!N538</f>
        <v>10058.957727500896</v>
      </c>
      <c r="K122" s="1645"/>
      <c r="L122" s="1034">
        <f>+'08'!AF2818</f>
        <v>6319.76</v>
      </c>
      <c r="M122" s="1646">
        <f t="shared" ref="M122" si="22">ROUND((+L122*J122),2)</f>
        <v>63570198.689999998</v>
      </c>
      <c r="N122" s="1647"/>
      <c r="O122" s="1225">
        <v>9696.0980201588973</v>
      </c>
      <c r="P122" s="1225">
        <v>61277012.423879392</v>
      </c>
    </row>
    <row r="123" spans="1:16" ht="15" outlineLevel="1" x14ac:dyDescent="0.25">
      <c r="A123" s="1353" t="s">
        <v>2055</v>
      </c>
      <c r="B123" s="1031" t="s">
        <v>1784</v>
      </c>
      <c r="C123" s="1633" t="s">
        <v>96</v>
      </c>
      <c r="D123" s="1411"/>
      <c r="E123" s="1411"/>
      <c r="F123" s="1411"/>
      <c r="G123" s="1411"/>
      <c r="H123" s="1411"/>
      <c r="I123" s="1411"/>
      <c r="J123" s="1411"/>
      <c r="K123" s="1411"/>
      <c r="L123" s="1412"/>
      <c r="M123" s="1636"/>
      <c r="N123" s="1638"/>
      <c r="O123" s="1225"/>
      <c r="P123" s="1225"/>
    </row>
    <row r="124" spans="1:16" ht="30" customHeight="1" outlineLevel="1" x14ac:dyDescent="0.25">
      <c r="A124" s="1351" t="s">
        <v>2056</v>
      </c>
      <c r="B124" s="1032" t="str">
        <f>VLOOKUP(C124,'06'!$B$8:$N$225,13,FALSE)</f>
        <v>G999</v>
      </c>
      <c r="C124" s="1409" t="s">
        <v>2333</v>
      </c>
      <c r="D124" s="1409"/>
      <c r="E124" s="1409"/>
      <c r="F124" s="1409"/>
      <c r="G124" s="1409"/>
      <c r="H124" s="1409"/>
      <c r="I124" s="1033" t="str">
        <f>VLOOKUP(C124,'06'!$B$8:$N$225,7,FALSE)</f>
        <v>ML</v>
      </c>
      <c r="J124" s="1644">
        <f>+'07'!N580</f>
        <v>300902.18019152089</v>
      </c>
      <c r="K124" s="1645"/>
      <c r="L124" s="1034">
        <f>+'08'!AF2859</f>
        <v>5</v>
      </c>
      <c r="M124" s="1646">
        <f t="shared" ref="M124" si="23">ROUND((+L124*J124),2)</f>
        <v>1504510.9</v>
      </c>
      <c r="N124" s="1647"/>
      <c r="O124" s="1225">
        <v>298764.09529315354</v>
      </c>
      <c r="P124" s="1225">
        <v>1493820.4764657677</v>
      </c>
    </row>
    <row r="125" spans="1:16" ht="15" outlineLevel="1" x14ac:dyDescent="0.25">
      <c r="A125" s="1353" t="s">
        <v>2057</v>
      </c>
      <c r="B125" s="1031" t="s">
        <v>1784</v>
      </c>
      <c r="C125" s="1633" t="s">
        <v>1796</v>
      </c>
      <c r="D125" s="1411"/>
      <c r="E125" s="1411"/>
      <c r="F125" s="1411"/>
      <c r="G125" s="1411"/>
      <c r="H125" s="1411"/>
      <c r="I125" s="1411"/>
      <c r="J125" s="1411"/>
      <c r="K125" s="1411"/>
      <c r="L125" s="1412"/>
      <c r="M125" s="1636"/>
      <c r="N125" s="1638"/>
      <c r="O125" s="1225"/>
      <c r="P125" s="1225"/>
    </row>
    <row r="126" spans="1:16" ht="30" customHeight="1" outlineLevel="1" x14ac:dyDescent="0.25">
      <c r="A126" s="1351" t="s">
        <v>2058</v>
      </c>
      <c r="B126" s="1032" t="str">
        <f>VLOOKUP(C126,'06'!$B$8:$N$225,13,FALSE)</f>
        <v>G998</v>
      </c>
      <c r="C126" s="1409" t="s">
        <v>2334</v>
      </c>
      <c r="D126" s="1409"/>
      <c r="E126" s="1409"/>
      <c r="F126" s="1409"/>
      <c r="G126" s="1409"/>
      <c r="H126" s="1409"/>
      <c r="I126" s="1033" t="str">
        <f>VLOOKUP(C126,'06'!$B$8:$N$225,7,FALSE)</f>
        <v>ML</v>
      </c>
      <c r="J126" s="1644">
        <f>+'07'!N625</f>
        <v>77165.282260475069</v>
      </c>
      <c r="K126" s="1645"/>
      <c r="L126" s="1034">
        <f>+'08'!AF2900</f>
        <v>28.1</v>
      </c>
      <c r="M126" s="1646">
        <f t="shared" ref="M126" si="24">ROUND((+L126*J126),2)</f>
        <v>2168344.4300000002</v>
      </c>
      <c r="N126" s="1647"/>
      <c r="O126" s="1225">
        <v>75561.718586699586</v>
      </c>
      <c r="P126" s="1225">
        <v>2123284.2922862587</v>
      </c>
    </row>
    <row r="127" spans="1:16" ht="13.5" customHeight="1" outlineLevel="1" x14ac:dyDescent="0.25">
      <c r="A127" s="1351" t="s">
        <v>2059</v>
      </c>
      <c r="B127" s="1032" t="str">
        <f>VLOOKUP(C127,'06'!$B$8:$N$225,13,FALSE)</f>
        <v>G996</v>
      </c>
      <c r="C127" s="1409" t="s">
        <v>2336</v>
      </c>
      <c r="D127" s="1409"/>
      <c r="E127" s="1409"/>
      <c r="F127" s="1409"/>
      <c r="G127" s="1409"/>
      <c r="H127" s="1409"/>
      <c r="I127" s="1033" t="str">
        <f>VLOOKUP(C127,'06'!$B$8:$N$225,7,FALSE)</f>
        <v>UND</v>
      </c>
      <c r="J127" s="1644">
        <f>+'07'!N715</f>
        <v>1600915.999922208</v>
      </c>
      <c r="K127" s="1645"/>
      <c r="L127" s="1034">
        <f>+'08'!AF2941</f>
        <v>1</v>
      </c>
      <c r="M127" s="1646">
        <f t="shared" ref="M127:M128" si="25">ROUND((+L127*J127),2)</f>
        <v>1600916</v>
      </c>
      <c r="N127" s="1647"/>
      <c r="O127" s="1225">
        <v>1586921.2624056218</v>
      </c>
      <c r="P127" s="1225">
        <v>1586921.2624056218</v>
      </c>
    </row>
    <row r="128" spans="1:16" ht="30" customHeight="1" outlineLevel="1" x14ac:dyDescent="0.25">
      <c r="A128" s="1351" t="s">
        <v>2060</v>
      </c>
      <c r="B128" s="1032" t="str">
        <f>VLOOKUP(C128,'06'!$B$8:$N$225,13,FALSE)</f>
        <v>G994</v>
      </c>
      <c r="C128" s="1409" t="s">
        <v>2338</v>
      </c>
      <c r="D128" s="1409"/>
      <c r="E128" s="1409"/>
      <c r="F128" s="1409"/>
      <c r="G128" s="1409"/>
      <c r="H128" s="1409"/>
      <c r="I128" s="1033" t="str">
        <f>VLOOKUP(C128,'06'!$B$8:$N$225,7,FALSE)</f>
        <v>UND</v>
      </c>
      <c r="J128" s="1644">
        <f>+'07'!N808</f>
        <v>4861575.703367291</v>
      </c>
      <c r="K128" s="1645"/>
      <c r="L128" s="1034">
        <f>+'08'!AF2982</f>
        <v>1</v>
      </c>
      <c r="M128" s="1646">
        <f t="shared" si="25"/>
        <v>4861575.7</v>
      </c>
      <c r="N128" s="1647"/>
      <c r="O128" s="1225">
        <v>4835918.678180079</v>
      </c>
      <c r="P128" s="1225">
        <v>4835918.678180079</v>
      </c>
    </row>
    <row r="129" spans="1:23" ht="13.5" customHeight="1" x14ac:dyDescent="0.25">
      <c r="A129" s="1223"/>
      <c r="B129"/>
      <c r="C129"/>
      <c r="D129"/>
      <c r="E129"/>
      <c r="F129"/>
      <c r="G129"/>
      <c r="H129"/>
      <c r="I129"/>
      <c r="J129"/>
      <c r="K129"/>
      <c r="L129"/>
      <c r="M129"/>
      <c r="N129" s="1360"/>
      <c r="O129" s="1225"/>
      <c r="P129" s="1225"/>
    </row>
    <row r="130" spans="1:23" customFormat="1" ht="13.5" customHeight="1" x14ac:dyDescent="0.25">
      <c r="A130" s="1223"/>
      <c r="H130" s="1668" t="s">
        <v>2405</v>
      </c>
      <c r="I130" s="1668"/>
      <c r="J130" s="1668"/>
      <c r="K130" s="1668"/>
      <c r="L130" s="1669"/>
      <c r="M130" s="1654">
        <f>+SUM(M133:N161)</f>
        <v>215626029.99000001</v>
      </c>
      <c r="N130" s="1647"/>
      <c r="O130" s="1225"/>
      <c r="P130" s="1225"/>
      <c r="Q130" s="1027"/>
      <c r="R130" s="1027"/>
      <c r="S130" s="1027"/>
      <c r="T130" s="1027"/>
      <c r="U130" s="1027"/>
      <c r="V130" s="1027"/>
      <c r="W130" s="1027"/>
    </row>
    <row r="131" spans="1:23" customFormat="1" ht="13.5" customHeight="1" outlineLevel="1" x14ac:dyDescent="0.25">
      <c r="A131" s="1358" t="s">
        <v>0</v>
      </c>
      <c r="B131" s="1656" t="s">
        <v>1781</v>
      </c>
      <c r="C131" s="1656"/>
      <c r="D131" s="1656"/>
      <c r="E131" s="1656"/>
      <c r="F131" s="1656"/>
      <c r="G131" s="1656"/>
      <c r="H131" s="1656"/>
      <c r="I131" s="1037" t="s">
        <v>1782</v>
      </c>
      <c r="J131" s="1657" t="s">
        <v>879</v>
      </c>
      <c r="K131" s="1653"/>
      <c r="L131" s="1037" t="s">
        <v>628</v>
      </c>
      <c r="M131" s="1656" t="s">
        <v>1172</v>
      </c>
      <c r="N131" s="1647"/>
      <c r="O131" s="1225"/>
      <c r="P131" s="1225"/>
      <c r="Q131" s="1027"/>
      <c r="R131" s="1027"/>
      <c r="S131" s="1027"/>
      <c r="T131" s="1027"/>
      <c r="U131" s="1027"/>
      <c r="V131" s="1027"/>
      <c r="W131" s="1027"/>
    </row>
    <row r="132" spans="1:23" ht="13.5" customHeight="1" outlineLevel="1" x14ac:dyDescent="0.25">
      <c r="A132" s="1353" t="s">
        <v>2061</v>
      </c>
      <c r="B132" s="1031" t="s">
        <v>1784</v>
      </c>
      <c r="C132" s="1633" t="s">
        <v>197</v>
      </c>
      <c r="D132" s="1411"/>
      <c r="E132" s="1411"/>
      <c r="F132" s="1411"/>
      <c r="G132" s="1411"/>
      <c r="H132" s="1411"/>
      <c r="I132" s="1411"/>
      <c r="J132" s="1411"/>
      <c r="K132" s="1411"/>
      <c r="L132" s="1411"/>
      <c r="M132" s="1636"/>
      <c r="N132" s="1638"/>
      <c r="O132" s="1225"/>
      <c r="P132" s="1225"/>
    </row>
    <row r="133" spans="1:23" ht="40.5" customHeight="1" outlineLevel="1" x14ac:dyDescent="0.25">
      <c r="A133" s="1351" t="s">
        <v>2062</v>
      </c>
      <c r="B133" s="1032" t="str">
        <f>VLOOKUP(C133,'06'!$B$8:$N$225,13,FALSE)</f>
        <v>G978</v>
      </c>
      <c r="C133" s="1648" t="s">
        <v>2365</v>
      </c>
      <c r="D133" s="1649"/>
      <c r="E133" s="1649"/>
      <c r="F133" s="1649"/>
      <c r="G133" s="1649"/>
      <c r="H133" s="1649"/>
      <c r="I133" s="1033" t="str">
        <f>VLOOKUP(C133,'06'!$B$8:$N$225,7,FALSE)</f>
        <v>M2</v>
      </c>
      <c r="J133" s="1644">
        <f>+'07'!N1562</f>
        <v>5158.341051402459</v>
      </c>
      <c r="K133" s="1645"/>
      <c r="L133" s="1034">
        <f>+'08'!AF3023</f>
        <v>36.36</v>
      </c>
      <c r="M133" s="1646">
        <f t="shared" ref="M133" si="26">ROUND((+L133*J133),2)</f>
        <v>187557.28</v>
      </c>
      <c r="N133" s="1647"/>
      <c r="O133" s="1225">
        <v>4596.0306496675757</v>
      </c>
      <c r="P133" s="1225">
        <v>167111.67442191305</v>
      </c>
    </row>
    <row r="134" spans="1:23" ht="15" outlineLevel="1" x14ac:dyDescent="0.25">
      <c r="A134" s="1353" t="s">
        <v>2063</v>
      </c>
      <c r="B134" s="1031" t="s">
        <v>1784</v>
      </c>
      <c r="C134" s="1633" t="s">
        <v>1787</v>
      </c>
      <c r="D134" s="1411"/>
      <c r="E134" s="1411"/>
      <c r="F134" s="1411"/>
      <c r="G134" s="1411"/>
      <c r="H134" s="1411"/>
      <c r="I134" s="1411"/>
      <c r="J134" s="1411"/>
      <c r="K134" s="1411"/>
      <c r="L134" s="1411"/>
      <c r="M134" s="1636"/>
      <c r="N134" s="1638"/>
      <c r="O134" s="1225"/>
      <c r="P134" s="1225"/>
    </row>
    <row r="135" spans="1:23" ht="13.5" customHeight="1" outlineLevel="1" x14ac:dyDescent="0.25">
      <c r="A135" s="1351" t="s">
        <v>2064</v>
      </c>
      <c r="B135" s="1032" t="str">
        <f>VLOOKUP(C135,'06'!$B$8:$N$225,13,FALSE)</f>
        <v>G977</v>
      </c>
      <c r="C135" s="1409" t="s">
        <v>2367</v>
      </c>
      <c r="D135" s="1409"/>
      <c r="E135" s="1409"/>
      <c r="F135" s="1409"/>
      <c r="G135" s="1409"/>
      <c r="H135" s="1409"/>
      <c r="I135" s="1033" t="str">
        <f>VLOOKUP(C135,'06'!$B$8:$N$225,7,FALSE)</f>
        <v>M3</v>
      </c>
      <c r="J135" s="1644">
        <f>+'07'!N1611</f>
        <v>42028.622073968225</v>
      </c>
      <c r="K135" s="1645"/>
      <c r="L135" s="1034">
        <f>+'08'!AF3064</f>
        <v>126.26</v>
      </c>
      <c r="M135" s="1646">
        <f t="shared" ref="M135" si="27">ROUND((+L135*J135),2)</f>
        <v>5306533.82</v>
      </c>
      <c r="N135" s="1647"/>
      <c r="O135" s="1225">
        <v>35614.367378866315</v>
      </c>
      <c r="P135" s="1225">
        <v>4496670.0252556615</v>
      </c>
    </row>
    <row r="136" spans="1:23" ht="15" outlineLevel="1" x14ac:dyDescent="0.25">
      <c r="A136" s="1352" t="s">
        <v>2065</v>
      </c>
      <c r="B136" s="1031" t="s">
        <v>1784</v>
      </c>
      <c r="C136" s="1633" t="s">
        <v>1791</v>
      </c>
      <c r="D136" s="1411"/>
      <c r="E136" s="1411"/>
      <c r="F136" s="1411"/>
      <c r="G136" s="1411"/>
      <c r="H136" s="1411"/>
      <c r="I136" s="1411"/>
      <c r="J136" s="1411"/>
      <c r="K136" s="1411"/>
      <c r="L136" s="1411"/>
      <c r="M136" s="1636"/>
      <c r="N136" s="1638"/>
      <c r="O136" s="1225"/>
      <c r="P136" s="1225"/>
    </row>
    <row r="137" spans="1:23" ht="40.5" customHeight="1" outlineLevel="1" x14ac:dyDescent="0.25">
      <c r="A137" s="1351" t="s">
        <v>2066</v>
      </c>
      <c r="B137" s="1032" t="str">
        <f>VLOOKUP(C137,'06'!$B$8:$N$225,13,FALSE)</f>
        <v>G976</v>
      </c>
      <c r="C137" s="1648" t="s">
        <v>2369</v>
      </c>
      <c r="D137" s="1649"/>
      <c r="E137" s="1649"/>
      <c r="F137" s="1649"/>
      <c r="G137" s="1649"/>
      <c r="H137" s="1649"/>
      <c r="I137" s="1033" t="str">
        <f>VLOOKUP(C137,'06'!$B$8:$N$225,7,FALSE)</f>
        <v>M3</v>
      </c>
      <c r="J137" s="1644">
        <f>+'07'!N1660</f>
        <v>104305.35712080231</v>
      </c>
      <c r="K137" s="1645"/>
      <c r="L137" s="1034">
        <f>+'08'!AF3105</f>
        <v>0.8</v>
      </c>
      <c r="M137" s="1646">
        <f t="shared" ref="M137" si="28">ROUND((+L137*J137),2)</f>
        <v>83444.289999999994</v>
      </c>
      <c r="N137" s="1647"/>
      <c r="O137" s="1225">
        <v>101556.39082290149</v>
      </c>
      <c r="P137" s="1225">
        <v>81245.112658321203</v>
      </c>
    </row>
    <row r="138" spans="1:23" ht="30" customHeight="1" outlineLevel="1" x14ac:dyDescent="0.25">
      <c r="A138" s="1351" t="s">
        <v>2067</v>
      </c>
      <c r="B138" s="1032" t="str">
        <f>VLOOKUP(C138,'06'!$B$8:$N$225,13,FALSE)</f>
        <v>G004</v>
      </c>
      <c r="C138" s="1409" t="s">
        <v>2327</v>
      </c>
      <c r="D138" s="1409"/>
      <c r="E138" s="1409"/>
      <c r="F138" s="1409"/>
      <c r="G138" s="1409"/>
      <c r="H138" s="1409"/>
      <c r="I138" s="1033" t="str">
        <f>VLOOKUP(C138,'06'!$B$8:$N$225,7,FALSE)</f>
        <v>M3</v>
      </c>
      <c r="J138" s="1644">
        <f>+'07'!N409</f>
        <v>124202.21838737666</v>
      </c>
      <c r="K138" s="1645"/>
      <c r="L138" s="1034">
        <f>+'08'!AF3146</f>
        <v>4.95</v>
      </c>
      <c r="M138" s="1646">
        <f t="shared" ref="M138:M139" si="29">ROUND((+L138*J138),2)</f>
        <v>614800.98</v>
      </c>
      <c r="N138" s="1647"/>
      <c r="O138" s="1225">
        <v>121563.23869761667</v>
      </c>
      <c r="P138" s="1225">
        <v>601738.03155320254</v>
      </c>
    </row>
    <row r="139" spans="1:23" ht="30" customHeight="1" outlineLevel="1" x14ac:dyDescent="0.25">
      <c r="A139" s="1351" t="s">
        <v>2462</v>
      </c>
      <c r="B139" s="1032" t="str">
        <f>VLOOKUP(C139,'06'!$B$8:$N$225,13,FALSE)</f>
        <v>G011</v>
      </c>
      <c r="C139" s="1648" t="s">
        <v>2172</v>
      </c>
      <c r="D139" s="1649"/>
      <c r="E139" s="1649"/>
      <c r="F139" s="1649"/>
      <c r="G139" s="1649"/>
      <c r="H139" s="1650"/>
      <c r="I139" s="1033" t="str">
        <f>VLOOKUP(C139,'06'!$B$8:$N$225,7,FALSE)</f>
        <v>M3</v>
      </c>
      <c r="J139" s="1644">
        <f>+'07'!N185</f>
        <v>30956.641395291757</v>
      </c>
      <c r="K139" s="1645"/>
      <c r="L139" s="1034">
        <f>+'08'!AF3183</f>
        <v>23.27</v>
      </c>
      <c r="M139" s="1646">
        <f t="shared" si="29"/>
        <v>720361.05</v>
      </c>
      <c r="N139" s="1647"/>
      <c r="O139" s="1225">
        <v>27555.986192574794</v>
      </c>
      <c r="P139" s="1225">
        <v>641227.79870121542</v>
      </c>
    </row>
    <row r="140" spans="1:23" ht="15" outlineLevel="1" x14ac:dyDescent="0.25">
      <c r="A140" s="1353" t="s">
        <v>2068</v>
      </c>
      <c r="B140" s="1031" t="s">
        <v>1784</v>
      </c>
      <c r="C140" s="1633" t="s">
        <v>1790</v>
      </c>
      <c r="D140" s="1411"/>
      <c r="E140" s="1411"/>
      <c r="F140" s="1411"/>
      <c r="G140" s="1411"/>
      <c r="H140" s="1411"/>
      <c r="I140" s="1411"/>
      <c r="J140" s="1411"/>
      <c r="K140" s="1411"/>
      <c r="L140" s="1412"/>
      <c r="M140" s="1636"/>
      <c r="N140" s="1638"/>
      <c r="O140" s="1225"/>
      <c r="P140" s="1225"/>
    </row>
    <row r="141" spans="1:23" ht="30" customHeight="1" outlineLevel="1" x14ac:dyDescent="0.25">
      <c r="A141" s="1351" t="s">
        <v>2069</v>
      </c>
      <c r="B141" s="1032" t="str">
        <f>VLOOKUP(C141,'06'!$B$8:$N$225,13,FALSE)</f>
        <v>G013</v>
      </c>
      <c r="C141" s="1648" t="s">
        <v>2177</v>
      </c>
      <c r="D141" s="1649"/>
      <c r="E141" s="1649"/>
      <c r="F141" s="1649"/>
      <c r="G141" s="1649"/>
      <c r="H141" s="1650"/>
      <c r="I141" s="1033" t="str">
        <f>VLOOKUP(C141,'06'!$B$8:$N$225,7,FALSE)</f>
        <v>M3-KM</v>
      </c>
      <c r="J141" s="1644">
        <f>+'07'!N229</f>
        <v>3271.2560446782409</v>
      </c>
      <c r="K141" s="1645"/>
      <c r="L141" s="1034">
        <f>+'08'!AF3221</f>
        <v>643.69000000000005</v>
      </c>
      <c r="M141" s="1646">
        <f t="shared" ref="M141" si="30">ROUND((+L141*J141),2)</f>
        <v>2105674.7999999998</v>
      </c>
      <c r="N141" s="1647"/>
      <c r="O141" s="1225">
        <v>3271.2560446782409</v>
      </c>
      <c r="P141" s="1225">
        <v>2105674.803398937</v>
      </c>
    </row>
    <row r="142" spans="1:23" ht="30" customHeight="1" outlineLevel="1" x14ac:dyDescent="0.25">
      <c r="A142" s="1351" t="s">
        <v>2371</v>
      </c>
      <c r="B142" s="1032" t="str">
        <f>VLOOKUP(C142,'06'!$B$8:$N$225,13,FALSE)</f>
        <v>G014</v>
      </c>
      <c r="C142" s="1648" t="s">
        <v>2182</v>
      </c>
      <c r="D142" s="1649"/>
      <c r="E142" s="1649"/>
      <c r="F142" s="1649"/>
      <c r="G142" s="1649"/>
      <c r="H142" s="1650"/>
      <c r="I142" s="1033" t="str">
        <f>VLOOKUP(C142,'06'!$B$8:$N$225,7,FALSE)</f>
        <v>M3</v>
      </c>
      <c r="J142" s="1644">
        <f>+'07'!N274</f>
        <v>5824.3675836869543</v>
      </c>
      <c r="K142" s="1645"/>
      <c r="L142" s="1034">
        <f>+'08'!AF3259</f>
        <v>128.74</v>
      </c>
      <c r="M142" s="1646">
        <f t="shared" ref="M142" si="31">ROUND((+L142*J142),2)</f>
        <v>749829.08</v>
      </c>
      <c r="N142" s="1647"/>
      <c r="O142" s="1225">
        <v>5824.3675836869543</v>
      </c>
      <c r="P142" s="1225">
        <v>749829.08272385853</v>
      </c>
    </row>
    <row r="143" spans="1:23" ht="15" outlineLevel="1" x14ac:dyDescent="0.25">
      <c r="A143" s="1353" t="s">
        <v>2070</v>
      </c>
      <c r="B143" s="1031" t="s">
        <v>1784</v>
      </c>
      <c r="C143" s="1633" t="s">
        <v>1794</v>
      </c>
      <c r="D143" s="1411"/>
      <c r="E143" s="1411"/>
      <c r="F143" s="1411"/>
      <c r="G143" s="1411"/>
      <c r="H143" s="1411"/>
      <c r="I143" s="1411"/>
      <c r="J143" s="1411"/>
      <c r="K143" s="1411"/>
      <c r="L143" s="1412"/>
      <c r="M143" s="1636"/>
      <c r="N143" s="1638"/>
      <c r="O143" s="1225"/>
      <c r="P143" s="1225"/>
    </row>
    <row r="144" spans="1:23" ht="30" customHeight="1" outlineLevel="1" x14ac:dyDescent="0.25">
      <c r="A144" s="1351" t="s">
        <v>2071</v>
      </c>
      <c r="B144" s="1032" t="str">
        <f>VLOOKUP(C144,'06'!$B$8:$N$225,13,FALSE)</f>
        <v>G018</v>
      </c>
      <c r="C144" s="1409" t="s">
        <v>2329</v>
      </c>
      <c r="D144" s="1409"/>
      <c r="E144" s="1409"/>
      <c r="F144" s="1409"/>
      <c r="G144" s="1409"/>
      <c r="H144" s="1409"/>
      <c r="I144" s="1033" t="str">
        <f>VLOOKUP(C144,'06'!$B$8:$N$225,7,FALSE)</f>
        <v>M3</v>
      </c>
      <c r="J144" s="1644">
        <f>+'07'!N454</f>
        <v>725724.88143541082</v>
      </c>
      <c r="K144" s="1645"/>
      <c r="L144" s="1034">
        <f>+'08'!AF3300</f>
        <v>1.31</v>
      </c>
      <c r="M144" s="1646">
        <f t="shared" ref="M144" si="32">ROUND((+L144*J144),2)</f>
        <v>950699.59</v>
      </c>
      <c r="N144" s="1647"/>
      <c r="O144" s="1225">
        <v>671967.70655736153</v>
      </c>
      <c r="P144" s="1225">
        <v>880277.69559014367</v>
      </c>
    </row>
    <row r="145" spans="1:16" ht="30" customHeight="1" outlineLevel="1" x14ac:dyDescent="0.25">
      <c r="A145" s="1351" t="s">
        <v>2072</v>
      </c>
      <c r="B145" s="1032" t="str">
        <f>VLOOKUP(C145,'06'!$B$8:$N$225,13,FALSE)</f>
        <v>G019</v>
      </c>
      <c r="C145" s="1409" t="s">
        <v>2331</v>
      </c>
      <c r="D145" s="1409"/>
      <c r="E145" s="1409"/>
      <c r="F145" s="1409"/>
      <c r="G145" s="1409"/>
      <c r="H145" s="1409"/>
      <c r="I145" s="1033" t="str">
        <f>VLOOKUP(C145,'06'!$B$8:$N$225,7,FALSE)</f>
        <v>M3</v>
      </c>
      <c r="J145" s="1644">
        <f>+'07'!N496</f>
        <v>1461311.8817958308</v>
      </c>
      <c r="K145" s="1645"/>
      <c r="L145" s="1034">
        <f>+'08'!AF3341</f>
        <v>54.59</v>
      </c>
      <c r="M145" s="1646">
        <f t="shared" ref="M145" si="33">ROUND((+L145*J145),2)</f>
        <v>79773015.629999995</v>
      </c>
      <c r="N145" s="1647"/>
      <c r="O145" s="1225">
        <v>1363119.4626060962</v>
      </c>
      <c r="P145" s="1225">
        <v>74412691.463666797</v>
      </c>
    </row>
    <row r="146" spans="1:16" ht="15" outlineLevel="1" x14ac:dyDescent="0.25">
      <c r="A146" s="1353" t="s">
        <v>2073</v>
      </c>
      <c r="B146" s="1031" t="s">
        <v>1784</v>
      </c>
      <c r="C146" s="1633" t="s">
        <v>1795</v>
      </c>
      <c r="D146" s="1411"/>
      <c r="E146" s="1411"/>
      <c r="F146" s="1411"/>
      <c r="G146" s="1411"/>
      <c r="H146" s="1411"/>
      <c r="I146" s="1411"/>
      <c r="J146" s="1411"/>
      <c r="K146" s="1411"/>
      <c r="L146" s="1412"/>
      <c r="M146" s="1636"/>
      <c r="N146" s="1638"/>
      <c r="O146" s="1225"/>
      <c r="P146" s="1225"/>
    </row>
    <row r="147" spans="1:16" ht="54" customHeight="1" outlineLevel="1" x14ac:dyDescent="0.25">
      <c r="A147" s="1351" t="s">
        <v>2074</v>
      </c>
      <c r="B147" s="1032" t="str">
        <f>VLOOKUP(C147,'06'!$B$8:$N$225,13,FALSE)</f>
        <v>G007</v>
      </c>
      <c r="C147" s="1409" t="s">
        <v>2332</v>
      </c>
      <c r="D147" s="1409"/>
      <c r="E147" s="1409"/>
      <c r="F147" s="1409"/>
      <c r="G147" s="1409"/>
      <c r="H147" s="1409"/>
      <c r="I147" s="1033" t="str">
        <f>VLOOKUP(C147,'06'!$B$8:$N$225,7,FALSE)</f>
        <v>KG</v>
      </c>
      <c r="J147" s="1644">
        <f>+'07'!N538</f>
        <v>10058.957727500896</v>
      </c>
      <c r="K147" s="1645"/>
      <c r="L147" s="1034">
        <f>+'08'!AF3382</f>
        <v>7814.67</v>
      </c>
      <c r="M147" s="1646">
        <f t="shared" ref="M147" si="34">ROUND((+L147*J147),2)</f>
        <v>78607435.180000007</v>
      </c>
      <c r="N147" s="1647"/>
      <c r="O147" s="1225">
        <v>9696.0980201588973</v>
      </c>
      <c r="P147" s="1225">
        <v>75771806.315195128</v>
      </c>
    </row>
    <row r="148" spans="1:16" ht="15" outlineLevel="1" x14ac:dyDescent="0.25">
      <c r="A148" s="1353" t="s">
        <v>2075</v>
      </c>
      <c r="B148" s="1031" t="s">
        <v>1784</v>
      </c>
      <c r="C148" s="1633" t="s">
        <v>96</v>
      </c>
      <c r="D148" s="1411"/>
      <c r="E148" s="1411"/>
      <c r="F148" s="1411"/>
      <c r="G148" s="1411"/>
      <c r="H148" s="1411"/>
      <c r="I148" s="1411"/>
      <c r="J148" s="1411"/>
      <c r="K148" s="1411"/>
      <c r="L148" s="1412"/>
      <c r="M148" s="1636"/>
      <c r="N148" s="1638"/>
      <c r="O148" s="1225"/>
      <c r="P148" s="1225"/>
    </row>
    <row r="149" spans="1:16" ht="30" customHeight="1" outlineLevel="1" x14ac:dyDescent="0.25">
      <c r="A149" s="1351" t="s">
        <v>2076</v>
      </c>
      <c r="B149" s="1032" t="str">
        <f>VLOOKUP(C149,'06'!$B$8:$N$225,13,FALSE)</f>
        <v>G990</v>
      </c>
      <c r="C149" s="1648" t="s">
        <v>2342</v>
      </c>
      <c r="D149" s="1649"/>
      <c r="E149" s="1649"/>
      <c r="F149" s="1649"/>
      <c r="G149" s="1649"/>
      <c r="H149" s="1649"/>
      <c r="I149" s="1033" t="str">
        <f>VLOOKUP(C149,'06'!$B$8:$N$225,7,FALSE)</f>
        <v>ML</v>
      </c>
      <c r="J149" s="1644">
        <f>+'07'!N999</f>
        <v>89908.320003387329</v>
      </c>
      <c r="K149" s="1645"/>
      <c r="L149" s="1034">
        <f>+'08'!AF3423</f>
        <v>16</v>
      </c>
      <c r="M149" s="1646">
        <f t="shared" ref="M149" si="35">ROUND((+L149*J149),2)</f>
        <v>1438533.12</v>
      </c>
      <c r="N149" s="1647"/>
      <c r="O149" s="1225">
        <v>88625.469064366946</v>
      </c>
      <c r="P149" s="1225">
        <v>1418007.5050298711</v>
      </c>
    </row>
    <row r="150" spans="1:16" ht="30" customHeight="1" outlineLevel="1" x14ac:dyDescent="0.25">
      <c r="A150" s="1351" t="s">
        <v>2077</v>
      </c>
      <c r="B150" s="1032" t="str">
        <f>VLOOKUP(C150,'06'!$B$8:$N$225,13,FALSE)</f>
        <v>G989</v>
      </c>
      <c r="C150" s="1648" t="s">
        <v>2344</v>
      </c>
      <c r="D150" s="1649"/>
      <c r="E150" s="1649"/>
      <c r="F150" s="1649"/>
      <c r="G150" s="1649"/>
      <c r="H150" s="1649"/>
      <c r="I150" s="1033" t="str">
        <f>VLOOKUP(C150,'06'!$B$8:$N$225,7,FALSE)</f>
        <v>ML</v>
      </c>
      <c r="J150" s="1644">
        <f>+'07'!N1043</f>
        <v>180886.15215797513</v>
      </c>
      <c r="K150" s="1645"/>
      <c r="L150" s="1034">
        <f>+'08'!AF3464</f>
        <v>75.5</v>
      </c>
      <c r="M150" s="1646">
        <f t="shared" ref="M150:M151" si="36">ROUND((+L150*J150),2)</f>
        <v>13656904.49</v>
      </c>
      <c r="N150" s="1647"/>
      <c r="O150" s="1225">
        <v>179405.93953602854</v>
      </c>
      <c r="P150" s="1225">
        <v>13545148.434970155</v>
      </c>
    </row>
    <row r="151" spans="1:16" ht="30" customHeight="1" outlineLevel="1" x14ac:dyDescent="0.25">
      <c r="A151" s="1351" t="s">
        <v>2078</v>
      </c>
      <c r="B151" s="1032" t="str">
        <f>VLOOKUP(C151,'06'!$B$8:$N$225,13,FALSE)</f>
        <v>G999</v>
      </c>
      <c r="C151" s="1409" t="s">
        <v>2333</v>
      </c>
      <c r="D151" s="1409"/>
      <c r="E151" s="1409"/>
      <c r="F151" s="1409"/>
      <c r="G151" s="1409"/>
      <c r="H151" s="1409"/>
      <c r="I151" s="1033" t="str">
        <f>VLOOKUP(C151,'06'!$B$8:$N$225,7,FALSE)</f>
        <v>ML</v>
      </c>
      <c r="J151" s="1644">
        <f>+'07'!N580</f>
        <v>300902.18019152089</v>
      </c>
      <c r="K151" s="1645"/>
      <c r="L151" s="1034">
        <f>+'08'!AF3505</f>
        <v>36</v>
      </c>
      <c r="M151" s="1646">
        <f t="shared" si="36"/>
        <v>10832478.49</v>
      </c>
      <c r="N151" s="1647"/>
      <c r="O151" s="1225">
        <v>298764.09529315354</v>
      </c>
      <c r="P151" s="1225">
        <v>10755507.430553528</v>
      </c>
    </row>
    <row r="152" spans="1:16" ht="15" outlineLevel="1" x14ac:dyDescent="0.25">
      <c r="A152" s="1353" t="s">
        <v>2079</v>
      </c>
      <c r="B152" s="1031" t="s">
        <v>1784</v>
      </c>
      <c r="C152" s="1633" t="s">
        <v>1796</v>
      </c>
      <c r="D152" s="1411"/>
      <c r="E152" s="1411"/>
      <c r="F152" s="1411"/>
      <c r="G152" s="1411"/>
      <c r="H152" s="1411"/>
      <c r="I152" s="1411"/>
      <c r="J152" s="1411"/>
      <c r="K152" s="1411"/>
      <c r="L152" s="1412"/>
      <c r="M152" s="1636"/>
      <c r="N152" s="1638"/>
      <c r="O152" s="1225"/>
      <c r="P152" s="1225"/>
    </row>
    <row r="153" spans="1:16" ht="30" customHeight="1" outlineLevel="1" x14ac:dyDescent="0.25">
      <c r="A153" s="1351" t="s">
        <v>2080</v>
      </c>
      <c r="B153" s="1032" t="str">
        <f>VLOOKUP(C153,'06'!$B$8:$N$225,13,FALSE)</f>
        <v>G998</v>
      </c>
      <c r="C153" s="1409" t="s">
        <v>2334</v>
      </c>
      <c r="D153" s="1409"/>
      <c r="E153" s="1409"/>
      <c r="F153" s="1409"/>
      <c r="G153" s="1409"/>
      <c r="H153" s="1409"/>
      <c r="I153" s="1033" t="str">
        <f>VLOOKUP(C153,'06'!$B$8:$N$225,7,FALSE)</f>
        <v>ML</v>
      </c>
      <c r="J153" s="1644">
        <f>+'07'!N625</f>
        <v>77165.282260475069</v>
      </c>
      <c r="K153" s="1645"/>
      <c r="L153" s="1034">
        <f>+'08'!AF3546</f>
        <v>26.8</v>
      </c>
      <c r="M153" s="1646">
        <f t="shared" ref="M153" si="37">ROUND((+L153*J153),2)</f>
        <v>2068029.56</v>
      </c>
      <c r="N153" s="1647"/>
      <c r="O153" s="1225">
        <v>75561.718586699586</v>
      </c>
      <c r="P153" s="1225">
        <v>2025054.058123549</v>
      </c>
    </row>
    <row r="154" spans="1:16" ht="13.5" customHeight="1" outlineLevel="1" x14ac:dyDescent="0.25">
      <c r="A154" s="1351" t="s">
        <v>2081</v>
      </c>
      <c r="B154" s="1032" t="str">
        <f>VLOOKUP(C154,'06'!$B$8:$N$225,13,FALSE)</f>
        <v>G975</v>
      </c>
      <c r="C154" s="1409" t="s">
        <v>2373</v>
      </c>
      <c r="D154" s="1409"/>
      <c r="E154" s="1409"/>
      <c r="F154" s="1409"/>
      <c r="G154" s="1409"/>
      <c r="H154" s="1409"/>
      <c r="I154" s="1033" t="str">
        <f>VLOOKUP(C154,'06'!$B$8:$N$225,7,FALSE)</f>
        <v>UND</v>
      </c>
      <c r="J154" s="1644">
        <f>+'07'!N1709</f>
        <v>792726.70688991249</v>
      </c>
      <c r="K154" s="1645"/>
      <c r="L154" s="1034">
        <f>+'08'!AF3587</f>
        <v>2</v>
      </c>
      <c r="M154" s="1646">
        <f t="shared" ref="M154:M161" si="38">ROUND((+L154*J154),2)</f>
        <v>1585453.41</v>
      </c>
      <c r="N154" s="1647"/>
      <c r="O154" s="1225">
        <v>778981.76619640517</v>
      </c>
      <c r="P154" s="1225">
        <v>1557963.5323928103</v>
      </c>
    </row>
    <row r="155" spans="1:16" ht="13.5" customHeight="1" outlineLevel="1" x14ac:dyDescent="0.25">
      <c r="A155" s="1351" t="s">
        <v>2082</v>
      </c>
      <c r="B155" s="1032" t="str">
        <f>VLOOKUP(C155,'06'!$B$8:$N$225,13,FALSE)</f>
        <v>G997</v>
      </c>
      <c r="C155" s="1409" t="s">
        <v>2335</v>
      </c>
      <c r="D155" s="1409"/>
      <c r="E155" s="1409"/>
      <c r="F155" s="1409"/>
      <c r="G155" s="1409"/>
      <c r="H155" s="1409"/>
      <c r="I155" s="1033" t="str">
        <f>VLOOKUP(C155,'06'!$B$8:$N$225,7,FALSE)</f>
        <v>UND</v>
      </c>
      <c r="J155" s="1644">
        <f>+'07'!N670</f>
        <v>1292709.8819521065</v>
      </c>
      <c r="K155" s="1645"/>
      <c r="L155" s="1034">
        <f>+'08'!AF3628</f>
        <v>3</v>
      </c>
      <c r="M155" s="1646">
        <f t="shared" si="38"/>
        <v>3878129.65</v>
      </c>
      <c r="N155" s="1647"/>
      <c r="O155" s="1225">
        <v>1278715.1444355205</v>
      </c>
      <c r="P155" s="1225">
        <v>3836145.4333065618</v>
      </c>
    </row>
    <row r="156" spans="1:16" ht="13.5" customHeight="1" outlineLevel="1" x14ac:dyDescent="0.25">
      <c r="A156" s="1351" t="s">
        <v>2083</v>
      </c>
      <c r="B156" s="1032" t="str">
        <f>VLOOKUP(C156,'06'!$B$8:$N$225,13,FALSE)</f>
        <v>G996</v>
      </c>
      <c r="C156" s="1409" t="s">
        <v>2336</v>
      </c>
      <c r="D156" s="1409"/>
      <c r="E156" s="1409"/>
      <c r="F156" s="1409"/>
      <c r="G156" s="1409"/>
      <c r="H156" s="1409"/>
      <c r="I156" s="1033" t="str">
        <f>VLOOKUP(C156,'06'!$B$8:$N$225,7,FALSE)</f>
        <v>UND</v>
      </c>
      <c r="J156" s="1644">
        <f>+'07'!N715</f>
        <v>1600915.999922208</v>
      </c>
      <c r="K156" s="1645"/>
      <c r="L156" s="1034">
        <f>+'08'!AF3669</f>
        <v>1</v>
      </c>
      <c r="M156" s="1646">
        <f t="shared" si="38"/>
        <v>1600916</v>
      </c>
      <c r="N156" s="1647"/>
      <c r="O156" s="1225">
        <v>1586921.2624056218</v>
      </c>
      <c r="P156" s="1225">
        <v>1586921.2624056218</v>
      </c>
    </row>
    <row r="157" spans="1:16" ht="30" customHeight="1" outlineLevel="1" x14ac:dyDescent="0.25">
      <c r="A157" s="1351" t="s">
        <v>2084</v>
      </c>
      <c r="B157" s="1032" t="str">
        <f>VLOOKUP(C157,'06'!$B$8:$N$225,13,FALSE)</f>
        <v>G974</v>
      </c>
      <c r="C157" s="1648" t="s">
        <v>2375</v>
      </c>
      <c r="D157" s="1649"/>
      <c r="E157" s="1649"/>
      <c r="F157" s="1649"/>
      <c r="G157" s="1649"/>
      <c r="H157" s="1649"/>
      <c r="I157" s="1033" t="str">
        <f>VLOOKUP(C157,'06'!$B$8:$N$225,7,FALSE)</f>
        <v>UND</v>
      </c>
      <c r="J157" s="1644">
        <f>+'07'!N1758</f>
        <v>1893856.5929443534</v>
      </c>
      <c r="K157" s="1645"/>
      <c r="L157" s="1034">
        <f>+'08'!AF3710</f>
        <v>1</v>
      </c>
      <c r="M157" s="1646">
        <f t="shared" si="38"/>
        <v>1893856.59</v>
      </c>
      <c r="N157" s="1647"/>
      <c r="O157" s="1225">
        <v>1884693.2991486818</v>
      </c>
      <c r="P157" s="1225">
        <v>1884693.2991486818</v>
      </c>
    </row>
    <row r="158" spans="1:16" ht="30" customHeight="1" outlineLevel="1" x14ac:dyDescent="0.25">
      <c r="A158" s="1351" t="s">
        <v>2085</v>
      </c>
      <c r="B158" s="1032" t="str">
        <f>VLOOKUP(C158,'06'!$B$8:$N$225,13,FALSE)</f>
        <v>G995</v>
      </c>
      <c r="C158" s="1409" t="s">
        <v>2337</v>
      </c>
      <c r="D158" s="1409"/>
      <c r="E158" s="1409"/>
      <c r="F158" s="1409"/>
      <c r="G158" s="1409"/>
      <c r="H158" s="1409"/>
      <c r="I158" s="1033" t="str">
        <f>VLOOKUP(C158,'06'!$B$8:$N$225,7,FALSE)</f>
        <v>UND</v>
      </c>
      <c r="J158" s="1644">
        <f>+'07'!N760</f>
        <v>3318593.0443635131</v>
      </c>
      <c r="K158" s="1645"/>
      <c r="L158" s="1034">
        <f>+'08'!AF3751</f>
        <v>1</v>
      </c>
      <c r="M158" s="1646">
        <f t="shared" si="38"/>
        <v>3318593.04</v>
      </c>
      <c r="N158" s="1647"/>
      <c r="O158" s="1225">
        <v>3292936.0191763015</v>
      </c>
      <c r="P158" s="1225">
        <v>3292936.0191763015</v>
      </c>
    </row>
    <row r="159" spans="1:16" ht="30" customHeight="1" outlineLevel="1" x14ac:dyDescent="0.25">
      <c r="A159" s="1351" t="s">
        <v>2474</v>
      </c>
      <c r="B159" s="1032" t="str">
        <f>VLOOKUP(C159,'06'!$B$8:$N$225,13,FALSE)</f>
        <v>G960</v>
      </c>
      <c r="C159" s="1409" t="s">
        <v>2477</v>
      </c>
      <c r="D159" s="1409"/>
      <c r="E159" s="1409"/>
      <c r="F159" s="1409"/>
      <c r="G159" s="1409"/>
      <c r="H159" s="1409"/>
      <c r="I159" s="1033" t="str">
        <f>VLOOKUP(C159,'06'!$B$8:$N$225,7,FALSE)</f>
        <v>UND</v>
      </c>
      <c r="J159" s="1644">
        <f>+'07'!N2487</f>
        <v>1126561.1357610701</v>
      </c>
      <c r="K159" s="1645"/>
      <c r="L159" s="1034">
        <f>+'08'!AF3792</f>
        <v>2</v>
      </c>
      <c r="M159" s="1646">
        <f t="shared" si="38"/>
        <v>2253122.27</v>
      </c>
      <c r="N159" s="1647"/>
      <c r="O159" s="1225">
        <v>1117764.3737172254</v>
      </c>
      <c r="P159" s="1225">
        <v>2235528.7474344508</v>
      </c>
    </row>
    <row r="160" spans="1:16" ht="30" customHeight="1" outlineLevel="1" x14ac:dyDescent="0.25">
      <c r="A160" s="1351" t="s">
        <v>2475</v>
      </c>
      <c r="B160" s="1032" t="str">
        <f>VLOOKUP(C160,'06'!$B$8:$N$225,13,FALSE)</f>
        <v>G959</v>
      </c>
      <c r="C160" s="1409" t="s">
        <v>2480</v>
      </c>
      <c r="D160" s="1409"/>
      <c r="E160" s="1409"/>
      <c r="F160" s="1409"/>
      <c r="G160" s="1409"/>
      <c r="H160" s="1409"/>
      <c r="I160" s="1033" t="str">
        <f>VLOOKUP(C160,'06'!$B$8:$N$225,7,FALSE)</f>
        <v>UND</v>
      </c>
      <c r="J160" s="1644">
        <f>+'07'!N2542</f>
        <v>2611162.0982276336</v>
      </c>
      <c r="K160" s="1645"/>
      <c r="L160" s="1034">
        <f>+'08'!AF3833</f>
        <v>1</v>
      </c>
      <c r="M160" s="1646">
        <f t="shared" si="38"/>
        <v>2611162.1</v>
      </c>
      <c r="N160" s="1647"/>
      <c r="O160" s="1225">
        <v>2565345.6292492761</v>
      </c>
      <c r="P160" s="1225">
        <v>2565345.6292492761</v>
      </c>
    </row>
    <row r="161" spans="1:23" ht="30" customHeight="1" outlineLevel="1" x14ac:dyDescent="0.25">
      <c r="A161" s="1351" t="s">
        <v>2483</v>
      </c>
      <c r="B161" s="1032" t="str">
        <f>VLOOKUP(C161,'06'!$B$8:$N$225,13,FALSE)</f>
        <v>G958</v>
      </c>
      <c r="C161" s="1409" t="s">
        <v>2482</v>
      </c>
      <c r="D161" s="1409"/>
      <c r="E161" s="1409"/>
      <c r="F161" s="1409"/>
      <c r="G161" s="1409"/>
      <c r="H161" s="1409"/>
      <c r="I161" s="1033" t="str">
        <f>VLOOKUP(C161,'06'!$B$8:$N$225,7,FALSE)</f>
        <v>UND</v>
      </c>
      <c r="J161" s="1644">
        <f>+'07'!N2597</f>
        <v>1389499.5674809972</v>
      </c>
      <c r="K161" s="1645"/>
      <c r="L161" s="1034">
        <f>+'08'!AF3874</f>
        <v>1</v>
      </c>
      <c r="M161" s="1646">
        <f t="shared" si="38"/>
        <v>1389499.57</v>
      </c>
      <c r="N161" s="1647"/>
      <c r="O161" s="1225">
        <v>1367507.6623713856</v>
      </c>
      <c r="P161" s="1225">
        <v>1367507.6623713856</v>
      </c>
    </row>
    <row r="162" spans="1:23" ht="13.5" customHeight="1" x14ac:dyDescent="0.25">
      <c r="A162" s="1223"/>
      <c r="B162"/>
      <c r="C162"/>
      <c r="D162"/>
      <c r="E162"/>
      <c r="F162"/>
      <c r="G162"/>
      <c r="H162"/>
      <c r="I162"/>
      <c r="J162"/>
      <c r="K162"/>
      <c r="L162"/>
      <c r="M162"/>
      <c r="N162" s="1360"/>
      <c r="O162" s="1225"/>
      <c r="P162" s="1225"/>
    </row>
    <row r="163" spans="1:23" customFormat="1" ht="13.5" customHeight="1" x14ac:dyDescent="0.25">
      <c r="A163" s="1223"/>
      <c r="H163" s="1668" t="s">
        <v>2086</v>
      </c>
      <c r="I163" s="1668"/>
      <c r="J163" s="1668"/>
      <c r="K163" s="1668"/>
      <c r="L163" s="1669"/>
      <c r="M163" s="1654">
        <f>SUM(M166:N193)</f>
        <v>220879250.95000005</v>
      </c>
      <c r="N163" s="1647"/>
      <c r="O163" s="1225"/>
      <c r="P163" s="1225"/>
      <c r="Q163" s="1027"/>
      <c r="R163" s="1027"/>
      <c r="S163" s="1027"/>
      <c r="T163" s="1027"/>
      <c r="U163" s="1027"/>
      <c r="V163" s="1027"/>
      <c r="W163" s="1027"/>
    </row>
    <row r="164" spans="1:23" customFormat="1" ht="13.5" customHeight="1" outlineLevel="1" x14ac:dyDescent="0.25">
      <c r="A164" s="1358" t="s">
        <v>0</v>
      </c>
      <c r="B164" s="1656" t="s">
        <v>1781</v>
      </c>
      <c r="C164" s="1656"/>
      <c r="D164" s="1656"/>
      <c r="E164" s="1656"/>
      <c r="F164" s="1656"/>
      <c r="G164" s="1656"/>
      <c r="H164" s="1656"/>
      <c r="I164" s="1037" t="s">
        <v>1782</v>
      </c>
      <c r="J164" s="1657" t="s">
        <v>879</v>
      </c>
      <c r="K164" s="1653"/>
      <c r="L164" s="1037" t="s">
        <v>628</v>
      </c>
      <c r="M164" s="1656" t="s">
        <v>1172</v>
      </c>
      <c r="N164" s="1647"/>
      <c r="O164" s="1225"/>
      <c r="P164" s="1225"/>
      <c r="Q164" s="1027"/>
      <c r="R164" s="1027"/>
      <c r="S164" s="1027"/>
      <c r="T164" s="1027"/>
      <c r="U164" s="1027"/>
      <c r="V164" s="1027"/>
      <c r="W164" s="1027"/>
    </row>
    <row r="165" spans="1:23" ht="13.5" customHeight="1" outlineLevel="1" x14ac:dyDescent="0.25">
      <c r="A165" s="1353" t="s">
        <v>2087</v>
      </c>
      <c r="B165" s="1031" t="s">
        <v>1784</v>
      </c>
      <c r="C165" s="1633" t="s">
        <v>197</v>
      </c>
      <c r="D165" s="1411"/>
      <c r="E165" s="1411"/>
      <c r="F165" s="1411"/>
      <c r="G165" s="1411"/>
      <c r="H165" s="1411"/>
      <c r="I165" s="1411"/>
      <c r="J165" s="1411"/>
      <c r="K165" s="1411"/>
      <c r="L165" s="1411"/>
      <c r="M165" s="1636"/>
      <c r="N165" s="1638"/>
      <c r="O165" s="1225"/>
      <c r="P165" s="1225"/>
    </row>
    <row r="166" spans="1:23" ht="40.5" customHeight="1" outlineLevel="1" x14ac:dyDescent="0.25">
      <c r="A166" s="1351" t="s">
        <v>2088</v>
      </c>
      <c r="B166" s="1032" t="str">
        <f>VLOOKUP(C166,'06'!$B$8:$N$225,13,FALSE)</f>
        <v>G978</v>
      </c>
      <c r="C166" s="1648" t="s">
        <v>2365</v>
      </c>
      <c r="D166" s="1649"/>
      <c r="E166" s="1649"/>
      <c r="F166" s="1649"/>
      <c r="G166" s="1649"/>
      <c r="H166" s="1649"/>
      <c r="I166" s="1033" t="str">
        <f>VLOOKUP(C166,'06'!$B$8:$N$225,7,FALSE)</f>
        <v>M2</v>
      </c>
      <c r="J166" s="1644">
        <f>+'07'!N1562</f>
        <v>5158.341051402459</v>
      </c>
      <c r="K166" s="1645"/>
      <c r="L166" s="1034">
        <f>+'08'!AF3915</f>
        <v>66.39</v>
      </c>
      <c r="M166" s="1646">
        <f t="shared" ref="M166" si="39">ROUND((+L166*J166),2)</f>
        <v>342462.26</v>
      </c>
      <c r="N166" s="1647"/>
      <c r="O166" s="1225">
        <v>4596.0306496675757</v>
      </c>
      <c r="P166" s="1225">
        <v>305130.47483143036</v>
      </c>
    </row>
    <row r="167" spans="1:23" ht="15" outlineLevel="1" x14ac:dyDescent="0.25">
      <c r="A167" s="1353" t="s">
        <v>2089</v>
      </c>
      <c r="B167" s="1031" t="s">
        <v>1784</v>
      </c>
      <c r="C167" s="1633" t="s">
        <v>1787</v>
      </c>
      <c r="D167" s="1411"/>
      <c r="E167" s="1411"/>
      <c r="F167" s="1411"/>
      <c r="G167" s="1411"/>
      <c r="H167" s="1411"/>
      <c r="I167" s="1411"/>
      <c r="J167" s="1411"/>
      <c r="K167" s="1411"/>
      <c r="L167" s="1411"/>
      <c r="M167" s="1636"/>
      <c r="N167" s="1638"/>
      <c r="O167" s="1225"/>
      <c r="P167" s="1225"/>
    </row>
    <row r="168" spans="1:23" ht="13.5" customHeight="1" outlineLevel="1" x14ac:dyDescent="0.25">
      <c r="A168" s="1351" t="s">
        <v>2090</v>
      </c>
      <c r="B168" s="1032" t="str">
        <f>VLOOKUP(C168,'06'!$B$8:$N$225,13,FALSE)</f>
        <v>G977</v>
      </c>
      <c r="C168" s="1409" t="s">
        <v>2367</v>
      </c>
      <c r="D168" s="1409"/>
      <c r="E168" s="1409"/>
      <c r="F168" s="1409"/>
      <c r="G168" s="1409"/>
      <c r="H168" s="1409"/>
      <c r="I168" s="1033" t="str">
        <f>VLOOKUP(C168,'06'!$B$8:$N$225,7,FALSE)</f>
        <v>M3</v>
      </c>
      <c r="J168" s="1644">
        <f>+'07'!N1611</f>
        <v>42028.622073968225</v>
      </c>
      <c r="K168" s="1645"/>
      <c r="L168" s="1034">
        <f>+'08'!AF3956</f>
        <v>104.98</v>
      </c>
      <c r="M168" s="1646">
        <f t="shared" ref="M168" si="40">ROUND((+L168*J168),2)</f>
        <v>4412164.75</v>
      </c>
      <c r="N168" s="1647"/>
      <c r="O168" s="1225">
        <v>35614.367378866315</v>
      </c>
      <c r="P168" s="1225">
        <v>3738796.2874333858</v>
      </c>
    </row>
    <row r="169" spans="1:23" ht="15" outlineLevel="1" x14ac:dyDescent="0.25">
      <c r="A169" s="1352" t="s">
        <v>2091</v>
      </c>
      <c r="B169" s="1031" t="s">
        <v>1784</v>
      </c>
      <c r="C169" s="1633" t="s">
        <v>1791</v>
      </c>
      <c r="D169" s="1411"/>
      <c r="E169" s="1411"/>
      <c r="F169" s="1411"/>
      <c r="G169" s="1411"/>
      <c r="H169" s="1411"/>
      <c r="I169" s="1411"/>
      <c r="J169" s="1411"/>
      <c r="K169" s="1411"/>
      <c r="L169" s="1411"/>
      <c r="M169" s="1636"/>
      <c r="N169" s="1638"/>
      <c r="O169" s="1225"/>
      <c r="P169" s="1225"/>
    </row>
    <row r="170" spans="1:23" ht="40.5" customHeight="1" outlineLevel="1" x14ac:dyDescent="0.25">
      <c r="A170" s="1351" t="s">
        <v>2092</v>
      </c>
      <c r="B170" s="1032" t="str">
        <f>VLOOKUP(C170,'06'!$B$8:$N$225,13,FALSE)</f>
        <v>G976</v>
      </c>
      <c r="C170" s="1648" t="s">
        <v>2369</v>
      </c>
      <c r="D170" s="1649"/>
      <c r="E170" s="1649"/>
      <c r="F170" s="1649"/>
      <c r="G170" s="1649"/>
      <c r="H170" s="1649"/>
      <c r="I170" s="1033" t="str">
        <f>VLOOKUP(C170,'06'!$B$8:$N$225,7,FALSE)</f>
        <v>M3</v>
      </c>
      <c r="J170" s="1644">
        <f>+'07'!N1660</f>
        <v>104305.35712080231</v>
      </c>
      <c r="K170" s="1645"/>
      <c r="L170" s="1034">
        <f>+'08'!AF3997</f>
        <v>10.5</v>
      </c>
      <c r="M170" s="1646">
        <f t="shared" ref="M170" si="41">ROUND((+L170*J170),2)</f>
        <v>1095206.25</v>
      </c>
      <c r="N170" s="1647"/>
      <c r="O170" s="1225">
        <v>101556.39082290149</v>
      </c>
      <c r="P170" s="1225">
        <v>1066342.1036404658</v>
      </c>
    </row>
    <row r="171" spans="1:23" ht="30" customHeight="1" outlineLevel="1" x14ac:dyDescent="0.25">
      <c r="A171" s="1351" t="s">
        <v>2093</v>
      </c>
      <c r="B171" s="1032" t="str">
        <f>VLOOKUP(C171,'06'!$B$8:$N$225,13,FALSE)</f>
        <v>G004</v>
      </c>
      <c r="C171" s="1409" t="s">
        <v>2327</v>
      </c>
      <c r="D171" s="1409"/>
      <c r="E171" s="1409"/>
      <c r="F171" s="1409"/>
      <c r="G171" s="1409"/>
      <c r="H171" s="1409"/>
      <c r="I171" s="1033" t="str">
        <f>VLOOKUP(C171,'06'!$B$8:$N$225,7,FALSE)</f>
        <v>M3</v>
      </c>
      <c r="J171" s="1644">
        <f>+'07'!N409</f>
        <v>124202.21838737666</v>
      </c>
      <c r="K171" s="1645"/>
      <c r="L171" s="1034">
        <f>+'08'!AF4038</f>
        <v>9.6399999999999988</v>
      </c>
      <c r="M171" s="1646">
        <f t="shared" ref="M171:M173" si="42">ROUND((+L171*J171),2)</f>
        <v>1197309.3899999999</v>
      </c>
      <c r="N171" s="1647"/>
      <c r="O171" s="1225">
        <v>121563.23869761667</v>
      </c>
      <c r="P171" s="1225">
        <v>1171869.6210450246</v>
      </c>
    </row>
    <row r="172" spans="1:23" ht="30" customHeight="1" outlineLevel="1" x14ac:dyDescent="0.25">
      <c r="A172" s="1351" t="s">
        <v>2489</v>
      </c>
      <c r="B172" s="1032" t="str">
        <f>VLOOKUP(C172,'06'!$B$8:$N$225,13,FALSE)</f>
        <v>G011</v>
      </c>
      <c r="C172" s="1648" t="s">
        <v>2172</v>
      </c>
      <c r="D172" s="1649"/>
      <c r="E172" s="1649"/>
      <c r="F172" s="1649"/>
      <c r="G172" s="1649"/>
      <c r="H172" s="1650"/>
      <c r="I172" s="1033" t="str">
        <f>VLOOKUP(C172,'06'!$B$8:$N$225,7,FALSE)</f>
        <v>M3</v>
      </c>
      <c r="J172" s="1644">
        <f>+'07'!N185</f>
        <v>30956.641395291757</v>
      </c>
      <c r="K172" s="1645"/>
      <c r="L172" s="1034">
        <f>+'08'!AF4075</f>
        <v>48.83</v>
      </c>
      <c r="M172" s="1646">
        <f t="shared" si="42"/>
        <v>1511612.8</v>
      </c>
      <c r="N172" s="1647"/>
      <c r="O172" s="1225">
        <v>27555.986192574794</v>
      </c>
      <c r="P172" s="1225">
        <v>1345558.8057834271</v>
      </c>
    </row>
    <row r="173" spans="1:23" ht="30" customHeight="1" outlineLevel="1" x14ac:dyDescent="0.25">
      <c r="A173" s="1351" t="s">
        <v>2506</v>
      </c>
      <c r="B173" s="1032" t="str">
        <f>VLOOKUP(C173,'06'!$B$8:$N$225,13,FALSE)</f>
        <v>G957</v>
      </c>
      <c r="C173" s="1648" t="s">
        <v>2505</v>
      </c>
      <c r="D173" s="1649"/>
      <c r="E173" s="1649"/>
      <c r="F173" s="1649"/>
      <c r="G173" s="1649"/>
      <c r="H173" s="1650"/>
      <c r="I173" s="1033" t="str">
        <f>VLOOKUP(C173,'06'!$B$8:$N$225,7,FALSE)</f>
        <v>M3</v>
      </c>
      <c r="J173" s="1644">
        <f>+'07'!N2650</f>
        <v>128637.52979179288</v>
      </c>
      <c r="K173" s="1645"/>
      <c r="L173" s="1034">
        <f>+'08'!AF4116</f>
        <v>12.6</v>
      </c>
      <c r="M173" s="1646">
        <f t="shared" si="42"/>
        <v>1620832.88</v>
      </c>
      <c r="N173" s="1647"/>
      <c r="O173" s="1225">
        <v>125103.14446275908</v>
      </c>
      <c r="P173" s="1225">
        <v>1576299.6202307644</v>
      </c>
    </row>
    <row r="174" spans="1:23" ht="15" outlineLevel="1" x14ac:dyDescent="0.25">
      <c r="A174" s="1353" t="s">
        <v>2094</v>
      </c>
      <c r="B174" s="1031" t="s">
        <v>1784</v>
      </c>
      <c r="C174" s="1633" t="s">
        <v>1790</v>
      </c>
      <c r="D174" s="1411"/>
      <c r="E174" s="1411"/>
      <c r="F174" s="1411"/>
      <c r="G174" s="1411"/>
      <c r="H174" s="1411"/>
      <c r="I174" s="1411"/>
      <c r="J174" s="1411"/>
      <c r="K174" s="1411"/>
      <c r="L174" s="1412"/>
      <c r="M174" s="1636"/>
      <c r="N174" s="1638"/>
      <c r="O174" s="1225"/>
      <c r="P174" s="1225"/>
    </row>
    <row r="175" spans="1:23" ht="30" customHeight="1" outlineLevel="1" x14ac:dyDescent="0.25">
      <c r="A175" s="1351" t="s">
        <v>2095</v>
      </c>
      <c r="B175" s="1032" t="str">
        <f>VLOOKUP(C175,'06'!$B$8:$N$225,13,FALSE)</f>
        <v>G013</v>
      </c>
      <c r="C175" s="1648" t="s">
        <v>2177</v>
      </c>
      <c r="D175" s="1649"/>
      <c r="E175" s="1649"/>
      <c r="F175" s="1649"/>
      <c r="G175" s="1649"/>
      <c r="H175" s="1650"/>
      <c r="I175" s="1033" t="str">
        <f>VLOOKUP(C175,'06'!$B$8:$N$225,7,FALSE)</f>
        <v>M3-KM</v>
      </c>
      <c r="J175" s="1644">
        <f>+'07'!N229</f>
        <v>3271.2560446782409</v>
      </c>
      <c r="K175" s="1645"/>
      <c r="L175" s="1034">
        <f>+'08'!AF4154</f>
        <v>350.94</v>
      </c>
      <c r="M175" s="1646">
        <f t="shared" ref="M175" si="43">ROUND((+L175*J175),2)</f>
        <v>1148014.6000000001</v>
      </c>
      <c r="N175" s="1647"/>
      <c r="O175" s="1225">
        <v>3271.2560446782409</v>
      </c>
      <c r="P175" s="1225">
        <v>1148014.5963193818</v>
      </c>
    </row>
    <row r="176" spans="1:23" ht="30" customHeight="1" outlineLevel="1" x14ac:dyDescent="0.25">
      <c r="A176" s="1351" t="s">
        <v>2376</v>
      </c>
      <c r="B176" s="1032" t="str">
        <f>VLOOKUP(C176,'06'!$B$8:$N$225,13,FALSE)</f>
        <v>G014</v>
      </c>
      <c r="C176" s="1648" t="s">
        <v>2182</v>
      </c>
      <c r="D176" s="1649"/>
      <c r="E176" s="1649"/>
      <c r="F176" s="1649"/>
      <c r="G176" s="1649"/>
      <c r="H176" s="1650"/>
      <c r="I176" s="1033" t="str">
        <f>VLOOKUP(C176,'06'!$B$8:$N$225,7,FALSE)</f>
        <v>M3</v>
      </c>
      <c r="J176" s="1644">
        <f>+'07'!N274</f>
        <v>5824.3675836869543</v>
      </c>
      <c r="K176" s="1645"/>
      <c r="L176" s="1034">
        <f>+'08'!AF4192</f>
        <v>70.19</v>
      </c>
      <c r="M176" s="1646">
        <f t="shared" ref="M176" si="44">ROUND((+L176*J176),2)</f>
        <v>408812.36</v>
      </c>
      <c r="N176" s="1647"/>
      <c r="O176" s="1225">
        <v>5824.3675836869543</v>
      </c>
      <c r="P176" s="1225">
        <v>408812.36069898732</v>
      </c>
    </row>
    <row r="177" spans="1:16" ht="15" outlineLevel="1" x14ac:dyDescent="0.25">
      <c r="A177" s="1353" t="s">
        <v>2096</v>
      </c>
      <c r="B177" s="1031" t="s">
        <v>1784</v>
      </c>
      <c r="C177" s="1633" t="s">
        <v>1794</v>
      </c>
      <c r="D177" s="1411"/>
      <c r="E177" s="1411"/>
      <c r="F177" s="1411"/>
      <c r="G177" s="1411"/>
      <c r="H177" s="1411"/>
      <c r="I177" s="1411"/>
      <c r="J177" s="1411"/>
      <c r="K177" s="1411"/>
      <c r="L177" s="1412"/>
      <c r="M177" s="1636"/>
      <c r="N177" s="1638"/>
      <c r="O177" s="1225"/>
      <c r="P177" s="1225"/>
    </row>
    <row r="178" spans="1:16" ht="30" customHeight="1" outlineLevel="1" x14ac:dyDescent="0.25">
      <c r="A178" s="1351" t="s">
        <v>2097</v>
      </c>
      <c r="B178" s="1032" t="str">
        <f>VLOOKUP(C178,'06'!$B$8:$N$225,13,FALSE)</f>
        <v>G018</v>
      </c>
      <c r="C178" s="1409" t="s">
        <v>2329</v>
      </c>
      <c r="D178" s="1409"/>
      <c r="E178" s="1409"/>
      <c r="F178" s="1409"/>
      <c r="G178" s="1409"/>
      <c r="H178" s="1409"/>
      <c r="I178" s="1033" t="str">
        <f>VLOOKUP(C178,'06'!$B$8:$N$225,7,FALSE)</f>
        <v>M3</v>
      </c>
      <c r="J178" s="1644">
        <f>+'07'!N454</f>
        <v>725724.88143541082</v>
      </c>
      <c r="K178" s="1645"/>
      <c r="L178" s="1034">
        <f>+'08'!AF4233</f>
        <v>2.5</v>
      </c>
      <c r="M178" s="1646">
        <f t="shared" ref="M178" si="45">ROUND((+L178*J178),2)</f>
        <v>1814312.2</v>
      </c>
      <c r="N178" s="1647"/>
      <c r="O178" s="1225">
        <v>671967.70655736153</v>
      </c>
      <c r="P178" s="1225">
        <v>1679919.2663934038</v>
      </c>
    </row>
    <row r="179" spans="1:16" ht="30" customHeight="1" outlineLevel="1" x14ac:dyDescent="0.25">
      <c r="A179" s="1351" t="s">
        <v>2098</v>
      </c>
      <c r="B179" s="1032" t="str">
        <f>VLOOKUP(C179,'06'!$B$8:$N$225,13,FALSE)</f>
        <v>G019</v>
      </c>
      <c r="C179" s="1409" t="s">
        <v>2331</v>
      </c>
      <c r="D179" s="1409"/>
      <c r="E179" s="1409"/>
      <c r="F179" s="1409"/>
      <c r="G179" s="1409"/>
      <c r="H179" s="1409"/>
      <c r="I179" s="1033" t="str">
        <f>VLOOKUP(C179,'06'!$B$8:$N$225,7,FALSE)</f>
        <v>M3</v>
      </c>
      <c r="J179" s="1644">
        <f>+'07'!N496</f>
        <v>1461311.8817958308</v>
      </c>
      <c r="K179" s="1645"/>
      <c r="L179" s="1034">
        <f>+'08'!AF4274</f>
        <v>30.89</v>
      </c>
      <c r="M179" s="1646">
        <f t="shared" ref="M179" si="46">ROUND((+L179*J179),2)</f>
        <v>45139924.030000001</v>
      </c>
      <c r="N179" s="1647"/>
      <c r="O179" s="1225">
        <v>1363119.4626060962</v>
      </c>
      <c r="P179" s="1225">
        <v>42106760.199902311</v>
      </c>
    </row>
    <row r="180" spans="1:16" ht="15" outlineLevel="1" x14ac:dyDescent="0.25">
      <c r="A180" s="1353" t="s">
        <v>2096</v>
      </c>
      <c r="B180" s="1031" t="s">
        <v>1784</v>
      </c>
      <c r="C180" s="1633" t="s">
        <v>1795</v>
      </c>
      <c r="D180" s="1411"/>
      <c r="E180" s="1411"/>
      <c r="F180" s="1411"/>
      <c r="G180" s="1411"/>
      <c r="H180" s="1411"/>
      <c r="I180" s="1411"/>
      <c r="J180" s="1411"/>
      <c r="K180" s="1411"/>
      <c r="L180" s="1412"/>
      <c r="M180" s="1636"/>
      <c r="N180" s="1638"/>
      <c r="O180" s="1225"/>
      <c r="P180" s="1225"/>
    </row>
    <row r="181" spans="1:16" ht="54" customHeight="1" outlineLevel="1" x14ac:dyDescent="0.25">
      <c r="A181" s="1351" t="s">
        <v>2097</v>
      </c>
      <c r="B181" s="1032" t="str">
        <f>VLOOKUP(C181,'06'!$B$8:$N$225,13,FALSE)</f>
        <v>G007</v>
      </c>
      <c r="C181" s="1409" t="s">
        <v>2332</v>
      </c>
      <c r="D181" s="1409"/>
      <c r="E181" s="1409"/>
      <c r="F181" s="1409"/>
      <c r="G181" s="1409"/>
      <c r="H181" s="1409"/>
      <c r="I181" s="1033" t="str">
        <f>VLOOKUP(C181,'06'!$B$8:$N$225,7,FALSE)</f>
        <v>KG</v>
      </c>
      <c r="J181" s="1644">
        <f>+'07'!N538</f>
        <v>10058.957727500896</v>
      </c>
      <c r="K181" s="1645"/>
      <c r="L181" s="1034">
        <f>+'08'!AF4315</f>
        <v>3743.78</v>
      </c>
      <c r="M181" s="1646">
        <f t="shared" ref="M181" si="47">ROUND((+L181*J181),2)</f>
        <v>37658524.759999998</v>
      </c>
      <c r="N181" s="1647"/>
      <c r="O181" s="1225">
        <v>9696.0980201588973</v>
      </c>
      <c r="P181" s="1225">
        <v>36300057.845910475</v>
      </c>
    </row>
    <row r="182" spans="1:16" ht="15" outlineLevel="1" x14ac:dyDescent="0.25">
      <c r="A182" s="1353" t="s">
        <v>2099</v>
      </c>
      <c r="B182" s="1031" t="s">
        <v>1784</v>
      </c>
      <c r="C182" s="1633" t="s">
        <v>96</v>
      </c>
      <c r="D182" s="1411"/>
      <c r="E182" s="1411"/>
      <c r="F182" s="1411"/>
      <c r="G182" s="1411"/>
      <c r="H182" s="1411"/>
      <c r="I182" s="1411"/>
      <c r="J182" s="1411"/>
      <c r="K182" s="1411"/>
      <c r="L182" s="1412"/>
      <c r="M182" s="1636"/>
      <c r="N182" s="1638"/>
      <c r="O182" s="1225"/>
      <c r="P182" s="1225"/>
    </row>
    <row r="183" spans="1:16" ht="30" customHeight="1" outlineLevel="1" x14ac:dyDescent="0.25">
      <c r="A183" s="1351" t="s">
        <v>2100</v>
      </c>
      <c r="B183" s="1032" t="str">
        <f>VLOOKUP(C183,'06'!$B$8:$N$225,13,FALSE)</f>
        <v>G990</v>
      </c>
      <c r="C183" s="1648" t="s">
        <v>2342</v>
      </c>
      <c r="D183" s="1649"/>
      <c r="E183" s="1649"/>
      <c r="F183" s="1649"/>
      <c r="G183" s="1649"/>
      <c r="H183" s="1649"/>
      <c r="I183" s="1033" t="str">
        <f>VLOOKUP(C183,'06'!$B$8:$N$225,7,FALSE)</f>
        <v>ML</v>
      </c>
      <c r="J183" s="1644">
        <f>+'07'!N999</f>
        <v>89908.320003387329</v>
      </c>
      <c r="K183" s="1645"/>
      <c r="L183" s="1034">
        <f>+'08'!AF4356</f>
        <v>31.4</v>
      </c>
      <c r="M183" s="1646">
        <f t="shared" ref="M183" si="48">ROUND((+L183*J183),2)</f>
        <v>2823121.25</v>
      </c>
      <c r="N183" s="1647"/>
      <c r="O183" s="1225">
        <v>88625.469064366946</v>
      </c>
      <c r="P183" s="1225">
        <v>2782839.728621122</v>
      </c>
    </row>
    <row r="184" spans="1:16" ht="30" customHeight="1" outlineLevel="1" x14ac:dyDescent="0.25">
      <c r="A184" s="1351" t="s">
        <v>2101</v>
      </c>
      <c r="B184" s="1032" t="str">
        <f>VLOOKUP(C184,'06'!$B$8:$N$225,13,FALSE)</f>
        <v>G989</v>
      </c>
      <c r="C184" s="1648" t="s">
        <v>2344</v>
      </c>
      <c r="D184" s="1649"/>
      <c r="E184" s="1649"/>
      <c r="F184" s="1649"/>
      <c r="G184" s="1649"/>
      <c r="H184" s="1649"/>
      <c r="I184" s="1033" t="str">
        <f>VLOOKUP(C184,'06'!$B$8:$N$225,7,FALSE)</f>
        <v>ML</v>
      </c>
      <c r="J184" s="1644">
        <f>+'07'!N1043</f>
        <v>180886.15215797513</v>
      </c>
      <c r="K184" s="1645"/>
      <c r="L184" s="1034">
        <f>+'08'!AF4397</f>
        <v>15</v>
      </c>
      <c r="M184" s="1646">
        <f t="shared" ref="M184" si="49">ROUND((+L184*J184),2)</f>
        <v>2713292.28</v>
      </c>
      <c r="N184" s="1647"/>
      <c r="O184" s="1225">
        <v>179405.93953602854</v>
      </c>
      <c r="P184" s="1225">
        <v>2691089.0930404281</v>
      </c>
    </row>
    <row r="185" spans="1:16" ht="15" outlineLevel="1" x14ac:dyDescent="0.25">
      <c r="A185" s="1353" t="s">
        <v>2102</v>
      </c>
      <c r="B185" s="1031" t="s">
        <v>1784</v>
      </c>
      <c r="C185" s="1633" t="s">
        <v>1796</v>
      </c>
      <c r="D185" s="1411"/>
      <c r="E185" s="1411"/>
      <c r="F185" s="1411"/>
      <c r="G185" s="1411"/>
      <c r="H185" s="1411"/>
      <c r="I185" s="1411"/>
      <c r="J185" s="1411"/>
      <c r="K185" s="1411"/>
      <c r="L185" s="1412"/>
      <c r="M185" s="1636"/>
      <c r="N185" s="1638"/>
      <c r="O185" s="1225"/>
      <c r="P185" s="1225"/>
    </row>
    <row r="186" spans="1:16" ht="30" customHeight="1" outlineLevel="1" x14ac:dyDescent="0.25">
      <c r="A186" s="1351" t="s">
        <v>2103</v>
      </c>
      <c r="B186" s="1032" t="str">
        <f>VLOOKUP(C186,'06'!$B$8:$N$225,13,FALSE)</f>
        <v>G998</v>
      </c>
      <c r="C186" s="1409" t="s">
        <v>2334</v>
      </c>
      <c r="D186" s="1409"/>
      <c r="E186" s="1409"/>
      <c r="F186" s="1409"/>
      <c r="G186" s="1409"/>
      <c r="H186" s="1409"/>
      <c r="I186" s="1033" t="str">
        <f>VLOOKUP(C186,'06'!$B$8:$N$225,7,FALSE)</f>
        <v>ML</v>
      </c>
      <c r="J186" s="1644">
        <f>+'07'!N625</f>
        <v>77165.282260475069</v>
      </c>
      <c r="K186" s="1645"/>
      <c r="L186" s="1034">
        <f>+'08'!AF4438</f>
        <v>59.2</v>
      </c>
      <c r="M186" s="1646">
        <f t="shared" ref="M186" si="50">ROUND((+L186*J186),2)</f>
        <v>4568184.71</v>
      </c>
      <c r="N186" s="1647"/>
      <c r="O186" s="1225">
        <v>75561.718586699586</v>
      </c>
      <c r="P186" s="1225">
        <v>4473253.7403326156</v>
      </c>
    </row>
    <row r="187" spans="1:16" ht="30" customHeight="1" outlineLevel="1" x14ac:dyDescent="0.25">
      <c r="A187" s="1351" t="s">
        <v>2104</v>
      </c>
      <c r="B187" s="1032" t="str">
        <f>VLOOKUP(C187,'06'!$B$8:$N$225,13,FALSE)</f>
        <v>G974</v>
      </c>
      <c r="C187" s="1648" t="s">
        <v>2375</v>
      </c>
      <c r="D187" s="1649"/>
      <c r="E187" s="1649"/>
      <c r="F187" s="1649"/>
      <c r="G187" s="1649"/>
      <c r="H187" s="1649"/>
      <c r="I187" s="1033" t="str">
        <f>VLOOKUP(C187,'06'!$B$8:$N$225,7,FALSE)</f>
        <v>UND</v>
      </c>
      <c r="J187" s="1644">
        <f>+'07'!N1758</f>
        <v>1893856.5929443534</v>
      </c>
      <c r="K187" s="1645"/>
      <c r="L187" s="1034">
        <f>+'08'!AF4479</f>
        <v>4</v>
      </c>
      <c r="M187" s="1646">
        <f t="shared" ref="M187:M193" si="51">ROUND((+L187*J187),2)</f>
        <v>7575426.3700000001</v>
      </c>
      <c r="N187" s="1647"/>
      <c r="O187" s="1225">
        <v>1884693.2991486818</v>
      </c>
      <c r="P187" s="1225">
        <v>7538773.1965947272</v>
      </c>
    </row>
    <row r="188" spans="1:16" ht="30" customHeight="1" outlineLevel="1" x14ac:dyDescent="0.25">
      <c r="A188" s="1351" t="s">
        <v>2105</v>
      </c>
      <c r="B188" s="1032" t="str">
        <f>VLOOKUP(C188,'06'!$B$8:$N$225,13,FALSE)</f>
        <v>G973</v>
      </c>
      <c r="C188" s="1648" t="s">
        <v>2377</v>
      </c>
      <c r="D188" s="1649"/>
      <c r="E188" s="1649"/>
      <c r="F188" s="1649"/>
      <c r="G188" s="1649"/>
      <c r="H188" s="1649"/>
      <c r="I188" s="1033" t="str">
        <f>VLOOKUP(C188,'06'!$B$8:$N$225,7,FALSE)</f>
        <v>KG</v>
      </c>
      <c r="J188" s="1644">
        <f>+'07'!N1807</f>
        <v>30529.536373307154</v>
      </c>
      <c r="K188" s="1645"/>
      <c r="L188" s="1034">
        <f>+'08'!$AF$4520</f>
        <v>2674.83</v>
      </c>
      <c r="M188" s="1646">
        <f t="shared" si="51"/>
        <v>81661319.780000001</v>
      </c>
      <c r="N188" s="1647"/>
      <c r="O188" s="1225">
        <v>28696.877614172863</v>
      </c>
      <c r="P188" s="1225">
        <v>76759269.148717999</v>
      </c>
    </row>
    <row r="189" spans="1:16" ht="30" customHeight="1" outlineLevel="1" x14ac:dyDescent="0.25">
      <c r="A189" s="1351" t="s">
        <v>2106</v>
      </c>
      <c r="B189" s="1032" t="str">
        <f>VLOOKUP(C189,'06'!$B$8:$N$225,13,FALSE)</f>
        <v>G972</v>
      </c>
      <c r="C189" s="1648" t="s">
        <v>2380</v>
      </c>
      <c r="D189" s="1649"/>
      <c r="E189" s="1649"/>
      <c r="F189" s="1649"/>
      <c r="G189" s="1649"/>
      <c r="H189" s="1649"/>
      <c r="I189" s="1033" t="str">
        <f>VLOOKUP(C189,'06'!$B$8:$N$225,7,FALSE)</f>
        <v>M2</v>
      </c>
      <c r="J189" s="1644">
        <f>+'07'!N1861</f>
        <v>95473.933537921985</v>
      </c>
      <c r="K189" s="1645"/>
      <c r="L189" s="1034">
        <f>+'08'!AF4561</f>
        <v>85.68</v>
      </c>
      <c r="M189" s="1646">
        <f t="shared" si="51"/>
        <v>8180206.6299999999</v>
      </c>
      <c r="N189" s="1647"/>
      <c r="O189" s="1225">
        <v>92724.945399220538</v>
      </c>
      <c r="P189" s="1225">
        <v>7944673.3218052164</v>
      </c>
    </row>
    <row r="190" spans="1:16" ht="54" customHeight="1" outlineLevel="1" x14ac:dyDescent="0.25">
      <c r="A190" s="1351" t="s">
        <v>2107</v>
      </c>
      <c r="B190" s="1032" t="str">
        <f>VLOOKUP(C190,'06'!$B$8:$N$225,13,FALSE)</f>
        <v>G971</v>
      </c>
      <c r="C190" s="1648" t="s">
        <v>2382</v>
      </c>
      <c r="D190" s="1649"/>
      <c r="E190" s="1649"/>
      <c r="F190" s="1649"/>
      <c r="G190" s="1649"/>
      <c r="H190" s="1649"/>
      <c r="I190" s="1033" t="str">
        <f>VLOOKUP(C190,'06'!$B$8:$N$225,7,FALSE)</f>
        <v>UND</v>
      </c>
      <c r="J190" s="1644">
        <f>+'07'!N1915</f>
        <v>617302.47177818604</v>
      </c>
      <c r="K190" s="1645"/>
      <c r="L190" s="1034">
        <f>+'08'!AF4602</f>
        <v>10</v>
      </c>
      <c r="M190" s="1646">
        <f t="shared" si="51"/>
        <v>6173024.7199999997</v>
      </c>
      <c r="N190" s="1647"/>
      <c r="O190" s="1225">
        <v>603557.53108467883</v>
      </c>
      <c r="P190" s="1225">
        <v>6035575.3108467888</v>
      </c>
    </row>
    <row r="191" spans="1:16" ht="30" customHeight="1" outlineLevel="1" x14ac:dyDescent="0.25">
      <c r="A191" s="1351" t="s">
        <v>2108</v>
      </c>
      <c r="B191" s="1032" t="str">
        <f>VLOOKUP(C191,'06'!$B$8:$N$225,13,FALSE)</f>
        <v>G975</v>
      </c>
      <c r="C191" s="1409" t="s">
        <v>2373</v>
      </c>
      <c r="D191" s="1409"/>
      <c r="E191" s="1409"/>
      <c r="F191" s="1409"/>
      <c r="G191" s="1409"/>
      <c r="H191" s="1409"/>
      <c r="I191" s="1033" t="str">
        <f>VLOOKUP(C191,'06'!$B$8:$N$225,7,FALSE)</f>
        <v>UND</v>
      </c>
      <c r="J191" s="1644">
        <f>+'07'!N1709</f>
        <v>792726.70688991249</v>
      </c>
      <c r="K191" s="1645"/>
      <c r="L191" s="1034">
        <f>+'08'!AF4643</f>
        <v>4</v>
      </c>
      <c r="M191" s="1646">
        <f t="shared" si="51"/>
        <v>3170906.83</v>
      </c>
      <c r="N191" s="1647"/>
      <c r="O191" s="1225">
        <v>778981.76619640517</v>
      </c>
      <c r="P191" s="1225">
        <v>3115927.0647856207</v>
      </c>
    </row>
    <row r="192" spans="1:16" ht="30" customHeight="1" outlineLevel="1" x14ac:dyDescent="0.25">
      <c r="A192" s="1351" t="s">
        <v>2511</v>
      </c>
      <c r="B192" s="1032" t="str">
        <f>VLOOKUP(C192,'06'!$B$8:$N$225,13,FALSE)</f>
        <v>G956</v>
      </c>
      <c r="C192" s="1409" t="s">
        <v>2513</v>
      </c>
      <c r="D192" s="1409"/>
      <c r="E192" s="1409"/>
      <c r="F192" s="1409"/>
      <c r="G192" s="1409"/>
      <c r="H192" s="1409"/>
      <c r="I192" s="1033" t="str">
        <f>VLOOKUP(C192,'06'!$B$8:$N$225,7,FALSE)</f>
        <v>UND</v>
      </c>
      <c r="J192" s="1644">
        <f>+'07'!N2699</f>
        <v>841678.50363425701</v>
      </c>
      <c r="K192" s="1645"/>
      <c r="L192" s="1034">
        <f>+'08'!AF4684</f>
        <v>5</v>
      </c>
      <c r="M192" s="1646">
        <f t="shared" si="51"/>
        <v>4208392.5199999996</v>
      </c>
      <c r="N192" s="1647"/>
      <c r="O192" s="1225">
        <v>832881.74159041233</v>
      </c>
      <c r="P192" s="1225">
        <v>4164408.7079520617</v>
      </c>
    </row>
    <row r="193" spans="1:23" ht="30" customHeight="1" outlineLevel="1" x14ac:dyDescent="0.25">
      <c r="A193" s="1351" t="s">
        <v>2515</v>
      </c>
      <c r="B193" s="1032" t="str">
        <f>VLOOKUP(C193,'06'!$B$8:$N$225,13,FALSE)</f>
        <v>G955</v>
      </c>
      <c r="C193" s="1409" t="s">
        <v>2516</v>
      </c>
      <c r="D193" s="1409"/>
      <c r="E193" s="1409"/>
      <c r="F193" s="1409"/>
      <c r="G193" s="1409"/>
      <c r="H193" s="1409"/>
      <c r="I193" s="1033" t="str">
        <f>VLOOKUP(C193,'06'!$B$8:$N$225,7,FALSE)</f>
        <v>UND</v>
      </c>
      <c r="J193" s="1644">
        <f>+'07'!N2753</f>
        <v>1152066.5267740006</v>
      </c>
      <c r="K193" s="1645"/>
      <c r="L193" s="1034">
        <f>+'08'!AF4725</f>
        <v>3</v>
      </c>
      <c r="M193" s="1646">
        <f t="shared" si="51"/>
        <v>3456199.58</v>
      </c>
      <c r="N193" s="1647"/>
      <c r="O193" s="1225">
        <v>1143269.7647301559</v>
      </c>
      <c r="P193" s="1225">
        <v>3429809.2941904678</v>
      </c>
    </row>
    <row r="194" spans="1:23" ht="13.5" customHeight="1" x14ac:dyDescent="0.25">
      <c r="A194" s="1223"/>
      <c r="B194"/>
      <c r="C194"/>
      <c r="D194"/>
      <c r="E194"/>
      <c r="F194"/>
      <c r="G194"/>
      <c r="H194"/>
      <c r="I194"/>
      <c r="J194"/>
      <c r="K194"/>
      <c r="L194"/>
      <c r="M194"/>
      <c r="N194" s="1360"/>
      <c r="O194" s="1225"/>
      <c r="P194" s="1225"/>
    </row>
    <row r="195" spans="1:23" customFormat="1" ht="13.5" customHeight="1" x14ac:dyDescent="0.25">
      <c r="A195" s="1223"/>
      <c r="H195" s="1668" t="s">
        <v>2109</v>
      </c>
      <c r="I195" s="1668"/>
      <c r="J195" s="1668"/>
      <c r="K195" s="1668"/>
      <c r="L195" s="1669"/>
      <c r="M195" s="1654">
        <f>SUM(M198:N199)</f>
        <v>26214761.119999997</v>
      </c>
      <c r="N195" s="1647"/>
      <c r="O195" s="1225"/>
      <c r="P195" s="1225"/>
      <c r="Q195" s="1027"/>
      <c r="R195" s="1027"/>
      <c r="S195" s="1027"/>
      <c r="T195" s="1027"/>
      <c r="U195" s="1027"/>
      <c r="V195" s="1027"/>
      <c r="W195" s="1027"/>
    </row>
    <row r="196" spans="1:23" customFormat="1" ht="13.5" customHeight="1" outlineLevel="1" x14ac:dyDescent="0.25">
      <c r="A196" s="1358" t="s">
        <v>0</v>
      </c>
      <c r="B196" s="1656" t="s">
        <v>1781</v>
      </c>
      <c r="C196" s="1656"/>
      <c r="D196" s="1656"/>
      <c r="E196" s="1656"/>
      <c r="F196" s="1656"/>
      <c r="G196" s="1656"/>
      <c r="H196" s="1656"/>
      <c r="I196" s="1037" t="s">
        <v>1782</v>
      </c>
      <c r="J196" s="1657" t="s">
        <v>879</v>
      </c>
      <c r="K196" s="1653"/>
      <c r="L196" s="1037" t="s">
        <v>628</v>
      </c>
      <c r="M196" s="1656" t="s">
        <v>1172</v>
      </c>
      <c r="N196" s="1647"/>
      <c r="O196" s="1225"/>
      <c r="P196" s="1225"/>
      <c r="Q196" s="1027"/>
      <c r="R196" s="1027"/>
      <c r="S196" s="1027"/>
      <c r="T196" s="1027"/>
      <c r="U196" s="1027"/>
      <c r="V196" s="1027"/>
      <c r="W196" s="1027"/>
    </row>
    <row r="197" spans="1:23" ht="13.5" customHeight="1" outlineLevel="1" x14ac:dyDescent="0.25">
      <c r="A197" s="1353" t="s">
        <v>2110</v>
      </c>
      <c r="B197" s="1031" t="s">
        <v>1784</v>
      </c>
      <c r="C197" s="1633" t="s">
        <v>1796</v>
      </c>
      <c r="D197" s="1411"/>
      <c r="E197" s="1411"/>
      <c r="F197" s="1411"/>
      <c r="G197" s="1411"/>
      <c r="H197" s="1411"/>
      <c r="I197" s="1411"/>
      <c r="J197" s="1411"/>
      <c r="K197" s="1411"/>
      <c r="L197" s="1411"/>
      <c r="M197" s="1636"/>
      <c r="N197" s="1638"/>
      <c r="O197" s="1225"/>
      <c r="P197" s="1225"/>
    </row>
    <row r="198" spans="1:23" ht="30" customHeight="1" outlineLevel="1" x14ac:dyDescent="0.25">
      <c r="A198" s="1351" t="s">
        <v>2111</v>
      </c>
      <c r="B198" s="1032" t="str">
        <f>VLOOKUP(C198,'06'!$B$8:$N$225,13,FALSE)</f>
        <v>G970</v>
      </c>
      <c r="C198" s="1648" t="s">
        <v>2384</v>
      </c>
      <c r="D198" s="1649"/>
      <c r="E198" s="1649"/>
      <c r="F198" s="1649"/>
      <c r="G198" s="1649"/>
      <c r="H198" s="1649"/>
      <c r="I198" s="1033" t="str">
        <f>VLOOKUP(C198,'06'!$B$8:$N$225,7,FALSE)</f>
        <v>UND</v>
      </c>
      <c r="J198" s="1644">
        <f>+'07'!N1969</f>
        <v>5443443.0478222957</v>
      </c>
      <c r="K198" s="1645"/>
      <c r="L198" s="1034">
        <f>+'08'!AF4766</f>
        <v>2</v>
      </c>
      <c r="M198" s="1646">
        <f t="shared" ref="M198" si="52">ROUND((+L198*J198),2)</f>
        <v>10886886.1</v>
      </c>
      <c r="N198" s="1647"/>
      <c r="O198" s="1225">
        <v>5423450.4068135573</v>
      </c>
      <c r="P198" s="1225">
        <v>10846900.813627115</v>
      </c>
    </row>
    <row r="199" spans="1:23" ht="54" customHeight="1" outlineLevel="1" x14ac:dyDescent="0.25">
      <c r="A199" s="1351" t="s">
        <v>2112</v>
      </c>
      <c r="B199" s="1032" t="str">
        <f>VLOOKUP(C199,'06'!$B$8:$N$225,13,FALSE)</f>
        <v>G965</v>
      </c>
      <c r="C199" s="1648" t="s">
        <v>2393</v>
      </c>
      <c r="D199" s="1649"/>
      <c r="E199" s="1649"/>
      <c r="F199" s="1649"/>
      <c r="G199" s="1649"/>
      <c r="H199" s="1649"/>
      <c r="I199" s="1033" t="str">
        <f>VLOOKUP(C199,'06'!$B$8:$N$225,7,FALSE)</f>
        <v>UND</v>
      </c>
      <c r="J199" s="1644">
        <f>+'07'!N2227</f>
        <v>15327875.016348125</v>
      </c>
      <c r="K199" s="1645"/>
      <c r="L199" s="1034">
        <f>+'08'!AF4848</f>
        <v>1</v>
      </c>
      <c r="M199" s="1646">
        <f t="shared" ref="M199" si="53">ROUND((+L199*J199),2)</f>
        <v>15327875.02</v>
      </c>
      <c r="N199" s="1647"/>
      <c r="O199" s="1225">
        <v>15276823.034710543</v>
      </c>
      <c r="P199" s="1225">
        <v>15276823.034710543</v>
      </c>
    </row>
    <row r="200" spans="1:23" ht="13.5" customHeight="1" x14ac:dyDescent="0.25">
      <c r="A200" s="1223"/>
      <c r="B200"/>
      <c r="C200" s="1361"/>
      <c r="D200" s="1362"/>
      <c r="E200"/>
      <c r="F200"/>
      <c r="G200"/>
      <c r="H200"/>
      <c r="I200"/>
      <c r="J200"/>
      <c r="K200"/>
      <c r="L200"/>
      <c r="M200"/>
      <c r="N200" s="1360"/>
      <c r="O200" s="1225"/>
      <c r="P200" s="1225"/>
    </row>
    <row r="201" spans="1:23" customFormat="1" ht="13.5" customHeight="1" x14ac:dyDescent="0.25">
      <c r="A201" s="1359"/>
      <c r="B201" s="1029"/>
      <c r="C201" s="1028"/>
      <c r="D201" s="1028"/>
      <c r="E201" s="1028"/>
      <c r="H201" s="1668" t="s">
        <v>2113</v>
      </c>
      <c r="I201" s="1668"/>
      <c r="J201" s="1668"/>
      <c r="K201" s="1668"/>
      <c r="L201" s="1669"/>
      <c r="M201" s="1654">
        <f>SUM(M204:N228)</f>
        <v>1257678636.2600005</v>
      </c>
      <c r="N201" s="1647"/>
      <c r="O201" s="1225"/>
      <c r="P201" s="1225"/>
      <c r="Q201" s="1027"/>
      <c r="R201" s="1027"/>
      <c r="S201" s="1027"/>
      <c r="T201" s="1027"/>
      <c r="U201" s="1027"/>
      <c r="V201" s="1027"/>
      <c r="W201" s="1027"/>
    </row>
    <row r="202" spans="1:23" customFormat="1" ht="13.5" customHeight="1" outlineLevel="1" x14ac:dyDescent="0.25">
      <c r="A202" s="1358" t="s">
        <v>0</v>
      </c>
      <c r="B202" s="1656" t="s">
        <v>1781</v>
      </c>
      <c r="C202" s="1656"/>
      <c r="D202" s="1656"/>
      <c r="E202" s="1656"/>
      <c r="F202" s="1656"/>
      <c r="G202" s="1656"/>
      <c r="H202" s="1656"/>
      <c r="I202" s="1037" t="s">
        <v>1782</v>
      </c>
      <c r="J202" s="1657" t="s">
        <v>879</v>
      </c>
      <c r="K202" s="1653"/>
      <c r="L202" s="1037" t="s">
        <v>628</v>
      </c>
      <c r="M202" s="1656" t="s">
        <v>1172</v>
      </c>
      <c r="N202" s="1647"/>
      <c r="O202" s="1225"/>
      <c r="P202" s="1225"/>
      <c r="Q202" s="1027"/>
      <c r="R202" s="1027"/>
      <c r="S202" s="1027"/>
      <c r="T202" s="1027"/>
      <c r="U202" s="1027"/>
      <c r="V202" s="1027"/>
      <c r="W202" s="1027"/>
    </row>
    <row r="203" spans="1:23" ht="13.5" customHeight="1" outlineLevel="1" x14ac:dyDescent="0.25">
      <c r="A203" s="1353" t="s">
        <v>2114</v>
      </c>
      <c r="B203" s="1031" t="s">
        <v>1784</v>
      </c>
      <c r="C203" s="1633" t="s">
        <v>197</v>
      </c>
      <c r="D203" s="1411"/>
      <c r="E203" s="1411"/>
      <c r="F203" s="1411"/>
      <c r="G203" s="1411"/>
      <c r="H203" s="1411"/>
      <c r="I203" s="1411"/>
      <c r="J203" s="1411"/>
      <c r="K203" s="1411"/>
      <c r="L203" s="1411"/>
      <c r="M203" s="1636"/>
      <c r="N203" s="1638"/>
      <c r="O203" s="1225"/>
      <c r="P203" s="1225"/>
    </row>
    <row r="204" spans="1:23" ht="40.5" customHeight="1" outlineLevel="1" x14ac:dyDescent="0.25">
      <c r="A204" s="1351" t="s">
        <v>2115</v>
      </c>
      <c r="B204" s="1032" t="str">
        <f>VLOOKUP(C204,'06'!$B$8:$N$225,13,FALSE)</f>
        <v>G978</v>
      </c>
      <c r="C204" s="1648" t="s">
        <v>2365</v>
      </c>
      <c r="D204" s="1649"/>
      <c r="E204" s="1649"/>
      <c r="F204" s="1649"/>
      <c r="G204" s="1649"/>
      <c r="H204" s="1649"/>
      <c r="I204" s="1033" t="str">
        <f>VLOOKUP(C204,'06'!$B$8:$N$225,7,FALSE)</f>
        <v>M2</v>
      </c>
      <c r="J204" s="1644">
        <f>+'07'!N1562</f>
        <v>5158.341051402459</v>
      </c>
      <c r="K204" s="1645"/>
      <c r="L204" s="1034">
        <f>+'08'!AF4889</f>
        <v>319.78999999999996</v>
      </c>
      <c r="M204" s="1646">
        <f t="shared" ref="M204" si="54">ROUND((+L204*J204),2)</f>
        <v>1649585.88</v>
      </c>
      <c r="N204" s="1647"/>
      <c r="O204" s="1225">
        <v>4596.0306496675757</v>
      </c>
      <c r="P204" s="1225">
        <v>1469764.6414571938</v>
      </c>
    </row>
    <row r="205" spans="1:23" ht="15" outlineLevel="1" x14ac:dyDescent="0.25">
      <c r="A205" s="1353" t="s">
        <v>2116</v>
      </c>
      <c r="B205" s="1031" t="s">
        <v>1784</v>
      </c>
      <c r="C205" s="1633" t="s">
        <v>1787</v>
      </c>
      <c r="D205" s="1411"/>
      <c r="E205" s="1411"/>
      <c r="F205" s="1411"/>
      <c r="G205" s="1411"/>
      <c r="H205" s="1411"/>
      <c r="I205" s="1411"/>
      <c r="J205" s="1411"/>
      <c r="K205" s="1411"/>
      <c r="L205" s="1411"/>
      <c r="M205" s="1636"/>
      <c r="N205" s="1638"/>
      <c r="O205" s="1225"/>
      <c r="P205" s="1225"/>
    </row>
    <row r="206" spans="1:23" ht="13.5" customHeight="1" outlineLevel="1" x14ac:dyDescent="0.25">
      <c r="A206" s="1351" t="s">
        <v>2117</v>
      </c>
      <c r="B206" s="1032" t="str">
        <f>VLOOKUP(C206,'06'!$B$8:$N$225,13,FALSE)</f>
        <v>G977</v>
      </c>
      <c r="C206" s="1409" t="s">
        <v>2367</v>
      </c>
      <c r="D206" s="1409"/>
      <c r="E206" s="1409"/>
      <c r="F206" s="1409"/>
      <c r="G206" s="1409"/>
      <c r="H206" s="1409"/>
      <c r="I206" s="1033" t="str">
        <f>VLOOKUP(C206,'06'!$B$8:$N$225,7,FALSE)</f>
        <v>M3</v>
      </c>
      <c r="J206" s="1644">
        <f>+'07'!N1611</f>
        <v>42028.622073968225</v>
      </c>
      <c r="K206" s="1645"/>
      <c r="L206" s="1034">
        <f>+'08'!AF4930</f>
        <v>1239.7</v>
      </c>
      <c r="M206" s="1646">
        <f t="shared" ref="M206" si="55">ROUND((+L206*J206),2)</f>
        <v>52102882.789999999</v>
      </c>
      <c r="N206" s="1647"/>
      <c r="O206" s="1225">
        <v>35614.367378866315</v>
      </c>
      <c r="P206" s="1225">
        <v>44151131.239580572</v>
      </c>
    </row>
    <row r="207" spans="1:23" ht="15" outlineLevel="1" x14ac:dyDescent="0.25">
      <c r="A207" s="1352" t="s">
        <v>2118</v>
      </c>
      <c r="B207" s="1031" t="s">
        <v>1784</v>
      </c>
      <c r="C207" s="1633" t="s">
        <v>1791</v>
      </c>
      <c r="D207" s="1411"/>
      <c r="E207" s="1411"/>
      <c r="F207" s="1411"/>
      <c r="G207" s="1411"/>
      <c r="H207" s="1411"/>
      <c r="I207" s="1411"/>
      <c r="J207" s="1411"/>
      <c r="K207" s="1411"/>
      <c r="L207" s="1411"/>
      <c r="M207" s="1636"/>
      <c r="N207" s="1638"/>
      <c r="O207" s="1225"/>
      <c r="P207" s="1225"/>
    </row>
    <row r="208" spans="1:23" ht="30" customHeight="1" outlineLevel="1" x14ac:dyDescent="0.25">
      <c r="A208" s="1351" t="s">
        <v>2119</v>
      </c>
      <c r="B208" s="1032" t="str">
        <f>VLOOKUP(C208,'06'!$B$8:$N$225,13,FALSE)</f>
        <v>G004</v>
      </c>
      <c r="C208" s="1409" t="s">
        <v>2327</v>
      </c>
      <c r="D208" s="1409"/>
      <c r="E208" s="1409"/>
      <c r="F208" s="1409"/>
      <c r="G208" s="1409"/>
      <c r="H208" s="1409"/>
      <c r="I208" s="1033" t="str">
        <f>VLOOKUP(C208,'06'!$B$8:$N$225,7,FALSE)</f>
        <v>M3</v>
      </c>
      <c r="J208" s="1644">
        <f>+'07'!N409</f>
        <v>124202.21838737666</v>
      </c>
      <c r="K208" s="1645"/>
      <c r="L208" s="1034">
        <f>+'08'!AF4971</f>
        <v>56.289999999999992</v>
      </c>
      <c r="M208" s="1646">
        <f t="shared" ref="M208" si="56">ROUND((+L208*J208),2)</f>
        <v>6991342.8700000001</v>
      </c>
      <c r="N208" s="1647"/>
      <c r="O208" s="1225">
        <v>121563.23869761667</v>
      </c>
      <c r="P208" s="1225">
        <v>6842794.7062888416</v>
      </c>
    </row>
    <row r="209" spans="1:16" ht="30" customHeight="1" outlineLevel="1" x14ac:dyDescent="0.25">
      <c r="A209" s="1351" t="s">
        <v>2524</v>
      </c>
      <c r="B209" s="1032" t="str">
        <f>VLOOKUP(C209,'06'!$B$8:$N$225,13,FALSE)</f>
        <v>G011</v>
      </c>
      <c r="C209" s="1648" t="s">
        <v>2172</v>
      </c>
      <c r="D209" s="1649"/>
      <c r="E209" s="1649"/>
      <c r="F209" s="1649"/>
      <c r="G209" s="1649"/>
      <c r="H209" s="1650"/>
      <c r="I209" s="1033" t="str">
        <f>VLOOKUP(C209,'06'!$B$8:$N$225,7,FALSE)</f>
        <v>M3</v>
      </c>
      <c r="J209" s="1644">
        <f>+'07'!N185</f>
        <v>30956.641395291757</v>
      </c>
      <c r="K209" s="1645"/>
      <c r="L209" s="1034">
        <f>+'08'!AF5008</f>
        <v>62.95</v>
      </c>
      <c r="M209" s="1646">
        <f t="shared" ref="M209" si="57">ROUND((+L209*J209),2)</f>
        <v>1948720.58</v>
      </c>
      <c r="N209" s="1647"/>
      <c r="O209" s="1225">
        <v>27555.986192574794</v>
      </c>
      <c r="P209" s="1225">
        <v>1734649.3308225833</v>
      </c>
    </row>
    <row r="210" spans="1:16" ht="15" outlineLevel="1" x14ac:dyDescent="0.25">
      <c r="A210" s="1352" t="s">
        <v>2394</v>
      </c>
      <c r="B210" s="1031" t="s">
        <v>1784</v>
      </c>
      <c r="C210" s="1633" t="s">
        <v>1790</v>
      </c>
      <c r="D210" s="1411"/>
      <c r="E210" s="1411"/>
      <c r="F210" s="1411"/>
      <c r="G210" s="1411"/>
      <c r="H210" s="1411"/>
      <c r="I210" s="1411"/>
      <c r="J210" s="1411"/>
      <c r="K210" s="1411"/>
      <c r="L210" s="1411"/>
      <c r="M210" s="1636"/>
      <c r="N210" s="1638"/>
      <c r="O210" s="1225"/>
      <c r="P210" s="1225"/>
    </row>
    <row r="211" spans="1:16" ht="27" customHeight="1" outlineLevel="1" x14ac:dyDescent="0.25">
      <c r="A211" s="1351" t="s">
        <v>2395</v>
      </c>
      <c r="B211" s="1032" t="str">
        <f>VLOOKUP(C211,'06'!$B$8:$N$225,13,FALSE)</f>
        <v>G013</v>
      </c>
      <c r="C211" s="1648" t="s">
        <v>2177</v>
      </c>
      <c r="D211" s="1649"/>
      <c r="E211" s="1649"/>
      <c r="F211" s="1649"/>
      <c r="G211" s="1649"/>
      <c r="H211" s="1650"/>
      <c r="I211" s="1033" t="str">
        <f>VLOOKUP(C211,'06'!$B$8:$N$225,7,FALSE)</f>
        <v>M3-KM</v>
      </c>
      <c r="J211" s="1644">
        <f>+'07'!N229</f>
        <v>3271.2560446782409</v>
      </c>
      <c r="K211" s="1645"/>
      <c r="L211" s="1034">
        <f>+'08'!AF5046</f>
        <v>7354.69</v>
      </c>
      <c r="M211" s="1646">
        <f t="shared" ref="M211" si="58">ROUND((+L211*J211),2)</f>
        <v>24059074.120000001</v>
      </c>
      <c r="N211" s="1647"/>
      <c r="O211" s="1225">
        <v>3271.2560446782409</v>
      </c>
      <c r="P211" s="1225">
        <v>24059074.11923461</v>
      </c>
    </row>
    <row r="212" spans="1:16" ht="27" customHeight="1" outlineLevel="1" x14ac:dyDescent="0.25">
      <c r="A212" s="1351" t="s">
        <v>2396</v>
      </c>
      <c r="B212" s="1032" t="str">
        <f>VLOOKUP(C212,'06'!$B$8:$N$225,13,FALSE)</f>
        <v>G014</v>
      </c>
      <c r="C212" s="1648" t="s">
        <v>2182</v>
      </c>
      <c r="D212" s="1649"/>
      <c r="E212" s="1649"/>
      <c r="F212" s="1649"/>
      <c r="G212" s="1649"/>
      <c r="H212" s="1650"/>
      <c r="I212" s="1033" t="str">
        <f>VLOOKUP(C212,'06'!$B$8:$N$225,7,FALSE)</f>
        <v>M3</v>
      </c>
      <c r="J212" s="1644">
        <f>+'07'!N274</f>
        <v>5824.3675836869543</v>
      </c>
      <c r="K212" s="1645"/>
      <c r="L212" s="1034">
        <f>+'08'!AF5084</f>
        <v>1470.94</v>
      </c>
      <c r="M212" s="1646">
        <f t="shared" ref="M212" si="59">ROUND((+L212*J212),2)</f>
        <v>8567295.25</v>
      </c>
      <c r="N212" s="1647"/>
      <c r="O212" s="1225">
        <v>5824.3675836869543</v>
      </c>
      <c r="P212" s="1225">
        <v>8567295.253548488</v>
      </c>
    </row>
    <row r="213" spans="1:16" ht="15" outlineLevel="1" x14ac:dyDescent="0.25">
      <c r="A213" s="1353" t="s">
        <v>2120</v>
      </c>
      <c r="B213" s="1031" t="s">
        <v>1784</v>
      </c>
      <c r="C213" s="1633" t="s">
        <v>1794</v>
      </c>
      <c r="D213" s="1411"/>
      <c r="E213" s="1411"/>
      <c r="F213" s="1411"/>
      <c r="G213" s="1411"/>
      <c r="H213" s="1411"/>
      <c r="I213" s="1411"/>
      <c r="J213" s="1411"/>
      <c r="K213" s="1411"/>
      <c r="L213" s="1412"/>
      <c r="M213" s="1636"/>
      <c r="N213" s="1638"/>
      <c r="O213" s="1225"/>
      <c r="P213" s="1225"/>
    </row>
    <row r="214" spans="1:16" ht="30" customHeight="1" outlineLevel="1" x14ac:dyDescent="0.25">
      <c r="A214" s="1351" t="s">
        <v>2121</v>
      </c>
      <c r="B214" s="1032" t="str">
        <f>VLOOKUP(C214,'06'!$B$8:$N$225,13,FALSE)</f>
        <v>G018</v>
      </c>
      <c r="C214" s="1409" t="s">
        <v>2329</v>
      </c>
      <c r="D214" s="1409"/>
      <c r="E214" s="1409"/>
      <c r="F214" s="1409"/>
      <c r="G214" s="1409"/>
      <c r="H214" s="1409"/>
      <c r="I214" s="1033" t="str">
        <f>VLOOKUP(C214,'06'!$B$8:$N$225,7,FALSE)</f>
        <v>M3</v>
      </c>
      <c r="J214" s="1644">
        <f>+'07'!N454</f>
        <v>725724.88143541082</v>
      </c>
      <c r="K214" s="1645"/>
      <c r="L214" s="1034">
        <f>+'08'!AF5125</f>
        <v>14.25</v>
      </c>
      <c r="M214" s="1646">
        <f t="shared" ref="M214" si="60">ROUND((+L214*J214),2)</f>
        <v>10341579.560000001</v>
      </c>
      <c r="N214" s="1647"/>
      <c r="O214" s="1225">
        <v>671967.70655736153</v>
      </c>
      <c r="P214" s="1225">
        <v>9575539.8184424024</v>
      </c>
    </row>
    <row r="215" spans="1:16" ht="30" customHeight="1" outlineLevel="1" x14ac:dyDescent="0.25">
      <c r="A215" s="1351" t="s">
        <v>2122</v>
      </c>
      <c r="B215" s="1032" t="str">
        <f>VLOOKUP(C215,'06'!$B$8:$N$225,13,FALSE)</f>
        <v>G019</v>
      </c>
      <c r="C215" s="1409" t="s">
        <v>2331</v>
      </c>
      <c r="D215" s="1409"/>
      <c r="E215" s="1409"/>
      <c r="F215" s="1409"/>
      <c r="G215" s="1409"/>
      <c r="H215" s="1409"/>
      <c r="I215" s="1033" t="str">
        <f>VLOOKUP(C215,'06'!$B$8:$N$225,7,FALSE)</f>
        <v>M3</v>
      </c>
      <c r="J215" s="1644">
        <f>+'07'!N496</f>
        <v>1461311.8817958308</v>
      </c>
      <c r="K215" s="1645"/>
      <c r="L215" s="1034">
        <f>+'08'!AF5166</f>
        <v>350.68000000000012</v>
      </c>
      <c r="M215" s="1646">
        <f t="shared" ref="M215" si="61">ROUND((+L215*J215),2)</f>
        <v>512452850.70999998</v>
      </c>
      <c r="N215" s="1647"/>
      <c r="O215" s="1225">
        <v>1363119.4626060962</v>
      </c>
      <c r="P215" s="1225">
        <v>478018733.14670599</v>
      </c>
    </row>
    <row r="216" spans="1:16" ht="15" outlineLevel="1" x14ac:dyDescent="0.25">
      <c r="A216" s="1353" t="s">
        <v>2397</v>
      </c>
      <c r="B216" s="1031" t="s">
        <v>1784</v>
      </c>
      <c r="C216" s="1633" t="s">
        <v>1795</v>
      </c>
      <c r="D216" s="1411"/>
      <c r="E216" s="1411"/>
      <c r="F216" s="1411"/>
      <c r="G216" s="1411"/>
      <c r="H216" s="1411"/>
      <c r="I216" s="1411"/>
      <c r="J216" s="1411"/>
      <c r="K216" s="1411"/>
      <c r="L216" s="1412"/>
      <c r="M216" s="1636"/>
      <c r="N216" s="1638"/>
      <c r="O216" s="1225"/>
      <c r="P216" s="1225"/>
    </row>
    <row r="217" spans="1:16" ht="54" customHeight="1" outlineLevel="1" x14ac:dyDescent="0.25">
      <c r="A217" s="1351" t="s">
        <v>2398</v>
      </c>
      <c r="B217" s="1032" t="str">
        <f>VLOOKUP(C217,'06'!$B$8:$N$225,13,FALSE)</f>
        <v>G007</v>
      </c>
      <c r="C217" s="1409" t="s">
        <v>2332</v>
      </c>
      <c r="D217" s="1409"/>
      <c r="E217" s="1409"/>
      <c r="F217" s="1409"/>
      <c r="G217" s="1409"/>
      <c r="H217" s="1409"/>
      <c r="I217" s="1033" t="str">
        <f>VLOOKUP(C217,'06'!$B$8:$N$225,7,FALSE)</f>
        <v>KG</v>
      </c>
      <c r="J217" s="1644">
        <f>+'07'!N538</f>
        <v>10058.957727500896</v>
      </c>
      <c r="K217" s="1645"/>
      <c r="L217" s="1034">
        <f>+'08'!AF5207</f>
        <v>38747.43</v>
      </c>
      <c r="M217" s="1646">
        <f t="shared" ref="M217" si="62">ROUND((+L217*J217),2)</f>
        <v>389758760.42000002</v>
      </c>
      <c r="N217" s="1647"/>
      <c r="O217" s="1225">
        <v>9696.0980201588973</v>
      </c>
      <c r="P217" s="1225">
        <v>375698879.30924547</v>
      </c>
    </row>
    <row r="218" spans="1:16" ht="15" outlineLevel="1" x14ac:dyDescent="0.25">
      <c r="A218" s="1353" t="s">
        <v>2123</v>
      </c>
      <c r="B218" s="1031" t="s">
        <v>1784</v>
      </c>
      <c r="C218" s="1633" t="s">
        <v>96</v>
      </c>
      <c r="D218" s="1411"/>
      <c r="E218" s="1411"/>
      <c r="F218" s="1411"/>
      <c r="G218" s="1411"/>
      <c r="H218" s="1411"/>
      <c r="I218" s="1411"/>
      <c r="J218" s="1411"/>
      <c r="K218" s="1411"/>
      <c r="L218" s="1412"/>
      <c r="M218" s="1636"/>
      <c r="N218" s="1638"/>
      <c r="O218" s="1225"/>
      <c r="P218" s="1225"/>
    </row>
    <row r="219" spans="1:16" ht="30" customHeight="1" outlineLevel="1" x14ac:dyDescent="0.25">
      <c r="A219" s="1351" t="s">
        <v>2124</v>
      </c>
      <c r="B219" s="1032" t="str">
        <f>VLOOKUP(C219,'06'!$B$8:$N$225,13,FALSE)</f>
        <v>G999</v>
      </c>
      <c r="C219" s="1409" t="s">
        <v>2333</v>
      </c>
      <c r="D219" s="1409"/>
      <c r="E219" s="1409"/>
      <c r="F219" s="1409"/>
      <c r="G219" s="1409"/>
      <c r="H219" s="1409"/>
      <c r="I219" s="1033" t="str">
        <f>VLOOKUP(C219,'06'!$B$8:$N$225,7,FALSE)</f>
        <v>ML</v>
      </c>
      <c r="J219" s="1644">
        <f>+'07'!N580</f>
        <v>300902.18019152089</v>
      </c>
      <c r="K219" s="1645"/>
      <c r="L219" s="1034">
        <f>+'08'!AF5248</f>
        <v>90</v>
      </c>
      <c r="M219" s="1646">
        <f t="shared" ref="M219" si="63">ROUND((+L219*J219),2)</f>
        <v>27081196.219999999</v>
      </c>
      <c r="N219" s="1647"/>
      <c r="O219" s="1225">
        <v>298764.09529315354</v>
      </c>
      <c r="P219" s="1225">
        <v>26888768.576383818</v>
      </c>
    </row>
    <row r="220" spans="1:16" ht="15" outlineLevel="1" x14ac:dyDescent="0.25">
      <c r="A220" s="1353" t="s">
        <v>2125</v>
      </c>
      <c r="B220" s="1031" t="s">
        <v>1784</v>
      </c>
      <c r="C220" s="1633" t="s">
        <v>1796</v>
      </c>
      <c r="D220" s="1411"/>
      <c r="E220" s="1411"/>
      <c r="F220" s="1411"/>
      <c r="G220" s="1411"/>
      <c r="H220" s="1411"/>
      <c r="I220" s="1411"/>
      <c r="J220" s="1411"/>
      <c r="K220" s="1411"/>
      <c r="L220" s="1412"/>
      <c r="M220" s="1636"/>
      <c r="N220" s="1638"/>
      <c r="O220" s="1225"/>
      <c r="P220" s="1225"/>
    </row>
    <row r="221" spans="1:16" ht="30" customHeight="1" outlineLevel="1" x14ac:dyDescent="0.25">
      <c r="A221" s="1351" t="s">
        <v>2126</v>
      </c>
      <c r="B221" s="1032" t="str">
        <f>VLOOKUP(C221,'06'!$B$8:$N$225,13,FALSE)</f>
        <v>G998</v>
      </c>
      <c r="C221" s="1409" t="s">
        <v>2334</v>
      </c>
      <c r="D221" s="1409"/>
      <c r="E221" s="1409"/>
      <c r="F221" s="1409"/>
      <c r="G221" s="1409"/>
      <c r="H221" s="1409"/>
      <c r="I221" s="1033" t="str">
        <f>VLOOKUP(C221,'06'!$B$8:$N$225,7,FALSE)</f>
        <v>ML</v>
      </c>
      <c r="J221" s="1644">
        <f>+'07'!N625</f>
        <v>77165.282260475069</v>
      </c>
      <c r="K221" s="1645"/>
      <c r="L221" s="1034">
        <f>+'08'!AF5289</f>
        <v>119.55000000000001</v>
      </c>
      <c r="M221" s="1646">
        <f t="shared" ref="M221" si="64">ROUND((+L221*J221),2)</f>
        <v>9225109.4900000002</v>
      </c>
      <c r="N221" s="1647"/>
      <c r="O221" s="1225">
        <v>75561.718586699586</v>
      </c>
      <c r="P221" s="1225">
        <v>9033403.4570399355</v>
      </c>
    </row>
    <row r="222" spans="1:16" ht="13.5" customHeight="1" outlineLevel="1" x14ac:dyDescent="0.25">
      <c r="A222" s="1351" t="s">
        <v>2127</v>
      </c>
      <c r="B222" s="1032" t="str">
        <f>VLOOKUP(C222,'06'!$B$8:$N$225,13,FALSE)</f>
        <v>G996</v>
      </c>
      <c r="C222" s="1409" t="s">
        <v>2336</v>
      </c>
      <c r="D222" s="1409"/>
      <c r="E222" s="1409"/>
      <c r="F222" s="1409"/>
      <c r="G222" s="1409"/>
      <c r="H222" s="1409"/>
      <c r="I222" s="1033" t="str">
        <f>VLOOKUP(C222,'06'!$B$8:$N$225,7,FALSE)</f>
        <v>UND</v>
      </c>
      <c r="J222" s="1644">
        <f>+'07'!N715</f>
        <v>1600915.999922208</v>
      </c>
      <c r="K222" s="1645"/>
      <c r="L222" s="1034">
        <f>+'08'!AF5330</f>
        <v>20</v>
      </c>
      <c r="M222" s="1646">
        <f t="shared" ref="M222:M228" si="65">ROUND((+L222*J222),2)</f>
        <v>32018320</v>
      </c>
      <c r="N222" s="1647"/>
      <c r="O222" s="1225">
        <v>1586921.2624056218</v>
      </c>
      <c r="P222" s="1225">
        <v>31738425.248112436</v>
      </c>
    </row>
    <row r="223" spans="1:16" ht="30" customHeight="1" outlineLevel="1" x14ac:dyDescent="0.25">
      <c r="A223" s="1351" t="s">
        <v>2128</v>
      </c>
      <c r="B223" s="1032" t="str">
        <f>VLOOKUP(C223,'06'!$B$8:$N$225,13,FALSE)</f>
        <v>G964</v>
      </c>
      <c r="C223" s="1648" t="s">
        <v>2400</v>
      </c>
      <c r="D223" s="1649"/>
      <c r="E223" s="1649"/>
      <c r="F223" s="1649"/>
      <c r="G223" s="1649"/>
      <c r="H223" s="1649"/>
      <c r="I223" s="1033" t="str">
        <f>VLOOKUP(C223,'06'!$B$8:$N$225,7,FALSE)</f>
        <v>UND</v>
      </c>
      <c r="J223" s="1644">
        <f>+'07'!N2281</f>
        <v>3790428.1705116667</v>
      </c>
      <c r="K223" s="1645"/>
      <c r="L223" s="1034">
        <f>+'08'!AF5371</f>
        <v>4</v>
      </c>
      <c r="M223" s="1646">
        <f t="shared" si="65"/>
        <v>15161712.68</v>
      </c>
      <c r="N223" s="1647"/>
      <c r="O223" s="1225">
        <v>3768436.2654020549</v>
      </c>
      <c r="P223" s="1225">
        <v>15073745.06160822</v>
      </c>
    </row>
    <row r="224" spans="1:16" ht="30" customHeight="1" outlineLevel="1" x14ac:dyDescent="0.25">
      <c r="A224" s="1351" t="s">
        <v>2129</v>
      </c>
      <c r="B224" s="1032" t="str">
        <f>VLOOKUP(C224,'06'!$B$8:$N$225,13,FALSE)</f>
        <v>G994</v>
      </c>
      <c r="C224" s="1409" t="s">
        <v>2338</v>
      </c>
      <c r="D224" s="1409"/>
      <c r="E224" s="1409"/>
      <c r="F224" s="1409"/>
      <c r="G224" s="1409"/>
      <c r="H224" s="1409"/>
      <c r="I224" s="1033" t="str">
        <f>VLOOKUP(C224,'06'!$B$8:$N$225,7,FALSE)</f>
        <v>UND</v>
      </c>
      <c r="J224" s="1644">
        <f>+'07'!N808</f>
        <v>4861575.703367291</v>
      </c>
      <c r="K224" s="1645"/>
      <c r="L224" s="1034">
        <f>+'08'!AF5412</f>
        <v>7</v>
      </c>
      <c r="M224" s="1646">
        <f t="shared" si="65"/>
        <v>34031029.920000002</v>
      </c>
      <c r="N224" s="1647"/>
      <c r="O224" s="1225">
        <v>4835918.678180079</v>
      </c>
      <c r="P224" s="1225">
        <v>33851430.747260556</v>
      </c>
    </row>
    <row r="225" spans="1:23" ht="30" customHeight="1" outlineLevel="1" x14ac:dyDescent="0.25">
      <c r="A225" s="1351" t="s">
        <v>2130</v>
      </c>
      <c r="B225" s="1032" t="str">
        <f>VLOOKUP(C225,'06'!$B$8:$N$225,13,FALSE)</f>
        <v>G963</v>
      </c>
      <c r="C225" s="1648" t="s">
        <v>2402</v>
      </c>
      <c r="D225" s="1649"/>
      <c r="E225" s="1649"/>
      <c r="F225" s="1649"/>
      <c r="G225" s="1649"/>
      <c r="H225" s="1649"/>
      <c r="I225" s="1033" t="str">
        <f>VLOOKUP(C225,'06'!$B$8:$N$225,7,FALSE)</f>
        <v>UND</v>
      </c>
      <c r="J225" s="1644">
        <f>+'07'!N2335</f>
        <v>2206484.3098345255</v>
      </c>
      <c r="K225" s="1645"/>
      <c r="L225" s="1034">
        <f>+'08'!AF5453</f>
        <v>4</v>
      </c>
      <c r="M225" s="1646">
        <f t="shared" si="65"/>
        <v>8825937.2400000002</v>
      </c>
      <c r="N225" s="1647"/>
      <c r="O225" s="1225">
        <v>2197687.547790681</v>
      </c>
      <c r="P225" s="1225">
        <v>8790750.191162724</v>
      </c>
    </row>
    <row r="226" spans="1:23" ht="30" customHeight="1" outlineLevel="1" x14ac:dyDescent="0.25">
      <c r="A226" s="1351" t="s">
        <v>2131</v>
      </c>
      <c r="B226" s="1032" t="str">
        <f>VLOOKUP(C226,'06'!$B$8:$N$225,13,FALSE)</f>
        <v>G962</v>
      </c>
      <c r="C226" s="1648" t="s">
        <v>2404</v>
      </c>
      <c r="D226" s="1649"/>
      <c r="E226" s="1649"/>
      <c r="F226" s="1649"/>
      <c r="G226" s="1649"/>
      <c r="H226" s="1649"/>
      <c r="I226" s="1033" t="str">
        <f>VLOOKUP(C226,'06'!$B$8:$N$225,7,FALSE)</f>
        <v>UND</v>
      </c>
      <c r="J226" s="1644">
        <f>+'07'!N2389</f>
        <v>3970012.94157995</v>
      </c>
      <c r="K226" s="1645"/>
      <c r="L226" s="1034">
        <f>+'08'!AF5494</f>
        <v>9</v>
      </c>
      <c r="M226" s="1646">
        <f t="shared" si="65"/>
        <v>35730116.469999999</v>
      </c>
      <c r="N226" s="1647"/>
      <c r="O226" s="1225">
        <v>3924196.472601593</v>
      </c>
      <c r="P226" s="1225">
        <v>35317768.25341434</v>
      </c>
    </row>
    <row r="227" spans="1:23" ht="30" customHeight="1" outlineLevel="1" x14ac:dyDescent="0.25">
      <c r="A227" s="1351" t="s">
        <v>2529</v>
      </c>
      <c r="B227" s="1032" t="str">
        <f>VLOOKUP(C227,'06'!$B$8:$N$225,13,FALSE)</f>
        <v>G954</v>
      </c>
      <c r="C227" s="1648" t="s">
        <v>2532</v>
      </c>
      <c r="D227" s="1649"/>
      <c r="E227" s="1649"/>
      <c r="F227" s="1649"/>
      <c r="G227" s="1649"/>
      <c r="H227" s="1649"/>
      <c r="I227" s="1033" t="str">
        <f>VLOOKUP(C227,'06'!$B$8:$N$225,7,FALSE)</f>
        <v>UND</v>
      </c>
      <c r="J227" s="1644">
        <f>+'07'!N2807</f>
        <v>3370441.7457960416</v>
      </c>
      <c r="K227" s="1645"/>
      <c r="L227" s="1034">
        <f>+'08'!AF5535</f>
        <v>24</v>
      </c>
      <c r="M227" s="1646">
        <f t="shared" si="65"/>
        <v>80890601.900000006</v>
      </c>
      <c r="N227" s="1647"/>
      <c r="O227" s="1225">
        <v>3344784.72060883</v>
      </c>
      <c r="P227" s="1225">
        <v>80274833.294611916</v>
      </c>
    </row>
    <row r="228" spans="1:23" ht="30" customHeight="1" outlineLevel="1" x14ac:dyDescent="0.25">
      <c r="A228" s="1351" t="s">
        <v>2530</v>
      </c>
      <c r="B228" s="1032" t="str">
        <f>VLOOKUP(C228,'06'!$B$8:$N$225,13,FALSE)</f>
        <v>G953</v>
      </c>
      <c r="C228" s="1648" t="s">
        <v>2534</v>
      </c>
      <c r="D228" s="1649"/>
      <c r="E228" s="1649"/>
      <c r="F228" s="1649"/>
      <c r="G228" s="1649"/>
      <c r="H228" s="1649"/>
      <c r="I228" s="1033" t="str">
        <f>VLOOKUP(C228,'06'!$B$8:$N$225,7,FALSE)</f>
        <v>UND</v>
      </c>
      <c r="J228" s="1644">
        <f>+'07'!N2854</f>
        <v>190070.00432077216</v>
      </c>
      <c r="K228" s="1645"/>
      <c r="L228" s="1034">
        <f>+'08'!AF5576</f>
        <v>36</v>
      </c>
      <c r="M228" s="1646">
        <f t="shared" si="65"/>
        <v>6842520.1600000001</v>
      </c>
      <c r="N228" s="1647"/>
      <c r="O228" s="1225">
        <v>181273.24192746545</v>
      </c>
      <c r="P228" s="1225">
        <v>6525836.7093887562</v>
      </c>
    </row>
    <row r="229" spans="1:23" ht="15" customHeight="1" x14ac:dyDescent="0.25">
      <c r="A229" s="1359"/>
      <c r="B229" s="1029"/>
      <c r="C229" s="1354"/>
      <c r="D229" s="1354"/>
      <c r="E229" s="1354"/>
      <c r="F229" s="1354"/>
      <c r="G229" s="1354"/>
      <c r="H229" s="1354"/>
      <c r="I229" s="1363"/>
      <c r="J229" s="1364"/>
      <c r="K229" s="1364"/>
      <c r="L229" s="1365"/>
      <c r="M229" s="1364"/>
      <c r="N229" s="1357"/>
      <c r="O229" s="1225"/>
      <c r="P229" s="1225"/>
    </row>
    <row r="230" spans="1:23" customFormat="1" ht="13.5" customHeight="1" x14ac:dyDescent="0.25">
      <c r="A230" s="1347"/>
      <c r="B230" s="1028"/>
      <c r="C230" s="1028"/>
      <c r="D230" s="1028"/>
      <c r="E230" s="1028"/>
      <c r="F230" s="1028"/>
      <c r="G230" s="1027"/>
      <c r="H230" s="1664" t="s">
        <v>2538</v>
      </c>
      <c r="I230" s="1664"/>
      <c r="J230" s="1664"/>
      <c r="K230" s="1664"/>
      <c r="L230" s="1664"/>
      <c r="M230" s="1654">
        <f>SUM(M231:N245)</f>
        <v>46811033.420000002</v>
      </c>
      <c r="N230" s="1647"/>
      <c r="O230" s="1225"/>
      <c r="P230" s="1225"/>
      <c r="Q230" s="1027"/>
      <c r="R230" s="1027"/>
      <c r="S230" s="1027"/>
      <c r="T230" s="1027"/>
      <c r="U230" s="1027"/>
      <c r="V230" s="1027"/>
      <c r="W230" s="1027"/>
    </row>
    <row r="231" spans="1:23" customFormat="1" ht="13.5" customHeight="1" outlineLevel="1" x14ac:dyDescent="0.25">
      <c r="A231" s="1348" t="s">
        <v>2539</v>
      </c>
      <c r="B231" s="1160" t="s">
        <v>1784</v>
      </c>
      <c r="C231" s="1652" t="s">
        <v>197</v>
      </c>
      <c r="D231" s="1652"/>
      <c r="E231" s="1652"/>
      <c r="F231" s="1652"/>
      <c r="G231" s="1652"/>
      <c r="H231" s="1652"/>
      <c r="I231" s="1652"/>
      <c r="J231" s="1652"/>
      <c r="K231" s="1652"/>
      <c r="L231" s="1652"/>
      <c r="M231" s="1654"/>
      <c r="N231" s="1655"/>
      <c r="O231" s="1225"/>
      <c r="P231" s="1225"/>
      <c r="Q231" s="1027"/>
      <c r="R231" s="1027"/>
      <c r="S231" s="1027"/>
      <c r="T231" s="1027"/>
      <c r="U231" s="1027"/>
      <c r="V231" s="1027"/>
      <c r="W231" s="1027"/>
    </row>
    <row r="232" spans="1:23" customFormat="1" ht="30" customHeight="1" outlineLevel="1" x14ac:dyDescent="0.25">
      <c r="A232" s="1349" t="s">
        <v>2540</v>
      </c>
      <c r="B232" s="1161" t="str">
        <f>VLOOKUP(C232,'06'!$B$8:$N$225,13,FALSE)</f>
        <v>G001</v>
      </c>
      <c r="C232" s="1409" t="s">
        <v>2133</v>
      </c>
      <c r="D232" s="1409"/>
      <c r="E232" s="1409"/>
      <c r="F232" s="1409"/>
      <c r="G232" s="1409"/>
      <c r="H232" s="1409"/>
      <c r="I232" s="1162" t="str">
        <f>VLOOKUP(C232,'06'!$B$8:$N$225,7,FALSE)</f>
        <v>M</v>
      </c>
      <c r="J232" s="1646">
        <f>+'07'!N5</f>
        <v>6122.3551723074543</v>
      </c>
      <c r="K232" s="1646"/>
      <c r="L232" s="1170">
        <f>+'08'!AF5617</f>
        <v>145</v>
      </c>
      <c r="M232" s="1646">
        <f t="shared" ref="M232" si="66">ROUND((+L232*J232),2)</f>
        <v>887741.5</v>
      </c>
      <c r="N232" s="1647"/>
      <c r="O232" s="1225">
        <v>5602.045001498087</v>
      </c>
      <c r="P232" s="1225">
        <v>812296.52521722263</v>
      </c>
      <c r="Q232" s="1027"/>
      <c r="R232" s="1027"/>
      <c r="S232" s="1027"/>
      <c r="T232" s="1027"/>
      <c r="U232" s="1027"/>
      <c r="V232" s="1027"/>
      <c r="W232" s="1027"/>
    </row>
    <row r="233" spans="1:23" customFormat="1" ht="13.5" customHeight="1" outlineLevel="1" x14ac:dyDescent="0.25">
      <c r="A233" s="1350" t="s">
        <v>2541</v>
      </c>
      <c r="B233" s="1159" t="s">
        <v>1784</v>
      </c>
      <c r="C233" s="1659" t="s">
        <v>1787</v>
      </c>
      <c r="D233" s="1660"/>
      <c r="E233" s="1660"/>
      <c r="F233" s="1660"/>
      <c r="G233" s="1660"/>
      <c r="H233" s="1660"/>
      <c r="I233" s="1660"/>
      <c r="J233" s="1660"/>
      <c r="K233" s="1660"/>
      <c r="L233" s="1661"/>
      <c r="M233" s="1662"/>
      <c r="N233" s="1663"/>
      <c r="O233" s="1225"/>
      <c r="P233" s="1225"/>
      <c r="Q233" s="1027"/>
      <c r="R233" s="1027"/>
      <c r="S233" s="1027"/>
      <c r="T233" s="1027"/>
      <c r="U233" s="1027"/>
      <c r="V233" s="1027"/>
      <c r="W233" s="1027"/>
    </row>
    <row r="234" spans="1:23" customFormat="1" ht="15" customHeight="1" outlineLevel="1" x14ac:dyDescent="0.25">
      <c r="A234" s="1351" t="s">
        <v>2542</v>
      </c>
      <c r="B234" s="1032" t="str">
        <f>VLOOKUP(C234,'06'!$B$8:$N$225,13,FALSE)</f>
        <v>G977</v>
      </c>
      <c r="C234" s="1409" t="s">
        <v>2367</v>
      </c>
      <c r="D234" s="1409"/>
      <c r="E234" s="1409"/>
      <c r="F234" s="1409"/>
      <c r="G234" s="1409"/>
      <c r="H234" s="1409"/>
      <c r="I234" s="1033" t="str">
        <f>VLOOKUP(C234,'06'!$B$8:$N$225,7,FALSE)</f>
        <v>M3</v>
      </c>
      <c r="J234" s="1644">
        <f>+'07'!N1611</f>
        <v>42028.622073968225</v>
      </c>
      <c r="K234" s="1645"/>
      <c r="L234" s="1170">
        <f>+'08'!AF5658</f>
        <v>65.25</v>
      </c>
      <c r="M234" s="1646">
        <f t="shared" ref="M234" si="67">ROUND((+L234*J234),2)</f>
        <v>2742367.59</v>
      </c>
      <c r="N234" s="1647"/>
      <c r="O234" s="1225">
        <v>35614.367378866315</v>
      </c>
      <c r="P234" s="1225">
        <v>2323837.471471027</v>
      </c>
      <c r="Q234" s="1027"/>
      <c r="R234" s="1027"/>
      <c r="S234" s="1027"/>
      <c r="T234" s="1027"/>
      <c r="U234" s="1027"/>
      <c r="V234" s="1027"/>
      <c r="W234" s="1027"/>
    </row>
    <row r="235" spans="1:23" customFormat="1" ht="13.5" customHeight="1" outlineLevel="1" x14ac:dyDescent="0.25">
      <c r="A235" s="1352" t="s">
        <v>2543</v>
      </c>
      <c r="B235" s="1031" t="s">
        <v>1784</v>
      </c>
      <c r="C235" s="1633" t="s">
        <v>1791</v>
      </c>
      <c r="D235" s="1634"/>
      <c r="E235" s="1634"/>
      <c r="F235" s="1634"/>
      <c r="G235" s="1634"/>
      <c r="H235" s="1634"/>
      <c r="I235" s="1634"/>
      <c r="J235" s="1634"/>
      <c r="K235" s="1634"/>
      <c r="L235" s="1635"/>
      <c r="M235" s="1636"/>
      <c r="N235" s="1637"/>
      <c r="O235" s="1225"/>
      <c r="P235" s="1225"/>
      <c r="Q235" s="1027"/>
      <c r="R235" s="1027"/>
      <c r="S235" s="1027"/>
      <c r="T235" s="1027"/>
      <c r="U235" s="1027"/>
      <c r="V235" s="1027"/>
      <c r="W235" s="1027"/>
    </row>
    <row r="236" spans="1:23" customFormat="1" ht="13.5" customHeight="1" outlineLevel="1" x14ac:dyDescent="0.25">
      <c r="A236" s="1351" t="s">
        <v>2544</v>
      </c>
      <c r="B236" s="1032" t="str">
        <f>VLOOKUP(C236,'06'!$B$8:$N$225,13,FALSE)</f>
        <v>G008</v>
      </c>
      <c r="C236" s="1648" t="s">
        <v>2162</v>
      </c>
      <c r="D236" s="1649"/>
      <c r="E236" s="1649"/>
      <c r="F236" s="1649"/>
      <c r="G236" s="1649"/>
      <c r="H236" s="1650"/>
      <c r="I236" s="1033" t="str">
        <f>VLOOKUP(C236,'06'!$B$8:$N$225,7,FALSE)</f>
        <v>M3</v>
      </c>
      <c r="J236" s="1644">
        <f>+'07'!N95</f>
        <v>114043.88878436026</v>
      </c>
      <c r="K236" s="1645"/>
      <c r="L236" s="1170">
        <f>+'08'!AF5699</f>
        <v>7.25</v>
      </c>
      <c r="M236" s="1646">
        <f t="shared" ref="M236" si="68">ROUND((+L236*J236),2)</f>
        <v>826818.19</v>
      </c>
      <c r="N236" s="1647"/>
      <c r="O236" s="1225">
        <v>111398.90671828802</v>
      </c>
      <c r="P236" s="1225">
        <v>807642.07370758813</v>
      </c>
      <c r="Q236" s="1027"/>
      <c r="R236" s="1027"/>
      <c r="S236" s="1027"/>
      <c r="T236" s="1027"/>
      <c r="U236" s="1027"/>
      <c r="V236" s="1027"/>
      <c r="W236" s="1027"/>
    </row>
    <row r="237" spans="1:23" customFormat="1" ht="13.5" customHeight="1" outlineLevel="1" x14ac:dyDescent="0.25">
      <c r="A237" s="1351" t="s">
        <v>2545</v>
      </c>
      <c r="B237" s="1032" t="str">
        <f>VLOOKUP(C237,'06'!$B$8:$N$225,13,FALSE)</f>
        <v>G009</v>
      </c>
      <c r="C237" s="1648" t="s">
        <v>2169</v>
      </c>
      <c r="D237" s="1649"/>
      <c r="E237" s="1649"/>
      <c r="F237" s="1649"/>
      <c r="G237" s="1649"/>
      <c r="H237" s="1650"/>
      <c r="I237" s="1033" t="str">
        <f>VLOOKUP(C237,'06'!$B$8:$N$225,7,FALSE)</f>
        <v>M3</v>
      </c>
      <c r="J237" s="1644">
        <f>+'07'!N140</f>
        <v>175652.75478069339</v>
      </c>
      <c r="K237" s="1645"/>
      <c r="L237" s="1170">
        <f>+'08'!AF5740</f>
        <v>7.25</v>
      </c>
      <c r="M237" s="1646">
        <f t="shared" ref="M237:M238" si="69">ROUND((+L237*J237),2)</f>
        <v>1273482.47</v>
      </c>
      <c r="N237" s="1647"/>
      <c r="O237" s="1225">
        <v>173007.77271462115</v>
      </c>
      <c r="P237" s="1225">
        <v>1254306.3521810034</v>
      </c>
      <c r="Q237" s="1027"/>
      <c r="R237" s="1027"/>
      <c r="S237" s="1027"/>
      <c r="T237" s="1027"/>
      <c r="U237" s="1027"/>
      <c r="V237" s="1027"/>
      <c r="W237" s="1027"/>
    </row>
    <row r="238" spans="1:23" customFormat="1" ht="30" customHeight="1" outlineLevel="1" x14ac:dyDescent="0.25">
      <c r="A238" s="1351" t="s">
        <v>2546</v>
      </c>
      <c r="B238" s="1032" t="str">
        <f>VLOOKUP(C238,'06'!$B$8:$N$225,13,FALSE)</f>
        <v>G011</v>
      </c>
      <c r="C238" s="1648" t="s">
        <v>2172</v>
      </c>
      <c r="D238" s="1649"/>
      <c r="E238" s="1649"/>
      <c r="F238" s="1649"/>
      <c r="G238" s="1649"/>
      <c r="H238" s="1650"/>
      <c r="I238" s="1033" t="str">
        <f>VLOOKUP(C238,'06'!$B$8:$N$225,7,FALSE)</f>
        <v>M3</v>
      </c>
      <c r="J238" s="1644">
        <f>+'07'!N185</f>
        <v>30956.641395291757</v>
      </c>
      <c r="K238" s="1645"/>
      <c r="L238" s="1170">
        <f>+'08'!AF5781</f>
        <v>46.71</v>
      </c>
      <c r="M238" s="1646">
        <f t="shared" si="69"/>
        <v>1445984.72</v>
      </c>
      <c r="N238" s="1647"/>
      <c r="O238" s="1225">
        <v>27555.986192574794</v>
      </c>
      <c r="P238" s="1225">
        <v>1287140.1150551687</v>
      </c>
      <c r="Q238" s="1027"/>
      <c r="R238" s="1027"/>
      <c r="S238" s="1027"/>
      <c r="T238" s="1027"/>
      <c r="U238" s="1027"/>
      <c r="V238" s="1027"/>
      <c r="W238" s="1027"/>
    </row>
    <row r="239" spans="1:23" customFormat="1" ht="13.5" customHeight="1" outlineLevel="1" x14ac:dyDescent="0.25">
      <c r="A239" s="1353" t="s">
        <v>2547</v>
      </c>
      <c r="B239" s="1031" t="s">
        <v>1784</v>
      </c>
      <c r="C239" s="1633" t="s">
        <v>1790</v>
      </c>
      <c r="D239" s="1634"/>
      <c r="E239" s="1634"/>
      <c r="F239" s="1634"/>
      <c r="G239" s="1634"/>
      <c r="H239" s="1634"/>
      <c r="I239" s="1634"/>
      <c r="J239" s="1634"/>
      <c r="K239" s="1634"/>
      <c r="L239" s="1635"/>
      <c r="M239" s="1636"/>
      <c r="N239" s="1637"/>
      <c r="O239" s="1225"/>
      <c r="P239" s="1225"/>
      <c r="Q239" s="1027"/>
      <c r="R239" s="1027"/>
      <c r="S239" s="1027"/>
      <c r="T239" s="1027"/>
      <c r="U239" s="1027"/>
      <c r="V239" s="1027"/>
      <c r="W239" s="1027"/>
    </row>
    <row r="240" spans="1:23" customFormat="1" ht="30" customHeight="1" outlineLevel="1" x14ac:dyDescent="0.25">
      <c r="A240" s="1351" t="s">
        <v>2548</v>
      </c>
      <c r="B240" s="1032" t="str">
        <f>VLOOKUP(C240,'06'!$B$8:$N$225,13,FALSE)</f>
        <v>G013</v>
      </c>
      <c r="C240" s="1648" t="s">
        <v>2177</v>
      </c>
      <c r="D240" s="1649"/>
      <c r="E240" s="1649"/>
      <c r="F240" s="1649"/>
      <c r="G240" s="1649"/>
      <c r="H240" s="1650"/>
      <c r="I240" s="1033" t="str">
        <f>VLOOKUP(C240,'06'!$B$8:$N$225,7,FALSE)</f>
        <v>M3-KM</v>
      </c>
      <c r="J240" s="1644">
        <f>+'07'!N229</f>
        <v>3271.2560446782409</v>
      </c>
      <c r="K240" s="1645"/>
      <c r="L240" s="1170">
        <f>+'08'!AF5819</f>
        <v>115.88</v>
      </c>
      <c r="M240" s="1646">
        <f t="shared" ref="M240" si="70">ROUND((+L240*J240),2)</f>
        <v>379073.15</v>
      </c>
      <c r="N240" s="1647"/>
      <c r="O240" s="1225">
        <v>3271.2560446782409</v>
      </c>
      <c r="P240" s="1225">
        <v>379073.15045731456</v>
      </c>
      <c r="Q240" s="1027"/>
      <c r="R240" s="1027"/>
      <c r="S240" s="1027"/>
      <c r="T240" s="1027"/>
      <c r="U240" s="1027"/>
      <c r="V240" s="1027"/>
      <c r="W240" s="1027"/>
    </row>
    <row r="241" spans="1:23" customFormat="1" ht="30" customHeight="1" outlineLevel="1" x14ac:dyDescent="0.25">
      <c r="A241" s="1351" t="s">
        <v>2549</v>
      </c>
      <c r="B241" s="1032" t="str">
        <f>VLOOKUP(C241,'06'!$B$8:$N$225,13,FALSE)</f>
        <v>G014</v>
      </c>
      <c r="C241" s="1648" t="s">
        <v>2182</v>
      </c>
      <c r="D241" s="1649"/>
      <c r="E241" s="1649"/>
      <c r="F241" s="1649"/>
      <c r="G241" s="1649"/>
      <c r="H241" s="1650"/>
      <c r="I241" s="1033" t="str">
        <f>VLOOKUP(C241,'06'!$B$8:$N$225,7,FALSE)</f>
        <v>M3</v>
      </c>
      <c r="J241" s="1644">
        <f>+'07'!N274</f>
        <v>5824.3675836869543</v>
      </c>
      <c r="K241" s="1645"/>
      <c r="L241" s="1170">
        <f>+'08'!AF5857</f>
        <v>23.18</v>
      </c>
      <c r="M241" s="1646">
        <f t="shared" ref="M241" si="71">ROUND((+L241*J241),2)</f>
        <v>135008.84</v>
      </c>
      <c r="N241" s="1647"/>
      <c r="O241" s="1225">
        <v>5824.3675836869543</v>
      </c>
      <c r="P241" s="1225">
        <v>135008.8405898636</v>
      </c>
      <c r="Q241" s="1027"/>
      <c r="R241" s="1027"/>
      <c r="S241" s="1027"/>
      <c r="T241" s="1027"/>
      <c r="U241" s="1027"/>
      <c r="V241" s="1027"/>
      <c r="W241" s="1027"/>
    </row>
    <row r="242" spans="1:23" customFormat="1" ht="13.5" customHeight="1" outlineLevel="1" x14ac:dyDescent="0.25">
      <c r="A242" s="1353" t="s">
        <v>2550</v>
      </c>
      <c r="B242" s="1031" t="s">
        <v>1784</v>
      </c>
      <c r="C242" s="1633" t="s">
        <v>96</v>
      </c>
      <c r="D242" s="1411"/>
      <c r="E242" s="1411"/>
      <c r="F242" s="1411"/>
      <c r="G242" s="1411"/>
      <c r="H242" s="1411"/>
      <c r="I242" s="1411"/>
      <c r="J242" s="1411"/>
      <c r="K242" s="1411"/>
      <c r="L242" s="1412"/>
      <c r="M242" s="1636"/>
      <c r="N242" s="1638"/>
      <c r="O242" s="1225"/>
      <c r="P242" s="1225"/>
      <c r="Q242" s="1027"/>
      <c r="R242" s="1027"/>
      <c r="S242" s="1027"/>
      <c r="T242" s="1027"/>
      <c r="U242" s="1027"/>
      <c r="V242" s="1027"/>
      <c r="W242" s="1027"/>
    </row>
    <row r="243" spans="1:23" customFormat="1" ht="30" customHeight="1" outlineLevel="1" x14ac:dyDescent="0.25">
      <c r="A243" s="1351" t="s">
        <v>2551</v>
      </c>
      <c r="B243" s="1032" t="str">
        <f>VLOOKUP(C243,'06'!$B$8:$N$225,13,FALSE)</f>
        <v>G990</v>
      </c>
      <c r="C243" s="1648" t="s">
        <v>2342</v>
      </c>
      <c r="D243" s="1649"/>
      <c r="E243" s="1649"/>
      <c r="F243" s="1649"/>
      <c r="G243" s="1649"/>
      <c r="H243" s="1649"/>
      <c r="I243" s="1033" t="str">
        <f>VLOOKUP(C243,'06'!$B$8:$N$225,7,FALSE)</f>
        <v>ML</v>
      </c>
      <c r="J243" s="1644">
        <f>+'07'!N999</f>
        <v>89908.320003387329</v>
      </c>
      <c r="K243" s="1645"/>
      <c r="L243" s="1170">
        <f>+'08'!AF5898</f>
        <v>10</v>
      </c>
      <c r="M243" s="1646">
        <f t="shared" ref="M243" si="72">ROUND((+L243*J243),2)</f>
        <v>899083.2</v>
      </c>
      <c r="N243" s="1647"/>
      <c r="O243" s="1225">
        <v>88625.469064366946</v>
      </c>
      <c r="P243" s="1225">
        <v>886254.69064366946</v>
      </c>
      <c r="Q243" s="1027"/>
      <c r="R243" s="1027"/>
      <c r="S243" s="1027"/>
      <c r="T243" s="1027"/>
      <c r="U243" s="1027"/>
      <c r="V243" s="1027"/>
      <c r="W243" s="1027"/>
    </row>
    <row r="244" spans="1:23" customFormat="1" ht="30" customHeight="1" outlineLevel="1" x14ac:dyDescent="0.25">
      <c r="A244" s="1351" t="s">
        <v>2561</v>
      </c>
      <c r="B244" s="1032" t="str">
        <f>VLOOKUP(C244,'06'!$B$8:$N$225,13,FALSE)</f>
        <v>G989</v>
      </c>
      <c r="C244" s="1648" t="s">
        <v>2344</v>
      </c>
      <c r="D244" s="1649"/>
      <c r="E244" s="1649"/>
      <c r="F244" s="1649"/>
      <c r="G244" s="1649"/>
      <c r="H244" s="1649"/>
      <c r="I244" s="1033" t="str">
        <f>VLOOKUP(C244,'06'!$B$8:$N$225,7,FALSE)</f>
        <v>ML</v>
      </c>
      <c r="J244" s="1644">
        <f>+'07'!N1043</f>
        <v>180886.15215797513</v>
      </c>
      <c r="K244" s="1645"/>
      <c r="L244" s="1170">
        <f>+'08'!AF5939</f>
        <v>20</v>
      </c>
      <c r="M244" s="1646">
        <f t="shared" ref="M244:M245" si="73">ROUND((+L244*J244),2)</f>
        <v>3617723.04</v>
      </c>
      <c r="N244" s="1647"/>
      <c r="O244" s="1225">
        <v>179405.93953602854</v>
      </c>
      <c r="P244" s="1225">
        <v>3588118.7907205708</v>
      </c>
      <c r="Q244" s="1027"/>
      <c r="R244" s="1027"/>
      <c r="S244" s="1027"/>
      <c r="T244" s="1027"/>
      <c r="U244" s="1027"/>
      <c r="V244" s="1027"/>
      <c r="W244" s="1027"/>
    </row>
    <row r="245" spans="1:23" customFormat="1" ht="30" customHeight="1" outlineLevel="1" x14ac:dyDescent="0.25">
      <c r="A245" s="1351" t="s">
        <v>2562</v>
      </c>
      <c r="B245" s="1032" t="str">
        <f>VLOOKUP(C245,'06'!$B$8:$N$225,13,FALSE)</f>
        <v>G999</v>
      </c>
      <c r="C245" s="1648" t="s">
        <v>2333</v>
      </c>
      <c r="D245" s="1649"/>
      <c r="E245" s="1649"/>
      <c r="F245" s="1649"/>
      <c r="G245" s="1649"/>
      <c r="H245" s="1649"/>
      <c r="I245" s="1033" t="str">
        <f>VLOOKUP(C245,'06'!$B$8:$N$225,7,FALSE)</f>
        <v>ML</v>
      </c>
      <c r="J245" s="1644">
        <f>+'07'!N580</f>
        <v>300902.18019152089</v>
      </c>
      <c r="K245" s="1645"/>
      <c r="L245" s="1170">
        <f>+'08'!AF5980</f>
        <v>115</v>
      </c>
      <c r="M245" s="1646">
        <f t="shared" si="73"/>
        <v>34603750.719999999</v>
      </c>
      <c r="N245" s="1647"/>
      <c r="O245" s="1225">
        <v>298764.09529315354</v>
      </c>
      <c r="P245" s="1225">
        <v>34357870.95871266</v>
      </c>
      <c r="Q245" s="1027"/>
      <c r="R245" s="1027"/>
      <c r="S245" s="1027"/>
      <c r="T245" s="1027"/>
      <c r="U245" s="1027"/>
      <c r="V245" s="1027"/>
      <c r="W245" s="1027"/>
    </row>
    <row r="246" spans="1:23" customFormat="1" ht="13.5" customHeight="1" x14ac:dyDescent="0.25">
      <c r="A246" s="1223"/>
      <c r="N246" s="1360"/>
      <c r="O246" s="1225"/>
      <c r="P246" s="1225"/>
      <c r="Q246" s="1027"/>
      <c r="R246" s="1027"/>
      <c r="S246" s="1027"/>
      <c r="T246" s="1027"/>
      <c r="U246" s="1027"/>
      <c r="V246" s="1027"/>
      <c r="W246" s="1027"/>
    </row>
    <row r="247" spans="1:23" customFormat="1" ht="13.5" customHeight="1" x14ac:dyDescent="0.25">
      <c r="A247" s="1347"/>
      <c r="B247" s="1028"/>
      <c r="C247" s="1028"/>
      <c r="D247" s="1028"/>
      <c r="E247" s="1028"/>
      <c r="F247" s="1028"/>
      <c r="G247" s="1027"/>
      <c r="H247" s="1664" t="s">
        <v>2570</v>
      </c>
      <c r="I247" s="1664"/>
      <c r="J247" s="1664"/>
      <c r="K247" s="1664"/>
      <c r="L247" s="1664"/>
      <c r="M247" s="1654">
        <f>SUM(M248:N262)</f>
        <v>51911601.039999999</v>
      </c>
      <c r="N247" s="1647"/>
      <c r="O247" s="1225"/>
      <c r="P247" s="1225"/>
      <c r="Q247" s="1027"/>
      <c r="R247" s="1027"/>
      <c r="S247" s="1027"/>
      <c r="T247" s="1027"/>
      <c r="U247" s="1027"/>
      <c r="V247" s="1027"/>
      <c r="W247" s="1027"/>
    </row>
    <row r="248" spans="1:23" customFormat="1" ht="13.5" customHeight="1" outlineLevel="1" x14ac:dyDescent="0.25">
      <c r="A248" s="1348" t="s">
        <v>2571</v>
      </c>
      <c r="B248" s="1160" t="s">
        <v>1784</v>
      </c>
      <c r="C248" s="1652" t="s">
        <v>197</v>
      </c>
      <c r="D248" s="1652"/>
      <c r="E248" s="1652"/>
      <c r="F248" s="1652"/>
      <c r="G248" s="1652"/>
      <c r="H248" s="1652"/>
      <c r="I248" s="1652"/>
      <c r="J248" s="1652"/>
      <c r="K248" s="1652"/>
      <c r="L248" s="1652"/>
      <c r="M248" s="1654"/>
      <c r="N248" s="1655"/>
      <c r="O248" s="1225"/>
      <c r="P248" s="1225"/>
      <c r="Q248" s="1027"/>
      <c r="R248" s="1027"/>
      <c r="S248" s="1027"/>
      <c r="T248" s="1027"/>
      <c r="U248" s="1027"/>
      <c r="V248" s="1027"/>
      <c r="W248" s="1027"/>
    </row>
    <row r="249" spans="1:23" ht="40.5" customHeight="1" outlineLevel="1" x14ac:dyDescent="0.25">
      <c r="A249" s="1351" t="s">
        <v>2572</v>
      </c>
      <c r="B249" s="1032" t="str">
        <f>VLOOKUP(C249,'06'!$B$8:$N$225,13,FALSE)</f>
        <v>G978</v>
      </c>
      <c r="C249" s="1648" t="s">
        <v>2365</v>
      </c>
      <c r="D249" s="1649"/>
      <c r="E249" s="1649"/>
      <c r="F249" s="1649"/>
      <c r="G249" s="1649"/>
      <c r="H249" s="1649"/>
      <c r="I249" s="1033" t="str">
        <f>VLOOKUP(C249,'06'!$B$8:$N$225,7,FALSE)</f>
        <v>M2</v>
      </c>
      <c r="J249" s="1644">
        <f>+'07'!N1562</f>
        <v>5158.341051402459</v>
      </c>
      <c r="K249" s="1645"/>
      <c r="L249" s="1034">
        <f>+'08'!AF6021</f>
        <v>56.44</v>
      </c>
      <c r="M249" s="1646">
        <f t="shared" ref="M249" si="74">ROUND((+L249*J249),2)</f>
        <v>291136.77</v>
      </c>
      <c r="N249" s="1647"/>
      <c r="O249" s="1225">
        <v>4596.0306496675757</v>
      </c>
      <c r="P249" s="1225">
        <v>259399.96986723796</v>
      </c>
    </row>
    <row r="250" spans="1:23" customFormat="1" ht="13.5" customHeight="1" outlineLevel="1" x14ac:dyDescent="0.25">
      <c r="A250" s="1350" t="s">
        <v>2574</v>
      </c>
      <c r="B250" s="1159" t="s">
        <v>1784</v>
      </c>
      <c r="C250" s="1659" t="s">
        <v>1787</v>
      </c>
      <c r="D250" s="1660"/>
      <c r="E250" s="1660"/>
      <c r="F250" s="1660"/>
      <c r="G250" s="1660"/>
      <c r="H250" s="1660"/>
      <c r="I250" s="1660"/>
      <c r="J250" s="1660"/>
      <c r="K250" s="1660"/>
      <c r="L250" s="1661"/>
      <c r="M250" s="1662"/>
      <c r="N250" s="1663"/>
      <c r="O250" s="1225"/>
      <c r="P250" s="1225"/>
      <c r="Q250" s="1027"/>
      <c r="R250" s="1027"/>
      <c r="S250" s="1027"/>
      <c r="T250" s="1027"/>
      <c r="U250" s="1027"/>
      <c r="V250" s="1027"/>
      <c r="W250" s="1027"/>
    </row>
    <row r="251" spans="1:23" customFormat="1" ht="15" customHeight="1" outlineLevel="1" x14ac:dyDescent="0.25">
      <c r="A251" s="1351" t="s">
        <v>2575</v>
      </c>
      <c r="B251" s="1032" t="str">
        <f>VLOOKUP(C251,'06'!$B$8:$N$225,13,FALSE)</f>
        <v>G977</v>
      </c>
      <c r="C251" s="1409" t="s">
        <v>2367</v>
      </c>
      <c r="D251" s="1409"/>
      <c r="E251" s="1409"/>
      <c r="F251" s="1409"/>
      <c r="G251" s="1409"/>
      <c r="H251" s="1409"/>
      <c r="I251" s="1033" t="str">
        <f>VLOOKUP(C251,'06'!$B$8:$N$225,7,FALSE)</f>
        <v>M3</v>
      </c>
      <c r="J251" s="1644">
        <f>+'07'!N1611</f>
        <v>42028.622073968225</v>
      </c>
      <c r="K251" s="1645"/>
      <c r="L251" s="1170">
        <f>L249*0.9</f>
        <v>50.795999999999999</v>
      </c>
      <c r="M251" s="1646">
        <f t="shared" ref="M251" si="75">ROUND((+L251*J251),2)</f>
        <v>2134885.89</v>
      </c>
      <c r="N251" s="1647"/>
      <c r="O251" s="1225">
        <v>35614.367378866315</v>
      </c>
      <c r="P251" s="1225">
        <v>1809067.4053768932</v>
      </c>
      <c r="Q251" s="1027"/>
      <c r="R251" s="1027"/>
      <c r="S251" s="1027"/>
      <c r="T251" s="1027"/>
      <c r="U251" s="1027"/>
      <c r="V251" s="1027"/>
      <c r="W251" s="1027"/>
    </row>
    <row r="252" spans="1:23" ht="15" outlineLevel="1" x14ac:dyDescent="0.25">
      <c r="A252" s="1352" t="s">
        <v>2576</v>
      </c>
      <c r="B252" s="1031" t="s">
        <v>1784</v>
      </c>
      <c r="C252" s="1633" t="s">
        <v>1791</v>
      </c>
      <c r="D252" s="1411"/>
      <c r="E252" s="1411"/>
      <c r="F252" s="1411"/>
      <c r="G252" s="1411"/>
      <c r="H252" s="1411"/>
      <c r="I252" s="1411"/>
      <c r="J252" s="1411"/>
      <c r="K252" s="1411"/>
      <c r="L252" s="1411"/>
      <c r="M252" s="1636"/>
      <c r="N252" s="1638"/>
      <c r="O252" s="1225"/>
      <c r="P252" s="1225"/>
    </row>
    <row r="253" spans="1:23" ht="30" customHeight="1" outlineLevel="1" x14ac:dyDescent="0.25">
      <c r="A253" s="1351" t="s">
        <v>2577</v>
      </c>
      <c r="B253" s="1032" t="str">
        <f>VLOOKUP(C253,'06'!$B$8:$N$225,13,FALSE)</f>
        <v>G004</v>
      </c>
      <c r="C253" s="1409" t="s">
        <v>2327</v>
      </c>
      <c r="D253" s="1409"/>
      <c r="E253" s="1409"/>
      <c r="F253" s="1409"/>
      <c r="G253" s="1409"/>
      <c r="H253" s="1409"/>
      <c r="I253" s="1033" t="str">
        <f>VLOOKUP(C253,'06'!$B$8:$N$225,7,FALSE)</f>
        <v>M3</v>
      </c>
      <c r="J253" s="1644">
        <f>+'07'!N409</f>
        <v>124202.21838737666</v>
      </c>
      <c r="K253" s="1645"/>
      <c r="L253" s="1034">
        <f>L249*0.4</f>
        <v>22.576000000000001</v>
      </c>
      <c r="M253" s="1646">
        <f t="shared" ref="M253:M254" si="76">ROUND((+L253*J253),2)</f>
        <v>2803989.28</v>
      </c>
      <c r="N253" s="1647"/>
      <c r="O253" s="1225">
        <v>121563.23869761667</v>
      </c>
      <c r="P253" s="1225">
        <v>2744411.676837394</v>
      </c>
    </row>
    <row r="254" spans="1:23" ht="30" customHeight="1" outlineLevel="1" x14ac:dyDescent="0.25">
      <c r="A254" s="1351" t="s">
        <v>2578</v>
      </c>
      <c r="B254" s="1032" t="str">
        <f>VLOOKUP(C254,'06'!$B$8:$N$225,13,FALSE)</f>
        <v>G011</v>
      </c>
      <c r="C254" s="1648" t="s">
        <v>2172</v>
      </c>
      <c r="D254" s="1649"/>
      <c r="E254" s="1649"/>
      <c r="F254" s="1649"/>
      <c r="G254" s="1649"/>
      <c r="H254" s="1650"/>
      <c r="I254" s="1033" t="str">
        <f>VLOOKUP(C254,'06'!$B$8:$N$225,7,FALSE)</f>
        <v>M3</v>
      </c>
      <c r="J254" s="1644">
        <f>+'07'!N185</f>
        <v>30956.641395291757</v>
      </c>
      <c r="K254" s="1645"/>
      <c r="L254" s="1034">
        <f>L249*0.4</f>
        <v>22.576000000000001</v>
      </c>
      <c r="M254" s="1646">
        <f t="shared" si="76"/>
        <v>698877.14</v>
      </c>
      <c r="N254" s="1647"/>
      <c r="O254" s="1225">
        <v>27555.986192574794</v>
      </c>
      <c r="P254" s="1225">
        <v>622103.94428356853</v>
      </c>
    </row>
    <row r="255" spans="1:23" customFormat="1" ht="13.5" customHeight="1" outlineLevel="1" x14ac:dyDescent="0.25">
      <c r="A255" s="1353" t="s">
        <v>2580</v>
      </c>
      <c r="B255" s="1031" t="s">
        <v>1784</v>
      </c>
      <c r="C255" s="1633" t="s">
        <v>1790</v>
      </c>
      <c r="D255" s="1634"/>
      <c r="E255" s="1634"/>
      <c r="F255" s="1634"/>
      <c r="G255" s="1634"/>
      <c r="H255" s="1634"/>
      <c r="I255" s="1634"/>
      <c r="J255" s="1634"/>
      <c r="K255" s="1634"/>
      <c r="L255" s="1635"/>
      <c r="M255" s="1636"/>
      <c r="N255" s="1637"/>
      <c r="O255" s="1225"/>
      <c r="P255" s="1225"/>
      <c r="Q255" s="1027"/>
      <c r="R255" s="1027"/>
      <c r="S255" s="1027"/>
      <c r="T255" s="1027"/>
      <c r="U255" s="1027"/>
      <c r="V255" s="1027"/>
      <c r="W255" s="1027"/>
    </row>
    <row r="256" spans="1:23" customFormat="1" ht="30" customHeight="1" outlineLevel="1" x14ac:dyDescent="0.25">
      <c r="A256" s="1351" t="s">
        <v>2581</v>
      </c>
      <c r="B256" s="1032" t="str">
        <f>VLOOKUP(C256,'06'!$B$8:$N$225,13,FALSE)</f>
        <v>G013</v>
      </c>
      <c r="C256" s="1648" t="s">
        <v>2177</v>
      </c>
      <c r="D256" s="1649"/>
      <c r="E256" s="1649"/>
      <c r="F256" s="1649"/>
      <c r="G256" s="1649"/>
      <c r="H256" s="1650"/>
      <c r="I256" s="1033" t="str">
        <f>VLOOKUP(C256,'06'!$B$8:$N$225,7,FALSE)</f>
        <v>M3-KM</v>
      </c>
      <c r="J256" s="1644">
        <f>+'07'!N229</f>
        <v>3271.2560446782409</v>
      </c>
      <c r="K256" s="1645"/>
      <c r="L256" s="1170">
        <f>(L251-L254)*E15</f>
        <v>141.1</v>
      </c>
      <c r="M256" s="1646">
        <f t="shared" ref="M256:M257" si="77">ROUND((+L256*J256),2)</f>
        <v>461574.23</v>
      </c>
      <c r="N256" s="1647"/>
      <c r="O256" s="1225">
        <v>3271.2560446782409</v>
      </c>
      <c r="P256" s="1225">
        <v>461574.2279040998</v>
      </c>
      <c r="Q256" s="1027"/>
      <c r="R256" s="1027"/>
      <c r="S256" s="1027"/>
      <c r="T256" s="1027"/>
      <c r="U256" s="1027"/>
      <c r="V256" s="1027"/>
      <c r="W256" s="1027"/>
    </row>
    <row r="257" spans="1:23" customFormat="1" ht="30" customHeight="1" outlineLevel="1" x14ac:dyDescent="0.25">
      <c r="A257" s="1351" t="s">
        <v>2582</v>
      </c>
      <c r="B257" s="1032" t="str">
        <f>VLOOKUP(C257,'06'!$B$8:$N$225,13,FALSE)</f>
        <v>G014</v>
      </c>
      <c r="C257" s="1648" t="s">
        <v>2182</v>
      </c>
      <c r="D257" s="1649"/>
      <c r="E257" s="1649"/>
      <c r="F257" s="1649"/>
      <c r="G257" s="1649"/>
      <c r="H257" s="1650"/>
      <c r="I257" s="1033" t="str">
        <f>VLOOKUP(C257,'06'!$B$8:$N$225,7,FALSE)</f>
        <v>M3</v>
      </c>
      <c r="J257" s="1644">
        <f>+'07'!N274</f>
        <v>5824.3675836869543</v>
      </c>
      <c r="K257" s="1645"/>
      <c r="L257" s="1170">
        <f>L251-L254</f>
        <v>28.22</v>
      </c>
      <c r="M257" s="1646">
        <f t="shared" si="77"/>
        <v>164363.65</v>
      </c>
      <c r="N257" s="1647"/>
      <c r="O257" s="1225">
        <v>5824.3675836869543</v>
      </c>
      <c r="P257" s="1225">
        <v>164363.65321164584</v>
      </c>
      <c r="Q257" s="1027"/>
      <c r="R257" s="1027"/>
      <c r="S257" s="1027"/>
      <c r="T257" s="1027"/>
      <c r="U257" s="1027"/>
      <c r="V257" s="1027"/>
      <c r="W257" s="1027"/>
    </row>
    <row r="258" spans="1:23" ht="15" outlineLevel="1" x14ac:dyDescent="0.25">
      <c r="A258" s="1353" t="s">
        <v>2579</v>
      </c>
      <c r="B258" s="1031" t="s">
        <v>1784</v>
      </c>
      <c r="C258" s="1633" t="s">
        <v>1794</v>
      </c>
      <c r="D258" s="1411"/>
      <c r="E258" s="1411"/>
      <c r="F258" s="1411"/>
      <c r="G258" s="1411"/>
      <c r="H258" s="1411"/>
      <c r="I258" s="1411"/>
      <c r="J258" s="1411"/>
      <c r="K258" s="1411"/>
      <c r="L258" s="1412"/>
      <c r="M258" s="1636"/>
      <c r="N258" s="1638"/>
      <c r="O258" s="1225"/>
      <c r="P258" s="1225"/>
    </row>
    <row r="259" spans="1:23" ht="30" customHeight="1" outlineLevel="1" x14ac:dyDescent="0.25">
      <c r="A259" s="1351" t="s">
        <v>2583</v>
      </c>
      <c r="B259" s="1032" t="str">
        <f>VLOOKUP(C259,'06'!$B$8:$N$225,13,FALSE)</f>
        <v>G018</v>
      </c>
      <c r="C259" s="1409" t="s">
        <v>2329</v>
      </c>
      <c r="D259" s="1409"/>
      <c r="E259" s="1409"/>
      <c r="F259" s="1409"/>
      <c r="G259" s="1409"/>
      <c r="H259" s="1409"/>
      <c r="I259" s="1033" t="str">
        <f>VLOOKUP(C259,'06'!$B$8:$N$225,7,FALSE)</f>
        <v>M3</v>
      </c>
      <c r="J259" s="1644">
        <f>+'07'!N454</f>
        <v>725724.88143541082</v>
      </c>
      <c r="K259" s="1645"/>
      <c r="L259" s="1034">
        <f>L249*0.05</f>
        <v>2.8220000000000001</v>
      </c>
      <c r="M259" s="1646">
        <f t="shared" ref="M259:M260" si="78">ROUND((+L259*J259),2)</f>
        <v>2047995.62</v>
      </c>
      <c r="N259" s="1647"/>
      <c r="O259" s="1225">
        <v>671967.70655736153</v>
      </c>
      <c r="P259" s="1225">
        <v>1896292.8679048743</v>
      </c>
    </row>
    <row r="260" spans="1:23" ht="30" customHeight="1" outlineLevel="1" x14ac:dyDescent="0.25">
      <c r="A260" s="1351" t="s">
        <v>2584</v>
      </c>
      <c r="B260" s="1032" t="str">
        <f>VLOOKUP(C260,'06'!$B$8:$N$225,13,FALSE)</f>
        <v>G019</v>
      </c>
      <c r="C260" s="1409" t="s">
        <v>2331</v>
      </c>
      <c r="D260" s="1409"/>
      <c r="E260" s="1409"/>
      <c r="F260" s="1409"/>
      <c r="G260" s="1409"/>
      <c r="H260" s="1409"/>
      <c r="I260" s="1033" t="str">
        <f>VLOOKUP(C260,'06'!$B$8:$N$225,7,FALSE)</f>
        <v>M3</v>
      </c>
      <c r="J260" s="1644">
        <f>+'07'!N496</f>
        <v>1461311.8817958308</v>
      </c>
      <c r="K260" s="1645"/>
      <c r="L260" s="1034">
        <v>20</v>
      </c>
      <c r="M260" s="1646">
        <f t="shared" si="78"/>
        <v>29226237.640000001</v>
      </c>
      <c r="N260" s="1647"/>
      <c r="O260" s="1225">
        <v>1363119.4626060962</v>
      </c>
      <c r="P260" s="1225">
        <v>27262389.252121925</v>
      </c>
    </row>
    <row r="261" spans="1:23" ht="15" outlineLevel="1" x14ac:dyDescent="0.25">
      <c r="A261" s="1353" t="s">
        <v>2397</v>
      </c>
      <c r="B261" s="1031" t="s">
        <v>1784</v>
      </c>
      <c r="C261" s="1633" t="s">
        <v>1795</v>
      </c>
      <c r="D261" s="1411"/>
      <c r="E261" s="1411"/>
      <c r="F261" s="1411"/>
      <c r="G261" s="1411"/>
      <c r="H261" s="1411"/>
      <c r="I261" s="1411"/>
      <c r="J261" s="1411"/>
      <c r="K261" s="1411"/>
      <c r="L261" s="1412"/>
      <c r="M261" s="1636"/>
      <c r="N261" s="1638"/>
      <c r="O261" s="1225"/>
      <c r="P261" s="1225"/>
    </row>
    <row r="262" spans="1:23" ht="69" customHeight="1" outlineLevel="1" thickBot="1" x14ac:dyDescent="0.3">
      <c r="A262" s="1372" t="s">
        <v>2398</v>
      </c>
      <c r="B262" s="1373" t="str">
        <f>VLOOKUP(C262,'06'!$B$8:$N$225,13,FALSE)</f>
        <v>G007</v>
      </c>
      <c r="C262" s="1639" t="s">
        <v>2332</v>
      </c>
      <c r="D262" s="1639"/>
      <c r="E262" s="1639"/>
      <c r="F262" s="1639"/>
      <c r="G262" s="1639"/>
      <c r="H262" s="1639"/>
      <c r="I262" s="1374" t="str">
        <f>VLOOKUP(C262,'06'!$B$8:$N$225,7,FALSE)</f>
        <v>KG</v>
      </c>
      <c r="J262" s="1640">
        <f>+'07'!N538</f>
        <v>10058.957727500896</v>
      </c>
      <c r="K262" s="1641"/>
      <c r="L262" s="1375">
        <f>L260*70</f>
        <v>1400</v>
      </c>
      <c r="M262" s="1642">
        <f t="shared" ref="M262" si="79">ROUND((+L262*J262),2)</f>
        <v>14082540.82</v>
      </c>
      <c r="N262" s="1643"/>
      <c r="O262" s="1225">
        <v>9696.0980201588973</v>
      </c>
      <c r="P262" s="1225">
        <v>13574537.228222456</v>
      </c>
    </row>
    <row r="263" spans="1:23" customFormat="1" ht="13.5" customHeight="1" thickBot="1" x14ac:dyDescent="0.3">
      <c r="A263" s="1692" t="s">
        <v>2670</v>
      </c>
      <c r="B263" s="1693"/>
      <c r="C263" s="1693"/>
      <c r="D263" s="1693"/>
      <c r="E263" s="1693"/>
      <c r="F263" s="1693"/>
      <c r="G263" s="1693"/>
      <c r="H263" s="1693"/>
      <c r="I263" s="1693"/>
      <c r="J263" s="1693"/>
      <c r="K263" s="1693"/>
      <c r="L263" s="1694"/>
      <c r="M263" s="1688">
        <f>+M16+M33+M63+M105+M130+M163+M195+M201+M230+M247</f>
        <v>2949947409.6200008</v>
      </c>
      <c r="N263" s="1689"/>
      <c r="O263" s="1027"/>
      <c r="P263" s="1027"/>
      <c r="Q263" s="1027"/>
      <c r="R263" s="1027"/>
      <c r="S263" s="1027"/>
      <c r="T263" s="1027"/>
      <c r="U263" s="1027"/>
      <c r="V263" s="1027"/>
      <c r="W263" s="1027"/>
    </row>
    <row r="264" spans="1:23" customFormat="1" ht="13.5" customHeight="1" thickBot="1" x14ac:dyDescent="0.3">
      <c r="A264" s="1695" t="s">
        <v>2671</v>
      </c>
      <c r="B264" s="1696"/>
      <c r="C264" s="1696"/>
      <c r="D264" s="1696"/>
      <c r="E264" s="1696"/>
      <c r="F264" s="1696"/>
      <c r="G264" s="1696"/>
      <c r="H264" s="1696"/>
      <c r="I264" s="1696"/>
      <c r="J264" s="1696"/>
      <c r="K264" s="1696"/>
      <c r="L264" s="1697"/>
      <c r="M264" s="1690">
        <f>+H261+H199+H147+H96+H47</f>
        <v>0</v>
      </c>
      <c r="N264" s="1691"/>
      <c r="O264" s="1027"/>
      <c r="P264" s="1027"/>
      <c r="Q264" s="1027"/>
      <c r="R264" s="1027"/>
      <c r="S264" s="1027"/>
      <c r="T264" s="1027"/>
      <c r="U264" s="1027"/>
      <c r="V264" s="1027"/>
      <c r="W264" s="1027"/>
    </row>
    <row r="265" spans="1:23" customFormat="1" ht="13.5" customHeight="1" thickBot="1" x14ac:dyDescent="0.3">
      <c r="A265" s="1695" t="s">
        <v>2672</v>
      </c>
      <c r="B265" s="1696"/>
      <c r="C265" s="1696"/>
      <c r="D265" s="1696"/>
      <c r="E265" s="1696"/>
      <c r="F265" s="1696"/>
      <c r="G265" s="1696"/>
      <c r="H265" s="1696"/>
      <c r="I265" s="1696"/>
      <c r="J265" s="1696"/>
      <c r="K265" s="1696"/>
      <c r="L265" s="1697"/>
      <c r="M265" s="1690">
        <f>+M264+M263</f>
        <v>2949947409.6200008</v>
      </c>
      <c r="N265" s="1691"/>
      <c r="O265" s="1027"/>
      <c r="P265" s="1228">
        <f>+SUM(P18:P262)</f>
        <v>2824653405.644052</v>
      </c>
      <c r="Q265" s="1027"/>
      <c r="R265" s="1027"/>
      <c r="S265" s="1027"/>
      <c r="T265" s="1027"/>
      <c r="U265" s="1027"/>
      <c r="V265" s="1027"/>
      <c r="W265" s="1027"/>
    </row>
    <row r="266" spans="1:23" customFormat="1" ht="13.5" customHeight="1" thickBot="1" x14ac:dyDescent="0.3">
      <c r="A266" s="1366"/>
      <c r="B266" s="1309"/>
      <c r="C266" s="1309"/>
      <c r="D266" s="1309"/>
      <c r="E266" s="1309"/>
      <c r="F266" s="1309"/>
      <c r="G266" s="1309"/>
      <c r="H266" s="1309"/>
      <c r="I266" s="1309"/>
      <c r="J266" s="1309"/>
      <c r="K266" s="1309"/>
      <c r="L266" s="1309"/>
      <c r="M266" s="1310"/>
      <c r="N266" s="1367"/>
      <c r="O266" s="1027"/>
      <c r="P266" s="1311"/>
      <c r="Q266" s="1027"/>
      <c r="R266" s="1027"/>
      <c r="S266" s="1027"/>
      <c r="T266" s="1027"/>
      <c r="U266" s="1027"/>
      <c r="V266" s="1027"/>
      <c r="W266" s="1027"/>
    </row>
    <row r="267" spans="1:23" customFormat="1" ht="42.75" customHeight="1" x14ac:dyDescent="0.25">
      <c r="A267" s="1359"/>
      <c r="B267" s="1029"/>
      <c r="C267" s="1368"/>
      <c r="F267" s="1708" t="s">
        <v>2673</v>
      </c>
      <c r="G267" s="1709"/>
      <c r="H267" s="1709"/>
      <c r="I267" s="1709"/>
      <c r="J267" s="1709"/>
      <c r="K267" s="1709"/>
      <c r="L267" s="1325" t="s">
        <v>2674</v>
      </c>
      <c r="M267" s="1710">
        <f>M263</f>
        <v>2949947409.6200008</v>
      </c>
      <c r="N267" s="1711"/>
      <c r="O267" s="1027"/>
      <c r="P267" s="1027"/>
      <c r="Q267" s="1027"/>
      <c r="R267" s="1027"/>
      <c r="S267" s="1027"/>
      <c r="T267" s="1027"/>
      <c r="U267" s="1027"/>
      <c r="V267" s="1027"/>
      <c r="W267" s="1027"/>
    </row>
    <row r="268" spans="1:23" customFormat="1" ht="34.5" customHeight="1" x14ac:dyDescent="0.25">
      <c r="A268" s="1359"/>
      <c r="B268" s="1306"/>
      <c r="C268" s="1306"/>
      <c r="D268" s="1306"/>
      <c r="E268" s="1306"/>
      <c r="F268" s="1722" t="s">
        <v>2675</v>
      </c>
      <c r="G268" s="1723"/>
      <c r="H268" s="1723"/>
      <c r="I268" s="1723"/>
      <c r="J268" s="1723"/>
      <c r="K268" s="1723"/>
      <c r="L268" s="1316" t="s">
        <v>2630</v>
      </c>
      <c r="M268" s="1712">
        <f>M267/(1+0.294303907485998)</f>
        <v>2279176778.0025139</v>
      </c>
      <c r="N268" s="1713"/>
      <c r="O268" s="1027"/>
      <c r="P268" s="1027"/>
      <c r="Q268" s="1027"/>
      <c r="R268" s="1027"/>
      <c r="S268" s="1027"/>
      <c r="T268" s="1027"/>
      <c r="U268" s="1027"/>
      <c r="V268" s="1027"/>
      <c r="W268" s="1027"/>
    </row>
    <row r="269" spans="1:23" customFormat="1" ht="22.5" customHeight="1" x14ac:dyDescent="0.25">
      <c r="A269" s="1359"/>
      <c r="B269" s="1306"/>
      <c r="C269" s="1306"/>
      <c r="D269" s="1306"/>
      <c r="E269" s="1306"/>
      <c r="F269" s="1722" t="s">
        <v>1827</v>
      </c>
      <c r="G269" s="1723"/>
      <c r="H269" s="1723"/>
      <c r="I269" s="1723"/>
      <c r="J269" s="1723"/>
      <c r="K269" s="1723"/>
      <c r="L269" s="1317">
        <f>M282</f>
        <v>0.1943039074823327</v>
      </c>
      <c r="M269" s="1714">
        <f>M268*L269</f>
        <v>442852953.80888158</v>
      </c>
      <c r="N269" s="1715"/>
      <c r="O269" s="1027"/>
      <c r="P269" s="1027"/>
      <c r="Q269" s="1027"/>
      <c r="R269" s="1027"/>
      <c r="S269" s="1027"/>
      <c r="T269" s="1027"/>
      <c r="U269" s="1027"/>
      <c r="V269" s="1027"/>
      <c r="W269" s="1027"/>
    </row>
    <row r="270" spans="1:23" customFormat="1" ht="19.5" customHeight="1" x14ac:dyDescent="0.25">
      <c r="A270" s="1359"/>
      <c r="B270" s="1306"/>
      <c r="C270" s="1306"/>
      <c r="D270" s="1306"/>
      <c r="E270" s="1306"/>
      <c r="F270" s="1724" t="s">
        <v>412</v>
      </c>
      <c r="G270" s="1725"/>
      <c r="H270" s="1725"/>
      <c r="I270" s="1725"/>
      <c r="J270" s="1725"/>
      <c r="K270" s="1725"/>
      <c r="L270" s="1317">
        <f>M283</f>
        <v>0.05</v>
      </c>
      <c r="M270" s="1714">
        <f>M268*L270</f>
        <v>113958838.9001257</v>
      </c>
      <c r="N270" s="1715"/>
      <c r="O270" s="1027"/>
      <c r="P270" s="1027"/>
      <c r="Q270" s="1027"/>
      <c r="R270" s="1027"/>
      <c r="S270" s="1027"/>
      <c r="T270" s="1027"/>
      <c r="U270" s="1027"/>
      <c r="V270" s="1027"/>
      <c r="W270" s="1027"/>
    </row>
    <row r="271" spans="1:23" customFormat="1" ht="18.75" customHeight="1" x14ac:dyDescent="0.25">
      <c r="A271" s="1359"/>
      <c r="B271" s="1306"/>
      <c r="C271" s="1306"/>
      <c r="D271" s="1306"/>
      <c r="E271" s="1306"/>
      <c r="F271" s="1722" t="s">
        <v>1828</v>
      </c>
      <c r="G271" s="1723"/>
      <c r="H271" s="1723"/>
      <c r="I271" s="1723"/>
      <c r="J271" s="1318"/>
      <c r="K271" s="1318"/>
      <c r="L271" s="1319">
        <f>M284</f>
        <v>0.05</v>
      </c>
      <c r="M271" s="1714">
        <f>M268*L271</f>
        <v>113958838.9001257</v>
      </c>
      <c r="N271" s="1715"/>
      <c r="O271" s="1391">
        <f>M269+M270+M271</f>
        <v>670770631.60913301</v>
      </c>
      <c r="P271" s="1027"/>
      <c r="Q271" s="1027"/>
      <c r="R271" s="1027"/>
      <c r="S271" s="1027"/>
      <c r="T271" s="1027"/>
      <c r="U271" s="1027"/>
      <c r="V271" s="1027"/>
      <c r="W271" s="1027"/>
    </row>
    <row r="272" spans="1:23" customFormat="1" ht="20.25" customHeight="1" x14ac:dyDescent="0.25">
      <c r="A272" s="1359"/>
      <c r="B272" s="1306"/>
      <c r="C272" s="1306"/>
      <c r="D272" s="1306"/>
      <c r="E272" s="1306"/>
      <c r="F272" s="1726" t="s">
        <v>2676</v>
      </c>
      <c r="G272" s="1727"/>
      <c r="H272" s="1727"/>
      <c r="I272" s="1727"/>
      <c r="J272" s="1727"/>
      <c r="K272" s="1727"/>
      <c r="L272" s="1728"/>
      <c r="M272" s="1716">
        <f>M268+M269+M270+M271</f>
        <v>2949947409.6116467</v>
      </c>
      <c r="N272" s="1717"/>
      <c r="O272" s="1027"/>
      <c r="P272" s="1027"/>
      <c r="Q272" s="1027"/>
      <c r="R272" s="1027"/>
      <c r="S272" s="1027"/>
      <c r="T272" s="1027"/>
      <c r="U272" s="1027"/>
      <c r="V272" s="1027"/>
      <c r="W272" s="1027"/>
    </row>
    <row r="273" spans="1:23" customFormat="1" ht="22.5" customHeight="1" x14ac:dyDescent="0.25">
      <c r="A273" s="1359"/>
      <c r="B273" s="1306"/>
      <c r="C273" s="1306"/>
      <c r="D273" s="1306"/>
      <c r="E273" s="1306"/>
      <c r="F273" s="1726" t="s">
        <v>2677</v>
      </c>
      <c r="G273" s="1727"/>
      <c r="H273" s="1727"/>
      <c r="I273" s="1728"/>
      <c r="J273" s="1312">
        <f>M271/1.19</f>
        <v>95763730.168172866</v>
      </c>
      <c r="K273" s="1313">
        <f>J273*K274</f>
        <v>18195108.731952846</v>
      </c>
      <c r="L273" s="1320">
        <f>J273+K273</f>
        <v>113958838.90012571</v>
      </c>
      <c r="M273" s="1706"/>
      <c r="N273" s="1707"/>
      <c r="O273" s="1027"/>
      <c r="P273" s="1027"/>
      <c r="Q273" s="1027"/>
      <c r="R273" s="1027"/>
      <c r="S273" s="1027"/>
      <c r="T273" s="1027"/>
      <c r="U273" s="1027"/>
      <c r="V273" s="1027"/>
      <c r="W273" s="1027"/>
    </row>
    <row r="274" spans="1:23" customFormat="1" ht="33" customHeight="1" x14ac:dyDescent="0.25">
      <c r="A274" s="1359"/>
      <c r="B274" s="1306"/>
      <c r="C274" s="1306"/>
      <c r="D274" s="1306"/>
      <c r="E274" s="1306"/>
      <c r="F274" s="1732"/>
      <c r="G274" s="1733"/>
      <c r="H274" s="1733"/>
      <c r="I274" s="1733"/>
      <c r="J274" s="1734"/>
      <c r="K274" s="1314">
        <v>0.19</v>
      </c>
      <c r="L274" s="1315" t="s">
        <v>2678</v>
      </c>
      <c r="M274" s="1718"/>
      <c r="N274" s="1719"/>
      <c r="O274" s="1027"/>
      <c r="P274" s="1027"/>
      <c r="Q274" s="1027"/>
      <c r="R274" s="1027"/>
      <c r="S274" s="1027"/>
      <c r="T274" s="1027"/>
      <c r="U274" s="1027"/>
      <c r="V274" s="1027"/>
      <c r="W274" s="1027"/>
    </row>
    <row r="275" spans="1:23" customFormat="1" ht="13.5" customHeight="1" x14ac:dyDescent="0.25">
      <c r="A275" s="1359"/>
      <c r="B275" s="1306"/>
      <c r="C275" s="1306"/>
      <c r="D275" s="1306"/>
      <c r="E275" s="1306"/>
      <c r="F275" s="1726" t="s">
        <v>2679</v>
      </c>
      <c r="G275" s="1727"/>
      <c r="H275" s="1727"/>
      <c r="I275" s="1727"/>
      <c r="J275" s="1728"/>
      <c r="K275" s="1318"/>
      <c r="L275" s="1321"/>
      <c r="M275" s="1720">
        <f>+M264</f>
        <v>0</v>
      </c>
      <c r="N275" s="1721"/>
      <c r="O275" s="1027"/>
      <c r="P275" s="1027"/>
      <c r="Q275" s="1027"/>
      <c r="R275" s="1027"/>
      <c r="S275" s="1027"/>
      <c r="T275" s="1027"/>
      <c r="U275" s="1027"/>
      <c r="V275" s="1027"/>
      <c r="W275" s="1027"/>
    </row>
    <row r="276" spans="1:23" ht="19.5" customHeight="1" x14ac:dyDescent="0.2">
      <c r="A276" s="1223"/>
      <c r="B276" s="1306"/>
      <c r="C276" s="1306"/>
      <c r="D276" s="1306"/>
      <c r="E276" s="1306"/>
      <c r="F276" s="1726" t="s">
        <v>2680</v>
      </c>
      <c r="G276" s="1727"/>
      <c r="H276" s="1727"/>
      <c r="I276" s="1727"/>
      <c r="J276" s="1728"/>
      <c r="K276" s="1318"/>
      <c r="L276" s="1321"/>
      <c r="M276" s="1675">
        <f>M275/1.14</f>
        <v>0</v>
      </c>
      <c r="N276" s="1676"/>
    </row>
    <row r="277" spans="1:23" customFormat="1" ht="15" customHeight="1" x14ac:dyDescent="0.25">
      <c r="A277" s="1223"/>
      <c r="B277" s="1306"/>
      <c r="C277" s="1306"/>
      <c r="D277" s="1306"/>
      <c r="E277" s="1306"/>
      <c r="F277" s="1726" t="s">
        <v>2681</v>
      </c>
      <c r="G277" s="1727"/>
      <c r="H277" s="1727"/>
      <c r="I277" s="1727"/>
      <c r="J277" s="1728"/>
      <c r="K277" s="1318"/>
      <c r="L277" s="1322">
        <v>0.14000000000000001</v>
      </c>
      <c r="M277" s="1675">
        <f>M276*L277</f>
        <v>0</v>
      </c>
      <c r="N277" s="1676"/>
      <c r="O277" s="1027"/>
      <c r="P277" s="1027"/>
      <c r="Q277" s="1027"/>
      <c r="R277" s="1027"/>
      <c r="S277" s="1027"/>
      <c r="T277" s="1027"/>
      <c r="U277" s="1027"/>
      <c r="V277" s="1027"/>
      <c r="W277" s="1027"/>
    </row>
    <row r="278" spans="1:23" customFormat="1" ht="19.5" customHeight="1" x14ac:dyDescent="0.25">
      <c r="A278" s="1369"/>
      <c r="B278" s="1306"/>
      <c r="C278" s="1306"/>
      <c r="D278" s="1306"/>
      <c r="E278" s="1306"/>
      <c r="F278" s="1726" t="s">
        <v>2682</v>
      </c>
      <c r="G278" s="1727"/>
      <c r="H278" s="1727"/>
      <c r="I278" s="1727"/>
      <c r="J278" s="1728"/>
      <c r="K278" s="1318"/>
      <c r="L278" s="1323"/>
      <c r="M278" s="1677">
        <f>M276+M277</f>
        <v>0</v>
      </c>
      <c r="N278" s="1678"/>
      <c r="O278" s="1027"/>
      <c r="P278" s="1027"/>
      <c r="Q278" s="1027"/>
      <c r="R278" s="1027"/>
      <c r="S278" s="1027"/>
      <c r="T278" s="1027"/>
      <c r="U278" s="1027"/>
      <c r="V278" s="1027"/>
      <c r="W278" s="1027"/>
    </row>
    <row r="279" spans="1:23" customFormat="1" ht="34.5" customHeight="1" thickBot="1" x14ac:dyDescent="0.3">
      <c r="A279" s="1369"/>
      <c r="B279" s="1306"/>
      <c r="C279" s="1306"/>
      <c r="D279" s="1306"/>
      <c r="E279" s="1306"/>
      <c r="F279" s="1729" t="s">
        <v>2683</v>
      </c>
      <c r="G279" s="1730"/>
      <c r="H279" s="1730"/>
      <c r="I279" s="1730"/>
      <c r="J279" s="1731"/>
      <c r="K279" s="1318"/>
      <c r="L279" s="1324"/>
      <c r="M279" s="1679">
        <f>ROUND(M278+M272,0)</f>
        <v>2949947410</v>
      </c>
      <c r="N279" s="1680"/>
      <c r="O279" s="1391"/>
      <c r="P279" s="1027"/>
      <c r="Q279" s="1027"/>
      <c r="R279" s="1027"/>
      <c r="S279" s="1027"/>
      <c r="T279" s="1027"/>
      <c r="U279" s="1027"/>
      <c r="V279" s="1027"/>
      <c r="W279" s="1027"/>
    </row>
    <row r="280" spans="1:23" customFormat="1" ht="15" customHeight="1" thickBot="1" x14ac:dyDescent="0.3">
      <c r="A280" s="1369"/>
      <c r="B280" s="1306"/>
      <c r="C280" s="1306"/>
      <c r="D280" s="1306"/>
      <c r="E280" s="1306"/>
      <c r="F280" s="1698"/>
      <c r="G280" s="1699"/>
      <c r="H280" s="1699"/>
      <c r="I280" s="1699"/>
      <c r="J280" s="1699"/>
      <c r="K280" s="1699"/>
      <c r="L280" s="1699"/>
      <c r="M280" s="1699"/>
      <c r="N280" s="1326"/>
      <c r="O280" s="1027"/>
      <c r="P280" s="1227">
        <v>2826938540.7900004</v>
      </c>
      <c r="Q280" s="1226"/>
      <c r="R280" s="1027"/>
      <c r="S280" s="1027"/>
      <c r="T280" s="1027"/>
      <c r="U280" s="1027"/>
      <c r="V280" s="1027"/>
      <c r="W280" s="1027"/>
    </row>
    <row r="281" spans="1:23" customFormat="1" ht="62.25" customHeight="1" x14ac:dyDescent="0.25">
      <c r="A281" s="1369"/>
      <c r="B281" s="1306"/>
      <c r="C281" s="1306"/>
      <c r="D281" s="1306"/>
      <c r="E281" s="1306"/>
      <c r="F281" s="1700" t="s">
        <v>2684</v>
      </c>
      <c r="G281" s="1701"/>
      <c r="H281" s="1701"/>
      <c r="I281" s="1701"/>
      <c r="J281" s="1702" t="s">
        <v>1</v>
      </c>
      <c r="K281" s="1702"/>
      <c r="L281" s="1702"/>
      <c r="M281" s="1671" t="s">
        <v>2685</v>
      </c>
      <c r="N281" s="1672"/>
      <c r="O281" s="1027"/>
      <c r="P281" s="1027"/>
      <c r="Q281" s="1027"/>
      <c r="R281" s="1027"/>
      <c r="S281" s="1027"/>
      <c r="T281" s="1027"/>
      <c r="U281" s="1027"/>
      <c r="V281" s="1027"/>
      <c r="W281" s="1027"/>
    </row>
    <row r="282" spans="1:23" customFormat="1" ht="134.25" customHeight="1" x14ac:dyDescent="0.25">
      <c r="A282" s="1369"/>
      <c r="B282" s="1306"/>
      <c r="C282" s="1306"/>
      <c r="D282" s="1306"/>
      <c r="E282" s="1306"/>
      <c r="F282" s="1703" t="s">
        <v>2686</v>
      </c>
      <c r="G282" s="1704"/>
      <c r="H282" s="1704"/>
      <c r="I282" s="1704"/>
      <c r="J282" s="1705" t="s">
        <v>1827</v>
      </c>
      <c r="K282" s="1705"/>
      <c r="L282" s="1307" t="s">
        <v>2687</v>
      </c>
      <c r="M282" s="1673">
        <f>+O282</f>
        <v>0.1943039074823327</v>
      </c>
      <c r="N282" s="1674"/>
      <c r="O282" s="1027">
        <v>0.1943039074823327</v>
      </c>
      <c r="P282" s="1027"/>
      <c r="Q282" s="1027"/>
      <c r="R282" s="1027"/>
      <c r="S282" s="1027"/>
      <c r="T282" s="1027"/>
      <c r="U282" s="1027"/>
      <c r="V282" s="1027"/>
      <c r="W282" s="1027"/>
    </row>
    <row r="283" spans="1:23" customFormat="1" ht="36.75" customHeight="1" x14ac:dyDescent="0.25">
      <c r="A283" s="1369"/>
      <c r="B283" s="1306"/>
      <c r="C283" s="1306"/>
      <c r="D283" s="1306"/>
      <c r="E283" s="1306"/>
      <c r="F283" s="1703" t="s">
        <v>2688</v>
      </c>
      <c r="G283" s="1704"/>
      <c r="H283" s="1704"/>
      <c r="I283" s="1704"/>
      <c r="J283" s="1735" t="s">
        <v>2689</v>
      </c>
      <c r="K283" s="1736"/>
      <c r="L283" s="1307" t="s">
        <v>2690</v>
      </c>
      <c r="M283" s="1673">
        <v>0.05</v>
      </c>
      <c r="N283" s="1674"/>
      <c r="O283" s="1027"/>
      <c r="P283" s="1027"/>
      <c r="Q283" s="1027"/>
      <c r="R283" s="1027"/>
      <c r="S283" s="1027"/>
      <c r="T283" s="1027"/>
      <c r="U283" s="1027"/>
      <c r="V283" s="1027"/>
      <c r="W283" s="1027"/>
    </row>
    <row r="284" spans="1:23" customFormat="1" ht="61.5" customHeight="1" x14ac:dyDescent="0.25">
      <c r="A284" s="1369"/>
      <c r="B284" s="1306"/>
      <c r="C284" s="1306"/>
      <c r="D284" s="1306"/>
      <c r="E284" s="1306"/>
      <c r="F284" s="1737" t="s">
        <v>2712</v>
      </c>
      <c r="G284" s="1738"/>
      <c r="H284" s="1738"/>
      <c r="I284" s="1738"/>
      <c r="J284" s="1739" t="s">
        <v>2691</v>
      </c>
      <c r="K284" s="1705"/>
      <c r="L284" s="1307" t="s">
        <v>2692</v>
      </c>
      <c r="M284" s="1673">
        <v>0.05</v>
      </c>
      <c r="N284" s="1674"/>
      <c r="O284" s="1027"/>
      <c r="P284" s="1027"/>
      <c r="Q284" s="1027"/>
      <c r="R284" s="1027"/>
      <c r="S284" s="1027"/>
      <c r="T284" s="1027"/>
      <c r="U284" s="1027"/>
      <c r="V284" s="1027"/>
      <c r="W284" s="1027"/>
    </row>
    <row r="285" spans="1:23" customFormat="1" ht="15.75" customHeight="1" thickBot="1" x14ac:dyDescent="0.3">
      <c r="A285" s="1370"/>
      <c r="B285" s="1371"/>
      <c r="C285" s="1371"/>
      <c r="D285" s="1371"/>
      <c r="E285" s="1371"/>
      <c r="F285" s="1327"/>
      <c r="G285" s="1328"/>
      <c r="H285" s="1328"/>
      <c r="I285" s="1329"/>
      <c r="J285" s="1683" t="s">
        <v>2693</v>
      </c>
      <c r="K285" s="1683"/>
      <c r="L285" s="1330" t="s">
        <v>2694</v>
      </c>
      <c r="M285" s="1681">
        <f>M282+M283+M284</f>
        <v>0.29430390748233271</v>
      </c>
      <c r="N285" s="1682"/>
      <c r="O285" s="1027"/>
      <c r="P285" s="1027"/>
      <c r="Q285" s="1027"/>
      <c r="R285" s="1027"/>
      <c r="S285" s="1027"/>
      <c r="T285" s="1027"/>
      <c r="U285" s="1027"/>
      <c r="V285" s="1027"/>
      <c r="W285" s="1027"/>
    </row>
    <row r="286" spans="1:23" customFormat="1" ht="15" customHeight="1" x14ac:dyDescent="0.25">
      <c r="A286" s="1027"/>
      <c r="B286" s="1306"/>
      <c r="C286" s="1306"/>
      <c r="D286" s="1306"/>
      <c r="E286" s="1306"/>
      <c r="F286" s="652"/>
      <c r="G286" s="579"/>
      <c r="H286" s="579"/>
      <c r="I286" s="579"/>
      <c r="J286" s="1306"/>
      <c r="K286" s="1306"/>
      <c r="L286" s="1303"/>
      <c r="M286" s="1028"/>
      <c r="N286" s="579"/>
      <c r="O286" s="1027"/>
      <c r="P286" s="1027"/>
      <c r="Q286" s="1027"/>
      <c r="R286" s="1027"/>
      <c r="S286" s="1027"/>
      <c r="T286" s="1027"/>
      <c r="U286" s="1027"/>
      <c r="V286" s="1027"/>
      <c r="W286" s="1027"/>
    </row>
    <row r="287" spans="1:23" customFormat="1" ht="15" customHeight="1" x14ac:dyDescent="0.25">
      <c r="A287" s="1027"/>
      <c r="B287" s="1306"/>
      <c r="C287" s="1306"/>
      <c r="D287" s="1306"/>
      <c r="E287" s="1306"/>
      <c r="F287" s="1306"/>
      <c r="G287" s="652"/>
      <c r="H287" s="579"/>
      <c r="I287" s="579"/>
      <c r="J287" s="579"/>
      <c r="K287" s="579"/>
      <c r="L287" s="579"/>
      <c r="M287" s="579"/>
      <c r="N287" s="579"/>
      <c r="O287" s="1027"/>
      <c r="P287" s="1027"/>
      <c r="Q287" s="1027"/>
      <c r="R287" s="1027"/>
      <c r="S287" s="1027"/>
      <c r="T287" s="1027"/>
      <c r="U287" s="1027"/>
      <c r="V287" s="1027"/>
      <c r="W287" s="1027"/>
    </row>
    <row r="288" spans="1:23" customFormat="1" ht="15" customHeight="1" x14ac:dyDescent="0.25">
      <c r="A288" s="1027"/>
      <c r="B288" s="1306"/>
      <c r="C288" s="1306"/>
      <c r="D288" s="1306"/>
      <c r="E288" s="1306"/>
      <c r="F288" s="1306"/>
      <c r="G288" s="1027"/>
      <c r="H288" s="1027"/>
      <c r="I288" s="1687"/>
      <c r="J288" s="1420"/>
      <c r="K288" s="1420"/>
      <c r="L288" s="1420"/>
      <c r="M288" s="1670"/>
      <c r="N288" s="1420"/>
      <c r="O288" s="1040" t="e">
        <f>+#REF!</f>
        <v>#REF!</v>
      </c>
      <c r="P288" s="1027"/>
      <c r="Q288" s="1027"/>
      <c r="R288" s="1027"/>
      <c r="S288" s="1027"/>
      <c r="T288" s="1027"/>
      <c r="U288" s="1027"/>
      <c r="V288" s="1027"/>
      <c r="W288" s="1027"/>
    </row>
    <row r="289" spans="1:23" customFormat="1" ht="15" customHeight="1" x14ac:dyDescent="0.25">
      <c r="A289" s="1027"/>
      <c r="B289" s="1306"/>
      <c r="C289" s="1306"/>
      <c r="D289" s="1306"/>
      <c r="E289" s="1306"/>
      <c r="F289" s="1306"/>
      <c r="G289" s="1027"/>
      <c r="H289" s="1027"/>
      <c r="I289" s="1300"/>
      <c r="J289" s="1028"/>
      <c r="K289" s="1028"/>
      <c r="L289" s="1302"/>
      <c r="M289" s="1303"/>
      <c r="N289" s="1028"/>
      <c r="O289" s="1219" t="e">
        <f>+#REF!</f>
        <v>#REF!</v>
      </c>
      <c r="P289" s="1027"/>
      <c r="Q289" s="1027"/>
      <c r="R289" s="1027"/>
      <c r="S289" s="1027"/>
      <c r="T289" s="1027"/>
      <c r="U289" s="1027"/>
      <c r="V289" s="1027"/>
      <c r="W289" s="1027"/>
    </row>
    <row r="290" spans="1:23" customFormat="1" ht="15" customHeight="1" x14ac:dyDescent="0.25">
      <c r="A290" s="1027"/>
      <c r="H290" s="1027"/>
      <c r="I290" s="1305"/>
      <c r="J290" s="799"/>
      <c r="K290" s="799"/>
      <c r="L290" s="799"/>
      <c r="M290" s="1308"/>
      <c r="N290" s="799"/>
      <c r="O290" s="1219" t="e">
        <f>+#REF!+M288+M290</f>
        <v>#REF!</v>
      </c>
      <c r="P290" s="1027"/>
      <c r="Q290" s="1027"/>
      <c r="R290" s="1027"/>
      <c r="S290" s="1027"/>
      <c r="T290" s="1027"/>
      <c r="U290" s="1027"/>
      <c r="V290" s="1027"/>
      <c r="W290" s="1027"/>
    </row>
    <row r="291" spans="1:23" customFormat="1" ht="15" customHeight="1" x14ac:dyDescent="0.25">
      <c r="A291" s="1027"/>
      <c r="H291" s="1027"/>
      <c r="I291" s="1300"/>
      <c r="J291" s="1028"/>
      <c r="K291" s="1028"/>
      <c r="L291" s="1302"/>
      <c r="M291" s="1303"/>
      <c r="N291" s="1028"/>
      <c r="O291" s="1219" t="e">
        <f>+O290+O289+O288</f>
        <v>#REF!</v>
      </c>
      <c r="P291" s="1027"/>
      <c r="Q291" s="1027"/>
      <c r="R291" s="1027"/>
      <c r="S291" s="1027"/>
      <c r="T291" s="1027"/>
      <c r="U291" s="1027"/>
      <c r="V291" s="1027"/>
      <c r="W291" s="1027"/>
    </row>
    <row r="292" spans="1:23" customFormat="1" ht="15" customHeight="1" x14ac:dyDescent="0.25">
      <c r="A292" s="1027"/>
      <c r="E292" s="651"/>
      <c r="F292" s="652"/>
      <c r="G292" s="652"/>
      <c r="H292" s="579"/>
      <c r="I292" s="579"/>
      <c r="J292" s="579"/>
      <c r="K292" s="579"/>
      <c r="L292" s="579"/>
      <c r="M292" s="1308"/>
      <c r="N292" s="799"/>
      <c r="O292" s="1027"/>
      <c r="P292" s="1027"/>
      <c r="Q292" s="1027"/>
      <c r="R292" s="1027"/>
      <c r="S292" s="1027"/>
      <c r="T292" s="1027"/>
      <c r="U292" s="1027"/>
      <c r="V292" s="1027"/>
      <c r="W292" s="1027"/>
    </row>
    <row r="293" spans="1:23" customFormat="1" ht="15" customHeight="1" x14ac:dyDescent="0.25">
      <c r="A293" s="1027"/>
      <c r="E293" s="651"/>
      <c r="F293" s="652"/>
      <c r="G293" s="652"/>
      <c r="H293" s="579"/>
      <c r="I293" s="579"/>
      <c r="J293" s="579"/>
      <c r="K293" s="579"/>
      <c r="L293" s="579"/>
      <c r="M293" s="1303"/>
      <c r="N293" s="1303"/>
      <c r="O293" s="1027"/>
      <c r="P293" s="1027"/>
      <c r="Q293" s="1027"/>
      <c r="R293" s="1027"/>
      <c r="S293" s="1027"/>
      <c r="T293" s="1027"/>
      <c r="U293" s="1027"/>
      <c r="V293" s="1027"/>
      <c r="W293" s="1027"/>
    </row>
    <row r="294" spans="1:23" customFormat="1" ht="15" customHeight="1" x14ac:dyDescent="0.25">
      <c r="B294" s="1027"/>
      <c r="C294" s="1027"/>
      <c r="D294" s="1027"/>
      <c r="E294" s="651"/>
      <c r="F294" s="652"/>
      <c r="G294" s="652"/>
      <c r="H294" s="579"/>
      <c r="I294" s="579"/>
      <c r="J294" s="579"/>
      <c r="K294" s="579"/>
      <c r="L294" s="579"/>
      <c r="M294" s="1027"/>
      <c r="N294" s="1027"/>
      <c r="O294" s="1027"/>
      <c r="P294" s="1027"/>
      <c r="Q294" s="1027"/>
      <c r="R294" s="1027"/>
      <c r="S294" s="1027"/>
      <c r="T294" s="1027"/>
      <c r="U294" s="1027"/>
      <c r="V294" s="1027"/>
      <c r="W294" s="1027"/>
    </row>
    <row r="295" spans="1:23" ht="13.5" customHeight="1" x14ac:dyDescent="0.25">
      <c r="A295"/>
      <c r="B295" s="1027"/>
      <c r="C295" s="1027"/>
      <c r="D295" s="1027"/>
      <c r="M295" s="1027"/>
      <c r="N295" s="1027"/>
    </row>
    <row r="296" spans="1:23" ht="13.5" customHeight="1" x14ac:dyDescent="0.25">
      <c r="A296"/>
      <c r="B296" s="1027"/>
      <c r="C296" s="1027"/>
      <c r="D296" s="1027"/>
      <c r="M296" s="1027"/>
      <c r="N296" s="1027"/>
    </row>
    <row r="297" spans="1:23" ht="13.5" customHeight="1" x14ac:dyDescent="0.25">
      <c r="A297"/>
      <c r="B297" s="946"/>
      <c r="C297" s="1027"/>
      <c r="D297" s="1027"/>
      <c r="M297" s="1027"/>
      <c r="N297" s="1027"/>
      <c r="P297" s="786"/>
    </row>
    <row r="298" spans="1:23" ht="13.5" customHeight="1" x14ac:dyDescent="0.25">
      <c r="A298"/>
      <c r="B298" s="948"/>
      <c r="C298" s="1027"/>
      <c r="D298" s="1027"/>
      <c r="M298" s="1027"/>
      <c r="N298" s="1027"/>
    </row>
    <row r="299" spans="1:23" ht="13.5" customHeight="1" x14ac:dyDescent="0.25">
      <c r="A299"/>
      <c r="B299" s="948"/>
      <c r="C299" s="1027"/>
      <c r="D299" s="1027"/>
      <c r="M299" s="1027"/>
      <c r="N299" s="1027"/>
    </row>
    <row r="300" spans="1:23" ht="14.25" customHeight="1" x14ac:dyDescent="0.25">
      <c r="C300" s="1027"/>
      <c r="D300" s="1027"/>
      <c r="M300" s="1027"/>
      <c r="N300" s="1027"/>
    </row>
    <row r="301" spans="1:23" ht="14.25" customHeight="1" x14ac:dyDescent="0.25">
      <c r="C301" s="1027"/>
      <c r="D301" s="1027"/>
      <c r="M301" s="1027"/>
      <c r="N301" s="1027"/>
    </row>
    <row r="302" spans="1:23" ht="14.25" customHeight="1" x14ac:dyDescent="0.25">
      <c r="C302" s="1027"/>
      <c r="D302" s="1027"/>
      <c r="M302" s="1027"/>
      <c r="N302" s="1027"/>
    </row>
    <row r="303" spans="1:23" ht="14.25" customHeight="1" x14ac:dyDescent="0.25">
      <c r="C303" s="1027"/>
      <c r="D303" s="1027"/>
      <c r="M303" s="1027"/>
      <c r="N303" s="1027"/>
    </row>
    <row r="304" spans="1:23" ht="14.25" customHeight="1" x14ac:dyDescent="0.25">
      <c r="C304" s="1027"/>
      <c r="D304" s="1027"/>
      <c r="M304" s="1027"/>
      <c r="N304" s="1027"/>
    </row>
    <row r="305" spans="3:14" ht="14.25" customHeight="1" x14ac:dyDescent="0.25">
      <c r="C305" s="1027"/>
      <c r="D305" s="1027"/>
      <c r="M305" s="1027"/>
      <c r="N305" s="1027"/>
    </row>
    <row r="306" spans="3:14" ht="14.25" customHeight="1" x14ac:dyDescent="0.25">
      <c r="C306" s="1027"/>
      <c r="D306" s="1027"/>
      <c r="M306" s="1027"/>
      <c r="N306" s="1027"/>
    </row>
    <row r="307" spans="3:14" ht="14.25" customHeight="1" x14ac:dyDescent="0.25">
      <c r="C307" s="1027"/>
      <c r="D307" s="1027"/>
      <c r="M307" s="1027"/>
      <c r="N307" s="1027"/>
    </row>
    <row r="308" spans="3:14" ht="14.25" customHeight="1" x14ac:dyDescent="0.25">
      <c r="C308" s="1027"/>
      <c r="D308" s="1027"/>
      <c r="M308" s="1027"/>
      <c r="N308" s="1027"/>
    </row>
    <row r="309" spans="3:14" ht="14.25" customHeight="1" x14ac:dyDescent="0.25">
      <c r="C309" s="1027"/>
      <c r="D309" s="1027"/>
      <c r="M309" s="1027"/>
      <c r="N309" s="1027"/>
    </row>
    <row r="310" spans="3:14" ht="14.25" customHeight="1" x14ac:dyDescent="0.25">
      <c r="C310" s="1027"/>
      <c r="D310" s="1027"/>
      <c r="M310" s="1027"/>
      <c r="N310" s="1027"/>
    </row>
    <row r="311" spans="3:14" ht="14.25" customHeight="1" x14ac:dyDescent="0.25">
      <c r="C311" s="1027"/>
      <c r="D311" s="1027"/>
      <c r="M311" s="1027"/>
      <c r="N311" s="1027"/>
    </row>
    <row r="312" spans="3:14" ht="15" customHeight="1" x14ac:dyDescent="0.25">
      <c r="C312" s="1027"/>
      <c r="D312" s="1027"/>
      <c r="M312" s="1027"/>
      <c r="N312" s="1027"/>
    </row>
    <row r="313" spans="3:14" ht="14.25" customHeight="1" x14ac:dyDescent="0.25">
      <c r="C313" s="1027"/>
      <c r="D313" s="1027"/>
      <c r="E313" s="1027"/>
      <c r="F313" s="1027"/>
      <c r="G313" s="1027"/>
      <c r="H313" s="1027"/>
      <c r="I313" s="1027"/>
      <c r="J313" s="1027"/>
      <c r="K313" s="1027"/>
      <c r="L313" s="1027"/>
      <c r="M313" s="1027"/>
      <c r="N313" s="1027"/>
    </row>
    <row r="314" spans="3:14" ht="15" customHeight="1" x14ac:dyDescent="0.25">
      <c r="C314" s="1027"/>
      <c r="D314" s="1027"/>
      <c r="E314" s="1027"/>
      <c r="F314" s="1027"/>
      <c r="G314" s="1027"/>
      <c r="H314" s="1027"/>
      <c r="I314" s="1027"/>
      <c r="J314" s="1027"/>
      <c r="K314" s="1027"/>
      <c r="L314" s="1027"/>
      <c r="M314" s="1027"/>
      <c r="N314" s="1027"/>
    </row>
    <row r="315" spans="3:14" ht="15" customHeight="1" x14ac:dyDescent="0.25">
      <c r="C315" s="1027"/>
      <c r="D315" s="1027"/>
      <c r="E315" s="1027"/>
      <c r="F315" s="1027"/>
      <c r="G315" s="1027"/>
      <c r="H315" s="1027"/>
      <c r="I315" s="1027"/>
      <c r="J315" s="1027"/>
      <c r="K315" s="1027"/>
      <c r="L315" s="1027"/>
      <c r="M315" s="1027"/>
      <c r="N315" s="1027"/>
    </row>
    <row r="316" spans="3:14" ht="15" customHeight="1" x14ac:dyDescent="0.25">
      <c r="C316" s="1027"/>
      <c r="D316" s="1027"/>
      <c r="E316" s="1027"/>
      <c r="F316" s="1027"/>
      <c r="G316" s="1027"/>
      <c r="H316" s="1027"/>
      <c r="I316" s="1027"/>
      <c r="J316" s="1027"/>
      <c r="K316" s="1027"/>
      <c r="L316" s="1027"/>
      <c r="M316" s="1027"/>
      <c r="N316" s="1027"/>
    </row>
    <row r="317" spans="3:14" ht="15" customHeight="1" x14ac:dyDescent="0.25">
      <c r="C317" s="1027"/>
      <c r="D317" s="1027"/>
      <c r="E317" s="1027"/>
      <c r="F317" s="1027"/>
      <c r="G317" s="1027"/>
      <c r="H317" s="1027"/>
      <c r="I317" s="1027"/>
      <c r="J317" s="1027"/>
      <c r="K317" s="1027"/>
      <c r="L317" s="1027"/>
      <c r="M317" s="1027"/>
      <c r="N317" s="1027"/>
    </row>
    <row r="318" spans="3:14" ht="15" customHeight="1" x14ac:dyDescent="0.25">
      <c r="C318" s="1027"/>
      <c r="D318" s="1027"/>
      <c r="E318" s="1027"/>
      <c r="F318" s="1027"/>
      <c r="G318" s="1027"/>
      <c r="H318" s="1027"/>
      <c r="I318" s="1027"/>
      <c r="J318" s="1027"/>
      <c r="K318" s="1027"/>
      <c r="L318" s="1027"/>
      <c r="M318" s="1027"/>
      <c r="N318" s="1027"/>
    </row>
    <row r="319" spans="3:14" ht="15" x14ac:dyDescent="0.25">
      <c r="C319" s="1027"/>
      <c r="D319" s="1027"/>
      <c r="E319" s="1027"/>
      <c r="F319" s="1027"/>
      <c r="G319" s="1027"/>
      <c r="H319" s="1027"/>
      <c r="I319" s="1027"/>
      <c r="J319" s="1027"/>
      <c r="K319" s="572"/>
      <c r="L319" s="572"/>
      <c r="M319" s="572"/>
      <c r="N319" s="572"/>
    </row>
    <row r="320" spans="3:14" ht="15" x14ac:dyDescent="0.25">
      <c r="C320" s="1027"/>
      <c r="D320" s="1027"/>
      <c r="E320" s="1686"/>
      <c r="F320" s="1420"/>
      <c r="G320" s="1420"/>
      <c r="H320" s="1302"/>
      <c r="I320" s="1670"/>
      <c r="J320" s="1420"/>
      <c r="K320" s="572"/>
      <c r="L320" s="572"/>
      <c r="M320" s="572"/>
      <c r="N320" s="572"/>
    </row>
    <row r="321" spans="3:14" ht="15" x14ac:dyDescent="0.25">
      <c r="C321" s="1027"/>
      <c r="D321" s="1027"/>
      <c r="E321" s="1027"/>
      <c r="F321" s="1027"/>
      <c r="G321" s="1027"/>
      <c r="H321" s="1027"/>
      <c r="I321" s="1027"/>
      <c r="J321" s="1027"/>
      <c r="K321" s="572"/>
      <c r="L321" s="572"/>
      <c r="M321" s="572"/>
      <c r="N321" s="572"/>
    </row>
    <row r="322" spans="3:14" ht="15" x14ac:dyDescent="0.25">
      <c r="C322" s="1027"/>
      <c r="D322" s="1027"/>
      <c r="E322" s="1687"/>
      <c r="F322" s="1420"/>
      <c r="G322" s="1420"/>
      <c r="H322" s="1420"/>
      <c r="I322" s="1670"/>
      <c r="J322" s="1420"/>
      <c r="K322" s="572"/>
      <c r="L322" s="572"/>
      <c r="M322" s="572"/>
      <c r="N322" s="572"/>
    </row>
    <row r="323" spans="3:14" ht="15" x14ac:dyDescent="0.25">
      <c r="C323" s="1027"/>
      <c r="D323" s="1027"/>
      <c r="E323" s="1300"/>
      <c r="F323" s="1028"/>
      <c r="G323" s="1028"/>
      <c r="H323" s="1302"/>
      <c r="I323" s="1303"/>
      <c r="J323" s="1028"/>
      <c r="K323" s="572"/>
      <c r="L323" s="572"/>
      <c r="M323" s="572"/>
      <c r="N323" s="572"/>
    </row>
    <row r="324" spans="3:14" ht="15" x14ac:dyDescent="0.25">
      <c r="C324" s="1027"/>
      <c r="D324" s="1027"/>
      <c r="E324" s="1687"/>
      <c r="F324" s="1420"/>
      <c r="G324" s="1420"/>
      <c r="H324" s="1420"/>
      <c r="I324" s="1670"/>
      <c r="J324" s="1420"/>
      <c r="K324" s="572"/>
      <c r="L324" s="572"/>
      <c r="M324" s="572"/>
      <c r="N324" s="572"/>
    </row>
    <row r="325" spans="3:14" ht="15" x14ac:dyDescent="0.25">
      <c r="C325" s="1027"/>
      <c r="D325" s="1027"/>
      <c r="E325" s="1300"/>
      <c r="F325" s="1028"/>
      <c r="G325" s="1028"/>
      <c r="H325" s="1302"/>
      <c r="I325" s="1303"/>
      <c r="J325" s="1028"/>
      <c r="K325" s="572"/>
      <c r="L325" s="572"/>
      <c r="M325" s="572"/>
      <c r="N325" s="572"/>
    </row>
    <row r="326" spans="3:14" ht="15" x14ac:dyDescent="0.25">
      <c r="C326"/>
      <c r="D326" s="1027"/>
      <c r="E326" s="1687"/>
      <c r="F326" s="1420"/>
      <c r="G326" s="1420"/>
      <c r="H326" s="1420"/>
      <c r="I326" s="1670"/>
      <c r="J326" s="1420"/>
      <c r="K326" s="572"/>
      <c r="L326" s="572"/>
      <c r="M326" s="572"/>
      <c r="N326" s="572"/>
    </row>
    <row r="327" spans="3:14" ht="15" x14ac:dyDescent="0.25">
      <c r="C327"/>
      <c r="D327" s="1027"/>
      <c r="E327" s="1300"/>
      <c r="F327" s="1028"/>
      <c r="G327" s="1028"/>
      <c r="H327" s="1302"/>
      <c r="I327" s="1303"/>
      <c r="J327" s="1028"/>
      <c r="K327" s="572"/>
      <c r="L327" s="572"/>
      <c r="M327" s="572"/>
      <c r="N327" s="572"/>
    </row>
    <row r="328" spans="3:14" ht="15" x14ac:dyDescent="0.25">
      <c r="C328"/>
      <c r="D328" s="1027"/>
      <c r="E328" s="1684"/>
      <c r="F328" s="1420"/>
      <c r="G328" s="1420"/>
      <c r="H328" s="1420"/>
      <c r="I328" s="1670"/>
      <c r="J328" s="1420"/>
      <c r="K328" s="572"/>
      <c r="L328" s="572"/>
      <c r="M328" s="572"/>
      <c r="N328" s="572"/>
    </row>
    <row r="329" spans="3:14" ht="15" x14ac:dyDescent="0.25">
      <c r="C329"/>
      <c r="D329" s="1027"/>
      <c r="E329" s="1301"/>
      <c r="F329" s="1301"/>
      <c r="G329" s="1301"/>
      <c r="H329" s="1301"/>
      <c r="I329" s="1303"/>
      <c r="J329" s="1303"/>
      <c r="K329" s="572"/>
      <c r="L329" s="572"/>
      <c r="M329" s="572"/>
      <c r="N329" s="572"/>
    </row>
    <row r="330" spans="3:14" ht="15" x14ac:dyDescent="0.25">
      <c r="C330" s="1027"/>
      <c r="D330" s="1027"/>
      <c r="E330" s="1684"/>
      <c r="F330" s="1420"/>
      <c r="G330" s="1420"/>
      <c r="H330" s="1420"/>
      <c r="I330" s="1685"/>
      <c r="J330" s="1420"/>
      <c r="K330" s="572"/>
      <c r="L330" s="572"/>
      <c r="M330" s="572"/>
      <c r="N330" s="572"/>
    </row>
    <row r="331" spans="3:14" x14ac:dyDescent="0.2">
      <c r="C331"/>
      <c r="D331"/>
      <c r="E331"/>
      <c r="F331"/>
      <c r="G331"/>
      <c r="H331"/>
      <c r="I331" s="1685"/>
      <c r="J331" s="1420"/>
      <c r="K331" s="572"/>
      <c r="L331" s="572"/>
      <c r="M331" s="572"/>
      <c r="N331" s="572"/>
    </row>
    <row r="332" spans="3:14" x14ac:dyDescent="0.2">
      <c r="C332" s="572"/>
      <c r="D332" s="572"/>
      <c r="E332" s="1304"/>
      <c r="F332" s="690"/>
      <c r="G332" s="690"/>
      <c r="H332" s="572"/>
      <c r="I332" s="572"/>
      <c r="J332" s="572"/>
      <c r="K332" s="572"/>
      <c r="L332" s="572"/>
      <c r="M332" s="572"/>
      <c r="N332" s="572"/>
    </row>
    <row r="333" spans="3:14" x14ac:dyDescent="0.2">
      <c r="C333" s="572"/>
      <c r="D333" s="572"/>
      <c r="E333" s="1304"/>
      <c r="F333" s="690"/>
      <c r="G333" s="690"/>
      <c r="H333" s="572"/>
      <c r="I333" s="572"/>
      <c r="J333" s="572"/>
      <c r="K333" s="572"/>
      <c r="L333" s="572"/>
      <c r="M333" s="572"/>
      <c r="N333" s="572"/>
    </row>
    <row r="334" spans="3:14" x14ac:dyDescent="0.2">
      <c r="C334" s="572"/>
      <c r="D334" s="572"/>
      <c r="E334" s="1304"/>
      <c r="F334" s="690"/>
      <c r="G334" s="690"/>
      <c r="H334" s="572"/>
      <c r="I334" s="572"/>
      <c r="J334" s="572"/>
      <c r="K334" s="572"/>
      <c r="L334" s="572"/>
      <c r="M334" s="572"/>
      <c r="N334" s="572"/>
    </row>
    <row r="335" spans="3:14" x14ac:dyDescent="0.2">
      <c r="C335" s="572"/>
      <c r="D335" s="572"/>
      <c r="E335" s="1304"/>
      <c r="F335" s="690"/>
      <c r="G335" s="690"/>
      <c r="H335" s="572"/>
      <c r="I335" s="572"/>
      <c r="J335" s="572"/>
      <c r="K335" s="572"/>
      <c r="L335" s="572"/>
      <c r="M335" s="572"/>
      <c r="N335" s="572"/>
    </row>
  </sheetData>
  <mergeCells count="713">
    <mergeCell ref="A12:N14"/>
    <mergeCell ref="J10:K11"/>
    <mergeCell ref="M10:N11"/>
    <mergeCell ref="D10:H11"/>
    <mergeCell ref="A9:N9"/>
    <mergeCell ref="A7:N8"/>
    <mergeCell ref="B2:D2"/>
    <mergeCell ref="D5:K5"/>
    <mergeCell ref="D6:K6"/>
    <mergeCell ref="A10:A11"/>
    <mergeCell ref="B10:B11"/>
    <mergeCell ref="I10:I11"/>
    <mergeCell ref="L10:L11"/>
    <mergeCell ref="M284:N284"/>
    <mergeCell ref="F268:K268"/>
    <mergeCell ref="F269:K269"/>
    <mergeCell ref="F270:K270"/>
    <mergeCell ref="F271:I271"/>
    <mergeCell ref="F272:L272"/>
    <mergeCell ref="F273:I273"/>
    <mergeCell ref="F275:J275"/>
    <mergeCell ref="F276:J276"/>
    <mergeCell ref="F277:J277"/>
    <mergeCell ref="F278:J278"/>
    <mergeCell ref="F279:J279"/>
    <mergeCell ref="F274:J274"/>
    <mergeCell ref="F283:I283"/>
    <mergeCell ref="J283:K283"/>
    <mergeCell ref="F284:I284"/>
    <mergeCell ref="J284:K284"/>
    <mergeCell ref="M263:N263"/>
    <mergeCell ref="M264:N264"/>
    <mergeCell ref="A263:L263"/>
    <mergeCell ref="A264:L264"/>
    <mergeCell ref="A265:L265"/>
    <mergeCell ref="F280:M280"/>
    <mergeCell ref="F281:I281"/>
    <mergeCell ref="J281:L281"/>
    <mergeCell ref="F282:I282"/>
    <mergeCell ref="J282:K282"/>
    <mergeCell ref="M273:N273"/>
    <mergeCell ref="M265:N265"/>
    <mergeCell ref="F267:K267"/>
    <mergeCell ref="M267:N267"/>
    <mergeCell ref="M268:N268"/>
    <mergeCell ref="M269:N269"/>
    <mergeCell ref="M270:N270"/>
    <mergeCell ref="M271:N271"/>
    <mergeCell ref="M272:N272"/>
    <mergeCell ref="M274:N274"/>
    <mergeCell ref="M275:N275"/>
    <mergeCell ref="M276:N276"/>
    <mergeCell ref="M282:N282"/>
    <mergeCell ref="J285:K285"/>
    <mergeCell ref="E330:H330"/>
    <mergeCell ref="I330:J330"/>
    <mergeCell ref="I331:J331"/>
    <mergeCell ref="E320:G320"/>
    <mergeCell ref="I320:J320"/>
    <mergeCell ref="E322:H322"/>
    <mergeCell ref="I322:J322"/>
    <mergeCell ref="E324:H324"/>
    <mergeCell ref="I324:J324"/>
    <mergeCell ref="E326:H326"/>
    <mergeCell ref="I326:J326"/>
    <mergeCell ref="E328:H328"/>
    <mergeCell ref="I328:J328"/>
    <mergeCell ref="I288:L288"/>
    <mergeCell ref="C243:H243"/>
    <mergeCell ref="J243:K243"/>
    <mergeCell ref="M243:N243"/>
    <mergeCell ref="H230:L230"/>
    <mergeCell ref="M230:N230"/>
    <mergeCell ref="C244:H244"/>
    <mergeCell ref="J244:K244"/>
    <mergeCell ref="M244:N244"/>
    <mergeCell ref="C245:H245"/>
    <mergeCell ref="J245:K245"/>
    <mergeCell ref="M245:N245"/>
    <mergeCell ref="C239:L239"/>
    <mergeCell ref="M239:N239"/>
    <mergeCell ref="C240:H240"/>
    <mergeCell ref="J240:K240"/>
    <mergeCell ref="M240:N240"/>
    <mergeCell ref="C241:H241"/>
    <mergeCell ref="J241:K241"/>
    <mergeCell ref="M241:N241"/>
    <mergeCell ref="C242:L242"/>
    <mergeCell ref="M242:N242"/>
    <mergeCell ref="C236:H236"/>
    <mergeCell ref="C238:H238"/>
    <mergeCell ref="J238:K238"/>
    <mergeCell ref="M238:N238"/>
    <mergeCell ref="C232:H232"/>
    <mergeCell ref="J232:K232"/>
    <mergeCell ref="M232:N232"/>
    <mergeCell ref="C233:L233"/>
    <mergeCell ref="M233:N233"/>
    <mergeCell ref="C234:H234"/>
    <mergeCell ref="J234:K234"/>
    <mergeCell ref="M234:N234"/>
    <mergeCell ref="C235:L235"/>
    <mergeCell ref="M235:N235"/>
    <mergeCell ref="C210:L210"/>
    <mergeCell ref="M210:N210"/>
    <mergeCell ref="J217:K217"/>
    <mergeCell ref="J224:K224"/>
    <mergeCell ref="M224:N224"/>
    <mergeCell ref="C221:H221"/>
    <mergeCell ref="M216:N216"/>
    <mergeCell ref="C218:L218"/>
    <mergeCell ref="M218:N218"/>
    <mergeCell ref="M217:N217"/>
    <mergeCell ref="M215:N215"/>
    <mergeCell ref="C212:H212"/>
    <mergeCell ref="M222:N222"/>
    <mergeCell ref="C223:H223"/>
    <mergeCell ref="C211:H211"/>
    <mergeCell ref="J215:K215"/>
    <mergeCell ref="C213:L213"/>
    <mergeCell ref="M213:N213"/>
    <mergeCell ref="C214:H214"/>
    <mergeCell ref="J211:K211"/>
    <mergeCell ref="M211:N211"/>
    <mergeCell ref="C215:H215"/>
    <mergeCell ref="M90:N90"/>
    <mergeCell ref="C72:H72"/>
    <mergeCell ref="J72:K72"/>
    <mergeCell ref="C187:H187"/>
    <mergeCell ref="J187:K187"/>
    <mergeCell ref="M187:N187"/>
    <mergeCell ref="C188:H188"/>
    <mergeCell ref="C197:L197"/>
    <mergeCell ref="M197:N197"/>
    <mergeCell ref="M72:N72"/>
    <mergeCell ref="C90:H90"/>
    <mergeCell ref="C114:H114"/>
    <mergeCell ref="J114:K114"/>
    <mergeCell ref="M114:N114"/>
    <mergeCell ref="J90:K90"/>
    <mergeCell ref="M185:N185"/>
    <mergeCell ref="J183:K183"/>
    <mergeCell ref="M183:N183"/>
    <mergeCell ref="J191:K191"/>
    <mergeCell ref="M191:N191"/>
    <mergeCell ref="C192:H192"/>
    <mergeCell ref="C189:H189"/>
    <mergeCell ref="J189:K189"/>
    <mergeCell ref="M189:N189"/>
    <mergeCell ref="C209:H209"/>
    <mergeCell ref="J212:K212"/>
    <mergeCell ref="M212:N212"/>
    <mergeCell ref="C178:H178"/>
    <mergeCell ref="J178:K178"/>
    <mergeCell ref="M178:N178"/>
    <mergeCell ref="C179:H179"/>
    <mergeCell ref="J179:K179"/>
    <mergeCell ref="C180:L180"/>
    <mergeCell ref="M179:N179"/>
    <mergeCell ref="C183:H183"/>
    <mergeCell ref="C208:H208"/>
    <mergeCell ref="C198:H198"/>
    <mergeCell ref="J198:K198"/>
    <mergeCell ref="M198:N198"/>
    <mergeCell ref="C205:L205"/>
    <mergeCell ref="M205:N205"/>
    <mergeCell ref="C207:L207"/>
    <mergeCell ref="M207:N207"/>
    <mergeCell ref="H195:L195"/>
    <mergeCell ref="M195:N195"/>
    <mergeCell ref="B196:H196"/>
    <mergeCell ref="J196:K196"/>
    <mergeCell ref="M196:N196"/>
    <mergeCell ref="J208:K208"/>
    <mergeCell ref="C203:L203"/>
    <mergeCell ref="M203:N203"/>
    <mergeCell ref="M236:N236"/>
    <mergeCell ref="C237:H237"/>
    <mergeCell ref="C231:L231"/>
    <mergeCell ref="M231:N231"/>
    <mergeCell ref="C224:H224"/>
    <mergeCell ref="M219:N219"/>
    <mergeCell ref="C226:H226"/>
    <mergeCell ref="J226:K226"/>
    <mergeCell ref="M226:N226"/>
    <mergeCell ref="C225:H225"/>
    <mergeCell ref="J225:K225"/>
    <mergeCell ref="M225:N225"/>
    <mergeCell ref="C222:H222"/>
    <mergeCell ref="J222:K222"/>
    <mergeCell ref="C220:L220"/>
    <mergeCell ref="M220:N220"/>
    <mergeCell ref="J236:K236"/>
    <mergeCell ref="J237:K237"/>
    <mergeCell ref="M237:N237"/>
    <mergeCell ref="C228:H228"/>
    <mergeCell ref="J228:K228"/>
    <mergeCell ref="M228:N228"/>
    <mergeCell ref="J221:K221"/>
    <mergeCell ref="M221:N221"/>
    <mergeCell ref="J223:K223"/>
    <mergeCell ref="M223:N223"/>
    <mergeCell ref="C217:H217"/>
    <mergeCell ref="C219:H219"/>
    <mergeCell ref="J219:K219"/>
    <mergeCell ref="M180:N180"/>
    <mergeCell ref="C182:L182"/>
    <mergeCell ref="M182:N182"/>
    <mergeCell ref="C184:H184"/>
    <mergeCell ref="J184:K184"/>
    <mergeCell ref="M184:N184"/>
    <mergeCell ref="J209:K209"/>
    <mergeCell ref="M209:N209"/>
    <mergeCell ref="C227:H227"/>
    <mergeCell ref="J227:K227"/>
    <mergeCell ref="M227:N227"/>
    <mergeCell ref="C186:H186"/>
    <mergeCell ref="C190:H190"/>
    <mergeCell ref="C204:H204"/>
    <mergeCell ref="M206:N206"/>
    <mergeCell ref="J204:K204"/>
    <mergeCell ref="M204:N204"/>
    <mergeCell ref="C206:H206"/>
    <mergeCell ref="J206:K206"/>
    <mergeCell ref="M208:N208"/>
    <mergeCell ref="J188:K188"/>
    <mergeCell ref="J214:K214"/>
    <mergeCell ref="M214:N214"/>
    <mergeCell ref="C216:L216"/>
    <mergeCell ref="M285:N285"/>
    <mergeCell ref="M188:N188"/>
    <mergeCell ref="C257:H257"/>
    <mergeCell ref="J257:K257"/>
    <mergeCell ref="M257:N257"/>
    <mergeCell ref="H247:L247"/>
    <mergeCell ref="M247:N247"/>
    <mergeCell ref="C248:L248"/>
    <mergeCell ref="M248:N248"/>
    <mergeCell ref="C249:H249"/>
    <mergeCell ref="J249:K249"/>
    <mergeCell ref="M249:N249"/>
    <mergeCell ref="C250:L250"/>
    <mergeCell ref="M250:N250"/>
    <mergeCell ref="C251:H251"/>
    <mergeCell ref="J251:K251"/>
    <mergeCell ref="M288:N288"/>
    <mergeCell ref="M281:N281"/>
    <mergeCell ref="M283:N283"/>
    <mergeCell ref="M277:N277"/>
    <mergeCell ref="M278:N278"/>
    <mergeCell ref="M279:N279"/>
    <mergeCell ref="C185:L185"/>
    <mergeCell ref="C193:H193"/>
    <mergeCell ref="J193:K193"/>
    <mergeCell ref="H201:L201"/>
    <mergeCell ref="M201:N201"/>
    <mergeCell ref="B202:H202"/>
    <mergeCell ref="J202:K202"/>
    <mergeCell ref="M202:N202"/>
    <mergeCell ref="M192:N192"/>
    <mergeCell ref="J186:K186"/>
    <mergeCell ref="M199:N199"/>
    <mergeCell ref="J190:K190"/>
    <mergeCell ref="M190:N190"/>
    <mergeCell ref="C199:H199"/>
    <mergeCell ref="J199:K199"/>
    <mergeCell ref="J192:K192"/>
    <mergeCell ref="M193:N193"/>
    <mergeCell ref="C191:H191"/>
    <mergeCell ref="C170:H170"/>
    <mergeCell ref="M170:N170"/>
    <mergeCell ref="C176:H176"/>
    <mergeCell ref="J176:K176"/>
    <mergeCell ref="M176:N176"/>
    <mergeCell ref="C175:H175"/>
    <mergeCell ref="J175:K175"/>
    <mergeCell ref="M175:N175"/>
    <mergeCell ref="C171:H171"/>
    <mergeCell ref="J171:K171"/>
    <mergeCell ref="M171:N171"/>
    <mergeCell ref="C174:L174"/>
    <mergeCell ref="M174:N174"/>
    <mergeCell ref="J170:K170"/>
    <mergeCell ref="M186:N186"/>
    <mergeCell ref="C181:H181"/>
    <mergeCell ref="J181:K181"/>
    <mergeCell ref="M181:N181"/>
    <mergeCell ref="C172:H172"/>
    <mergeCell ref="H163:L163"/>
    <mergeCell ref="M163:N163"/>
    <mergeCell ref="B164:H164"/>
    <mergeCell ref="J164:K164"/>
    <mergeCell ref="M164:N164"/>
    <mergeCell ref="C167:L167"/>
    <mergeCell ref="M167:N167"/>
    <mergeCell ref="C169:L169"/>
    <mergeCell ref="M169:N169"/>
    <mergeCell ref="C165:L165"/>
    <mergeCell ref="M165:N165"/>
    <mergeCell ref="C166:H166"/>
    <mergeCell ref="J166:K166"/>
    <mergeCell ref="M166:N166"/>
    <mergeCell ref="C168:H168"/>
    <mergeCell ref="J168:K168"/>
    <mergeCell ref="M168:N168"/>
    <mergeCell ref="J172:K172"/>
    <mergeCell ref="M172:N172"/>
    <mergeCell ref="C143:L143"/>
    <mergeCell ref="M143:N143"/>
    <mergeCell ref="C173:H173"/>
    <mergeCell ref="J173:K173"/>
    <mergeCell ref="M173:N173"/>
    <mergeCell ref="C177:L177"/>
    <mergeCell ref="M177:N177"/>
    <mergeCell ref="C148:L148"/>
    <mergeCell ref="M148:N148"/>
    <mergeCell ref="J150:K150"/>
    <mergeCell ref="M150:N150"/>
    <mergeCell ref="C151:H151"/>
    <mergeCell ref="J151:K151"/>
    <mergeCell ref="M151:N151"/>
    <mergeCell ref="C154:H154"/>
    <mergeCell ref="J154:K154"/>
    <mergeCell ref="M154:N154"/>
    <mergeCell ref="C152:L152"/>
    <mergeCell ref="M152:N152"/>
    <mergeCell ref="C149:H149"/>
    <mergeCell ref="J149:K149"/>
    <mergeCell ref="M149:N149"/>
    <mergeCell ref="C160:H160"/>
    <mergeCell ref="J160:K160"/>
    <mergeCell ref="J141:K141"/>
    <mergeCell ref="M141:N141"/>
    <mergeCell ref="C138:H138"/>
    <mergeCell ref="J138:K138"/>
    <mergeCell ref="M138:N138"/>
    <mergeCell ref="C132:L132"/>
    <mergeCell ref="M132:N132"/>
    <mergeCell ref="C133:H133"/>
    <mergeCell ref="J133:K133"/>
    <mergeCell ref="M133:N133"/>
    <mergeCell ref="M139:N139"/>
    <mergeCell ref="C134:L134"/>
    <mergeCell ref="M134:N134"/>
    <mergeCell ref="C136:L136"/>
    <mergeCell ref="C135:H135"/>
    <mergeCell ref="J135:K135"/>
    <mergeCell ref="M135:N135"/>
    <mergeCell ref="C137:H137"/>
    <mergeCell ref="J137:K137"/>
    <mergeCell ref="M136:N136"/>
    <mergeCell ref="C140:L140"/>
    <mergeCell ref="M140:N140"/>
    <mergeCell ref="M125:N125"/>
    <mergeCell ref="C127:H127"/>
    <mergeCell ref="J127:K127"/>
    <mergeCell ref="M127:N127"/>
    <mergeCell ref="C126:H126"/>
    <mergeCell ref="J126:K126"/>
    <mergeCell ref="C147:H147"/>
    <mergeCell ref="J147:K147"/>
    <mergeCell ref="M147:N147"/>
    <mergeCell ref="M137:N137"/>
    <mergeCell ref="C139:H139"/>
    <mergeCell ref="J139:K139"/>
    <mergeCell ref="C142:H142"/>
    <mergeCell ref="J142:K142"/>
    <mergeCell ref="M142:N142"/>
    <mergeCell ref="C144:H144"/>
    <mergeCell ref="J144:K144"/>
    <mergeCell ref="M144:N144"/>
    <mergeCell ref="C145:H145"/>
    <mergeCell ref="J145:K145"/>
    <mergeCell ref="M145:N145"/>
    <mergeCell ref="C146:L146"/>
    <mergeCell ref="M146:N146"/>
    <mergeCell ref="C141:H141"/>
    <mergeCell ref="C116:H116"/>
    <mergeCell ref="J116:K116"/>
    <mergeCell ref="M116:N116"/>
    <mergeCell ref="M117:N117"/>
    <mergeCell ref="C117:H117"/>
    <mergeCell ref="J117:K117"/>
    <mergeCell ref="H130:L130"/>
    <mergeCell ref="M130:N130"/>
    <mergeCell ref="B131:H131"/>
    <mergeCell ref="J131:K131"/>
    <mergeCell ref="M131:N131"/>
    <mergeCell ref="C118:L118"/>
    <mergeCell ref="M118:N118"/>
    <mergeCell ref="C121:L121"/>
    <mergeCell ref="M121:N121"/>
    <mergeCell ref="C123:L123"/>
    <mergeCell ref="M123:N123"/>
    <mergeCell ref="C128:H128"/>
    <mergeCell ref="J128:K128"/>
    <mergeCell ref="M128:N128"/>
    <mergeCell ref="C124:H124"/>
    <mergeCell ref="J124:K124"/>
    <mergeCell ref="M124:N124"/>
    <mergeCell ref="C125:L125"/>
    <mergeCell ref="C122:H122"/>
    <mergeCell ref="J122:K122"/>
    <mergeCell ref="M122:N122"/>
    <mergeCell ref="C119:H119"/>
    <mergeCell ref="J119:K119"/>
    <mergeCell ref="M119:N119"/>
    <mergeCell ref="C120:H120"/>
    <mergeCell ref="J120:K120"/>
    <mergeCell ref="M120:N120"/>
    <mergeCell ref="C108:H108"/>
    <mergeCell ref="J108:K108"/>
    <mergeCell ref="M108:N108"/>
    <mergeCell ref="H105:L105"/>
    <mergeCell ref="M105:N105"/>
    <mergeCell ref="B106:H106"/>
    <mergeCell ref="J106:K106"/>
    <mergeCell ref="M106:N106"/>
    <mergeCell ref="M126:N126"/>
    <mergeCell ref="C113:H113"/>
    <mergeCell ref="J113:K113"/>
    <mergeCell ref="M113:N113"/>
    <mergeCell ref="C110:H110"/>
    <mergeCell ref="J110:K110"/>
    <mergeCell ref="M110:N110"/>
    <mergeCell ref="C112:H112"/>
    <mergeCell ref="J112:K112"/>
    <mergeCell ref="M112:N112"/>
    <mergeCell ref="C109:L109"/>
    <mergeCell ref="M109:N109"/>
    <mergeCell ref="C111:L111"/>
    <mergeCell ref="M111:N111"/>
    <mergeCell ref="C115:L115"/>
    <mergeCell ref="M115:N115"/>
    <mergeCell ref="M76:N76"/>
    <mergeCell ref="C79:L79"/>
    <mergeCell ref="M79:N79"/>
    <mergeCell ref="C81:L81"/>
    <mergeCell ref="M81:N81"/>
    <mergeCell ref="C78:H78"/>
    <mergeCell ref="J78:K78"/>
    <mergeCell ref="M78:N78"/>
    <mergeCell ref="C107:L107"/>
    <mergeCell ref="M107:N107"/>
    <mergeCell ref="C101:H101"/>
    <mergeCell ref="J101:K101"/>
    <mergeCell ref="M101:N101"/>
    <mergeCell ref="C102:H102"/>
    <mergeCell ref="J102:K102"/>
    <mergeCell ref="M102:N102"/>
    <mergeCell ref="C99:H99"/>
    <mergeCell ref="J99:K99"/>
    <mergeCell ref="M99:N99"/>
    <mergeCell ref="C100:H100"/>
    <mergeCell ref="J100:K100"/>
    <mergeCell ref="M100:N100"/>
    <mergeCell ref="C97:H97"/>
    <mergeCell ref="J97:K97"/>
    <mergeCell ref="C67:L67"/>
    <mergeCell ref="M67:N67"/>
    <mergeCell ref="C69:L69"/>
    <mergeCell ref="M69:N69"/>
    <mergeCell ref="C73:L73"/>
    <mergeCell ref="M73:N73"/>
    <mergeCell ref="C77:H77"/>
    <mergeCell ref="J77:K77"/>
    <mergeCell ref="M77:N77"/>
    <mergeCell ref="C74:H74"/>
    <mergeCell ref="J74:K74"/>
    <mergeCell ref="M74:N74"/>
    <mergeCell ref="C71:H71"/>
    <mergeCell ref="J71:K71"/>
    <mergeCell ref="M71:N71"/>
    <mergeCell ref="C68:H68"/>
    <mergeCell ref="J68:K68"/>
    <mergeCell ref="M68:N68"/>
    <mergeCell ref="C70:H70"/>
    <mergeCell ref="J70:K70"/>
    <mergeCell ref="M70:N70"/>
    <mergeCell ref="J75:K75"/>
    <mergeCell ref="M75:N75"/>
    <mergeCell ref="C76:L76"/>
    <mergeCell ref="M97:N97"/>
    <mergeCell ref="C98:H98"/>
    <mergeCell ref="J98:K98"/>
    <mergeCell ref="M98:N98"/>
    <mergeCell ref="C95:H95"/>
    <mergeCell ref="J95:K95"/>
    <mergeCell ref="M95:N95"/>
    <mergeCell ref="C96:H96"/>
    <mergeCell ref="J96:K96"/>
    <mergeCell ref="M96:N96"/>
    <mergeCell ref="C93:H93"/>
    <mergeCell ref="J93:K93"/>
    <mergeCell ref="M93:N93"/>
    <mergeCell ref="C94:H94"/>
    <mergeCell ref="J94:K94"/>
    <mergeCell ref="M94:N94"/>
    <mergeCell ref="C91:H91"/>
    <mergeCell ref="J91:K91"/>
    <mergeCell ref="M91:N91"/>
    <mergeCell ref="C92:H92"/>
    <mergeCell ref="J92:K92"/>
    <mergeCell ref="M92:N92"/>
    <mergeCell ref="C88:H88"/>
    <mergeCell ref="J88:K88"/>
    <mergeCell ref="M88:N88"/>
    <mergeCell ref="C89:H89"/>
    <mergeCell ref="J89:K89"/>
    <mergeCell ref="M89:N89"/>
    <mergeCell ref="C87:H87"/>
    <mergeCell ref="J87:K87"/>
    <mergeCell ref="M87:N87"/>
    <mergeCell ref="C85:L85"/>
    <mergeCell ref="M85:N85"/>
    <mergeCell ref="C86:H86"/>
    <mergeCell ref="J86:K86"/>
    <mergeCell ref="M86:N86"/>
    <mergeCell ref="C80:H80"/>
    <mergeCell ref="J80:K80"/>
    <mergeCell ref="M80:N80"/>
    <mergeCell ref="C82:H82"/>
    <mergeCell ref="J82:K82"/>
    <mergeCell ref="M82:N82"/>
    <mergeCell ref="C83:H83"/>
    <mergeCell ref="J83:K83"/>
    <mergeCell ref="M83:N83"/>
    <mergeCell ref="C84:H84"/>
    <mergeCell ref="J84:K84"/>
    <mergeCell ref="M84:N84"/>
    <mergeCell ref="C65:L65"/>
    <mergeCell ref="M65:N65"/>
    <mergeCell ref="C66:H66"/>
    <mergeCell ref="J66:K66"/>
    <mergeCell ref="M66:N66"/>
    <mergeCell ref="H63:L63"/>
    <mergeCell ref="M63:N63"/>
    <mergeCell ref="B64:H64"/>
    <mergeCell ref="J64:K64"/>
    <mergeCell ref="M64:N64"/>
    <mergeCell ref="C51:L51"/>
    <mergeCell ref="M51:N51"/>
    <mergeCell ref="C56:H56"/>
    <mergeCell ref="J56:K56"/>
    <mergeCell ref="M56:N56"/>
    <mergeCell ref="C54:H54"/>
    <mergeCell ref="J54:K54"/>
    <mergeCell ref="M54:N54"/>
    <mergeCell ref="C52:H52"/>
    <mergeCell ref="J52:K52"/>
    <mergeCell ref="M52:N52"/>
    <mergeCell ref="C53:L53"/>
    <mergeCell ref="M53:N53"/>
    <mergeCell ref="C57:H57"/>
    <mergeCell ref="J57:K57"/>
    <mergeCell ref="M57:N57"/>
    <mergeCell ref="C58:H58"/>
    <mergeCell ref="J58:K58"/>
    <mergeCell ref="M58:N58"/>
    <mergeCell ref="C55:H55"/>
    <mergeCell ref="J55:K55"/>
    <mergeCell ref="M55:N55"/>
    <mergeCell ref="C61:H61"/>
    <mergeCell ref="J61:K61"/>
    <mergeCell ref="M61:N61"/>
    <mergeCell ref="C59:H59"/>
    <mergeCell ref="J59:K59"/>
    <mergeCell ref="M59:N59"/>
    <mergeCell ref="C60:H60"/>
    <mergeCell ref="J60:K60"/>
    <mergeCell ref="M60:N60"/>
    <mergeCell ref="C47:H47"/>
    <mergeCell ref="J47:K47"/>
    <mergeCell ref="M47:N47"/>
    <mergeCell ref="C45:H45"/>
    <mergeCell ref="J45:K45"/>
    <mergeCell ref="M45:N45"/>
    <mergeCell ref="C48:H48"/>
    <mergeCell ref="J48:K48"/>
    <mergeCell ref="M48:N48"/>
    <mergeCell ref="C46:L46"/>
    <mergeCell ref="M46:N46"/>
    <mergeCell ref="C44:H44"/>
    <mergeCell ref="J44:K44"/>
    <mergeCell ref="M44:N44"/>
    <mergeCell ref="C36:H36"/>
    <mergeCell ref="M36:N36"/>
    <mergeCell ref="C38:H38"/>
    <mergeCell ref="H33:L33"/>
    <mergeCell ref="M33:N33"/>
    <mergeCell ref="C27:H27"/>
    <mergeCell ref="J27:K27"/>
    <mergeCell ref="M27:N27"/>
    <mergeCell ref="M41:N41"/>
    <mergeCell ref="C43:L43"/>
    <mergeCell ref="M43:N43"/>
    <mergeCell ref="C42:H42"/>
    <mergeCell ref="J42:K42"/>
    <mergeCell ref="M42:N42"/>
    <mergeCell ref="M35:N35"/>
    <mergeCell ref="M37:N37"/>
    <mergeCell ref="C40:H40"/>
    <mergeCell ref="J40:K40"/>
    <mergeCell ref="M40:N40"/>
    <mergeCell ref="M34:N34"/>
    <mergeCell ref="C35:L35"/>
    <mergeCell ref="C17:L17"/>
    <mergeCell ref="M17:N17"/>
    <mergeCell ref="C18:H18"/>
    <mergeCell ref="J18:K18"/>
    <mergeCell ref="M18:N18"/>
    <mergeCell ref="C19:L19"/>
    <mergeCell ref="M19:N19"/>
    <mergeCell ref="H16:L16"/>
    <mergeCell ref="M16:N16"/>
    <mergeCell ref="C20:H20"/>
    <mergeCell ref="J20:K20"/>
    <mergeCell ref="M20:N20"/>
    <mergeCell ref="C21:L21"/>
    <mergeCell ref="M21:N21"/>
    <mergeCell ref="C22:H22"/>
    <mergeCell ref="J22:K22"/>
    <mergeCell ref="M22:N22"/>
    <mergeCell ref="M38:N38"/>
    <mergeCell ref="C37:L37"/>
    <mergeCell ref="C23:H23"/>
    <mergeCell ref="J23:K23"/>
    <mergeCell ref="M23:N23"/>
    <mergeCell ref="C25:L25"/>
    <mergeCell ref="M25:N25"/>
    <mergeCell ref="C24:H24"/>
    <mergeCell ref="J24:K24"/>
    <mergeCell ref="M24:N24"/>
    <mergeCell ref="C28:L28"/>
    <mergeCell ref="C29:H29"/>
    <mergeCell ref="C30:L30"/>
    <mergeCell ref="C31:H31"/>
    <mergeCell ref="J31:K31"/>
    <mergeCell ref="J38:K38"/>
    <mergeCell ref="C26:H26"/>
    <mergeCell ref="J26:K26"/>
    <mergeCell ref="M26:N26"/>
    <mergeCell ref="M28:N28"/>
    <mergeCell ref="C103:H103"/>
    <mergeCell ref="J103:K103"/>
    <mergeCell ref="M103:N103"/>
    <mergeCell ref="J36:K36"/>
    <mergeCell ref="J29:K29"/>
    <mergeCell ref="M29:N29"/>
    <mergeCell ref="M30:N30"/>
    <mergeCell ref="M31:N31"/>
    <mergeCell ref="C50:H50"/>
    <mergeCell ref="J50:K50"/>
    <mergeCell ref="M50:N50"/>
    <mergeCell ref="C49:L49"/>
    <mergeCell ref="C39:L39"/>
    <mergeCell ref="M39:N39"/>
    <mergeCell ref="B34:H34"/>
    <mergeCell ref="J34:K34"/>
    <mergeCell ref="M49:N49"/>
    <mergeCell ref="C41:H41"/>
    <mergeCell ref="J41:K41"/>
    <mergeCell ref="C75:H75"/>
    <mergeCell ref="C155:H155"/>
    <mergeCell ref="J155:K155"/>
    <mergeCell ref="M155:N155"/>
    <mergeCell ref="C156:H156"/>
    <mergeCell ref="J156:K156"/>
    <mergeCell ref="M156:N156"/>
    <mergeCell ref="C150:H150"/>
    <mergeCell ref="C153:H153"/>
    <mergeCell ref="J153:K153"/>
    <mergeCell ref="M153:N153"/>
    <mergeCell ref="C161:H161"/>
    <mergeCell ref="J161:K161"/>
    <mergeCell ref="M161:N161"/>
    <mergeCell ref="C157:H157"/>
    <mergeCell ref="J157:K157"/>
    <mergeCell ref="M157:N157"/>
    <mergeCell ref="C158:H158"/>
    <mergeCell ref="J158:K158"/>
    <mergeCell ref="M158:N158"/>
    <mergeCell ref="J159:K159"/>
    <mergeCell ref="M159:N159"/>
    <mergeCell ref="M160:N160"/>
    <mergeCell ref="C159:H159"/>
    <mergeCell ref="M251:N251"/>
    <mergeCell ref="C252:L252"/>
    <mergeCell ref="M252:N252"/>
    <mergeCell ref="C253:H253"/>
    <mergeCell ref="J253:K253"/>
    <mergeCell ref="M253:N253"/>
    <mergeCell ref="C254:H254"/>
    <mergeCell ref="J254:K254"/>
    <mergeCell ref="M254:N254"/>
    <mergeCell ref="C255:L255"/>
    <mergeCell ref="M255:N255"/>
    <mergeCell ref="C258:L258"/>
    <mergeCell ref="M258:N258"/>
    <mergeCell ref="C259:H259"/>
    <mergeCell ref="C261:L261"/>
    <mergeCell ref="M261:N261"/>
    <mergeCell ref="C262:H262"/>
    <mergeCell ref="J262:K262"/>
    <mergeCell ref="M262:N262"/>
    <mergeCell ref="J259:K259"/>
    <mergeCell ref="M259:N259"/>
    <mergeCell ref="C260:H260"/>
    <mergeCell ref="J260:K260"/>
    <mergeCell ref="M260:N260"/>
    <mergeCell ref="C256:H256"/>
    <mergeCell ref="J256:K256"/>
    <mergeCell ref="M256:N256"/>
  </mergeCells>
  <phoneticPr fontId="104" type="noConversion"/>
  <conditionalFormatting sqref="L277">
    <cfRule type="cellIs" dxfId="1" priority="1" stopIfTrue="1" operator="equal">
      <formula>9600</formula>
    </cfRule>
  </conditionalFormatting>
  <printOptions horizontalCentered="1"/>
  <pageMargins left="0.19685039370078741" right="0.19685039370078741" top="0.19685039370078741" bottom="0.19685039370078741" header="0" footer="0"/>
  <pageSetup scale="49" orientation="portrait" horizontalDpi="4294967293" verticalDpi="4294967293" r:id="rId1"/>
  <rowBreaks count="1" manualBreakCount="1">
    <brk id="200" max="1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Q3004"/>
  <sheetViews>
    <sheetView view="pageBreakPreview" zoomScaleNormal="100" zoomScaleSheetLayoutView="100" workbookViewId="0">
      <selection activeCell="A3" sqref="A3:N3"/>
    </sheetView>
  </sheetViews>
  <sheetFormatPr baseColWidth="10" defaultRowHeight="12.75" x14ac:dyDescent="0.2"/>
  <cols>
    <col min="6" max="6" width="15.7109375" customWidth="1"/>
    <col min="8" max="8" width="13.28515625" customWidth="1"/>
    <col min="10" max="10" width="14" bestFit="1" customWidth="1"/>
    <col min="12" max="12" width="14" bestFit="1" customWidth="1"/>
    <col min="14" max="14" width="15.7109375" bestFit="1" customWidth="1"/>
    <col min="15" max="15" width="13" bestFit="1" customWidth="1"/>
  </cols>
  <sheetData>
    <row r="1" spans="1:14" x14ac:dyDescent="0.2">
      <c r="A1" s="1871" t="s">
        <v>2133</v>
      </c>
      <c r="B1" s="1872"/>
      <c r="C1" s="1872"/>
      <c r="D1" s="1872"/>
      <c r="E1" s="1872"/>
      <c r="F1" s="1872"/>
      <c r="G1" s="1872"/>
      <c r="H1" s="1872"/>
      <c r="I1" s="1872"/>
      <c r="J1" s="1872"/>
      <c r="K1" s="1872"/>
      <c r="L1" s="1872"/>
      <c r="M1" s="1875">
        <f>+'01'!$M$13</f>
        <v>0</v>
      </c>
      <c r="N1" s="1428"/>
    </row>
    <row r="2" spans="1:14" x14ac:dyDescent="0.2">
      <c r="A2" s="1873"/>
      <c r="B2" s="1874"/>
      <c r="C2" s="1874"/>
      <c r="D2" s="1874"/>
      <c r="E2" s="1874"/>
      <c r="F2" s="1874"/>
      <c r="G2" s="1874"/>
      <c r="H2" s="1874"/>
      <c r="I2" s="1874"/>
      <c r="J2" s="1874"/>
      <c r="K2" s="1874"/>
      <c r="L2" s="1874"/>
      <c r="M2" s="1426"/>
      <c r="N2" s="1430"/>
    </row>
    <row r="3" spans="1:14" ht="13.5" x14ac:dyDescent="0.2">
      <c r="A3" s="1103">
        <v>1</v>
      </c>
      <c r="B3" s="1103">
        <v>2</v>
      </c>
      <c r="C3" s="1103">
        <v>3</v>
      </c>
      <c r="D3" s="1103">
        <v>4</v>
      </c>
      <c r="E3" s="1103">
        <v>5</v>
      </c>
      <c r="F3" s="1103">
        <v>6</v>
      </c>
      <c r="G3" s="1103">
        <v>7</v>
      </c>
      <c r="H3" s="1103">
        <v>8</v>
      </c>
      <c r="I3" s="1103">
        <v>9</v>
      </c>
      <c r="J3" s="1103">
        <v>10</v>
      </c>
      <c r="K3" s="1103">
        <v>11</v>
      </c>
      <c r="L3" s="1103">
        <v>12</v>
      </c>
      <c r="M3" s="1103">
        <v>13</v>
      </c>
      <c r="N3" s="1103">
        <v>14</v>
      </c>
    </row>
    <row r="4" spans="1:14" ht="14.25" x14ac:dyDescent="0.3">
      <c r="A4" s="1104" t="s">
        <v>2134</v>
      </c>
      <c r="B4" s="1105" t="str">
        <f>A1</f>
        <v>LOCALIZACIÓN Y REPLANTEO DE REDES (NO INCLUYE EQUIPO DE TOPOGRAFÍA)</v>
      </c>
      <c r="C4" s="1106" t="s">
        <v>634</v>
      </c>
      <c r="D4" s="1107" t="s">
        <v>2135</v>
      </c>
      <c r="E4" s="1108" t="s">
        <v>1833</v>
      </c>
      <c r="F4" s="1109">
        <f>ROUNDUP(H4+J4+L4+N4,2)</f>
        <v>4730.2300000000005</v>
      </c>
      <c r="G4" s="1108" t="s">
        <v>2136</v>
      </c>
      <c r="H4" s="1110">
        <f>M22</f>
        <v>124.0926995375</v>
      </c>
      <c r="I4" s="1108" t="s">
        <v>621</v>
      </c>
      <c r="J4" s="1110">
        <f>M13</f>
        <v>2058.7960000000003</v>
      </c>
      <c r="K4" s="1108" t="s">
        <v>2137</v>
      </c>
      <c r="L4" s="1110">
        <f>M31</f>
        <v>65.486660986125003</v>
      </c>
      <c r="M4" s="1108" t="s">
        <v>2138</v>
      </c>
      <c r="N4" s="1111">
        <f>M40</f>
        <v>2481.8539907499999</v>
      </c>
    </row>
    <row r="5" spans="1:14" ht="13.5" x14ac:dyDescent="0.25">
      <c r="A5" s="1112"/>
      <c r="B5" s="1112"/>
      <c r="C5" s="1112"/>
      <c r="D5" s="1112"/>
      <c r="E5" s="1112"/>
      <c r="F5" s="1112"/>
      <c r="G5" s="1112"/>
      <c r="J5" s="1112"/>
      <c r="K5" s="1112"/>
      <c r="L5" s="1112"/>
      <c r="M5" s="1270" t="s">
        <v>2667</v>
      </c>
      <c r="N5" s="1270">
        <f>+F4*'01'!$O$15</f>
        <v>6122.3551723074543</v>
      </c>
    </row>
    <row r="6" spans="1:14" x14ac:dyDescent="0.2">
      <c r="A6" s="1820" t="s">
        <v>2139</v>
      </c>
      <c r="B6" s="1411"/>
      <c r="C6" s="1411"/>
      <c r="D6" s="1411"/>
      <c r="E6" s="1411"/>
      <c r="F6" s="1411"/>
      <c r="G6" s="1411"/>
      <c r="H6" s="1411"/>
      <c r="I6" s="1411"/>
      <c r="J6" s="1411"/>
      <c r="K6" s="1411"/>
      <c r="L6" s="1411"/>
      <c r="M6" s="1411"/>
      <c r="N6" s="1412"/>
    </row>
    <row r="7" spans="1:14" x14ac:dyDescent="0.2">
      <c r="A7" s="1818" t="s">
        <v>14</v>
      </c>
      <c r="B7" s="1411"/>
      <c r="C7" s="1411"/>
      <c r="D7" s="1411"/>
      <c r="E7" s="1411"/>
      <c r="F7" s="1411"/>
      <c r="G7" s="1412"/>
      <c r="H7" s="1113" t="s">
        <v>15</v>
      </c>
      <c r="I7" s="1821" t="s">
        <v>619</v>
      </c>
      <c r="J7" s="1412"/>
      <c r="K7" s="1821" t="s">
        <v>628</v>
      </c>
      <c r="L7" s="1412"/>
      <c r="M7" s="1821" t="s">
        <v>2140</v>
      </c>
      <c r="N7" s="1412"/>
    </row>
    <row r="8" spans="1:14" ht="13.5" x14ac:dyDescent="0.2">
      <c r="A8" s="1792" t="s">
        <v>2141</v>
      </c>
      <c r="B8" s="1411"/>
      <c r="C8" s="1411"/>
      <c r="D8" s="1411"/>
      <c r="E8" s="1411"/>
      <c r="F8" s="1411"/>
      <c r="G8" s="1412"/>
      <c r="H8" s="1032" t="str">
        <f>IF(A8="","",VLOOKUP(A8,'10'!$C$6:$E$1152,2,FALSE))</f>
        <v>Unidad</v>
      </c>
      <c r="I8" s="1785">
        <f>IF(A8="","",VLOOKUP(A8,'10'!$C$6:$E$1152,3,FALSE))</f>
        <v>3075</v>
      </c>
      <c r="J8" s="1412"/>
      <c r="K8" s="1819">
        <v>0.3</v>
      </c>
      <c r="L8" s="1412"/>
      <c r="M8" s="1785">
        <f t="shared" ref="M8:M12" si="0">IF(A8="","",I8*K8)</f>
        <v>922.5</v>
      </c>
      <c r="N8" s="1412"/>
    </row>
    <row r="9" spans="1:14" ht="13.5" x14ac:dyDescent="0.2">
      <c r="A9" s="1792" t="s">
        <v>2142</v>
      </c>
      <c r="B9" s="1411"/>
      <c r="C9" s="1411"/>
      <c r="D9" s="1411"/>
      <c r="E9" s="1411"/>
      <c r="F9" s="1411"/>
      <c r="G9" s="1412"/>
      <c r="H9" s="1032" t="str">
        <f>IF(A9="","",VLOOKUP(A9,'10'!$C$6:$E$1152,2,FALSE))</f>
        <v>Galón</v>
      </c>
      <c r="I9" s="1785">
        <f>IF(A9="","",VLOOKUP(A9,'10'!$C$6:$E$1152,3,FALSE))</f>
        <v>100912</v>
      </c>
      <c r="J9" s="1412"/>
      <c r="K9" s="1819">
        <v>8.0000000000000002E-3</v>
      </c>
      <c r="L9" s="1412"/>
      <c r="M9" s="1785">
        <f t="shared" si="0"/>
        <v>807.29600000000005</v>
      </c>
      <c r="N9" s="1412"/>
    </row>
    <row r="10" spans="1:14" ht="13.5" x14ac:dyDescent="0.2">
      <c r="A10" s="1792" t="s">
        <v>2143</v>
      </c>
      <c r="B10" s="1411"/>
      <c r="C10" s="1411"/>
      <c r="D10" s="1411"/>
      <c r="E10" s="1411"/>
      <c r="F10" s="1411"/>
      <c r="G10" s="1412"/>
      <c r="H10" s="1032" t="str">
        <f>IF(A10="","",VLOOKUP(A10,'10'!$C$6:$E$1152,2,FALSE))</f>
        <v>Libra</v>
      </c>
      <c r="I10" s="1785">
        <f>IF(A10="","",VLOOKUP(A10,'10'!$C$6:$E$1152,3,FALSE))</f>
        <v>10000</v>
      </c>
      <c r="J10" s="1412"/>
      <c r="K10" s="1819">
        <v>1.2E-2</v>
      </c>
      <c r="L10" s="1412"/>
      <c r="M10" s="1785">
        <f t="shared" si="0"/>
        <v>120</v>
      </c>
      <c r="N10" s="1412"/>
    </row>
    <row r="11" spans="1:14" ht="13.5" x14ac:dyDescent="0.2">
      <c r="A11" s="1792" t="s">
        <v>2144</v>
      </c>
      <c r="B11" s="1411"/>
      <c r="C11" s="1411"/>
      <c r="D11" s="1411"/>
      <c r="E11" s="1411"/>
      <c r="F11" s="1411"/>
      <c r="G11" s="1412"/>
      <c r="H11" s="1032" t="str">
        <f>IF(A11="","",VLOOKUP(A11,'10'!$C$6:$E$1152,2,FALSE))</f>
        <v>ml</v>
      </c>
      <c r="I11" s="1785">
        <f>IF(A11="","",VLOOKUP(A11,'10'!$C$6:$E$1152,3,FALSE))</f>
        <v>209</v>
      </c>
      <c r="J11" s="1412"/>
      <c r="K11" s="1819">
        <v>1</v>
      </c>
      <c r="L11" s="1412"/>
      <c r="M11" s="1785">
        <f t="shared" si="0"/>
        <v>209</v>
      </c>
      <c r="N11" s="1412"/>
    </row>
    <row r="12" spans="1:14" ht="13.5" x14ac:dyDescent="0.2">
      <c r="A12" s="1792"/>
      <c r="B12" s="1411"/>
      <c r="C12" s="1411"/>
      <c r="D12" s="1411"/>
      <c r="E12" s="1411"/>
      <c r="F12" s="1411"/>
      <c r="G12" s="1412"/>
      <c r="H12" s="1032" t="str">
        <f>IF(A12="","",VLOOKUP(A12,'10'!$C$6:$E$1152,2,FALSE))</f>
        <v/>
      </c>
      <c r="I12" s="1785" t="str">
        <f>IF(A12="","",VLOOKUP(A12,'10'!$C$6:$E$1152,3,FALSE))</f>
        <v/>
      </c>
      <c r="J12" s="1412"/>
      <c r="K12" s="1819"/>
      <c r="L12" s="1412"/>
      <c r="M12" s="1785" t="str">
        <f t="shared" si="0"/>
        <v/>
      </c>
      <c r="N12" s="1412"/>
    </row>
    <row r="13" spans="1:14" ht="13.5" x14ac:dyDescent="0.25">
      <c r="A13" s="1028"/>
      <c r="B13" s="1028"/>
      <c r="C13" s="1028"/>
      <c r="D13" s="1028"/>
      <c r="E13" s="1028"/>
      <c r="F13" s="1028"/>
      <c r="G13" s="1028"/>
      <c r="H13" s="1028"/>
      <c r="I13" s="1028"/>
      <c r="J13" s="1028"/>
      <c r="K13" s="1818" t="s">
        <v>523</v>
      </c>
      <c r="L13" s="1412"/>
      <c r="M13" s="1785">
        <f>SUM(M8:N12)</f>
        <v>2058.7960000000003</v>
      </c>
      <c r="N13" s="1412"/>
    </row>
    <row r="14" spans="1:14" ht="13.5" x14ac:dyDescent="0.25">
      <c r="A14" s="1028"/>
      <c r="B14" s="1028"/>
      <c r="C14" s="1028"/>
      <c r="D14" s="1028"/>
      <c r="E14" s="1028"/>
      <c r="F14" s="1028"/>
      <c r="G14" s="1028"/>
      <c r="H14" s="1028"/>
      <c r="I14" s="1028"/>
      <c r="J14" s="1028"/>
      <c r="K14" s="1028"/>
      <c r="L14" s="1028"/>
      <c r="M14" s="1028"/>
      <c r="N14" s="1028"/>
    </row>
    <row r="15" spans="1:14" x14ac:dyDescent="0.2">
      <c r="A15" s="1820" t="s">
        <v>2145</v>
      </c>
      <c r="B15" s="1411"/>
      <c r="C15" s="1411"/>
      <c r="D15" s="1411"/>
      <c r="E15" s="1411"/>
      <c r="F15" s="1411"/>
      <c r="G15" s="1411"/>
      <c r="H15" s="1411"/>
      <c r="I15" s="1411"/>
      <c r="J15" s="1411"/>
      <c r="K15" s="1411"/>
      <c r="L15" s="1411"/>
      <c r="M15" s="1411"/>
      <c r="N15" s="1412"/>
    </row>
    <row r="16" spans="1:14" x14ac:dyDescent="0.2">
      <c r="A16" s="1818" t="s">
        <v>14</v>
      </c>
      <c r="B16" s="1411"/>
      <c r="C16" s="1411"/>
      <c r="D16" s="1411"/>
      <c r="E16" s="1411"/>
      <c r="F16" s="1411"/>
      <c r="G16" s="1412"/>
      <c r="H16" s="1113" t="s">
        <v>15</v>
      </c>
      <c r="I16" s="1821" t="s">
        <v>619</v>
      </c>
      <c r="J16" s="1412"/>
      <c r="K16" s="1821" t="s">
        <v>628</v>
      </c>
      <c r="L16" s="1412"/>
      <c r="M16" s="1821" t="s">
        <v>2140</v>
      </c>
      <c r="N16" s="1412"/>
    </row>
    <row r="17" spans="1:14" ht="13.5" x14ac:dyDescent="0.2">
      <c r="A17" s="1792" t="s">
        <v>2146</v>
      </c>
      <c r="B17" s="1411"/>
      <c r="C17" s="1411"/>
      <c r="D17" s="1411"/>
      <c r="E17" s="1411"/>
      <c r="F17" s="1411"/>
      <c r="G17" s="1412"/>
      <c r="H17" s="1032" t="e">
        <f>IF(A17="","",VLOOKUP(A17,'11'!$C$6:$E$1012,2,FALSE))</f>
        <v>#N/A</v>
      </c>
      <c r="I17" s="1785">
        <f>M40</f>
        <v>2481.8539907499999</v>
      </c>
      <c r="J17" s="1412"/>
      <c r="K17" s="1819">
        <v>0.05</v>
      </c>
      <c r="L17" s="1412"/>
      <c r="M17" s="1785">
        <f t="shared" ref="M17:M21" si="1">IF(A17="","",I17*K17)</f>
        <v>124.0926995375</v>
      </c>
      <c r="N17" s="1412"/>
    </row>
    <row r="18" spans="1:14" ht="13.5" x14ac:dyDescent="0.2">
      <c r="A18" s="1786"/>
      <c r="B18" s="1411"/>
      <c r="C18" s="1411"/>
      <c r="D18" s="1411"/>
      <c r="E18" s="1411"/>
      <c r="F18" s="1411"/>
      <c r="G18" s="1412"/>
      <c r="H18" s="1032" t="str">
        <f>IF(A18="","",VLOOKUP(A18,'11'!$C$6:$E$1012,2,FALSE))</f>
        <v/>
      </c>
      <c r="I18" s="1785"/>
      <c r="J18" s="1412"/>
      <c r="K18" s="1824"/>
      <c r="L18" s="1412"/>
      <c r="M18" s="1785" t="str">
        <f t="shared" si="1"/>
        <v/>
      </c>
      <c r="N18" s="1412"/>
    </row>
    <row r="19" spans="1:14" ht="13.5" x14ac:dyDescent="0.2">
      <c r="A19" s="1792"/>
      <c r="B19" s="1411"/>
      <c r="C19" s="1411"/>
      <c r="D19" s="1411"/>
      <c r="E19" s="1411"/>
      <c r="F19" s="1411"/>
      <c r="G19" s="1412"/>
      <c r="H19" s="1032" t="str">
        <f>IF(A19="","",VLOOKUP(A19,'11'!$C$6:$E$1012,2,FALSE))</f>
        <v/>
      </c>
      <c r="I19" s="1785"/>
      <c r="J19" s="1412"/>
      <c r="K19" s="1819"/>
      <c r="L19" s="1412"/>
      <c r="M19" s="1785" t="str">
        <f t="shared" si="1"/>
        <v/>
      </c>
      <c r="N19" s="1412"/>
    </row>
    <row r="20" spans="1:14" ht="13.5" x14ac:dyDescent="0.2">
      <c r="A20" s="1792"/>
      <c r="B20" s="1411"/>
      <c r="C20" s="1411"/>
      <c r="D20" s="1411"/>
      <c r="E20" s="1411"/>
      <c r="F20" s="1411"/>
      <c r="G20" s="1412"/>
      <c r="H20" s="1032" t="str">
        <f>IF(A20="","",VLOOKUP(A20,'11'!$C$6:$E$1012,2,FALSE))</f>
        <v/>
      </c>
      <c r="I20" s="1785"/>
      <c r="J20" s="1412"/>
      <c r="K20" s="1819"/>
      <c r="L20" s="1412"/>
      <c r="M20" s="1785" t="str">
        <f t="shared" si="1"/>
        <v/>
      </c>
      <c r="N20" s="1412"/>
    </row>
    <row r="21" spans="1:14" ht="13.5" x14ac:dyDescent="0.2">
      <c r="A21" s="1792"/>
      <c r="B21" s="1411"/>
      <c r="C21" s="1411"/>
      <c r="D21" s="1411"/>
      <c r="E21" s="1411"/>
      <c r="F21" s="1411"/>
      <c r="G21" s="1412"/>
      <c r="H21" s="1032" t="str">
        <f>IF(A21="","",VLOOKUP(A21,'11'!$C$6:$E$1012,2,FALSE))</f>
        <v/>
      </c>
      <c r="I21" s="1785"/>
      <c r="J21" s="1412"/>
      <c r="K21" s="1819"/>
      <c r="L21" s="1412"/>
      <c r="M21" s="1785" t="str">
        <f t="shared" si="1"/>
        <v/>
      </c>
      <c r="N21" s="1412"/>
    </row>
    <row r="22" spans="1:14" ht="13.5" x14ac:dyDescent="0.25">
      <c r="A22" s="1028"/>
      <c r="B22" s="1028"/>
      <c r="C22" s="1028"/>
      <c r="D22" s="1028"/>
      <c r="E22" s="1028"/>
      <c r="F22" s="1028"/>
      <c r="G22" s="1028"/>
      <c r="H22" s="1028"/>
      <c r="I22" s="1028"/>
      <c r="J22" s="1028"/>
      <c r="K22" s="1818" t="s">
        <v>523</v>
      </c>
      <c r="L22" s="1412"/>
      <c r="M22" s="1785">
        <f>SUM(M17:N21)</f>
        <v>124.0926995375</v>
      </c>
      <c r="N22" s="1412"/>
    </row>
    <row r="23" spans="1:14" ht="13.5" x14ac:dyDescent="0.25">
      <c r="A23" s="1028"/>
      <c r="B23" s="1028"/>
      <c r="C23" s="1028"/>
      <c r="D23" s="1028"/>
      <c r="E23" s="1028"/>
      <c r="F23" s="1028"/>
      <c r="G23" s="1028"/>
      <c r="H23" s="1028"/>
      <c r="I23" s="1028"/>
      <c r="J23" s="1028"/>
      <c r="K23" s="1028"/>
      <c r="L23" s="1028"/>
      <c r="M23" s="1028"/>
      <c r="N23" s="1028"/>
    </row>
    <row r="24" spans="1:14" x14ac:dyDescent="0.2">
      <c r="A24" s="1820" t="s">
        <v>2147</v>
      </c>
      <c r="B24" s="1411"/>
      <c r="C24" s="1411"/>
      <c r="D24" s="1411"/>
      <c r="E24" s="1411"/>
      <c r="F24" s="1411"/>
      <c r="G24" s="1411"/>
      <c r="H24" s="1411"/>
      <c r="I24" s="1411"/>
      <c r="J24" s="1411"/>
      <c r="K24" s="1411"/>
      <c r="L24" s="1411"/>
      <c r="M24" s="1411"/>
      <c r="N24" s="1412"/>
    </row>
    <row r="25" spans="1:14" x14ac:dyDescent="0.2">
      <c r="A25" s="1818" t="s">
        <v>14</v>
      </c>
      <c r="B25" s="1411"/>
      <c r="C25" s="1411"/>
      <c r="D25" s="1411"/>
      <c r="E25" s="1411"/>
      <c r="F25" s="1411"/>
      <c r="G25" s="1412"/>
      <c r="H25" s="1113" t="s">
        <v>15</v>
      </c>
      <c r="I25" s="1821" t="s">
        <v>619</v>
      </c>
      <c r="J25" s="1412"/>
      <c r="K25" s="1821" t="s">
        <v>628</v>
      </c>
      <c r="L25" s="1412"/>
      <c r="M25" s="1821" t="s">
        <v>2140</v>
      </c>
      <c r="N25" s="1412"/>
    </row>
    <row r="26" spans="1:14" ht="13.5" x14ac:dyDescent="0.2">
      <c r="A26" s="1792" t="s">
        <v>2148</v>
      </c>
      <c r="B26" s="1411"/>
      <c r="C26" s="1411"/>
      <c r="D26" s="1411"/>
      <c r="E26" s="1411"/>
      <c r="F26" s="1411"/>
      <c r="G26" s="1412"/>
      <c r="H26" s="1032" t="s">
        <v>2149</v>
      </c>
      <c r="I26" s="1785">
        <f>M13+M22</f>
        <v>2182.8886995375001</v>
      </c>
      <c r="J26" s="1412"/>
      <c r="K26" s="1822">
        <v>0.03</v>
      </c>
      <c r="L26" s="1412"/>
      <c r="M26" s="1785">
        <f t="shared" ref="M26:M30" si="2">IF(A26="","",I26*K26)</f>
        <v>65.486660986125003</v>
      </c>
      <c r="N26" s="1412"/>
    </row>
    <row r="27" spans="1:14" ht="13.5" x14ac:dyDescent="0.2">
      <c r="A27" s="1792"/>
      <c r="B27" s="1411"/>
      <c r="C27" s="1411"/>
      <c r="D27" s="1411"/>
      <c r="E27" s="1411"/>
      <c r="F27" s="1411"/>
      <c r="G27" s="1412"/>
      <c r="H27" s="1032"/>
      <c r="I27" s="1785"/>
      <c r="J27" s="1412"/>
      <c r="K27" s="1824"/>
      <c r="L27" s="1412"/>
      <c r="M27" s="1785" t="str">
        <f t="shared" si="2"/>
        <v/>
      </c>
      <c r="N27" s="1412"/>
    </row>
    <row r="28" spans="1:14" ht="13.5" x14ac:dyDescent="0.2">
      <c r="A28" s="1792"/>
      <c r="B28" s="1411"/>
      <c r="C28" s="1411"/>
      <c r="D28" s="1411"/>
      <c r="E28" s="1411"/>
      <c r="F28" s="1411"/>
      <c r="G28" s="1412"/>
      <c r="H28" s="1032"/>
      <c r="I28" s="1785"/>
      <c r="J28" s="1412"/>
      <c r="K28" s="1819"/>
      <c r="L28" s="1412"/>
      <c r="M28" s="1785" t="str">
        <f t="shared" si="2"/>
        <v/>
      </c>
      <c r="N28" s="1412"/>
    </row>
    <row r="29" spans="1:14" ht="13.5" x14ac:dyDescent="0.2">
      <c r="A29" s="1792"/>
      <c r="B29" s="1411"/>
      <c r="C29" s="1411"/>
      <c r="D29" s="1411"/>
      <c r="E29" s="1411"/>
      <c r="F29" s="1411"/>
      <c r="G29" s="1412"/>
      <c r="H29" s="1032"/>
      <c r="I29" s="1785"/>
      <c r="J29" s="1412"/>
      <c r="K29" s="1819"/>
      <c r="L29" s="1412"/>
      <c r="M29" s="1785" t="str">
        <f t="shared" si="2"/>
        <v/>
      </c>
      <c r="N29" s="1412"/>
    </row>
    <row r="30" spans="1:14" ht="13.5" x14ac:dyDescent="0.2">
      <c r="A30" s="1792"/>
      <c r="B30" s="1411"/>
      <c r="C30" s="1411"/>
      <c r="D30" s="1411"/>
      <c r="E30" s="1411"/>
      <c r="F30" s="1411"/>
      <c r="G30" s="1412"/>
      <c r="H30" s="1032"/>
      <c r="I30" s="1785"/>
      <c r="J30" s="1412"/>
      <c r="K30" s="1819"/>
      <c r="L30" s="1412"/>
      <c r="M30" s="1785" t="str">
        <f t="shared" si="2"/>
        <v/>
      </c>
      <c r="N30" s="1412"/>
    </row>
    <row r="31" spans="1:14" ht="13.5" x14ac:dyDescent="0.25">
      <c r="A31" s="1028"/>
      <c r="B31" s="1028"/>
      <c r="C31" s="1028"/>
      <c r="D31" s="1028"/>
      <c r="E31" s="1028"/>
      <c r="F31" s="1028"/>
      <c r="G31" s="1028"/>
      <c r="H31" s="1028"/>
      <c r="I31" s="1028"/>
      <c r="J31" s="1028"/>
      <c r="K31" s="1818" t="s">
        <v>523</v>
      </c>
      <c r="L31" s="1412"/>
      <c r="M31" s="1785">
        <f>SUM(M26:N30)</f>
        <v>65.486660986125003</v>
      </c>
      <c r="N31" s="1412"/>
    </row>
    <row r="32" spans="1:14" ht="13.5" x14ac:dyDescent="0.25">
      <c r="A32" s="1028"/>
      <c r="B32" s="1028"/>
      <c r="C32" s="1028"/>
      <c r="D32" s="1028"/>
      <c r="E32" s="1028"/>
      <c r="F32" s="1028"/>
      <c r="G32" s="1028"/>
      <c r="H32" s="1028"/>
      <c r="I32" s="1028"/>
      <c r="J32" s="1028"/>
      <c r="K32" s="1028"/>
      <c r="L32" s="1028"/>
      <c r="M32" s="1028"/>
      <c r="N32" s="1028"/>
    </row>
    <row r="33" spans="1:14" x14ac:dyDescent="0.2">
      <c r="A33" s="1820" t="s">
        <v>2150</v>
      </c>
      <c r="B33" s="1411"/>
      <c r="C33" s="1411"/>
      <c r="D33" s="1411"/>
      <c r="E33" s="1411"/>
      <c r="F33" s="1411"/>
      <c r="G33" s="1411"/>
      <c r="H33" s="1411"/>
      <c r="I33" s="1411"/>
      <c r="J33" s="1411"/>
      <c r="K33" s="1411"/>
      <c r="L33" s="1411"/>
      <c r="M33" s="1411"/>
      <c r="N33" s="1412"/>
    </row>
    <row r="34" spans="1:14" x14ac:dyDescent="0.2">
      <c r="A34" s="1818" t="s">
        <v>14</v>
      </c>
      <c r="B34" s="1411"/>
      <c r="C34" s="1411"/>
      <c r="D34" s="1411"/>
      <c r="E34" s="1411"/>
      <c r="F34" s="1411"/>
      <c r="G34" s="1412"/>
      <c r="H34" s="1113" t="s">
        <v>15</v>
      </c>
      <c r="I34" s="1821" t="s">
        <v>619</v>
      </c>
      <c r="J34" s="1412"/>
      <c r="K34" s="1114" t="s">
        <v>1919</v>
      </c>
      <c r="L34" s="1115" t="s">
        <v>2151</v>
      </c>
      <c r="M34" s="1821" t="s">
        <v>2140</v>
      </c>
      <c r="N34" s="1412"/>
    </row>
    <row r="35" spans="1:14" ht="13.5" x14ac:dyDescent="0.25">
      <c r="A35" s="1817" t="s">
        <v>158</v>
      </c>
      <c r="B35" s="1411"/>
      <c r="C35" s="1411"/>
      <c r="D35" s="1411"/>
      <c r="E35" s="1411"/>
      <c r="F35" s="1411"/>
      <c r="G35" s="1412"/>
      <c r="H35" s="1032" t="str">
        <f>IF(A35="","",VLOOKUP(A35,'09'!$A$22:$O$168,4,FALSE))</f>
        <v>Cuadrilla</v>
      </c>
      <c r="I35" s="1785">
        <f>IF(A35="","",VLOOKUP(A35,'09'!$A$22:$O$168,5,FALSE))</f>
        <v>262637</v>
      </c>
      <c r="J35" s="1412"/>
      <c r="K35" s="1034">
        <f>IF(A35="","",'03'!$I$2)</f>
        <v>1.88995</v>
      </c>
      <c r="L35" s="1116">
        <v>5.0000000000000001E-3</v>
      </c>
      <c r="M35" s="1785">
        <f t="shared" ref="M35:M39" si="3">IF(A35="","",I35*K35*L35)</f>
        <v>2481.8539907499999</v>
      </c>
      <c r="N35" s="1412"/>
    </row>
    <row r="36" spans="1:14" ht="13.5" x14ac:dyDescent="0.25">
      <c r="A36" s="1817"/>
      <c r="B36" s="1411"/>
      <c r="C36" s="1411"/>
      <c r="D36" s="1411"/>
      <c r="E36" s="1411"/>
      <c r="F36" s="1411"/>
      <c r="G36" s="1412"/>
      <c r="H36" s="1032" t="str">
        <f>IF(A36="","",VLOOKUP(A36,'09'!$A$22:$O$168,4,FALSE))</f>
        <v/>
      </c>
      <c r="I36" s="1785" t="str">
        <f>IF(A36="","",VLOOKUP(A36,'09'!$A$22:$O$168,5,FALSE))</f>
        <v/>
      </c>
      <c r="J36" s="1412"/>
      <c r="K36" s="1034" t="str">
        <f>IF(A36="","",'03'!$I$2)</f>
        <v/>
      </c>
      <c r="L36" s="1034"/>
      <c r="M36" s="1785" t="str">
        <f t="shared" si="3"/>
        <v/>
      </c>
      <c r="N36" s="1412"/>
    </row>
    <row r="37" spans="1:14" ht="13.5" x14ac:dyDescent="0.25">
      <c r="A37" s="1817"/>
      <c r="B37" s="1411"/>
      <c r="C37" s="1411"/>
      <c r="D37" s="1411"/>
      <c r="E37" s="1411"/>
      <c r="F37" s="1411"/>
      <c r="G37" s="1412"/>
      <c r="H37" s="1032" t="str">
        <f>IF(A37="","",VLOOKUP(A37,'09'!$A$22:$O$168,4,FALSE))</f>
        <v/>
      </c>
      <c r="I37" s="1785" t="str">
        <f>IF(A37="","",VLOOKUP(A37,'09'!$A$22:$O$168,5,FALSE))</f>
        <v/>
      </c>
      <c r="J37" s="1412"/>
      <c r="K37" s="1034" t="str">
        <f>IF(A37="","",'03'!$I$2)</f>
        <v/>
      </c>
      <c r="L37" s="1117"/>
      <c r="M37" s="1785" t="str">
        <f t="shared" si="3"/>
        <v/>
      </c>
      <c r="N37" s="1412"/>
    </row>
    <row r="38" spans="1:14" ht="13.5" x14ac:dyDescent="0.25">
      <c r="A38" s="1817"/>
      <c r="B38" s="1411"/>
      <c r="C38" s="1411"/>
      <c r="D38" s="1411"/>
      <c r="E38" s="1411"/>
      <c r="F38" s="1411"/>
      <c r="G38" s="1412"/>
      <c r="H38" s="1032" t="str">
        <f>IF(A38="","",VLOOKUP(A38,'09'!$A$22:$O$168,4,FALSE))</f>
        <v/>
      </c>
      <c r="I38" s="1785" t="str">
        <f>IF(A38="","",VLOOKUP(A38,'09'!$A$22:$O$168,5,FALSE))</f>
        <v/>
      </c>
      <c r="J38" s="1412"/>
      <c r="K38" s="1034" t="str">
        <f>IF(A38="","",'03'!$I$2)</f>
        <v/>
      </c>
      <c r="L38" s="1117"/>
      <c r="M38" s="1785" t="str">
        <f t="shared" si="3"/>
        <v/>
      </c>
      <c r="N38" s="1412"/>
    </row>
    <row r="39" spans="1:14" ht="13.5" x14ac:dyDescent="0.25">
      <c r="A39" s="1817"/>
      <c r="B39" s="1411"/>
      <c r="C39" s="1411"/>
      <c r="D39" s="1411"/>
      <c r="E39" s="1411"/>
      <c r="F39" s="1411"/>
      <c r="G39" s="1412"/>
      <c r="H39" s="1032" t="str">
        <f>IF(A39="","",VLOOKUP(A39,'09'!$A$22:$O$168,4,FALSE))</f>
        <v/>
      </c>
      <c r="I39" s="1785" t="str">
        <f>IF(A39="","",VLOOKUP(A39,'09'!$A$22:$O$168,5,FALSE))</f>
        <v/>
      </c>
      <c r="J39" s="1412"/>
      <c r="K39" s="1034" t="str">
        <f>IF(A39="","",'03'!$I$2)</f>
        <v/>
      </c>
      <c r="L39" s="1117"/>
      <c r="M39" s="1785" t="str">
        <f t="shared" si="3"/>
        <v/>
      </c>
      <c r="N39" s="1412"/>
    </row>
    <row r="40" spans="1:14" ht="13.5" x14ac:dyDescent="0.25">
      <c r="A40" s="1028"/>
      <c r="B40" s="1028"/>
      <c r="C40" s="1028"/>
      <c r="D40" s="1028"/>
      <c r="E40" s="1028"/>
      <c r="F40" s="1028"/>
      <c r="G40" s="1028"/>
      <c r="H40" s="1028"/>
      <c r="I40" s="1028"/>
      <c r="J40" s="1028"/>
      <c r="K40" s="1818" t="s">
        <v>523</v>
      </c>
      <c r="L40" s="1412"/>
      <c r="M40" s="1785">
        <f>SUM(M35:N39)</f>
        <v>2481.8539907499999</v>
      </c>
      <c r="N40" s="1412"/>
    </row>
    <row r="41" spans="1:14" x14ac:dyDescent="0.2">
      <c r="I41" s="1414"/>
      <c r="J41" s="1415"/>
      <c r="K41" s="1415"/>
      <c r="L41" s="1415"/>
      <c r="M41" s="1415"/>
      <c r="N41" s="1415"/>
    </row>
    <row r="42" spans="1:14" ht="13.5" thickBot="1" x14ac:dyDescent="0.25">
      <c r="I42" s="1416"/>
      <c r="J42" s="1416"/>
      <c r="K42" s="1416"/>
      <c r="L42" s="1416"/>
      <c r="M42" s="1416"/>
      <c r="N42" s="1416"/>
    </row>
    <row r="43" spans="1:14" ht="14.25" thickTop="1" x14ac:dyDescent="0.2">
      <c r="I43" s="1417" t="s">
        <v>1829</v>
      </c>
      <c r="J43" s="1418"/>
      <c r="K43" s="1417" t="s">
        <v>2653</v>
      </c>
      <c r="L43" s="1418"/>
      <c r="M43" s="1418"/>
      <c r="N43" s="1418"/>
    </row>
    <row r="44" spans="1:14" ht="13.5" x14ac:dyDescent="0.2">
      <c r="I44" s="1419" t="s">
        <v>1831</v>
      </c>
      <c r="J44" s="1420"/>
      <c r="K44" s="1419"/>
      <c r="L44" s="1420"/>
      <c r="M44" s="1420"/>
      <c r="N44" s="1420"/>
    </row>
    <row r="45" spans="1:14" ht="12.75" customHeight="1" x14ac:dyDescent="0.2">
      <c r="A45" s="1871" t="s">
        <v>2198</v>
      </c>
      <c r="B45" s="1872"/>
      <c r="C45" s="1872"/>
      <c r="D45" s="1872"/>
      <c r="E45" s="1872"/>
      <c r="F45" s="1872"/>
      <c r="G45" s="1872"/>
      <c r="H45" s="1872"/>
      <c r="I45" s="1872"/>
      <c r="J45" s="1872"/>
      <c r="K45" s="1872"/>
      <c r="L45" s="1872"/>
      <c r="M45" s="1875">
        <f>+'01'!$M$13</f>
        <v>0</v>
      </c>
      <c r="N45" s="1428"/>
    </row>
    <row r="46" spans="1:14" x14ac:dyDescent="0.2">
      <c r="A46" s="1873"/>
      <c r="B46" s="1874"/>
      <c r="C46" s="1874"/>
      <c r="D46" s="1874"/>
      <c r="E46" s="1874"/>
      <c r="F46" s="1874"/>
      <c r="G46" s="1874"/>
      <c r="H46" s="1874"/>
      <c r="I46" s="1874"/>
      <c r="J46" s="1874"/>
      <c r="K46" s="1874"/>
      <c r="L46" s="1874"/>
      <c r="M46" s="1426"/>
      <c r="N46" s="1430"/>
    </row>
    <row r="47" spans="1:14" ht="13.5" x14ac:dyDescent="0.2">
      <c r="A47" s="1103"/>
      <c r="B47" s="1103"/>
      <c r="C47" s="1103"/>
      <c r="D47" s="1103"/>
      <c r="E47" s="1103"/>
      <c r="F47" s="1103"/>
      <c r="G47" s="1103"/>
      <c r="H47" s="1103"/>
      <c r="I47" s="1103"/>
      <c r="J47" s="1103"/>
      <c r="K47" s="1103"/>
      <c r="L47" s="1103"/>
      <c r="M47" s="1103"/>
      <c r="N47" s="1103"/>
    </row>
    <row r="48" spans="1:14" ht="14.25" x14ac:dyDescent="0.3">
      <c r="A48" s="1104" t="s">
        <v>2197</v>
      </c>
      <c r="B48" s="1105" t="str">
        <f>A45</f>
        <v>EXCAVACIÓN MECÁNICA EN MATERIAL COMÚN (INCLUYE MAQUINARIA)</v>
      </c>
      <c r="C48" s="1106" t="s">
        <v>634</v>
      </c>
      <c r="D48" s="1107" t="s">
        <v>12</v>
      </c>
      <c r="E48" s="1108" t="s">
        <v>1833</v>
      </c>
      <c r="F48" s="1111">
        <f>H48+J48+L48+N48</f>
        <v>19769.354838709674</v>
      </c>
      <c r="G48" s="1108" t="s">
        <v>2136</v>
      </c>
      <c r="H48" s="1111">
        <f>M67</f>
        <v>19193.548387096773</v>
      </c>
      <c r="I48" s="1108" t="s">
        <v>621</v>
      </c>
      <c r="J48" s="1111">
        <f>M58</f>
        <v>0</v>
      </c>
      <c r="K48" s="1108" t="s">
        <v>2137</v>
      </c>
      <c r="L48" s="1111">
        <f>M76</f>
        <v>575.80645161290317</v>
      </c>
      <c r="M48" s="1108" t="s">
        <v>2138</v>
      </c>
      <c r="N48" s="1111">
        <f>M85</f>
        <v>0</v>
      </c>
    </row>
    <row r="49" spans="1:14" ht="13.5" x14ac:dyDescent="0.25">
      <c r="A49" s="1112"/>
      <c r="B49" s="1112"/>
      <c r="C49" s="1112"/>
      <c r="D49" s="1112"/>
      <c r="E49" s="1112"/>
      <c r="F49" s="1112"/>
      <c r="G49" s="1112"/>
      <c r="J49" s="1112"/>
      <c r="K49" s="1112"/>
      <c r="L49" s="1112"/>
      <c r="M49" s="1270" t="s">
        <v>2667</v>
      </c>
      <c r="N49" s="1270">
        <f>+F48*'01'!$O$15</f>
        <v>25587.553216218992</v>
      </c>
    </row>
    <row r="50" spans="1:14" x14ac:dyDescent="0.2">
      <c r="A50" s="1820" t="s">
        <v>2139</v>
      </c>
      <c r="B50" s="1411"/>
      <c r="C50" s="1411"/>
      <c r="D50" s="1411"/>
      <c r="E50" s="1411"/>
      <c r="F50" s="1411"/>
      <c r="G50" s="1411"/>
      <c r="H50" s="1411"/>
      <c r="I50" s="1411"/>
      <c r="J50" s="1411"/>
      <c r="K50" s="1411"/>
      <c r="L50" s="1411"/>
      <c r="M50" s="1411"/>
      <c r="N50" s="1412"/>
    </row>
    <row r="51" spans="1:14" x14ac:dyDescent="0.2">
      <c r="A51" s="1818" t="s">
        <v>14</v>
      </c>
      <c r="B51" s="1411"/>
      <c r="C51" s="1411"/>
      <c r="D51" s="1411"/>
      <c r="E51" s="1411"/>
      <c r="F51" s="1411"/>
      <c r="G51" s="1412"/>
      <c r="H51" s="1113" t="s">
        <v>15</v>
      </c>
      <c r="I51" s="1821" t="s">
        <v>619</v>
      </c>
      <c r="J51" s="1412"/>
      <c r="K51" s="1821" t="s">
        <v>628</v>
      </c>
      <c r="L51" s="1412"/>
      <c r="M51" s="1821" t="s">
        <v>2140</v>
      </c>
      <c r="N51" s="1412"/>
    </row>
    <row r="52" spans="1:14" ht="13.5" x14ac:dyDescent="0.2">
      <c r="A52" s="1792"/>
      <c r="B52" s="1411"/>
      <c r="C52" s="1411"/>
      <c r="D52" s="1411"/>
      <c r="E52" s="1411"/>
      <c r="F52" s="1411"/>
      <c r="G52" s="1412"/>
      <c r="H52" s="1032"/>
      <c r="I52" s="1785"/>
      <c r="J52" s="1412"/>
      <c r="K52" s="1819"/>
      <c r="L52" s="1412"/>
      <c r="M52" s="1785"/>
      <c r="N52" s="1412"/>
    </row>
    <row r="53" spans="1:14" ht="13.5" x14ac:dyDescent="0.2">
      <c r="A53" s="1792"/>
      <c r="B53" s="1411"/>
      <c r="C53" s="1411"/>
      <c r="D53" s="1411"/>
      <c r="E53" s="1411"/>
      <c r="F53" s="1411"/>
      <c r="G53" s="1412"/>
      <c r="H53" s="1032"/>
      <c r="I53" s="1785"/>
      <c r="J53" s="1412"/>
      <c r="K53" s="1819"/>
      <c r="L53" s="1412"/>
      <c r="M53" s="1785"/>
      <c r="N53" s="1412"/>
    </row>
    <row r="54" spans="1:14" ht="13.5" x14ac:dyDescent="0.2">
      <c r="A54" s="1792"/>
      <c r="B54" s="1411"/>
      <c r="C54" s="1411"/>
      <c r="D54" s="1411"/>
      <c r="E54" s="1411"/>
      <c r="F54" s="1411"/>
      <c r="G54" s="1412"/>
      <c r="H54" s="1032"/>
      <c r="I54" s="1785"/>
      <c r="J54" s="1412"/>
      <c r="K54" s="1819"/>
      <c r="L54" s="1412"/>
      <c r="M54" s="1785"/>
      <c r="N54" s="1412"/>
    </row>
    <row r="55" spans="1:14" ht="13.5" x14ac:dyDescent="0.2">
      <c r="A55" s="1792"/>
      <c r="B55" s="1411"/>
      <c r="C55" s="1411"/>
      <c r="D55" s="1411"/>
      <c r="E55" s="1411"/>
      <c r="F55" s="1411"/>
      <c r="G55" s="1412"/>
      <c r="H55" s="1032"/>
      <c r="I55" s="1785"/>
      <c r="J55" s="1412"/>
      <c r="K55" s="1819"/>
      <c r="L55" s="1412"/>
      <c r="M55" s="1785"/>
      <c r="N55" s="1412"/>
    </row>
    <row r="56" spans="1:14" ht="13.5" x14ac:dyDescent="0.2">
      <c r="A56" s="1792"/>
      <c r="B56" s="1411"/>
      <c r="C56" s="1411"/>
      <c r="D56" s="1411"/>
      <c r="E56" s="1411"/>
      <c r="F56" s="1411"/>
      <c r="G56" s="1412"/>
      <c r="H56" s="1032"/>
      <c r="I56" s="1785"/>
      <c r="J56" s="1412"/>
      <c r="K56" s="1819"/>
      <c r="L56" s="1412"/>
      <c r="M56" s="1785"/>
      <c r="N56" s="1412"/>
    </row>
    <row r="57" spans="1:14" ht="13.5" x14ac:dyDescent="0.2">
      <c r="A57" s="1792"/>
      <c r="B57" s="1411"/>
      <c r="C57" s="1411"/>
      <c r="D57" s="1411"/>
      <c r="E57" s="1411"/>
      <c r="F57" s="1411"/>
      <c r="G57" s="1412"/>
      <c r="H57" s="1032"/>
      <c r="I57" s="1785"/>
      <c r="J57" s="1412"/>
      <c r="K57" s="1819"/>
      <c r="L57" s="1412"/>
      <c r="M57" s="1785"/>
      <c r="N57" s="1412"/>
    </row>
    <row r="58" spans="1:14" ht="13.5" x14ac:dyDescent="0.25">
      <c r="A58" s="1028"/>
      <c r="B58" s="1028"/>
      <c r="C58" s="1028"/>
      <c r="D58" s="1028"/>
      <c r="E58" s="1028"/>
      <c r="F58" s="1028"/>
      <c r="G58" s="1028"/>
      <c r="H58" s="1028"/>
      <c r="I58" s="1028"/>
      <c r="J58" s="1028"/>
      <c r="K58" s="1818" t="s">
        <v>523</v>
      </c>
      <c r="L58" s="1412"/>
      <c r="M58" s="1785">
        <f>SUM(M52:N57)</f>
        <v>0</v>
      </c>
      <c r="N58" s="1412"/>
    </row>
    <row r="59" spans="1:14" ht="13.5" x14ac:dyDescent="0.25">
      <c r="A59" s="1028"/>
      <c r="B59" s="1028"/>
      <c r="C59" s="1028"/>
      <c r="D59" s="1028"/>
      <c r="E59" s="1028"/>
      <c r="F59" s="1028"/>
      <c r="G59" s="1028"/>
      <c r="H59" s="1028"/>
      <c r="I59" s="1028"/>
      <c r="J59" s="1028"/>
      <c r="K59" s="1028"/>
      <c r="L59" s="1028"/>
      <c r="M59" s="1028"/>
      <c r="N59" s="1028"/>
    </row>
    <row r="60" spans="1:14" x14ac:dyDescent="0.2">
      <c r="A60" s="1820" t="s">
        <v>2145</v>
      </c>
      <c r="B60" s="1411"/>
      <c r="C60" s="1411"/>
      <c r="D60" s="1411"/>
      <c r="E60" s="1411"/>
      <c r="F60" s="1411"/>
      <c r="G60" s="1411"/>
      <c r="H60" s="1411"/>
      <c r="I60" s="1411"/>
      <c r="J60" s="1411"/>
      <c r="K60" s="1411"/>
      <c r="L60" s="1411"/>
      <c r="M60" s="1411"/>
      <c r="N60" s="1412"/>
    </row>
    <row r="61" spans="1:14" x14ac:dyDescent="0.2">
      <c r="A61" s="1818" t="s">
        <v>14</v>
      </c>
      <c r="B61" s="1411"/>
      <c r="C61" s="1411"/>
      <c r="D61" s="1411"/>
      <c r="E61" s="1411"/>
      <c r="F61" s="1411"/>
      <c r="G61" s="1412"/>
      <c r="H61" s="1113" t="s">
        <v>15</v>
      </c>
      <c r="I61" s="1821" t="s">
        <v>619</v>
      </c>
      <c r="J61" s="1412"/>
      <c r="K61" s="1821" t="s">
        <v>628</v>
      </c>
      <c r="L61" s="1412"/>
      <c r="M61" s="1821" t="s">
        <v>2140</v>
      </c>
      <c r="N61" s="1412"/>
    </row>
    <row r="62" spans="1:14" ht="13.5" x14ac:dyDescent="0.2">
      <c r="A62" s="1792" t="s">
        <v>2179</v>
      </c>
      <c r="B62" s="1411"/>
      <c r="C62" s="1411"/>
      <c r="D62" s="1411"/>
      <c r="E62" s="1411"/>
      <c r="F62" s="1411"/>
      <c r="G62" s="1412"/>
      <c r="H62" s="1032" t="str">
        <f>IF(A62="","",VLOOKUP(A62,'11'!$C$6:$E$1012,2,FALSE))</f>
        <v>Hora</v>
      </c>
      <c r="I62" s="1785">
        <f>IF(A62="","",VLOOKUP(A62,'11'!$C$6:$E$1012,3,FALSE))</f>
        <v>178500</v>
      </c>
      <c r="J62" s="1412"/>
      <c r="K62" s="1819">
        <f>1/9.3</f>
        <v>0.1075268817204301</v>
      </c>
      <c r="L62" s="1412"/>
      <c r="M62" s="1785">
        <f t="shared" ref="M62" si="4">IF(A62="","",I62*K62)</f>
        <v>19193.548387096773</v>
      </c>
      <c r="N62" s="1412"/>
    </row>
    <row r="63" spans="1:14" ht="13.5" x14ac:dyDescent="0.2">
      <c r="A63" s="1786"/>
      <c r="B63" s="1411"/>
      <c r="C63" s="1411"/>
      <c r="D63" s="1411"/>
      <c r="E63" s="1411"/>
      <c r="F63" s="1411"/>
      <c r="G63" s="1412"/>
      <c r="H63" s="1032"/>
      <c r="I63" s="1785"/>
      <c r="J63" s="1412"/>
      <c r="K63" s="1824"/>
      <c r="L63" s="1412"/>
      <c r="M63" s="1785"/>
      <c r="N63" s="1412"/>
    </row>
    <row r="64" spans="1:14" ht="13.5" x14ac:dyDescent="0.2">
      <c r="A64" s="1792"/>
      <c r="B64" s="1411"/>
      <c r="C64" s="1411"/>
      <c r="D64" s="1411"/>
      <c r="E64" s="1411"/>
      <c r="F64" s="1411"/>
      <c r="G64" s="1412"/>
      <c r="H64" s="1032"/>
      <c r="I64" s="1785"/>
      <c r="J64" s="1412"/>
      <c r="K64" s="1876"/>
      <c r="L64" s="1412"/>
      <c r="M64" s="1785"/>
      <c r="N64" s="1412"/>
    </row>
    <row r="65" spans="1:14" ht="13.5" x14ac:dyDescent="0.2">
      <c r="A65" s="1792"/>
      <c r="B65" s="1411"/>
      <c r="C65" s="1411"/>
      <c r="D65" s="1411"/>
      <c r="E65" s="1411"/>
      <c r="F65" s="1411"/>
      <c r="G65" s="1412"/>
      <c r="H65" s="1032"/>
      <c r="I65" s="1785"/>
      <c r="J65" s="1412"/>
      <c r="K65" s="1819"/>
      <c r="L65" s="1412"/>
      <c r="M65" s="1785"/>
      <c r="N65" s="1412"/>
    </row>
    <row r="66" spans="1:14" ht="13.5" x14ac:dyDescent="0.2">
      <c r="A66" s="1792"/>
      <c r="B66" s="1411"/>
      <c r="C66" s="1411"/>
      <c r="D66" s="1411"/>
      <c r="E66" s="1411"/>
      <c r="F66" s="1411"/>
      <c r="G66" s="1412"/>
      <c r="H66" s="1032"/>
      <c r="I66" s="1785"/>
      <c r="J66" s="1412"/>
      <c r="K66" s="1819"/>
      <c r="L66" s="1412"/>
      <c r="M66" s="1785"/>
      <c r="N66" s="1412"/>
    </row>
    <row r="67" spans="1:14" ht="13.5" x14ac:dyDescent="0.25">
      <c r="A67" s="1028"/>
      <c r="B67" s="1028"/>
      <c r="C67" s="1028"/>
      <c r="D67" s="1028"/>
      <c r="E67" s="1028"/>
      <c r="F67" s="1028"/>
      <c r="G67" s="1028"/>
      <c r="H67" s="1028"/>
      <c r="I67" s="1028"/>
      <c r="J67" s="1028"/>
      <c r="K67" s="1818" t="s">
        <v>523</v>
      </c>
      <c r="L67" s="1412"/>
      <c r="M67" s="1785">
        <f>SUM(M62:N66)</f>
        <v>19193.548387096773</v>
      </c>
      <c r="N67" s="1412"/>
    </row>
    <row r="68" spans="1:14" ht="13.5" x14ac:dyDescent="0.25">
      <c r="A68" s="1028"/>
      <c r="B68" s="1028"/>
      <c r="C68" s="1028"/>
      <c r="D68" s="1028"/>
      <c r="E68" s="1028"/>
      <c r="F68" s="1028"/>
      <c r="G68" s="1028"/>
      <c r="H68" s="1028"/>
      <c r="I68" s="1028"/>
      <c r="J68" s="1028"/>
      <c r="K68" s="1028"/>
      <c r="L68" s="1028"/>
      <c r="M68" s="1028"/>
      <c r="N68" s="1028"/>
    </row>
    <row r="69" spans="1:14" x14ac:dyDescent="0.2">
      <c r="A69" s="1820" t="s">
        <v>2147</v>
      </c>
      <c r="B69" s="1411"/>
      <c r="C69" s="1411"/>
      <c r="D69" s="1411"/>
      <c r="E69" s="1411"/>
      <c r="F69" s="1411"/>
      <c r="G69" s="1411"/>
      <c r="H69" s="1411"/>
      <c r="I69" s="1411"/>
      <c r="J69" s="1411"/>
      <c r="K69" s="1411"/>
      <c r="L69" s="1411"/>
      <c r="M69" s="1411"/>
      <c r="N69" s="1412"/>
    </row>
    <row r="70" spans="1:14" x14ac:dyDescent="0.2">
      <c r="A70" s="1818" t="s">
        <v>14</v>
      </c>
      <c r="B70" s="1411"/>
      <c r="C70" s="1411"/>
      <c r="D70" s="1411"/>
      <c r="E70" s="1411"/>
      <c r="F70" s="1411"/>
      <c r="G70" s="1412"/>
      <c r="H70" s="1113" t="s">
        <v>15</v>
      </c>
      <c r="I70" s="1821" t="s">
        <v>619</v>
      </c>
      <c r="J70" s="1412"/>
      <c r="K70" s="1821" t="s">
        <v>628</v>
      </c>
      <c r="L70" s="1412"/>
      <c r="M70" s="1821" t="s">
        <v>2140</v>
      </c>
      <c r="N70" s="1412"/>
    </row>
    <row r="71" spans="1:14" ht="13.5" x14ac:dyDescent="0.2">
      <c r="A71" s="1792" t="s">
        <v>2167</v>
      </c>
      <c r="B71" s="1411"/>
      <c r="C71" s="1411"/>
      <c r="D71" s="1411"/>
      <c r="E71" s="1411"/>
      <c r="F71" s="1411"/>
      <c r="G71" s="1412"/>
      <c r="H71" s="1032" t="s">
        <v>2199</v>
      </c>
      <c r="I71" s="1785">
        <f>+M67</f>
        <v>19193.548387096773</v>
      </c>
      <c r="J71" s="1412"/>
      <c r="K71" s="1822">
        <v>0.03</v>
      </c>
      <c r="L71" s="1412"/>
      <c r="M71" s="1785">
        <f t="shared" ref="M71" si="5">IF(A71="","",I71*K71)</f>
        <v>575.80645161290317</v>
      </c>
      <c r="N71" s="1412"/>
    </row>
    <row r="72" spans="1:14" ht="13.5" x14ac:dyDescent="0.2">
      <c r="A72" s="1786"/>
      <c r="B72" s="1411"/>
      <c r="C72" s="1411"/>
      <c r="D72" s="1411"/>
      <c r="E72" s="1411"/>
      <c r="F72" s="1411"/>
      <c r="G72" s="1412"/>
      <c r="H72" s="1032"/>
      <c r="I72" s="1785"/>
      <c r="J72" s="1412"/>
      <c r="K72" s="1822"/>
      <c r="L72" s="1412"/>
      <c r="M72" s="1785"/>
      <c r="N72" s="1412"/>
    </row>
    <row r="73" spans="1:14" ht="13.5" x14ac:dyDescent="0.2">
      <c r="A73" s="1792"/>
      <c r="B73" s="1411"/>
      <c r="C73" s="1411"/>
      <c r="D73" s="1411"/>
      <c r="E73" s="1411"/>
      <c r="F73" s="1411"/>
      <c r="G73" s="1412"/>
      <c r="H73" s="1032"/>
      <c r="I73" s="1785"/>
      <c r="J73" s="1412"/>
      <c r="K73" s="1819"/>
      <c r="L73" s="1412"/>
      <c r="M73" s="1785"/>
      <c r="N73" s="1412"/>
    </row>
    <row r="74" spans="1:14" ht="13.5" x14ac:dyDescent="0.2">
      <c r="A74" s="1792"/>
      <c r="B74" s="1411"/>
      <c r="C74" s="1411"/>
      <c r="D74" s="1411"/>
      <c r="E74" s="1411"/>
      <c r="F74" s="1411"/>
      <c r="G74" s="1412"/>
      <c r="H74" s="1032"/>
      <c r="I74" s="1785"/>
      <c r="J74" s="1412"/>
      <c r="K74" s="1819"/>
      <c r="L74" s="1412"/>
      <c r="M74" s="1785"/>
      <c r="N74" s="1412"/>
    </row>
    <row r="75" spans="1:14" ht="13.5" x14ac:dyDescent="0.2">
      <c r="A75" s="1792"/>
      <c r="B75" s="1411"/>
      <c r="C75" s="1411"/>
      <c r="D75" s="1411"/>
      <c r="E75" s="1411"/>
      <c r="F75" s="1411"/>
      <c r="G75" s="1412"/>
      <c r="H75" s="1032"/>
      <c r="I75" s="1785"/>
      <c r="J75" s="1412"/>
      <c r="K75" s="1819"/>
      <c r="L75" s="1412"/>
      <c r="M75" s="1785"/>
      <c r="N75" s="1412"/>
    </row>
    <row r="76" spans="1:14" ht="13.5" x14ac:dyDescent="0.25">
      <c r="A76" s="1028"/>
      <c r="B76" s="1028"/>
      <c r="C76" s="1028"/>
      <c r="D76" s="1028"/>
      <c r="E76" s="1028"/>
      <c r="F76" s="1028"/>
      <c r="G76" s="1028"/>
      <c r="H76" s="1028"/>
      <c r="I76" s="1028"/>
      <c r="J76" s="1028"/>
      <c r="K76" s="1818" t="s">
        <v>523</v>
      </c>
      <c r="L76" s="1412"/>
      <c r="M76" s="1785">
        <f>SUM(M71:N75)</f>
        <v>575.80645161290317</v>
      </c>
      <c r="N76" s="1412"/>
    </row>
    <row r="77" spans="1:14" ht="13.5" x14ac:dyDescent="0.25">
      <c r="A77" s="1028"/>
      <c r="B77" s="1028"/>
      <c r="C77" s="1028"/>
      <c r="D77" s="1028"/>
      <c r="E77" s="1028"/>
      <c r="F77" s="1028"/>
      <c r="G77" s="1028"/>
      <c r="H77" s="1028"/>
      <c r="I77" s="1028"/>
      <c r="J77" s="1028"/>
      <c r="K77" s="1028"/>
      <c r="L77" s="1028"/>
      <c r="M77" s="1028"/>
      <c r="N77" s="1028"/>
    </row>
    <row r="78" spans="1:14" x14ac:dyDescent="0.2">
      <c r="A78" s="1820" t="s">
        <v>2150</v>
      </c>
      <c r="B78" s="1411"/>
      <c r="C78" s="1411"/>
      <c r="D78" s="1411"/>
      <c r="E78" s="1411"/>
      <c r="F78" s="1411"/>
      <c r="G78" s="1411"/>
      <c r="H78" s="1411"/>
      <c r="I78" s="1411"/>
      <c r="J78" s="1411"/>
      <c r="K78" s="1411"/>
      <c r="L78" s="1411"/>
      <c r="M78" s="1411"/>
      <c r="N78" s="1412"/>
    </row>
    <row r="79" spans="1:14" x14ac:dyDescent="0.2">
      <c r="A79" s="1818" t="s">
        <v>14</v>
      </c>
      <c r="B79" s="1411"/>
      <c r="C79" s="1411"/>
      <c r="D79" s="1411"/>
      <c r="E79" s="1411"/>
      <c r="F79" s="1411"/>
      <c r="G79" s="1412"/>
      <c r="H79" s="1113" t="s">
        <v>15</v>
      </c>
      <c r="I79" s="1821" t="s">
        <v>619</v>
      </c>
      <c r="J79" s="1412"/>
      <c r="K79" s="1114" t="s">
        <v>1919</v>
      </c>
      <c r="L79" s="1115" t="s">
        <v>2151</v>
      </c>
      <c r="M79" s="1821" t="s">
        <v>2140</v>
      </c>
      <c r="N79" s="1412"/>
    </row>
    <row r="80" spans="1:14" ht="13.5" x14ac:dyDescent="0.25">
      <c r="A80" s="1817"/>
      <c r="B80" s="1411"/>
      <c r="C80" s="1411"/>
      <c r="D80" s="1411"/>
      <c r="E80" s="1411"/>
      <c r="F80" s="1411"/>
      <c r="G80" s="1412"/>
      <c r="H80" s="1032"/>
      <c r="I80" s="1785"/>
      <c r="J80" s="1412"/>
      <c r="K80" s="1034"/>
      <c r="L80" s="1116"/>
      <c r="M80" s="1785"/>
      <c r="N80" s="1412"/>
    </row>
    <row r="81" spans="1:14" ht="13.5" x14ac:dyDescent="0.25">
      <c r="A81" s="1817"/>
      <c r="B81" s="1411"/>
      <c r="C81" s="1411"/>
      <c r="D81" s="1411"/>
      <c r="E81" s="1411"/>
      <c r="F81" s="1411"/>
      <c r="G81" s="1412"/>
      <c r="H81" s="1032"/>
      <c r="I81" s="1785"/>
      <c r="J81" s="1412"/>
      <c r="K81" s="1034"/>
      <c r="L81" s="1034"/>
      <c r="M81" s="1785"/>
      <c r="N81" s="1412"/>
    </row>
    <row r="82" spans="1:14" ht="13.5" x14ac:dyDescent="0.25">
      <c r="A82" s="1817"/>
      <c r="B82" s="1411"/>
      <c r="C82" s="1411"/>
      <c r="D82" s="1411"/>
      <c r="E82" s="1411"/>
      <c r="F82" s="1411"/>
      <c r="G82" s="1412"/>
      <c r="H82" s="1032"/>
      <c r="I82" s="1785"/>
      <c r="J82" s="1412"/>
      <c r="K82" s="1034"/>
      <c r="L82" s="1117"/>
      <c r="M82" s="1785"/>
      <c r="N82" s="1412"/>
    </row>
    <row r="83" spans="1:14" ht="13.5" x14ac:dyDescent="0.25">
      <c r="A83" s="1817"/>
      <c r="B83" s="1411"/>
      <c r="C83" s="1411"/>
      <c r="D83" s="1411"/>
      <c r="E83" s="1411"/>
      <c r="F83" s="1411"/>
      <c r="G83" s="1412"/>
      <c r="H83" s="1032"/>
      <c r="I83" s="1785"/>
      <c r="J83" s="1412"/>
      <c r="K83" s="1034"/>
      <c r="L83" s="1117"/>
      <c r="M83" s="1785"/>
      <c r="N83" s="1412"/>
    </row>
    <row r="84" spans="1:14" ht="13.5" x14ac:dyDescent="0.25">
      <c r="A84" s="1817"/>
      <c r="B84" s="1411"/>
      <c r="C84" s="1411"/>
      <c r="D84" s="1411"/>
      <c r="E84" s="1411"/>
      <c r="F84" s="1411"/>
      <c r="G84" s="1412"/>
      <c r="H84" s="1032"/>
      <c r="I84" s="1785"/>
      <c r="J84" s="1412"/>
      <c r="K84" s="1034"/>
      <c r="L84" s="1117"/>
      <c r="M84" s="1785"/>
      <c r="N84" s="1412"/>
    </row>
    <row r="85" spans="1:14" ht="13.5" x14ac:dyDescent="0.25">
      <c r="A85" s="1028"/>
      <c r="B85" s="1028"/>
      <c r="C85" s="1028"/>
      <c r="D85" s="1028"/>
      <c r="E85" s="1028"/>
      <c r="F85" s="1028"/>
      <c r="G85" s="1028"/>
      <c r="H85" s="1028"/>
      <c r="I85" s="1028"/>
      <c r="J85" s="1028"/>
      <c r="K85" s="1818" t="s">
        <v>523</v>
      </c>
      <c r="L85" s="1412"/>
      <c r="M85" s="1785">
        <f>SUM(M80:N84)</f>
        <v>0</v>
      </c>
      <c r="N85" s="1412"/>
    </row>
    <row r="86" spans="1:14" x14ac:dyDescent="0.2">
      <c r="I86" s="1414"/>
      <c r="J86" s="1415"/>
      <c r="K86" s="1415"/>
      <c r="L86" s="1415"/>
      <c r="M86" s="1415"/>
      <c r="N86" s="1415"/>
    </row>
    <row r="87" spans="1:14" ht="13.5" thickBot="1" x14ac:dyDescent="0.25">
      <c r="I87" s="1416"/>
      <c r="J87" s="1416"/>
      <c r="K87" s="1416"/>
      <c r="L87" s="1416"/>
      <c r="M87" s="1416"/>
      <c r="N87" s="1416"/>
    </row>
    <row r="88" spans="1:14" ht="14.25" thickTop="1" x14ac:dyDescent="0.2">
      <c r="I88" s="1417" t="s">
        <v>1829</v>
      </c>
      <c r="J88" s="1418"/>
      <c r="K88" s="1417" t="s">
        <v>2653</v>
      </c>
      <c r="L88" s="1418"/>
      <c r="M88" s="1418"/>
      <c r="N88" s="1418"/>
    </row>
    <row r="89" spans="1:14" ht="13.5" x14ac:dyDescent="0.2">
      <c r="I89" s="1419" t="s">
        <v>1831</v>
      </c>
      <c r="J89" s="1420"/>
      <c r="K89" s="1419"/>
      <c r="L89" s="1420"/>
      <c r="M89" s="1420"/>
      <c r="N89" s="1420"/>
    </row>
    <row r="90" spans="1:14" ht="13.5" x14ac:dyDescent="0.2">
      <c r="I90" s="1067"/>
      <c r="J90" s="799"/>
      <c r="K90" s="1067"/>
      <c r="L90" s="799"/>
      <c r="M90" s="799"/>
      <c r="N90" s="799"/>
    </row>
    <row r="91" spans="1:14" x14ac:dyDescent="0.2">
      <c r="A91" s="1871" t="s">
        <v>2162</v>
      </c>
      <c r="B91" s="1872"/>
      <c r="C91" s="1872"/>
      <c r="D91" s="1872"/>
      <c r="E91" s="1872"/>
      <c r="F91" s="1872"/>
      <c r="G91" s="1872"/>
      <c r="H91" s="1872"/>
      <c r="I91" s="1872"/>
      <c r="J91" s="1872"/>
      <c r="K91" s="1872"/>
      <c r="L91" s="1872"/>
      <c r="M91" s="1875">
        <f>+'01'!$M$13</f>
        <v>0</v>
      </c>
      <c r="N91" s="1428"/>
    </row>
    <row r="92" spans="1:14" x14ac:dyDescent="0.2">
      <c r="A92" s="1873"/>
      <c r="B92" s="1874"/>
      <c r="C92" s="1874"/>
      <c r="D92" s="1874"/>
      <c r="E92" s="1874"/>
      <c r="F92" s="1874"/>
      <c r="G92" s="1874"/>
      <c r="H92" s="1874"/>
      <c r="I92" s="1874"/>
      <c r="J92" s="1874"/>
      <c r="K92" s="1874"/>
      <c r="L92" s="1874"/>
      <c r="M92" s="1426"/>
      <c r="N92" s="1430"/>
    </row>
    <row r="93" spans="1:14" ht="13.5" x14ac:dyDescent="0.2">
      <c r="A93" s="1103"/>
      <c r="B93" s="1103"/>
      <c r="C93" s="1103"/>
      <c r="D93" s="1103"/>
      <c r="E93" s="1103"/>
      <c r="F93" s="1103"/>
      <c r="G93" s="1103"/>
      <c r="H93" s="1103"/>
      <c r="I93" s="1103"/>
      <c r="J93" s="1103"/>
      <c r="K93" s="1103"/>
      <c r="L93" s="1103"/>
      <c r="M93" s="1103"/>
      <c r="N93" s="1103"/>
    </row>
    <row r="94" spans="1:14" ht="14.25" x14ac:dyDescent="0.3">
      <c r="A94" s="1104" t="s">
        <v>2163</v>
      </c>
      <c r="B94" s="1105" t="str">
        <f>A91</f>
        <v>RELLENO CON ARENA PARA BASE DE TUBERÍA</v>
      </c>
      <c r="C94" s="1106" t="s">
        <v>634</v>
      </c>
      <c r="D94" s="1107" t="s">
        <v>12</v>
      </c>
      <c r="E94" s="1108" t="s">
        <v>1833</v>
      </c>
      <c r="F94" s="1111">
        <f>H94+J94+L94+N94</f>
        <v>88112.141302173055</v>
      </c>
      <c r="G94" s="1108" t="s">
        <v>2136</v>
      </c>
      <c r="H94" s="1111">
        <f>M113</f>
        <v>386.06386639999999</v>
      </c>
      <c r="I94" s="1108" t="s">
        <v>621</v>
      </c>
      <c r="J94" s="1111">
        <f>M104</f>
        <v>65450</v>
      </c>
      <c r="K94" s="1108" t="s">
        <v>2137</v>
      </c>
      <c r="L94" s="1111">
        <f>M122</f>
        <v>9407.2818891063907</v>
      </c>
      <c r="M94" s="1108" t="s">
        <v>2138</v>
      </c>
      <c r="N94" s="1111">
        <f>M131</f>
        <v>12868.795546666666</v>
      </c>
    </row>
    <row r="95" spans="1:14" ht="13.5" x14ac:dyDescent="0.25">
      <c r="A95" s="1112"/>
      <c r="B95" s="1112"/>
      <c r="C95" s="1112"/>
      <c r="D95" s="1112"/>
      <c r="E95" s="1112"/>
      <c r="F95" s="1112"/>
      <c r="G95" s="1112"/>
      <c r="J95" s="1112"/>
      <c r="K95" s="1112"/>
      <c r="L95" s="1112"/>
      <c r="M95" s="1270" t="s">
        <v>2667</v>
      </c>
      <c r="N95" s="1270">
        <f>+F94*'01'!$O$15</f>
        <v>114043.88878436026</v>
      </c>
    </row>
    <row r="96" spans="1:14" x14ac:dyDescent="0.2">
      <c r="A96" s="1820" t="s">
        <v>2139</v>
      </c>
      <c r="B96" s="1411"/>
      <c r="C96" s="1411"/>
      <c r="D96" s="1411"/>
      <c r="E96" s="1411"/>
      <c r="F96" s="1411"/>
      <c r="G96" s="1411"/>
      <c r="H96" s="1411"/>
      <c r="I96" s="1411"/>
      <c r="J96" s="1411"/>
      <c r="K96" s="1411"/>
      <c r="L96" s="1411"/>
      <c r="M96" s="1411"/>
      <c r="N96" s="1412"/>
    </row>
    <row r="97" spans="1:14" x14ac:dyDescent="0.2">
      <c r="A97" s="1818" t="s">
        <v>14</v>
      </c>
      <c r="B97" s="1411"/>
      <c r="C97" s="1411"/>
      <c r="D97" s="1411"/>
      <c r="E97" s="1411"/>
      <c r="F97" s="1411"/>
      <c r="G97" s="1412"/>
      <c r="H97" s="1113" t="s">
        <v>15</v>
      </c>
      <c r="I97" s="1821" t="s">
        <v>619</v>
      </c>
      <c r="J97" s="1412"/>
      <c r="K97" s="1821" t="s">
        <v>628</v>
      </c>
      <c r="L97" s="1412"/>
      <c r="M97" s="1821" t="s">
        <v>2140</v>
      </c>
      <c r="N97" s="1412"/>
    </row>
    <row r="98" spans="1:14" ht="13.5" x14ac:dyDescent="0.2">
      <c r="A98" s="1786" t="s">
        <v>2164</v>
      </c>
      <c r="B98" s="1411"/>
      <c r="C98" s="1411"/>
      <c r="D98" s="1411"/>
      <c r="E98" s="1411"/>
      <c r="F98" s="1411"/>
      <c r="G98" s="1412"/>
      <c r="H98" s="1032" t="str">
        <f>IF(A98="","",VLOOKUP(A98,'10'!$C$6:$E$1152,2,FALSE))</f>
        <v>M3</v>
      </c>
      <c r="I98" s="1785">
        <f>IF(A98="","",VLOOKUP(A98,'10'!$C$6:$E$1152,3,FALSE))</f>
        <v>65450</v>
      </c>
      <c r="J98" s="1412"/>
      <c r="K98" s="1819">
        <v>1</v>
      </c>
      <c r="L98" s="1412"/>
      <c r="M98" s="1785">
        <f t="shared" ref="M98" si="6">IF(A98="","",I98*K98)</f>
        <v>65450</v>
      </c>
      <c r="N98" s="1412"/>
    </row>
    <row r="99" spans="1:14" ht="13.5" x14ac:dyDescent="0.2">
      <c r="A99" s="1786"/>
      <c r="B99" s="1411"/>
      <c r="C99" s="1411"/>
      <c r="D99" s="1411"/>
      <c r="E99" s="1411"/>
      <c r="F99" s="1411"/>
      <c r="G99" s="1412"/>
      <c r="H99" s="1032"/>
      <c r="I99" s="1785"/>
      <c r="J99" s="1412"/>
      <c r="K99" s="1819"/>
      <c r="L99" s="1412"/>
      <c r="M99" s="1785"/>
      <c r="N99" s="1412"/>
    </row>
    <row r="100" spans="1:14" ht="13.5" x14ac:dyDescent="0.2">
      <c r="A100" s="1786"/>
      <c r="B100" s="1411"/>
      <c r="C100" s="1411"/>
      <c r="D100" s="1411"/>
      <c r="E100" s="1411"/>
      <c r="F100" s="1411"/>
      <c r="G100" s="1412"/>
      <c r="H100" s="1032"/>
      <c r="I100" s="1785"/>
      <c r="J100" s="1412"/>
      <c r="K100" s="1819"/>
      <c r="L100" s="1412"/>
      <c r="M100" s="1785"/>
      <c r="N100" s="1412"/>
    </row>
    <row r="101" spans="1:14" ht="13.5" x14ac:dyDescent="0.2">
      <c r="A101" s="1786"/>
      <c r="B101" s="1411"/>
      <c r="C101" s="1411"/>
      <c r="D101" s="1411"/>
      <c r="E101" s="1411"/>
      <c r="F101" s="1411"/>
      <c r="G101" s="1412"/>
      <c r="H101" s="1032"/>
      <c r="I101" s="1785"/>
      <c r="J101" s="1412"/>
      <c r="K101" s="1819"/>
      <c r="L101" s="1412"/>
      <c r="M101" s="1785"/>
      <c r="N101" s="1412"/>
    </row>
    <row r="102" spans="1:14" ht="13.5" x14ac:dyDescent="0.2">
      <c r="A102" s="1786"/>
      <c r="B102" s="1411"/>
      <c r="C102" s="1411"/>
      <c r="D102" s="1411"/>
      <c r="E102" s="1411"/>
      <c r="F102" s="1411"/>
      <c r="G102" s="1412"/>
      <c r="H102" s="1032"/>
      <c r="I102" s="1785"/>
      <c r="J102" s="1412"/>
      <c r="K102" s="1819"/>
      <c r="L102" s="1412"/>
      <c r="M102" s="1785"/>
      <c r="N102" s="1412"/>
    </row>
    <row r="103" spans="1:14" ht="13.5" x14ac:dyDescent="0.2">
      <c r="A103" s="1786"/>
      <c r="B103" s="1411"/>
      <c r="C103" s="1411"/>
      <c r="D103" s="1411"/>
      <c r="E103" s="1411"/>
      <c r="F103" s="1411"/>
      <c r="G103" s="1412"/>
      <c r="H103" s="1032"/>
      <c r="I103" s="1785"/>
      <c r="J103" s="1412"/>
      <c r="K103" s="1819"/>
      <c r="L103" s="1412"/>
      <c r="M103" s="1785"/>
      <c r="N103" s="1412"/>
    </row>
    <row r="104" spans="1:14" ht="13.5" x14ac:dyDescent="0.25">
      <c r="A104" s="1028"/>
      <c r="B104" s="1028"/>
      <c r="C104" s="1028"/>
      <c r="D104" s="1028"/>
      <c r="E104" s="1028"/>
      <c r="F104" s="1028"/>
      <c r="G104" s="1028"/>
      <c r="H104" s="1028"/>
      <c r="I104" s="1028"/>
      <c r="J104" s="1028"/>
      <c r="K104" s="1818" t="s">
        <v>523</v>
      </c>
      <c r="L104" s="1412"/>
      <c r="M104" s="1785">
        <f>SUM(M98:N103)</f>
        <v>65450</v>
      </c>
      <c r="N104" s="1412"/>
    </row>
    <row r="105" spans="1:14" ht="13.5" x14ac:dyDescent="0.25">
      <c r="A105" s="1028"/>
      <c r="B105" s="1028"/>
      <c r="C105" s="1028"/>
      <c r="D105" s="1028"/>
      <c r="E105" s="1028"/>
      <c r="F105" s="1028"/>
      <c r="G105" s="1028"/>
      <c r="H105" s="1028"/>
      <c r="I105" s="1028"/>
      <c r="J105" s="1028"/>
      <c r="K105" s="1028"/>
      <c r="L105" s="1028"/>
      <c r="M105" s="1028"/>
      <c r="N105" s="1028"/>
    </row>
    <row r="106" spans="1:14" x14ac:dyDescent="0.2">
      <c r="A106" s="1820" t="s">
        <v>2145</v>
      </c>
      <c r="B106" s="1411"/>
      <c r="C106" s="1411"/>
      <c r="D106" s="1411"/>
      <c r="E106" s="1411"/>
      <c r="F106" s="1411"/>
      <c r="G106" s="1411"/>
      <c r="H106" s="1411"/>
      <c r="I106" s="1411"/>
      <c r="J106" s="1411"/>
      <c r="K106" s="1411"/>
      <c r="L106" s="1411"/>
      <c r="M106" s="1411"/>
      <c r="N106" s="1412"/>
    </row>
    <row r="107" spans="1:14" x14ac:dyDescent="0.2">
      <c r="A107" s="1818" t="s">
        <v>14</v>
      </c>
      <c r="B107" s="1411"/>
      <c r="C107" s="1411"/>
      <c r="D107" s="1411"/>
      <c r="E107" s="1411"/>
      <c r="F107" s="1411"/>
      <c r="G107" s="1412"/>
      <c r="H107" s="1113" t="s">
        <v>15</v>
      </c>
      <c r="I107" s="1821" t="s">
        <v>619</v>
      </c>
      <c r="J107" s="1412"/>
      <c r="K107" s="1821" t="s">
        <v>628</v>
      </c>
      <c r="L107" s="1412"/>
      <c r="M107" s="1821" t="s">
        <v>2140</v>
      </c>
      <c r="N107" s="1412"/>
    </row>
    <row r="108" spans="1:14" ht="13.5" x14ac:dyDescent="0.2">
      <c r="A108" s="1792" t="s">
        <v>2146</v>
      </c>
      <c r="B108" s="1411"/>
      <c r="C108" s="1411"/>
      <c r="D108" s="1411"/>
      <c r="E108" s="1411"/>
      <c r="F108" s="1411"/>
      <c r="G108" s="1412"/>
      <c r="H108" s="1032" t="e">
        <f>IF(A108="","",VLOOKUP(A108,'11'!$C$6:$E$1012,2,FALSE))</f>
        <v>#N/A</v>
      </c>
      <c r="I108" s="1785">
        <f>+M131</f>
        <v>12868.795546666666</v>
      </c>
      <c r="J108" s="1412"/>
      <c r="K108" s="1822">
        <v>0.03</v>
      </c>
      <c r="L108" s="1412"/>
      <c r="M108" s="1785">
        <f t="shared" ref="M108:M112" si="7">IF(A108="","",I108*K108)</f>
        <v>386.06386639999999</v>
      </c>
      <c r="N108" s="1412"/>
    </row>
    <row r="109" spans="1:14" ht="13.5" x14ac:dyDescent="0.2">
      <c r="A109" s="1786"/>
      <c r="B109" s="1411"/>
      <c r="C109" s="1411"/>
      <c r="D109" s="1411"/>
      <c r="E109" s="1411"/>
      <c r="F109" s="1411"/>
      <c r="G109" s="1412"/>
      <c r="H109" s="1032" t="str">
        <f>IF(A109="","",VLOOKUP(A109,AA_Equipos,7,FALSE))</f>
        <v/>
      </c>
      <c r="I109" s="1785" t="str">
        <f>IF(A109="","",VLOOKUP(A109,AA_Equipos,8,FALSE))</f>
        <v/>
      </c>
      <c r="J109" s="1412"/>
      <c r="K109" s="1824"/>
      <c r="L109" s="1412"/>
      <c r="M109" s="1785" t="str">
        <f t="shared" si="7"/>
        <v/>
      </c>
      <c r="N109" s="1412"/>
    </row>
    <row r="110" spans="1:14" ht="13.5" x14ac:dyDescent="0.2">
      <c r="A110" s="1792"/>
      <c r="B110" s="1411"/>
      <c r="C110" s="1411"/>
      <c r="D110" s="1411"/>
      <c r="E110" s="1411"/>
      <c r="F110" s="1411"/>
      <c r="G110" s="1412"/>
      <c r="H110" s="1032" t="str">
        <f>IF(A110="","",VLOOKUP(A110,AA_Equipos,7,FALSE))</f>
        <v/>
      </c>
      <c r="I110" s="1785" t="str">
        <f>IF(A110="","",VLOOKUP(A110,AA_Equipos,8,FALSE))</f>
        <v/>
      </c>
      <c r="J110" s="1412"/>
      <c r="K110" s="1876"/>
      <c r="L110" s="1412"/>
      <c r="M110" s="1785" t="str">
        <f t="shared" si="7"/>
        <v/>
      </c>
      <c r="N110" s="1412"/>
    </row>
    <row r="111" spans="1:14" ht="13.5" x14ac:dyDescent="0.2">
      <c r="A111" s="1792"/>
      <c r="B111" s="1411"/>
      <c r="C111" s="1411"/>
      <c r="D111" s="1411"/>
      <c r="E111" s="1411"/>
      <c r="F111" s="1411"/>
      <c r="G111" s="1412"/>
      <c r="H111" s="1032" t="str">
        <f>IF(A111="","",VLOOKUP(A111,AA_Equipos,7,FALSE))</f>
        <v/>
      </c>
      <c r="I111" s="1785" t="str">
        <f>IF(A111="","",VLOOKUP(A111,AA_Equipos,8,FALSE))</f>
        <v/>
      </c>
      <c r="J111" s="1412"/>
      <c r="K111" s="1819"/>
      <c r="L111" s="1412"/>
      <c r="M111" s="1785" t="str">
        <f t="shared" si="7"/>
        <v/>
      </c>
      <c r="N111" s="1412"/>
    </row>
    <row r="112" spans="1:14" ht="13.5" x14ac:dyDescent="0.2">
      <c r="A112" s="1792"/>
      <c r="B112" s="1411"/>
      <c r="C112" s="1411"/>
      <c r="D112" s="1411"/>
      <c r="E112" s="1411"/>
      <c r="F112" s="1411"/>
      <c r="G112" s="1412"/>
      <c r="H112" s="1032" t="str">
        <f>IF(A112="","",VLOOKUP(A112,AA_Equipos,7,FALSE))</f>
        <v/>
      </c>
      <c r="I112" s="1785" t="str">
        <f>IF(A112="","",VLOOKUP(A112,AA_Equipos,8,FALSE))</f>
        <v/>
      </c>
      <c r="J112" s="1412"/>
      <c r="K112" s="1819"/>
      <c r="L112" s="1412"/>
      <c r="M112" s="1785" t="str">
        <f t="shared" si="7"/>
        <v/>
      </c>
      <c r="N112" s="1412"/>
    </row>
    <row r="113" spans="1:14" ht="13.5" x14ac:dyDescent="0.25">
      <c r="A113" s="1028"/>
      <c r="B113" s="1028"/>
      <c r="C113" s="1028"/>
      <c r="D113" s="1028"/>
      <c r="E113" s="1028"/>
      <c r="F113" s="1028"/>
      <c r="G113" s="1028"/>
      <c r="H113" s="1028"/>
      <c r="I113" s="1028"/>
      <c r="J113" s="1028"/>
      <c r="K113" s="1818" t="s">
        <v>523</v>
      </c>
      <c r="L113" s="1412"/>
      <c r="M113" s="1785">
        <f>SUM(M108:N112)</f>
        <v>386.06386639999999</v>
      </c>
      <c r="N113" s="1412"/>
    </row>
    <row r="114" spans="1:14" ht="13.5" x14ac:dyDescent="0.25">
      <c r="A114" s="1028"/>
      <c r="B114" s="1028"/>
      <c r="C114" s="1028"/>
      <c r="D114" s="1028"/>
      <c r="E114" s="1028"/>
      <c r="F114" s="1028"/>
      <c r="G114" s="1028"/>
      <c r="H114" s="1028"/>
      <c r="I114" s="1028"/>
      <c r="J114" s="1028"/>
      <c r="K114" s="1028"/>
      <c r="L114" s="1028"/>
      <c r="M114" s="1028"/>
      <c r="N114" s="1028"/>
    </row>
    <row r="115" spans="1:14" x14ac:dyDescent="0.2">
      <c r="A115" s="1820" t="s">
        <v>2147</v>
      </c>
      <c r="B115" s="1411"/>
      <c r="C115" s="1411"/>
      <c r="D115" s="1411"/>
      <c r="E115" s="1411"/>
      <c r="F115" s="1411"/>
      <c r="G115" s="1411"/>
      <c r="H115" s="1411"/>
      <c r="I115" s="1411"/>
      <c r="J115" s="1411"/>
      <c r="K115" s="1411"/>
      <c r="L115" s="1411"/>
      <c r="M115" s="1411"/>
      <c r="N115" s="1412"/>
    </row>
    <row r="116" spans="1:14" x14ac:dyDescent="0.2">
      <c r="A116" s="1818" t="s">
        <v>14</v>
      </c>
      <c r="B116" s="1411"/>
      <c r="C116" s="1411"/>
      <c r="D116" s="1411"/>
      <c r="E116" s="1411"/>
      <c r="F116" s="1411"/>
      <c r="G116" s="1412"/>
      <c r="H116" s="1113" t="s">
        <v>15</v>
      </c>
      <c r="I116" s="1821" t="s">
        <v>619</v>
      </c>
      <c r="J116" s="1412"/>
      <c r="K116" s="1821" t="s">
        <v>628</v>
      </c>
      <c r="L116" s="1412"/>
      <c r="M116" s="1821" t="s">
        <v>2140</v>
      </c>
      <c r="N116" s="1412"/>
    </row>
    <row r="117" spans="1:14" ht="13.5" x14ac:dyDescent="0.2">
      <c r="A117" s="1792" t="s">
        <v>2165</v>
      </c>
      <c r="B117" s="1411"/>
      <c r="C117" s="1411"/>
      <c r="D117" s="1411"/>
      <c r="E117" s="1411"/>
      <c r="F117" s="1411"/>
      <c r="G117" s="1412"/>
      <c r="H117" s="1032" t="str">
        <f>IF(A117="","",VLOOKUP(A117,'10'!$C$6:$E$1152,2,FALSE))</f>
        <v>M3-KM</v>
      </c>
      <c r="I117" s="1785">
        <f>IF(A117="","",VLOOKUP(A117,'10'!$C$6:$E$1152,3,FALSE))</f>
        <v>1879.1399946228782</v>
      </c>
      <c r="J117" s="1412"/>
      <c r="K117" s="1881">
        <f>+'01'!B15</f>
        <v>5</v>
      </c>
      <c r="L117" s="1412"/>
      <c r="M117" s="1785">
        <f t="shared" ref="M117:M118" si="8">IF(A117="","",I117*K117)</f>
        <v>9395.6999731143915</v>
      </c>
      <c r="N117" s="1412"/>
    </row>
    <row r="118" spans="1:14" ht="13.5" x14ac:dyDescent="0.2">
      <c r="A118" s="1786" t="s">
        <v>2167</v>
      </c>
      <c r="B118" s="1411"/>
      <c r="C118" s="1411"/>
      <c r="D118" s="1411"/>
      <c r="E118" s="1411"/>
      <c r="F118" s="1411"/>
      <c r="G118" s="1412"/>
      <c r="H118" s="1032" t="s">
        <v>19</v>
      </c>
      <c r="I118" s="1785">
        <f>+M113</f>
        <v>386.06386639999999</v>
      </c>
      <c r="J118" s="1412"/>
      <c r="K118" s="1822">
        <v>0.03</v>
      </c>
      <c r="L118" s="1412"/>
      <c r="M118" s="1785">
        <f t="shared" si="8"/>
        <v>11.581915991999999</v>
      </c>
      <c r="N118" s="1412"/>
    </row>
    <row r="119" spans="1:14" ht="13.5" x14ac:dyDescent="0.2">
      <c r="A119" s="1792"/>
      <c r="B119" s="1411"/>
      <c r="C119" s="1411"/>
      <c r="D119" s="1411"/>
      <c r="E119" s="1411"/>
      <c r="F119" s="1411"/>
      <c r="G119" s="1412"/>
      <c r="H119" s="1032"/>
      <c r="I119" s="1785"/>
      <c r="J119" s="1412"/>
      <c r="K119" s="1819"/>
      <c r="L119" s="1412"/>
      <c r="M119" s="1785"/>
      <c r="N119" s="1412"/>
    </row>
    <row r="120" spans="1:14" ht="13.5" x14ac:dyDescent="0.2">
      <c r="A120" s="1792"/>
      <c r="B120" s="1411"/>
      <c r="C120" s="1411"/>
      <c r="D120" s="1411"/>
      <c r="E120" s="1411"/>
      <c r="F120" s="1411"/>
      <c r="G120" s="1412"/>
      <c r="H120" s="1032"/>
      <c r="I120" s="1785"/>
      <c r="J120" s="1412"/>
      <c r="K120" s="1819"/>
      <c r="L120" s="1412"/>
      <c r="M120" s="1785"/>
      <c r="N120" s="1412"/>
    </row>
    <row r="121" spans="1:14" ht="13.5" x14ac:dyDescent="0.2">
      <c r="A121" s="1792"/>
      <c r="B121" s="1411"/>
      <c r="C121" s="1411"/>
      <c r="D121" s="1411"/>
      <c r="E121" s="1411"/>
      <c r="F121" s="1411"/>
      <c r="G121" s="1412"/>
      <c r="H121" s="1032"/>
      <c r="I121" s="1785"/>
      <c r="J121" s="1412"/>
      <c r="K121" s="1819"/>
      <c r="L121" s="1412"/>
      <c r="M121" s="1785"/>
      <c r="N121" s="1412"/>
    </row>
    <row r="122" spans="1:14" ht="13.5" x14ac:dyDescent="0.25">
      <c r="A122" s="1028"/>
      <c r="B122" s="1028"/>
      <c r="C122" s="1028"/>
      <c r="D122" s="1028"/>
      <c r="E122" s="1028"/>
      <c r="F122" s="1028"/>
      <c r="G122" s="1028"/>
      <c r="H122" s="1028"/>
      <c r="I122" s="1028"/>
      <c r="J122" s="1028"/>
      <c r="K122" s="1818" t="s">
        <v>523</v>
      </c>
      <c r="L122" s="1412"/>
      <c r="M122" s="1785">
        <f>SUM(M117:N121)</f>
        <v>9407.2818891063907</v>
      </c>
      <c r="N122" s="1412"/>
    </row>
    <row r="123" spans="1:14" ht="13.5" x14ac:dyDescent="0.25">
      <c r="A123" s="1028"/>
      <c r="B123" s="1028"/>
      <c r="C123" s="1028"/>
      <c r="D123" s="1028"/>
      <c r="E123" s="1028"/>
      <c r="F123" s="1028"/>
      <c r="G123" s="1028"/>
      <c r="H123" s="1028"/>
      <c r="I123" s="1028"/>
      <c r="J123" s="1028"/>
      <c r="K123" s="1028"/>
      <c r="L123" s="1028"/>
      <c r="M123" s="1028"/>
      <c r="N123" s="1028"/>
    </row>
    <row r="124" spans="1:14" x14ac:dyDescent="0.2">
      <c r="A124" s="1820" t="s">
        <v>2150</v>
      </c>
      <c r="B124" s="1411"/>
      <c r="C124" s="1411"/>
      <c r="D124" s="1411"/>
      <c r="E124" s="1411"/>
      <c r="F124" s="1411"/>
      <c r="G124" s="1411"/>
      <c r="H124" s="1411"/>
      <c r="I124" s="1411"/>
      <c r="J124" s="1411"/>
      <c r="K124" s="1411"/>
      <c r="L124" s="1411"/>
      <c r="M124" s="1411"/>
      <c r="N124" s="1412"/>
    </row>
    <row r="125" spans="1:14" x14ac:dyDescent="0.2">
      <c r="A125" s="1818" t="s">
        <v>14</v>
      </c>
      <c r="B125" s="1411"/>
      <c r="C125" s="1411"/>
      <c r="D125" s="1411"/>
      <c r="E125" s="1411"/>
      <c r="F125" s="1411"/>
      <c r="G125" s="1412"/>
      <c r="H125" s="1113" t="s">
        <v>15</v>
      </c>
      <c r="I125" s="1821" t="s">
        <v>619</v>
      </c>
      <c r="J125" s="1412"/>
      <c r="K125" s="1114" t="s">
        <v>1919</v>
      </c>
      <c r="L125" s="1115" t="s">
        <v>2151</v>
      </c>
      <c r="M125" s="1821" t="s">
        <v>2140</v>
      </c>
      <c r="N125" s="1412"/>
    </row>
    <row r="126" spans="1:14" ht="13.5" x14ac:dyDescent="0.25">
      <c r="A126" s="1817" t="s">
        <v>2168</v>
      </c>
      <c r="B126" s="1411"/>
      <c r="C126" s="1411"/>
      <c r="D126" s="1411"/>
      <c r="E126" s="1411"/>
      <c r="F126" s="1411"/>
      <c r="G126" s="1412"/>
      <c r="H126" s="1032" t="str">
        <f>IF(A126="","",VLOOKUP(A126,'09'!$A$22:$O$168,4,FALSE))</f>
        <v>Cuadrilla</v>
      </c>
      <c r="I126" s="1785">
        <f>IF(A126="","",VLOOKUP(A126,'09'!$A$22:$O$168,5,FALSE))</f>
        <v>204272</v>
      </c>
      <c r="J126" s="1412"/>
      <c r="K126" s="1034">
        <f>IF(A126="","",'03'!$I$2)</f>
        <v>1.88995</v>
      </c>
      <c r="L126" s="1121">
        <f>1/30</f>
        <v>3.3333333333333333E-2</v>
      </c>
      <c r="M126" s="1785">
        <f t="shared" ref="M126" si="9">IF(A126="","",I126*K126*L126)</f>
        <v>12868.795546666666</v>
      </c>
      <c r="N126" s="1412"/>
    </row>
    <row r="127" spans="1:14" ht="13.5" x14ac:dyDescent="0.25">
      <c r="A127" s="1817"/>
      <c r="B127" s="1411"/>
      <c r="C127" s="1411"/>
      <c r="D127" s="1411"/>
      <c r="E127" s="1411"/>
      <c r="F127" s="1411"/>
      <c r="G127" s="1412"/>
      <c r="H127" s="1032"/>
      <c r="I127" s="1785"/>
      <c r="J127" s="1412"/>
      <c r="K127" s="1034"/>
      <c r="L127" s="1034"/>
      <c r="M127" s="1785"/>
      <c r="N127" s="1412"/>
    </row>
    <row r="128" spans="1:14" ht="13.5" x14ac:dyDescent="0.25">
      <c r="A128" s="1817"/>
      <c r="B128" s="1411"/>
      <c r="C128" s="1411"/>
      <c r="D128" s="1411"/>
      <c r="E128" s="1411"/>
      <c r="F128" s="1411"/>
      <c r="G128" s="1412"/>
      <c r="H128" s="1032"/>
      <c r="I128" s="1785"/>
      <c r="J128" s="1412"/>
      <c r="K128" s="1034"/>
      <c r="L128" s="1117"/>
      <c r="M128" s="1785"/>
      <c r="N128" s="1412"/>
    </row>
    <row r="129" spans="1:14" ht="13.5" x14ac:dyDescent="0.25">
      <c r="A129" s="1817"/>
      <c r="B129" s="1411"/>
      <c r="C129" s="1411"/>
      <c r="D129" s="1411"/>
      <c r="E129" s="1411"/>
      <c r="F129" s="1411"/>
      <c r="G129" s="1412"/>
      <c r="H129" s="1032"/>
      <c r="I129" s="1785"/>
      <c r="J129" s="1412"/>
      <c r="K129" s="1034"/>
      <c r="L129" s="1117"/>
      <c r="M129" s="1785"/>
      <c r="N129" s="1412"/>
    </row>
    <row r="130" spans="1:14" ht="13.5" x14ac:dyDescent="0.25">
      <c r="A130" s="1817"/>
      <c r="B130" s="1411"/>
      <c r="C130" s="1411"/>
      <c r="D130" s="1411"/>
      <c r="E130" s="1411"/>
      <c r="F130" s="1411"/>
      <c r="G130" s="1412"/>
      <c r="H130" s="1032"/>
      <c r="I130" s="1785"/>
      <c r="J130" s="1412"/>
      <c r="K130" s="1034"/>
      <c r="L130" s="1117"/>
      <c r="M130" s="1785"/>
      <c r="N130" s="1412"/>
    </row>
    <row r="131" spans="1:14" ht="13.5" x14ac:dyDescent="0.25">
      <c r="A131" s="1028"/>
      <c r="B131" s="1028"/>
      <c r="C131" s="1028"/>
      <c r="D131" s="1028"/>
      <c r="E131" s="1028"/>
      <c r="F131" s="1028"/>
      <c r="G131" s="1028"/>
      <c r="H131" s="1028"/>
      <c r="I131" s="1028"/>
      <c r="J131" s="1028"/>
      <c r="K131" s="1818" t="s">
        <v>523</v>
      </c>
      <c r="L131" s="1412"/>
      <c r="M131" s="1785">
        <f>SUM(M126:N130)</f>
        <v>12868.795546666666</v>
      </c>
      <c r="N131" s="1412"/>
    </row>
    <row r="132" spans="1:14" x14ac:dyDescent="0.2">
      <c r="I132" s="1414"/>
      <c r="J132" s="1415"/>
      <c r="K132" s="1415"/>
      <c r="L132" s="1415"/>
      <c r="M132" s="1415"/>
      <c r="N132" s="1415"/>
    </row>
    <row r="133" spans="1:14" ht="13.5" thickBot="1" x14ac:dyDescent="0.25">
      <c r="I133" s="1416"/>
      <c r="J133" s="1416"/>
      <c r="K133" s="1416"/>
      <c r="L133" s="1416"/>
      <c r="M133" s="1416"/>
      <c r="N133" s="1416"/>
    </row>
    <row r="134" spans="1:14" ht="14.25" thickTop="1" x14ac:dyDescent="0.2">
      <c r="I134" s="1417" t="s">
        <v>1829</v>
      </c>
      <c r="J134" s="1418"/>
      <c r="K134" s="1417" t="s">
        <v>2653</v>
      </c>
      <c r="L134" s="1418"/>
      <c r="M134" s="1418"/>
      <c r="N134" s="1418"/>
    </row>
    <row r="135" spans="1:14" ht="13.5" x14ac:dyDescent="0.2">
      <c r="I135" s="1419" t="s">
        <v>1831</v>
      </c>
      <c r="J135" s="1420"/>
      <c r="K135" s="1419"/>
      <c r="L135" s="1420"/>
      <c r="M135" s="1420"/>
      <c r="N135" s="1420"/>
    </row>
    <row r="136" spans="1:14" x14ac:dyDescent="0.2">
      <c r="A136" s="1871" t="s">
        <v>2169</v>
      </c>
      <c r="B136" s="1872"/>
      <c r="C136" s="1872"/>
      <c r="D136" s="1872"/>
      <c r="E136" s="1872"/>
      <c r="F136" s="1872"/>
      <c r="G136" s="1872"/>
      <c r="H136" s="1872"/>
      <c r="I136" s="1872"/>
      <c r="J136" s="1872"/>
      <c r="K136" s="1872"/>
      <c r="L136" s="1872"/>
      <c r="M136" s="1875">
        <f>+'01'!$M$13</f>
        <v>0</v>
      </c>
      <c r="N136" s="1428"/>
    </row>
    <row r="137" spans="1:14" x14ac:dyDescent="0.2">
      <c r="A137" s="1873"/>
      <c r="B137" s="1874"/>
      <c r="C137" s="1874"/>
      <c r="D137" s="1874"/>
      <c r="E137" s="1874"/>
      <c r="F137" s="1874"/>
      <c r="G137" s="1874"/>
      <c r="H137" s="1874"/>
      <c r="I137" s="1874"/>
      <c r="J137" s="1874"/>
      <c r="K137" s="1874"/>
      <c r="L137" s="1874"/>
      <c r="M137" s="1426"/>
      <c r="N137" s="1430"/>
    </row>
    <row r="138" spans="1:14" ht="13.5" x14ac:dyDescent="0.2">
      <c r="A138" s="1103"/>
      <c r="B138" s="1103"/>
      <c r="C138" s="1103"/>
      <c r="D138" s="1103"/>
      <c r="E138" s="1103"/>
      <c r="F138" s="1103"/>
      <c r="G138" s="1103"/>
      <c r="H138" s="1103"/>
      <c r="I138" s="1103"/>
      <c r="J138" s="1103"/>
      <c r="K138" s="1103"/>
      <c r="L138" s="1103"/>
      <c r="M138" s="1103"/>
      <c r="N138" s="1103"/>
    </row>
    <row r="139" spans="1:14" ht="14.25" x14ac:dyDescent="0.3">
      <c r="A139" s="1104" t="s">
        <v>2170</v>
      </c>
      <c r="B139" s="1105" t="str">
        <f>A136</f>
        <v>RELLENO CON TRITURADO PASANTE DE 3/4"</v>
      </c>
      <c r="C139" s="1106" t="s">
        <v>634</v>
      </c>
      <c r="D139" s="1107" t="s">
        <v>12</v>
      </c>
      <c r="E139" s="1108" t="s">
        <v>1833</v>
      </c>
      <c r="F139" s="1111">
        <f>H139+J139+L139+N139</f>
        <v>135712.14130217306</v>
      </c>
      <c r="G139" s="1108" t="s">
        <v>2136</v>
      </c>
      <c r="H139" s="1111">
        <f>M158</f>
        <v>386.06386639999999</v>
      </c>
      <c r="I139" s="1108" t="s">
        <v>621</v>
      </c>
      <c r="J139" s="1111">
        <f>M149</f>
        <v>113050</v>
      </c>
      <c r="K139" s="1108" t="s">
        <v>2137</v>
      </c>
      <c r="L139" s="1111">
        <f>M167</f>
        <v>9407.2818891063907</v>
      </c>
      <c r="M139" s="1108" t="s">
        <v>2138</v>
      </c>
      <c r="N139" s="1111">
        <f>M176</f>
        <v>12868.795546666666</v>
      </c>
    </row>
    <row r="140" spans="1:14" ht="13.5" x14ac:dyDescent="0.25">
      <c r="A140" s="1112"/>
      <c r="B140" s="1112"/>
      <c r="C140" s="1112"/>
      <c r="D140" s="1112"/>
      <c r="E140" s="1112"/>
      <c r="F140" s="1112"/>
      <c r="G140" s="1112"/>
      <c r="J140" s="1112"/>
      <c r="K140" s="1112"/>
      <c r="L140" s="1112"/>
      <c r="M140" s="1270" t="s">
        <v>2667</v>
      </c>
      <c r="N140" s="1270">
        <f>+F139*'01'!$O$15</f>
        <v>175652.75478069339</v>
      </c>
    </row>
    <row r="141" spans="1:14" x14ac:dyDescent="0.2">
      <c r="A141" s="1820" t="s">
        <v>2139</v>
      </c>
      <c r="B141" s="1411"/>
      <c r="C141" s="1411"/>
      <c r="D141" s="1411"/>
      <c r="E141" s="1411"/>
      <c r="F141" s="1411"/>
      <c r="G141" s="1411"/>
      <c r="H141" s="1411"/>
      <c r="I141" s="1411"/>
      <c r="J141" s="1411"/>
      <c r="K141" s="1411"/>
      <c r="L141" s="1411"/>
      <c r="M141" s="1411"/>
      <c r="N141" s="1412"/>
    </row>
    <row r="142" spans="1:14" x14ac:dyDescent="0.2">
      <c r="A142" s="1818" t="s">
        <v>14</v>
      </c>
      <c r="B142" s="1411"/>
      <c r="C142" s="1411"/>
      <c r="D142" s="1411"/>
      <c r="E142" s="1411"/>
      <c r="F142" s="1411"/>
      <c r="G142" s="1412"/>
      <c r="H142" s="1113" t="s">
        <v>15</v>
      </c>
      <c r="I142" s="1821" t="s">
        <v>619</v>
      </c>
      <c r="J142" s="1412"/>
      <c r="K142" s="1821" t="s">
        <v>628</v>
      </c>
      <c r="L142" s="1412"/>
      <c r="M142" s="1821" t="s">
        <v>2140</v>
      </c>
      <c r="N142" s="1412"/>
    </row>
    <row r="143" spans="1:14" ht="13.5" x14ac:dyDescent="0.2">
      <c r="A143" s="1786" t="s">
        <v>2171</v>
      </c>
      <c r="B143" s="1411"/>
      <c r="C143" s="1411"/>
      <c r="D143" s="1411"/>
      <c r="E143" s="1411"/>
      <c r="F143" s="1411"/>
      <c r="G143" s="1412"/>
      <c r="H143" s="1032" t="str">
        <f>IF(A143="","",VLOOKUP(A143,'10'!$C$6:$E$1152,2,FALSE))</f>
        <v>M3</v>
      </c>
      <c r="I143" s="1785">
        <f>IF(A143="","",VLOOKUP(A143,'10'!$C$6:$E$1152,3,FALSE))</f>
        <v>113050</v>
      </c>
      <c r="J143" s="1412"/>
      <c r="K143" s="1819">
        <v>1</v>
      </c>
      <c r="L143" s="1412"/>
      <c r="M143" s="1785">
        <f t="shared" ref="M143" si="10">IF(A143="","",I143*K143)</f>
        <v>113050</v>
      </c>
      <c r="N143" s="1412"/>
    </row>
    <row r="144" spans="1:14" ht="13.5" x14ac:dyDescent="0.2">
      <c r="A144" s="1786"/>
      <c r="B144" s="1411"/>
      <c r="C144" s="1411"/>
      <c r="D144" s="1411"/>
      <c r="E144" s="1411"/>
      <c r="F144" s="1411"/>
      <c r="G144" s="1412"/>
      <c r="H144" s="1032"/>
      <c r="I144" s="1785"/>
      <c r="J144" s="1412"/>
      <c r="K144" s="1819"/>
      <c r="L144" s="1412"/>
      <c r="M144" s="1785"/>
      <c r="N144" s="1412"/>
    </row>
    <row r="145" spans="1:14" ht="13.5" x14ac:dyDescent="0.2">
      <c r="A145" s="1786"/>
      <c r="B145" s="1411"/>
      <c r="C145" s="1411"/>
      <c r="D145" s="1411"/>
      <c r="E145" s="1411"/>
      <c r="F145" s="1411"/>
      <c r="G145" s="1412"/>
      <c r="H145" s="1032"/>
      <c r="I145" s="1785"/>
      <c r="J145" s="1412"/>
      <c r="K145" s="1819"/>
      <c r="L145" s="1412"/>
      <c r="M145" s="1785"/>
      <c r="N145" s="1412"/>
    </row>
    <row r="146" spans="1:14" ht="13.5" x14ac:dyDescent="0.2">
      <c r="A146" s="1786"/>
      <c r="B146" s="1411"/>
      <c r="C146" s="1411"/>
      <c r="D146" s="1411"/>
      <c r="E146" s="1411"/>
      <c r="F146" s="1411"/>
      <c r="G146" s="1412"/>
      <c r="H146" s="1032"/>
      <c r="I146" s="1785"/>
      <c r="J146" s="1412"/>
      <c r="K146" s="1819"/>
      <c r="L146" s="1412"/>
      <c r="M146" s="1785"/>
      <c r="N146" s="1412"/>
    </row>
    <row r="147" spans="1:14" ht="13.5" x14ac:dyDescent="0.2">
      <c r="A147" s="1786"/>
      <c r="B147" s="1411"/>
      <c r="C147" s="1411"/>
      <c r="D147" s="1411"/>
      <c r="E147" s="1411"/>
      <c r="F147" s="1411"/>
      <c r="G147" s="1412"/>
      <c r="H147" s="1032"/>
      <c r="I147" s="1785"/>
      <c r="J147" s="1412"/>
      <c r="K147" s="1819"/>
      <c r="L147" s="1412"/>
      <c r="M147" s="1785"/>
      <c r="N147" s="1412"/>
    </row>
    <row r="148" spans="1:14" ht="13.5" x14ac:dyDescent="0.2">
      <c r="A148" s="1786"/>
      <c r="B148" s="1411"/>
      <c r="C148" s="1411"/>
      <c r="D148" s="1411"/>
      <c r="E148" s="1411"/>
      <c r="F148" s="1411"/>
      <c r="G148" s="1412"/>
      <c r="H148" s="1032"/>
      <c r="I148" s="1785"/>
      <c r="J148" s="1412"/>
      <c r="K148" s="1819"/>
      <c r="L148" s="1412"/>
      <c r="M148" s="1785"/>
      <c r="N148" s="1412"/>
    </row>
    <row r="149" spans="1:14" ht="13.5" x14ac:dyDescent="0.25">
      <c r="A149" s="1028"/>
      <c r="B149" s="1028"/>
      <c r="C149" s="1028"/>
      <c r="D149" s="1028"/>
      <c r="E149" s="1028"/>
      <c r="F149" s="1028"/>
      <c r="G149" s="1028"/>
      <c r="H149" s="1028"/>
      <c r="I149" s="1028"/>
      <c r="J149" s="1028"/>
      <c r="K149" s="1818" t="s">
        <v>523</v>
      </c>
      <c r="L149" s="1412"/>
      <c r="M149" s="1785">
        <f>SUM(M143:N148)</f>
        <v>113050</v>
      </c>
      <c r="N149" s="1412"/>
    </row>
    <row r="150" spans="1:14" ht="13.5" x14ac:dyDescent="0.25">
      <c r="A150" s="1028"/>
      <c r="B150" s="1028"/>
      <c r="C150" s="1028"/>
      <c r="D150" s="1028"/>
      <c r="E150" s="1028"/>
      <c r="F150" s="1028"/>
      <c r="G150" s="1028"/>
      <c r="H150" s="1028"/>
      <c r="I150" s="1028"/>
      <c r="J150" s="1028"/>
      <c r="K150" s="1028"/>
      <c r="L150" s="1028"/>
      <c r="M150" s="1028"/>
      <c r="N150" s="1028"/>
    </row>
    <row r="151" spans="1:14" x14ac:dyDescent="0.2">
      <c r="A151" s="1820" t="s">
        <v>2145</v>
      </c>
      <c r="B151" s="1411"/>
      <c r="C151" s="1411"/>
      <c r="D151" s="1411"/>
      <c r="E151" s="1411"/>
      <c r="F151" s="1411"/>
      <c r="G151" s="1411"/>
      <c r="H151" s="1411"/>
      <c r="I151" s="1411"/>
      <c r="J151" s="1411"/>
      <c r="K151" s="1411"/>
      <c r="L151" s="1411"/>
      <c r="M151" s="1411"/>
      <c r="N151" s="1412"/>
    </row>
    <row r="152" spans="1:14" x14ac:dyDescent="0.2">
      <c r="A152" s="1818" t="s">
        <v>14</v>
      </c>
      <c r="B152" s="1411"/>
      <c r="C152" s="1411"/>
      <c r="D152" s="1411"/>
      <c r="E152" s="1411"/>
      <c r="F152" s="1411"/>
      <c r="G152" s="1412"/>
      <c r="H152" s="1113" t="s">
        <v>15</v>
      </c>
      <c r="I152" s="1821" t="s">
        <v>619</v>
      </c>
      <c r="J152" s="1412"/>
      <c r="K152" s="1821" t="s">
        <v>628</v>
      </c>
      <c r="L152" s="1412"/>
      <c r="M152" s="1821" t="s">
        <v>2140</v>
      </c>
      <c r="N152" s="1412"/>
    </row>
    <row r="153" spans="1:14" ht="13.5" x14ac:dyDescent="0.2">
      <c r="A153" s="1792" t="s">
        <v>2146</v>
      </c>
      <c r="B153" s="1411"/>
      <c r="C153" s="1411"/>
      <c r="D153" s="1411"/>
      <c r="E153" s="1411"/>
      <c r="F153" s="1411"/>
      <c r="G153" s="1412"/>
      <c r="H153" s="1032" t="e">
        <f>IF(A153="","",VLOOKUP(A153,'11'!$C$6:$E$1012,2,FALSE))</f>
        <v>#N/A</v>
      </c>
      <c r="I153" s="1785">
        <f>+M176</f>
        <v>12868.795546666666</v>
      </c>
      <c r="J153" s="1412"/>
      <c r="K153" s="1822">
        <v>0.03</v>
      </c>
      <c r="L153" s="1412"/>
      <c r="M153" s="1785">
        <f t="shared" ref="M153" si="11">IF(A153="","",I153*K153)</f>
        <v>386.06386639999999</v>
      </c>
      <c r="N153" s="1412"/>
    </row>
    <row r="154" spans="1:14" ht="13.5" x14ac:dyDescent="0.2">
      <c r="A154" s="1786"/>
      <c r="B154" s="1411"/>
      <c r="C154" s="1411"/>
      <c r="D154" s="1411"/>
      <c r="E154" s="1411"/>
      <c r="F154" s="1411"/>
      <c r="G154" s="1412"/>
      <c r="H154" s="1032"/>
      <c r="I154" s="1785"/>
      <c r="J154" s="1412"/>
      <c r="K154" s="1824"/>
      <c r="L154" s="1412"/>
      <c r="M154" s="1785"/>
      <c r="N154" s="1412"/>
    </row>
    <row r="155" spans="1:14" ht="13.5" x14ac:dyDescent="0.2">
      <c r="A155" s="1792"/>
      <c r="B155" s="1411"/>
      <c r="C155" s="1411"/>
      <c r="D155" s="1411"/>
      <c r="E155" s="1411"/>
      <c r="F155" s="1411"/>
      <c r="G155" s="1412"/>
      <c r="H155" s="1032"/>
      <c r="I155" s="1785"/>
      <c r="J155" s="1412"/>
      <c r="K155" s="1876"/>
      <c r="L155" s="1412"/>
      <c r="M155" s="1785"/>
      <c r="N155" s="1412"/>
    </row>
    <row r="156" spans="1:14" ht="13.5" x14ac:dyDescent="0.2">
      <c r="A156" s="1792"/>
      <c r="B156" s="1411"/>
      <c r="C156" s="1411"/>
      <c r="D156" s="1411"/>
      <c r="E156" s="1411"/>
      <c r="F156" s="1411"/>
      <c r="G156" s="1412"/>
      <c r="H156" s="1032"/>
      <c r="I156" s="1785"/>
      <c r="J156" s="1412"/>
      <c r="K156" s="1819"/>
      <c r="L156" s="1412"/>
      <c r="M156" s="1785"/>
      <c r="N156" s="1412"/>
    </row>
    <row r="157" spans="1:14" ht="13.5" x14ac:dyDescent="0.2">
      <c r="A157" s="1792"/>
      <c r="B157" s="1411"/>
      <c r="C157" s="1411"/>
      <c r="D157" s="1411"/>
      <c r="E157" s="1411"/>
      <c r="F157" s="1411"/>
      <c r="G157" s="1412"/>
      <c r="H157" s="1032"/>
      <c r="I157" s="1785"/>
      <c r="J157" s="1412"/>
      <c r="K157" s="1819"/>
      <c r="L157" s="1412"/>
      <c r="M157" s="1785"/>
      <c r="N157" s="1412"/>
    </row>
    <row r="158" spans="1:14" ht="13.5" x14ac:dyDescent="0.25">
      <c r="A158" s="1028"/>
      <c r="B158" s="1028"/>
      <c r="C158" s="1028"/>
      <c r="D158" s="1028"/>
      <c r="E158" s="1028"/>
      <c r="F158" s="1028"/>
      <c r="G158" s="1028"/>
      <c r="H158" s="1028"/>
      <c r="I158" s="1028"/>
      <c r="J158" s="1028"/>
      <c r="K158" s="1818" t="s">
        <v>523</v>
      </c>
      <c r="L158" s="1412"/>
      <c r="M158" s="1785">
        <f>SUM(M153:N157)</f>
        <v>386.06386639999999</v>
      </c>
      <c r="N158" s="1412"/>
    </row>
    <row r="159" spans="1:14" ht="13.5" x14ac:dyDescent="0.25">
      <c r="A159" s="1028"/>
      <c r="B159" s="1028"/>
      <c r="C159" s="1028"/>
      <c r="D159" s="1028"/>
      <c r="E159" s="1028"/>
      <c r="F159" s="1028"/>
      <c r="G159" s="1028"/>
      <c r="H159" s="1028"/>
      <c r="I159" s="1028"/>
      <c r="J159" s="1028"/>
      <c r="K159" s="1028"/>
      <c r="L159" s="1028"/>
      <c r="M159" s="1028"/>
      <c r="N159" s="1028"/>
    </row>
    <row r="160" spans="1:14" x14ac:dyDescent="0.2">
      <c r="A160" s="1820" t="s">
        <v>2147</v>
      </c>
      <c r="B160" s="1411"/>
      <c r="C160" s="1411"/>
      <c r="D160" s="1411"/>
      <c r="E160" s="1411"/>
      <c r="F160" s="1411"/>
      <c r="G160" s="1411"/>
      <c r="H160" s="1411"/>
      <c r="I160" s="1411"/>
      <c r="J160" s="1411"/>
      <c r="K160" s="1411"/>
      <c r="L160" s="1411"/>
      <c r="M160" s="1411"/>
      <c r="N160" s="1412"/>
    </row>
    <row r="161" spans="1:14" x14ac:dyDescent="0.2">
      <c r="A161" s="1818" t="s">
        <v>14</v>
      </c>
      <c r="B161" s="1411"/>
      <c r="C161" s="1411"/>
      <c r="D161" s="1411"/>
      <c r="E161" s="1411"/>
      <c r="F161" s="1411"/>
      <c r="G161" s="1412"/>
      <c r="H161" s="1113" t="s">
        <v>15</v>
      </c>
      <c r="I161" s="1821" t="s">
        <v>619</v>
      </c>
      <c r="J161" s="1412"/>
      <c r="K161" s="1821" t="s">
        <v>628</v>
      </c>
      <c r="L161" s="1412"/>
      <c r="M161" s="1821" t="s">
        <v>2140</v>
      </c>
      <c r="N161" s="1412"/>
    </row>
    <row r="162" spans="1:14" ht="13.5" x14ac:dyDescent="0.2">
      <c r="A162" s="1792" t="s">
        <v>2165</v>
      </c>
      <c r="B162" s="1411"/>
      <c r="C162" s="1411"/>
      <c r="D162" s="1411"/>
      <c r="E162" s="1411"/>
      <c r="F162" s="1411"/>
      <c r="G162" s="1412"/>
      <c r="H162" s="1032" t="str">
        <f>IF(A162="","",VLOOKUP(A162,'10'!$C$6:$E$1152,2,FALSE))</f>
        <v>M3-KM</v>
      </c>
      <c r="I162" s="1785">
        <f>IF(A162="","",VLOOKUP(A162,'10'!$C$6:$E$1152,3,FALSE))</f>
        <v>1879.1399946228782</v>
      </c>
      <c r="J162" s="1412"/>
      <c r="K162" s="1881">
        <f>+'01'!B15</f>
        <v>5</v>
      </c>
      <c r="L162" s="1412"/>
      <c r="M162" s="1785">
        <f t="shared" ref="M162:M166" si="12">IF(A162="","",I162*K162)</f>
        <v>9395.6999731143915</v>
      </c>
      <c r="N162" s="1412"/>
    </row>
    <row r="163" spans="1:14" ht="13.5" x14ac:dyDescent="0.2">
      <c r="A163" s="1786" t="s">
        <v>2167</v>
      </c>
      <c r="B163" s="1411"/>
      <c r="C163" s="1411"/>
      <c r="D163" s="1411"/>
      <c r="E163" s="1411"/>
      <c r="F163" s="1411"/>
      <c r="G163" s="1412"/>
      <c r="H163" s="1032" t="s">
        <v>19</v>
      </c>
      <c r="I163" s="1785">
        <f>+M158</f>
        <v>386.06386639999999</v>
      </c>
      <c r="J163" s="1412"/>
      <c r="K163" s="1822">
        <v>0.03</v>
      </c>
      <c r="L163" s="1412"/>
      <c r="M163" s="1785">
        <f t="shared" si="12"/>
        <v>11.581915991999999</v>
      </c>
      <c r="N163" s="1412"/>
    </row>
    <row r="164" spans="1:14" ht="13.5" x14ac:dyDescent="0.2">
      <c r="A164" s="1792"/>
      <c r="B164" s="1411"/>
      <c r="C164" s="1411"/>
      <c r="D164" s="1411"/>
      <c r="E164" s="1411"/>
      <c r="F164" s="1411"/>
      <c r="G164" s="1412"/>
      <c r="H164" s="1032"/>
      <c r="I164" s="1785"/>
      <c r="J164" s="1412"/>
      <c r="K164" s="1819"/>
      <c r="L164" s="1412"/>
      <c r="M164" s="1785" t="str">
        <f t="shared" si="12"/>
        <v/>
      </c>
      <c r="N164" s="1412"/>
    </row>
    <row r="165" spans="1:14" ht="13.5" x14ac:dyDescent="0.2">
      <c r="A165" s="1792"/>
      <c r="B165" s="1411"/>
      <c r="C165" s="1411"/>
      <c r="D165" s="1411"/>
      <c r="E165" s="1411"/>
      <c r="F165" s="1411"/>
      <c r="G165" s="1412"/>
      <c r="H165" s="1032"/>
      <c r="I165" s="1785"/>
      <c r="J165" s="1412"/>
      <c r="K165" s="1819"/>
      <c r="L165" s="1412"/>
      <c r="M165" s="1785" t="str">
        <f t="shared" si="12"/>
        <v/>
      </c>
      <c r="N165" s="1412"/>
    </row>
    <row r="166" spans="1:14" ht="13.5" x14ac:dyDescent="0.2">
      <c r="A166" s="1792"/>
      <c r="B166" s="1411"/>
      <c r="C166" s="1411"/>
      <c r="D166" s="1411"/>
      <c r="E166" s="1411"/>
      <c r="F166" s="1411"/>
      <c r="G166" s="1412"/>
      <c r="H166" s="1032"/>
      <c r="I166" s="1785"/>
      <c r="J166" s="1412"/>
      <c r="K166" s="1819"/>
      <c r="L166" s="1412"/>
      <c r="M166" s="1785" t="str">
        <f t="shared" si="12"/>
        <v/>
      </c>
      <c r="N166" s="1412"/>
    </row>
    <row r="167" spans="1:14" ht="13.5" x14ac:dyDescent="0.25">
      <c r="A167" s="1028"/>
      <c r="B167" s="1028"/>
      <c r="C167" s="1028"/>
      <c r="D167" s="1028"/>
      <c r="E167" s="1028"/>
      <c r="F167" s="1028"/>
      <c r="G167" s="1028"/>
      <c r="H167" s="1028"/>
      <c r="I167" s="1028"/>
      <c r="J167" s="1028"/>
      <c r="K167" s="1818" t="s">
        <v>523</v>
      </c>
      <c r="L167" s="1412"/>
      <c r="M167" s="1785">
        <f>SUM(M162:N166)</f>
        <v>9407.2818891063907</v>
      </c>
      <c r="N167" s="1412"/>
    </row>
    <row r="168" spans="1:14" ht="13.5" x14ac:dyDescent="0.25">
      <c r="A168" s="1028"/>
      <c r="B168" s="1028"/>
      <c r="C168" s="1028"/>
      <c r="D168" s="1028"/>
      <c r="E168" s="1028"/>
      <c r="F168" s="1028"/>
      <c r="G168" s="1028"/>
      <c r="H168" s="1028"/>
      <c r="I168" s="1028"/>
      <c r="J168" s="1028"/>
      <c r="K168" s="1028"/>
      <c r="L168" s="1028"/>
      <c r="M168" s="1028"/>
      <c r="N168" s="1028"/>
    </row>
    <row r="169" spans="1:14" x14ac:dyDescent="0.2">
      <c r="A169" s="1820" t="s">
        <v>2150</v>
      </c>
      <c r="B169" s="1411"/>
      <c r="C169" s="1411"/>
      <c r="D169" s="1411"/>
      <c r="E169" s="1411"/>
      <c r="F169" s="1411"/>
      <c r="G169" s="1411"/>
      <c r="H169" s="1411"/>
      <c r="I169" s="1411"/>
      <c r="J169" s="1411"/>
      <c r="K169" s="1411"/>
      <c r="L169" s="1411"/>
      <c r="M169" s="1411"/>
      <c r="N169" s="1412"/>
    </row>
    <row r="170" spans="1:14" x14ac:dyDescent="0.2">
      <c r="A170" s="1818" t="s">
        <v>14</v>
      </c>
      <c r="B170" s="1411"/>
      <c r="C170" s="1411"/>
      <c r="D170" s="1411"/>
      <c r="E170" s="1411"/>
      <c r="F170" s="1411"/>
      <c r="G170" s="1412"/>
      <c r="H170" s="1113" t="s">
        <v>15</v>
      </c>
      <c r="I170" s="1821" t="s">
        <v>619</v>
      </c>
      <c r="J170" s="1412"/>
      <c r="K170" s="1114" t="s">
        <v>1919</v>
      </c>
      <c r="L170" s="1115" t="s">
        <v>2151</v>
      </c>
      <c r="M170" s="1821" t="s">
        <v>2140</v>
      </c>
      <c r="N170" s="1412"/>
    </row>
    <row r="171" spans="1:14" ht="13.5" x14ac:dyDescent="0.25">
      <c r="A171" s="1817" t="s">
        <v>2168</v>
      </c>
      <c r="B171" s="1411"/>
      <c r="C171" s="1411"/>
      <c r="D171" s="1411"/>
      <c r="E171" s="1411"/>
      <c r="F171" s="1411"/>
      <c r="G171" s="1412"/>
      <c r="H171" s="1032" t="str">
        <f>IF(A171="","",VLOOKUP(A171,'09'!$A$22:$O$168,4,FALSE))</f>
        <v>Cuadrilla</v>
      </c>
      <c r="I171" s="1785">
        <f>IF(A171="","",VLOOKUP(A171,'09'!$A$22:$O$168,5,FALSE))</f>
        <v>204272</v>
      </c>
      <c r="J171" s="1412"/>
      <c r="K171" s="1034">
        <f>IF(A171="","",'03'!$I$2)</f>
        <v>1.88995</v>
      </c>
      <c r="L171" s="1121">
        <f>1/30</f>
        <v>3.3333333333333333E-2</v>
      </c>
      <c r="M171" s="1785">
        <f t="shared" ref="M171" si="13">IF(A171="","",I171*K171*L171)</f>
        <v>12868.795546666666</v>
      </c>
      <c r="N171" s="1412"/>
    </row>
    <row r="172" spans="1:14" ht="13.5" x14ac:dyDescent="0.25">
      <c r="A172" s="1817"/>
      <c r="B172" s="1411"/>
      <c r="C172" s="1411"/>
      <c r="D172" s="1411"/>
      <c r="E172" s="1411"/>
      <c r="F172" s="1411"/>
      <c r="G172" s="1412"/>
      <c r="H172" s="1032"/>
      <c r="I172" s="1785"/>
      <c r="J172" s="1412"/>
      <c r="K172" s="1034"/>
      <c r="L172" s="1034"/>
      <c r="M172" s="1785"/>
      <c r="N172" s="1412"/>
    </row>
    <row r="173" spans="1:14" ht="13.5" x14ac:dyDescent="0.25">
      <c r="A173" s="1817"/>
      <c r="B173" s="1411"/>
      <c r="C173" s="1411"/>
      <c r="D173" s="1411"/>
      <c r="E173" s="1411"/>
      <c r="F173" s="1411"/>
      <c r="G173" s="1412"/>
      <c r="H173" s="1032"/>
      <c r="I173" s="1785"/>
      <c r="J173" s="1412"/>
      <c r="K173" s="1034"/>
      <c r="L173" s="1117"/>
      <c r="M173" s="1785"/>
      <c r="N173" s="1412"/>
    </row>
    <row r="174" spans="1:14" ht="13.5" x14ac:dyDescent="0.25">
      <c r="A174" s="1817"/>
      <c r="B174" s="1411"/>
      <c r="C174" s="1411"/>
      <c r="D174" s="1411"/>
      <c r="E174" s="1411"/>
      <c r="F174" s="1411"/>
      <c r="G174" s="1412"/>
      <c r="H174" s="1032"/>
      <c r="I174" s="1785"/>
      <c r="J174" s="1412"/>
      <c r="K174" s="1034"/>
      <c r="L174" s="1117"/>
      <c r="M174" s="1785"/>
      <c r="N174" s="1412"/>
    </row>
    <row r="175" spans="1:14" ht="13.5" x14ac:dyDescent="0.25">
      <c r="A175" s="1817"/>
      <c r="B175" s="1411"/>
      <c r="C175" s="1411"/>
      <c r="D175" s="1411"/>
      <c r="E175" s="1411"/>
      <c r="F175" s="1411"/>
      <c r="G175" s="1412"/>
      <c r="H175" s="1032"/>
      <c r="I175" s="1785"/>
      <c r="J175" s="1412"/>
      <c r="K175" s="1034"/>
      <c r="L175" s="1117"/>
      <c r="M175" s="1785"/>
      <c r="N175" s="1412"/>
    </row>
    <row r="176" spans="1:14" ht="13.5" x14ac:dyDescent="0.25">
      <c r="A176" s="1028"/>
      <c r="B176" s="1028"/>
      <c r="C176" s="1028"/>
      <c r="D176" s="1028"/>
      <c r="E176" s="1028"/>
      <c r="F176" s="1028"/>
      <c r="G176" s="1028"/>
      <c r="H176" s="1028"/>
      <c r="I176" s="1028"/>
      <c r="J176" s="1028"/>
      <c r="K176" s="1818" t="s">
        <v>523</v>
      </c>
      <c r="L176" s="1412"/>
      <c r="M176" s="1785">
        <f>SUM(M171:N175)</f>
        <v>12868.795546666666</v>
      </c>
      <c r="N176" s="1412"/>
    </row>
    <row r="177" spans="1:14" x14ac:dyDescent="0.2">
      <c r="I177" s="1414"/>
      <c r="J177" s="1415"/>
      <c r="K177" s="1415"/>
      <c r="L177" s="1415"/>
      <c r="M177" s="1415"/>
      <c r="N177" s="1415"/>
    </row>
    <row r="178" spans="1:14" ht="13.5" thickBot="1" x14ac:dyDescent="0.25">
      <c r="I178" s="1416"/>
      <c r="J178" s="1416"/>
      <c r="K178" s="1416"/>
      <c r="L178" s="1416"/>
      <c r="M178" s="1416"/>
      <c r="N178" s="1416"/>
    </row>
    <row r="179" spans="1:14" ht="14.25" thickTop="1" x14ac:dyDescent="0.2">
      <c r="I179" s="1417" t="s">
        <v>1829</v>
      </c>
      <c r="J179" s="1418"/>
      <c r="K179" s="1417" t="s">
        <v>2653</v>
      </c>
      <c r="L179" s="1418"/>
      <c r="M179" s="1418"/>
      <c r="N179" s="1418"/>
    </row>
    <row r="180" spans="1:14" ht="13.5" x14ac:dyDescent="0.2">
      <c r="I180" s="1419" t="s">
        <v>1831</v>
      </c>
      <c r="J180" s="1420"/>
      <c r="K180" s="1419"/>
      <c r="L180" s="1420"/>
      <c r="M180" s="1420"/>
      <c r="N180" s="1420"/>
    </row>
    <row r="181" spans="1:14" x14ac:dyDescent="0.2">
      <c r="A181" s="1877" t="s">
        <v>2172</v>
      </c>
      <c r="B181" s="1878"/>
      <c r="C181" s="1878"/>
      <c r="D181" s="1878"/>
      <c r="E181" s="1878"/>
      <c r="F181" s="1878"/>
      <c r="G181" s="1878"/>
      <c r="H181" s="1878"/>
      <c r="I181" s="1878"/>
      <c r="J181" s="1878"/>
      <c r="K181" s="1878"/>
      <c r="L181" s="1878"/>
      <c r="M181" s="1875">
        <f>+'01'!$M$13</f>
        <v>0</v>
      </c>
      <c r="N181" s="1428"/>
    </row>
    <row r="182" spans="1:14" x14ac:dyDescent="0.2">
      <c r="A182" s="1879"/>
      <c r="B182" s="1880"/>
      <c r="C182" s="1880"/>
      <c r="D182" s="1880"/>
      <c r="E182" s="1880"/>
      <c r="F182" s="1880"/>
      <c r="G182" s="1880"/>
      <c r="H182" s="1880"/>
      <c r="I182" s="1880"/>
      <c r="J182" s="1880"/>
      <c r="K182" s="1880"/>
      <c r="L182" s="1880"/>
      <c r="M182" s="1426"/>
      <c r="N182" s="1430"/>
    </row>
    <row r="183" spans="1:14" ht="13.5" x14ac:dyDescent="0.2">
      <c r="A183" s="1103"/>
      <c r="B183" s="1103"/>
      <c r="C183" s="1103"/>
      <c r="D183" s="1103"/>
      <c r="E183" s="1103"/>
      <c r="F183" s="1103"/>
      <c r="G183" s="1103"/>
      <c r="H183" s="1103"/>
      <c r="I183" s="1103"/>
      <c r="J183" s="1103"/>
      <c r="K183" s="1103"/>
      <c r="L183" s="1103"/>
      <c r="M183" s="1103"/>
      <c r="N183" s="1103"/>
    </row>
    <row r="184" spans="1:14" ht="14.25" x14ac:dyDescent="0.3">
      <c r="A184" s="1104" t="s">
        <v>2173</v>
      </c>
      <c r="B184" s="1105" t="str">
        <f>A181</f>
        <v>RELLENO CON MATERIAL SELECCIONADO DE LA EXCAVACIÓN, COMPACTADO CON EQUIPO MECÁNICO EN CAPAS DE 0,20 m</v>
      </c>
      <c r="C184" s="1106" t="s">
        <v>634</v>
      </c>
      <c r="D184" s="1107" t="s">
        <v>12</v>
      </c>
      <c r="E184" s="1108" t="s">
        <v>1833</v>
      </c>
      <c r="F184" s="1111">
        <f>H184+J184+L184+N184</f>
        <v>23917.5986537975</v>
      </c>
      <c r="G184" s="1108" t="s">
        <v>2136</v>
      </c>
      <c r="H184" s="1111">
        <f>M202</f>
        <v>7157.3120182499997</v>
      </c>
      <c r="I184" s="1108" t="s">
        <v>621</v>
      </c>
      <c r="J184" s="1111">
        <f>M193</f>
        <v>0</v>
      </c>
      <c r="K184" s="1108" t="s">
        <v>2137</v>
      </c>
      <c r="L184" s="1111">
        <f>M211</f>
        <v>214.71936054749997</v>
      </c>
      <c r="M184" s="1108" t="s">
        <v>2138</v>
      </c>
      <c r="N184" s="1111">
        <f>M220</f>
        <v>16545.567275000001</v>
      </c>
    </row>
    <row r="185" spans="1:14" ht="13.5" x14ac:dyDescent="0.25">
      <c r="A185" s="1112"/>
      <c r="B185" s="1112"/>
      <c r="C185" s="1112"/>
      <c r="D185" s="1112"/>
      <c r="E185" s="1112"/>
      <c r="F185" s="1112"/>
      <c r="G185" s="1112"/>
      <c r="J185" s="1112"/>
      <c r="K185" s="1112"/>
      <c r="L185" s="1112"/>
      <c r="M185" s="1270" t="s">
        <v>2667</v>
      </c>
      <c r="N185" s="1270">
        <f>+F184*'01'!$O$15</f>
        <v>30956.641395291757</v>
      </c>
    </row>
    <row r="186" spans="1:14" x14ac:dyDescent="0.2">
      <c r="A186" s="1820" t="s">
        <v>2139</v>
      </c>
      <c r="B186" s="1411"/>
      <c r="C186" s="1411"/>
      <c r="D186" s="1411"/>
      <c r="E186" s="1411"/>
      <c r="F186" s="1411"/>
      <c r="G186" s="1411"/>
      <c r="H186" s="1411"/>
      <c r="I186" s="1411"/>
      <c r="J186" s="1411"/>
      <c r="K186" s="1411"/>
      <c r="L186" s="1411"/>
      <c r="M186" s="1411"/>
      <c r="N186" s="1412"/>
    </row>
    <row r="187" spans="1:14" x14ac:dyDescent="0.2">
      <c r="A187" s="1818" t="s">
        <v>14</v>
      </c>
      <c r="B187" s="1411"/>
      <c r="C187" s="1411"/>
      <c r="D187" s="1411"/>
      <c r="E187" s="1411"/>
      <c r="F187" s="1411"/>
      <c r="G187" s="1412"/>
      <c r="H187" s="1113" t="s">
        <v>15</v>
      </c>
      <c r="I187" s="1821" t="s">
        <v>619</v>
      </c>
      <c r="J187" s="1412"/>
      <c r="K187" s="1821" t="s">
        <v>628</v>
      </c>
      <c r="L187" s="1412"/>
      <c r="M187" s="1821" t="s">
        <v>2140</v>
      </c>
      <c r="N187" s="1412"/>
    </row>
    <row r="188" spans="1:14" ht="13.5" x14ac:dyDescent="0.2">
      <c r="A188" s="1792"/>
      <c r="B188" s="1411"/>
      <c r="C188" s="1411"/>
      <c r="D188" s="1411"/>
      <c r="E188" s="1411"/>
      <c r="F188" s="1411"/>
      <c r="G188" s="1412"/>
      <c r="H188" s="1032"/>
      <c r="I188" s="1785"/>
      <c r="J188" s="1412"/>
      <c r="K188" s="1819"/>
      <c r="L188" s="1412"/>
      <c r="M188" s="1785"/>
      <c r="N188" s="1412"/>
    </row>
    <row r="189" spans="1:14" ht="13.5" x14ac:dyDescent="0.2">
      <c r="A189" s="1792"/>
      <c r="B189" s="1411"/>
      <c r="C189" s="1411"/>
      <c r="D189" s="1411"/>
      <c r="E189" s="1411"/>
      <c r="F189" s="1411"/>
      <c r="G189" s="1412"/>
      <c r="H189" s="1032"/>
      <c r="I189" s="1785"/>
      <c r="J189" s="1412"/>
      <c r="K189" s="1819"/>
      <c r="L189" s="1412"/>
      <c r="M189" s="1785"/>
      <c r="N189" s="1412"/>
    </row>
    <row r="190" spans="1:14" ht="13.5" x14ac:dyDescent="0.2">
      <c r="A190" s="1792"/>
      <c r="B190" s="1411"/>
      <c r="C190" s="1411"/>
      <c r="D190" s="1411"/>
      <c r="E190" s="1411"/>
      <c r="F190" s="1411"/>
      <c r="G190" s="1412"/>
      <c r="H190" s="1032"/>
      <c r="I190" s="1785"/>
      <c r="J190" s="1412"/>
      <c r="K190" s="1819"/>
      <c r="L190" s="1412"/>
      <c r="M190" s="1785"/>
      <c r="N190" s="1412"/>
    </row>
    <row r="191" spans="1:14" ht="13.5" x14ac:dyDescent="0.2">
      <c r="A191" s="1792"/>
      <c r="B191" s="1411"/>
      <c r="C191" s="1411"/>
      <c r="D191" s="1411"/>
      <c r="E191" s="1411"/>
      <c r="F191" s="1411"/>
      <c r="G191" s="1412"/>
      <c r="H191" s="1032"/>
      <c r="I191" s="1785"/>
      <c r="J191" s="1412"/>
      <c r="K191" s="1819"/>
      <c r="L191" s="1412"/>
      <c r="M191" s="1785"/>
      <c r="N191" s="1412"/>
    </row>
    <row r="192" spans="1:14" ht="13.5" x14ac:dyDescent="0.2">
      <c r="A192" s="1792"/>
      <c r="B192" s="1411"/>
      <c r="C192" s="1411"/>
      <c r="D192" s="1411"/>
      <c r="E192" s="1411"/>
      <c r="F192" s="1411"/>
      <c r="G192" s="1412"/>
      <c r="H192" s="1032"/>
      <c r="I192" s="1785"/>
      <c r="J192" s="1412"/>
      <c r="K192" s="1819"/>
      <c r="L192" s="1412"/>
      <c r="M192" s="1785"/>
      <c r="N192" s="1412"/>
    </row>
    <row r="193" spans="1:14" ht="13.5" x14ac:dyDescent="0.25">
      <c r="A193" s="1028"/>
      <c r="B193" s="1028"/>
      <c r="C193" s="1028"/>
      <c r="D193" s="1028"/>
      <c r="E193" s="1028"/>
      <c r="F193" s="1028"/>
      <c r="G193" s="1028"/>
      <c r="H193" s="1028"/>
      <c r="I193" s="1028"/>
      <c r="J193" s="1028"/>
      <c r="K193" s="1818" t="s">
        <v>523</v>
      </c>
      <c r="L193" s="1412"/>
      <c r="M193" s="1785">
        <f>SUM(M188:N192)</f>
        <v>0</v>
      </c>
      <c r="N193" s="1412"/>
    </row>
    <row r="194" spans="1:14" ht="13.5" x14ac:dyDescent="0.25">
      <c r="A194" s="1028"/>
      <c r="B194" s="1028"/>
      <c r="C194" s="1028"/>
      <c r="D194" s="1028"/>
      <c r="E194" s="1028"/>
      <c r="F194" s="1028"/>
      <c r="G194" s="1028"/>
      <c r="H194" s="1028"/>
      <c r="I194" s="1028"/>
      <c r="J194" s="1028"/>
      <c r="K194" s="1028"/>
      <c r="L194" s="1028"/>
      <c r="M194" s="1028"/>
      <c r="N194" s="1028"/>
    </row>
    <row r="195" spans="1:14" x14ac:dyDescent="0.2">
      <c r="A195" s="1820" t="s">
        <v>2145</v>
      </c>
      <c r="B195" s="1411"/>
      <c r="C195" s="1411"/>
      <c r="D195" s="1411"/>
      <c r="E195" s="1411"/>
      <c r="F195" s="1411"/>
      <c r="G195" s="1411"/>
      <c r="H195" s="1411"/>
      <c r="I195" s="1411"/>
      <c r="J195" s="1411"/>
      <c r="K195" s="1411"/>
      <c r="L195" s="1411"/>
      <c r="M195" s="1411"/>
      <c r="N195" s="1412"/>
    </row>
    <row r="196" spans="1:14" x14ac:dyDescent="0.2">
      <c r="A196" s="1818" t="s">
        <v>14</v>
      </c>
      <c r="B196" s="1411"/>
      <c r="C196" s="1411"/>
      <c r="D196" s="1411"/>
      <c r="E196" s="1411"/>
      <c r="F196" s="1411"/>
      <c r="G196" s="1412"/>
      <c r="H196" s="1113" t="s">
        <v>15</v>
      </c>
      <c r="I196" s="1821" t="s">
        <v>619</v>
      </c>
      <c r="J196" s="1412"/>
      <c r="K196" s="1821" t="s">
        <v>628</v>
      </c>
      <c r="L196" s="1412"/>
      <c r="M196" s="1821" t="s">
        <v>2140</v>
      </c>
      <c r="N196" s="1412"/>
    </row>
    <row r="197" spans="1:14" ht="13.5" x14ac:dyDescent="0.2">
      <c r="A197" s="1792" t="s">
        <v>2146</v>
      </c>
      <c r="B197" s="1411"/>
      <c r="C197" s="1411"/>
      <c r="D197" s="1411"/>
      <c r="E197" s="1411"/>
      <c r="F197" s="1411"/>
      <c r="G197" s="1412"/>
      <c r="H197" s="1032" t="e">
        <f>IF(A197="","",VLOOKUP(A197,'11'!$C$6:$E$1012,2,FALSE))</f>
        <v>#N/A</v>
      </c>
      <c r="I197" s="1785">
        <f>M220</f>
        <v>16545.567275000001</v>
      </c>
      <c r="J197" s="1412"/>
      <c r="K197" s="1822">
        <v>0.03</v>
      </c>
      <c r="L197" s="1412"/>
      <c r="M197" s="1785">
        <f t="shared" ref="M197:M198" si="14">IF(A197="","",I197*K197)</f>
        <v>496.36701825</v>
      </c>
      <c r="N197" s="1412"/>
    </row>
    <row r="198" spans="1:14" ht="13.5" x14ac:dyDescent="0.2">
      <c r="A198" s="1786" t="s">
        <v>2174</v>
      </c>
      <c r="B198" s="1411"/>
      <c r="C198" s="1411"/>
      <c r="D198" s="1411"/>
      <c r="E198" s="1411"/>
      <c r="F198" s="1411"/>
      <c r="G198" s="1412"/>
      <c r="H198" s="1032" t="str">
        <f>IF(A198="","",VLOOKUP(A198,'11'!$C$6:$E$1012,2,FALSE))</f>
        <v>Dia</v>
      </c>
      <c r="I198" s="1785">
        <f>IF(A198="","",VLOOKUP(A198,'11'!$C$6:$E$1012,3,FALSE))</f>
        <v>148021</v>
      </c>
      <c r="J198" s="1412"/>
      <c r="K198" s="1824">
        <v>4.4999999999999998E-2</v>
      </c>
      <c r="L198" s="1412"/>
      <c r="M198" s="1785">
        <f t="shared" si="14"/>
        <v>6660.9449999999997</v>
      </c>
      <c r="N198" s="1412"/>
    </row>
    <row r="199" spans="1:14" ht="13.5" x14ac:dyDescent="0.2">
      <c r="A199" s="1792"/>
      <c r="B199" s="1411"/>
      <c r="C199" s="1411"/>
      <c r="D199" s="1411"/>
      <c r="E199" s="1411"/>
      <c r="F199" s="1411"/>
      <c r="G199" s="1412"/>
      <c r="H199" s="1032"/>
      <c r="I199" s="1785"/>
      <c r="J199" s="1412"/>
      <c r="K199" s="1876"/>
      <c r="L199" s="1412"/>
      <c r="M199" s="1785"/>
      <c r="N199" s="1412"/>
    </row>
    <row r="200" spans="1:14" ht="13.5" x14ac:dyDescent="0.2">
      <c r="A200" s="1792"/>
      <c r="B200" s="1411"/>
      <c r="C200" s="1411"/>
      <c r="D200" s="1411"/>
      <c r="E200" s="1411"/>
      <c r="F200" s="1411"/>
      <c r="G200" s="1412"/>
      <c r="H200" s="1032"/>
      <c r="I200" s="1785"/>
      <c r="J200" s="1412"/>
      <c r="K200" s="1819"/>
      <c r="L200" s="1412"/>
      <c r="M200" s="1785"/>
      <c r="N200" s="1412"/>
    </row>
    <row r="201" spans="1:14" ht="13.5" x14ac:dyDescent="0.2">
      <c r="A201" s="1792"/>
      <c r="B201" s="1411"/>
      <c r="C201" s="1411"/>
      <c r="D201" s="1411"/>
      <c r="E201" s="1411"/>
      <c r="F201" s="1411"/>
      <c r="G201" s="1412"/>
      <c r="H201" s="1032"/>
      <c r="I201" s="1785"/>
      <c r="J201" s="1412"/>
      <c r="K201" s="1819"/>
      <c r="L201" s="1412"/>
      <c r="M201" s="1785"/>
      <c r="N201" s="1412"/>
    </row>
    <row r="202" spans="1:14" ht="13.5" x14ac:dyDescent="0.25">
      <c r="A202" s="1028"/>
      <c r="B202" s="1028"/>
      <c r="C202" s="1028"/>
      <c r="D202" s="1028"/>
      <c r="E202" s="1028"/>
      <c r="F202" s="1028"/>
      <c r="G202" s="1028"/>
      <c r="H202" s="1028"/>
      <c r="I202" s="1028"/>
      <c r="J202" s="1028"/>
      <c r="K202" s="1818" t="s">
        <v>523</v>
      </c>
      <c r="L202" s="1412"/>
      <c r="M202" s="1785">
        <f>SUM(M197:N201)</f>
        <v>7157.3120182499997</v>
      </c>
      <c r="N202" s="1412"/>
    </row>
    <row r="203" spans="1:14" ht="13.5" x14ac:dyDescent="0.25">
      <c r="A203" s="1028"/>
      <c r="B203" s="1028"/>
      <c r="C203" s="1028"/>
      <c r="D203" s="1028"/>
      <c r="E203" s="1028"/>
      <c r="F203" s="1028"/>
      <c r="G203" s="1028"/>
      <c r="H203" s="1028"/>
      <c r="I203" s="1028"/>
      <c r="J203" s="1028"/>
      <c r="K203" s="1028"/>
      <c r="L203" s="1028"/>
      <c r="M203" s="1028"/>
      <c r="N203" s="1028"/>
    </row>
    <row r="204" spans="1:14" x14ac:dyDescent="0.2">
      <c r="A204" s="1820" t="s">
        <v>2147</v>
      </c>
      <c r="B204" s="1411"/>
      <c r="C204" s="1411"/>
      <c r="D204" s="1411"/>
      <c r="E204" s="1411"/>
      <c r="F204" s="1411"/>
      <c r="G204" s="1411"/>
      <c r="H204" s="1411"/>
      <c r="I204" s="1411"/>
      <c r="J204" s="1411"/>
      <c r="K204" s="1411"/>
      <c r="L204" s="1411"/>
      <c r="M204" s="1411"/>
      <c r="N204" s="1412"/>
    </row>
    <row r="205" spans="1:14" x14ac:dyDescent="0.2">
      <c r="A205" s="1818" t="s">
        <v>14</v>
      </c>
      <c r="B205" s="1411"/>
      <c r="C205" s="1411"/>
      <c r="D205" s="1411"/>
      <c r="E205" s="1411"/>
      <c r="F205" s="1411"/>
      <c r="G205" s="1412"/>
      <c r="H205" s="1113" t="s">
        <v>15</v>
      </c>
      <c r="I205" s="1821" t="s">
        <v>619</v>
      </c>
      <c r="J205" s="1412"/>
      <c r="K205" s="1821" t="s">
        <v>628</v>
      </c>
      <c r="L205" s="1412"/>
      <c r="M205" s="1821" t="s">
        <v>2140</v>
      </c>
      <c r="N205" s="1412"/>
    </row>
    <row r="206" spans="1:14" ht="13.5" x14ac:dyDescent="0.2">
      <c r="A206" s="1792" t="s">
        <v>2175</v>
      </c>
      <c r="B206" s="1411"/>
      <c r="C206" s="1411"/>
      <c r="D206" s="1411"/>
      <c r="E206" s="1411"/>
      <c r="F206" s="1411"/>
      <c r="G206" s="1412"/>
      <c r="H206" s="1032" t="s">
        <v>2176</v>
      </c>
      <c r="I206" s="1785">
        <f>+M202</f>
        <v>7157.3120182499997</v>
      </c>
      <c r="J206" s="1412"/>
      <c r="K206" s="1822">
        <v>0.03</v>
      </c>
      <c r="L206" s="1412"/>
      <c r="M206" s="1785">
        <f t="shared" ref="M206" si="15">IF(A206="","",I206*K206)</f>
        <v>214.71936054749997</v>
      </c>
      <c r="N206" s="1412"/>
    </row>
    <row r="207" spans="1:14" ht="13.5" x14ac:dyDescent="0.2">
      <c r="A207" s="1786"/>
      <c r="B207" s="1411"/>
      <c r="C207" s="1411"/>
      <c r="D207" s="1411"/>
      <c r="E207" s="1411"/>
      <c r="F207" s="1411"/>
      <c r="G207" s="1412"/>
      <c r="H207" s="1032"/>
      <c r="I207" s="1785"/>
      <c r="J207" s="1412"/>
      <c r="K207" s="1822"/>
      <c r="L207" s="1412"/>
      <c r="M207" s="1785"/>
      <c r="N207" s="1412"/>
    </row>
    <row r="208" spans="1:14" ht="13.5" x14ac:dyDescent="0.2">
      <c r="A208" s="1792"/>
      <c r="B208" s="1411"/>
      <c r="C208" s="1411"/>
      <c r="D208" s="1411"/>
      <c r="E208" s="1411"/>
      <c r="F208" s="1411"/>
      <c r="G208" s="1412"/>
      <c r="H208" s="1032"/>
      <c r="I208" s="1785"/>
      <c r="J208" s="1412"/>
      <c r="K208" s="1819"/>
      <c r="L208" s="1412"/>
      <c r="M208" s="1785"/>
      <c r="N208" s="1412"/>
    </row>
    <row r="209" spans="1:14" ht="13.5" x14ac:dyDescent="0.2">
      <c r="A209" s="1792"/>
      <c r="B209" s="1411"/>
      <c r="C209" s="1411"/>
      <c r="D209" s="1411"/>
      <c r="E209" s="1411"/>
      <c r="F209" s="1411"/>
      <c r="G209" s="1412"/>
      <c r="H209" s="1032"/>
      <c r="I209" s="1785"/>
      <c r="J209" s="1412"/>
      <c r="K209" s="1819"/>
      <c r="L209" s="1412"/>
      <c r="M209" s="1785"/>
      <c r="N209" s="1412"/>
    </row>
    <row r="210" spans="1:14" ht="13.5" x14ac:dyDescent="0.2">
      <c r="A210" s="1792"/>
      <c r="B210" s="1411"/>
      <c r="C210" s="1411"/>
      <c r="D210" s="1411"/>
      <c r="E210" s="1411"/>
      <c r="F210" s="1411"/>
      <c r="G210" s="1412"/>
      <c r="H210" s="1032"/>
      <c r="I210" s="1785"/>
      <c r="J210" s="1412"/>
      <c r="K210" s="1819"/>
      <c r="L210" s="1412"/>
      <c r="M210" s="1785"/>
      <c r="N210" s="1412"/>
    </row>
    <row r="211" spans="1:14" ht="13.5" x14ac:dyDescent="0.25">
      <c r="A211" s="1028"/>
      <c r="B211" s="1028"/>
      <c r="C211" s="1028"/>
      <c r="D211" s="1028"/>
      <c r="E211" s="1028"/>
      <c r="F211" s="1028"/>
      <c r="G211" s="1028"/>
      <c r="H211" s="1028"/>
      <c r="I211" s="1028"/>
      <c r="J211" s="1028"/>
      <c r="K211" s="1818" t="s">
        <v>523</v>
      </c>
      <c r="L211" s="1412"/>
      <c r="M211" s="1785">
        <f>SUM(M206:N210)</f>
        <v>214.71936054749997</v>
      </c>
      <c r="N211" s="1412"/>
    </row>
    <row r="212" spans="1:14" ht="13.5" x14ac:dyDescent="0.25">
      <c r="A212" s="1028"/>
      <c r="B212" s="1028"/>
      <c r="C212" s="1028"/>
      <c r="D212" s="1028"/>
      <c r="E212" s="1028"/>
      <c r="F212" s="1028"/>
      <c r="G212" s="1028"/>
      <c r="H212" s="1028"/>
      <c r="I212" s="1028"/>
      <c r="J212" s="1028"/>
      <c r="K212" s="1028"/>
      <c r="L212" s="1028"/>
      <c r="M212" s="1028"/>
      <c r="N212" s="1028"/>
    </row>
    <row r="213" spans="1:14" x14ac:dyDescent="0.2">
      <c r="A213" s="1820" t="s">
        <v>2150</v>
      </c>
      <c r="B213" s="1411"/>
      <c r="C213" s="1411"/>
      <c r="D213" s="1411"/>
      <c r="E213" s="1411"/>
      <c r="F213" s="1411"/>
      <c r="G213" s="1411"/>
      <c r="H213" s="1411"/>
      <c r="I213" s="1411"/>
      <c r="J213" s="1411"/>
      <c r="K213" s="1411"/>
      <c r="L213" s="1411"/>
      <c r="M213" s="1411"/>
      <c r="N213" s="1412"/>
    </row>
    <row r="214" spans="1:14" x14ac:dyDescent="0.2">
      <c r="A214" s="1818" t="s">
        <v>14</v>
      </c>
      <c r="B214" s="1411"/>
      <c r="C214" s="1411"/>
      <c r="D214" s="1411"/>
      <c r="E214" s="1411"/>
      <c r="F214" s="1411"/>
      <c r="G214" s="1412"/>
      <c r="H214" s="1113" t="s">
        <v>15</v>
      </c>
      <c r="I214" s="1821" t="s">
        <v>619</v>
      </c>
      <c r="J214" s="1412"/>
      <c r="K214" s="1114" t="s">
        <v>1919</v>
      </c>
      <c r="L214" s="1115" t="s">
        <v>2151</v>
      </c>
      <c r="M214" s="1821" t="s">
        <v>2140</v>
      </c>
      <c r="N214" s="1412"/>
    </row>
    <row r="215" spans="1:14" ht="13.5" x14ac:dyDescent="0.25">
      <c r="A215" s="1817" t="s">
        <v>2161</v>
      </c>
      <c r="B215" s="1411"/>
      <c r="C215" s="1411"/>
      <c r="D215" s="1411"/>
      <c r="E215" s="1411"/>
      <c r="F215" s="1411"/>
      <c r="G215" s="1412"/>
      <c r="H215" s="1032" t="str">
        <f>IF(A215="","",VLOOKUP(A215,'09'!$A$22:$O$168,4,FALSE))</f>
        <v>Cuadrilla</v>
      </c>
      <c r="I215" s="1785">
        <f>IF(A215="","",VLOOKUP(A215,'09'!$A$22:$O$168,5,FALSE))</f>
        <v>87545</v>
      </c>
      <c r="J215" s="1412"/>
      <c r="K215" s="1034">
        <f>IF(A215="","",'03'!$I$2)</f>
        <v>1.88995</v>
      </c>
      <c r="L215" s="1116">
        <f>1/10</f>
        <v>0.1</v>
      </c>
      <c r="M215" s="1785">
        <f t="shared" ref="M215:M219" si="16">IF(A215="","",I215*K215*L215)</f>
        <v>16545.567275000001</v>
      </c>
      <c r="N215" s="1412"/>
    </row>
    <row r="216" spans="1:14" ht="13.5" x14ac:dyDescent="0.25">
      <c r="A216" s="1817"/>
      <c r="B216" s="1411"/>
      <c r="C216" s="1411"/>
      <c r="D216" s="1411"/>
      <c r="E216" s="1411"/>
      <c r="F216" s="1411"/>
      <c r="G216" s="1412"/>
      <c r="H216" s="1032" t="str">
        <f>IF(A216="","",VLOOKUP(A216,AA_Cuadrillas,4,FALSE))</f>
        <v/>
      </c>
      <c r="I216" s="1785" t="str">
        <f>IF(A216="","",VLOOKUP(A216,AA_Cuadrillas,5,FALSE))</f>
        <v/>
      </c>
      <c r="J216" s="1412"/>
      <c r="K216" s="1034" t="str">
        <f>IF(A216="","",'03'!$I$2)</f>
        <v/>
      </c>
      <c r="L216" s="1034"/>
      <c r="M216" s="1785" t="str">
        <f t="shared" si="16"/>
        <v/>
      </c>
      <c r="N216" s="1412"/>
    </row>
    <row r="217" spans="1:14" ht="13.5" x14ac:dyDescent="0.25">
      <c r="A217" s="1817"/>
      <c r="B217" s="1411"/>
      <c r="C217" s="1411"/>
      <c r="D217" s="1411"/>
      <c r="E217" s="1411"/>
      <c r="F217" s="1411"/>
      <c r="G217" s="1412"/>
      <c r="H217" s="1032" t="str">
        <f>IF(A217="","",VLOOKUP(A217,AA_Cuadrillas,4,FALSE))</f>
        <v/>
      </c>
      <c r="I217" s="1785" t="str">
        <f>IF(A217="","",VLOOKUP(A217,AA_Cuadrillas,5,FALSE))</f>
        <v/>
      </c>
      <c r="J217" s="1412"/>
      <c r="K217" s="1034" t="str">
        <f>IF(A217="","",'03'!$I$2)</f>
        <v/>
      </c>
      <c r="L217" s="1117"/>
      <c r="M217" s="1785" t="str">
        <f t="shared" si="16"/>
        <v/>
      </c>
      <c r="N217" s="1412"/>
    </row>
    <row r="218" spans="1:14" ht="13.5" x14ac:dyDescent="0.25">
      <c r="A218" s="1817"/>
      <c r="B218" s="1411"/>
      <c r="C218" s="1411"/>
      <c r="D218" s="1411"/>
      <c r="E218" s="1411"/>
      <c r="F218" s="1411"/>
      <c r="G218" s="1412"/>
      <c r="H218" s="1032" t="str">
        <f>IF(A218="","",VLOOKUP(A218,AA_Cuadrillas,4,FALSE))</f>
        <v/>
      </c>
      <c r="I218" s="1785" t="str">
        <f>IF(A218="","",VLOOKUP(A218,AA_Cuadrillas,5,FALSE))</f>
        <v/>
      </c>
      <c r="J218" s="1412"/>
      <c r="K218" s="1034" t="str">
        <f>IF(A218="","",'03'!$I$2)</f>
        <v/>
      </c>
      <c r="L218" s="1117"/>
      <c r="M218" s="1785" t="str">
        <f t="shared" si="16"/>
        <v/>
      </c>
      <c r="N218" s="1412"/>
    </row>
    <row r="219" spans="1:14" ht="13.5" x14ac:dyDescent="0.25">
      <c r="A219" s="1817"/>
      <c r="B219" s="1411"/>
      <c r="C219" s="1411"/>
      <c r="D219" s="1411"/>
      <c r="E219" s="1411"/>
      <c r="F219" s="1411"/>
      <c r="G219" s="1412"/>
      <c r="H219" s="1032" t="str">
        <f>IF(A219="","",VLOOKUP(A219,AA_Cuadrillas,4,FALSE))</f>
        <v/>
      </c>
      <c r="I219" s="1785" t="str">
        <f>IF(A219="","",VLOOKUP(A219,AA_Cuadrillas,5,FALSE))</f>
        <v/>
      </c>
      <c r="J219" s="1412"/>
      <c r="K219" s="1034" t="str">
        <f>IF(A219="","",'03'!$I$2)</f>
        <v/>
      </c>
      <c r="L219" s="1117"/>
      <c r="M219" s="1785" t="str">
        <f t="shared" si="16"/>
        <v/>
      </c>
      <c r="N219" s="1412"/>
    </row>
    <row r="220" spans="1:14" ht="13.5" x14ac:dyDescent="0.25">
      <c r="A220" s="1028"/>
      <c r="B220" s="1028"/>
      <c r="C220" s="1028"/>
      <c r="D220" s="1028"/>
      <c r="E220" s="1028"/>
      <c r="F220" s="1028"/>
      <c r="G220" s="1028"/>
      <c r="H220" s="1028"/>
      <c r="I220" s="1028"/>
      <c r="J220" s="1028"/>
      <c r="K220" s="1818" t="s">
        <v>523</v>
      </c>
      <c r="L220" s="1412"/>
      <c r="M220" s="1785">
        <f>SUM(M215:N219)</f>
        <v>16545.567275000001</v>
      </c>
      <c r="N220" s="1412"/>
    </row>
    <row r="221" spans="1:14" x14ac:dyDescent="0.2">
      <c r="I221" s="1414"/>
      <c r="J221" s="1415"/>
      <c r="K221" s="1415"/>
      <c r="L221" s="1415"/>
      <c r="M221" s="1415"/>
      <c r="N221" s="1415"/>
    </row>
    <row r="222" spans="1:14" ht="13.5" thickBot="1" x14ac:dyDescent="0.25">
      <c r="I222" s="1416"/>
      <c r="J222" s="1416"/>
      <c r="K222" s="1416"/>
      <c r="L222" s="1416"/>
      <c r="M222" s="1416"/>
      <c r="N222" s="1416"/>
    </row>
    <row r="223" spans="1:14" ht="14.25" thickTop="1" x14ac:dyDescent="0.2">
      <c r="I223" s="1417" t="s">
        <v>1829</v>
      </c>
      <c r="J223" s="1418"/>
      <c r="K223" s="1417" t="s">
        <v>2653</v>
      </c>
      <c r="L223" s="1418"/>
      <c r="M223" s="1418"/>
      <c r="N223" s="1418"/>
    </row>
    <row r="224" spans="1:14" ht="13.5" x14ac:dyDescent="0.2">
      <c r="I224" s="1419" t="s">
        <v>1831</v>
      </c>
      <c r="J224" s="1420"/>
      <c r="K224" s="1419"/>
      <c r="L224" s="1420"/>
      <c r="M224" s="1420"/>
      <c r="N224" s="1420"/>
    </row>
    <row r="225" spans="1:14" x14ac:dyDescent="0.2">
      <c r="A225" s="1871" t="s">
        <v>2177</v>
      </c>
      <c r="B225" s="1872"/>
      <c r="C225" s="1872"/>
      <c r="D225" s="1872"/>
      <c r="E225" s="1872"/>
      <c r="F225" s="1872"/>
      <c r="G225" s="1872"/>
      <c r="H225" s="1872"/>
      <c r="I225" s="1872"/>
      <c r="J225" s="1872"/>
      <c r="K225" s="1872"/>
      <c r="L225" s="1872"/>
      <c r="M225" s="1875">
        <f>+'01'!$M$13</f>
        <v>0</v>
      </c>
      <c r="N225" s="1428"/>
    </row>
    <row r="226" spans="1:14" x14ac:dyDescent="0.2">
      <c r="A226" s="1873"/>
      <c r="B226" s="1874"/>
      <c r="C226" s="1874"/>
      <c r="D226" s="1874"/>
      <c r="E226" s="1874"/>
      <c r="F226" s="1874"/>
      <c r="G226" s="1874"/>
      <c r="H226" s="1874"/>
      <c r="I226" s="1874"/>
      <c r="J226" s="1874"/>
      <c r="K226" s="1874"/>
      <c r="L226" s="1874"/>
      <c r="M226" s="1426"/>
      <c r="N226" s="1430"/>
    </row>
    <row r="227" spans="1:14" ht="13.5" x14ac:dyDescent="0.2">
      <c r="A227" s="1103"/>
      <c r="B227" s="1103"/>
      <c r="C227" s="1103"/>
      <c r="D227" s="1103"/>
      <c r="E227" s="1103"/>
      <c r="F227" s="1103"/>
      <c r="G227" s="1103"/>
      <c r="H227" s="1103"/>
      <c r="I227" s="1103"/>
      <c r="J227" s="1103"/>
      <c r="K227" s="1103"/>
      <c r="L227" s="1103"/>
      <c r="M227" s="1103"/>
      <c r="N227" s="1103"/>
    </row>
    <row r="228" spans="1:14" ht="14.25" x14ac:dyDescent="0.3">
      <c r="A228" s="1104" t="s">
        <v>2178</v>
      </c>
      <c r="B228" s="1105" t="str">
        <f>A225</f>
        <v>RETIRO DE MATERIAL SOBRANTE HASTA BOTADERO AUTORIZADO (INCLUYE FACTOR DE EXPANSIÓN)</v>
      </c>
      <c r="C228" s="1106" t="s">
        <v>634</v>
      </c>
      <c r="D228" s="1107" t="s">
        <v>2166</v>
      </c>
      <c r="E228" s="1108" t="s">
        <v>1833</v>
      </c>
      <c r="F228" s="1111">
        <f>H228+J228+L228+N228</f>
        <v>2527.4249932785979</v>
      </c>
      <c r="G228" s="1108" t="s">
        <v>2136</v>
      </c>
      <c r="H228" s="1111">
        <f>M238</f>
        <v>0</v>
      </c>
      <c r="I228" s="1108" t="s">
        <v>621</v>
      </c>
      <c r="J228" s="1111">
        <f>M247</f>
        <v>178.5</v>
      </c>
      <c r="K228" s="1108" t="s">
        <v>2137</v>
      </c>
      <c r="L228" s="1111">
        <f>M256</f>
        <v>2348.9249932785979</v>
      </c>
      <c r="M228" s="1108" t="s">
        <v>2138</v>
      </c>
      <c r="N228" s="1111">
        <f>M265</f>
        <v>0</v>
      </c>
    </row>
    <row r="229" spans="1:14" ht="13.5" x14ac:dyDescent="0.25">
      <c r="A229" s="1112"/>
      <c r="B229" s="1112"/>
      <c r="C229" s="1112"/>
      <c r="D229" s="1112"/>
      <c r="E229" s="1112"/>
      <c r="F229" s="1112"/>
      <c r="G229" s="1112"/>
      <c r="J229" s="1112"/>
      <c r="K229" s="1112"/>
      <c r="L229" s="1112"/>
      <c r="M229" s="1270" t="s">
        <v>2667</v>
      </c>
      <c r="N229" s="1270">
        <f>+F228*'01'!$O$15</f>
        <v>3271.2560446782409</v>
      </c>
    </row>
    <row r="230" spans="1:14" x14ac:dyDescent="0.2">
      <c r="A230" s="1820" t="s">
        <v>2139</v>
      </c>
      <c r="B230" s="1411"/>
      <c r="C230" s="1411"/>
      <c r="D230" s="1411"/>
      <c r="E230" s="1411"/>
      <c r="F230" s="1411"/>
      <c r="G230" s="1411"/>
      <c r="H230" s="1411"/>
      <c r="I230" s="1411"/>
      <c r="J230" s="1411"/>
      <c r="K230" s="1411"/>
      <c r="L230" s="1411"/>
      <c r="M230" s="1411"/>
      <c r="N230" s="1412"/>
    </row>
    <row r="231" spans="1:14" x14ac:dyDescent="0.2">
      <c r="A231" s="1818" t="s">
        <v>14</v>
      </c>
      <c r="B231" s="1411"/>
      <c r="C231" s="1411"/>
      <c r="D231" s="1411"/>
      <c r="E231" s="1411"/>
      <c r="F231" s="1411"/>
      <c r="G231" s="1412"/>
      <c r="H231" s="1113" t="s">
        <v>15</v>
      </c>
      <c r="I231" s="1821" t="s">
        <v>619</v>
      </c>
      <c r="J231" s="1412"/>
      <c r="K231" s="1821" t="s">
        <v>628</v>
      </c>
      <c r="L231" s="1412"/>
      <c r="M231" s="1821" t="s">
        <v>2140</v>
      </c>
      <c r="N231" s="1412"/>
    </row>
    <row r="232" spans="1:14" ht="13.5" x14ac:dyDescent="0.2">
      <c r="A232" s="1786"/>
      <c r="B232" s="1411"/>
      <c r="C232" s="1411"/>
      <c r="D232" s="1411"/>
      <c r="E232" s="1411"/>
      <c r="F232" s="1411"/>
      <c r="G232" s="1412"/>
      <c r="H232" s="1032"/>
      <c r="I232" s="1785"/>
      <c r="J232" s="1412"/>
      <c r="K232" s="1819"/>
      <c r="L232" s="1412"/>
      <c r="M232" s="1785">
        <f>+I232*K232</f>
        <v>0</v>
      </c>
      <c r="N232" s="1412"/>
    </row>
    <row r="233" spans="1:14" ht="13.5" x14ac:dyDescent="0.2">
      <c r="A233" s="1792"/>
      <c r="B233" s="1411"/>
      <c r="C233" s="1411"/>
      <c r="D233" s="1411"/>
      <c r="E233" s="1411"/>
      <c r="F233" s="1411"/>
      <c r="G233" s="1412"/>
      <c r="H233" s="1032"/>
      <c r="I233" s="1785"/>
      <c r="J233" s="1412"/>
      <c r="K233" s="1819"/>
      <c r="L233" s="1412"/>
      <c r="M233" s="1785"/>
      <c r="N233" s="1412"/>
    </row>
    <row r="234" spans="1:14" ht="13.5" x14ac:dyDescent="0.2">
      <c r="A234" s="1792"/>
      <c r="B234" s="1411"/>
      <c r="C234" s="1411"/>
      <c r="D234" s="1411"/>
      <c r="E234" s="1411"/>
      <c r="F234" s="1411"/>
      <c r="G234" s="1412"/>
      <c r="H234" s="1032"/>
      <c r="I234" s="1785"/>
      <c r="J234" s="1412"/>
      <c r="K234" s="1819"/>
      <c r="L234" s="1412"/>
      <c r="M234" s="1785"/>
      <c r="N234" s="1412"/>
    </row>
    <row r="235" spans="1:14" ht="13.5" x14ac:dyDescent="0.2">
      <c r="A235" s="1792"/>
      <c r="B235" s="1411"/>
      <c r="C235" s="1411"/>
      <c r="D235" s="1411"/>
      <c r="E235" s="1411"/>
      <c r="F235" s="1411"/>
      <c r="G235" s="1412"/>
      <c r="H235" s="1032"/>
      <c r="I235" s="1785"/>
      <c r="J235" s="1412"/>
      <c r="K235" s="1819"/>
      <c r="L235" s="1412"/>
      <c r="M235" s="1785"/>
      <c r="N235" s="1412"/>
    </row>
    <row r="236" spans="1:14" ht="13.5" x14ac:dyDescent="0.2">
      <c r="A236" s="1792"/>
      <c r="B236" s="1411"/>
      <c r="C236" s="1411"/>
      <c r="D236" s="1411"/>
      <c r="E236" s="1411"/>
      <c r="F236" s="1411"/>
      <c r="G236" s="1412"/>
      <c r="H236" s="1032"/>
      <c r="I236" s="1785"/>
      <c r="J236" s="1412"/>
      <c r="K236" s="1819"/>
      <c r="L236" s="1412"/>
      <c r="M236" s="1785"/>
      <c r="N236" s="1412"/>
    </row>
    <row r="237" spans="1:14" ht="13.5" x14ac:dyDescent="0.2">
      <c r="A237" s="1792"/>
      <c r="B237" s="1411"/>
      <c r="C237" s="1411"/>
      <c r="D237" s="1411"/>
      <c r="E237" s="1411"/>
      <c r="F237" s="1411"/>
      <c r="G237" s="1412"/>
      <c r="H237" s="1032"/>
      <c r="I237" s="1785"/>
      <c r="J237" s="1412"/>
      <c r="K237" s="1819"/>
      <c r="L237" s="1412"/>
      <c r="M237" s="1785"/>
      <c r="N237" s="1412"/>
    </row>
    <row r="238" spans="1:14" ht="13.5" x14ac:dyDescent="0.25">
      <c r="A238" s="1028"/>
      <c r="B238" s="1028"/>
      <c r="C238" s="1028"/>
      <c r="D238" s="1028"/>
      <c r="E238" s="1028"/>
      <c r="F238" s="1028"/>
      <c r="G238" s="1028"/>
      <c r="H238" s="1028"/>
      <c r="I238" s="1028"/>
      <c r="J238" s="1028"/>
      <c r="K238" s="1818" t="s">
        <v>523</v>
      </c>
      <c r="L238" s="1412"/>
      <c r="M238" s="1785">
        <f>SUM(M232:N237)</f>
        <v>0</v>
      </c>
      <c r="N238" s="1412"/>
    </row>
    <row r="239" spans="1:14" ht="13.5" x14ac:dyDescent="0.25">
      <c r="A239" s="1028"/>
      <c r="B239" s="1028"/>
      <c r="C239" s="1028"/>
      <c r="D239" s="1028"/>
      <c r="E239" s="1028"/>
      <c r="F239" s="1028"/>
      <c r="G239" s="1028"/>
      <c r="H239" s="1028"/>
      <c r="I239" s="1028"/>
      <c r="J239" s="1028"/>
      <c r="K239" s="1028"/>
      <c r="L239" s="1028"/>
      <c r="M239" s="1028"/>
      <c r="N239" s="1028"/>
    </row>
    <row r="240" spans="1:14" x14ac:dyDescent="0.2">
      <c r="A240" s="1820" t="s">
        <v>2145</v>
      </c>
      <c r="B240" s="1411"/>
      <c r="C240" s="1411"/>
      <c r="D240" s="1411"/>
      <c r="E240" s="1411"/>
      <c r="F240" s="1411"/>
      <c r="G240" s="1411"/>
      <c r="H240" s="1411"/>
      <c r="I240" s="1411"/>
      <c r="J240" s="1411"/>
      <c r="K240" s="1411"/>
      <c r="L240" s="1411"/>
      <c r="M240" s="1411"/>
      <c r="N240" s="1412"/>
    </row>
    <row r="241" spans="1:14" x14ac:dyDescent="0.2">
      <c r="A241" s="1818" t="s">
        <v>14</v>
      </c>
      <c r="B241" s="1411"/>
      <c r="C241" s="1411"/>
      <c r="D241" s="1411"/>
      <c r="E241" s="1411"/>
      <c r="F241" s="1411"/>
      <c r="G241" s="1412"/>
      <c r="H241" s="1113" t="s">
        <v>15</v>
      </c>
      <c r="I241" s="1821" t="s">
        <v>619</v>
      </c>
      <c r="J241" s="1412"/>
      <c r="K241" s="1821" t="s">
        <v>628</v>
      </c>
      <c r="L241" s="1412"/>
      <c r="M241" s="1821" t="s">
        <v>2140</v>
      </c>
      <c r="N241" s="1412"/>
    </row>
    <row r="242" spans="1:14" ht="13.5" x14ac:dyDescent="0.2">
      <c r="A242" s="1786" t="s">
        <v>2179</v>
      </c>
      <c r="B242" s="1411"/>
      <c r="C242" s="1411"/>
      <c r="D242" s="1411"/>
      <c r="E242" s="1411"/>
      <c r="F242" s="1411"/>
      <c r="G242" s="1412"/>
      <c r="H242" s="1032" t="str">
        <f>IF(A242="","",VLOOKUP(A242,'11'!$C$6:$E$1012,2,FALSE))</f>
        <v>Hora</v>
      </c>
      <c r="I242" s="1785">
        <f>IF(A242="","",VLOOKUP(A242,'11'!$C$6:$E$1012,3,FALSE))</f>
        <v>178500</v>
      </c>
      <c r="J242" s="1412"/>
      <c r="K242" s="1824">
        <v>1E-3</v>
      </c>
      <c r="L242" s="1412"/>
      <c r="M242" s="1785">
        <f t="shared" ref="M242" si="17">IF(A242="","",I242*K242)</f>
        <v>178.5</v>
      </c>
      <c r="N242" s="1412"/>
    </row>
    <row r="243" spans="1:14" ht="13.5" x14ac:dyDescent="0.2">
      <c r="A243" s="1786"/>
      <c r="B243" s="1411"/>
      <c r="C243" s="1411"/>
      <c r="D243" s="1411"/>
      <c r="E243" s="1411"/>
      <c r="F243" s="1411"/>
      <c r="G243" s="1412"/>
      <c r="H243" s="1032"/>
      <c r="I243" s="1785"/>
      <c r="J243" s="1412"/>
      <c r="K243" s="1824"/>
      <c r="L243" s="1412"/>
      <c r="M243" s="1785"/>
      <c r="N243" s="1412"/>
    </row>
    <row r="244" spans="1:14" ht="13.5" x14ac:dyDescent="0.2">
      <c r="A244" s="1792"/>
      <c r="B244" s="1411"/>
      <c r="C244" s="1411"/>
      <c r="D244" s="1411"/>
      <c r="E244" s="1411"/>
      <c r="F244" s="1411"/>
      <c r="G244" s="1412"/>
      <c r="H244" s="1032"/>
      <c r="I244" s="1785"/>
      <c r="J244" s="1412"/>
      <c r="K244" s="1876"/>
      <c r="L244" s="1412"/>
      <c r="M244" s="1785"/>
      <c r="N244" s="1412"/>
    </row>
    <row r="245" spans="1:14" ht="13.5" x14ac:dyDescent="0.2">
      <c r="A245" s="1792"/>
      <c r="B245" s="1411"/>
      <c r="C245" s="1411"/>
      <c r="D245" s="1411"/>
      <c r="E245" s="1411"/>
      <c r="F245" s="1411"/>
      <c r="G245" s="1412"/>
      <c r="H245" s="1032"/>
      <c r="I245" s="1785"/>
      <c r="J245" s="1412"/>
      <c r="K245" s="1819"/>
      <c r="L245" s="1412"/>
      <c r="M245" s="1785"/>
      <c r="N245" s="1412"/>
    </row>
    <row r="246" spans="1:14" ht="13.5" x14ac:dyDescent="0.2">
      <c r="A246" s="1792"/>
      <c r="B246" s="1411"/>
      <c r="C246" s="1411"/>
      <c r="D246" s="1411"/>
      <c r="E246" s="1411"/>
      <c r="F246" s="1411"/>
      <c r="G246" s="1412"/>
      <c r="H246" s="1032"/>
      <c r="I246" s="1785"/>
      <c r="J246" s="1412"/>
      <c r="K246" s="1819"/>
      <c r="L246" s="1412"/>
      <c r="M246" s="1785"/>
      <c r="N246" s="1412"/>
    </row>
    <row r="247" spans="1:14" ht="13.5" x14ac:dyDescent="0.25">
      <c r="A247" s="1028"/>
      <c r="B247" s="1028"/>
      <c r="C247" s="1028"/>
      <c r="D247" s="1028"/>
      <c r="E247" s="1028"/>
      <c r="F247" s="1028"/>
      <c r="G247" s="1028"/>
      <c r="H247" s="1028"/>
      <c r="I247" s="1028"/>
      <c r="J247" s="1028"/>
      <c r="K247" s="1818" t="s">
        <v>523</v>
      </c>
      <c r="L247" s="1412"/>
      <c r="M247" s="1785">
        <f>SUM(M242:N246)</f>
        <v>178.5</v>
      </c>
      <c r="N247" s="1412"/>
    </row>
    <row r="248" spans="1:14" ht="13.5" x14ac:dyDescent="0.25">
      <c r="A248" s="1028"/>
      <c r="B248" s="1028"/>
      <c r="C248" s="1028"/>
      <c r="D248" s="1028"/>
      <c r="E248" s="1028"/>
      <c r="F248" s="1028"/>
      <c r="G248" s="1028"/>
      <c r="H248" s="1028"/>
      <c r="I248" s="1028"/>
      <c r="J248" s="1028"/>
      <c r="K248" s="1028"/>
      <c r="L248" s="1028"/>
      <c r="M248" s="1028"/>
      <c r="N248" s="1028"/>
    </row>
    <row r="249" spans="1:14" x14ac:dyDescent="0.2">
      <c r="A249" s="1820" t="s">
        <v>2147</v>
      </c>
      <c r="B249" s="1411"/>
      <c r="C249" s="1411"/>
      <c r="D249" s="1411"/>
      <c r="E249" s="1411"/>
      <c r="F249" s="1411"/>
      <c r="G249" s="1411"/>
      <c r="H249" s="1411"/>
      <c r="I249" s="1411"/>
      <c r="J249" s="1411"/>
      <c r="K249" s="1411"/>
      <c r="L249" s="1411"/>
      <c r="M249" s="1411"/>
      <c r="N249" s="1412"/>
    </row>
    <row r="250" spans="1:14" x14ac:dyDescent="0.2">
      <c r="A250" s="1818" t="s">
        <v>14</v>
      </c>
      <c r="B250" s="1411"/>
      <c r="C250" s="1411"/>
      <c r="D250" s="1411"/>
      <c r="E250" s="1411"/>
      <c r="F250" s="1411"/>
      <c r="G250" s="1412"/>
      <c r="H250" s="1113" t="s">
        <v>15</v>
      </c>
      <c r="I250" s="1821" t="s">
        <v>619</v>
      </c>
      <c r="J250" s="1412"/>
      <c r="K250" s="1821" t="s">
        <v>628</v>
      </c>
      <c r="L250" s="1412"/>
      <c r="M250" s="1821" t="s">
        <v>2140</v>
      </c>
      <c r="N250" s="1412"/>
    </row>
    <row r="251" spans="1:14" ht="13.5" x14ac:dyDescent="0.2">
      <c r="A251" s="1792" t="s">
        <v>2165</v>
      </c>
      <c r="B251" s="1411"/>
      <c r="C251" s="1411"/>
      <c r="D251" s="1411"/>
      <c r="E251" s="1411"/>
      <c r="F251" s="1411"/>
      <c r="G251" s="1412"/>
      <c r="H251" s="1032" t="str">
        <f>IF(A251="","",VLOOKUP(A251,'10'!$C$6:$E$1152,2,FALSE))</f>
        <v>M3-KM</v>
      </c>
      <c r="I251" s="1785">
        <f>IF(A251="","",VLOOKUP(A251,'10'!$C$6:$E$1152,3,FALSE))</f>
        <v>1879.1399946228782</v>
      </c>
      <c r="J251" s="1412"/>
      <c r="K251" s="1819">
        <v>1.25</v>
      </c>
      <c r="L251" s="1412"/>
      <c r="M251" s="1785">
        <f t="shared" ref="M251" si="18">IF(A251="","",I251*K251)</f>
        <v>2348.9249932785979</v>
      </c>
      <c r="N251" s="1412"/>
    </row>
    <row r="252" spans="1:14" ht="13.5" x14ac:dyDescent="0.2">
      <c r="A252" s="1786"/>
      <c r="B252" s="1411"/>
      <c r="C252" s="1411"/>
      <c r="D252" s="1411"/>
      <c r="E252" s="1411"/>
      <c r="F252" s="1411"/>
      <c r="G252" s="1412"/>
      <c r="H252" s="1032"/>
      <c r="I252" s="1785"/>
      <c r="J252" s="1412"/>
      <c r="K252" s="1822"/>
      <c r="L252" s="1412"/>
      <c r="M252" s="1785"/>
      <c r="N252" s="1412"/>
    </row>
    <row r="253" spans="1:14" ht="13.5" x14ac:dyDescent="0.2">
      <c r="A253" s="1792"/>
      <c r="B253" s="1411"/>
      <c r="C253" s="1411"/>
      <c r="D253" s="1411"/>
      <c r="E253" s="1411"/>
      <c r="F253" s="1411"/>
      <c r="G253" s="1412"/>
      <c r="H253" s="1032"/>
      <c r="I253" s="1785"/>
      <c r="J253" s="1412"/>
      <c r="K253" s="1819"/>
      <c r="L253" s="1412"/>
      <c r="M253" s="1785"/>
      <c r="N253" s="1412"/>
    </row>
    <row r="254" spans="1:14" ht="13.5" x14ac:dyDescent="0.2">
      <c r="A254" s="1792"/>
      <c r="B254" s="1411"/>
      <c r="C254" s="1411"/>
      <c r="D254" s="1411"/>
      <c r="E254" s="1411"/>
      <c r="F254" s="1411"/>
      <c r="G254" s="1412"/>
      <c r="H254" s="1032"/>
      <c r="I254" s="1785"/>
      <c r="J254" s="1412"/>
      <c r="K254" s="1819"/>
      <c r="L254" s="1412"/>
      <c r="M254" s="1785"/>
      <c r="N254" s="1412"/>
    </row>
    <row r="255" spans="1:14" ht="13.5" x14ac:dyDescent="0.2">
      <c r="A255" s="1792"/>
      <c r="B255" s="1411"/>
      <c r="C255" s="1411"/>
      <c r="D255" s="1411"/>
      <c r="E255" s="1411"/>
      <c r="F255" s="1411"/>
      <c r="G255" s="1412"/>
      <c r="H255" s="1032"/>
      <c r="I255" s="1785"/>
      <c r="J255" s="1412"/>
      <c r="K255" s="1819"/>
      <c r="L255" s="1412"/>
      <c r="M255" s="1785"/>
      <c r="N255" s="1412"/>
    </row>
    <row r="256" spans="1:14" ht="13.5" x14ac:dyDescent="0.25">
      <c r="A256" s="1028"/>
      <c r="B256" s="1028"/>
      <c r="C256" s="1028"/>
      <c r="D256" s="1028"/>
      <c r="E256" s="1028"/>
      <c r="F256" s="1028"/>
      <c r="G256" s="1028"/>
      <c r="H256" s="1028"/>
      <c r="I256" s="1028"/>
      <c r="J256" s="1028"/>
      <c r="K256" s="1818" t="s">
        <v>523</v>
      </c>
      <c r="L256" s="1412"/>
      <c r="M256" s="1785">
        <f>SUM(M251:N255)</f>
        <v>2348.9249932785979</v>
      </c>
      <c r="N256" s="1412"/>
    </row>
    <row r="257" spans="1:14" ht="13.5" x14ac:dyDescent="0.25">
      <c r="A257" s="1028"/>
      <c r="B257" s="1028"/>
      <c r="C257" s="1028"/>
      <c r="D257" s="1028"/>
      <c r="E257" s="1028"/>
      <c r="F257" s="1028"/>
      <c r="G257" s="1028"/>
      <c r="H257" s="1028"/>
      <c r="I257" s="1028"/>
      <c r="J257" s="1028"/>
      <c r="K257" s="1028"/>
      <c r="L257" s="1028"/>
      <c r="M257" s="1028"/>
      <c r="N257" s="1028"/>
    </row>
    <row r="258" spans="1:14" x14ac:dyDescent="0.2">
      <c r="A258" s="1820" t="s">
        <v>2150</v>
      </c>
      <c r="B258" s="1411"/>
      <c r="C258" s="1411"/>
      <c r="D258" s="1411"/>
      <c r="E258" s="1411"/>
      <c r="F258" s="1411"/>
      <c r="G258" s="1411"/>
      <c r="H258" s="1411"/>
      <c r="I258" s="1411"/>
      <c r="J258" s="1411"/>
      <c r="K258" s="1411"/>
      <c r="L258" s="1411"/>
      <c r="M258" s="1411"/>
      <c r="N258" s="1412"/>
    </row>
    <row r="259" spans="1:14" x14ac:dyDescent="0.2">
      <c r="A259" s="1818" t="s">
        <v>14</v>
      </c>
      <c r="B259" s="1411"/>
      <c r="C259" s="1411"/>
      <c r="D259" s="1411"/>
      <c r="E259" s="1411"/>
      <c r="F259" s="1411"/>
      <c r="G259" s="1412"/>
      <c r="H259" s="1113" t="s">
        <v>15</v>
      </c>
      <c r="I259" s="1821" t="s">
        <v>619</v>
      </c>
      <c r="J259" s="1412"/>
      <c r="K259" s="1114" t="s">
        <v>1919</v>
      </c>
      <c r="L259" s="1115" t="s">
        <v>2151</v>
      </c>
      <c r="M259" s="1821" t="s">
        <v>2140</v>
      </c>
      <c r="N259" s="1412"/>
    </row>
    <row r="260" spans="1:14" ht="13.5" x14ac:dyDescent="0.25">
      <c r="A260" s="1817"/>
      <c r="B260" s="1411"/>
      <c r="C260" s="1411"/>
      <c r="D260" s="1411"/>
      <c r="E260" s="1411"/>
      <c r="F260" s="1411"/>
      <c r="G260" s="1412"/>
      <c r="H260" s="1032"/>
      <c r="I260" s="1785"/>
      <c r="J260" s="1412"/>
      <c r="K260" s="1034"/>
      <c r="L260" s="1116"/>
      <c r="M260" s="1785"/>
      <c r="N260" s="1412"/>
    </row>
    <row r="261" spans="1:14" ht="13.5" x14ac:dyDescent="0.25">
      <c r="A261" s="1817"/>
      <c r="B261" s="1411"/>
      <c r="C261" s="1411"/>
      <c r="D261" s="1411"/>
      <c r="E261" s="1411"/>
      <c r="F261" s="1411"/>
      <c r="G261" s="1412"/>
      <c r="H261" s="1032"/>
      <c r="I261" s="1785"/>
      <c r="J261" s="1412"/>
      <c r="K261" s="1034"/>
      <c r="L261" s="1034"/>
      <c r="M261" s="1785"/>
      <c r="N261" s="1412"/>
    </row>
    <row r="262" spans="1:14" ht="13.5" x14ac:dyDescent="0.25">
      <c r="A262" s="1817"/>
      <c r="B262" s="1411"/>
      <c r="C262" s="1411"/>
      <c r="D262" s="1411"/>
      <c r="E262" s="1411"/>
      <c r="F262" s="1411"/>
      <c r="G262" s="1412"/>
      <c r="H262" s="1032"/>
      <c r="I262" s="1785"/>
      <c r="J262" s="1412"/>
      <c r="K262" s="1034"/>
      <c r="L262" s="1117"/>
      <c r="M262" s="1785"/>
      <c r="N262" s="1412"/>
    </row>
    <row r="263" spans="1:14" ht="13.5" x14ac:dyDescent="0.25">
      <c r="A263" s="1817"/>
      <c r="B263" s="1411"/>
      <c r="C263" s="1411"/>
      <c r="D263" s="1411"/>
      <c r="E263" s="1411"/>
      <c r="F263" s="1411"/>
      <c r="G263" s="1412"/>
      <c r="H263" s="1032"/>
      <c r="I263" s="1785"/>
      <c r="J263" s="1412"/>
      <c r="K263" s="1034"/>
      <c r="L263" s="1117"/>
      <c r="M263" s="1785"/>
      <c r="N263" s="1412"/>
    </row>
    <row r="264" spans="1:14" ht="13.5" x14ac:dyDescent="0.25">
      <c r="A264" s="1817"/>
      <c r="B264" s="1411"/>
      <c r="C264" s="1411"/>
      <c r="D264" s="1411"/>
      <c r="E264" s="1411"/>
      <c r="F264" s="1411"/>
      <c r="G264" s="1412"/>
      <c r="H264" s="1032"/>
      <c r="I264" s="1785"/>
      <c r="J264" s="1412"/>
      <c r="K264" s="1034"/>
      <c r="L264" s="1117"/>
      <c r="M264" s="1785"/>
      <c r="N264" s="1412"/>
    </row>
    <row r="265" spans="1:14" ht="13.5" x14ac:dyDescent="0.25">
      <c r="A265" s="1028"/>
      <c r="B265" s="1028"/>
      <c r="C265" s="1028"/>
      <c r="D265" s="1028"/>
      <c r="E265" s="1028"/>
      <c r="F265" s="1028"/>
      <c r="G265" s="1028"/>
      <c r="H265" s="1028"/>
      <c r="I265" s="1028"/>
      <c r="J265" s="1028"/>
      <c r="K265" s="1818" t="s">
        <v>523</v>
      </c>
      <c r="L265" s="1412"/>
      <c r="M265" s="1785">
        <f>SUM(M260:N264)</f>
        <v>0</v>
      </c>
      <c r="N265" s="1412"/>
    </row>
    <row r="266" spans="1:14" x14ac:dyDescent="0.2">
      <c r="I266" s="1414"/>
      <c r="J266" s="1415"/>
      <c r="K266" s="1415"/>
      <c r="L266" s="1415"/>
      <c r="M266" s="1415"/>
      <c r="N266" s="1415"/>
    </row>
    <row r="267" spans="1:14" ht="13.5" thickBot="1" x14ac:dyDescent="0.25">
      <c r="I267" s="1416"/>
      <c r="J267" s="1416"/>
      <c r="K267" s="1416"/>
      <c r="L267" s="1416"/>
      <c r="M267" s="1416"/>
      <c r="N267" s="1416"/>
    </row>
    <row r="268" spans="1:14" ht="14.25" thickTop="1" x14ac:dyDescent="0.2">
      <c r="I268" s="1417" t="s">
        <v>1829</v>
      </c>
      <c r="J268" s="1418"/>
      <c r="K268" s="1417" t="s">
        <v>2653</v>
      </c>
      <c r="L268" s="1418"/>
      <c r="M268" s="1418"/>
      <c r="N268" s="1418"/>
    </row>
    <row r="269" spans="1:14" ht="13.5" x14ac:dyDescent="0.2">
      <c r="I269" s="1419" t="s">
        <v>1831</v>
      </c>
      <c r="J269" s="1420"/>
      <c r="K269" s="1419"/>
      <c r="L269" s="1420"/>
      <c r="M269" s="1420"/>
      <c r="N269" s="1420"/>
    </row>
    <row r="270" spans="1:14" x14ac:dyDescent="0.2">
      <c r="A270" s="1871" t="s">
        <v>2182</v>
      </c>
      <c r="B270" s="1872"/>
      <c r="C270" s="1872"/>
      <c r="D270" s="1872"/>
      <c r="E270" s="1872"/>
      <c r="F270" s="1872"/>
      <c r="G270" s="1872"/>
      <c r="H270" s="1872"/>
      <c r="I270" s="1872"/>
      <c r="J270" s="1872"/>
      <c r="K270" s="1872"/>
      <c r="L270" s="1872"/>
      <c r="M270" s="1875">
        <f>+'01'!$M$13</f>
        <v>0</v>
      </c>
      <c r="N270" s="1428"/>
    </row>
    <row r="271" spans="1:14" x14ac:dyDescent="0.2">
      <c r="A271" s="1873"/>
      <c r="B271" s="1874"/>
      <c r="C271" s="1874"/>
      <c r="D271" s="1874"/>
      <c r="E271" s="1874"/>
      <c r="F271" s="1874"/>
      <c r="G271" s="1874"/>
      <c r="H271" s="1874"/>
      <c r="I271" s="1874"/>
      <c r="J271" s="1874"/>
      <c r="K271" s="1874"/>
      <c r="L271" s="1874"/>
      <c r="M271" s="1426"/>
      <c r="N271" s="1430"/>
    </row>
    <row r="272" spans="1:14" ht="13.5" x14ac:dyDescent="0.2">
      <c r="A272" s="1103"/>
      <c r="B272" s="1103"/>
      <c r="C272" s="1103"/>
      <c r="D272" s="1103"/>
      <c r="E272" s="1103"/>
      <c r="F272" s="1103"/>
      <c r="G272" s="1103"/>
      <c r="H272" s="1103"/>
      <c r="I272" s="1103"/>
      <c r="J272" s="1103"/>
      <c r="K272" s="1103"/>
      <c r="L272" s="1103"/>
      <c r="M272" s="1103"/>
      <c r="N272" s="1103"/>
    </row>
    <row r="273" spans="1:14" ht="14.25" x14ac:dyDescent="0.3">
      <c r="A273" s="1104" t="s">
        <v>2183</v>
      </c>
      <c r="B273" s="1105" t="str">
        <f>A270</f>
        <v>DISPOSICIÓN DE MATERIAL PROVENIENTE DE EXCAVACIÓN (NO INCLUYE TRANSPORTE)</v>
      </c>
      <c r="C273" s="1106" t="s">
        <v>634</v>
      </c>
      <c r="D273" s="1107" t="s">
        <v>12</v>
      </c>
      <c r="E273" s="1108" t="s">
        <v>1833</v>
      </c>
      <c r="F273" s="1111">
        <f>H273+J273+L273+N273</f>
        <v>4500</v>
      </c>
      <c r="G273" s="1108" t="s">
        <v>2136</v>
      </c>
      <c r="H273" s="1111">
        <f>M283</f>
        <v>4500</v>
      </c>
      <c r="I273" s="1108" t="s">
        <v>621</v>
      </c>
      <c r="J273" s="1111">
        <f>M292</f>
        <v>0</v>
      </c>
      <c r="K273" s="1108" t="s">
        <v>2137</v>
      </c>
      <c r="L273" s="1111">
        <f>M301</f>
        <v>0</v>
      </c>
      <c r="M273" s="1108" t="s">
        <v>2138</v>
      </c>
      <c r="N273" s="1111">
        <f>M310</f>
        <v>0</v>
      </c>
    </row>
    <row r="274" spans="1:14" ht="13.5" x14ac:dyDescent="0.25">
      <c r="A274" s="1112"/>
      <c r="B274" s="1112"/>
      <c r="C274" s="1112"/>
      <c r="D274" s="1112"/>
      <c r="E274" s="1112"/>
      <c r="F274" s="1112"/>
      <c r="G274" s="1112"/>
      <c r="J274" s="1112"/>
      <c r="K274" s="1112"/>
      <c r="L274" s="1112"/>
      <c r="M274" s="1270" t="s">
        <v>2667</v>
      </c>
      <c r="N274" s="1270">
        <f>+F273*'01'!$O$15</f>
        <v>5824.3675836869543</v>
      </c>
    </row>
    <row r="275" spans="1:14" x14ac:dyDescent="0.2">
      <c r="A275" s="1820" t="s">
        <v>2139</v>
      </c>
      <c r="B275" s="1411"/>
      <c r="C275" s="1411"/>
      <c r="D275" s="1411"/>
      <c r="E275" s="1411"/>
      <c r="F275" s="1411"/>
      <c r="G275" s="1411"/>
      <c r="H275" s="1411"/>
      <c r="I275" s="1411"/>
      <c r="J275" s="1411"/>
      <c r="K275" s="1411"/>
      <c r="L275" s="1411"/>
      <c r="M275" s="1411"/>
      <c r="N275" s="1412"/>
    </row>
    <row r="276" spans="1:14" x14ac:dyDescent="0.2">
      <c r="A276" s="1818" t="s">
        <v>14</v>
      </c>
      <c r="B276" s="1411"/>
      <c r="C276" s="1411"/>
      <c r="D276" s="1411"/>
      <c r="E276" s="1411"/>
      <c r="F276" s="1411"/>
      <c r="G276" s="1412"/>
      <c r="H276" s="1113" t="s">
        <v>15</v>
      </c>
      <c r="I276" s="1821" t="s">
        <v>619</v>
      </c>
      <c r="J276" s="1412"/>
      <c r="K276" s="1821" t="s">
        <v>628</v>
      </c>
      <c r="L276" s="1412"/>
      <c r="M276" s="1821" t="s">
        <v>2140</v>
      </c>
      <c r="N276" s="1412"/>
    </row>
    <row r="277" spans="1:14" ht="13.5" x14ac:dyDescent="0.2">
      <c r="A277" s="1786" t="s">
        <v>877</v>
      </c>
      <c r="B277" s="1411"/>
      <c r="C277" s="1411"/>
      <c r="D277" s="1411"/>
      <c r="E277" s="1411"/>
      <c r="F277" s="1411"/>
      <c r="G277" s="1412"/>
      <c r="H277" s="1032" t="str">
        <f>IF(A277="","",VLOOKUP(A277,'10'!$C$6:$E$1152,2,FALSE))</f>
        <v>M3</v>
      </c>
      <c r="I277" s="1785">
        <v>3600</v>
      </c>
      <c r="J277" s="1412"/>
      <c r="K277" s="1819">
        <v>1.25</v>
      </c>
      <c r="L277" s="1412"/>
      <c r="M277" s="1785">
        <f>+I277*K277</f>
        <v>4500</v>
      </c>
      <c r="N277" s="1412"/>
    </row>
    <row r="278" spans="1:14" ht="13.5" x14ac:dyDescent="0.2">
      <c r="A278" s="1792"/>
      <c r="B278" s="1411"/>
      <c r="C278" s="1411"/>
      <c r="D278" s="1411"/>
      <c r="E278" s="1411"/>
      <c r="F278" s="1411"/>
      <c r="G278" s="1412"/>
      <c r="H278" s="1032"/>
      <c r="I278" s="1785"/>
      <c r="J278" s="1412"/>
      <c r="K278" s="1819"/>
      <c r="L278" s="1412"/>
      <c r="M278" s="1785"/>
      <c r="N278" s="1412"/>
    </row>
    <row r="279" spans="1:14" ht="13.5" x14ac:dyDescent="0.2">
      <c r="A279" s="1792"/>
      <c r="B279" s="1411"/>
      <c r="C279" s="1411"/>
      <c r="D279" s="1411"/>
      <c r="E279" s="1411"/>
      <c r="F279" s="1411"/>
      <c r="G279" s="1412"/>
      <c r="H279" s="1032"/>
      <c r="I279" s="1785"/>
      <c r="J279" s="1412"/>
      <c r="K279" s="1819"/>
      <c r="L279" s="1412"/>
      <c r="M279" s="1785"/>
      <c r="N279" s="1412"/>
    </row>
    <row r="280" spans="1:14" ht="13.5" x14ac:dyDescent="0.2">
      <c r="A280" s="1792"/>
      <c r="B280" s="1411"/>
      <c r="C280" s="1411"/>
      <c r="D280" s="1411"/>
      <c r="E280" s="1411"/>
      <c r="F280" s="1411"/>
      <c r="G280" s="1412"/>
      <c r="H280" s="1032"/>
      <c r="I280" s="1785"/>
      <c r="J280" s="1412"/>
      <c r="K280" s="1819"/>
      <c r="L280" s="1412"/>
      <c r="M280" s="1785"/>
      <c r="N280" s="1412"/>
    </row>
    <row r="281" spans="1:14" ht="13.5" x14ac:dyDescent="0.2">
      <c r="A281" s="1792"/>
      <c r="B281" s="1411"/>
      <c r="C281" s="1411"/>
      <c r="D281" s="1411"/>
      <c r="E281" s="1411"/>
      <c r="F281" s="1411"/>
      <c r="G281" s="1412"/>
      <c r="H281" s="1032"/>
      <c r="I281" s="1785"/>
      <c r="J281" s="1412"/>
      <c r="K281" s="1819"/>
      <c r="L281" s="1412"/>
      <c r="M281" s="1785"/>
      <c r="N281" s="1412"/>
    </row>
    <row r="282" spans="1:14" ht="13.5" x14ac:dyDescent="0.2">
      <c r="A282" s="1792"/>
      <c r="B282" s="1411"/>
      <c r="C282" s="1411"/>
      <c r="D282" s="1411"/>
      <c r="E282" s="1411"/>
      <c r="F282" s="1411"/>
      <c r="G282" s="1412"/>
      <c r="H282" s="1032"/>
      <c r="I282" s="1785"/>
      <c r="J282" s="1412"/>
      <c r="K282" s="1819"/>
      <c r="L282" s="1412"/>
      <c r="M282" s="1785"/>
      <c r="N282" s="1412"/>
    </row>
    <row r="283" spans="1:14" ht="13.5" x14ac:dyDescent="0.25">
      <c r="A283" s="1028"/>
      <c r="B283" s="1028"/>
      <c r="C283" s="1028"/>
      <c r="D283" s="1028"/>
      <c r="E283" s="1028"/>
      <c r="F283" s="1028"/>
      <c r="G283" s="1028"/>
      <c r="H283" s="1028"/>
      <c r="I283" s="1028"/>
      <c r="J283" s="1028"/>
      <c r="K283" s="1818" t="s">
        <v>523</v>
      </c>
      <c r="L283" s="1412"/>
      <c r="M283" s="1785">
        <f>SUM(M277:N282)</f>
        <v>4500</v>
      </c>
      <c r="N283" s="1412"/>
    </row>
    <row r="284" spans="1:14" ht="13.5" x14ac:dyDescent="0.25">
      <c r="A284" s="1028"/>
      <c r="B284" s="1028"/>
      <c r="C284" s="1028"/>
      <c r="D284" s="1028"/>
      <c r="E284" s="1028"/>
      <c r="F284" s="1028"/>
      <c r="G284" s="1028"/>
      <c r="H284" s="1028"/>
      <c r="I284" s="1028"/>
      <c r="J284" s="1028"/>
      <c r="K284" s="1028"/>
      <c r="L284" s="1028"/>
      <c r="M284" s="1028"/>
      <c r="N284" s="1028"/>
    </row>
    <row r="285" spans="1:14" x14ac:dyDescent="0.2">
      <c r="A285" s="1820" t="s">
        <v>2145</v>
      </c>
      <c r="B285" s="1411"/>
      <c r="C285" s="1411"/>
      <c r="D285" s="1411"/>
      <c r="E285" s="1411"/>
      <c r="F285" s="1411"/>
      <c r="G285" s="1411"/>
      <c r="H285" s="1411"/>
      <c r="I285" s="1411"/>
      <c r="J285" s="1411"/>
      <c r="K285" s="1411"/>
      <c r="L285" s="1411"/>
      <c r="M285" s="1411"/>
      <c r="N285" s="1412"/>
    </row>
    <row r="286" spans="1:14" x14ac:dyDescent="0.2">
      <c r="A286" s="1818" t="s">
        <v>14</v>
      </c>
      <c r="B286" s="1411"/>
      <c r="C286" s="1411"/>
      <c r="D286" s="1411"/>
      <c r="E286" s="1411"/>
      <c r="F286" s="1411"/>
      <c r="G286" s="1412"/>
      <c r="H286" s="1113" t="s">
        <v>15</v>
      </c>
      <c r="I286" s="1821" t="s">
        <v>619</v>
      </c>
      <c r="J286" s="1412"/>
      <c r="K286" s="1821" t="s">
        <v>628</v>
      </c>
      <c r="L286" s="1412"/>
      <c r="M286" s="1821" t="s">
        <v>2140</v>
      </c>
      <c r="N286" s="1412"/>
    </row>
    <row r="287" spans="1:14" ht="13.5" x14ac:dyDescent="0.2">
      <c r="A287" s="1786"/>
      <c r="B287" s="1411"/>
      <c r="C287" s="1411"/>
      <c r="D287" s="1411"/>
      <c r="E287" s="1411"/>
      <c r="F287" s="1411"/>
      <c r="G287" s="1412"/>
      <c r="H287" s="1032"/>
      <c r="I287" s="1785"/>
      <c r="J287" s="1412"/>
      <c r="K287" s="1824"/>
      <c r="L287" s="1412"/>
      <c r="M287" s="1785"/>
      <c r="N287" s="1412"/>
    </row>
    <row r="288" spans="1:14" ht="13.5" x14ac:dyDescent="0.2">
      <c r="A288" s="1786"/>
      <c r="B288" s="1411"/>
      <c r="C288" s="1411"/>
      <c r="D288" s="1411"/>
      <c r="E288" s="1411"/>
      <c r="F288" s="1411"/>
      <c r="G288" s="1412"/>
      <c r="H288" s="1032"/>
      <c r="I288" s="1785"/>
      <c r="J288" s="1412"/>
      <c r="K288" s="1824"/>
      <c r="L288" s="1412"/>
      <c r="M288" s="1785"/>
      <c r="N288" s="1412"/>
    </row>
    <row r="289" spans="1:14" ht="13.5" x14ac:dyDescent="0.2">
      <c r="A289" s="1792"/>
      <c r="B289" s="1411"/>
      <c r="C289" s="1411"/>
      <c r="D289" s="1411"/>
      <c r="E289" s="1411"/>
      <c r="F289" s="1411"/>
      <c r="G289" s="1412"/>
      <c r="H289" s="1032"/>
      <c r="I289" s="1785"/>
      <c r="J289" s="1412"/>
      <c r="K289" s="1876"/>
      <c r="L289" s="1412"/>
      <c r="M289" s="1785"/>
      <c r="N289" s="1412"/>
    </row>
    <row r="290" spans="1:14" ht="13.5" x14ac:dyDescent="0.2">
      <c r="A290" s="1792"/>
      <c r="B290" s="1411"/>
      <c r="C290" s="1411"/>
      <c r="D290" s="1411"/>
      <c r="E290" s="1411"/>
      <c r="F290" s="1411"/>
      <c r="G290" s="1412"/>
      <c r="H290" s="1032"/>
      <c r="I290" s="1785"/>
      <c r="J290" s="1412"/>
      <c r="K290" s="1819"/>
      <c r="L290" s="1412"/>
      <c r="M290" s="1785"/>
      <c r="N290" s="1412"/>
    </row>
    <row r="291" spans="1:14" ht="13.5" x14ac:dyDescent="0.2">
      <c r="A291" s="1792"/>
      <c r="B291" s="1411"/>
      <c r="C291" s="1411"/>
      <c r="D291" s="1411"/>
      <c r="E291" s="1411"/>
      <c r="F291" s="1411"/>
      <c r="G291" s="1412"/>
      <c r="H291" s="1032"/>
      <c r="I291" s="1785"/>
      <c r="J291" s="1412"/>
      <c r="K291" s="1819"/>
      <c r="L291" s="1412"/>
      <c r="M291" s="1785"/>
      <c r="N291" s="1412"/>
    </row>
    <row r="292" spans="1:14" ht="13.5" x14ac:dyDescent="0.25">
      <c r="A292" s="1028"/>
      <c r="B292" s="1028"/>
      <c r="C292" s="1028"/>
      <c r="D292" s="1028"/>
      <c r="E292" s="1028"/>
      <c r="F292" s="1028"/>
      <c r="G292" s="1028"/>
      <c r="H292" s="1028"/>
      <c r="I292" s="1028"/>
      <c r="J292" s="1028"/>
      <c r="K292" s="1818" t="s">
        <v>523</v>
      </c>
      <c r="L292" s="1412"/>
      <c r="M292" s="1785">
        <f>SUM(M287:N291)</f>
        <v>0</v>
      </c>
      <c r="N292" s="1412"/>
    </row>
    <row r="293" spans="1:14" ht="13.5" x14ac:dyDescent="0.25">
      <c r="A293" s="1028"/>
      <c r="B293" s="1028"/>
      <c r="C293" s="1028"/>
      <c r="D293" s="1028"/>
      <c r="E293" s="1028"/>
      <c r="F293" s="1028"/>
      <c r="G293" s="1028"/>
      <c r="H293" s="1028"/>
      <c r="I293" s="1028"/>
      <c r="J293" s="1028"/>
      <c r="K293" s="1028"/>
      <c r="L293" s="1028"/>
      <c r="M293" s="1028"/>
      <c r="N293" s="1028"/>
    </row>
    <row r="294" spans="1:14" x14ac:dyDescent="0.2">
      <c r="A294" s="1820" t="s">
        <v>2147</v>
      </c>
      <c r="B294" s="1411"/>
      <c r="C294" s="1411"/>
      <c r="D294" s="1411"/>
      <c r="E294" s="1411"/>
      <c r="F294" s="1411"/>
      <c r="G294" s="1411"/>
      <c r="H294" s="1411"/>
      <c r="I294" s="1411"/>
      <c r="J294" s="1411"/>
      <c r="K294" s="1411"/>
      <c r="L294" s="1411"/>
      <c r="M294" s="1411"/>
      <c r="N294" s="1412"/>
    </row>
    <row r="295" spans="1:14" x14ac:dyDescent="0.2">
      <c r="A295" s="1818" t="s">
        <v>14</v>
      </c>
      <c r="B295" s="1411"/>
      <c r="C295" s="1411"/>
      <c r="D295" s="1411"/>
      <c r="E295" s="1411"/>
      <c r="F295" s="1411"/>
      <c r="G295" s="1412"/>
      <c r="H295" s="1113" t="s">
        <v>15</v>
      </c>
      <c r="I295" s="1821" t="s">
        <v>619</v>
      </c>
      <c r="J295" s="1412"/>
      <c r="K295" s="1821" t="s">
        <v>628</v>
      </c>
      <c r="L295" s="1412"/>
      <c r="M295" s="1821" t="s">
        <v>2140</v>
      </c>
      <c r="N295" s="1412"/>
    </row>
    <row r="296" spans="1:14" ht="13.5" x14ac:dyDescent="0.2">
      <c r="A296" s="1792"/>
      <c r="B296" s="1411"/>
      <c r="C296" s="1411"/>
      <c r="D296" s="1411"/>
      <c r="E296" s="1411"/>
      <c r="F296" s="1411"/>
      <c r="G296" s="1412"/>
      <c r="H296" s="1032"/>
      <c r="I296" s="1785"/>
      <c r="J296" s="1412"/>
      <c r="K296" s="1819"/>
      <c r="L296" s="1412"/>
      <c r="M296" s="1785"/>
      <c r="N296" s="1412"/>
    </row>
    <row r="297" spans="1:14" ht="13.5" x14ac:dyDescent="0.2">
      <c r="A297" s="1786"/>
      <c r="B297" s="1411"/>
      <c r="C297" s="1411"/>
      <c r="D297" s="1411"/>
      <c r="E297" s="1411"/>
      <c r="F297" s="1411"/>
      <c r="G297" s="1412"/>
      <c r="H297" s="1032"/>
      <c r="I297" s="1785"/>
      <c r="J297" s="1412"/>
      <c r="K297" s="1822"/>
      <c r="L297" s="1412"/>
      <c r="M297" s="1785"/>
      <c r="N297" s="1412"/>
    </row>
    <row r="298" spans="1:14" ht="13.5" x14ac:dyDescent="0.2">
      <c r="A298" s="1792"/>
      <c r="B298" s="1411"/>
      <c r="C298" s="1411"/>
      <c r="D298" s="1411"/>
      <c r="E298" s="1411"/>
      <c r="F298" s="1411"/>
      <c r="G298" s="1412"/>
      <c r="H298" s="1032"/>
      <c r="I298" s="1785"/>
      <c r="J298" s="1412"/>
      <c r="K298" s="1819"/>
      <c r="L298" s="1412"/>
      <c r="M298" s="1785"/>
      <c r="N298" s="1412"/>
    </row>
    <row r="299" spans="1:14" ht="13.5" x14ac:dyDescent="0.2">
      <c r="A299" s="1792"/>
      <c r="B299" s="1411"/>
      <c r="C299" s="1411"/>
      <c r="D299" s="1411"/>
      <c r="E299" s="1411"/>
      <c r="F299" s="1411"/>
      <c r="G299" s="1412"/>
      <c r="H299" s="1032"/>
      <c r="I299" s="1785"/>
      <c r="J299" s="1412"/>
      <c r="K299" s="1819"/>
      <c r="L299" s="1412"/>
      <c r="M299" s="1785"/>
      <c r="N299" s="1412"/>
    </row>
    <row r="300" spans="1:14" ht="13.5" x14ac:dyDescent="0.2">
      <c r="A300" s="1792"/>
      <c r="B300" s="1411"/>
      <c r="C300" s="1411"/>
      <c r="D300" s="1411"/>
      <c r="E300" s="1411"/>
      <c r="F300" s="1411"/>
      <c r="G300" s="1412"/>
      <c r="H300" s="1032"/>
      <c r="I300" s="1785"/>
      <c r="J300" s="1412"/>
      <c r="K300" s="1819"/>
      <c r="L300" s="1412"/>
      <c r="M300" s="1785"/>
      <c r="N300" s="1412"/>
    </row>
    <row r="301" spans="1:14" ht="13.5" x14ac:dyDescent="0.25">
      <c r="A301" s="1028"/>
      <c r="B301" s="1028"/>
      <c r="C301" s="1028"/>
      <c r="D301" s="1028"/>
      <c r="E301" s="1028"/>
      <c r="F301" s="1028"/>
      <c r="G301" s="1028"/>
      <c r="H301" s="1028"/>
      <c r="I301" s="1028"/>
      <c r="J301" s="1028"/>
      <c r="K301" s="1818" t="s">
        <v>523</v>
      </c>
      <c r="L301" s="1412"/>
      <c r="M301" s="1785">
        <f>SUM(M296:N300)</f>
        <v>0</v>
      </c>
      <c r="N301" s="1412"/>
    </row>
    <row r="302" spans="1:14" ht="13.5" x14ac:dyDescent="0.25">
      <c r="A302" s="1028"/>
      <c r="B302" s="1028"/>
      <c r="C302" s="1028"/>
      <c r="D302" s="1028"/>
      <c r="E302" s="1028"/>
      <c r="F302" s="1028"/>
      <c r="G302" s="1028"/>
      <c r="H302" s="1028"/>
      <c r="I302" s="1028"/>
      <c r="J302" s="1028"/>
      <c r="K302" s="1028"/>
      <c r="L302" s="1028"/>
      <c r="M302" s="1028"/>
      <c r="N302" s="1028"/>
    </row>
    <row r="303" spans="1:14" x14ac:dyDescent="0.2">
      <c r="A303" s="1820" t="s">
        <v>2150</v>
      </c>
      <c r="B303" s="1411"/>
      <c r="C303" s="1411"/>
      <c r="D303" s="1411"/>
      <c r="E303" s="1411"/>
      <c r="F303" s="1411"/>
      <c r="G303" s="1411"/>
      <c r="H303" s="1411"/>
      <c r="I303" s="1411"/>
      <c r="J303" s="1411"/>
      <c r="K303" s="1411"/>
      <c r="L303" s="1411"/>
      <c r="M303" s="1411"/>
      <c r="N303" s="1412"/>
    </row>
    <row r="304" spans="1:14" x14ac:dyDescent="0.2">
      <c r="A304" s="1818" t="s">
        <v>14</v>
      </c>
      <c r="B304" s="1411"/>
      <c r="C304" s="1411"/>
      <c r="D304" s="1411"/>
      <c r="E304" s="1411"/>
      <c r="F304" s="1411"/>
      <c r="G304" s="1412"/>
      <c r="H304" s="1113" t="s">
        <v>15</v>
      </c>
      <c r="I304" s="1821" t="s">
        <v>619</v>
      </c>
      <c r="J304" s="1412"/>
      <c r="K304" s="1114" t="s">
        <v>1919</v>
      </c>
      <c r="L304" s="1115" t="s">
        <v>2151</v>
      </c>
      <c r="M304" s="1821" t="s">
        <v>2140</v>
      </c>
      <c r="N304" s="1412"/>
    </row>
    <row r="305" spans="1:14" ht="13.5" x14ac:dyDescent="0.25">
      <c r="A305" s="1817"/>
      <c r="B305" s="1411"/>
      <c r="C305" s="1411"/>
      <c r="D305" s="1411"/>
      <c r="E305" s="1411"/>
      <c r="F305" s="1411"/>
      <c r="G305" s="1412"/>
      <c r="H305" s="1032"/>
      <c r="I305" s="1785"/>
      <c r="J305" s="1412"/>
      <c r="K305" s="1034"/>
      <c r="L305" s="1116"/>
      <c r="M305" s="1785"/>
      <c r="N305" s="1412"/>
    </row>
    <row r="306" spans="1:14" ht="13.5" x14ac:dyDescent="0.25">
      <c r="A306" s="1817"/>
      <c r="B306" s="1411"/>
      <c r="C306" s="1411"/>
      <c r="D306" s="1411"/>
      <c r="E306" s="1411"/>
      <c r="F306" s="1411"/>
      <c r="G306" s="1412"/>
      <c r="H306" s="1032"/>
      <c r="I306" s="1785"/>
      <c r="J306" s="1412"/>
      <c r="K306" s="1034"/>
      <c r="L306" s="1034"/>
      <c r="M306" s="1785"/>
      <c r="N306" s="1412"/>
    </row>
    <row r="307" spans="1:14" ht="13.5" x14ac:dyDescent="0.25">
      <c r="A307" s="1817"/>
      <c r="B307" s="1411"/>
      <c r="C307" s="1411"/>
      <c r="D307" s="1411"/>
      <c r="E307" s="1411"/>
      <c r="F307" s="1411"/>
      <c r="G307" s="1412"/>
      <c r="H307" s="1032"/>
      <c r="I307" s="1785"/>
      <c r="J307" s="1412"/>
      <c r="K307" s="1034"/>
      <c r="L307" s="1117"/>
      <c r="M307" s="1785"/>
      <c r="N307" s="1412"/>
    </row>
    <row r="308" spans="1:14" ht="13.5" x14ac:dyDescent="0.25">
      <c r="A308" s="1817"/>
      <c r="B308" s="1411"/>
      <c r="C308" s="1411"/>
      <c r="D308" s="1411"/>
      <c r="E308" s="1411"/>
      <c r="F308" s="1411"/>
      <c r="G308" s="1412"/>
      <c r="H308" s="1032"/>
      <c r="I308" s="1785"/>
      <c r="J308" s="1412"/>
      <c r="K308" s="1034"/>
      <c r="L308" s="1117"/>
      <c r="M308" s="1785"/>
      <c r="N308" s="1412"/>
    </row>
    <row r="309" spans="1:14" ht="13.5" x14ac:dyDescent="0.25">
      <c r="A309" s="1817"/>
      <c r="B309" s="1411"/>
      <c r="C309" s="1411"/>
      <c r="D309" s="1411"/>
      <c r="E309" s="1411"/>
      <c r="F309" s="1411"/>
      <c r="G309" s="1412"/>
      <c r="H309" s="1032"/>
      <c r="I309" s="1785"/>
      <c r="J309" s="1412"/>
      <c r="K309" s="1034"/>
      <c r="L309" s="1117"/>
      <c r="M309" s="1785"/>
      <c r="N309" s="1412"/>
    </row>
    <row r="310" spans="1:14" ht="13.5" x14ac:dyDescent="0.25">
      <c r="A310" s="1028"/>
      <c r="B310" s="1028"/>
      <c r="C310" s="1028"/>
      <c r="D310" s="1028"/>
      <c r="E310" s="1028"/>
      <c r="F310" s="1028"/>
      <c r="G310" s="1028"/>
      <c r="H310" s="1028"/>
      <c r="I310" s="1028"/>
      <c r="J310" s="1028"/>
      <c r="K310" s="1818" t="s">
        <v>523</v>
      </c>
      <c r="L310" s="1412"/>
      <c r="M310" s="1785">
        <f>SUM(M305:N309)</f>
        <v>0</v>
      </c>
      <c r="N310" s="1412"/>
    </row>
    <row r="311" spans="1:14" x14ac:dyDescent="0.2">
      <c r="I311" s="1414"/>
      <c r="J311" s="1415"/>
      <c r="K311" s="1415"/>
      <c r="L311" s="1415"/>
      <c r="M311" s="1415"/>
      <c r="N311" s="1415"/>
    </row>
    <row r="312" spans="1:14" ht="13.5" thickBot="1" x14ac:dyDescent="0.25">
      <c r="I312" s="1416"/>
      <c r="J312" s="1416"/>
      <c r="K312" s="1416"/>
      <c r="L312" s="1416"/>
      <c r="M312" s="1416"/>
      <c r="N312" s="1416"/>
    </row>
    <row r="313" spans="1:14" ht="14.25" thickTop="1" x14ac:dyDescent="0.2">
      <c r="I313" s="1417" t="s">
        <v>1829</v>
      </c>
      <c r="J313" s="1418"/>
      <c r="K313" s="1417" t="s">
        <v>2653</v>
      </c>
      <c r="L313" s="1418"/>
      <c r="M313" s="1418"/>
      <c r="N313" s="1418"/>
    </row>
    <row r="314" spans="1:14" ht="13.5" x14ac:dyDescent="0.2">
      <c r="I314" s="1419" t="s">
        <v>1831</v>
      </c>
      <c r="J314" s="1420"/>
      <c r="K314" s="1419"/>
      <c r="L314" s="1420"/>
      <c r="M314" s="1420"/>
      <c r="N314" s="1420"/>
    </row>
    <row r="315" spans="1:14" x14ac:dyDescent="0.2">
      <c r="A315" s="1871" t="s">
        <v>2185</v>
      </c>
      <c r="B315" s="1872"/>
      <c r="C315" s="1872"/>
      <c r="D315" s="1872"/>
      <c r="E315" s="1872"/>
      <c r="F315" s="1872"/>
      <c r="G315" s="1872"/>
      <c r="H315" s="1872"/>
      <c r="I315" s="1872"/>
      <c r="J315" s="1872"/>
      <c r="K315" s="1872"/>
      <c r="L315" s="1872"/>
      <c r="M315" s="1875">
        <f>+'01'!$M$13</f>
        <v>0</v>
      </c>
      <c r="N315" s="1428"/>
    </row>
    <row r="316" spans="1:14" x14ac:dyDescent="0.2">
      <c r="A316" s="1873"/>
      <c r="B316" s="1874"/>
      <c r="C316" s="1874"/>
      <c r="D316" s="1874"/>
      <c r="E316" s="1874"/>
      <c r="F316" s="1874"/>
      <c r="G316" s="1874"/>
      <c r="H316" s="1874"/>
      <c r="I316" s="1874"/>
      <c r="J316" s="1874"/>
      <c r="K316" s="1874"/>
      <c r="L316" s="1874"/>
      <c r="M316" s="1426"/>
      <c r="N316" s="1430"/>
    </row>
    <row r="317" spans="1:14" ht="13.5" x14ac:dyDescent="0.2">
      <c r="A317" s="1103"/>
      <c r="B317" s="1103"/>
      <c r="C317" s="1103"/>
      <c r="D317" s="1103"/>
      <c r="E317" s="1103"/>
      <c r="F317" s="1103"/>
      <c r="G317" s="1103"/>
      <c r="H317" s="1103"/>
      <c r="I317" s="1103"/>
      <c r="J317" s="1103"/>
      <c r="K317" s="1103"/>
      <c r="L317" s="1103"/>
      <c r="M317" s="1103"/>
      <c r="N317" s="1103"/>
    </row>
    <row r="318" spans="1:14" ht="14.25" x14ac:dyDescent="0.3">
      <c r="A318" s="1104" t="s">
        <v>2186</v>
      </c>
      <c r="B318" s="1105" t="str">
        <f>A315</f>
        <v>SUMINISTRO E INSTALACIÓN DE TUBERÍA PVC UM Ø6" RDE 21 (INCLUYE PEGAMENTO, LIMPIADOR, HERRAMIENTA MENOR Y MANO DE OBRA)</v>
      </c>
      <c r="C318" s="1106" t="s">
        <v>634</v>
      </c>
      <c r="D318" s="1107" t="s">
        <v>6</v>
      </c>
      <c r="E318" s="1108" t="s">
        <v>1833</v>
      </c>
      <c r="F318" s="1111">
        <f>H318+J318+L318+N318</f>
        <v>136701.44815998399</v>
      </c>
      <c r="G318" s="1108" t="s">
        <v>2136</v>
      </c>
      <c r="H318" s="1111">
        <f>M328</f>
        <v>128957.007</v>
      </c>
      <c r="I318" s="1108" t="s">
        <v>621</v>
      </c>
      <c r="J318" s="1111">
        <f>M337</f>
        <v>23.163831984000002</v>
      </c>
      <c r="K318" s="1108" t="s">
        <v>2137</v>
      </c>
      <c r="L318" s="1111">
        <f>M346</f>
        <v>0</v>
      </c>
      <c r="M318" s="1108" t="s">
        <v>2138</v>
      </c>
      <c r="N318" s="1111">
        <f>M355</f>
        <v>7721.2773280000001</v>
      </c>
    </row>
    <row r="319" spans="1:14" ht="13.5" x14ac:dyDescent="0.25">
      <c r="A319" s="1112"/>
      <c r="B319" s="1112"/>
      <c r="C319" s="1112"/>
      <c r="D319" s="1112"/>
      <c r="E319" s="1112"/>
      <c r="F319" s="1112"/>
      <c r="G319" s="1112"/>
      <c r="J319" s="1112"/>
      <c r="K319" s="1112"/>
      <c r="L319" s="1112"/>
      <c r="M319" s="1270" t="s">
        <v>2667</v>
      </c>
      <c r="N319" s="1270">
        <f>+F318*'01'!$O$15</f>
        <v>176933.21851246076</v>
      </c>
    </row>
    <row r="320" spans="1:14" x14ac:dyDescent="0.2">
      <c r="A320" s="1820" t="s">
        <v>2139</v>
      </c>
      <c r="B320" s="1411"/>
      <c r="C320" s="1411"/>
      <c r="D320" s="1411"/>
      <c r="E320" s="1411"/>
      <c r="F320" s="1411"/>
      <c r="G320" s="1411"/>
      <c r="H320" s="1411"/>
      <c r="I320" s="1411"/>
      <c r="J320" s="1411"/>
      <c r="K320" s="1411"/>
      <c r="L320" s="1411"/>
      <c r="M320" s="1411"/>
      <c r="N320" s="1412"/>
    </row>
    <row r="321" spans="1:14" x14ac:dyDescent="0.2">
      <c r="A321" s="1818" t="s">
        <v>14</v>
      </c>
      <c r="B321" s="1411"/>
      <c r="C321" s="1411"/>
      <c r="D321" s="1411"/>
      <c r="E321" s="1411"/>
      <c r="F321" s="1411"/>
      <c r="G321" s="1412"/>
      <c r="H321" s="1113" t="s">
        <v>15</v>
      </c>
      <c r="I321" s="1821" t="s">
        <v>619</v>
      </c>
      <c r="J321" s="1412"/>
      <c r="K321" s="1821" t="s">
        <v>628</v>
      </c>
      <c r="L321" s="1412"/>
      <c r="M321" s="1821" t="s">
        <v>2140</v>
      </c>
      <c r="N321" s="1412"/>
    </row>
    <row r="322" spans="1:14" ht="13.5" customHeight="1" x14ac:dyDescent="0.2">
      <c r="A322" s="1786" t="s">
        <v>1451</v>
      </c>
      <c r="B322" s="1882"/>
      <c r="C322" s="1882"/>
      <c r="D322" s="1882"/>
      <c r="E322" s="1882"/>
      <c r="F322" s="1882"/>
      <c r="G322" s="1883"/>
      <c r="H322" s="1032" t="str">
        <f>IF(A322="","",VLOOKUP(A322,'10'!$C$6:$E$1152,2,FALSE))</f>
        <v>UND</v>
      </c>
      <c r="I322" s="1785">
        <f>IF(A322="","",VLOOKUP(A322,'10'!$C$6:$E$1152,3,FALSE))</f>
        <v>30983</v>
      </c>
      <c r="J322" s="1412"/>
      <c r="K322" s="1819">
        <v>0.03</v>
      </c>
      <c r="L322" s="1412"/>
      <c r="M322" s="1785">
        <f t="shared" ref="M322" si="19">IF(A322="","",I322*K322)</f>
        <v>929.49</v>
      </c>
      <c r="N322" s="1412"/>
    </row>
    <row r="323" spans="1:14" ht="13.5" customHeight="1" x14ac:dyDescent="0.2">
      <c r="A323" s="1786" t="s">
        <v>1735</v>
      </c>
      <c r="B323" s="1882"/>
      <c r="C323" s="1882"/>
      <c r="D323" s="1882"/>
      <c r="E323" s="1882"/>
      <c r="F323" s="1882"/>
      <c r="G323" s="1883"/>
      <c r="H323" s="1032" t="str">
        <f>IF(A323="","",VLOOKUP(A323,'10'!$C$6:$E$1152,2,FALSE))</f>
        <v>UND</v>
      </c>
      <c r="I323" s="1785">
        <f>IF(A323="","",VLOOKUP(A323,'10'!$C$6:$E$1152,3,FALSE))</f>
        <v>65913</v>
      </c>
      <c r="J323" s="1412"/>
      <c r="K323" s="1819">
        <v>8.9999999999999993E-3</v>
      </c>
      <c r="L323" s="1412"/>
      <c r="M323" s="1785">
        <f t="shared" ref="M323" si="20">IF(A323="","",I323*K323)</f>
        <v>593.21699999999998</v>
      </c>
      <c r="N323" s="1412"/>
    </row>
    <row r="324" spans="1:14" ht="13.5" customHeight="1" x14ac:dyDescent="0.2">
      <c r="A324" s="1786" t="s">
        <v>1467</v>
      </c>
      <c r="B324" s="1882"/>
      <c r="C324" s="1882"/>
      <c r="D324" s="1882"/>
      <c r="E324" s="1882"/>
      <c r="F324" s="1882"/>
      <c r="G324" s="1883"/>
      <c r="H324" s="1032" t="str">
        <f>IF(A324="","",VLOOKUP(A324,'10'!$C$6:$E$1152,2,FALSE))</f>
        <v>ML</v>
      </c>
      <c r="I324" s="1785">
        <f>IF(A324="","",VLOOKUP(A324,'10'!$C$6:$E$1152,3,FALSE))</f>
        <v>121366</v>
      </c>
      <c r="J324" s="1412"/>
      <c r="K324" s="1819">
        <v>1.05</v>
      </c>
      <c r="L324" s="1412"/>
      <c r="M324" s="1785">
        <f t="shared" ref="M324" si="21">IF(A324="","",I324*K324)</f>
        <v>127434.3</v>
      </c>
      <c r="N324" s="1412"/>
    </row>
    <row r="325" spans="1:14" ht="13.5" customHeight="1" x14ac:dyDescent="0.2">
      <c r="A325" s="1786"/>
      <c r="B325" s="1882"/>
      <c r="C325" s="1882"/>
      <c r="D325" s="1882"/>
      <c r="E325" s="1882"/>
      <c r="F325" s="1882"/>
      <c r="G325" s="1883"/>
      <c r="H325" s="1032"/>
      <c r="I325" s="1785"/>
      <c r="J325" s="1412"/>
      <c r="K325" s="1819"/>
      <c r="L325" s="1412"/>
      <c r="M325" s="1785"/>
      <c r="N325" s="1412"/>
    </row>
    <row r="326" spans="1:14" ht="13.5" customHeight="1" x14ac:dyDescent="0.2">
      <c r="A326" s="1786"/>
      <c r="B326" s="1882"/>
      <c r="C326" s="1882"/>
      <c r="D326" s="1882"/>
      <c r="E326" s="1882"/>
      <c r="F326" s="1882"/>
      <c r="G326" s="1883"/>
      <c r="H326" s="1032"/>
      <c r="I326" s="1785"/>
      <c r="J326" s="1412"/>
      <c r="K326" s="1819"/>
      <c r="L326" s="1412"/>
      <c r="M326" s="1785"/>
      <c r="N326" s="1412"/>
    </row>
    <row r="327" spans="1:14" ht="13.5" customHeight="1" x14ac:dyDescent="0.2">
      <c r="A327" s="1786"/>
      <c r="B327" s="1882"/>
      <c r="C327" s="1882"/>
      <c r="D327" s="1882"/>
      <c r="E327" s="1882"/>
      <c r="F327" s="1882"/>
      <c r="G327" s="1883"/>
      <c r="H327" s="1032"/>
      <c r="I327" s="1785"/>
      <c r="J327" s="1412"/>
      <c r="K327" s="1819"/>
      <c r="L327" s="1412"/>
      <c r="M327" s="1785"/>
      <c r="N327" s="1412"/>
    </row>
    <row r="328" spans="1:14" ht="13.5" x14ac:dyDescent="0.25">
      <c r="A328" s="1028"/>
      <c r="B328" s="1028"/>
      <c r="C328" s="1028"/>
      <c r="D328" s="1028"/>
      <c r="E328" s="1028"/>
      <c r="F328" s="1028"/>
      <c r="G328" s="1028"/>
      <c r="H328" s="1028"/>
      <c r="I328" s="1028"/>
      <c r="J328" s="1028"/>
      <c r="K328" s="1818" t="s">
        <v>523</v>
      </c>
      <c r="L328" s="1412"/>
      <c r="M328" s="1785">
        <f>SUM(M322:N327)</f>
        <v>128957.007</v>
      </c>
      <c r="N328" s="1412"/>
    </row>
    <row r="329" spans="1:14" ht="13.5" x14ac:dyDescent="0.25">
      <c r="A329" s="1028"/>
      <c r="B329" s="1028"/>
      <c r="C329" s="1028"/>
      <c r="D329" s="1028"/>
      <c r="E329" s="1028"/>
      <c r="F329" s="1028"/>
      <c r="G329" s="1028"/>
      <c r="H329" s="1028"/>
      <c r="I329" s="1028"/>
      <c r="J329" s="1028"/>
      <c r="K329" s="1028"/>
      <c r="L329" s="1028"/>
      <c r="M329" s="1028"/>
      <c r="N329" s="1028"/>
    </row>
    <row r="330" spans="1:14" x14ac:dyDescent="0.2">
      <c r="A330" s="1820" t="s">
        <v>2145</v>
      </c>
      <c r="B330" s="1411"/>
      <c r="C330" s="1411"/>
      <c r="D330" s="1411"/>
      <c r="E330" s="1411"/>
      <c r="F330" s="1411"/>
      <c r="G330" s="1411"/>
      <c r="H330" s="1411"/>
      <c r="I330" s="1411"/>
      <c r="J330" s="1411"/>
      <c r="K330" s="1411"/>
      <c r="L330" s="1411"/>
      <c r="M330" s="1411"/>
      <c r="N330" s="1412"/>
    </row>
    <row r="331" spans="1:14" x14ac:dyDescent="0.2">
      <c r="A331" s="1818" t="s">
        <v>14</v>
      </c>
      <c r="B331" s="1411"/>
      <c r="C331" s="1411"/>
      <c r="D331" s="1411"/>
      <c r="E331" s="1411"/>
      <c r="F331" s="1411"/>
      <c r="G331" s="1412"/>
      <c r="H331" s="1113" t="s">
        <v>15</v>
      </c>
      <c r="I331" s="1821" t="s">
        <v>619</v>
      </c>
      <c r="J331" s="1412"/>
      <c r="K331" s="1821" t="s">
        <v>628</v>
      </c>
      <c r="L331" s="1412"/>
      <c r="M331" s="1821" t="s">
        <v>2140</v>
      </c>
      <c r="N331" s="1412"/>
    </row>
    <row r="332" spans="1:14" ht="13.5" x14ac:dyDescent="0.2">
      <c r="A332" s="1792" t="s">
        <v>2146</v>
      </c>
      <c r="B332" s="1411"/>
      <c r="C332" s="1411"/>
      <c r="D332" s="1411"/>
      <c r="E332" s="1411"/>
      <c r="F332" s="1411"/>
      <c r="G332" s="1412"/>
      <c r="H332" s="1032" t="e">
        <f>IF(A332="","",VLOOKUP(A332,'11'!$C$6:$E$1012,2,FALSE))</f>
        <v>#N/A</v>
      </c>
      <c r="I332" s="1785">
        <f>+M355</f>
        <v>7721.2773280000001</v>
      </c>
      <c r="J332" s="1412"/>
      <c r="K332" s="1824">
        <v>3.0000000000000001E-3</v>
      </c>
      <c r="L332" s="1412"/>
      <c r="M332" s="1785">
        <f t="shared" ref="M332" si="22">IF(A332="","",I332*K332)</f>
        <v>23.163831984000002</v>
      </c>
      <c r="N332" s="1412"/>
    </row>
    <row r="333" spans="1:14" ht="13.5" x14ac:dyDescent="0.2">
      <c r="A333" s="1786"/>
      <c r="B333" s="1411"/>
      <c r="C333" s="1411"/>
      <c r="D333" s="1411"/>
      <c r="E333" s="1411"/>
      <c r="F333" s="1411"/>
      <c r="G333" s="1412"/>
      <c r="H333" s="1032"/>
      <c r="I333" s="1785"/>
      <c r="J333" s="1412"/>
      <c r="K333" s="1824"/>
      <c r="L333" s="1412"/>
      <c r="M333" s="1785"/>
      <c r="N333" s="1412"/>
    </row>
    <row r="334" spans="1:14" ht="13.5" x14ac:dyDescent="0.2">
      <c r="A334" s="1792"/>
      <c r="B334" s="1411"/>
      <c r="C334" s="1411"/>
      <c r="D334" s="1411"/>
      <c r="E334" s="1411"/>
      <c r="F334" s="1411"/>
      <c r="G334" s="1412"/>
      <c r="H334" s="1032"/>
      <c r="I334" s="1785"/>
      <c r="J334" s="1412"/>
      <c r="K334" s="1876"/>
      <c r="L334" s="1412"/>
      <c r="M334" s="1785"/>
      <c r="N334" s="1412"/>
    </row>
    <row r="335" spans="1:14" ht="13.5" x14ac:dyDescent="0.2">
      <c r="A335" s="1792"/>
      <c r="B335" s="1411"/>
      <c r="C335" s="1411"/>
      <c r="D335" s="1411"/>
      <c r="E335" s="1411"/>
      <c r="F335" s="1411"/>
      <c r="G335" s="1412"/>
      <c r="H335" s="1032"/>
      <c r="I335" s="1785"/>
      <c r="J335" s="1412"/>
      <c r="K335" s="1819"/>
      <c r="L335" s="1412"/>
      <c r="M335" s="1785"/>
      <c r="N335" s="1412"/>
    </row>
    <row r="336" spans="1:14" ht="13.5" x14ac:dyDescent="0.2">
      <c r="A336" s="1792"/>
      <c r="B336" s="1411"/>
      <c r="C336" s="1411"/>
      <c r="D336" s="1411"/>
      <c r="E336" s="1411"/>
      <c r="F336" s="1411"/>
      <c r="G336" s="1412"/>
      <c r="H336" s="1032"/>
      <c r="I336" s="1785"/>
      <c r="J336" s="1412"/>
      <c r="K336" s="1819"/>
      <c r="L336" s="1412"/>
      <c r="M336" s="1785"/>
      <c r="N336" s="1412"/>
    </row>
    <row r="337" spans="1:14" ht="13.5" x14ac:dyDescent="0.25">
      <c r="A337" s="1028"/>
      <c r="B337" s="1028"/>
      <c r="C337" s="1028"/>
      <c r="D337" s="1028"/>
      <c r="E337" s="1028"/>
      <c r="F337" s="1028"/>
      <c r="G337" s="1028"/>
      <c r="H337" s="1028"/>
      <c r="I337" s="1028"/>
      <c r="J337" s="1028"/>
      <c r="K337" s="1818" t="s">
        <v>523</v>
      </c>
      <c r="L337" s="1412"/>
      <c r="M337" s="1785">
        <f>SUM(M332:N336)</f>
        <v>23.163831984000002</v>
      </c>
      <c r="N337" s="1412"/>
    </row>
    <row r="338" spans="1:14" ht="13.5" x14ac:dyDescent="0.25">
      <c r="A338" s="1028"/>
      <c r="B338" s="1028"/>
      <c r="C338" s="1028"/>
      <c r="D338" s="1028"/>
      <c r="E338" s="1028"/>
      <c r="F338" s="1028"/>
      <c r="G338" s="1028"/>
      <c r="H338" s="1028"/>
      <c r="I338" s="1028"/>
      <c r="J338" s="1028"/>
      <c r="K338" s="1028"/>
      <c r="L338" s="1028"/>
      <c r="M338" s="1028"/>
      <c r="N338" s="1028"/>
    </row>
    <row r="339" spans="1:14" x14ac:dyDescent="0.2">
      <c r="A339" s="1820" t="s">
        <v>2147</v>
      </c>
      <c r="B339" s="1411"/>
      <c r="C339" s="1411"/>
      <c r="D339" s="1411"/>
      <c r="E339" s="1411"/>
      <c r="F339" s="1411"/>
      <c r="G339" s="1411"/>
      <c r="H339" s="1411"/>
      <c r="I339" s="1411"/>
      <c r="J339" s="1411"/>
      <c r="K339" s="1411"/>
      <c r="L339" s="1411"/>
      <c r="M339" s="1411"/>
      <c r="N339" s="1412"/>
    </row>
    <row r="340" spans="1:14" x14ac:dyDescent="0.2">
      <c r="A340" s="1818" t="s">
        <v>14</v>
      </c>
      <c r="B340" s="1411"/>
      <c r="C340" s="1411"/>
      <c r="D340" s="1411"/>
      <c r="E340" s="1411"/>
      <c r="F340" s="1411"/>
      <c r="G340" s="1412"/>
      <c r="H340" s="1113" t="s">
        <v>15</v>
      </c>
      <c r="I340" s="1821" t="s">
        <v>619</v>
      </c>
      <c r="J340" s="1412"/>
      <c r="K340" s="1821" t="s">
        <v>628</v>
      </c>
      <c r="L340" s="1412"/>
      <c r="M340" s="1821" t="s">
        <v>2140</v>
      </c>
      <c r="N340" s="1412"/>
    </row>
    <row r="341" spans="1:14" ht="13.5" x14ac:dyDescent="0.2">
      <c r="A341" s="1792"/>
      <c r="B341" s="1411"/>
      <c r="C341" s="1411"/>
      <c r="D341" s="1411"/>
      <c r="E341" s="1411"/>
      <c r="F341" s="1411"/>
      <c r="G341" s="1412"/>
      <c r="H341" s="1032"/>
      <c r="I341" s="1785"/>
      <c r="J341" s="1412"/>
      <c r="K341" s="1819"/>
      <c r="L341" s="1412"/>
      <c r="M341" s="1785" t="str">
        <f t="shared" ref="M341" si="23">IF(A341="","",I341*K341)</f>
        <v/>
      </c>
      <c r="N341" s="1412"/>
    </row>
    <row r="342" spans="1:14" ht="13.5" x14ac:dyDescent="0.2">
      <c r="A342" s="1786"/>
      <c r="B342" s="1411"/>
      <c r="C342" s="1411"/>
      <c r="D342" s="1411"/>
      <c r="E342" s="1411"/>
      <c r="F342" s="1411"/>
      <c r="G342" s="1412"/>
      <c r="H342" s="1032"/>
      <c r="I342" s="1785"/>
      <c r="J342" s="1412"/>
      <c r="K342" s="1822"/>
      <c r="L342" s="1412"/>
      <c r="M342" s="1785"/>
      <c r="N342" s="1412"/>
    </row>
    <row r="343" spans="1:14" ht="13.5" x14ac:dyDescent="0.2">
      <c r="A343" s="1792"/>
      <c r="B343" s="1411"/>
      <c r="C343" s="1411"/>
      <c r="D343" s="1411"/>
      <c r="E343" s="1411"/>
      <c r="F343" s="1411"/>
      <c r="G343" s="1412"/>
      <c r="H343" s="1032"/>
      <c r="I343" s="1785"/>
      <c r="J343" s="1412"/>
      <c r="K343" s="1819"/>
      <c r="L343" s="1412"/>
      <c r="M343" s="1785"/>
      <c r="N343" s="1412"/>
    </row>
    <row r="344" spans="1:14" ht="13.5" x14ac:dyDescent="0.2">
      <c r="A344" s="1792"/>
      <c r="B344" s="1411"/>
      <c r="C344" s="1411"/>
      <c r="D344" s="1411"/>
      <c r="E344" s="1411"/>
      <c r="F344" s="1411"/>
      <c r="G344" s="1412"/>
      <c r="H344" s="1032"/>
      <c r="I344" s="1785"/>
      <c r="J344" s="1412"/>
      <c r="K344" s="1819"/>
      <c r="L344" s="1412"/>
      <c r="M344" s="1785"/>
      <c r="N344" s="1412"/>
    </row>
    <row r="345" spans="1:14" ht="13.5" x14ac:dyDescent="0.2">
      <c r="A345" s="1792"/>
      <c r="B345" s="1411"/>
      <c r="C345" s="1411"/>
      <c r="D345" s="1411"/>
      <c r="E345" s="1411"/>
      <c r="F345" s="1411"/>
      <c r="G345" s="1412"/>
      <c r="H345" s="1032"/>
      <c r="I345" s="1785"/>
      <c r="J345" s="1412"/>
      <c r="K345" s="1819"/>
      <c r="L345" s="1412"/>
      <c r="M345" s="1785"/>
      <c r="N345" s="1412"/>
    </row>
    <row r="346" spans="1:14" ht="13.5" x14ac:dyDescent="0.25">
      <c r="A346" s="1028"/>
      <c r="B346" s="1028"/>
      <c r="C346" s="1028"/>
      <c r="D346" s="1028"/>
      <c r="E346" s="1028"/>
      <c r="F346" s="1028"/>
      <c r="G346" s="1028"/>
      <c r="H346" s="1028"/>
      <c r="I346" s="1028"/>
      <c r="J346" s="1028"/>
      <c r="K346" s="1818" t="s">
        <v>523</v>
      </c>
      <c r="L346" s="1412"/>
      <c r="M346" s="1785">
        <f>SUM(M341:N345)</f>
        <v>0</v>
      </c>
      <c r="N346" s="1412"/>
    </row>
    <row r="347" spans="1:14" ht="13.5" x14ac:dyDescent="0.25">
      <c r="A347" s="1028"/>
      <c r="B347" s="1028"/>
      <c r="C347" s="1028"/>
      <c r="D347" s="1028"/>
      <c r="E347" s="1028"/>
      <c r="F347" s="1028"/>
      <c r="G347" s="1028"/>
      <c r="H347" s="1028"/>
      <c r="I347" s="1028"/>
      <c r="J347" s="1028"/>
      <c r="K347" s="1028"/>
      <c r="L347" s="1028"/>
      <c r="M347" s="1028"/>
      <c r="N347" s="1028"/>
    </row>
    <row r="348" spans="1:14" x14ac:dyDescent="0.2">
      <c r="A348" s="1820" t="s">
        <v>2150</v>
      </c>
      <c r="B348" s="1411"/>
      <c r="C348" s="1411"/>
      <c r="D348" s="1411"/>
      <c r="E348" s="1411"/>
      <c r="F348" s="1411"/>
      <c r="G348" s="1411"/>
      <c r="H348" s="1411"/>
      <c r="I348" s="1411"/>
      <c r="J348" s="1411"/>
      <c r="K348" s="1411"/>
      <c r="L348" s="1411"/>
      <c r="M348" s="1411"/>
      <c r="N348" s="1412"/>
    </row>
    <row r="349" spans="1:14" x14ac:dyDescent="0.2">
      <c r="A349" s="1818" t="s">
        <v>14</v>
      </c>
      <c r="B349" s="1411"/>
      <c r="C349" s="1411"/>
      <c r="D349" s="1411"/>
      <c r="E349" s="1411"/>
      <c r="F349" s="1411"/>
      <c r="G349" s="1412"/>
      <c r="H349" s="1113" t="s">
        <v>15</v>
      </c>
      <c r="I349" s="1821" t="s">
        <v>619</v>
      </c>
      <c r="J349" s="1412"/>
      <c r="K349" s="1114" t="s">
        <v>1919</v>
      </c>
      <c r="L349" s="1115" t="s">
        <v>2151</v>
      </c>
      <c r="M349" s="1821" t="s">
        <v>2140</v>
      </c>
      <c r="N349" s="1412"/>
    </row>
    <row r="350" spans="1:14" ht="13.5" x14ac:dyDescent="0.25">
      <c r="A350" s="1817" t="s">
        <v>2168</v>
      </c>
      <c r="B350" s="1411"/>
      <c r="C350" s="1411"/>
      <c r="D350" s="1411"/>
      <c r="E350" s="1411"/>
      <c r="F350" s="1411"/>
      <c r="G350" s="1412"/>
      <c r="H350" s="1032" t="str">
        <f>IF(A350="","",VLOOKUP(A350,'09'!$A$22:$O$168,4,FALSE))</f>
        <v>Cuadrilla</v>
      </c>
      <c r="I350" s="1785">
        <f>IF(A350="","",VLOOKUP(A350,'09'!$A$22:$O$168,5,FALSE))</f>
        <v>204272</v>
      </c>
      <c r="J350" s="1412"/>
      <c r="K350" s="1034">
        <f>IF(A350="","",'03'!$I$2)</f>
        <v>1.88995</v>
      </c>
      <c r="L350" s="1116">
        <f>1/50</f>
        <v>0.02</v>
      </c>
      <c r="M350" s="1785">
        <f t="shared" ref="M350" si="24">IF(A350="","",I350*K350*L350)</f>
        <v>7721.2773280000001</v>
      </c>
      <c r="N350" s="1412"/>
    </row>
    <row r="351" spans="1:14" ht="13.5" x14ac:dyDescent="0.25">
      <c r="A351" s="1817"/>
      <c r="B351" s="1411"/>
      <c r="C351" s="1411"/>
      <c r="D351" s="1411"/>
      <c r="E351" s="1411"/>
      <c r="F351" s="1411"/>
      <c r="G351" s="1412"/>
      <c r="H351" s="1032"/>
      <c r="I351" s="1785"/>
      <c r="J351" s="1412"/>
      <c r="K351" s="1034"/>
      <c r="L351" s="1034"/>
      <c r="M351" s="1785"/>
      <c r="N351" s="1412"/>
    </row>
    <row r="352" spans="1:14" ht="13.5" x14ac:dyDescent="0.25">
      <c r="A352" s="1817"/>
      <c r="B352" s="1411"/>
      <c r="C352" s="1411"/>
      <c r="D352" s="1411"/>
      <c r="E352" s="1411"/>
      <c r="F352" s="1411"/>
      <c r="G352" s="1412"/>
      <c r="H352" s="1032"/>
      <c r="I352" s="1785"/>
      <c r="J352" s="1412"/>
      <c r="K352" s="1034"/>
      <c r="L352" s="1117"/>
      <c r="M352" s="1785"/>
      <c r="N352" s="1412"/>
    </row>
    <row r="353" spans="1:15" ht="13.5" x14ac:dyDescent="0.25">
      <c r="A353" s="1817"/>
      <c r="B353" s="1411"/>
      <c r="C353" s="1411"/>
      <c r="D353" s="1411"/>
      <c r="E353" s="1411"/>
      <c r="F353" s="1411"/>
      <c r="G353" s="1412"/>
      <c r="H353" s="1032"/>
      <c r="I353" s="1785"/>
      <c r="J353" s="1412"/>
      <c r="K353" s="1034"/>
      <c r="L353" s="1117"/>
      <c r="M353" s="1785"/>
      <c r="N353" s="1412"/>
    </row>
    <row r="354" spans="1:15" ht="13.5" x14ac:dyDescent="0.25">
      <c r="A354" s="1817"/>
      <c r="B354" s="1411"/>
      <c r="C354" s="1411"/>
      <c r="D354" s="1411"/>
      <c r="E354" s="1411"/>
      <c r="F354" s="1411"/>
      <c r="G354" s="1412"/>
      <c r="H354" s="1032"/>
      <c r="I354" s="1785"/>
      <c r="J354" s="1412"/>
      <c r="K354" s="1034"/>
      <c r="L354" s="1117"/>
      <c r="M354" s="1785"/>
      <c r="N354" s="1412"/>
    </row>
    <row r="355" spans="1:15" ht="13.5" x14ac:dyDescent="0.25">
      <c r="A355" s="1028"/>
      <c r="B355" s="1028"/>
      <c r="C355" s="1028"/>
      <c r="D355" s="1028"/>
      <c r="E355" s="1028"/>
      <c r="F355" s="1028"/>
      <c r="G355" s="1028"/>
      <c r="H355" s="1028"/>
      <c r="I355" s="1028"/>
      <c r="J355" s="1028"/>
      <c r="K355" s="1818" t="s">
        <v>523</v>
      </c>
      <c r="L355" s="1412"/>
      <c r="M355" s="1785">
        <f>SUM(M350:N354)</f>
        <v>7721.2773280000001</v>
      </c>
      <c r="N355" s="1412"/>
    </row>
    <row r="356" spans="1:15" x14ac:dyDescent="0.2">
      <c r="I356" s="1414"/>
      <c r="J356" s="1415"/>
      <c r="K356" s="1415"/>
      <c r="L356" s="1415"/>
      <c r="M356" s="1415"/>
      <c r="N356" s="1415"/>
    </row>
    <row r="357" spans="1:15" ht="13.5" thickBot="1" x14ac:dyDescent="0.25">
      <c r="I357" s="1416"/>
      <c r="J357" s="1416"/>
      <c r="K357" s="1416"/>
      <c r="L357" s="1416"/>
      <c r="M357" s="1416"/>
      <c r="N357" s="1416"/>
    </row>
    <row r="358" spans="1:15" ht="14.25" thickTop="1" x14ac:dyDescent="0.2">
      <c r="I358" s="1417" t="s">
        <v>1829</v>
      </c>
      <c r="J358" s="1418"/>
      <c r="K358" s="1417" t="s">
        <v>2653</v>
      </c>
      <c r="L358" s="1418"/>
      <c r="M358" s="1418"/>
      <c r="N358" s="1418"/>
    </row>
    <row r="359" spans="1:15" ht="13.5" x14ac:dyDescent="0.2">
      <c r="I359" s="1419" t="s">
        <v>1831</v>
      </c>
      <c r="J359" s="1420"/>
      <c r="K359" s="1419"/>
      <c r="L359" s="1420"/>
      <c r="M359" s="1420"/>
      <c r="N359" s="1420"/>
    </row>
    <row r="360" spans="1:15" x14ac:dyDescent="0.2">
      <c r="A360" s="1871" t="s">
        <v>2191</v>
      </c>
      <c r="B360" s="1872"/>
      <c r="C360" s="1872"/>
      <c r="D360" s="1872"/>
      <c r="E360" s="1872"/>
      <c r="F360" s="1872"/>
      <c r="G360" s="1872"/>
      <c r="H360" s="1872"/>
      <c r="I360" s="1872"/>
      <c r="J360" s="1872"/>
      <c r="K360" s="1872"/>
      <c r="L360" s="1872"/>
      <c r="M360" s="1875">
        <f>+'01'!$M$13</f>
        <v>0</v>
      </c>
      <c r="N360" s="1428"/>
      <c r="O360" s="799" t="s">
        <v>2326</v>
      </c>
    </row>
    <row r="361" spans="1:15" x14ac:dyDescent="0.2">
      <c r="A361" s="1873"/>
      <c r="B361" s="1874"/>
      <c r="C361" s="1874"/>
      <c r="D361" s="1874"/>
      <c r="E361" s="1874"/>
      <c r="F361" s="1874"/>
      <c r="G361" s="1874"/>
      <c r="H361" s="1874"/>
      <c r="I361" s="1874"/>
      <c r="J361" s="1874"/>
      <c r="K361" s="1874"/>
      <c r="L361" s="1874"/>
      <c r="M361" s="1426"/>
      <c r="N361" s="1430"/>
    </row>
    <row r="362" spans="1:15" ht="13.5" x14ac:dyDescent="0.2">
      <c r="A362" s="1103"/>
      <c r="B362" s="1103"/>
      <c r="C362" s="1103"/>
      <c r="D362" s="1103"/>
      <c r="E362" s="1103"/>
      <c r="F362" s="1103"/>
      <c r="G362" s="1103"/>
      <c r="H362" s="1103"/>
      <c r="I362" s="1103"/>
      <c r="J362" s="1103"/>
      <c r="K362" s="1103"/>
      <c r="L362" s="1103"/>
      <c r="M362" s="1103"/>
      <c r="N362" s="1103"/>
    </row>
    <row r="363" spans="1:15" ht="14.25" x14ac:dyDescent="0.3">
      <c r="A363" s="1104" t="s">
        <v>2193</v>
      </c>
      <c r="B363" s="1105" t="str">
        <f>A360</f>
        <v>LOCALIZACIÓN Y REPLANTEO. INCLUYE PLANOS RECORD</v>
      </c>
      <c r="C363" s="1106" t="s">
        <v>634</v>
      </c>
      <c r="D363" s="1107" t="s">
        <v>6</v>
      </c>
      <c r="E363" s="1108" t="s">
        <v>1833</v>
      </c>
      <c r="F363" s="1111">
        <f>H363+J363+L363+N363</f>
        <v>4259.1134550000006</v>
      </c>
      <c r="G363" s="1108" t="s">
        <v>2136</v>
      </c>
      <c r="H363" s="1111">
        <f>M373</f>
        <v>587.5</v>
      </c>
      <c r="I363" s="1108" t="s">
        <v>621</v>
      </c>
      <c r="J363" s="1111">
        <f>M382</f>
        <v>362.5</v>
      </c>
      <c r="K363" s="1108" t="s">
        <v>2137</v>
      </c>
      <c r="L363" s="1111">
        <f>M391</f>
        <v>0</v>
      </c>
      <c r="M363" s="1108" t="s">
        <v>2138</v>
      </c>
      <c r="N363" s="1111">
        <f>M400</f>
        <v>3309.1134550000002</v>
      </c>
    </row>
    <row r="364" spans="1:15" ht="13.5" x14ac:dyDescent="0.25">
      <c r="A364" s="1112"/>
      <c r="B364" s="1112"/>
      <c r="C364" s="1112"/>
      <c r="D364" s="1112"/>
      <c r="E364" s="1112"/>
      <c r="F364" s="1112"/>
      <c r="G364" s="1112"/>
      <c r="J364" s="1112"/>
      <c r="K364" s="1112"/>
      <c r="L364" s="1112"/>
      <c r="M364" s="1270" t="s">
        <v>2667</v>
      </c>
      <c r="N364" s="1270">
        <f>+F363*'01'!$O$15</f>
        <v>5512.5871872326552</v>
      </c>
    </row>
    <row r="365" spans="1:15" x14ac:dyDescent="0.2">
      <c r="A365" s="1820" t="s">
        <v>2139</v>
      </c>
      <c r="B365" s="1411"/>
      <c r="C365" s="1411"/>
      <c r="D365" s="1411"/>
      <c r="E365" s="1411"/>
      <c r="F365" s="1411"/>
      <c r="G365" s="1411"/>
      <c r="H365" s="1411"/>
      <c r="I365" s="1411"/>
      <c r="J365" s="1411"/>
      <c r="K365" s="1411"/>
      <c r="L365" s="1411"/>
      <c r="M365" s="1411"/>
      <c r="N365" s="1412"/>
    </row>
    <row r="366" spans="1:15" x14ac:dyDescent="0.2">
      <c r="A366" s="1829" t="s">
        <v>14</v>
      </c>
      <c r="B366" s="1427"/>
      <c r="C366" s="1427"/>
      <c r="D366" s="1427"/>
      <c r="E366" s="1427"/>
      <c r="F366" s="1427"/>
      <c r="G366" s="1428"/>
      <c r="H366" s="1113" t="s">
        <v>15</v>
      </c>
      <c r="I366" s="1821" t="s">
        <v>619</v>
      </c>
      <c r="J366" s="1412"/>
      <c r="K366" s="1821" t="s">
        <v>628</v>
      </c>
      <c r="L366" s="1412"/>
      <c r="M366" s="1821" t="s">
        <v>2140</v>
      </c>
      <c r="N366" s="1412"/>
    </row>
    <row r="367" spans="1:15" ht="13.5" customHeight="1" x14ac:dyDescent="0.2">
      <c r="A367" s="1786" t="s">
        <v>157</v>
      </c>
      <c r="B367" s="1411"/>
      <c r="C367" s="1411"/>
      <c r="D367" s="1411"/>
      <c r="E367" s="1411"/>
      <c r="F367" s="1411"/>
      <c r="G367" s="1412"/>
      <c r="H367" s="1032" t="str">
        <f>IF(A367="","",VLOOKUP(A367,'10'!$C$6:$E$1152,2,FALSE))</f>
        <v>LB</v>
      </c>
      <c r="I367" s="1785">
        <f>IF(A367="","",VLOOKUP(A367,'10'!$C$6:$E$1152,3,FALSE))</f>
        <v>5450</v>
      </c>
      <c r="J367" s="1412"/>
      <c r="K367" s="1819">
        <v>0.01</v>
      </c>
      <c r="L367" s="1823"/>
      <c r="M367" s="1785">
        <f t="shared" ref="M367:M370" si="25">IF(A367="","",I367*K367)</f>
        <v>54.5</v>
      </c>
      <c r="N367" s="1412"/>
    </row>
    <row r="368" spans="1:15" ht="13.5" customHeight="1" x14ac:dyDescent="0.2">
      <c r="A368" s="1786" t="s">
        <v>1179</v>
      </c>
      <c r="B368" s="1411"/>
      <c r="C368" s="1411"/>
      <c r="D368" s="1411"/>
      <c r="E368" s="1411"/>
      <c r="F368" s="1411"/>
      <c r="G368" s="1412"/>
      <c r="H368" s="1032" t="str">
        <f>IF(A368="","",VLOOKUP(A368,'10'!$C$6:$E$152,2,FALSE))</f>
        <v>UND</v>
      </c>
      <c r="I368" s="1785">
        <f>IF(A368="","",VLOOKUP(A368,'10'!$C$6:$E$152,3,FALSE))</f>
        <v>16900</v>
      </c>
      <c r="J368" s="1412"/>
      <c r="K368" s="1819">
        <v>0.01</v>
      </c>
      <c r="L368" s="1823"/>
      <c r="M368" s="1785">
        <f t="shared" si="25"/>
        <v>169</v>
      </c>
      <c r="N368" s="1412"/>
    </row>
    <row r="369" spans="1:14" ht="13.5" customHeight="1" x14ac:dyDescent="0.2">
      <c r="A369" s="1786" t="s">
        <v>1180</v>
      </c>
      <c r="B369" s="1411"/>
      <c r="C369" s="1411"/>
      <c r="D369" s="1411"/>
      <c r="E369" s="1411"/>
      <c r="F369" s="1411"/>
      <c r="G369" s="1412"/>
      <c r="H369" s="1032" t="str">
        <f>IF(A369="","",VLOOKUP(A369,'10'!$C$6:$E$152,2,FALSE))</f>
        <v>UND</v>
      </c>
      <c r="I369" s="1785">
        <f>IF(A369="","",VLOOKUP(A369,'10'!$C$6:$E$152,3,FALSE))</f>
        <v>31900</v>
      </c>
      <c r="J369" s="1412"/>
      <c r="K369" s="1819">
        <v>0.01</v>
      </c>
      <c r="L369" s="1823"/>
      <c r="M369" s="1785">
        <f t="shared" si="25"/>
        <v>319</v>
      </c>
      <c r="N369" s="1412"/>
    </row>
    <row r="370" spans="1:14" ht="14.25" customHeight="1" x14ac:dyDescent="0.2">
      <c r="A370" s="1786" t="s">
        <v>107</v>
      </c>
      <c r="B370" s="1411"/>
      <c r="C370" s="1411"/>
      <c r="D370" s="1411"/>
      <c r="E370" s="1411"/>
      <c r="F370" s="1411"/>
      <c r="G370" s="1412"/>
      <c r="H370" s="1032" t="str">
        <f>IF(A370="","",VLOOKUP(A370,'10'!$C$6:$E$152,2,FALSE))</f>
        <v>UND</v>
      </c>
      <c r="I370" s="1785">
        <f>IF(A370="","",VLOOKUP(A370,'10'!$C$6:$E$152,3,FALSE))</f>
        <v>4500</v>
      </c>
      <c r="J370" s="1412"/>
      <c r="K370" s="1819">
        <v>0.01</v>
      </c>
      <c r="L370" s="1823"/>
      <c r="M370" s="1785">
        <f t="shared" si="25"/>
        <v>45</v>
      </c>
      <c r="N370" s="1412"/>
    </row>
    <row r="371" spans="1:14" ht="13.5" x14ac:dyDescent="0.2">
      <c r="A371" s="1825"/>
      <c r="B371" s="1825"/>
      <c r="C371" s="1825"/>
      <c r="D371" s="1825"/>
      <c r="E371" s="1825"/>
      <c r="F371" s="1825"/>
      <c r="G371" s="1825"/>
      <c r="H371" s="1127"/>
      <c r="I371" s="1785"/>
      <c r="J371" s="1412"/>
      <c r="K371" s="1819"/>
      <c r="L371" s="1412"/>
      <c r="M371" s="1785"/>
      <c r="N371" s="1412"/>
    </row>
    <row r="372" spans="1:14" ht="13.5" x14ac:dyDescent="0.2">
      <c r="A372" s="1826"/>
      <c r="B372" s="1827"/>
      <c r="C372" s="1827"/>
      <c r="D372" s="1827"/>
      <c r="E372" s="1827"/>
      <c r="F372" s="1827"/>
      <c r="G372" s="1828"/>
      <c r="H372" s="1032"/>
      <c r="I372" s="1785"/>
      <c r="J372" s="1412"/>
      <c r="K372" s="1819"/>
      <c r="L372" s="1412"/>
      <c r="M372" s="1785"/>
      <c r="N372" s="1412"/>
    </row>
    <row r="373" spans="1:14" ht="13.5" x14ac:dyDescent="0.25">
      <c r="A373" s="1028"/>
      <c r="B373" s="1028"/>
      <c r="C373" s="1028"/>
      <c r="D373" s="1028"/>
      <c r="E373" s="1028"/>
      <c r="F373" s="1028"/>
      <c r="G373" s="1028"/>
      <c r="H373" s="1028"/>
      <c r="I373" s="1028"/>
      <c r="J373" s="1028"/>
      <c r="K373" s="1818" t="s">
        <v>523</v>
      </c>
      <c r="L373" s="1412"/>
      <c r="M373" s="1785">
        <f>SUM(M367:N372)</f>
        <v>587.5</v>
      </c>
      <c r="N373" s="1412"/>
    </row>
    <row r="374" spans="1:14" ht="13.5" x14ac:dyDescent="0.25">
      <c r="A374" s="1028"/>
      <c r="B374" s="1028"/>
      <c r="C374" s="1028"/>
      <c r="D374" s="1028"/>
      <c r="E374" s="1028"/>
      <c r="F374" s="1028"/>
      <c r="G374" s="1028"/>
      <c r="H374" s="1028"/>
      <c r="I374" s="1028"/>
      <c r="J374" s="1028"/>
      <c r="K374" s="1028"/>
      <c r="L374" s="1028"/>
      <c r="M374" s="1028"/>
      <c r="N374" s="1028"/>
    </row>
    <row r="375" spans="1:14" x14ac:dyDescent="0.2">
      <c r="A375" s="1820" t="s">
        <v>2145</v>
      </c>
      <c r="B375" s="1411"/>
      <c r="C375" s="1411"/>
      <c r="D375" s="1411"/>
      <c r="E375" s="1411"/>
      <c r="F375" s="1411"/>
      <c r="G375" s="1411"/>
      <c r="H375" s="1411"/>
      <c r="I375" s="1411"/>
      <c r="J375" s="1411"/>
      <c r="K375" s="1411"/>
      <c r="L375" s="1411"/>
      <c r="M375" s="1411"/>
      <c r="N375" s="1412"/>
    </row>
    <row r="376" spans="1:14" x14ac:dyDescent="0.2">
      <c r="A376" s="1818" t="s">
        <v>14</v>
      </c>
      <c r="B376" s="1411"/>
      <c r="C376" s="1411"/>
      <c r="D376" s="1411"/>
      <c r="E376" s="1411"/>
      <c r="F376" s="1411"/>
      <c r="G376" s="1412"/>
      <c r="H376" s="1113" t="s">
        <v>15</v>
      </c>
      <c r="I376" s="1821" t="s">
        <v>619</v>
      </c>
      <c r="J376" s="1412"/>
      <c r="K376" s="1821" t="s">
        <v>610</v>
      </c>
      <c r="L376" s="1412"/>
      <c r="M376" s="1821" t="s">
        <v>2140</v>
      </c>
      <c r="N376" s="1412"/>
    </row>
    <row r="377" spans="1:14" ht="13.5" customHeight="1" x14ac:dyDescent="0.2">
      <c r="A377" s="1786" t="s">
        <v>131</v>
      </c>
      <c r="B377" s="1411"/>
      <c r="C377" s="1411"/>
      <c r="D377" s="1411"/>
      <c r="E377" s="1411"/>
      <c r="F377" s="1411"/>
      <c r="G377" s="1412"/>
      <c r="H377" s="1032" t="str">
        <f>IF(A377="","",VLOOKUP(A377,'11'!$C$6:$E$87,2,FALSE))</f>
        <v>DIA</v>
      </c>
      <c r="I377" s="1785">
        <f>IF(A377="","",VLOOKUP(A377,'11'!$C$6:$E$87,3,FALSE))</f>
        <v>15000</v>
      </c>
      <c r="J377" s="1412"/>
      <c r="K377" s="1819">
        <v>50</v>
      </c>
      <c r="L377" s="1823"/>
      <c r="M377" s="1785">
        <f>I377/(K377*8)</f>
        <v>37.5</v>
      </c>
      <c r="N377" s="1412"/>
    </row>
    <row r="378" spans="1:14" ht="14.25" customHeight="1" x14ac:dyDescent="0.2">
      <c r="A378" s="1786" t="s">
        <v>1171</v>
      </c>
      <c r="B378" s="1411"/>
      <c r="C378" s="1411"/>
      <c r="D378" s="1411"/>
      <c r="E378" s="1411"/>
      <c r="F378" s="1411"/>
      <c r="G378" s="1412"/>
      <c r="H378" s="1032" t="str">
        <f>IF(A378="","",VLOOKUP(A378,'11'!$C$6:$E$87,2,FALSE))</f>
        <v>DIA</v>
      </c>
      <c r="I378" s="1785">
        <f>IF(A378="","",VLOOKUP(A378,'11'!$C$6:$E$87,3,FALSE))</f>
        <v>130000</v>
      </c>
      <c r="J378" s="1412"/>
      <c r="K378" s="1819">
        <v>50</v>
      </c>
      <c r="L378" s="1823"/>
      <c r="M378" s="1785">
        <f>I378/(K378*8)</f>
        <v>325</v>
      </c>
      <c r="N378" s="1412"/>
    </row>
    <row r="379" spans="1:14" ht="13.5" x14ac:dyDescent="0.2">
      <c r="A379" s="1786"/>
      <c r="B379" s="1411"/>
      <c r="C379" s="1411"/>
      <c r="D379" s="1411"/>
      <c r="E379" s="1411"/>
      <c r="F379" s="1411"/>
      <c r="G379" s="1412"/>
      <c r="H379" s="1032"/>
      <c r="I379" s="1785"/>
      <c r="J379" s="1412"/>
      <c r="K379" s="1824"/>
      <c r="L379" s="1412"/>
      <c r="M379" s="1785"/>
      <c r="N379" s="1412"/>
    </row>
    <row r="380" spans="1:14" ht="13.5" x14ac:dyDescent="0.2">
      <c r="A380" s="1786"/>
      <c r="B380" s="1411"/>
      <c r="C380" s="1411"/>
      <c r="D380" s="1411"/>
      <c r="E380" s="1411"/>
      <c r="F380" s="1411"/>
      <c r="G380" s="1412"/>
      <c r="H380" s="1032"/>
      <c r="I380" s="1785"/>
      <c r="J380" s="1412"/>
      <c r="K380" s="1824"/>
      <c r="L380" s="1412"/>
      <c r="M380" s="1785"/>
      <c r="N380" s="1412"/>
    </row>
    <row r="381" spans="1:14" ht="13.5" x14ac:dyDescent="0.2">
      <c r="A381" s="1123"/>
      <c r="B381" s="1124"/>
      <c r="C381" s="1124"/>
      <c r="D381" s="1124"/>
      <c r="E381" s="1124"/>
      <c r="F381" s="1124"/>
      <c r="G381" s="1125"/>
      <c r="H381" s="1032"/>
      <c r="I381" s="1785"/>
      <c r="J381" s="1412"/>
      <c r="K381" s="1819"/>
      <c r="L381" s="1412"/>
      <c r="M381" s="1785"/>
      <c r="N381" s="1412"/>
    </row>
    <row r="382" spans="1:14" ht="13.5" x14ac:dyDescent="0.25">
      <c r="A382" s="1028"/>
      <c r="B382" s="1028"/>
      <c r="C382" s="1028"/>
      <c r="D382" s="1028"/>
      <c r="E382" s="1028"/>
      <c r="F382" s="1028"/>
      <c r="G382" s="1028"/>
      <c r="H382" s="1028"/>
      <c r="I382" s="1028"/>
      <c r="J382" s="1028"/>
      <c r="K382" s="1818" t="s">
        <v>523</v>
      </c>
      <c r="L382" s="1412"/>
      <c r="M382" s="1785">
        <f>SUM(M377:N381)</f>
        <v>362.5</v>
      </c>
      <c r="N382" s="1412"/>
    </row>
    <row r="383" spans="1:14" ht="13.5" x14ac:dyDescent="0.25">
      <c r="A383" s="1028"/>
      <c r="B383" s="1028"/>
      <c r="C383" s="1028"/>
      <c r="D383" s="1028"/>
      <c r="E383" s="1028"/>
      <c r="F383" s="1028"/>
      <c r="G383" s="1028"/>
      <c r="H383" s="1028"/>
      <c r="I383" s="1028"/>
      <c r="J383" s="1028"/>
      <c r="K383" s="1028"/>
      <c r="L383" s="1028"/>
      <c r="M383" s="1028"/>
      <c r="N383" s="1028"/>
    </row>
    <row r="384" spans="1:14" x14ac:dyDescent="0.2">
      <c r="A384" s="1820" t="s">
        <v>2147</v>
      </c>
      <c r="B384" s="1411"/>
      <c r="C384" s="1411"/>
      <c r="D384" s="1411"/>
      <c r="E384" s="1411"/>
      <c r="F384" s="1411"/>
      <c r="G384" s="1411"/>
      <c r="H384" s="1411"/>
      <c r="I384" s="1411"/>
      <c r="J384" s="1411"/>
      <c r="K384" s="1411"/>
      <c r="L384" s="1411"/>
      <c r="M384" s="1411"/>
      <c r="N384" s="1412"/>
    </row>
    <row r="385" spans="1:15" x14ac:dyDescent="0.2">
      <c r="A385" s="1818" t="s">
        <v>14</v>
      </c>
      <c r="B385" s="1411"/>
      <c r="C385" s="1411"/>
      <c r="D385" s="1411"/>
      <c r="E385" s="1411"/>
      <c r="F385" s="1411"/>
      <c r="G385" s="1412"/>
      <c r="H385" s="1113" t="s">
        <v>15</v>
      </c>
      <c r="I385" s="1821" t="s">
        <v>619</v>
      </c>
      <c r="J385" s="1412"/>
      <c r="K385" s="1821" t="s">
        <v>628</v>
      </c>
      <c r="L385" s="1412"/>
      <c r="M385" s="1821" t="s">
        <v>2140</v>
      </c>
      <c r="N385" s="1412"/>
    </row>
    <row r="386" spans="1:15" ht="13.5" x14ac:dyDescent="0.2">
      <c r="A386" s="1792"/>
      <c r="B386" s="1411"/>
      <c r="C386" s="1411"/>
      <c r="D386" s="1411"/>
      <c r="E386" s="1411"/>
      <c r="F386" s="1411"/>
      <c r="G386" s="1412"/>
      <c r="H386" s="1032"/>
      <c r="I386" s="1785"/>
      <c r="J386" s="1412"/>
      <c r="K386" s="1819"/>
      <c r="L386" s="1412"/>
      <c r="M386" s="1785"/>
      <c r="N386" s="1412"/>
    </row>
    <row r="387" spans="1:15" ht="13.5" x14ac:dyDescent="0.2">
      <c r="A387" s="1786"/>
      <c r="B387" s="1411"/>
      <c r="C387" s="1411"/>
      <c r="D387" s="1411"/>
      <c r="E387" s="1411"/>
      <c r="F387" s="1411"/>
      <c r="G387" s="1412"/>
      <c r="H387" s="1032"/>
      <c r="I387" s="1785"/>
      <c r="J387" s="1412"/>
      <c r="K387" s="1822"/>
      <c r="L387" s="1412"/>
      <c r="M387" s="1785"/>
      <c r="N387" s="1412"/>
    </row>
    <row r="388" spans="1:15" ht="13.5" x14ac:dyDescent="0.2">
      <c r="A388" s="1792"/>
      <c r="B388" s="1411"/>
      <c r="C388" s="1411"/>
      <c r="D388" s="1411"/>
      <c r="E388" s="1411"/>
      <c r="F388" s="1411"/>
      <c r="G388" s="1412"/>
      <c r="H388" s="1032"/>
      <c r="I388" s="1785"/>
      <c r="J388" s="1412"/>
      <c r="K388" s="1819"/>
      <c r="L388" s="1412"/>
      <c r="M388" s="1785"/>
      <c r="N388" s="1412"/>
    </row>
    <row r="389" spans="1:15" ht="13.5" x14ac:dyDescent="0.2">
      <c r="A389" s="1792"/>
      <c r="B389" s="1411"/>
      <c r="C389" s="1411"/>
      <c r="D389" s="1411"/>
      <c r="E389" s="1411"/>
      <c r="F389" s="1411"/>
      <c r="G389" s="1412"/>
      <c r="H389" s="1032"/>
      <c r="I389" s="1785"/>
      <c r="J389" s="1412"/>
      <c r="K389" s="1819"/>
      <c r="L389" s="1412"/>
      <c r="M389" s="1785"/>
      <c r="N389" s="1412"/>
    </row>
    <row r="390" spans="1:15" ht="13.5" x14ac:dyDescent="0.2">
      <c r="A390" s="1792"/>
      <c r="B390" s="1411"/>
      <c r="C390" s="1411"/>
      <c r="D390" s="1411"/>
      <c r="E390" s="1411"/>
      <c r="F390" s="1411"/>
      <c r="G390" s="1412"/>
      <c r="H390" s="1032"/>
      <c r="I390" s="1785"/>
      <c r="J390" s="1412"/>
      <c r="K390" s="1819"/>
      <c r="L390" s="1412"/>
      <c r="M390" s="1785"/>
      <c r="N390" s="1412"/>
    </row>
    <row r="391" spans="1:15" ht="13.5" x14ac:dyDescent="0.25">
      <c r="A391" s="1028"/>
      <c r="B391" s="1028"/>
      <c r="C391" s="1028"/>
      <c r="D391" s="1028"/>
      <c r="E391" s="1028"/>
      <c r="F391" s="1028"/>
      <c r="G391" s="1028"/>
      <c r="H391" s="1028"/>
      <c r="I391" s="1028"/>
      <c r="J391" s="1028"/>
      <c r="K391" s="1818" t="s">
        <v>523</v>
      </c>
      <c r="L391" s="1412"/>
      <c r="M391" s="1785">
        <f>SUM(M386:N390)</f>
        <v>0</v>
      </c>
      <c r="N391" s="1412"/>
    </row>
    <row r="392" spans="1:15" ht="13.5" x14ac:dyDescent="0.25">
      <c r="A392" s="1028"/>
      <c r="B392" s="1028"/>
      <c r="C392" s="1028"/>
      <c r="D392" s="1028"/>
      <c r="E392" s="1028"/>
      <c r="F392" s="1028"/>
      <c r="G392" s="1028"/>
      <c r="H392" s="1028"/>
      <c r="I392" s="1028"/>
      <c r="J392" s="1028"/>
      <c r="K392" s="1028"/>
      <c r="L392" s="1028"/>
      <c r="M392" s="1028"/>
      <c r="N392" s="1028"/>
    </row>
    <row r="393" spans="1:15" x14ac:dyDescent="0.2">
      <c r="A393" s="1820" t="s">
        <v>2150</v>
      </c>
      <c r="B393" s="1411"/>
      <c r="C393" s="1411"/>
      <c r="D393" s="1411"/>
      <c r="E393" s="1411"/>
      <c r="F393" s="1411"/>
      <c r="G393" s="1411"/>
      <c r="H393" s="1411"/>
      <c r="I393" s="1411"/>
      <c r="J393" s="1411"/>
      <c r="K393" s="1411"/>
      <c r="L393" s="1411"/>
      <c r="M393" s="1411"/>
      <c r="N393" s="1412"/>
    </row>
    <row r="394" spans="1:15" x14ac:dyDescent="0.2">
      <c r="A394" s="1818" t="s">
        <v>14</v>
      </c>
      <c r="B394" s="1411"/>
      <c r="C394" s="1411"/>
      <c r="D394" s="1411"/>
      <c r="E394" s="1411"/>
      <c r="F394" s="1411"/>
      <c r="G394" s="1412"/>
      <c r="H394" s="1113" t="s">
        <v>15</v>
      </c>
      <c r="I394" s="1821" t="s">
        <v>619</v>
      </c>
      <c r="J394" s="1412"/>
      <c r="K394" s="1114" t="s">
        <v>1919</v>
      </c>
      <c r="L394" s="1115" t="s">
        <v>2151</v>
      </c>
      <c r="M394" s="1821" t="s">
        <v>2140</v>
      </c>
      <c r="N394" s="1412"/>
    </row>
    <row r="395" spans="1:15" ht="13.5" x14ac:dyDescent="0.25">
      <c r="A395" s="1817" t="s">
        <v>2161</v>
      </c>
      <c r="B395" s="1411"/>
      <c r="C395" s="1411"/>
      <c r="D395" s="1411"/>
      <c r="E395" s="1411"/>
      <c r="F395" s="1411"/>
      <c r="G395" s="1412"/>
      <c r="H395" s="1032" t="str">
        <f>IF(A395="","",VLOOKUP(A395,'09'!$A$22:$O$168,4,FALSE))</f>
        <v>Cuadrilla</v>
      </c>
      <c r="I395" s="1785">
        <f>IF(A395="","",VLOOKUP(A395,'09'!$A$22:$O$168,5,FALSE))</f>
        <v>87545</v>
      </c>
      <c r="J395" s="1412"/>
      <c r="K395" s="1034">
        <f>IF(A395="","",'03'!$I$2)</f>
        <v>1.88995</v>
      </c>
      <c r="L395" s="1034">
        <v>50</v>
      </c>
      <c r="M395" s="1785">
        <f>IF(A395="","",I395*K395/L395)</f>
        <v>3309.1134550000002</v>
      </c>
      <c r="N395" s="1412"/>
    </row>
    <row r="396" spans="1:15" ht="13.5" x14ac:dyDescent="0.25">
      <c r="A396" s="1817"/>
      <c r="B396" s="1411"/>
      <c r="C396" s="1411"/>
      <c r="D396" s="1411"/>
      <c r="E396" s="1411"/>
      <c r="F396" s="1411"/>
      <c r="G396" s="1412"/>
      <c r="H396" s="1032"/>
      <c r="I396" s="1785"/>
      <c r="J396" s="1412"/>
      <c r="K396" s="1034"/>
      <c r="L396" s="1034"/>
      <c r="M396" s="1785"/>
      <c r="N396" s="1412"/>
    </row>
    <row r="397" spans="1:15" ht="13.5" x14ac:dyDescent="0.25">
      <c r="A397" s="1817"/>
      <c r="B397" s="1411"/>
      <c r="C397" s="1411"/>
      <c r="D397" s="1411"/>
      <c r="E397" s="1411"/>
      <c r="F397" s="1411"/>
      <c r="G397" s="1412"/>
      <c r="H397" s="1032"/>
      <c r="I397" s="1785"/>
      <c r="J397" s="1412"/>
      <c r="K397" s="1034"/>
      <c r="L397" s="1117"/>
      <c r="M397" s="1785"/>
      <c r="N397" s="1412"/>
    </row>
    <row r="398" spans="1:15" ht="13.5" x14ac:dyDescent="0.25">
      <c r="A398" s="1817"/>
      <c r="B398" s="1411"/>
      <c r="C398" s="1411"/>
      <c r="D398" s="1411"/>
      <c r="E398" s="1411"/>
      <c r="F398" s="1411"/>
      <c r="G398" s="1412"/>
      <c r="H398" s="1032"/>
      <c r="I398" s="1785"/>
      <c r="J398" s="1412"/>
      <c r="K398" s="1034"/>
      <c r="L398" s="1117"/>
      <c r="M398" s="1785"/>
      <c r="N398" s="1412"/>
    </row>
    <row r="399" spans="1:15" ht="13.5" x14ac:dyDescent="0.25">
      <c r="A399" s="1817"/>
      <c r="B399" s="1411"/>
      <c r="C399" s="1411"/>
      <c r="D399" s="1411"/>
      <c r="E399" s="1411"/>
      <c r="F399" s="1411"/>
      <c r="G399" s="1412"/>
      <c r="H399" s="1032"/>
      <c r="I399" s="1785"/>
      <c r="J399" s="1412"/>
      <c r="K399" s="1034"/>
      <c r="L399" s="1117"/>
      <c r="M399" s="1785"/>
      <c r="N399" s="1412"/>
    </row>
    <row r="400" spans="1:15" ht="13.5" x14ac:dyDescent="0.25">
      <c r="A400" s="1028"/>
      <c r="B400" s="1028"/>
      <c r="C400" s="1028"/>
      <c r="D400" s="1028"/>
      <c r="E400" s="1028"/>
      <c r="F400" s="1028"/>
      <c r="G400" s="1028"/>
      <c r="H400" s="1028"/>
      <c r="I400" s="1028"/>
      <c r="J400" s="1028"/>
      <c r="K400" s="1818" t="s">
        <v>523</v>
      </c>
      <c r="L400" s="1412"/>
      <c r="M400" s="1785">
        <f>SUM(M395:N399)</f>
        <v>3309.1134550000002</v>
      </c>
      <c r="N400" s="1412"/>
      <c r="O400" s="1163"/>
    </row>
    <row r="401" spans="1:15" x14ac:dyDescent="0.2">
      <c r="I401" s="1414"/>
      <c r="J401" s="1415"/>
      <c r="K401" s="1415"/>
      <c r="L401" s="1415"/>
      <c r="M401" s="1415"/>
      <c r="N401" s="1415"/>
    </row>
    <row r="402" spans="1:15" ht="13.5" thickBot="1" x14ac:dyDescent="0.25">
      <c r="I402" s="1416"/>
      <c r="J402" s="1416"/>
      <c r="K402" s="1416"/>
      <c r="L402" s="1416"/>
      <c r="M402" s="1416"/>
      <c r="N402" s="1416"/>
    </row>
    <row r="403" spans="1:15" ht="14.25" thickTop="1" x14ac:dyDescent="0.2">
      <c r="I403" s="1417" t="s">
        <v>1829</v>
      </c>
      <c r="J403" s="1418"/>
      <c r="K403" s="1417" t="s">
        <v>2653</v>
      </c>
      <c r="L403" s="1418"/>
      <c r="M403" s="1418"/>
      <c r="N403" s="1418"/>
    </row>
    <row r="404" spans="1:15" ht="13.5" x14ac:dyDescent="0.2">
      <c r="I404" s="1419" t="s">
        <v>1831</v>
      </c>
      <c r="J404" s="1420"/>
      <c r="K404" s="1419"/>
      <c r="L404" s="1420"/>
      <c r="M404" s="1420"/>
      <c r="N404" s="1420"/>
    </row>
    <row r="405" spans="1:15" x14ac:dyDescent="0.2">
      <c r="A405" s="1871" t="s">
        <v>2327</v>
      </c>
      <c r="B405" s="1872"/>
      <c r="C405" s="1872"/>
      <c r="D405" s="1872"/>
      <c r="E405" s="1872"/>
      <c r="F405" s="1872"/>
      <c r="G405" s="1872"/>
      <c r="H405" s="1872"/>
      <c r="I405" s="1872"/>
      <c r="J405" s="1872"/>
      <c r="K405" s="1872"/>
      <c r="L405" s="1872"/>
      <c r="M405" s="1875">
        <f>+'01'!$M$13</f>
        <v>0</v>
      </c>
      <c r="N405" s="1428"/>
      <c r="O405" s="799"/>
    </row>
    <row r="406" spans="1:15" x14ac:dyDescent="0.2">
      <c r="A406" s="1873"/>
      <c r="B406" s="1874"/>
      <c r="C406" s="1874"/>
      <c r="D406" s="1874"/>
      <c r="E406" s="1874"/>
      <c r="F406" s="1874"/>
      <c r="G406" s="1874"/>
      <c r="H406" s="1874"/>
      <c r="I406" s="1874"/>
      <c r="J406" s="1874"/>
      <c r="K406" s="1874"/>
      <c r="L406" s="1874"/>
      <c r="M406" s="1426"/>
      <c r="N406" s="1430"/>
    </row>
    <row r="407" spans="1:15" ht="13.5" x14ac:dyDescent="0.2">
      <c r="A407" s="1103"/>
      <c r="B407" s="1103"/>
      <c r="C407" s="1103"/>
      <c r="D407" s="1103"/>
      <c r="E407" s="1103"/>
      <c r="F407" s="1103"/>
      <c r="G407" s="1103"/>
      <c r="H407" s="1103"/>
      <c r="I407" s="1103"/>
      <c r="J407" s="1103"/>
      <c r="K407" s="1103"/>
      <c r="L407" s="1103"/>
      <c r="M407" s="1103"/>
      <c r="N407" s="1103"/>
    </row>
    <row r="408" spans="1:15" ht="14.25" x14ac:dyDescent="0.3">
      <c r="A408" s="1104" t="s">
        <v>2160</v>
      </c>
      <c r="B408" s="1105" t="str">
        <f>A405</f>
        <v>RELLENO EN RECEBO COMUN PROVENIENTE DE MATERIAL DE PRESTAMO, COMPACTADO MECANICAMENTE.</v>
      </c>
      <c r="C408" s="1106" t="s">
        <v>634</v>
      </c>
      <c r="D408" s="1107" t="s">
        <v>12</v>
      </c>
      <c r="E408" s="1108" t="s">
        <v>1833</v>
      </c>
      <c r="F408" s="1111">
        <f>H408+J408+L408+N408</f>
        <v>95960.630010476176</v>
      </c>
      <c r="G408" s="1108" t="s">
        <v>2136</v>
      </c>
      <c r="H408" s="1111">
        <f>M418</f>
        <v>65888</v>
      </c>
      <c r="I408" s="1108" t="s">
        <v>621</v>
      </c>
      <c r="J408" s="1111">
        <f>M427</f>
        <v>7440.4761904761908</v>
      </c>
      <c r="K408" s="1108" t="s">
        <v>2137</v>
      </c>
      <c r="L408" s="1111">
        <f>M436</f>
        <v>9395.7000000000007</v>
      </c>
      <c r="M408" s="1108" t="s">
        <v>2138</v>
      </c>
      <c r="N408" s="1111">
        <f>M445</f>
        <v>13236.453820000001</v>
      </c>
    </row>
    <row r="409" spans="1:15" ht="13.5" x14ac:dyDescent="0.25">
      <c r="A409" s="1112"/>
      <c r="B409" s="1112"/>
      <c r="C409" s="1112"/>
      <c r="D409" s="1112"/>
      <c r="E409" s="1112"/>
      <c r="F409" s="1112"/>
      <c r="G409" s="1112"/>
      <c r="J409" s="1112"/>
      <c r="K409" s="1112"/>
      <c r="L409" s="1112"/>
      <c r="M409" s="1270" t="s">
        <v>2667</v>
      </c>
      <c r="N409" s="1270">
        <f>+F408*'01'!$O$15</f>
        <v>124202.21838737666</v>
      </c>
    </row>
    <row r="410" spans="1:15" x14ac:dyDescent="0.2">
      <c r="A410" s="1820" t="s">
        <v>2139</v>
      </c>
      <c r="B410" s="1411"/>
      <c r="C410" s="1411"/>
      <c r="D410" s="1411"/>
      <c r="E410" s="1411"/>
      <c r="F410" s="1411"/>
      <c r="G410" s="1411"/>
      <c r="H410" s="1411"/>
      <c r="I410" s="1411"/>
      <c r="J410" s="1411"/>
      <c r="K410" s="1411"/>
      <c r="L410" s="1411"/>
      <c r="M410" s="1411"/>
      <c r="N410" s="1412"/>
    </row>
    <row r="411" spans="1:15" x14ac:dyDescent="0.2">
      <c r="A411" s="1829" t="s">
        <v>14</v>
      </c>
      <c r="B411" s="1427"/>
      <c r="C411" s="1427"/>
      <c r="D411" s="1427"/>
      <c r="E411" s="1427"/>
      <c r="F411" s="1427"/>
      <c r="G411" s="1428"/>
      <c r="H411" s="1113" t="s">
        <v>15</v>
      </c>
      <c r="I411" s="1821" t="s">
        <v>619</v>
      </c>
      <c r="J411" s="1412"/>
      <c r="K411" s="1821" t="s">
        <v>628</v>
      </c>
      <c r="L411" s="1412"/>
      <c r="M411" s="1821" t="s">
        <v>2140</v>
      </c>
      <c r="N411" s="1412"/>
    </row>
    <row r="412" spans="1:15" ht="13.5" customHeight="1" x14ac:dyDescent="0.2">
      <c r="A412" s="1786" t="s">
        <v>1543</v>
      </c>
      <c r="B412" s="1411"/>
      <c r="C412" s="1411"/>
      <c r="D412" s="1411"/>
      <c r="E412" s="1411"/>
      <c r="F412" s="1411"/>
      <c r="G412" s="1412"/>
      <c r="H412" s="1032" t="str">
        <f>IF(A412="","",VLOOKUP(A412,'10'!$C$6:$E$1152,2,FALSE))</f>
        <v>M3</v>
      </c>
      <c r="I412" s="1785">
        <f>IF(A412="","",VLOOKUP(A412,'10'!$C$6:$E$1152,3,FALSE))</f>
        <v>54740</v>
      </c>
      <c r="J412" s="1412"/>
      <c r="K412" s="1819">
        <v>1.2</v>
      </c>
      <c r="L412" s="1823"/>
      <c r="M412" s="1785">
        <f t="shared" ref="M412:M415" si="26">IF(A412="","",I412*K412)</f>
        <v>65688</v>
      </c>
      <c r="N412" s="1412"/>
    </row>
    <row r="413" spans="1:15" ht="13.5" customHeight="1" x14ac:dyDescent="0.2">
      <c r="A413" s="1786" t="s">
        <v>104</v>
      </c>
      <c r="B413" s="1411"/>
      <c r="C413" s="1411"/>
      <c r="D413" s="1411"/>
      <c r="E413" s="1411"/>
      <c r="F413" s="1411"/>
      <c r="G413" s="1412"/>
      <c r="H413" s="1032" t="str">
        <f>IF(A413="","",VLOOKUP(A413,'10'!$C$6:$E$152,2,FALSE))</f>
        <v>LT</v>
      </c>
      <c r="I413" s="1785">
        <f>IF(A413="","",VLOOKUP(A413,'10'!$C$6:$E$152,3,FALSE))</f>
        <v>20</v>
      </c>
      <c r="J413" s="1412"/>
      <c r="K413" s="1819">
        <v>10</v>
      </c>
      <c r="L413" s="1823"/>
      <c r="M413" s="1785">
        <f t="shared" si="26"/>
        <v>200</v>
      </c>
      <c r="N413" s="1412"/>
    </row>
    <row r="414" spans="1:15" ht="13.5" customHeight="1" x14ac:dyDescent="0.2">
      <c r="A414" s="1786"/>
      <c r="B414" s="1411"/>
      <c r="C414" s="1411"/>
      <c r="D414" s="1411"/>
      <c r="E414" s="1411"/>
      <c r="F414" s="1411"/>
      <c r="G414" s="1412"/>
      <c r="H414" s="1032" t="str">
        <f>IF(A414="","",VLOOKUP(A414,'10'!$C$6:$E$152,2,FALSE))</f>
        <v/>
      </c>
      <c r="I414" s="1785" t="str">
        <f>IF(A414="","",VLOOKUP(A414,'10'!$C$6:$E$152,3,FALSE))</f>
        <v/>
      </c>
      <c r="J414" s="1412"/>
      <c r="K414" s="1819"/>
      <c r="L414" s="1823"/>
      <c r="M414" s="1785" t="str">
        <f t="shared" si="26"/>
        <v/>
      </c>
      <c r="N414" s="1412"/>
    </row>
    <row r="415" spans="1:15" ht="14.25" customHeight="1" x14ac:dyDescent="0.2">
      <c r="A415" s="1786"/>
      <c r="B415" s="1411"/>
      <c r="C415" s="1411"/>
      <c r="D415" s="1411"/>
      <c r="E415" s="1411"/>
      <c r="F415" s="1411"/>
      <c r="G415" s="1412"/>
      <c r="H415" s="1032" t="str">
        <f>IF(A415="","",VLOOKUP(A415,'10'!$C$6:$E$152,2,FALSE))</f>
        <v/>
      </c>
      <c r="I415" s="1785" t="str">
        <f>IF(A415="","",VLOOKUP(A415,'10'!$C$6:$E$152,3,FALSE))</f>
        <v/>
      </c>
      <c r="J415" s="1412"/>
      <c r="K415" s="1819"/>
      <c r="L415" s="1823"/>
      <c r="M415" s="1785" t="str">
        <f t="shared" si="26"/>
        <v/>
      </c>
      <c r="N415" s="1412"/>
    </row>
    <row r="416" spans="1:15" ht="13.5" x14ac:dyDescent="0.2">
      <c r="A416" s="1825"/>
      <c r="B416" s="1825"/>
      <c r="C416" s="1825"/>
      <c r="D416" s="1825"/>
      <c r="E416" s="1825"/>
      <c r="F416" s="1825"/>
      <c r="G416" s="1825"/>
      <c r="H416" s="1127"/>
      <c r="I416" s="1785"/>
      <c r="J416" s="1412"/>
      <c r="K416" s="1819"/>
      <c r="L416" s="1412"/>
      <c r="M416" s="1785"/>
      <c r="N416" s="1412"/>
    </row>
    <row r="417" spans="1:14" ht="13.5" x14ac:dyDescent="0.2">
      <c r="A417" s="1826"/>
      <c r="B417" s="1827"/>
      <c r="C417" s="1827"/>
      <c r="D417" s="1827"/>
      <c r="E417" s="1827"/>
      <c r="F417" s="1827"/>
      <c r="G417" s="1828"/>
      <c r="H417" s="1032"/>
      <c r="I417" s="1785"/>
      <c r="J417" s="1412"/>
      <c r="K417" s="1819"/>
      <c r="L417" s="1412"/>
      <c r="M417" s="1785"/>
      <c r="N417" s="1412"/>
    </row>
    <row r="418" spans="1:14" ht="13.5" x14ac:dyDescent="0.25">
      <c r="A418" s="1028"/>
      <c r="B418" s="1028"/>
      <c r="C418" s="1028"/>
      <c r="D418" s="1028"/>
      <c r="E418" s="1028"/>
      <c r="F418" s="1028"/>
      <c r="G418" s="1028"/>
      <c r="H418" s="1028"/>
      <c r="I418" s="1028"/>
      <c r="J418" s="1028"/>
      <c r="K418" s="1818" t="s">
        <v>523</v>
      </c>
      <c r="L418" s="1412"/>
      <c r="M418" s="1785">
        <f>SUM(M412:N417)</f>
        <v>65888</v>
      </c>
      <c r="N418" s="1412"/>
    </row>
    <row r="419" spans="1:14" ht="13.5" x14ac:dyDescent="0.25">
      <c r="A419" s="1028"/>
      <c r="B419" s="1028"/>
      <c r="C419" s="1028"/>
      <c r="D419" s="1028"/>
      <c r="E419" s="1028"/>
      <c r="F419" s="1028"/>
      <c r="G419" s="1028"/>
      <c r="H419" s="1028"/>
      <c r="I419" s="1028"/>
      <c r="J419" s="1028"/>
      <c r="K419" s="1028"/>
      <c r="L419" s="1028"/>
      <c r="M419" s="1028"/>
      <c r="N419" s="1028"/>
    </row>
    <row r="420" spans="1:14" x14ac:dyDescent="0.2">
      <c r="A420" s="1820" t="s">
        <v>2145</v>
      </c>
      <c r="B420" s="1411"/>
      <c r="C420" s="1411"/>
      <c r="D420" s="1411"/>
      <c r="E420" s="1411"/>
      <c r="F420" s="1411"/>
      <c r="G420" s="1411"/>
      <c r="H420" s="1411"/>
      <c r="I420" s="1411"/>
      <c r="J420" s="1411"/>
      <c r="K420" s="1411"/>
      <c r="L420" s="1411"/>
      <c r="M420" s="1411"/>
      <c r="N420" s="1412"/>
    </row>
    <row r="421" spans="1:14" x14ac:dyDescent="0.2">
      <c r="A421" s="1818" t="s">
        <v>14</v>
      </c>
      <c r="B421" s="1411"/>
      <c r="C421" s="1411"/>
      <c r="D421" s="1411"/>
      <c r="E421" s="1411"/>
      <c r="F421" s="1411"/>
      <c r="G421" s="1412"/>
      <c r="H421" s="1113" t="s">
        <v>15</v>
      </c>
      <c r="I421" s="1821" t="s">
        <v>619</v>
      </c>
      <c r="J421" s="1412"/>
      <c r="K421" s="1821" t="s">
        <v>610</v>
      </c>
      <c r="L421" s="1412"/>
      <c r="M421" s="1821" t="s">
        <v>2140</v>
      </c>
      <c r="N421" s="1412"/>
    </row>
    <row r="422" spans="1:14" ht="13.5" customHeight="1" x14ac:dyDescent="0.2">
      <c r="A422" s="1786" t="s">
        <v>131</v>
      </c>
      <c r="B422" s="1411"/>
      <c r="C422" s="1411"/>
      <c r="D422" s="1411"/>
      <c r="E422" s="1411"/>
      <c r="F422" s="1411"/>
      <c r="G422" s="1412"/>
      <c r="H422" s="1032" t="str">
        <f>IF(A422="","",VLOOKUP(A422,'11'!$C$6:$E$87,2,FALSE))</f>
        <v>DIA</v>
      </c>
      <c r="I422" s="1785">
        <f>IF(A422="","",VLOOKUP(A422,'11'!$C$6:$E$87,3,FALSE))</f>
        <v>15000</v>
      </c>
      <c r="J422" s="1412"/>
      <c r="K422" s="1819">
        <v>0.9</v>
      </c>
      <c r="L422" s="1823"/>
      <c r="M422" s="1785">
        <f>I422/(K422*8)</f>
        <v>2083.3333333333335</v>
      </c>
      <c r="N422" s="1412"/>
    </row>
    <row r="423" spans="1:14" ht="14.25" customHeight="1" x14ac:dyDescent="0.2">
      <c r="A423" s="1786" t="s">
        <v>130</v>
      </c>
      <c r="B423" s="1411"/>
      <c r="C423" s="1411"/>
      <c r="D423" s="1411"/>
      <c r="E423" s="1411"/>
      <c r="F423" s="1411"/>
      <c r="G423" s="1412"/>
      <c r="H423" s="1032" t="str">
        <f>IF(A423="","",VLOOKUP(A423,'11'!$C$6:$E$87,2,FALSE))</f>
        <v>DIA</v>
      </c>
      <c r="I423" s="1785">
        <f>IF(A423="","",VLOOKUP(A423,'11'!$C$6:$E$87,3,FALSE))</f>
        <v>90000</v>
      </c>
      <c r="J423" s="1412"/>
      <c r="K423" s="1819">
        <v>1.2</v>
      </c>
      <c r="L423" s="1823"/>
      <c r="M423" s="1785">
        <f>I423/(K423*14)</f>
        <v>5357.1428571428569</v>
      </c>
      <c r="N423" s="1412"/>
    </row>
    <row r="424" spans="1:14" ht="13.5" x14ac:dyDescent="0.2">
      <c r="A424" s="1786"/>
      <c r="B424" s="1411"/>
      <c r="C424" s="1411"/>
      <c r="D424" s="1411"/>
      <c r="E424" s="1411"/>
      <c r="F424" s="1411"/>
      <c r="G424" s="1412"/>
      <c r="H424" s="1032"/>
      <c r="I424" s="1785"/>
      <c r="J424" s="1412"/>
      <c r="K424" s="1824"/>
      <c r="L424" s="1412"/>
      <c r="M424" s="1785"/>
      <c r="N424" s="1412"/>
    </row>
    <row r="425" spans="1:14" ht="13.5" x14ac:dyDescent="0.2">
      <c r="A425" s="1786"/>
      <c r="B425" s="1411"/>
      <c r="C425" s="1411"/>
      <c r="D425" s="1411"/>
      <c r="E425" s="1411"/>
      <c r="F425" s="1411"/>
      <c r="G425" s="1412"/>
      <c r="H425" s="1032"/>
      <c r="I425" s="1785"/>
      <c r="J425" s="1412"/>
      <c r="K425" s="1824"/>
      <c r="L425" s="1412"/>
      <c r="M425" s="1785"/>
      <c r="N425" s="1412"/>
    </row>
    <row r="426" spans="1:14" ht="13.5" x14ac:dyDescent="0.2">
      <c r="A426" s="1123"/>
      <c r="B426" s="1124"/>
      <c r="C426" s="1124"/>
      <c r="D426" s="1124"/>
      <c r="E426" s="1124"/>
      <c r="F426" s="1124"/>
      <c r="G426" s="1125"/>
      <c r="H426" s="1032"/>
      <c r="I426" s="1785"/>
      <c r="J426" s="1412"/>
      <c r="K426" s="1819"/>
      <c r="L426" s="1412"/>
      <c r="M426" s="1785"/>
      <c r="N426" s="1412"/>
    </row>
    <row r="427" spans="1:14" ht="13.5" x14ac:dyDescent="0.25">
      <c r="A427" s="1028"/>
      <c r="B427" s="1028"/>
      <c r="C427" s="1028"/>
      <c r="D427" s="1028"/>
      <c r="E427" s="1028"/>
      <c r="F427" s="1028"/>
      <c r="G427" s="1028"/>
      <c r="H427" s="1028"/>
      <c r="I427" s="1028"/>
      <c r="J427" s="1028"/>
      <c r="K427" s="1818" t="s">
        <v>523</v>
      </c>
      <c r="L427" s="1412"/>
      <c r="M427" s="1785">
        <f>SUM(M422:N426)</f>
        <v>7440.4761904761908</v>
      </c>
      <c r="N427" s="1412"/>
    </row>
    <row r="428" spans="1:14" ht="13.5" x14ac:dyDescent="0.25">
      <c r="A428" s="1028"/>
      <c r="B428" s="1028"/>
      <c r="C428" s="1028"/>
      <c r="D428" s="1028"/>
      <c r="E428" s="1028"/>
      <c r="F428" s="1028"/>
      <c r="G428" s="1028"/>
      <c r="H428" s="1028"/>
      <c r="I428" s="1028"/>
      <c r="J428" s="1028"/>
      <c r="K428" s="1028"/>
      <c r="L428" s="1028"/>
      <c r="M428" s="1028"/>
      <c r="N428" s="1028"/>
    </row>
    <row r="429" spans="1:14" x14ac:dyDescent="0.2">
      <c r="A429" s="1820" t="s">
        <v>2147</v>
      </c>
      <c r="B429" s="1411"/>
      <c r="C429" s="1411"/>
      <c r="D429" s="1411"/>
      <c r="E429" s="1411"/>
      <c r="F429" s="1411"/>
      <c r="G429" s="1411"/>
      <c r="H429" s="1411"/>
      <c r="I429" s="1411"/>
      <c r="J429" s="1411"/>
      <c r="K429" s="1411"/>
      <c r="L429" s="1411"/>
      <c r="M429" s="1411"/>
      <c r="N429" s="1412"/>
    </row>
    <row r="430" spans="1:14" x14ac:dyDescent="0.2">
      <c r="A430" s="1818" t="s">
        <v>14</v>
      </c>
      <c r="B430" s="1411"/>
      <c r="C430" s="1411"/>
      <c r="D430" s="1411"/>
      <c r="E430" s="1411"/>
      <c r="F430" s="1411"/>
      <c r="G430" s="1412"/>
      <c r="H430" s="1113" t="s">
        <v>15</v>
      </c>
      <c r="I430" s="1821" t="s">
        <v>619</v>
      </c>
      <c r="J430" s="1412"/>
      <c r="K430" s="1821" t="s">
        <v>628</v>
      </c>
      <c r="L430" s="1412"/>
      <c r="M430" s="1821" t="s">
        <v>2140</v>
      </c>
      <c r="N430" s="1412"/>
    </row>
    <row r="431" spans="1:14" ht="13.5" x14ac:dyDescent="0.2">
      <c r="A431" s="1792" t="s">
        <v>2328</v>
      </c>
      <c r="B431" s="1411"/>
      <c r="C431" s="1411"/>
      <c r="D431" s="1411"/>
      <c r="E431" s="1411"/>
      <c r="F431" s="1411"/>
      <c r="G431" s="1412"/>
      <c r="H431" s="1032" t="str">
        <f>IF(A431="","",VLOOKUP(A431,'11'!$C$6:$E$1012,2,FALSE))</f>
        <v>KM-M3</v>
      </c>
      <c r="I431" s="1785">
        <v>1879.14</v>
      </c>
      <c r="J431" s="1412"/>
      <c r="K431" s="1819">
        <f>+'01'!$B$15</f>
        <v>5</v>
      </c>
      <c r="L431" s="1412"/>
      <c r="M431" s="1785">
        <f t="shared" ref="M431" si="27">IF(A431="","",I431*K431)</f>
        <v>9395.7000000000007</v>
      </c>
      <c r="N431" s="1412"/>
    </row>
    <row r="432" spans="1:14" ht="13.5" x14ac:dyDescent="0.2">
      <c r="A432" s="1786"/>
      <c r="B432" s="1411"/>
      <c r="C432" s="1411"/>
      <c r="D432" s="1411"/>
      <c r="E432" s="1411"/>
      <c r="F432" s="1411"/>
      <c r="G432" s="1412"/>
      <c r="H432" s="1032"/>
      <c r="I432" s="1785"/>
      <c r="J432" s="1412"/>
      <c r="K432" s="1822"/>
      <c r="L432" s="1412"/>
      <c r="M432" s="1785"/>
      <c r="N432" s="1412"/>
    </row>
    <row r="433" spans="1:15" ht="13.5" x14ac:dyDescent="0.2">
      <c r="A433" s="1792"/>
      <c r="B433" s="1411"/>
      <c r="C433" s="1411"/>
      <c r="D433" s="1411"/>
      <c r="E433" s="1411"/>
      <c r="F433" s="1411"/>
      <c r="G433" s="1412"/>
      <c r="H433" s="1032"/>
      <c r="I433" s="1785"/>
      <c r="J433" s="1412"/>
      <c r="K433" s="1819"/>
      <c r="L433" s="1412"/>
      <c r="M433" s="1785"/>
      <c r="N433" s="1412"/>
    </row>
    <row r="434" spans="1:15" ht="13.5" x14ac:dyDescent="0.2">
      <c r="A434" s="1792"/>
      <c r="B434" s="1411"/>
      <c r="C434" s="1411"/>
      <c r="D434" s="1411"/>
      <c r="E434" s="1411"/>
      <c r="F434" s="1411"/>
      <c r="G434" s="1412"/>
      <c r="H434" s="1032"/>
      <c r="I434" s="1785"/>
      <c r="J434" s="1412"/>
      <c r="K434" s="1819"/>
      <c r="L434" s="1412"/>
      <c r="M434" s="1785"/>
      <c r="N434" s="1412"/>
    </row>
    <row r="435" spans="1:15" ht="13.5" x14ac:dyDescent="0.2">
      <c r="A435" s="1792"/>
      <c r="B435" s="1411"/>
      <c r="C435" s="1411"/>
      <c r="D435" s="1411"/>
      <c r="E435" s="1411"/>
      <c r="F435" s="1411"/>
      <c r="G435" s="1412"/>
      <c r="H435" s="1032"/>
      <c r="I435" s="1785"/>
      <c r="J435" s="1412"/>
      <c r="K435" s="1819"/>
      <c r="L435" s="1412"/>
      <c r="M435" s="1785"/>
      <c r="N435" s="1412"/>
    </row>
    <row r="436" spans="1:15" ht="13.5" x14ac:dyDescent="0.25">
      <c r="A436" s="1028"/>
      <c r="B436" s="1028"/>
      <c r="C436" s="1028"/>
      <c r="D436" s="1028"/>
      <c r="E436" s="1028"/>
      <c r="F436" s="1028"/>
      <c r="G436" s="1028"/>
      <c r="H436" s="1028"/>
      <c r="I436" s="1028"/>
      <c r="J436" s="1028"/>
      <c r="K436" s="1818" t="s">
        <v>523</v>
      </c>
      <c r="L436" s="1412"/>
      <c r="M436" s="1785">
        <f>SUM(M431:N435)</f>
        <v>9395.7000000000007</v>
      </c>
      <c r="N436" s="1412"/>
    </row>
    <row r="437" spans="1:15" ht="13.5" x14ac:dyDescent="0.25">
      <c r="A437" s="1028"/>
      <c r="B437" s="1028"/>
      <c r="C437" s="1028"/>
      <c r="D437" s="1028"/>
      <c r="E437" s="1028"/>
      <c r="F437" s="1028"/>
      <c r="G437" s="1028"/>
      <c r="H437" s="1028"/>
      <c r="I437" s="1028"/>
      <c r="J437" s="1028"/>
      <c r="K437" s="1028"/>
      <c r="L437" s="1028"/>
      <c r="M437" s="1028"/>
      <c r="N437" s="1028"/>
    </row>
    <row r="438" spans="1:15" x14ac:dyDescent="0.2">
      <c r="A438" s="1820" t="s">
        <v>2150</v>
      </c>
      <c r="B438" s="1411"/>
      <c r="C438" s="1411"/>
      <c r="D438" s="1411"/>
      <c r="E438" s="1411"/>
      <c r="F438" s="1411"/>
      <c r="G438" s="1411"/>
      <c r="H438" s="1411"/>
      <c r="I438" s="1411"/>
      <c r="J438" s="1411"/>
      <c r="K438" s="1411"/>
      <c r="L438" s="1411"/>
      <c r="M438" s="1411"/>
      <c r="N438" s="1412"/>
    </row>
    <row r="439" spans="1:15" x14ac:dyDescent="0.2">
      <c r="A439" s="1818" t="s">
        <v>14</v>
      </c>
      <c r="B439" s="1411"/>
      <c r="C439" s="1411"/>
      <c r="D439" s="1411"/>
      <c r="E439" s="1411"/>
      <c r="F439" s="1411"/>
      <c r="G439" s="1412"/>
      <c r="H439" s="1113" t="s">
        <v>15</v>
      </c>
      <c r="I439" s="1821" t="s">
        <v>619</v>
      </c>
      <c r="J439" s="1412"/>
      <c r="K439" s="1114" t="s">
        <v>1919</v>
      </c>
      <c r="L439" s="1115" t="s">
        <v>2151</v>
      </c>
      <c r="M439" s="1821" t="s">
        <v>2140</v>
      </c>
      <c r="N439" s="1412"/>
    </row>
    <row r="440" spans="1:15" ht="13.5" x14ac:dyDescent="0.25">
      <c r="A440" s="1817" t="s">
        <v>2253</v>
      </c>
      <c r="B440" s="1411"/>
      <c r="C440" s="1411"/>
      <c r="D440" s="1411"/>
      <c r="E440" s="1411"/>
      <c r="F440" s="1411"/>
      <c r="G440" s="1412"/>
      <c r="H440" s="1032" t="str">
        <f>IF(A440="","",VLOOKUP(A440,'09'!$A$22:$O$168,4,FALSE))</f>
        <v>Cuadrilla</v>
      </c>
      <c r="I440" s="1785">
        <f>IF(A440="","",VLOOKUP(A440,'09'!$A$22:$O$168,5,FALSE))</f>
        <v>175090</v>
      </c>
      <c r="J440" s="1412"/>
      <c r="K440" s="1034">
        <f>IF(A440="","",'03'!$I$2)</f>
        <v>1.88995</v>
      </c>
      <c r="L440" s="1034">
        <v>25</v>
      </c>
      <c r="M440" s="1785">
        <f>IF(A440="","",I440*K440/L440)</f>
        <v>13236.453820000001</v>
      </c>
      <c r="N440" s="1412"/>
    </row>
    <row r="441" spans="1:15" ht="13.5" x14ac:dyDescent="0.25">
      <c r="A441" s="1817"/>
      <c r="B441" s="1411"/>
      <c r="C441" s="1411"/>
      <c r="D441" s="1411"/>
      <c r="E441" s="1411"/>
      <c r="F441" s="1411"/>
      <c r="G441" s="1412"/>
      <c r="H441" s="1032"/>
      <c r="I441" s="1785"/>
      <c r="J441" s="1412"/>
      <c r="K441" s="1034"/>
      <c r="L441" s="1034"/>
      <c r="M441" s="1785"/>
      <c r="N441" s="1412"/>
    </row>
    <row r="442" spans="1:15" ht="13.5" x14ac:dyDescent="0.25">
      <c r="A442" s="1817"/>
      <c r="B442" s="1411"/>
      <c r="C442" s="1411"/>
      <c r="D442" s="1411"/>
      <c r="E442" s="1411"/>
      <c r="F442" s="1411"/>
      <c r="G442" s="1412"/>
      <c r="H442" s="1032"/>
      <c r="I442" s="1785"/>
      <c r="J442" s="1412"/>
      <c r="K442" s="1034"/>
      <c r="L442" s="1117"/>
      <c r="M442" s="1785"/>
      <c r="N442" s="1412"/>
    </row>
    <row r="443" spans="1:15" ht="13.5" x14ac:dyDescent="0.25">
      <c r="A443" s="1817"/>
      <c r="B443" s="1411"/>
      <c r="C443" s="1411"/>
      <c r="D443" s="1411"/>
      <c r="E443" s="1411"/>
      <c r="F443" s="1411"/>
      <c r="G443" s="1412"/>
      <c r="H443" s="1032"/>
      <c r="I443" s="1785"/>
      <c r="J443" s="1412"/>
      <c r="K443" s="1034"/>
      <c r="L443" s="1117"/>
      <c r="M443" s="1785"/>
      <c r="N443" s="1412"/>
    </row>
    <row r="444" spans="1:15" ht="13.5" x14ac:dyDescent="0.25">
      <c r="A444" s="1817"/>
      <c r="B444" s="1411"/>
      <c r="C444" s="1411"/>
      <c r="D444" s="1411"/>
      <c r="E444" s="1411"/>
      <c r="F444" s="1411"/>
      <c r="G444" s="1412"/>
      <c r="H444" s="1032"/>
      <c r="I444" s="1785"/>
      <c r="J444" s="1412"/>
      <c r="K444" s="1034"/>
      <c r="L444" s="1117"/>
      <c r="M444" s="1785"/>
      <c r="N444" s="1412"/>
    </row>
    <row r="445" spans="1:15" ht="13.5" x14ac:dyDescent="0.25">
      <c r="A445" s="1028"/>
      <c r="B445" s="1028"/>
      <c r="C445" s="1028"/>
      <c r="D445" s="1028"/>
      <c r="E445" s="1028"/>
      <c r="F445" s="1028"/>
      <c r="G445" s="1028"/>
      <c r="H445" s="1028"/>
      <c r="I445" s="1028"/>
      <c r="J445" s="1028"/>
      <c r="K445" s="1818" t="s">
        <v>523</v>
      </c>
      <c r="L445" s="1412"/>
      <c r="M445" s="1785">
        <f>SUM(M440:N444)</f>
        <v>13236.453820000001</v>
      </c>
      <c r="N445" s="1412"/>
      <c r="O445" s="1163"/>
    </row>
    <row r="446" spans="1:15" x14ac:dyDescent="0.2">
      <c r="I446" s="1414"/>
      <c r="J446" s="1415"/>
      <c r="K446" s="1415"/>
      <c r="L446" s="1415"/>
      <c r="M446" s="1415"/>
      <c r="N446" s="1415"/>
    </row>
    <row r="447" spans="1:15" ht="13.5" thickBot="1" x14ac:dyDescent="0.25">
      <c r="I447" s="1416"/>
      <c r="J447" s="1416"/>
      <c r="K447" s="1416"/>
      <c r="L447" s="1416"/>
      <c r="M447" s="1416"/>
      <c r="N447" s="1416"/>
    </row>
    <row r="448" spans="1:15" ht="14.25" thickTop="1" x14ac:dyDescent="0.2">
      <c r="I448" s="1417" t="s">
        <v>1829</v>
      </c>
      <c r="J448" s="1418"/>
      <c r="K448" s="1417" t="s">
        <v>2653</v>
      </c>
      <c r="L448" s="1418"/>
      <c r="M448" s="1418"/>
      <c r="N448" s="1418"/>
    </row>
    <row r="449" spans="1:14" ht="13.5" x14ac:dyDescent="0.2">
      <c r="I449" s="1419" t="s">
        <v>1831</v>
      </c>
      <c r="J449" s="1420"/>
      <c r="K449" s="1419"/>
      <c r="L449" s="1420"/>
      <c r="M449" s="1420"/>
      <c r="N449" s="1420"/>
    </row>
    <row r="450" spans="1:14" x14ac:dyDescent="0.2">
      <c r="A450" s="1803" t="s">
        <v>2329</v>
      </c>
      <c r="B450" s="1804"/>
      <c r="C450" s="1804"/>
      <c r="D450" s="1804"/>
      <c r="E450" s="1804"/>
      <c r="F450" s="1804"/>
      <c r="G450" s="1804"/>
      <c r="H450" s="1804"/>
      <c r="I450" s="1804"/>
      <c r="J450" s="1804"/>
      <c r="K450" s="1804"/>
      <c r="L450" s="1804"/>
      <c r="M450" s="1804"/>
      <c r="N450" s="1805"/>
    </row>
    <row r="451" spans="1:14" x14ac:dyDescent="0.2">
      <c r="A451" s="1806"/>
      <c r="B451" s="1807"/>
      <c r="C451" s="1807"/>
      <c r="D451" s="1807"/>
      <c r="E451" s="1807"/>
      <c r="F451" s="1807"/>
      <c r="G451" s="1807"/>
      <c r="H451" s="1807"/>
      <c r="I451" s="1807"/>
      <c r="J451" s="1807"/>
      <c r="K451" s="1807"/>
      <c r="L451" s="1807"/>
      <c r="M451" s="1807"/>
      <c r="N451" s="1808"/>
    </row>
    <row r="452" spans="1:14" ht="13.5" x14ac:dyDescent="0.2">
      <c r="A452" s="1128"/>
      <c r="B452" s="1128"/>
      <c r="C452" s="1128"/>
      <c r="D452" s="1128"/>
      <c r="E452" s="1128"/>
      <c r="F452" s="1128"/>
      <c r="G452" s="1128"/>
      <c r="H452" s="1128"/>
      <c r="I452" s="1128"/>
      <c r="J452" s="1128"/>
      <c r="K452" s="1128"/>
      <c r="L452" s="1128"/>
      <c r="M452" s="1128"/>
      <c r="N452" s="1128"/>
    </row>
    <row r="453" spans="1:14" ht="14.25" x14ac:dyDescent="0.3">
      <c r="A453" s="1104" t="s">
        <v>2200</v>
      </c>
      <c r="B453" s="1129" t="str">
        <f>A450</f>
        <v>CONCRETO PARA SOLADO, LIMPIEZA Y/O RELLENOS FLUIDOS (140KG/CM2) - ESPESOR=0.05 METROS.</v>
      </c>
      <c r="C453" s="1130" t="s">
        <v>634</v>
      </c>
      <c r="D453" s="1131" t="s">
        <v>12</v>
      </c>
      <c r="E453" s="1132" t="s">
        <v>1833</v>
      </c>
      <c r="F453" s="1133">
        <f>H453+J453+L453+N453</f>
        <v>560706.70669999998</v>
      </c>
      <c r="G453" s="1132" t="s">
        <v>2136</v>
      </c>
      <c r="H453" s="1133">
        <f>M471</f>
        <v>25500</v>
      </c>
      <c r="I453" s="1132" t="s">
        <v>621</v>
      </c>
      <c r="J453" s="1134">
        <f>M462</f>
        <v>256179.4</v>
      </c>
      <c r="K453" s="1132" t="s">
        <v>2137</v>
      </c>
      <c r="L453" s="1133">
        <f>M478</f>
        <v>9395.7000000000007</v>
      </c>
      <c r="M453" s="1132" t="s">
        <v>2138</v>
      </c>
      <c r="N453" s="1133">
        <f>M487</f>
        <v>269631.6067</v>
      </c>
    </row>
    <row r="454" spans="1:14" ht="13.5" x14ac:dyDescent="0.25">
      <c r="A454" s="1135"/>
      <c r="B454" s="1135"/>
      <c r="C454" s="1135"/>
      <c r="D454" s="1135"/>
      <c r="E454" s="1135"/>
      <c r="F454" s="1135"/>
      <c r="G454" s="1135"/>
      <c r="J454" s="1135"/>
      <c r="K454" s="1135"/>
      <c r="L454" s="1135"/>
      <c r="M454" s="1270" t="s">
        <v>2667</v>
      </c>
      <c r="N454" s="1270">
        <f>+F453*'01'!$O$15</f>
        <v>725724.88143541082</v>
      </c>
    </row>
    <row r="455" spans="1:14" x14ac:dyDescent="0.2">
      <c r="A455" s="1781" t="s">
        <v>2139</v>
      </c>
      <c r="B455" s="1782"/>
      <c r="C455" s="1782"/>
      <c r="D455" s="1782"/>
      <c r="E455" s="1782"/>
      <c r="F455" s="1782"/>
      <c r="G455" s="1782"/>
      <c r="H455" s="1782"/>
      <c r="I455" s="1782"/>
      <c r="J455" s="1782"/>
      <c r="K455" s="1782"/>
      <c r="L455" s="1782"/>
      <c r="M455" s="1782"/>
      <c r="N455" s="1779"/>
    </row>
    <row r="456" spans="1:14" x14ac:dyDescent="0.2">
      <c r="A456" s="1778" t="s">
        <v>14</v>
      </c>
      <c r="B456" s="1782"/>
      <c r="C456" s="1782"/>
      <c r="D456" s="1782"/>
      <c r="E456" s="1782"/>
      <c r="F456" s="1782"/>
      <c r="G456" s="1779"/>
      <c r="H456" s="1136" t="s">
        <v>15</v>
      </c>
      <c r="I456" s="1783" t="s">
        <v>619</v>
      </c>
      <c r="J456" s="1779"/>
      <c r="K456" s="1783" t="s">
        <v>628</v>
      </c>
      <c r="L456" s="1779"/>
      <c r="M456" s="1783" t="s">
        <v>2140</v>
      </c>
      <c r="N456" s="1779"/>
    </row>
    <row r="457" spans="1:14" ht="13.5" x14ac:dyDescent="0.2">
      <c r="A457" s="1789" t="s">
        <v>63</v>
      </c>
      <c r="B457" s="1782"/>
      <c r="C457" s="1782"/>
      <c r="D457" s="1782"/>
      <c r="E457" s="1782"/>
      <c r="F457" s="1782"/>
      <c r="G457" s="1779"/>
      <c r="H457" s="1032" t="str">
        <f>IF(A457="","",VLOOKUP(A457,'10'!$C$6:$E$1152,2,FALSE))</f>
        <v>KG</v>
      </c>
      <c r="I457" s="1785">
        <f>IF(A457="","",VLOOKUP(A457,'10'!$C$6:$E$1152,3,FALSE))</f>
        <v>695</v>
      </c>
      <c r="J457" s="1412"/>
      <c r="K457" s="1787">
        <v>230</v>
      </c>
      <c r="L457" s="1779"/>
      <c r="M457" s="1780">
        <f t="shared" ref="M457:M461" si="28">IF(A457="","",I457*K457)</f>
        <v>159850</v>
      </c>
      <c r="N457" s="1779"/>
    </row>
    <row r="458" spans="1:14" ht="13.5" x14ac:dyDescent="0.2">
      <c r="A458" s="1789" t="s">
        <v>1541</v>
      </c>
      <c r="B458" s="1782"/>
      <c r="C458" s="1782"/>
      <c r="D458" s="1782"/>
      <c r="E458" s="1782"/>
      <c r="F458" s="1782"/>
      <c r="G458" s="1779"/>
      <c r="H458" s="1032" t="str">
        <f>IF(A458="","",VLOOKUP(A458,'10'!$C$6:$E$1152,2,FALSE))</f>
        <v>M3</v>
      </c>
      <c r="I458" s="1785">
        <f>IF(A458="","",VLOOKUP(A458,'10'!$C$6:$E$1152,3,FALSE))</f>
        <v>73780</v>
      </c>
      <c r="J458" s="1870"/>
      <c r="K458" s="1787">
        <v>0.55000000000000004</v>
      </c>
      <c r="L458" s="1779"/>
      <c r="M458" s="1780">
        <f>IF(A458="","",I458*K458)</f>
        <v>40579</v>
      </c>
      <c r="N458" s="1779"/>
    </row>
    <row r="459" spans="1:14" ht="13.5" x14ac:dyDescent="0.2">
      <c r="A459" s="1789" t="s">
        <v>1542</v>
      </c>
      <c r="B459" s="1782"/>
      <c r="C459" s="1782"/>
      <c r="D459" s="1782"/>
      <c r="E459" s="1782"/>
      <c r="F459" s="1782"/>
      <c r="G459" s="1779"/>
      <c r="H459" s="1032" t="str">
        <f>IF(A459="","",VLOOKUP(A459,'10'!$C$6:$E$1152,2,FALSE))</f>
        <v>M3</v>
      </c>
      <c r="I459" s="1785">
        <f>IF(A459="","",VLOOKUP(A459,'10'!$C$6:$E$1152,3,FALSE))</f>
        <v>57120</v>
      </c>
      <c r="J459" s="1412"/>
      <c r="K459" s="1787">
        <v>0.92</v>
      </c>
      <c r="L459" s="1779"/>
      <c r="M459" s="1780">
        <f>IF(A459="","",I459*K459)</f>
        <v>52550.400000000001</v>
      </c>
      <c r="N459" s="1779"/>
    </row>
    <row r="460" spans="1:14" ht="13.5" x14ac:dyDescent="0.2">
      <c r="A460" s="1789" t="s">
        <v>104</v>
      </c>
      <c r="B460" s="1782"/>
      <c r="C460" s="1782"/>
      <c r="D460" s="1782"/>
      <c r="E460" s="1782"/>
      <c r="F460" s="1782"/>
      <c r="G460" s="1779"/>
      <c r="H460" s="1032" t="str">
        <f>IF(A460="","",VLOOKUP(A460,'10'!$C$6:$E$1152,2,FALSE))</f>
        <v>LT</v>
      </c>
      <c r="I460" s="1785">
        <f>IF(A460="","",VLOOKUP(A460,'10'!$C$6:$E$1152,3,FALSE))</f>
        <v>20</v>
      </c>
      <c r="J460" s="1412"/>
      <c r="K460" s="1787">
        <v>160</v>
      </c>
      <c r="L460" s="1779"/>
      <c r="M460" s="1780">
        <f t="shared" si="28"/>
        <v>3200</v>
      </c>
      <c r="N460" s="1779"/>
    </row>
    <row r="461" spans="1:14" ht="13.5" x14ac:dyDescent="0.2">
      <c r="A461" s="1789"/>
      <c r="B461" s="1782"/>
      <c r="C461" s="1782"/>
      <c r="D461" s="1782"/>
      <c r="E461" s="1782"/>
      <c r="F461" s="1782"/>
      <c r="G461" s="1779"/>
      <c r="H461" s="1032" t="str">
        <f>IF(A461="","",VLOOKUP(A461,'10'!$C$6:$E$1152,2,FALSE))</f>
        <v/>
      </c>
      <c r="I461" s="1785" t="str">
        <f>IF(A461="","",VLOOKUP(A461,'10'!$C$6:$E$1152,3,FALSE))</f>
        <v/>
      </c>
      <c r="J461" s="1412"/>
      <c r="K461" s="1787"/>
      <c r="L461" s="1779"/>
      <c r="M461" s="1780" t="str">
        <f t="shared" si="28"/>
        <v/>
      </c>
      <c r="N461" s="1779"/>
    </row>
    <row r="462" spans="1:14" ht="13.5" x14ac:dyDescent="0.25">
      <c r="A462" s="1138"/>
      <c r="B462" s="1138"/>
      <c r="C462" s="1138"/>
      <c r="D462" s="1138"/>
      <c r="E462" s="1138"/>
      <c r="F462" s="1138"/>
      <c r="G462" s="1138"/>
      <c r="H462" s="1138"/>
      <c r="I462" s="1138"/>
      <c r="J462" s="1138"/>
      <c r="K462" s="1778" t="s">
        <v>523</v>
      </c>
      <c r="L462" s="1779"/>
      <c r="M462" s="1780">
        <f>SUM(M457:N461)</f>
        <v>256179.4</v>
      </c>
      <c r="N462" s="1779"/>
    </row>
    <row r="463" spans="1:14" ht="13.5" x14ac:dyDescent="0.25">
      <c r="A463" s="1138"/>
      <c r="B463" s="1138"/>
      <c r="C463" s="1138"/>
      <c r="D463" s="1138"/>
      <c r="E463" s="1138"/>
      <c r="F463" s="1138"/>
      <c r="G463" s="1138"/>
      <c r="H463" s="1138"/>
      <c r="I463" s="1138"/>
      <c r="J463" s="1138"/>
      <c r="K463" s="1138"/>
      <c r="L463" s="1138"/>
      <c r="M463" s="1138"/>
      <c r="N463" s="1138"/>
    </row>
    <row r="464" spans="1:14" x14ac:dyDescent="0.2">
      <c r="A464" s="1781" t="s">
        <v>2145</v>
      </c>
      <c r="B464" s="1782"/>
      <c r="C464" s="1782"/>
      <c r="D464" s="1782"/>
      <c r="E464" s="1782"/>
      <c r="F464" s="1782"/>
      <c r="G464" s="1782"/>
      <c r="H464" s="1782"/>
      <c r="I464" s="1782"/>
      <c r="J464" s="1782"/>
      <c r="K464" s="1782"/>
      <c r="L464" s="1782"/>
      <c r="M464" s="1782"/>
      <c r="N464" s="1779"/>
    </row>
    <row r="465" spans="1:14" x14ac:dyDescent="0.2">
      <c r="A465" s="1778" t="s">
        <v>14</v>
      </c>
      <c r="B465" s="1782"/>
      <c r="C465" s="1782"/>
      <c r="D465" s="1782"/>
      <c r="E465" s="1782"/>
      <c r="F465" s="1782"/>
      <c r="G465" s="1779"/>
      <c r="H465" s="1136" t="s">
        <v>15</v>
      </c>
      <c r="I465" s="1783" t="s">
        <v>619</v>
      </c>
      <c r="J465" s="1779"/>
      <c r="K465" s="1783" t="s">
        <v>628</v>
      </c>
      <c r="L465" s="1779"/>
      <c r="M465" s="1783" t="s">
        <v>2140</v>
      </c>
      <c r="N465" s="1779"/>
    </row>
    <row r="466" spans="1:14" ht="13.5" x14ac:dyDescent="0.2">
      <c r="A466" s="1789" t="s">
        <v>133</v>
      </c>
      <c r="B466" s="1782"/>
      <c r="C466" s="1782"/>
      <c r="D466" s="1782"/>
      <c r="E466" s="1782"/>
      <c r="F466" s="1782"/>
      <c r="G466" s="1779"/>
      <c r="H466" s="1032" t="str">
        <f>IF(A466="","",VLOOKUP(A466,'11'!$C$6:$E$87,2,FALSE))</f>
        <v>DIA</v>
      </c>
      <c r="I466" s="1785">
        <f>IF(A466="","",VLOOKUP(A466,'11'!$C$6:$E$87,3,FALSE))</f>
        <v>75000</v>
      </c>
      <c r="J466" s="1412"/>
      <c r="K466" s="1794">
        <v>0.2</v>
      </c>
      <c r="L466" s="1779"/>
      <c r="M466" s="1780">
        <f t="shared" ref="M466:M470" si="29">IF(A466="","",I466*K466)</f>
        <v>15000</v>
      </c>
      <c r="N466" s="1779"/>
    </row>
    <row r="467" spans="1:14" ht="13.15" customHeight="1" x14ac:dyDescent="0.2">
      <c r="A467" s="1789" t="s">
        <v>131</v>
      </c>
      <c r="B467" s="1782"/>
      <c r="C467" s="1782"/>
      <c r="D467" s="1782"/>
      <c r="E467" s="1782"/>
      <c r="F467" s="1782"/>
      <c r="G467" s="1779"/>
      <c r="H467" s="1032" t="str">
        <f>IF(A467="","",VLOOKUP(A467,'11'!$C$6:$E$87,2,FALSE))</f>
        <v>DIA</v>
      </c>
      <c r="I467" s="1785">
        <f>IF(A467="","",VLOOKUP(A467,'11'!$C$6:$E$87,3,FALSE))</f>
        <v>15000</v>
      </c>
      <c r="J467" s="1412"/>
      <c r="K467" s="1794">
        <v>0.2</v>
      </c>
      <c r="L467" s="1779"/>
      <c r="M467" s="1780">
        <f t="shared" si="29"/>
        <v>3000</v>
      </c>
      <c r="N467" s="1779"/>
    </row>
    <row r="468" spans="1:14" ht="13.5" x14ac:dyDescent="0.2">
      <c r="A468" s="1789" t="s">
        <v>143</v>
      </c>
      <c r="B468" s="1782"/>
      <c r="C468" s="1782"/>
      <c r="D468" s="1782"/>
      <c r="E468" s="1782"/>
      <c r="F468" s="1782"/>
      <c r="G468" s="1779"/>
      <c r="H468" s="1032" t="str">
        <f>IF(A468="","",VLOOKUP(A468,'11'!$C$6:$E$87,2,FALSE))</f>
        <v>HR</v>
      </c>
      <c r="I468" s="1785">
        <f>IF(A468="","",VLOOKUP(A468,'11'!$C$6:$E$87,3,FALSE))</f>
        <v>15000</v>
      </c>
      <c r="J468" s="1412"/>
      <c r="K468" s="1787">
        <v>0.5</v>
      </c>
      <c r="L468" s="1779"/>
      <c r="M468" s="1780">
        <f t="shared" si="29"/>
        <v>7500</v>
      </c>
      <c r="N468" s="1779"/>
    </row>
    <row r="469" spans="1:14" ht="13.5" x14ac:dyDescent="0.2">
      <c r="A469" s="1789"/>
      <c r="B469" s="1782"/>
      <c r="C469" s="1782"/>
      <c r="D469" s="1782"/>
      <c r="E469" s="1782"/>
      <c r="F469" s="1782"/>
      <c r="G469" s="1779"/>
      <c r="H469" s="1032" t="str">
        <f>IF(A469="","",VLOOKUP(A469,'11'!$C$6:$E$87,2,FALSE))</f>
        <v/>
      </c>
      <c r="I469" s="1785" t="str">
        <f>IF(A469="","",VLOOKUP(A469,'11'!$C$6:$E$87,3,FALSE))</f>
        <v/>
      </c>
      <c r="J469" s="1412"/>
      <c r="K469" s="1787"/>
      <c r="L469" s="1779"/>
      <c r="M469" s="1780" t="str">
        <f t="shared" si="29"/>
        <v/>
      </c>
      <c r="N469" s="1779"/>
    </row>
    <row r="470" spans="1:14" ht="13.5" x14ac:dyDescent="0.2">
      <c r="A470" s="1789"/>
      <c r="B470" s="1782"/>
      <c r="C470" s="1782"/>
      <c r="D470" s="1782"/>
      <c r="E470" s="1782"/>
      <c r="F470" s="1782"/>
      <c r="G470" s="1779"/>
      <c r="H470" s="1032" t="str">
        <f>IF(A470="","",VLOOKUP(A470,'11'!$C$6:$E$87,2,FALSE))</f>
        <v/>
      </c>
      <c r="I470" s="1785" t="str">
        <f>IF(A470="","",VLOOKUP(A470,'11'!$C$6:$E$87,3,FALSE))</f>
        <v/>
      </c>
      <c r="J470" s="1412"/>
      <c r="K470" s="1787"/>
      <c r="L470" s="1779"/>
      <c r="M470" s="1780" t="str">
        <f t="shared" si="29"/>
        <v/>
      </c>
      <c r="N470" s="1779"/>
    </row>
    <row r="471" spans="1:14" ht="13.5" x14ac:dyDescent="0.25">
      <c r="A471" s="1138"/>
      <c r="B471" s="1138"/>
      <c r="C471" s="1138"/>
      <c r="D471" s="1138"/>
      <c r="E471" s="1138"/>
      <c r="F471" s="1138"/>
      <c r="G471" s="1138"/>
      <c r="H471" s="1138"/>
      <c r="I471" s="1138"/>
      <c r="J471" s="1138"/>
      <c r="K471" s="1778" t="s">
        <v>523</v>
      </c>
      <c r="L471" s="1779"/>
      <c r="M471" s="1780">
        <f>SUM(M466:N470)</f>
        <v>25500</v>
      </c>
      <c r="N471" s="1779"/>
    </row>
    <row r="472" spans="1:14" ht="13.5" x14ac:dyDescent="0.25">
      <c r="A472" s="1138"/>
      <c r="B472" s="1138"/>
      <c r="C472" s="1138"/>
      <c r="D472" s="1138"/>
      <c r="E472" s="1138"/>
      <c r="F472" s="1138"/>
      <c r="G472" s="1138"/>
      <c r="H472" s="1138"/>
      <c r="I472" s="1138"/>
      <c r="J472" s="1138"/>
      <c r="K472" s="1138"/>
      <c r="L472" s="1138"/>
      <c r="M472" s="1138"/>
      <c r="N472" s="1138"/>
    </row>
    <row r="473" spans="1:14" x14ac:dyDescent="0.2">
      <c r="A473" s="1781" t="s">
        <v>2147</v>
      </c>
      <c r="B473" s="1782"/>
      <c r="C473" s="1782"/>
      <c r="D473" s="1782"/>
      <c r="E473" s="1782"/>
      <c r="F473" s="1782"/>
      <c r="G473" s="1782"/>
      <c r="H473" s="1782"/>
      <c r="I473" s="1782"/>
      <c r="J473" s="1782"/>
      <c r="K473" s="1782"/>
      <c r="L473" s="1782"/>
      <c r="M473" s="1782"/>
      <c r="N473" s="1779"/>
    </row>
    <row r="474" spans="1:14" x14ac:dyDescent="0.2">
      <c r="A474" s="1778" t="s">
        <v>14</v>
      </c>
      <c r="B474" s="1782"/>
      <c r="C474" s="1782"/>
      <c r="D474" s="1782"/>
      <c r="E474" s="1782"/>
      <c r="F474" s="1782"/>
      <c r="G474" s="1779"/>
      <c r="H474" s="1136" t="s">
        <v>15</v>
      </c>
      <c r="I474" s="1783" t="s">
        <v>619</v>
      </c>
      <c r="J474" s="1779"/>
      <c r="K474" s="1783" t="s">
        <v>628</v>
      </c>
      <c r="L474" s="1779"/>
      <c r="M474" s="1783" t="s">
        <v>2140</v>
      </c>
      <c r="N474" s="1779"/>
    </row>
    <row r="475" spans="1:14" ht="13.5" x14ac:dyDescent="0.2">
      <c r="A475" s="1786" t="s">
        <v>2328</v>
      </c>
      <c r="B475" s="1782"/>
      <c r="C475" s="1782"/>
      <c r="D475" s="1782"/>
      <c r="E475" s="1782"/>
      <c r="F475" s="1782"/>
      <c r="G475" s="1779"/>
      <c r="H475" s="1032" t="str">
        <f>IF(A475="","",VLOOKUP(A475,'11'!$C$6:$E$1012,2,FALSE))</f>
        <v>KM-M3</v>
      </c>
      <c r="I475" s="1785">
        <v>1879.14</v>
      </c>
      <c r="J475" s="1412"/>
      <c r="K475" s="1787">
        <f>+'01'!$B$15</f>
        <v>5</v>
      </c>
      <c r="L475" s="1779"/>
      <c r="M475" s="1780">
        <f t="shared" ref="M475:M477" si="30">IF(A475="","",I475*K475)</f>
        <v>9395.7000000000007</v>
      </c>
      <c r="N475" s="1779"/>
    </row>
    <row r="476" spans="1:14" ht="13.5" x14ac:dyDescent="0.2">
      <c r="A476" s="1789"/>
      <c r="B476" s="1782"/>
      <c r="C476" s="1782"/>
      <c r="D476" s="1782"/>
      <c r="E476" s="1782"/>
      <c r="F476" s="1782"/>
      <c r="G476" s="1779"/>
      <c r="H476" s="1137"/>
      <c r="I476" s="1780"/>
      <c r="J476" s="1779"/>
      <c r="K476" s="1787"/>
      <c r="L476" s="1779"/>
      <c r="M476" s="1780" t="str">
        <f t="shared" si="30"/>
        <v/>
      </c>
      <c r="N476" s="1779"/>
    </row>
    <row r="477" spans="1:14" ht="13.5" x14ac:dyDescent="0.2">
      <c r="A477" s="1789"/>
      <c r="B477" s="1782"/>
      <c r="C477" s="1782"/>
      <c r="D477" s="1782"/>
      <c r="E477" s="1782"/>
      <c r="F477" s="1782"/>
      <c r="G477" s="1779"/>
      <c r="H477" s="1137"/>
      <c r="I477" s="1780"/>
      <c r="J477" s="1779"/>
      <c r="K477" s="1787"/>
      <c r="L477" s="1779"/>
      <c r="M477" s="1780" t="str">
        <f t="shared" si="30"/>
        <v/>
      </c>
      <c r="N477" s="1779"/>
    </row>
    <row r="478" spans="1:14" ht="13.5" x14ac:dyDescent="0.25">
      <c r="A478" s="1138"/>
      <c r="B478" s="1138"/>
      <c r="C478" s="1138"/>
      <c r="D478" s="1138"/>
      <c r="E478" s="1138"/>
      <c r="F478" s="1138"/>
      <c r="G478" s="1138"/>
      <c r="H478" s="1138"/>
      <c r="I478" s="1138"/>
      <c r="J478" s="1138"/>
      <c r="K478" s="1778" t="s">
        <v>523</v>
      </c>
      <c r="L478" s="1779"/>
      <c r="M478" s="1780">
        <f>SUM(M475:N477)</f>
        <v>9395.7000000000007</v>
      </c>
      <c r="N478" s="1779"/>
    </row>
    <row r="479" spans="1:14" ht="13.5" x14ac:dyDescent="0.25">
      <c r="A479" s="1138"/>
      <c r="B479" s="1138"/>
      <c r="C479" s="1138"/>
      <c r="D479" s="1138"/>
      <c r="E479" s="1138"/>
      <c r="F479" s="1138"/>
      <c r="G479" s="1138"/>
      <c r="H479" s="1138"/>
      <c r="I479" s="1138"/>
      <c r="J479" s="1138"/>
      <c r="K479" s="1138"/>
      <c r="L479" s="1138"/>
      <c r="M479" s="1138"/>
      <c r="N479" s="1138"/>
    </row>
    <row r="480" spans="1:14" x14ac:dyDescent="0.2">
      <c r="A480" s="1781" t="s">
        <v>2150</v>
      </c>
      <c r="B480" s="1782"/>
      <c r="C480" s="1782"/>
      <c r="D480" s="1782"/>
      <c r="E480" s="1782"/>
      <c r="F480" s="1782"/>
      <c r="G480" s="1782"/>
      <c r="H480" s="1782"/>
      <c r="I480" s="1782"/>
      <c r="J480" s="1782"/>
      <c r="K480" s="1782"/>
      <c r="L480" s="1782"/>
      <c r="M480" s="1782"/>
      <c r="N480" s="1779"/>
    </row>
    <row r="481" spans="1:15" x14ac:dyDescent="0.2">
      <c r="A481" s="1778" t="s">
        <v>14</v>
      </c>
      <c r="B481" s="1782"/>
      <c r="C481" s="1782"/>
      <c r="D481" s="1782"/>
      <c r="E481" s="1782"/>
      <c r="F481" s="1782"/>
      <c r="G481" s="1779"/>
      <c r="H481" s="1136" t="s">
        <v>15</v>
      </c>
      <c r="I481" s="1783" t="s">
        <v>619</v>
      </c>
      <c r="J481" s="1779"/>
      <c r="K481" s="1139" t="s">
        <v>1919</v>
      </c>
      <c r="L481" s="1140" t="s">
        <v>2151</v>
      </c>
      <c r="M481" s="1783" t="s">
        <v>2140</v>
      </c>
      <c r="N481" s="1779"/>
    </row>
    <row r="482" spans="1:15" ht="13.5" x14ac:dyDescent="0.25">
      <c r="A482" s="1784" t="s">
        <v>2259</v>
      </c>
      <c r="B482" s="1782"/>
      <c r="C482" s="1782"/>
      <c r="D482" s="1782"/>
      <c r="E482" s="1782"/>
      <c r="F482" s="1782"/>
      <c r="G482" s="1779"/>
      <c r="H482" s="1032" t="str">
        <f>IF(A482="","",VLOOKUP(A482,'09'!$A$22:$O$168,4,FALSE))</f>
        <v>Cuadrilla</v>
      </c>
      <c r="I482" s="1785">
        <f>IF(A482="","",VLOOKUP(A482,'09'!$A$22:$O$168,5,FALSE))</f>
        <v>641997</v>
      </c>
      <c r="J482" s="1412"/>
      <c r="K482" s="1034">
        <f>IF(A482="","",'03'!$I$2)</f>
        <v>1.88995</v>
      </c>
      <c r="L482" s="1142">
        <f>1/4.5</f>
        <v>0.22222222222222221</v>
      </c>
      <c r="M482" s="1780">
        <f t="shared" ref="M482:M486" si="31">IF(A482="","",I482*K482*L482)</f>
        <v>269631.6067</v>
      </c>
      <c r="N482" s="1779"/>
    </row>
    <row r="483" spans="1:15" ht="13.5" x14ac:dyDescent="0.25">
      <c r="A483" s="1784"/>
      <c r="B483" s="1782"/>
      <c r="C483" s="1782"/>
      <c r="D483" s="1782"/>
      <c r="E483" s="1782"/>
      <c r="F483" s="1782"/>
      <c r="G483" s="1779"/>
      <c r="H483" s="1032" t="str">
        <f>IF(A483="","",VLOOKUP(A483,'09'!$A$22:$O$168,4,FALSE))</f>
        <v/>
      </c>
      <c r="I483" s="1785" t="str">
        <f>IF(A483="","",VLOOKUP(A483,'09'!$A$22:$O$168,5,FALSE))</f>
        <v/>
      </c>
      <c r="J483" s="1412"/>
      <c r="K483" s="1034" t="str">
        <f>IF(A483="","",'03'!$I$2)</f>
        <v/>
      </c>
      <c r="L483" s="1141"/>
      <c r="M483" s="1780" t="str">
        <f t="shared" si="31"/>
        <v/>
      </c>
      <c r="N483" s="1779"/>
    </row>
    <row r="484" spans="1:15" ht="13.5" x14ac:dyDescent="0.25">
      <c r="A484" s="1784"/>
      <c r="B484" s="1782"/>
      <c r="C484" s="1782"/>
      <c r="D484" s="1782"/>
      <c r="E484" s="1782"/>
      <c r="F484" s="1782"/>
      <c r="G484" s="1779"/>
      <c r="H484" s="1032" t="str">
        <f>IF(A484="","",VLOOKUP(A484,'09'!$A$22:$O$168,4,FALSE))</f>
        <v/>
      </c>
      <c r="I484" s="1785" t="str">
        <f>IF(A484="","",VLOOKUP(A484,'09'!$A$22:$O$168,5,FALSE))</f>
        <v/>
      </c>
      <c r="J484" s="1412"/>
      <c r="K484" s="1034" t="str">
        <f>IF(A484="","",'03'!$I$2)</f>
        <v/>
      </c>
      <c r="L484" s="1143"/>
      <c r="M484" s="1780" t="str">
        <f t="shared" si="31"/>
        <v/>
      </c>
      <c r="N484" s="1779"/>
    </row>
    <row r="485" spans="1:15" ht="13.5" x14ac:dyDescent="0.25">
      <c r="A485" s="1784"/>
      <c r="B485" s="1782"/>
      <c r="C485" s="1782"/>
      <c r="D485" s="1782"/>
      <c r="E485" s="1782"/>
      <c r="F485" s="1782"/>
      <c r="G485" s="1779"/>
      <c r="H485" s="1032" t="str">
        <f>IF(A485="","",VLOOKUP(A485,'09'!$A$22:$O$168,4,FALSE))</f>
        <v/>
      </c>
      <c r="I485" s="1785" t="str">
        <f>IF(A485="","",VLOOKUP(A485,'09'!$A$22:$O$168,5,FALSE))</f>
        <v/>
      </c>
      <c r="J485" s="1412"/>
      <c r="K485" s="1034" t="str">
        <f>IF(A485="","",'03'!$I$2)</f>
        <v/>
      </c>
      <c r="L485" s="1143"/>
      <c r="M485" s="1780" t="str">
        <f t="shared" si="31"/>
        <v/>
      </c>
      <c r="N485" s="1779"/>
    </row>
    <row r="486" spans="1:15" ht="13.5" x14ac:dyDescent="0.25">
      <c r="A486" s="1784"/>
      <c r="B486" s="1782"/>
      <c r="C486" s="1782"/>
      <c r="D486" s="1782"/>
      <c r="E486" s="1782"/>
      <c r="F486" s="1782"/>
      <c r="G486" s="1779"/>
      <c r="H486" s="1032" t="str">
        <f>IF(A486="","",VLOOKUP(A486,'09'!$A$22:$O$168,4,FALSE))</f>
        <v/>
      </c>
      <c r="I486" s="1785" t="str">
        <f>IF(A486="","",VLOOKUP(A486,'09'!$A$22:$O$168,5,FALSE))</f>
        <v/>
      </c>
      <c r="J486" s="1412"/>
      <c r="K486" s="1034" t="str">
        <f>IF(A486="","",'03'!$I$2)</f>
        <v/>
      </c>
      <c r="L486" s="1143"/>
      <c r="M486" s="1780" t="str">
        <f t="shared" si="31"/>
        <v/>
      </c>
      <c r="N486" s="1779"/>
    </row>
    <row r="487" spans="1:15" ht="13.5" x14ac:dyDescent="0.25">
      <c r="A487" s="1138"/>
      <c r="B487" s="1138"/>
      <c r="C487" s="1138"/>
      <c r="D487" s="1138"/>
      <c r="E487" s="1138"/>
      <c r="F487" s="1138"/>
      <c r="G487" s="1138"/>
      <c r="H487" s="1138"/>
      <c r="I487" s="1138"/>
      <c r="J487" s="1138"/>
      <c r="K487" s="1778" t="s">
        <v>523</v>
      </c>
      <c r="L487" s="1779"/>
      <c r="M487" s="1780">
        <f>SUM(M482:N486)</f>
        <v>269631.6067</v>
      </c>
      <c r="N487" s="1779"/>
    </row>
    <row r="488" spans="1:15" x14ac:dyDescent="0.2">
      <c r="I488" s="1414"/>
      <c r="J488" s="1415"/>
      <c r="K488" s="1415"/>
      <c r="L488" s="1415"/>
      <c r="M488" s="1415"/>
      <c r="N488" s="1415"/>
    </row>
    <row r="489" spans="1:15" ht="13.5" thickBot="1" x14ac:dyDescent="0.25">
      <c r="I489" s="1416"/>
      <c r="J489" s="1416"/>
      <c r="K489" s="1416"/>
      <c r="L489" s="1416"/>
      <c r="M489" s="1416"/>
      <c r="N489" s="1416"/>
      <c r="O489" s="1163"/>
    </row>
    <row r="490" spans="1:15" ht="14.25" thickTop="1" x14ac:dyDescent="0.2">
      <c r="I490" s="1417" t="s">
        <v>1829</v>
      </c>
      <c r="J490" s="1418"/>
      <c r="K490" s="1417" t="s">
        <v>2653</v>
      </c>
      <c r="L490" s="1418"/>
      <c r="M490" s="1418"/>
      <c r="N490" s="1418"/>
    </row>
    <row r="491" spans="1:15" ht="13.5" x14ac:dyDescent="0.2">
      <c r="I491" s="1419" t="s">
        <v>1831</v>
      </c>
      <c r="J491" s="1420"/>
      <c r="K491" s="1419"/>
      <c r="L491" s="1420"/>
      <c r="M491" s="1420"/>
      <c r="N491" s="1420"/>
    </row>
    <row r="492" spans="1:15" x14ac:dyDescent="0.2">
      <c r="A492" s="1803" t="s">
        <v>2331</v>
      </c>
      <c r="B492" s="1804"/>
      <c r="C492" s="1804"/>
      <c r="D492" s="1804"/>
      <c r="E492" s="1804"/>
      <c r="F492" s="1804"/>
      <c r="G492" s="1804"/>
      <c r="H492" s="1804"/>
      <c r="I492" s="1804"/>
      <c r="J492" s="1804"/>
      <c r="K492" s="1804"/>
      <c r="L492" s="1804"/>
      <c r="M492" s="1804"/>
      <c r="N492" s="1805"/>
      <c r="O492" s="799"/>
    </row>
    <row r="493" spans="1:15" x14ac:dyDescent="0.2">
      <c r="A493" s="1806"/>
      <c r="B493" s="1807"/>
      <c r="C493" s="1807"/>
      <c r="D493" s="1807"/>
      <c r="E493" s="1807"/>
      <c r="F493" s="1807"/>
      <c r="G493" s="1807"/>
      <c r="H493" s="1807"/>
      <c r="I493" s="1807"/>
      <c r="J493" s="1807"/>
      <c r="K493" s="1807"/>
      <c r="L493" s="1807"/>
      <c r="M493" s="1807"/>
      <c r="N493" s="1808"/>
    </row>
    <row r="494" spans="1:15" ht="13.5" x14ac:dyDescent="0.2">
      <c r="A494" s="1128"/>
      <c r="B494" s="1128"/>
      <c r="C494" s="1128"/>
      <c r="D494" s="1128"/>
      <c r="E494" s="1128"/>
      <c r="F494" s="1128"/>
      <c r="G494" s="1128"/>
      <c r="H494" s="1128"/>
      <c r="I494" s="1128"/>
      <c r="J494" s="1128"/>
      <c r="K494" s="1128"/>
      <c r="L494" s="1128"/>
      <c r="M494" s="1128"/>
      <c r="N494" s="1128"/>
    </row>
    <row r="495" spans="1:15" ht="14.25" x14ac:dyDescent="0.3">
      <c r="A495" s="1104" t="s">
        <v>2202</v>
      </c>
      <c r="B495" s="1129" t="str">
        <f>A492</f>
        <v>CONCRETO DE FC=280 KG/CM2, IMPERMEABILIZADO PARA ESTRUCTURAS ENTERRADAS Y SEMIENTERRADAS.</v>
      </c>
      <c r="C495" s="1130" t="s">
        <v>634</v>
      </c>
      <c r="D495" s="1131" t="s">
        <v>12</v>
      </c>
      <c r="E495" s="1132" t="s">
        <v>1833</v>
      </c>
      <c r="F495" s="1133">
        <f>H495+J495+L495+N495</f>
        <v>1129033.044978</v>
      </c>
      <c r="G495" s="1132" t="s">
        <v>2136</v>
      </c>
      <c r="H495" s="1133">
        <f>M513</f>
        <v>191575</v>
      </c>
      <c r="I495" s="1132" t="s">
        <v>621</v>
      </c>
      <c r="J495" s="1134">
        <f>M504</f>
        <v>432361.125</v>
      </c>
      <c r="K495" s="1132" t="s">
        <v>2137</v>
      </c>
      <c r="L495" s="1133">
        <f>M520</f>
        <v>12590.238000000001</v>
      </c>
      <c r="M495" s="1132" t="s">
        <v>2138</v>
      </c>
      <c r="N495" s="1133">
        <f>M529</f>
        <v>492506.68197799998</v>
      </c>
    </row>
    <row r="496" spans="1:15" ht="13.5" x14ac:dyDescent="0.25">
      <c r="A496" s="1135"/>
      <c r="B496" s="1135"/>
      <c r="C496" s="1135"/>
      <c r="D496" s="1135"/>
      <c r="E496" s="1135"/>
      <c r="F496" s="1135"/>
      <c r="G496" s="1135"/>
      <c r="J496" s="1135"/>
      <c r="K496" s="1135"/>
      <c r="L496" s="1135"/>
      <c r="M496" s="1270" t="s">
        <v>2667</v>
      </c>
      <c r="N496" s="1270">
        <f>+F495*'01'!$O$15</f>
        <v>1461311.8817958308</v>
      </c>
    </row>
    <row r="497" spans="1:15" x14ac:dyDescent="0.2">
      <c r="A497" s="1781" t="s">
        <v>2139</v>
      </c>
      <c r="B497" s="1782"/>
      <c r="C497" s="1782"/>
      <c r="D497" s="1782"/>
      <c r="E497" s="1782"/>
      <c r="F497" s="1782"/>
      <c r="G497" s="1782"/>
      <c r="H497" s="1782"/>
      <c r="I497" s="1782"/>
      <c r="J497" s="1782"/>
      <c r="K497" s="1782"/>
      <c r="L497" s="1782"/>
      <c r="M497" s="1782"/>
      <c r="N497" s="1779"/>
    </row>
    <row r="498" spans="1:15" x14ac:dyDescent="0.2">
      <c r="A498" s="1778" t="s">
        <v>14</v>
      </c>
      <c r="B498" s="1782"/>
      <c r="C498" s="1782"/>
      <c r="D498" s="1782"/>
      <c r="E498" s="1782"/>
      <c r="F498" s="1782"/>
      <c r="G498" s="1779"/>
      <c r="H498" s="1136" t="s">
        <v>15</v>
      </c>
      <c r="I498" s="1783" t="s">
        <v>619</v>
      </c>
      <c r="J498" s="1779"/>
      <c r="K498" s="1783" t="s">
        <v>628</v>
      </c>
      <c r="L498" s="1779"/>
      <c r="M498" s="1783" t="s">
        <v>2140</v>
      </c>
      <c r="N498" s="1779"/>
    </row>
    <row r="499" spans="1:15" ht="13.5" x14ac:dyDescent="0.2">
      <c r="A499" s="1789" t="s">
        <v>63</v>
      </c>
      <c r="B499" s="1782"/>
      <c r="C499" s="1782"/>
      <c r="D499" s="1782"/>
      <c r="E499" s="1782"/>
      <c r="F499" s="1782"/>
      <c r="G499" s="1779"/>
      <c r="H499" s="1032" t="str">
        <f>IF(A499="","",VLOOKUP(A499,'10'!$C$6:$E$1152,2,FALSE))</f>
        <v>KG</v>
      </c>
      <c r="I499" s="1785">
        <f>IF(A499="","",VLOOKUP(A499,'10'!$C$6:$E$1152,3,FALSE))</f>
        <v>695</v>
      </c>
      <c r="J499" s="1412"/>
      <c r="K499" s="1787">
        <v>420</v>
      </c>
      <c r="L499" s="1779"/>
      <c r="M499" s="1780">
        <f t="shared" ref="M499:M503" si="32">IF(A499="","",I499*K499)</f>
        <v>291900</v>
      </c>
      <c r="N499" s="1779"/>
    </row>
    <row r="500" spans="1:15" ht="13.5" x14ac:dyDescent="0.2">
      <c r="A500" s="1789" t="s">
        <v>1541</v>
      </c>
      <c r="B500" s="1782"/>
      <c r="C500" s="1782"/>
      <c r="D500" s="1782"/>
      <c r="E500" s="1782"/>
      <c r="F500" s="1782"/>
      <c r="G500" s="1779"/>
      <c r="H500" s="1032" t="str">
        <f>IF(A500="","",VLOOKUP(A500,'10'!$C$6:$E$1152,2,FALSE))</f>
        <v>M3</v>
      </c>
      <c r="I500" s="1785">
        <f>IF(A500="","",VLOOKUP(A500,'10'!$C$6:$E$1152,3,FALSE))</f>
        <v>73780</v>
      </c>
      <c r="J500" s="1412"/>
      <c r="K500" s="1787">
        <v>0.67</v>
      </c>
      <c r="L500" s="1779"/>
      <c r="M500" s="1780">
        <f t="shared" si="32"/>
        <v>49432.600000000006</v>
      </c>
      <c r="N500" s="1779"/>
    </row>
    <row r="501" spans="1:15" ht="13.5" x14ac:dyDescent="0.2">
      <c r="A501" s="1789" t="s">
        <v>1542</v>
      </c>
      <c r="B501" s="1782"/>
      <c r="C501" s="1782"/>
      <c r="D501" s="1782"/>
      <c r="E501" s="1782"/>
      <c r="F501" s="1782"/>
      <c r="G501" s="1779"/>
      <c r="H501" s="1032" t="str">
        <f>IF(A501="","",VLOOKUP(A501,'10'!$C$6:$E$1152,2,FALSE))</f>
        <v>M3</v>
      </c>
      <c r="I501" s="1785">
        <f>IF(A501="","",VLOOKUP(A501,'10'!$C$6:$E$1152,3,FALSE))</f>
        <v>57120</v>
      </c>
      <c r="J501" s="1412"/>
      <c r="K501" s="1787">
        <v>0.67</v>
      </c>
      <c r="L501" s="1779"/>
      <c r="M501" s="1780">
        <f t="shared" si="32"/>
        <v>38270.400000000001</v>
      </c>
      <c r="N501" s="1779"/>
    </row>
    <row r="502" spans="1:15" ht="13.5" x14ac:dyDescent="0.2">
      <c r="A502" s="1789" t="s">
        <v>104</v>
      </c>
      <c r="B502" s="1782"/>
      <c r="C502" s="1782"/>
      <c r="D502" s="1782"/>
      <c r="E502" s="1782"/>
      <c r="F502" s="1782"/>
      <c r="G502" s="1779"/>
      <c r="H502" s="1032" t="str">
        <f>IF(A502="","",VLOOKUP(A502,'10'!$C$6:$E$1152,2,FALSE))</f>
        <v>LT</v>
      </c>
      <c r="I502" s="1785">
        <f>IF(A502="","",VLOOKUP(A502,'10'!$C$6:$E$1152,3,FALSE))</f>
        <v>20</v>
      </c>
      <c r="J502" s="1412"/>
      <c r="K502" s="1787">
        <v>200</v>
      </c>
      <c r="L502" s="1779"/>
      <c r="M502" s="1780">
        <f t="shared" si="32"/>
        <v>4000</v>
      </c>
      <c r="N502" s="1779"/>
      <c r="O502" s="799"/>
    </row>
    <row r="503" spans="1:15" ht="13.5" x14ac:dyDescent="0.2">
      <c r="A503" s="1792" t="s">
        <v>1734</v>
      </c>
      <c r="B503" s="1782"/>
      <c r="C503" s="1782"/>
      <c r="D503" s="1782"/>
      <c r="E503" s="1782"/>
      <c r="F503" s="1782"/>
      <c r="G503" s="1779"/>
      <c r="H503" s="1032" t="str">
        <f>IF(A503="","",VLOOKUP(A503,'10'!$C$6:$E$1152,2,FALSE))</f>
        <v>KG</v>
      </c>
      <c r="I503" s="1785">
        <f>IF(A503="","",VLOOKUP(A503,'10'!$C$6:$E$1152,3,FALSE))</f>
        <v>22945</v>
      </c>
      <c r="J503" s="1412"/>
      <c r="K503" s="1787">
        <v>2.125</v>
      </c>
      <c r="L503" s="1779"/>
      <c r="M503" s="1780">
        <f t="shared" si="32"/>
        <v>48758.125</v>
      </c>
      <c r="N503" s="1779"/>
    </row>
    <row r="504" spans="1:15" ht="13.5" x14ac:dyDescent="0.25">
      <c r="A504" s="1138"/>
      <c r="B504" s="1138"/>
      <c r="C504" s="1138"/>
      <c r="D504" s="1138"/>
      <c r="E504" s="1138"/>
      <c r="F504" s="1138"/>
      <c r="G504" s="1138"/>
      <c r="H504" s="1138"/>
      <c r="I504" s="1138"/>
      <c r="J504" s="1138"/>
      <c r="K504" s="1778" t="s">
        <v>523</v>
      </c>
      <c r="L504" s="1779"/>
      <c r="M504" s="1780">
        <f>SUM(M499:N503)</f>
        <v>432361.125</v>
      </c>
      <c r="N504" s="1779"/>
    </row>
    <row r="505" spans="1:15" ht="13.5" x14ac:dyDescent="0.25">
      <c r="A505" s="1138"/>
      <c r="B505" s="1138"/>
      <c r="C505" s="1138"/>
      <c r="D505" s="1138"/>
      <c r="E505" s="1138"/>
      <c r="F505" s="1138"/>
      <c r="G505" s="1138"/>
      <c r="H505" s="1138"/>
      <c r="I505" s="1138"/>
      <c r="J505" s="1138"/>
      <c r="K505" s="1138"/>
      <c r="L505" s="1138"/>
      <c r="M505" s="1138"/>
      <c r="N505" s="1138"/>
    </row>
    <row r="506" spans="1:15" x14ac:dyDescent="0.2">
      <c r="A506" s="1781" t="s">
        <v>2145</v>
      </c>
      <c r="B506" s="1782"/>
      <c r="C506" s="1782"/>
      <c r="D506" s="1782"/>
      <c r="E506" s="1782"/>
      <c r="F506" s="1782"/>
      <c r="G506" s="1782"/>
      <c r="H506" s="1782"/>
      <c r="I506" s="1782"/>
      <c r="J506" s="1782"/>
      <c r="K506" s="1782"/>
      <c r="L506" s="1782"/>
      <c r="M506" s="1782"/>
      <c r="N506" s="1779"/>
    </row>
    <row r="507" spans="1:15" x14ac:dyDescent="0.2">
      <c r="A507" s="1778" t="s">
        <v>14</v>
      </c>
      <c r="B507" s="1782"/>
      <c r="C507" s="1782"/>
      <c r="D507" s="1782"/>
      <c r="E507" s="1782"/>
      <c r="F507" s="1782"/>
      <c r="G507" s="1779"/>
      <c r="H507" s="1136" t="s">
        <v>15</v>
      </c>
      <c r="I507" s="1783" t="s">
        <v>619</v>
      </c>
      <c r="J507" s="1779"/>
      <c r="K507" s="1783" t="s">
        <v>628</v>
      </c>
      <c r="L507" s="1779"/>
      <c r="M507" s="1783" t="s">
        <v>2140</v>
      </c>
      <c r="N507" s="1779"/>
    </row>
    <row r="508" spans="1:15" ht="13.5" x14ac:dyDescent="0.2">
      <c r="A508" s="1789" t="s">
        <v>133</v>
      </c>
      <c r="B508" s="1782"/>
      <c r="C508" s="1782"/>
      <c r="D508" s="1782"/>
      <c r="E508" s="1782"/>
      <c r="F508" s="1782"/>
      <c r="G508" s="1779"/>
      <c r="H508" s="1032" t="str">
        <f>IF(A508="","",VLOOKUP(A508,'11'!$C$6:$E$87,2,FALSE))</f>
        <v>DIA</v>
      </c>
      <c r="I508" s="1785">
        <f>IF(A508="","",VLOOKUP(A508,'11'!$C$6:$E$87,3,FALSE))</f>
        <v>75000</v>
      </c>
      <c r="J508" s="1412"/>
      <c r="K508" s="1794">
        <v>0.15</v>
      </c>
      <c r="L508" s="1779"/>
      <c r="M508" s="1780">
        <f>IF(A508="","",I508*K508)</f>
        <v>11250</v>
      </c>
      <c r="N508" s="1779"/>
    </row>
    <row r="509" spans="1:15" ht="13.15" customHeight="1" x14ac:dyDescent="0.2">
      <c r="A509" s="1789" t="s">
        <v>131</v>
      </c>
      <c r="B509" s="1782"/>
      <c r="C509" s="1782"/>
      <c r="D509" s="1782"/>
      <c r="E509" s="1782"/>
      <c r="F509" s="1782"/>
      <c r="G509" s="1779"/>
      <c r="H509" s="1032" t="str">
        <f>IF(A509="","",VLOOKUP(A509,'11'!$C$6:$E$87,2,FALSE))</f>
        <v>DIA</v>
      </c>
      <c r="I509" s="1785">
        <f>IF(A509="","",VLOOKUP(A509,'11'!$C$6:$E$87,3,FALSE))</f>
        <v>15000</v>
      </c>
      <c r="J509" s="1412"/>
      <c r="K509" s="1794">
        <v>0.08</v>
      </c>
      <c r="L509" s="1779"/>
      <c r="M509" s="1780">
        <f t="shared" ref="M509:M512" si="33">IF(A509="","",I509*K509)</f>
        <v>1200</v>
      </c>
      <c r="N509" s="1779"/>
      <c r="O509" s="799"/>
    </row>
    <row r="510" spans="1:15" ht="13.5" x14ac:dyDescent="0.2">
      <c r="A510" s="1792" t="s">
        <v>142</v>
      </c>
      <c r="B510" s="1782"/>
      <c r="C510" s="1782"/>
      <c r="D510" s="1782"/>
      <c r="E510" s="1782"/>
      <c r="F510" s="1782"/>
      <c r="G510" s="1779"/>
      <c r="H510" s="1032" t="str">
        <f>IF(A510="","",VLOOKUP(A510,'11'!$C$6:$E$87,2,FALSE))</f>
        <v>DIA</v>
      </c>
      <c r="I510" s="1785">
        <f>IF(A510="","",VLOOKUP(A510,'11'!$C$6:$E$87,3,FALSE))</f>
        <v>50000</v>
      </c>
      <c r="J510" s="1412"/>
      <c r="K510" s="1787">
        <v>3.5</v>
      </c>
      <c r="L510" s="1779"/>
      <c r="M510" s="1780">
        <f t="shared" si="33"/>
        <v>175000</v>
      </c>
      <c r="N510" s="1779"/>
      <c r="O510" s="799"/>
    </row>
    <row r="511" spans="1:15" ht="13.5" x14ac:dyDescent="0.2">
      <c r="A511" s="1792" t="s">
        <v>147</v>
      </c>
      <c r="B511" s="1782"/>
      <c r="C511" s="1782"/>
      <c r="D511" s="1782"/>
      <c r="E511" s="1782"/>
      <c r="F511" s="1782"/>
      <c r="G511" s="1779"/>
      <c r="H511" s="1032" t="str">
        <f>IF(A511="","",VLOOKUP(A511,'11'!$C$6:$E$87,2,FALSE))</f>
        <v>DÍA</v>
      </c>
      <c r="I511" s="1785">
        <f>IF(A511="","",VLOOKUP(A511,'11'!$C$6:$E$87,3,FALSE))</f>
        <v>1500</v>
      </c>
      <c r="J511" s="1412"/>
      <c r="K511" s="1787">
        <v>2</v>
      </c>
      <c r="L511" s="1779"/>
      <c r="M511" s="1780">
        <f t="shared" si="33"/>
        <v>3000</v>
      </c>
      <c r="N511" s="1779"/>
    </row>
    <row r="512" spans="1:15" ht="13.5" x14ac:dyDescent="0.2">
      <c r="A512" s="1792" t="s">
        <v>135</v>
      </c>
      <c r="B512" s="1782"/>
      <c r="C512" s="1782"/>
      <c r="D512" s="1782"/>
      <c r="E512" s="1782"/>
      <c r="F512" s="1782"/>
      <c r="G512" s="1779"/>
      <c r="H512" s="1032" t="str">
        <f>IF(A512="","",VLOOKUP(A512,'11'!$C$6:$E$87,2,FALSE))</f>
        <v>HR</v>
      </c>
      <c r="I512" s="1785">
        <f>IF(A512="","",VLOOKUP(A512,'11'!$C$6:$E$87,3,FALSE))</f>
        <v>7500</v>
      </c>
      <c r="J512" s="1412"/>
      <c r="K512" s="1787">
        <v>0.15</v>
      </c>
      <c r="L512" s="1779"/>
      <c r="M512" s="1780">
        <f t="shared" si="33"/>
        <v>1125</v>
      </c>
      <c r="N512" s="1779"/>
    </row>
    <row r="513" spans="1:17" ht="13.5" x14ac:dyDescent="0.25">
      <c r="A513" s="1138"/>
      <c r="B513" s="1138"/>
      <c r="C513" s="1138"/>
      <c r="D513" s="1138"/>
      <c r="E513" s="1138"/>
      <c r="F513" s="1138"/>
      <c r="G513" s="1138"/>
      <c r="H513" s="1138"/>
      <c r="I513" s="1138"/>
      <c r="J513" s="1138"/>
      <c r="K513" s="1778" t="s">
        <v>523</v>
      </c>
      <c r="L513" s="1779"/>
      <c r="M513" s="1780">
        <f>SUM(M508:N512)</f>
        <v>191575</v>
      </c>
      <c r="N513" s="1779"/>
    </row>
    <row r="514" spans="1:17" ht="13.5" x14ac:dyDescent="0.25">
      <c r="A514" s="1138"/>
      <c r="B514" s="1138"/>
      <c r="C514" s="1138"/>
      <c r="D514" s="1138"/>
      <c r="E514" s="1138"/>
      <c r="F514" s="1138"/>
      <c r="G514" s="1138"/>
      <c r="H514" s="1138"/>
      <c r="I514" s="1138"/>
      <c r="J514" s="1138"/>
      <c r="K514" s="1138"/>
      <c r="L514" s="1138"/>
      <c r="M514" s="1138"/>
      <c r="N514" s="1138"/>
    </row>
    <row r="515" spans="1:17" x14ac:dyDescent="0.2">
      <c r="A515" s="1781" t="s">
        <v>2147</v>
      </c>
      <c r="B515" s="1782"/>
      <c r="C515" s="1782"/>
      <c r="D515" s="1782"/>
      <c r="E515" s="1782"/>
      <c r="F515" s="1782"/>
      <c r="G515" s="1782"/>
      <c r="H515" s="1782"/>
      <c r="I515" s="1782"/>
      <c r="J515" s="1782"/>
      <c r="K515" s="1782"/>
      <c r="L515" s="1782"/>
      <c r="M515" s="1782"/>
      <c r="N515" s="1779"/>
    </row>
    <row r="516" spans="1:17" x14ac:dyDescent="0.2">
      <c r="A516" s="1778" t="s">
        <v>14</v>
      </c>
      <c r="B516" s="1782"/>
      <c r="C516" s="1782"/>
      <c r="D516" s="1782"/>
      <c r="E516" s="1782"/>
      <c r="F516" s="1782"/>
      <c r="G516" s="1779"/>
      <c r="H516" s="1136" t="s">
        <v>15</v>
      </c>
      <c r="I516" s="1783" t="s">
        <v>619</v>
      </c>
      <c r="J516" s="1779"/>
      <c r="K516" s="1783" t="s">
        <v>628</v>
      </c>
      <c r="L516" s="1779"/>
      <c r="M516" s="1783" t="s">
        <v>2140</v>
      </c>
      <c r="N516" s="1779"/>
    </row>
    <row r="517" spans="1:17" ht="13.5" x14ac:dyDescent="0.2">
      <c r="A517" s="1786" t="s">
        <v>2328</v>
      </c>
      <c r="B517" s="1782"/>
      <c r="C517" s="1782"/>
      <c r="D517" s="1782"/>
      <c r="E517" s="1782"/>
      <c r="F517" s="1782"/>
      <c r="G517" s="1779"/>
      <c r="H517" s="1032" t="str">
        <f>IF(A517="","",VLOOKUP(A517,'11'!$C$6:$E$1012,2,FALSE))</f>
        <v>KM-M3</v>
      </c>
      <c r="I517" s="1785">
        <v>1879.14</v>
      </c>
      <c r="J517" s="1412"/>
      <c r="K517" s="1787">
        <f>5*1.34</f>
        <v>6.7</v>
      </c>
      <c r="L517" s="1779"/>
      <c r="M517" s="1815">
        <f>I517*K517</f>
        <v>12590.238000000001</v>
      </c>
      <c r="N517" s="1816"/>
      <c r="P517">
        <v>1879.14</v>
      </c>
      <c r="Q517">
        <v>5</v>
      </c>
    </row>
    <row r="518" spans="1:17" ht="13.5" x14ac:dyDescent="0.2">
      <c r="A518" s="1789"/>
      <c r="B518" s="1782"/>
      <c r="C518" s="1782"/>
      <c r="D518" s="1782"/>
      <c r="E518" s="1782"/>
      <c r="F518" s="1782"/>
      <c r="G518" s="1779"/>
      <c r="H518" s="1137"/>
      <c r="I518" s="1780"/>
      <c r="J518" s="1779"/>
      <c r="K518" s="1787"/>
      <c r="L518" s="1779"/>
      <c r="M518" s="1780" t="str">
        <f t="shared" ref="M518:M519" si="34">IF(A518="","",I518*K518)</f>
        <v/>
      </c>
      <c r="N518" s="1779"/>
    </row>
    <row r="519" spans="1:17" ht="13.5" x14ac:dyDescent="0.2">
      <c r="A519" s="1789"/>
      <c r="B519" s="1782"/>
      <c r="C519" s="1782"/>
      <c r="D519" s="1782"/>
      <c r="E519" s="1782"/>
      <c r="F519" s="1782"/>
      <c r="G519" s="1779"/>
      <c r="H519" s="1137"/>
      <c r="I519" s="1780"/>
      <c r="J519" s="1779"/>
      <c r="K519" s="1787"/>
      <c r="L519" s="1779"/>
      <c r="M519" s="1780" t="str">
        <f t="shared" si="34"/>
        <v/>
      </c>
      <c r="N519" s="1779"/>
    </row>
    <row r="520" spans="1:17" ht="13.5" x14ac:dyDescent="0.25">
      <c r="A520" s="1138"/>
      <c r="B520" s="1138"/>
      <c r="C520" s="1138"/>
      <c r="D520" s="1138"/>
      <c r="E520" s="1138"/>
      <c r="F520" s="1138"/>
      <c r="G520" s="1138"/>
      <c r="H520" s="1138"/>
      <c r="I520" s="1138"/>
      <c r="J520" s="1138"/>
      <c r="K520" s="1778" t="s">
        <v>523</v>
      </c>
      <c r="L520" s="1779"/>
      <c r="M520" s="1780">
        <f>SUM(M517:N519)</f>
        <v>12590.238000000001</v>
      </c>
      <c r="N520" s="1779"/>
    </row>
    <row r="521" spans="1:17" ht="13.5" x14ac:dyDescent="0.25">
      <c r="A521" s="1138"/>
      <c r="B521" s="1138"/>
      <c r="C521" s="1138"/>
      <c r="D521" s="1138"/>
      <c r="E521" s="1138"/>
      <c r="F521" s="1138"/>
      <c r="G521" s="1138"/>
      <c r="H521" s="1138"/>
      <c r="I521" s="1138"/>
      <c r="J521" s="1138"/>
      <c r="K521" s="1138"/>
      <c r="L521" s="1138"/>
      <c r="M521" s="1138"/>
      <c r="N521" s="1138"/>
    </row>
    <row r="522" spans="1:17" x14ac:dyDescent="0.2">
      <c r="A522" s="1781" t="s">
        <v>2150</v>
      </c>
      <c r="B522" s="1782"/>
      <c r="C522" s="1782"/>
      <c r="D522" s="1782"/>
      <c r="E522" s="1782"/>
      <c r="F522" s="1782"/>
      <c r="G522" s="1782"/>
      <c r="H522" s="1782"/>
      <c r="I522" s="1782"/>
      <c r="J522" s="1782"/>
      <c r="K522" s="1782"/>
      <c r="L522" s="1782"/>
      <c r="M522" s="1782"/>
      <c r="N522" s="1779"/>
    </row>
    <row r="523" spans="1:17" x14ac:dyDescent="0.2">
      <c r="A523" s="1778" t="s">
        <v>14</v>
      </c>
      <c r="B523" s="1782"/>
      <c r="C523" s="1782"/>
      <c r="D523" s="1782"/>
      <c r="E523" s="1782"/>
      <c r="F523" s="1782"/>
      <c r="G523" s="1779"/>
      <c r="H523" s="1136" t="s">
        <v>15</v>
      </c>
      <c r="I523" s="1783" t="s">
        <v>619</v>
      </c>
      <c r="J523" s="1779"/>
      <c r="K523" s="1139" t="s">
        <v>1919</v>
      </c>
      <c r="L523" s="1140" t="s">
        <v>2151</v>
      </c>
      <c r="M523" s="1783" t="s">
        <v>2140</v>
      </c>
      <c r="N523" s="1779"/>
    </row>
    <row r="524" spans="1:17" ht="13.5" x14ac:dyDescent="0.25">
      <c r="A524" s="1784" t="s">
        <v>2258</v>
      </c>
      <c r="B524" s="1782"/>
      <c r="C524" s="1782"/>
      <c r="D524" s="1782"/>
      <c r="E524" s="1782"/>
      <c r="F524" s="1782"/>
      <c r="G524" s="1779"/>
      <c r="H524" s="1032" t="str">
        <f>IF(A524="","",VLOOKUP(A524,'09'!$A$22:$O$168,4,FALSE))</f>
        <v>Cuadrilla</v>
      </c>
      <c r="I524" s="1785">
        <f>IF(A524="","",VLOOKUP(A524,'09'!$A$22:$O$168,5,FALSE))</f>
        <v>554452</v>
      </c>
      <c r="J524" s="1412"/>
      <c r="K524" s="1034">
        <f>IF(A524="","",'03'!$I$2)</f>
        <v>1.88995</v>
      </c>
      <c r="L524" s="1034">
        <v>0.47</v>
      </c>
      <c r="M524" s="1780">
        <f t="shared" ref="M524:M528" si="35">IF(A524="","",I524*K524*L524)</f>
        <v>492506.68197799998</v>
      </c>
      <c r="N524" s="1779"/>
    </row>
    <row r="525" spans="1:17" ht="13.5" x14ac:dyDescent="0.25">
      <c r="A525" s="1784"/>
      <c r="B525" s="1782"/>
      <c r="C525" s="1782"/>
      <c r="D525" s="1782"/>
      <c r="E525" s="1782"/>
      <c r="F525" s="1782"/>
      <c r="G525" s="1779"/>
      <c r="H525" s="1032" t="str">
        <f>IF(A525="","",VLOOKUP(A525,'09'!$A$22:$O$168,4,FALSE))</f>
        <v/>
      </c>
      <c r="I525" s="1785" t="str">
        <f>IF(A525="","",VLOOKUP(A525,'09'!$A$22:$O$168,5,FALSE))</f>
        <v/>
      </c>
      <c r="J525" s="1412"/>
      <c r="K525" s="1034" t="str">
        <f>IF(A525="","",'03'!$I$2)</f>
        <v/>
      </c>
      <c r="L525" s="1141"/>
      <c r="M525" s="1780" t="str">
        <f t="shared" si="35"/>
        <v/>
      </c>
      <c r="N525" s="1779"/>
    </row>
    <row r="526" spans="1:17" ht="13.5" x14ac:dyDescent="0.25">
      <c r="A526" s="1784"/>
      <c r="B526" s="1782"/>
      <c r="C526" s="1782"/>
      <c r="D526" s="1782"/>
      <c r="E526" s="1782"/>
      <c r="F526" s="1782"/>
      <c r="G526" s="1779"/>
      <c r="H526" s="1032" t="str">
        <f>IF(A526="","",VLOOKUP(A526,'09'!$A$22:$O$168,4,FALSE))</f>
        <v/>
      </c>
      <c r="I526" s="1785" t="str">
        <f>IF(A526="","",VLOOKUP(A526,'09'!$A$22:$O$168,5,FALSE))</f>
        <v/>
      </c>
      <c r="J526" s="1412"/>
      <c r="K526" s="1034" t="str">
        <f>IF(A526="","",'03'!$I$2)</f>
        <v/>
      </c>
      <c r="L526" s="1143"/>
      <c r="M526" s="1780" t="str">
        <f t="shared" si="35"/>
        <v/>
      </c>
      <c r="N526" s="1779"/>
    </row>
    <row r="527" spans="1:17" ht="13.5" x14ac:dyDescent="0.25">
      <c r="A527" s="1784"/>
      <c r="B527" s="1782"/>
      <c r="C527" s="1782"/>
      <c r="D527" s="1782"/>
      <c r="E527" s="1782"/>
      <c r="F527" s="1782"/>
      <c r="G527" s="1779"/>
      <c r="H527" s="1032" t="str">
        <f>IF(A527="","",VLOOKUP(A527,'09'!$A$22:$O$168,4,FALSE))</f>
        <v/>
      </c>
      <c r="I527" s="1785" t="str">
        <f>IF(A527="","",VLOOKUP(A527,'09'!$A$22:$O$168,5,FALSE))</f>
        <v/>
      </c>
      <c r="J527" s="1412"/>
      <c r="K527" s="1034" t="str">
        <f>IF(A527="","",'03'!$I$2)</f>
        <v/>
      </c>
      <c r="L527" s="1143"/>
      <c r="M527" s="1780" t="str">
        <f t="shared" si="35"/>
        <v/>
      </c>
      <c r="N527" s="1779"/>
    </row>
    <row r="528" spans="1:17" ht="13.5" x14ac:dyDescent="0.25">
      <c r="A528" s="1784"/>
      <c r="B528" s="1782"/>
      <c r="C528" s="1782"/>
      <c r="D528" s="1782"/>
      <c r="E528" s="1782"/>
      <c r="F528" s="1782"/>
      <c r="G528" s="1779"/>
      <c r="H528" s="1032" t="str">
        <f>IF(A528="","",VLOOKUP(A528,'09'!$A$22:$O$168,4,FALSE))</f>
        <v/>
      </c>
      <c r="I528" s="1785" t="str">
        <f>IF(A528="","",VLOOKUP(A528,'09'!$A$22:$O$168,5,FALSE))</f>
        <v/>
      </c>
      <c r="J528" s="1412"/>
      <c r="K528" s="1034" t="str">
        <f>IF(A528="","",'03'!$I$2)</f>
        <v/>
      </c>
      <c r="L528" s="1143"/>
      <c r="M528" s="1780" t="str">
        <f t="shared" si="35"/>
        <v/>
      </c>
      <c r="N528" s="1779"/>
    </row>
    <row r="529" spans="1:15" ht="13.5" x14ac:dyDescent="0.25">
      <c r="A529" s="1138"/>
      <c r="B529" s="1138"/>
      <c r="C529" s="1138"/>
      <c r="D529" s="1138"/>
      <c r="E529" s="1138"/>
      <c r="F529" s="1138"/>
      <c r="G529" s="1138"/>
      <c r="H529" s="1138"/>
      <c r="I529" s="1138"/>
      <c r="J529" s="1138"/>
      <c r="K529" s="1778" t="s">
        <v>523</v>
      </c>
      <c r="L529" s="1779"/>
      <c r="M529" s="1780">
        <f>SUM(M524:N528)</f>
        <v>492506.68197799998</v>
      </c>
      <c r="N529" s="1779"/>
    </row>
    <row r="530" spans="1:15" x14ac:dyDescent="0.2">
      <c r="I530" s="1414"/>
      <c r="J530" s="1415"/>
      <c r="K530" s="1415"/>
      <c r="L530" s="1415"/>
      <c r="M530" s="1415"/>
      <c r="N530" s="1415"/>
    </row>
    <row r="531" spans="1:15" ht="13.5" thickBot="1" x14ac:dyDescent="0.25">
      <c r="I531" s="1416"/>
      <c r="J531" s="1416"/>
      <c r="K531" s="1416"/>
      <c r="L531" s="1416"/>
      <c r="M531" s="1416"/>
      <c r="N531" s="1416"/>
      <c r="O531" s="1163"/>
    </row>
    <row r="532" spans="1:15" ht="14.25" thickTop="1" x14ac:dyDescent="0.2">
      <c r="I532" s="1417" t="s">
        <v>1829</v>
      </c>
      <c r="J532" s="1418"/>
      <c r="K532" s="1417" t="s">
        <v>2653</v>
      </c>
      <c r="L532" s="1418"/>
      <c r="M532" s="1418"/>
      <c r="N532" s="1418"/>
    </row>
    <row r="533" spans="1:15" ht="13.5" x14ac:dyDescent="0.2">
      <c r="I533" s="1419" t="s">
        <v>1831</v>
      </c>
      <c r="J533" s="1420"/>
      <c r="K533" s="1419"/>
      <c r="L533" s="1420"/>
      <c r="M533" s="1420"/>
      <c r="N533" s="1420"/>
    </row>
    <row r="534" spans="1:15" x14ac:dyDescent="0.2">
      <c r="A534" s="1796" t="s">
        <v>2332</v>
      </c>
      <c r="B534" s="1797"/>
      <c r="C534" s="1797"/>
      <c r="D534" s="1797"/>
      <c r="E534" s="1797"/>
      <c r="F534" s="1797"/>
      <c r="G534" s="1797"/>
      <c r="H534" s="1797"/>
      <c r="I534" s="1797"/>
      <c r="J534" s="1797"/>
      <c r="K534" s="1797"/>
      <c r="L534" s="1797"/>
      <c r="M534" s="1797"/>
      <c r="N534" s="1798"/>
      <c r="O534" s="799"/>
    </row>
    <row r="535" spans="1:15" x14ac:dyDescent="0.2">
      <c r="A535" s="1799"/>
      <c r="B535" s="1800"/>
      <c r="C535" s="1800"/>
      <c r="D535" s="1800"/>
      <c r="E535" s="1800"/>
      <c r="F535" s="1800"/>
      <c r="G535" s="1800"/>
      <c r="H535" s="1800"/>
      <c r="I535" s="1800"/>
      <c r="J535" s="1800"/>
      <c r="K535" s="1800"/>
      <c r="L535" s="1800"/>
      <c r="M535" s="1800"/>
      <c r="N535" s="1801"/>
    </row>
    <row r="536" spans="1:15" ht="13.5" x14ac:dyDescent="0.2">
      <c r="A536" s="1128"/>
      <c r="B536" s="1128"/>
      <c r="C536" s="1128"/>
      <c r="D536" s="1128"/>
      <c r="E536" s="1128"/>
      <c r="F536" s="1128"/>
      <c r="G536" s="1128"/>
      <c r="H536" s="1128"/>
      <c r="I536" s="1128"/>
      <c r="J536" s="1128"/>
      <c r="K536" s="1128"/>
      <c r="L536" s="1128"/>
      <c r="M536" s="1128"/>
      <c r="N536" s="1128"/>
    </row>
    <row r="537" spans="1:15" ht="14.25" x14ac:dyDescent="0.3">
      <c r="A537" s="1104" t="s">
        <v>2203</v>
      </c>
      <c r="B537" s="1129" t="str">
        <f>A534</f>
        <v>ACERO DE REFUERZO FIGURADO FY= 420 MPA-60000 PSI, CORRUGADO. INCLUYE TRANSPORTE CON DESCARGA, TRANSPORTE INTERNO, ALAMBRE DE AMARRE, CERTIFICADOS Y TODOS LOS ELEMENTOS NECESARIOS PARA SU CORRECTA INSTALACIÓN, SEGÚN DISEÑO Y RECOMENDACIONES.</v>
      </c>
      <c r="C537" s="1130" t="s">
        <v>634</v>
      </c>
      <c r="D537" s="1107" t="s">
        <v>7</v>
      </c>
      <c r="E537" s="1132" t="s">
        <v>1833</v>
      </c>
      <c r="F537" s="1133">
        <f>H537+J537+L537+N537</f>
        <v>7771.7124002499995</v>
      </c>
      <c r="G537" s="1132" t="s">
        <v>2136</v>
      </c>
      <c r="H537" s="1133">
        <f>M554</f>
        <v>450</v>
      </c>
      <c r="I537" s="1132" t="s">
        <v>621</v>
      </c>
      <c r="J537" s="1134">
        <f>M546</f>
        <v>5458.5</v>
      </c>
      <c r="K537" s="1132" t="s">
        <v>2137</v>
      </c>
      <c r="L537" s="1133">
        <f>M561</f>
        <v>43.199999999999996</v>
      </c>
      <c r="M537" s="1132" t="s">
        <v>2138</v>
      </c>
      <c r="N537" s="1133">
        <f>M570</f>
        <v>1820.0124002499999</v>
      </c>
    </row>
    <row r="538" spans="1:15" ht="13.5" x14ac:dyDescent="0.25">
      <c r="A538" s="1135"/>
      <c r="B538" s="1135"/>
      <c r="C538" s="1135"/>
      <c r="D538" s="1135"/>
      <c r="E538" s="1135"/>
      <c r="F538" s="1135"/>
      <c r="G538" s="1135"/>
      <c r="J538" s="1135"/>
      <c r="K538" s="1135"/>
      <c r="L538" s="1135"/>
      <c r="M538" s="1270" t="s">
        <v>2667</v>
      </c>
      <c r="N538" s="1270">
        <f>+F537*'01'!$O$15</f>
        <v>10058.957727500896</v>
      </c>
    </row>
    <row r="539" spans="1:15" x14ac:dyDescent="0.2">
      <c r="A539" s="1781" t="s">
        <v>2139</v>
      </c>
      <c r="B539" s="1782"/>
      <c r="C539" s="1782"/>
      <c r="D539" s="1782"/>
      <c r="E539" s="1782"/>
      <c r="F539" s="1782"/>
      <c r="G539" s="1782"/>
      <c r="H539" s="1782"/>
      <c r="I539" s="1782"/>
      <c r="J539" s="1782"/>
      <c r="K539" s="1782"/>
      <c r="L539" s="1782"/>
      <c r="M539" s="1782"/>
      <c r="N539" s="1779"/>
    </row>
    <row r="540" spans="1:15" x14ac:dyDescent="0.2">
      <c r="A540" s="1778" t="s">
        <v>14</v>
      </c>
      <c r="B540" s="1782"/>
      <c r="C540" s="1782"/>
      <c r="D540" s="1782"/>
      <c r="E540" s="1782"/>
      <c r="F540" s="1782"/>
      <c r="G540" s="1779"/>
      <c r="H540" s="1136" t="s">
        <v>15</v>
      </c>
      <c r="I540" s="1783" t="s">
        <v>619</v>
      </c>
      <c r="J540" s="1779"/>
      <c r="K540" s="1783" t="s">
        <v>628</v>
      </c>
      <c r="L540" s="1779"/>
      <c r="M540" s="1783" t="s">
        <v>2140</v>
      </c>
      <c r="N540" s="1779"/>
    </row>
    <row r="541" spans="1:15" ht="13.5" x14ac:dyDescent="0.2">
      <c r="A541" s="1789" t="s">
        <v>164</v>
      </c>
      <c r="B541" s="1782"/>
      <c r="C541" s="1782"/>
      <c r="D541" s="1782"/>
      <c r="E541" s="1782"/>
      <c r="F541" s="1782"/>
      <c r="G541" s="1779"/>
      <c r="H541" s="1032" t="str">
        <f>IF(A541="","",VLOOKUP(A541,'10'!$C$6:$E$1152,2,FALSE))</f>
        <v>KG</v>
      </c>
      <c r="I541" s="1785">
        <f>IF(A541="","",VLOOKUP(A541,'10'!$C$6:$E$1152,3,FALSE))</f>
        <v>4500</v>
      </c>
      <c r="J541" s="1412"/>
      <c r="K541" s="1787">
        <v>1.05</v>
      </c>
      <c r="L541" s="1779"/>
      <c r="M541" s="1780">
        <f t="shared" ref="M541:M545" si="36">IF(A541="","",I541*K541)</f>
        <v>4725</v>
      </c>
      <c r="N541" s="1779"/>
    </row>
    <row r="542" spans="1:15" ht="13.5" x14ac:dyDescent="0.2">
      <c r="A542" s="1789" t="s">
        <v>1736</v>
      </c>
      <c r="B542" s="1782"/>
      <c r="C542" s="1782"/>
      <c r="D542" s="1782"/>
      <c r="E542" s="1782"/>
      <c r="F542" s="1782"/>
      <c r="G542" s="1779"/>
      <c r="H542" s="1032" t="str">
        <f>IF(A542="","",VLOOKUP(A542,'10'!$C$6:$E$1152,2,FALSE))</f>
        <v>KG</v>
      </c>
      <c r="I542" s="1785">
        <f>IF(A542="","",VLOOKUP(A542,'10'!$C$6:$E$1152,3,FALSE))</f>
        <v>8300</v>
      </c>
      <c r="J542" s="1412"/>
      <c r="K542" s="1787">
        <v>0.08</v>
      </c>
      <c r="L542" s="1779"/>
      <c r="M542" s="1780">
        <f t="shared" si="36"/>
        <v>664</v>
      </c>
      <c r="N542" s="1779"/>
    </row>
    <row r="543" spans="1:15" ht="13.5" x14ac:dyDescent="0.2">
      <c r="A543" s="1789" t="s">
        <v>56</v>
      </c>
      <c r="B543" s="1782"/>
      <c r="C543" s="1782"/>
      <c r="D543" s="1782"/>
      <c r="E543" s="1782"/>
      <c r="F543" s="1782"/>
      <c r="G543" s="1779"/>
      <c r="H543" s="1032" t="str">
        <f>IF(A543="","",VLOOKUP(A543,'10'!$C$6:$E$1152,2,FALSE))</f>
        <v>UND</v>
      </c>
      <c r="I543" s="1785">
        <f>IF(A543="","",VLOOKUP(A543,'10'!$C$6:$E$1152,3,FALSE))</f>
        <v>6950</v>
      </c>
      <c r="J543" s="1412"/>
      <c r="K543" s="1787">
        <v>0.01</v>
      </c>
      <c r="L543" s="1779"/>
      <c r="M543" s="1780">
        <f t="shared" si="36"/>
        <v>69.5</v>
      </c>
      <c r="N543" s="1779"/>
    </row>
    <row r="544" spans="1:15" ht="13.5" x14ac:dyDescent="0.2">
      <c r="A544" s="1789"/>
      <c r="B544" s="1782"/>
      <c r="C544" s="1782"/>
      <c r="D544" s="1782"/>
      <c r="E544" s="1782"/>
      <c r="F544" s="1782"/>
      <c r="G544" s="1779"/>
      <c r="H544" s="1032" t="str">
        <f>IF(A544="","",VLOOKUP(A544,'10'!$C$6:$E$1152,2,FALSE))</f>
        <v/>
      </c>
      <c r="I544" s="1785" t="str">
        <f>IF(A544="","",VLOOKUP(A544,'10'!$C$6:$E$1152,3,FALSE))</f>
        <v/>
      </c>
      <c r="J544" s="1412"/>
      <c r="K544" s="1787"/>
      <c r="L544" s="1779"/>
      <c r="M544" s="1780" t="str">
        <f t="shared" si="36"/>
        <v/>
      </c>
      <c r="N544" s="1779"/>
      <c r="O544" s="799"/>
    </row>
    <row r="545" spans="1:15" ht="13.5" x14ac:dyDescent="0.2">
      <c r="A545" s="1792"/>
      <c r="B545" s="1782"/>
      <c r="C545" s="1782"/>
      <c r="D545" s="1782"/>
      <c r="E545" s="1782"/>
      <c r="F545" s="1782"/>
      <c r="G545" s="1779"/>
      <c r="H545" s="1032" t="str">
        <f>IF(A545="","",VLOOKUP(A545,'10'!$C$6:$E$1152,2,FALSE))</f>
        <v/>
      </c>
      <c r="I545" s="1785" t="str">
        <f>IF(A545="","",VLOOKUP(A545,'10'!$C$6:$E$1152,3,FALSE))</f>
        <v/>
      </c>
      <c r="J545" s="1412"/>
      <c r="K545" s="1787"/>
      <c r="L545" s="1779"/>
      <c r="M545" s="1780" t="str">
        <f t="shared" si="36"/>
        <v/>
      </c>
      <c r="N545" s="1779"/>
    </row>
    <row r="546" spans="1:15" ht="13.5" x14ac:dyDescent="0.25">
      <c r="A546" s="1138"/>
      <c r="B546" s="1138"/>
      <c r="C546" s="1138"/>
      <c r="D546" s="1138"/>
      <c r="E546" s="1138"/>
      <c r="F546" s="1138"/>
      <c r="G546" s="1138"/>
      <c r="H546" s="1138"/>
      <c r="I546" s="1138"/>
      <c r="J546" s="1138"/>
      <c r="K546" s="1778" t="s">
        <v>523</v>
      </c>
      <c r="L546" s="1779"/>
      <c r="M546" s="1780">
        <f>SUM(M541:N545)</f>
        <v>5458.5</v>
      </c>
      <c r="N546" s="1779"/>
    </row>
    <row r="547" spans="1:15" ht="13.5" x14ac:dyDescent="0.25">
      <c r="A547" s="1138"/>
      <c r="B547" s="1138"/>
      <c r="C547" s="1138"/>
      <c r="D547" s="1138"/>
      <c r="E547" s="1138"/>
      <c r="F547" s="1138"/>
      <c r="G547" s="1138"/>
      <c r="H547" s="1138"/>
      <c r="I547" s="1138"/>
      <c r="J547" s="1138"/>
      <c r="K547" s="1138"/>
      <c r="L547" s="1138"/>
      <c r="M547" s="1138"/>
      <c r="N547" s="1138"/>
    </row>
    <row r="548" spans="1:15" x14ac:dyDescent="0.2">
      <c r="A548" s="1781" t="s">
        <v>2145</v>
      </c>
      <c r="B548" s="1782"/>
      <c r="C548" s="1782"/>
      <c r="D548" s="1782"/>
      <c r="E548" s="1782"/>
      <c r="F548" s="1782"/>
      <c r="G548" s="1782"/>
      <c r="H548" s="1782"/>
      <c r="I548" s="1782"/>
      <c r="J548" s="1782"/>
      <c r="K548" s="1782"/>
      <c r="L548" s="1782"/>
      <c r="M548" s="1782"/>
      <c r="N548" s="1779"/>
    </row>
    <row r="549" spans="1:15" x14ac:dyDescent="0.2">
      <c r="A549" s="1778" t="s">
        <v>14</v>
      </c>
      <c r="B549" s="1782"/>
      <c r="C549" s="1782"/>
      <c r="D549" s="1782"/>
      <c r="E549" s="1782"/>
      <c r="F549" s="1782"/>
      <c r="G549" s="1779"/>
      <c r="H549" s="1136" t="s">
        <v>15</v>
      </c>
      <c r="I549" s="1783" t="s">
        <v>619</v>
      </c>
      <c r="J549" s="1779"/>
      <c r="K549" s="1783" t="s">
        <v>628</v>
      </c>
      <c r="L549" s="1779"/>
      <c r="M549" s="1783" t="s">
        <v>2140</v>
      </c>
      <c r="N549" s="1779"/>
    </row>
    <row r="550" spans="1:15" ht="13.15" customHeight="1" x14ac:dyDescent="0.2">
      <c r="A550" s="1789" t="s">
        <v>131</v>
      </c>
      <c r="B550" s="1782"/>
      <c r="C550" s="1782"/>
      <c r="D550" s="1782"/>
      <c r="E550" s="1782"/>
      <c r="F550" s="1782"/>
      <c r="G550" s="1779"/>
      <c r="H550" s="1032" t="str">
        <f>IF(A550="","",VLOOKUP(A550,'11'!$C$6:$E$87,2,FALSE))</f>
        <v>DIA</v>
      </c>
      <c r="I550" s="1785">
        <f>IF(A550="","",VLOOKUP(A550,'11'!$C$6:$E$87,3,FALSE))</f>
        <v>15000</v>
      </c>
      <c r="J550" s="1412"/>
      <c r="K550" s="1794">
        <v>0.03</v>
      </c>
      <c r="L550" s="1779"/>
      <c r="M550" s="1780">
        <f t="shared" ref="M550:M553" si="37">IF(A550="","",I550*K550)</f>
        <v>450</v>
      </c>
      <c r="N550" s="1779"/>
      <c r="O550" s="799"/>
    </row>
    <row r="551" spans="1:15" ht="13.5" x14ac:dyDescent="0.2">
      <c r="A551" s="1792"/>
      <c r="B551" s="1782"/>
      <c r="C551" s="1782"/>
      <c r="D551" s="1782"/>
      <c r="E551" s="1782"/>
      <c r="F551" s="1782"/>
      <c r="G551" s="1779"/>
      <c r="H551" s="1032" t="str">
        <f>IF(A551="","",VLOOKUP(A551,'11'!$C$6:$E$87,2,FALSE))</f>
        <v/>
      </c>
      <c r="I551" s="1785" t="str">
        <f>IF(A551="","",VLOOKUP(A551,'11'!$C$6:$E$87,3,FALSE))</f>
        <v/>
      </c>
      <c r="J551" s="1412"/>
      <c r="K551" s="1787"/>
      <c r="L551" s="1779"/>
      <c r="M551" s="1780" t="str">
        <f t="shared" si="37"/>
        <v/>
      </c>
      <c r="N551" s="1779"/>
      <c r="O551" s="799"/>
    </row>
    <row r="552" spans="1:15" ht="13.5" x14ac:dyDescent="0.2">
      <c r="A552" s="1792"/>
      <c r="B552" s="1782"/>
      <c r="C552" s="1782"/>
      <c r="D552" s="1782"/>
      <c r="E552" s="1782"/>
      <c r="F552" s="1782"/>
      <c r="G552" s="1779"/>
      <c r="H552" s="1032" t="str">
        <f>IF(A552="","",VLOOKUP(A552,'11'!$C$6:$E$87,2,FALSE))</f>
        <v/>
      </c>
      <c r="I552" s="1785" t="str">
        <f>IF(A552="","",VLOOKUP(A552,'11'!$C$6:$E$87,3,FALSE))</f>
        <v/>
      </c>
      <c r="J552" s="1412"/>
      <c r="K552" s="1787"/>
      <c r="L552" s="1779"/>
      <c r="M552" s="1780" t="str">
        <f t="shared" si="37"/>
        <v/>
      </c>
      <c r="N552" s="1779"/>
    </row>
    <row r="553" spans="1:15" ht="13.5" x14ac:dyDescent="0.2">
      <c r="A553" s="1792"/>
      <c r="B553" s="1782"/>
      <c r="C553" s="1782"/>
      <c r="D553" s="1782"/>
      <c r="E553" s="1782"/>
      <c r="F553" s="1782"/>
      <c r="G553" s="1779"/>
      <c r="H553" s="1032" t="str">
        <f>IF(A553="","",VLOOKUP(A553,'11'!$C$6:$E$87,2,FALSE))</f>
        <v/>
      </c>
      <c r="I553" s="1785" t="str">
        <f>IF(A553="","",VLOOKUP(A553,'11'!$C$6:$E$87,3,FALSE))</f>
        <v/>
      </c>
      <c r="J553" s="1412"/>
      <c r="K553" s="1787"/>
      <c r="L553" s="1779"/>
      <c r="M553" s="1780" t="str">
        <f t="shared" si="37"/>
        <v/>
      </c>
      <c r="N553" s="1779"/>
    </row>
    <row r="554" spans="1:15" ht="13.5" x14ac:dyDescent="0.25">
      <c r="A554" s="1138"/>
      <c r="B554" s="1138"/>
      <c r="C554" s="1138"/>
      <c r="D554" s="1138"/>
      <c r="E554" s="1138"/>
      <c r="F554" s="1138"/>
      <c r="G554" s="1138"/>
      <c r="H554" s="1138"/>
      <c r="I554" s="1138"/>
      <c r="J554" s="1138"/>
      <c r="K554" s="1778" t="s">
        <v>523</v>
      </c>
      <c r="L554" s="1779"/>
      <c r="M554" s="1780">
        <f>SUM(M550:N553)</f>
        <v>450</v>
      </c>
      <c r="N554" s="1779"/>
    </row>
    <row r="555" spans="1:15" ht="13.5" x14ac:dyDescent="0.25">
      <c r="A555" s="1138"/>
      <c r="B555" s="1138"/>
      <c r="C555" s="1138"/>
      <c r="D555" s="1138"/>
      <c r="E555" s="1138"/>
      <c r="F555" s="1138"/>
      <c r="G555" s="1138"/>
      <c r="H555" s="1138"/>
      <c r="I555" s="1138"/>
      <c r="J555" s="1138"/>
      <c r="K555" s="1138"/>
      <c r="L555" s="1138"/>
      <c r="M555" s="1138"/>
      <c r="N555" s="1138"/>
    </row>
    <row r="556" spans="1:15" x14ac:dyDescent="0.2">
      <c r="A556" s="1781" t="s">
        <v>2147</v>
      </c>
      <c r="B556" s="1782"/>
      <c r="C556" s="1782"/>
      <c r="D556" s="1782"/>
      <c r="E556" s="1782"/>
      <c r="F556" s="1782"/>
      <c r="G556" s="1782"/>
      <c r="H556" s="1782"/>
      <c r="I556" s="1782"/>
      <c r="J556" s="1782"/>
      <c r="K556" s="1782"/>
      <c r="L556" s="1782"/>
      <c r="M556" s="1782"/>
      <c r="N556" s="1779"/>
    </row>
    <row r="557" spans="1:15" x14ac:dyDescent="0.2">
      <c r="A557" s="1778" t="s">
        <v>14</v>
      </c>
      <c r="B557" s="1782"/>
      <c r="C557" s="1782"/>
      <c r="D557" s="1782"/>
      <c r="E557" s="1782"/>
      <c r="F557" s="1782"/>
      <c r="G557" s="1779"/>
      <c r="H557" s="1136" t="s">
        <v>15</v>
      </c>
      <c r="I557" s="1783" t="s">
        <v>619</v>
      </c>
      <c r="J557" s="1779"/>
      <c r="K557" s="1783" t="s">
        <v>628</v>
      </c>
      <c r="L557" s="1779"/>
      <c r="M557" s="1783" t="s">
        <v>2140</v>
      </c>
      <c r="N557" s="1779"/>
    </row>
    <row r="558" spans="1:15" ht="13.5" x14ac:dyDescent="0.2">
      <c r="A558" s="1786" t="s">
        <v>2328</v>
      </c>
      <c r="B558" s="1782"/>
      <c r="C558" s="1782"/>
      <c r="D558" s="1782"/>
      <c r="E558" s="1782"/>
      <c r="F558" s="1782"/>
      <c r="G558" s="1779"/>
      <c r="H558" s="1032" t="str">
        <f>IF(A558="","",VLOOKUP(A558,'11'!$C$6:$E$1012,2,FALSE))</f>
        <v>KM-M3</v>
      </c>
      <c r="I558" s="1785">
        <f>IF(A558="","",VLOOKUP(A558,'11'!$C$6:$E$1012,3,FALSE))</f>
        <v>1440</v>
      </c>
      <c r="J558" s="1412"/>
      <c r="K558" s="1787">
        <v>0.03</v>
      </c>
      <c r="L558" s="1779"/>
      <c r="M558" s="1780">
        <f t="shared" ref="M558:M560" si="38">IF(A558="","",I558*K558)</f>
        <v>43.199999999999996</v>
      </c>
      <c r="N558" s="1779"/>
    </row>
    <row r="559" spans="1:15" ht="13.5" x14ac:dyDescent="0.2">
      <c r="A559" s="1789"/>
      <c r="B559" s="1782"/>
      <c r="C559" s="1782"/>
      <c r="D559" s="1782"/>
      <c r="E559" s="1782"/>
      <c r="F559" s="1782"/>
      <c r="G559" s="1779"/>
      <c r="H559" s="1137"/>
      <c r="I559" s="1780"/>
      <c r="J559" s="1779"/>
      <c r="K559" s="1787"/>
      <c r="L559" s="1779"/>
      <c r="M559" s="1780" t="str">
        <f t="shared" si="38"/>
        <v/>
      </c>
      <c r="N559" s="1779"/>
    </row>
    <row r="560" spans="1:15" ht="13.5" x14ac:dyDescent="0.2">
      <c r="A560" s="1789"/>
      <c r="B560" s="1782"/>
      <c r="C560" s="1782"/>
      <c r="D560" s="1782"/>
      <c r="E560" s="1782"/>
      <c r="F560" s="1782"/>
      <c r="G560" s="1779"/>
      <c r="H560" s="1137"/>
      <c r="I560" s="1780"/>
      <c r="J560" s="1779"/>
      <c r="K560" s="1787"/>
      <c r="L560" s="1779"/>
      <c r="M560" s="1780" t="str">
        <f t="shared" si="38"/>
        <v/>
      </c>
      <c r="N560" s="1779"/>
    </row>
    <row r="561" spans="1:15" ht="13.5" x14ac:dyDescent="0.25">
      <c r="A561" s="1138"/>
      <c r="B561" s="1138"/>
      <c r="C561" s="1138"/>
      <c r="D561" s="1138"/>
      <c r="E561" s="1138"/>
      <c r="F561" s="1138"/>
      <c r="G561" s="1138"/>
      <c r="H561" s="1138"/>
      <c r="I561" s="1138"/>
      <c r="J561" s="1138"/>
      <c r="K561" s="1778" t="s">
        <v>523</v>
      </c>
      <c r="L561" s="1779"/>
      <c r="M561" s="1780">
        <f>SUM(M558:N560)</f>
        <v>43.199999999999996</v>
      </c>
      <c r="N561" s="1779"/>
    </row>
    <row r="562" spans="1:15" ht="13.5" x14ac:dyDescent="0.25">
      <c r="A562" s="1138"/>
      <c r="B562" s="1138"/>
      <c r="C562" s="1138"/>
      <c r="D562" s="1138"/>
      <c r="E562" s="1138"/>
      <c r="F562" s="1138"/>
      <c r="G562" s="1138"/>
      <c r="H562" s="1138"/>
      <c r="I562" s="1138"/>
      <c r="J562" s="1138"/>
      <c r="K562" s="1138"/>
      <c r="L562" s="1138"/>
      <c r="M562" s="1138"/>
      <c r="N562" s="1138"/>
    </row>
    <row r="563" spans="1:15" x14ac:dyDescent="0.2">
      <c r="A563" s="1781" t="s">
        <v>2150</v>
      </c>
      <c r="B563" s="1782"/>
      <c r="C563" s="1782"/>
      <c r="D563" s="1782"/>
      <c r="E563" s="1782"/>
      <c r="F563" s="1782"/>
      <c r="G563" s="1782"/>
      <c r="H563" s="1782"/>
      <c r="I563" s="1782"/>
      <c r="J563" s="1782"/>
      <c r="K563" s="1782"/>
      <c r="L563" s="1782"/>
      <c r="M563" s="1782"/>
      <c r="N563" s="1779"/>
    </row>
    <row r="564" spans="1:15" x14ac:dyDescent="0.2">
      <c r="A564" s="1778" t="s">
        <v>14</v>
      </c>
      <c r="B564" s="1782"/>
      <c r="C564" s="1782"/>
      <c r="D564" s="1782"/>
      <c r="E564" s="1782"/>
      <c r="F564" s="1782"/>
      <c r="G564" s="1779"/>
      <c r="H564" s="1136" t="s">
        <v>15</v>
      </c>
      <c r="I564" s="1783" t="s">
        <v>619</v>
      </c>
      <c r="J564" s="1779"/>
      <c r="K564" s="1139" t="s">
        <v>1919</v>
      </c>
      <c r="L564" s="1140" t="s">
        <v>2151</v>
      </c>
      <c r="M564" s="1783" t="s">
        <v>2140</v>
      </c>
      <c r="N564" s="1779"/>
    </row>
    <row r="565" spans="1:15" ht="13.5" x14ac:dyDescent="0.25">
      <c r="A565" s="1784" t="s">
        <v>2161</v>
      </c>
      <c r="B565" s="1782"/>
      <c r="C565" s="1782"/>
      <c r="D565" s="1782"/>
      <c r="E565" s="1782"/>
      <c r="F565" s="1782"/>
      <c r="G565" s="1779"/>
      <c r="H565" s="1032" t="str">
        <f>IF(A565="","",VLOOKUP(A565,'09'!$A$22:$O$168,4,FALSE))</f>
        <v>Cuadrilla</v>
      </c>
      <c r="I565" s="1785">
        <f>IF(A565="","",VLOOKUP(A565,'09'!$A$22:$O$168,5,FALSE))</f>
        <v>87545</v>
      </c>
      <c r="J565" s="1412"/>
      <c r="K565" s="1034">
        <f>IF(A565="","",'03'!$I$2)</f>
        <v>1.88995</v>
      </c>
      <c r="L565" s="1034">
        <v>1.0999999999999999E-2</v>
      </c>
      <c r="M565" s="1780">
        <f t="shared" ref="M565:M569" si="39">IF(A565="","",I565*K565*L565)</f>
        <v>1820.0124002499999</v>
      </c>
      <c r="N565" s="1779"/>
    </row>
    <row r="566" spans="1:15" ht="13.5" x14ac:dyDescent="0.25">
      <c r="A566" s="1784"/>
      <c r="B566" s="1782"/>
      <c r="C566" s="1782"/>
      <c r="D566" s="1782"/>
      <c r="E566" s="1782"/>
      <c r="F566" s="1782"/>
      <c r="G566" s="1779"/>
      <c r="H566" s="1032" t="str">
        <f>IF(A566="","",VLOOKUP(A566,'09'!$A$22:$O$168,4,FALSE))</f>
        <v/>
      </c>
      <c r="I566" s="1785" t="str">
        <f>IF(A566="","",VLOOKUP(A566,'09'!$A$22:$O$168,5,FALSE))</f>
        <v/>
      </c>
      <c r="J566" s="1412"/>
      <c r="K566" s="1034" t="str">
        <f>IF(A566="","",'03'!$I$2)</f>
        <v/>
      </c>
      <c r="L566" s="1141"/>
      <c r="M566" s="1780" t="str">
        <f t="shared" si="39"/>
        <v/>
      </c>
      <c r="N566" s="1779"/>
    </row>
    <row r="567" spans="1:15" ht="13.5" x14ac:dyDescent="0.25">
      <c r="A567" s="1784"/>
      <c r="B567" s="1782"/>
      <c r="C567" s="1782"/>
      <c r="D567" s="1782"/>
      <c r="E567" s="1782"/>
      <c r="F567" s="1782"/>
      <c r="G567" s="1779"/>
      <c r="H567" s="1032" t="str">
        <f>IF(A567="","",VLOOKUP(A567,'09'!$A$22:$O$168,4,FALSE))</f>
        <v/>
      </c>
      <c r="I567" s="1785" t="str">
        <f>IF(A567="","",VLOOKUP(A567,'09'!$A$22:$O$168,5,FALSE))</f>
        <v/>
      </c>
      <c r="J567" s="1412"/>
      <c r="K567" s="1034" t="str">
        <f>IF(A567="","",'03'!$I$2)</f>
        <v/>
      </c>
      <c r="L567" s="1143"/>
      <c r="M567" s="1780" t="str">
        <f t="shared" si="39"/>
        <v/>
      </c>
      <c r="N567" s="1779"/>
    </row>
    <row r="568" spans="1:15" ht="13.5" x14ac:dyDescent="0.25">
      <c r="A568" s="1784"/>
      <c r="B568" s="1782"/>
      <c r="C568" s="1782"/>
      <c r="D568" s="1782"/>
      <c r="E568" s="1782"/>
      <c r="F568" s="1782"/>
      <c r="G568" s="1779"/>
      <c r="H568" s="1032" t="str">
        <f>IF(A568="","",VLOOKUP(A568,'09'!$A$22:$O$168,4,FALSE))</f>
        <v/>
      </c>
      <c r="I568" s="1785" t="str">
        <f>IF(A568="","",VLOOKUP(A568,'09'!$A$22:$O$168,5,FALSE))</f>
        <v/>
      </c>
      <c r="J568" s="1412"/>
      <c r="K568" s="1034" t="str">
        <f>IF(A568="","",'03'!$I$2)</f>
        <v/>
      </c>
      <c r="L568" s="1143"/>
      <c r="M568" s="1780" t="str">
        <f t="shared" si="39"/>
        <v/>
      </c>
      <c r="N568" s="1779"/>
    </row>
    <row r="569" spans="1:15" ht="13.5" x14ac:dyDescent="0.25">
      <c r="A569" s="1784"/>
      <c r="B569" s="1782"/>
      <c r="C569" s="1782"/>
      <c r="D569" s="1782"/>
      <c r="E569" s="1782"/>
      <c r="F569" s="1782"/>
      <c r="G569" s="1779"/>
      <c r="H569" s="1032" t="str">
        <f>IF(A569="","",VLOOKUP(A569,'09'!$A$22:$O$168,4,FALSE))</f>
        <v/>
      </c>
      <c r="I569" s="1785" t="str">
        <f>IF(A569="","",VLOOKUP(A569,'09'!$A$22:$O$168,5,FALSE))</f>
        <v/>
      </c>
      <c r="J569" s="1412"/>
      <c r="K569" s="1034" t="str">
        <f>IF(A569="","",'03'!$I$2)</f>
        <v/>
      </c>
      <c r="L569" s="1143"/>
      <c r="M569" s="1780" t="str">
        <f t="shared" si="39"/>
        <v/>
      </c>
      <c r="N569" s="1779"/>
    </row>
    <row r="570" spans="1:15" ht="13.5" x14ac:dyDescent="0.25">
      <c r="A570" s="1138"/>
      <c r="B570" s="1138"/>
      <c r="C570" s="1138"/>
      <c r="D570" s="1138"/>
      <c r="E570" s="1138"/>
      <c r="F570" s="1138"/>
      <c r="G570" s="1138"/>
      <c r="H570" s="1138"/>
      <c r="I570" s="1138"/>
      <c r="J570" s="1138"/>
      <c r="K570" s="1778" t="s">
        <v>523</v>
      </c>
      <c r="L570" s="1779"/>
      <c r="M570" s="1780">
        <f>SUM(M565:N569)</f>
        <v>1820.0124002499999</v>
      </c>
      <c r="N570" s="1779"/>
    </row>
    <row r="571" spans="1:15" x14ac:dyDescent="0.2">
      <c r="I571" s="1414"/>
      <c r="J571" s="1415"/>
      <c r="K571" s="1415"/>
      <c r="L571" s="1415"/>
      <c r="M571" s="1415"/>
      <c r="N571" s="1415"/>
    </row>
    <row r="572" spans="1:15" ht="13.5" thickBot="1" x14ac:dyDescent="0.25">
      <c r="I572" s="1416"/>
      <c r="J572" s="1416"/>
      <c r="K572" s="1416"/>
      <c r="L572" s="1416"/>
      <c r="M572" s="1416"/>
      <c r="N572" s="1416"/>
      <c r="O572" s="1163"/>
    </row>
    <row r="573" spans="1:15" ht="14.25" thickTop="1" x14ac:dyDescent="0.2">
      <c r="I573" s="1417" t="s">
        <v>1829</v>
      </c>
      <c r="J573" s="1418"/>
      <c r="K573" s="1417" t="s">
        <v>2653</v>
      </c>
      <c r="L573" s="1418"/>
      <c r="M573" s="1418"/>
      <c r="N573" s="1418"/>
    </row>
    <row r="574" spans="1:15" ht="13.5" x14ac:dyDescent="0.2">
      <c r="I574" s="1419" t="s">
        <v>1831</v>
      </c>
      <c r="J574" s="1420"/>
      <c r="K574" s="1419"/>
      <c r="L574" s="1420"/>
      <c r="M574" s="1420"/>
      <c r="N574" s="1420"/>
    </row>
    <row r="575" spans="1:15" ht="12.6" customHeight="1" x14ac:dyDescent="0.2"/>
    <row r="576" spans="1:15" x14ac:dyDescent="0.2">
      <c r="A576" s="1803" t="s">
        <v>2333</v>
      </c>
      <c r="B576" s="1804"/>
      <c r="C576" s="1804"/>
      <c r="D576" s="1804"/>
      <c r="E576" s="1804"/>
      <c r="F576" s="1804"/>
      <c r="G576" s="1804"/>
      <c r="H576" s="1804"/>
      <c r="I576" s="1804"/>
      <c r="J576" s="1804"/>
      <c r="K576" s="1804"/>
      <c r="L576" s="1804"/>
      <c r="M576" s="1804"/>
      <c r="N576" s="1805"/>
    </row>
    <row r="577" spans="1:15" x14ac:dyDescent="0.2">
      <c r="A577" s="1806"/>
      <c r="B577" s="1807"/>
      <c r="C577" s="1807"/>
      <c r="D577" s="1807"/>
      <c r="E577" s="1807"/>
      <c r="F577" s="1807"/>
      <c r="G577" s="1807"/>
      <c r="H577" s="1807"/>
      <c r="I577" s="1807"/>
      <c r="J577" s="1807"/>
      <c r="K577" s="1807"/>
      <c r="L577" s="1807"/>
      <c r="M577" s="1807"/>
      <c r="N577" s="1808"/>
    </row>
    <row r="578" spans="1:15" ht="13.5" x14ac:dyDescent="0.2">
      <c r="A578" s="1128"/>
      <c r="B578" s="1128"/>
      <c r="C578" s="1128"/>
      <c r="D578" s="1128"/>
      <c r="E578" s="1128"/>
      <c r="F578" s="1128"/>
      <c r="G578" s="1128"/>
      <c r="H578" s="1128"/>
      <c r="I578" s="1128"/>
      <c r="J578" s="1128"/>
      <c r="K578" s="1128"/>
      <c r="L578" s="1128"/>
      <c r="M578" s="1128"/>
      <c r="N578" s="1128"/>
    </row>
    <row r="579" spans="1:15" ht="14.25" x14ac:dyDescent="0.3">
      <c r="A579" s="1104" t="s">
        <v>2296</v>
      </c>
      <c r="B579" s="1129" t="str">
        <f>A576</f>
        <v>SUMINISTRO E INSTALACIÓN DE TUBERIA PVC UNION MECANICA DE 8". PRESIÓN DE TRABAJO 200 PSI.</v>
      </c>
      <c r="C579" s="1130" t="s">
        <v>634</v>
      </c>
      <c r="D579" s="1107" t="s">
        <v>6</v>
      </c>
      <c r="E579" s="1132" t="s">
        <v>1833</v>
      </c>
      <c r="F579" s="1133">
        <f>H579+J579+L579+N579</f>
        <v>232481.86028888889</v>
      </c>
      <c r="G579" s="1132" t="s">
        <v>2136</v>
      </c>
      <c r="H579" s="1133">
        <f>M597</f>
        <v>562.5</v>
      </c>
      <c r="I579" s="1132" t="s">
        <v>621</v>
      </c>
      <c r="J579" s="1134">
        <f>M588</f>
        <v>221152.16399999999</v>
      </c>
      <c r="K579" s="1132" t="s">
        <v>2137</v>
      </c>
      <c r="L579" s="1133">
        <f>M606</f>
        <v>43.199999999999996</v>
      </c>
      <c r="M579" s="1132" t="s">
        <v>2138</v>
      </c>
      <c r="N579" s="1133">
        <f>M615</f>
        <v>10723.996288888889</v>
      </c>
    </row>
    <row r="580" spans="1:15" ht="13.5" x14ac:dyDescent="0.25">
      <c r="A580" s="1135"/>
      <c r="B580" s="1135"/>
      <c r="C580" s="1135"/>
      <c r="D580" s="1135"/>
      <c r="E580" s="1135"/>
      <c r="F580" s="1135"/>
      <c r="G580" s="1135"/>
      <c r="J580" s="1135"/>
      <c r="K580" s="1135"/>
      <c r="L580" s="1135"/>
      <c r="M580" s="1270" t="s">
        <v>2667</v>
      </c>
      <c r="N580" s="1270">
        <f>+F579*'01'!$O$15</f>
        <v>300902.18019152089</v>
      </c>
    </row>
    <row r="581" spans="1:15" x14ac:dyDescent="0.2">
      <c r="A581" s="1781" t="s">
        <v>2139</v>
      </c>
      <c r="B581" s="1782"/>
      <c r="C581" s="1782"/>
      <c r="D581" s="1782"/>
      <c r="E581" s="1782"/>
      <c r="F581" s="1782"/>
      <c r="G581" s="1782"/>
      <c r="H581" s="1782"/>
      <c r="I581" s="1782"/>
      <c r="J581" s="1782"/>
      <c r="K581" s="1782"/>
      <c r="L581" s="1782"/>
      <c r="M581" s="1782"/>
      <c r="N581" s="1779"/>
    </row>
    <row r="582" spans="1:15" x14ac:dyDescent="0.2">
      <c r="A582" s="1778" t="s">
        <v>14</v>
      </c>
      <c r="B582" s="1782"/>
      <c r="C582" s="1782"/>
      <c r="D582" s="1782"/>
      <c r="E582" s="1782"/>
      <c r="F582" s="1782"/>
      <c r="G582" s="1779"/>
      <c r="H582" s="1136" t="s">
        <v>15</v>
      </c>
      <c r="I582" s="1783" t="s">
        <v>619</v>
      </c>
      <c r="J582" s="1779"/>
      <c r="K582" s="1783" t="s">
        <v>628</v>
      </c>
      <c r="L582" s="1779"/>
      <c r="M582" s="1783" t="s">
        <v>2140</v>
      </c>
      <c r="N582" s="1779"/>
    </row>
    <row r="583" spans="1:15" ht="13.5" customHeight="1" x14ac:dyDescent="0.2">
      <c r="A583" s="1789" t="s">
        <v>1451</v>
      </c>
      <c r="B583" s="1782"/>
      <c r="C583" s="1782"/>
      <c r="D583" s="1782"/>
      <c r="E583" s="1782"/>
      <c r="F583" s="1782"/>
      <c r="G583" s="1779"/>
      <c r="H583" s="1032" t="str">
        <f>IF(A583="","",VLOOKUP(A583,'10'!$C$6:$E$1152,2,FALSE))</f>
        <v>UND</v>
      </c>
      <c r="I583" s="1785">
        <f>IF(A583="","",VLOOKUP(A583,'10'!$C$6:$E$1152,3,FALSE))</f>
        <v>30983</v>
      </c>
      <c r="J583" s="1412"/>
      <c r="K583" s="1787">
        <v>0.09</v>
      </c>
      <c r="L583" s="1779"/>
      <c r="M583" s="1780">
        <f>K583*I583</f>
        <v>2788.47</v>
      </c>
      <c r="N583" s="1779"/>
    </row>
    <row r="584" spans="1:15" ht="13.5" customHeight="1" x14ac:dyDescent="0.2">
      <c r="A584" s="1789" t="s">
        <v>1735</v>
      </c>
      <c r="B584" s="1782"/>
      <c r="C584" s="1782"/>
      <c r="D584" s="1782"/>
      <c r="E584" s="1782"/>
      <c r="F584" s="1782"/>
      <c r="G584" s="1779"/>
      <c r="H584" s="1032" t="str">
        <f>IF(A584="","",VLOOKUP(A584,'10'!$C$6:$E$1152,2,FALSE))</f>
        <v>UND</v>
      </c>
      <c r="I584" s="1785">
        <f>IF(A584="","",VLOOKUP(A584,'10'!$C$6:$E$1152,3,FALSE))</f>
        <v>65913</v>
      </c>
      <c r="J584" s="1412"/>
      <c r="K584" s="1787">
        <v>3.7999999999999999E-2</v>
      </c>
      <c r="L584" s="1779"/>
      <c r="M584" s="1780">
        <f>K584*I584</f>
        <v>2504.694</v>
      </c>
      <c r="N584" s="1779"/>
    </row>
    <row r="585" spans="1:15" ht="13.5" x14ac:dyDescent="0.2">
      <c r="A585" s="1792" t="s">
        <v>1468</v>
      </c>
      <c r="B585" s="1782"/>
      <c r="C585" s="1782"/>
      <c r="D585" s="1782"/>
      <c r="E585" s="1782"/>
      <c r="F585" s="1782"/>
      <c r="G585" s="1779"/>
      <c r="H585" s="1032" t="str">
        <f>IF(A585="","",VLOOKUP(A585,'10'!$C$6:$E$1152,2,FALSE))</f>
        <v>ML</v>
      </c>
      <c r="I585" s="1785">
        <f>IF(A585="","",VLOOKUP(A585,'10'!$C$6:$E$1152,3,FALSE))</f>
        <v>205580</v>
      </c>
      <c r="J585" s="1412"/>
      <c r="K585" s="1787">
        <v>1.05</v>
      </c>
      <c r="L585" s="1779"/>
      <c r="M585" s="1780">
        <f t="shared" ref="M585" si="40">K585*I585</f>
        <v>215859</v>
      </c>
      <c r="N585" s="1779"/>
      <c r="O585" s="799"/>
    </row>
    <row r="586" spans="1:15" ht="13.5" x14ac:dyDescent="0.2">
      <c r="A586" s="1789"/>
      <c r="B586" s="1782"/>
      <c r="C586" s="1782"/>
      <c r="D586" s="1782"/>
      <c r="E586" s="1782"/>
      <c r="F586" s="1782"/>
      <c r="G586" s="1779"/>
      <c r="H586" s="1032" t="str">
        <f>IF(A586="","",VLOOKUP(A586,'10'!$C$6:$E$1152,2,FALSE))</f>
        <v/>
      </c>
      <c r="I586" s="1785" t="str">
        <f>IF(A586="","",VLOOKUP(A586,'10'!$C$6:$E$1152,3,FALSE))</f>
        <v/>
      </c>
      <c r="J586" s="1412"/>
      <c r="K586" s="1787"/>
      <c r="L586" s="1779"/>
      <c r="M586" s="1780"/>
      <c r="N586" s="1779"/>
    </row>
    <row r="587" spans="1:15" ht="13.5" x14ac:dyDescent="0.2">
      <c r="A587" s="1789"/>
      <c r="B587" s="1782"/>
      <c r="C587" s="1782"/>
      <c r="D587" s="1782"/>
      <c r="E587" s="1782"/>
      <c r="F587" s="1782"/>
      <c r="G587" s="1779"/>
      <c r="H587" s="1032" t="str">
        <f>IF(A587="","",VLOOKUP(A587,'10'!$C$6:$E$1152,2,FALSE))</f>
        <v/>
      </c>
      <c r="I587" s="1785" t="str">
        <f>IF(A587="","",VLOOKUP(A587,'10'!$C$6:$E$1152,3,FALSE))</f>
        <v/>
      </c>
      <c r="J587" s="1412"/>
      <c r="K587" s="1787"/>
      <c r="L587" s="1779"/>
      <c r="M587" s="1780"/>
      <c r="N587" s="1779"/>
    </row>
    <row r="588" spans="1:15" ht="13.5" x14ac:dyDescent="0.25">
      <c r="A588" s="1138"/>
      <c r="B588" s="1138"/>
      <c r="C588" s="1138"/>
      <c r="D588" s="1138"/>
      <c r="E588" s="1138"/>
      <c r="F588" s="1138"/>
      <c r="G588" s="1138"/>
      <c r="H588" s="1138"/>
      <c r="I588" s="1138"/>
      <c r="J588" s="1138"/>
      <c r="K588" s="1778" t="s">
        <v>523</v>
      </c>
      <c r="L588" s="1779"/>
      <c r="M588" s="1780">
        <f>SUM(M583:N587)</f>
        <v>221152.16399999999</v>
      </c>
      <c r="N588" s="1779"/>
    </row>
    <row r="589" spans="1:15" ht="13.5" x14ac:dyDescent="0.25">
      <c r="A589" s="1138"/>
      <c r="B589" s="1138"/>
      <c r="C589" s="1138"/>
      <c r="D589" s="1138"/>
      <c r="E589" s="1138"/>
      <c r="F589" s="1138"/>
      <c r="G589" s="1138"/>
      <c r="H589" s="1138"/>
      <c r="I589" s="1138"/>
      <c r="J589" s="1138"/>
      <c r="K589" s="1138"/>
      <c r="L589" s="1138"/>
      <c r="M589" s="1138"/>
      <c r="N589" s="1138"/>
    </row>
    <row r="590" spans="1:15" x14ac:dyDescent="0.2">
      <c r="A590" s="1781" t="s">
        <v>2145</v>
      </c>
      <c r="B590" s="1782"/>
      <c r="C590" s="1782"/>
      <c r="D590" s="1782"/>
      <c r="E590" s="1782"/>
      <c r="F590" s="1782"/>
      <c r="G590" s="1782"/>
      <c r="H590" s="1782"/>
      <c r="I590" s="1782"/>
      <c r="J590" s="1782"/>
      <c r="K590" s="1782"/>
      <c r="L590" s="1782"/>
      <c r="M590" s="1782"/>
      <c r="N590" s="1779"/>
    </row>
    <row r="591" spans="1:15" x14ac:dyDescent="0.2">
      <c r="A591" s="1778" t="s">
        <v>14</v>
      </c>
      <c r="B591" s="1782"/>
      <c r="C591" s="1782"/>
      <c r="D591" s="1782"/>
      <c r="E591" s="1782"/>
      <c r="F591" s="1782"/>
      <c r="G591" s="1779"/>
      <c r="H591" s="1136" t="s">
        <v>15</v>
      </c>
      <c r="I591" s="1783" t="s">
        <v>619</v>
      </c>
      <c r="J591" s="1779"/>
      <c r="K591" s="1783" t="s">
        <v>610</v>
      </c>
      <c r="L591" s="1779"/>
      <c r="M591" s="1783" t="s">
        <v>2140</v>
      </c>
      <c r="N591" s="1779"/>
    </row>
    <row r="592" spans="1:15" ht="13.5" x14ac:dyDescent="0.2">
      <c r="A592" s="1789" t="s">
        <v>131</v>
      </c>
      <c r="B592" s="1790"/>
      <c r="C592" s="1790"/>
      <c r="D592" s="1790"/>
      <c r="E592" s="1790"/>
      <c r="F592" s="1790"/>
      <c r="G592" s="1791"/>
      <c r="H592" s="1032" t="str">
        <f>IF(A592="","",VLOOKUP(A592,'11'!$C$6:$E$87,2,FALSE))</f>
        <v>DIA</v>
      </c>
      <c r="I592" s="1785">
        <f>IF(A592="","",VLOOKUP(A592,'11'!$C$6:$E$87,3,FALSE))</f>
        <v>15000</v>
      </c>
      <c r="J592" s="1412"/>
      <c r="K592" s="1787">
        <f>1*8/0.3</f>
        <v>26.666666666666668</v>
      </c>
      <c r="L592" s="1793"/>
      <c r="M592" s="1780">
        <f>I592/K592</f>
        <v>562.5</v>
      </c>
      <c r="N592" s="1779"/>
    </row>
    <row r="593" spans="1:14" ht="13.5" x14ac:dyDescent="0.2">
      <c r="A593" s="1802"/>
      <c r="B593" s="1782"/>
      <c r="C593" s="1782"/>
      <c r="D593" s="1782"/>
      <c r="E593" s="1782"/>
      <c r="F593" s="1782"/>
      <c r="G593" s="1779"/>
      <c r="H593" s="1137"/>
      <c r="I593" s="1780"/>
      <c r="J593" s="1779"/>
      <c r="K593" s="1794"/>
      <c r="L593" s="1779"/>
      <c r="M593" s="1780"/>
      <c r="N593" s="1779"/>
    </row>
    <row r="594" spans="1:14" ht="13.5" x14ac:dyDescent="0.2">
      <c r="A594" s="1789"/>
      <c r="B594" s="1782"/>
      <c r="C594" s="1782"/>
      <c r="D594" s="1782"/>
      <c r="E594" s="1782"/>
      <c r="F594" s="1782"/>
      <c r="G594" s="1779"/>
      <c r="H594" s="1137"/>
      <c r="I594" s="1780"/>
      <c r="J594" s="1779"/>
      <c r="K594" s="1787"/>
      <c r="L594" s="1779"/>
      <c r="M594" s="1780"/>
      <c r="N594" s="1779"/>
    </row>
    <row r="595" spans="1:14" ht="13.5" x14ac:dyDescent="0.2">
      <c r="A595" s="1789"/>
      <c r="B595" s="1782"/>
      <c r="C595" s="1782"/>
      <c r="D595" s="1782"/>
      <c r="E595" s="1782"/>
      <c r="F595" s="1782"/>
      <c r="G595" s="1779"/>
      <c r="H595" s="1137"/>
      <c r="I595" s="1780"/>
      <c r="J595" s="1779"/>
      <c r="K595" s="1787"/>
      <c r="L595" s="1779"/>
      <c r="M595" s="1780"/>
      <c r="N595" s="1779"/>
    </row>
    <row r="596" spans="1:14" ht="13.5" x14ac:dyDescent="0.2">
      <c r="A596" s="1789"/>
      <c r="B596" s="1782"/>
      <c r="C596" s="1782"/>
      <c r="D596" s="1782"/>
      <c r="E596" s="1782"/>
      <c r="F596" s="1782"/>
      <c r="G596" s="1779"/>
      <c r="H596" s="1137"/>
      <c r="I596" s="1780"/>
      <c r="J596" s="1779"/>
      <c r="K596" s="1787"/>
      <c r="L596" s="1779"/>
      <c r="M596" s="1780"/>
      <c r="N596" s="1779"/>
    </row>
    <row r="597" spans="1:14" ht="13.5" x14ac:dyDescent="0.25">
      <c r="A597" s="1138"/>
      <c r="B597" s="1138"/>
      <c r="C597" s="1138"/>
      <c r="D597" s="1138"/>
      <c r="E597" s="1138"/>
      <c r="F597" s="1138"/>
      <c r="G597" s="1138"/>
      <c r="H597" s="1138"/>
      <c r="I597" s="1138"/>
      <c r="J597" s="1138"/>
      <c r="K597" s="1778" t="s">
        <v>523</v>
      </c>
      <c r="L597" s="1779"/>
      <c r="M597" s="1780">
        <f>SUM(M592:N596)</f>
        <v>562.5</v>
      </c>
      <c r="N597" s="1779"/>
    </row>
    <row r="598" spans="1:14" ht="13.5" x14ac:dyDescent="0.25">
      <c r="A598" s="1138"/>
      <c r="B598" s="1138"/>
      <c r="C598" s="1138"/>
      <c r="D598" s="1138"/>
      <c r="E598" s="1138"/>
      <c r="F598" s="1138"/>
      <c r="G598" s="1138"/>
      <c r="H598" s="1138"/>
      <c r="I598" s="1138"/>
      <c r="J598" s="1138"/>
      <c r="K598" s="1138"/>
      <c r="L598" s="1138"/>
      <c r="M598" s="1138"/>
      <c r="N598" s="1138"/>
    </row>
    <row r="599" spans="1:14" x14ac:dyDescent="0.2">
      <c r="A599" s="1781" t="s">
        <v>2147</v>
      </c>
      <c r="B599" s="1782"/>
      <c r="C599" s="1782"/>
      <c r="D599" s="1782"/>
      <c r="E599" s="1782"/>
      <c r="F599" s="1782"/>
      <c r="G599" s="1782"/>
      <c r="H599" s="1782"/>
      <c r="I599" s="1782"/>
      <c r="J599" s="1782"/>
      <c r="K599" s="1782"/>
      <c r="L599" s="1782"/>
      <c r="M599" s="1782"/>
      <c r="N599" s="1779"/>
    </row>
    <row r="600" spans="1:14" x14ac:dyDescent="0.2">
      <c r="A600" s="1778" t="s">
        <v>14</v>
      </c>
      <c r="B600" s="1782"/>
      <c r="C600" s="1782"/>
      <c r="D600" s="1782"/>
      <c r="E600" s="1782"/>
      <c r="F600" s="1782"/>
      <c r="G600" s="1779"/>
      <c r="H600" s="1136" t="s">
        <v>15</v>
      </c>
      <c r="I600" s="1783" t="s">
        <v>619</v>
      </c>
      <c r="J600" s="1779"/>
      <c r="K600" s="1783" t="s">
        <v>628</v>
      </c>
      <c r="L600" s="1779"/>
      <c r="M600" s="1783" t="s">
        <v>2140</v>
      </c>
      <c r="N600" s="1779"/>
    </row>
    <row r="601" spans="1:14" ht="13.5" x14ac:dyDescent="0.2">
      <c r="A601" s="1792" t="s">
        <v>2328</v>
      </c>
      <c r="B601" s="1782"/>
      <c r="C601" s="1782"/>
      <c r="D601" s="1782"/>
      <c r="E601" s="1782"/>
      <c r="F601" s="1782"/>
      <c r="G601" s="1779"/>
      <c r="H601" s="1032" t="str">
        <f>IF(A601="","",VLOOKUP(A601,'11'!$C$6:$E$1012,2,FALSE))</f>
        <v>KM-M3</v>
      </c>
      <c r="I601" s="1785">
        <f>IF(A601="","",VLOOKUP(A601,'11'!$C$6:$E$1012,3,FALSE))</f>
        <v>1440</v>
      </c>
      <c r="J601" s="1412"/>
      <c r="K601" s="1787">
        <v>0.03</v>
      </c>
      <c r="L601" s="1793"/>
      <c r="M601" s="1780">
        <f t="shared" ref="M601" si="41">IF(A601="","",I601*K601)</f>
        <v>43.199999999999996</v>
      </c>
      <c r="N601" s="1779"/>
    </row>
    <row r="602" spans="1:14" ht="13.5" x14ac:dyDescent="0.2">
      <c r="A602" s="1786"/>
      <c r="B602" s="1782"/>
      <c r="C602" s="1782"/>
      <c r="D602" s="1782"/>
      <c r="E602" s="1782"/>
      <c r="F602" s="1782"/>
      <c r="G602" s="1779"/>
      <c r="H602" s="1032"/>
      <c r="I602" s="1780"/>
      <c r="J602" s="1779"/>
      <c r="K602" s="1787"/>
      <c r="L602" s="1779"/>
      <c r="M602" s="1780"/>
      <c r="N602" s="1779"/>
    </row>
    <row r="603" spans="1:14" ht="13.5" x14ac:dyDescent="0.2">
      <c r="A603" s="1786"/>
      <c r="B603" s="1782"/>
      <c r="C603" s="1782"/>
      <c r="D603" s="1782"/>
      <c r="E603" s="1782"/>
      <c r="F603" s="1782"/>
      <c r="G603" s="1779"/>
      <c r="H603" s="1032"/>
      <c r="I603" s="1780"/>
      <c r="J603" s="1779"/>
      <c r="K603" s="1788"/>
      <c r="L603" s="1779"/>
      <c r="M603" s="1780"/>
      <c r="N603" s="1779"/>
    </row>
    <row r="604" spans="1:14" ht="13.5" x14ac:dyDescent="0.2">
      <c r="A604" s="1789"/>
      <c r="B604" s="1782"/>
      <c r="C604" s="1782"/>
      <c r="D604" s="1782"/>
      <c r="E604" s="1782"/>
      <c r="F604" s="1782"/>
      <c r="G604" s="1779"/>
      <c r="H604" s="1137"/>
      <c r="I604" s="1780"/>
      <c r="J604" s="1779"/>
      <c r="K604" s="1787"/>
      <c r="L604" s="1779"/>
      <c r="M604" s="1780"/>
      <c r="N604" s="1779"/>
    </row>
    <row r="605" spans="1:14" ht="13.5" x14ac:dyDescent="0.2">
      <c r="A605" s="1789"/>
      <c r="B605" s="1782"/>
      <c r="C605" s="1782"/>
      <c r="D605" s="1782"/>
      <c r="E605" s="1782"/>
      <c r="F605" s="1782"/>
      <c r="G605" s="1779"/>
      <c r="H605" s="1137"/>
      <c r="I605" s="1780"/>
      <c r="J605" s="1779"/>
      <c r="K605" s="1787"/>
      <c r="L605" s="1779"/>
      <c r="M605" s="1780"/>
      <c r="N605" s="1779"/>
    </row>
    <row r="606" spans="1:14" ht="13.5" x14ac:dyDescent="0.25">
      <c r="A606" s="1138"/>
      <c r="B606" s="1138"/>
      <c r="C606" s="1138"/>
      <c r="D606" s="1138"/>
      <c r="E606" s="1138"/>
      <c r="F606" s="1138"/>
      <c r="G606" s="1138"/>
      <c r="H606" s="1138"/>
      <c r="I606" s="1138"/>
      <c r="J606" s="1138"/>
      <c r="K606" s="1778" t="s">
        <v>523</v>
      </c>
      <c r="L606" s="1779"/>
      <c r="M606" s="1780">
        <f>SUM(M601:N605)</f>
        <v>43.199999999999996</v>
      </c>
      <c r="N606" s="1779"/>
    </row>
    <row r="607" spans="1:14" ht="13.5" x14ac:dyDescent="0.25">
      <c r="A607" s="1138"/>
      <c r="B607" s="1138"/>
      <c r="C607" s="1138"/>
      <c r="D607" s="1138"/>
      <c r="E607" s="1138"/>
      <c r="F607" s="1138"/>
      <c r="G607" s="1138"/>
      <c r="H607" s="1138"/>
      <c r="I607" s="1138"/>
      <c r="J607" s="1138"/>
      <c r="K607" s="1138"/>
      <c r="L607" s="1138"/>
      <c r="M607" s="1138"/>
      <c r="N607" s="1138"/>
    </row>
    <row r="608" spans="1:14" x14ac:dyDescent="0.2">
      <c r="A608" s="1781" t="s">
        <v>2150</v>
      </c>
      <c r="B608" s="1782"/>
      <c r="C608" s="1782"/>
      <c r="D608" s="1782"/>
      <c r="E608" s="1782"/>
      <c r="F608" s="1782"/>
      <c r="G608" s="1782"/>
      <c r="H608" s="1782"/>
      <c r="I608" s="1782"/>
      <c r="J608" s="1782"/>
      <c r="K608" s="1782"/>
      <c r="L608" s="1782"/>
      <c r="M608" s="1782"/>
      <c r="N608" s="1779"/>
    </row>
    <row r="609" spans="1:14" x14ac:dyDescent="0.2">
      <c r="A609" s="1778" t="s">
        <v>14</v>
      </c>
      <c r="B609" s="1782"/>
      <c r="C609" s="1782"/>
      <c r="D609" s="1782"/>
      <c r="E609" s="1782"/>
      <c r="F609" s="1782"/>
      <c r="G609" s="1779"/>
      <c r="H609" s="1136" t="s">
        <v>15</v>
      </c>
      <c r="I609" s="1783" t="s">
        <v>619</v>
      </c>
      <c r="J609" s="1779"/>
      <c r="K609" s="1139" t="s">
        <v>1919</v>
      </c>
      <c r="L609" s="1140" t="s">
        <v>2151</v>
      </c>
      <c r="M609" s="1783" t="s">
        <v>2140</v>
      </c>
      <c r="N609" s="1779"/>
    </row>
    <row r="610" spans="1:14" ht="13.5" x14ac:dyDescent="0.25">
      <c r="A610" s="1784" t="s">
        <v>2168</v>
      </c>
      <c r="B610" s="1782"/>
      <c r="C610" s="1782"/>
      <c r="D610" s="1782"/>
      <c r="E610" s="1782"/>
      <c r="F610" s="1782"/>
      <c r="G610" s="1779"/>
      <c r="H610" s="1032" t="str">
        <f>IF(A610="","",VLOOKUP(A610,'09'!$A$22:$O$168,4,FALSE))</f>
        <v>Cuadrilla</v>
      </c>
      <c r="I610" s="1785">
        <f>IF(A610="","",VLOOKUP(A610,'09'!$A$22:$O$168,5,FALSE))</f>
        <v>204272</v>
      </c>
      <c r="J610" s="1412"/>
      <c r="K610" s="1034">
        <f>IF(A610="","",'03'!$I$2)</f>
        <v>1.88995</v>
      </c>
      <c r="L610" s="1142">
        <v>4.5</v>
      </c>
      <c r="M610" s="1780">
        <f>I610*K610/(L610*8)</f>
        <v>10723.996288888889</v>
      </c>
      <c r="N610" s="1779"/>
    </row>
    <row r="611" spans="1:14" ht="13.5" x14ac:dyDescent="0.25">
      <c r="A611" s="1784"/>
      <c r="B611" s="1782"/>
      <c r="C611" s="1782"/>
      <c r="D611" s="1782"/>
      <c r="E611" s="1782"/>
      <c r="F611" s="1782"/>
      <c r="G611" s="1779"/>
      <c r="H611" s="1137"/>
      <c r="I611" s="1780"/>
      <c r="J611" s="1779"/>
      <c r="K611" s="1141"/>
      <c r="L611" s="1141"/>
      <c r="M611" s="1780"/>
      <c r="N611" s="1779"/>
    </row>
    <row r="612" spans="1:14" ht="13.5" x14ac:dyDescent="0.25">
      <c r="A612" s="1784"/>
      <c r="B612" s="1782"/>
      <c r="C612" s="1782"/>
      <c r="D612" s="1782"/>
      <c r="E612" s="1782"/>
      <c r="F612" s="1782"/>
      <c r="G612" s="1779"/>
      <c r="H612" s="1137"/>
      <c r="I612" s="1780"/>
      <c r="J612" s="1779"/>
      <c r="K612" s="1141"/>
      <c r="L612" s="1143"/>
      <c r="M612" s="1780"/>
      <c r="N612" s="1779"/>
    </row>
    <row r="613" spans="1:14" ht="13.5" x14ac:dyDescent="0.25">
      <c r="A613" s="1784"/>
      <c r="B613" s="1782"/>
      <c r="C613" s="1782"/>
      <c r="D613" s="1782"/>
      <c r="E613" s="1782"/>
      <c r="F613" s="1782"/>
      <c r="G613" s="1779"/>
      <c r="H613" s="1137"/>
      <c r="I613" s="1780"/>
      <c r="J613" s="1779"/>
      <c r="K613" s="1141"/>
      <c r="L613" s="1143"/>
      <c r="M613" s="1780"/>
      <c r="N613" s="1779"/>
    </row>
    <row r="614" spans="1:14" ht="13.5" x14ac:dyDescent="0.25">
      <c r="A614" s="1784"/>
      <c r="B614" s="1782"/>
      <c r="C614" s="1782"/>
      <c r="D614" s="1782"/>
      <c r="E614" s="1782"/>
      <c r="F614" s="1782"/>
      <c r="G614" s="1779"/>
      <c r="H614" s="1137"/>
      <c r="I614" s="1780"/>
      <c r="J614" s="1779"/>
      <c r="K614" s="1141"/>
      <c r="L614" s="1143"/>
      <c r="M614" s="1780"/>
      <c r="N614" s="1779"/>
    </row>
    <row r="615" spans="1:14" ht="13.5" x14ac:dyDescent="0.25">
      <c r="A615" s="1138"/>
      <c r="B615" s="1138"/>
      <c r="C615" s="1138"/>
      <c r="D615" s="1138"/>
      <c r="E615" s="1138"/>
      <c r="F615" s="1138"/>
      <c r="G615" s="1138"/>
      <c r="H615" s="1138"/>
      <c r="I615" s="1138"/>
      <c r="J615" s="1138"/>
      <c r="K615" s="1778" t="s">
        <v>523</v>
      </c>
      <c r="L615" s="1779"/>
      <c r="M615" s="1780">
        <f>SUM(M610:N614)</f>
        <v>10723.996288888889</v>
      </c>
      <c r="N615" s="1779"/>
    </row>
    <row r="616" spans="1:14" x14ac:dyDescent="0.2">
      <c r="I616" s="1414"/>
      <c r="J616" s="1415"/>
      <c r="K616" s="1415"/>
      <c r="L616" s="1415"/>
      <c r="M616" s="1415"/>
      <c r="N616" s="1415"/>
    </row>
    <row r="617" spans="1:14" ht="13.5" thickBot="1" x14ac:dyDescent="0.25">
      <c r="I617" s="1416"/>
      <c r="J617" s="1416"/>
      <c r="K617" s="1416"/>
      <c r="L617" s="1416"/>
      <c r="M617" s="1416"/>
      <c r="N617" s="1416"/>
    </row>
    <row r="618" spans="1:14" ht="14.25" thickTop="1" x14ac:dyDescent="0.2">
      <c r="I618" s="1417" t="s">
        <v>1829</v>
      </c>
      <c r="J618" s="1418"/>
      <c r="K618" s="1417" t="s">
        <v>2653</v>
      </c>
      <c r="L618" s="1418"/>
      <c r="M618" s="1418"/>
      <c r="N618" s="1418"/>
    </row>
    <row r="619" spans="1:14" ht="13.5" x14ac:dyDescent="0.2">
      <c r="I619" s="1419" t="s">
        <v>1831</v>
      </c>
      <c r="J619" s="1420"/>
      <c r="K619" s="1419"/>
      <c r="L619" s="1420"/>
      <c r="M619" s="1420"/>
      <c r="N619" s="1420"/>
    </row>
    <row r="621" spans="1:14" x14ac:dyDescent="0.2">
      <c r="A621" s="1803" t="s">
        <v>2334</v>
      </c>
      <c r="B621" s="1804"/>
      <c r="C621" s="1804"/>
      <c r="D621" s="1804"/>
      <c r="E621" s="1804"/>
      <c r="F621" s="1804"/>
      <c r="G621" s="1804"/>
      <c r="H621" s="1804"/>
      <c r="I621" s="1804"/>
      <c r="J621" s="1804"/>
      <c r="K621" s="1804"/>
      <c r="L621" s="1804"/>
      <c r="M621" s="1804"/>
      <c r="N621" s="1805"/>
    </row>
    <row r="622" spans="1:14" x14ac:dyDescent="0.2">
      <c r="A622" s="1806"/>
      <c r="B622" s="1807"/>
      <c r="C622" s="1807"/>
      <c r="D622" s="1807"/>
      <c r="E622" s="1807"/>
      <c r="F622" s="1807"/>
      <c r="G622" s="1807"/>
      <c r="H622" s="1807"/>
      <c r="I622" s="1807"/>
      <c r="J622" s="1807"/>
      <c r="K622" s="1807"/>
      <c r="L622" s="1807"/>
      <c r="M622" s="1807"/>
      <c r="N622" s="1808"/>
    </row>
    <row r="623" spans="1:14" ht="13.5" x14ac:dyDescent="0.2">
      <c r="A623" s="1128"/>
      <c r="B623" s="1128"/>
      <c r="C623" s="1128"/>
      <c r="D623" s="1128"/>
      <c r="E623" s="1128"/>
      <c r="F623" s="1128"/>
      <c r="G623" s="1128"/>
      <c r="H623" s="1128"/>
      <c r="I623" s="1128"/>
      <c r="J623" s="1128"/>
      <c r="K623" s="1128"/>
      <c r="L623" s="1128"/>
      <c r="M623" s="1128"/>
      <c r="N623" s="1128"/>
    </row>
    <row r="624" spans="1:14" ht="14.25" x14ac:dyDescent="0.3">
      <c r="A624" s="1104" t="s">
        <v>2298</v>
      </c>
      <c r="B624" s="1129" t="str">
        <f>A621</f>
        <v>SUMINISTRO E INSTALACIÓN DE CINTA PVC DE 0.15 METROS PARA JUNTA DE CONSTRUCCION EN TANQUES.</v>
      </c>
      <c r="C624" s="1130" t="s">
        <v>634</v>
      </c>
      <c r="D624" s="1107" t="s">
        <v>6</v>
      </c>
      <c r="E624" s="1132" t="s">
        <v>1833</v>
      </c>
      <c r="F624" s="1133">
        <f>H624+J624+L624+N624</f>
        <v>59619.13721666667</v>
      </c>
      <c r="G624" s="1132" t="s">
        <v>2136</v>
      </c>
      <c r="H624" s="1133">
        <f>M642</f>
        <v>500</v>
      </c>
      <c r="I624" s="1132" t="s">
        <v>621</v>
      </c>
      <c r="J624" s="1133">
        <f>M633</f>
        <v>49160.94</v>
      </c>
      <c r="K624" s="1132" t="s">
        <v>2137</v>
      </c>
      <c r="L624" s="1133">
        <f>M651</f>
        <v>1915.2</v>
      </c>
      <c r="M624" s="1132" t="s">
        <v>2138</v>
      </c>
      <c r="N624" s="1133">
        <f>M660</f>
        <v>8042.9972166666666</v>
      </c>
    </row>
    <row r="625" spans="1:14" ht="13.5" x14ac:dyDescent="0.25">
      <c r="A625" s="1135"/>
      <c r="B625" s="1135"/>
      <c r="C625" s="1135"/>
      <c r="D625" s="1135"/>
      <c r="E625" s="1135"/>
      <c r="F625" s="1135"/>
      <c r="G625" s="1135"/>
      <c r="J625" s="1135"/>
      <c r="K625" s="1135"/>
      <c r="L625" s="1135"/>
      <c r="M625" s="1270" t="s">
        <v>2667</v>
      </c>
      <c r="N625" s="1270">
        <f>+F624*'01'!$O$15</f>
        <v>77165.282260475069</v>
      </c>
    </row>
    <row r="626" spans="1:14" x14ac:dyDescent="0.2">
      <c r="A626" s="1781" t="s">
        <v>2139</v>
      </c>
      <c r="B626" s="1782"/>
      <c r="C626" s="1782"/>
      <c r="D626" s="1782"/>
      <c r="E626" s="1782"/>
      <c r="F626" s="1782"/>
      <c r="G626" s="1782"/>
      <c r="H626" s="1782"/>
      <c r="I626" s="1782"/>
      <c r="J626" s="1782"/>
      <c r="K626" s="1782"/>
      <c r="L626" s="1782"/>
      <c r="M626" s="1782"/>
      <c r="N626" s="1779"/>
    </row>
    <row r="627" spans="1:14" x14ac:dyDescent="0.2">
      <c r="A627" s="1778" t="s">
        <v>14</v>
      </c>
      <c r="B627" s="1782"/>
      <c r="C627" s="1782"/>
      <c r="D627" s="1782"/>
      <c r="E627" s="1782"/>
      <c r="F627" s="1782"/>
      <c r="G627" s="1779"/>
      <c r="H627" s="1136" t="s">
        <v>15</v>
      </c>
      <c r="I627" s="1783" t="s">
        <v>619</v>
      </c>
      <c r="J627" s="1779"/>
      <c r="K627" s="1783" t="s">
        <v>628</v>
      </c>
      <c r="L627" s="1779"/>
      <c r="M627" s="1783" t="s">
        <v>2140</v>
      </c>
      <c r="N627" s="1779"/>
    </row>
    <row r="628" spans="1:14" ht="13.5" customHeight="1" x14ac:dyDescent="0.2">
      <c r="A628" s="1865" t="s">
        <v>106</v>
      </c>
      <c r="B628" s="1866"/>
      <c r="C628" s="1866"/>
      <c r="D628" s="1866"/>
      <c r="E628" s="1866"/>
      <c r="F628" s="1866"/>
      <c r="G628" s="1867"/>
      <c r="H628" s="1032" t="str">
        <f>IF(A628="","",VLOOKUP(A628,'10'!$C$6:$E$1152,2,FALSE))</f>
        <v>ML</v>
      </c>
      <c r="I628" s="1785">
        <f>IF(A628="","",VLOOKUP(A628,'10'!$C$6:$E$1152,3,FALSE))</f>
        <v>48197</v>
      </c>
      <c r="J628" s="1412"/>
      <c r="K628" s="1787">
        <v>1.02</v>
      </c>
      <c r="L628" s="1779"/>
      <c r="M628" s="1780">
        <f>K628*I628</f>
        <v>49160.94</v>
      </c>
      <c r="N628" s="1779"/>
    </row>
    <row r="629" spans="1:14" ht="13.5" customHeight="1" x14ac:dyDescent="0.2">
      <c r="A629" s="1862"/>
      <c r="B629" s="1863"/>
      <c r="C629" s="1863"/>
      <c r="D629" s="1863"/>
      <c r="E629" s="1863"/>
      <c r="F629" s="1863"/>
      <c r="G629" s="1864"/>
      <c r="H629" s="1137"/>
      <c r="I629" s="1780"/>
      <c r="J629" s="1779"/>
      <c r="K629" s="1787"/>
      <c r="L629" s="1779"/>
      <c r="M629" s="1780"/>
      <c r="N629" s="1779"/>
    </row>
    <row r="630" spans="1:14" ht="13.5" customHeight="1" x14ac:dyDescent="0.2">
      <c r="A630" s="1862"/>
      <c r="B630" s="1863"/>
      <c r="C630" s="1863"/>
      <c r="D630" s="1863"/>
      <c r="E630" s="1863"/>
      <c r="F630" s="1863"/>
      <c r="G630" s="1864"/>
      <c r="H630" s="1137"/>
      <c r="I630" s="1780"/>
      <c r="J630" s="1779"/>
      <c r="K630" s="1787"/>
      <c r="L630" s="1779"/>
      <c r="M630" s="1780"/>
      <c r="N630" s="1779"/>
    </row>
    <row r="631" spans="1:14" ht="13.5" x14ac:dyDescent="0.2">
      <c r="A631" s="1862"/>
      <c r="B631" s="1863"/>
      <c r="C631" s="1863"/>
      <c r="D631" s="1863"/>
      <c r="E631" s="1863"/>
      <c r="F631" s="1863"/>
      <c r="G631" s="1864"/>
      <c r="H631" s="1137"/>
      <c r="I631" s="1780"/>
      <c r="J631" s="1779"/>
      <c r="K631" s="1787"/>
      <c r="L631" s="1779"/>
      <c r="M631" s="1780"/>
      <c r="N631" s="1779"/>
    </row>
    <row r="632" spans="1:14" ht="13.5" x14ac:dyDescent="0.2">
      <c r="A632" s="1789"/>
      <c r="B632" s="1782"/>
      <c r="C632" s="1782"/>
      <c r="D632" s="1782"/>
      <c r="E632" s="1782"/>
      <c r="F632" s="1782"/>
      <c r="G632" s="1779"/>
      <c r="H632" s="1137"/>
      <c r="I632" s="1780"/>
      <c r="J632" s="1779"/>
      <c r="K632" s="1787"/>
      <c r="L632" s="1779"/>
      <c r="M632" s="1780"/>
      <c r="N632" s="1779"/>
    </row>
    <row r="633" spans="1:14" ht="13.5" x14ac:dyDescent="0.25">
      <c r="A633" s="1138"/>
      <c r="B633" s="1138"/>
      <c r="C633" s="1138"/>
      <c r="D633" s="1138"/>
      <c r="E633" s="1138"/>
      <c r="F633" s="1138"/>
      <c r="G633" s="1138"/>
      <c r="H633" s="1138"/>
      <c r="I633" s="1138"/>
      <c r="J633" s="1138"/>
      <c r="K633" s="1778" t="s">
        <v>523</v>
      </c>
      <c r="L633" s="1779"/>
      <c r="M633" s="1780">
        <f>SUM(M628:N632)</f>
        <v>49160.94</v>
      </c>
      <c r="N633" s="1779"/>
    </row>
    <row r="634" spans="1:14" ht="13.5" x14ac:dyDescent="0.25">
      <c r="A634" s="1138"/>
      <c r="B634" s="1138"/>
      <c r="C634" s="1138"/>
      <c r="D634" s="1138"/>
      <c r="E634" s="1138"/>
      <c r="F634" s="1138"/>
      <c r="G634" s="1138"/>
      <c r="H634" s="1138"/>
      <c r="I634" s="1138"/>
      <c r="J634" s="1138"/>
      <c r="K634" s="1138"/>
      <c r="L634" s="1138"/>
      <c r="M634" s="1138"/>
      <c r="N634" s="1138"/>
    </row>
    <row r="635" spans="1:14" x14ac:dyDescent="0.2">
      <c r="A635" s="1781" t="s">
        <v>2145</v>
      </c>
      <c r="B635" s="1782"/>
      <c r="C635" s="1782"/>
      <c r="D635" s="1782"/>
      <c r="E635" s="1782"/>
      <c r="F635" s="1782"/>
      <c r="G635" s="1782"/>
      <c r="H635" s="1782"/>
      <c r="I635" s="1782"/>
      <c r="J635" s="1782"/>
      <c r="K635" s="1782"/>
      <c r="L635" s="1782"/>
      <c r="M635" s="1782"/>
      <c r="N635" s="1779"/>
    </row>
    <row r="636" spans="1:14" x14ac:dyDescent="0.2">
      <c r="A636" s="1778" t="s">
        <v>14</v>
      </c>
      <c r="B636" s="1782"/>
      <c r="C636" s="1782"/>
      <c r="D636" s="1782"/>
      <c r="E636" s="1782"/>
      <c r="F636" s="1782"/>
      <c r="G636" s="1779"/>
      <c r="H636" s="1136" t="s">
        <v>15</v>
      </c>
      <c r="I636" s="1783" t="s">
        <v>619</v>
      </c>
      <c r="J636" s="1779"/>
      <c r="K636" s="1783" t="s">
        <v>610</v>
      </c>
      <c r="L636" s="1779"/>
      <c r="M636" s="1783" t="s">
        <v>2140</v>
      </c>
      <c r="N636" s="1779"/>
    </row>
    <row r="637" spans="1:14" ht="13.5" x14ac:dyDescent="0.2">
      <c r="A637" s="1836" t="s">
        <v>131</v>
      </c>
      <c r="B637" s="1837"/>
      <c r="C637" s="1837"/>
      <c r="D637" s="1837"/>
      <c r="E637" s="1837"/>
      <c r="F637" s="1837"/>
      <c r="G637" s="1838"/>
      <c r="H637" s="1032" t="str">
        <f>IF(A637="","",VLOOKUP(A637,'11'!$C$6:$E$87,2,FALSE))</f>
        <v>DIA</v>
      </c>
      <c r="I637" s="1785">
        <f>IF(A637="","",VLOOKUP(A637,'11'!$C$6:$E$87,3,FALSE))</f>
        <v>15000</v>
      </c>
      <c r="J637" s="1412"/>
      <c r="K637" s="1787">
        <v>30</v>
      </c>
      <c r="L637" s="1793"/>
      <c r="M637" s="1780">
        <f>I637/K637</f>
        <v>500</v>
      </c>
      <c r="N637" s="1779"/>
    </row>
    <row r="638" spans="1:14" ht="13.5" x14ac:dyDescent="0.2">
      <c r="A638" s="1802"/>
      <c r="B638" s="1868"/>
      <c r="C638" s="1868"/>
      <c r="D638" s="1868"/>
      <c r="E638" s="1868"/>
      <c r="F638" s="1868"/>
      <c r="G638" s="1869"/>
      <c r="H638" s="1137"/>
      <c r="I638" s="1780"/>
      <c r="J638" s="1779"/>
      <c r="K638" s="1794"/>
      <c r="L638" s="1779"/>
      <c r="M638" s="1780"/>
      <c r="N638" s="1779"/>
    </row>
    <row r="639" spans="1:14" ht="13.5" x14ac:dyDescent="0.2">
      <c r="A639" s="1789"/>
      <c r="B639" s="1790"/>
      <c r="C639" s="1790"/>
      <c r="D639" s="1790"/>
      <c r="E639" s="1790"/>
      <c r="F639" s="1790"/>
      <c r="G639" s="1791"/>
      <c r="H639" s="1137"/>
      <c r="I639" s="1780"/>
      <c r="J639" s="1779"/>
      <c r="K639" s="1787"/>
      <c r="L639" s="1779"/>
      <c r="M639" s="1780"/>
      <c r="N639" s="1779"/>
    </row>
    <row r="640" spans="1:14" ht="13.5" x14ac:dyDescent="0.2">
      <c r="A640" s="1789"/>
      <c r="B640" s="1790"/>
      <c r="C640" s="1790"/>
      <c r="D640" s="1790"/>
      <c r="E640" s="1790"/>
      <c r="F640" s="1790"/>
      <c r="G640" s="1791"/>
      <c r="H640" s="1137"/>
      <c r="I640" s="1780"/>
      <c r="J640" s="1779"/>
      <c r="K640" s="1787"/>
      <c r="L640" s="1779"/>
      <c r="M640" s="1780"/>
      <c r="N640" s="1779"/>
    </row>
    <row r="641" spans="1:14" ht="13.5" x14ac:dyDescent="0.2">
      <c r="A641" s="1789"/>
      <c r="B641" s="1790"/>
      <c r="C641" s="1790"/>
      <c r="D641" s="1790"/>
      <c r="E641" s="1790"/>
      <c r="F641" s="1790"/>
      <c r="G641" s="1791"/>
      <c r="H641" s="1137"/>
      <c r="I641" s="1780"/>
      <c r="J641" s="1779"/>
      <c r="K641" s="1787"/>
      <c r="L641" s="1779"/>
      <c r="M641" s="1780"/>
      <c r="N641" s="1779"/>
    </row>
    <row r="642" spans="1:14" ht="13.5" x14ac:dyDescent="0.25">
      <c r="A642" s="1138"/>
      <c r="B642" s="1138"/>
      <c r="C642" s="1138"/>
      <c r="D642" s="1138"/>
      <c r="E642" s="1138"/>
      <c r="F642" s="1138"/>
      <c r="G642" s="1138"/>
      <c r="H642" s="1138"/>
      <c r="I642" s="1138"/>
      <c r="J642" s="1138"/>
      <c r="K642" s="1778" t="s">
        <v>523</v>
      </c>
      <c r="L642" s="1779"/>
      <c r="M642" s="1780">
        <f>SUM(M637:N641)</f>
        <v>500</v>
      </c>
      <c r="N642" s="1779"/>
    </row>
    <row r="643" spans="1:14" ht="13.5" x14ac:dyDescent="0.25">
      <c r="A643" s="1138"/>
      <c r="B643" s="1138"/>
      <c r="C643" s="1138"/>
      <c r="D643" s="1138"/>
      <c r="E643" s="1138"/>
      <c r="F643" s="1138"/>
      <c r="G643" s="1138"/>
      <c r="H643" s="1138"/>
      <c r="I643" s="1138"/>
      <c r="J643" s="1138"/>
      <c r="K643" s="1138"/>
      <c r="L643" s="1138"/>
      <c r="M643" s="1138"/>
      <c r="N643" s="1138"/>
    </row>
    <row r="644" spans="1:14" x14ac:dyDescent="0.2">
      <c r="A644" s="1781" t="s">
        <v>2147</v>
      </c>
      <c r="B644" s="1782"/>
      <c r="C644" s="1782"/>
      <c r="D644" s="1782"/>
      <c r="E644" s="1782"/>
      <c r="F644" s="1782"/>
      <c r="G644" s="1782"/>
      <c r="H644" s="1782"/>
      <c r="I644" s="1782"/>
      <c r="J644" s="1782"/>
      <c r="K644" s="1782"/>
      <c r="L644" s="1782"/>
      <c r="M644" s="1782"/>
      <c r="N644" s="1779"/>
    </row>
    <row r="645" spans="1:14" x14ac:dyDescent="0.2">
      <c r="A645" s="1778" t="s">
        <v>14</v>
      </c>
      <c r="B645" s="1782"/>
      <c r="C645" s="1782"/>
      <c r="D645" s="1782"/>
      <c r="E645" s="1782"/>
      <c r="F645" s="1782"/>
      <c r="G645" s="1779"/>
      <c r="H645" s="1136" t="s">
        <v>15</v>
      </c>
      <c r="I645" s="1783" t="s">
        <v>619</v>
      </c>
      <c r="J645" s="1779"/>
      <c r="K645" s="1783" t="s">
        <v>628</v>
      </c>
      <c r="L645" s="1779"/>
      <c r="M645" s="1783" t="s">
        <v>2140</v>
      </c>
      <c r="N645" s="1779"/>
    </row>
    <row r="646" spans="1:14" ht="13.5" x14ac:dyDescent="0.2">
      <c r="A646" s="1789" t="s">
        <v>874</v>
      </c>
      <c r="B646" s="1790"/>
      <c r="C646" s="1790"/>
      <c r="D646" s="1790"/>
      <c r="E646" s="1790"/>
      <c r="F646" s="1790"/>
      <c r="G646" s="1791"/>
      <c r="H646" s="1032" t="str">
        <f>IF(A646="","",VLOOKUP(A646,'11'!$C$6:$E$1012,2,FALSE))</f>
        <v>KM-M3</v>
      </c>
      <c r="I646" s="1785">
        <f>IF(A646="","",VLOOKUP(A646,'11'!$C$6:$E$1012,3,FALSE))</f>
        <v>1440</v>
      </c>
      <c r="J646" s="1412"/>
      <c r="K646" s="1787">
        <f>0.01*133</f>
        <v>1.33</v>
      </c>
      <c r="L646" s="1779"/>
      <c r="M646" s="1780">
        <f>IF(A646="","",I646*K646)</f>
        <v>1915.2</v>
      </c>
      <c r="N646" s="1779"/>
    </row>
    <row r="647" spans="1:14" ht="13.5" x14ac:dyDescent="0.2">
      <c r="A647" s="1786"/>
      <c r="B647" s="1782"/>
      <c r="C647" s="1782"/>
      <c r="D647" s="1782"/>
      <c r="E647" s="1782"/>
      <c r="F647" s="1782"/>
      <c r="G647" s="1779"/>
      <c r="H647" s="1032"/>
      <c r="I647" s="1780"/>
      <c r="J647" s="1779"/>
      <c r="K647" s="1787"/>
      <c r="L647" s="1779"/>
      <c r="M647" s="1780"/>
      <c r="N647" s="1779"/>
    </row>
    <row r="648" spans="1:14" ht="13.5" x14ac:dyDescent="0.2">
      <c r="A648" s="1786"/>
      <c r="B648" s="1782"/>
      <c r="C648" s="1782"/>
      <c r="D648" s="1782"/>
      <c r="E648" s="1782"/>
      <c r="F648" s="1782"/>
      <c r="G648" s="1779"/>
      <c r="H648" s="1032"/>
      <c r="I648" s="1780"/>
      <c r="J648" s="1779"/>
      <c r="K648" s="1788"/>
      <c r="L648" s="1779"/>
      <c r="M648" s="1780"/>
      <c r="N648" s="1779"/>
    </row>
    <row r="649" spans="1:14" ht="13.5" x14ac:dyDescent="0.2">
      <c r="A649" s="1789"/>
      <c r="B649" s="1782"/>
      <c r="C649" s="1782"/>
      <c r="D649" s="1782"/>
      <c r="E649" s="1782"/>
      <c r="F649" s="1782"/>
      <c r="G649" s="1779"/>
      <c r="H649" s="1137"/>
      <c r="I649" s="1780"/>
      <c r="J649" s="1779"/>
      <c r="K649" s="1787"/>
      <c r="L649" s="1779"/>
      <c r="M649" s="1780"/>
      <c r="N649" s="1779"/>
    </row>
    <row r="650" spans="1:14" ht="13.5" x14ac:dyDescent="0.2">
      <c r="A650" s="1789"/>
      <c r="B650" s="1782"/>
      <c r="C650" s="1782"/>
      <c r="D650" s="1782"/>
      <c r="E650" s="1782"/>
      <c r="F650" s="1782"/>
      <c r="G650" s="1779"/>
      <c r="H650" s="1137"/>
      <c r="I650" s="1780"/>
      <c r="J650" s="1779"/>
      <c r="K650" s="1787"/>
      <c r="L650" s="1779"/>
      <c r="M650" s="1780"/>
      <c r="N650" s="1779"/>
    </row>
    <row r="651" spans="1:14" ht="13.5" x14ac:dyDescent="0.25">
      <c r="A651" s="1138"/>
      <c r="B651" s="1138"/>
      <c r="C651" s="1138"/>
      <c r="D651" s="1138"/>
      <c r="E651" s="1138"/>
      <c r="F651" s="1138"/>
      <c r="G651" s="1138"/>
      <c r="H651" s="1138"/>
      <c r="I651" s="1138"/>
      <c r="J651" s="1138"/>
      <c r="K651" s="1778" t="s">
        <v>523</v>
      </c>
      <c r="L651" s="1779"/>
      <c r="M651" s="1780">
        <f>SUM(M646:N650)</f>
        <v>1915.2</v>
      </c>
      <c r="N651" s="1779"/>
    </row>
    <row r="652" spans="1:14" ht="13.5" x14ac:dyDescent="0.25">
      <c r="A652" s="1138"/>
      <c r="B652" s="1138"/>
      <c r="C652" s="1138"/>
      <c r="D652" s="1138"/>
      <c r="E652" s="1138"/>
      <c r="F652" s="1138"/>
      <c r="G652" s="1138"/>
      <c r="H652" s="1138"/>
      <c r="I652" s="1138"/>
      <c r="J652" s="1138"/>
      <c r="K652" s="1138"/>
      <c r="L652" s="1138"/>
      <c r="M652" s="1138"/>
      <c r="N652" s="1138"/>
    </row>
    <row r="653" spans="1:14" x14ac:dyDescent="0.2">
      <c r="A653" s="1781" t="s">
        <v>2150</v>
      </c>
      <c r="B653" s="1782"/>
      <c r="C653" s="1782"/>
      <c r="D653" s="1782"/>
      <c r="E653" s="1782"/>
      <c r="F653" s="1782"/>
      <c r="G653" s="1782"/>
      <c r="H653" s="1782"/>
      <c r="I653" s="1782"/>
      <c r="J653" s="1782"/>
      <c r="K653" s="1782"/>
      <c r="L653" s="1782"/>
      <c r="M653" s="1782"/>
      <c r="N653" s="1779"/>
    </row>
    <row r="654" spans="1:14" x14ac:dyDescent="0.2">
      <c r="A654" s="1778" t="s">
        <v>14</v>
      </c>
      <c r="B654" s="1782"/>
      <c r="C654" s="1782"/>
      <c r="D654" s="1782"/>
      <c r="E654" s="1782"/>
      <c r="F654" s="1782"/>
      <c r="G654" s="1779"/>
      <c r="H654" s="1136" t="s">
        <v>15</v>
      </c>
      <c r="I654" s="1783" t="s">
        <v>619</v>
      </c>
      <c r="J654" s="1779"/>
      <c r="K654" s="1139" t="s">
        <v>1919</v>
      </c>
      <c r="L654" s="1140" t="s">
        <v>2151</v>
      </c>
      <c r="M654" s="1783" t="s">
        <v>2140</v>
      </c>
      <c r="N654" s="1779"/>
    </row>
    <row r="655" spans="1:14" ht="13.5" x14ac:dyDescent="0.25">
      <c r="A655" s="1817" t="s">
        <v>2168</v>
      </c>
      <c r="B655" s="1782"/>
      <c r="C655" s="1782"/>
      <c r="D655" s="1782"/>
      <c r="E655" s="1782"/>
      <c r="F655" s="1782"/>
      <c r="G655" s="1779"/>
      <c r="H655" s="1032" t="str">
        <f>IF(A655="","",VLOOKUP(A655,'09'!$A$22:$O$168,4,FALSE))</f>
        <v>Cuadrilla</v>
      </c>
      <c r="I655" s="1785">
        <f>IF(A655="","",VLOOKUP(A655,'09'!$A$22:$O$168,5,FALSE))</f>
        <v>204272</v>
      </c>
      <c r="J655" s="1412"/>
      <c r="K655" s="1034">
        <f>IF(A655="","",'03'!$I$2)</f>
        <v>1.88995</v>
      </c>
      <c r="L655" s="1142">
        <f>6*8</f>
        <v>48</v>
      </c>
      <c r="M655" s="1780">
        <f>I655*K655/L655</f>
        <v>8042.9972166666666</v>
      </c>
      <c r="N655" s="1779"/>
    </row>
    <row r="656" spans="1:14" ht="13.5" x14ac:dyDescent="0.25">
      <c r="A656" s="1784"/>
      <c r="B656" s="1782"/>
      <c r="C656" s="1782"/>
      <c r="D656" s="1782"/>
      <c r="E656" s="1782"/>
      <c r="F656" s="1782"/>
      <c r="G656" s="1779"/>
      <c r="H656" s="1137"/>
      <c r="I656" s="1780"/>
      <c r="J656" s="1779"/>
      <c r="K656" s="1141"/>
      <c r="L656" s="1141"/>
      <c r="M656" s="1780"/>
      <c r="N656" s="1779"/>
    </row>
    <row r="657" spans="1:14" ht="13.5" x14ac:dyDescent="0.25">
      <c r="A657" s="1784"/>
      <c r="B657" s="1782"/>
      <c r="C657" s="1782"/>
      <c r="D657" s="1782"/>
      <c r="E657" s="1782"/>
      <c r="F657" s="1782"/>
      <c r="G657" s="1779"/>
      <c r="H657" s="1137"/>
      <c r="I657" s="1780"/>
      <c r="J657" s="1779"/>
      <c r="K657" s="1141"/>
      <c r="L657" s="1143"/>
      <c r="M657" s="1780"/>
      <c r="N657" s="1779"/>
    </row>
    <row r="658" spans="1:14" ht="13.5" x14ac:dyDescent="0.25">
      <c r="A658" s="1784"/>
      <c r="B658" s="1782"/>
      <c r="C658" s="1782"/>
      <c r="D658" s="1782"/>
      <c r="E658" s="1782"/>
      <c r="F658" s="1782"/>
      <c r="G658" s="1779"/>
      <c r="H658" s="1137"/>
      <c r="I658" s="1780"/>
      <c r="J658" s="1779"/>
      <c r="K658" s="1141"/>
      <c r="L658" s="1143"/>
      <c r="M658" s="1780"/>
      <c r="N658" s="1779"/>
    </row>
    <row r="659" spans="1:14" ht="13.5" x14ac:dyDescent="0.25">
      <c r="A659" s="1784"/>
      <c r="B659" s="1782"/>
      <c r="C659" s="1782"/>
      <c r="D659" s="1782"/>
      <c r="E659" s="1782"/>
      <c r="F659" s="1782"/>
      <c r="G659" s="1779"/>
      <c r="H659" s="1137"/>
      <c r="I659" s="1780"/>
      <c r="J659" s="1779"/>
      <c r="K659" s="1141"/>
      <c r="L659" s="1143"/>
      <c r="M659" s="1780"/>
      <c r="N659" s="1779"/>
    </row>
    <row r="660" spans="1:14" ht="13.5" x14ac:dyDescent="0.25">
      <c r="A660" s="1138"/>
      <c r="B660" s="1138"/>
      <c r="C660" s="1138"/>
      <c r="D660" s="1138"/>
      <c r="E660" s="1138"/>
      <c r="F660" s="1138"/>
      <c r="G660" s="1138"/>
      <c r="H660" s="1138"/>
      <c r="I660" s="1138"/>
      <c r="J660" s="1138"/>
      <c r="K660" s="1778" t="s">
        <v>523</v>
      </c>
      <c r="L660" s="1779"/>
      <c r="M660" s="1780">
        <f>SUM(M655:N659)</f>
        <v>8042.9972166666666</v>
      </c>
      <c r="N660" s="1779"/>
    </row>
    <row r="661" spans="1:14" x14ac:dyDescent="0.2">
      <c r="I661" s="1414"/>
      <c r="J661" s="1415"/>
      <c r="K661" s="1415"/>
      <c r="L661" s="1415"/>
      <c r="M661" s="1415"/>
      <c r="N661" s="1415"/>
    </row>
    <row r="662" spans="1:14" ht="13.5" thickBot="1" x14ac:dyDescent="0.25">
      <c r="I662" s="1416"/>
      <c r="J662" s="1416"/>
      <c r="K662" s="1416"/>
      <c r="L662" s="1416"/>
      <c r="M662" s="1416"/>
      <c r="N662" s="1416"/>
    </row>
    <row r="663" spans="1:14" ht="14.25" thickTop="1" x14ac:dyDescent="0.2">
      <c r="I663" s="1417" t="s">
        <v>1829</v>
      </c>
      <c r="J663" s="1418"/>
      <c r="K663" s="1417" t="s">
        <v>2653</v>
      </c>
      <c r="L663" s="1418"/>
      <c r="M663" s="1418"/>
      <c r="N663" s="1418"/>
    </row>
    <row r="664" spans="1:14" ht="13.5" x14ac:dyDescent="0.2">
      <c r="I664" s="1419" t="s">
        <v>1831</v>
      </c>
      <c r="J664" s="1420"/>
      <c r="K664" s="1419"/>
      <c r="L664" s="1420"/>
      <c r="M664" s="1420"/>
      <c r="N664" s="1420"/>
    </row>
    <row r="666" spans="1:14" x14ac:dyDescent="0.2">
      <c r="A666" s="1803" t="s">
        <v>2335</v>
      </c>
      <c r="B666" s="1804"/>
      <c r="C666" s="1804"/>
      <c r="D666" s="1804"/>
      <c r="E666" s="1804"/>
      <c r="F666" s="1804"/>
      <c r="G666" s="1804"/>
      <c r="H666" s="1804"/>
      <c r="I666" s="1804"/>
      <c r="J666" s="1804"/>
      <c r="K666" s="1804"/>
      <c r="L666" s="1804"/>
      <c r="M666" s="1804"/>
      <c r="N666" s="1805"/>
    </row>
    <row r="667" spans="1:14" x14ac:dyDescent="0.2">
      <c r="A667" s="1806"/>
      <c r="B667" s="1807"/>
      <c r="C667" s="1807"/>
      <c r="D667" s="1807"/>
      <c r="E667" s="1807"/>
      <c r="F667" s="1807"/>
      <c r="G667" s="1807"/>
      <c r="H667" s="1807"/>
      <c r="I667" s="1807"/>
      <c r="J667" s="1807"/>
      <c r="K667" s="1807"/>
      <c r="L667" s="1807"/>
      <c r="M667" s="1807"/>
      <c r="N667" s="1808"/>
    </row>
    <row r="668" spans="1:14" ht="13.5" x14ac:dyDescent="0.2">
      <c r="A668" s="1128"/>
      <c r="B668" s="1128"/>
      <c r="C668" s="1128"/>
      <c r="D668" s="1128"/>
      <c r="E668" s="1128"/>
      <c r="F668" s="1128"/>
      <c r="G668" s="1128"/>
      <c r="H668" s="1128"/>
      <c r="I668" s="1128"/>
      <c r="J668" s="1128"/>
      <c r="K668" s="1128"/>
      <c r="L668" s="1128"/>
      <c r="M668" s="1128"/>
      <c r="N668" s="1128"/>
    </row>
    <row r="669" spans="1:14" ht="14.25" x14ac:dyDescent="0.3">
      <c r="A669" s="1104" t="s">
        <v>2299</v>
      </c>
      <c r="B669" s="1129" t="str">
        <f>A666</f>
        <v>SUMINISTRO E INSTALACIÓN PASAMURO HD 6" BXB=0,75M Z=0.375 M.</v>
      </c>
      <c r="C669" s="1130" t="s">
        <v>634</v>
      </c>
      <c r="D669" s="1107" t="s">
        <v>2</v>
      </c>
      <c r="E669" s="1132" t="s">
        <v>1833</v>
      </c>
      <c r="F669" s="1133">
        <f>H669+J669+L669+N669</f>
        <v>998768.43025454541</v>
      </c>
      <c r="G669" s="1132" t="s">
        <v>2136</v>
      </c>
      <c r="H669" s="1133">
        <f>M687</f>
        <v>375</v>
      </c>
      <c r="I669" s="1132" t="s">
        <v>621</v>
      </c>
      <c r="J669" s="1134">
        <f>M678</f>
        <v>928200</v>
      </c>
      <c r="K669" s="1132" t="s">
        <v>2137</v>
      </c>
      <c r="L669" s="1133">
        <f>M696</f>
        <v>0</v>
      </c>
      <c r="M669" s="1132" t="s">
        <v>2138</v>
      </c>
      <c r="N669" s="1133">
        <f>M705</f>
        <v>70193.430254545456</v>
      </c>
    </row>
    <row r="670" spans="1:14" ht="13.5" x14ac:dyDescent="0.25">
      <c r="A670" s="1135"/>
      <c r="B670" s="1135"/>
      <c r="C670" s="1135"/>
      <c r="D670" s="1135"/>
      <c r="E670" s="1135"/>
      <c r="F670" s="1135"/>
      <c r="G670" s="1135"/>
      <c r="J670" s="1135"/>
      <c r="K670" s="1135"/>
      <c r="L670" s="1135"/>
      <c r="M670" s="1270" t="s">
        <v>2667</v>
      </c>
      <c r="N670" s="1270">
        <f>+F669*'01'!$O$15</f>
        <v>1292709.8819521065</v>
      </c>
    </row>
    <row r="671" spans="1:14" x14ac:dyDescent="0.2">
      <c r="A671" s="1781" t="s">
        <v>2139</v>
      </c>
      <c r="B671" s="1782"/>
      <c r="C671" s="1782"/>
      <c r="D671" s="1782"/>
      <c r="E671" s="1782"/>
      <c r="F671" s="1782"/>
      <c r="G671" s="1782"/>
      <c r="H671" s="1782"/>
      <c r="I671" s="1782"/>
      <c r="J671" s="1782"/>
      <c r="K671" s="1782"/>
      <c r="L671" s="1782"/>
      <c r="M671" s="1782"/>
      <c r="N671" s="1779"/>
    </row>
    <row r="672" spans="1:14" x14ac:dyDescent="0.2">
      <c r="A672" s="1778" t="s">
        <v>14</v>
      </c>
      <c r="B672" s="1782"/>
      <c r="C672" s="1782"/>
      <c r="D672" s="1782"/>
      <c r="E672" s="1782"/>
      <c r="F672" s="1782"/>
      <c r="G672" s="1779"/>
      <c r="H672" s="1136" t="s">
        <v>15</v>
      </c>
      <c r="I672" s="1783" t="s">
        <v>619</v>
      </c>
      <c r="J672" s="1779"/>
      <c r="K672" s="1783" t="s">
        <v>628</v>
      </c>
      <c r="L672" s="1779"/>
      <c r="M672" s="1783" t="s">
        <v>2140</v>
      </c>
      <c r="N672" s="1779"/>
    </row>
    <row r="673" spans="1:14" ht="13.5" customHeight="1" x14ac:dyDescent="0.2">
      <c r="A673" s="1865" t="s">
        <v>911</v>
      </c>
      <c r="B673" s="1866"/>
      <c r="C673" s="1866"/>
      <c r="D673" s="1866"/>
      <c r="E673" s="1866"/>
      <c r="F673" s="1866"/>
      <c r="G673" s="1867"/>
      <c r="H673" s="1032" t="str">
        <f>IF(A673="","",VLOOKUP(A673,'10'!$C$6:$E$1152,2,FALSE))</f>
        <v>UND</v>
      </c>
      <c r="I673" s="1785">
        <f>IF(A673="","",VLOOKUP(A673,'10'!$C$6:$E$1152,3,FALSE))</f>
        <v>928200</v>
      </c>
      <c r="J673" s="1412"/>
      <c r="K673" s="1787">
        <v>1</v>
      </c>
      <c r="L673" s="1779"/>
      <c r="M673" s="1780">
        <f>K673*I673</f>
        <v>928200</v>
      </c>
      <c r="N673" s="1779"/>
    </row>
    <row r="674" spans="1:14" ht="13.5" x14ac:dyDescent="0.2">
      <c r="A674" s="1851"/>
      <c r="B674" s="1852"/>
      <c r="C674" s="1852"/>
      <c r="D674" s="1852"/>
      <c r="E674" s="1852"/>
      <c r="F674" s="1852"/>
      <c r="G674" s="1853"/>
      <c r="H674" s="1137"/>
      <c r="I674" s="1780"/>
      <c r="J674" s="1779"/>
      <c r="K674" s="1787"/>
      <c r="L674" s="1779"/>
      <c r="M674" s="1780"/>
      <c r="N674" s="1779"/>
    </row>
    <row r="675" spans="1:14" ht="13.5" x14ac:dyDescent="0.2">
      <c r="A675" s="1851"/>
      <c r="B675" s="1852"/>
      <c r="C675" s="1852"/>
      <c r="D675" s="1852"/>
      <c r="E675" s="1852"/>
      <c r="F675" s="1852"/>
      <c r="G675" s="1853"/>
      <c r="H675" s="1137"/>
      <c r="I675" s="1780"/>
      <c r="J675" s="1779"/>
      <c r="K675" s="1787"/>
      <c r="L675" s="1779"/>
      <c r="M675" s="1780"/>
      <c r="N675" s="1779"/>
    </row>
    <row r="676" spans="1:14" ht="13.5" x14ac:dyDescent="0.2">
      <c r="A676" s="1862"/>
      <c r="B676" s="1863"/>
      <c r="C676" s="1863"/>
      <c r="D676" s="1863"/>
      <c r="E676" s="1863"/>
      <c r="F676" s="1863"/>
      <c r="G676" s="1864"/>
      <c r="H676" s="1137"/>
      <c r="I676" s="1780"/>
      <c r="J676" s="1779"/>
      <c r="K676" s="1787"/>
      <c r="L676" s="1779"/>
      <c r="M676" s="1780"/>
      <c r="N676" s="1779"/>
    </row>
    <row r="677" spans="1:14" ht="13.5" x14ac:dyDescent="0.2">
      <c r="A677" s="1789"/>
      <c r="B677" s="1782"/>
      <c r="C677" s="1782"/>
      <c r="D677" s="1782"/>
      <c r="E677" s="1782"/>
      <c r="F677" s="1782"/>
      <c r="G677" s="1779"/>
      <c r="H677" s="1137"/>
      <c r="I677" s="1780"/>
      <c r="J677" s="1779"/>
      <c r="K677" s="1787"/>
      <c r="L677" s="1779"/>
      <c r="M677" s="1780"/>
      <c r="N677" s="1779"/>
    </row>
    <row r="678" spans="1:14" ht="13.5" x14ac:dyDescent="0.25">
      <c r="A678" s="1138"/>
      <c r="B678" s="1138"/>
      <c r="C678" s="1138"/>
      <c r="D678" s="1138"/>
      <c r="E678" s="1138"/>
      <c r="F678" s="1138"/>
      <c r="G678" s="1138"/>
      <c r="H678" s="1138"/>
      <c r="I678" s="1138"/>
      <c r="J678" s="1138"/>
      <c r="K678" s="1778" t="s">
        <v>523</v>
      </c>
      <c r="L678" s="1779"/>
      <c r="M678" s="1780">
        <f>SUM(M673:N677)</f>
        <v>928200</v>
      </c>
      <c r="N678" s="1779"/>
    </row>
    <row r="679" spans="1:14" ht="13.5" x14ac:dyDescent="0.25">
      <c r="A679" s="1138"/>
      <c r="B679" s="1138"/>
      <c r="C679" s="1138"/>
      <c r="D679" s="1138"/>
      <c r="E679" s="1138"/>
      <c r="F679" s="1138"/>
      <c r="G679" s="1138"/>
      <c r="H679" s="1138"/>
      <c r="I679" s="1138"/>
      <c r="J679" s="1138"/>
      <c r="K679" s="1138"/>
      <c r="L679" s="1138"/>
      <c r="M679" s="1138"/>
      <c r="N679" s="1138"/>
    </row>
    <row r="680" spans="1:14" x14ac:dyDescent="0.2">
      <c r="A680" s="1781" t="s">
        <v>2145</v>
      </c>
      <c r="B680" s="1782"/>
      <c r="C680" s="1782"/>
      <c r="D680" s="1782"/>
      <c r="E680" s="1782"/>
      <c r="F680" s="1782"/>
      <c r="G680" s="1782"/>
      <c r="H680" s="1782"/>
      <c r="I680" s="1782"/>
      <c r="J680" s="1782"/>
      <c r="K680" s="1782"/>
      <c r="L680" s="1782"/>
      <c r="M680" s="1782"/>
      <c r="N680" s="1779"/>
    </row>
    <row r="681" spans="1:14" x14ac:dyDescent="0.2">
      <c r="A681" s="1778" t="s">
        <v>14</v>
      </c>
      <c r="B681" s="1782"/>
      <c r="C681" s="1782"/>
      <c r="D681" s="1782"/>
      <c r="E681" s="1782"/>
      <c r="F681" s="1782"/>
      <c r="G681" s="1779"/>
      <c r="H681" s="1136" t="s">
        <v>15</v>
      </c>
      <c r="I681" s="1783" t="s">
        <v>619</v>
      </c>
      <c r="J681" s="1779"/>
      <c r="K681" s="1783" t="s">
        <v>610</v>
      </c>
      <c r="L681" s="1779"/>
      <c r="M681" s="1783" t="s">
        <v>2140</v>
      </c>
      <c r="N681" s="1779"/>
    </row>
    <row r="682" spans="1:14" ht="13.5" x14ac:dyDescent="0.2">
      <c r="A682" s="1836" t="s">
        <v>131</v>
      </c>
      <c r="B682" s="1837"/>
      <c r="C682" s="1837"/>
      <c r="D682" s="1837"/>
      <c r="E682" s="1837"/>
      <c r="F682" s="1837"/>
      <c r="G682" s="1838"/>
      <c r="H682" s="1032" t="str">
        <f>IF(A682="","",VLOOKUP(A682,'11'!$C$6:$E$87,2,FALSE))</f>
        <v>DIA</v>
      </c>
      <c r="I682" s="1785">
        <f>IF(A682="","",VLOOKUP(A682,'11'!$C$6:$E$87,3,FALSE))</f>
        <v>15000</v>
      </c>
      <c r="J682" s="1412"/>
      <c r="K682" s="1787">
        <v>40</v>
      </c>
      <c r="L682" s="1793"/>
      <c r="M682" s="1780">
        <f>I682/K682</f>
        <v>375</v>
      </c>
      <c r="N682" s="1779"/>
    </row>
    <row r="683" spans="1:14" ht="13.5" x14ac:dyDescent="0.2">
      <c r="A683" s="1839"/>
      <c r="B683" s="1840"/>
      <c r="C683" s="1840"/>
      <c r="D683" s="1840"/>
      <c r="E683" s="1840"/>
      <c r="F683" s="1840"/>
      <c r="G683" s="1841"/>
      <c r="H683" s="1137"/>
      <c r="I683" s="1780"/>
      <c r="J683" s="1779"/>
      <c r="K683" s="1794"/>
      <c r="L683" s="1779"/>
      <c r="M683" s="1780"/>
      <c r="N683" s="1779"/>
    </row>
    <row r="684" spans="1:14" ht="13.5" x14ac:dyDescent="0.2">
      <c r="A684" s="1836"/>
      <c r="B684" s="1837"/>
      <c r="C684" s="1837"/>
      <c r="D684" s="1837"/>
      <c r="E684" s="1837"/>
      <c r="F684" s="1837"/>
      <c r="G684" s="1838"/>
      <c r="H684" s="1137"/>
      <c r="I684" s="1780"/>
      <c r="J684" s="1779"/>
      <c r="K684" s="1787"/>
      <c r="L684" s="1779"/>
      <c r="M684" s="1780"/>
      <c r="N684" s="1779"/>
    </row>
    <row r="685" spans="1:14" ht="13.5" x14ac:dyDescent="0.2">
      <c r="A685" s="1836"/>
      <c r="B685" s="1837"/>
      <c r="C685" s="1837"/>
      <c r="D685" s="1837"/>
      <c r="E685" s="1837"/>
      <c r="F685" s="1837"/>
      <c r="G685" s="1838"/>
      <c r="H685" s="1137"/>
      <c r="I685" s="1780"/>
      <c r="J685" s="1779"/>
      <c r="K685" s="1787"/>
      <c r="L685" s="1779"/>
      <c r="M685" s="1780"/>
      <c r="N685" s="1779"/>
    </row>
    <row r="686" spans="1:14" ht="13.5" x14ac:dyDescent="0.2">
      <c r="A686" s="1789"/>
      <c r="B686" s="1790"/>
      <c r="C686" s="1790"/>
      <c r="D686" s="1790"/>
      <c r="E686" s="1790"/>
      <c r="F686" s="1790"/>
      <c r="G686" s="1791"/>
      <c r="H686" s="1137"/>
      <c r="I686" s="1780"/>
      <c r="J686" s="1779"/>
      <c r="K686" s="1787"/>
      <c r="L686" s="1779"/>
      <c r="M686" s="1780"/>
      <c r="N686" s="1779"/>
    </row>
    <row r="687" spans="1:14" ht="13.5" x14ac:dyDescent="0.25">
      <c r="A687" s="1138"/>
      <c r="B687" s="1138"/>
      <c r="C687" s="1138"/>
      <c r="D687" s="1138"/>
      <c r="E687" s="1138"/>
      <c r="F687" s="1138"/>
      <c r="G687" s="1138"/>
      <c r="H687" s="1138"/>
      <c r="I687" s="1138"/>
      <c r="J687" s="1138"/>
      <c r="K687" s="1778" t="s">
        <v>523</v>
      </c>
      <c r="L687" s="1779"/>
      <c r="M687" s="1780">
        <f>SUM(M682:N686)</f>
        <v>375</v>
      </c>
      <c r="N687" s="1779"/>
    </row>
    <row r="688" spans="1:14" ht="13.5" x14ac:dyDescent="0.25">
      <c r="A688" s="1138"/>
      <c r="B688" s="1138"/>
      <c r="C688" s="1138"/>
      <c r="D688" s="1138"/>
      <c r="E688" s="1138"/>
      <c r="F688" s="1138"/>
      <c r="G688" s="1138"/>
      <c r="H688" s="1138"/>
      <c r="I688" s="1138"/>
      <c r="J688" s="1138"/>
      <c r="K688" s="1138"/>
      <c r="L688" s="1138"/>
      <c r="M688" s="1138"/>
      <c r="N688" s="1138"/>
    </row>
    <row r="689" spans="1:14" x14ac:dyDescent="0.2">
      <c r="A689" s="1781" t="s">
        <v>2147</v>
      </c>
      <c r="B689" s="1782"/>
      <c r="C689" s="1782"/>
      <c r="D689" s="1782"/>
      <c r="E689" s="1782"/>
      <c r="F689" s="1782"/>
      <c r="G689" s="1782"/>
      <c r="H689" s="1782"/>
      <c r="I689" s="1782"/>
      <c r="J689" s="1782"/>
      <c r="K689" s="1782"/>
      <c r="L689" s="1782"/>
      <c r="M689" s="1782"/>
      <c r="N689" s="1779"/>
    </row>
    <row r="690" spans="1:14" x14ac:dyDescent="0.2">
      <c r="A690" s="1778" t="s">
        <v>14</v>
      </c>
      <c r="B690" s="1782"/>
      <c r="C690" s="1782"/>
      <c r="D690" s="1782"/>
      <c r="E690" s="1782"/>
      <c r="F690" s="1782"/>
      <c r="G690" s="1779"/>
      <c r="H690" s="1136" t="s">
        <v>15</v>
      </c>
      <c r="I690" s="1783" t="s">
        <v>619</v>
      </c>
      <c r="J690" s="1779"/>
      <c r="K690" s="1783" t="s">
        <v>628</v>
      </c>
      <c r="L690" s="1779"/>
      <c r="M690" s="1783" t="s">
        <v>2140</v>
      </c>
      <c r="N690" s="1779"/>
    </row>
    <row r="691" spans="1:14" ht="13.5" x14ac:dyDescent="0.2">
      <c r="A691" s="1789"/>
      <c r="B691" s="1790"/>
      <c r="C691" s="1790"/>
      <c r="D691" s="1790"/>
      <c r="E691" s="1790"/>
      <c r="F691" s="1790"/>
      <c r="G691" s="1791"/>
      <c r="H691" s="1137"/>
      <c r="I691" s="1780"/>
      <c r="J691" s="1779"/>
      <c r="K691" s="1787"/>
      <c r="L691" s="1779"/>
      <c r="M691" s="1780"/>
      <c r="N691" s="1779"/>
    </row>
    <row r="692" spans="1:14" ht="13.5" x14ac:dyDescent="0.2">
      <c r="A692" s="1789"/>
      <c r="B692" s="1790"/>
      <c r="C692" s="1790"/>
      <c r="D692" s="1790"/>
      <c r="E692" s="1790"/>
      <c r="F692" s="1790"/>
      <c r="G692" s="1791"/>
      <c r="H692" s="1137"/>
      <c r="I692" s="1780"/>
      <c r="J692" s="1779"/>
      <c r="K692" s="1787"/>
      <c r="L692" s="1779"/>
      <c r="M692" s="1780"/>
      <c r="N692" s="1779"/>
    </row>
    <row r="693" spans="1:14" ht="13.5" x14ac:dyDescent="0.2">
      <c r="A693" s="1789"/>
      <c r="B693" s="1790"/>
      <c r="C693" s="1790"/>
      <c r="D693" s="1790"/>
      <c r="E693" s="1790"/>
      <c r="F693" s="1790"/>
      <c r="G693" s="1791"/>
      <c r="H693" s="1137"/>
      <c r="I693" s="1780"/>
      <c r="J693" s="1779"/>
      <c r="K693" s="1787"/>
      <c r="L693" s="1779"/>
      <c r="M693" s="1780"/>
      <c r="N693" s="1779"/>
    </row>
    <row r="694" spans="1:14" ht="13.5" x14ac:dyDescent="0.2">
      <c r="A694" s="1789"/>
      <c r="B694" s="1782"/>
      <c r="C694" s="1782"/>
      <c r="D694" s="1782"/>
      <c r="E694" s="1782"/>
      <c r="F694" s="1782"/>
      <c r="G694" s="1779"/>
      <c r="H694" s="1137"/>
      <c r="I694" s="1780"/>
      <c r="J694" s="1779"/>
      <c r="K694" s="1787"/>
      <c r="L694" s="1779"/>
      <c r="M694" s="1780"/>
      <c r="N694" s="1779"/>
    </row>
    <row r="695" spans="1:14" ht="13.5" x14ac:dyDescent="0.2">
      <c r="A695" s="1789"/>
      <c r="B695" s="1782"/>
      <c r="C695" s="1782"/>
      <c r="D695" s="1782"/>
      <c r="E695" s="1782"/>
      <c r="F695" s="1782"/>
      <c r="G695" s="1779"/>
      <c r="H695" s="1137"/>
      <c r="I695" s="1780"/>
      <c r="J695" s="1779"/>
      <c r="K695" s="1787"/>
      <c r="L695" s="1779"/>
      <c r="M695" s="1780"/>
      <c r="N695" s="1779"/>
    </row>
    <row r="696" spans="1:14" ht="13.5" x14ac:dyDescent="0.25">
      <c r="A696" s="1138"/>
      <c r="B696" s="1138"/>
      <c r="C696" s="1138"/>
      <c r="D696" s="1138"/>
      <c r="E696" s="1138"/>
      <c r="F696" s="1138"/>
      <c r="G696" s="1138"/>
      <c r="H696" s="1138"/>
      <c r="I696" s="1138"/>
      <c r="J696" s="1138"/>
      <c r="K696" s="1778" t="s">
        <v>523</v>
      </c>
      <c r="L696" s="1779"/>
      <c r="M696" s="1780">
        <f>SUM(M691:N695)</f>
        <v>0</v>
      </c>
      <c r="N696" s="1779"/>
    </row>
    <row r="697" spans="1:14" ht="13.5" x14ac:dyDescent="0.25">
      <c r="A697" s="1138"/>
      <c r="B697" s="1138"/>
      <c r="C697" s="1138"/>
      <c r="D697" s="1138"/>
      <c r="E697" s="1138"/>
      <c r="F697" s="1138"/>
      <c r="G697" s="1138"/>
      <c r="H697" s="1138"/>
      <c r="I697" s="1138"/>
      <c r="J697" s="1138"/>
      <c r="K697" s="1138"/>
      <c r="L697" s="1138"/>
      <c r="M697" s="1138"/>
      <c r="N697" s="1138"/>
    </row>
    <row r="698" spans="1:14" x14ac:dyDescent="0.2">
      <c r="A698" s="1781" t="s">
        <v>2150</v>
      </c>
      <c r="B698" s="1782"/>
      <c r="C698" s="1782"/>
      <c r="D698" s="1782"/>
      <c r="E698" s="1782"/>
      <c r="F698" s="1782"/>
      <c r="G698" s="1782"/>
      <c r="H698" s="1782"/>
      <c r="I698" s="1782"/>
      <c r="J698" s="1782"/>
      <c r="K698" s="1782"/>
      <c r="L698" s="1782"/>
      <c r="M698" s="1782"/>
      <c r="N698" s="1779"/>
    </row>
    <row r="699" spans="1:14" x14ac:dyDescent="0.2">
      <c r="A699" s="1778" t="s">
        <v>14</v>
      </c>
      <c r="B699" s="1782"/>
      <c r="C699" s="1782"/>
      <c r="D699" s="1782"/>
      <c r="E699" s="1782"/>
      <c r="F699" s="1782"/>
      <c r="G699" s="1779"/>
      <c r="H699" s="1136" t="s">
        <v>15</v>
      </c>
      <c r="I699" s="1783" t="s">
        <v>619</v>
      </c>
      <c r="J699" s="1779"/>
      <c r="K699" s="1139" t="s">
        <v>1919</v>
      </c>
      <c r="L699" s="1140" t="s">
        <v>2151</v>
      </c>
      <c r="M699" s="1783" t="s">
        <v>2140</v>
      </c>
      <c r="N699" s="1779"/>
    </row>
    <row r="700" spans="1:14" ht="13.5" x14ac:dyDescent="0.25">
      <c r="A700" s="1817" t="s">
        <v>2168</v>
      </c>
      <c r="B700" s="1849"/>
      <c r="C700" s="1849"/>
      <c r="D700" s="1849"/>
      <c r="E700" s="1849"/>
      <c r="F700" s="1849"/>
      <c r="G700" s="1850"/>
      <c r="H700" s="1032" t="str">
        <f>IF(A700="","",VLOOKUP(A700,'09'!$A$22:$O$168,4,FALSE))</f>
        <v>Cuadrilla</v>
      </c>
      <c r="I700" s="1785">
        <f>IF(A700="","",VLOOKUP(A700,'09'!$A$22:$O$168,5,FALSE))</f>
        <v>204272</v>
      </c>
      <c r="J700" s="1412"/>
      <c r="K700" s="1034">
        <f>IF(A700="","",'03'!$I$2)</f>
        <v>1.88995</v>
      </c>
      <c r="L700" s="1142">
        <v>5.5</v>
      </c>
      <c r="M700" s="1780">
        <f>I700*K700/L700</f>
        <v>70193.430254545456</v>
      </c>
      <c r="N700" s="1779"/>
    </row>
    <row r="701" spans="1:14" ht="13.5" x14ac:dyDescent="0.25">
      <c r="A701" s="1830"/>
      <c r="B701" s="1831"/>
      <c r="C701" s="1831"/>
      <c r="D701" s="1831"/>
      <c r="E701" s="1831"/>
      <c r="F701" s="1831"/>
      <c r="G701" s="1832"/>
      <c r="H701" s="1137"/>
      <c r="I701" s="1780"/>
      <c r="J701" s="1779"/>
      <c r="K701" s="1141"/>
      <c r="L701" s="1141"/>
      <c r="M701" s="1780"/>
      <c r="N701" s="1779"/>
    </row>
    <row r="702" spans="1:14" ht="13.5" x14ac:dyDescent="0.25">
      <c r="A702" s="1830"/>
      <c r="B702" s="1831"/>
      <c r="C702" s="1831"/>
      <c r="D702" s="1831"/>
      <c r="E702" s="1831"/>
      <c r="F702" s="1831"/>
      <c r="G702" s="1832"/>
      <c r="H702" s="1137"/>
      <c r="I702" s="1780"/>
      <c r="J702" s="1779"/>
      <c r="K702" s="1141"/>
      <c r="L702" s="1143"/>
      <c r="M702" s="1780"/>
      <c r="N702" s="1779"/>
    </row>
    <row r="703" spans="1:14" ht="13.5" x14ac:dyDescent="0.25">
      <c r="A703" s="1784"/>
      <c r="B703" s="1782"/>
      <c r="C703" s="1782"/>
      <c r="D703" s="1782"/>
      <c r="E703" s="1782"/>
      <c r="F703" s="1782"/>
      <c r="G703" s="1779"/>
      <c r="H703" s="1137"/>
      <c r="I703" s="1780"/>
      <c r="J703" s="1779"/>
      <c r="K703" s="1141"/>
      <c r="L703" s="1143"/>
      <c r="M703" s="1780"/>
      <c r="N703" s="1779"/>
    </row>
    <row r="704" spans="1:14" ht="13.5" x14ac:dyDescent="0.25">
      <c r="A704" s="1784"/>
      <c r="B704" s="1782"/>
      <c r="C704" s="1782"/>
      <c r="D704" s="1782"/>
      <c r="E704" s="1782"/>
      <c r="F704" s="1782"/>
      <c r="G704" s="1779"/>
      <c r="H704" s="1137"/>
      <c r="I704" s="1780"/>
      <c r="J704" s="1779"/>
      <c r="K704" s="1141"/>
      <c r="L704" s="1143"/>
      <c r="M704" s="1780"/>
      <c r="N704" s="1779"/>
    </row>
    <row r="705" spans="1:14" ht="13.5" x14ac:dyDescent="0.25">
      <c r="A705" s="1138"/>
      <c r="B705" s="1138"/>
      <c r="C705" s="1138"/>
      <c r="D705" s="1138"/>
      <c r="E705" s="1138"/>
      <c r="F705" s="1138"/>
      <c r="G705" s="1138"/>
      <c r="H705" s="1138"/>
      <c r="I705" s="1138"/>
      <c r="J705" s="1138"/>
      <c r="K705" s="1778" t="s">
        <v>523</v>
      </c>
      <c r="L705" s="1779"/>
      <c r="M705" s="1780">
        <f>SUM(M700:N704)</f>
        <v>70193.430254545456</v>
      </c>
      <c r="N705" s="1779"/>
    </row>
    <row r="706" spans="1:14" x14ac:dyDescent="0.2">
      <c r="I706" s="1414"/>
      <c r="J706" s="1415"/>
      <c r="K706" s="1415"/>
      <c r="L706" s="1415"/>
      <c r="M706" s="1415"/>
      <c r="N706" s="1415"/>
    </row>
    <row r="707" spans="1:14" ht="13.5" thickBot="1" x14ac:dyDescent="0.25">
      <c r="I707" s="1416"/>
      <c r="J707" s="1416"/>
      <c r="K707" s="1416"/>
      <c r="L707" s="1416"/>
      <c r="M707" s="1416"/>
      <c r="N707" s="1416"/>
    </row>
    <row r="708" spans="1:14" ht="14.25" thickTop="1" x14ac:dyDescent="0.2">
      <c r="I708" s="1417" t="s">
        <v>1829</v>
      </c>
      <c r="J708" s="1418"/>
      <c r="K708" s="1417" t="s">
        <v>2653</v>
      </c>
      <c r="L708" s="1418"/>
      <c r="M708" s="1418"/>
      <c r="N708" s="1418"/>
    </row>
    <row r="709" spans="1:14" ht="13.5" x14ac:dyDescent="0.2">
      <c r="I709" s="1419" t="s">
        <v>1831</v>
      </c>
      <c r="J709" s="1420"/>
      <c r="K709" s="1419"/>
      <c r="L709" s="1420"/>
      <c r="M709" s="1420"/>
      <c r="N709" s="1420"/>
    </row>
    <row r="711" spans="1:14" x14ac:dyDescent="0.2">
      <c r="A711" s="1803" t="s">
        <v>2336</v>
      </c>
      <c r="B711" s="1804"/>
      <c r="C711" s="1804"/>
      <c r="D711" s="1804"/>
      <c r="E711" s="1804"/>
      <c r="F711" s="1804"/>
      <c r="G711" s="1804"/>
      <c r="H711" s="1804"/>
      <c r="I711" s="1804"/>
      <c r="J711" s="1804"/>
      <c r="K711" s="1804"/>
      <c r="L711" s="1804"/>
      <c r="M711" s="1804"/>
      <c r="N711" s="1805"/>
    </row>
    <row r="712" spans="1:14" x14ac:dyDescent="0.2">
      <c r="A712" s="1806"/>
      <c r="B712" s="1807"/>
      <c r="C712" s="1807"/>
      <c r="D712" s="1807"/>
      <c r="E712" s="1807"/>
      <c r="F712" s="1807"/>
      <c r="G712" s="1807"/>
      <c r="H712" s="1807"/>
      <c r="I712" s="1807"/>
      <c r="J712" s="1807"/>
      <c r="K712" s="1807"/>
      <c r="L712" s="1807"/>
      <c r="M712" s="1807"/>
      <c r="N712" s="1808"/>
    </row>
    <row r="713" spans="1:14" ht="13.5" x14ac:dyDescent="0.2">
      <c r="A713" s="1128"/>
      <c r="B713" s="1128"/>
      <c r="C713" s="1128"/>
      <c r="D713" s="1128"/>
      <c r="E713" s="1128"/>
      <c r="F713" s="1128"/>
      <c r="G713" s="1128"/>
      <c r="H713" s="1128"/>
      <c r="I713" s="1128"/>
      <c r="J713" s="1128"/>
      <c r="K713" s="1128"/>
      <c r="L713" s="1128"/>
      <c r="M713" s="1128"/>
      <c r="N713" s="1128"/>
    </row>
    <row r="714" spans="1:14" ht="14.25" x14ac:dyDescent="0.3">
      <c r="A714" s="1104" t="s">
        <v>2300</v>
      </c>
      <c r="B714" s="1129" t="str">
        <f>A711</f>
        <v>SUMINISTRO E INSTALACIÓN PASAMURO HD 8" BXB=0,75M Z=0.375 M.</v>
      </c>
      <c r="C714" s="1130" t="s">
        <v>634</v>
      </c>
      <c r="D714" s="1107" t="s">
        <v>2</v>
      </c>
      <c r="E714" s="1132" t="s">
        <v>1833</v>
      </c>
      <c r="F714" s="1133">
        <f>H714+J714+L714+N714</f>
        <v>1236893.4302545455</v>
      </c>
      <c r="G714" s="1132" t="s">
        <v>2136</v>
      </c>
      <c r="H714" s="1133">
        <f>M732</f>
        <v>500</v>
      </c>
      <c r="I714" s="1132" t="s">
        <v>621</v>
      </c>
      <c r="J714" s="1134">
        <f>M723</f>
        <v>1166200</v>
      </c>
      <c r="K714" s="1132" t="s">
        <v>2137</v>
      </c>
      <c r="L714" s="1133">
        <f>M741</f>
        <v>0</v>
      </c>
      <c r="M714" s="1132" t="s">
        <v>2138</v>
      </c>
      <c r="N714" s="1133">
        <f>M750</f>
        <v>70193.430254545456</v>
      </c>
    </row>
    <row r="715" spans="1:14" ht="13.5" x14ac:dyDescent="0.25">
      <c r="A715" s="1135"/>
      <c r="B715" s="1135"/>
      <c r="C715" s="1135"/>
      <c r="D715" s="1135"/>
      <c r="E715" s="1135"/>
      <c r="F715" s="1135"/>
      <c r="G715" s="1135"/>
      <c r="J715" s="1135"/>
      <c r="K715" s="1135"/>
      <c r="L715" s="1135"/>
      <c r="M715" s="1270" t="s">
        <v>2667</v>
      </c>
      <c r="N715" s="1270">
        <f>+F714*'01'!$O$15</f>
        <v>1600915.999922208</v>
      </c>
    </row>
    <row r="716" spans="1:14" x14ac:dyDescent="0.2">
      <c r="A716" s="1781" t="s">
        <v>2139</v>
      </c>
      <c r="B716" s="1782"/>
      <c r="C716" s="1782"/>
      <c r="D716" s="1782"/>
      <c r="E716" s="1782"/>
      <c r="F716" s="1782"/>
      <c r="G716" s="1782"/>
      <c r="H716" s="1782"/>
      <c r="I716" s="1782"/>
      <c r="J716" s="1782"/>
      <c r="K716" s="1782"/>
      <c r="L716" s="1782"/>
      <c r="M716" s="1782"/>
      <c r="N716" s="1779"/>
    </row>
    <row r="717" spans="1:14" x14ac:dyDescent="0.2">
      <c r="A717" s="1778" t="s">
        <v>14</v>
      </c>
      <c r="B717" s="1782"/>
      <c r="C717" s="1782"/>
      <c r="D717" s="1782"/>
      <c r="E717" s="1782"/>
      <c r="F717" s="1782"/>
      <c r="G717" s="1779"/>
      <c r="H717" s="1136" t="s">
        <v>15</v>
      </c>
      <c r="I717" s="1783" t="s">
        <v>619</v>
      </c>
      <c r="J717" s="1779"/>
      <c r="K717" s="1783" t="s">
        <v>628</v>
      </c>
      <c r="L717" s="1779"/>
      <c r="M717" s="1783" t="s">
        <v>2140</v>
      </c>
      <c r="N717" s="1779"/>
    </row>
    <row r="718" spans="1:14" ht="13.5" customHeight="1" x14ac:dyDescent="0.2">
      <c r="A718" s="1812" t="s">
        <v>1065</v>
      </c>
      <c r="B718" s="1813"/>
      <c r="C718" s="1813"/>
      <c r="D718" s="1813"/>
      <c r="E718" s="1813"/>
      <c r="F718" s="1813"/>
      <c r="G718" s="1814"/>
      <c r="H718" s="1032" t="str">
        <f>IF(A718="","",VLOOKUP(A718,'10'!$C$6:$E$1152,2,FALSE))</f>
        <v>UND</v>
      </c>
      <c r="I718" s="1785">
        <f>IF(A718="","",VLOOKUP(A718,'10'!$C$6:$E$1152,3,FALSE))</f>
        <v>1166200</v>
      </c>
      <c r="J718" s="1412"/>
      <c r="K718" s="1787">
        <v>1</v>
      </c>
      <c r="L718" s="1779"/>
      <c r="M718" s="1780">
        <f>K718*I718</f>
        <v>1166200</v>
      </c>
      <c r="N718" s="1779"/>
    </row>
    <row r="719" spans="1:14" ht="13.5" x14ac:dyDescent="0.2">
      <c r="A719" s="1851"/>
      <c r="B719" s="1852"/>
      <c r="C719" s="1852"/>
      <c r="D719" s="1852"/>
      <c r="E719" s="1852"/>
      <c r="F719" s="1852"/>
      <c r="G719" s="1853"/>
      <c r="H719" s="1137"/>
      <c r="I719" s="1780"/>
      <c r="J719" s="1779"/>
      <c r="K719" s="1787"/>
      <c r="L719" s="1779"/>
      <c r="M719" s="1780"/>
      <c r="N719" s="1779"/>
    </row>
    <row r="720" spans="1:14" ht="13.5" x14ac:dyDescent="0.2">
      <c r="A720" s="1851"/>
      <c r="B720" s="1852"/>
      <c r="C720" s="1852"/>
      <c r="D720" s="1852"/>
      <c r="E720" s="1852"/>
      <c r="F720" s="1852"/>
      <c r="G720" s="1853"/>
      <c r="H720" s="1137"/>
      <c r="I720" s="1780"/>
      <c r="J720" s="1779"/>
      <c r="K720" s="1787"/>
      <c r="L720" s="1779"/>
      <c r="M720" s="1780"/>
      <c r="N720" s="1779"/>
    </row>
    <row r="721" spans="1:14" ht="13.5" x14ac:dyDescent="0.2">
      <c r="A721" s="1862"/>
      <c r="B721" s="1863"/>
      <c r="C721" s="1863"/>
      <c r="D721" s="1863"/>
      <c r="E721" s="1863"/>
      <c r="F721" s="1863"/>
      <c r="G721" s="1864"/>
      <c r="H721" s="1137"/>
      <c r="I721" s="1780"/>
      <c r="J721" s="1779"/>
      <c r="K721" s="1787"/>
      <c r="L721" s="1779"/>
      <c r="M721" s="1780"/>
      <c r="N721" s="1779"/>
    </row>
    <row r="722" spans="1:14" ht="13.5" x14ac:dyDescent="0.2">
      <c r="A722" s="1789"/>
      <c r="B722" s="1782"/>
      <c r="C722" s="1782"/>
      <c r="D722" s="1782"/>
      <c r="E722" s="1782"/>
      <c r="F722" s="1782"/>
      <c r="G722" s="1779"/>
      <c r="H722" s="1137"/>
      <c r="I722" s="1780"/>
      <c r="J722" s="1779"/>
      <c r="K722" s="1787"/>
      <c r="L722" s="1779"/>
      <c r="M722" s="1780"/>
      <c r="N722" s="1779"/>
    </row>
    <row r="723" spans="1:14" ht="13.5" x14ac:dyDescent="0.25">
      <c r="A723" s="1138"/>
      <c r="B723" s="1138"/>
      <c r="C723" s="1138"/>
      <c r="D723" s="1138"/>
      <c r="E723" s="1138"/>
      <c r="F723" s="1138"/>
      <c r="G723" s="1138"/>
      <c r="H723" s="1138"/>
      <c r="I723" s="1138"/>
      <c r="J723" s="1138"/>
      <c r="K723" s="1778" t="s">
        <v>523</v>
      </c>
      <c r="L723" s="1779"/>
      <c r="M723" s="1780">
        <f>SUM(M718:N722)</f>
        <v>1166200</v>
      </c>
      <c r="N723" s="1779"/>
    </row>
    <row r="724" spans="1:14" ht="13.5" x14ac:dyDescent="0.25">
      <c r="A724" s="1138"/>
      <c r="B724" s="1138"/>
      <c r="C724" s="1138"/>
      <c r="D724" s="1138"/>
      <c r="E724" s="1138"/>
      <c r="F724" s="1138"/>
      <c r="G724" s="1138"/>
      <c r="H724" s="1138"/>
      <c r="I724" s="1138"/>
      <c r="J724" s="1138"/>
      <c r="K724" s="1138"/>
      <c r="L724" s="1138"/>
      <c r="M724" s="1138"/>
      <c r="N724" s="1138"/>
    </row>
    <row r="725" spans="1:14" x14ac:dyDescent="0.2">
      <c r="A725" s="1781" t="s">
        <v>2145</v>
      </c>
      <c r="B725" s="1782"/>
      <c r="C725" s="1782"/>
      <c r="D725" s="1782"/>
      <c r="E725" s="1782"/>
      <c r="F725" s="1782"/>
      <c r="G725" s="1782"/>
      <c r="H725" s="1782"/>
      <c r="I725" s="1782"/>
      <c r="J725" s="1782"/>
      <c r="K725" s="1782"/>
      <c r="L725" s="1782"/>
      <c r="M725" s="1782"/>
      <c r="N725" s="1779"/>
    </row>
    <row r="726" spans="1:14" x14ac:dyDescent="0.2">
      <c r="A726" s="1778" t="s">
        <v>14</v>
      </c>
      <c r="B726" s="1782"/>
      <c r="C726" s="1782"/>
      <c r="D726" s="1782"/>
      <c r="E726" s="1782"/>
      <c r="F726" s="1782"/>
      <c r="G726" s="1779"/>
      <c r="H726" s="1136" t="s">
        <v>15</v>
      </c>
      <c r="I726" s="1783" t="s">
        <v>619</v>
      </c>
      <c r="J726" s="1779"/>
      <c r="K726" s="1783" t="s">
        <v>610</v>
      </c>
      <c r="L726" s="1779"/>
      <c r="M726" s="1783" t="s">
        <v>2140</v>
      </c>
      <c r="N726" s="1779"/>
    </row>
    <row r="727" spans="1:14" ht="13.5" x14ac:dyDescent="0.2">
      <c r="A727" s="1836" t="s">
        <v>131</v>
      </c>
      <c r="B727" s="1837"/>
      <c r="C727" s="1837"/>
      <c r="D727" s="1837"/>
      <c r="E727" s="1837"/>
      <c r="F727" s="1837"/>
      <c r="G727" s="1838"/>
      <c r="H727" s="1032" t="str">
        <f>IF(A727="","",VLOOKUP(A727,'11'!$C$6:$E$87,2,FALSE))</f>
        <v>DIA</v>
      </c>
      <c r="I727" s="1785">
        <f>IF(A727="","",VLOOKUP(A727,'11'!$C$6:$E$87,3,FALSE))</f>
        <v>15000</v>
      </c>
      <c r="J727" s="1412"/>
      <c r="K727" s="1787">
        <v>30</v>
      </c>
      <c r="L727" s="1793"/>
      <c r="M727" s="1780">
        <f>I727/K727</f>
        <v>500</v>
      </c>
      <c r="N727" s="1779"/>
    </row>
    <row r="728" spans="1:14" ht="13.5" x14ac:dyDescent="0.2">
      <c r="A728" s="1839"/>
      <c r="B728" s="1840"/>
      <c r="C728" s="1840"/>
      <c r="D728" s="1840"/>
      <c r="E728" s="1840"/>
      <c r="F728" s="1840"/>
      <c r="G728" s="1841"/>
      <c r="H728" s="1137"/>
      <c r="I728" s="1780"/>
      <c r="J728" s="1779"/>
      <c r="K728" s="1794"/>
      <c r="L728" s="1779"/>
      <c r="M728" s="1780"/>
      <c r="N728" s="1779"/>
    </row>
    <row r="729" spans="1:14" ht="13.5" x14ac:dyDescent="0.2">
      <c r="A729" s="1836"/>
      <c r="B729" s="1837"/>
      <c r="C729" s="1837"/>
      <c r="D729" s="1837"/>
      <c r="E729" s="1837"/>
      <c r="F729" s="1837"/>
      <c r="G729" s="1838"/>
      <c r="H729" s="1137"/>
      <c r="I729" s="1780"/>
      <c r="J729" s="1779"/>
      <c r="K729" s="1787"/>
      <c r="L729" s="1779"/>
      <c r="M729" s="1780"/>
      <c r="N729" s="1779"/>
    </row>
    <row r="730" spans="1:14" ht="13.5" x14ac:dyDescent="0.2">
      <c r="A730" s="1836"/>
      <c r="B730" s="1837"/>
      <c r="C730" s="1837"/>
      <c r="D730" s="1837"/>
      <c r="E730" s="1837"/>
      <c r="F730" s="1837"/>
      <c r="G730" s="1838"/>
      <c r="H730" s="1137"/>
      <c r="I730" s="1780"/>
      <c r="J730" s="1779"/>
      <c r="K730" s="1787"/>
      <c r="L730" s="1779"/>
      <c r="M730" s="1780"/>
      <c r="N730" s="1779"/>
    </row>
    <row r="731" spans="1:14" ht="13.5" x14ac:dyDescent="0.2">
      <c r="A731" s="1789"/>
      <c r="B731" s="1790"/>
      <c r="C731" s="1790"/>
      <c r="D731" s="1790"/>
      <c r="E731" s="1790"/>
      <c r="F731" s="1790"/>
      <c r="G731" s="1791"/>
      <c r="H731" s="1137"/>
      <c r="I731" s="1780"/>
      <c r="J731" s="1779"/>
      <c r="K731" s="1787"/>
      <c r="L731" s="1779"/>
      <c r="M731" s="1780"/>
      <c r="N731" s="1779"/>
    </row>
    <row r="732" spans="1:14" ht="13.5" x14ac:dyDescent="0.25">
      <c r="A732" s="1138"/>
      <c r="B732" s="1138"/>
      <c r="C732" s="1138"/>
      <c r="D732" s="1138"/>
      <c r="E732" s="1138"/>
      <c r="F732" s="1138"/>
      <c r="G732" s="1138"/>
      <c r="H732" s="1138"/>
      <c r="I732" s="1138"/>
      <c r="J732" s="1138"/>
      <c r="K732" s="1778" t="s">
        <v>523</v>
      </c>
      <c r="L732" s="1779"/>
      <c r="M732" s="1780">
        <f>SUM(M727:N731)</f>
        <v>500</v>
      </c>
      <c r="N732" s="1779"/>
    </row>
    <row r="733" spans="1:14" ht="13.5" x14ac:dyDescent="0.25">
      <c r="A733" s="1138"/>
      <c r="B733" s="1138"/>
      <c r="C733" s="1138"/>
      <c r="D733" s="1138"/>
      <c r="E733" s="1138"/>
      <c r="F733" s="1138"/>
      <c r="G733" s="1138"/>
      <c r="H733" s="1138"/>
      <c r="I733" s="1138"/>
      <c r="J733" s="1138"/>
      <c r="K733" s="1138"/>
      <c r="L733" s="1138"/>
      <c r="M733" s="1138"/>
      <c r="N733" s="1138"/>
    </row>
    <row r="734" spans="1:14" x14ac:dyDescent="0.2">
      <c r="A734" s="1781" t="s">
        <v>2147</v>
      </c>
      <c r="B734" s="1782"/>
      <c r="C734" s="1782"/>
      <c r="D734" s="1782"/>
      <c r="E734" s="1782"/>
      <c r="F734" s="1782"/>
      <c r="G734" s="1782"/>
      <c r="H734" s="1782"/>
      <c r="I734" s="1782"/>
      <c r="J734" s="1782"/>
      <c r="K734" s="1782"/>
      <c r="L734" s="1782"/>
      <c r="M734" s="1782"/>
      <c r="N734" s="1779"/>
    </row>
    <row r="735" spans="1:14" x14ac:dyDescent="0.2">
      <c r="A735" s="1778" t="s">
        <v>14</v>
      </c>
      <c r="B735" s="1782"/>
      <c r="C735" s="1782"/>
      <c r="D735" s="1782"/>
      <c r="E735" s="1782"/>
      <c r="F735" s="1782"/>
      <c r="G735" s="1779"/>
      <c r="H735" s="1136" t="s">
        <v>15</v>
      </c>
      <c r="I735" s="1783" t="s">
        <v>619</v>
      </c>
      <c r="J735" s="1779"/>
      <c r="K735" s="1783" t="s">
        <v>628</v>
      </c>
      <c r="L735" s="1779"/>
      <c r="M735" s="1783" t="s">
        <v>2140</v>
      </c>
      <c r="N735" s="1779"/>
    </row>
    <row r="736" spans="1:14" ht="13.5" x14ac:dyDescent="0.2">
      <c r="A736" s="1789"/>
      <c r="B736" s="1790"/>
      <c r="C736" s="1790"/>
      <c r="D736" s="1790"/>
      <c r="E736" s="1790"/>
      <c r="F736" s="1790"/>
      <c r="G736" s="1791"/>
      <c r="H736" s="1137"/>
      <c r="I736" s="1780"/>
      <c r="J736" s="1779"/>
      <c r="K736" s="1787"/>
      <c r="L736" s="1779"/>
      <c r="M736" s="1780"/>
      <c r="N736" s="1779"/>
    </row>
    <row r="737" spans="1:14" ht="13.5" x14ac:dyDescent="0.2">
      <c r="A737" s="1126"/>
      <c r="B737" s="1145"/>
      <c r="C737" s="1145"/>
      <c r="D737" s="1145"/>
      <c r="E737" s="1145"/>
      <c r="F737" s="1145"/>
      <c r="G737" s="1146"/>
      <c r="H737" s="1032"/>
      <c r="I737" s="1780"/>
      <c r="J737" s="1779"/>
      <c r="K737" s="1787"/>
      <c r="L737" s="1779"/>
      <c r="M737" s="1780"/>
      <c r="N737" s="1779"/>
    </row>
    <row r="738" spans="1:14" ht="13.5" x14ac:dyDescent="0.2">
      <c r="A738" s="1126"/>
      <c r="B738" s="1145"/>
      <c r="C738" s="1145"/>
      <c r="D738" s="1145"/>
      <c r="E738" s="1145"/>
      <c r="F738" s="1145"/>
      <c r="G738" s="1146"/>
      <c r="H738" s="1032"/>
      <c r="I738" s="1780"/>
      <c r="J738" s="1779"/>
      <c r="K738" s="1788"/>
      <c r="L738" s="1779"/>
      <c r="M738" s="1780"/>
      <c r="N738" s="1779"/>
    </row>
    <row r="739" spans="1:14" ht="13.5" x14ac:dyDescent="0.2">
      <c r="A739" s="1789"/>
      <c r="B739" s="1782"/>
      <c r="C739" s="1782"/>
      <c r="D739" s="1782"/>
      <c r="E739" s="1782"/>
      <c r="F739" s="1782"/>
      <c r="G739" s="1779"/>
      <c r="H739" s="1137"/>
      <c r="I739" s="1780"/>
      <c r="J739" s="1779"/>
      <c r="K739" s="1787"/>
      <c r="L739" s="1779"/>
      <c r="M739" s="1780"/>
      <c r="N739" s="1779"/>
    </row>
    <row r="740" spans="1:14" ht="13.5" x14ac:dyDescent="0.2">
      <c r="A740" s="1789"/>
      <c r="B740" s="1782"/>
      <c r="C740" s="1782"/>
      <c r="D740" s="1782"/>
      <c r="E740" s="1782"/>
      <c r="F740" s="1782"/>
      <c r="G740" s="1779"/>
      <c r="H740" s="1137"/>
      <c r="I740" s="1780"/>
      <c r="J740" s="1779"/>
      <c r="K740" s="1787"/>
      <c r="L740" s="1779"/>
      <c r="M740" s="1780"/>
      <c r="N740" s="1779"/>
    </row>
    <row r="741" spans="1:14" ht="13.5" x14ac:dyDescent="0.25">
      <c r="A741" s="1138"/>
      <c r="B741" s="1138"/>
      <c r="C741" s="1138"/>
      <c r="D741" s="1138"/>
      <c r="E741" s="1138"/>
      <c r="F741" s="1138"/>
      <c r="G741" s="1138"/>
      <c r="H741" s="1138"/>
      <c r="I741" s="1138"/>
      <c r="J741" s="1138"/>
      <c r="K741" s="1778" t="s">
        <v>523</v>
      </c>
      <c r="L741" s="1779"/>
      <c r="M741" s="1780">
        <f>SUM(M736:N740)</f>
        <v>0</v>
      </c>
      <c r="N741" s="1779"/>
    </row>
    <row r="742" spans="1:14" ht="13.5" x14ac:dyDescent="0.25">
      <c r="A742" s="1138"/>
      <c r="B742" s="1138"/>
      <c r="C742" s="1138"/>
      <c r="D742" s="1138"/>
      <c r="E742" s="1138"/>
      <c r="F742" s="1138"/>
      <c r="G742" s="1138"/>
      <c r="H742" s="1138"/>
      <c r="I742" s="1138"/>
      <c r="J742" s="1138"/>
      <c r="K742" s="1138"/>
      <c r="L742" s="1138"/>
      <c r="M742" s="1138"/>
      <c r="N742" s="1138"/>
    </row>
    <row r="743" spans="1:14" x14ac:dyDescent="0.2">
      <c r="A743" s="1781" t="s">
        <v>2150</v>
      </c>
      <c r="B743" s="1782"/>
      <c r="C743" s="1782"/>
      <c r="D743" s="1782"/>
      <c r="E743" s="1782"/>
      <c r="F743" s="1782"/>
      <c r="G743" s="1782"/>
      <c r="H743" s="1782"/>
      <c r="I743" s="1782"/>
      <c r="J743" s="1782"/>
      <c r="K743" s="1782"/>
      <c r="L743" s="1782"/>
      <c r="M743" s="1782"/>
      <c r="N743" s="1779"/>
    </row>
    <row r="744" spans="1:14" x14ac:dyDescent="0.2">
      <c r="A744" s="1778" t="s">
        <v>14</v>
      </c>
      <c r="B744" s="1782"/>
      <c r="C744" s="1782"/>
      <c r="D744" s="1782"/>
      <c r="E744" s="1782"/>
      <c r="F744" s="1782"/>
      <c r="G744" s="1779"/>
      <c r="H744" s="1136" t="s">
        <v>15</v>
      </c>
      <c r="I744" s="1783" t="s">
        <v>619</v>
      </c>
      <c r="J744" s="1779"/>
      <c r="K744" s="1139" t="s">
        <v>1919</v>
      </c>
      <c r="L744" s="1140" t="s">
        <v>2151</v>
      </c>
      <c r="M744" s="1783" t="s">
        <v>2140</v>
      </c>
      <c r="N744" s="1779"/>
    </row>
    <row r="745" spans="1:14" ht="13.5" x14ac:dyDescent="0.25">
      <c r="A745" s="1817" t="s">
        <v>2168</v>
      </c>
      <c r="B745" s="1849"/>
      <c r="C745" s="1849"/>
      <c r="D745" s="1849"/>
      <c r="E745" s="1849"/>
      <c r="F745" s="1849"/>
      <c r="G745" s="1850"/>
      <c r="H745" s="1032" t="str">
        <f>IF(A745="","",VLOOKUP(A745,'09'!$A$22:$O$168,4,FALSE))</f>
        <v>Cuadrilla</v>
      </c>
      <c r="I745" s="1785">
        <f>IF(A745="","",VLOOKUP(A745,'09'!$A$22:$O$168,5,FALSE))</f>
        <v>204272</v>
      </c>
      <c r="J745" s="1412"/>
      <c r="K745" s="1034">
        <f>IF(A745="","",'03'!$I$2)</f>
        <v>1.88995</v>
      </c>
      <c r="L745" s="1142">
        <v>5.5</v>
      </c>
      <c r="M745" s="1780">
        <f>I745*K745/L745</f>
        <v>70193.430254545456</v>
      </c>
      <c r="N745" s="1779"/>
    </row>
    <row r="746" spans="1:14" ht="13.5" x14ac:dyDescent="0.25">
      <c r="A746" s="1830"/>
      <c r="B746" s="1831"/>
      <c r="C746" s="1831"/>
      <c r="D746" s="1831"/>
      <c r="E746" s="1831"/>
      <c r="F746" s="1831"/>
      <c r="G746" s="1832"/>
      <c r="H746" s="1137"/>
      <c r="I746" s="1780"/>
      <c r="J746" s="1779"/>
      <c r="K746" s="1141"/>
      <c r="L746" s="1141"/>
      <c r="M746" s="1780"/>
      <c r="N746" s="1779"/>
    </row>
    <row r="747" spans="1:14" ht="13.5" x14ac:dyDescent="0.25">
      <c r="A747" s="1830"/>
      <c r="B747" s="1831"/>
      <c r="C747" s="1831"/>
      <c r="D747" s="1831"/>
      <c r="E747" s="1831"/>
      <c r="F747" s="1831"/>
      <c r="G747" s="1832"/>
      <c r="H747" s="1137"/>
      <c r="I747" s="1780"/>
      <c r="J747" s="1779"/>
      <c r="K747" s="1141"/>
      <c r="L747" s="1143"/>
      <c r="M747" s="1780"/>
      <c r="N747" s="1779"/>
    </row>
    <row r="748" spans="1:14" ht="13.5" x14ac:dyDescent="0.25">
      <c r="A748" s="1784"/>
      <c r="B748" s="1782"/>
      <c r="C748" s="1782"/>
      <c r="D748" s="1782"/>
      <c r="E748" s="1782"/>
      <c r="F748" s="1782"/>
      <c r="G748" s="1779"/>
      <c r="H748" s="1137"/>
      <c r="I748" s="1780"/>
      <c r="J748" s="1779"/>
      <c r="K748" s="1141"/>
      <c r="L748" s="1143"/>
      <c r="M748" s="1780"/>
      <c r="N748" s="1779"/>
    </row>
    <row r="749" spans="1:14" ht="13.5" x14ac:dyDescent="0.25">
      <c r="A749" s="1784"/>
      <c r="B749" s="1782"/>
      <c r="C749" s="1782"/>
      <c r="D749" s="1782"/>
      <c r="E749" s="1782"/>
      <c r="F749" s="1782"/>
      <c r="G749" s="1779"/>
      <c r="H749" s="1137"/>
      <c r="I749" s="1780"/>
      <c r="J749" s="1779"/>
      <c r="K749" s="1141"/>
      <c r="L749" s="1143"/>
      <c r="M749" s="1780"/>
      <c r="N749" s="1779"/>
    </row>
    <row r="750" spans="1:14" ht="13.5" x14ac:dyDescent="0.25">
      <c r="A750" s="1138"/>
      <c r="B750" s="1138"/>
      <c r="C750" s="1138"/>
      <c r="D750" s="1138"/>
      <c r="E750" s="1138"/>
      <c r="F750" s="1138"/>
      <c r="G750" s="1138"/>
      <c r="H750" s="1138"/>
      <c r="I750" s="1138"/>
      <c r="J750" s="1138"/>
      <c r="K750" s="1778" t="s">
        <v>523</v>
      </c>
      <c r="L750" s="1779"/>
      <c r="M750" s="1780">
        <f>SUM(M745:N749)</f>
        <v>70193.430254545456</v>
      </c>
      <c r="N750" s="1779"/>
    </row>
    <row r="751" spans="1:14" x14ac:dyDescent="0.2">
      <c r="I751" s="1414"/>
      <c r="J751" s="1415"/>
      <c r="K751" s="1415"/>
      <c r="L751" s="1415"/>
      <c r="M751" s="1415"/>
      <c r="N751" s="1415"/>
    </row>
    <row r="752" spans="1:14" ht="13.5" thickBot="1" x14ac:dyDescent="0.25">
      <c r="I752" s="1416"/>
      <c r="J752" s="1416"/>
      <c r="K752" s="1416"/>
      <c r="L752" s="1416"/>
      <c r="M752" s="1416"/>
      <c r="N752" s="1416"/>
    </row>
    <row r="753" spans="1:14" ht="14.25" thickTop="1" x14ac:dyDescent="0.2">
      <c r="I753" s="1417" t="s">
        <v>1829</v>
      </c>
      <c r="J753" s="1418"/>
      <c r="K753" s="1417" t="s">
        <v>2653</v>
      </c>
      <c r="L753" s="1418"/>
      <c r="M753" s="1418"/>
      <c r="N753" s="1418"/>
    </row>
    <row r="754" spans="1:14" ht="13.5" x14ac:dyDescent="0.2">
      <c r="I754" s="1419" t="s">
        <v>1831</v>
      </c>
      <c r="J754" s="1420"/>
      <c r="K754" s="1419"/>
      <c r="L754" s="1420"/>
      <c r="M754" s="1420"/>
      <c r="N754" s="1420"/>
    </row>
    <row r="756" spans="1:14" x14ac:dyDescent="0.2">
      <c r="A756" s="1803" t="s">
        <v>2337</v>
      </c>
      <c r="B756" s="1804"/>
      <c r="C756" s="1804"/>
      <c r="D756" s="1804"/>
      <c r="E756" s="1804"/>
      <c r="F756" s="1804"/>
      <c r="G756" s="1804"/>
      <c r="H756" s="1804"/>
      <c r="I756" s="1804"/>
      <c r="J756" s="1804"/>
      <c r="K756" s="1804"/>
      <c r="L756" s="1804"/>
      <c r="M756" s="1804"/>
      <c r="N756" s="1805"/>
    </row>
    <row r="757" spans="1:14" x14ac:dyDescent="0.2">
      <c r="A757" s="1806"/>
      <c r="B757" s="1807"/>
      <c r="C757" s="1807"/>
      <c r="D757" s="1807"/>
      <c r="E757" s="1807"/>
      <c r="F757" s="1807"/>
      <c r="G757" s="1807"/>
      <c r="H757" s="1807"/>
      <c r="I757" s="1807"/>
      <c r="J757" s="1807"/>
      <c r="K757" s="1807"/>
      <c r="L757" s="1807"/>
      <c r="M757" s="1807"/>
      <c r="N757" s="1808"/>
    </row>
    <row r="758" spans="1:14" ht="13.5" x14ac:dyDescent="0.2">
      <c r="A758" s="1128"/>
      <c r="B758" s="1128"/>
      <c r="C758" s="1128"/>
      <c r="D758" s="1128"/>
      <c r="E758" s="1128"/>
      <c r="F758" s="1128"/>
      <c r="G758" s="1128"/>
      <c r="H758" s="1128"/>
      <c r="I758" s="1128"/>
      <c r="J758" s="1128"/>
      <c r="K758" s="1128"/>
      <c r="L758" s="1128"/>
      <c r="M758" s="1128"/>
      <c r="N758" s="1128"/>
    </row>
    <row r="759" spans="1:14" ht="14.25" x14ac:dyDescent="0.3">
      <c r="A759" s="1104" t="s">
        <v>2301</v>
      </c>
      <c r="B759" s="1129" t="str">
        <f>A756</f>
        <v>SUMINISTRO E INSTALACIÓN VÁLVULA DE COMPUERTA ELASTICA VASTAGO NO ASCENDENTE EXTREMO BRIDADO PARA PVC DIAMETRO 6".</v>
      </c>
      <c r="C759" s="1130" t="s">
        <v>634</v>
      </c>
      <c r="D759" s="1107" t="s">
        <v>2</v>
      </c>
      <c r="E759" s="1132" t="s">
        <v>1833</v>
      </c>
      <c r="F759" s="1133">
        <f>H759+J759+L759+N759</f>
        <v>2563998.3199999998</v>
      </c>
      <c r="G759" s="1132" t="s">
        <v>2136</v>
      </c>
      <c r="H759" s="1133">
        <f>M780</f>
        <v>500</v>
      </c>
      <c r="I759" s="1132" t="s">
        <v>621</v>
      </c>
      <c r="J759" s="1134">
        <f>M771</f>
        <v>2434738.36</v>
      </c>
      <c r="K759" s="1132" t="s">
        <v>2137</v>
      </c>
      <c r="L759" s="1133">
        <f>M789</f>
        <v>72</v>
      </c>
      <c r="M759" s="1132" t="s">
        <v>2138</v>
      </c>
      <c r="N759" s="1133">
        <f>M798</f>
        <v>128687.96</v>
      </c>
    </row>
    <row r="760" spans="1:14" ht="13.5" x14ac:dyDescent="0.25">
      <c r="A760" s="1135"/>
      <c r="B760" s="1135"/>
      <c r="C760" s="1135"/>
      <c r="D760" s="1135"/>
      <c r="E760" s="1135"/>
      <c r="F760" s="1135"/>
      <c r="G760" s="1135"/>
      <c r="J760" s="1135"/>
      <c r="K760" s="1135"/>
      <c r="L760" s="1135"/>
      <c r="M760" s="1270" t="s">
        <v>2667</v>
      </c>
      <c r="N760" s="1270">
        <f>+F759*'01'!$O$15</f>
        <v>3318593.0443635131</v>
      </c>
    </row>
    <row r="761" spans="1:14" x14ac:dyDescent="0.2">
      <c r="A761" s="1781" t="s">
        <v>2139</v>
      </c>
      <c r="B761" s="1782"/>
      <c r="C761" s="1782"/>
      <c r="D761" s="1782"/>
      <c r="E761" s="1782"/>
      <c r="F761" s="1782"/>
      <c r="G761" s="1782"/>
      <c r="H761" s="1782"/>
      <c r="I761" s="1782"/>
      <c r="J761" s="1782"/>
      <c r="K761" s="1782"/>
      <c r="L761" s="1782"/>
      <c r="M761" s="1782"/>
      <c r="N761" s="1779"/>
    </row>
    <row r="762" spans="1:14" x14ac:dyDescent="0.2">
      <c r="A762" s="1848" t="s">
        <v>14</v>
      </c>
      <c r="B762" s="1804"/>
      <c r="C762" s="1804"/>
      <c r="D762" s="1804"/>
      <c r="E762" s="1804"/>
      <c r="F762" s="1804"/>
      <c r="G762" s="1805"/>
      <c r="H762" s="1136" t="s">
        <v>15</v>
      </c>
      <c r="I762" s="1783" t="s">
        <v>619</v>
      </c>
      <c r="J762" s="1779"/>
      <c r="K762" s="1783" t="s">
        <v>628</v>
      </c>
      <c r="L762" s="1779"/>
      <c r="M762" s="1783" t="s">
        <v>2140</v>
      </c>
      <c r="N762" s="1779"/>
    </row>
    <row r="763" spans="1:14" ht="30" customHeight="1" x14ac:dyDescent="0.2">
      <c r="A763" s="1812" t="str">
        <f>'10'!C$81</f>
        <v>VALVULA DE COMPUERTA VASTAGO NO ASCENDENTE SELLO ELASTICO, CAPERUZA, EXTREMO BRIDA DE 6".</v>
      </c>
      <c r="B763" s="1813"/>
      <c r="C763" s="1813"/>
      <c r="D763" s="1813"/>
      <c r="E763" s="1813"/>
      <c r="F763" s="1813"/>
      <c r="G763" s="1814"/>
      <c r="H763" s="1032" t="str">
        <f>IF(A763="","",VLOOKUP(A763,'10'!$C$6:$E$1152,2,FALSE))</f>
        <v>UND</v>
      </c>
      <c r="I763" s="1785">
        <f>IF(A763="","",VLOOKUP(A763,'10'!$C$6:$E$1152,3,FALSE))</f>
        <v>2033710</v>
      </c>
      <c r="J763" s="1412"/>
      <c r="K763" s="1787">
        <v>1</v>
      </c>
      <c r="L763" s="1779"/>
      <c r="M763" s="1780">
        <f>K763*I763</f>
        <v>2033710</v>
      </c>
      <c r="N763" s="1779"/>
    </row>
    <row r="764" spans="1:14" ht="13.5" customHeight="1" x14ac:dyDescent="0.2">
      <c r="A764" s="1812" t="str">
        <f>'10'!C$44</f>
        <v>BRIDA AJUSTABLE PVC DE 6" SCH80 150 PSI</v>
      </c>
      <c r="B764" s="1813"/>
      <c r="C764" s="1813"/>
      <c r="D764" s="1813"/>
      <c r="E764" s="1813"/>
      <c r="F764" s="1813"/>
      <c r="G764" s="1814"/>
      <c r="H764" s="1032" t="str">
        <f>IF(A764="","",VLOOKUP(A764,'10'!$C$6:$E$1152,2,FALSE))</f>
        <v>UND</v>
      </c>
      <c r="I764" s="1785">
        <f>IF(A764="","",VLOOKUP(A764,'10'!$C$6:$E$1152,3,FALSE))</f>
        <v>140475</v>
      </c>
      <c r="J764" s="1412"/>
      <c r="K764" s="1787">
        <v>2</v>
      </c>
      <c r="L764" s="1779"/>
      <c r="M764" s="1780">
        <f t="shared" ref="M764:M768" si="42">K764*I764</f>
        <v>280950</v>
      </c>
      <c r="N764" s="1779"/>
    </row>
    <row r="765" spans="1:14" ht="13.5" customHeight="1" x14ac:dyDescent="0.2">
      <c r="A765" s="1812" t="str">
        <f>'10'!C$18</f>
        <v>TORNILLO ZINCADO DE 3/4"x5", CON TUERCA Y ARANDELA.</v>
      </c>
      <c r="B765" s="1813"/>
      <c r="C765" s="1813"/>
      <c r="D765" s="1813"/>
      <c r="E765" s="1813"/>
      <c r="F765" s="1813"/>
      <c r="G765" s="1814"/>
      <c r="H765" s="1032" t="str">
        <f>IF(A765="","",VLOOKUP(A765,'10'!$C$6:$E$1152,2,FALSE))</f>
        <v>UND</v>
      </c>
      <c r="I765" s="1785">
        <f>IF(A765="","",VLOOKUP(A765,'10'!$C$6:$E$1152,3,FALSE))</f>
        <v>4000</v>
      </c>
      <c r="J765" s="1412"/>
      <c r="K765" s="1787">
        <v>16</v>
      </c>
      <c r="L765" s="1779"/>
      <c r="M765" s="1780">
        <f t="shared" si="42"/>
        <v>64000</v>
      </c>
      <c r="N765" s="1779"/>
    </row>
    <row r="766" spans="1:14" ht="13.5" customHeight="1" x14ac:dyDescent="0.2">
      <c r="A766" s="1812" t="str">
        <f>'10'!C$107</f>
        <v>EMPAQUE EN CAUCHO PARA BRIDA DE 6" CON 8 PERFORACIONES DE 7/8"</v>
      </c>
      <c r="B766" s="1813"/>
      <c r="C766" s="1813"/>
      <c r="D766" s="1813"/>
      <c r="E766" s="1813"/>
      <c r="F766" s="1813"/>
      <c r="G766" s="1814"/>
      <c r="H766" s="1032" t="str">
        <f>IF(A766="","",VLOOKUP(A766,'10'!$C$6:$E$1152,2,FALSE))</f>
        <v>UND</v>
      </c>
      <c r="I766" s="1785">
        <f>IF(A766="","",VLOOKUP(A766,'10'!$C$6:$E$1152,3,FALSE))</f>
        <v>25000</v>
      </c>
      <c r="J766" s="1412"/>
      <c r="K766" s="1787">
        <v>2</v>
      </c>
      <c r="L766" s="1779"/>
      <c r="M766" s="1780">
        <f t="shared" si="42"/>
        <v>50000</v>
      </c>
      <c r="N766" s="1779"/>
    </row>
    <row r="767" spans="1:14" ht="13.5" customHeight="1" x14ac:dyDescent="0.2">
      <c r="A767" s="1812" t="str">
        <f>'10'!C$58</f>
        <v>LIMPIADOR/REMOVEDOR PVC 760 g (1/4 Gal)</v>
      </c>
      <c r="B767" s="1813"/>
      <c r="C767" s="1813"/>
      <c r="D767" s="1813"/>
      <c r="E767" s="1813"/>
      <c r="F767" s="1813"/>
      <c r="G767" s="1814"/>
      <c r="H767" s="1032" t="str">
        <f>IF(A767="","",VLOOKUP(A767,'10'!$C$6:$E$1152,2,FALSE))</f>
        <v>UND</v>
      </c>
      <c r="I767" s="1785">
        <f>IF(A767="","",VLOOKUP(A767,'10'!$C$6:$E$1152,3,FALSE))</f>
        <v>65913</v>
      </c>
      <c r="J767" s="1412"/>
      <c r="K767" s="1787">
        <v>0.03</v>
      </c>
      <c r="L767" s="1779"/>
      <c r="M767" s="1780">
        <f t="shared" si="42"/>
        <v>1977.3899999999999</v>
      </c>
      <c r="N767" s="1779"/>
    </row>
    <row r="768" spans="1:14" ht="13.5" customHeight="1" x14ac:dyDescent="0.2">
      <c r="A768" s="1812" t="str">
        <f>'10'!C$63</f>
        <v>SOLDADURA LIQUIDA  PVC.  (1/4 Gal )</v>
      </c>
      <c r="B768" s="1813"/>
      <c r="C768" s="1813"/>
      <c r="D768" s="1813"/>
      <c r="E768" s="1813"/>
      <c r="F768" s="1813"/>
      <c r="G768" s="1814"/>
      <c r="H768" s="1032" t="str">
        <f>IF(A768="","",VLOOKUP(A768,'10'!$C$6:$E$1152,2,FALSE))</f>
        <v>UND</v>
      </c>
      <c r="I768" s="1785">
        <f>IF(A768="","",VLOOKUP(A768,'10'!$C$6:$E$1152,3,FALSE))</f>
        <v>136699</v>
      </c>
      <c r="J768" s="1412"/>
      <c r="K768" s="1787">
        <v>0.03</v>
      </c>
      <c r="L768" s="1779"/>
      <c r="M768" s="1780">
        <f t="shared" si="42"/>
        <v>4100.97</v>
      </c>
      <c r="N768" s="1779"/>
    </row>
    <row r="769" spans="1:14" ht="13.5" customHeight="1" x14ac:dyDescent="0.2">
      <c r="A769" s="1809"/>
      <c r="B769" s="1810"/>
      <c r="C769" s="1810"/>
      <c r="D769" s="1810"/>
      <c r="E769" s="1810"/>
      <c r="F769" s="1810"/>
      <c r="G769" s="1811"/>
      <c r="H769" s="1032"/>
      <c r="I769" s="1785"/>
      <c r="J769" s="1412"/>
      <c r="K769" s="1787"/>
      <c r="L769" s="1779"/>
      <c r="M769" s="1780"/>
      <c r="N769" s="1779"/>
    </row>
    <row r="770" spans="1:14" ht="13.5" customHeight="1" x14ac:dyDescent="0.2">
      <c r="A770" s="1809"/>
      <c r="B770" s="1810"/>
      <c r="C770" s="1810"/>
      <c r="D770" s="1810"/>
      <c r="E770" s="1810"/>
      <c r="F770" s="1810"/>
      <c r="G770" s="1811"/>
      <c r="H770" s="1032"/>
      <c r="I770" s="1785"/>
      <c r="J770" s="1412"/>
      <c r="K770" s="1787"/>
      <c r="L770" s="1779"/>
      <c r="M770" s="1780"/>
      <c r="N770" s="1779"/>
    </row>
    <row r="771" spans="1:14" ht="13.5" customHeight="1" x14ac:dyDescent="0.25">
      <c r="A771" s="1138"/>
      <c r="B771" s="1138"/>
      <c r="C771" s="1138"/>
      <c r="D771" s="1138"/>
      <c r="E771" s="1138"/>
      <c r="F771" s="1138"/>
      <c r="G771" s="1138"/>
      <c r="H771" s="1138"/>
      <c r="I771" s="1138"/>
      <c r="J771" s="1138"/>
      <c r="K771" s="1778" t="s">
        <v>523</v>
      </c>
      <c r="L771" s="1779"/>
      <c r="M771" s="1780">
        <f>ROUND(SUM(M763:N770),2)</f>
        <v>2434738.36</v>
      </c>
      <c r="N771" s="1779"/>
    </row>
    <row r="772" spans="1:14" ht="13.5" x14ac:dyDescent="0.25">
      <c r="A772" s="1138"/>
      <c r="B772" s="1138"/>
      <c r="C772" s="1138"/>
      <c r="D772" s="1138"/>
      <c r="E772" s="1138"/>
      <c r="F772" s="1138"/>
      <c r="G772" s="1138"/>
      <c r="H772" s="1138"/>
      <c r="I772" s="1138"/>
      <c r="J772" s="1138"/>
      <c r="K772" s="1138"/>
      <c r="L772" s="1138"/>
      <c r="M772" s="1138"/>
      <c r="N772" s="1138"/>
    </row>
    <row r="773" spans="1:14" x14ac:dyDescent="0.2">
      <c r="A773" s="1781" t="s">
        <v>2145</v>
      </c>
      <c r="B773" s="1782"/>
      <c r="C773" s="1782"/>
      <c r="D773" s="1782"/>
      <c r="E773" s="1782"/>
      <c r="F773" s="1782"/>
      <c r="G773" s="1782"/>
      <c r="H773" s="1782"/>
      <c r="I773" s="1782"/>
      <c r="J773" s="1782"/>
      <c r="K773" s="1782"/>
      <c r="L773" s="1782"/>
      <c r="M773" s="1782"/>
      <c r="N773" s="1779"/>
    </row>
    <row r="774" spans="1:14" x14ac:dyDescent="0.2">
      <c r="A774" s="1778" t="s">
        <v>14</v>
      </c>
      <c r="B774" s="1782"/>
      <c r="C774" s="1782"/>
      <c r="D774" s="1782"/>
      <c r="E774" s="1782"/>
      <c r="F774" s="1782"/>
      <c r="G774" s="1779"/>
      <c r="H774" s="1136" t="s">
        <v>15</v>
      </c>
      <c r="I774" s="1783" t="s">
        <v>619</v>
      </c>
      <c r="J774" s="1779"/>
      <c r="K774" s="1783" t="s">
        <v>610</v>
      </c>
      <c r="L774" s="1779"/>
      <c r="M774" s="1783" t="s">
        <v>2140</v>
      </c>
      <c r="N774" s="1779"/>
    </row>
    <row r="775" spans="1:14" ht="13.5" x14ac:dyDescent="0.2">
      <c r="A775" s="1836" t="s">
        <v>131</v>
      </c>
      <c r="B775" s="1837"/>
      <c r="C775" s="1837"/>
      <c r="D775" s="1837"/>
      <c r="E775" s="1837"/>
      <c r="F775" s="1837"/>
      <c r="G775" s="1838"/>
      <c r="H775" s="1032" t="str">
        <f>IF(A775="","",VLOOKUP(A775,'11'!$C$6:$E$87,2,FALSE))</f>
        <v>DIA</v>
      </c>
      <c r="I775" s="1785">
        <f>IF(A775="","",VLOOKUP(A775,'11'!$C$6:$E$87,3,FALSE))</f>
        <v>15000</v>
      </c>
      <c r="J775" s="1412"/>
      <c r="K775" s="1787">
        <v>30</v>
      </c>
      <c r="L775" s="1793"/>
      <c r="M775" s="1780">
        <f>I775/K775</f>
        <v>500</v>
      </c>
      <c r="N775" s="1779"/>
    </row>
    <row r="776" spans="1:14" ht="13.5" x14ac:dyDescent="0.2">
      <c r="A776" s="1839"/>
      <c r="B776" s="1840"/>
      <c r="C776" s="1840"/>
      <c r="D776" s="1840"/>
      <c r="E776" s="1840"/>
      <c r="F776" s="1840"/>
      <c r="G776" s="1841"/>
      <c r="H776" s="1137"/>
      <c r="I776" s="1780"/>
      <c r="J776" s="1779"/>
      <c r="K776" s="1794"/>
      <c r="L776" s="1779"/>
      <c r="M776" s="1780"/>
      <c r="N776" s="1779"/>
    </row>
    <row r="777" spans="1:14" ht="13.5" x14ac:dyDescent="0.2">
      <c r="A777" s="1836"/>
      <c r="B777" s="1837"/>
      <c r="C777" s="1837"/>
      <c r="D777" s="1837"/>
      <c r="E777" s="1837"/>
      <c r="F777" s="1837"/>
      <c r="G777" s="1838"/>
      <c r="H777" s="1137"/>
      <c r="I777" s="1780"/>
      <c r="J777" s="1779"/>
      <c r="K777" s="1787"/>
      <c r="L777" s="1779"/>
      <c r="M777" s="1780"/>
      <c r="N777" s="1779"/>
    </row>
    <row r="778" spans="1:14" ht="13.5" x14ac:dyDescent="0.2">
      <c r="A778" s="1836"/>
      <c r="B778" s="1837"/>
      <c r="C778" s="1837"/>
      <c r="D778" s="1837"/>
      <c r="E778" s="1837"/>
      <c r="F778" s="1837"/>
      <c r="G778" s="1838"/>
      <c r="H778" s="1137"/>
      <c r="I778" s="1780"/>
      <c r="J778" s="1779"/>
      <c r="K778" s="1787"/>
      <c r="L778" s="1779"/>
      <c r="M778" s="1780"/>
      <c r="N778" s="1779"/>
    </row>
    <row r="779" spans="1:14" ht="13.5" x14ac:dyDescent="0.2">
      <c r="A779" s="1789"/>
      <c r="B779" s="1790"/>
      <c r="C779" s="1790"/>
      <c r="D779" s="1790"/>
      <c r="E779" s="1790"/>
      <c r="F779" s="1790"/>
      <c r="G779" s="1791"/>
      <c r="H779" s="1137"/>
      <c r="I779" s="1780"/>
      <c r="J779" s="1779"/>
      <c r="K779" s="1787"/>
      <c r="L779" s="1779"/>
      <c r="M779" s="1780"/>
      <c r="N779" s="1779"/>
    </row>
    <row r="780" spans="1:14" ht="13.5" x14ac:dyDescent="0.25">
      <c r="A780" s="1138"/>
      <c r="B780" s="1138"/>
      <c r="C780" s="1138"/>
      <c r="D780" s="1138"/>
      <c r="E780" s="1138"/>
      <c r="F780" s="1138"/>
      <c r="G780" s="1138"/>
      <c r="H780" s="1138"/>
      <c r="I780" s="1138"/>
      <c r="J780" s="1138"/>
      <c r="K780" s="1778" t="s">
        <v>523</v>
      </c>
      <c r="L780" s="1779"/>
      <c r="M780" s="1780">
        <f>ROUND(SUM(M775:N779),2)</f>
        <v>500</v>
      </c>
      <c r="N780" s="1779"/>
    </row>
    <row r="781" spans="1:14" ht="13.5" x14ac:dyDescent="0.25">
      <c r="A781" s="1138"/>
      <c r="B781" s="1138"/>
      <c r="C781" s="1138"/>
      <c r="D781" s="1138"/>
      <c r="E781" s="1138"/>
      <c r="F781" s="1138"/>
      <c r="G781" s="1138"/>
      <c r="H781" s="1138"/>
      <c r="I781" s="1138"/>
      <c r="J781" s="1138"/>
      <c r="K781" s="1138"/>
      <c r="L781" s="1138"/>
      <c r="M781" s="1138"/>
      <c r="N781" s="1138"/>
    </row>
    <row r="782" spans="1:14" x14ac:dyDescent="0.2">
      <c r="A782" s="1781" t="s">
        <v>2147</v>
      </c>
      <c r="B782" s="1782"/>
      <c r="C782" s="1782"/>
      <c r="D782" s="1782"/>
      <c r="E782" s="1782"/>
      <c r="F782" s="1782"/>
      <c r="G782" s="1782"/>
      <c r="H782" s="1782"/>
      <c r="I782" s="1782"/>
      <c r="J782" s="1782"/>
      <c r="K782" s="1782"/>
      <c r="L782" s="1782"/>
      <c r="M782" s="1782"/>
      <c r="N782" s="1779"/>
    </row>
    <row r="783" spans="1:14" x14ac:dyDescent="0.2">
      <c r="A783" s="1778" t="s">
        <v>14</v>
      </c>
      <c r="B783" s="1782"/>
      <c r="C783" s="1782"/>
      <c r="D783" s="1782"/>
      <c r="E783" s="1782"/>
      <c r="F783" s="1782"/>
      <c r="G783" s="1779"/>
      <c r="H783" s="1136" t="s">
        <v>15</v>
      </c>
      <c r="I783" s="1783" t="s">
        <v>619</v>
      </c>
      <c r="J783" s="1779"/>
      <c r="K783" s="1783" t="s">
        <v>628</v>
      </c>
      <c r="L783" s="1779"/>
      <c r="M783" s="1783" t="s">
        <v>2140</v>
      </c>
      <c r="N783" s="1779"/>
    </row>
    <row r="784" spans="1:14" ht="13.5" x14ac:dyDescent="0.2">
      <c r="A784" s="1789" t="s">
        <v>874</v>
      </c>
      <c r="B784" s="1790"/>
      <c r="C784" s="1790"/>
      <c r="D784" s="1790"/>
      <c r="E784" s="1790"/>
      <c r="F784" s="1790"/>
      <c r="G784" s="1791"/>
      <c r="H784" s="1032" t="str">
        <f>IF(A784="","",VLOOKUP(A784,'11'!$C$6:$E$1012,2,FALSE))</f>
        <v>KM-M3</v>
      </c>
      <c r="I784" s="1785">
        <f>IF(A784="","",VLOOKUP(A784,'11'!$C$6:$E$1012,3,FALSE))</f>
        <v>1440</v>
      </c>
      <c r="J784" s="1412"/>
      <c r="K784" s="1860">
        <v>0.05</v>
      </c>
      <c r="L784" s="1861"/>
      <c r="M784" s="1780">
        <f>IF(A784="","",I784*K784)</f>
        <v>72</v>
      </c>
      <c r="N784" s="1779"/>
    </row>
    <row r="785" spans="1:14" ht="13.5" x14ac:dyDescent="0.2">
      <c r="A785" s="1789"/>
      <c r="B785" s="1790"/>
      <c r="C785" s="1790"/>
      <c r="D785" s="1790"/>
      <c r="E785" s="1790"/>
      <c r="F785" s="1790"/>
      <c r="G785" s="1791"/>
      <c r="H785" s="1032"/>
      <c r="I785" s="1785"/>
      <c r="J785" s="1412"/>
      <c r="K785" s="1860"/>
      <c r="L785" s="1861"/>
      <c r="M785" s="1780"/>
      <c r="N785" s="1779"/>
    </row>
    <row r="786" spans="1:14" ht="13.5" x14ac:dyDescent="0.2">
      <c r="A786" s="1789"/>
      <c r="B786" s="1790"/>
      <c r="C786" s="1790"/>
      <c r="D786" s="1790"/>
      <c r="E786" s="1790"/>
      <c r="F786" s="1790"/>
      <c r="G786" s="1791"/>
      <c r="H786" s="1032"/>
      <c r="I786" s="1785"/>
      <c r="J786" s="1412"/>
      <c r="K786" s="1860"/>
      <c r="L786" s="1861"/>
      <c r="M786" s="1780"/>
      <c r="N786" s="1779"/>
    </row>
    <row r="787" spans="1:14" ht="13.5" x14ac:dyDescent="0.2">
      <c r="A787" s="1789"/>
      <c r="B787" s="1782"/>
      <c r="C787" s="1782"/>
      <c r="D787" s="1782"/>
      <c r="E787" s="1782"/>
      <c r="F787" s="1782"/>
      <c r="G787" s="1779"/>
      <c r="H787" s="1137"/>
      <c r="I787" s="1780"/>
      <c r="J787" s="1779"/>
      <c r="K787" s="1787"/>
      <c r="L787" s="1779"/>
      <c r="M787" s="1780"/>
      <c r="N787" s="1779"/>
    </row>
    <row r="788" spans="1:14" ht="13.5" x14ac:dyDescent="0.2">
      <c r="A788" s="1789"/>
      <c r="B788" s="1782"/>
      <c r="C788" s="1782"/>
      <c r="D788" s="1782"/>
      <c r="E788" s="1782"/>
      <c r="F788" s="1782"/>
      <c r="G788" s="1779"/>
      <c r="H788" s="1137"/>
      <c r="I788" s="1780"/>
      <c r="J788" s="1779"/>
      <c r="K788" s="1787"/>
      <c r="L788" s="1779"/>
      <c r="M788" s="1780"/>
      <c r="N788" s="1779"/>
    </row>
    <row r="789" spans="1:14" ht="13.5" x14ac:dyDescent="0.25">
      <c r="A789" s="1138"/>
      <c r="B789" s="1138"/>
      <c r="C789" s="1138"/>
      <c r="D789" s="1138"/>
      <c r="E789" s="1138"/>
      <c r="F789" s="1138"/>
      <c r="G789" s="1138"/>
      <c r="H789" s="1138"/>
      <c r="I789" s="1138"/>
      <c r="J789" s="1138"/>
      <c r="K789" s="1778" t="s">
        <v>523</v>
      </c>
      <c r="L789" s="1779"/>
      <c r="M789" s="1780">
        <f>ROUND(SUM(M784:N788),2)</f>
        <v>72</v>
      </c>
      <c r="N789" s="1779"/>
    </row>
    <row r="790" spans="1:14" ht="13.5" x14ac:dyDescent="0.25">
      <c r="A790" s="1138"/>
      <c r="B790" s="1138"/>
      <c r="C790" s="1138"/>
      <c r="D790" s="1138"/>
      <c r="E790" s="1138"/>
      <c r="F790" s="1138"/>
      <c r="G790" s="1138"/>
      <c r="H790" s="1138"/>
      <c r="I790" s="1138"/>
      <c r="J790" s="1138"/>
      <c r="K790" s="1138"/>
      <c r="L790" s="1138"/>
      <c r="M790" s="1138"/>
      <c r="N790" s="1138"/>
    </row>
    <row r="791" spans="1:14" x14ac:dyDescent="0.2">
      <c r="A791" s="1781" t="s">
        <v>2150</v>
      </c>
      <c r="B791" s="1782"/>
      <c r="C791" s="1782"/>
      <c r="D791" s="1782"/>
      <c r="E791" s="1782"/>
      <c r="F791" s="1782"/>
      <c r="G791" s="1782"/>
      <c r="H791" s="1782"/>
      <c r="I791" s="1782"/>
      <c r="J791" s="1782"/>
      <c r="K791" s="1782"/>
      <c r="L791" s="1782"/>
      <c r="M791" s="1782"/>
      <c r="N791" s="1779"/>
    </row>
    <row r="792" spans="1:14" x14ac:dyDescent="0.2">
      <c r="A792" s="1778" t="s">
        <v>14</v>
      </c>
      <c r="B792" s="1782"/>
      <c r="C792" s="1782"/>
      <c r="D792" s="1782"/>
      <c r="E792" s="1782"/>
      <c r="F792" s="1782"/>
      <c r="G792" s="1779"/>
      <c r="H792" s="1136" t="s">
        <v>15</v>
      </c>
      <c r="I792" s="1783" t="s">
        <v>619</v>
      </c>
      <c r="J792" s="1779"/>
      <c r="K792" s="1139" t="s">
        <v>1919</v>
      </c>
      <c r="L792" s="1140" t="s">
        <v>2151</v>
      </c>
      <c r="M792" s="1783" t="s">
        <v>2140</v>
      </c>
      <c r="N792" s="1779"/>
    </row>
    <row r="793" spans="1:14" ht="13.5" x14ac:dyDescent="0.25">
      <c r="A793" s="1817" t="s">
        <v>2168</v>
      </c>
      <c r="B793" s="1849"/>
      <c r="C793" s="1849"/>
      <c r="D793" s="1849"/>
      <c r="E793" s="1849"/>
      <c r="F793" s="1849"/>
      <c r="G793" s="1850"/>
      <c r="H793" s="1032" t="str">
        <f>IF(A793="","",VLOOKUP(A793,'09'!$A$22:$O$168,4,FALSE))</f>
        <v>Cuadrilla</v>
      </c>
      <c r="I793" s="1785">
        <f>IF(A793="","",VLOOKUP(A793,'09'!$A$22:$O$168,5,FALSE))</f>
        <v>204272</v>
      </c>
      <c r="J793" s="1412"/>
      <c r="K793" s="1034">
        <f>IF(A793="","",'03'!$I$2)</f>
        <v>1.88995</v>
      </c>
      <c r="L793" s="1142">
        <v>3</v>
      </c>
      <c r="M793" s="1780">
        <f>I793*K793/L793</f>
        <v>128687.95546666667</v>
      </c>
      <c r="N793" s="1779"/>
    </row>
    <row r="794" spans="1:14" ht="13.5" x14ac:dyDescent="0.25">
      <c r="A794" s="1830"/>
      <c r="B794" s="1831"/>
      <c r="C794" s="1831"/>
      <c r="D794" s="1831"/>
      <c r="E794" s="1831"/>
      <c r="F794" s="1831"/>
      <c r="G794" s="1832"/>
      <c r="H794" s="1137"/>
      <c r="I794" s="1780"/>
      <c r="J794" s="1779"/>
      <c r="K794" s="1141"/>
      <c r="L794" s="1141"/>
      <c r="M794" s="1780"/>
      <c r="N794" s="1779"/>
    </row>
    <row r="795" spans="1:14" ht="13.5" x14ac:dyDescent="0.25">
      <c r="A795" s="1830"/>
      <c r="B795" s="1831"/>
      <c r="C795" s="1831"/>
      <c r="D795" s="1831"/>
      <c r="E795" s="1831"/>
      <c r="F795" s="1831"/>
      <c r="G795" s="1832"/>
      <c r="H795" s="1137"/>
      <c r="I795" s="1780"/>
      <c r="J795" s="1779"/>
      <c r="K795" s="1141"/>
      <c r="L795" s="1143"/>
      <c r="M795" s="1780"/>
      <c r="N795" s="1779"/>
    </row>
    <row r="796" spans="1:14" ht="13.5" x14ac:dyDescent="0.25">
      <c r="A796" s="1784"/>
      <c r="B796" s="1782"/>
      <c r="C796" s="1782"/>
      <c r="D796" s="1782"/>
      <c r="E796" s="1782"/>
      <c r="F796" s="1782"/>
      <c r="G796" s="1779"/>
      <c r="H796" s="1137"/>
      <c r="I796" s="1780"/>
      <c r="J796" s="1779"/>
      <c r="K796" s="1141"/>
      <c r="L796" s="1143"/>
      <c r="M796" s="1780"/>
      <c r="N796" s="1779"/>
    </row>
    <row r="797" spans="1:14" ht="13.5" x14ac:dyDescent="0.25">
      <c r="A797" s="1784"/>
      <c r="B797" s="1782"/>
      <c r="C797" s="1782"/>
      <c r="D797" s="1782"/>
      <c r="E797" s="1782"/>
      <c r="F797" s="1782"/>
      <c r="G797" s="1779"/>
      <c r="H797" s="1137"/>
      <c r="I797" s="1780"/>
      <c r="J797" s="1779"/>
      <c r="K797" s="1141"/>
      <c r="L797" s="1143"/>
      <c r="M797" s="1780"/>
      <c r="N797" s="1779"/>
    </row>
    <row r="798" spans="1:14" ht="13.5" x14ac:dyDescent="0.25">
      <c r="A798" s="1138"/>
      <c r="B798" s="1138"/>
      <c r="C798" s="1138"/>
      <c r="D798" s="1138"/>
      <c r="E798" s="1138"/>
      <c r="F798" s="1138"/>
      <c r="G798" s="1138"/>
      <c r="H798" s="1138"/>
      <c r="I798" s="1138"/>
      <c r="J798" s="1138"/>
      <c r="K798" s="1778" t="s">
        <v>523</v>
      </c>
      <c r="L798" s="1779"/>
      <c r="M798" s="1780">
        <f>ROUND(SUM(M793:N797),2)</f>
        <v>128687.96</v>
      </c>
      <c r="N798" s="1779"/>
    </row>
    <row r="799" spans="1:14" x14ac:dyDescent="0.2">
      <c r="I799" s="1414"/>
      <c r="J799" s="1415"/>
      <c r="K799" s="1415"/>
      <c r="L799" s="1415"/>
      <c r="M799" s="1415"/>
      <c r="N799" s="1415"/>
    </row>
    <row r="800" spans="1:14" ht="13.5" thickBot="1" x14ac:dyDescent="0.25">
      <c r="I800" s="1416"/>
      <c r="J800" s="1416"/>
      <c r="K800" s="1416"/>
      <c r="L800" s="1416"/>
      <c r="M800" s="1416"/>
      <c r="N800" s="1416"/>
    </row>
    <row r="801" spans="1:14" ht="14.25" thickTop="1" x14ac:dyDescent="0.2">
      <c r="I801" s="1417" t="s">
        <v>1829</v>
      </c>
      <c r="J801" s="1418"/>
      <c r="K801" s="1417" t="s">
        <v>2653</v>
      </c>
      <c r="L801" s="1418"/>
      <c r="M801" s="1418"/>
      <c r="N801" s="1418"/>
    </row>
    <row r="802" spans="1:14" ht="13.5" x14ac:dyDescent="0.2">
      <c r="I802" s="1419" t="s">
        <v>1831</v>
      </c>
      <c r="J802" s="1420"/>
      <c r="K802" s="1419"/>
      <c r="L802" s="1420"/>
      <c r="M802" s="1420"/>
      <c r="N802" s="1420"/>
    </row>
    <row r="804" spans="1:14" x14ac:dyDescent="0.2">
      <c r="A804" s="1803" t="s">
        <v>2338</v>
      </c>
      <c r="B804" s="1804"/>
      <c r="C804" s="1804"/>
      <c r="D804" s="1804"/>
      <c r="E804" s="1804"/>
      <c r="F804" s="1804"/>
      <c r="G804" s="1804"/>
      <c r="H804" s="1804"/>
      <c r="I804" s="1804"/>
      <c r="J804" s="1804"/>
      <c r="K804" s="1804"/>
      <c r="L804" s="1804"/>
      <c r="M804" s="1804"/>
      <c r="N804" s="1805"/>
    </row>
    <row r="805" spans="1:14" x14ac:dyDescent="0.2">
      <c r="A805" s="1806"/>
      <c r="B805" s="1807"/>
      <c r="C805" s="1807"/>
      <c r="D805" s="1807"/>
      <c r="E805" s="1807"/>
      <c r="F805" s="1807"/>
      <c r="G805" s="1807"/>
      <c r="H805" s="1807"/>
      <c r="I805" s="1807"/>
      <c r="J805" s="1807"/>
      <c r="K805" s="1807"/>
      <c r="L805" s="1807"/>
      <c r="M805" s="1807"/>
      <c r="N805" s="1808"/>
    </row>
    <row r="806" spans="1:14" ht="13.5" x14ac:dyDescent="0.2">
      <c r="A806" s="1128"/>
      <c r="B806" s="1128"/>
      <c r="C806" s="1128"/>
      <c r="D806" s="1128"/>
      <c r="E806" s="1128"/>
      <c r="F806" s="1128"/>
      <c r="G806" s="1128"/>
      <c r="H806" s="1128"/>
      <c r="I806" s="1128"/>
      <c r="J806" s="1128"/>
      <c r="K806" s="1128"/>
      <c r="L806" s="1128"/>
      <c r="M806" s="1128"/>
      <c r="N806" s="1128"/>
    </row>
    <row r="807" spans="1:14" ht="14.25" x14ac:dyDescent="0.3">
      <c r="A807" s="1104" t="s">
        <v>2302</v>
      </c>
      <c r="B807" s="1129" t="str">
        <f>A804</f>
        <v>SUMINISTRO E INSTALACIÓN VÁLVULA DE COMPUERTA ELASTICA VASTAGO NO ASCENDENTE EXTREMO BRIDADO PARA PVC DIAMETRO 8".</v>
      </c>
      <c r="C807" s="1130" t="s">
        <v>634</v>
      </c>
      <c r="D807" s="1107" t="s">
        <v>2</v>
      </c>
      <c r="E807" s="1132" t="s">
        <v>1833</v>
      </c>
      <c r="F807" s="1133">
        <f>H807+J807+L807+N807</f>
        <v>3756131.52</v>
      </c>
      <c r="G807" s="1132" t="s">
        <v>2136</v>
      </c>
      <c r="H807" s="1133">
        <f>M828</f>
        <v>15000</v>
      </c>
      <c r="I807" s="1132" t="s">
        <v>621</v>
      </c>
      <c r="J807" s="1134">
        <f>M819</f>
        <v>3612238.36</v>
      </c>
      <c r="K807" s="1132" t="s">
        <v>2137</v>
      </c>
      <c r="L807" s="1133">
        <f>M837</f>
        <v>205.2</v>
      </c>
      <c r="M807" s="1132" t="s">
        <v>2138</v>
      </c>
      <c r="N807" s="1133">
        <f>M846</f>
        <v>128687.96</v>
      </c>
    </row>
    <row r="808" spans="1:14" ht="13.5" x14ac:dyDescent="0.25">
      <c r="A808" s="1135"/>
      <c r="B808" s="1135"/>
      <c r="C808" s="1135"/>
      <c r="D808" s="1135"/>
      <c r="E808" s="1135"/>
      <c r="F808" s="1135"/>
      <c r="G808" s="1135"/>
      <c r="J808" s="1135"/>
      <c r="K808" s="1135"/>
      <c r="L808" s="1135"/>
      <c r="M808" s="1270" t="s">
        <v>2667</v>
      </c>
      <c r="N808" s="1270">
        <f>+F807*'01'!$O$15</f>
        <v>4861575.703367291</v>
      </c>
    </row>
    <row r="809" spans="1:14" x14ac:dyDescent="0.2">
      <c r="A809" s="1781" t="s">
        <v>2139</v>
      </c>
      <c r="B809" s="1782"/>
      <c r="C809" s="1782"/>
      <c r="D809" s="1782"/>
      <c r="E809" s="1782"/>
      <c r="F809" s="1782"/>
      <c r="G809" s="1782"/>
      <c r="H809" s="1782"/>
      <c r="I809" s="1782"/>
      <c r="J809" s="1782"/>
      <c r="K809" s="1782"/>
      <c r="L809" s="1782"/>
      <c r="M809" s="1782"/>
      <c r="N809" s="1779"/>
    </row>
    <row r="810" spans="1:14" x14ac:dyDescent="0.2">
      <c r="A810" s="1848" t="s">
        <v>14</v>
      </c>
      <c r="B810" s="1804"/>
      <c r="C810" s="1804"/>
      <c r="D810" s="1804"/>
      <c r="E810" s="1804"/>
      <c r="F810" s="1804"/>
      <c r="G810" s="1805"/>
      <c r="H810" s="1136" t="s">
        <v>15</v>
      </c>
      <c r="I810" s="1783" t="s">
        <v>619</v>
      </c>
      <c r="J810" s="1779"/>
      <c r="K810" s="1783" t="s">
        <v>628</v>
      </c>
      <c r="L810" s="1779"/>
      <c r="M810" s="1783" t="s">
        <v>2140</v>
      </c>
      <c r="N810" s="1779"/>
    </row>
    <row r="811" spans="1:14" ht="30" customHeight="1" x14ac:dyDescent="0.2">
      <c r="A811" s="1812" t="s">
        <v>1455</v>
      </c>
      <c r="B811" s="1813"/>
      <c r="C811" s="1813"/>
      <c r="D811" s="1813"/>
      <c r="E811" s="1813"/>
      <c r="F811" s="1813"/>
      <c r="G811" s="1814"/>
      <c r="H811" s="1032" t="str">
        <f>IF(A811="","",VLOOKUP(A811,'10'!$C$6:$E$1152,2,FALSE))</f>
        <v>UND</v>
      </c>
      <c r="I811" s="1785">
        <f>IF(A811="","",VLOOKUP(A811,'10'!$C$6:$E$1152,3,FALSE))</f>
        <v>3004750</v>
      </c>
      <c r="J811" s="1412"/>
      <c r="K811" s="1787">
        <v>1</v>
      </c>
      <c r="L811" s="1779"/>
      <c r="M811" s="1780">
        <f>K811*I811</f>
        <v>3004750</v>
      </c>
      <c r="N811" s="1779"/>
    </row>
    <row r="812" spans="1:14" ht="13.5" customHeight="1" x14ac:dyDescent="0.2">
      <c r="A812" s="1812" t="s">
        <v>1086</v>
      </c>
      <c r="B812" s="1813"/>
      <c r="C812" s="1813"/>
      <c r="D812" s="1813"/>
      <c r="E812" s="1813"/>
      <c r="F812" s="1813"/>
      <c r="G812" s="1814"/>
      <c r="H812" s="1032" t="str">
        <f>IF(A812="","",VLOOKUP(A812,'10'!$C$6:$E$1152,2,FALSE))</f>
        <v>UND</v>
      </c>
      <c r="I812" s="1785">
        <f>IF(A812="","",VLOOKUP(A812,'10'!$C$6:$E$1152,3,FALSE))</f>
        <v>238705</v>
      </c>
      <c r="J812" s="1412"/>
      <c r="K812" s="1787">
        <v>2</v>
      </c>
      <c r="L812" s="1779"/>
      <c r="M812" s="1780">
        <f t="shared" ref="M812:M816" si="43">K812*I812</f>
        <v>477410</v>
      </c>
      <c r="N812" s="1779"/>
    </row>
    <row r="813" spans="1:14" ht="13.5" customHeight="1" x14ac:dyDescent="0.2">
      <c r="A813" s="1812" t="s">
        <v>1560</v>
      </c>
      <c r="B813" s="1813"/>
      <c r="C813" s="1813"/>
      <c r="D813" s="1813"/>
      <c r="E813" s="1813"/>
      <c r="F813" s="1813"/>
      <c r="G813" s="1814"/>
      <c r="H813" s="1032" t="str">
        <f>IF(A813="","",VLOOKUP(A813,'10'!$C$6:$E$1152,2,FALSE))</f>
        <v>UND</v>
      </c>
      <c r="I813" s="1785">
        <f>IF(A813="","",VLOOKUP(A813,'10'!$C$6:$E$1152,3,FALSE))</f>
        <v>4000</v>
      </c>
      <c r="J813" s="1412"/>
      <c r="K813" s="1787">
        <v>16</v>
      </c>
      <c r="L813" s="1779"/>
      <c r="M813" s="1780">
        <f t="shared" si="43"/>
        <v>64000</v>
      </c>
      <c r="N813" s="1779"/>
    </row>
    <row r="814" spans="1:14" ht="13.5" customHeight="1" x14ac:dyDescent="0.2">
      <c r="A814" s="1812" t="s">
        <v>1564</v>
      </c>
      <c r="B814" s="1813"/>
      <c r="C814" s="1813"/>
      <c r="D814" s="1813"/>
      <c r="E814" s="1813"/>
      <c r="F814" s="1813"/>
      <c r="G814" s="1814"/>
      <c r="H814" s="1032" t="str">
        <f>IF(A814="","",VLOOKUP(A814,'10'!$C$6:$E$1152,2,FALSE))</f>
        <v>UND</v>
      </c>
      <c r="I814" s="1785">
        <f>IF(A814="","",VLOOKUP(A814,'10'!$C$6:$E$1152,3,FALSE))</f>
        <v>30000</v>
      </c>
      <c r="J814" s="1412"/>
      <c r="K814" s="1787">
        <v>2</v>
      </c>
      <c r="L814" s="1779"/>
      <c r="M814" s="1780">
        <f t="shared" si="43"/>
        <v>60000</v>
      </c>
      <c r="N814" s="1779"/>
    </row>
    <row r="815" spans="1:14" ht="13.5" customHeight="1" x14ac:dyDescent="0.2">
      <c r="A815" s="1812" t="s">
        <v>1735</v>
      </c>
      <c r="B815" s="1813"/>
      <c r="C815" s="1813"/>
      <c r="D815" s="1813"/>
      <c r="E815" s="1813"/>
      <c r="F815" s="1813"/>
      <c r="G815" s="1814"/>
      <c r="H815" s="1032" t="str">
        <f>IF(A815="","",VLOOKUP(A815,'10'!$C$6:$E$1152,2,FALSE))</f>
        <v>UND</v>
      </c>
      <c r="I815" s="1785">
        <f>IF(A815="","",VLOOKUP(A815,'10'!$C$6:$E$1152,3,FALSE))</f>
        <v>65913</v>
      </c>
      <c r="J815" s="1412"/>
      <c r="K815" s="1787">
        <v>0.03</v>
      </c>
      <c r="L815" s="1779"/>
      <c r="M815" s="1780">
        <f t="shared" si="43"/>
        <v>1977.3899999999999</v>
      </c>
      <c r="N815" s="1779"/>
    </row>
    <row r="816" spans="1:14" ht="13.5" customHeight="1" x14ac:dyDescent="0.2">
      <c r="A816" s="1812" t="s">
        <v>100</v>
      </c>
      <c r="B816" s="1813"/>
      <c r="C816" s="1813"/>
      <c r="D816" s="1813"/>
      <c r="E816" s="1813"/>
      <c r="F816" s="1813"/>
      <c r="G816" s="1814"/>
      <c r="H816" s="1032" t="str">
        <f>IF(A816="","",VLOOKUP(A816,'10'!$C$6:$E$1152,2,FALSE))</f>
        <v>UND</v>
      </c>
      <c r="I816" s="1785">
        <f>IF(A816="","",VLOOKUP(A816,'10'!$C$6:$E$1152,3,FALSE))</f>
        <v>136699</v>
      </c>
      <c r="J816" s="1412"/>
      <c r="K816" s="1787">
        <v>0.03</v>
      </c>
      <c r="L816" s="1779"/>
      <c r="M816" s="1780">
        <f t="shared" si="43"/>
        <v>4100.97</v>
      </c>
      <c r="N816" s="1779"/>
    </row>
    <row r="817" spans="1:14" ht="13.5" x14ac:dyDescent="0.2">
      <c r="A817" s="1809"/>
      <c r="B817" s="1810"/>
      <c r="C817" s="1810"/>
      <c r="D817" s="1810"/>
      <c r="E817" s="1810"/>
      <c r="F817" s="1810"/>
      <c r="G817" s="1811"/>
      <c r="H817" s="1032"/>
      <c r="I817" s="1785"/>
      <c r="J817" s="1412"/>
      <c r="K817" s="1787"/>
      <c r="L817" s="1779"/>
      <c r="M817" s="1780"/>
      <c r="N817" s="1779"/>
    </row>
    <row r="818" spans="1:14" ht="13.5" x14ac:dyDescent="0.2">
      <c r="A818" s="1809"/>
      <c r="B818" s="1810"/>
      <c r="C818" s="1810"/>
      <c r="D818" s="1810"/>
      <c r="E818" s="1810"/>
      <c r="F818" s="1810"/>
      <c r="G818" s="1811"/>
      <c r="H818" s="1032"/>
      <c r="I818" s="1785"/>
      <c r="J818" s="1412"/>
      <c r="K818" s="1787"/>
      <c r="L818" s="1779"/>
      <c r="M818" s="1780"/>
      <c r="N818" s="1779"/>
    </row>
    <row r="819" spans="1:14" ht="13.5" x14ac:dyDescent="0.25">
      <c r="A819" s="1138"/>
      <c r="B819" s="1138"/>
      <c r="C819" s="1138"/>
      <c r="D819" s="1138"/>
      <c r="E819" s="1138"/>
      <c r="F819" s="1138"/>
      <c r="G819" s="1138"/>
      <c r="H819" s="1138"/>
      <c r="I819" s="1138"/>
      <c r="J819" s="1138"/>
      <c r="K819" s="1778" t="s">
        <v>523</v>
      </c>
      <c r="L819" s="1779"/>
      <c r="M819" s="1780">
        <f>ROUND(SUM(M811:N818),2)</f>
        <v>3612238.36</v>
      </c>
      <c r="N819" s="1779"/>
    </row>
    <row r="820" spans="1:14" ht="13.5" x14ac:dyDescent="0.25">
      <c r="A820" s="1138"/>
      <c r="B820" s="1138"/>
      <c r="C820" s="1138"/>
      <c r="D820" s="1138"/>
      <c r="E820" s="1138"/>
      <c r="F820" s="1138"/>
      <c r="G820" s="1138"/>
      <c r="H820" s="1138"/>
      <c r="I820" s="1138"/>
      <c r="J820" s="1138"/>
      <c r="K820" s="1138"/>
      <c r="L820" s="1138"/>
      <c r="M820" s="1138"/>
      <c r="N820" s="1138"/>
    </row>
    <row r="821" spans="1:14" x14ac:dyDescent="0.2">
      <c r="A821" s="1781" t="s">
        <v>2145</v>
      </c>
      <c r="B821" s="1782"/>
      <c r="C821" s="1782"/>
      <c r="D821" s="1782"/>
      <c r="E821" s="1782"/>
      <c r="F821" s="1782"/>
      <c r="G821" s="1782"/>
      <c r="H821" s="1782"/>
      <c r="I821" s="1782"/>
      <c r="J821" s="1782"/>
      <c r="K821" s="1782"/>
      <c r="L821" s="1782"/>
      <c r="M821" s="1782"/>
      <c r="N821" s="1779"/>
    </row>
    <row r="822" spans="1:14" x14ac:dyDescent="0.2">
      <c r="A822" s="1778" t="s">
        <v>14</v>
      </c>
      <c r="B822" s="1782"/>
      <c r="C822" s="1782"/>
      <c r="D822" s="1782"/>
      <c r="E822" s="1782"/>
      <c r="F822" s="1782"/>
      <c r="G822" s="1779"/>
      <c r="H822" s="1136" t="s">
        <v>15</v>
      </c>
      <c r="I822" s="1783" t="s">
        <v>619</v>
      </c>
      <c r="J822" s="1779"/>
      <c r="K822" s="1783" t="s">
        <v>610</v>
      </c>
      <c r="L822" s="1779"/>
      <c r="M822" s="1783" t="s">
        <v>2140</v>
      </c>
      <c r="N822" s="1779"/>
    </row>
    <row r="823" spans="1:14" ht="13.5" x14ac:dyDescent="0.2">
      <c r="A823" s="1836" t="s">
        <v>131</v>
      </c>
      <c r="B823" s="1837"/>
      <c r="C823" s="1837"/>
      <c r="D823" s="1837"/>
      <c r="E823" s="1837"/>
      <c r="F823" s="1837"/>
      <c r="G823" s="1838"/>
      <c r="H823" s="1032" t="str">
        <f>IF(A823="","",VLOOKUP(A823,'11'!$C$6:$E$87,2,FALSE))</f>
        <v>DIA</v>
      </c>
      <c r="I823" s="1785">
        <f>IF(A823="","",VLOOKUP(A823,'11'!$C$6:$E$87,3,FALSE))</f>
        <v>15000</v>
      </c>
      <c r="J823" s="1412"/>
      <c r="K823" s="1787">
        <f>8/8</f>
        <v>1</v>
      </c>
      <c r="L823" s="1793"/>
      <c r="M823" s="1780">
        <f>I823/K823</f>
        <v>15000</v>
      </c>
      <c r="N823" s="1779"/>
    </row>
    <row r="824" spans="1:14" ht="13.5" x14ac:dyDescent="0.2">
      <c r="A824" s="1839"/>
      <c r="B824" s="1840"/>
      <c r="C824" s="1840"/>
      <c r="D824" s="1840"/>
      <c r="E824" s="1840"/>
      <c r="F824" s="1840"/>
      <c r="G824" s="1841"/>
      <c r="H824" s="1137"/>
      <c r="I824" s="1780"/>
      <c r="J824" s="1779"/>
      <c r="K824" s="1794"/>
      <c r="L824" s="1779"/>
      <c r="M824" s="1780"/>
      <c r="N824" s="1779"/>
    </row>
    <row r="825" spans="1:14" ht="13.5" x14ac:dyDescent="0.2">
      <c r="A825" s="1836"/>
      <c r="B825" s="1837"/>
      <c r="C825" s="1837"/>
      <c r="D825" s="1837"/>
      <c r="E825" s="1837"/>
      <c r="F825" s="1837"/>
      <c r="G825" s="1838"/>
      <c r="H825" s="1137"/>
      <c r="I825" s="1780"/>
      <c r="J825" s="1779"/>
      <c r="K825" s="1787"/>
      <c r="L825" s="1779"/>
      <c r="M825" s="1780"/>
      <c r="N825" s="1779"/>
    </row>
    <row r="826" spans="1:14" ht="13.5" x14ac:dyDescent="0.2">
      <c r="A826" s="1836"/>
      <c r="B826" s="1837"/>
      <c r="C826" s="1837"/>
      <c r="D826" s="1837"/>
      <c r="E826" s="1837"/>
      <c r="F826" s="1837"/>
      <c r="G826" s="1838"/>
      <c r="H826" s="1137"/>
      <c r="I826" s="1780"/>
      <c r="J826" s="1779"/>
      <c r="K826" s="1787"/>
      <c r="L826" s="1779"/>
      <c r="M826" s="1780"/>
      <c r="N826" s="1779"/>
    </row>
    <row r="827" spans="1:14" ht="13.5" x14ac:dyDescent="0.2">
      <c r="A827" s="1789"/>
      <c r="B827" s="1790"/>
      <c r="C827" s="1790"/>
      <c r="D827" s="1790"/>
      <c r="E827" s="1790"/>
      <c r="F827" s="1790"/>
      <c r="G827" s="1791"/>
      <c r="H827" s="1137"/>
      <c r="I827" s="1780"/>
      <c r="J827" s="1779"/>
      <c r="K827" s="1787"/>
      <c r="L827" s="1779"/>
      <c r="M827" s="1780"/>
      <c r="N827" s="1779"/>
    </row>
    <row r="828" spans="1:14" ht="13.5" x14ac:dyDescent="0.25">
      <c r="A828" s="1138"/>
      <c r="B828" s="1138"/>
      <c r="C828" s="1138"/>
      <c r="D828" s="1138"/>
      <c r="E828" s="1138"/>
      <c r="F828" s="1138"/>
      <c r="G828" s="1138"/>
      <c r="H828" s="1138"/>
      <c r="I828" s="1138"/>
      <c r="J828" s="1138"/>
      <c r="K828" s="1778" t="s">
        <v>523</v>
      </c>
      <c r="L828" s="1779"/>
      <c r="M828" s="1780">
        <f>ROUND(SUM(M823:N827),2)</f>
        <v>15000</v>
      </c>
      <c r="N828" s="1779"/>
    </row>
    <row r="829" spans="1:14" ht="13.5" x14ac:dyDescent="0.25">
      <c r="A829" s="1138"/>
      <c r="B829" s="1138"/>
      <c r="C829" s="1138"/>
      <c r="D829" s="1138"/>
      <c r="E829" s="1138"/>
      <c r="F829" s="1138"/>
      <c r="G829" s="1138"/>
      <c r="H829" s="1138"/>
      <c r="I829" s="1138"/>
      <c r="J829" s="1138"/>
      <c r="K829" s="1138"/>
      <c r="L829" s="1138"/>
      <c r="M829" s="1138"/>
      <c r="N829" s="1138"/>
    </row>
    <row r="830" spans="1:14" x14ac:dyDescent="0.2">
      <c r="A830" s="1781" t="s">
        <v>2147</v>
      </c>
      <c r="B830" s="1782"/>
      <c r="C830" s="1782"/>
      <c r="D830" s="1782"/>
      <c r="E830" s="1782"/>
      <c r="F830" s="1782"/>
      <c r="G830" s="1782"/>
      <c r="H830" s="1782"/>
      <c r="I830" s="1782"/>
      <c r="J830" s="1782"/>
      <c r="K830" s="1782"/>
      <c r="L830" s="1782"/>
      <c r="M830" s="1782"/>
      <c r="N830" s="1779"/>
    </row>
    <row r="831" spans="1:14" x14ac:dyDescent="0.2">
      <c r="A831" s="1778" t="s">
        <v>14</v>
      </c>
      <c r="B831" s="1782"/>
      <c r="C831" s="1782"/>
      <c r="D831" s="1782"/>
      <c r="E831" s="1782"/>
      <c r="F831" s="1782"/>
      <c r="G831" s="1779"/>
      <c r="H831" s="1136" t="s">
        <v>15</v>
      </c>
      <c r="I831" s="1783" t="s">
        <v>619</v>
      </c>
      <c r="J831" s="1779"/>
      <c r="K831" s="1783" t="s">
        <v>628</v>
      </c>
      <c r="L831" s="1779"/>
      <c r="M831" s="1783" t="s">
        <v>2140</v>
      </c>
      <c r="N831" s="1779"/>
    </row>
    <row r="832" spans="1:14" ht="13.5" x14ac:dyDescent="0.2">
      <c r="A832" s="1789" t="s">
        <v>874</v>
      </c>
      <c r="B832" s="1790"/>
      <c r="C832" s="1790"/>
      <c r="D832" s="1790"/>
      <c r="E832" s="1790"/>
      <c r="F832" s="1790"/>
      <c r="G832" s="1791"/>
      <c r="H832" s="1032" t="str">
        <f>IF(A832="","",VLOOKUP(A832,'11'!$C$6:$E$1012,2,FALSE))</f>
        <v>KM-M3</v>
      </c>
      <c r="I832" s="1785">
        <f>IF(A832="","",VLOOKUP(A832,'11'!$C$6:$E$1012,3,FALSE))</f>
        <v>1440</v>
      </c>
      <c r="J832" s="1412"/>
      <c r="K832" s="1787">
        <f>75*0.0019</f>
        <v>0.14249999999999999</v>
      </c>
      <c r="L832" s="1779"/>
      <c r="M832" s="1780">
        <f>IF(A832="","",I832*K832)</f>
        <v>205.2</v>
      </c>
      <c r="N832" s="1779"/>
    </row>
    <row r="833" spans="1:14" ht="13.5" x14ac:dyDescent="0.2">
      <c r="A833" s="1789"/>
      <c r="B833" s="1790"/>
      <c r="C833" s="1790"/>
      <c r="D833" s="1790"/>
      <c r="E833" s="1790"/>
      <c r="F833" s="1790"/>
      <c r="G833" s="1791"/>
      <c r="H833" s="1032"/>
      <c r="I833" s="1785"/>
      <c r="J833" s="1412"/>
      <c r="K833" s="1787"/>
      <c r="L833" s="1779"/>
      <c r="M833" s="1780"/>
      <c r="N833" s="1779"/>
    </row>
    <row r="834" spans="1:14" ht="13.5" x14ac:dyDescent="0.2">
      <c r="A834" s="1789"/>
      <c r="B834" s="1790"/>
      <c r="C834" s="1790"/>
      <c r="D834" s="1790"/>
      <c r="E834" s="1790"/>
      <c r="F834" s="1790"/>
      <c r="G834" s="1791"/>
      <c r="H834" s="1032"/>
      <c r="I834" s="1785"/>
      <c r="J834" s="1412"/>
      <c r="K834" s="1787"/>
      <c r="L834" s="1779"/>
      <c r="M834" s="1780"/>
      <c r="N834" s="1779"/>
    </row>
    <row r="835" spans="1:14" ht="13.5" x14ac:dyDescent="0.2">
      <c r="A835" s="1789"/>
      <c r="B835" s="1790"/>
      <c r="C835" s="1790"/>
      <c r="D835" s="1790"/>
      <c r="E835" s="1790"/>
      <c r="F835" s="1790"/>
      <c r="G835" s="1791"/>
      <c r="H835" s="1032"/>
      <c r="I835" s="1785"/>
      <c r="J835" s="1412"/>
      <c r="K835" s="1787"/>
      <c r="L835" s="1779"/>
      <c r="M835" s="1780"/>
      <c r="N835" s="1779"/>
    </row>
    <row r="836" spans="1:14" ht="13.5" x14ac:dyDescent="0.2">
      <c r="A836" s="1789"/>
      <c r="B836" s="1790"/>
      <c r="C836" s="1790"/>
      <c r="D836" s="1790"/>
      <c r="E836" s="1790"/>
      <c r="F836" s="1790"/>
      <c r="G836" s="1791"/>
      <c r="H836" s="1032"/>
      <c r="I836" s="1785"/>
      <c r="J836" s="1412"/>
      <c r="K836" s="1787"/>
      <c r="L836" s="1779"/>
      <c r="M836" s="1780"/>
      <c r="N836" s="1779"/>
    </row>
    <row r="837" spans="1:14" ht="13.5" x14ac:dyDescent="0.25">
      <c r="A837" s="1138"/>
      <c r="B837" s="1138"/>
      <c r="C837" s="1138"/>
      <c r="D837" s="1138"/>
      <c r="E837" s="1138"/>
      <c r="F837" s="1138"/>
      <c r="G837" s="1138"/>
      <c r="H837" s="1138"/>
      <c r="I837" s="1138"/>
      <c r="J837" s="1138"/>
      <c r="K837" s="1778" t="s">
        <v>523</v>
      </c>
      <c r="L837" s="1779"/>
      <c r="M837" s="1780">
        <f>ROUND(SUM(M832:N836),2)</f>
        <v>205.2</v>
      </c>
      <c r="N837" s="1779"/>
    </row>
    <row r="838" spans="1:14" ht="13.5" x14ac:dyDescent="0.25">
      <c r="A838" s="1138"/>
      <c r="B838" s="1138"/>
      <c r="C838" s="1138"/>
      <c r="D838" s="1138"/>
      <c r="E838" s="1138"/>
      <c r="F838" s="1138"/>
      <c r="G838" s="1138"/>
      <c r="H838" s="1138"/>
      <c r="I838" s="1138"/>
      <c r="J838" s="1138"/>
      <c r="K838" s="1138"/>
      <c r="L838" s="1138"/>
      <c r="M838" s="1138"/>
      <c r="N838" s="1138"/>
    </row>
    <row r="839" spans="1:14" x14ac:dyDescent="0.2">
      <c r="A839" s="1781" t="s">
        <v>2150</v>
      </c>
      <c r="B839" s="1782"/>
      <c r="C839" s="1782"/>
      <c r="D839" s="1782"/>
      <c r="E839" s="1782"/>
      <c r="F839" s="1782"/>
      <c r="G839" s="1782"/>
      <c r="H839" s="1782"/>
      <c r="I839" s="1782"/>
      <c r="J839" s="1782"/>
      <c r="K839" s="1782"/>
      <c r="L839" s="1782"/>
      <c r="M839" s="1782"/>
      <c r="N839" s="1779"/>
    </row>
    <row r="840" spans="1:14" x14ac:dyDescent="0.2">
      <c r="A840" s="1778" t="s">
        <v>14</v>
      </c>
      <c r="B840" s="1782"/>
      <c r="C840" s="1782"/>
      <c r="D840" s="1782"/>
      <c r="E840" s="1782"/>
      <c r="F840" s="1782"/>
      <c r="G840" s="1779"/>
      <c r="H840" s="1136" t="s">
        <v>15</v>
      </c>
      <c r="I840" s="1783" t="s">
        <v>619</v>
      </c>
      <c r="J840" s="1779"/>
      <c r="K840" s="1139" t="s">
        <v>1919</v>
      </c>
      <c r="L840" s="1140" t="s">
        <v>2151</v>
      </c>
      <c r="M840" s="1783" t="s">
        <v>2140</v>
      </c>
      <c r="N840" s="1779"/>
    </row>
    <row r="841" spans="1:14" ht="13.5" x14ac:dyDescent="0.25">
      <c r="A841" s="1817" t="s">
        <v>2168</v>
      </c>
      <c r="B841" s="1849"/>
      <c r="C841" s="1849"/>
      <c r="D841" s="1849"/>
      <c r="E841" s="1849"/>
      <c r="F841" s="1849"/>
      <c r="G841" s="1850"/>
      <c r="H841" s="1032" t="str">
        <f>IF(A841="","",VLOOKUP(A841,'09'!$A$22:$O$168,4,FALSE))</f>
        <v>Cuadrilla</v>
      </c>
      <c r="I841" s="1785">
        <f>IF(A841="","",VLOOKUP(A841,'09'!$A$22:$O$168,5,FALSE))</f>
        <v>204272</v>
      </c>
      <c r="J841" s="1412"/>
      <c r="K841" s="1034">
        <f>IF(A841="","",'03'!$I$2)</f>
        <v>1.88995</v>
      </c>
      <c r="L841" s="1142">
        <v>3</v>
      </c>
      <c r="M841" s="1780">
        <f>I841*K841/L841</f>
        <v>128687.95546666667</v>
      </c>
      <c r="N841" s="1779"/>
    </row>
    <row r="842" spans="1:14" ht="13.5" x14ac:dyDescent="0.25">
      <c r="A842" s="1830"/>
      <c r="B842" s="1831"/>
      <c r="C842" s="1831"/>
      <c r="D842" s="1831"/>
      <c r="E842" s="1831"/>
      <c r="F842" s="1831"/>
      <c r="G842" s="1832"/>
      <c r="H842" s="1137"/>
      <c r="I842" s="1780"/>
      <c r="J842" s="1779"/>
      <c r="K842" s="1141"/>
      <c r="L842" s="1141"/>
      <c r="M842" s="1780"/>
      <c r="N842" s="1779"/>
    </row>
    <row r="843" spans="1:14" ht="13.5" x14ac:dyDescent="0.25">
      <c r="A843" s="1830"/>
      <c r="B843" s="1831"/>
      <c r="C843" s="1831"/>
      <c r="D843" s="1831"/>
      <c r="E843" s="1831"/>
      <c r="F843" s="1831"/>
      <c r="G843" s="1832"/>
      <c r="H843" s="1137"/>
      <c r="I843" s="1780"/>
      <c r="J843" s="1779"/>
      <c r="K843" s="1141"/>
      <c r="L843" s="1143"/>
      <c r="M843" s="1780"/>
      <c r="N843" s="1779"/>
    </row>
    <row r="844" spans="1:14" ht="13.5" x14ac:dyDescent="0.25">
      <c r="A844" s="1784"/>
      <c r="B844" s="1782"/>
      <c r="C844" s="1782"/>
      <c r="D844" s="1782"/>
      <c r="E844" s="1782"/>
      <c r="F844" s="1782"/>
      <c r="G844" s="1779"/>
      <c r="H844" s="1137"/>
      <c r="I844" s="1780"/>
      <c r="J844" s="1779"/>
      <c r="K844" s="1141"/>
      <c r="L844" s="1143"/>
      <c r="M844" s="1780"/>
      <c r="N844" s="1779"/>
    </row>
    <row r="845" spans="1:14" ht="13.5" x14ac:dyDescent="0.25">
      <c r="A845" s="1784"/>
      <c r="B845" s="1782"/>
      <c r="C845" s="1782"/>
      <c r="D845" s="1782"/>
      <c r="E845" s="1782"/>
      <c r="F845" s="1782"/>
      <c r="G845" s="1779"/>
      <c r="H845" s="1137"/>
      <c r="I845" s="1780"/>
      <c r="J845" s="1779"/>
      <c r="K845" s="1141"/>
      <c r="L845" s="1143"/>
      <c r="M845" s="1780"/>
      <c r="N845" s="1779"/>
    </row>
    <row r="846" spans="1:14" ht="13.5" x14ac:dyDescent="0.25">
      <c r="A846" s="1138"/>
      <c r="B846" s="1138"/>
      <c r="C846" s="1138"/>
      <c r="D846" s="1138"/>
      <c r="E846" s="1138"/>
      <c r="F846" s="1138"/>
      <c r="G846" s="1138"/>
      <c r="H846" s="1138"/>
      <c r="I846" s="1138"/>
      <c r="J846" s="1138"/>
      <c r="K846" s="1778" t="s">
        <v>523</v>
      </c>
      <c r="L846" s="1779"/>
      <c r="M846" s="1780">
        <f>ROUND(SUM(M841:N845),2)</f>
        <v>128687.96</v>
      </c>
      <c r="N846" s="1779"/>
    </row>
    <row r="847" spans="1:14" x14ac:dyDescent="0.2">
      <c r="I847" s="1414"/>
      <c r="J847" s="1415"/>
      <c r="K847" s="1415"/>
      <c r="L847" s="1415"/>
      <c r="M847" s="1415"/>
      <c r="N847" s="1415"/>
    </row>
    <row r="848" spans="1:14" ht="13.5" thickBot="1" x14ac:dyDescent="0.25">
      <c r="I848" s="1416"/>
      <c r="J848" s="1416"/>
      <c r="K848" s="1416"/>
      <c r="L848" s="1416"/>
      <c r="M848" s="1416"/>
      <c r="N848" s="1416"/>
    </row>
    <row r="849" spans="1:14" ht="14.25" thickTop="1" x14ac:dyDescent="0.2">
      <c r="I849" s="1417" t="s">
        <v>1829</v>
      </c>
      <c r="J849" s="1418"/>
      <c r="K849" s="1417" t="s">
        <v>2653</v>
      </c>
      <c r="L849" s="1418"/>
      <c r="M849" s="1418"/>
      <c r="N849" s="1418"/>
    </row>
    <row r="850" spans="1:14" ht="13.5" x14ac:dyDescent="0.2">
      <c r="I850" s="1419" t="s">
        <v>1831</v>
      </c>
      <c r="J850" s="1420"/>
      <c r="K850" s="1419"/>
      <c r="L850" s="1420"/>
      <c r="M850" s="1420"/>
      <c r="N850" s="1420"/>
    </row>
    <row r="852" spans="1:14" x14ac:dyDescent="0.2">
      <c r="A852" s="1803" t="s">
        <v>2339</v>
      </c>
      <c r="B852" s="1804"/>
      <c r="C852" s="1804"/>
      <c r="D852" s="1804"/>
      <c r="E852" s="1804"/>
      <c r="F852" s="1804"/>
      <c r="G852" s="1804"/>
      <c r="H852" s="1804"/>
      <c r="I852" s="1804"/>
      <c r="J852" s="1804"/>
      <c r="K852" s="1804"/>
      <c r="L852" s="1804"/>
      <c r="M852" s="1804"/>
      <c r="N852" s="1805"/>
    </row>
    <row r="853" spans="1:14" x14ac:dyDescent="0.2">
      <c r="A853" s="1806"/>
      <c r="B853" s="1807"/>
      <c r="C853" s="1807"/>
      <c r="D853" s="1807"/>
      <c r="E853" s="1807"/>
      <c r="F853" s="1807"/>
      <c r="G853" s="1807"/>
      <c r="H853" s="1807"/>
      <c r="I853" s="1807"/>
      <c r="J853" s="1807"/>
      <c r="K853" s="1807"/>
      <c r="L853" s="1807"/>
      <c r="M853" s="1807"/>
      <c r="N853" s="1808"/>
    </row>
    <row r="854" spans="1:14" ht="13.5" x14ac:dyDescent="0.2">
      <c r="A854" s="1128"/>
      <c r="B854" s="1128"/>
      <c r="C854" s="1128"/>
      <c r="D854" s="1128"/>
      <c r="E854" s="1128"/>
      <c r="F854" s="1128"/>
      <c r="G854" s="1128"/>
      <c r="H854" s="1128"/>
      <c r="I854" s="1128"/>
      <c r="J854" s="1128"/>
      <c r="K854" s="1128"/>
      <c r="L854" s="1128"/>
      <c r="M854" s="1128"/>
      <c r="N854" s="1128"/>
    </row>
    <row r="855" spans="1:14" ht="14.25" x14ac:dyDescent="0.3">
      <c r="A855" s="1104" t="s">
        <v>2303</v>
      </c>
      <c r="B855" s="1129" t="str">
        <f>A852</f>
        <v>SUMINISTRO E INSTALACIÓN COMPUERTA DE VASTAGO DESLIZANTE DE 6". INCLUYE COLUMNA DE MANIOBRA Y TODO LO NECESARIO PARA SU CORRECTO FUNCIONAMIENTO.</v>
      </c>
      <c r="C855" s="1130" t="s">
        <v>634</v>
      </c>
      <c r="D855" s="1107" t="s">
        <v>2</v>
      </c>
      <c r="E855" s="1132" t="s">
        <v>1833</v>
      </c>
      <c r="F855" s="1133">
        <f>H855+J855+L855+N855</f>
        <v>4316825.55</v>
      </c>
      <c r="G855" s="1132" t="s">
        <v>2136</v>
      </c>
      <c r="H855" s="1133">
        <f>M876</f>
        <v>5000</v>
      </c>
      <c r="I855" s="1132" t="s">
        <v>621</v>
      </c>
      <c r="J855" s="1134">
        <f>M867</f>
        <v>4141200</v>
      </c>
      <c r="K855" s="1132" t="s">
        <v>2137</v>
      </c>
      <c r="L855" s="1133">
        <f>M885</f>
        <v>16200</v>
      </c>
      <c r="M855" s="1132" t="s">
        <v>2138</v>
      </c>
      <c r="N855" s="1133">
        <f>M894</f>
        <v>154425.54999999999</v>
      </c>
    </row>
    <row r="856" spans="1:14" ht="13.5" x14ac:dyDescent="0.25">
      <c r="A856" s="1135"/>
      <c r="B856" s="1135"/>
      <c r="C856" s="1135"/>
      <c r="D856" s="1135"/>
      <c r="E856" s="1135"/>
      <c r="F856" s="1135"/>
      <c r="G856" s="1135"/>
      <c r="J856" s="1135"/>
      <c r="K856" s="1135"/>
      <c r="L856" s="1135"/>
      <c r="M856" s="1270" t="s">
        <v>2667</v>
      </c>
      <c r="N856" s="1270">
        <f>+F855*'01'!$O$15</f>
        <v>5587284.1773003573</v>
      </c>
    </row>
    <row r="857" spans="1:14" x14ac:dyDescent="0.2">
      <c r="A857" s="1781" t="s">
        <v>2139</v>
      </c>
      <c r="B857" s="1782"/>
      <c r="C857" s="1782"/>
      <c r="D857" s="1782"/>
      <c r="E857" s="1782"/>
      <c r="F857" s="1782"/>
      <c r="G857" s="1782"/>
      <c r="H857" s="1782"/>
      <c r="I857" s="1782"/>
      <c r="J857" s="1782"/>
      <c r="K857" s="1782"/>
      <c r="L857" s="1782"/>
      <c r="M857" s="1782"/>
      <c r="N857" s="1779"/>
    </row>
    <row r="858" spans="1:14" x14ac:dyDescent="0.2">
      <c r="A858" s="1848" t="s">
        <v>14</v>
      </c>
      <c r="B858" s="1804"/>
      <c r="C858" s="1804"/>
      <c r="D858" s="1804"/>
      <c r="E858" s="1804"/>
      <c r="F858" s="1804"/>
      <c r="G858" s="1805"/>
      <c r="H858" s="1136" t="s">
        <v>15</v>
      </c>
      <c r="I858" s="1783" t="s">
        <v>619</v>
      </c>
      <c r="J858" s="1779"/>
      <c r="K858" s="1783" t="s">
        <v>628</v>
      </c>
      <c r="L858" s="1779"/>
      <c r="M858" s="1783" t="s">
        <v>2140</v>
      </c>
      <c r="N858" s="1779"/>
    </row>
    <row r="859" spans="1:14" ht="30" customHeight="1" x14ac:dyDescent="0.2">
      <c r="A859" s="1812" t="s">
        <v>912</v>
      </c>
      <c r="B859" s="1813"/>
      <c r="C859" s="1813"/>
      <c r="D859" s="1813"/>
      <c r="E859" s="1813"/>
      <c r="F859" s="1813"/>
      <c r="G859" s="1814"/>
      <c r="H859" s="1032" t="str">
        <f>IF(A859="","",VLOOKUP(A859,'10'!$C$6:$E$1152,2,FALSE))</f>
        <v>UND</v>
      </c>
      <c r="I859" s="1785">
        <f>IF(A859="","",VLOOKUP(A859,'10'!$C$6:$E$1152,3,FALSE))</f>
        <v>4141200</v>
      </c>
      <c r="J859" s="1412"/>
      <c r="K859" s="1845">
        <v>1</v>
      </c>
      <c r="L859" s="1846"/>
      <c r="M859" s="1780">
        <f>K859*I859</f>
        <v>4141200</v>
      </c>
      <c r="N859" s="1779"/>
    </row>
    <row r="860" spans="1:14" ht="13.5" customHeight="1" x14ac:dyDescent="0.2">
      <c r="A860" s="1851"/>
      <c r="B860" s="1852"/>
      <c r="C860" s="1852"/>
      <c r="D860" s="1852"/>
      <c r="E860" s="1852"/>
      <c r="F860" s="1852"/>
      <c r="G860" s="1853"/>
      <c r="H860" s="1137"/>
      <c r="I860" s="1780"/>
      <c r="J860" s="1779"/>
      <c r="K860" s="1845"/>
      <c r="L860" s="1846"/>
      <c r="M860" s="1780"/>
      <c r="N860" s="1779"/>
    </row>
    <row r="861" spans="1:14" ht="13.5" customHeight="1" x14ac:dyDescent="0.2">
      <c r="A861" s="1851"/>
      <c r="B861" s="1852"/>
      <c r="C861" s="1852"/>
      <c r="D861" s="1852"/>
      <c r="E861" s="1852"/>
      <c r="F861" s="1852"/>
      <c r="G861" s="1853"/>
      <c r="H861" s="1137"/>
      <c r="I861" s="1780"/>
      <c r="J861" s="1779"/>
      <c r="K861" s="1845"/>
      <c r="L861" s="1846"/>
      <c r="M861" s="1780"/>
      <c r="N861" s="1779"/>
    </row>
    <row r="862" spans="1:14" ht="13.5" customHeight="1" x14ac:dyDescent="0.2">
      <c r="A862" s="1851"/>
      <c r="B862" s="1852"/>
      <c r="C862" s="1852"/>
      <c r="D862" s="1852"/>
      <c r="E862" s="1852"/>
      <c r="F862" s="1852"/>
      <c r="G862" s="1853"/>
      <c r="H862" s="1137"/>
      <c r="I862" s="1780"/>
      <c r="J862" s="1779"/>
      <c r="K862" s="1845"/>
      <c r="L862" s="1846"/>
      <c r="M862" s="1780"/>
      <c r="N862" s="1779"/>
    </row>
    <row r="863" spans="1:14" ht="13.5" customHeight="1" x14ac:dyDescent="0.2">
      <c r="A863" s="1851"/>
      <c r="B863" s="1852"/>
      <c r="C863" s="1852"/>
      <c r="D863" s="1852"/>
      <c r="E863" s="1852"/>
      <c r="F863" s="1852"/>
      <c r="G863" s="1853"/>
      <c r="H863" s="1137"/>
      <c r="I863" s="1780"/>
      <c r="J863" s="1779"/>
      <c r="K863" s="1845"/>
      <c r="L863" s="1846"/>
      <c r="M863" s="1780"/>
      <c r="N863" s="1779"/>
    </row>
    <row r="864" spans="1:14" ht="13.5" customHeight="1" x14ac:dyDescent="0.2">
      <c r="A864" s="1854"/>
      <c r="B864" s="1855"/>
      <c r="C864" s="1855"/>
      <c r="D864" s="1855"/>
      <c r="E864" s="1855"/>
      <c r="F864" s="1855"/>
      <c r="G864" s="1856"/>
      <c r="H864" s="1137"/>
      <c r="I864" s="1780"/>
      <c r="J864" s="1779"/>
      <c r="K864" s="1845"/>
      <c r="L864" s="1846"/>
      <c r="M864" s="1780"/>
      <c r="N864" s="1779"/>
    </row>
    <row r="865" spans="1:14" ht="13.5" x14ac:dyDescent="0.2">
      <c r="A865" s="1809"/>
      <c r="B865" s="1810"/>
      <c r="C865" s="1810"/>
      <c r="D865" s="1810"/>
      <c r="E865" s="1810"/>
      <c r="F865" s="1810"/>
      <c r="G865" s="1811"/>
      <c r="H865" s="1152"/>
      <c r="I865" s="1780"/>
      <c r="J865" s="1779"/>
      <c r="K865" s="1787"/>
      <c r="L865" s="1847"/>
      <c r="M865" s="1780"/>
      <c r="N865" s="1779"/>
    </row>
    <row r="866" spans="1:14" ht="13.5" x14ac:dyDescent="0.2">
      <c r="A866" s="1153"/>
      <c r="B866" s="1154"/>
      <c r="C866" s="1154"/>
      <c r="D866" s="1154"/>
      <c r="E866" s="1154"/>
      <c r="F866" s="1154"/>
      <c r="G866" s="1155"/>
      <c r="H866" s="1137"/>
      <c r="I866" s="1780"/>
      <c r="J866" s="1779"/>
      <c r="K866" s="1787"/>
      <c r="L866" s="1779"/>
      <c r="M866" s="1780"/>
      <c r="N866" s="1779"/>
    </row>
    <row r="867" spans="1:14" ht="13.5" x14ac:dyDescent="0.25">
      <c r="A867" s="1138"/>
      <c r="B867" s="1138"/>
      <c r="C867" s="1138"/>
      <c r="D867" s="1138"/>
      <c r="E867" s="1138"/>
      <c r="F867" s="1138"/>
      <c r="G867" s="1138"/>
      <c r="H867" s="1138"/>
      <c r="I867" s="1138"/>
      <c r="J867" s="1138"/>
      <c r="K867" s="1778" t="s">
        <v>523</v>
      </c>
      <c r="L867" s="1779"/>
      <c r="M867" s="1780">
        <f>ROUND(SUM(M859:N866),2)</f>
        <v>4141200</v>
      </c>
      <c r="N867" s="1779"/>
    </row>
    <row r="868" spans="1:14" ht="13.5" x14ac:dyDescent="0.25">
      <c r="A868" s="1138"/>
      <c r="B868" s="1138"/>
      <c r="C868" s="1138"/>
      <c r="D868" s="1138"/>
      <c r="E868" s="1138"/>
      <c r="F868" s="1138"/>
      <c r="G868" s="1138"/>
      <c r="H868" s="1138"/>
      <c r="I868" s="1138"/>
      <c r="J868" s="1138"/>
      <c r="K868" s="1138"/>
      <c r="L868" s="1138"/>
      <c r="M868" s="1138"/>
      <c r="N868" s="1138"/>
    </row>
    <row r="869" spans="1:14" x14ac:dyDescent="0.2">
      <c r="A869" s="1781" t="s">
        <v>2145</v>
      </c>
      <c r="B869" s="1782"/>
      <c r="C869" s="1782"/>
      <c r="D869" s="1782"/>
      <c r="E869" s="1782"/>
      <c r="F869" s="1782"/>
      <c r="G869" s="1782"/>
      <c r="H869" s="1782"/>
      <c r="I869" s="1782"/>
      <c r="J869" s="1782"/>
      <c r="K869" s="1782"/>
      <c r="L869" s="1782"/>
      <c r="M869" s="1782"/>
      <c r="N869" s="1779"/>
    </row>
    <row r="870" spans="1:14" x14ac:dyDescent="0.2">
      <c r="A870" s="1778" t="s">
        <v>14</v>
      </c>
      <c r="B870" s="1782"/>
      <c r="C870" s="1782"/>
      <c r="D870" s="1782"/>
      <c r="E870" s="1782"/>
      <c r="F870" s="1782"/>
      <c r="G870" s="1779"/>
      <c r="H870" s="1136" t="s">
        <v>15</v>
      </c>
      <c r="I870" s="1783" t="s">
        <v>619</v>
      </c>
      <c r="J870" s="1779"/>
      <c r="K870" s="1783" t="s">
        <v>610</v>
      </c>
      <c r="L870" s="1779"/>
      <c r="M870" s="1783" t="s">
        <v>2140</v>
      </c>
      <c r="N870" s="1779"/>
    </row>
    <row r="871" spans="1:14" ht="13.5" x14ac:dyDescent="0.2">
      <c r="A871" s="1836" t="s">
        <v>131</v>
      </c>
      <c r="B871" s="1837"/>
      <c r="C871" s="1837"/>
      <c r="D871" s="1837"/>
      <c r="E871" s="1837"/>
      <c r="F871" s="1837"/>
      <c r="G871" s="1838"/>
      <c r="H871" s="1032" t="str">
        <f>IF(A871="","",VLOOKUP(A871,'11'!$C$6:$E$87,2,FALSE))</f>
        <v>DIA</v>
      </c>
      <c r="I871" s="1785">
        <f>IF(A871="","",VLOOKUP(A871,'11'!$C$6:$E$87,3,FALSE))</f>
        <v>15000</v>
      </c>
      <c r="J871" s="1412"/>
      <c r="K871" s="1787">
        <f>15/5</f>
        <v>3</v>
      </c>
      <c r="L871" s="1793"/>
      <c r="M871" s="1780">
        <f>I871/K871</f>
        <v>5000</v>
      </c>
      <c r="N871" s="1779"/>
    </row>
    <row r="872" spans="1:14" ht="13.5" x14ac:dyDescent="0.2">
      <c r="A872" s="1839"/>
      <c r="B872" s="1840"/>
      <c r="C872" s="1840"/>
      <c r="D872" s="1840"/>
      <c r="E872" s="1840"/>
      <c r="F872" s="1840"/>
      <c r="G872" s="1841"/>
      <c r="H872" s="1137"/>
      <c r="I872" s="1780"/>
      <c r="J872" s="1779"/>
      <c r="K872" s="1794"/>
      <c r="L872" s="1779"/>
      <c r="M872" s="1780"/>
      <c r="N872" s="1779"/>
    </row>
    <row r="873" spans="1:14" ht="13.5" x14ac:dyDescent="0.2">
      <c r="A873" s="1836"/>
      <c r="B873" s="1837"/>
      <c r="C873" s="1837"/>
      <c r="D873" s="1837"/>
      <c r="E873" s="1837"/>
      <c r="F873" s="1837"/>
      <c r="G873" s="1838"/>
      <c r="H873" s="1137"/>
      <c r="I873" s="1780"/>
      <c r="J873" s="1779"/>
      <c r="K873" s="1787"/>
      <c r="L873" s="1779"/>
      <c r="M873" s="1780"/>
      <c r="N873" s="1779"/>
    </row>
    <row r="874" spans="1:14" ht="13.5" x14ac:dyDescent="0.2">
      <c r="A874" s="1836"/>
      <c r="B874" s="1837"/>
      <c r="C874" s="1837"/>
      <c r="D874" s="1837"/>
      <c r="E874" s="1837"/>
      <c r="F874" s="1837"/>
      <c r="G874" s="1838"/>
      <c r="H874" s="1137"/>
      <c r="I874" s="1780"/>
      <c r="J874" s="1779"/>
      <c r="K874" s="1787"/>
      <c r="L874" s="1779"/>
      <c r="M874" s="1780"/>
      <c r="N874" s="1779"/>
    </row>
    <row r="875" spans="1:14" ht="13.5" x14ac:dyDescent="0.2">
      <c r="A875" s="1789"/>
      <c r="B875" s="1790"/>
      <c r="C875" s="1790"/>
      <c r="D875" s="1790"/>
      <c r="E875" s="1790"/>
      <c r="F875" s="1790"/>
      <c r="G875" s="1791"/>
      <c r="H875" s="1137"/>
      <c r="I875" s="1780"/>
      <c r="J875" s="1779"/>
      <c r="K875" s="1787"/>
      <c r="L875" s="1779"/>
      <c r="M875" s="1780"/>
      <c r="N875" s="1779"/>
    </row>
    <row r="876" spans="1:14" ht="13.5" x14ac:dyDescent="0.25">
      <c r="A876" s="1138"/>
      <c r="B876" s="1138"/>
      <c r="C876" s="1138"/>
      <c r="D876" s="1138"/>
      <c r="E876" s="1138"/>
      <c r="F876" s="1138"/>
      <c r="G876" s="1138"/>
      <c r="H876" s="1138"/>
      <c r="I876" s="1138"/>
      <c r="J876" s="1138"/>
      <c r="K876" s="1778" t="s">
        <v>523</v>
      </c>
      <c r="L876" s="1779"/>
      <c r="M876" s="1780">
        <f>ROUND(SUM(M871:N875),2)</f>
        <v>5000</v>
      </c>
      <c r="N876" s="1779"/>
    </row>
    <row r="877" spans="1:14" ht="13.5" x14ac:dyDescent="0.25">
      <c r="A877" s="1138"/>
      <c r="B877" s="1138"/>
      <c r="C877" s="1138"/>
      <c r="D877" s="1138"/>
      <c r="E877" s="1138"/>
      <c r="F877" s="1138"/>
      <c r="G877" s="1138"/>
      <c r="H877" s="1138"/>
      <c r="I877" s="1138"/>
      <c r="J877" s="1138"/>
      <c r="K877" s="1138"/>
      <c r="L877" s="1138"/>
      <c r="M877" s="1138"/>
      <c r="N877" s="1138"/>
    </row>
    <row r="878" spans="1:14" x14ac:dyDescent="0.2">
      <c r="A878" s="1781" t="s">
        <v>2147</v>
      </c>
      <c r="B878" s="1782"/>
      <c r="C878" s="1782"/>
      <c r="D878" s="1782"/>
      <c r="E878" s="1782"/>
      <c r="F878" s="1782"/>
      <c r="G878" s="1782"/>
      <c r="H878" s="1782"/>
      <c r="I878" s="1782"/>
      <c r="J878" s="1782"/>
      <c r="K878" s="1782"/>
      <c r="L878" s="1782"/>
      <c r="M878" s="1782"/>
      <c r="N878" s="1779"/>
    </row>
    <row r="879" spans="1:14" x14ac:dyDescent="0.2">
      <c r="A879" s="1778" t="s">
        <v>14</v>
      </c>
      <c r="B879" s="1782"/>
      <c r="C879" s="1782"/>
      <c r="D879" s="1782"/>
      <c r="E879" s="1782"/>
      <c r="F879" s="1782"/>
      <c r="G879" s="1779"/>
      <c r="H879" s="1136" t="s">
        <v>15</v>
      </c>
      <c r="I879" s="1783" t="s">
        <v>619</v>
      </c>
      <c r="J879" s="1779"/>
      <c r="K879" s="1783" t="s">
        <v>628</v>
      </c>
      <c r="L879" s="1779"/>
      <c r="M879" s="1783" t="s">
        <v>2140</v>
      </c>
      <c r="N879" s="1779"/>
    </row>
    <row r="880" spans="1:14" ht="13.5" x14ac:dyDescent="0.2">
      <c r="A880" s="1789" t="s">
        <v>874</v>
      </c>
      <c r="B880" s="1790"/>
      <c r="C880" s="1790"/>
      <c r="D880" s="1790"/>
      <c r="E880" s="1790"/>
      <c r="F880" s="1790"/>
      <c r="G880" s="1791"/>
      <c r="H880" s="1032" t="str">
        <f>IF(A880="","",VLOOKUP(A880,'11'!$C$6:$E$1012,2,FALSE))</f>
        <v>KM-M3</v>
      </c>
      <c r="I880" s="1785">
        <f>IF(A880="","",VLOOKUP(A880,'11'!$C$6:$E$1012,3,FALSE))</f>
        <v>1440</v>
      </c>
      <c r="J880" s="1412"/>
      <c r="K880" s="1787">
        <f>75*0.15</f>
        <v>11.25</v>
      </c>
      <c r="L880" s="1793"/>
      <c r="M880" s="1780">
        <f>IF(A880="","",I880*K880)</f>
        <v>16200</v>
      </c>
      <c r="N880" s="1779"/>
    </row>
    <row r="881" spans="1:14" ht="13.5" x14ac:dyDescent="0.2">
      <c r="A881" s="1857"/>
      <c r="B881" s="1858"/>
      <c r="C881" s="1858"/>
      <c r="D881" s="1858"/>
      <c r="E881" s="1858"/>
      <c r="F881" s="1858"/>
      <c r="G881" s="1859"/>
      <c r="H881" s="1032"/>
      <c r="I881" s="1780"/>
      <c r="J881" s="1779"/>
      <c r="K881" s="1787"/>
      <c r="L881" s="1779"/>
      <c r="M881" s="1780"/>
      <c r="N881" s="1779"/>
    </row>
    <row r="882" spans="1:14" ht="13.5" x14ac:dyDescent="0.2">
      <c r="A882" s="1857"/>
      <c r="B882" s="1858"/>
      <c r="C882" s="1858"/>
      <c r="D882" s="1858"/>
      <c r="E882" s="1858"/>
      <c r="F882" s="1858"/>
      <c r="G882" s="1859"/>
      <c r="H882" s="1032"/>
      <c r="I882" s="1780"/>
      <c r="J882" s="1779"/>
      <c r="K882" s="1788"/>
      <c r="L882" s="1779"/>
      <c r="M882" s="1780"/>
      <c r="N882" s="1779"/>
    </row>
    <row r="883" spans="1:14" ht="13.5" x14ac:dyDescent="0.2">
      <c r="A883" s="1789"/>
      <c r="B883" s="1782"/>
      <c r="C883" s="1782"/>
      <c r="D883" s="1782"/>
      <c r="E883" s="1782"/>
      <c r="F883" s="1782"/>
      <c r="G883" s="1779"/>
      <c r="H883" s="1137"/>
      <c r="I883" s="1780"/>
      <c r="J883" s="1779"/>
      <c r="K883" s="1787"/>
      <c r="L883" s="1779"/>
      <c r="M883" s="1780"/>
      <c r="N883" s="1779"/>
    </row>
    <row r="884" spans="1:14" ht="13.5" x14ac:dyDescent="0.2">
      <c r="A884" s="1789"/>
      <c r="B884" s="1782"/>
      <c r="C884" s="1782"/>
      <c r="D884" s="1782"/>
      <c r="E884" s="1782"/>
      <c r="F884" s="1782"/>
      <c r="G884" s="1779"/>
      <c r="H884" s="1137"/>
      <c r="I884" s="1780"/>
      <c r="J884" s="1779"/>
      <c r="K884" s="1787"/>
      <c r="L884" s="1779"/>
      <c r="M884" s="1780"/>
      <c r="N884" s="1779"/>
    </row>
    <row r="885" spans="1:14" ht="13.5" x14ac:dyDescent="0.25">
      <c r="A885" s="1138"/>
      <c r="B885" s="1138"/>
      <c r="C885" s="1138"/>
      <c r="D885" s="1138"/>
      <c r="E885" s="1138"/>
      <c r="F885" s="1138"/>
      <c r="G885" s="1138"/>
      <c r="H885" s="1138"/>
      <c r="I885" s="1138"/>
      <c r="J885" s="1138"/>
      <c r="K885" s="1778" t="s">
        <v>523</v>
      </c>
      <c r="L885" s="1779"/>
      <c r="M885" s="1780">
        <f>ROUND(SUM(M880:N884),2)</f>
        <v>16200</v>
      </c>
      <c r="N885" s="1779"/>
    </row>
    <row r="886" spans="1:14" ht="13.5" x14ac:dyDescent="0.25">
      <c r="A886" s="1138"/>
      <c r="B886" s="1138"/>
      <c r="C886" s="1138"/>
      <c r="D886" s="1138"/>
      <c r="E886" s="1138"/>
      <c r="F886" s="1138"/>
      <c r="G886" s="1138"/>
      <c r="H886" s="1138"/>
      <c r="I886" s="1138"/>
      <c r="J886" s="1138"/>
      <c r="K886" s="1138"/>
      <c r="L886" s="1138"/>
      <c r="M886" s="1138"/>
      <c r="N886" s="1138"/>
    </row>
    <row r="887" spans="1:14" x14ac:dyDescent="0.2">
      <c r="A887" s="1781" t="s">
        <v>2150</v>
      </c>
      <c r="B887" s="1782"/>
      <c r="C887" s="1782"/>
      <c r="D887" s="1782"/>
      <c r="E887" s="1782"/>
      <c r="F887" s="1782"/>
      <c r="G887" s="1782"/>
      <c r="H887" s="1782"/>
      <c r="I887" s="1782"/>
      <c r="J887" s="1782"/>
      <c r="K887" s="1782"/>
      <c r="L887" s="1782"/>
      <c r="M887" s="1782"/>
      <c r="N887" s="1779"/>
    </row>
    <row r="888" spans="1:14" x14ac:dyDescent="0.2">
      <c r="A888" s="1778" t="s">
        <v>14</v>
      </c>
      <c r="B888" s="1782"/>
      <c r="C888" s="1782"/>
      <c r="D888" s="1782"/>
      <c r="E888" s="1782"/>
      <c r="F888" s="1782"/>
      <c r="G888" s="1779"/>
      <c r="H888" s="1136" t="s">
        <v>15</v>
      </c>
      <c r="I888" s="1783" t="s">
        <v>619</v>
      </c>
      <c r="J888" s="1779"/>
      <c r="K888" s="1139" t="s">
        <v>1919</v>
      </c>
      <c r="L888" s="1140" t="s">
        <v>2151</v>
      </c>
      <c r="M888" s="1783" t="s">
        <v>2140</v>
      </c>
      <c r="N888" s="1779"/>
    </row>
    <row r="889" spans="1:14" ht="13.5" x14ac:dyDescent="0.25">
      <c r="A889" s="1817" t="s">
        <v>2168</v>
      </c>
      <c r="B889" s="1849"/>
      <c r="C889" s="1849"/>
      <c r="D889" s="1849"/>
      <c r="E889" s="1849"/>
      <c r="F889" s="1849"/>
      <c r="G889" s="1850"/>
      <c r="H889" s="1032" t="str">
        <f>IF(A889="","",VLOOKUP(A889,'09'!$A$22:$O$168,4,FALSE))</f>
        <v>Cuadrilla</v>
      </c>
      <c r="I889" s="1785">
        <f>IF(A889="","",VLOOKUP(A889,'09'!$A$22:$O$168,5,FALSE))</f>
        <v>204272</v>
      </c>
      <c r="J889" s="1412"/>
      <c r="K889" s="1034">
        <f>IF(A889="","",'03'!$I$2)</f>
        <v>1.88995</v>
      </c>
      <c r="L889" s="1142">
        <v>2.5</v>
      </c>
      <c r="M889" s="1780">
        <f>I889*K889/L889</f>
        <v>154425.54655999999</v>
      </c>
      <c r="N889" s="1779"/>
    </row>
    <row r="890" spans="1:14" ht="13.5" x14ac:dyDescent="0.25">
      <c r="A890" s="1830"/>
      <c r="B890" s="1831"/>
      <c r="C890" s="1831"/>
      <c r="D890" s="1831"/>
      <c r="E890" s="1831"/>
      <c r="F890" s="1831"/>
      <c r="G890" s="1832"/>
      <c r="H890" s="1137"/>
      <c r="I890" s="1780"/>
      <c r="J890" s="1779"/>
      <c r="K890" s="1141"/>
      <c r="L890" s="1141"/>
      <c r="M890" s="1780"/>
      <c r="N890" s="1779"/>
    </row>
    <row r="891" spans="1:14" ht="13.5" x14ac:dyDescent="0.25">
      <c r="A891" s="1830"/>
      <c r="B891" s="1831"/>
      <c r="C891" s="1831"/>
      <c r="D891" s="1831"/>
      <c r="E891" s="1831"/>
      <c r="F891" s="1831"/>
      <c r="G891" s="1832"/>
      <c r="H891" s="1137"/>
      <c r="I891" s="1780"/>
      <c r="J891" s="1779"/>
      <c r="K891" s="1141"/>
      <c r="L891" s="1143"/>
      <c r="M891" s="1780"/>
      <c r="N891" s="1779"/>
    </row>
    <row r="892" spans="1:14" ht="13.5" x14ac:dyDescent="0.25">
      <c r="A892" s="1784"/>
      <c r="B892" s="1782"/>
      <c r="C892" s="1782"/>
      <c r="D892" s="1782"/>
      <c r="E892" s="1782"/>
      <c r="F892" s="1782"/>
      <c r="G892" s="1779"/>
      <c r="H892" s="1137"/>
      <c r="I892" s="1780"/>
      <c r="J892" s="1779"/>
      <c r="K892" s="1141"/>
      <c r="L892" s="1143"/>
      <c r="M892" s="1780"/>
      <c r="N892" s="1779"/>
    </row>
    <row r="893" spans="1:14" ht="13.5" x14ac:dyDescent="0.25">
      <c r="A893" s="1784"/>
      <c r="B893" s="1782"/>
      <c r="C893" s="1782"/>
      <c r="D893" s="1782"/>
      <c r="E893" s="1782"/>
      <c r="F893" s="1782"/>
      <c r="G893" s="1779"/>
      <c r="H893" s="1137"/>
      <c r="I893" s="1780"/>
      <c r="J893" s="1779"/>
      <c r="K893" s="1141"/>
      <c r="L893" s="1143"/>
      <c r="M893" s="1780"/>
      <c r="N893" s="1779"/>
    </row>
    <row r="894" spans="1:14" ht="13.5" x14ac:dyDescent="0.25">
      <c r="A894" s="1138"/>
      <c r="B894" s="1138"/>
      <c r="C894" s="1138"/>
      <c r="D894" s="1138"/>
      <c r="E894" s="1138"/>
      <c r="F894" s="1138"/>
      <c r="G894" s="1138"/>
      <c r="H894" s="1138"/>
      <c r="I894" s="1138"/>
      <c r="J894" s="1138"/>
      <c r="K894" s="1778" t="s">
        <v>523</v>
      </c>
      <c r="L894" s="1779"/>
      <c r="M894" s="1780">
        <f>ROUND(SUM(M889:N893),2)</f>
        <v>154425.54999999999</v>
      </c>
      <c r="N894" s="1779"/>
    </row>
    <row r="895" spans="1:14" x14ac:dyDescent="0.2">
      <c r="I895" s="1414"/>
      <c r="J895" s="1415"/>
      <c r="K895" s="1415"/>
      <c r="L895" s="1415"/>
      <c r="M895" s="1415"/>
      <c r="N895" s="1415"/>
    </row>
    <row r="896" spans="1:14" ht="13.5" thickBot="1" x14ac:dyDescent="0.25">
      <c r="I896" s="1416"/>
      <c r="J896" s="1416"/>
      <c r="K896" s="1416"/>
      <c r="L896" s="1416"/>
      <c r="M896" s="1416"/>
      <c r="N896" s="1416"/>
    </row>
    <row r="897" spans="1:14" ht="14.25" thickTop="1" x14ac:dyDescent="0.2">
      <c r="I897" s="1417" t="s">
        <v>1829</v>
      </c>
      <c r="J897" s="1418"/>
      <c r="K897" s="1417" t="s">
        <v>2653</v>
      </c>
      <c r="L897" s="1418"/>
      <c r="M897" s="1418"/>
      <c r="N897" s="1418"/>
    </row>
    <row r="898" spans="1:14" ht="13.5" x14ac:dyDescent="0.2">
      <c r="I898" s="1419" t="s">
        <v>1831</v>
      </c>
      <c r="J898" s="1420"/>
      <c r="K898" s="1419"/>
      <c r="L898" s="1420"/>
      <c r="M898" s="1420"/>
      <c r="N898" s="1420"/>
    </row>
    <row r="900" spans="1:14" x14ac:dyDescent="0.2">
      <c r="A900" s="1803" t="s">
        <v>2340</v>
      </c>
      <c r="B900" s="1804"/>
      <c r="C900" s="1804"/>
      <c r="D900" s="1804"/>
      <c r="E900" s="1804"/>
      <c r="F900" s="1804"/>
      <c r="G900" s="1804"/>
      <c r="H900" s="1804"/>
      <c r="I900" s="1804"/>
      <c r="J900" s="1804"/>
      <c r="K900" s="1804"/>
      <c r="L900" s="1804"/>
      <c r="M900" s="1804"/>
      <c r="N900" s="1805"/>
    </row>
    <row r="901" spans="1:14" x14ac:dyDescent="0.2">
      <c r="A901" s="1806"/>
      <c r="B901" s="1807"/>
      <c r="C901" s="1807"/>
      <c r="D901" s="1807"/>
      <c r="E901" s="1807"/>
      <c r="F901" s="1807"/>
      <c r="G901" s="1807"/>
      <c r="H901" s="1807"/>
      <c r="I901" s="1807"/>
      <c r="J901" s="1807"/>
      <c r="K901" s="1807"/>
      <c r="L901" s="1807"/>
      <c r="M901" s="1807"/>
      <c r="N901" s="1808"/>
    </row>
    <row r="902" spans="1:14" ht="13.5" x14ac:dyDescent="0.2">
      <c r="A902" s="1128"/>
      <c r="B902" s="1128"/>
      <c r="C902" s="1128"/>
      <c r="D902" s="1128"/>
      <c r="E902" s="1128"/>
      <c r="F902" s="1128"/>
      <c r="G902" s="1128"/>
      <c r="H902" s="1128"/>
      <c r="I902" s="1128"/>
      <c r="J902" s="1128"/>
      <c r="K902" s="1128"/>
      <c r="L902" s="1128"/>
      <c r="M902" s="1128"/>
      <c r="N902" s="1128"/>
    </row>
    <row r="903" spans="1:14" ht="14.25" x14ac:dyDescent="0.3">
      <c r="A903" s="1104" t="s">
        <v>2304</v>
      </c>
      <c r="B903" s="1129" t="str">
        <f>A900</f>
        <v>SUMINISTRO E INSTALACIÓN COMPUERTA DE VASTAGO DESLIZANTE DE 8". INCLUYE COLUMNA DE MANIOBRA Y TODO LO NECESARIO PARA SU CORRECTO FUNCIONAMIENTO.</v>
      </c>
      <c r="C903" s="1130" t="s">
        <v>634</v>
      </c>
      <c r="D903" s="1107" t="s">
        <v>2</v>
      </c>
      <c r="E903" s="1132" t="s">
        <v>1833</v>
      </c>
      <c r="F903" s="1133">
        <f>H903+J903+L903+N903</f>
        <v>4749225.55</v>
      </c>
      <c r="G903" s="1132" t="s">
        <v>2136</v>
      </c>
      <c r="H903" s="1133">
        <f>M924</f>
        <v>2500</v>
      </c>
      <c r="I903" s="1132" t="s">
        <v>621</v>
      </c>
      <c r="J903" s="1134">
        <f>M915</f>
        <v>4581500</v>
      </c>
      <c r="K903" s="1132" t="s">
        <v>2137</v>
      </c>
      <c r="L903" s="1133">
        <f>M933</f>
        <v>10800</v>
      </c>
      <c r="M903" s="1132" t="s">
        <v>2138</v>
      </c>
      <c r="N903" s="1133">
        <f>M942</f>
        <v>154425.54999999999</v>
      </c>
    </row>
    <row r="904" spans="1:14" ht="13.5" x14ac:dyDescent="0.25">
      <c r="A904" s="1135"/>
      <c r="B904" s="1135"/>
      <c r="C904" s="1135"/>
      <c r="D904" s="1135"/>
      <c r="E904" s="1135"/>
      <c r="F904" s="1135"/>
      <c r="G904" s="1135"/>
      <c r="J904" s="1135"/>
      <c r="K904" s="1135"/>
      <c r="L904" s="1135"/>
      <c r="M904" s="1270" t="s">
        <v>2667</v>
      </c>
      <c r="N904" s="1270">
        <f>+F903*'01'!$O$15</f>
        <v>6146941.1868972993</v>
      </c>
    </row>
    <row r="905" spans="1:14" x14ac:dyDescent="0.2">
      <c r="A905" s="1781" t="s">
        <v>2139</v>
      </c>
      <c r="B905" s="1782"/>
      <c r="C905" s="1782"/>
      <c r="D905" s="1782"/>
      <c r="E905" s="1782"/>
      <c r="F905" s="1782"/>
      <c r="G905" s="1782"/>
      <c r="H905" s="1782"/>
      <c r="I905" s="1782"/>
      <c r="J905" s="1782"/>
      <c r="K905" s="1782"/>
      <c r="L905" s="1782"/>
      <c r="M905" s="1782"/>
      <c r="N905" s="1779"/>
    </row>
    <row r="906" spans="1:14" x14ac:dyDescent="0.2">
      <c r="A906" s="1848" t="s">
        <v>14</v>
      </c>
      <c r="B906" s="1804"/>
      <c r="C906" s="1804"/>
      <c r="D906" s="1804"/>
      <c r="E906" s="1804"/>
      <c r="F906" s="1804"/>
      <c r="G906" s="1805"/>
      <c r="H906" s="1136" t="s">
        <v>15</v>
      </c>
      <c r="I906" s="1783" t="s">
        <v>619</v>
      </c>
      <c r="J906" s="1779"/>
      <c r="K906" s="1783" t="s">
        <v>628</v>
      </c>
      <c r="L906" s="1779"/>
      <c r="M906" s="1783" t="s">
        <v>2140</v>
      </c>
      <c r="N906" s="1779"/>
    </row>
    <row r="907" spans="1:14" ht="30" customHeight="1" x14ac:dyDescent="0.2">
      <c r="A907" s="1812" t="s">
        <v>1066</v>
      </c>
      <c r="B907" s="1813"/>
      <c r="C907" s="1813"/>
      <c r="D907" s="1813"/>
      <c r="E907" s="1813"/>
      <c r="F907" s="1813"/>
      <c r="G907" s="1814"/>
      <c r="H907" s="1032" t="str">
        <f>IF(A907="","",VLOOKUP(A907,'10'!$C$6:$E$1152,2,FALSE))</f>
        <v>UND</v>
      </c>
      <c r="I907" s="1785">
        <f>IF(A907="","",VLOOKUP(A907,'10'!$C$6:$E$1152,3,FALSE))</f>
        <v>4581500</v>
      </c>
      <c r="J907" s="1412"/>
      <c r="K907" s="1787">
        <v>1</v>
      </c>
      <c r="L907" s="1847"/>
      <c r="M907" s="1780">
        <f>K907*I907</f>
        <v>4581500</v>
      </c>
      <c r="N907" s="1779"/>
    </row>
    <row r="908" spans="1:14" ht="13.5" x14ac:dyDescent="0.2">
      <c r="A908" s="1851"/>
      <c r="B908" s="1852"/>
      <c r="C908" s="1852"/>
      <c r="D908" s="1852"/>
      <c r="E908" s="1852"/>
      <c r="F908" s="1852"/>
      <c r="G908" s="1853"/>
      <c r="H908" s="1137"/>
      <c r="I908" s="1780"/>
      <c r="J908" s="1779"/>
      <c r="K908" s="1845"/>
      <c r="L908" s="1846"/>
      <c r="M908" s="1780"/>
      <c r="N908" s="1779"/>
    </row>
    <row r="909" spans="1:14" ht="13.5" x14ac:dyDescent="0.2">
      <c r="A909" s="1851"/>
      <c r="B909" s="1852"/>
      <c r="C909" s="1852"/>
      <c r="D909" s="1852"/>
      <c r="E909" s="1852"/>
      <c r="F909" s="1852"/>
      <c r="G909" s="1853"/>
      <c r="H909" s="1137"/>
      <c r="I909" s="1780"/>
      <c r="J909" s="1779"/>
      <c r="K909" s="1845"/>
      <c r="L909" s="1846"/>
      <c r="M909" s="1780"/>
      <c r="N909" s="1779"/>
    </row>
    <row r="910" spans="1:14" ht="13.5" x14ac:dyDescent="0.2">
      <c r="A910" s="1851"/>
      <c r="B910" s="1852"/>
      <c r="C910" s="1852"/>
      <c r="D910" s="1852"/>
      <c r="E910" s="1852"/>
      <c r="F910" s="1852"/>
      <c r="G910" s="1853"/>
      <c r="H910" s="1137"/>
      <c r="I910" s="1780"/>
      <c r="J910" s="1779"/>
      <c r="K910" s="1845"/>
      <c r="L910" s="1846"/>
      <c r="M910" s="1780"/>
      <c r="N910" s="1779"/>
    </row>
    <row r="911" spans="1:14" ht="13.5" x14ac:dyDescent="0.2">
      <c r="A911" s="1851"/>
      <c r="B911" s="1852"/>
      <c r="C911" s="1852"/>
      <c r="D911" s="1852"/>
      <c r="E911" s="1852"/>
      <c r="F911" s="1852"/>
      <c r="G911" s="1853"/>
      <c r="H911" s="1137"/>
      <c r="I911" s="1780"/>
      <c r="J911" s="1779"/>
      <c r="K911" s="1845"/>
      <c r="L911" s="1846"/>
      <c r="M911" s="1780"/>
      <c r="N911" s="1779"/>
    </row>
    <row r="912" spans="1:14" ht="13.5" x14ac:dyDescent="0.2">
      <c r="A912" s="1854"/>
      <c r="B912" s="1855"/>
      <c r="C912" s="1855"/>
      <c r="D912" s="1855"/>
      <c r="E912" s="1855"/>
      <c r="F912" s="1855"/>
      <c r="G912" s="1856"/>
      <c r="H912" s="1137"/>
      <c r="I912" s="1780"/>
      <c r="J912" s="1779"/>
      <c r="K912" s="1845"/>
      <c r="L912" s="1846"/>
      <c r="M912" s="1780"/>
      <c r="N912" s="1779"/>
    </row>
    <row r="913" spans="1:14" ht="13.5" x14ac:dyDescent="0.2">
      <c r="A913" s="1809"/>
      <c r="B913" s="1810"/>
      <c r="C913" s="1810"/>
      <c r="D913" s="1810"/>
      <c r="E913" s="1810"/>
      <c r="F913" s="1810"/>
      <c r="G913" s="1811"/>
      <c r="H913" s="1152"/>
      <c r="I913" s="1780"/>
      <c r="J913" s="1779"/>
      <c r="K913" s="1787"/>
      <c r="L913" s="1847"/>
      <c r="M913" s="1780"/>
      <c r="N913" s="1779"/>
    </row>
    <row r="914" spans="1:14" ht="13.5" x14ac:dyDescent="0.2">
      <c r="A914" s="1153"/>
      <c r="B914" s="1154"/>
      <c r="C914" s="1154"/>
      <c r="D914" s="1154"/>
      <c r="E914" s="1154"/>
      <c r="F914" s="1154"/>
      <c r="G914" s="1155"/>
      <c r="H914" s="1137"/>
      <c r="I914" s="1780"/>
      <c r="J914" s="1779"/>
      <c r="K914" s="1787"/>
      <c r="L914" s="1779"/>
      <c r="M914" s="1780"/>
      <c r="N914" s="1779"/>
    </row>
    <row r="915" spans="1:14" ht="13.5" x14ac:dyDescent="0.25">
      <c r="A915" s="1138"/>
      <c r="B915" s="1138"/>
      <c r="C915" s="1138"/>
      <c r="D915" s="1138"/>
      <c r="E915" s="1138"/>
      <c r="F915" s="1138"/>
      <c r="G915" s="1138"/>
      <c r="H915" s="1138"/>
      <c r="I915" s="1138"/>
      <c r="J915" s="1138"/>
      <c r="K915" s="1778" t="s">
        <v>523</v>
      </c>
      <c r="L915" s="1779"/>
      <c r="M915" s="1780">
        <f>ROUND(SUM(M907:N914),2)</f>
        <v>4581500</v>
      </c>
      <c r="N915" s="1779"/>
    </row>
    <row r="916" spans="1:14" ht="13.5" x14ac:dyDescent="0.25">
      <c r="A916" s="1138"/>
      <c r="B916" s="1138"/>
      <c r="C916" s="1138"/>
      <c r="D916" s="1138"/>
      <c r="E916" s="1138"/>
      <c r="F916" s="1138"/>
      <c r="G916" s="1138"/>
      <c r="H916" s="1138"/>
      <c r="I916" s="1138"/>
      <c r="J916" s="1138"/>
      <c r="K916" s="1138"/>
      <c r="L916" s="1138"/>
      <c r="M916" s="1138"/>
      <c r="N916" s="1138"/>
    </row>
    <row r="917" spans="1:14" x14ac:dyDescent="0.2">
      <c r="A917" s="1781" t="s">
        <v>2145</v>
      </c>
      <c r="B917" s="1782"/>
      <c r="C917" s="1782"/>
      <c r="D917" s="1782"/>
      <c r="E917" s="1782"/>
      <c r="F917" s="1782"/>
      <c r="G917" s="1782"/>
      <c r="H917" s="1782"/>
      <c r="I917" s="1782"/>
      <c r="J917" s="1782"/>
      <c r="K917" s="1782"/>
      <c r="L917" s="1782"/>
      <c r="M917" s="1782"/>
      <c r="N917" s="1779"/>
    </row>
    <row r="918" spans="1:14" x14ac:dyDescent="0.2">
      <c r="A918" s="1778" t="s">
        <v>14</v>
      </c>
      <c r="B918" s="1782"/>
      <c r="C918" s="1782"/>
      <c r="D918" s="1782"/>
      <c r="E918" s="1782"/>
      <c r="F918" s="1782"/>
      <c r="G918" s="1779"/>
      <c r="H918" s="1136" t="s">
        <v>15</v>
      </c>
      <c r="I918" s="1783" t="s">
        <v>619</v>
      </c>
      <c r="J918" s="1779"/>
      <c r="K918" s="1783" t="s">
        <v>610</v>
      </c>
      <c r="L918" s="1779"/>
      <c r="M918" s="1783" t="s">
        <v>2140</v>
      </c>
      <c r="N918" s="1779"/>
    </row>
    <row r="919" spans="1:14" ht="13.5" x14ac:dyDescent="0.2">
      <c r="A919" s="1836" t="s">
        <v>131</v>
      </c>
      <c r="B919" s="1837"/>
      <c r="C919" s="1837"/>
      <c r="D919" s="1837"/>
      <c r="E919" s="1837"/>
      <c r="F919" s="1837"/>
      <c r="G919" s="1838"/>
      <c r="H919" s="1032" t="str">
        <f>IF(A919="","",VLOOKUP(A919,'11'!$C$6:$E$87,2,FALSE))</f>
        <v>DIA</v>
      </c>
      <c r="I919" s="1785">
        <f>IF(A919="","",VLOOKUP(A919,'11'!$C$6:$E$87,3,FALSE))</f>
        <v>15000</v>
      </c>
      <c r="J919" s="1412"/>
      <c r="K919" s="1787">
        <f>15/2.5</f>
        <v>6</v>
      </c>
      <c r="L919" s="1793"/>
      <c r="M919" s="1780">
        <f>I919/K919</f>
        <v>2500</v>
      </c>
      <c r="N919" s="1779"/>
    </row>
    <row r="920" spans="1:14" ht="13.5" x14ac:dyDescent="0.2">
      <c r="A920" s="1839"/>
      <c r="B920" s="1840"/>
      <c r="C920" s="1840"/>
      <c r="D920" s="1840"/>
      <c r="E920" s="1840"/>
      <c r="F920" s="1840"/>
      <c r="G920" s="1841"/>
      <c r="H920" s="1137"/>
      <c r="I920" s="1780"/>
      <c r="J920" s="1779"/>
      <c r="K920" s="1794"/>
      <c r="L920" s="1779"/>
      <c r="M920" s="1780"/>
      <c r="N920" s="1779"/>
    </row>
    <row r="921" spans="1:14" ht="13.5" x14ac:dyDescent="0.2">
      <c r="A921" s="1836"/>
      <c r="B921" s="1837"/>
      <c r="C921" s="1837"/>
      <c r="D921" s="1837"/>
      <c r="E921" s="1837"/>
      <c r="F921" s="1837"/>
      <c r="G921" s="1838"/>
      <c r="H921" s="1137"/>
      <c r="I921" s="1780"/>
      <c r="J921" s="1779"/>
      <c r="K921" s="1787"/>
      <c r="L921" s="1779"/>
      <c r="M921" s="1780"/>
      <c r="N921" s="1779"/>
    </row>
    <row r="922" spans="1:14" ht="13.5" x14ac:dyDescent="0.2">
      <c r="A922" s="1836"/>
      <c r="B922" s="1837"/>
      <c r="C922" s="1837"/>
      <c r="D922" s="1837"/>
      <c r="E922" s="1837"/>
      <c r="F922" s="1837"/>
      <c r="G922" s="1838"/>
      <c r="H922" s="1137"/>
      <c r="I922" s="1780"/>
      <c r="J922" s="1779"/>
      <c r="K922" s="1787"/>
      <c r="L922" s="1779"/>
      <c r="M922" s="1780"/>
      <c r="N922" s="1779"/>
    </row>
    <row r="923" spans="1:14" ht="13.5" x14ac:dyDescent="0.2">
      <c r="A923" s="1789"/>
      <c r="B923" s="1790"/>
      <c r="C923" s="1790"/>
      <c r="D923" s="1790"/>
      <c r="E923" s="1790"/>
      <c r="F923" s="1790"/>
      <c r="G923" s="1791"/>
      <c r="H923" s="1137"/>
      <c r="I923" s="1780"/>
      <c r="J923" s="1779"/>
      <c r="K923" s="1787"/>
      <c r="L923" s="1779"/>
      <c r="M923" s="1780"/>
      <c r="N923" s="1779"/>
    </row>
    <row r="924" spans="1:14" ht="13.5" x14ac:dyDescent="0.25">
      <c r="A924" s="1138"/>
      <c r="B924" s="1138"/>
      <c r="C924" s="1138"/>
      <c r="D924" s="1138"/>
      <c r="E924" s="1138"/>
      <c r="F924" s="1138"/>
      <c r="G924" s="1138"/>
      <c r="H924" s="1138"/>
      <c r="I924" s="1138"/>
      <c r="J924" s="1138"/>
      <c r="K924" s="1778" t="s">
        <v>523</v>
      </c>
      <c r="L924" s="1779"/>
      <c r="M924" s="1780">
        <f>ROUND(SUM(M919:N923),2)</f>
        <v>2500</v>
      </c>
      <c r="N924" s="1779"/>
    </row>
    <row r="925" spans="1:14" ht="13.5" x14ac:dyDescent="0.25">
      <c r="A925" s="1138"/>
      <c r="B925" s="1138"/>
      <c r="C925" s="1138"/>
      <c r="D925" s="1138"/>
      <c r="E925" s="1138"/>
      <c r="F925" s="1138"/>
      <c r="G925" s="1138"/>
      <c r="H925" s="1138"/>
      <c r="I925" s="1138"/>
      <c r="J925" s="1138"/>
      <c r="K925" s="1138"/>
      <c r="L925" s="1138"/>
      <c r="M925" s="1138"/>
      <c r="N925" s="1138"/>
    </row>
    <row r="926" spans="1:14" x14ac:dyDescent="0.2">
      <c r="A926" s="1781" t="s">
        <v>2147</v>
      </c>
      <c r="B926" s="1782"/>
      <c r="C926" s="1782"/>
      <c r="D926" s="1782"/>
      <c r="E926" s="1782"/>
      <c r="F926" s="1782"/>
      <c r="G926" s="1782"/>
      <c r="H926" s="1782"/>
      <c r="I926" s="1782"/>
      <c r="J926" s="1782"/>
      <c r="K926" s="1782"/>
      <c r="L926" s="1782"/>
      <c r="M926" s="1782"/>
      <c r="N926" s="1779"/>
    </row>
    <row r="927" spans="1:14" x14ac:dyDescent="0.2">
      <c r="A927" s="1778" t="s">
        <v>14</v>
      </c>
      <c r="B927" s="1782"/>
      <c r="C927" s="1782"/>
      <c r="D927" s="1782"/>
      <c r="E927" s="1782"/>
      <c r="F927" s="1782"/>
      <c r="G927" s="1779"/>
      <c r="H927" s="1136" t="s">
        <v>15</v>
      </c>
      <c r="I927" s="1783" t="s">
        <v>619</v>
      </c>
      <c r="J927" s="1779"/>
      <c r="K927" s="1783" t="s">
        <v>628</v>
      </c>
      <c r="L927" s="1779"/>
      <c r="M927" s="1783" t="s">
        <v>2140</v>
      </c>
      <c r="N927" s="1779"/>
    </row>
    <row r="928" spans="1:14" ht="13.5" x14ac:dyDescent="0.2">
      <c r="A928" s="1789" t="s">
        <v>874</v>
      </c>
      <c r="B928" s="1790"/>
      <c r="C928" s="1790"/>
      <c r="D928" s="1790"/>
      <c r="E928" s="1790"/>
      <c r="F928" s="1790"/>
      <c r="G928" s="1791"/>
      <c r="H928" s="1032" t="str">
        <f>IF(A928="","",VLOOKUP(A928,'11'!$C$6:$E$1012,2,FALSE))</f>
        <v>KM-M3</v>
      </c>
      <c r="I928" s="1785">
        <f>IF(A928="","",VLOOKUP(A928,'11'!$C$6:$E$1012,3,FALSE))</f>
        <v>1440</v>
      </c>
      <c r="J928" s="1412"/>
      <c r="K928" s="1787">
        <f>75*0.1</f>
        <v>7.5</v>
      </c>
      <c r="L928" s="1793"/>
      <c r="M928" s="1780">
        <f>IF(A928="","",I928*K928)</f>
        <v>10800</v>
      </c>
      <c r="N928" s="1779"/>
    </row>
    <row r="929" spans="1:14" ht="13.5" x14ac:dyDescent="0.2">
      <c r="A929" s="1789"/>
      <c r="B929" s="1790"/>
      <c r="C929" s="1790"/>
      <c r="D929" s="1790"/>
      <c r="E929" s="1790"/>
      <c r="F929" s="1790"/>
      <c r="G929" s="1791"/>
      <c r="H929" s="1032"/>
      <c r="I929" s="1785"/>
      <c r="J929" s="1412"/>
      <c r="K929" s="1787"/>
      <c r="L929" s="1793"/>
      <c r="M929" s="1780"/>
      <c r="N929" s="1779"/>
    </row>
    <row r="930" spans="1:14" ht="13.5" x14ac:dyDescent="0.2">
      <c r="A930" s="1789"/>
      <c r="B930" s="1790"/>
      <c r="C930" s="1790"/>
      <c r="D930" s="1790"/>
      <c r="E930" s="1790"/>
      <c r="F930" s="1790"/>
      <c r="G930" s="1791"/>
      <c r="H930" s="1032"/>
      <c r="I930" s="1785"/>
      <c r="J930" s="1412"/>
      <c r="K930" s="1787"/>
      <c r="L930" s="1793"/>
      <c r="M930" s="1780"/>
      <c r="N930" s="1779"/>
    </row>
    <row r="931" spans="1:14" ht="13.5" x14ac:dyDescent="0.2">
      <c r="A931" s="1789"/>
      <c r="B931" s="1782"/>
      <c r="C931" s="1782"/>
      <c r="D931" s="1782"/>
      <c r="E931" s="1782"/>
      <c r="F931" s="1782"/>
      <c r="G931" s="1779"/>
      <c r="H931" s="1137"/>
      <c r="I931" s="1780"/>
      <c r="J931" s="1779"/>
      <c r="K931" s="1787"/>
      <c r="L931" s="1779"/>
      <c r="M931" s="1780"/>
      <c r="N931" s="1779"/>
    </row>
    <row r="932" spans="1:14" ht="13.5" x14ac:dyDescent="0.2">
      <c r="A932" s="1789"/>
      <c r="B932" s="1782"/>
      <c r="C932" s="1782"/>
      <c r="D932" s="1782"/>
      <c r="E932" s="1782"/>
      <c r="F932" s="1782"/>
      <c r="G932" s="1779"/>
      <c r="H932" s="1137"/>
      <c r="I932" s="1780"/>
      <c r="J932" s="1779"/>
      <c r="K932" s="1787"/>
      <c r="L932" s="1779"/>
      <c r="M932" s="1780"/>
      <c r="N932" s="1779"/>
    </row>
    <row r="933" spans="1:14" ht="13.5" x14ac:dyDescent="0.25">
      <c r="A933" s="1138"/>
      <c r="B933" s="1138"/>
      <c r="C933" s="1138"/>
      <c r="D933" s="1138"/>
      <c r="E933" s="1138"/>
      <c r="F933" s="1138"/>
      <c r="G933" s="1138"/>
      <c r="H933" s="1138"/>
      <c r="I933" s="1138"/>
      <c r="J933" s="1138"/>
      <c r="K933" s="1778" t="s">
        <v>523</v>
      </c>
      <c r="L933" s="1779"/>
      <c r="M933" s="1780">
        <f>ROUND(SUM(M928:N932),2)</f>
        <v>10800</v>
      </c>
      <c r="N933" s="1779"/>
    </row>
    <row r="934" spans="1:14" ht="13.5" x14ac:dyDescent="0.25">
      <c r="A934" s="1138"/>
      <c r="B934" s="1138"/>
      <c r="C934" s="1138"/>
      <c r="D934" s="1138"/>
      <c r="E934" s="1138"/>
      <c r="F934" s="1138"/>
      <c r="G934" s="1138"/>
      <c r="H934" s="1138"/>
      <c r="I934" s="1138"/>
      <c r="J934" s="1138"/>
      <c r="K934" s="1138"/>
      <c r="L934" s="1138"/>
      <c r="M934" s="1138"/>
      <c r="N934" s="1138"/>
    </row>
    <row r="935" spans="1:14" x14ac:dyDescent="0.2">
      <c r="A935" s="1781" t="s">
        <v>2150</v>
      </c>
      <c r="B935" s="1782"/>
      <c r="C935" s="1782"/>
      <c r="D935" s="1782"/>
      <c r="E935" s="1782"/>
      <c r="F935" s="1782"/>
      <c r="G935" s="1782"/>
      <c r="H935" s="1782"/>
      <c r="I935" s="1782"/>
      <c r="J935" s="1782"/>
      <c r="K935" s="1782"/>
      <c r="L935" s="1782"/>
      <c r="M935" s="1782"/>
      <c r="N935" s="1779"/>
    </row>
    <row r="936" spans="1:14" x14ac:dyDescent="0.2">
      <c r="A936" s="1778" t="s">
        <v>14</v>
      </c>
      <c r="B936" s="1782"/>
      <c r="C936" s="1782"/>
      <c r="D936" s="1782"/>
      <c r="E936" s="1782"/>
      <c r="F936" s="1782"/>
      <c r="G936" s="1779"/>
      <c r="H936" s="1136" t="s">
        <v>15</v>
      </c>
      <c r="I936" s="1783" t="s">
        <v>619</v>
      </c>
      <c r="J936" s="1779"/>
      <c r="K936" s="1139" t="s">
        <v>1919</v>
      </c>
      <c r="L936" s="1140" t="s">
        <v>2151</v>
      </c>
      <c r="M936" s="1783" t="s">
        <v>2140</v>
      </c>
      <c r="N936" s="1779"/>
    </row>
    <row r="937" spans="1:14" ht="13.5" x14ac:dyDescent="0.25">
      <c r="A937" s="1817" t="s">
        <v>2168</v>
      </c>
      <c r="B937" s="1849"/>
      <c r="C937" s="1849"/>
      <c r="D937" s="1849"/>
      <c r="E937" s="1849"/>
      <c r="F937" s="1849"/>
      <c r="G937" s="1850"/>
      <c r="H937" s="1032" t="str">
        <f>IF(A937="","",VLOOKUP(A937,'09'!$A$22:$O$168,4,FALSE))</f>
        <v>Cuadrilla</v>
      </c>
      <c r="I937" s="1785">
        <f>IF(A937="","",VLOOKUP(A937,'09'!$A$22:$O$168,5,FALSE))</f>
        <v>204272</v>
      </c>
      <c r="J937" s="1412"/>
      <c r="K937" s="1034">
        <f>IF(A937="","",'03'!$I$2)</f>
        <v>1.88995</v>
      </c>
      <c r="L937" s="1142">
        <v>2.5</v>
      </c>
      <c r="M937" s="1780">
        <f>I937*K937/L937</f>
        <v>154425.54655999999</v>
      </c>
      <c r="N937" s="1779"/>
    </row>
    <row r="938" spans="1:14" ht="13.5" x14ac:dyDescent="0.25">
      <c r="A938" s="1830"/>
      <c r="B938" s="1831"/>
      <c r="C938" s="1831"/>
      <c r="D938" s="1831"/>
      <c r="E938" s="1831"/>
      <c r="F938" s="1831"/>
      <c r="G938" s="1832"/>
      <c r="H938" s="1137"/>
      <c r="I938" s="1780"/>
      <c r="J938" s="1779"/>
      <c r="K938" s="1141"/>
      <c r="L938" s="1141"/>
      <c r="M938" s="1780"/>
      <c r="N938" s="1779"/>
    </row>
    <row r="939" spans="1:14" ht="13.5" x14ac:dyDescent="0.25">
      <c r="A939" s="1830"/>
      <c r="B939" s="1831"/>
      <c r="C939" s="1831"/>
      <c r="D939" s="1831"/>
      <c r="E939" s="1831"/>
      <c r="F939" s="1831"/>
      <c r="G939" s="1832"/>
      <c r="H939" s="1137"/>
      <c r="I939" s="1780"/>
      <c r="J939" s="1779"/>
      <c r="K939" s="1141"/>
      <c r="L939" s="1143"/>
      <c r="M939" s="1780"/>
      <c r="N939" s="1779"/>
    </row>
    <row r="940" spans="1:14" ht="13.5" x14ac:dyDescent="0.25">
      <c r="A940" s="1784"/>
      <c r="B940" s="1782"/>
      <c r="C940" s="1782"/>
      <c r="D940" s="1782"/>
      <c r="E940" s="1782"/>
      <c r="F940" s="1782"/>
      <c r="G940" s="1779"/>
      <c r="H940" s="1137"/>
      <c r="I940" s="1780"/>
      <c r="J940" s="1779"/>
      <c r="K940" s="1141"/>
      <c r="L940" s="1143"/>
      <c r="M940" s="1780"/>
      <c r="N940" s="1779"/>
    </row>
    <row r="941" spans="1:14" ht="13.5" x14ac:dyDescent="0.25">
      <c r="A941" s="1784"/>
      <c r="B941" s="1782"/>
      <c r="C941" s="1782"/>
      <c r="D941" s="1782"/>
      <c r="E941" s="1782"/>
      <c r="F941" s="1782"/>
      <c r="G941" s="1779"/>
      <c r="H941" s="1137"/>
      <c r="I941" s="1780"/>
      <c r="J941" s="1779"/>
      <c r="K941" s="1141"/>
      <c r="L941" s="1143"/>
      <c r="M941" s="1780"/>
      <c r="N941" s="1779"/>
    </row>
    <row r="942" spans="1:14" ht="13.5" x14ac:dyDescent="0.25">
      <c r="A942" s="1138"/>
      <c r="B942" s="1138"/>
      <c r="C942" s="1138"/>
      <c r="D942" s="1138"/>
      <c r="E942" s="1138"/>
      <c r="F942" s="1138"/>
      <c r="G942" s="1138"/>
      <c r="H942" s="1138"/>
      <c r="I942" s="1138"/>
      <c r="J942" s="1138"/>
      <c r="K942" s="1778" t="s">
        <v>523</v>
      </c>
      <c r="L942" s="1779"/>
      <c r="M942" s="1780">
        <f>ROUND(SUM(M937:N941),2)</f>
        <v>154425.54999999999</v>
      </c>
      <c r="N942" s="1779"/>
    </row>
    <row r="943" spans="1:14" x14ac:dyDescent="0.2">
      <c r="I943" s="1414"/>
      <c r="J943" s="1415"/>
      <c r="K943" s="1415"/>
      <c r="L943" s="1415"/>
      <c r="M943" s="1415"/>
      <c r="N943" s="1415"/>
    </row>
    <row r="944" spans="1:14" ht="13.5" thickBot="1" x14ac:dyDescent="0.25">
      <c r="I944" s="1416"/>
      <c r="J944" s="1416"/>
      <c r="K944" s="1416"/>
      <c r="L944" s="1416"/>
      <c r="M944" s="1416"/>
      <c r="N944" s="1416"/>
    </row>
    <row r="945" spans="1:14" ht="14.25" thickTop="1" x14ac:dyDescent="0.2">
      <c r="I945" s="1417" t="s">
        <v>1829</v>
      </c>
      <c r="J945" s="1418"/>
      <c r="K945" s="1417" t="s">
        <v>2653</v>
      </c>
      <c r="L945" s="1418"/>
      <c r="M945" s="1418"/>
      <c r="N945" s="1418"/>
    </row>
    <row r="946" spans="1:14" ht="13.5" x14ac:dyDescent="0.2">
      <c r="I946" s="1419" t="s">
        <v>1831</v>
      </c>
      <c r="J946" s="1420"/>
      <c r="K946" s="1419"/>
      <c r="L946" s="1420"/>
      <c r="M946" s="1420"/>
      <c r="N946" s="1420"/>
    </row>
    <row r="948" spans="1:14" x14ac:dyDescent="0.2">
      <c r="A948" s="1803" t="s">
        <v>2341</v>
      </c>
      <c r="B948" s="1804"/>
      <c r="C948" s="1804"/>
      <c r="D948" s="1804"/>
      <c r="E948" s="1804"/>
      <c r="F948" s="1804"/>
      <c r="G948" s="1804"/>
      <c r="H948" s="1804"/>
      <c r="I948" s="1804"/>
      <c r="J948" s="1804"/>
      <c r="K948" s="1804"/>
      <c r="L948" s="1804"/>
      <c r="M948" s="1804"/>
      <c r="N948" s="1805"/>
    </row>
    <row r="949" spans="1:14" x14ac:dyDescent="0.2">
      <c r="A949" s="1806"/>
      <c r="B949" s="1807"/>
      <c r="C949" s="1807"/>
      <c r="D949" s="1807"/>
      <c r="E949" s="1807"/>
      <c r="F949" s="1807"/>
      <c r="G949" s="1807"/>
      <c r="H949" s="1807"/>
      <c r="I949" s="1807"/>
      <c r="J949" s="1807"/>
      <c r="K949" s="1807"/>
      <c r="L949" s="1807"/>
      <c r="M949" s="1807"/>
      <c r="N949" s="1808"/>
    </row>
    <row r="950" spans="1:14" ht="13.5" x14ac:dyDescent="0.2">
      <c r="A950" s="1128"/>
      <c r="B950" s="1128"/>
      <c r="C950" s="1128"/>
      <c r="D950" s="1128"/>
      <c r="E950" s="1128"/>
      <c r="F950" s="1128"/>
      <c r="G950" s="1128"/>
      <c r="H950" s="1128"/>
      <c r="I950" s="1128"/>
      <c r="J950" s="1128"/>
      <c r="K950" s="1128"/>
      <c r="L950" s="1128"/>
      <c r="M950" s="1128"/>
      <c r="N950" s="1128"/>
    </row>
    <row r="951" spans="1:14" ht="14.25" x14ac:dyDescent="0.3">
      <c r="A951" s="1104" t="s">
        <v>2307</v>
      </c>
      <c r="B951" s="1129" t="str">
        <f>A948</f>
        <v>SUMINISTRO E INSTALACIÓN CODO BXB. DE 6". INCLUYE ACCESORIOS DE ENTREGA E INSTALACION.</v>
      </c>
      <c r="C951" s="1130" t="s">
        <v>634</v>
      </c>
      <c r="D951" s="1107" t="s">
        <v>2</v>
      </c>
      <c r="E951" s="1132" t="s">
        <v>1833</v>
      </c>
      <c r="F951" s="1133">
        <f>H951+J951+L951+N951</f>
        <v>1282819.77</v>
      </c>
      <c r="G951" s="1132" t="s">
        <v>2136</v>
      </c>
      <c r="H951" s="1133">
        <f>M972</f>
        <v>3000</v>
      </c>
      <c r="I951" s="1132" t="s">
        <v>621</v>
      </c>
      <c r="J951" s="1134">
        <f>M963</f>
        <v>1202445</v>
      </c>
      <c r="K951" s="1132" t="s">
        <v>2137</v>
      </c>
      <c r="L951" s="1133">
        <f>M981</f>
        <v>162</v>
      </c>
      <c r="M951" s="1132" t="s">
        <v>2138</v>
      </c>
      <c r="N951" s="1133">
        <f>M990</f>
        <v>77212.77</v>
      </c>
    </row>
    <row r="952" spans="1:14" ht="13.5" x14ac:dyDescent="0.25">
      <c r="A952" s="1135"/>
      <c r="B952" s="1135"/>
      <c r="C952" s="1135"/>
      <c r="D952" s="1135"/>
      <c r="E952" s="1135"/>
      <c r="F952" s="1135"/>
      <c r="G952" s="1135"/>
      <c r="J952" s="1135"/>
      <c r="K952" s="1135"/>
      <c r="L952" s="1135"/>
      <c r="M952" s="1270" t="s">
        <v>2667</v>
      </c>
      <c r="N952" s="1270">
        <f>+F951*'01'!$O$15</f>
        <v>1660358.6409112788</v>
      </c>
    </row>
    <row r="953" spans="1:14" x14ac:dyDescent="0.2">
      <c r="A953" s="1781" t="s">
        <v>2139</v>
      </c>
      <c r="B953" s="1782"/>
      <c r="C953" s="1782"/>
      <c r="D953" s="1782"/>
      <c r="E953" s="1782"/>
      <c r="F953" s="1782"/>
      <c r="G953" s="1782"/>
      <c r="H953" s="1782"/>
      <c r="I953" s="1782"/>
      <c r="J953" s="1782"/>
      <c r="K953" s="1782"/>
      <c r="L953" s="1782"/>
      <c r="M953" s="1782"/>
      <c r="N953" s="1779"/>
    </row>
    <row r="954" spans="1:14" x14ac:dyDescent="0.2">
      <c r="A954" s="1848" t="s">
        <v>14</v>
      </c>
      <c r="B954" s="1804"/>
      <c r="C954" s="1804"/>
      <c r="D954" s="1804"/>
      <c r="E954" s="1804"/>
      <c r="F954" s="1804"/>
      <c r="G954" s="1805"/>
      <c r="H954" s="1136" t="s">
        <v>15</v>
      </c>
      <c r="I954" s="1783" t="s">
        <v>619</v>
      </c>
      <c r="J954" s="1779"/>
      <c r="K954" s="1783" t="s">
        <v>628</v>
      </c>
      <c r="L954" s="1779"/>
      <c r="M954" s="1783" t="s">
        <v>2140</v>
      </c>
      <c r="N954" s="1779"/>
    </row>
    <row r="955" spans="1:14" ht="13.5" customHeight="1" x14ac:dyDescent="0.2">
      <c r="A955" s="1812" t="s">
        <v>1457</v>
      </c>
      <c r="B955" s="1813"/>
      <c r="C955" s="1813"/>
      <c r="D955" s="1813"/>
      <c r="E955" s="1813"/>
      <c r="F955" s="1813"/>
      <c r="G955" s="1814"/>
      <c r="H955" s="1032" t="str">
        <f>IF(A955="","",VLOOKUP(A955,'10'!$C$6:$E$1152,2,FALSE))</f>
        <v>UND</v>
      </c>
      <c r="I955" s="1785">
        <f>IF(A955="","",VLOOKUP(A955,'10'!$C$6:$E$1152,3,FALSE))</f>
        <v>761600</v>
      </c>
      <c r="J955" s="1412"/>
      <c r="K955" s="1787">
        <v>1</v>
      </c>
      <c r="L955" s="1847"/>
      <c r="M955" s="1780">
        <f>K955*I955</f>
        <v>761600</v>
      </c>
      <c r="N955" s="1779"/>
    </row>
    <row r="956" spans="1:14" ht="13.5" x14ac:dyDescent="0.2">
      <c r="A956" s="1812" t="s">
        <v>1099</v>
      </c>
      <c r="B956" s="1813"/>
      <c r="C956" s="1813"/>
      <c r="D956" s="1813"/>
      <c r="E956" s="1813"/>
      <c r="F956" s="1813"/>
      <c r="G956" s="1814"/>
      <c r="H956" s="1032" t="str">
        <f>IF(A956="","",VLOOKUP(A956,'10'!$C$6:$E$1152,2,FALSE))</f>
        <v>UND</v>
      </c>
      <c r="I956" s="1785">
        <f>IF(A956="","",VLOOKUP(A956,'10'!$C$6:$E$1152,3,FALSE))</f>
        <v>122570</v>
      </c>
      <c r="J956" s="1412"/>
      <c r="K956" s="1787">
        <v>1</v>
      </c>
      <c r="L956" s="1847"/>
      <c r="M956" s="1780">
        <f t="shared" ref="M956:M959" si="44">K956*I956</f>
        <v>122570</v>
      </c>
      <c r="N956" s="1779"/>
    </row>
    <row r="957" spans="1:14" ht="13.5" x14ac:dyDescent="0.2">
      <c r="A957" s="1812" t="s">
        <v>1102</v>
      </c>
      <c r="B957" s="1813"/>
      <c r="C957" s="1813"/>
      <c r="D957" s="1813"/>
      <c r="E957" s="1813"/>
      <c r="F957" s="1813"/>
      <c r="G957" s="1814"/>
      <c r="H957" s="1032" t="str">
        <f>IF(A957="","",VLOOKUP(A957,'10'!$C$6:$E$1152,2,FALSE))</f>
        <v>ML</v>
      </c>
      <c r="I957" s="1785">
        <f>IF(A957="","",VLOOKUP(A957,'10'!$C$6:$E$1152,3,FALSE))</f>
        <v>172550</v>
      </c>
      <c r="J957" s="1412"/>
      <c r="K957" s="1787">
        <v>0.5</v>
      </c>
      <c r="L957" s="1847"/>
      <c r="M957" s="1780">
        <f t="shared" si="44"/>
        <v>86275</v>
      </c>
      <c r="N957" s="1779"/>
    </row>
    <row r="958" spans="1:14" ht="13.5" x14ac:dyDescent="0.2">
      <c r="A958" s="1812" t="s">
        <v>1560</v>
      </c>
      <c r="B958" s="1813"/>
      <c r="C958" s="1813"/>
      <c r="D958" s="1813"/>
      <c r="E958" s="1813"/>
      <c r="F958" s="1813"/>
      <c r="G958" s="1814"/>
      <c r="H958" s="1032" t="str">
        <f>IF(A958="","",VLOOKUP(A958,'10'!$C$6:$E$1152,2,FALSE))</f>
        <v>UND</v>
      </c>
      <c r="I958" s="1785">
        <f>IF(A958="","",VLOOKUP(A958,'10'!$C$6:$E$1152,3,FALSE))</f>
        <v>4000</v>
      </c>
      <c r="J958" s="1412"/>
      <c r="K958" s="1787">
        <v>8</v>
      </c>
      <c r="L958" s="1847"/>
      <c r="M958" s="1780">
        <f t="shared" si="44"/>
        <v>32000</v>
      </c>
      <c r="N958" s="1779"/>
    </row>
    <row r="959" spans="1:14" ht="13.5" x14ac:dyDescent="0.2">
      <c r="A959" s="1812" t="s">
        <v>1573</v>
      </c>
      <c r="B959" s="1813"/>
      <c r="C959" s="1813"/>
      <c r="D959" s="1813"/>
      <c r="E959" s="1813"/>
      <c r="F959" s="1813"/>
      <c r="G959" s="1814"/>
      <c r="H959" s="1032" t="str">
        <f>IF(A959="","",VLOOKUP(A959,'10'!$C$6:$E$1152,2,FALSE))</f>
        <v>UND</v>
      </c>
      <c r="I959" s="1785">
        <f>IF(A959="","",VLOOKUP(A959,'10'!$C$6:$E$1152,3,FALSE))</f>
        <v>25000</v>
      </c>
      <c r="J959" s="1412"/>
      <c r="K959" s="1787">
        <v>8</v>
      </c>
      <c r="L959" s="1847"/>
      <c r="M959" s="1780">
        <f t="shared" si="44"/>
        <v>200000</v>
      </c>
      <c r="N959" s="1779"/>
    </row>
    <row r="960" spans="1:14" ht="13.5" x14ac:dyDescent="0.2">
      <c r="A960" s="1842"/>
      <c r="B960" s="1843"/>
      <c r="C960" s="1843"/>
      <c r="D960" s="1843"/>
      <c r="E960" s="1843"/>
      <c r="F960" s="1843"/>
      <c r="G960" s="1844"/>
      <c r="H960" s="1032"/>
      <c r="I960" s="1785"/>
      <c r="J960" s="1412"/>
      <c r="K960" s="1845"/>
      <c r="L960" s="1846"/>
      <c r="M960" s="1780"/>
      <c r="N960" s="1779"/>
    </row>
    <row r="961" spans="1:14" ht="13.5" x14ac:dyDescent="0.2">
      <c r="A961" s="1809"/>
      <c r="B961" s="1810"/>
      <c r="C961" s="1810"/>
      <c r="D961" s="1810"/>
      <c r="E961" s="1810"/>
      <c r="F961" s="1810"/>
      <c r="G961" s="1811"/>
      <c r="H961" s="1032"/>
      <c r="I961" s="1785"/>
      <c r="J961" s="1412"/>
      <c r="K961" s="1787"/>
      <c r="L961" s="1847"/>
      <c r="M961" s="1780"/>
      <c r="N961" s="1779"/>
    </row>
    <row r="962" spans="1:14" ht="13.5" x14ac:dyDescent="0.2">
      <c r="A962" s="1153"/>
      <c r="B962" s="1154"/>
      <c r="C962" s="1154"/>
      <c r="D962" s="1154"/>
      <c r="E962" s="1154"/>
      <c r="F962" s="1154"/>
      <c r="G962" s="1155"/>
      <c r="H962" s="1032"/>
      <c r="I962" s="1785"/>
      <c r="J962" s="1412"/>
      <c r="K962" s="1787"/>
      <c r="L962" s="1779"/>
      <c r="M962" s="1780"/>
      <c r="N962" s="1779"/>
    </row>
    <row r="963" spans="1:14" ht="13.5" x14ac:dyDescent="0.25">
      <c r="A963" s="1138"/>
      <c r="B963" s="1138"/>
      <c r="C963" s="1138"/>
      <c r="D963" s="1138"/>
      <c r="E963" s="1138"/>
      <c r="F963" s="1138"/>
      <c r="G963" s="1138"/>
      <c r="H963" s="1138"/>
      <c r="I963" s="1138"/>
      <c r="J963" s="1138"/>
      <c r="K963" s="1778" t="s">
        <v>523</v>
      </c>
      <c r="L963" s="1779"/>
      <c r="M963" s="1780">
        <f>ROUND(SUM(M955:N962),2)</f>
        <v>1202445</v>
      </c>
      <c r="N963" s="1779"/>
    </row>
    <row r="964" spans="1:14" ht="13.5" x14ac:dyDescent="0.25">
      <c r="A964" s="1138"/>
      <c r="B964" s="1138"/>
      <c r="C964" s="1138"/>
      <c r="D964" s="1138"/>
      <c r="E964" s="1138"/>
      <c r="F964" s="1138"/>
      <c r="G964" s="1138"/>
      <c r="H964" s="1138"/>
      <c r="I964" s="1138"/>
      <c r="J964" s="1138"/>
      <c r="K964" s="1138"/>
      <c r="L964" s="1138"/>
      <c r="M964" s="1138"/>
      <c r="N964" s="1138"/>
    </row>
    <row r="965" spans="1:14" x14ac:dyDescent="0.2">
      <c r="A965" s="1781" t="s">
        <v>2145</v>
      </c>
      <c r="B965" s="1782"/>
      <c r="C965" s="1782"/>
      <c r="D965" s="1782"/>
      <c r="E965" s="1782"/>
      <c r="F965" s="1782"/>
      <c r="G965" s="1782"/>
      <c r="H965" s="1782"/>
      <c r="I965" s="1782"/>
      <c r="J965" s="1782"/>
      <c r="K965" s="1782"/>
      <c r="L965" s="1782"/>
      <c r="M965" s="1782"/>
      <c r="N965" s="1779"/>
    </row>
    <row r="966" spans="1:14" x14ac:dyDescent="0.2">
      <c r="A966" s="1778" t="s">
        <v>14</v>
      </c>
      <c r="B966" s="1782"/>
      <c r="C966" s="1782"/>
      <c r="D966" s="1782"/>
      <c r="E966" s="1782"/>
      <c r="F966" s="1782"/>
      <c r="G966" s="1779"/>
      <c r="H966" s="1136" t="s">
        <v>15</v>
      </c>
      <c r="I966" s="1783" t="s">
        <v>619</v>
      </c>
      <c r="J966" s="1779"/>
      <c r="K966" s="1783" t="s">
        <v>610</v>
      </c>
      <c r="L966" s="1779"/>
      <c r="M966" s="1783" t="s">
        <v>2140</v>
      </c>
      <c r="N966" s="1779"/>
    </row>
    <row r="967" spans="1:14" ht="13.5" x14ac:dyDescent="0.2">
      <c r="A967" s="1836" t="s">
        <v>131</v>
      </c>
      <c r="B967" s="1837"/>
      <c r="C967" s="1837"/>
      <c r="D967" s="1837"/>
      <c r="E967" s="1837"/>
      <c r="F967" s="1837"/>
      <c r="G967" s="1838"/>
      <c r="H967" s="1032" t="str">
        <f>IF(A967="","",VLOOKUP(A967,'11'!$C$6:$E$87,2,FALSE))</f>
        <v>DIA</v>
      </c>
      <c r="I967" s="1785">
        <f>IF(A967="","",VLOOKUP(A967,'11'!$C$6:$E$87,3,FALSE))</f>
        <v>15000</v>
      </c>
      <c r="J967" s="1412"/>
      <c r="K967" s="1787">
        <v>5</v>
      </c>
      <c r="L967" s="1793"/>
      <c r="M967" s="1780">
        <f>I967/K967</f>
        <v>3000</v>
      </c>
      <c r="N967" s="1779"/>
    </row>
    <row r="968" spans="1:14" ht="13.5" x14ac:dyDescent="0.2">
      <c r="A968" s="1839"/>
      <c r="B968" s="1840"/>
      <c r="C968" s="1840"/>
      <c r="D968" s="1840"/>
      <c r="E968" s="1840"/>
      <c r="F968" s="1840"/>
      <c r="G968" s="1841"/>
      <c r="H968" s="1137"/>
      <c r="I968" s="1780"/>
      <c r="J968" s="1779"/>
      <c r="K968" s="1794"/>
      <c r="L968" s="1779"/>
      <c r="M968" s="1780"/>
      <c r="N968" s="1779"/>
    </row>
    <row r="969" spans="1:14" ht="13.5" x14ac:dyDescent="0.2">
      <c r="A969" s="1836"/>
      <c r="B969" s="1837"/>
      <c r="C969" s="1837"/>
      <c r="D969" s="1837"/>
      <c r="E969" s="1837"/>
      <c r="F969" s="1837"/>
      <c r="G969" s="1838"/>
      <c r="H969" s="1137"/>
      <c r="I969" s="1780"/>
      <c r="J969" s="1779"/>
      <c r="K969" s="1787"/>
      <c r="L969" s="1779"/>
      <c r="M969" s="1780"/>
      <c r="N969" s="1779"/>
    </row>
    <row r="970" spans="1:14" ht="13.5" x14ac:dyDescent="0.2">
      <c r="A970" s="1836"/>
      <c r="B970" s="1837"/>
      <c r="C970" s="1837"/>
      <c r="D970" s="1837"/>
      <c r="E970" s="1837"/>
      <c r="F970" s="1837"/>
      <c r="G970" s="1838"/>
      <c r="H970" s="1137"/>
      <c r="I970" s="1780"/>
      <c r="J970" s="1779"/>
      <c r="K970" s="1787"/>
      <c r="L970" s="1779"/>
      <c r="M970" s="1780"/>
      <c r="N970" s="1779"/>
    </row>
    <row r="971" spans="1:14" ht="13.5" x14ac:dyDescent="0.2">
      <c r="A971" s="1789"/>
      <c r="B971" s="1790"/>
      <c r="C971" s="1790"/>
      <c r="D971" s="1790"/>
      <c r="E971" s="1790"/>
      <c r="F971" s="1790"/>
      <c r="G971" s="1791"/>
      <c r="H971" s="1137"/>
      <c r="I971" s="1780"/>
      <c r="J971" s="1779"/>
      <c r="K971" s="1787"/>
      <c r="L971" s="1779"/>
      <c r="M971" s="1780"/>
      <c r="N971" s="1779"/>
    </row>
    <row r="972" spans="1:14" ht="13.5" x14ac:dyDescent="0.25">
      <c r="A972" s="1138"/>
      <c r="B972" s="1138"/>
      <c r="C972" s="1138"/>
      <c r="D972" s="1138"/>
      <c r="E972" s="1138"/>
      <c r="F972" s="1138"/>
      <c r="G972" s="1138"/>
      <c r="H972" s="1138"/>
      <c r="I972" s="1138"/>
      <c r="J972" s="1138"/>
      <c r="K972" s="1778" t="s">
        <v>523</v>
      </c>
      <c r="L972" s="1779"/>
      <c r="M972" s="1780">
        <f>ROUND(SUM(M967:N971),2)</f>
        <v>3000</v>
      </c>
      <c r="N972" s="1779"/>
    </row>
    <row r="973" spans="1:14" ht="13.5" x14ac:dyDescent="0.25">
      <c r="A973" s="1138"/>
      <c r="B973" s="1138"/>
      <c r="C973" s="1138"/>
      <c r="D973" s="1138"/>
      <c r="E973" s="1138"/>
      <c r="F973" s="1138"/>
      <c r="G973" s="1138"/>
      <c r="H973" s="1138"/>
      <c r="I973" s="1138"/>
      <c r="J973" s="1138"/>
      <c r="K973" s="1138"/>
      <c r="L973" s="1138"/>
      <c r="M973" s="1138"/>
      <c r="N973" s="1138"/>
    </row>
    <row r="974" spans="1:14" x14ac:dyDescent="0.2">
      <c r="A974" s="1781" t="s">
        <v>2147</v>
      </c>
      <c r="B974" s="1782"/>
      <c r="C974" s="1782"/>
      <c r="D974" s="1782"/>
      <c r="E974" s="1782"/>
      <c r="F974" s="1782"/>
      <c r="G974" s="1782"/>
      <c r="H974" s="1782"/>
      <c r="I974" s="1782"/>
      <c r="J974" s="1782"/>
      <c r="K974" s="1782"/>
      <c r="L974" s="1782"/>
      <c r="M974" s="1782"/>
      <c r="N974" s="1779"/>
    </row>
    <row r="975" spans="1:14" x14ac:dyDescent="0.2">
      <c r="A975" s="1778" t="s">
        <v>14</v>
      </c>
      <c r="B975" s="1782"/>
      <c r="C975" s="1782"/>
      <c r="D975" s="1782"/>
      <c r="E975" s="1782"/>
      <c r="F975" s="1782"/>
      <c r="G975" s="1779"/>
      <c r="H975" s="1136" t="s">
        <v>15</v>
      </c>
      <c r="I975" s="1783" t="s">
        <v>619</v>
      </c>
      <c r="J975" s="1779"/>
      <c r="K975" s="1783" t="s">
        <v>628</v>
      </c>
      <c r="L975" s="1779"/>
      <c r="M975" s="1783" t="s">
        <v>2140</v>
      </c>
      <c r="N975" s="1779"/>
    </row>
    <row r="976" spans="1:14" ht="13.5" x14ac:dyDescent="0.2">
      <c r="A976" s="1789" t="s">
        <v>874</v>
      </c>
      <c r="B976" s="1790"/>
      <c r="C976" s="1790"/>
      <c r="D976" s="1790"/>
      <c r="E976" s="1790"/>
      <c r="F976" s="1790"/>
      <c r="G976" s="1791"/>
      <c r="H976" s="1032" t="str">
        <f>IF(A976="","",VLOOKUP(A976,'11'!$C$6:$E$1012,2,FALSE))</f>
        <v>KM-M3</v>
      </c>
      <c r="I976" s="1785">
        <f>IF(A976="","",VLOOKUP(A976,'11'!$C$6:$E$1012,3,FALSE))</f>
        <v>1440</v>
      </c>
      <c r="J976" s="1412"/>
      <c r="K976" s="1787">
        <f>75*0.0015</f>
        <v>0.1125</v>
      </c>
      <c r="L976" s="1793"/>
      <c r="M976" s="1780">
        <f>IF(A976="","",I976*K976)</f>
        <v>162</v>
      </c>
      <c r="N976" s="1779"/>
    </row>
    <row r="977" spans="1:14" ht="13.5" x14ac:dyDescent="0.2">
      <c r="A977" s="1789"/>
      <c r="B977" s="1790"/>
      <c r="C977" s="1790"/>
      <c r="D977" s="1790"/>
      <c r="E977" s="1790"/>
      <c r="F977" s="1790"/>
      <c r="G977" s="1791"/>
      <c r="H977" s="1032"/>
      <c r="I977" s="1785"/>
      <c r="J977" s="1412"/>
      <c r="K977" s="1787"/>
      <c r="L977" s="1793"/>
      <c r="M977" s="1780"/>
      <c r="N977" s="1779"/>
    </row>
    <row r="978" spans="1:14" ht="13.5" x14ac:dyDescent="0.2">
      <c r="A978" s="1789"/>
      <c r="B978" s="1790"/>
      <c r="C978" s="1790"/>
      <c r="D978" s="1790"/>
      <c r="E978" s="1790"/>
      <c r="F978" s="1790"/>
      <c r="G978" s="1791"/>
      <c r="H978" s="1032"/>
      <c r="I978" s="1785"/>
      <c r="J978" s="1412"/>
      <c r="K978" s="1787"/>
      <c r="L978" s="1793"/>
      <c r="M978" s="1780"/>
      <c r="N978" s="1779"/>
    </row>
    <row r="979" spans="1:14" ht="13.5" x14ac:dyDescent="0.2">
      <c r="A979" s="1789"/>
      <c r="B979" s="1782"/>
      <c r="C979" s="1782"/>
      <c r="D979" s="1782"/>
      <c r="E979" s="1782"/>
      <c r="F979" s="1782"/>
      <c r="G979" s="1779"/>
      <c r="H979" s="1137"/>
      <c r="I979" s="1780"/>
      <c r="J979" s="1779"/>
      <c r="K979" s="1787"/>
      <c r="L979" s="1779"/>
      <c r="M979" s="1780"/>
      <c r="N979" s="1779"/>
    </row>
    <row r="980" spans="1:14" ht="13.5" x14ac:dyDescent="0.2">
      <c r="A980" s="1789"/>
      <c r="B980" s="1782"/>
      <c r="C980" s="1782"/>
      <c r="D980" s="1782"/>
      <c r="E980" s="1782"/>
      <c r="F980" s="1782"/>
      <c r="G980" s="1779"/>
      <c r="H980" s="1137"/>
      <c r="I980" s="1780"/>
      <c r="J980" s="1779"/>
      <c r="K980" s="1787"/>
      <c r="L980" s="1779"/>
      <c r="M980" s="1780"/>
      <c r="N980" s="1779"/>
    </row>
    <row r="981" spans="1:14" ht="13.5" x14ac:dyDescent="0.25">
      <c r="A981" s="1138"/>
      <c r="B981" s="1138"/>
      <c r="C981" s="1138"/>
      <c r="D981" s="1138"/>
      <c r="E981" s="1138"/>
      <c r="F981" s="1138"/>
      <c r="G981" s="1138"/>
      <c r="H981" s="1138"/>
      <c r="I981" s="1138"/>
      <c r="J981" s="1138"/>
      <c r="K981" s="1778" t="s">
        <v>523</v>
      </c>
      <c r="L981" s="1779"/>
      <c r="M981" s="1780">
        <f>ROUND(SUM(M976:N980),2)</f>
        <v>162</v>
      </c>
      <c r="N981" s="1779"/>
    </row>
    <row r="982" spans="1:14" ht="13.5" x14ac:dyDescent="0.25">
      <c r="A982" s="1138"/>
      <c r="B982" s="1138"/>
      <c r="C982" s="1138"/>
      <c r="D982" s="1138"/>
      <c r="E982" s="1138"/>
      <c r="F982" s="1138"/>
      <c r="G982" s="1138"/>
      <c r="H982" s="1138"/>
      <c r="I982" s="1138"/>
      <c r="J982" s="1138"/>
      <c r="K982" s="1138"/>
      <c r="L982" s="1138"/>
      <c r="M982" s="1138"/>
      <c r="N982" s="1138"/>
    </row>
    <row r="983" spans="1:14" x14ac:dyDescent="0.2">
      <c r="A983" s="1781" t="s">
        <v>2150</v>
      </c>
      <c r="B983" s="1782"/>
      <c r="C983" s="1782"/>
      <c r="D983" s="1782"/>
      <c r="E983" s="1782"/>
      <c r="F983" s="1782"/>
      <c r="G983" s="1782"/>
      <c r="H983" s="1782"/>
      <c r="I983" s="1782"/>
      <c r="J983" s="1782"/>
      <c r="K983" s="1782"/>
      <c r="L983" s="1782"/>
      <c r="M983" s="1782"/>
      <c r="N983" s="1779"/>
    </row>
    <row r="984" spans="1:14" x14ac:dyDescent="0.2">
      <c r="A984" s="1778" t="s">
        <v>14</v>
      </c>
      <c r="B984" s="1782"/>
      <c r="C984" s="1782"/>
      <c r="D984" s="1782"/>
      <c r="E984" s="1782"/>
      <c r="F984" s="1782"/>
      <c r="G984" s="1779"/>
      <c r="H984" s="1136" t="s">
        <v>15</v>
      </c>
      <c r="I984" s="1783" t="s">
        <v>619</v>
      </c>
      <c r="J984" s="1779"/>
      <c r="K984" s="1139" t="s">
        <v>1919</v>
      </c>
      <c r="L984" s="1140" t="s">
        <v>2151</v>
      </c>
      <c r="M984" s="1783" t="s">
        <v>2140</v>
      </c>
      <c r="N984" s="1779"/>
    </row>
    <row r="985" spans="1:14" ht="13.5" x14ac:dyDescent="0.25">
      <c r="A985" s="1833" t="s">
        <v>2168</v>
      </c>
      <c r="B985" s="1834"/>
      <c r="C985" s="1834"/>
      <c r="D985" s="1834"/>
      <c r="E985" s="1834"/>
      <c r="F985" s="1834"/>
      <c r="G985" s="1835"/>
      <c r="H985" s="1032" t="str">
        <f>IF(A985="","",VLOOKUP(A985,'09'!$A$22:$O$168,4,FALSE))</f>
        <v>Cuadrilla</v>
      </c>
      <c r="I985" s="1785">
        <f>IF(A985="","",VLOOKUP(A985,'09'!$A$22:$O$168,5,FALSE))</f>
        <v>204272</v>
      </c>
      <c r="J985" s="1412"/>
      <c r="K985" s="1034">
        <f>IF(A985="","",'03'!$I$2)</f>
        <v>1.88995</v>
      </c>
      <c r="L985" s="1142">
        <f>K967</f>
        <v>5</v>
      </c>
      <c r="M985" s="1780">
        <f>I985*K985/L985</f>
        <v>77212.773279999994</v>
      </c>
      <c r="N985" s="1779"/>
    </row>
    <row r="986" spans="1:14" ht="13.5" x14ac:dyDescent="0.25">
      <c r="A986" s="1830"/>
      <c r="B986" s="1831"/>
      <c r="C986" s="1831"/>
      <c r="D986" s="1831"/>
      <c r="E986" s="1831"/>
      <c r="F986" s="1831"/>
      <c r="G986" s="1832"/>
      <c r="H986" s="1137"/>
      <c r="I986" s="1780"/>
      <c r="J986" s="1779"/>
      <c r="K986" s="1141"/>
      <c r="L986" s="1141"/>
      <c r="M986" s="1780"/>
      <c r="N986" s="1779"/>
    </row>
    <row r="987" spans="1:14" ht="13.5" x14ac:dyDescent="0.25">
      <c r="A987" s="1830"/>
      <c r="B987" s="1831"/>
      <c r="C987" s="1831"/>
      <c r="D987" s="1831"/>
      <c r="E987" s="1831"/>
      <c r="F987" s="1831"/>
      <c r="G987" s="1832"/>
      <c r="H987" s="1137"/>
      <c r="I987" s="1780"/>
      <c r="J987" s="1779"/>
      <c r="K987" s="1141"/>
      <c r="L987" s="1143"/>
      <c r="M987" s="1780"/>
      <c r="N987" s="1779"/>
    </row>
    <row r="988" spans="1:14" ht="13.5" x14ac:dyDescent="0.25">
      <c r="A988" s="1784"/>
      <c r="B988" s="1782"/>
      <c r="C988" s="1782"/>
      <c r="D988" s="1782"/>
      <c r="E988" s="1782"/>
      <c r="F988" s="1782"/>
      <c r="G988" s="1779"/>
      <c r="H988" s="1137"/>
      <c r="I988" s="1780"/>
      <c r="J988" s="1779"/>
      <c r="K988" s="1141"/>
      <c r="L988" s="1143"/>
      <c r="M988" s="1780"/>
      <c r="N988" s="1779"/>
    </row>
    <row r="989" spans="1:14" ht="13.5" x14ac:dyDescent="0.25">
      <c r="A989" s="1784"/>
      <c r="B989" s="1782"/>
      <c r="C989" s="1782"/>
      <c r="D989" s="1782"/>
      <c r="E989" s="1782"/>
      <c r="F989" s="1782"/>
      <c r="G989" s="1779"/>
      <c r="H989" s="1137"/>
      <c r="I989" s="1780"/>
      <c r="J989" s="1779"/>
      <c r="K989" s="1141"/>
      <c r="L989" s="1143"/>
      <c r="M989" s="1780"/>
      <c r="N989" s="1779"/>
    </row>
    <row r="990" spans="1:14" ht="13.5" x14ac:dyDescent="0.25">
      <c r="A990" s="1138"/>
      <c r="B990" s="1138"/>
      <c r="C990" s="1138"/>
      <c r="D990" s="1138"/>
      <c r="E990" s="1138"/>
      <c r="F990" s="1138"/>
      <c r="G990" s="1138"/>
      <c r="H990" s="1138"/>
      <c r="I990" s="1138"/>
      <c r="J990" s="1138"/>
      <c r="K990" s="1778" t="s">
        <v>523</v>
      </c>
      <c r="L990" s="1779"/>
      <c r="M990" s="1780">
        <f>ROUND(SUM(M985:N989),2)</f>
        <v>77212.77</v>
      </c>
      <c r="N990" s="1779"/>
    </row>
    <row r="991" spans="1:14" x14ac:dyDescent="0.2">
      <c r="I991" s="1414"/>
      <c r="J991" s="1415"/>
      <c r="K991" s="1415"/>
      <c r="L991" s="1415"/>
      <c r="M991" s="1415"/>
      <c r="N991" s="1415"/>
    </row>
    <row r="992" spans="1:14" ht="13.5" thickBot="1" x14ac:dyDescent="0.25">
      <c r="I992" s="1416"/>
      <c r="J992" s="1416"/>
      <c r="K992" s="1416"/>
      <c r="L992" s="1416"/>
      <c r="M992" s="1416"/>
      <c r="N992" s="1416"/>
    </row>
    <row r="993" spans="1:15" ht="14.25" thickTop="1" x14ac:dyDescent="0.2">
      <c r="I993" s="1417" t="s">
        <v>1829</v>
      </c>
      <c r="J993" s="1418"/>
      <c r="K993" s="1417" t="s">
        <v>2653</v>
      </c>
      <c r="L993" s="1418"/>
      <c r="M993" s="1418"/>
      <c r="N993" s="1418"/>
    </row>
    <row r="994" spans="1:15" ht="13.5" x14ac:dyDescent="0.2">
      <c r="I994" s="1419" t="s">
        <v>1831</v>
      </c>
      <c r="J994" s="1420"/>
      <c r="K994" s="1419"/>
      <c r="L994" s="1420"/>
      <c r="M994" s="1420"/>
      <c r="N994" s="1420"/>
    </row>
    <row r="995" spans="1:15" x14ac:dyDescent="0.2">
      <c r="A995" s="1803" t="s">
        <v>2342</v>
      </c>
      <c r="B995" s="1804"/>
      <c r="C995" s="1804"/>
      <c r="D995" s="1804"/>
      <c r="E995" s="1804"/>
      <c r="F995" s="1804"/>
      <c r="G995" s="1804"/>
      <c r="H995" s="1804"/>
      <c r="I995" s="1804"/>
      <c r="J995" s="1804"/>
      <c r="K995" s="1804"/>
      <c r="L995" s="1804"/>
      <c r="M995" s="1804"/>
      <c r="N995" s="1805"/>
    </row>
    <row r="996" spans="1:15" x14ac:dyDescent="0.2">
      <c r="A996" s="1806"/>
      <c r="B996" s="1807"/>
      <c r="C996" s="1807"/>
      <c r="D996" s="1807"/>
      <c r="E996" s="1807"/>
      <c r="F996" s="1807"/>
      <c r="G996" s="1807"/>
      <c r="H996" s="1807"/>
      <c r="I996" s="1807"/>
      <c r="J996" s="1807"/>
      <c r="K996" s="1807"/>
      <c r="L996" s="1807"/>
      <c r="M996" s="1807"/>
      <c r="N996" s="1808"/>
    </row>
    <row r="997" spans="1:15" ht="13.5" x14ac:dyDescent="0.2">
      <c r="A997" s="1128"/>
      <c r="B997" s="1128"/>
      <c r="C997" s="1128"/>
      <c r="D997" s="1128"/>
      <c r="E997" s="1128"/>
      <c r="F997" s="1128"/>
      <c r="G997" s="1128"/>
      <c r="H997" s="1128"/>
      <c r="I997" s="1128"/>
      <c r="J997" s="1128"/>
      <c r="K997" s="1128"/>
      <c r="L997" s="1128"/>
      <c r="M997" s="1128"/>
      <c r="N997" s="1128"/>
    </row>
    <row r="998" spans="1:15" ht="14.25" x14ac:dyDescent="0.3">
      <c r="A998" s="1104" t="s">
        <v>2311</v>
      </c>
      <c r="B998" s="1129" t="str">
        <f>A995</f>
        <v xml:space="preserve">SUMINISTRO E INSTALACIÓN DE TUBERIA PVC UNION MECANICA DE 4". PRESIÓN DE TRABAJO 200 PSI.  </v>
      </c>
      <c r="C998" s="1130" t="s">
        <v>634</v>
      </c>
      <c r="D998" s="1107" t="s">
        <v>6</v>
      </c>
      <c r="E998" s="1132" t="s">
        <v>1833</v>
      </c>
      <c r="F998" s="1133">
        <f>H998+J998+L998+N998</f>
        <v>69464.612973333336</v>
      </c>
      <c r="G998" s="1132" t="s">
        <v>2136</v>
      </c>
      <c r="H998" s="1133">
        <f>M1016</f>
        <v>500</v>
      </c>
      <c r="I998" s="1132" t="s">
        <v>621</v>
      </c>
      <c r="J998" s="1134">
        <f>M1007</f>
        <v>62386.215200000006</v>
      </c>
      <c r="K998" s="1132" t="s">
        <v>2137</v>
      </c>
      <c r="L998" s="1133">
        <f>M1025</f>
        <v>144</v>
      </c>
      <c r="M998" s="1132" t="s">
        <v>2138</v>
      </c>
      <c r="N998" s="1133">
        <f>M1034</f>
        <v>6434.3977733333331</v>
      </c>
    </row>
    <row r="999" spans="1:15" ht="13.5" x14ac:dyDescent="0.25">
      <c r="A999" s="1135"/>
      <c r="B999" s="1135"/>
      <c r="C999" s="1135"/>
      <c r="D999" s="1135"/>
      <c r="E999" s="1135"/>
      <c r="F999" s="1135"/>
      <c r="G999" s="1135"/>
      <c r="J999" s="1135"/>
      <c r="K999" s="1135"/>
      <c r="L999" s="1135"/>
      <c r="M999" s="1270" t="s">
        <v>2667</v>
      </c>
      <c r="N999" s="1270">
        <f>+F998*'01'!$O$15</f>
        <v>89908.320003387329</v>
      </c>
    </row>
    <row r="1000" spans="1:15" x14ac:dyDescent="0.2">
      <c r="A1000" s="1781" t="s">
        <v>2139</v>
      </c>
      <c r="B1000" s="1782"/>
      <c r="C1000" s="1782"/>
      <c r="D1000" s="1782"/>
      <c r="E1000" s="1782"/>
      <c r="F1000" s="1782"/>
      <c r="G1000" s="1782"/>
      <c r="H1000" s="1782"/>
      <c r="I1000" s="1782"/>
      <c r="J1000" s="1782"/>
      <c r="K1000" s="1782"/>
      <c r="L1000" s="1782"/>
      <c r="M1000" s="1782"/>
      <c r="N1000" s="1779"/>
    </row>
    <row r="1001" spans="1:15" x14ac:dyDescent="0.2">
      <c r="A1001" s="1778" t="s">
        <v>14</v>
      </c>
      <c r="B1001" s="1782"/>
      <c r="C1001" s="1782"/>
      <c r="D1001" s="1782"/>
      <c r="E1001" s="1782"/>
      <c r="F1001" s="1782"/>
      <c r="G1001" s="1779"/>
      <c r="H1001" s="1136" t="s">
        <v>15</v>
      </c>
      <c r="I1001" s="1783" t="s">
        <v>619</v>
      </c>
      <c r="J1001" s="1779"/>
      <c r="K1001" s="1783" t="s">
        <v>628</v>
      </c>
      <c r="L1001" s="1779"/>
      <c r="M1001" s="1783" t="s">
        <v>2140</v>
      </c>
      <c r="N1001" s="1779"/>
    </row>
    <row r="1002" spans="1:15" ht="13.5" customHeight="1" x14ac:dyDescent="0.2">
      <c r="A1002" s="1789" t="s">
        <v>1451</v>
      </c>
      <c r="B1002" s="1782"/>
      <c r="C1002" s="1782"/>
      <c r="D1002" s="1782"/>
      <c r="E1002" s="1782"/>
      <c r="F1002" s="1782"/>
      <c r="G1002" s="1779"/>
      <c r="H1002" s="1032" t="str">
        <f>IF(A1002="","",VLOOKUP(A1002,'10'!$C$6:$E$1152,2,FALSE))</f>
        <v>UND</v>
      </c>
      <c r="I1002" s="1785">
        <f>IF(A1002="","",VLOOKUP(A1002,'10'!$C$6:$E$1152,3,FALSE))</f>
        <v>30983</v>
      </c>
      <c r="J1002" s="1412"/>
      <c r="K1002" s="1794">
        <v>3.7000000000000002E-3</v>
      </c>
      <c r="L1002" s="1795"/>
      <c r="M1002" s="1780">
        <f>K1002*I1002</f>
        <v>114.6371</v>
      </c>
      <c r="N1002" s="1779"/>
    </row>
    <row r="1003" spans="1:15" ht="13.5" customHeight="1" x14ac:dyDescent="0.2">
      <c r="A1003" s="1789" t="s">
        <v>1735</v>
      </c>
      <c r="B1003" s="1782"/>
      <c r="C1003" s="1782"/>
      <c r="D1003" s="1782"/>
      <c r="E1003" s="1782"/>
      <c r="F1003" s="1782"/>
      <c r="G1003" s="1779"/>
      <c r="H1003" s="1032" t="str">
        <f>IF(A1003="","",VLOOKUP(A1003,'10'!$C$6:$E$1152,2,FALSE))</f>
        <v>UND</v>
      </c>
      <c r="I1003" s="1785">
        <f>IF(A1003="","",VLOOKUP(A1003,'10'!$C$6:$E$1152,3,FALSE))</f>
        <v>65913</v>
      </c>
      <c r="J1003" s="1412"/>
      <c r="K1003" s="1794">
        <v>3.7000000000000002E-3</v>
      </c>
      <c r="L1003" s="1795"/>
      <c r="M1003" s="1780">
        <f>K1003*I1003</f>
        <v>243.87810000000002</v>
      </c>
      <c r="N1003" s="1779"/>
    </row>
    <row r="1004" spans="1:15" ht="13.5" x14ac:dyDescent="0.2">
      <c r="A1004" s="1792" t="s">
        <v>1466</v>
      </c>
      <c r="B1004" s="1782"/>
      <c r="C1004" s="1782"/>
      <c r="D1004" s="1782"/>
      <c r="E1004" s="1782"/>
      <c r="F1004" s="1782"/>
      <c r="G1004" s="1779"/>
      <c r="H1004" s="1032" t="str">
        <f>IF(A1004="","",VLOOKUP(A1004,'10'!$C$6:$E$1152,2,FALSE))</f>
        <v>ML</v>
      </c>
      <c r="I1004" s="1785">
        <f>IF(A1004="","",VLOOKUP(A1004,'10'!$C$6:$E$1152,3,FALSE))</f>
        <v>59074</v>
      </c>
      <c r="J1004" s="1412"/>
      <c r="K1004" s="1787">
        <v>1.05</v>
      </c>
      <c r="L1004" s="1779"/>
      <c r="M1004" s="1780">
        <f t="shared" ref="M1004" si="45">K1004*I1004</f>
        <v>62027.700000000004</v>
      </c>
      <c r="N1004" s="1779"/>
      <c r="O1004" s="799"/>
    </row>
    <row r="1005" spans="1:15" ht="13.5" x14ac:dyDescent="0.2">
      <c r="A1005" s="1789"/>
      <c r="B1005" s="1782"/>
      <c r="C1005" s="1782"/>
      <c r="D1005" s="1782"/>
      <c r="E1005" s="1782"/>
      <c r="F1005" s="1782"/>
      <c r="G1005" s="1779"/>
      <c r="H1005" s="1032" t="str">
        <f>IF(A1005="","",VLOOKUP(A1005,'10'!$C$6:$E$1152,2,FALSE))</f>
        <v/>
      </c>
      <c r="I1005" s="1785" t="str">
        <f>IF(A1005="","",VLOOKUP(A1005,'10'!$C$6:$E$1152,3,FALSE))</f>
        <v/>
      </c>
      <c r="J1005" s="1412"/>
      <c r="K1005" s="1787"/>
      <c r="L1005" s="1779"/>
      <c r="M1005" s="1780"/>
      <c r="N1005" s="1779"/>
    </row>
    <row r="1006" spans="1:15" ht="13.5" x14ac:dyDescent="0.2">
      <c r="A1006" s="1789"/>
      <c r="B1006" s="1782"/>
      <c r="C1006" s="1782"/>
      <c r="D1006" s="1782"/>
      <c r="E1006" s="1782"/>
      <c r="F1006" s="1782"/>
      <c r="G1006" s="1779"/>
      <c r="H1006" s="1032" t="str">
        <f>IF(A1006="","",VLOOKUP(A1006,'10'!$C$6:$E$1152,2,FALSE))</f>
        <v/>
      </c>
      <c r="I1006" s="1785" t="str">
        <f>IF(A1006="","",VLOOKUP(A1006,'10'!$C$6:$E$1152,3,FALSE))</f>
        <v/>
      </c>
      <c r="J1006" s="1412"/>
      <c r="K1006" s="1787"/>
      <c r="L1006" s="1779"/>
      <c r="M1006" s="1780"/>
      <c r="N1006" s="1779"/>
    </row>
    <row r="1007" spans="1:15" ht="13.5" x14ac:dyDescent="0.25">
      <c r="A1007" s="1138"/>
      <c r="B1007" s="1138"/>
      <c r="C1007" s="1138"/>
      <c r="D1007" s="1138"/>
      <c r="E1007" s="1138"/>
      <c r="F1007" s="1138"/>
      <c r="G1007" s="1138"/>
      <c r="H1007" s="1138"/>
      <c r="I1007" s="1138"/>
      <c r="J1007" s="1138"/>
      <c r="K1007" s="1778" t="s">
        <v>523</v>
      </c>
      <c r="L1007" s="1779"/>
      <c r="M1007" s="1780">
        <f>SUM(M1002:N1006)</f>
        <v>62386.215200000006</v>
      </c>
      <c r="N1007" s="1779"/>
    </row>
    <row r="1008" spans="1:15" ht="13.5" x14ac:dyDescent="0.25">
      <c r="A1008" s="1138"/>
      <c r="B1008" s="1138"/>
      <c r="C1008" s="1138"/>
      <c r="D1008" s="1138"/>
      <c r="E1008" s="1138"/>
      <c r="F1008" s="1138"/>
      <c r="G1008" s="1138"/>
      <c r="H1008" s="1138"/>
      <c r="I1008" s="1138"/>
      <c r="J1008" s="1138"/>
      <c r="K1008" s="1138"/>
      <c r="L1008" s="1138"/>
      <c r="M1008" s="1138"/>
      <c r="N1008" s="1138"/>
    </row>
    <row r="1009" spans="1:14" x14ac:dyDescent="0.2">
      <c r="A1009" s="1781" t="s">
        <v>2145</v>
      </c>
      <c r="B1009" s="1782"/>
      <c r="C1009" s="1782"/>
      <c r="D1009" s="1782"/>
      <c r="E1009" s="1782"/>
      <c r="F1009" s="1782"/>
      <c r="G1009" s="1782"/>
      <c r="H1009" s="1782"/>
      <c r="I1009" s="1782"/>
      <c r="J1009" s="1782"/>
      <c r="K1009" s="1782"/>
      <c r="L1009" s="1782"/>
      <c r="M1009" s="1782"/>
      <c r="N1009" s="1779"/>
    </row>
    <row r="1010" spans="1:14" x14ac:dyDescent="0.2">
      <c r="A1010" s="1778" t="s">
        <v>14</v>
      </c>
      <c r="B1010" s="1782"/>
      <c r="C1010" s="1782"/>
      <c r="D1010" s="1782"/>
      <c r="E1010" s="1782"/>
      <c r="F1010" s="1782"/>
      <c r="G1010" s="1779"/>
      <c r="H1010" s="1136" t="s">
        <v>15</v>
      </c>
      <c r="I1010" s="1783" t="s">
        <v>619</v>
      </c>
      <c r="J1010" s="1779"/>
      <c r="K1010" s="1783" t="s">
        <v>610</v>
      </c>
      <c r="L1010" s="1779"/>
      <c r="M1010" s="1783" t="s">
        <v>2140</v>
      </c>
      <c r="N1010" s="1779"/>
    </row>
    <row r="1011" spans="1:14" ht="13.5" x14ac:dyDescent="0.2">
      <c r="A1011" s="1789" t="s">
        <v>131</v>
      </c>
      <c r="B1011" s="1790"/>
      <c r="C1011" s="1790"/>
      <c r="D1011" s="1790"/>
      <c r="E1011" s="1790"/>
      <c r="F1011" s="1790"/>
      <c r="G1011" s="1791"/>
      <c r="H1011" s="1032" t="str">
        <f>IF(A1011="","",VLOOKUP(A1011,'11'!$C$6:$E$87,2,FALSE))</f>
        <v>DIA</v>
      </c>
      <c r="I1011" s="1785">
        <f>IF(A1011="","",VLOOKUP(A1011,'11'!$C$6:$E$87,3,FALSE))</f>
        <v>15000</v>
      </c>
      <c r="J1011" s="1412"/>
      <c r="K1011" s="1787">
        <v>30</v>
      </c>
      <c r="L1011" s="1793"/>
      <c r="M1011" s="1780">
        <f>I1011/K1011</f>
        <v>500</v>
      </c>
      <c r="N1011" s="1779"/>
    </row>
    <row r="1012" spans="1:14" ht="13.5" x14ac:dyDescent="0.2">
      <c r="A1012" s="1802"/>
      <c r="B1012" s="1782"/>
      <c r="C1012" s="1782"/>
      <c r="D1012" s="1782"/>
      <c r="E1012" s="1782"/>
      <c r="F1012" s="1782"/>
      <c r="G1012" s="1779"/>
      <c r="H1012" s="1137"/>
      <c r="I1012" s="1780"/>
      <c r="J1012" s="1779"/>
      <c r="K1012" s="1794"/>
      <c r="L1012" s="1779"/>
      <c r="M1012" s="1780"/>
      <c r="N1012" s="1779"/>
    </row>
    <row r="1013" spans="1:14" ht="13.5" x14ac:dyDescent="0.2">
      <c r="A1013" s="1789"/>
      <c r="B1013" s="1782"/>
      <c r="C1013" s="1782"/>
      <c r="D1013" s="1782"/>
      <c r="E1013" s="1782"/>
      <c r="F1013" s="1782"/>
      <c r="G1013" s="1779"/>
      <c r="H1013" s="1137"/>
      <c r="I1013" s="1780"/>
      <c r="J1013" s="1779"/>
      <c r="K1013" s="1787"/>
      <c r="L1013" s="1779"/>
      <c r="M1013" s="1780"/>
      <c r="N1013" s="1779"/>
    </row>
    <row r="1014" spans="1:14" ht="13.5" x14ac:dyDescent="0.2">
      <c r="A1014" s="1789"/>
      <c r="B1014" s="1782"/>
      <c r="C1014" s="1782"/>
      <c r="D1014" s="1782"/>
      <c r="E1014" s="1782"/>
      <c r="F1014" s="1782"/>
      <c r="G1014" s="1779"/>
      <c r="H1014" s="1137"/>
      <c r="I1014" s="1780"/>
      <c r="J1014" s="1779"/>
      <c r="K1014" s="1787"/>
      <c r="L1014" s="1779"/>
      <c r="M1014" s="1780"/>
      <c r="N1014" s="1779"/>
    </row>
    <row r="1015" spans="1:14" ht="13.5" x14ac:dyDescent="0.2">
      <c r="A1015" s="1789"/>
      <c r="B1015" s="1782"/>
      <c r="C1015" s="1782"/>
      <c r="D1015" s="1782"/>
      <c r="E1015" s="1782"/>
      <c r="F1015" s="1782"/>
      <c r="G1015" s="1779"/>
      <c r="H1015" s="1137"/>
      <c r="I1015" s="1780"/>
      <c r="J1015" s="1779"/>
      <c r="K1015" s="1787"/>
      <c r="L1015" s="1779"/>
      <c r="M1015" s="1780"/>
      <c r="N1015" s="1779"/>
    </row>
    <row r="1016" spans="1:14" ht="13.5" x14ac:dyDescent="0.25">
      <c r="A1016" s="1138"/>
      <c r="B1016" s="1138"/>
      <c r="C1016" s="1138"/>
      <c r="D1016" s="1138"/>
      <c r="E1016" s="1138"/>
      <c r="F1016" s="1138"/>
      <c r="G1016" s="1138"/>
      <c r="H1016" s="1138"/>
      <c r="I1016" s="1138"/>
      <c r="J1016" s="1138"/>
      <c r="K1016" s="1778" t="s">
        <v>523</v>
      </c>
      <c r="L1016" s="1779"/>
      <c r="M1016" s="1780">
        <f>SUM(M1011:N1015)</f>
        <v>500</v>
      </c>
      <c r="N1016" s="1779"/>
    </row>
    <row r="1017" spans="1:14" ht="13.5" x14ac:dyDescent="0.25">
      <c r="A1017" s="1138"/>
      <c r="B1017" s="1138"/>
      <c r="C1017" s="1138"/>
      <c r="D1017" s="1138"/>
      <c r="E1017" s="1138"/>
      <c r="F1017" s="1138"/>
      <c r="G1017" s="1138"/>
      <c r="H1017" s="1138"/>
      <c r="I1017" s="1138"/>
      <c r="J1017" s="1138"/>
      <c r="K1017" s="1138"/>
      <c r="L1017" s="1138"/>
      <c r="M1017" s="1138"/>
      <c r="N1017" s="1138"/>
    </row>
    <row r="1018" spans="1:14" x14ac:dyDescent="0.2">
      <c r="A1018" s="1781" t="s">
        <v>2147</v>
      </c>
      <c r="B1018" s="1782"/>
      <c r="C1018" s="1782"/>
      <c r="D1018" s="1782"/>
      <c r="E1018" s="1782"/>
      <c r="F1018" s="1782"/>
      <c r="G1018" s="1782"/>
      <c r="H1018" s="1782"/>
      <c r="I1018" s="1782"/>
      <c r="J1018" s="1782"/>
      <c r="K1018" s="1782"/>
      <c r="L1018" s="1782"/>
      <c r="M1018" s="1782"/>
      <c r="N1018" s="1779"/>
    </row>
    <row r="1019" spans="1:14" x14ac:dyDescent="0.2">
      <c r="A1019" s="1778" t="s">
        <v>14</v>
      </c>
      <c r="B1019" s="1782"/>
      <c r="C1019" s="1782"/>
      <c r="D1019" s="1782"/>
      <c r="E1019" s="1782"/>
      <c r="F1019" s="1782"/>
      <c r="G1019" s="1779"/>
      <c r="H1019" s="1136" t="s">
        <v>15</v>
      </c>
      <c r="I1019" s="1783" t="s">
        <v>619</v>
      </c>
      <c r="J1019" s="1779"/>
      <c r="K1019" s="1783" t="s">
        <v>628</v>
      </c>
      <c r="L1019" s="1779"/>
      <c r="M1019" s="1783" t="s">
        <v>2140</v>
      </c>
      <c r="N1019" s="1779"/>
    </row>
    <row r="1020" spans="1:14" ht="13.5" x14ac:dyDescent="0.2">
      <c r="A1020" s="1792" t="s">
        <v>2328</v>
      </c>
      <c r="B1020" s="1782"/>
      <c r="C1020" s="1782"/>
      <c r="D1020" s="1782"/>
      <c r="E1020" s="1782"/>
      <c r="F1020" s="1782"/>
      <c r="G1020" s="1779"/>
      <c r="H1020" s="1032" t="str">
        <f>IF(A1020="","",VLOOKUP(A1020,'11'!$C$6:$E$1012,2,FALSE))</f>
        <v>KM-M3</v>
      </c>
      <c r="I1020" s="1785">
        <f>IF(A1020="","",VLOOKUP(A1020,'11'!$C$6:$E$1012,3,FALSE))</f>
        <v>1440</v>
      </c>
      <c r="J1020" s="1412"/>
      <c r="K1020" s="1787">
        <v>0.1</v>
      </c>
      <c r="L1020" s="1793"/>
      <c r="M1020" s="1780">
        <f t="shared" ref="M1020" si="46">IF(A1020="","",I1020*K1020)</f>
        <v>144</v>
      </c>
      <c r="N1020" s="1779"/>
    </row>
    <row r="1021" spans="1:14" ht="13.5" x14ac:dyDescent="0.2">
      <c r="A1021" s="1786"/>
      <c r="B1021" s="1782"/>
      <c r="C1021" s="1782"/>
      <c r="D1021" s="1782"/>
      <c r="E1021" s="1782"/>
      <c r="F1021" s="1782"/>
      <c r="G1021" s="1779"/>
      <c r="H1021" s="1032"/>
      <c r="I1021" s="1780"/>
      <c r="J1021" s="1779"/>
      <c r="K1021" s="1787"/>
      <c r="L1021" s="1779"/>
      <c r="M1021" s="1780"/>
      <c r="N1021" s="1779"/>
    </row>
    <row r="1022" spans="1:14" ht="13.5" x14ac:dyDescent="0.2">
      <c r="A1022" s="1786"/>
      <c r="B1022" s="1782"/>
      <c r="C1022" s="1782"/>
      <c r="D1022" s="1782"/>
      <c r="E1022" s="1782"/>
      <c r="F1022" s="1782"/>
      <c r="G1022" s="1779"/>
      <c r="H1022" s="1032"/>
      <c r="I1022" s="1780"/>
      <c r="J1022" s="1779"/>
      <c r="K1022" s="1788"/>
      <c r="L1022" s="1779"/>
      <c r="M1022" s="1780"/>
      <c r="N1022" s="1779"/>
    </row>
    <row r="1023" spans="1:14" ht="13.5" x14ac:dyDescent="0.2">
      <c r="A1023" s="1789"/>
      <c r="B1023" s="1782"/>
      <c r="C1023" s="1782"/>
      <c r="D1023" s="1782"/>
      <c r="E1023" s="1782"/>
      <c r="F1023" s="1782"/>
      <c r="G1023" s="1779"/>
      <c r="H1023" s="1137"/>
      <c r="I1023" s="1780"/>
      <c r="J1023" s="1779"/>
      <c r="K1023" s="1787"/>
      <c r="L1023" s="1779"/>
      <c r="M1023" s="1780"/>
      <c r="N1023" s="1779"/>
    </row>
    <row r="1024" spans="1:14" ht="13.5" x14ac:dyDescent="0.2">
      <c r="A1024" s="1789"/>
      <c r="B1024" s="1782"/>
      <c r="C1024" s="1782"/>
      <c r="D1024" s="1782"/>
      <c r="E1024" s="1782"/>
      <c r="F1024" s="1782"/>
      <c r="G1024" s="1779"/>
      <c r="H1024" s="1137"/>
      <c r="I1024" s="1780"/>
      <c r="J1024" s="1779"/>
      <c r="K1024" s="1787"/>
      <c r="L1024" s="1779"/>
      <c r="M1024" s="1780"/>
      <c r="N1024" s="1779"/>
    </row>
    <row r="1025" spans="1:14" ht="13.5" x14ac:dyDescent="0.25">
      <c r="A1025" s="1138"/>
      <c r="B1025" s="1138"/>
      <c r="C1025" s="1138"/>
      <c r="D1025" s="1138"/>
      <c r="E1025" s="1138"/>
      <c r="F1025" s="1138"/>
      <c r="G1025" s="1138"/>
      <c r="H1025" s="1138"/>
      <c r="I1025" s="1138"/>
      <c r="J1025" s="1138"/>
      <c r="K1025" s="1778" t="s">
        <v>523</v>
      </c>
      <c r="L1025" s="1779"/>
      <c r="M1025" s="1780">
        <f>SUM(M1020:N1024)</f>
        <v>144</v>
      </c>
      <c r="N1025" s="1779"/>
    </row>
    <row r="1026" spans="1:14" ht="13.5" x14ac:dyDescent="0.25">
      <c r="A1026" s="1138"/>
      <c r="B1026" s="1138"/>
      <c r="C1026" s="1138"/>
      <c r="D1026" s="1138"/>
      <c r="E1026" s="1138"/>
      <c r="F1026" s="1138"/>
      <c r="G1026" s="1138"/>
      <c r="H1026" s="1138"/>
      <c r="I1026" s="1138"/>
      <c r="J1026" s="1138"/>
      <c r="K1026" s="1138"/>
      <c r="L1026" s="1138"/>
      <c r="M1026" s="1138"/>
      <c r="N1026" s="1138"/>
    </row>
    <row r="1027" spans="1:14" x14ac:dyDescent="0.2">
      <c r="A1027" s="1781" t="s">
        <v>2150</v>
      </c>
      <c r="B1027" s="1782"/>
      <c r="C1027" s="1782"/>
      <c r="D1027" s="1782"/>
      <c r="E1027" s="1782"/>
      <c r="F1027" s="1782"/>
      <c r="G1027" s="1782"/>
      <c r="H1027" s="1782"/>
      <c r="I1027" s="1782"/>
      <c r="J1027" s="1782"/>
      <c r="K1027" s="1782"/>
      <c r="L1027" s="1782"/>
      <c r="M1027" s="1782"/>
      <c r="N1027" s="1779"/>
    </row>
    <row r="1028" spans="1:14" x14ac:dyDescent="0.2">
      <c r="A1028" s="1778" t="s">
        <v>14</v>
      </c>
      <c r="B1028" s="1782"/>
      <c r="C1028" s="1782"/>
      <c r="D1028" s="1782"/>
      <c r="E1028" s="1782"/>
      <c r="F1028" s="1782"/>
      <c r="G1028" s="1779"/>
      <c r="H1028" s="1136" t="s">
        <v>15</v>
      </c>
      <c r="I1028" s="1783" t="s">
        <v>619</v>
      </c>
      <c r="J1028" s="1779"/>
      <c r="K1028" s="1139" t="s">
        <v>1919</v>
      </c>
      <c r="L1028" s="1140" t="s">
        <v>2151</v>
      </c>
      <c r="M1028" s="1783" t="s">
        <v>2140</v>
      </c>
      <c r="N1028" s="1779"/>
    </row>
    <row r="1029" spans="1:14" ht="13.5" x14ac:dyDescent="0.25">
      <c r="A1029" s="1784" t="s">
        <v>2168</v>
      </c>
      <c r="B1029" s="1782"/>
      <c r="C1029" s="1782"/>
      <c r="D1029" s="1782"/>
      <c r="E1029" s="1782"/>
      <c r="F1029" s="1782"/>
      <c r="G1029" s="1779"/>
      <c r="H1029" s="1032" t="str">
        <f>IF(A1029="","",VLOOKUP(A1029,'09'!$A$22:$O$168,4,FALSE))</f>
        <v>Cuadrilla</v>
      </c>
      <c r="I1029" s="1785">
        <f>IF(A1029="","",VLOOKUP(A1029,'09'!$A$22:$O$168,5,FALSE))</f>
        <v>204272</v>
      </c>
      <c r="J1029" s="1412"/>
      <c r="K1029" s="1034">
        <f>IF(A1029="","",'03'!$I$2)</f>
        <v>1.88995</v>
      </c>
      <c r="L1029" s="1142">
        <v>7.5</v>
      </c>
      <c r="M1029" s="1780">
        <f>I1029*K1029/(L1029*8)</f>
        <v>6434.3977733333331</v>
      </c>
      <c r="N1029" s="1779"/>
    </row>
    <row r="1030" spans="1:14" ht="13.5" x14ac:dyDescent="0.25">
      <c r="A1030" s="1784"/>
      <c r="B1030" s="1782"/>
      <c r="C1030" s="1782"/>
      <c r="D1030" s="1782"/>
      <c r="E1030" s="1782"/>
      <c r="F1030" s="1782"/>
      <c r="G1030" s="1779"/>
      <c r="H1030" s="1137"/>
      <c r="I1030" s="1780"/>
      <c r="J1030" s="1779"/>
      <c r="K1030" s="1141"/>
      <c r="L1030" s="1141"/>
      <c r="M1030" s="1780"/>
      <c r="N1030" s="1779"/>
    </row>
    <row r="1031" spans="1:14" ht="13.5" x14ac:dyDescent="0.25">
      <c r="A1031" s="1784"/>
      <c r="B1031" s="1782"/>
      <c r="C1031" s="1782"/>
      <c r="D1031" s="1782"/>
      <c r="E1031" s="1782"/>
      <c r="F1031" s="1782"/>
      <c r="G1031" s="1779"/>
      <c r="H1031" s="1137"/>
      <c r="I1031" s="1780"/>
      <c r="J1031" s="1779"/>
      <c r="K1031" s="1141"/>
      <c r="L1031" s="1143"/>
      <c r="M1031" s="1780"/>
      <c r="N1031" s="1779"/>
    </row>
    <row r="1032" spans="1:14" ht="13.5" x14ac:dyDescent="0.25">
      <c r="A1032" s="1784"/>
      <c r="B1032" s="1782"/>
      <c r="C1032" s="1782"/>
      <c r="D1032" s="1782"/>
      <c r="E1032" s="1782"/>
      <c r="F1032" s="1782"/>
      <c r="G1032" s="1779"/>
      <c r="H1032" s="1137"/>
      <c r="I1032" s="1780"/>
      <c r="J1032" s="1779"/>
      <c r="K1032" s="1141"/>
      <c r="L1032" s="1143"/>
      <c r="M1032" s="1780"/>
      <c r="N1032" s="1779"/>
    </row>
    <row r="1033" spans="1:14" ht="13.5" x14ac:dyDescent="0.25">
      <c r="A1033" s="1784"/>
      <c r="B1033" s="1782"/>
      <c r="C1033" s="1782"/>
      <c r="D1033" s="1782"/>
      <c r="E1033" s="1782"/>
      <c r="F1033" s="1782"/>
      <c r="G1033" s="1779"/>
      <c r="H1033" s="1137"/>
      <c r="I1033" s="1780"/>
      <c r="J1033" s="1779"/>
      <c r="K1033" s="1141"/>
      <c r="L1033" s="1143"/>
      <c r="M1033" s="1780"/>
      <c r="N1033" s="1779"/>
    </row>
    <row r="1034" spans="1:14" ht="13.5" x14ac:dyDescent="0.25">
      <c r="A1034" s="1138"/>
      <c r="B1034" s="1138"/>
      <c r="C1034" s="1138"/>
      <c r="D1034" s="1138"/>
      <c r="E1034" s="1138"/>
      <c r="F1034" s="1138"/>
      <c r="G1034" s="1138"/>
      <c r="H1034" s="1138"/>
      <c r="I1034" s="1138"/>
      <c r="J1034" s="1138"/>
      <c r="K1034" s="1778" t="s">
        <v>523</v>
      </c>
      <c r="L1034" s="1779"/>
      <c r="M1034" s="1780">
        <f>SUM(M1029:N1033)</f>
        <v>6434.3977733333331</v>
      </c>
      <c r="N1034" s="1779"/>
    </row>
    <row r="1035" spans="1:14" x14ac:dyDescent="0.2">
      <c r="I1035" s="1414"/>
      <c r="J1035" s="1415"/>
      <c r="K1035" s="1415"/>
      <c r="L1035" s="1415"/>
      <c r="M1035" s="1415"/>
      <c r="N1035" s="1415"/>
    </row>
    <row r="1036" spans="1:14" ht="13.5" thickBot="1" x14ac:dyDescent="0.25">
      <c r="I1036" s="1416"/>
      <c r="J1036" s="1416"/>
      <c r="K1036" s="1416"/>
      <c r="L1036" s="1416"/>
      <c r="M1036" s="1416"/>
      <c r="N1036" s="1416"/>
    </row>
    <row r="1037" spans="1:14" ht="14.25" thickTop="1" x14ac:dyDescent="0.2">
      <c r="I1037" s="1417" t="s">
        <v>1829</v>
      </c>
      <c r="J1037" s="1418"/>
      <c r="K1037" s="1417" t="s">
        <v>2653</v>
      </c>
      <c r="L1037" s="1418"/>
      <c r="M1037" s="1418"/>
      <c r="N1037" s="1418"/>
    </row>
    <row r="1038" spans="1:14" ht="13.5" x14ac:dyDescent="0.2">
      <c r="I1038" s="1419" t="s">
        <v>1831</v>
      </c>
      <c r="J1038" s="1420"/>
      <c r="K1038" s="1419"/>
      <c r="L1038" s="1420"/>
      <c r="M1038" s="1420"/>
      <c r="N1038" s="1420"/>
    </row>
    <row r="1039" spans="1:14" x14ac:dyDescent="0.2">
      <c r="A1039" s="1803" t="s">
        <v>2344</v>
      </c>
      <c r="B1039" s="1804"/>
      <c r="C1039" s="1804"/>
      <c r="D1039" s="1804"/>
      <c r="E1039" s="1804"/>
      <c r="F1039" s="1804"/>
      <c r="G1039" s="1804"/>
      <c r="H1039" s="1804"/>
      <c r="I1039" s="1804"/>
      <c r="J1039" s="1804"/>
      <c r="K1039" s="1804"/>
      <c r="L1039" s="1804"/>
      <c r="M1039" s="1804"/>
      <c r="N1039" s="1805"/>
    </row>
    <row r="1040" spans="1:14" x14ac:dyDescent="0.2">
      <c r="A1040" s="1806"/>
      <c r="B1040" s="1807"/>
      <c r="C1040" s="1807"/>
      <c r="D1040" s="1807"/>
      <c r="E1040" s="1807"/>
      <c r="F1040" s="1807"/>
      <c r="G1040" s="1807"/>
      <c r="H1040" s="1807"/>
      <c r="I1040" s="1807"/>
      <c r="J1040" s="1807"/>
      <c r="K1040" s="1807"/>
      <c r="L1040" s="1807"/>
      <c r="M1040" s="1807"/>
      <c r="N1040" s="1808"/>
    </row>
    <row r="1041" spans="1:15" ht="13.5" x14ac:dyDescent="0.2">
      <c r="A1041" s="1128"/>
      <c r="B1041" s="1128"/>
      <c r="C1041" s="1128"/>
      <c r="D1041" s="1128"/>
      <c r="E1041" s="1128"/>
      <c r="F1041" s="1128"/>
      <c r="G1041" s="1128"/>
      <c r="H1041" s="1128"/>
      <c r="I1041" s="1128"/>
      <c r="J1041" s="1128"/>
      <c r="K1041" s="1128"/>
      <c r="L1041" s="1128"/>
      <c r="M1041" s="1128"/>
      <c r="N1041" s="1128"/>
    </row>
    <row r="1042" spans="1:15" ht="14.25" x14ac:dyDescent="0.3">
      <c r="A1042" s="1104" t="s">
        <v>2343</v>
      </c>
      <c r="B1042" s="1129" t="str">
        <f>A1039</f>
        <v>SUMINISTRO E INSTALACIÓN DE TUBERIA PVC UNION MECANICA DE 6". PRESIÓN DE TRABAJO 200 PSI.</v>
      </c>
      <c r="C1042" s="1130" t="s">
        <v>634</v>
      </c>
      <c r="D1042" s="1107" t="s">
        <v>6</v>
      </c>
      <c r="E1042" s="1132" t="s">
        <v>1833</v>
      </c>
      <c r="F1042" s="1133">
        <f>H1042+J1042+L1042+N1042</f>
        <v>139755.54822307691</v>
      </c>
      <c r="G1042" s="1132" t="s">
        <v>2136</v>
      </c>
      <c r="H1042" s="1133">
        <f>M1060</f>
        <v>500</v>
      </c>
      <c r="I1042" s="1132" t="s">
        <v>621</v>
      </c>
      <c r="J1042" s="1134">
        <f>M1051</f>
        <v>131687.24309999999</v>
      </c>
      <c r="K1042" s="1132" t="s">
        <v>2137</v>
      </c>
      <c r="L1042" s="1133">
        <f>M1069</f>
        <v>144</v>
      </c>
      <c r="M1042" s="1132" t="s">
        <v>2138</v>
      </c>
      <c r="N1042" s="1133">
        <f>M1078</f>
        <v>7424.3051230769233</v>
      </c>
    </row>
    <row r="1043" spans="1:15" ht="13.5" x14ac:dyDescent="0.25">
      <c r="A1043" s="1135"/>
      <c r="B1043" s="1135"/>
      <c r="C1043" s="1135"/>
      <c r="D1043" s="1135"/>
      <c r="E1043" s="1135"/>
      <c r="F1043" s="1135"/>
      <c r="G1043" s="1135"/>
      <c r="J1043" s="1135"/>
      <c r="K1043" s="1135"/>
      <c r="L1043" s="1135"/>
      <c r="M1043" s="1270" t="s">
        <v>2667</v>
      </c>
      <c r="N1043" s="1270">
        <f>+F1042*'01'!$O$15</f>
        <v>180886.15215797513</v>
      </c>
    </row>
    <row r="1044" spans="1:15" x14ac:dyDescent="0.2">
      <c r="A1044" s="1781" t="s">
        <v>2139</v>
      </c>
      <c r="B1044" s="1782"/>
      <c r="C1044" s="1782"/>
      <c r="D1044" s="1782"/>
      <c r="E1044" s="1782"/>
      <c r="F1044" s="1782"/>
      <c r="G1044" s="1782"/>
      <c r="H1044" s="1782"/>
      <c r="I1044" s="1782"/>
      <c r="J1044" s="1782"/>
      <c r="K1044" s="1782"/>
      <c r="L1044" s="1782"/>
      <c r="M1044" s="1782"/>
      <c r="N1044" s="1779"/>
    </row>
    <row r="1045" spans="1:15" x14ac:dyDescent="0.2">
      <c r="A1045" s="1778" t="s">
        <v>14</v>
      </c>
      <c r="B1045" s="1782"/>
      <c r="C1045" s="1782"/>
      <c r="D1045" s="1782"/>
      <c r="E1045" s="1782"/>
      <c r="F1045" s="1782"/>
      <c r="G1045" s="1779"/>
      <c r="H1045" s="1136" t="s">
        <v>15</v>
      </c>
      <c r="I1045" s="1783" t="s">
        <v>619</v>
      </c>
      <c r="J1045" s="1779"/>
      <c r="K1045" s="1783" t="s">
        <v>628</v>
      </c>
      <c r="L1045" s="1779"/>
      <c r="M1045" s="1783" t="s">
        <v>2140</v>
      </c>
      <c r="N1045" s="1779"/>
    </row>
    <row r="1046" spans="1:15" ht="13.5" customHeight="1" x14ac:dyDescent="0.2">
      <c r="A1046" s="1789" t="s">
        <v>1451</v>
      </c>
      <c r="B1046" s="1782"/>
      <c r="C1046" s="1782"/>
      <c r="D1046" s="1782"/>
      <c r="E1046" s="1782"/>
      <c r="F1046" s="1782"/>
      <c r="G1046" s="1779"/>
      <c r="H1046" s="1032" t="str">
        <f>IF(A1046="","",VLOOKUP(A1046,'10'!$C$6:$E$1152,2,FALSE))</f>
        <v>UND</v>
      </c>
      <c r="I1046" s="1785">
        <f>IF(A1046="","",VLOOKUP(A1046,'10'!$C$6:$E$1152,3,FALSE))</f>
        <v>30983</v>
      </c>
      <c r="J1046" s="1412"/>
      <c r="K1046" s="1794">
        <v>7.7700000000000005E-2</v>
      </c>
      <c r="L1046" s="1795"/>
      <c r="M1046" s="1780">
        <f>K1046*I1046</f>
        <v>2407.3791000000001</v>
      </c>
      <c r="N1046" s="1779"/>
    </row>
    <row r="1047" spans="1:15" ht="13.5" customHeight="1" x14ac:dyDescent="0.2">
      <c r="A1047" s="1789" t="s">
        <v>1735</v>
      </c>
      <c r="B1047" s="1782"/>
      <c r="C1047" s="1782"/>
      <c r="D1047" s="1782"/>
      <c r="E1047" s="1782"/>
      <c r="F1047" s="1782"/>
      <c r="G1047" s="1779"/>
      <c r="H1047" s="1032" t="str">
        <f>IF(A1047="","",VLOOKUP(A1047,'10'!$C$6:$E$1152,2,FALSE))</f>
        <v>UND</v>
      </c>
      <c r="I1047" s="1785">
        <f>IF(A1047="","",VLOOKUP(A1047,'10'!$C$6:$E$1152,3,FALSE))</f>
        <v>65913</v>
      </c>
      <c r="J1047" s="1412"/>
      <c r="K1047" s="1794">
        <v>2.8000000000000001E-2</v>
      </c>
      <c r="L1047" s="1795"/>
      <c r="M1047" s="1780">
        <f>K1047*I1047</f>
        <v>1845.5640000000001</v>
      </c>
      <c r="N1047" s="1779"/>
    </row>
    <row r="1048" spans="1:15" ht="13.5" x14ac:dyDescent="0.2">
      <c r="A1048" s="1792" t="s">
        <v>1467</v>
      </c>
      <c r="B1048" s="1782"/>
      <c r="C1048" s="1782"/>
      <c r="D1048" s="1782"/>
      <c r="E1048" s="1782"/>
      <c r="F1048" s="1782"/>
      <c r="G1048" s="1779"/>
      <c r="H1048" s="1032" t="str">
        <f>IF(A1048="","",VLOOKUP(A1048,'10'!$C$6:$E$1152,2,FALSE))</f>
        <v>ML</v>
      </c>
      <c r="I1048" s="1785">
        <f>IF(A1048="","",VLOOKUP(A1048,'10'!$C$6:$E$1152,3,FALSE))</f>
        <v>121366</v>
      </c>
      <c r="J1048" s="1412"/>
      <c r="K1048" s="1787">
        <v>1.05</v>
      </c>
      <c r="L1048" s="1779"/>
      <c r="M1048" s="1780">
        <f t="shared" ref="M1048" si="47">K1048*I1048</f>
        <v>127434.3</v>
      </c>
      <c r="N1048" s="1779"/>
      <c r="O1048" s="799"/>
    </row>
    <row r="1049" spans="1:15" ht="13.5" x14ac:dyDescent="0.2">
      <c r="A1049" s="1789"/>
      <c r="B1049" s="1782"/>
      <c r="C1049" s="1782"/>
      <c r="D1049" s="1782"/>
      <c r="E1049" s="1782"/>
      <c r="F1049" s="1782"/>
      <c r="G1049" s="1779"/>
      <c r="H1049" s="1032" t="str">
        <f>IF(A1049="","",VLOOKUP(A1049,'10'!$C$6:$E$1152,2,FALSE))</f>
        <v/>
      </c>
      <c r="I1049" s="1785" t="str">
        <f>IF(A1049="","",VLOOKUP(A1049,'10'!$C$6:$E$1152,3,FALSE))</f>
        <v/>
      </c>
      <c r="J1049" s="1412"/>
      <c r="K1049" s="1787"/>
      <c r="L1049" s="1779"/>
      <c r="M1049" s="1780"/>
      <c r="N1049" s="1779"/>
    </row>
    <row r="1050" spans="1:15" ht="13.5" x14ac:dyDescent="0.2">
      <c r="A1050" s="1789"/>
      <c r="B1050" s="1782"/>
      <c r="C1050" s="1782"/>
      <c r="D1050" s="1782"/>
      <c r="E1050" s="1782"/>
      <c r="F1050" s="1782"/>
      <c r="G1050" s="1779"/>
      <c r="H1050" s="1032" t="str">
        <f>IF(A1050="","",VLOOKUP(A1050,'10'!$C$6:$E$1152,2,FALSE))</f>
        <v/>
      </c>
      <c r="I1050" s="1785" t="str">
        <f>IF(A1050="","",VLOOKUP(A1050,'10'!$C$6:$E$1152,3,FALSE))</f>
        <v/>
      </c>
      <c r="J1050" s="1412"/>
      <c r="K1050" s="1787"/>
      <c r="L1050" s="1779"/>
      <c r="M1050" s="1780"/>
      <c r="N1050" s="1779"/>
    </row>
    <row r="1051" spans="1:15" ht="13.5" x14ac:dyDescent="0.25">
      <c r="A1051" s="1138"/>
      <c r="B1051" s="1138"/>
      <c r="C1051" s="1138"/>
      <c r="D1051" s="1138"/>
      <c r="E1051" s="1138"/>
      <c r="F1051" s="1138"/>
      <c r="G1051" s="1138"/>
      <c r="H1051" s="1138"/>
      <c r="I1051" s="1138"/>
      <c r="J1051" s="1138"/>
      <c r="K1051" s="1778" t="s">
        <v>523</v>
      </c>
      <c r="L1051" s="1779"/>
      <c r="M1051" s="1780">
        <f>SUM(M1046:N1050)</f>
        <v>131687.24309999999</v>
      </c>
      <c r="N1051" s="1779"/>
    </row>
    <row r="1052" spans="1:15" ht="13.5" x14ac:dyDescent="0.25">
      <c r="A1052" s="1138"/>
      <c r="B1052" s="1138"/>
      <c r="C1052" s="1138"/>
      <c r="D1052" s="1138"/>
      <c r="E1052" s="1138"/>
      <c r="F1052" s="1138"/>
      <c r="G1052" s="1138"/>
      <c r="H1052" s="1138"/>
      <c r="I1052" s="1138"/>
      <c r="J1052" s="1138"/>
      <c r="K1052" s="1138"/>
      <c r="L1052" s="1138"/>
      <c r="M1052" s="1138"/>
      <c r="N1052" s="1138"/>
    </row>
    <row r="1053" spans="1:15" x14ac:dyDescent="0.2">
      <c r="A1053" s="1781" t="s">
        <v>2145</v>
      </c>
      <c r="B1053" s="1782"/>
      <c r="C1053" s="1782"/>
      <c r="D1053" s="1782"/>
      <c r="E1053" s="1782"/>
      <c r="F1053" s="1782"/>
      <c r="G1053" s="1782"/>
      <c r="H1053" s="1782"/>
      <c r="I1053" s="1782"/>
      <c r="J1053" s="1782"/>
      <c r="K1053" s="1782"/>
      <c r="L1053" s="1782"/>
      <c r="M1053" s="1782"/>
      <c r="N1053" s="1779"/>
    </row>
    <row r="1054" spans="1:15" x14ac:dyDescent="0.2">
      <c r="A1054" s="1778" t="s">
        <v>14</v>
      </c>
      <c r="B1054" s="1782"/>
      <c r="C1054" s="1782"/>
      <c r="D1054" s="1782"/>
      <c r="E1054" s="1782"/>
      <c r="F1054" s="1782"/>
      <c r="G1054" s="1779"/>
      <c r="H1054" s="1136" t="s">
        <v>15</v>
      </c>
      <c r="I1054" s="1783" t="s">
        <v>619</v>
      </c>
      <c r="J1054" s="1779"/>
      <c r="K1054" s="1783" t="s">
        <v>610</v>
      </c>
      <c r="L1054" s="1779"/>
      <c r="M1054" s="1783" t="s">
        <v>2140</v>
      </c>
      <c r="N1054" s="1779"/>
    </row>
    <row r="1055" spans="1:15" ht="13.5" x14ac:dyDescent="0.2">
      <c r="A1055" s="1789" t="s">
        <v>131</v>
      </c>
      <c r="B1055" s="1790"/>
      <c r="C1055" s="1790"/>
      <c r="D1055" s="1790"/>
      <c r="E1055" s="1790"/>
      <c r="F1055" s="1790"/>
      <c r="G1055" s="1791"/>
      <c r="H1055" s="1032" t="str">
        <f>IF(A1055="","",VLOOKUP(A1055,'11'!$C$6:$E$87,2,FALSE))</f>
        <v>DIA</v>
      </c>
      <c r="I1055" s="1785">
        <f>IF(A1055="","",VLOOKUP(A1055,'11'!$C$6:$E$87,3,FALSE))</f>
        <v>15000</v>
      </c>
      <c r="J1055" s="1412"/>
      <c r="K1055" s="1787">
        <v>30</v>
      </c>
      <c r="L1055" s="1793"/>
      <c r="M1055" s="1780">
        <f>I1055/K1055</f>
        <v>500</v>
      </c>
      <c r="N1055" s="1779"/>
    </row>
    <row r="1056" spans="1:15" ht="13.5" x14ac:dyDescent="0.2">
      <c r="A1056" s="1802"/>
      <c r="B1056" s="1782"/>
      <c r="C1056" s="1782"/>
      <c r="D1056" s="1782"/>
      <c r="E1056" s="1782"/>
      <c r="F1056" s="1782"/>
      <c r="G1056" s="1779"/>
      <c r="H1056" s="1137"/>
      <c r="I1056" s="1780"/>
      <c r="J1056" s="1779"/>
      <c r="K1056" s="1794"/>
      <c r="L1056" s="1779"/>
      <c r="M1056" s="1780"/>
      <c r="N1056" s="1779"/>
    </row>
    <row r="1057" spans="1:14" ht="13.5" x14ac:dyDescent="0.2">
      <c r="A1057" s="1789"/>
      <c r="B1057" s="1782"/>
      <c r="C1057" s="1782"/>
      <c r="D1057" s="1782"/>
      <c r="E1057" s="1782"/>
      <c r="F1057" s="1782"/>
      <c r="G1057" s="1779"/>
      <c r="H1057" s="1137"/>
      <c r="I1057" s="1780"/>
      <c r="J1057" s="1779"/>
      <c r="K1057" s="1787"/>
      <c r="L1057" s="1779"/>
      <c r="M1057" s="1780"/>
      <c r="N1057" s="1779"/>
    </row>
    <row r="1058" spans="1:14" ht="13.5" x14ac:dyDescent="0.2">
      <c r="A1058" s="1789"/>
      <c r="B1058" s="1782"/>
      <c r="C1058" s="1782"/>
      <c r="D1058" s="1782"/>
      <c r="E1058" s="1782"/>
      <c r="F1058" s="1782"/>
      <c r="G1058" s="1779"/>
      <c r="H1058" s="1137"/>
      <c r="I1058" s="1780"/>
      <c r="J1058" s="1779"/>
      <c r="K1058" s="1787"/>
      <c r="L1058" s="1779"/>
      <c r="M1058" s="1780"/>
      <c r="N1058" s="1779"/>
    </row>
    <row r="1059" spans="1:14" ht="13.5" x14ac:dyDescent="0.2">
      <c r="A1059" s="1789"/>
      <c r="B1059" s="1782"/>
      <c r="C1059" s="1782"/>
      <c r="D1059" s="1782"/>
      <c r="E1059" s="1782"/>
      <c r="F1059" s="1782"/>
      <c r="G1059" s="1779"/>
      <c r="H1059" s="1137"/>
      <c r="I1059" s="1780"/>
      <c r="J1059" s="1779"/>
      <c r="K1059" s="1787"/>
      <c r="L1059" s="1779"/>
      <c r="M1059" s="1780"/>
      <c r="N1059" s="1779"/>
    </row>
    <row r="1060" spans="1:14" ht="13.5" x14ac:dyDescent="0.25">
      <c r="A1060" s="1138"/>
      <c r="B1060" s="1138"/>
      <c r="C1060" s="1138"/>
      <c r="D1060" s="1138"/>
      <c r="E1060" s="1138"/>
      <c r="F1060" s="1138"/>
      <c r="G1060" s="1138"/>
      <c r="H1060" s="1138"/>
      <c r="I1060" s="1138"/>
      <c r="J1060" s="1138"/>
      <c r="K1060" s="1778" t="s">
        <v>523</v>
      </c>
      <c r="L1060" s="1779"/>
      <c r="M1060" s="1780">
        <f>SUM(M1055:N1059)</f>
        <v>500</v>
      </c>
      <c r="N1060" s="1779"/>
    </row>
    <row r="1061" spans="1:14" ht="13.5" x14ac:dyDescent="0.25">
      <c r="A1061" s="1138"/>
      <c r="B1061" s="1138"/>
      <c r="C1061" s="1138"/>
      <c r="D1061" s="1138"/>
      <c r="E1061" s="1138"/>
      <c r="F1061" s="1138"/>
      <c r="G1061" s="1138"/>
      <c r="H1061" s="1138"/>
      <c r="I1061" s="1138"/>
      <c r="J1061" s="1138"/>
      <c r="K1061" s="1138"/>
      <c r="L1061" s="1138"/>
      <c r="M1061" s="1138"/>
      <c r="N1061" s="1138"/>
    </row>
    <row r="1062" spans="1:14" x14ac:dyDescent="0.2">
      <c r="A1062" s="1781" t="s">
        <v>2147</v>
      </c>
      <c r="B1062" s="1782"/>
      <c r="C1062" s="1782"/>
      <c r="D1062" s="1782"/>
      <c r="E1062" s="1782"/>
      <c r="F1062" s="1782"/>
      <c r="G1062" s="1782"/>
      <c r="H1062" s="1782"/>
      <c r="I1062" s="1782"/>
      <c r="J1062" s="1782"/>
      <c r="K1062" s="1782"/>
      <c r="L1062" s="1782"/>
      <c r="M1062" s="1782"/>
      <c r="N1062" s="1779"/>
    </row>
    <row r="1063" spans="1:14" x14ac:dyDescent="0.2">
      <c r="A1063" s="1778" t="s">
        <v>14</v>
      </c>
      <c r="B1063" s="1782"/>
      <c r="C1063" s="1782"/>
      <c r="D1063" s="1782"/>
      <c r="E1063" s="1782"/>
      <c r="F1063" s="1782"/>
      <c r="G1063" s="1779"/>
      <c r="H1063" s="1136" t="s">
        <v>15</v>
      </c>
      <c r="I1063" s="1783" t="s">
        <v>619</v>
      </c>
      <c r="J1063" s="1779"/>
      <c r="K1063" s="1783" t="s">
        <v>628</v>
      </c>
      <c r="L1063" s="1779"/>
      <c r="M1063" s="1783" t="s">
        <v>2140</v>
      </c>
      <c r="N1063" s="1779"/>
    </row>
    <row r="1064" spans="1:14" ht="13.5" x14ac:dyDescent="0.2">
      <c r="A1064" s="1792" t="s">
        <v>2328</v>
      </c>
      <c r="B1064" s="1782"/>
      <c r="C1064" s="1782"/>
      <c r="D1064" s="1782"/>
      <c r="E1064" s="1782"/>
      <c r="F1064" s="1782"/>
      <c r="G1064" s="1779"/>
      <c r="H1064" s="1032" t="str">
        <f>IF(A1064="","",VLOOKUP(A1064,'11'!$C$6:$E$1012,2,FALSE))</f>
        <v>KM-M3</v>
      </c>
      <c r="I1064" s="1785">
        <f>IF(A1064="","",VLOOKUP(A1064,'11'!$C$6:$E$1012,3,FALSE))</f>
        <v>1440</v>
      </c>
      <c r="J1064" s="1412"/>
      <c r="K1064" s="1787">
        <v>0.1</v>
      </c>
      <c r="L1064" s="1793"/>
      <c r="M1064" s="1780">
        <f t="shared" ref="M1064" si="48">IF(A1064="","",I1064*K1064)</f>
        <v>144</v>
      </c>
      <c r="N1064" s="1779"/>
    </row>
    <row r="1065" spans="1:14" ht="13.5" x14ac:dyDescent="0.2">
      <c r="A1065" s="1786"/>
      <c r="B1065" s="1782"/>
      <c r="C1065" s="1782"/>
      <c r="D1065" s="1782"/>
      <c r="E1065" s="1782"/>
      <c r="F1065" s="1782"/>
      <c r="G1065" s="1779"/>
      <c r="H1065" s="1032"/>
      <c r="I1065" s="1780"/>
      <c r="J1065" s="1779"/>
      <c r="K1065" s="1787"/>
      <c r="L1065" s="1779"/>
      <c r="M1065" s="1780"/>
      <c r="N1065" s="1779"/>
    </row>
    <row r="1066" spans="1:14" ht="13.5" x14ac:dyDescent="0.2">
      <c r="A1066" s="1786"/>
      <c r="B1066" s="1782"/>
      <c r="C1066" s="1782"/>
      <c r="D1066" s="1782"/>
      <c r="E1066" s="1782"/>
      <c r="F1066" s="1782"/>
      <c r="G1066" s="1779"/>
      <c r="H1066" s="1032"/>
      <c r="I1066" s="1780"/>
      <c r="J1066" s="1779"/>
      <c r="K1066" s="1788"/>
      <c r="L1066" s="1779"/>
      <c r="M1066" s="1780"/>
      <c r="N1066" s="1779"/>
    </row>
    <row r="1067" spans="1:14" ht="13.5" x14ac:dyDescent="0.2">
      <c r="A1067" s="1789"/>
      <c r="B1067" s="1782"/>
      <c r="C1067" s="1782"/>
      <c r="D1067" s="1782"/>
      <c r="E1067" s="1782"/>
      <c r="F1067" s="1782"/>
      <c r="G1067" s="1779"/>
      <c r="H1067" s="1137"/>
      <c r="I1067" s="1780"/>
      <c r="J1067" s="1779"/>
      <c r="K1067" s="1787"/>
      <c r="L1067" s="1779"/>
      <c r="M1067" s="1780"/>
      <c r="N1067" s="1779"/>
    </row>
    <row r="1068" spans="1:14" ht="13.5" x14ac:dyDescent="0.2">
      <c r="A1068" s="1789"/>
      <c r="B1068" s="1782"/>
      <c r="C1068" s="1782"/>
      <c r="D1068" s="1782"/>
      <c r="E1068" s="1782"/>
      <c r="F1068" s="1782"/>
      <c r="G1068" s="1779"/>
      <c r="H1068" s="1137"/>
      <c r="I1068" s="1780"/>
      <c r="J1068" s="1779"/>
      <c r="K1068" s="1787"/>
      <c r="L1068" s="1779"/>
      <c r="M1068" s="1780"/>
      <c r="N1068" s="1779"/>
    </row>
    <row r="1069" spans="1:14" ht="13.5" x14ac:dyDescent="0.25">
      <c r="A1069" s="1138"/>
      <c r="B1069" s="1138"/>
      <c r="C1069" s="1138"/>
      <c r="D1069" s="1138"/>
      <c r="E1069" s="1138"/>
      <c r="F1069" s="1138"/>
      <c r="G1069" s="1138"/>
      <c r="H1069" s="1138"/>
      <c r="I1069" s="1138"/>
      <c r="J1069" s="1138"/>
      <c r="K1069" s="1778" t="s">
        <v>523</v>
      </c>
      <c r="L1069" s="1779"/>
      <c r="M1069" s="1780">
        <f>SUM(M1064:N1068)</f>
        <v>144</v>
      </c>
      <c r="N1069" s="1779"/>
    </row>
    <row r="1070" spans="1:14" ht="13.5" x14ac:dyDescent="0.25">
      <c r="A1070" s="1138"/>
      <c r="B1070" s="1138"/>
      <c r="C1070" s="1138"/>
      <c r="D1070" s="1138"/>
      <c r="E1070" s="1138"/>
      <c r="F1070" s="1138"/>
      <c r="G1070" s="1138"/>
      <c r="H1070" s="1138"/>
      <c r="I1070" s="1138"/>
      <c r="J1070" s="1138"/>
      <c r="K1070" s="1138"/>
      <c r="L1070" s="1138"/>
      <c r="M1070" s="1138"/>
      <c r="N1070" s="1138"/>
    </row>
    <row r="1071" spans="1:14" x14ac:dyDescent="0.2">
      <c r="A1071" s="1781" t="s">
        <v>2150</v>
      </c>
      <c r="B1071" s="1782"/>
      <c r="C1071" s="1782"/>
      <c r="D1071" s="1782"/>
      <c r="E1071" s="1782"/>
      <c r="F1071" s="1782"/>
      <c r="G1071" s="1782"/>
      <c r="H1071" s="1782"/>
      <c r="I1071" s="1782"/>
      <c r="J1071" s="1782"/>
      <c r="K1071" s="1782"/>
      <c r="L1071" s="1782"/>
      <c r="M1071" s="1782"/>
      <c r="N1071" s="1779"/>
    </row>
    <row r="1072" spans="1:14" x14ac:dyDescent="0.2">
      <c r="A1072" s="1778" t="s">
        <v>14</v>
      </c>
      <c r="B1072" s="1782"/>
      <c r="C1072" s="1782"/>
      <c r="D1072" s="1782"/>
      <c r="E1072" s="1782"/>
      <c r="F1072" s="1782"/>
      <c r="G1072" s="1779"/>
      <c r="H1072" s="1136" t="s">
        <v>15</v>
      </c>
      <c r="I1072" s="1783" t="s">
        <v>619</v>
      </c>
      <c r="J1072" s="1779"/>
      <c r="K1072" s="1139" t="s">
        <v>1919</v>
      </c>
      <c r="L1072" s="1140" t="s">
        <v>2151</v>
      </c>
      <c r="M1072" s="1783" t="s">
        <v>2140</v>
      </c>
      <c r="N1072" s="1779"/>
    </row>
    <row r="1073" spans="1:14" ht="13.5" x14ac:dyDescent="0.25">
      <c r="A1073" s="1784" t="s">
        <v>2168</v>
      </c>
      <c r="B1073" s="1782"/>
      <c r="C1073" s="1782"/>
      <c r="D1073" s="1782"/>
      <c r="E1073" s="1782"/>
      <c r="F1073" s="1782"/>
      <c r="G1073" s="1779"/>
      <c r="H1073" s="1032" t="str">
        <f>IF(A1073="","",VLOOKUP(A1073,'09'!$A$22:$O$168,4,FALSE))</f>
        <v>Cuadrilla</v>
      </c>
      <c r="I1073" s="1785">
        <f>IF(A1073="","",VLOOKUP(A1073,'09'!$A$22:$O$168,5,FALSE))</f>
        <v>204272</v>
      </c>
      <c r="J1073" s="1412"/>
      <c r="K1073" s="1034">
        <f>IF(A1073="","",'03'!$I$2)</f>
        <v>1.88995</v>
      </c>
      <c r="L1073" s="1142">
        <v>6.5</v>
      </c>
      <c r="M1073" s="1780">
        <f>I1073*K1073/(L1073*8)</f>
        <v>7424.3051230769233</v>
      </c>
      <c r="N1073" s="1779"/>
    </row>
    <row r="1074" spans="1:14" ht="13.5" x14ac:dyDescent="0.25">
      <c r="A1074" s="1784"/>
      <c r="B1074" s="1782"/>
      <c r="C1074" s="1782"/>
      <c r="D1074" s="1782"/>
      <c r="E1074" s="1782"/>
      <c r="F1074" s="1782"/>
      <c r="G1074" s="1779"/>
      <c r="H1074" s="1137"/>
      <c r="I1074" s="1780"/>
      <c r="J1074" s="1779"/>
      <c r="K1074" s="1141"/>
      <c r="L1074" s="1141"/>
      <c r="M1074" s="1780"/>
      <c r="N1074" s="1779"/>
    </row>
    <row r="1075" spans="1:14" ht="13.5" x14ac:dyDescent="0.25">
      <c r="A1075" s="1784"/>
      <c r="B1075" s="1782"/>
      <c r="C1075" s="1782"/>
      <c r="D1075" s="1782"/>
      <c r="E1075" s="1782"/>
      <c r="F1075" s="1782"/>
      <c r="G1075" s="1779"/>
      <c r="H1075" s="1137"/>
      <c r="I1075" s="1780"/>
      <c r="J1075" s="1779"/>
      <c r="K1075" s="1141"/>
      <c r="L1075" s="1143"/>
      <c r="M1075" s="1780"/>
      <c r="N1075" s="1779"/>
    </row>
    <row r="1076" spans="1:14" ht="13.5" x14ac:dyDescent="0.25">
      <c r="A1076" s="1784"/>
      <c r="B1076" s="1782"/>
      <c r="C1076" s="1782"/>
      <c r="D1076" s="1782"/>
      <c r="E1076" s="1782"/>
      <c r="F1076" s="1782"/>
      <c r="G1076" s="1779"/>
      <c r="H1076" s="1137"/>
      <c r="I1076" s="1780"/>
      <c r="J1076" s="1779"/>
      <c r="K1076" s="1141"/>
      <c r="L1076" s="1143"/>
      <c r="M1076" s="1780"/>
      <c r="N1076" s="1779"/>
    </row>
    <row r="1077" spans="1:14" ht="13.5" x14ac:dyDescent="0.25">
      <c r="A1077" s="1784"/>
      <c r="B1077" s="1782"/>
      <c r="C1077" s="1782"/>
      <c r="D1077" s="1782"/>
      <c r="E1077" s="1782"/>
      <c r="F1077" s="1782"/>
      <c r="G1077" s="1779"/>
      <c r="H1077" s="1137"/>
      <c r="I1077" s="1780"/>
      <c r="J1077" s="1779"/>
      <c r="K1077" s="1141"/>
      <c r="L1077" s="1143"/>
      <c r="M1077" s="1780"/>
      <c r="N1077" s="1779"/>
    </row>
    <row r="1078" spans="1:14" ht="13.5" x14ac:dyDescent="0.25">
      <c r="A1078" s="1138"/>
      <c r="B1078" s="1138"/>
      <c r="C1078" s="1138"/>
      <c r="D1078" s="1138"/>
      <c r="E1078" s="1138"/>
      <c r="F1078" s="1138"/>
      <c r="G1078" s="1138"/>
      <c r="H1078" s="1138"/>
      <c r="I1078" s="1138"/>
      <c r="J1078" s="1138"/>
      <c r="K1078" s="1778" t="s">
        <v>523</v>
      </c>
      <c r="L1078" s="1779"/>
      <c r="M1078" s="1780">
        <f>SUM(M1073:N1077)</f>
        <v>7424.3051230769233</v>
      </c>
      <c r="N1078" s="1779"/>
    </row>
    <row r="1079" spans="1:14" x14ac:dyDescent="0.2">
      <c r="I1079" s="1414"/>
      <c r="J1079" s="1415"/>
      <c r="K1079" s="1415"/>
      <c r="L1079" s="1415"/>
      <c r="M1079" s="1415"/>
      <c r="N1079" s="1415"/>
    </row>
    <row r="1080" spans="1:14" ht="13.5" thickBot="1" x14ac:dyDescent="0.25">
      <c r="I1080" s="1416"/>
      <c r="J1080" s="1416"/>
      <c r="K1080" s="1416"/>
      <c r="L1080" s="1416"/>
      <c r="M1080" s="1416"/>
      <c r="N1080" s="1416"/>
    </row>
    <row r="1081" spans="1:14" ht="14.25" thickTop="1" x14ac:dyDescent="0.2">
      <c r="I1081" s="1417" t="s">
        <v>1829</v>
      </c>
      <c r="J1081" s="1418"/>
      <c r="K1081" s="1417" t="s">
        <v>2653</v>
      </c>
      <c r="L1081" s="1418"/>
      <c r="M1081" s="1418"/>
      <c r="N1081" s="1418"/>
    </row>
    <row r="1082" spans="1:14" ht="13.5" x14ac:dyDescent="0.2">
      <c r="I1082" s="1419" t="s">
        <v>1831</v>
      </c>
      <c r="J1082" s="1420"/>
      <c r="K1082" s="1419"/>
      <c r="L1082" s="1420"/>
      <c r="M1082" s="1420"/>
      <c r="N1082" s="1420"/>
    </row>
    <row r="1083" spans="1:14" x14ac:dyDescent="0.2">
      <c r="A1083" s="1803" t="s">
        <v>2312</v>
      </c>
      <c r="B1083" s="1804"/>
      <c r="C1083" s="1804"/>
      <c r="D1083" s="1804"/>
      <c r="E1083" s="1804"/>
      <c r="F1083" s="1804"/>
      <c r="G1083" s="1804"/>
      <c r="H1083" s="1804"/>
      <c r="I1083" s="1804"/>
      <c r="J1083" s="1804"/>
      <c r="K1083" s="1804"/>
      <c r="L1083" s="1804"/>
      <c r="M1083" s="1804"/>
      <c r="N1083" s="1805"/>
    </row>
    <row r="1084" spans="1:14" x14ac:dyDescent="0.2">
      <c r="A1084" s="1806"/>
      <c r="B1084" s="1807"/>
      <c r="C1084" s="1807"/>
      <c r="D1084" s="1807"/>
      <c r="E1084" s="1807"/>
      <c r="F1084" s="1807"/>
      <c r="G1084" s="1807"/>
      <c r="H1084" s="1807"/>
      <c r="I1084" s="1807"/>
      <c r="J1084" s="1807"/>
      <c r="K1084" s="1807"/>
      <c r="L1084" s="1807"/>
      <c r="M1084" s="1807"/>
      <c r="N1084" s="1808"/>
    </row>
    <row r="1085" spans="1:14" ht="13.5" x14ac:dyDescent="0.2">
      <c r="A1085" s="1128"/>
      <c r="B1085" s="1128"/>
      <c r="C1085" s="1128"/>
      <c r="D1085" s="1128"/>
      <c r="E1085" s="1128"/>
      <c r="F1085" s="1128"/>
      <c r="G1085" s="1128"/>
      <c r="H1085" s="1128"/>
      <c r="I1085" s="1128"/>
      <c r="J1085" s="1128"/>
      <c r="K1085" s="1128"/>
      <c r="L1085" s="1128"/>
      <c r="M1085" s="1128"/>
      <c r="N1085" s="1128"/>
    </row>
    <row r="1086" spans="1:14" ht="14.25" x14ac:dyDescent="0.3">
      <c r="A1086" s="1104" t="s">
        <v>2345</v>
      </c>
      <c r="B1086" s="1129" t="str">
        <f>A1083</f>
        <v>SUMINISTRO E INSTALACION PASAMURO HD 3" BXB=0,75M Z=0.375 M.</v>
      </c>
      <c r="C1086" s="1130" t="s">
        <v>634</v>
      </c>
      <c r="D1086" s="1107" t="s">
        <v>2</v>
      </c>
      <c r="E1086" s="1132" t="s">
        <v>1833</v>
      </c>
      <c r="F1086" s="1133">
        <f>H1086+J1086+L1086+N1086</f>
        <v>477168.098</v>
      </c>
      <c r="G1086" s="1132" t="s">
        <v>2136</v>
      </c>
      <c r="H1086" s="1133">
        <f>M1104</f>
        <v>3750</v>
      </c>
      <c r="I1086" s="1132" t="s">
        <v>621</v>
      </c>
      <c r="J1086" s="1134">
        <f>M1095</f>
        <v>416500</v>
      </c>
      <c r="K1086" s="1132" t="s">
        <v>2137</v>
      </c>
      <c r="L1086" s="1133">
        <f>M1113</f>
        <v>144</v>
      </c>
      <c r="M1086" s="1132" t="s">
        <v>2138</v>
      </c>
      <c r="N1086" s="1133">
        <f>M1122</f>
        <v>56774.097999999998</v>
      </c>
    </row>
    <row r="1087" spans="1:14" ht="13.5" x14ac:dyDescent="0.25">
      <c r="A1087" s="1135"/>
      <c r="B1087" s="1135"/>
      <c r="C1087" s="1135"/>
      <c r="D1087" s="1135"/>
      <c r="E1087" s="1135"/>
      <c r="F1087" s="1135"/>
      <c r="G1087" s="1135"/>
      <c r="J1087" s="1135"/>
      <c r="K1087" s="1135"/>
      <c r="L1087" s="1135"/>
      <c r="M1087" s="1270" t="s">
        <v>2667</v>
      </c>
      <c r="N1087" s="1270">
        <f>+F1086*'01'!$O$15</f>
        <v>617600.53376905771</v>
      </c>
    </row>
    <row r="1088" spans="1:14" x14ac:dyDescent="0.2">
      <c r="A1088" s="1781" t="s">
        <v>2139</v>
      </c>
      <c r="B1088" s="1782"/>
      <c r="C1088" s="1782"/>
      <c r="D1088" s="1782"/>
      <c r="E1088" s="1782"/>
      <c r="F1088" s="1782"/>
      <c r="G1088" s="1782"/>
      <c r="H1088" s="1782"/>
      <c r="I1088" s="1782"/>
      <c r="J1088" s="1782"/>
      <c r="K1088" s="1782"/>
      <c r="L1088" s="1782"/>
      <c r="M1088" s="1782"/>
      <c r="N1088" s="1779"/>
    </row>
    <row r="1089" spans="1:15" x14ac:dyDescent="0.2">
      <c r="A1089" s="1778" t="s">
        <v>14</v>
      </c>
      <c r="B1089" s="1782"/>
      <c r="C1089" s="1782"/>
      <c r="D1089" s="1782"/>
      <c r="E1089" s="1782"/>
      <c r="F1089" s="1782"/>
      <c r="G1089" s="1779"/>
      <c r="H1089" s="1136" t="s">
        <v>15</v>
      </c>
      <c r="I1089" s="1783" t="s">
        <v>619</v>
      </c>
      <c r="J1089" s="1779"/>
      <c r="K1089" s="1783" t="s">
        <v>628</v>
      </c>
      <c r="L1089" s="1779"/>
      <c r="M1089" s="1783" t="s">
        <v>2140</v>
      </c>
      <c r="N1089" s="1779"/>
    </row>
    <row r="1090" spans="1:15" ht="13.5" customHeight="1" x14ac:dyDescent="0.2">
      <c r="A1090" s="1792" t="s">
        <v>1123</v>
      </c>
      <c r="B1090" s="1782"/>
      <c r="C1090" s="1782"/>
      <c r="D1090" s="1782"/>
      <c r="E1090" s="1782"/>
      <c r="F1090" s="1782"/>
      <c r="G1090" s="1779"/>
      <c r="H1090" s="1032" t="str">
        <f>IF(A1090="","",VLOOKUP(A1090,'10'!$C$6:$E$1152,2,FALSE))</f>
        <v>UND</v>
      </c>
      <c r="I1090" s="1785">
        <f>IF(A1090="","",VLOOKUP(A1090,'10'!$C$6:$E$1152,3,FALSE))</f>
        <v>416500</v>
      </c>
      <c r="J1090" s="1412"/>
      <c r="K1090" s="1794">
        <v>1</v>
      </c>
      <c r="L1090" s="1795"/>
      <c r="M1090" s="1780">
        <f>K1090*I1090</f>
        <v>416500</v>
      </c>
      <c r="N1090" s="1779"/>
    </row>
    <row r="1091" spans="1:15" ht="13.5" customHeight="1" x14ac:dyDescent="0.2">
      <c r="A1091" s="1789"/>
      <c r="B1091" s="1782"/>
      <c r="C1091" s="1782"/>
      <c r="D1091" s="1782"/>
      <c r="E1091" s="1782"/>
      <c r="F1091" s="1782"/>
      <c r="G1091" s="1779"/>
      <c r="H1091" s="1032" t="str">
        <f>IF(A1091="","",VLOOKUP(A1091,'10'!$C$6:$E$1152,2,FALSE))</f>
        <v/>
      </c>
      <c r="I1091" s="1785" t="str">
        <f>IF(A1091="","",VLOOKUP(A1091,'10'!$C$6:$E$1152,3,FALSE))</f>
        <v/>
      </c>
      <c r="J1091" s="1412"/>
      <c r="K1091" s="1794"/>
      <c r="L1091" s="1795"/>
      <c r="M1091" s="1780"/>
      <c r="N1091" s="1779"/>
    </row>
    <row r="1092" spans="1:15" ht="13.5" x14ac:dyDescent="0.2">
      <c r="A1092" s="1792"/>
      <c r="B1092" s="1782"/>
      <c r="C1092" s="1782"/>
      <c r="D1092" s="1782"/>
      <c r="E1092" s="1782"/>
      <c r="F1092" s="1782"/>
      <c r="G1092" s="1779"/>
      <c r="H1092" s="1032" t="str">
        <f>IF(A1092="","",VLOOKUP(A1092,'10'!$C$6:$E$1152,2,FALSE))</f>
        <v/>
      </c>
      <c r="I1092" s="1785" t="str">
        <f>IF(A1092="","",VLOOKUP(A1092,'10'!$C$6:$E$1152,3,FALSE))</f>
        <v/>
      </c>
      <c r="J1092" s="1412"/>
      <c r="K1092" s="1787"/>
      <c r="L1092" s="1779"/>
      <c r="M1092" s="1780"/>
      <c r="N1092" s="1779"/>
      <c r="O1092" s="799"/>
    </row>
    <row r="1093" spans="1:15" ht="13.5" x14ac:dyDescent="0.2">
      <c r="A1093" s="1789"/>
      <c r="B1093" s="1782"/>
      <c r="C1093" s="1782"/>
      <c r="D1093" s="1782"/>
      <c r="E1093" s="1782"/>
      <c r="F1093" s="1782"/>
      <c r="G1093" s="1779"/>
      <c r="H1093" s="1032" t="str">
        <f>IF(A1093="","",VLOOKUP(A1093,'10'!$C$6:$E$1152,2,FALSE))</f>
        <v/>
      </c>
      <c r="I1093" s="1785" t="str">
        <f>IF(A1093="","",VLOOKUP(A1093,'10'!$C$6:$E$1152,3,FALSE))</f>
        <v/>
      </c>
      <c r="J1093" s="1412"/>
      <c r="K1093" s="1787"/>
      <c r="L1093" s="1779"/>
      <c r="M1093" s="1780"/>
      <c r="N1093" s="1779"/>
    </row>
    <row r="1094" spans="1:15" ht="13.5" x14ac:dyDescent="0.2">
      <c r="A1094" s="1789"/>
      <c r="B1094" s="1782"/>
      <c r="C1094" s="1782"/>
      <c r="D1094" s="1782"/>
      <c r="E1094" s="1782"/>
      <c r="F1094" s="1782"/>
      <c r="G1094" s="1779"/>
      <c r="H1094" s="1032" t="str">
        <f>IF(A1094="","",VLOOKUP(A1094,'10'!$C$6:$E$1152,2,FALSE))</f>
        <v/>
      </c>
      <c r="I1094" s="1785" t="str">
        <f>IF(A1094="","",VLOOKUP(A1094,'10'!$C$6:$E$1152,3,FALSE))</f>
        <v/>
      </c>
      <c r="J1094" s="1412"/>
      <c r="K1094" s="1787"/>
      <c r="L1094" s="1779"/>
      <c r="M1094" s="1780"/>
      <c r="N1094" s="1779"/>
    </row>
    <row r="1095" spans="1:15" ht="13.5" x14ac:dyDescent="0.25">
      <c r="A1095" s="1138"/>
      <c r="B1095" s="1138"/>
      <c r="C1095" s="1138"/>
      <c r="D1095" s="1138"/>
      <c r="E1095" s="1138"/>
      <c r="F1095" s="1138"/>
      <c r="G1095" s="1138"/>
      <c r="H1095" s="1138"/>
      <c r="I1095" s="1138"/>
      <c r="J1095" s="1138"/>
      <c r="K1095" s="1778" t="s">
        <v>523</v>
      </c>
      <c r="L1095" s="1779"/>
      <c r="M1095" s="1780">
        <f>SUM(M1090:N1094)</f>
        <v>416500</v>
      </c>
      <c r="N1095" s="1779"/>
    </row>
    <row r="1096" spans="1:15" ht="13.5" x14ac:dyDescent="0.25">
      <c r="A1096" s="1138"/>
      <c r="B1096" s="1138"/>
      <c r="C1096" s="1138"/>
      <c r="D1096" s="1138"/>
      <c r="E1096" s="1138"/>
      <c r="F1096" s="1138"/>
      <c r="G1096" s="1138"/>
      <c r="H1096" s="1138"/>
      <c r="I1096" s="1138"/>
      <c r="J1096" s="1138"/>
      <c r="K1096" s="1138"/>
      <c r="L1096" s="1138"/>
      <c r="M1096" s="1138"/>
      <c r="N1096" s="1138"/>
    </row>
    <row r="1097" spans="1:15" x14ac:dyDescent="0.2">
      <c r="A1097" s="1781" t="s">
        <v>2145</v>
      </c>
      <c r="B1097" s="1782"/>
      <c r="C1097" s="1782"/>
      <c r="D1097" s="1782"/>
      <c r="E1097" s="1782"/>
      <c r="F1097" s="1782"/>
      <c r="G1097" s="1782"/>
      <c r="H1097" s="1782"/>
      <c r="I1097" s="1782"/>
      <c r="J1097" s="1782"/>
      <c r="K1097" s="1782"/>
      <c r="L1097" s="1782"/>
      <c r="M1097" s="1782"/>
      <c r="N1097" s="1779"/>
    </row>
    <row r="1098" spans="1:15" x14ac:dyDescent="0.2">
      <c r="A1098" s="1778" t="s">
        <v>14</v>
      </c>
      <c r="B1098" s="1782"/>
      <c r="C1098" s="1782"/>
      <c r="D1098" s="1782"/>
      <c r="E1098" s="1782"/>
      <c r="F1098" s="1782"/>
      <c r="G1098" s="1779"/>
      <c r="H1098" s="1136" t="s">
        <v>15</v>
      </c>
      <c r="I1098" s="1783" t="s">
        <v>619</v>
      </c>
      <c r="J1098" s="1779"/>
      <c r="K1098" s="1783" t="s">
        <v>610</v>
      </c>
      <c r="L1098" s="1779"/>
      <c r="M1098" s="1783" t="s">
        <v>2140</v>
      </c>
      <c r="N1098" s="1779"/>
    </row>
    <row r="1099" spans="1:15" ht="13.5" x14ac:dyDescent="0.2">
      <c r="A1099" s="1789" t="s">
        <v>131</v>
      </c>
      <c r="B1099" s="1790"/>
      <c r="C1099" s="1790"/>
      <c r="D1099" s="1790"/>
      <c r="E1099" s="1790"/>
      <c r="F1099" s="1790"/>
      <c r="G1099" s="1791"/>
      <c r="H1099" s="1032" t="str">
        <f>IF(A1099="","",VLOOKUP(A1099,'11'!$C$6:$E$87,2,FALSE))</f>
        <v>DIA</v>
      </c>
      <c r="I1099" s="1785">
        <f>IF(A1099="","",VLOOKUP(A1099,'11'!$C$6:$E$87,3,FALSE))</f>
        <v>15000</v>
      </c>
      <c r="J1099" s="1412"/>
      <c r="K1099" s="1787">
        <v>4</v>
      </c>
      <c r="L1099" s="1793"/>
      <c r="M1099" s="1780">
        <f>I1099/K1099</f>
        <v>3750</v>
      </c>
      <c r="N1099" s="1779"/>
    </row>
    <row r="1100" spans="1:15" ht="13.5" x14ac:dyDescent="0.2">
      <c r="A1100" s="1802"/>
      <c r="B1100" s="1782"/>
      <c r="C1100" s="1782"/>
      <c r="D1100" s="1782"/>
      <c r="E1100" s="1782"/>
      <c r="F1100" s="1782"/>
      <c r="G1100" s="1779"/>
      <c r="H1100" s="1137"/>
      <c r="I1100" s="1780"/>
      <c r="J1100" s="1779"/>
      <c r="K1100" s="1794"/>
      <c r="L1100" s="1779"/>
      <c r="M1100" s="1780"/>
      <c r="N1100" s="1779"/>
    </row>
    <row r="1101" spans="1:15" ht="13.5" x14ac:dyDescent="0.2">
      <c r="A1101" s="1789"/>
      <c r="B1101" s="1782"/>
      <c r="C1101" s="1782"/>
      <c r="D1101" s="1782"/>
      <c r="E1101" s="1782"/>
      <c r="F1101" s="1782"/>
      <c r="G1101" s="1779"/>
      <c r="H1101" s="1137"/>
      <c r="I1101" s="1780"/>
      <c r="J1101" s="1779"/>
      <c r="K1101" s="1787"/>
      <c r="L1101" s="1779"/>
      <c r="M1101" s="1780"/>
      <c r="N1101" s="1779"/>
    </row>
    <row r="1102" spans="1:15" ht="13.5" x14ac:dyDescent="0.2">
      <c r="A1102" s="1789"/>
      <c r="B1102" s="1782"/>
      <c r="C1102" s="1782"/>
      <c r="D1102" s="1782"/>
      <c r="E1102" s="1782"/>
      <c r="F1102" s="1782"/>
      <c r="G1102" s="1779"/>
      <c r="H1102" s="1137"/>
      <c r="I1102" s="1780"/>
      <c r="J1102" s="1779"/>
      <c r="K1102" s="1787"/>
      <c r="L1102" s="1779"/>
      <c r="M1102" s="1780"/>
      <c r="N1102" s="1779"/>
    </row>
    <row r="1103" spans="1:15" ht="13.5" x14ac:dyDescent="0.2">
      <c r="A1103" s="1789"/>
      <c r="B1103" s="1782"/>
      <c r="C1103" s="1782"/>
      <c r="D1103" s="1782"/>
      <c r="E1103" s="1782"/>
      <c r="F1103" s="1782"/>
      <c r="G1103" s="1779"/>
      <c r="H1103" s="1137"/>
      <c r="I1103" s="1780"/>
      <c r="J1103" s="1779"/>
      <c r="K1103" s="1787"/>
      <c r="L1103" s="1779"/>
      <c r="M1103" s="1780"/>
      <c r="N1103" s="1779"/>
    </row>
    <row r="1104" spans="1:15" ht="13.5" x14ac:dyDescent="0.25">
      <c r="A1104" s="1138"/>
      <c r="B1104" s="1138"/>
      <c r="C1104" s="1138"/>
      <c r="D1104" s="1138"/>
      <c r="E1104" s="1138"/>
      <c r="F1104" s="1138"/>
      <c r="G1104" s="1138"/>
      <c r="H1104" s="1138"/>
      <c r="I1104" s="1138"/>
      <c r="J1104" s="1138"/>
      <c r="K1104" s="1778" t="s">
        <v>523</v>
      </c>
      <c r="L1104" s="1779"/>
      <c r="M1104" s="1780">
        <f>SUM(M1099:N1103)</f>
        <v>3750</v>
      </c>
      <c r="N1104" s="1779"/>
    </row>
    <row r="1105" spans="1:14" ht="13.5" x14ac:dyDescent="0.25">
      <c r="A1105" s="1138"/>
      <c r="B1105" s="1138"/>
      <c r="C1105" s="1138"/>
      <c r="D1105" s="1138"/>
      <c r="E1105" s="1138"/>
      <c r="F1105" s="1138"/>
      <c r="G1105" s="1138"/>
      <c r="H1105" s="1138"/>
      <c r="I1105" s="1138"/>
      <c r="J1105" s="1138"/>
      <c r="K1105" s="1138"/>
      <c r="L1105" s="1138"/>
      <c r="M1105" s="1138"/>
      <c r="N1105" s="1138"/>
    </row>
    <row r="1106" spans="1:14" x14ac:dyDescent="0.2">
      <c r="A1106" s="1781" t="s">
        <v>2147</v>
      </c>
      <c r="B1106" s="1782"/>
      <c r="C1106" s="1782"/>
      <c r="D1106" s="1782"/>
      <c r="E1106" s="1782"/>
      <c r="F1106" s="1782"/>
      <c r="G1106" s="1782"/>
      <c r="H1106" s="1782"/>
      <c r="I1106" s="1782"/>
      <c r="J1106" s="1782"/>
      <c r="K1106" s="1782"/>
      <c r="L1106" s="1782"/>
      <c r="M1106" s="1782"/>
      <c r="N1106" s="1779"/>
    </row>
    <row r="1107" spans="1:14" x14ac:dyDescent="0.2">
      <c r="A1107" s="1778" t="s">
        <v>14</v>
      </c>
      <c r="B1107" s="1782"/>
      <c r="C1107" s="1782"/>
      <c r="D1107" s="1782"/>
      <c r="E1107" s="1782"/>
      <c r="F1107" s="1782"/>
      <c r="G1107" s="1779"/>
      <c r="H1107" s="1136" t="s">
        <v>15</v>
      </c>
      <c r="I1107" s="1783" t="s">
        <v>619</v>
      </c>
      <c r="J1107" s="1779"/>
      <c r="K1107" s="1783" t="s">
        <v>628</v>
      </c>
      <c r="L1107" s="1779"/>
      <c r="M1107" s="1783" t="s">
        <v>2140</v>
      </c>
      <c r="N1107" s="1779"/>
    </row>
    <row r="1108" spans="1:14" ht="13.5" x14ac:dyDescent="0.2">
      <c r="A1108" s="1792" t="s">
        <v>2328</v>
      </c>
      <c r="B1108" s="1782"/>
      <c r="C1108" s="1782"/>
      <c r="D1108" s="1782"/>
      <c r="E1108" s="1782"/>
      <c r="F1108" s="1782"/>
      <c r="G1108" s="1779"/>
      <c r="H1108" s="1032" t="str">
        <f>IF(A1108="","",VLOOKUP(A1108,'11'!$C$6:$E$1012,2,FALSE))</f>
        <v>KM-M3</v>
      </c>
      <c r="I1108" s="1785">
        <f>IF(A1108="","",VLOOKUP(A1108,'11'!$C$6:$E$1012,3,FALSE))</f>
        <v>1440</v>
      </c>
      <c r="J1108" s="1412"/>
      <c r="K1108" s="1787">
        <v>0.1</v>
      </c>
      <c r="L1108" s="1793"/>
      <c r="M1108" s="1780">
        <f t="shared" ref="M1108" si="49">IF(A1108="","",I1108*K1108)</f>
        <v>144</v>
      </c>
      <c r="N1108" s="1779"/>
    </row>
    <row r="1109" spans="1:14" ht="13.5" x14ac:dyDescent="0.2">
      <c r="A1109" s="1786"/>
      <c r="B1109" s="1782"/>
      <c r="C1109" s="1782"/>
      <c r="D1109" s="1782"/>
      <c r="E1109" s="1782"/>
      <c r="F1109" s="1782"/>
      <c r="G1109" s="1779"/>
      <c r="H1109" s="1032"/>
      <c r="I1109" s="1780"/>
      <c r="J1109" s="1779"/>
      <c r="K1109" s="1787"/>
      <c r="L1109" s="1779"/>
      <c r="M1109" s="1780"/>
      <c r="N1109" s="1779"/>
    </row>
    <row r="1110" spans="1:14" ht="13.5" x14ac:dyDescent="0.2">
      <c r="A1110" s="1786"/>
      <c r="B1110" s="1782"/>
      <c r="C1110" s="1782"/>
      <c r="D1110" s="1782"/>
      <c r="E1110" s="1782"/>
      <c r="F1110" s="1782"/>
      <c r="G1110" s="1779"/>
      <c r="H1110" s="1032"/>
      <c r="I1110" s="1780"/>
      <c r="J1110" s="1779"/>
      <c r="K1110" s="1788"/>
      <c r="L1110" s="1779"/>
      <c r="M1110" s="1780"/>
      <c r="N1110" s="1779"/>
    </row>
    <row r="1111" spans="1:14" ht="13.5" x14ac:dyDescent="0.2">
      <c r="A1111" s="1789"/>
      <c r="B1111" s="1782"/>
      <c r="C1111" s="1782"/>
      <c r="D1111" s="1782"/>
      <c r="E1111" s="1782"/>
      <c r="F1111" s="1782"/>
      <c r="G1111" s="1779"/>
      <c r="H1111" s="1137"/>
      <c r="I1111" s="1780"/>
      <c r="J1111" s="1779"/>
      <c r="K1111" s="1787"/>
      <c r="L1111" s="1779"/>
      <c r="M1111" s="1780"/>
      <c r="N1111" s="1779"/>
    </row>
    <row r="1112" spans="1:14" ht="13.5" x14ac:dyDescent="0.2">
      <c r="A1112" s="1789"/>
      <c r="B1112" s="1782"/>
      <c r="C1112" s="1782"/>
      <c r="D1112" s="1782"/>
      <c r="E1112" s="1782"/>
      <c r="F1112" s="1782"/>
      <c r="G1112" s="1779"/>
      <c r="H1112" s="1137"/>
      <c r="I1112" s="1780"/>
      <c r="J1112" s="1779"/>
      <c r="K1112" s="1787"/>
      <c r="L1112" s="1779"/>
      <c r="M1112" s="1780"/>
      <c r="N1112" s="1779"/>
    </row>
    <row r="1113" spans="1:14" ht="13.5" x14ac:dyDescent="0.25">
      <c r="A1113" s="1138"/>
      <c r="B1113" s="1138"/>
      <c r="C1113" s="1138"/>
      <c r="D1113" s="1138"/>
      <c r="E1113" s="1138"/>
      <c r="F1113" s="1138"/>
      <c r="G1113" s="1138"/>
      <c r="H1113" s="1138"/>
      <c r="I1113" s="1138"/>
      <c r="J1113" s="1138"/>
      <c r="K1113" s="1778" t="s">
        <v>523</v>
      </c>
      <c r="L1113" s="1779"/>
      <c r="M1113" s="1780">
        <f>SUM(M1108:N1112)</f>
        <v>144</v>
      </c>
      <c r="N1113" s="1779"/>
    </row>
    <row r="1114" spans="1:14" ht="13.5" x14ac:dyDescent="0.25">
      <c r="A1114" s="1138"/>
      <c r="B1114" s="1138"/>
      <c r="C1114" s="1138"/>
      <c r="D1114" s="1138"/>
      <c r="E1114" s="1138"/>
      <c r="F1114" s="1138"/>
      <c r="G1114" s="1138"/>
      <c r="H1114" s="1138"/>
      <c r="I1114" s="1138"/>
      <c r="J1114" s="1138"/>
      <c r="K1114" s="1138"/>
      <c r="L1114" s="1138"/>
      <c r="M1114" s="1138"/>
      <c r="N1114" s="1138"/>
    </row>
    <row r="1115" spans="1:14" x14ac:dyDescent="0.2">
      <c r="A1115" s="1781" t="s">
        <v>2150</v>
      </c>
      <c r="B1115" s="1782"/>
      <c r="C1115" s="1782"/>
      <c r="D1115" s="1782"/>
      <c r="E1115" s="1782"/>
      <c r="F1115" s="1782"/>
      <c r="G1115" s="1782"/>
      <c r="H1115" s="1782"/>
      <c r="I1115" s="1782"/>
      <c r="J1115" s="1782"/>
      <c r="K1115" s="1782"/>
      <c r="L1115" s="1782"/>
      <c r="M1115" s="1782"/>
      <c r="N1115" s="1779"/>
    </row>
    <row r="1116" spans="1:14" x14ac:dyDescent="0.2">
      <c r="A1116" s="1778" t="s">
        <v>14</v>
      </c>
      <c r="B1116" s="1782"/>
      <c r="C1116" s="1782"/>
      <c r="D1116" s="1782"/>
      <c r="E1116" s="1782"/>
      <c r="F1116" s="1782"/>
      <c r="G1116" s="1779"/>
      <c r="H1116" s="1136" t="s">
        <v>15</v>
      </c>
      <c r="I1116" s="1783" t="s">
        <v>619</v>
      </c>
      <c r="J1116" s="1779"/>
      <c r="K1116" s="1139" t="s">
        <v>1919</v>
      </c>
      <c r="L1116" s="1140" t="s">
        <v>2151</v>
      </c>
      <c r="M1116" s="1783" t="s">
        <v>2140</v>
      </c>
      <c r="N1116" s="1779"/>
    </row>
    <row r="1117" spans="1:14" ht="13.5" x14ac:dyDescent="0.25">
      <c r="A1117" s="1784" t="s">
        <v>2168</v>
      </c>
      <c r="B1117" s="1782"/>
      <c r="C1117" s="1782"/>
      <c r="D1117" s="1782"/>
      <c r="E1117" s="1782"/>
      <c r="F1117" s="1782"/>
      <c r="G1117" s="1779"/>
      <c r="H1117" s="1032" t="str">
        <f>IF(A1117="","",VLOOKUP(A1117,'09'!$A$22:$O$168,4,FALSE))</f>
        <v>Cuadrilla</v>
      </c>
      <c r="I1117" s="1785">
        <f>IF(A1117="","",VLOOKUP(A1117,'09'!$A$22:$O$168,5,FALSE))</f>
        <v>204272</v>
      </c>
      <c r="J1117" s="1412"/>
      <c r="K1117" s="1034">
        <f>IF(A1117="","",'03'!$I$2)</f>
        <v>1.88995</v>
      </c>
      <c r="L1117" s="1142">
        <v>0.85</v>
      </c>
      <c r="M1117" s="1780">
        <f>I1117*K1117/(L1117*8)</f>
        <v>56774.097999999998</v>
      </c>
      <c r="N1117" s="1779"/>
    </row>
    <row r="1118" spans="1:14" ht="13.5" x14ac:dyDescent="0.25">
      <c r="A1118" s="1784"/>
      <c r="B1118" s="1782"/>
      <c r="C1118" s="1782"/>
      <c r="D1118" s="1782"/>
      <c r="E1118" s="1782"/>
      <c r="F1118" s="1782"/>
      <c r="G1118" s="1779"/>
      <c r="H1118" s="1137"/>
      <c r="I1118" s="1780"/>
      <c r="J1118" s="1779"/>
      <c r="K1118" s="1141"/>
      <c r="L1118" s="1141"/>
      <c r="M1118" s="1780"/>
      <c r="N1118" s="1779"/>
    </row>
    <row r="1119" spans="1:14" ht="13.5" x14ac:dyDescent="0.25">
      <c r="A1119" s="1784"/>
      <c r="B1119" s="1782"/>
      <c r="C1119" s="1782"/>
      <c r="D1119" s="1782"/>
      <c r="E1119" s="1782"/>
      <c r="F1119" s="1782"/>
      <c r="G1119" s="1779"/>
      <c r="H1119" s="1137"/>
      <c r="I1119" s="1780"/>
      <c r="J1119" s="1779"/>
      <c r="K1119" s="1141"/>
      <c r="L1119" s="1143"/>
      <c r="M1119" s="1780"/>
      <c r="N1119" s="1779"/>
    </row>
    <row r="1120" spans="1:14" ht="13.5" x14ac:dyDescent="0.25">
      <c r="A1120" s="1784"/>
      <c r="B1120" s="1782"/>
      <c r="C1120" s="1782"/>
      <c r="D1120" s="1782"/>
      <c r="E1120" s="1782"/>
      <c r="F1120" s="1782"/>
      <c r="G1120" s="1779"/>
      <c r="H1120" s="1137"/>
      <c r="I1120" s="1780"/>
      <c r="J1120" s="1779"/>
      <c r="K1120" s="1141"/>
      <c r="L1120" s="1143"/>
      <c r="M1120" s="1780"/>
      <c r="N1120" s="1779"/>
    </row>
    <row r="1121" spans="1:15" ht="13.5" x14ac:dyDescent="0.25">
      <c r="A1121" s="1784"/>
      <c r="B1121" s="1782"/>
      <c r="C1121" s="1782"/>
      <c r="D1121" s="1782"/>
      <c r="E1121" s="1782"/>
      <c r="F1121" s="1782"/>
      <c r="G1121" s="1779"/>
      <c r="H1121" s="1137"/>
      <c r="I1121" s="1780"/>
      <c r="J1121" s="1779"/>
      <c r="K1121" s="1141"/>
      <c r="L1121" s="1143"/>
      <c r="M1121" s="1780"/>
      <c r="N1121" s="1779"/>
    </row>
    <row r="1122" spans="1:15" ht="13.5" x14ac:dyDescent="0.25">
      <c r="A1122" s="1138"/>
      <c r="B1122" s="1138"/>
      <c r="C1122" s="1138"/>
      <c r="D1122" s="1138"/>
      <c r="E1122" s="1138"/>
      <c r="F1122" s="1138"/>
      <c r="G1122" s="1138"/>
      <c r="H1122" s="1138"/>
      <c r="I1122" s="1138"/>
      <c r="J1122" s="1138"/>
      <c r="K1122" s="1778" t="s">
        <v>523</v>
      </c>
      <c r="L1122" s="1779"/>
      <c r="M1122" s="1780">
        <f>SUM(M1117:N1121)</f>
        <v>56774.097999999998</v>
      </c>
      <c r="N1122" s="1779"/>
    </row>
    <row r="1123" spans="1:15" x14ac:dyDescent="0.2">
      <c r="I1123" s="1414"/>
      <c r="J1123" s="1415"/>
      <c r="K1123" s="1415"/>
      <c r="L1123" s="1415"/>
      <c r="M1123" s="1415"/>
      <c r="N1123" s="1415"/>
    </row>
    <row r="1124" spans="1:15" ht="13.5" thickBot="1" x14ac:dyDescent="0.25">
      <c r="I1124" s="1416"/>
      <c r="J1124" s="1416"/>
      <c r="K1124" s="1416"/>
      <c r="L1124" s="1416"/>
      <c r="M1124" s="1416"/>
      <c r="N1124" s="1416"/>
    </row>
    <row r="1125" spans="1:15" ht="14.25" thickTop="1" x14ac:dyDescent="0.2">
      <c r="I1125" s="1417" t="s">
        <v>1829</v>
      </c>
      <c r="J1125" s="1418"/>
      <c r="K1125" s="1417" t="s">
        <v>2653</v>
      </c>
      <c r="L1125" s="1418"/>
      <c r="M1125" s="1418"/>
      <c r="N1125" s="1418"/>
    </row>
    <row r="1126" spans="1:15" ht="13.5" x14ac:dyDescent="0.2">
      <c r="I1126" s="1419" t="s">
        <v>1831</v>
      </c>
      <c r="J1126" s="1420"/>
      <c r="K1126" s="1419"/>
      <c r="L1126" s="1420"/>
      <c r="M1126" s="1420"/>
      <c r="N1126" s="1420"/>
    </row>
    <row r="1127" spans="1:15" x14ac:dyDescent="0.2">
      <c r="A1127" s="1803" t="s">
        <v>2347</v>
      </c>
      <c r="B1127" s="1804"/>
      <c r="C1127" s="1804"/>
      <c r="D1127" s="1804"/>
      <c r="E1127" s="1804"/>
      <c r="F1127" s="1804"/>
      <c r="G1127" s="1804"/>
      <c r="H1127" s="1804"/>
      <c r="I1127" s="1804"/>
      <c r="J1127" s="1804"/>
      <c r="K1127" s="1804"/>
      <c r="L1127" s="1804"/>
      <c r="M1127" s="1804"/>
      <c r="N1127" s="1805"/>
    </row>
    <row r="1128" spans="1:15" x14ac:dyDescent="0.2">
      <c r="A1128" s="1806"/>
      <c r="B1128" s="1807"/>
      <c r="C1128" s="1807"/>
      <c r="D1128" s="1807"/>
      <c r="E1128" s="1807"/>
      <c r="F1128" s="1807"/>
      <c r="G1128" s="1807"/>
      <c r="H1128" s="1807"/>
      <c r="I1128" s="1807"/>
      <c r="J1128" s="1807"/>
      <c r="K1128" s="1807"/>
      <c r="L1128" s="1807"/>
      <c r="M1128" s="1807"/>
      <c r="N1128" s="1808"/>
    </row>
    <row r="1129" spans="1:15" ht="13.5" x14ac:dyDescent="0.2">
      <c r="A1129" s="1128"/>
      <c r="B1129" s="1128"/>
      <c r="C1129" s="1128"/>
      <c r="D1129" s="1128"/>
      <c r="E1129" s="1128"/>
      <c r="F1129" s="1128"/>
      <c r="G1129" s="1128"/>
      <c r="H1129" s="1128"/>
      <c r="I1129" s="1128"/>
      <c r="J1129" s="1128"/>
      <c r="K1129" s="1128"/>
      <c r="L1129" s="1128"/>
      <c r="M1129" s="1128"/>
      <c r="N1129" s="1128"/>
    </row>
    <row r="1130" spans="1:15" ht="14.25" x14ac:dyDescent="0.3">
      <c r="A1130" s="1104" t="s">
        <v>2346</v>
      </c>
      <c r="B1130" s="1129" t="str">
        <f>A1127</f>
        <v xml:space="preserve"> SUMINISTRO E INSTALACIÓN VÁLVULA DE COMPUERTA ELASTICA VASTAGO NO ASCENDENTE EXTREMO BRIDADO PARA PVC DIAMETRO 3".</v>
      </c>
      <c r="C1130" s="1130" t="s">
        <v>634</v>
      </c>
      <c r="D1130" s="1107" t="s">
        <v>2</v>
      </c>
      <c r="E1130" s="1132" t="s">
        <v>1833</v>
      </c>
      <c r="F1130" s="1133">
        <f>H1130+J1130+L1130+N1130</f>
        <v>1216737.9522857142</v>
      </c>
      <c r="G1130" s="1132" t="s">
        <v>2136</v>
      </c>
      <c r="H1130" s="1133">
        <f>M1148</f>
        <v>500</v>
      </c>
      <c r="I1130" s="1132" t="s">
        <v>621</v>
      </c>
      <c r="J1130" s="1134">
        <f>M1139</f>
        <v>1078214</v>
      </c>
      <c r="K1130" s="1132" t="s">
        <v>2137</v>
      </c>
      <c r="L1130" s="1133">
        <f>M1157</f>
        <v>144</v>
      </c>
      <c r="M1130" s="1132" t="s">
        <v>2138</v>
      </c>
      <c r="N1130" s="1133">
        <f>M1166</f>
        <v>137879.9522857143</v>
      </c>
    </row>
    <row r="1131" spans="1:15" ht="13.5" x14ac:dyDescent="0.25">
      <c r="A1131" s="1135"/>
      <c r="B1131" s="1135"/>
      <c r="C1131" s="1135"/>
      <c r="D1131" s="1135"/>
      <c r="E1131" s="1135"/>
      <c r="F1131" s="1135"/>
      <c r="G1131" s="1135"/>
      <c r="J1131" s="1135"/>
      <c r="K1131" s="1135"/>
      <c r="L1131" s="1135"/>
      <c r="M1131" s="1270" t="s">
        <v>2667</v>
      </c>
      <c r="N1131" s="1270">
        <f>+F1130*'01'!$O$15</f>
        <v>1574828.6860299017</v>
      </c>
    </row>
    <row r="1132" spans="1:15" x14ac:dyDescent="0.2">
      <c r="A1132" s="1781" t="s">
        <v>2139</v>
      </c>
      <c r="B1132" s="1782"/>
      <c r="C1132" s="1782"/>
      <c r="D1132" s="1782"/>
      <c r="E1132" s="1782"/>
      <c r="F1132" s="1782"/>
      <c r="G1132" s="1782"/>
      <c r="H1132" s="1782"/>
      <c r="I1132" s="1782"/>
      <c r="J1132" s="1782"/>
      <c r="K1132" s="1782"/>
      <c r="L1132" s="1782"/>
      <c r="M1132" s="1782"/>
      <c r="N1132" s="1779"/>
    </row>
    <row r="1133" spans="1:15" x14ac:dyDescent="0.2">
      <c r="A1133" s="1778" t="s">
        <v>14</v>
      </c>
      <c r="B1133" s="1782"/>
      <c r="C1133" s="1782"/>
      <c r="D1133" s="1782"/>
      <c r="E1133" s="1782"/>
      <c r="F1133" s="1782"/>
      <c r="G1133" s="1779"/>
      <c r="H1133" s="1136" t="s">
        <v>15</v>
      </c>
      <c r="I1133" s="1783" t="s">
        <v>619</v>
      </c>
      <c r="J1133" s="1779"/>
      <c r="K1133" s="1783" t="s">
        <v>628</v>
      </c>
      <c r="L1133" s="1779"/>
      <c r="M1133" s="1783" t="s">
        <v>2140</v>
      </c>
      <c r="N1133" s="1779"/>
    </row>
    <row r="1134" spans="1:15" ht="13.5" customHeight="1" x14ac:dyDescent="0.2">
      <c r="A1134" s="1792" t="s">
        <v>1452</v>
      </c>
      <c r="B1134" s="1782"/>
      <c r="C1134" s="1782"/>
      <c r="D1134" s="1782"/>
      <c r="E1134" s="1782"/>
      <c r="F1134" s="1782"/>
      <c r="G1134" s="1779"/>
      <c r="H1134" s="1032" t="str">
        <f>IF(A1134="","",VLOOKUP(A1134,'10'!$C$6:$E$1152,2,FALSE))</f>
        <v>UND</v>
      </c>
      <c r="I1134" s="1785">
        <f>IF(A1134="","",VLOOKUP(A1134,'10'!$C$6:$E$1152,3,FALSE))</f>
        <v>921060</v>
      </c>
      <c r="J1134" s="1412"/>
      <c r="K1134" s="1794">
        <v>1</v>
      </c>
      <c r="L1134" s="1795"/>
      <c r="M1134" s="1780">
        <f>K1134*I1134</f>
        <v>921060</v>
      </c>
      <c r="N1134" s="1779"/>
    </row>
    <row r="1135" spans="1:15" ht="13.5" customHeight="1" x14ac:dyDescent="0.2">
      <c r="A1135" s="1792" t="s">
        <v>1083</v>
      </c>
      <c r="B1135" s="1782"/>
      <c r="C1135" s="1782"/>
      <c r="D1135" s="1782"/>
      <c r="E1135" s="1782"/>
      <c r="F1135" s="1782"/>
      <c r="G1135" s="1779"/>
      <c r="H1135" s="1032" t="str">
        <f>IF(A1135="","",VLOOKUP(A1135,'10'!$C$6:$E$1152,2,FALSE))</f>
        <v>UND</v>
      </c>
      <c r="I1135" s="1785">
        <f>IF(A1135="","",VLOOKUP(A1135,'10'!$C$6:$E$1152,3,FALSE))</f>
        <v>54577</v>
      </c>
      <c r="J1135" s="1412"/>
      <c r="K1135" s="1794">
        <v>2</v>
      </c>
      <c r="L1135" s="1795"/>
      <c r="M1135" s="1780">
        <f t="shared" ref="M1135:M1136" si="50">K1135*I1135</f>
        <v>109154</v>
      </c>
      <c r="N1135" s="1779"/>
    </row>
    <row r="1136" spans="1:15" ht="13.5" x14ac:dyDescent="0.2">
      <c r="A1136" s="1792" t="s">
        <v>1562</v>
      </c>
      <c r="B1136" s="1782"/>
      <c r="C1136" s="1782"/>
      <c r="D1136" s="1782"/>
      <c r="E1136" s="1782"/>
      <c r="F1136" s="1782"/>
      <c r="G1136" s="1779"/>
      <c r="H1136" s="1032" t="str">
        <f>IF(A1136="","",VLOOKUP(A1136,'10'!$C$6:$E$1152,2,FALSE))</f>
        <v>UND</v>
      </c>
      <c r="I1136" s="1785">
        <f>IF(A1136="","",VLOOKUP(A1136,'10'!$C$6:$E$1152,3,FALSE))</f>
        <v>3000</v>
      </c>
      <c r="J1136" s="1412"/>
      <c r="K1136" s="1787">
        <v>16</v>
      </c>
      <c r="L1136" s="1779"/>
      <c r="M1136" s="1780">
        <f t="shared" si="50"/>
        <v>48000</v>
      </c>
      <c r="N1136" s="1779"/>
      <c r="O1136" s="799"/>
    </row>
    <row r="1137" spans="1:14" ht="13.5" x14ac:dyDescent="0.2">
      <c r="A1137" s="1789"/>
      <c r="B1137" s="1782"/>
      <c r="C1137" s="1782"/>
      <c r="D1137" s="1782"/>
      <c r="E1137" s="1782"/>
      <c r="F1137" s="1782"/>
      <c r="G1137" s="1779"/>
      <c r="H1137" s="1032" t="str">
        <f>IF(A1137="","",VLOOKUP(A1137,'10'!$C$6:$E$1152,2,FALSE))</f>
        <v/>
      </c>
      <c r="I1137" s="1785" t="str">
        <f>IF(A1137="","",VLOOKUP(A1137,'10'!$C$6:$E$1152,3,FALSE))</f>
        <v/>
      </c>
      <c r="J1137" s="1412"/>
      <c r="K1137" s="1787"/>
      <c r="L1137" s="1779"/>
      <c r="M1137" s="1780"/>
      <c r="N1137" s="1779"/>
    </row>
    <row r="1138" spans="1:14" ht="13.5" x14ac:dyDescent="0.2">
      <c r="A1138" s="1789"/>
      <c r="B1138" s="1782"/>
      <c r="C1138" s="1782"/>
      <c r="D1138" s="1782"/>
      <c r="E1138" s="1782"/>
      <c r="F1138" s="1782"/>
      <c r="G1138" s="1779"/>
      <c r="H1138" s="1032" t="str">
        <f>IF(A1138="","",VLOOKUP(A1138,'10'!$C$6:$E$1152,2,FALSE))</f>
        <v/>
      </c>
      <c r="I1138" s="1785" t="str">
        <f>IF(A1138="","",VLOOKUP(A1138,'10'!$C$6:$E$1152,3,FALSE))</f>
        <v/>
      </c>
      <c r="J1138" s="1412"/>
      <c r="K1138" s="1787"/>
      <c r="L1138" s="1779"/>
      <c r="M1138" s="1780"/>
      <c r="N1138" s="1779"/>
    </row>
    <row r="1139" spans="1:14" ht="13.5" x14ac:dyDescent="0.25">
      <c r="A1139" s="1138"/>
      <c r="B1139" s="1138"/>
      <c r="C1139" s="1138"/>
      <c r="D1139" s="1138"/>
      <c r="E1139" s="1138"/>
      <c r="F1139" s="1138"/>
      <c r="G1139" s="1138"/>
      <c r="H1139" s="1138"/>
      <c r="I1139" s="1138"/>
      <c r="J1139" s="1138"/>
      <c r="K1139" s="1778" t="s">
        <v>523</v>
      </c>
      <c r="L1139" s="1779"/>
      <c r="M1139" s="1780">
        <f>SUM(M1134:N1138)</f>
        <v>1078214</v>
      </c>
      <c r="N1139" s="1779"/>
    </row>
    <row r="1140" spans="1:14" ht="13.5" x14ac:dyDescent="0.25">
      <c r="A1140" s="1138"/>
      <c r="B1140" s="1138"/>
      <c r="C1140" s="1138"/>
      <c r="D1140" s="1138"/>
      <c r="E1140" s="1138"/>
      <c r="F1140" s="1138"/>
      <c r="G1140" s="1138"/>
      <c r="H1140" s="1138"/>
      <c r="I1140" s="1138"/>
      <c r="J1140" s="1138"/>
      <c r="K1140" s="1138"/>
      <c r="L1140" s="1138"/>
      <c r="M1140" s="1138"/>
      <c r="N1140" s="1138"/>
    </row>
    <row r="1141" spans="1:14" x14ac:dyDescent="0.2">
      <c r="A1141" s="1781" t="s">
        <v>2145</v>
      </c>
      <c r="B1141" s="1782"/>
      <c r="C1141" s="1782"/>
      <c r="D1141" s="1782"/>
      <c r="E1141" s="1782"/>
      <c r="F1141" s="1782"/>
      <c r="G1141" s="1782"/>
      <c r="H1141" s="1782"/>
      <c r="I1141" s="1782"/>
      <c r="J1141" s="1782"/>
      <c r="K1141" s="1782"/>
      <c r="L1141" s="1782"/>
      <c r="M1141" s="1782"/>
      <c r="N1141" s="1779"/>
    </row>
    <row r="1142" spans="1:14" x14ac:dyDescent="0.2">
      <c r="A1142" s="1778" t="s">
        <v>14</v>
      </c>
      <c r="B1142" s="1782"/>
      <c r="C1142" s="1782"/>
      <c r="D1142" s="1782"/>
      <c r="E1142" s="1782"/>
      <c r="F1142" s="1782"/>
      <c r="G1142" s="1779"/>
      <c r="H1142" s="1136" t="s">
        <v>15</v>
      </c>
      <c r="I1142" s="1783" t="s">
        <v>619</v>
      </c>
      <c r="J1142" s="1779"/>
      <c r="K1142" s="1783" t="s">
        <v>610</v>
      </c>
      <c r="L1142" s="1779"/>
      <c r="M1142" s="1783" t="s">
        <v>2140</v>
      </c>
      <c r="N1142" s="1779"/>
    </row>
    <row r="1143" spans="1:14" ht="13.5" x14ac:dyDescent="0.2">
      <c r="A1143" s="1789" t="s">
        <v>131</v>
      </c>
      <c r="B1143" s="1790"/>
      <c r="C1143" s="1790"/>
      <c r="D1143" s="1790"/>
      <c r="E1143" s="1790"/>
      <c r="F1143" s="1790"/>
      <c r="G1143" s="1791"/>
      <c r="H1143" s="1032" t="str">
        <f>IF(A1143="","",VLOOKUP(A1143,'11'!$C$6:$E$87,2,FALSE))</f>
        <v>DIA</v>
      </c>
      <c r="I1143" s="1785">
        <f>IF(A1143="","",VLOOKUP(A1143,'11'!$C$6:$E$87,3,FALSE))</f>
        <v>15000</v>
      </c>
      <c r="J1143" s="1412"/>
      <c r="K1143" s="1787">
        <v>30</v>
      </c>
      <c r="L1143" s="1793"/>
      <c r="M1143" s="1780">
        <f>I1143/K1143</f>
        <v>500</v>
      </c>
      <c r="N1143" s="1779"/>
    </row>
    <row r="1144" spans="1:14" ht="13.5" x14ac:dyDescent="0.2">
      <c r="A1144" s="1802"/>
      <c r="B1144" s="1782"/>
      <c r="C1144" s="1782"/>
      <c r="D1144" s="1782"/>
      <c r="E1144" s="1782"/>
      <c r="F1144" s="1782"/>
      <c r="G1144" s="1779"/>
      <c r="H1144" s="1137"/>
      <c r="I1144" s="1780"/>
      <c r="J1144" s="1779"/>
      <c r="K1144" s="1794"/>
      <c r="L1144" s="1779"/>
      <c r="M1144" s="1780"/>
      <c r="N1144" s="1779"/>
    </row>
    <row r="1145" spans="1:14" ht="13.5" x14ac:dyDescent="0.2">
      <c r="A1145" s="1789"/>
      <c r="B1145" s="1782"/>
      <c r="C1145" s="1782"/>
      <c r="D1145" s="1782"/>
      <c r="E1145" s="1782"/>
      <c r="F1145" s="1782"/>
      <c r="G1145" s="1779"/>
      <c r="H1145" s="1137"/>
      <c r="I1145" s="1780"/>
      <c r="J1145" s="1779"/>
      <c r="K1145" s="1787"/>
      <c r="L1145" s="1779"/>
      <c r="M1145" s="1780"/>
      <c r="N1145" s="1779"/>
    </row>
    <row r="1146" spans="1:14" ht="13.5" x14ac:dyDescent="0.2">
      <c r="A1146" s="1789"/>
      <c r="B1146" s="1782"/>
      <c r="C1146" s="1782"/>
      <c r="D1146" s="1782"/>
      <c r="E1146" s="1782"/>
      <c r="F1146" s="1782"/>
      <c r="G1146" s="1779"/>
      <c r="H1146" s="1137"/>
      <c r="I1146" s="1780"/>
      <c r="J1146" s="1779"/>
      <c r="K1146" s="1787"/>
      <c r="L1146" s="1779"/>
      <c r="M1146" s="1780"/>
      <c r="N1146" s="1779"/>
    </row>
    <row r="1147" spans="1:14" ht="13.5" x14ac:dyDescent="0.2">
      <c r="A1147" s="1789"/>
      <c r="B1147" s="1782"/>
      <c r="C1147" s="1782"/>
      <c r="D1147" s="1782"/>
      <c r="E1147" s="1782"/>
      <c r="F1147" s="1782"/>
      <c r="G1147" s="1779"/>
      <c r="H1147" s="1137"/>
      <c r="I1147" s="1780"/>
      <c r="J1147" s="1779"/>
      <c r="K1147" s="1787"/>
      <c r="L1147" s="1779"/>
      <c r="M1147" s="1780"/>
      <c r="N1147" s="1779"/>
    </row>
    <row r="1148" spans="1:14" ht="13.5" x14ac:dyDescent="0.25">
      <c r="A1148" s="1138"/>
      <c r="B1148" s="1138"/>
      <c r="C1148" s="1138"/>
      <c r="D1148" s="1138"/>
      <c r="E1148" s="1138"/>
      <c r="F1148" s="1138"/>
      <c r="G1148" s="1138"/>
      <c r="H1148" s="1138"/>
      <c r="I1148" s="1138"/>
      <c r="J1148" s="1138"/>
      <c r="K1148" s="1778" t="s">
        <v>523</v>
      </c>
      <c r="L1148" s="1779"/>
      <c r="M1148" s="1780">
        <f>SUM(M1143:N1147)</f>
        <v>500</v>
      </c>
      <c r="N1148" s="1779"/>
    </row>
    <row r="1149" spans="1:14" ht="13.5" x14ac:dyDescent="0.25">
      <c r="A1149" s="1138"/>
      <c r="B1149" s="1138"/>
      <c r="C1149" s="1138"/>
      <c r="D1149" s="1138"/>
      <c r="E1149" s="1138"/>
      <c r="F1149" s="1138"/>
      <c r="G1149" s="1138"/>
      <c r="H1149" s="1138"/>
      <c r="I1149" s="1138"/>
      <c r="J1149" s="1138"/>
      <c r="K1149" s="1138"/>
      <c r="L1149" s="1138"/>
      <c r="M1149" s="1138"/>
      <c r="N1149" s="1138"/>
    </row>
    <row r="1150" spans="1:14" x14ac:dyDescent="0.2">
      <c r="A1150" s="1781" t="s">
        <v>2147</v>
      </c>
      <c r="B1150" s="1782"/>
      <c r="C1150" s="1782"/>
      <c r="D1150" s="1782"/>
      <c r="E1150" s="1782"/>
      <c r="F1150" s="1782"/>
      <c r="G1150" s="1782"/>
      <c r="H1150" s="1782"/>
      <c r="I1150" s="1782"/>
      <c r="J1150" s="1782"/>
      <c r="K1150" s="1782"/>
      <c r="L1150" s="1782"/>
      <c r="M1150" s="1782"/>
      <c r="N1150" s="1779"/>
    </row>
    <row r="1151" spans="1:14" x14ac:dyDescent="0.2">
      <c r="A1151" s="1778" t="s">
        <v>14</v>
      </c>
      <c r="B1151" s="1782"/>
      <c r="C1151" s="1782"/>
      <c r="D1151" s="1782"/>
      <c r="E1151" s="1782"/>
      <c r="F1151" s="1782"/>
      <c r="G1151" s="1779"/>
      <c r="H1151" s="1136" t="s">
        <v>15</v>
      </c>
      <c r="I1151" s="1783" t="s">
        <v>619</v>
      </c>
      <c r="J1151" s="1779"/>
      <c r="K1151" s="1783" t="s">
        <v>628</v>
      </c>
      <c r="L1151" s="1779"/>
      <c r="M1151" s="1783" t="s">
        <v>2140</v>
      </c>
      <c r="N1151" s="1779"/>
    </row>
    <row r="1152" spans="1:14" ht="13.5" x14ac:dyDescent="0.2">
      <c r="A1152" s="1792" t="s">
        <v>2328</v>
      </c>
      <c r="B1152" s="1782"/>
      <c r="C1152" s="1782"/>
      <c r="D1152" s="1782"/>
      <c r="E1152" s="1782"/>
      <c r="F1152" s="1782"/>
      <c r="G1152" s="1779"/>
      <c r="H1152" s="1032" t="str">
        <f>IF(A1152="","",VLOOKUP(A1152,'11'!$C$6:$E$1012,2,FALSE))</f>
        <v>KM-M3</v>
      </c>
      <c r="I1152" s="1785">
        <f>IF(A1152="","",VLOOKUP(A1152,'11'!$C$6:$E$1012,3,FALSE))</f>
        <v>1440</v>
      </c>
      <c r="J1152" s="1412"/>
      <c r="K1152" s="1787">
        <v>0.1</v>
      </c>
      <c r="L1152" s="1793"/>
      <c r="M1152" s="1780">
        <f t="shared" ref="M1152" si="51">IF(A1152="","",I1152*K1152)</f>
        <v>144</v>
      </c>
      <c r="N1152" s="1779"/>
    </row>
    <row r="1153" spans="1:14" ht="13.5" x14ac:dyDescent="0.2">
      <c r="A1153" s="1786"/>
      <c r="B1153" s="1782"/>
      <c r="C1153" s="1782"/>
      <c r="D1153" s="1782"/>
      <c r="E1153" s="1782"/>
      <c r="F1153" s="1782"/>
      <c r="G1153" s="1779"/>
      <c r="H1153" s="1032"/>
      <c r="I1153" s="1780"/>
      <c r="J1153" s="1779"/>
      <c r="K1153" s="1787"/>
      <c r="L1153" s="1779"/>
      <c r="M1153" s="1780"/>
      <c r="N1153" s="1779"/>
    </row>
    <row r="1154" spans="1:14" ht="13.5" x14ac:dyDescent="0.2">
      <c r="A1154" s="1786"/>
      <c r="B1154" s="1782"/>
      <c r="C1154" s="1782"/>
      <c r="D1154" s="1782"/>
      <c r="E1154" s="1782"/>
      <c r="F1154" s="1782"/>
      <c r="G1154" s="1779"/>
      <c r="H1154" s="1032"/>
      <c r="I1154" s="1780"/>
      <c r="J1154" s="1779"/>
      <c r="K1154" s="1788"/>
      <c r="L1154" s="1779"/>
      <c r="M1154" s="1780"/>
      <c r="N1154" s="1779"/>
    </row>
    <row r="1155" spans="1:14" ht="13.5" x14ac:dyDescent="0.2">
      <c r="A1155" s="1789"/>
      <c r="B1155" s="1782"/>
      <c r="C1155" s="1782"/>
      <c r="D1155" s="1782"/>
      <c r="E1155" s="1782"/>
      <c r="F1155" s="1782"/>
      <c r="G1155" s="1779"/>
      <c r="H1155" s="1137"/>
      <c r="I1155" s="1780"/>
      <c r="J1155" s="1779"/>
      <c r="K1155" s="1787"/>
      <c r="L1155" s="1779"/>
      <c r="M1155" s="1780"/>
      <c r="N1155" s="1779"/>
    </row>
    <row r="1156" spans="1:14" ht="13.5" x14ac:dyDescent="0.2">
      <c r="A1156" s="1789"/>
      <c r="B1156" s="1782"/>
      <c r="C1156" s="1782"/>
      <c r="D1156" s="1782"/>
      <c r="E1156" s="1782"/>
      <c r="F1156" s="1782"/>
      <c r="G1156" s="1779"/>
      <c r="H1156" s="1137"/>
      <c r="I1156" s="1780"/>
      <c r="J1156" s="1779"/>
      <c r="K1156" s="1787"/>
      <c r="L1156" s="1779"/>
      <c r="M1156" s="1780"/>
      <c r="N1156" s="1779"/>
    </row>
    <row r="1157" spans="1:14" ht="13.5" x14ac:dyDescent="0.25">
      <c r="A1157" s="1138"/>
      <c r="B1157" s="1138"/>
      <c r="C1157" s="1138"/>
      <c r="D1157" s="1138"/>
      <c r="E1157" s="1138"/>
      <c r="F1157" s="1138"/>
      <c r="G1157" s="1138"/>
      <c r="H1157" s="1138"/>
      <c r="I1157" s="1138"/>
      <c r="J1157" s="1138"/>
      <c r="K1157" s="1778" t="s">
        <v>523</v>
      </c>
      <c r="L1157" s="1779"/>
      <c r="M1157" s="1780">
        <f>SUM(M1152:N1156)</f>
        <v>144</v>
      </c>
      <c r="N1157" s="1779"/>
    </row>
    <row r="1158" spans="1:14" ht="13.5" x14ac:dyDescent="0.25">
      <c r="A1158" s="1138"/>
      <c r="B1158" s="1138"/>
      <c r="C1158" s="1138"/>
      <c r="D1158" s="1138"/>
      <c r="E1158" s="1138"/>
      <c r="F1158" s="1138"/>
      <c r="G1158" s="1138"/>
      <c r="H1158" s="1138"/>
      <c r="I1158" s="1138"/>
      <c r="J1158" s="1138"/>
      <c r="K1158" s="1138"/>
      <c r="L1158" s="1138"/>
      <c r="M1158" s="1138"/>
      <c r="N1158" s="1138"/>
    </row>
    <row r="1159" spans="1:14" x14ac:dyDescent="0.2">
      <c r="A1159" s="1781" t="s">
        <v>2150</v>
      </c>
      <c r="B1159" s="1782"/>
      <c r="C1159" s="1782"/>
      <c r="D1159" s="1782"/>
      <c r="E1159" s="1782"/>
      <c r="F1159" s="1782"/>
      <c r="G1159" s="1782"/>
      <c r="H1159" s="1782"/>
      <c r="I1159" s="1782"/>
      <c r="J1159" s="1782"/>
      <c r="K1159" s="1782"/>
      <c r="L1159" s="1782"/>
      <c r="M1159" s="1782"/>
      <c r="N1159" s="1779"/>
    </row>
    <row r="1160" spans="1:14" x14ac:dyDescent="0.2">
      <c r="A1160" s="1778" t="s">
        <v>14</v>
      </c>
      <c r="B1160" s="1782"/>
      <c r="C1160" s="1782"/>
      <c r="D1160" s="1782"/>
      <c r="E1160" s="1782"/>
      <c r="F1160" s="1782"/>
      <c r="G1160" s="1779"/>
      <c r="H1160" s="1136" t="s">
        <v>15</v>
      </c>
      <c r="I1160" s="1783" t="s">
        <v>619</v>
      </c>
      <c r="J1160" s="1779"/>
      <c r="K1160" s="1139" t="s">
        <v>1919</v>
      </c>
      <c r="L1160" s="1140" t="s">
        <v>2151</v>
      </c>
      <c r="M1160" s="1783" t="s">
        <v>2140</v>
      </c>
      <c r="N1160" s="1779"/>
    </row>
    <row r="1161" spans="1:14" ht="13.5" x14ac:dyDescent="0.25">
      <c r="A1161" s="1784" t="s">
        <v>2168</v>
      </c>
      <c r="B1161" s="1782"/>
      <c r="C1161" s="1782"/>
      <c r="D1161" s="1782"/>
      <c r="E1161" s="1782"/>
      <c r="F1161" s="1782"/>
      <c r="G1161" s="1779"/>
      <c r="H1161" s="1032" t="str">
        <f>IF(A1161="","",VLOOKUP(A1161,'09'!$A$22:$O$168,4,FALSE))</f>
        <v>Cuadrilla</v>
      </c>
      <c r="I1161" s="1785">
        <f>IF(A1161="","",VLOOKUP(A1161,'09'!$A$22:$O$168,5,FALSE))</f>
        <v>204272</v>
      </c>
      <c r="J1161" s="1412"/>
      <c r="K1161" s="1034">
        <f>IF(A1161="","",'03'!$I$2)</f>
        <v>1.88995</v>
      </c>
      <c r="L1161" s="1142">
        <v>0.35</v>
      </c>
      <c r="M1161" s="1780">
        <f>I1161*K1161/(L1161*8)</f>
        <v>137879.9522857143</v>
      </c>
      <c r="N1161" s="1779"/>
    </row>
    <row r="1162" spans="1:14" ht="13.5" x14ac:dyDescent="0.25">
      <c r="A1162" s="1784"/>
      <c r="B1162" s="1782"/>
      <c r="C1162" s="1782"/>
      <c r="D1162" s="1782"/>
      <c r="E1162" s="1782"/>
      <c r="F1162" s="1782"/>
      <c r="G1162" s="1779"/>
      <c r="H1162" s="1137"/>
      <c r="I1162" s="1780"/>
      <c r="J1162" s="1779"/>
      <c r="K1162" s="1141"/>
      <c r="L1162" s="1141"/>
      <c r="M1162" s="1780"/>
      <c r="N1162" s="1779"/>
    </row>
    <row r="1163" spans="1:14" ht="13.5" x14ac:dyDescent="0.25">
      <c r="A1163" s="1784"/>
      <c r="B1163" s="1782"/>
      <c r="C1163" s="1782"/>
      <c r="D1163" s="1782"/>
      <c r="E1163" s="1782"/>
      <c r="F1163" s="1782"/>
      <c r="G1163" s="1779"/>
      <c r="H1163" s="1137"/>
      <c r="I1163" s="1780"/>
      <c r="J1163" s="1779"/>
      <c r="K1163" s="1141"/>
      <c r="L1163" s="1143"/>
      <c r="M1163" s="1780"/>
      <c r="N1163" s="1779"/>
    </row>
    <row r="1164" spans="1:14" ht="13.5" x14ac:dyDescent="0.25">
      <c r="A1164" s="1784"/>
      <c r="B1164" s="1782"/>
      <c r="C1164" s="1782"/>
      <c r="D1164" s="1782"/>
      <c r="E1164" s="1782"/>
      <c r="F1164" s="1782"/>
      <c r="G1164" s="1779"/>
      <c r="H1164" s="1137"/>
      <c r="I1164" s="1780"/>
      <c r="J1164" s="1779"/>
      <c r="K1164" s="1141"/>
      <c r="L1164" s="1143"/>
      <c r="M1164" s="1780"/>
      <c r="N1164" s="1779"/>
    </row>
    <row r="1165" spans="1:14" ht="13.5" x14ac:dyDescent="0.25">
      <c r="A1165" s="1784"/>
      <c r="B1165" s="1782"/>
      <c r="C1165" s="1782"/>
      <c r="D1165" s="1782"/>
      <c r="E1165" s="1782"/>
      <c r="F1165" s="1782"/>
      <c r="G1165" s="1779"/>
      <c r="H1165" s="1137"/>
      <c r="I1165" s="1780"/>
      <c r="J1165" s="1779"/>
      <c r="K1165" s="1141"/>
      <c r="L1165" s="1143"/>
      <c r="M1165" s="1780"/>
      <c r="N1165" s="1779"/>
    </row>
    <row r="1166" spans="1:14" ht="13.5" x14ac:dyDescent="0.25">
      <c r="A1166" s="1138"/>
      <c r="B1166" s="1138"/>
      <c r="C1166" s="1138"/>
      <c r="D1166" s="1138"/>
      <c r="E1166" s="1138"/>
      <c r="F1166" s="1138"/>
      <c r="G1166" s="1138"/>
      <c r="H1166" s="1138"/>
      <c r="I1166" s="1138"/>
      <c r="J1166" s="1138"/>
      <c r="K1166" s="1778" t="s">
        <v>523</v>
      </c>
      <c r="L1166" s="1779"/>
      <c r="M1166" s="1780">
        <f>SUM(M1161:N1165)</f>
        <v>137879.9522857143</v>
      </c>
      <c r="N1166" s="1779"/>
    </row>
    <row r="1167" spans="1:14" x14ac:dyDescent="0.2">
      <c r="I1167" s="1414"/>
      <c r="J1167" s="1415"/>
      <c r="K1167" s="1415"/>
      <c r="L1167" s="1415"/>
      <c r="M1167" s="1415"/>
      <c r="N1167" s="1415"/>
    </row>
    <row r="1168" spans="1:14" ht="13.5" thickBot="1" x14ac:dyDescent="0.25">
      <c r="I1168" s="1416"/>
      <c r="J1168" s="1416"/>
      <c r="K1168" s="1416"/>
      <c r="L1168" s="1416"/>
      <c r="M1168" s="1416"/>
      <c r="N1168" s="1416"/>
    </row>
    <row r="1169" spans="1:15" ht="14.25" thickTop="1" x14ac:dyDescent="0.2">
      <c r="I1169" s="1417" t="s">
        <v>1829</v>
      </c>
      <c r="J1169" s="1418"/>
      <c r="K1169" s="1417" t="s">
        <v>2653</v>
      </c>
      <c r="L1169" s="1418"/>
      <c r="M1169" s="1418"/>
      <c r="N1169" s="1418"/>
    </row>
    <row r="1170" spans="1:15" ht="13.5" x14ac:dyDescent="0.2">
      <c r="I1170" s="1419" t="s">
        <v>1831</v>
      </c>
      <c r="J1170" s="1420"/>
      <c r="K1170" s="1419"/>
      <c r="L1170" s="1420"/>
      <c r="M1170" s="1420"/>
      <c r="N1170" s="1420"/>
    </row>
    <row r="1171" spans="1:15" x14ac:dyDescent="0.2">
      <c r="A1171" s="1796" t="s">
        <v>2349</v>
      </c>
      <c r="B1171" s="1797"/>
      <c r="C1171" s="1797"/>
      <c r="D1171" s="1797"/>
      <c r="E1171" s="1797"/>
      <c r="F1171" s="1797"/>
      <c r="G1171" s="1797"/>
      <c r="H1171" s="1797"/>
      <c r="I1171" s="1797"/>
      <c r="J1171" s="1797"/>
      <c r="K1171" s="1797"/>
      <c r="L1171" s="1797"/>
      <c r="M1171" s="1797"/>
      <c r="N1171" s="1798"/>
    </row>
    <row r="1172" spans="1:15" x14ac:dyDescent="0.2">
      <c r="A1172" s="1799"/>
      <c r="B1172" s="1800"/>
      <c r="C1172" s="1800"/>
      <c r="D1172" s="1800"/>
      <c r="E1172" s="1800"/>
      <c r="F1172" s="1800"/>
      <c r="G1172" s="1800"/>
      <c r="H1172" s="1800"/>
      <c r="I1172" s="1800"/>
      <c r="J1172" s="1800"/>
      <c r="K1172" s="1800"/>
      <c r="L1172" s="1800"/>
      <c r="M1172" s="1800"/>
      <c r="N1172" s="1801"/>
    </row>
    <row r="1173" spans="1:15" ht="13.5" x14ac:dyDescent="0.2">
      <c r="A1173" s="1128"/>
      <c r="B1173" s="1128"/>
      <c r="C1173" s="1128"/>
      <c r="D1173" s="1128"/>
      <c r="E1173" s="1128"/>
      <c r="F1173" s="1128"/>
      <c r="G1173" s="1128"/>
      <c r="H1173" s="1128"/>
      <c r="I1173" s="1128"/>
      <c r="J1173" s="1128"/>
      <c r="K1173" s="1128"/>
      <c r="L1173" s="1128"/>
      <c r="M1173" s="1128"/>
      <c r="N1173" s="1128"/>
    </row>
    <row r="1174" spans="1:15" ht="14.25" x14ac:dyDescent="0.3">
      <c r="A1174" s="1104" t="s">
        <v>2348</v>
      </c>
      <c r="B1174" s="1129" t="str">
        <f>A1171</f>
        <v>SUMINISTRO E INSTALACIÓN SISTEMA DE RECOLECCIÓN DE AGUA FLOCULADA, EN TUBERÍA HD O PETROLERA DE DIÁMETRO 12". INCLUYE TODO LO NECESARIO PARA SU CORRECTA CONSTRUCCIÓN E INSTALACIÓN.</v>
      </c>
      <c r="C1174" s="1130" t="s">
        <v>634</v>
      </c>
      <c r="D1174" s="1107" t="s">
        <v>2</v>
      </c>
      <c r="E1174" s="1132" t="s">
        <v>1833</v>
      </c>
      <c r="F1174" s="1133">
        <f>H1174+J1174+L1174+N1174</f>
        <v>3129539.8608333333</v>
      </c>
      <c r="G1174" s="1132" t="s">
        <v>2136</v>
      </c>
      <c r="H1174" s="1133">
        <f>M1192</f>
        <v>500</v>
      </c>
      <c r="I1174" s="1132" t="s">
        <v>621</v>
      </c>
      <c r="J1174" s="1134">
        <f>M1183</f>
        <v>2722570</v>
      </c>
      <c r="K1174" s="1132" t="s">
        <v>2137</v>
      </c>
      <c r="L1174" s="1133">
        <f>M1201</f>
        <v>4320</v>
      </c>
      <c r="M1174" s="1132" t="s">
        <v>2138</v>
      </c>
      <c r="N1174" s="1133">
        <f>M1210</f>
        <v>402149.86083333334</v>
      </c>
    </row>
    <row r="1175" spans="1:15" ht="13.5" x14ac:dyDescent="0.25">
      <c r="A1175" s="1135"/>
      <c r="B1175" s="1135"/>
      <c r="C1175" s="1135"/>
      <c r="D1175" s="1135"/>
      <c r="E1175" s="1135"/>
      <c r="F1175" s="1135"/>
      <c r="G1175" s="1135"/>
      <c r="J1175" s="1135"/>
      <c r="K1175" s="1135"/>
      <c r="L1175" s="1135"/>
      <c r="M1175" s="1270" t="s">
        <v>2667</v>
      </c>
      <c r="N1175" s="1270">
        <f>+F1174*'01'!$O$15</f>
        <v>4050575.6705097444</v>
      </c>
    </row>
    <row r="1176" spans="1:15" x14ac:dyDescent="0.2">
      <c r="A1176" s="1781" t="s">
        <v>2139</v>
      </c>
      <c r="B1176" s="1782"/>
      <c r="C1176" s="1782"/>
      <c r="D1176" s="1782"/>
      <c r="E1176" s="1782"/>
      <c r="F1176" s="1782"/>
      <c r="G1176" s="1782"/>
      <c r="H1176" s="1782"/>
      <c r="I1176" s="1782"/>
      <c r="J1176" s="1782"/>
      <c r="K1176" s="1782"/>
      <c r="L1176" s="1782"/>
      <c r="M1176" s="1782"/>
      <c r="N1176" s="1779"/>
    </row>
    <row r="1177" spans="1:15" x14ac:dyDescent="0.2">
      <c r="A1177" s="1778" t="s">
        <v>14</v>
      </c>
      <c r="B1177" s="1782"/>
      <c r="C1177" s="1782"/>
      <c r="D1177" s="1782"/>
      <c r="E1177" s="1782"/>
      <c r="F1177" s="1782"/>
      <c r="G1177" s="1779"/>
      <c r="H1177" s="1136" t="s">
        <v>15</v>
      </c>
      <c r="I1177" s="1783" t="s">
        <v>619</v>
      </c>
      <c r="J1177" s="1779"/>
      <c r="K1177" s="1783" t="s">
        <v>628</v>
      </c>
      <c r="L1177" s="1779"/>
      <c r="M1177" s="1783" t="s">
        <v>2140</v>
      </c>
      <c r="N1177" s="1779"/>
    </row>
    <row r="1178" spans="1:15" ht="13.5" customHeight="1" x14ac:dyDescent="0.2">
      <c r="A1178" s="1792" t="s">
        <v>1111</v>
      </c>
      <c r="B1178" s="1782"/>
      <c r="C1178" s="1782"/>
      <c r="D1178" s="1782"/>
      <c r="E1178" s="1782"/>
      <c r="F1178" s="1782"/>
      <c r="G1178" s="1779"/>
      <c r="H1178" s="1032" t="str">
        <f>IF(A1178="","",VLOOKUP(A1178,'10'!$C$6:$E$1152,2,FALSE))</f>
        <v>UND</v>
      </c>
      <c r="I1178" s="1785">
        <f>IF(A1178="","",VLOOKUP(A1178,'10'!$C$6:$E$1152,3,FALSE))</f>
        <v>1880200</v>
      </c>
      <c r="J1178" s="1412"/>
      <c r="K1178" s="1794">
        <v>1</v>
      </c>
      <c r="L1178" s="1795"/>
      <c r="M1178" s="1780">
        <f>K1178*I1178</f>
        <v>1880200</v>
      </c>
      <c r="N1178" s="1779"/>
    </row>
    <row r="1179" spans="1:15" ht="13.5" customHeight="1" x14ac:dyDescent="0.2">
      <c r="A1179" s="1792" t="s">
        <v>1101</v>
      </c>
      <c r="B1179" s="1782"/>
      <c r="C1179" s="1782"/>
      <c r="D1179" s="1782"/>
      <c r="E1179" s="1782"/>
      <c r="F1179" s="1782"/>
      <c r="G1179" s="1779"/>
      <c r="H1179" s="1032" t="str">
        <f>IF(A1179="","",VLOOKUP(A1179,'10'!$C$6:$E$1152,2,FALSE))</f>
        <v>UND</v>
      </c>
      <c r="I1179" s="1785">
        <f>IF(A1179="","",VLOOKUP(A1179,'10'!$C$6:$E$1152,3,FALSE))</f>
        <v>515270</v>
      </c>
      <c r="J1179" s="1412"/>
      <c r="K1179" s="1794">
        <v>1</v>
      </c>
      <c r="L1179" s="1795"/>
      <c r="M1179" s="1780">
        <f t="shared" ref="M1179:M1180" si="52">K1179*I1179</f>
        <v>515270</v>
      </c>
      <c r="N1179" s="1779"/>
    </row>
    <row r="1180" spans="1:15" ht="13.5" x14ac:dyDescent="0.2">
      <c r="A1180" s="1792" t="s">
        <v>1104</v>
      </c>
      <c r="B1180" s="1782"/>
      <c r="C1180" s="1782"/>
      <c r="D1180" s="1782"/>
      <c r="E1180" s="1782"/>
      <c r="F1180" s="1782"/>
      <c r="G1180" s="1779"/>
      <c r="H1180" s="1032" t="str">
        <f>IF(A1180="","",VLOOKUP(A1180,'10'!$C$6:$E$1152,2,FALSE))</f>
        <v>ML</v>
      </c>
      <c r="I1180" s="1785">
        <f>IF(A1180="","",VLOOKUP(A1180,'10'!$C$6:$E$1152,3,FALSE))</f>
        <v>452200</v>
      </c>
      <c r="J1180" s="1412"/>
      <c r="K1180" s="1794">
        <v>0.5</v>
      </c>
      <c r="L1180" s="1795"/>
      <c r="M1180" s="1780">
        <f t="shared" si="52"/>
        <v>226100</v>
      </c>
      <c r="N1180" s="1779"/>
      <c r="O1180" s="799"/>
    </row>
    <row r="1181" spans="1:15" ht="13.5" x14ac:dyDescent="0.2">
      <c r="A1181" s="1792" t="s">
        <v>1561</v>
      </c>
      <c r="B1181" s="1782"/>
      <c r="C1181" s="1782"/>
      <c r="D1181" s="1782"/>
      <c r="E1181" s="1782"/>
      <c r="F1181" s="1782"/>
      <c r="G1181" s="1779"/>
      <c r="H1181" s="1032" t="str">
        <f>IF(A1181="","",VLOOKUP(A1181,'10'!$C$6:$E$1152,2,FALSE))</f>
        <v>UND</v>
      </c>
      <c r="I1181" s="1785">
        <f>IF(A1181="","",VLOOKUP(A1181,'10'!$C$6:$E$1152,3,FALSE))</f>
        <v>5500</v>
      </c>
      <c r="J1181" s="1412"/>
      <c r="K1181" s="1794">
        <v>12</v>
      </c>
      <c r="L1181" s="1795"/>
      <c r="M1181" s="1780">
        <f t="shared" ref="M1181:M1182" si="53">K1181*I1181</f>
        <v>66000</v>
      </c>
      <c r="N1181" s="1779"/>
    </row>
    <row r="1182" spans="1:15" ht="13.5" x14ac:dyDescent="0.2">
      <c r="A1182" s="1792" t="s">
        <v>1633</v>
      </c>
      <c r="B1182" s="1782"/>
      <c r="C1182" s="1782"/>
      <c r="D1182" s="1782"/>
      <c r="E1182" s="1782"/>
      <c r="F1182" s="1782"/>
      <c r="G1182" s="1779"/>
      <c r="H1182" s="1032" t="str">
        <f>IF(A1182="","",VLOOKUP(A1182,'10'!$C$6:$E$1152,2,FALSE))</f>
        <v>UND</v>
      </c>
      <c r="I1182" s="1785">
        <f>IF(A1182="","",VLOOKUP(A1182,'10'!$C$6:$E$1152,3,FALSE))</f>
        <v>35000</v>
      </c>
      <c r="J1182" s="1412"/>
      <c r="K1182" s="1794">
        <v>1</v>
      </c>
      <c r="L1182" s="1795"/>
      <c r="M1182" s="1780">
        <f t="shared" si="53"/>
        <v>35000</v>
      </c>
      <c r="N1182" s="1779"/>
    </row>
    <row r="1183" spans="1:15" ht="13.5" x14ac:dyDescent="0.25">
      <c r="A1183" s="1138"/>
      <c r="B1183" s="1138"/>
      <c r="C1183" s="1138"/>
      <c r="D1183" s="1138"/>
      <c r="E1183" s="1138"/>
      <c r="F1183" s="1138"/>
      <c r="G1183" s="1138"/>
      <c r="H1183" s="1138"/>
      <c r="I1183" s="1138"/>
      <c r="J1183" s="1138"/>
      <c r="K1183" s="1778" t="s">
        <v>523</v>
      </c>
      <c r="L1183" s="1779"/>
      <c r="M1183" s="1780">
        <f>SUM(M1178:N1182)</f>
        <v>2722570</v>
      </c>
      <c r="N1183" s="1779"/>
    </row>
    <row r="1184" spans="1:15" ht="13.5" x14ac:dyDescent="0.25">
      <c r="A1184" s="1138"/>
      <c r="B1184" s="1138"/>
      <c r="C1184" s="1138"/>
      <c r="D1184" s="1138"/>
      <c r="E1184" s="1138"/>
      <c r="F1184" s="1138"/>
      <c r="G1184" s="1138"/>
      <c r="H1184" s="1138"/>
      <c r="I1184" s="1138"/>
      <c r="J1184" s="1138"/>
      <c r="K1184" s="1138"/>
      <c r="L1184" s="1138"/>
      <c r="M1184" s="1138"/>
      <c r="N1184" s="1138"/>
    </row>
    <row r="1185" spans="1:14" x14ac:dyDescent="0.2">
      <c r="A1185" s="1781" t="s">
        <v>2145</v>
      </c>
      <c r="B1185" s="1782"/>
      <c r="C1185" s="1782"/>
      <c r="D1185" s="1782"/>
      <c r="E1185" s="1782"/>
      <c r="F1185" s="1782"/>
      <c r="G1185" s="1782"/>
      <c r="H1185" s="1782"/>
      <c r="I1185" s="1782"/>
      <c r="J1185" s="1782"/>
      <c r="K1185" s="1782"/>
      <c r="L1185" s="1782"/>
      <c r="M1185" s="1782"/>
      <c r="N1185" s="1779"/>
    </row>
    <row r="1186" spans="1:14" x14ac:dyDescent="0.2">
      <c r="A1186" s="1778" t="s">
        <v>14</v>
      </c>
      <c r="B1186" s="1782"/>
      <c r="C1186" s="1782"/>
      <c r="D1186" s="1782"/>
      <c r="E1186" s="1782"/>
      <c r="F1186" s="1782"/>
      <c r="G1186" s="1779"/>
      <c r="H1186" s="1136" t="s">
        <v>15</v>
      </c>
      <c r="I1186" s="1783" t="s">
        <v>619</v>
      </c>
      <c r="J1186" s="1779"/>
      <c r="K1186" s="1783" t="s">
        <v>610</v>
      </c>
      <c r="L1186" s="1779"/>
      <c r="M1186" s="1783" t="s">
        <v>2140</v>
      </c>
      <c r="N1186" s="1779"/>
    </row>
    <row r="1187" spans="1:14" ht="13.5" x14ac:dyDescent="0.2">
      <c r="A1187" s="1789" t="s">
        <v>131</v>
      </c>
      <c r="B1187" s="1790"/>
      <c r="C1187" s="1790"/>
      <c r="D1187" s="1790"/>
      <c r="E1187" s="1790"/>
      <c r="F1187" s="1790"/>
      <c r="G1187" s="1791"/>
      <c r="H1187" s="1032" t="str">
        <f>IF(A1187="","",VLOOKUP(A1187,'11'!$C$6:$E$87,2,FALSE))</f>
        <v>DIA</v>
      </c>
      <c r="I1187" s="1785">
        <f>IF(A1187="","",VLOOKUP(A1187,'11'!$C$6:$E$87,3,FALSE))</f>
        <v>15000</v>
      </c>
      <c r="J1187" s="1412"/>
      <c r="K1187" s="1787">
        <v>30</v>
      </c>
      <c r="L1187" s="1793"/>
      <c r="M1187" s="1780">
        <f>I1187/K1187</f>
        <v>500</v>
      </c>
      <c r="N1187" s="1779"/>
    </row>
    <row r="1188" spans="1:14" ht="13.5" x14ac:dyDescent="0.2">
      <c r="A1188" s="1802"/>
      <c r="B1188" s="1782"/>
      <c r="C1188" s="1782"/>
      <c r="D1188" s="1782"/>
      <c r="E1188" s="1782"/>
      <c r="F1188" s="1782"/>
      <c r="G1188" s="1779"/>
      <c r="H1188" s="1137"/>
      <c r="I1188" s="1780"/>
      <c r="J1188" s="1779"/>
      <c r="K1188" s="1794"/>
      <c r="L1188" s="1779"/>
      <c r="M1188" s="1780"/>
      <c r="N1188" s="1779"/>
    </row>
    <row r="1189" spans="1:14" ht="13.5" x14ac:dyDescent="0.2">
      <c r="A1189" s="1789"/>
      <c r="B1189" s="1782"/>
      <c r="C1189" s="1782"/>
      <c r="D1189" s="1782"/>
      <c r="E1189" s="1782"/>
      <c r="F1189" s="1782"/>
      <c r="G1189" s="1779"/>
      <c r="H1189" s="1137"/>
      <c r="I1189" s="1780"/>
      <c r="J1189" s="1779"/>
      <c r="K1189" s="1787"/>
      <c r="L1189" s="1779"/>
      <c r="M1189" s="1780"/>
      <c r="N1189" s="1779"/>
    </row>
    <row r="1190" spans="1:14" ht="13.5" x14ac:dyDescent="0.2">
      <c r="A1190" s="1789"/>
      <c r="B1190" s="1782"/>
      <c r="C1190" s="1782"/>
      <c r="D1190" s="1782"/>
      <c r="E1190" s="1782"/>
      <c r="F1190" s="1782"/>
      <c r="G1190" s="1779"/>
      <c r="H1190" s="1137"/>
      <c r="I1190" s="1780"/>
      <c r="J1190" s="1779"/>
      <c r="K1190" s="1787"/>
      <c r="L1190" s="1779"/>
      <c r="M1190" s="1780"/>
      <c r="N1190" s="1779"/>
    </row>
    <row r="1191" spans="1:14" ht="13.5" x14ac:dyDescent="0.2">
      <c r="A1191" s="1789"/>
      <c r="B1191" s="1782"/>
      <c r="C1191" s="1782"/>
      <c r="D1191" s="1782"/>
      <c r="E1191" s="1782"/>
      <c r="F1191" s="1782"/>
      <c r="G1191" s="1779"/>
      <c r="H1191" s="1137"/>
      <c r="I1191" s="1780"/>
      <c r="J1191" s="1779"/>
      <c r="K1191" s="1787"/>
      <c r="L1191" s="1779"/>
      <c r="M1191" s="1780"/>
      <c r="N1191" s="1779"/>
    </row>
    <row r="1192" spans="1:14" ht="13.5" x14ac:dyDescent="0.25">
      <c r="A1192" s="1138"/>
      <c r="B1192" s="1138"/>
      <c r="C1192" s="1138"/>
      <c r="D1192" s="1138"/>
      <c r="E1192" s="1138"/>
      <c r="F1192" s="1138"/>
      <c r="G1192" s="1138"/>
      <c r="H1192" s="1138"/>
      <c r="I1192" s="1138"/>
      <c r="J1192" s="1138"/>
      <c r="K1192" s="1778" t="s">
        <v>523</v>
      </c>
      <c r="L1192" s="1779"/>
      <c r="M1192" s="1780">
        <f>SUM(M1187:N1191)</f>
        <v>500</v>
      </c>
      <c r="N1192" s="1779"/>
    </row>
    <row r="1193" spans="1:14" ht="13.5" x14ac:dyDescent="0.25">
      <c r="A1193" s="1138"/>
      <c r="B1193" s="1138"/>
      <c r="C1193" s="1138"/>
      <c r="D1193" s="1138"/>
      <c r="E1193" s="1138"/>
      <c r="F1193" s="1138"/>
      <c r="G1193" s="1138"/>
      <c r="H1193" s="1138"/>
      <c r="I1193" s="1138"/>
      <c r="J1193" s="1138"/>
      <c r="K1193" s="1138"/>
      <c r="L1193" s="1138"/>
      <c r="M1193" s="1138"/>
      <c r="N1193" s="1138"/>
    </row>
    <row r="1194" spans="1:14" x14ac:dyDescent="0.2">
      <c r="A1194" s="1781" t="s">
        <v>2147</v>
      </c>
      <c r="B1194" s="1782"/>
      <c r="C1194" s="1782"/>
      <c r="D1194" s="1782"/>
      <c r="E1194" s="1782"/>
      <c r="F1194" s="1782"/>
      <c r="G1194" s="1782"/>
      <c r="H1194" s="1782"/>
      <c r="I1194" s="1782"/>
      <c r="J1194" s="1782"/>
      <c r="K1194" s="1782"/>
      <c r="L1194" s="1782"/>
      <c r="M1194" s="1782"/>
      <c r="N1194" s="1779"/>
    </row>
    <row r="1195" spans="1:14" x14ac:dyDescent="0.2">
      <c r="A1195" s="1778" t="s">
        <v>14</v>
      </c>
      <c r="B1195" s="1782"/>
      <c r="C1195" s="1782"/>
      <c r="D1195" s="1782"/>
      <c r="E1195" s="1782"/>
      <c r="F1195" s="1782"/>
      <c r="G1195" s="1779"/>
      <c r="H1195" s="1136" t="s">
        <v>15</v>
      </c>
      <c r="I1195" s="1783" t="s">
        <v>619</v>
      </c>
      <c r="J1195" s="1779"/>
      <c r="K1195" s="1783" t="s">
        <v>628</v>
      </c>
      <c r="L1195" s="1779"/>
      <c r="M1195" s="1783" t="s">
        <v>2140</v>
      </c>
      <c r="N1195" s="1779"/>
    </row>
    <row r="1196" spans="1:14" ht="13.5" x14ac:dyDescent="0.2">
      <c r="A1196" s="1792" t="s">
        <v>2328</v>
      </c>
      <c r="B1196" s="1782"/>
      <c r="C1196" s="1782"/>
      <c r="D1196" s="1782"/>
      <c r="E1196" s="1782"/>
      <c r="F1196" s="1782"/>
      <c r="G1196" s="1779"/>
      <c r="H1196" s="1032" t="str">
        <f>IF(A1196="","",VLOOKUP(A1196,'11'!$C$6:$E$1012,2,FALSE))</f>
        <v>KM-M3</v>
      </c>
      <c r="I1196" s="1785">
        <f>IF(A1196="","",VLOOKUP(A1196,'11'!$C$6:$E$1012,3,FALSE))</f>
        <v>1440</v>
      </c>
      <c r="J1196" s="1412"/>
      <c r="K1196" s="1787">
        <v>3</v>
      </c>
      <c r="L1196" s="1793"/>
      <c r="M1196" s="1780">
        <f t="shared" ref="M1196" si="54">IF(A1196="","",I1196*K1196)</f>
        <v>4320</v>
      </c>
      <c r="N1196" s="1779"/>
    </row>
    <row r="1197" spans="1:14" ht="13.5" x14ac:dyDescent="0.2">
      <c r="A1197" s="1786"/>
      <c r="B1197" s="1782"/>
      <c r="C1197" s="1782"/>
      <c r="D1197" s="1782"/>
      <c r="E1197" s="1782"/>
      <c r="F1197" s="1782"/>
      <c r="G1197" s="1779"/>
      <c r="H1197" s="1032"/>
      <c r="I1197" s="1780"/>
      <c r="J1197" s="1779"/>
      <c r="K1197" s="1787"/>
      <c r="L1197" s="1779"/>
      <c r="M1197" s="1780"/>
      <c r="N1197" s="1779"/>
    </row>
    <row r="1198" spans="1:14" ht="13.5" x14ac:dyDescent="0.2">
      <c r="A1198" s="1786"/>
      <c r="B1198" s="1782"/>
      <c r="C1198" s="1782"/>
      <c r="D1198" s="1782"/>
      <c r="E1198" s="1782"/>
      <c r="F1198" s="1782"/>
      <c r="G1198" s="1779"/>
      <c r="H1198" s="1032"/>
      <c r="I1198" s="1780"/>
      <c r="J1198" s="1779"/>
      <c r="K1198" s="1788"/>
      <c r="L1198" s="1779"/>
      <c r="M1198" s="1780"/>
      <c r="N1198" s="1779"/>
    </row>
    <row r="1199" spans="1:14" ht="13.5" x14ac:dyDescent="0.2">
      <c r="A1199" s="1789"/>
      <c r="B1199" s="1782"/>
      <c r="C1199" s="1782"/>
      <c r="D1199" s="1782"/>
      <c r="E1199" s="1782"/>
      <c r="F1199" s="1782"/>
      <c r="G1199" s="1779"/>
      <c r="H1199" s="1137"/>
      <c r="I1199" s="1780"/>
      <c r="J1199" s="1779"/>
      <c r="K1199" s="1787"/>
      <c r="L1199" s="1779"/>
      <c r="M1199" s="1780"/>
      <c r="N1199" s="1779"/>
    </row>
    <row r="1200" spans="1:14" ht="13.5" x14ac:dyDescent="0.2">
      <c r="A1200" s="1789"/>
      <c r="B1200" s="1782"/>
      <c r="C1200" s="1782"/>
      <c r="D1200" s="1782"/>
      <c r="E1200" s="1782"/>
      <c r="F1200" s="1782"/>
      <c r="G1200" s="1779"/>
      <c r="H1200" s="1137"/>
      <c r="I1200" s="1780"/>
      <c r="J1200" s="1779"/>
      <c r="K1200" s="1787"/>
      <c r="L1200" s="1779"/>
      <c r="M1200" s="1780"/>
      <c r="N1200" s="1779"/>
    </row>
    <row r="1201" spans="1:14" ht="13.5" x14ac:dyDescent="0.25">
      <c r="A1201" s="1138"/>
      <c r="B1201" s="1138"/>
      <c r="C1201" s="1138"/>
      <c r="D1201" s="1138"/>
      <c r="E1201" s="1138"/>
      <c r="F1201" s="1138"/>
      <c r="G1201" s="1138"/>
      <c r="H1201" s="1138"/>
      <c r="I1201" s="1138"/>
      <c r="J1201" s="1138"/>
      <c r="K1201" s="1778" t="s">
        <v>523</v>
      </c>
      <c r="L1201" s="1779"/>
      <c r="M1201" s="1780">
        <f>SUM(M1196:N1200)</f>
        <v>4320</v>
      </c>
      <c r="N1201" s="1779"/>
    </row>
    <row r="1202" spans="1:14" ht="13.5" x14ac:dyDescent="0.25">
      <c r="A1202" s="1138"/>
      <c r="B1202" s="1138"/>
      <c r="C1202" s="1138"/>
      <c r="D1202" s="1138"/>
      <c r="E1202" s="1138"/>
      <c r="F1202" s="1138"/>
      <c r="G1202" s="1138"/>
      <c r="H1202" s="1138"/>
      <c r="I1202" s="1138"/>
      <c r="J1202" s="1138"/>
      <c r="K1202" s="1138"/>
      <c r="L1202" s="1138"/>
      <c r="M1202" s="1138"/>
      <c r="N1202" s="1138"/>
    </row>
    <row r="1203" spans="1:14" x14ac:dyDescent="0.2">
      <c r="A1203" s="1781" t="s">
        <v>2150</v>
      </c>
      <c r="B1203" s="1782"/>
      <c r="C1203" s="1782"/>
      <c r="D1203" s="1782"/>
      <c r="E1203" s="1782"/>
      <c r="F1203" s="1782"/>
      <c r="G1203" s="1782"/>
      <c r="H1203" s="1782"/>
      <c r="I1203" s="1782"/>
      <c r="J1203" s="1782"/>
      <c r="K1203" s="1782"/>
      <c r="L1203" s="1782"/>
      <c r="M1203" s="1782"/>
      <c r="N1203" s="1779"/>
    </row>
    <row r="1204" spans="1:14" x14ac:dyDescent="0.2">
      <c r="A1204" s="1778" t="s">
        <v>14</v>
      </c>
      <c r="B1204" s="1782"/>
      <c r="C1204" s="1782"/>
      <c r="D1204" s="1782"/>
      <c r="E1204" s="1782"/>
      <c r="F1204" s="1782"/>
      <c r="G1204" s="1779"/>
      <c r="H1204" s="1136" t="s">
        <v>15</v>
      </c>
      <c r="I1204" s="1783" t="s">
        <v>619</v>
      </c>
      <c r="J1204" s="1779"/>
      <c r="K1204" s="1139" t="s">
        <v>1919</v>
      </c>
      <c r="L1204" s="1140" t="s">
        <v>2151</v>
      </c>
      <c r="M1204" s="1783" t="s">
        <v>2140</v>
      </c>
      <c r="N1204" s="1779"/>
    </row>
    <row r="1205" spans="1:14" ht="13.5" x14ac:dyDescent="0.25">
      <c r="A1205" s="1784" t="s">
        <v>2168</v>
      </c>
      <c r="B1205" s="1782"/>
      <c r="C1205" s="1782"/>
      <c r="D1205" s="1782"/>
      <c r="E1205" s="1782"/>
      <c r="F1205" s="1782"/>
      <c r="G1205" s="1779"/>
      <c r="H1205" s="1032" t="str">
        <f>IF(A1205="","",VLOOKUP(A1205,'09'!$A$22:$O$168,4,FALSE))</f>
        <v>Cuadrilla</v>
      </c>
      <c r="I1205" s="1785">
        <f>IF(A1205="","",VLOOKUP(A1205,'09'!$A$22:$O$168,5,FALSE))</f>
        <v>204272</v>
      </c>
      <c r="J1205" s="1412"/>
      <c r="K1205" s="1034">
        <f>IF(A1205="","",'03'!$I$2)</f>
        <v>1.88995</v>
      </c>
      <c r="L1205" s="1116">
        <v>0.12</v>
      </c>
      <c r="M1205" s="1780">
        <f>I1205*K1205/(L1205*8)</f>
        <v>402149.86083333334</v>
      </c>
      <c r="N1205" s="1779"/>
    </row>
    <row r="1206" spans="1:14" ht="13.5" x14ac:dyDescent="0.25">
      <c r="A1206" s="1784"/>
      <c r="B1206" s="1782"/>
      <c r="C1206" s="1782"/>
      <c r="D1206" s="1782"/>
      <c r="E1206" s="1782"/>
      <c r="F1206" s="1782"/>
      <c r="G1206" s="1779"/>
      <c r="H1206" s="1137"/>
      <c r="I1206" s="1780"/>
      <c r="J1206" s="1779"/>
      <c r="K1206" s="1141"/>
      <c r="L1206" s="1141"/>
      <c r="M1206" s="1780"/>
      <c r="N1206" s="1779"/>
    </row>
    <row r="1207" spans="1:14" ht="13.5" x14ac:dyDescent="0.25">
      <c r="A1207" s="1784"/>
      <c r="B1207" s="1782"/>
      <c r="C1207" s="1782"/>
      <c r="D1207" s="1782"/>
      <c r="E1207" s="1782"/>
      <c r="F1207" s="1782"/>
      <c r="G1207" s="1779"/>
      <c r="H1207" s="1137"/>
      <c r="I1207" s="1780"/>
      <c r="J1207" s="1779"/>
      <c r="K1207" s="1141"/>
      <c r="L1207" s="1143"/>
      <c r="M1207" s="1780"/>
      <c r="N1207" s="1779"/>
    </row>
    <row r="1208" spans="1:14" ht="13.5" x14ac:dyDescent="0.25">
      <c r="A1208" s="1784"/>
      <c r="B1208" s="1782"/>
      <c r="C1208" s="1782"/>
      <c r="D1208" s="1782"/>
      <c r="E1208" s="1782"/>
      <c r="F1208" s="1782"/>
      <c r="G1208" s="1779"/>
      <c r="H1208" s="1137"/>
      <c r="I1208" s="1780"/>
      <c r="J1208" s="1779"/>
      <c r="K1208" s="1141"/>
      <c r="L1208" s="1143"/>
      <c r="M1208" s="1780"/>
      <c r="N1208" s="1779"/>
    </row>
    <row r="1209" spans="1:14" ht="13.5" x14ac:dyDescent="0.25">
      <c r="A1209" s="1784"/>
      <c r="B1209" s="1782"/>
      <c r="C1209" s="1782"/>
      <c r="D1209" s="1782"/>
      <c r="E1209" s="1782"/>
      <c r="F1209" s="1782"/>
      <c r="G1209" s="1779"/>
      <c r="H1209" s="1137"/>
      <c r="I1209" s="1780"/>
      <c r="J1209" s="1779"/>
      <c r="K1209" s="1141"/>
      <c r="L1209" s="1143"/>
      <c r="M1209" s="1780"/>
      <c r="N1209" s="1779"/>
    </row>
    <row r="1210" spans="1:14" ht="13.5" x14ac:dyDescent="0.25">
      <c r="A1210" s="1138"/>
      <c r="B1210" s="1138"/>
      <c r="C1210" s="1138"/>
      <c r="D1210" s="1138"/>
      <c r="E1210" s="1138"/>
      <c r="F1210" s="1138"/>
      <c r="G1210" s="1138"/>
      <c r="H1210" s="1138"/>
      <c r="I1210" s="1138"/>
      <c r="J1210" s="1138"/>
      <c r="K1210" s="1778" t="s">
        <v>523</v>
      </c>
      <c r="L1210" s="1779"/>
      <c r="M1210" s="1780">
        <f>SUM(M1205:N1209)</f>
        <v>402149.86083333334</v>
      </c>
      <c r="N1210" s="1779"/>
    </row>
    <row r="1211" spans="1:14" x14ac:dyDescent="0.2">
      <c r="I1211" s="1414"/>
      <c r="J1211" s="1415"/>
      <c r="K1211" s="1415"/>
      <c r="L1211" s="1415"/>
      <c r="M1211" s="1415"/>
      <c r="N1211" s="1415"/>
    </row>
    <row r="1212" spans="1:14" ht="13.5" thickBot="1" x14ac:dyDescent="0.25">
      <c r="I1212" s="1416"/>
      <c r="J1212" s="1416"/>
      <c r="K1212" s="1416"/>
      <c r="L1212" s="1416"/>
      <c r="M1212" s="1416"/>
      <c r="N1212" s="1416"/>
    </row>
    <row r="1213" spans="1:14" ht="14.25" thickTop="1" x14ac:dyDescent="0.2">
      <c r="I1213" s="1417" t="s">
        <v>1829</v>
      </c>
      <c r="J1213" s="1418"/>
      <c r="K1213" s="1417" t="s">
        <v>2653</v>
      </c>
      <c r="L1213" s="1418"/>
      <c r="M1213" s="1418"/>
      <c r="N1213" s="1418"/>
    </row>
    <row r="1214" spans="1:14" ht="13.5" x14ac:dyDescent="0.2">
      <c r="I1214" s="1419" t="s">
        <v>1831</v>
      </c>
      <c r="J1214" s="1420"/>
      <c r="K1214" s="1419"/>
      <c r="L1214" s="1420"/>
      <c r="M1214" s="1420"/>
      <c r="N1214" s="1420"/>
    </row>
    <row r="1215" spans="1:14" x14ac:dyDescent="0.2">
      <c r="A1215" s="1796" t="s">
        <v>2351</v>
      </c>
      <c r="B1215" s="1797"/>
      <c r="C1215" s="1797"/>
      <c r="D1215" s="1797"/>
      <c r="E1215" s="1797"/>
      <c r="F1215" s="1797"/>
      <c r="G1215" s="1797"/>
      <c r="H1215" s="1797"/>
      <c r="I1215" s="1797"/>
      <c r="J1215" s="1797"/>
      <c r="K1215" s="1797"/>
      <c r="L1215" s="1797"/>
      <c r="M1215" s="1797"/>
      <c r="N1215" s="1798"/>
    </row>
    <row r="1216" spans="1:14" x14ac:dyDescent="0.2">
      <c r="A1216" s="1799"/>
      <c r="B1216" s="1800"/>
      <c r="C1216" s="1800"/>
      <c r="D1216" s="1800"/>
      <c r="E1216" s="1800"/>
      <c r="F1216" s="1800"/>
      <c r="G1216" s="1800"/>
      <c r="H1216" s="1800"/>
      <c r="I1216" s="1800"/>
      <c r="J1216" s="1800"/>
      <c r="K1216" s="1800"/>
      <c r="L1216" s="1800"/>
      <c r="M1216" s="1800"/>
      <c r="N1216" s="1801"/>
    </row>
    <row r="1217" spans="1:15" ht="13.5" x14ac:dyDescent="0.2">
      <c r="A1217" s="1128"/>
      <c r="B1217" s="1128"/>
      <c r="C1217" s="1128"/>
      <c r="D1217" s="1128"/>
      <c r="E1217" s="1128"/>
      <c r="F1217" s="1128"/>
      <c r="G1217" s="1128"/>
      <c r="H1217" s="1128"/>
      <c r="I1217" s="1128"/>
      <c r="J1217" s="1128"/>
      <c r="K1217" s="1128"/>
      <c r="L1217" s="1128"/>
      <c r="M1217" s="1128"/>
      <c r="N1217" s="1128"/>
    </row>
    <row r="1218" spans="1:15" ht="14.25" x14ac:dyDescent="0.3">
      <c r="A1218" s="1104" t="s">
        <v>2350</v>
      </c>
      <c r="B1218" s="1129" t="str">
        <f>A1215</f>
        <v xml:space="preserve"> SUMINISTRO E INSTALACIÓN TUBERÍA DE ENTRADA DE AGUA FLOCULADA HACIA SEDIMENTACIÓN. TUBERÍA H.D. O PETROLERA DE DIÁMETRO 8". INCLUYE TODOS LOS ELEMENTOS PARA SU CORRECTA INSTALACIÓN Y FUNCIONAMIENTO. LA TUBERÍA TENDRÁ PERFORACIONES DE 3" SEGÚN DISEÑO. </v>
      </c>
      <c r="C1218" s="1130" t="s">
        <v>634</v>
      </c>
      <c r="D1218" s="1107" t="s">
        <v>2</v>
      </c>
      <c r="E1218" s="1132" t="s">
        <v>1833</v>
      </c>
      <c r="F1218" s="1133">
        <f>H1218+J1218+L1218+N1218</f>
        <v>7665454.8144444441</v>
      </c>
      <c r="G1218" s="1132" t="s">
        <v>2136</v>
      </c>
      <c r="H1218" s="1133">
        <f>M1241</f>
        <v>500</v>
      </c>
      <c r="I1218" s="1132" t="s">
        <v>621</v>
      </c>
      <c r="J1218" s="1134">
        <f>M1232</f>
        <v>7121555</v>
      </c>
      <c r="K1218" s="1132" t="s">
        <v>2137</v>
      </c>
      <c r="L1218" s="1133">
        <f>M1250</f>
        <v>7200</v>
      </c>
      <c r="M1218" s="1132" t="s">
        <v>2138</v>
      </c>
      <c r="N1218" s="1133">
        <f>M1259</f>
        <v>536199.81444444449</v>
      </c>
    </row>
    <row r="1219" spans="1:15" ht="13.5" x14ac:dyDescent="0.25">
      <c r="A1219" s="1135"/>
      <c r="B1219" s="1135"/>
      <c r="C1219" s="1135"/>
      <c r="D1219" s="1135"/>
      <c r="E1219" s="1135"/>
      <c r="F1219" s="1135"/>
      <c r="G1219" s="1135"/>
      <c r="J1219" s="1135"/>
      <c r="K1219" s="1135"/>
      <c r="L1219" s="1135"/>
      <c r="M1219" s="1270" t="s">
        <v>2667</v>
      </c>
      <c r="N1219" s="1270">
        <f>+F1218*'01'!$O$15</f>
        <v>9921428.1189927384</v>
      </c>
    </row>
    <row r="1220" spans="1:15" x14ac:dyDescent="0.2">
      <c r="A1220" s="1781" t="s">
        <v>2139</v>
      </c>
      <c r="B1220" s="1782"/>
      <c r="C1220" s="1782"/>
      <c r="D1220" s="1782"/>
      <c r="E1220" s="1782"/>
      <c r="F1220" s="1782"/>
      <c r="G1220" s="1782"/>
      <c r="H1220" s="1782"/>
      <c r="I1220" s="1782"/>
      <c r="J1220" s="1782"/>
      <c r="K1220" s="1782"/>
      <c r="L1220" s="1782"/>
      <c r="M1220" s="1782"/>
      <c r="N1220" s="1779"/>
    </row>
    <row r="1221" spans="1:15" x14ac:dyDescent="0.2">
      <c r="A1221" s="1778" t="s">
        <v>14</v>
      </c>
      <c r="B1221" s="1782"/>
      <c r="C1221" s="1782"/>
      <c r="D1221" s="1782"/>
      <c r="E1221" s="1782"/>
      <c r="F1221" s="1782"/>
      <c r="G1221" s="1779"/>
      <c r="H1221" s="1136" t="s">
        <v>15</v>
      </c>
      <c r="I1221" s="1783" t="s">
        <v>619</v>
      </c>
      <c r="J1221" s="1779"/>
      <c r="K1221" s="1783" t="s">
        <v>628</v>
      </c>
      <c r="L1221" s="1779"/>
      <c r="M1221" s="1783" t="s">
        <v>2140</v>
      </c>
      <c r="N1221" s="1779"/>
    </row>
    <row r="1222" spans="1:15" ht="13.5" customHeight="1" x14ac:dyDescent="0.2">
      <c r="A1222" s="1792" t="s">
        <v>1065</v>
      </c>
      <c r="B1222" s="1782"/>
      <c r="C1222" s="1782"/>
      <c r="D1222" s="1782"/>
      <c r="E1222" s="1782"/>
      <c r="F1222" s="1782"/>
      <c r="G1222" s="1779"/>
      <c r="H1222" s="1032" t="str">
        <f>IF(A1222="","",VLOOKUP(A1222,'10'!$C$6:$E$1152,2,FALSE))</f>
        <v>UND</v>
      </c>
      <c r="I1222" s="1785">
        <f>IF(A1222="","",VLOOKUP(A1222,'10'!$C$6:$E$1152,3,FALSE))</f>
        <v>1166200</v>
      </c>
      <c r="J1222" s="1412"/>
      <c r="K1222" s="1794">
        <v>3</v>
      </c>
      <c r="L1222" s="1795"/>
      <c r="M1222" s="1780">
        <f>K1222*I1222</f>
        <v>3498600</v>
      </c>
      <c r="N1222" s="1779"/>
    </row>
    <row r="1223" spans="1:15" ht="13.5" customHeight="1" x14ac:dyDescent="0.2">
      <c r="A1223" s="1792" t="s">
        <v>1100</v>
      </c>
      <c r="B1223" s="1782"/>
      <c r="C1223" s="1782"/>
      <c r="D1223" s="1782"/>
      <c r="E1223" s="1782"/>
      <c r="F1223" s="1782"/>
      <c r="G1223" s="1779"/>
      <c r="H1223" s="1032" t="str">
        <f>IF(A1223="","",VLOOKUP(A1223,'10'!$C$6:$E$1152,2,FALSE))</f>
        <v>UND</v>
      </c>
      <c r="I1223" s="1785">
        <f>IF(A1223="","",VLOOKUP(A1223,'10'!$C$6:$E$1152,3,FALSE))</f>
        <v>152320</v>
      </c>
      <c r="J1223" s="1412"/>
      <c r="K1223" s="1794">
        <v>5</v>
      </c>
      <c r="L1223" s="1795"/>
      <c r="M1223" s="1780">
        <f t="shared" ref="M1223:M1226" si="55">K1223*I1223</f>
        <v>761600</v>
      </c>
      <c r="N1223" s="1779"/>
    </row>
    <row r="1224" spans="1:15" ht="13.5" x14ac:dyDescent="0.2">
      <c r="A1224" s="1792" t="s">
        <v>1113</v>
      </c>
      <c r="B1224" s="1782"/>
      <c r="C1224" s="1782"/>
      <c r="D1224" s="1782"/>
      <c r="E1224" s="1782"/>
      <c r="F1224" s="1782"/>
      <c r="G1224" s="1779"/>
      <c r="H1224" s="1032" t="str">
        <f>IF(A1224="","",VLOOKUP(A1224,'10'!$C$6:$E$1152,2,FALSE))</f>
        <v>UND</v>
      </c>
      <c r="I1224" s="1785">
        <f>IF(A1224="","",VLOOKUP(A1224,'10'!$C$6:$E$1152,3,FALSE))</f>
        <v>515270</v>
      </c>
      <c r="J1224" s="1412"/>
      <c r="K1224" s="1794">
        <v>1</v>
      </c>
      <c r="L1224" s="1795"/>
      <c r="M1224" s="1780">
        <f t="shared" si="55"/>
        <v>515270</v>
      </c>
      <c r="N1224" s="1779"/>
      <c r="O1224" s="799"/>
    </row>
    <row r="1225" spans="1:15" ht="13.5" x14ac:dyDescent="0.2">
      <c r="A1225" s="1792" t="s">
        <v>1458</v>
      </c>
      <c r="B1225" s="1782"/>
      <c r="C1225" s="1782"/>
      <c r="D1225" s="1782"/>
      <c r="E1225" s="1782"/>
      <c r="F1225" s="1782"/>
      <c r="G1225" s="1779"/>
      <c r="H1225" s="1032" t="str">
        <f>IF(A1225="","",VLOOKUP(A1225,'10'!$C$6:$E$1152,2,FALSE))</f>
        <v>UND</v>
      </c>
      <c r="I1225" s="1785">
        <f>IF(A1225="","",VLOOKUP(A1225,'10'!$C$6:$E$1152,3,FALSE))</f>
        <v>1325660</v>
      </c>
      <c r="J1225" s="1412"/>
      <c r="K1225" s="1794">
        <v>1</v>
      </c>
      <c r="L1225" s="1795"/>
      <c r="M1225" s="1780">
        <f t="shared" si="55"/>
        <v>1325660</v>
      </c>
      <c r="N1225" s="1779"/>
    </row>
    <row r="1226" spans="1:15" ht="13.5" x14ac:dyDescent="0.2">
      <c r="A1226" s="1792" t="s">
        <v>1103</v>
      </c>
      <c r="B1226" s="1782"/>
      <c r="C1226" s="1782"/>
      <c r="D1226" s="1782"/>
      <c r="E1226" s="1782"/>
      <c r="F1226" s="1782"/>
      <c r="G1226" s="1779"/>
      <c r="H1226" s="1032" t="str">
        <f>IF(A1226="","",VLOOKUP(A1226,'10'!$C$6:$E$1152,2,FALSE))</f>
        <v>ML</v>
      </c>
      <c r="I1226" s="1785">
        <f>IF(A1226="","",VLOOKUP(A1226,'10'!$C$6:$E$1152,3,FALSE))</f>
        <v>291550</v>
      </c>
      <c r="J1226" s="1412"/>
      <c r="K1226" s="1794">
        <v>3.5</v>
      </c>
      <c r="L1226" s="1795"/>
      <c r="M1226" s="1780">
        <f t="shared" si="55"/>
        <v>1020425</v>
      </c>
      <c r="N1226" s="1779"/>
    </row>
    <row r="1227" spans="1:15" ht="13.5" x14ac:dyDescent="0.2">
      <c r="A1227" s="1792" t="s">
        <v>1560</v>
      </c>
      <c r="B1227" s="1782"/>
      <c r="C1227" s="1782"/>
      <c r="D1227" s="1782"/>
      <c r="E1227" s="1782"/>
      <c r="F1227" s="1782"/>
      <c r="G1227" s="1779"/>
      <c r="H1227" s="1032" t="str">
        <f>IF(A1227="","",VLOOKUP(A1227,'10'!$C$6:$E$1152,2,FALSE))</f>
        <v>UND</v>
      </c>
      <c r="I1227" s="1785">
        <f>IF(A1227="","",VLOOKUP(A1227,'10'!$C$6:$E$1152,3,FALSE))</f>
        <v>4000</v>
      </c>
      <c r="J1227" s="1412"/>
      <c r="K1227" s="1794">
        <v>56</v>
      </c>
      <c r="L1227" s="1795"/>
      <c r="M1227" s="1780">
        <f t="shared" ref="M1227:M1228" si="56">K1227*I1227</f>
        <v>224000</v>
      </c>
      <c r="N1227" s="1779"/>
    </row>
    <row r="1228" spans="1:15" ht="13.5" x14ac:dyDescent="0.2">
      <c r="A1228" s="1792" t="s">
        <v>1564</v>
      </c>
      <c r="B1228" s="1782"/>
      <c r="C1228" s="1782"/>
      <c r="D1228" s="1782"/>
      <c r="E1228" s="1782"/>
      <c r="F1228" s="1782"/>
      <c r="G1228" s="1779"/>
      <c r="H1228" s="1032" t="str">
        <f>IF(A1228="","",VLOOKUP(A1228,'10'!$C$6:$E$1152,2,FALSE))</f>
        <v>UND</v>
      </c>
      <c r="I1228" s="1785">
        <f>IF(A1228="","",VLOOKUP(A1228,'10'!$C$6:$E$1152,3,FALSE))</f>
        <v>30000</v>
      </c>
      <c r="J1228" s="1412"/>
      <c r="K1228" s="1794">
        <v>7</v>
      </c>
      <c r="L1228" s="1795"/>
      <c r="M1228" s="1780">
        <f t="shared" si="56"/>
        <v>210000</v>
      </c>
      <c r="N1228" s="1779"/>
    </row>
    <row r="1229" spans="1:15" ht="13.5" x14ac:dyDescent="0.2">
      <c r="A1229" s="1792"/>
      <c r="B1229" s="1782"/>
      <c r="C1229" s="1782"/>
      <c r="D1229" s="1782"/>
      <c r="E1229" s="1782"/>
      <c r="F1229" s="1782"/>
      <c r="G1229" s="1779"/>
      <c r="H1229" s="1032"/>
      <c r="I1229" s="1785"/>
      <c r="J1229" s="1412"/>
      <c r="K1229" s="1794"/>
      <c r="L1229" s="1795"/>
      <c r="M1229" s="1780"/>
      <c r="N1229" s="1779"/>
    </row>
    <row r="1230" spans="1:15" ht="13.5" x14ac:dyDescent="0.2">
      <c r="A1230" s="1792"/>
      <c r="B1230" s="1782"/>
      <c r="C1230" s="1782"/>
      <c r="D1230" s="1782"/>
      <c r="E1230" s="1782"/>
      <c r="F1230" s="1782"/>
      <c r="G1230" s="1779"/>
      <c r="H1230" s="1032"/>
      <c r="I1230" s="1785"/>
      <c r="J1230" s="1412"/>
      <c r="K1230" s="1794"/>
      <c r="L1230" s="1795"/>
      <c r="M1230" s="1780"/>
      <c r="N1230" s="1779"/>
    </row>
    <row r="1231" spans="1:15" ht="13.5" x14ac:dyDescent="0.2">
      <c r="A1231" s="1792"/>
      <c r="B1231" s="1782"/>
      <c r="C1231" s="1782"/>
      <c r="D1231" s="1782"/>
      <c r="E1231" s="1782"/>
      <c r="F1231" s="1782"/>
      <c r="G1231" s="1779"/>
      <c r="H1231" s="1032"/>
      <c r="I1231" s="1785"/>
      <c r="J1231" s="1412"/>
      <c r="K1231" s="1794"/>
      <c r="L1231" s="1795"/>
      <c r="M1231" s="1780"/>
      <c r="N1231" s="1779"/>
    </row>
    <row r="1232" spans="1:15" ht="13.5" x14ac:dyDescent="0.25">
      <c r="A1232" s="1138"/>
      <c r="B1232" s="1138"/>
      <c r="C1232" s="1138"/>
      <c r="D1232" s="1138"/>
      <c r="E1232" s="1138"/>
      <c r="F1232" s="1138"/>
      <c r="G1232" s="1138"/>
      <c r="H1232" s="1138"/>
      <c r="I1232" s="1138"/>
      <c r="J1232" s="1138"/>
      <c r="K1232" s="1778" t="s">
        <v>523</v>
      </c>
      <c r="L1232" s="1779"/>
      <c r="M1232" s="1780">
        <f>SUM(M1222:N1226)</f>
        <v>7121555</v>
      </c>
      <c r="N1232" s="1779"/>
    </row>
    <row r="1233" spans="1:14" ht="13.5" x14ac:dyDescent="0.25">
      <c r="A1233" s="1138"/>
      <c r="B1233" s="1138"/>
      <c r="C1233" s="1138"/>
      <c r="D1233" s="1138"/>
      <c r="E1233" s="1138"/>
      <c r="F1233" s="1138"/>
      <c r="G1233" s="1138"/>
      <c r="H1233" s="1138"/>
      <c r="I1233" s="1138"/>
      <c r="J1233" s="1138"/>
      <c r="K1233" s="1138"/>
      <c r="L1233" s="1138"/>
      <c r="M1233" s="1138"/>
      <c r="N1233" s="1138"/>
    </row>
    <row r="1234" spans="1:14" x14ac:dyDescent="0.2">
      <c r="A1234" s="1781" t="s">
        <v>2145</v>
      </c>
      <c r="B1234" s="1782"/>
      <c r="C1234" s="1782"/>
      <c r="D1234" s="1782"/>
      <c r="E1234" s="1782"/>
      <c r="F1234" s="1782"/>
      <c r="G1234" s="1782"/>
      <c r="H1234" s="1782"/>
      <c r="I1234" s="1782"/>
      <c r="J1234" s="1782"/>
      <c r="K1234" s="1782"/>
      <c r="L1234" s="1782"/>
      <c r="M1234" s="1782"/>
      <c r="N1234" s="1779"/>
    </row>
    <row r="1235" spans="1:14" x14ac:dyDescent="0.2">
      <c r="A1235" s="1778" t="s">
        <v>14</v>
      </c>
      <c r="B1235" s="1782"/>
      <c r="C1235" s="1782"/>
      <c r="D1235" s="1782"/>
      <c r="E1235" s="1782"/>
      <c r="F1235" s="1782"/>
      <c r="G1235" s="1779"/>
      <c r="H1235" s="1136" t="s">
        <v>15</v>
      </c>
      <c r="I1235" s="1783" t="s">
        <v>619</v>
      </c>
      <c r="J1235" s="1779"/>
      <c r="K1235" s="1783" t="s">
        <v>610</v>
      </c>
      <c r="L1235" s="1779"/>
      <c r="M1235" s="1783" t="s">
        <v>2140</v>
      </c>
      <c r="N1235" s="1779"/>
    </row>
    <row r="1236" spans="1:14" ht="13.5" x14ac:dyDescent="0.2">
      <c r="A1236" s="1789" t="s">
        <v>131</v>
      </c>
      <c r="B1236" s="1790"/>
      <c r="C1236" s="1790"/>
      <c r="D1236" s="1790"/>
      <c r="E1236" s="1790"/>
      <c r="F1236" s="1790"/>
      <c r="G1236" s="1791"/>
      <c r="H1236" s="1032" t="str">
        <f>IF(A1236="","",VLOOKUP(A1236,'11'!$C$6:$E$87,2,FALSE))</f>
        <v>DIA</v>
      </c>
      <c r="I1236" s="1785">
        <f>IF(A1236="","",VLOOKUP(A1236,'11'!$C$6:$E$87,3,FALSE))</f>
        <v>15000</v>
      </c>
      <c r="J1236" s="1412"/>
      <c r="K1236" s="1787">
        <v>30</v>
      </c>
      <c r="L1236" s="1793"/>
      <c r="M1236" s="1780">
        <f>I1236/K1236</f>
        <v>500</v>
      </c>
      <c r="N1236" s="1779"/>
    </row>
    <row r="1237" spans="1:14" ht="13.5" x14ac:dyDescent="0.2">
      <c r="A1237" s="1802"/>
      <c r="B1237" s="1782"/>
      <c r="C1237" s="1782"/>
      <c r="D1237" s="1782"/>
      <c r="E1237" s="1782"/>
      <c r="F1237" s="1782"/>
      <c r="G1237" s="1779"/>
      <c r="H1237" s="1137"/>
      <c r="I1237" s="1780"/>
      <c r="J1237" s="1779"/>
      <c r="K1237" s="1794"/>
      <c r="L1237" s="1779"/>
      <c r="M1237" s="1780"/>
      <c r="N1237" s="1779"/>
    </row>
    <row r="1238" spans="1:14" ht="13.5" x14ac:dyDescent="0.2">
      <c r="A1238" s="1789"/>
      <c r="B1238" s="1782"/>
      <c r="C1238" s="1782"/>
      <c r="D1238" s="1782"/>
      <c r="E1238" s="1782"/>
      <c r="F1238" s="1782"/>
      <c r="G1238" s="1779"/>
      <c r="H1238" s="1137"/>
      <c r="I1238" s="1780"/>
      <c r="J1238" s="1779"/>
      <c r="K1238" s="1787"/>
      <c r="L1238" s="1779"/>
      <c r="M1238" s="1780"/>
      <c r="N1238" s="1779"/>
    </row>
    <row r="1239" spans="1:14" ht="13.5" x14ac:dyDescent="0.2">
      <c r="A1239" s="1789"/>
      <c r="B1239" s="1782"/>
      <c r="C1239" s="1782"/>
      <c r="D1239" s="1782"/>
      <c r="E1239" s="1782"/>
      <c r="F1239" s="1782"/>
      <c r="G1239" s="1779"/>
      <c r="H1239" s="1137"/>
      <c r="I1239" s="1780"/>
      <c r="J1239" s="1779"/>
      <c r="K1239" s="1787"/>
      <c r="L1239" s="1779"/>
      <c r="M1239" s="1780"/>
      <c r="N1239" s="1779"/>
    </row>
    <row r="1240" spans="1:14" ht="13.5" x14ac:dyDescent="0.2">
      <c r="A1240" s="1789"/>
      <c r="B1240" s="1782"/>
      <c r="C1240" s="1782"/>
      <c r="D1240" s="1782"/>
      <c r="E1240" s="1782"/>
      <c r="F1240" s="1782"/>
      <c r="G1240" s="1779"/>
      <c r="H1240" s="1137"/>
      <c r="I1240" s="1780"/>
      <c r="J1240" s="1779"/>
      <c r="K1240" s="1787"/>
      <c r="L1240" s="1779"/>
      <c r="M1240" s="1780"/>
      <c r="N1240" s="1779"/>
    </row>
    <row r="1241" spans="1:14" ht="13.5" x14ac:dyDescent="0.25">
      <c r="A1241" s="1138"/>
      <c r="B1241" s="1138"/>
      <c r="C1241" s="1138"/>
      <c r="D1241" s="1138"/>
      <c r="E1241" s="1138"/>
      <c r="F1241" s="1138"/>
      <c r="G1241" s="1138"/>
      <c r="H1241" s="1138"/>
      <c r="I1241" s="1138"/>
      <c r="J1241" s="1138"/>
      <c r="K1241" s="1778" t="s">
        <v>523</v>
      </c>
      <c r="L1241" s="1779"/>
      <c r="M1241" s="1780">
        <f>SUM(M1236:N1240)</f>
        <v>500</v>
      </c>
      <c r="N1241" s="1779"/>
    </row>
    <row r="1242" spans="1:14" ht="13.5" x14ac:dyDescent="0.25">
      <c r="A1242" s="1138"/>
      <c r="B1242" s="1138"/>
      <c r="C1242" s="1138"/>
      <c r="D1242" s="1138"/>
      <c r="E1242" s="1138"/>
      <c r="F1242" s="1138"/>
      <c r="G1242" s="1138"/>
      <c r="H1242" s="1138"/>
      <c r="I1242" s="1138"/>
      <c r="J1242" s="1138"/>
      <c r="K1242" s="1138"/>
      <c r="L1242" s="1138"/>
      <c r="M1242" s="1138"/>
      <c r="N1242" s="1138"/>
    </row>
    <row r="1243" spans="1:14" x14ac:dyDescent="0.2">
      <c r="A1243" s="1781" t="s">
        <v>2147</v>
      </c>
      <c r="B1243" s="1782"/>
      <c r="C1243" s="1782"/>
      <c r="D1243" s="1782"/>
      <c r="E1243" s="1782"/>
      <c r="F1243" s="1782"/>
      <c r="G1243" s="1782"/>
      <c r="H1243" s="1782"/>
      <c r="I1243" s="1782"/>
      <c r="J1243" s="1782"/>
      <c r="K1243" s="1782"/>
      <c r="L1243" s="1782"/>
      <c r="M1243" s="1782"/>
      <c r="N1243" s="1779"/>
    </row>
    <row r="1244" spans="1:14" x14ac:dyDescent="0.2">
      <c r="A1244" s="1778" t="s">
        <v>14</v>
      </c>
      <c r="B1244" s="1782"/>
      <c r="C1244" s="1782"/>
      <c r="D1244" s="1782"/>
      <c r="E1244" s="1782"/>
      <c r="F1244" s="1782"/>
      <c r="G1244" s="1779"/>
      <c r="H1244" s="1136" t="s">
        <v>15</v>
      </c>
      <c r="I1244" s="1783" t="s">
        <v>619</v>
      </c>
      <c r="J1244" s="1779"/>
      <c r="K1244" s="1783" t="s">
        <v>628</v>
      </c>
      <c r="L1244" s="1779"/>
      <c r="M1244" s="1783" t="s">
        <v>2140</v>
      </c>
      <c r="N1244" s="1779"/>
    </row>
    <row r="1245" spans="1:14" ht="13.5" x14ac:dyDescent="0.2">
      <c r="A1245" s="1792" t="s">
        <v>2328</v>
      </c>
      <c r="B1245" s="1782"/>
      <c r="C1245" s="1782"/>
      <c r="D1245" s="1782"/>
      <c r="E1245" s="1782"/>
      <c r="F1245" s="1782"/>
      <c r="G1245" s="1779"/>
      <c r="H1245" s="1032" t="str">
        <f>IF(A1245="","",VLOOKUP(A1245,'11'!$C$6:$E$1012,2,FALSE))</f>
        <v>KM-M3</v>
      </c>
      <c r="I1245" s="1785">
        <f>IF(A1245="","",VLOOKUP(A1245,'11'!$C$6:$E$1012,3,FALSE))</f>
        <v>1440</v>
      </c>
      <c r="J1245" s="1412"/>
      <c r="K1245" s="1787">
        <v>5</v>
      </c>
      <c r="L1245" s="1793"/>
      <c r="M1245" s="1780">
        <f t="shared" ref="M1245" si="57">IF(A1245="","",I1245*K1245)</f>
        <v>7200</v>
      </c>
      <c r="N1245" s="1779"/>
    </row>
    <row r="1246" spans="1:14" ht="13.5" x14ac:dyDescent="0.2">
      <c r="A1246" s="1786"/>
      <c r="B1246" s="1782"/>
      <c r="C1246" s="1782"/>
      <c r="D1246" s="1782"/>
      <c r="E1246" s="1782"/>
      <c r="F1246" s="1782"/>
      <c r="G1246" s="1779"/>
      <c r="H1246" s="1032"/>
      <c r="I1246" s="1780"/>
      <c r="J1246" s="1779"/>
      <c r="K1246" s="1787"/>
      <c r="L1246" s="1779"/>
      <c r="M1246" s="1780"/>
      <c r="N1246" s="1779"/>
    </row>
    <row r="1247" spans="1:14" ht="13.5" x14ac:dyDescent="0.2">
      <c r="A1247" s="1786"/>
      <c r="B1247" s="1782"/>
      <c r="C1247" s="1782"/>
      <c r="D1247" s="1782"/>
      <c r="E1247" s="1782"/>
      <c r="F1247" s="1782"/>
      <c r="G1247" s="1779"/>
      <c r="H1247" s="1032"/>
      <c r="I1247" s="1780"/>
      <c r="J1247" s="1779"/>
      <c r="K1247" s="1788"/>
      <c r="L1247" s="1779"/>
      <c r="M1247" s="1780"/>
      <c r="N1247" s="1779"/>
    </row>
    <row r="1248" spans="1:14" ht="13.5" x14ac:dyDescent="0.2">
      <c r="A1248" s="1789"/>
      <c r="B1248" s="1782"/>
      <c r="C1248" s="1782"/>
      <c r="D1248" s="1782"/>
      <c r="E1248" s="1782"/>
      <c r="F1248" s="1782"/>
      <c r="G1248" s="1779"/>
      <c r="H1248" s="1137"/>
      <c r="I1248" s="1780"/>
      <c r="J1248" s="1779"/>
      <c r="K1248" s="1787"/>
      <c r="L1248" s="1779"/>
      <c r="M1248" s="1780"/>
      <c r="N1248" s="1779"/>
    </row>
    <row r="1249" spans="1:14" ht="13.5" x14ac:dyDescent="0.2">
      <c r="A1249" s="1789"/>
      <c r="B1249" s="1782"/>
      <c r="C1249" s="1782"/>
      <c r="D1249" s="1782"/>
      <c r="E1249" s="1782"/>
      <c r="F1249" s="1782"/>
      <c r="G1249" s="1779"/>
      <c r="H1249" s="1137"/>
      <c r="I1249" s="1780"/>
      <c r="J1249" s="1779"/>
      <c r="K1249" s="1787"/>
      <c r="L1249" s="1779"/>
      <c r="M1249" s="1780"/>
      <c r="N1249" s="1779"/>
    </row>
    <row r="1250" spans="1:14" ht="13.5" x14ac:dyDescent="0.25">
      <c r="A1250" s="1138"/>
      <c r="B1250" s="1138"/>
      <c r="C1250" s="1138"/>
      <c r="D1250" s="1138"/>
      <c r="E1250" s="1138"/>
      <c r="F1250" s="1138"/>
      <c r="G1250" s="1138"/>
      <c r="H1250" s="1138"/>
      <c r="I1250" s="1138"/>
      <c r="J1250" s="1138"/>
      <c r="K1250" s="1778" t="s">
        <v>523</v>
      </c>
      <c r="L1250" s="1779"/>
      <c r="M1250" s="1780">
        <f>SUM(M1245:N1249)</f>
        <v>7200</v>
      </c>
      <c r="N1250" s="1779"/>
    </row>
    <row r="1251" spans="1:14" ht="13.5" x14ac:dyDescent="0.25">
      <c r="A1251" s="1138"/>
      <c r="B1251" s="1138"/>
      <c r="C1251" s="1138"/>
      <c r="D1251" s="1138"/>
      <c r="E1251" s="1138"/>
      <c r="F1251" s="1138"/>
      <c r="G1251" s="1138"/>
      <c r="H1251" s="1138"/>
      <c r="I1251" s="1138"/>
      <c r="J1251" s="1138"/>
      <c r="K1251" s="1138"/>
      <c r="L1251" s="1138"/>
      <c r="M1251" s="1138"/>
      <c r="N1251" s="1138"/>
    </row>
    <row r="1252" spans="1:14" x14ac:dyDescent="0.2">
      <c r="A1252" s="1781" t="s">
        <v>2150</v>
      </c>
      <c r="B1252" s="1782"/>
      <c r="C1252" s="1782"/>
      <c r="D1252" s="1782"/>
      <c r="E1252" s="1782"/>
      <c r="F1252" s="1782"/>
      <c r="G1252" s="1782"/>
      <c r="H1252" s="1782"/>
      <c r="I1252" s="1782"/>
      <c r="J1252" s="1782"/>
      <c r="K1252" s="1782"/>
      <c r="L1252" s="1782"/>
      <c r="M1252" s="1782"/>
      <c r="N1252" s="1779"/>
    </row>
    <row r="1253" spans="1:14" x14ac:dyDescent="0.2">
      <c r="A1253" s="1778" t="s">
        <v>14</v>
      </c>
      <c r="B1253" s="1782"/>
      <c r="C1253" s="1782"/>
      <c r="D1253" s="1782"/>
      <c r="E1253" s="1782"/>
      <c r="F1253" s="1782"/>
      <c r="G1253" s="1779"/>
      <c r="H1253" s="1136" t="s">
        <v>15</v>
      </c>
      <c r="I1253" s="1783" t="s">
        <v>619</v>
      </c>
      <c r="J1253" s="1779"/>
      <c r="K1253" s="1139" t="s">
        <v>1919</v>
      </c>
      <c r="L1253" s="1140" t="s">
        <v>2151</v>
      </c>
      <c r="M1253" s="1783" t="s">
        <v>2140</v>
      </c>
      <c r="N1253" s="1779"/>
    </row>
    <row r="1254" spans="1:14" ht="13.5" x14ac:dyDescent="0.25">
      <c r="A1254" s="1784" t="s">
        <v>2168</v>
      </c>
      <c r="B1254" s="1782"/>
      <c r="C1254" s="1782"/>
      <c r="D1254" s="1782"/>
      <c r="E1254" s="1782"/>
      <c r="F1254" s="1782"/>
      <c r="G1254" s="1779"/>
      <c r="H1254" s="1032" t="str">
        <f>IF(A1254="","",VLOOKUP(A1254,'09'!$A$22:$O$168,4,FALSE))</f>
        <v>Cuadrilla</v>
      </c>
      <c r="I1254" s="1785">
        <f>IF(A1254="","",VLOOKUP(A1254,'09'!$A$22:$O$168,5,FALSE))</f>
        <v>204272</v>
      </c>
      <c r="J1254" s="1412"/>
      <c r="K1254" s="1034">
        <f>IF(A1254="","",'03'!$I$2)</f>
        <v>1.88995</v>
      </c>
      <c r="L1254" s="1142">
        <v>0.09</v>
      </c>
      <c r="M1254" s="1780">
        <f>I1254*K1254/(L1254*8)</f>
        <v>536199.81444444449</v>
      </c>
      <c r="N1254" s="1779"/>
    </row>
    <row r="1255" spans="1:14" ht="13.5" x14ac:dyDescent="0.25">
      <c r="A1255" s="1784"/>
      <c r="B1255" s="1782"/>
      <c r="C1255" s="1782"/>
      <c r="D1255" s="1782"/>
      <c r="E1255" s="1782"/>
      <c r="F1255" s="1782"/>
      <c r="G1255" s="1779"/>
      <c r="H1255" s="1137"/>
      <c r="I1255" s="1780"/>
      <c r="J1255" s="1779"/>
      <c r="K1255" s="1141"/>
      <c r="L1255" s="1141"/>
      <c r="M1255" s="1780"/>
      <c r="N1255" s="1779"/>
    </row>
    <row r="1256" spans="1:14" ht="13.5" x14ac:dyDescent="0.25">
      <c r="A1256" s="1784"/>
      <c r="B1256" s="1782"/>
      <c r="C1256" s="1782"/>
      <c r="D1256" s="1782"/>
      <c r="E1256" s="1782"/>
      <c r="F1256" s="1782"/>
      <c r="G1256" s="1779"/>
      <c r="H1256" s="1137"/>
      <c r="I1256" s="1780"/>
      <c r="J1256" s="1779"/>
      <c r="K1256" s="1141"/>
      <c r="L1256" s="1143"/>
      <c r="M1256" s="1780"/>
      <c r="N1256" s="1779"/>
    </row>
    <row r="1257" spans="1:14" ht="13.5" x14ac:dyDescent="0.25">
      <c r="A1257" s="1784"/>
      <c r="B1257" s="1782"/>
      <c r="C1257" s="1782"/>
      <c r="D1257" s="1782"/>
      <c r="E1257" s="1782"/>
      <c r="F1257" s="1782"/>
      <c r="G1257" s="1779"/>
      <c r="H1257" s="1137"/>
      <c r="I1257" s="1780"/>
      <c r="J1257" s="1779"/>
      <c r="K1257" s="1141"/>
      <c r="L1257" s="1143"/>
      <c r="M1257" s="1780"/>
      <c r="N1257" s="1779"/>
    </row>
    <row r="1258" spans="1:14" ht="13.5" x14ac:dyDescent="0.25">
      <c r="A1258" s="1784"/>
      <c r="B1258" s="1782"/>
      <c r="C1258" s="1782"/>
      <c r="D1258" s="1782"/>
      <c r="E1258" s="1782"/>
      <c r="F1258" s="1782"/>
      <c r="G1258" s="1779"/>
      <c r="H1258" s="1137"/>
      <c r="I1258" s="1780"/>
      <c r="J1258" s="1779"/>
      <c r="K1258" s="1141"/>
      <c r="L1258" s="1143"/>
      <c r="M1258" s="1780"/>
      <c r="N1258" s="1779"/>
    </row>
    <row r="1259" spans="1:14" ht="13.5" x14ac:dyDescent="0.25">
      <c r="A1259" s="1138"/>
      <c r="B1259" s="1138"/>
      <c r="C1259" s="1138"/>
      <c r="D1259" s="1138"/>
      <c r="E1259" s="1138"/>
      <c r="F1259" s="1138"/>
      <c r="G1259" s="1138"/>
      <c r="H1259" s="1138"/>
      <c r="I1259" s="1138"/>
      <c r="J1259" s="1138"/>
      <c r="K1259" s="1778" t="s">
        <v>523</v>
      </c>
      <c r="L1259" s="1779"/>
      <c r="M1259" s="1780">
        <f>SUM(M1254:N1258)</f>
        <v>536199.81444444449</v>
      </c>
      <c r="N1259" s="1779"/>
    </row>
    <row r="1260" spans="1:14" x14ac:dyDescent="0.2">
      <c r="I1260" s="1414"/>
      <c r="J1260" s="1415"/>
      <c r="K1260" s="1415"/>
      <c r="L1260" s="1415"/>
      <c r="M1260" s="1415"/>
      <c r="N1260" s="1415"/>
    </row>
    <row r="1261" spans="1:14" ht="13.5" thickBot="1" x14ac:dyDescent="0.25">
      <c r="I1261" s="1416"/>
      <c r="J1261" s="1416"/>
      <c r="K1261" s="1416"/>
      <c r="L1261" s="1416"/>
      <c r="M1261" s="1416"/>
      <c r="N1261" s="1416"/>
    </row>
    <row r="1262" spans="1:14" ht="14.25" thickTop="1" x14ac:dyDescent="0.2">
      <c r="I1262" s="1417" t="s">
        <v>1829</v>
      </c>
      <c r="J1262" s="1418"/>
      <c r="K1262" s="1417" t="s">
        <v>2653</v>
      </c>
      <c r="L1262" s="1418"/>
      <c r="M1262" s="1418"/>
      <c r="N1262" s="1418"/>
    </row>
    <row r="1263" spans="1:14" ht="13.5" x14ac:dyDescent="0.2">
      <c r="I1263" s="1419" t="s">
        <v>1831</v>
      </c>
      <c r="J1263" s="1420"/>
      <c r="K1263" s="1419"/>
      <c r="L1263" s="1420"/>
      <c r="M1263" s="1420"/>
      <c r="N1263" s="1420"/>
    </row>
    <row r="1264" spans="1:14" x14ac:dyDescent="0.2">
      <c r="A1264" s="1796" t="s">
        <v>2353</v>
      </c>
      <c r="B1264" s="1797"/>
      <c r="C1264" s="1797"/>
      <c r="D1264" s="1797"/>
      <c r="E1264" s="1797"/>
      <c r="F1264" s="1797"/>
      <c r="G1264" s="1797"/>
      <c r="H1264" s="1797"/>
      <c r="I1264" s="1797"/>
      <c r="J1264" s="1797"/>
      <c r="K1264" s="1797"/>
      <c r="L1264" s="1797"/>
      <c r="M1264" s="1797"/>
      <c r="N1264" s="1798"/>
    </row>
    <row r="1265" spans="1:15" x14ac:dyDescent="0.2">
      <c r="A1265" s="1799"/>
      <c r="B1265" s="1800"/>
      <c r="C1265" s="1800"/>
      <c r="D1265" s="1800"/>
      <c r="E1265" s="1800"/>
      <c r="F1265" s="1800"/>
      <c r="G1265" s="1800"/>
      <c r="H1265" s="1800"/>
      <c r="I1265" s="1800"/>
      <c r="J1265" s="1800"/>
      <c r="K1265" s="1800"/>
      <c r="L1265" s="1800"/>
      <c r="M1265" s="1800"/>
      <c r="N1265" s="1801"/>
    </row>
    <row r="1266" spans="1:15" ht="13.5" x14ac:dyDescent="0.2">
      <c r="A1266" s="1128"/>
      <c r="B1266" s="1128"/>
      <c r="C1266" s="1128"/>
      <c r="D1266" s="1128"/>
      <c r="E1266" s="1128"/>
      <c r="F1266" s="1128"/>
      <c r="G1266" s="1128"/>
      <c r="H1266" s="1128"/>
      <c r="I1266" s="1128"/>
      <c r="J1266" s="1128"/>
      <c r="K1266" s="1128"/>
      <c r="L1266" s="1128"/>
      <c r="M1266" s="1128"/>
      <c r="N1266" s="1128"/>
    </row>
    <row r="1267" spans="1:15" ht="14.25" x14ac:dyDescent="0.3">
      <c r="A1267" s="1104" t="s">
        <v>2352</v>
      </c>
      <c r="B1267" s="1129" t="str">
        <f>A1264</f>
        <v xml:space="preserve"> SUMINISTRO E INSTALACIÓN TUBERÍA DE RECOLECCIÓN DE AGUA SEDIMENTADA. TUBERÍA H.D. O PETROLERA DE DIÁMETRO 6". INCLUYE TODOS LOS ELEMENTOS PARA SU CORRECTA INSTALACIÓN Y FUNCIONAMIENTO. LA TUBERÍA TENDRÁ PERFORACIONES DE 3/4" SEGÚN DISEÑO. </v>
      </c>
      <c r="C1267" s="1130" t="s">
        <v>634</v>
      </c>
      <c r="D1267" s="1107" t="s">
        <v>2</v>
      </c>
      <c r="E1267" s="1132" t="s">
        <v>1833</v>
      </c>
      <c r="F1267" s="1133">
        <f>H1267+J1267+L1267+N1267</f>
        <v>2312794.8608337622</v>
      </c>
      <c r="G1267" s="1132" t="s">
        <v>2136</v>
      </c>
      <c r="H1267" s="1133">
        <f>M1290</f>
        <v>64500.000000428852</v>
      </c>
      <c r="I1267" s="1132" t="s">
        <v>621</v>
      </c>
      <c r="J1267" s="1134">
        <f>M1281</f>
        <v>1831745</v>
      </c>
      <c r="K1267" s="1132" t="s">
        <v>2137</v>
      </c>
      <c r="L1267" s="1133">
        <f>M1299</f>
        <v>14400</v>
      </c>
      <c r="M1267" s="1132" t="s">
        <v>2138</v>
      </c>
      <c r="N1267" s="1133">
        <f>M1308</f>
        <v>402149.86083333334</v>
      </c>
    </row>
    <row r="1268" spans="1:15" ht="13.5" x14ac:dyDescent="0.25">
      <c r="A1268" s="1135"/>
      <c r="B1268" s="1135"/>
      <c r="C1268" s="1135"/>
      <c r="D1268" s="1135"/>
      <c r="E1268" s="1135"/>
      <c r="F1268" s="1135"/>
      <c r="G1268" s="1135"/>
      <c r="J1268" s="1135"/>
      <c r="K1268" s="1135"/>
      <c r="L1268" s="1135"/>
      <c r="M1268" s="1270" t="s">
        <v>2667</v>
      </c>
      <c r="N1268" s="1270">
        <f>+F1267*'01'!$O$15</f>
        <v>2993459.4255906548</v>
      </c>
    </row>
    <row r="1269" spans="1:15" x14ac:dyDescent="0.2">
      <c r="A1269" s="1781" t="s">
        <v>2139</v>
      </c>
      <c r="B1269" s="1782"/>
      <c r="C1269" s="1782"/>
      <c r="D1269" s="1782"/>
      <c r="E1269" s="1782"/>
      <c r="F1269" s="1782"/>
      <c r="G1269" s="1782"/>
      <c r="H1269" s="1782"/>
      <c r="I1269" s="1782"/>
      <c r="J1269" s="1782"/>
      <c r="K1269" s="1782"/>
      <c r="L1269" s="1782"/>
      <c r="M1269" s="1782"/>
      <c r="N1269" s="1779"/>
    </row>
    <row r="1270" spans="1:15" x14ac:dyDescent="0.2">
      <c r="A1270" s="1778" t="s">
        <v>14</v>
      </c>
      <c r="B1270" s="1782"/>
      <c r="C1270" s="1782"/>
      <c r="D1270" s="1782"/>
      <c r="E1270" s="1782"/>
      <c r="F1270" s="1782"/>
      <c r="G1270" s="1779"/>
      <c r="H1270" s="1136" t="s">
        <v>15</v>
      </c>
      <c r="I1270" s="1783" t="s">
        <v>619</v>
      </c>
      <c r="J1270" s="1779"/>
      <c r="K1270" s="1783" t="s">
        <v>628</v>
      </c>
      <c r="L1270" s="1779"/>
      <c r="M1270" s="1783" t="s">
        <v>2140</v>
      </c>
      <c r="N1270" s="1779"/>
    </row>
    <row r="1271" spans="1:15" ht="13.5" customHeight="1" x14ac:dyDescent="0.2">
      <c r="A1271" s="1792" t="s">
        <v>911</v>
      </c>
      <c r="B1271" s="1782"/>
      <c r="C1271" s="1782"/>
      <c r="D1271" s="1782"/>
      <c r="E1271" s="1782"/>
      <c r="F1271" s="1782"/>
      <c r="G1271" s="1779"/>
      <c r="H1271" s="1032" t="str">
        <f>IF(A1271="","",VLOOKUP(A1271,'10'!$C$6:$E$1152,2,FALSE))</f>
        <v>UND</v>
      </c>
      <c r="I1271" s="1785">
        <f>IF(A1271="","",VLOOKUP(A1271,'10'!$C$6:$E$1152,3,FALSE))</f>
        <v>928200</v>
      </c>
      <c r="J1271" s="1412"/>
      <c r="K1271" s="1794">
        <v>1</v>
      </c>
      <c r="L1271" s="1795"/>
      <c r="M1271" s="1780">
        <f>K1271*I1271</f>
        <v>928200</v>
      </c>
      <c r="N1271" s="1779"/>
    </row>
    <row r="1272" spans="1:15" ht="13.5" customHeight="1" x14ac:dyDescent="0.2">
      <c r="A1272" s="1792" t="s">
        <v>1099</v>
      </c>
      <c r="B1272" s="1782"/>
      <c r="C1272" s="1782"/>
      <c r="D1272" s="1782"/>
      <c r="E1272" s="1782"/>
      <c r="F1272" s="1782"/>
      <c r="G1272" s="1779"/>
      <c r="H1272" s="1032" t="str">
        <f>IF(A1272="","",VLOOKUP(A1272,'10'!$C$6:$E$1152,2,FALSE))</f>
        <v>UND</v>
      </c>
      <c r="I1272" s="1785">
        <f>IF(A1272="","",VLOOKUP(A1272,'10'!$C$6:$E$1152,3,FALSE))</f>
        <v>122570</v>
      </c>
      <c r="J1272" s="1412"/>
      <c r="K1272" s="1794">
        <v>1</v>
      </c>
      <c r="L1272" s="1795"/>
      <c r="M1272" s="1780">
        <f t="shared" ref="M1272:M1276" si="58">K1272*I1272</f>
        <v>122570</v>
      </c>
      <c r="N1272" s="1779"/>
    </row>
    <row r="1273" spans="1:15" ht="13.5" x14ac:dyDescent="0.2">
      <c r="A1273" s="1792" t="s">
        <v>1112</v>
      </c>
      <c r="B1273" s="1782"/>
      <c r="C1273" s="1782"/>
      <c r="D1273" s="1782"/>
      <c r="E1273" s="1782"/>
      <c r="F1273" s="1782"/>
      <c r="G1273" s="1779"/>
      <c r="H1273" s="1032" t="str">
        <f>IF(A1273="","",VLOOKUP(A1273,'10'!$C$6:$E$1152,2,FALSE))</f>
        <v>UND</v>
      </c>
      <c r="I1273" s="1785">
        <f>IF(A1273="","",VLOOKUP(A1273,'10'!$C$6:$E$1152,3,FALSE))</f>
        <v>320110</v>
      </c>
      <c r="J1273" s="1412"/>
      <c r="K1273" s="1794">
        <v>1</v>
      </c>
      <c r="L1273" s="1795"/>
      <c r="M1273" s="1780">
        <f t="shared" si="58"/>
        <v>320110</v>
      </c>
      <c r="N1273" s="1779"/>
      <c r="O1273" s="799"/>
    </row>
    <row r="1274" spans="1:15" ht="13.5" x14ac:dyDescent="0.2">
      <c r="A1274" s="1792" t="s">
        <v>1102</v>
      </c>
      <c r="B1274" s="1782"/>
      <c r="C1274" s="1782"/>
      <c r="D1274" s="1782"/>
      <c r="E1274" s="1782"/>
      <c r="F1274" s="1782"/>
      <c r="G1274" s="1779"/>
      <c r="H1274" s="1032" t="str">
        <f>IF(A1274="","",VLOOKUP(A1274,'10'!$C$6:$E$1152,2,FALSE))</f>
        <v>ML</v>
      </c>
      <c r="I1274" s="1785">
        <f>IF(A1274="","",VLOOKUP(A1274,'10'!$C$6:$E$1152,3,FALSE))</f>
        <v>172550</v>
      </c>
      <c r="J1274" s="1412"/>
      <c r="K1274" s="1794">
        <v>2.2999999999999998</v>
      </c>
      <c r="L1274" s="1795"/>
      <c r="M1274" s="1780">
        <f t="shared" si="58"/>
        <v>396864.99999999994</v>
      </c>
      <c r="N1274" s="1779"/>
    </row>
    <row r="1275" spans="1:15" ht="13.5" x14ac:dyDescent="0.2">
      <c r="A1275" s="1792" t="s">
        <v>1560</v>
      </c>
      <c r="B1275" s="1782"/>
      <c r="C1275" s="1782"/>
      <c r="D1275" s="1782"/>
      <c r="E1275" s="1782"/>
      <c r="F1275" s="1782"/>
      <c r="G1275" s="1779"/>
      <c r="H1275" s="1032" t="str">
        <f>IF(A1275="","",VLOOKUP(A1275,'10'!$C$6:$E$1152,2,FALSE))</f>
        <v>UND</v>
      </c>
      <c r="I1275" s="1785">
        <f>IF(A1275="","",VLOOKUP(A1275,'10'!$C$6:$E$1152,3,FALSE))</f>
        <v>4000</v>
      </c>
      <c r="J1275" s="1412"/>
      <c r="K1275" s="1794">
        <v>16</v>
      </c>
      <c r="L1275" s="1795"/>
      <c r="M1275" s="1780">
        <f t="shared" si="58"/>
        <v>64000</v>
      </c>
      <c r="N1275" s="1779"/>
    </row>
    <row r="1276" spans="1:15" ht="13.5" x14ac:dyDescent="0.2">
      <c r="A1276" s="1792" t="s">
        <v>1573</v>
      </c>
      <c r="B1276" s="1782"/>
      <c r="C1276" s="1782"/>
      <c r="D1276" s="1782"/>
      <c r="E1276" s="1782"/>
      <c r="F1276" s="1782"/>
      <c r="G1276" s="1779"/>
      <c r="H1276" s="1032" t="str">
        <f>IF(A1276="","",VLOOKUP(A1276,'10'!$C$6:$E$1152,2,FALSE))</f>
        <v>UND</v>
      </c>
      <c r="I1276" s="1785">
        <f>IF(A1276="","",VLOOKUP(A1276,'10'!$C$6:$E$1152,3,FALSE))</f>
        <v>25000</v>
      </c>
      <c r="J1276" s="1412"/>
      <c r="K1276" s="1794">
        <v>2</v>
      </c>
      <c r="L1276" s="1795"/>
      <c r="M1276" s="1780">
        <f t="shared" si="58"/>
        <v>50000</v>
      </c>
      <c r="N1276" s="1779"/>
    </row>
    <row r="1277" spans="1:15" ht="13.5" x14ac:dyDescent="0.2">
      <c r="A1277" s="1792"/>
      <c r="B1277" s="1782"/>
      <c r="C1277" s="1782"/>
      <c r="D1277" s="1782"/>
      <c r="E1277" s="1782"/>
      <c r="F1277" s="1782"/>
      <c r="G1277" s="1779"/>
      <c r="H1277" s="1032" t="str">
        <f>IF(A1277="","",VLOOKUP(A1277,'10'!$C$6:$E$1152,2,FALSE))</f>
        <v/>
      </c>
      <c r="I1277" s="1785" t="str">
        <f>IF(A1277="","",VLOOKUP(A1277,'10'!$C$6:$E$1152,3,FALSE))</f>
        <v/>
      </c>
      <c r="J1277" s="1412"/>
      <c r="K1277" s="1794"/>
      <c r="L1277" s="1795"/>
      <c r="M1277" s="1780"/>
      <c r="N1277" s="1779"/>
    </row>
    <row r="1278" spans="1:15" ht="13.5" x14ac:dyDescent="0.2">
      <c r="A1278" s="1792"/>
      <c r="B1278" s="1782"/>
      <c r="C1278" s="1782"/>
      <c r="D1278" s="1782"/>
      <c r="E1278" s="1782"/>
      <c r="F1278" s="1782"/>
      <c r="G1278" s="1779"/>
      <c r="H1278" s="1032"/>
      <c r="I1278" s="1785"/>
      <c r="J1278" s="1412"/>
      <c r="K1278" s="1794"/>
      <c r="L1278" s="1795"/>
      <c r="M1278" s="1780"/>
      <c r="N1278" s="1779"/>
    </row>
    <row r="1279" spans="1:15" ht="13.5" x14ac:dyDescent="0.2">
      <c r="A1279" s="1792"/>
      <c r="B1279" s="1782"/>
      <c r="C1279" s="1782"/>
      <c r="D1279" s="1782"/>
      <c r="E1279" s="1782"/>
      <c r="F1279" s="1782"/>
      <c r="G1279" s="1779"/>
      <c r="H1279" s="1032"/>
      <c r="I1279" s="1785"/>
      <c r="J1279" s="1412"/>
      <c r="K1279" s="1794"/>
      <c r="L1279" s="1795"/>
      <c r="M1279" s="1780"/>
      <c r="N1279" s="1779"/>
    </row>
    <row r="1280" spans="1:15" ht="13.5" x14ac:dyDescent="0.2">
      <c r="A1280" s="1792"/>
      <c r="B1280" s="1782"/>
      <c r="C1280" s="1782"/>
      <c r="D1280" s="1782"/>
      <c r="E1280" s="1782"/>
      <c r="F1280" s="1782"/>
      <c r="G1280" s="1779"/>
      <c r="H1280" s="1032"/>
      <c r="I1280" s="1785"/>
      <c r="J1280" s="1412"/>
      <c r="K1280" s="1794"/>
      <c r="L1280" s="1795"/>
      <c r="M1280" s="1780"/>
      <c r="N1280" s="1779"/>
    </row>
    <row r="1281" spans="1:14" ht="13.5" x14ac:dyDescent="0.25">
      <c r="A1281" s="1138"/>
      <c r="B1281" s="1138"/>
      <c r="C1281" s="1138"/>
      <c r="D1281" s="1138"/>
      <c r="E1281" s="1138"/>
      <c r="F1281" s="1138"/>
      <c r="G1281" s="1138"/>
      <c r="H1281" s="1138"/>
      <c r="I1281" s="1138"/>
      <c r="J1281" s="1138"/>
      <c r="K1281" s="1778" t="s">
        <v>523</v>
      </c>
      <c r="L1281" s="1779"/>
      <c r="M1281" s="1780">
        <f>SUM(M1271:N1275)</f>
        <v>1831745</v>
      </c>
      <c r="N1281" s="1779"/>
    </row>
    <row r="1282" spans="1:14" ht="13.5" x14ac:dyDescent="0.25">
      <c r="A1282" s="1138"/>
      <c r="B1282" s="1138"/>
      <c r="C1282" s="1138"/>
      <c r="D1282" s="1138"/>
      <c r="E1282" s="1138"/>
      <c r="F1282" s="1138"/>
      <c r="G1282" s="1138"/>
      <c r="H1282" s="1138"/>
      <c r="I1282" s="1138"/>
      <c r="J1282" s="1138"/>
      <c r="K1282" s="1138"/>
      <c r="L1282" s="1138"/>
      <c r="M1282" s="1138"/>
      <c r="N1282" s="1138"/>
    </row>
    <row r="1283" spans="1:14" x14ac:dyDescent="0.2">
      <c r="A1283" s="1781" t="s">
        <v>2145</v>
      </c>
      <c r="B1283" s="1782"/>
      <c r="C1283" s="1782"/>
      <c r="D1283" s="1782"/>
      <c r="E1283" s="1782"/>
      <c r="F1283" s="1782"/>
      <c r="G1283" s="1782"/>
      <c r="H1283" s="1782"/>
      <c r="I1283" s="1782"/>
      <c r="J1283" s="1782"/>
      <c r="K1283" s="1782"/>
      <c r="L1283" s="1782"/>
      <c r="M1283" s="1782"/>
      <c r="N1283" s="1779"/>
    </row>
    <row r="1284" spans="1:14" x14ac:dyDescent="0.2">
      <c r="A1284" s="1778" t="s">
        <v>14</v>
      </c>
      <c r="B1284" s="1782"/>
      <c r="C1284" s="1782"/>
      <c r="D1284" s="1782"/>
      <c r="E1284" s="1782"/>
      <c r="F1284" s="1782"/>
      <c r="G1284" s="1779"/>
      <c r="H1284" s="1136" t="s">
        <v>15</v>
      </c>
      <c r="I1284" s="1783" t="s">
        <v>619</v>
      </c>
      <c r="J1284" s="1779"/>
      <c r="K1284" s="1783" t="s">
        <v>610</v>
      </c>
      <c r="L1284" s="1779"/>
      <c r="M1284" s="1783" t="s">
        <v>2140</v>
      </c>
      <c r="N1284" s="1779"/>
    </row>
    <row r="1285" spans="1:14" ht="13.5" x14ac:dyDescent="0.2">
      <c r="A1285" s="1789" t="s">
        <v>131</v>
      </c>
      <c r="B1285" s="1790"/>
      <c r="C1285" s="1790"/>
      <c r="D1285" s="1790"/>
      <c r="E1285" s="1790"/>
      <c r="F1285" s="1790"/>
      <c r="G1285" s="1791"/>
      <c r="H1285" s="1032" t="str">
        <f>IF(A1285="","",VLOOKUP(A1285,'11'!$C$6:$E$87,2,FALSE))</f>
        <v>DIA</v>
      </c>
      <c r="I1285" s="1785">
        <f>IF(A1285="","",VLOOKUP(A1285,'11'!$C$6:$E$87,3,FALSE))</f>
        <v>15000</v>
      </c>
      <c r="J1285" s="1412"/>
      <c r="K1285" s="1787">
        <v>0.23255813953333748</v>
      </c>
      <c r="L1285" s="1793"/>
      <c r="M1285" s="1780">
        <f>I1285/K1285</f>
        <v>64500.000000428852</v>
      </c>
      <c r="N1285" s="1779"/>
    </row>
    <row r="1286" spans="1:14" ht="13.5" x14ac:dyDescent="0.2">
      <c r="A1286" s="1802"/>
      <c r="B1286" s="1782"/>
      <c r="C1286" s="1782"/>
      <c r="D1286" s="1782"/>
      <c r="E1286" s="1782"/>
      <c r="F1286" s="1782"/>
      <c r="G1286" s="1779"/>
      <c r="H1286" s="1137"/>
      <c r="I1286" s="1780"/>
      <c r="J1286" s="1779"/>
      <c r="K1286" s="1794"/>
      <c r="L1286" s="1779"/>
      <c r="M1286" s="1780"/>
      <c r="N1286" s="1779"/>
    </row>
    <row r="1287" spans="1:14" ht="13.5" x14ac:dyDescent="0.2">
      <c r="A1287" s="1789"/>
      <c r="B1287" s="1782"/>
      <c r="C1287" s="1782"/>
      <c r="D1287" s="1782"/>
      <c r="E1287" s="1782"/>
      <c r="F1287" s="1782"/>
      <c r="G1287" s="1779"/>
      <c r="H1287" s="1137"/>
      <c r="I1287" s="1780"/>
      <c r="J1287" s="1779"/>
      <c r="K1287" s="1787"/>
      <c r="L1287" s="1779"/>
      <c r="M1287" s="1780"/>
      <c r="N1287" s="1779"/>
    </row>
    <row r="1288" spans="1:14" ht="13.5" x14ac:dyDescent="0.2">
      <c r="A1288" s="1789"/>
      <c r="B1288" s="1782"/>
      <c r="C1288" s="1782"/>
      <c r="D1288" s="1782"/>
      <c r="E1288" s="1782"/>
      <c r="F1288" s="1782"/>
      <c r="G1288" s="1779"/>
      <c r="H1288" s="1137"/>
      <c r="I1288" s="1780"/>
      <c r="J1288" s="1779"/>
      <c r="K1288" s="1787"/>
      <c r="L1288" s="1779"/>
      <c r="M1288" s="1780"/>
      <c r="N1288" s="1779"/>
    </row>
    <row r="1289" spans="1:14" ht="13.5" x14ac:dyDescent="0.2">
      <c r="A1289" s="1789"/>
      <c r="B1289" s="1782"/>
      <c r="C1289" s="1782"/>
      <c r="D1289" s="1782"/>
      <c r="E1289" s="1782"/>
      <c r="F1289" s="1782"/>
      <c r="G1289" s="1779"/>
      <c r="H1289" s="1137"/>
      <c r="I1289" s="1780"/>
      <c r="J1289" s="1779"/>
      <c r="K1289" s="1787"/>
      <c r="L1289" s="1779"/>
      <c r="M1289" s="1780"/>
      <c r="N1289" s="1779"/>
    </row>
    <row r="1290" spans="1:14" ht="13.5" x14ac:dyDescent="0.25">
      <c r="A1290" s="1138"/>
      <c r="B1290" s="1138"/>
      <c r="C1290" s="1138"/>
      <c r="D1290" s="1138"/>
      <c r="E1290" s="1138"/>
      <c r="F1290" s="1138"/>
      <c r="G1290" s="1138"/>
      <c r="H1290" s="1138"/>
      <c r="I1290" s="1138"/>
      <c r="J1290" s="1138"/>
      <c r="K1290" s="1778" t="s">
        <v>523</v>
      </c>
      <c r="L1290" s="1779"/>
      <c r="M1290" s="1780">
        <f>SUM(M1285:N1289)</f>
        <v>64500.000000428852</v>
      </c>
      <c r="N1290" s="1779"/>
    </row>
    <row r="1291" spans="1:14" ht="13.5" x14ac:dyDescent="0.25">
      <c r="A1291" s="1138"/>
      <c r="B1291" s="1138"/>
      <c r="C1291" s="1138"/>
      <c r="D1291" s="1138"/>
      <c r="E1291" s="1138"/>
      <c r="F1291" s="1138"/>
      <c r="G1291" s="1138"/>
      <c r="H1291" s="1138"/>
      <c r="I1291" s="1138"/>
      <c r="J1291" s="1138"/>
      <c r="K1291" s="1138"/>
      <c r="L1291" s="1138"/>
      <c r="M1291" s="1138"/>
      <c r="N1291" s="1138"/>
    </row>
    <row r="1292" spans="1:14" x14ac:dyDescent="0.2">
      <c r="A1292" s="1781" t="s">
        <v>2147</v>
      </c>
      <c r="B1292" s="1782"/>
      <c r="C1292" s="1782"/>
      <c r="D1292" s="1782"/>
      <c r="E1292" s="1782"/>
      <c r="F1292" s="1782"/>
      <c r="G1292" s="1782"/>
      <c r="H1292" s="1782"/>
      <c r="I1292" s="1782"/>
      <c r="J1292" s="1782"/>
      <c r="K1292" s="1782"/>
      <c r="L1292" s="1782"/>
      <c r="M1292" s="1782"/>
      <c r="N1292" s="1779"/>
    </row>
    <row r="1293" spans="1:14" x14ac:dyDescent="0.2">
      <c r="A1293" s="1778" t="s">
        <v>14</v>
      </c>
      <c r="B1293" s="1782"/>
      <c r="C1293" s="1782"/>
      <c r="D1293" s="1782"/>
      <c r="E1293" s="1782"/>
      <c r="F1293" s="1782"/>
      <c r="G1293" s="1779"/>
      <c r="H1293" s="1136" t="s">
        <v>15</v>
      </c>
      <c r="I1293" s="1783" t="s">
        <v>619</v>
      </c>
      <c r="J1293" s="1779"/>
      <c r="K1293" s="1783" t="s">
        <v>628</v>
      </c>
      <c r="L1293" s="1779"/>
      <c r="M1293" s="1783" t="s">
        <v>2140</v>
      </c>
      <c r="N1293" s="1779"/>
    </row>
    <row r="1294" spans="1:14" ht="13.5" x14ac:dyDescent="0.2">
      <c r="A1294" s="1792" t="s">
        <v>2328</v>
      </c>
      <c r="B1294" s="1782"/>
      <c r="C1294" s="1782"/>
      <c r="D1294" s="1782"/>
      <c r="E1294" s="1782"/>
      <c r="F1294" s="1782"/>
      <c r="G1294" s="1779"/>
      <c r="H1294" s="1032" t="str">
        <f>IF(A1294="","",VLOOKUP(A1294,'11'!$C$6:$E$1012,2,FALSE))</f>
        <v>KM-M3</v>
      </c>
      <c r="I1294" s="1785">
        <f>IF(A1294="","",VLOOKUP(A1294,'11'!$C$6:$E$1012,3,FALSE))</f>
        <v>1440</v>
      </c>
      <c r="J1294" s="1412"/>
      <c r="K1294" s="1787">
        <v>10</v>
      </c>
      <c r="L1294" s="1793"/>
      <c r="M1294" s="1780">
        <f t="shared" ref="M1294" si="59">IF(A1294="","",I1294*K1294)</f>
        <v>14400</v>
      </c>
      <c r="N1294" s="1779"/>
    </row>
    <row r="1295" spans="1:14" ht="13.5" x14ac:dyDescent="0.2">
      <c r="A1295" s="1786"/>
      <c r="B1295" s="1782"/>
      <c r="C1295" s="1782"/>
      <c r="D1295" s="1782"/>
      <c r="E1295" s="1782"/>
      <c r="F1295" s="1782"/>
      <c r="G1295" s="1779"/>
      <c r="H1295" s="1032"/>
      <c r="I1295" s="1780"/>
      <c r="J1295" s="1779"/>
      <c r="K1295" s="1787"/>
      <c r="L1295" s="1779"/>
      <c r="M1295" s="1780"/>
      <c r="N1295" s="1779"/>
    </row>
    <row r="1296" spans="1:14" ht="13.5" x14ac:dyDescent="0.2">
      <c r="A1296" s="1786"/>
      <c r="B1296" s="1782"/>
      <c r="C1296" s="1782"/>
      <c r="D1296" s="1782"/>
      <c r="E1296" s="1782"/>
      <c r="F1296" s="1782"/>
      <c r="G1296" s="1779"/>
      <c r="H1296" s="1032"/>
      <c r="I1296" s="1780"/>
      <c r="J1296" s="1779"/>
      <c r="K1296" s="1788"/>
      <c r="L1296" s="1779"/>
      <c r="M1296" s="1780"/>
      <c r="N1296" s="1779"/>
    </row>
    <row r="1297" spans="1:14" ht="13.5" x14ac:dyDescent="0.2">
      <c r="A1297" s="1789"/>
      <c r="B1297" s="1782"/>
      <c r="C1297" s="1782"/>
      <c r="D1297" s="1782"/>
      <c r="E1297" s="1782"/>
      <c r="F1297" s="1782"/>
      <c r="G1297" s="1779"/>
      <c r="H1297" s="1137"/>
      <c r="I1297" s="1780"/>
      <c r="J1297" s="1779"/>
      <c r="K1297" s="1787"/>
      <c r="L1297" s="1779"/>
      <c r="M1297" s="1780"/>
      <c r="N1297" s="1779"/>
    </row>
    <row r="1298" spans="1:14" ht="13.5" x14ac:dyDescent="0.2">
      <c r="A1298" s="1789"/>
      <c r="B1298" s="1782"/>
      <c r="C1298" s="1782"/>
      <c r="D1298" s="1782"/>
      <c r="E1298" s="1782"/>
      <c r="F1298" s="1782"/>
      <c r="G1298" s="1779"/>
      <c r="H1298" s="1137"/>
      <c r="I1298" s="1780"/>
      <c r="J1298" s="1779"/>
      <c r="K1298" s="1787"/>
      <c r="L1298" s="1779"/>
      <c r="M1298" s="1780"/>
      <c r="N1298" s="1779"/>
    </row>
    <row r="1299" spans="1:14" ht="13.5" x14ac:dyDescent="0.25">
      <c r="A1299" s="1138"/>
      <c r="B1299" s="1138"/>
      <c r="C1299" s="1138"/>
      <c r="D1299" s="1138"/>
      <c r="E1299" s="1138"/>
      <c r="F1299" s="1138"/>
      <c r="G1299" s="1138"/>
      <c r="H1299" s="1138"/>
      <c r="I1299" s="1138"/>
      <c r="J1299" s="1138"/>
      <c r="K1299" s="1778" t="s">
        <v>523</v>
      </c>
      <c r="L1299" s="1779"/>
      <c r="M1299" s="1780">
        <f>SUM(M1294:N1298)</f>
        <v>14400</v>
      </c>
      <c r="N1299" s="1779"/>
    </row>
    <row r="1300" spans="1:14" ht="13.5" x14ac:dyDescent="0.25">
      <c r="A1300" s="1138"/>
      <c r="B1300" s="1138"/>
      <c r="C1300" s="1138"/>
      <c r="D1300" s="1138"/>
      <c r="E1300" s="1138"/>
      <c r="F1300" s="1138"/>
      <c r="G1300" s="1138"/>
      <c r="H1300" s="1138"/>
      <c r="I1300" s="1138"/>
      <c r="J1300" s="1138"/>
      <c r="K1300" s="1138"/>
      <c r="L1300" s="1138"/>
      <c r="M1300" s="1138"/>
      <c r="N1300" s="1138"/>
    </row>
    <row r="1301" spans="1:14" x14ac:dyDescent="0.2">
      <c r="A1301" s="1781" t="s">
        <v>2150</v>
      </c>
      <c r="B1301" s="1782"/>
      <c r="C1301" s="1782"/>
      <c r="D1301" s="1782"/>
      <c r="E1301" s="1782"/>
      <c r="F1301" s="1782"/>
      <c r="G1301" s="1782"/>
      <c r="H1301" s="1782"/>
      <c r="I1301" s="1782"/>
      <c r="J1301" s="1782"/>
      <c r="K1301" s="1782"/>
      <c r="L1301" s="1782"/>
      <c r="M1301" s="1782"/>
      <c r="N1301" s="1779"/>
    </row>
    <row r="1302" spans="1:14" x14ac:dyDescent="0.2">
      <c r="A1302" s="1778" t="s">
        <v>14</v>
      </c>
      <c r="B1302" s="1782"/>
      <c r="C1302" s="1782"/>
      <c r="D1302" s="1782"/>
      <c r="E1302" s="1782"/>
      <c r="F1302" s="1782"/>
      <c r="G1302" s="1779"/>
      <c r="H1302" s="1136" t="s">
        <v>15</v>
      </c>
      <c r="I1302" s="1783" t="s">
        <v>619</v>
      </c>
      <c r="J1302" s="1779"/>
      <c r="K1302" s="1139" t="s">
        <v>1919</v>
      </c>
      <c r="L1302" s="1140" t="s">
        <v>2151</v>
      </c>
      <c r="M1302" s="1783" t="s">
        <v>2140</v>
      </c>
      <c r="N1302" s="1779"/>
    </row>
    <row r="1303" spans="1:14" ht="13.5" x14ac:dyDescent="0.25">
      <c r="A1303" s="1784" t="s">
        <v>2168</v>
      </c>
      <c r="B1303" s="1782"/>
      <c r="C1303" s="1782"/>
      <c r="D1303" s="1782"/>
      <c r="E1303" s="1782"/>
      <c r="F1303" s="1782"/>
      <c r="G1303" s="1779"/>
      <c r="H1303" s="1032" t="str">
        <f>IF(A1303="","",VLOOKUP(A1303,'09'!$A$22:$O$168,4,FALSE))</f>
        <v>Cuadrilla</v>
      </c>
      <c r="I1303" s="1785">
        <f>IF(A1303="","",VLOOKUP(A1303,'09'!$A$22:$O$168,5,FALSE))</f>
        <v>204272</v>
      </c>
      <c r="J1303" s="1412"/>
      <c r="K1303" s="1034">
        <f>IF(A1303="","",'03'!$I$2)</f>
        <v>1.88995</v>
      </c>
      <c r="L1303" s="1142">
        <v>0.12</v>
      </c>
      <c r="M1303" s="1780">
        <f>I1303*K1303/(L1303*8)</f>
        <v>402149.86083333334</v>
      </c>
      <c r="N1303" s="1779"/>
    </row>
    <row r="1304" spans="1:14" ht="13.5" x14ac:dyDescent="0.25">
      <c r="A1304" s="1784"/>
      <c r="B1304" s="1782"/>
      <c r="C1304" s="1782"/>
      <c r="D1304" s="1782"/>
      <c r="E1304" s="1782"/>
      <c r="F1304" s="1782"/>
      <c r="G1304" s="1779"/>
      <c r="H1304" s="1137"/>
      <c r="I1304" s="1780"/>
      <c r="J1304" s="1779"/>
      <c r="K1304" s="1141"/>
      <c r="L1304" s="1141"/>
      <c r="M1304" s="1780"/>
      <c r="N1304" s="1779"/>
    </row>
    <row r="1305" spans="1:14" ht="13.5" x14ac:dyDescent="0.25">
      <c r="A1305" s="1784"/>
      <c r="B1305" s="1782"/>
      <c r="C1305" s="1782"/>
      <c r="D1305" s="1782"/>
      <c r="E1305" s="1782"/>
      <c r="F1305" s="1782"/>
      <c r="G1305" s="1779"/>
      <c r="H1305" s="1137"/>
      <c r="I1305" s="1780"/>
      <c r="J1305" s="1779"/>
      <c r="K1305" s="1141"/>
      <c r="L1305" s="1143"/>
      <c r="M1305" s="1780"/>
      <c r="N1305" s="1779"/>
    </row>
    <row r="1306" spans="1:14" ht="13.5" x14ac:dyDescent="0.25">
      <c r="A1306" s="1784"/>
      <c r="B1306" s="1782"/>
      <c r="C1306" s="1782"/>
      <c r="D1306" s="1782"/>
      <c r="E1306" s="1782"/>
      <c r="F1306" s="1782"/>
      <c r="G1306" s="1779"/>
      <c r="H1306" s="1137"/>
      <c r="I1306" s="1780"/>
      <c r="J1306" s="1779"/>
      <c r="K1306" s="1141"/>
      <c r="L1306" s="1143"/>
      <c r="M1306" s="1780"/>
      <c r="N1306" s="1779"/>
    </row>
    <row r="1307" spans="1:14" ht="13.5" x14ac:dyDescent="0.25">
      <c r="A1307" s="1784"/>
      <c r="B1307" s="1782"/>
      <c r="C1307" s="1782"/>
      <c r="D1307" s="1782"/>
      <c r="E1307" s="1782"/>
      <c r="F1307" s="1782"/>
      <c r="G1307" s="1779"/>
      <c r="H1307" s="1137"/>
      <c r="I1307" s="1780"/>
      <c r="J1307" s="1779"/>
      <c r="K1307" s="1141"/>
      <c r="L1307" s="1143"/>
      <c r="M1307" s="1780"/>
      <c r="N1307" s="1779"/>
    </row>
    <row r="1308" spans="1:14" ht="13.5" x14ac:dyDescent="0.25">
      <c r="A1308" s="1138"/>
      <c r="B1308" s="1138"/>
      <c r="C1308" s="1138"/>
      <c r="D1308" s="1138"/>
      <c r="E1308" s="1138"/>
      <c r="F1308" s="1138"/>
      <c r="G1308" s="1138"/>
      <c r="H1308" s="1138"/>
      <c r="I1308" s="1138"/>
      <c r="J1308" s="1138"/>
      <c r="K1308" s="1778" t="s">
        <v>523</v>
      </c>
      <c r="L1308" s="1779"/>
      <c r="M1308" s="1780">
        <f>SUM(M1303:N1307)</f>
        <v>402149.86083333334</v>
      </c>
      <c r="N1308" s="1779"/>
    </row>
    <row r="1309" spans="1:14" x14ac:dyDescent="0.2">
      <c r="I1309" s="1414"/>
      <c r="J1309" s="1415"/>
      <c r="K1309" s="1415"/>
      <c r="L1309" s="1415"/>
      <c r="M1309" s="1415"/>
      <c r="N1309" s="1415"/>
    </row>
    <row r="1310" spans="1:14" ht="13.5" thickBot="1" x14ac:dyDescent="0.25">
      <c r="I1310" s="1416"/>
      <c r="J1310" s="1416"/>
      <c r="K1310" s="1416"/>
      <c r="L1310" s="1416"/>
      <c r="M1310" s="1416"/>
      <c r="N1310" s="1416"/>
    </row>
    <row r="1311" spans="1:14" ht="14.25" thickTop="1" x14ac:dyDescent="0.2">
      <c r="I1311" s="1417" t="s">
        <v>1829</v>
      </c>
      <c r="J1311" s="1418"/>
      <c r="K1311" s="1417" t="s">
        <v>2653</v>
      </c>
      <c r="L1311" s="1418"/>
      <c r="M1311" s="1418"/>
      <c r="N1311" s="1418"/>
    </row>
    <row r="1312" spans="1:14" ht="13.5" x14ac:dyDescent="0.2">
      <c r="I1312" s="1419" t="s">
        <v>1831</v>
      </c>
      <c r="J1312" s="1420"/>
      <c r="K1312" s="1419"/>
      <c r="L1312" s="1420"/>
      <c r="M1312" s="1420"/>
      <c r="N1312" s="1420"/>
    </row>
    <row r="1313" spans="1:15" x14ac:dyDescent="0.2">
      <c r="A1313" s="1796" t="s">
        <v>2355</v>
      </c>
      <c r="B1313" s="1797"/>
      <c r="C1313" s="1797"/>
      <c r="D1313" s="1797"/>
      <c r="E1313" s="1797"/>
      <c r="F1313" s="1797"/>
      <c r="G1313" s="1797"/>
      <c r="H1313" s="1797"/>
      <c r="I1313" s="1797"/>
      <c r="J1313" s="1797"/>
      <c r="K1313" s="1797"/>
      <c r="L1313" s="1797"/>
      <c r="M1313" s="1797"/>
      <c r="N1313" s="1798"/>
    </row>
    <row r="1314" spans="1:15" x14ac:dyDescent="0.2">
      <c r="A1314" s="1799"/>
      <c r="B1314" s="1800"/>
      <c r="C1314" s="1800"/>
      <c r="D1314" s="1800"/>
      <c r="E1314" s="1800"/>
      <c r="F1314" s="1800"/>
      <c r="G1314" s="1800"/>
      <c r="H1314" s="1800"/>
      <c r="I1314" s="1800"/>
      <c r="J1314" s="1800"/>
      <c r="K1314" s="1800"/>
      <c r="L1314" s="1800"/>
      <c r="M1314" s="1800"/>
      <c r="N1314" s="1801"/>
    </row>
    <row r="1315" spans="1:15" ht="13.5" x14ac:dyDescent="0.2">
      <c r="A1315" s="1128"/>
      <c r="B1315" s="1128"/>
      <c r="C1315" s="1128"/>
      <c r="D1315" s="1128"/>
      <c r="E1315" s="1128"/>
      <c r="F1315" s="1128"/>
      <c r="G1315" s="1128"/>
      <c r="H1315" s="1128"/>
      <c r="I1315" s="1128"/>
      <c r="J1315" s="1128"/>
      <c r="K1315" s="1128"/>
      <c r="L1315" s="1128"/>
      <c r="M1315" s="1128"/>
      <c r="N1315" s="1128"/>
    </row>
    <row r="1316" spans="1:15" ht="14.25" x14ac:dyDescent="0.3">
      <c r="A1316" s="1104" t="s">
        <v>2354</v>
      </c>
      <c r="B1316" s="1129" t="str">
        <f>A1313</f>
        <v>FALSO FONDO EN FIBRA DE VIDRIO DE ESPESOR 0.02 METROS CON ORIFICOS DE 0.10 METROS CADA 0.30 METROS.</v>
      </c>
      <c r="C1316" s="1130" t="s">
        <v>634</v>
      </c>
      <c r="D1316" s="1107" t="s">
        <v>4</v>
      </c>
      <c r="E1316" s="1132" t="s">
        <v>1833</v>
      </c>
      <c r="F1316" s="1133">
        <f>H1316+J1316+L1316+N1316</f>
        <v>340934.97680555563</v>
      </c>
      <c r="G1316" s="1132" t="s">
        <v>2136</v>
      </c>
      <c r="H1316" s="1133">
        <f>M1339</f>
        <v>3750</v>
      </c>
      <c r="I1316" s="1132" t="s">
        <v>621</v>
      </c>
      <c r="J1316" s="1134">
        <f>M1330</f>
        <v>254320.00000000006</v>
      </c>
      <c r="K1316" s="1132" t="s">
        <v>2137</v>
      </c>
      <c r="L1316" s="1133">
        <f>M1348</f>
        <v>15840</v>
      </c>
      <c r="M1316" s="1132" t="s">
        <v>2138</v>
      </c>
      <c r="N1316" s="1133">
        <f>M1357</f>
        <v>67024.976805555561</v>
      </c>
    </row>
    <row r="1317" spans="1:15" ht="13.5" x14ac:dyDescent="0.25">
      <c r="A1317" s="1135"/>
      <c r="B1317" s="1135"/>
      <c r="C1317" s="1135"/>
      <c r="D1317" s="1135"/>
      <c r="E1317" s="1135"/>
      <c r="F1317" s="1135"/>
      <c r="G1317" s="1135"/>
      <c r="J1317" s="1135"/>
      <c r="K1317" s="1135"/>
      <c r="L1317" s="1135"/>
      <c r="M1317" s="1270" t="s">
        <v>2667</v>
      </c>
      <c r="N1317" s="1270">
        <f>+F1316*'01'!$O$15</f>
        <v>441273.47267807601</v>
      </c>
    </row>
    <row r="1318" spans="1:15" x14ac:dyDescent="0.2">
      <c r="A1318" s="1781" t="s">
        <v>2139</v>
      </c>
      <c r="B1318" s="1782"/>
      <c r="C1318" s="1782"/>
      <c r="D1318" s="1782"/>
      <c r="E1318" s="1782"/>
      <c r="F1318" s="1782"/>
      <c r="G1318" s="1782"/>
      <c r="H1318" s="1782"/>
      <c r="I1318" s="1782"/>
      <c r="J1318" s="1782"/>
      <c r="K1318" s="1782"/>
      <c r="L1318" s="1782"/>
      <c r="M1318" s="1782"/>
      <c r="N1318" s="1779"/>
    </row>
    <row r="1319" spans="1:15" x14ac:dyDescent="0.2">
      <c r="A1319" s="1778" t="s">
        <v>14</v>
      </c>
      <c r="B1319" s="1782"/>
      <c r="C1319" s="1782"/>
      <c r="D1319" s="1782"/>
      <c r="E1319" s="1782"/>
      <c r="F1319" s="1782"/>
      <c r="G1319" s="1779"/>
      <c r="H1319" s="1136" t="s">
        <v>15</v>
      </c>
      <c r="I1319" s="1783" t="s">
        <v>619</v>
      </c>
      <c r="J1319" s="1779"/>
      <c r="K1319" s="1783" t="s">
        <v>628</v>
      </c>
      <c r="L1319" s="1779"/>
      <c r="M1319" s="1783" t="s">
        <v>2140</v>
      </c>
      <c r="N1319" s="1779"/>
    </row>
    <row r="1320" spans="1:15" ht="13.5" customHeight="1" x14ac:dyDescent="0.2">
      <c r="A1320" s="1792" t="s">
        <v>919</v>
      </c>
      <c r="B1320" s="1782"/>
      <c r="C1320" s="1782"/>
      <c r="D1320" s="1782"/>
      <c r="E1320" s="1782"/>
      <c r="F1320" s="1782"/>
      <c r="G1320" s="1779"/>
      <c r="H1320" s="1032" t="str">
        <f>IF(A1320="","",VLOOKUP(A1320,'10'!$C$6:$E$1152,2,FALSE))</f>
        <v>UND</v>
      </c>
      <c r="I1320" s="1785">
        <f>IF(A1320="","",VLOOKUP(A1320,'10'!$C$6:$E$1152,3,FALSE))</f>
        <v>748000.00000000012</v>
      </c>
      <c r="J1320" s="1412"/>
      <c r="K1320" s="1794">
        <v>0.34</v>
      </c>
      <c r="L1320" s="1795"/>
      <c r="M1320" s="1780">
        <f>K1320*I1320</f>
        <v>254320.00000000006</v>
      </c>
      <c r="N1320" s="1779"/>
    </row>
    <row r="1321" spans="1:15" ht="13.5" customHeight="1" x14ac:dyDescent="0.2">
      <c r="A1321" s="1792"/>
      <c r="B1321" s="1782"/>
      <c r="C1321" s="1782"/>
      <c r="D1321" s="1782"/>
      <c r="E1321" s="1782"/>
      <c r="F1321" s="1782"/>
      <c r="G1321" s="1779"/>
      <c r="H1321" s="1032"/>
      <c r="I1321" s="1785"/>
      <c r="J1321" s="1412"/>
      <c r="K1321" s="1794"/>
      <c r="L1321" s="1795"/>
      <c r="M1321" s="1780">
        <f t="shared" ref="M1321:M1325" si="60">K1321*I1321</f>
        <v>0</v>
      </c>
      <c r="N1321" s="1779"/>
    </row>
    <row r="1322" spans="1:15" ht="13.5" x14ac:dyDescent="0.2">
      <c r="A1322" s="1792"/>
      <c r="B1322" s="1782"/>
      <c r="C1322" s="1782"/>
      <c r="D1322" s="1782"/>
      <c r="E1322" s="1782"/>
      <c r="F1322" s="1782"/>
      <c r="G1322" s="1779"/>
      <c r="H1322" s="1032"/>
      <c r="I1322" s="1785"/>
      <c r="J1322" s="1412"/>
      <c r="K1322" s="1794"/>
      <c r="L1322" s="1795"/>
      <c r="M1322" s="1780">
        <f t="shared" si="60"/>
        <v>0</v>
      </c>
      <c r="N1322" s="1779"/>
      <c r="O1322" s="799"/>
    </row>
    <row r="1323" spans="1:15" ht="13.5" x14ac:dyDescent="0.2">
      <c r="A1323" s="1792"/>
      <c r="B1323" s="1782"/>
      <c r="C1323" s="1782"/>
      <c r="D1323" s="1782"/>
      <c r="E1323" s="1782"/>
      <c r="F1323" s="1782"/>
      <c r="G1323" s="1779"/>
      <c r="H1323" s="1032"/>
      <c r="I1323" s="1785"/>
      <c r="J1323" s="1412"/>
      <c r="K1323" s="1794"/>
      <c r="L1323" s="1795"/>
      <c r="M1323" s="1780">
        <f t="shared" si="60"/>
        <v>0</v>
      </c>
      <c r="N1323" s="1779"/>
    </row>
    <row r="1324" spans="1:15" ht="13.5" x14ac:dyDescent="0.2">
      <c r="A1324" s="1792"/>
      <c r="B1324" s="1782"/>
      <c r="C1324" s="1782"/>
      <c r="D1324" s="1782"/>
      <c r="E1324" s="1782"/>
      <c r="F1324" s="1782"/>
      <c r="G1324" s="1779"/>
      <c r="H1324" s="1032"/>
      <c r="I1324" s="1785"/>
      <c r="J1324" s="1412"/>
      <c r="K1324" s="1794"/>
      <c r="L1324" s="1795"/>
      <c r="M1324" s="1780">
        <f t="shared" si="60"/>
        <v>0</v>
      </c>
      <c r="N1324" s="1779"/>
    </row>
    <row r="1325" spans="1:15" ht="13.5" x14ac:dyDescent="0.2">
      <c r="A1325" s="1792"/>
      <c r="B1325" s="1782"/>
      <c r="C1325" s="1782"/>
      <c r="D1325" s="1782"/>
      <c r="E1325" s="1782"/>
      <c r="F1325" s="1782"/>
      <c r="G1325" s="1779"/>
      <c r="H1325" s="1032"/>
      <c r="I1325" s="1785"/>
      <c r="J1325" s="1412"/>
      <c r="K1325" s="1794"/>
      <c r="L1325" s="1795"/>
      <c r="M1325" s="1780">
        <f t="shared" si="60"/>
        <v>0</v>
      </c>
      <c r="N1325" s="1779"/>
    </row>
    <row r="1326" spans="1:15" ht="13.5" x14ac:dyDescent="0.2">
      <c r="A1326" s="1792"/>
      <c r="B1326" s="1782"/>
      <c r="C1326" s="1782"/>
      <c r="D1326" s="1782"/>
      <c r="E1326" s="1782"/>
      <c r="F1326" s="1782"/>
      <c r="G1326" s="1779"/>
      <c r="H1326" s="1032" t="str">
        <f>IF(A1326="","",VLOOKUP(A1326,'10'!$C$6:$E$1152,2,FALSE))</f>
        <v/>
      </c>
      <c r="I1326" s="1785" t="str">
        <f>IF(A1326="","",VLOOKUP(A1326,'10'!$C$6:$E$1152,3,FALSE))</f>
        <v/>
      </c>
      <c r="J1326" s="1412"/>
      <c r="K1326" s="1794"/>
      <c r="L1326" s="1795"/>
      <c r="M1326" s="1780"/>
      <c r="N1326" s="1779"/>
    </row>
    <row r="1327" spans="1:15" ht="13.5" x14ac:dyDescent="0.2">
      <c r="A1327" s="1792"/>
      <c r="B1327" s="1782"/>
      <c r="C1327" s="1782"/>
      <c r="D1327" s="1782"/>
      <c r="E1327" s="1782"/>
      <c r="F1327" s="1782"/>
      <c r="G1327" s="1779"/>
      <c r="H1327" s="1032"/>
      <c r="I1327" s="1785"/>
      <c r="J1327" s="1412"/>
      <c r="K1327" s="1794"/>
      <c r="L1327" s="1795"/>
      <c r="M1327" s="1780"/>
      <c r="N1327" s="1779"/>
    </row>
    <row r="1328" spans="1:15" ht="13.5" x14ac:dyDescent="0.2">
      <c r="A1328" s="1792"/>
      <c r="B1328" s="1782"/>
      <c r="C1328" s="1782"/>
      <c r="D1328" s="1782"/>
      <c r="E1328" s="1782"/>
      <c r="F1328" s="1782"/>
      <c r="G1328" s="1779"/>
      <c r="H1328" s="1032"/>
      <c r="I1328" s="1785"/>
      <c r="J1328" s="1412"/>
      <c r="K1328" s="1794"/>
      <c r="L1328" s="1795"/>
      <c r="M1328" s="1780"/>
      <c r="N1328" s="1779"/>
    </row>
    <row r="1329" spans="1:14" ht="13.5" x14ac:dyDescent="0.2">
      <c r="A1329" s="1792"/>
      <c r="B1329" s="1782"/>
      <c r="C1329" s="1782"/>
      <c r="D1329" s="1782"/>
      <c r="E1329" s="1782"/>
      <c r="F1329" s="1782"/>
      <c r="G1329" s="1779"/>
      <c r="H1329" s="1032"/>
      <c r="I1329" s="1785"/>
      <c r="J1329" s="1412"/>
      <c r="K1329" s="1794"/>
      <c r="L1329" s="1795"/>
      <c r="M1329" s="1780"/>
      <c r="N1329" s="1779"/>
    </row>
    <row r="1330" spans="1:14" ht="13.5" x14ac:dyDescent="0.25">
      <c r="A1330" s="1138"/>
      <c r="B1330" s="1138"/>
      <c r="C1330" s="1138"/>
      <c r="D1330" s="1138"/>
      <c r="E1330" s="1138"/>
      <c r="F1330" s="1138"/>
      <c r="G1330" s="1138"/>
      <c r="H1330" s="1138"/>
      <c r="I1330" s="1138"/>
      <c r="J1330" s="1138"/>
      <c r="K1330" s="1778" t="s">
        <v>523</v>
      </c>
      <c r="L1330" s="1779"/>
      <c r="M1330" s="1780">
        <f>SUM(M1320:N1324)</f>
        <v>254320.00000000006</v>
      </c>
      <c r="N1330" s="1779"/>
    </row>
    <row r="1331" spans="1:14" ht="13.5" x14ac:dyDescent="0.25">
      <c r="A1331" s="1138"/>
      <c r="B1331" s="1138"/>
      <c r="C1331" s="1138"/>
      <c r="D1331" s="1138"/>
      <c r="E1331" s="1138"/>
      <c r="F1331" s="1138"/>
      <c r="G1331" s="1138"/>
      <c r="H1331" s="1138"/>
      <c r="I1331" s="1138"/>
      <c r="J1331" s="1138"/>
      <c r="K1331" s="1138"/>
      <c r="L1331" s="1138"/>
      <c r="M1331" s="1138"/>
      <c r="N1331" s="1138"/>
    </row>
    <row r="1332" spans="1:14" x14ac:dyDescent="0.2">
      <c r="A1332" s="1781" t="s">
        <v>2145</v>
      </c>
      <c r="B1332" s="1782"/>
      <c r="C1332" s="1782"/>
      <c r="D1332" s="1782"/>
      <c r="E1332" s="1782"/>
      <c r="F1332" s="1782"/>
      <c r="G1332" s="1782"/>
      <c r="H1332" s="1782"/>
      <c r="I1332" s="1782"/>
      <c r="J1332" s="1782"/>
      <c r="K1332" s="1782"/>
      <c r="L1332" s="1782"/>
      <c r="M1332" s="1782"/>
      <c r="N1332" s="1779"/>
    </row>
    <row r="1333" spans="1:14" x14ac:dyDescent="0.2">
      <c r="A1333" s="1778" t="s">
        <v>14</v>
      </c>
      <c r="B1333" s="1782"/>
      <c r="C1333" s="1782"/>
      <c r="D1333" s="1782"/>
      <c r="E1333" s="1782"/>
      <c r="F1333" s="1782"/>
      <c r="G1333" s="1779"/>
      <c r="H1333" s="1136" t="s">
        <v>15</v>
      </c>
      <c r="I1333" s="1783" t="s">
        <v>619</v>
      </c>
      <c r="J1333" s="1779"/>
      <c r="K1333" s="1783" t="s">
        <v>610</v>
      </c>
      <c r="L1333" s="1779"/>
      <c r="M1333" s="1783" t="s">
        <v>2140</v>
      </c>
      <c r="N1333" s="1779"/>
    </row>
    <row r="1334" spans="1:14" ht="13.5" x14ac:dyDescent="0.2">
      <c r="A1334" s="1789" t="s">
        <v>131</v>
      </c>
      <c r="B1334" s="1790"/>
      <c r="C1334" s="1790"/>
      <c r="D1334" s="1790"/>
      <c r="E1334" s="1790"/>
      <c r="F1334" s="1790"/>
      <c r="G1334" s="1791"/>
      <c r="H1334" s="1032" t="str">
        <f>IF(A1334="","",VLOOKUP(A1334,'11'!$C$6:$E$87,2,FALSE))</f>
        <v>DIA</v>
      </c>
      <c r="I1334" s="1785">
        <f>IF(A1334="","",VLOOKUP(A1334,'11'!$C$6:$E$87,3,FALSE))</f>
        <v>15000</v>
      </c>
      <c r="J1334" s="1412"/>
      <c r="K1334" s="1787">
        <v>4</v>
      </c>
      <c r="L1334" s="1793"/>
      <c r="M1334" s="1780">
        <f>I1334/K1334</f>
        <v>3750</v>
      </c>
      <c r="N1334" s="1779"/>
    </row>
    <row r="1335" spans="1:14" ht="13.5" x14ac:dyDescent="0.2">
      <c r="A1335" s="1802"/>
      <c r="B1335" s="1782"/>
      <c r="C1335" s="1782"/>
      <c r="D1335" s="1782"/>
      <c r="E1335" s="1782"/>
      <c r="F1335" s="1782"/>
      <c r="G1335" s="1779"/>
      <c r="H1335" s="1137"/>
      <c r="I1335" s="1780"/>
      <c r="J1335" s="1779"/>
      <c r="K1335" s="1794"/>
      <c r="L1335" s="1779"/>
      <c r="M1335" s="1780"/>
      <c r="N1335" s="1779"/>
    </row>
    <row r="1336" spans="1:14" ht="13.5" x14ac:dyDescent="0.2">
      <c r="A1336" s="1789"/>
      <c r="B1336" s="1782"/>
      <c r="C1336" s="1782"/>
      <c r="D1336" s="1782"/>
      <c r="E1336" s="1782"/>
      <c r="F1336" s="1782"/>
      <c r="G1336" s="1779"/>
      <c r="H1336" s="1137"/>
      <c r="I1336" s="1780"/>
      <c r="J1336" s="1779"/>
      <c r="K1336" s="1787"/>
      <c r="L1336" s="1779"/>
      <c r="M1336" s="1780"/>
      <c r="N1336" s="1779"/>
    </row>
    <row r="1337" spans="1:14" ht="13.5" x14ac:dyDescent="0.2">
      <c r="A1337" s="1789"/>
      <c r="B1337" s="1782"/>
      <c r="C1337" s="1782"/>
      <c r="D1337" s="1782"/>
      <c r="E1337" s="1782"/>
      <c r="F1337" s="1782"/>
      <c r="G1337" s="1779"/>
      <c r="H1337" s="1137"/>
      <c r="I1337" s="1780"/>
      <c r="J1337" s="1779"/>
      <c r="K1337" s="1787"/>
      <c r="L1337" s="1779"/>
      <c r="M1337" s="1780"/>
      <c r="N1337" s="1779"/>
    </row>
    <row r="1338" spans="1:14" ht="13.5" x14ac:dyDescent="0.2">
      <c r="A1338" s="1789"/>
      <c r="B1338" s="1782"/>
      <c r="C1338" s="1782"/>
      <c r="D1338" s="1782"/>
      <c r="E1338" s="1782"/>
      <c r="F1338" s="1782"/>
      <c r="G1338" s="1779"/>
      <c r="H1338" s="1137"/>
      <c r="I1338" s="1780"/>
      <c r="J1338" s="1779"/>
      <c r="K1338" s="1787"/>
      <c r="L1338" s="1779"/>
      <c r="M1338" s="1780"/>
      <c r="N1338" s="1779"/>
    </row>
    <row r="1339" spans="1:14" ht="13.5" x14ac:dyDescent="0.25">
      <c r="A1339" s="1138"/>
      <c r="B1339" s="1138"/>
      <c r="C1339" s="1138"/>
      <c r="D1339" s="1138"/>
      <c r="E1339" s="1138"/>
      <c r="F1339" s="1138"/>
      <c r="G1339" s="1138"/>
      <c r="H1339" s="1138"/>
      <c r="I1339" s="1138"/>
      <c r="J1339" s="1138"/>
      <c r="K1339" s="1778" t="s">
        <v>523</v>
      </c>
      <c r="L1339" s="1779"/>
      <c r="M1339" s="1780">
        <f>SUM(M1334:N1338)</f>
        <v>3750</v>
      </c>
      <c r="N1339" s="1779"/>
    </row>
    <row r="1340" spans="1:14" ht="13.5" x14ac:dyDescent="0.25">
      <c r="A1340" s="1138"/>
      <c r="B1340" s="1138"/>
      <c r="C1340" s="1138"/>
      <c r="D1340" s="1138"/>
      <c r="E1340" s="1138"/>
      <c r="F1340" s="1138"/>
      <c r="G1340" s="1138"/>
      <c r="H1340" s="1138"/>
      <c r="I1340" s="1138"/>
      <c r="J1340" s="1138"/>
      <c r="K1340" s="1138"/>
      <c r="L1340" s="1138"/>
      <c r="M1340" s="1138"/>
      <c r="N1340" s="1138"/>
    </row>
    <row r="1341" spans="1:14" x14ac:dyDescent="0.2">
      <c r="A1341" s="1781" t="s">
        <v>2147</v>
      </c>
      <c r="B1341" s="1782"/>
      <c r="C1341" s="1782"/>
      <c r="D1341" s="1782"/>
      <c r="E1341" s="1782"/>
      <c r="F1341" s="1782"/>
      <c r="G1341" s="1782"/>
      <c r="H1341" s="1782"/>
      <c r="I1341" s="1782"/>
      <c r="J1341" s="1782"/>
      <c r="K1341" s="1782"/>
      <c r="L1341" s="1782"/>
      <c r="M1341" s="1782"/>
      <c r="N1341" s="1779"/>
    </row>
    <row r="1342" spans="1:14" x14ac:dyDescent="0.2">
      <c r="A1342" s="1778" t="s">
        <v>14</v>
      </c>
      <c r="B1342" s="1782"/>
      <c r="C1342" s="1782"/>
      <c r="D1342" s="1782"/>
      <c r="E1342" s="1782"/>
      <c r="F1342" s="1782"/>
      <c r="G1342" s="1779"/>
      <c r="H1342" s="1136" t="s">
        <v>15</v>
      </c>
      <c r="I1342" s="1783" t="s">
        <v>619</v>
      </c>
      <c r="J1342" s="1779"/>
      <c r="K1342" s="1783" t="s">
        <v>628</v>
      </c>
      <c r="L1342" s="1779"/>
      <c r="M1342" s="1783" t="s">
        <v>2140</v>
      </c>
      <c r="N1342" s="1779"/>
    </row>
    <row r="1343" spans="1:14" ht="13.5" x14ac:dyDescent="0.2">
      <c r="A1343" s="1792" t="s">
        <v>2328</v>
      </c>
      <c r="B1343" s="1782"/>
      <c r="C1343" s="1782"/>
      <c r="D1343" s="1782"/>
      <c r="E1343" s="1782"/>
      <c r="F1343" s="1782"/>
      <c r="G1343" s="1779"/>
      <c r="H1343" s="1032" t="str">
        <f>IF(A1343="","",VLOOKUP(A1343,'11'!$C$6:$E$1012,2,FALSE))</f>
        <v>KM-M3</v>
      </c>
      <c r="I1343" s="1785">
        <f>IF(A1343="","",VLOOKUP(A1343,'11'!$C$6:$E$1012,3,FALSE))</f>
        <v>1440</v>
      </c>
      <c r="J1343" s="1412"/>
      <c r="K1343" s="1787">
        <v>11</v>
      </c>
      <c r="L1343" s="1793"/>
      <c r="M1343" s="1780">
        <f t="shared" ref="M1343" si="61">IF(A1343="","",I1343*K1343)</f>
        <v>15840</v>
      </c>
      <c r="N1343" s="1779"/>
    </row>
    <row r="1344" spans="1:14" ht="13.5" x14ac:dyDescent="0.2">
      <c r="A1344" s="1786"/>
      <c r="B1344" s="1782"/>
      <c r="C1344" s="1782"/>
      <c r="D1344" s="1782"/>
      <c r="E1344" s="1782"/>
      <c r="F1344" s="1782"/>
      <c r="G1344" s="1779"/>
      <c r="H1344" s="1032"/>
      <c r="I1344" s="1780"/>
      <c r="J1344" s="1779"/>
      <c r="K1344" s="1787"/>
      <c r="L1344" s="1779"/>
      <c r="M1344" s="1780"/>
      <c r="N1344" s="1779"/>
    </row>
    <row r="1345" spans="1:14" ht="13.5" x14ac:dyDescent="0.2">
      <c r="A1345" s="1786"/>
      <c r="B1345" s="1782"/>
      <c r="C1345" s="1782"/>
      <c r="D1345" s="1782"/>
      <c r="E1345" s="1782"/>
      <c r="F1345" s="1782"/>
      <c r="G1345" s="1779"/>
      <c r="H1345" s="1032"/>
      <c r="I1345" s="1780"/>
      <c r="J1345" s="1779"/>
      <c r="K1345" s="1788"/>
      <c r="L1345" s="1779"/>
      <c r="M1345" s="1780"/>
      <c r="N1345" s="1779"/>
    </row>
    <row r="1346" spans="1:14" ht="13.5" x14ac:dyDescent="0.2">
      <c r="A1346" s="1789"/>
      <c r="B1346" s="1782"/>
      <c r="C1346" s="1782"/>
      <c r="D1346" s="1782"/>
      <c r="E1346" s="1782"/>
      <c r="F1346" s="1782"/>
      <c r="G1346" s="1779"/>
      <c r="H1346" s="1137"/>
      <c r="I1346" s="1780"/>
      <c r="J1346" s="1779"/>
      <c r="K1346" s="1787"/>
      <c r="L1346" s="1779"/>
      <c r="M1346" s="1780"/>
      <c r="N1346" s="1779"/>
    </row>
    <row r="1347" spans="1:14" ht="13.5" x14ac:dyDescent="0.2">
      <c r="A1347" s="1789"/>
      <c r="B1347" s="1782"/>
      <c r="C1347" s="1782"/>
      <c r="D1347" s="1782"/>
      <c r="E1347" s="1782"/>
      <c r="F1347" s="1782"/>
      <c r="G1347" s="1779"/>
      <c r="H1347" s="1137"/>
      <c r="I1347" s="1780"/>
      <c r="J1347" s="1779"/>
      <c r="K1347" s="1787"/>
      <c r="L1347" s="1779"/>
      <c r="M1347" s="1780"/>
      <c r="N1347" s="1779"/>
    </row>
    <row r="1348" spans="1:14" ht="13.5" x14ac:dyDescent="0.25">
      <c r="A1348" s="1138"/>
      <c r="B1348" s="1138"/>
      <c r="C1348" s="1138"/>
      <c r="D1348" s="1138"/>
      <c r="E1348" s="1138"/>
      <c r="F1348" s="1138"/>
      <c r="G1348" s="1138"/>
      <c r="H1348" s="1138"/>
      <c r="I1348" s="1138"/>
      <c r="J1348" s="1138"/>
      <c r="K1348" s="1778" t="s">
        <v>523</v>
      </c>
      <c r="L1348" s="1779"/>
      <c r="M1348" s="1780">
        <f>SUM(M1343:N1347)</f>
        <v>15840</v>
      </c>
      <c r="N1348" s="1779"/>
    </row>
    <row r="1349" spans="1:14" ht="13.5" x14ac:dyDescent="0.25">
      <c r="A1349" s="1138"/>
      <c r="B1349" s="1138"/>
      <c r="C1349" s="1138"/>
      <c r="D1349" s="1138"/>
      <c r="E1349" s="1138"/>
      <c r="F1349" s="1138"/>
      <c r="G1349" s="1138"/>
      <c r="H1349" s="1138"/>
      <c r="I1349" s="1138"/>
      <c r="J1349" s="1138"/>
      <c r="K1349" s="1138"/>
      <c r="L1349" s="1138"/>
      <c r="M1349" s="1138"/>
      <c r="N1349" s="1138"/>
    </row>
    <row r="1350" spans="1:14" x14ac:dyDescent="0.2">
      <c r="A1350" s="1781" t="s">
        <v>2150</v>
      </c>
      <c r="B1350" s="1782"/>
      <c r="C1350" s="1782"/>
      <c r="D1350" s="1782"/>
      <c r="E1350" s="1782"/>
      <c r="F1350" s="1782"/>
      <c r="G1350" s="1782"/>
      <c r="H1350" s="1782"/>
      <c r="I1350" s="1782"/>
      <c r="J1350" s="1782"/>
      <c r="K1350" s="1782"/>
      <c r="L1350" s="1782"/>
      <c r="M1350" s="1782"/>
      <c r="N1350" s="1779"/>
    </row>
    <row r="1351" spans="1:14" x14ac:dyDescent="0.2">
      <c r="A1351" s="1778" t="s">
        <v>14</v>
      </c>
      <c r="B1351" s="1782"/>
      <c r="C1351" s="1782"/>
      <c r="D1351" s="1782"/>
      <c r="E1351" s="1782"/>
      <c r="F1351" s="1782"/>
      <c r="G1351" s="1779"/>
      <c r="H1351" s="1136" t="s">
        <v>15</v>
      </c>
      <c r="I1351" s="1783" t="s">
        <v>619</v>
      </c>
      <c r="J1351" s="1779"/>
      <c r="K1351" s="1139" t="s">
        <v>1919</v>
      </c>
      <c r="L1351" s="1140" t="s">
        <v>2151</v>
      </c>
      <c r="M1351" s="1783" t="s">
        <v>2140</v>
      </c>
      <c r="N1351" s="1779"/>
    </row>
    <row r="1352" spans="1:14" ht="13.5" x14ac:dyDescent="0.25">
      <c r="A1352" s="1784" t="s">
        <v>2168</v>
      </c>
      <c r="B1352" s="1782"/>
      <c r="C1352" s="1782"/>
      <c r="D1352" s="1782"/>
      <c r="E1352" s="1782"/>
      <c r="F1352" s="1782"/>
      <c r="G1352" s="1779"/>
      <c r="H1352" s="1032" t="str">
        <f>IF(A1352="","",VLOOKUP(A1352,'09'!$A$22:$O$168,4,FALSE))</f>
        <v>Cuadrilla</v>
      </c>
      <c r="I1352" s="1785">
        <f>IF(A1352="","",VLOOKUP(A1352,'09'!$A$22:$O$168,5,FALSE))</f>
        <v>204272</v>
      </c>
      <c r="J1352" s="1412"/>
      <c r="K1352" s="1034">
        <f>IF(A1352="","",'03'!$I$2)</f>
        <v>1.88995</v>
      </c>
      <c r="L1352" s="1142">
        <v>0.72</v>
      </c>
      <c r="M1352" s="1780">
        <f>I1352*K1352/(L1352*8)</f>
        <v>67024.976805555561</v>
      </c>
      <c r="N1352" s="1779"/>
    </row>
    <row r="1353" spans="1:14" ht="13.5" x14ac:dyDescent="0.25">
      <c r="A1353" s="1784"/>
      <c r="B1353" s="1782"/>
      <c r="C1353" s="1782"/>
      <c r="D1353" s="1782"/>
      <c r="E1353" s="1782"/>
      <c r="F1353" s="1782"/>
      <c r="G1353" s="1779"/>
      <c r="H1353" s="1137"/>
      <c r="I1353" s="1780"/>
      <c r="J1353" s="1779"/>
      <c r="K1353" s="1141"/>
      <c r="L1353" s="1141"/>
      <c r="M1353" s="1780"/>
      <c r="N1353" s="1779"/>
    </row>
    <row r="1354" spans="1:14" ht="13.5" x14ac:dyDescent="0.25">
      <c r="A1354" s="1784"/>
      <c r="B1354" s="1782"/>
      <c r="C1354" s="1782"/>
      <c r="D1354" s="1782"/>
      <c r="E1354" s="1782"/>
      <c r="F1354" s="1782"/>
      <c r="G1354" s="1779"/>
      <c r="H1354" s="1137"/>
      <c r="I1354" s="1780"/>
      <c r="J1354" s="1779"/>
      <c r="K1354" s="1141"/>
      <c r="L1354" s="1143"/>
      <c r="M1354" s="1780"/>
      <c r="N1354" s="1779"/>
    </row>
    <row r="1355" spans="1:14" ht="13.5" x14ac:dyDescent="0.25">
      <c r="A1355" s="1784"/>
      <c r="B1355" s="1782"/>
      <c r="C1355" s="1782"/>
      <c r="D1355" s="1782"/>
      <c r="E1355" s="1782"/>
      <c r="F1355" s="1782"/>
      <c r="G1355" s="1779"/>
      <c r="H1355" s="1137"/>
      <c r="I1355" s="1780"/>
      <c r="J1355" s="1779"/>
      <c r="K1355" s="1141"/>
      <c r="L1355" s="1143"/>
      <c r="M1355" s="1780"/>
      <c r="N1355" s="1779"/>
    </row>
    <row r="1356" spans="1:14" ht="13.5" x14ac:dyDescent="0.25">
      <c r="A1356" s="1784"/>
      <c r="B1356" s="1782"/>
      <c r="C1356" s="1782"/>
      <c r="D1356" s="1782"/>
      <c r="E1356" s="1782"/>
      <c r="F1356" s="1782"/>
      <c r="G1356" s="1779"/>
      <c r="H1356" s="1137"/>
      <c r="I1356" s="1780"/>
      <c r="J1356" s="1779"/>
      <c r="K1356" s="1141"/>
      <c r="L1356" s="1143"/>
      <c r="M1356" s="1780"/>
      <c r="N1356" s="1779"/>
    </row>
    <row r="1357" spans="1:14" ht="13.5" x14ac:dyDescent="0.25">
      <c r="A1357" s="1138"/>
      <c r="B1357" s="1138"/>
      <c r="C1357" s="1138"/>
      <c r="D1357" s="1138"/>
      <c r="E1357" s="1138"/>
      <c r="F1357" s="1138"/>
      <c r="G1357" s="1138"/>
      <c r="H1357" s="1138"/>
      <c r="I1357" s="1138"/>
      <c r="J1357" s="1138"/>
      <c r="K1357" s="1778" t="s">
        <v>523</v>
      </c>
      <c r="L1357" s="1779"/>
      <c r="M1357" s="1780">
        <f>SUM(M1352:N1356)</f>
        <v>67024.976805555561</v>
      </c>
      <c r="N1357" s="1779"/>
    </row>
    <row r="1358" spans="1:14" x14ac:dyDescent="0.2">
      <c r="I1358" s="1414"/>
      <c r="J1358" s="1415"/>
      <c r="K1358" s="1415"/>
      <c r="L1358" s="1415"/>
      <c r="M1358" s="1415"/>
      <c r="N1358" s="1415"/>
    </row>
    <row r="1359" spans="1:14" ht="13.5" thickBot="1" x14ac:dyDescent="0.25">
      <c r="I1359" s="1416"/>
      <c r="J1359" s="1416"/>
      <c r="K1359" s="1416"/>
      <c r="L1359" s="1416"/>
      <c r="M1359" s="1416"/>
      <c r="N1359" s="1416"/>
    </row>
    <row r="1360" spans="1:14" ht="14.25" thickTop="1" x14ac:dyDescent="0.2">
      <c r="I1360" s="1417" t="s">
        <v>1829</v>
      </c>
      <c r="J1360" s="1418"/>
      <c r="K1360" s="1417" t="s">
        <v>2653</v>
      </c>
      <c r="L1360" s="1418"/>
      <c r="M1360" s="1418"/>
      <c r="N1360" s="1418"/>
    </row>
    <row r="1361" spans="1:15" ht="13.5" x14ac:dyDescent="0.2">
      <c r="I1361" s="1419" t="s">
        <v>1831</v>
      </c>
      <c r="J1361" s="1420"/>
      <c r="K1361" s="1419"/>
      <c r="L1361" s="1420"/>
      <c r="M1361" s="1420"/>
      <c r="N1361" s="1420"/>
    </row>
    <row r="1362" spans="1:15" x14ac:dyDescent="0.2">
      <c r="A1362" s="1796" t="s">
        <v>2357</v>
      </c>
      <c r="B1362" s="1797"/>
      <c r="C1362" s="1797"/>
      <c r="D1362" s="1797"/>
      <c r="E1362" s="1797"/>
      <c r="F1362" s="1797"/>
      <c r="G1362" s="1797"/>
      <c r="H1362" s="1797"/>
      <c r="I1362" s="1797"/>
      <c r="J1362" s="1797"/>
      <c r="K1362" s="1797"/>
      <c r="L1362" s="1797"/>
      <c r="M1362" s="1797"/>
      <c r="N1362" s="1798"/>
    </row>
    <row r="1363" spans="1:15" x14ac:dyDescent="0.2">
      <c r="A1363" s="1799"/>
      <c r="B1363" s="1800"/>
      <c r="C1363" s="1800"/>
      <c r="D1363" s="1800"/>
      <c r="E1363" s="1800"/>
      <c r="F1363" s="1800"/>
      <c r="G1363" s="1800"/>
      <c r="H1363" s="1800"/>
      <c r="I1363" s="1800"/>
      <c r="J1363" s="1800"/>
      <c r="K1363" s="1800"/>
      <c r="L1363" s="1800"/>
      <c r="M1363" s="1800"/>
      <c r="N1363" s="1801"/>
    </row>
    <row r="1364" spans="1:15" ht="13.5" x14ac:dyDescent="0.2">
      <c r="A1364" s="1128"/>
      <c r="B1364" s="1128"/>
      <c r="C1364" s="1128"/>
      <c r="D1364" s="1128"/>
      <c r="E1364" s="1128"/>
      <c r="F1364" s="1128"/>
      <c r="G1364" s="1128"/>
      <c r="H1364" s="1128"/>
      <c r="I1364" s="1128"/>
      <c r="J1364" s="1128"/>
      <c r="K1364" s="1128"/>
      <c r="L1364" s="1128"/>
      <c r="M1364" s="1128"/>
      <c r="N1364" s="1128"/>
    </row>
    <row r="1365" spans="1:15" ht="14.25" x14ac:dyDescent="0.3">
      <c r="A1365" s="1104" t="s">
        <v>2356</v>
      </c>
      <c r="B1365" s="1129" t="str">
        <f>A1362</f>
        <v>MODULOS DE SEDIMENTACION DE ALTA TASA TIPO COLMENA. ALTURA RECTA 1.04. ALTURA INCLINADA 1.20 METROS, CALIBRE 40 EN MATERIAL POLIESTIRENO CON ADITIVOS MODIFICADORES DE IMPACTO Y PROTECTOR UV.</v>
      </c>
      <c r="C1365" s="1130" t="s">
        <v>634</v>
      </c>
      <c r="D1365" s="1107" t="s">
        <v>4</v>
      </c>
      <c r="E1365" s="1132" t="s">
        <v>1833</v>
      </c>
      <c r="F1365" s="1133">
        <f>H1365+J1365+L1365+N1365</f>
        <v>951192.84786507953</v>
      </c>
      <c r="G1365" s="1132" t="s">
        <v>2136</v>
      </c>
      <c r="H1365" s="1133">
        <f>M1388</f>
        <v>2142.8571428571427</v>
      </c>
      <c r="I1365" s="1132" t="s">
        <v>621</v>
      </c>
      <c r="J1365" s="1134">
        <f>M1379</f>
        <v>906400.00000000012</v>
      </c>
      <c r="K1365" s="1132" t="s">
        <v>2137</v>
      </c>
      <c r="L1365" s="1133">
        <f>M1397</f>
        <v>15840</v>
      </c>
      <c r="M1365" s="1132" t="s">
        <v>2138</v>
      </c>
      <c r="N1365" s="1133">
        <f>M1406</f>
        <v>26809.990722222221</v>
      </c>
    </row>
    <row r="1366" spans="1:15" ht="13.5" x14ac:dyDescent="0.25">
      <c r="A1366" s="1135"/>
      <c r="B1366" s="1135"/>
      <c r="C1366" s="1135"/>
      <c r="D1366" s="1135"/>
      <c r="E1366" s="1135"/>
      <c r="F1366" s="1135"/>
      <c r="G1366" s="1135"/>
      <c r="J1366" s="1135"/>
      <c r="K1366" s="1135"/>
      <c r="L1366" s="1135"/>
      <c r="M1366" s="1270" t="s">
        <v>2667</v>
      </c>
      <c r="N1366" s="1270">
        <f>+F1365*'01'!$O$15</f>
        <v>1231132.6197644991</v>
      </c>
    </row>
    <row r="1367" spans="1:15" x14ac:dyDescent="0.2">
      <c r="A1367" s="1781" t="s">
        <v>2139</v>
      </c>
      <c r="B1367" s="1782"/>
      <c r="C1367" s="1782"/>
      <c r="D1367" s="1782"/>
      <c r="E1367" s="1782"/>
      <c r="F1367" s="1782"/>
      <c r="G1367" s="1782"/>
      <c r="H1367" s="1782"/>
      <c r="I1367" s="1782"/>
      <c r="J1367" s="1782"/>
      <c r="K1367" s="1782"/>
      <c r="L1367" s="1782"/>
      <c r="M1367" s="1782"/>
      <c r="N1367" s="1779"/>
    </row>
    <row r="1368" spans="1:15" x14ac:dyDescent="0.2">
      <c r="A1368" s="1778" t="s">
        <v>14</v>
      </c>
      <c r="B1368" s="1782"/>
      <c r="C1368" s="1782"/>
      <c r="D1368" s="1782"/>
      <c r="E1368" s="1782"/>
      <c r="F1368" s="1782"/>
      <c r="G1368" s="1779"/>
      <c r="H1368" s="1136" t="s">
        <v>15</v>
      </c>
      <c r="I1368" s="1783" t="s">
        <v>619</v>
      </c>
      <c r="J1368" s="1779"/>
      <c r="K1368" s="1783" t="s">
        <v>628</v>
      </c>
      <c r="L1368" s="1779"/>
      <c r="M1368" s="1783" t="s">
        <v>2140</v>
      </c>
      <c r="N1368" s="1779"/>
    </row>
    <row r="1369" spans="1:15" ht="13.5" customHeight="1" x14ac:dyDescent="0.2">
      <c r="A1369" s="1792" t="s">
        <v>920</v>
      </c>
      <c r="B1369" s="1782"/>
      <c r="C1369" s="1782"/>
      <c r="D1369" s="1782"/>
      <c r="E1369" s="1782"/>
      <c r="F1369" s="1782"/>
      <c r="G1369" s="1779"/>
      <c r="H1369" s="1032" t="str">
        <f>IF(A1369="","",VLOOKUP(A1369,'10'!$C$6:$E$1152,2,FALSE))</f>
        <v>M2</v>
      </c>
      <c r="I1369" s="1785">
        <f>IF(A1369="","",VLOOKUP(A1369,'10'!$C$6:$E$1152,3,FALSE))</f>
        <v>880000.00000000012</v>
      </c>
      <c r="J1369" s="1412"/>
      <c r="K1369" s="1794">
        <v>1.03</v>
      </c>
      <c r="L1369" s="1795"/>
      <c r="M1369" s="1780">
        <f>K1369*I1369</f>
        <v>906400.00000000012</v>
      </c>
      <c r="N1369" s="1779"/>
    </row>
    <row r="1370" spans="1:15" ht="13.5" customHeight="1" x14ac:dyDescent="0.2">
      <c r="A1370" s="1792"/>
      <c r="B1370" s="1782"/>
      <c r="C1370" s="1782"/>
      <c r="D1370" s="1782"/>
      <c r="E1370" s="1782"/>
      <c r="F1370" s="1782"/>
      <c r="G1370" s="1779"/>
      <c r="H1370" s="1032"/>
      <c r="I1370" s="1785"/>
      <c r="J1370" s="1412"/>
      <c r="K1370" s="1794"/>
      <c r="L1370" s="1795"/>
      <c r="M1370" s="1780">
        <f t="shared" ref="M1370:M1374" si="62">K1370*I1370</f>
        <v>0</v>
      </c>
      <c r="N1370" s="1779"/>
    </row>
    <row r="1371" spans="1:15" ht="13.5" x14ac:dyDescent="0.2">
      <c r="A1371" s="1792"/>
      <c r="B1371" s="1782"/>
      <c r="C1371" s="1782"/>
      <c r="D1371" s="1782"/>
      <c r="E1371" s="1782"/>
      <c r="F1371" s="1782"/>
      <c r="G1371" s="1779"/>
      <c r="H1371" s="1032"/>
      <c r="I1371" s="1785"/>
      <c r="J1371" s="1412"/>
      <c r="K1371" s="1794"/>
      <c r="L1371" s="1795"/>
      <c r="M1371" s="1780">
        <f t="shared" si="62"/>
        <v>0</v>
      </c>
      <c r="N1371" s="1779"/>
      <c r="O1371" s="799"/>
    </row>
    <row r="1372" spans="1:15" ht="13.5" x14ac:dyDescent="0.2">
      <c r="A1372" s="1792"/>
      <c r="B1372" s="1782"/>
      <c r="C1372" s="1782"/>
      <c r="D1372" s="1782"/>
      <c r="E1372" s="1782"/>
      <c r="F1372" s="1782"/>
      <c r="G1372" s="1779"/>
      <c r="H1372" s="1032"/>
      <c r="I1372" s="1785"/>
      <c r="J1372" s="1412"/>
      <c r="K1372" s="1794"/>
      <c r="L1372" s="1795"/>
      <c r="M1372" s="1780">
        <f t="shared" si="62"/>
        <v>0</v>
      </c>
      <c r="N1372" s="1779"/>
    </row>
    <row r="1373" spans="1:15" ht="13.5" x14ac:dyDescent="0.2">
      <c r="A1373" s="1792"/>
      <c r="B1373" s="1782"/>
      <c r="C1373" s="1782"/>
      <c r="D1373" s="1782"/>
      <c r="E1373" s="1782"/>
      <c r="F1373" s="1782"/>
      <c r="G1373" s="1779"/>
      <c r="H1373" s="1032"/>
      <c r="I1373" s="1785"/>
      <c r="J1373" s="1412"/>
      <c r="K1373" s="1794"/>
      <c r="L1373" s="1795"/>
      <c r="M1373" s="1780">
        <f t="shared" si="62"/>
        <v>0</v>
      </c>
      <c r="N1373" s="1779"/>
    </row>
    <row r="1374" spans="1:15" ht="13.5" x14ac:dyDescent="0.2">
      <c r="A1374" s="1792"/>
      <c r="B1374" s="1782"/>
      <c r="C1374" s="1782"/>
      <c r="D1374" s="1782"/>
      <c r="E1374" s="1782"/>
      <c r="F1374" s="1782"/>
      <c r="G1374" s="1779"/>
      <c r="H1374" s="1032"/>
      <c r="I1374" s="1785"/>
      <c r="J1374" s="1412"/>
      <c r="K1374" s="1794"/>
      <c r="L1374" s="1795"/>
      <c r="M1374" s="1780">
        <f t="shared" si="62"/>
        <v>0</v>
      </c>
      <c r="N1374" s="1779"/>
    </row>
    <row r="1375" spans="1:15" ht="13.5" x14ac:dyDescent="0.2">
      <c r="A1375" s="1792"/>
      <c r="B1375" s="1782"/>
      <c r="C1375" s="1782"/>
      <c r="D1375" s="1782"/>
      <c r="E1375" s="1782"/>
      <c r="F1375" s="1782"/>
      <c r="G1375" s="1779"/>
      <c r="H1375" s="1032" t="str">
        <f>IF(A1375="","",VLOOKUP(A1375,'10'!$C$6:$E$1152,2,FALSE))</f>
        <v/>
      </c>
      <c r="I1375" s="1785" t="str">
        <f>IF(A1375="","",VLOOKUP(A1375,'10'!$C$6:$E$1152,3,FALSE))</f>
        <v/>
      </c>
      <c r="J1375" s="1412"/>
      <c r="K1375" s="1794"/>
      <c r="L1375" s="1795"/>
      <c r="M1375" s="1780"/>
      <c r="N1375" s="1779"/>
    </row>
    <row r="1376" spans="1:15" ht="13.5" x14ac:dyDescent="0.2">
      <c r="A1376" s="1792"/>
      <c r="B1376" s="1782"/>
      <c r="C1376" s="1782"/>
      <c r="D1376" s="1782"/>
      <c r="E1376" s="1782"/>
      <c r="F1376" s="1782"/>
      <c r="G1376" s="1779"/>
      <c r="H1376" s="1032"/>
      <c r="I1376" s="1785"/>
      <c r="J1376" s="1412"/>
      <c r="K1376" s="1794"/>
      <c r="L1376" s="1795"/>
      <c r="M1376" s="1780"/>
      <c r="N1376" s="1779"/>
    </row>
    <row r="1377" spans="1:14" ht="13.5" x14ac:dyDescent="0.2">
      <c r="A1377" s="1792"/>
      <c r="B1377" s="1782"/>
      <c r="C1377" s="1782"/>
      <c r="D1377" s="1782"/>
      <c r="E1377" s="1782"/>
      <c r="F1377" s="1782"/>
      <c r="G1377" s="1779"/>
      <c r="H1377" s="1032"/>
      <c r="I1377" s="1785"/>
      <c r="J1377" s="1412"/>
      <c r="K1377" s="1794"/>
      <c r="L1377" s="1795"/>
      <c r="M1377" s="1780"/>
      <c r="N1377" s="1779"/>
    </row>
    <row r="1378" spans="1:14" ht="13.5" x14ac:dyDescent="0.2">
      <c r="A1378" s="1792"/>
      <c r="B1378" s="1782"/>
      <c r="C1378" s="1782"/>
      <c r="D1378" s="1782"/>
      <c r="E1378" s="1782"/>
      <c r="F1378" s="1782"/>
      <c r="G1378" s="1779"/>
      <c r="H1378" s="1032"/>
      <c r="I1378" s="1785"/>
      <c r="J1378" s="1412"/>
      <c r="K1378" s="1794"/>
      <c r="L1378" s="1795"/>
      <c r="M1378" s="1780"/>
      <c r="N1378" s="1779"/>
    </row>
    <row r="1379" spans="1:14" ht="13.5" x14ac:dyDescent="0.25">
      <c r="A1379" s="1138"/>
      <c r="B1379" s="1138"/>
      <c r="C1379" s="1138"/>
      <c r="D1379" s="1138"/>
      <c r="E1379" s="1138"/>
      <c r="F1379" s="1138"/>
      <c r="G1379" s="1138"/>
      <c r="H1379" s="1138"/>
      <c r="I1379" s="1138"/>
      <c r="J1379" s="1138"/>
      <c r="K1379" s="1778" t="s">
        <v>523</v>
      </c>
      <c r="L1379" s="1779"/>
      <c r="M1379" s="1780">
        <f>SUM(M1369:N1373)</f>
        <v>906400.00000000012</v>
      </c>
      <c r="N1379" s="1779"/>
    </row>
    <row r="1380" spans="1:14" ht="13.5" x14ac:dyDescent="0.25">
      <c r="A1380" s="1138"/>
      <c r="B1380" s="1138"/>
      <c r="C1380" s="1138"/>
      <c r="D1380" s="1138"/>
      <c r="E1380" s="1138"/>
      <c r="F1380" s="1138"/>
      <c r="G1380" s="1138"/>
      <c r="H1380" s="1138"/>
      <c r="I1380" s="1138"/>
      <c r="J1380" s="1138"/>
      <c r="K1380" s="1138"/>
      <c r="L1380" s="1138"/>
      <c r="M1380" s="1138"/>
      <c r="N1380" s="1138"/>
    </row>
    <row r="1381" spans="1:14" x14ac:dyDescent="0.2">
      <c r="A1381" s="1781" t="s">
        <v>2145</v>
      </c>
      <c r="B1381" s="1782"/>
      <c r="C1381" s="1782"/>
      <c r="D1381" s="1782"/>
      <c r="E1381" s="1782"/>
      <c r="F1381" s="1782"/>
      <c r="G1381" s="1782"/>
      <c r="H1381" s="1782"/>
      <c r="I1381" s="1782"/>
      <c r="J1381" s="1782"/>
      <c r="K1381" s="1782"/>
      <c r="L1381" s="1782"/>
      <c r="M1381" s="1782"/>
      <c r="N1381" s="1779"/>
    </row>
    <row r="1382" spans="1:14" x14ac:dyDescent="0.2">
      <c r="A1382" s="1778" t="s">
        <v>14</v>
      </c>
      <c r="B1382" s="1782"/>
      <c r="C1382" s="1782"/>
      <c r="D1382" s="1782"/>
      <c r="E1382" s="1782"/>
      <c r="F1382" s="1782"/>
      <c r="G1382" s="1779"/>
      <c r="H1382" s="1136" t="s">
        <v>15</v>
      </c>
      <c r="I1382" s="1783" t="s">
        <v>619</v>
      </c>
      <c r="J1382" s="1779"/>
      <c r="K1382" s="1783" t="s">
        <v>610</v>
      </c>
      <c r="L1382" s="1779"/>
      <c r="M1382" s="1783" t="s">
        <v>2140</v>
      </c>
      <c r="N1382" s="1779"/>
    </row>
    <row r="1383" spans="1:14" ht="13.5" x14ac:dyDescent="0.2">
      <c r="A1383" s="1789" t="s">
        <v>131</v>
      </c>
      <c r="B1383" s="1790"/>
      <c r="C1383" s="1790"/>
      <c r="D1383" s="1790"/>
      <c r="E1383" s="1790"/>
      <c r="F1383" s="1790"/>
      <c r="G1383" s="1791"/>
      <c r="H1383" s="1032" t="str">
        <f>IF(A1383="","",VLOOKUP(A1383,'11'!$C$6:$E$87,2,FALSE))</f>
        <v>DIA</v>
      </c>
      <c r="I1383" s="1785">
        <f>IF(A1383="","",VLOOKUP(A1383,'11'!$C$6:$E$87,3,FALSE))</f>
        <v>15000</v>
      </c>
      <c r="J1383" s="1412"/>
      <c r="K1383" s="1787">
        <v>7</v>
      </c>
      <c r="L1383" s="1793"/>
      <c r="M1383" s="1780">
        <f>I1383/K1383</f>
        <v>2142.8571428571427</v>
      </c>
      <c r="N1383" s="1779"/>
    </row>
    <row r="1384" spans="1:14" ht="13.5" x14ac:dyDescent="0.2">
      <c r="A1384" s="1802"/>
      <c r="B1384" s="1782"/>
      <c r="C1384" s="1782"/>
      <c r="D1384" s="1782"/>
      <c r="E1384" s="1782"/>
      <c r="F1384" s="1782"/>
      <c r="G1384" s="1779"/>
      <c r="H1384" s="1137"/>
      <c r="I1384" s="1780"/>
      <c r="J1384" s="1779"/>
      <c r="K1384" s="1794"/>
      <c r="L1384" s="1779"/>
      <c r="M1384" s="1780"/>
      <c r="N1384" s="1779"/>
    </row>
    <row r="1385" spans="1:14" ht="13.5" x14ac:dyDescent="0.2">
      <c r="A1385" s="1789"/>
      <c r="B1385" s="1782"/>
      <c r="C1385" s="1782"/>
      <c r="D1385" s="1782"/>
      <c r="E1385" s="1782"/>
      <c r="F1385" s="1782"/>
      <c r="G1385" s="1779"/>
      <c r="H1385" s="1137"/>
      <c r="I1385" s="1780"/>
      <c r="J1385" s="1779"/>
      <c r="K1385" s="1787"/>
      <c r="L1385" s="1779"/>
      <c r="M1385" s="1780"/>
      <c r="N1385" s="1779"/>
    </row>
    <row r="1386" spans="1:14" ht="13.5" x14ac:dyDescent="0.2">
      <c r="A1386" s="1789"/>
      <c r="B1386" s="1782"/>
      <c r="C1386" s="1782"/>
      <c r="D1386" s="1782"/>
      <c r="E1386" s="1782"/>
      <c r="F1386" s="1782"/>
      <c r="G1386" s="1779"/>
      <c r="H1386" s="1137"/>
      <c r="I1386" s="1780"/>
      <c r="J1386" s="1779"/>
      <c r="K1386" s="1787"/>
      <c r="L1386" s="1779"/>
      <c r="M1386" s="1780"/>
      <c r="N1386" s="1779"/>
    </row>
    <row r="1387" spans="1:14" ht="13.5" x14ac:dyDescent="0.2">
      <c r="A1387" s="1789"/>
      <c r="B1387" s="1782"/>
      <c r="C1387" s="1782"/>
      <c r="D1387" s="1782"/>
      <c r="E1387" s="1782"/>
      <c r="F1387" s="1782"/>
      <c r="G1387" s="1779"/>
      <c r="H1387" s="1137"/>
      <c r="I1387" s="1780"/>
      <c r="J1387" s="1779"/>
      <c r="K1387" s="1787"/>
      <c r="L1387" s="1779"/>
      <c r="M1387" s="1780"/>
      <c r="N1387" s="1779"/>
    </row>
    <row r="1388" spans="1:14" ht="13.5" x14ac:dyDescent="0.25">
      <c r="A1388" s="1138"/>
      <c r="B1388" s="1138"/>
      <c r="C1388" s="1138"/>
      <c r="D1388" s="1138"/>
      <c r="E1388" s="1138"/>
      <c r="F1388" s="1138"/>
      <c r="G1388" s="1138"/>
      <c r="H1388" s="1138"/>
      <c r="I1388" s="1138"/>
      <c r="J1388" s="1138"/>
      <c r="K1388" s="1778" t="s">
        <v>523</v>
      </c>
      <c r="L1388" s="1779"/>
      <c r="M1388" s="1780">
        <f>SUM(M1383:N1387)</f>
        <v>2142.8571428571427</v>
      </c>
      <c r="N1388" s="1779"/>
    </row>
    <row r="1389" spans="1:14" ht="13.5" x14ac:dyDescent="0.25">
      <c r="A1389" s="1138"/>
      <c r="B1389" s="1138"/>
      <c r="C1389" s="1138"/>
      <c r="D1389" s="1138"/>
      <c r="E1389" s="1138"/>
      <c r="F1389" s="1138"/>
      <c r="G1389" s="1138"/>
      <c r="H1389" s="1138"/>
      <c r="I1389" s="1138"/>
      <c r="J1389" s="1138"/>
      <c r="K1389" s="1138"/>
      <c r="L1389" s="1138"/>
      <c r="M1389" s="1138"/>
      <c r="N1389" s="1138"/>
    </row>
    <row r="1390" spans="1:14" x14ac:dyDescent="0.2">
      <c r="A1390" s="1781" t="s">
        <v>2147</v>
      </c>
      <c r="B1390" s="1782"/>
      <c r="C1390" s="1782"/>
      <c r="D1390" s="1782"/>
      <c r="E1390" s="1782"/>
      <c r="F1390" s="1782"/>
      <c r="G1390" s="1782"/>
      <c r="H1390" s="1782"/>
      <c r="I1390" s="1782"/>
      <c r="J1390" s="1782"/>
      <c r="K1390" s="1782"/>
      <c r="L1390" s="1782"/>
      <c r="M1390" s="1782"/>
      <c r="N1390" s="1779"/>
    </row>
    <row r="1391" spans="1:14" x14ac:dyDescent="0.2">
      <c r="A1391" s="1778" t="s">
        <v>14</v>
      </c>
      <c r="B1391" s="1782"/>
      <c r="C1391" s="1782"/>
      <c r="D1391" s="1782"/>
      <c r="E1391" s="1782"/>
      <c r="F1391" s="1782"/>
      <c r="G1391" s="1779"/>
      <c r="H1391" s="1136" t="s">
        <v>15</v>
      </c>
      <c r="I1391" s="1783" t="s">
        <v>619</v>
      </c>
      <c r="J1391" s="1779"/>
      <c r="K1391" s="1783" t="s">
        <v>628</v>
      </c>
      <c r="L1391" s="1779"/>
      <c r="M1391" s="1783" t="s">
        <v>2140</v>
      </c>
      <c r="N1391" s="1779"/>
    </row>
    <row r="1392" spans="1:14" ht="13.5" x14ac:dyDescent="0.2">
      <c r="A1392" s="1792" t="s">
        <v>2328</v>
      </c>
      <c r="B1392" s="1782"/>
      <c r="C1392" s="1782"/>
      <c r="D1392" s="1782"/>
      <c r="E1392" s="1782"/>
      <c r="F1392" s="1782"/>
      <c r="G1392" s="1779"/>
      <c r="H1392" s="1032" t="str">
        <f>IF(A1392="","",VLOOKUP(A1392,'11'!$C$6:$E$1012,2,FALSE))</f>
        <v>KM-M3</v>
      </c>
      <c r="I1392" s="1785">
        <f>IF(A1392="","",VLOOKUP(A1392,'11'!$C$6:$E$1012,3,FALSE))</f>
        <v>1440</v>
      </c>
      <c r="J1392" s="1412"/>
      <c r="K1392" s="1787">
        <v>11</v>
      </c>
      <c r="L1392" s="1793"/>
      <c r="M1392" s="1780">
        <f t="shared" ref="M1392" si="63">IF(A1392="","",I1392*K1392)</f>
        <v>15840</v>
      </c>
      <c r="N1392" s="1779"/>
    </row>
    <row r="1393" spans="1:14" ht="13.5" x14ac:dyDescent="0.2">
      <c r="A1393" s="1786"/>
      <c r="B1393" s="1782"/>
      <c r="C1393" s="1782"/>
      <c r="D1393" s="1782"/>
      <c r="E1393" s="1782"/>
      <c r="F1393" s="1782"/>
      <c r="G1393" s="1779"/>
      <c r="H1393" s="1032"/>
      <c r="I1393" s="1780"/>
      <c r="J1393" s="1779"/>
      <c r="K1393" s="1787"/>
      <c r="L1393" s="1779"/>
      <c r="M1393" s="1780"/>
      <c r="N1393" s="1779"/>
    </row>
    <row r="1394" spans="1:14" ht="13.5" x14ac:dyDescent="0.2">
      <c r="A1394" s="1786"/>
      <c r="B1394" s="1782"/>
      <c r="C1394" s="1782"/>
      <c r="D1394" s="1782"/>
      <c r="E1394" s="1782"/>
      <c r="F1394" s="1782"/>
      <c r="G1394" s="1779"/>
      <c r="H1394" s="1032"/>
      <c r="I1394" s="1780"/>
      <c r="J1394" s="1779"/>
      <c r="K1394" s="1788"/>
      <c r="L1394" s="1779"/>
      <c r="M1394" s="1780"/>
      <c r="N1394" s="1779"/>
    </row>
    <row r="1395" spans="1:14" ht="13.5" x14ac:dyDescent="0.2">
      <c r="A1395" s="1789"/>
      <c r="B1395" s="1782"/>
      <c r="C1395" s="1782"/>
      <c r="D1395" s="1782"/>
      <c r="E1395" s="1782"/>
      <c r="F1395" s="1782"/>
      <c r="G1395" s="1779"/>
      <c r="H1395" s="1137"/>
      <c r="I1395" s="1780"/>
      <c r="J1395" s="1779"/>
      <c r="K1395" s="1787"/>
      <c r="L1395" s="1779"/>
      <c r="M1395" s="1780"/>
      <c r="N1395" s="1779"/>
    </row>
    <row r="1396" spans="1:14" ht="13.5" x14ac:dyDescent="0.2">
      <c r="A1396" s="1789"/>
      <c r="B1396" s="1782"/>
      <c r="C1396" s="1782"/>
      <c r="D1396" s="1782"/>
      <c r="E1396" s="1782"/>
      <c r="F1396" s="1782"/>
      <c r="G1396" s="1779"/>
      <c r="H1396" s="1137"/>
      <c r="I1396" s="1780"/>
      <c r="J1396" s="1779"/>
      <c r="K1396" s="1787"/>
      <c r="L1396" s="1779"/>
      <c r="M1396" s="1780"/>
      <c r="N1396" s="1779"/>
    </row>
    <row r="1397" spans="1:14" ht="13.5" x14ac:dyDescent="0.25">
      <c r="A1397" s="1138"/>
      <c r="B1397" s="1138"/>
      <c r="C1397" s="1138"/>
      <c r="D1397" s="1138"/>
      <c r="E1397" s="1138"/>
      <c r="F1397" s="1138"/>
      <c r="G1397" s="1138"/>
      <c r="H1397" s="1138"/>
      <c r="I1397" s="1138"/>
      <c r="J1397" s="1138"/>
      <c r="K1397" s="1778" t="s">
        <v>523</v>
      </c>
      <c r="L1397" s="1779"/>
      <c r="M1397" s="1780">
        <f>SUM(M1392:N1396)</f>
        <v>15840</v>
      </c>
      <c r="N1397" s="1779"/>
    </row>
    <row r="1398" spans="1:14" ht="13.5" x14ac:dyDescent="0.25">
      <c r="A1398" s="1138"/>
      <c r="B1398" s="1138"/>
      <c r="C1398" s="1138"/>
      <c r="D1398" s="1138"/>
      <c r="E1398" s="1138"/>
      <c r="F1398" s="1138"/>
      <c r="G1398" s="1138"/>
      <c r="H1398" s="1138"/>
      <c r="I1398" s="1138"/>
      <c r="J1398" s="1138"/>
      <c r="K1398" s="1138"/>
      <c r="L1398" s="1138"/>
      <c r="M1398" s="1138"/>
      <c r="N1398" s="1138"/>
    </row>
    <row r="1399" spans="1:14" x14ac:dyDescent="0.2">
      <c r="A1399" s="1781" t="s">
        <v>2150</v>
      </c>
      <c r="B1399" s="1782"/>
      <c r="C1399" s="1782"/>
      <c r="D1399" s="1782"/>
      <c r="E1399" s="1782"/>
      <c r="F1399" s="1782"/>
      <c r="G1399" s="1782"/>
      <c r="H1399" s="1782"/>
      <c r="I1399" s="1782"/>
      <c r="J1399" s="1782"/>
      <c r="K1399" s="1782"/>
      <c r="L1399" s="1782"/>
      <c r="M1399" s="1782"/>
      <c r="N1399" s="1779"/>
    </row>
    <row r="1400" spans="1:14" x14ac:dyDescent="0.2">
      <c r="A1400" s="1778" t="s">
        <v>14</v>
      </c>
      <c r="B1400" s="1782"/>
      <c r="C1400" s="1782"/>
      <c r="D1400" s="1782"/>
      <c r="E1400" s="1782"/>
      <c r="F1400" s="1782"/>
      <c r="G1400" s="1779"/>
      <c r="H1400" s="1136" t="s">
        <v>15</v>
      </c>
      <c r="I1400" s="1783" t="s">
        <v>619</v>
      </c>
      <c r="J1400" s="1779"/>
      <c r="K1400" s="1139" t="s">
        <v>1919</v>
      </c>
      <c r="L1400" s="1140" t="s">
        <v>2151</v>
      </c>
      <c r="M1400" s="1783" t="s">
        <v>2140</v>
      </c>
      <c r="N1400" s="1779"/>
    </row>
    <row r="1401" spans="1:14" ht="13.5" x14ac:dyDescent="0.25">
      <c r="A1401" s="1784" t="s">
        <v>2168</v>
      </c>
      <c r="B1401" s="1782"/>
      <c r="C1401" s="1782"/>
      <c r="D1401" s="1782"/>
      <c r="E1401" s="1782"/>
      <c r="F1401" s="1782"/>
      <c r="G1401" s="1779"/>
      <c r="H1401" s="1032" t="str">
        <f>IF(A1401="","",VLOOKUP(A1401,'09'!$A$22:$O$168,4,FALSE))</f>
        <v>Cuadrilla</v>
      </c>
      <c r="I1401" s="1785">
        <f>IF(A1401="","",VLOOKUP(A1401,'09'!$A$22:$O$168,5,FALSE))</f>
        <v>204272</v>
      </c>
      <c r="J1401" s="1412"/>
      <c r="K1401" s="1034">
        <f>IF(A1401="","",'03'!$I$2)</f>
        <v>1.88995</v>
      </c>
      <c r="L1401" s="1142">
        <v>1.8</v>
      </c>
      <c r="M1401" s="1780">
        <f>I1401*K1401/(L1401*8)</f>
        <v>26809.990722222221</v>
      </c>
      <c r="N1401" s="1779"/>
    </row>
    <row r="1402" spans="1:14" ht="13.5" x14ac:dyDescent="0.25">
      <c r="A1402" s="1784"/>
      <c r="B1402" s="1782"/>
      <c r="C1402" s="1782"/>
      <c r="D1402" s="1782"/>
      <c r="E1402" s="1782"/>
      <c r="F1402" s="1782"/>
      <c r="G1402" s="1779"/>
      <c r="H1402" s="1137"/>
      <c r="I1402" s="1780"/>
      <c r="J1402" s="1779"/>
      <c r="K1402" s="1141"/>
      <c r="L1402" s="1141"/>
      <c r="M1402" s="1780"/>
      <c r="N1402" s="1779"/>
    </row>
    <row r="1403" spans="1:14" ht="13.5" x14ac:dyDescent="0.25">
      <c r="A1403" s="1784"/>
      <c r="B1403" s="1782"/>
      <c r="C1403" s="1782"/>
      <c r="D1403" s="1782"/>
      <c r="E1403" s="1782"/>
      <c r="F1403" s="1782"/>
      <c r="G1403" s="1779"/>
      <c r="H1403" s="1137"/>
      <c r="I1403" s="1780"/>
      <c r="J1403" s="1779"/>
      <c r="K1403" s="1141"/>
      <c r="L1403" s="1143"/>
      <c r="M1403" s="1780"/>
      <c r="N1403" s="1779"/>
    </row>
    <row r="1404" spans="1:14" ht="13.5" x14ac:dyDescent="0.25">
      <c r="A1404" s="1784"/>
      <c r="B1404" s="1782"/>
      <c r="C1404" s="1782"/>
      <c r="D1404" s="1782"/>
      <c r="E1404" s="1782"/>
      <c r="F1404" s="1782"/>
      <c r="G1404" s="1779"/>
      <c r="H1404" s="1137"/>
      <c r="I1404" s="1780"/>
      <c r="J1404" s="1779"/>
      <c r="K1404" s="1141"/>
      <c r="L1404" s="1143"/>
      <c r="M1404" s="1780"/>
      <c r="N1404" s="1779"/>
    </row>
    <row r="1405" spans="1:14" ht="13.5" x14ac:dyDescent="0.25">
      <c r="A1405" s="1784"/>
      <c r="B1405" s="1782"/>
      <c r="C1405" s="1782"/>
      <c r="D1405" s="1782"/>
      <c r="E1405" s="1782"/>
      <c r="F1405" s="1782"/>
      <c r="G1405" s="1779"/>
      <c r="H1405" s="1137"/>
      <c r="I1405" s="1780"/>
      <c r="J1405" s="1779"/>
      <c r="K1405" s="1141"/>
      <c r="L1405" s="1143"/>
      <c r="M1405" s="1780"/>
      <c r="N1405" s="1779"/>
    </row>
    <row r="1406" spans="1:14" ht="13.5" x14ac:dyDescent="0.25">
      <c r="A1406" s="1138"/>
      <c r="B1406" s="1138"/>
      <c r="C1406" s="1138"/>
      <c r="D1406" s="1138"/>
      <c r="E1406" s="1138"/>
      <c r="F1406" s="1138"/>
      <c r="G1406" s="1138"/>
      <c r="H1406" s="1138"/>
      <c r="I1406" s="1138"/>
      <c r="J1406" s="1138"/>
      <c r="K1406" s="1778" t="s">
        <v>523</v>
      </c>
      <c r="L1406" s="1779"/>
      <c r="M1406" s="1780">
        <f>SUM(M1401:N1405)</f>
        <v>26809.990722222221</v>
      </c>
      <c r="N1406" s="1779"/>
    </row>
    <row r="1407" spans="1:14" x14ac:dyDescent="0.2">
      <c r="I1407" s="1414"/>
      <c r="J1407" s="1415"/>
      <c r="K1407" s="1415"/>
      <c r="L1407" s="1415"/>
      <c r="M1407" s="1415"/>
      <c r="N1407" s="1415"/>
    </row>
    <row r="1408" spans="1:14" ht="13.5" thickBot="1" x14ac:dyDescent="0.25">
      <c r="I1408" s="1416"/>
      <c r="J1408" s="1416"/>
      <c r="K1408" s="1416"/>
      <c r="L1408" s="1416"/>
      <c r="M1408" s="1416"/>
      <c r="N1408" s="1416"/>
    </row>
    <row r="1409" spans="1:15" ht="14.25" thickTop="1" x14ac:dyDescent="0.2">
      <c r="I1409" s="1417" t="s">
        <v>1829</v>
      </c>
      <c r="J1409" s="1418"/>
      <c r="K1409" s="1417" t="s">
        <v>2653</v>
      </c>
      <c r="L1409" s="1418"/>
      <c r="M1409" s="1418"/>
      <c r="N1409" s="1418"/>
    </row>
    <row r="1410" spans="1:15" ht="13.5" x14ac:dyDescent="0.2">
      <c r="I1410" s="1419" t="s">
        <v>1831</v>
      </c>
      <c r="J1410" s="1420"/>
      <c r="K1410" s="1419"/>
      <c r="L1410" s="1420"/>
      <c r="M1410" s="1420"/>
      <c r="N1410" s="1420"/>
    </row>
    <row r="1411" spans="1:15" x14ac:dyDescent="0.2">
      <c r="A1411" s="1796" t="s">
        <v>2359</v>
      </c>
      <c r="B1411" s="1797"/>
      <c r="C1411" s="1797"/>
      <c r="D1411" s="1797"/>
      <c r="E1411" s="1797"/>
      <c r="F1411" s="1797"/>
      <c r="G1411" s="1797"/>
      <c r="H1411" s="1797"/>
      <c r="I1411" s="1797"/>
      <c r="J1411" s="1797"/>
      <c r="K1411" s="1797"/>
      <c r="L1411" s="1797"/>
      <c r="M1411" s="1797"/>
      <c r="N1411" s="1798"/>
    </row>
    <row r="1412" spans="1:15" x14ac:dyDescent="0.2">
      <c r="A1412" s="1799"/>
      <c r="B1412" s="1800"/>
      <c r="C1412" s="1800"/>
      <c r="D1412" s="1800"/>
      <c r="E1412" s="1800"/>
      <c r="F1412" s="1800"/>
      <c r="G1412" s="1800"/>
      <c r="H1412" s="1800"/>
      <c r="I1412" s="1800"/>
      <c r="J1412" s="1800"/>
      <c r="K1412" s="1800"/>
      <c r="L1412" s="1800"/>
      <c r="M1412" s="1800"/>
      <c r="N1412" s="1801"/>
    </row>
    <row r="1413" spans="1:15" ht="13.5" x14ac:dyDescent="0.2">
      <c r="A1413" s="1128"/>
      <c r="B1413" s="1128"/>
      <c r="C1413" s="1128"/>
      <c r="D1413" s="1128"/>
      <c r="E1413" s="1128"/>
      <c r="F1413" s="1128"/>
      <c r="G1413" s="1128"/>
      <c r="H1413" s="1128"/>
      <c r="I1413" s="1128"/>
      <c r="J1413" s="1128"/>
      <c r="K1413" s="1128"/>
      <c r="L1413" s="1128"/>
      <c r="M1413" s="1128"/>
      <c r="N1413" s="1128"/>
    </row>
    <row r="1414" spans="1:15" ht="14.25" x14ac:dyDescent="0.3">
      <c r="A1414" s="1104" t="s">
        <v>2358</v>
      </c>
      <c r="B1414" s="1129" t="str">
        <f>A1411</f>
        <v xml:space="preserve">ANTRACITA PARA FILTRO. </v>
      </c>
      <c r="C1414" s="1130" t="s">
        <v>634</v>
      </c>
      <c r="D1414" s="1107" t="s">
        <v>12</v>
      </c>
      <c r="E1414" s="1132" t="s">
        <v>1833</v>
      </c>
      <c r="F1414" s="1133">
        <f>H1414+J1414+L1414+N1414</f>
        <v>968929.49582500011</v>
      </c>
      <c r="G1414" s="1132" t="s">
        <v>2136</v>
      </c>
      <c r="H1414" s="1133">
        <f>M1437</f>
        <v>34625</v>
      </c>
      <c r="I1414" s="1132" t="s">
        <v>621</v>
      </c>
      <c r="J1414" s="1134">
        <f>M1428</f>
        <v>906400.00000000012</v>
      </c>
      <c r="K1414" s="1132" t="s">
        <v>2137</v>
      </c>
      <c r="L1414" s="1133">
        <f>M1446</f>
        <v>15840</v>
      </c>
      <c r="M1414" s="1132" t="s">
        <v>2138</v>
      </c>
      <c r="N1414" s="1133">
        <f>M1455</f>
        <v>12064.495825</v>
      </c>
    </row>
    <row r="1415" spans="1:15" ht="13.5" x14ac:dyDescent="0.25">
      <c r="A1415" s="1135"/>
      <c r="B1415" s="1135"/>
      <c r="C1415" s="1135"/>
      <c r="D1415" s="1135"/>
      <c r="E1415" s="1135"/>
      <c r="F1415" s="1135"/>
      <c r="G1415" s="1135"/>
      <c r="J1415" s="1135"/>
      <c r="K1415" s="1135"/>
      <c r="L1415" s="1135"/>
      <c r="M1415" s="1270" t="s">
        <v>2667</v>
      </c>
      <c r="N1415" s="1270">
        <f>+F1414*'01'!$O$15</f>
        <v>1254089.2325247277</v>
      </c>
    </row>
    <row r="1416" spans="1:15" x14ac:dyDescent="0.2">
      <c r="A1416" s="1781" t="s">
        <v>2139</v>
      </c>
      <c r="B1416" s="1782"/>
      <c r="C1416" s="1782"/>
      <c r="D1416" s="1782"/>
      <c r="E1416" s="1782"/>
      <c r="F1416" s="1782"/>
      <c r="G1416" s="1782"/>
      <c r="H1416" s="1782"/>
      <c r="I1416" s="1782"/>
      <c r="J1416" s="1782"/>
      <c r="K1416" s="1782"/>
      <c r="L1416" s="1782"/>
      <c r="M1416" s="1782"/>
      <c r="N1416" s="1779"/>
    </row>
    <row r="1417" spans="1:15" x14ac:dyDescent="0.2">
      <c r="A1417" s="1778" t="s">
        <v>14</v>
      </c>
      <c r="B1417" s="1782"/>
      <c r="C1417" s="1782"/>
      <c r="D1417" s="1782"/>
      <c r="E1417" s="1782"/>
      <c r="F1417" s="1782"/>
      <c r="G1417" s="1779"/>
      <c r="H1417" s="1136" t="s">
        <v>15</v>
      </c>
      <c r="I1417" s="1783" t="s">
        <v>619</v>
      </c>
      <c r="J1417" s="1779"/>
      <c r="K1417" s="1783" t="s">
        <v>628</v>
      </c>
      <c r="L1417" s="1779"/>
      <c r="M1417" s="1783" t="s">
        <v>2140</v>
      </c>
      <c r="N1417" s="1779"/>
    </row>
    <row r="1418" spans="1:15" ht="13.5" customHeight="1" x14ac:dyDescent="0.2">
      <c r="A1418" s="1792" t="s">
        <v>922</v>
      </c>
      <c r="B1418" s="1782"/>
      <c r="C1418" s="1782"/>
      <c r="D1418" s="1782"/>
      <c r="E1418" s="1782"/>
      <c r="F1418" s="1782"/>
      <c r="G1418" s="1779"/>
      <c r="H1418" s="1032" t="str">
        <f>IF(A1418="","",VLOOKUP(A1418,'10'!$C$6:$E$1152,2,FALSE))</f>
        <v>M3</v>
      </c>
      <c r="I1418" s="1785">
        <f>IF(A1418="","",VLOOKUP(A1418,'10'!$C$6:$E$1152,3,FALSE))</f>
        <v>880000.00000000012</v>
      </c>
      <c r="J1418" s="1412"/>
      <c r="K1418" s="1794">
        <v>1.03</v>
      </c>
      <c r="L1418" s="1795"/>
      <c r="M1418" s="1780">
        <f>K1418*I1418</f>
        <v>906400.00000000012</v>
      </c>
      <c r="N1418" s="1779"/>
    </row>
    <row r="1419" spans="1:15" ht="13.5" customHeight="1" x14ac:dyDescent="0.2">
      <c r="A1419" s="1792"/>
      <c r="B1419" s="1782"/>
      <c r="C1419" s="1782"/>
      <c r="D1419" s="1782"/>
      <c r="E1419" s="1782"/>
      <c r="F1419" s="1782"/>
      <c r="G1419" s="1779"/>
      <c r="H1419" s="1032"/>
      <c r="I1419" s="1785"/>
      <c r="J1419" s="1412"/>
      <c r="K1419" s="1794"/>
      <c r="L1419" s="1795"/>
      <c r="M1419" s="1780">
        <f t="shared" ref="M1419:M1423" si="64">K1419*I1419</f>
        <v>0</v>
      </c>
      <c r="N1419" s="1779"/>
    </row>
    <row r="1420" spans="1:15" ht="13.5" x14ac:dyDescent="0.2">
      <c r="A1420" s="1792"/>
      <c r="B1420" s="1782"/>
      <c r="C1420" s="1782"/>
      <c r="D1420" s="1782"/>
      <c r="E1420" s="1782"/>
      <c r="F1420" s="1782"/>
      <c r="G1420" s="1779"/>
      <c r="H1420" s="1032"/>
      <c r="I1420" s="1785"/>
      <c r="J1420" s="1412"/>
      <c r="K1420" s="1794"/>
      <c r="L1420" s="1795"/>
      <c r="M1420" s="1780">
        <f t="shared" si="64"/>
        <v>0</v>
      </c>
      <c r="N1420" s="1779"/>
      <c r="O1420" s="799"/>
    </row>
    <row r="1421" spans="1:15" ht="13.5" x14ac:dyDescent="0.2">
      <c r="A1421" s="1792"/>
      <c r="B1421" s="1782"/>
      <c r="C1421" s="1782"/>
      <c r="D1421" s="1782"/>
      <c r="E1421" s="1782"/>
      <c r="F1421" s="1782"/>
      <c r="G1421" s="1779"/>
      <c r="H1421" s="1032"/>
      <c r="I1421" s="1785"/>
      <c r="J1421" s="1412"/>
      <c r="K1421" s="1794"/>
      <c r="L1421" s="1795"/>
      <c r="M1421" s="1780">
        <f t="shared" si="64"/>
        <v>0</v>
      </c>
      <c r="N1421" s="1779"/>
    </row>
    <row r="1422" spans="1:15" ht="13.5" x14ac:dyDescent="0.2">
      <c r="A1422" s="1792"/>
      <c r="B1422" s="1782"/>
      <c r="C1422" s="1782"/>
      <c r="D1422" s="1782"/>
      <c r="E1422" s="1782"/>
      <c r="F1422" s="1782"/>
      <c r="G1422" s="1779"/>
      <c r="H1422" s="1032"/>
      <c r="I1422" s="1785"/>
      <c r="J1422" s="1412"/>
      <c r="K1422" s="1794"/>
      <c r="L1422" s="1795"/>
      <c r="M1422" s="1780">
        <f t="shared" si="64"/>
        <v>0</v>
      </c>
      <c r="N1422" s="1779"/>
    </row>
    <row r="1423" spans="1:15" ht="13.5" x14ac:dyDescent="0.2">
      <c r="A1423" s="1792"/>
      <c r="B1423" s="1782"/>
      <c r="C1423" s="1782"/>
      <c r="D1423" s="1782"/>
      <c r="E1423" s="1782"/>
      <c r="F1423" s="1782"/>
      <c r="G1423" s="1779"/>
      <c r="H1423" s="1032"/>
      <c r="I1423" s="1785"/>
      <c r="J1423" s="1412"/>
      <c r="K1423" s="1794"/>
      <c r="L1423" s="1795"/>
      <c r="M1423" s="1780">
        <f t="shared" si="64"/>
        <v>0</v>
      </c>
      <c r="N1423" s="1779"/>
    </row>
    <row r="1424" spans="1:15" ht="13.5" x14ac:dyDescent="0.2">
      <c r="A1424" s="1792"/>
      <c r="B1424" s="1782"/>
      <c r="C1424" s="1782"/>
      <c r="D1424" s="1782"/>
      <c r="E1424" s="1782"/>
      <c r="F1424" s="1782"/>
      <c r="G1424" s="1779"/>
      <c r="H1424" s="1032" t="str">
        <f>IF(A1424="","",VLOOKUP(A1424,'10'!$C$6:$E$1152,2,FALSE))</f>
        <v/>
      </c>
      <c r="I1424" s="1785" t="str">
        <f>IF(A1424="","",VLOOKUP(A1424,'10'!$C$6:$E$1152,3,FALSE))</f>
        <v/>
      </c>
      <c r="J1424" s="1412"/>
      <c r="K1424" s="1794"/>
      <c r="L1424" s="1795"/>
      <c r="M1424" s="1780"/>
      <c r="N1424" s="1779"/>
    </row>
    <row r="1425" spans="1:14" ht="13.5" x14ac:dyDescent="0.2">
      <c r="A1425" s="1792"/>
      <c r="B1425" s="1782"/>
      <c r="C1425" s="1782"/>
      <c r="D1425" s="1782"/>
      <c r="E1425" s="1782"/>
      <c r="F1425" s="1782"/>
      <c r="G1425" s="1779"/>
      <c r="H1425" s="1032"/>
      <c r="I1425" s="1785"/>
      <c r="J1425" s="1412"/>
      <c r="K1425" s="1794"/>
      <c r="L1425" s="1795"/>
      <c r="M1425" s="1780"/>
      <c r="N1425" s="1779"/>
    </row>
    <row r="1426" spans="1:14" ht="13.5" x14ac:dyDescent="0.2">
      <c r="A1426" s="1792"/>
      <c r="B1426" s="1782"/>
      <c r="C1426" s="1782"/>
      <c r="D1426" s="1782"/>
      <c r="E1426" s="1782"/>
      <c r="F1426" s="1782"/>
      <c r="G1426" s="1779"/>
      <c r="H1426" s="1032"/>
      <c r="I1426" s="1785"/>
      <c r="J1426" s="1412"/>
      <c r="K1426" s="1794"/>
      <c r="L1426" s="1795"/>
      <c r="M1426" s="1780"/>
      <c r="N1426" s="1779"/>
    </row>
    <row r="1427" spans="1:14" ht="13.5" x14ac:dyDescent="0.2">
      <c r="A1427" s="1792"/>
      <c r="B1427" s="1782"/>
      <c r="C1427" s="1782"/>
      <c r="D1427" s="1782"/>
      <c r="E1427" s="1782"/>
      <c r="F1427" s="1782"/>
      <c r="G1427" s="1779"/>
      <c r="H1427" s="1032"/>
      <c r="I1427" s="1785"/>
      <c r="J1427" s="1412"/>
      <c r="K1427" s="1794"/>
      <c r="L1427" s="1795"/>
      <c r="M1427" s="1780"/>
      <c r="N1427" s="1779"/>
    </row>
    <row r="1428" spans="1:14" ht="13.5" x14ac:dyDescent="0.25">
      <c r="A1428" s="1138"/>
      <c r="B1428" s="1138"/>
      <c r="C1428" s="1138"/>
      <c r="D1428" s="1138"/>
      <c r="E1428" s="1138"/>
      <c r="F1428" s="1138"/>
      <c r="G1428" s="1138"/>
      <c r="H1428" s="1138"/>
      <c r="I1428" s="1138"/>
      <c r="J1428" s="1138"/>
      <c r="K1428" s="1778" t="s">
        <v>523</v>
      </c>
      <c r="L1428" s="1779"/>
      <c r="M1428" s="1780">
        <f>SUM(M1418:N1422)</f>
        <v>906400.00000000012</v>
      </c>
      <c r="N1428" s="1779"/>
    </row>
    <row r="1429" spans="1:14" ht="13.5" x14ac:dyDescent="0.25">
      <c r="A1429" s="1138"/>
      <c r="B1429" s="1138"/>
      <c r="C1429" s="1138"/>
      <c r="D1429" s="1138"/>
      <c r="E1429" s="1138"/>
      <c r="F1429" s="1138"/>
      <c r="G1429" s="1138"/>
      <c r="H1429" s="1138"/>
      <c r="I1429" s="1138"/>
      <c r="J1429" s="1138"/>
      <c r="K1429" s="1138"/>
      <c r="L1429" s="1138"/>
      <c r="M1429" s="1138"/>
      <c r="N1429" s="1138"/>
    </row>
    <row r="1430" spans="1:14" x14ac:dyDescent="0.2">
      <c r="A1430" s="1781" t="s">
        <v>2145</v>
      </c>
      <c r="B1430" s="1782"/>
      <c r="C1430" s="1782"/>
      <c r="D1430" s="1782"/>
      <c r="E1430" s="1782"/>
      <c r="F1430" s="1782"/>
      <c r="G1430" s="1782"/>
      <c r="H1430" s="1782"/>
      <c r="I1430" s="1782"/>
      <c r="J1430" s="1782"/>
      <c r="K1430" s="1782"/>
      <c r="L1430" s="1782"/>
      <c r="M1430" s="1782"/>
      <c r="N1430" s="1779"/>
    </row>
    <row r="1431" spans="1:14" x14ac:dyDescent="0.2">
      <c r="A1431" s="1778" t="s">
        <v>14</v>
      </c>
      <c r="B1431" s="1782"/>
      <c r="C1431" s="1782"/>
      <c r="D1431" s="1782"/>
      <c r="E1431" s="1782"/>
      <c r="F1431" s="1782"/>
      <c r="G1431" s="1779"/>
      <c r="H1431" s="1136" t="s">
        <v>15</v>
      </c>
      <c r="I1431" s="1783" t="s">
        <v>619</v>
      </c>
      <c r="J1431" s="1779"/>
      <c r="K1431" s="1783" t="s">
        <v>610</v>
      </c>
      <c r="L1431" s="1779"/>
      <c r="M1431" s="1783" t="s">
        <v>2140</v>
      </c>
      <c r="N1431" s="1779"/>
    </row>
    <row r="1432" spans="1:14" ht="13.5" x14ac:dyDescent="0.2">
      <c r="A1432" s="1789" t="s">
        <v>131</v>
      </c>
      <c r="B1432" s="1790"/>
      <c r="C1432" s="1790"/>
      <c r="D1432" s="1790"/>
      <c r="E1432" s="1790"/>
      <c r="F1432" s="1790"/>
      <c r="G1432" s="1791"/>
      <c r="H1432" s="1032" t="str">
        <f>IF(A1432="","",VLOOKUP(A1432,'11'!$C$6:$E$87,2,FALSE))</f>
        <v>DIA</v>
      </c>
      <c r="I1432" s="1785">
        <f>IF(A1432="","",VLOOKUP(A1432,'11'!$C$6:$E$87,3,FALSE))</f>
        <v>15000</v>
      </c>
      <c r="J1432" s="1412"/>
      <c r="K1432" s="1787">
        <v>30</v>
      </c>
      <c r="L1432" s="1793"/>
      <c r="M1432" s="1780">
        <f>I1432/K1432</f>
        <v>500</v>
      </c>
      <c r="N1432" s="1779"/>
    </row>
    <row r="1433" spans="1:14" ht="13.5" x14ac:dyDescent="0.2">
      <c r="A1433" s="1789" t="s">
        <v>132</v>
      </c>
      <c r="B1433" s="1790"/>
      <c r="C1433" s="1790"/>
      <c r="D1433" s="1790"/>
      <c r="E1433" s="1790"/>
      <c r="F1433" s="1790"/>
      <c r="G1433" s="1791"/>
      <c r="H1433" s="1032" t="str">
        <f>IF(A1433="","",VLOOKUP(A1433,'11'!$C$6:$E$87,2,FALSE))</f>
        <v>DIA</v>
      </c>
      <c r="I1433" s="1785">
        <f>IF(A1433="","",VLOOKUP(A1433,'11'!$C$6:$E$87,3,FALSE))</f>
        <v>50000</v>
      </c>
      <c r="J1433" s="1412"/>
      <c r="K1433" s="1794">
        <v>4</v>
      </c>
      <c r="L1433" s="1779"/>
      <c r="M1433" s="1780">
        <f t="shared" ref="M1433:M1435" si="65">I1433/K1433</f>
        <v>12500</v>
      </c>
      <c r="N1433" s="1779"/>
    </row>
    <row r="1434" spans="1:14" ht="13.5" x14ac:dyDescent="0.2">
      <c r="A1434" s="1789" t="s">
        <v>863</v>
      </c>
      <c r="B1434" s="1790"/>
      <c r="C1434" s="1790"/>
      <c r="D1434" s="1790"/>
      <c r="E1434" s="1790"/>
      <c r="F1434" s="1790"/>
      <c r="G1434" s="1791"/>
      <c r="H1434" s="1032" t="str">
        <f>IF(A1434="","",VLOOKUP(A1434,'11'!$C$6:$E$87,2,FALSE))</f>
        <v>DIA</v>
      </c>
      <c r="I1434" s="1785">
        <f>IF(A1434="","",VLOOKUP(A1434,'11'!$C$6:$E$87,3,FALSE))</f>
        <v>85000</v>
      </c>
      <c r="J1434" s="1412"/>
      <c r="K1434" s="1787">
        <v>4</v>
      </c>
      <c r="L1434" s="1779"/>
      <c r="M1434" s="1780">
        <f t="shared" si="65"/>
        <v>21250</v>
      </c>
      <c r="N1434" s="1779"/>
    </row>
    <row r="1435" spans="1:14" ht="13.5" x14ac:dyDescent="0.2">
      <c r="A1435" s="1789" t="s">
        <v>147</v>
      </c>
      <c r="B1435" s="1790"/>
      <c r="C1435" s="1790"/>
      <c r="D1435" s="1790"/>
      <c r="E1435" s="1790"/>
      <c r="F1435" s="1790"/>
      <c r="G1435" s="1791"/>
      <c r="H1435" s="1032" t="str">
        <f>IF(A1435="","",VLOOKUP(A1435,'11'!$C$6:$E$87,2,FALSE))</f>
        <v>DÍA</v>
      </c>
      <c r="I1435" s="1785">
        <f>IF(A1435="","",VLOOKUP(A1435,'11'!$C$6:$E$87,3,FALSE))</f>
        <v>1500</v>
      </c>
      <c r="J1435" s="1412"/>
      <c r="K1435" s="1787">
        <v>4</v>
      </c>
      <c r="L1435" s="1779"/>
      <c r="M1435" s="1780">
        <f t="shared" si="65"/>
        <v>375</v>
      </c>
      <c r="N1435" s="1779"/>
    </row>
    <row r="1436" spans="1:14" ht="13.5" x14ac:dyDescent="0.2">
      <c r="A1436" s="1789"/>
      <c r="B1436" s="1782"/>
      <c r="C1436" s="1782"/>
      <c r="D1436" s="1782"/>
      <c r="E1436" s="1782"/>
      <c r="F1436" s="1782"/>
      <c r="G1436" s="1779"/>
      <c r="H1436" s="1137"/>
      <c r="I1436" s="1780"/>
      <c r="J1436" s="1779"/>
      <c r="K1436" s="1787"/>
      <c r="L1436" s="1779"/>
      <c r="M1436" s="1780"/>
      <c r="N1436" s="1779"/>
    </row>
    <row r="1437" spans="1:14" ht="13.5" x14ac:dyDescent="0.25">
      <c r="A1437" s="1138"/>
      <c r="B1437" s="1138"/>
      <c r="C1437" s="1138"/>
      <c r="D1437" s="1138"/>
      <c r="E1437" s="1138"/>
      <c r="F1437" s="1138"/>
      <c r="G1437" s="1138"/>
      <c r="H1437" s="1138"/>
      <c r="I1437" s="1138"/>
      <c r="J1437" s="1138"/>
      <c r="K1437" s="1778" t="s">
        <v>523</v>
      </c>
      <c r="L1437" s="1779"/>
      <c r="M1437" s="1780">
        <f>SUM(M1432:N1436)</f>
        <v>34625</v>
      </c>
      <c r="N1437" s="1779"/>
    </row>
    <row r="1438" spans="1:14" ht="13.5" x14ac:dyDescent="0.25">
      <c r="A1438" s="1138"/>
      <c r="B1438" s="1138"/>
      <c r="C1438" s="1138"/>
      <c r="D1438" s="1138"/>
      <c r="E1438" s="1138"/>
      <c r="F1438" s="1138"/>
      <c r="G1438" s="1138"/>
      <c r="H1438" s="1138"/>
      <c r="I1438" s="1138"/>
      <c r="J1438" s="1138"/>
      <c r="K1438" s="1138"/>
      <c r="L1438" s="1138"/>
      <c r="M1438" s="1138"/>
      <c r="N1438" s="1138"/>
    </row>
    <row r="1439" spans="1:14" x14ac:dyDescent="0.2">
      <c r="A1439" s="1781" t="s">
        <v>2147</v>
      </c>
      <c r="B1439" s="1782"/>
      <c r="C1439" s="1782"/>
      <c r="D1439" s="1782"/>
      <c r="E1439" s="1782"/>
      <c r="F1439" s="1782"/>
      <c r="G1439" s="1782"/>
      <c r="H1439" s="1782"/>
      <c r="I1439" s="1782"/>
      <c r="J1439" s="1782"/>
      <c r="K1439" s="1782"/>
      <c r="L1439" s="1782"/>
      <c r="M1439" s="1782"/>
      <c r="N1439" s="1779"/>
    </row>
    <row r="1440" spans="1:14" x14ac:dyDescent="0.2">
      <c r="A1440" s="1778" t="s">
        <v>14</v>
      </c>
      <c r="B1440" s="1782"/>
      <c r="C1440" s="1782"/>
      <c r="D1440" s="1782"/>
      <c r="E1440" s="1782"/>
      <c r="F1440" s="1782"/>
      <c r="G1440" s="1779"/>
      <c r="H1440" s="1136" t="s">
        <v>15</v>
      </c>
      <c r="I1440" s="1783" t="s">
        <v>619</v>
      </c>
      <c r="J1440" s="1779"/>
      <c r="K1440" s="1783" t="s">
        <v>628</v>
      </c>
      <c r="L1440" s="1779"/>
      <c r="M1440" s="1783" t="s">
        <v>2140</v>
      </c>
      <c r="N1440" s="1779"/>
    </row>
    <row r="1441" spans="1:14" ht="13.5" x14ac:dyDescent="0.2">
      <c r="A1441" s="1792" t="s">
        <v>2328</v>
      </c>
      <c r="B1441" s="1782"/>
      <c r="C1441" s="1782"/>
      <c r="D1441" s="1782"/>
      <c r="E1441" s="1782"/>
      <c r="F1441" s="1782"/>
      <c r="G1441" s="1779"/>
      <c r="H1441" s="1032" t="str">
        <f>IF(A1441="","",VLOOKUP(A1441,'11'!$C$6:$E$1012,2,FALSE))</f>
        <v>KM-M3</v>
      </c>
      <c r="I1441" s="1785">
        <f>IF(A1441="","",VLOOKUP(A1441,'11'!$C$6:$E$1012,3,FALSE))</f>
        <v>1440</v>
      </c>
      <c r="J1441" s="1412"/>
      <c r="K1441" s="1787">
        <v>11</v>
      </c>
      <c r="L1441" s="1793"/>
      <c r="M1441" s="1780">
        <f t="shared" ref="M1441" si="66">IF(A1441="","",I1441*K1441)</f>
        <v>15840</v>
      </c>
      <c r="N1441" s="1779"/>
    </row>
    <row r="1442" spans="1:14" ht="13.5" x14ac:dyDescent="0.2">
      <c r="A1442" s="1786"/>
      <c r="B1442" s="1782"/>
      <c r="C1442" s="1782"/>
      <c r="D1442" s="1782"/>
      <c r="E1442" s="1782"/>
      <c r="F1442" s="1782"/>
      <c r="G1442" s="1779"/>
      <c r="H1442" s="1032"/>
      <c r="I1442" s="1780"/>
      <c r="J1442" s="1779"/>
      <c r="K1442" s="1787"/>
      <c r="L1442" s="1779"/>
      <c r="M1442" s="1780"/>
      <c r="N1442" s="1779"/>
    </row>
    <row r="1443" spans="1:14" ht="13.5" x14ac:dyDescent="0.2">
      <c r="A1443" s="1786"/>
      <c r="B1443" s="1782"/>
      <c r="C1443" s="1782"/>
      <c r="D1443" s="1782"/>
      <c r="E1443" s="1782"/>
      <c r="F1443" s="1782"/>
      <c r="G1443" s="1779"/>
      <c r="H1443" s="1032"/>
      <c r="I1443" s="1780"/>
      <c r="J1443" s="1779"/>
      <c r="K1443" s="1788"/>
      <c r="L1443" s="1779"/>
      <c r="M1443" s="1780"/>
      <c r="N1443" s="1779"/>
    </row>
    <row r="1444" spans="1:14" ht="13.5" x14ac:dyDescent="0.2">
      <c r="A1444" s="1789"/>
      <c r="B1444" s="1782"/>
      <c r="C1444" s="1782"/>
      <c r="D1444" s="1782"/>
      <c r="E1444" s="1782"/>
      <c r="F1444" s="1782"/>
      <c r="G1444" s="1779"/>
      <c r="H1444" s="1137"/>
      <c r="I1444" s="1780"/>
      <c r="J1444" s="1779"/>
      <c r="K1444" s="1787"/>
      <c r="L1444" s="1779"/>
      <c r="M1444" s="1780"/>
      <c r="N1444" s="1779"/>
    </row>
    <row r="1445" spans="1:14" ht="13.5" x14ac:dyDescent="0.2">
      <c r="A1445" s="1789"/>
      <c r="B1445" s="1782"/>
      <c r="C1445" s="1782"/>
      <c r="D1445" s="1782"/>
      <c r="E1445" s="1782"/>
      <c r="F1445" s="1782"/>
      <c r="G1445" s="1779"/>
      <c r="H1445" s="1137"/>
      <c r="I1445" s="1780"/>
      <c r="J1445" s="1779"/>
      <c r="K1445" s="1787"/>
      <c r="L1445" s="1779"/>
      <c r="M1445" s="1780"/>
      <c r="N1445" s="1779"/>
    </row>
    <row r="1446" spans="1:14" ht="13.5" x14ac:dyDescent="0.25">
      <c r="A1446" s="1138"/>
      <c r="B1446" s="1138"/>
      <c r="C1446" s="1138"/>
      <c r="D1446" s="1138"/>
      <c r="E1446" s="1138"/>
      <c r="F1446" s="1138"/>
      <c r="G1446" s="1138"/>
      <c r="H1446" s="1138"/>
      <c r="I1446" s="1138"/>
      <c r="J1446" s="1138"/>
      <c r="K1446" s="1778" t="s">
        <v>523</v>
      </c>
      <c r="L1446" s="1779"/>
      <c r="M1446" s="1780">
        <f>SUM(M1441:N1445)</f>
        <v>15840</v>
      </c>
      <c r="N1446" s="1779"/>
    </row>
    <row r="1447" spans="1:14" ht="13.5" x14ac:dyDescent="0.25">
      <c r="A1447" s="1138"/>
      <c r="B1447" s="1138"/>
      <c r="C1447" s="1138"/>
      <c r="D1447" s="1138"/>
      <c r="E1447" s="1138"/>
      <c r="F1447" s="1138"/>
      <c r="G1447" s="1138"/>
      <c r="H1447" s="1138"/>
      <c r="I1447" s="1138"/>
      <c r="J1447" s="1138"/>
      <c r="K1447" s="1138"/>
      <c r="L1447" s="1138"/>
      <c r="M1447" s="1138"/>
      <c r="N1447" s="1138"/>
    </row>
    <row r="1448" spans="1:14" x14ac:dyDescent="0.2">
      <c r="A1448" s="1781" t="s">
        <v>2150</v>
      </c>
      <c r="B1448" s="1782"/>
      <c r="C1448" s="1782"/>
      <c r="D1448" s="1782"/>
      <c r="E1448" s="1782"/>
      <c r="F1448" s="1782"/>
      <c r="G1448" s="1782"/>
      <c r="H1448" s="1782"/>
      <c r="I1448" s="1782"/>
      <c r="J1448" s="1782"/>
      <c r="K1448" s="1782"/>
      <c r="L1448" s="1782"/>
      <c r="M1448" s="1782"/>
      <c r="N1448" s="1779"/>
    </row>
    <row r="1449" spans="1:14" x14ac:dyDescent="0.2">
      <c r="A1449" s="1778" t="s">
        <v>14</v>
      </c>
      <c r="B1449" s="1782"/>
      <c r="C1449" s="1782"/>
      <c r="D1449" s="1782"/>
      <c r="E1449" s="1782"/>
      <c r="F1449" s="1782"/>
      <c r="G1449" s="1779"/>
      <c r="H1449" s="1136" t="s">
        <v>15</v>
      </c>
      <c r="I1449" s="1783" t="s">
        <v>619</v>
      </c>
      <c r="J1449" s="1779"/>
      <c r="K1449" s="1139" t="s">
        <v>1919</v>
      </c>
      <c r="L1449" s="1140" t="s">
        <v>2151</v>
      </c>
      <c r="M1449" s="1783" t="s">
        <v>2140</v>
      </c>
      <c r="N1449" s="1779"/>
    </row>
    <row r="1450" spans="1:14" ht="13.5" x14ac:dyDescent="0.25">
      <c r="A1450" s="1784" t="s">
        <v>2168</v>
      </c>
      <c r="B1450" s="1782"/>
      <c r="C1450" s="1782"/>
      <c r="D1450" s="1782"/>
      <c r="E1450" s="1782"/>
      <c r="F1450" s="1782"/>
      <c r="G1450" s="1779"/>
      <c r="H1450" s="1032" t="str">
        <f>IF(A1450="","",VLOOKUP(A1450,'09'!$A$22:$O$168,4,FALSE))</f>
        <v>Cuadrilla</v>
      </c>
      <c r="I1450" s="1785">
        <f>IF(A1450="","",VLOOKUP(A1450,'09'!$A$22:$O$168,5,FALSE))</f>
        <v>204272</v>
      </c>
      <c r="J1450" s="1412"/>
      <c r="K1450" s="1034">
        <f>IF(A1450="","",'03'!$I$2)</f>
        <v>1.88995</v>
      </c>
      <c r="L1450" s="1142">
        <v>4</v>
      </c>
      <c r="M1450" s="1780">
        <f>I1450*K1450/(L1450*8)</f>
        <v>12064.495825</v>
      </c>
      <c r="N1450" s="1779"/>
    </row>
    <row r="1451" spans="1:14" ht="13.5" x14ac:dyDescent="0.25">
      <c r="A1451" s="1784"/>
      <c r="B1451" s="1782"/>
      <c r="C1451" s="1782"/>
      <c r="D1451" s="1782"/>
      <c r="E1451" s="1782"/>
      <c r="F1451" s="1782"/>
      <c r="G1451" s="1779"/>
      <c r="H1451" s="1137"/>
      <c r="I1451" s="1780"/>
      <c r="J1451" s="1779"/>
      <c r="K1451" s="1141"/>
      <c r="L1451" s="1141"/>
      <c r="M1451" s="1780"/>
      <c r="N1451" s="1779"/>
    </row>
    <row r="1452" spans="1:14" ht="13.5" x14ac:dyDescent="0.25">
      <c r="A1452" s="1784"/>
      <c r="B1452" s="1782"/>
      <c r="C1452" s="1782"/>
      <c r="D1452" s="1782"/>
      <c r="E1452" s="1782"/>
      <c r="F1452" s="1782"/>
      <c r="G1452" s="1779"/>
      <c r="H1452" s="1137"/>
      <c r="I1452" s="1780"/>
      <c r="J1452" s="1779"/>
      <c r="K1452" s="1141"/>
      <c r="L1452" s="1143"/>
      <c r="M1452" s="1780"/>
      <c r="N1452" s="1779"/>
    </row>
    <row r="1453" spans="1:14" ht="13.5" x14ac:dyDescent="0.25">
      <c r="A1453" s="1784"/>
      <c r="B1453" s="1782"/>
      <c r="C1453" s="1782"/>
      <c r="D1453" s="1782"/>
      <c r="E1453" s="1782"/>
      <c r="F1453" s="1782"/>
      <c r="G1453" s="1779"/>
      <c r="H1453" s="1137"/>
      <c r="I1453" s="1780"/>
      <c r="J1453" s="1779"/>
      <c r="K1453" s="1141"/>
      <c r="L1453" s="1143"/>
      <c r="M1453" s="1780"/>
      <c r="N1453" s="1779"/>
    </row>
    <row r="1454" spans="1:14" ht="13.5" x14ac:dyDescent="0.25">
      <c r="A1454" s="1784"/>
      <c r="B1454" s="1782"/>
      <c r="C1454" s="1782"/>
      <c r="D1454" s="1782"/>
      <c r="E1454" s="1782"/>
      <c r="F1454" s="1782"/>
      <c r="G1454" s="1779"/>
      <c r="H1454" s="1137"/>
      <c r="I1454" s="1780"/>
      <c r="J1454" s="1779"/>
      <c r="K1454" s="1141"/>
      <c r="L1454" s="1143"/>
      <c r="M1454" s="1780"/>
      <c r="N1454" s="1779"/>
    </row>
    <row r="1455" spans="1:14" ht="13.5" x14ac:dyDescent="0.25">
      <c r="A1455" s="1138"/>
      <c r="B1455" s="1138"/>
      <c r="C1455" s="1138"/>
      <c r="D1455" s="1138"/>
      <c r="E1455" s="1138"/>
      <c r="F1455" s="1138"/>
      <c r="G1455" s="1138"/>
      <c r="H1455" s="1138"/>
      <c r="I1455" s="1138"/>
      <c r="J1455" s="1138"/>
      <c r="K1455" s="1778" t="s">
        <v>523</v>
      </c>
      <c r="L1455" s="1779"/>
      <c r="M1455" s="1780">
        <f>SUM(M1450:N1454)</f>
        <v>12064.495825</v>
      </c>
      <c r="N1455" s="1779"/>
    </row>
    <row r="1456" spans="1:14" x14ac:dyDescent="0.2">
      <c r="I1456" s="1414"/>
      <c r="J1456" s="1415"/>
      <c r="K1456" s="1415"/>
      <c r="L1456" s="1415"/>
      <c r="M1456" s="1415"/>
      <c r="N1456" s="1415"/>
    </row>
    <row r="1457" spans="1:15" ht="13.5" thickBot="1" x14ac:dyDescent="0.25">
      <c r="I1457" s="1416"/>
      <c r="J1457" s="1416"/>
      <c r="K1457" s="1416"/>
      <c r="L1457" s="1416"/>
      <c r="M1457" s="1416"/>
      <c r="N1457" s="1416"/>
    </row>
    <row r="1458" spans="1:15" ht="14.25" thickTop="1" x14ac:dyDescent="0.2">
      <c r="I1458" s="1417" t="s">
        <v>1829</v>
      </c>
      <c r="J1458" s="1418"/>
      <c r="K1458" s="1417" t="s">
        <v>2653</v>
      </c>
      <c r="L1458" s="1418"/>
      <c r="M1458" s="1418"/>
      <c r="N1458" s="1418"/>
    </row>
    <row r="1459" spans="1:15" ht="13.5" x14ac:dyDescent="0.2">
      <c r="I1459" s="1419" t="s">
        <v>1831</v>
      </c>
      <c r="J1459" s="1420"/>
      <c r="K1459" s="1419"/>
      <c r="L1459" s="1420"/>
      <c r="M1459" s="1420"/>
      <c r="N1459" s="1420"/>
    </row>
    <row r="1460" spans="1:15" x14ac:dyDescent="0.2">
      <c r="A1460" s="1796" t="s">
        <v>2361</v>
      </c>
      <c r="B1460" s="1797"/>
      <c r="C1460" s="1797"/>
      <c r="D1460" s="1797"/>
      <c r="E1460" s="1797"/>
      <c r="F1460" s="1797"/>
      <c r="G1460" s="1797"/>
      <c r="H1460" s="1797"/>
      <c r="I1460" s="1797"/>
      <c r="J1460" s="1797"/>
      <c r="K1460" s="1797"/>
      <c r="L1460" s="1797"/>
      <c r="M1460" s="1797"/>
      <c r="N1460" s="1798"/>
    </row>
    <row r="1461" spans="1:15" x14ac:dyDescent="0.2">
      <c r="A1461" s="1799"/>
      <c r="B1461" s="1800"/>
      <c r="C1461" s="1800"/>
      <c r="D1461" s="1800"/>
      <c r="E1461" s="1800"/>
      <c r="F1461" s="1800"/>
      <c r="G1461" s="1800"/>
      <c r="H1461" s="1800"/>
      <c r="I1461" s="1800"/>
      <c r="J1461" s="1800"/>
      <c r="K1461" s="1800"/>
      <c r="L1461" s="1800"/>
      <c r="M1461" s="1800"/>
      <c r="N1461" s="1801"/>
    </row>
    <row r="1462" spans="1:15" ht="13.5" x14ac:dyDescent="0.2">
      <c r="A1462" s="1128"/>
      <c r="B1462" s="1128"/>
      <c r="C1462" s="1128"/>
      <c r="D1462" s="1128"/>
      <c r="E1462" s="1128"/>
      <c r="F1462" s="1128"/>
      <c r="G1462" s="1128"/>
      <c r="H1462" s="1128"/>
      <c r="I1462" s="1128"/>
      <c r="J1462" s="1128"/>
      <c r="K1462" s="1128"/>
      <c r="L1462" s="1128"/>
      <c r="M1462" s="1128"/>
      <c r="N1462" s="1128"/>
    </row>
    <row r="1463" spans="1:15" ht="14.25" x14ac:dyDescent="0.3">
      <c r="A1463" s="1104" t="s">
        <v>2360</v>
      </c>
      <c r="B1463" s="1129" t="str">
        <f>A1460</f>
        <v xml:space="preserve">ARENA PARA FILTRO. </v>
      </c>
      <c r="C1463" s="1130" t="s">
        <v>634</v>
      </c>
      <c r="D1463" s="1107" t="s">
        <v>12</v>
      </c>
      <c r="E1463" s="1132" t="s">
        <v>1833</v>
      </c>
      <c r="F1463" s="1133">
        <f>H1463+J1463+L1463+N1463</f>
        <v>855629.49582500011</v>
      </c>
      <c r="G1463" s="1132" t="s">
        <v>2136</v>
      </c>
      <c r="H1463" s="1133">
        <f>M1486</f>
        <v>34625</v>
      </c>
      <c r="I1463" s="1132" t="s">
        <v>621</v>
      </c>
      <c r="J1463" s="1134">
        <f>M1477</f>
        <v>793100.00000000012</v>
      </c>
      <c r="K1463" s="1132" t="s">
        <v>2137</v>
      </c>
      <c r="L1463" s="1133">
        <f>M1495</f>
        <v>15840</v>
      </c>
      <c r="M1463" s="1132" t="s">
        <v>2138</v>
      </c>
      <c r="N1463" s="1133">
        <f>M1504</f>
        <v>12064.495825</v>
      </c>
    </row>
    <row r="1464" spans="1:15" ht="13.5" x14ac:dyDescent="0.25">
      <c r="A1464" s="1135"/>
      <c r="B1464" s="1135"/>
      <c r="C1464" s="1135"/>
      <c r="D1464" s="1135"/>
      <c r="E1464" s="1135"/>
      <c r="F1464" s="1135"/>
      <c r="G1464" s="1135"/>
      <c r="J1464" s="1135"/>
      <c r="K1464" s="1135"/>
      <c r="L1464" s="1135"/>
      <c r="M1464" s="1270" t="s">
        <v>2667</v>
      </c>
      <c r="N1464" s="1270">
        <f>+F1463*'01'!$O$15</f>
        <v>1107444.5998065651</v>
      </c>
    </row>
    <row r="1465" spans="1:15" x14ac:dyDescent="0.2">
      <c r="A1465" s="1781" t="s">
        <v>2139</v>
      </c>
      <c r="B1465" s="1782"/>
      <c r="C1465" s="1782"/>
      <c r="D1465" s="1782"/>
      <c r="E1465" s="1782"/>
      <c r="F1465" s="1782"/>
      <c r="G1465" s="1782"/>
      <c r="H1465" s="1782"/>
      <c r="I1465" s="1782"/>
      <c r="J1465" s="1782"/>
      <c r="K1465" s="1782"/>
      <c r="L1465" s="1782"/>
      <c r="M1465" s="1782"/>
      <c r="N1465" s="1779"/>
    </row>
    <row r="1466" spans="1:15" x14ac:dyDescent="0.2">
      <c r="A1466" s="1778" t="s">
        <v>14</v>
      </c>
      <c r="B1466" s="1782"/>
      <c r="C1466" s="1782"/>
      <c r="D1466" s="1782"/>
      <c r="E1466" s="1782"/>
      <c r="F1466" s="1782"/>
      <c r="G1466" s="1779"/>
      <c r="H1466" s="1136" t="s">
        <v>15</v>
      </c>
      <c r="I1466" s="1783" t="s">
        <v>619</v>
      </c>
      <c r="J1466" s="1779"/>
      <c r="K1466" s="1783" t="s">
        <v>628</v>
      </c>
      <c r="L1466" s="1779"/>
      <c r="M1466" s="1783" t="s">
        <v>2140</v>
      </c>
      <c r="N1466" s="1779"/>
    </row>
    <row r="1467" spans="1:15" ht="13.5" customHeight="1" x14ac:dyDescent="0.2">
      <c r="A1467" s="1792" t="s">
        <v>921</v>
      </c>
      <c r="B1467" s="1782"/>
      <c r="C1467" s="1782"/>
      <c r="D1467" s="1782"/>
      <c r="E1467" s="1782"/>
      <c r="F1467" s="1782"/>
      <c r="G1467" s="1779"/>
      <c r="H1467" s="1032" t="str">
        <f>IF(A1467="","",VLOOKUP(A1467,'10'!$C$6:$E$1152,2,FALSE))</f>
        <v>M3</v>
      </c>
      <c r="I1467" s="1785">
        <f>IF(A1467="","",VLOOKUP(A1467,'10'!$C$6:$E$1152,3,FALSE))</f>
        <v>770000.00000000012</v>
      </c>
      <c r="J1467" s="1412"/>
      <c r="K1467" s="1794">
        <v>1.03</v>
      </c>
      <c r="L1467" s="1795"/>
      <c r="M1467" s="1780">
        <f>K1467*I1467</f>
        <v>793100.00000000012</v>
      </c>
      <c r="N1467" s="1779"/>
    </row>
    <row r="1468" spans="1:15" ht="13.5" customHeight="1" x14ac:dyDescent="0.2">
      <c r="A1468" s="1792"/>
      <c r="B1468" s="1782"/>
      <c r="C1468" s="1782"/>
      <c r="D1468" s="1782"/>
      <c r="E1468" s="1782"/>
      <c r="F1468" s="1782"/>
      <c r="G1468" s="1779"/>
      <c r="H1468" s="1032"/>
      <c r="I1468" s="1785"/>
      <c r="J1468" s="1412"/>
      <c r="K1468" s="1794"/>
      <c r="L1468" s="1795"/>
      <c r="M1468" s="1780">
        <f t="shared" ref="M1468:M1472" si="67">K1468*I1468</f>
        <v>0</v>
      </c>
      <c r="N1468" s="1779"/>
    </row>
    <row r="1469" spans="1:15" ht="13.5" x14ac:dyDescent="0.2">
      <c r="A1469" s="1792"/>
      <c r="B1469" s="1782"/>
      <c r="C1469" s="1782"/>
      <c r="D1469" s="1782"/>
      <c r="E1469" s="1782"/>
      <c r="F1469" s="1782"/>
      <c r="G1469" s="1779"/>
      <c r="H1469" s="1032"/>
      <c r="I1469" s="1785"/>
      <c r="J1469" s="1412"/>
      <c r="K1469" s="1794"/>
      <c r="L1469" s="1795"/>
      <c r="M1469" s="1780">
        <f t="shared" si="67"/>
        <v>0</v>
      </c>
      <c r="N1469" s="1779"/>
      <c r="O1469" s="799"/>
    </row>
    <row r="1470" spans="1:15" ht="13.5" x14ac:dyDescent="0.2">
      <c r="A1470" s="1792"/>
      <c r="B1470" s="1782"/>
      <c r="C1470" s="1782"/>
      <c r="D1470" s="1782"/>
      <c r="E1470" s="1782"/>
      <c r="F1470" s="1782"/>
      <c r="G1470" s="1779"/>
      <c r="H1470" s="1032"/>
      <c r="I1470" s="1785"/>
      <c r="J1470" s="1412"/>
      <c r="K1470" s="1794"/>
      <c r="L1470" s="1795"/>
      <c r="M1470" s="1780">
        <f t="shared" si="67"/>
        <v>0</v>
      </c>
      <c r="N1470" s="1779"/>
    </row>
    <row r="1471" spans="1:15" ht="13.5" x14ac:dyDescent="0.2">
      <c r="A1471" s="1792"/>
      <c r="B1471" s="1782"/>
      <c r="C1471" s="1782"/>
      <c r="D1471" s="1782"/>
      <c r="E1471" s="1782"/>
      <c r="F1471" s="1782"/>
      <c r="G1471" s="1779"/>
      <c r="H1471" s="1032"/>
      <c r="I1471" s="1785"/>
      <c r="J1471" s="1412"/>
      <c r="K1471" s="1794"/>
      <c r="L1471" s="1795"/>
      <c r="M1471" s="1780">
        <f t="shared" si="67"/>
        <v>0</v>
      </c>
      <c r="N1471" s="1779"/>
    </row>
    <row r="1472" spans="1:15" ht="13.5" x14ac:dyDescent="0.2">
      <c r="A1472" s="1792"/>
      <c r="B1472" s="1782"/>
      <c r="C1472" s="1782"/>
      <c r="D1472" s="1782"/>
      <c r="E1472" s="1782"/>
      <c r="F1472" s="1782"/>
      <c r="G1472" s="1779"/>
      <c r="H1472" s="1032"/>
      <c r="I1472" s="1785"/>
      <c r="J1472" s="1412"/>
      <c r="K1472" s="1794"/>
      <c r="L1472" s="1795"/>
      <c r="M1472" s="1780">
        <f t="shared" si="67"/>
        <v>0</v>
      </c>
      <c r="N1472" s="1779"/>
    </row>
    <row r="1473" spans="1:14" ht="13.5" x14ac:dyDescent="0.2">
      <c r="A1473" s="1792"/>
      <c r="B1473" s="1782"/>
      <c r="C1473" s="1782"/>
      <c r="D1473" s="1782"/>
      <c r="E1473" s="1782"/>
      <c r="F1473" s="1782"/>
      <c r="G1473" s="1779"/>
      <c r="H1473" s="1032" t="str">
        <f>IF(A1473="","",VLOOKUP(A1473,'10'!$C$6:$E$1152,2,FALSE))</f>
        <v/>
      </c>
      <c r="I1473" s="1785" t="str">
        <f>IF(A1473="","",VLOOKUP(A1473,'10'!$C$6:$E$1152,3,FALSE))</f>
        <v/>
      </c>
      <c r="J1473" s="1412"/>
      <c r="K1473" s="1794"/>
      <c r="L1473" s="1795"/>
      <c r="M1473" s="1780"/>
      <c r="N1473" s="1779"/>
    </row>
    <row r="1474" spans="1:14" ht="13.5" x14ac:dyDescent="0.2">
      <c r="A1474" s="1792"/>
      <c r="B1474" s="1782"/>
      <c r="C1474" s="1782"/>
      <c r="D1474" s="1782"/>
      <c r="E1474" s="1782"/>
      <c r="F1474" s="1782"/>
      <c r="G1474" s="1779"/>
      <c r="H1474" s="1032"/>
      <c r="I1474" s="1785"/>
      <c r="J1474" s="1412"/>
      <c r="K1474" s="1794"/>
      <c r="L1474" s="1795"/>
      <c r="M1474" s="1780"/>
      <c r="N1474" s="1779"/>
    </row>
    <row r="1475" spans="1:14" ht="13.5" x14ac:dyDescent="0.2">
      <c r="A1475" s="1792"/>
      <c r="B1475" s="1782"/>
      <c r="C1475" s="1782"/>
      <c r="D1475" s="1782"/>
      <c r="E1475" s="1782"/>
      <c r="F1475" s="1782"/>
      <c r="G1475" s="1779"/>
      <c r="H1475" s="1032"/>
      <c r="I1475" s="1785"/>
      <c r="J1475" s="1412"/>
      <c r="K1475" s="1794"/>
      <c r="L1475" s="1795"/>
      <c r="M1475" s="1780"/>
      <c r="N1475" s="1779"/>
    </row>
    <row r="1476" spans="1:14" ht="13.5" x14ac:dyDescent="0.2">
      <c r="A1476" s="1792"/>
      <c r="B1476" s="1782"/>
      <c r="C1476" s="1782"/>
      <c r="D1476" s="1782"/>
      <c r="E1476" s="1782"/>
      <c r="F1476" s="1782"/>
      <c r="G1476" s="1779"/>
      <c r="H1476" s="1032"/>
      <c r="I1476" s="1785"/>
      <c r="J1476" s="1412"/>
      <c r="K1476" s="1794"/>
      <c r="L1476" s="1795"/>
      <c r="M1476" s="1780"/>
      <c r="N1476" s="1779"/>
    </row>
    <row r="1477" spans="1:14" ht="13.5" x14ac:dyDescent="0.25">
      <c r="A1477" s="1138"/>
      <c r="B1477" s="1138"/>
      <c r="C1477" s="1138"/>
      <c r="D1477" s="1138"/>
      <c r="E1477" s="1138"/>
      <c r="F1477" s="1138"/>
      <c r="G1477" s="1138"/>
      <c r="H1477" s="1138"/>
      <c r="I1477" s="1138"/>
      <c r="J1477" s="1138"/>
      <c r="K1477" s="1778" t="s">
        <v>523</v>
      </c>
      <c r="L1477" s="1779"/>
      <c r="M1477" s="1780">
        <f>SUM(M1467:N1471)</f>
        <v>793100.00000000012</v>
      </c>
      <c r="N1477" s="1779"/>
    </row>
    <row r="1478" spans="1:14" ht="13.5" x14ac:dyDescent="0.25">
      <c r="A1478" s="1138"/>
      <c r="B1478" s="1138"/>
      <c r="C1478" s="1138"/>
      <c r="D1478" s="1138"/>
      <c r="E1478" s="1138"/>
      <c r="F1478" s="1138"/>
      <c r="G1478" s="1138"/>
      <c r="H1478" s="1138"/>
      <c r="I1478" s="1138"/>
      <c r="J1478" s="1138"/>
      <c r="K1478" s="1138"/>
      <c r="L1478" s="1138"/>
      <c r="M1478" s="1138"/>
      <c r="N1478" s="1138"/>
    </row>
    <row r="1479" spans="1:14" x14ac:dyDescent="0.2">
      <c r="A1479" s="1781" t="s">
        <v>2145</v>
      </c>
      <c r="B1479" s="1782"/>
      <c r="C1479" s="1782"/>
      <c r="D1479" s="1782"/>
      <c r="E1479" s="1782"/>
      <c r="F1479" s="1782"/>
      <c r="G1479" s="1782"/>
      <c r="H1479" s="1782"/>
      <c r="I1479" s="1782"/>
      <c r="J1479" s="1782"/>
      <c r="K1479" s="1782"/>
      <c r="L1479" s="1782"/>
      <c r="M1479" s="1782"/>
      <c r="N1479" s="1779"/>
    </row>
    <row r="1480" spans="1:14" x14ac:dyDescent="0.2">
      <c r="A1480" s="1778" t="s">
        <v>14</v>
      </c>
      <c r="B1480" s="1782"/>
      <c r="C1480" s="1782"/>
      <c r="D1480" s="1782"/>
      <c r="E1480" s="1782"/>
      <c r="F1480" s="1782"/>
      <c r="G1480" s="1779"/>
      <c r="H1480" s="1136" t="s">
        <v>15</v>
      </c>
      <c r="I1480" s="1783" t="s">
        <v>619</v>
      </c>
      <c r="J1480" s="1779"/>
      <c r="K1480" s="1783" t="s">
        <v>610</v>
      </c>
      <c r="L1480" s="1779"/>
      <c r="M1480" s="1783" t="s">
        <v>2140</v>
      </c>
      <c r="N1480" s="1779"/>
    </row>
    <row r="1481" spans="1:14" ht="13.5" x14ac:dyDescent="0.2">
      <c r="A1481" s="1789" t="s">
        <v>131</v>
      </c>
      <c r="B1481" s="1790"/>
      <c r="C1481" s="1790"/>
      <c r="D1481" s="1790"/>
      <c r="E1481" s="1790"/>
      <c r="F1481" s="1790"/>
      <c r="G1481" s="1791"/>
      <c r="H1481" s="1032" t="str">
        <f>IF(A1481="","",VLOOKUP(A1481,'11'!$C$6:$E$87,2,FALSE))</f>
        <v>DIA</v>
      </c>
      <c r="I1481" s="1785">
        <f>IF(A1481="","",VLOOKUP(A1481,'11'!$C$6:$E$87,3,FALSE))</f>
        <v>15000</v>
      </c>
      <c r="J1481" s="1412"/>
      <c r="K1481" s="1787">
        <v>30</v>
      </c>
      <c r="L1481" s="1793"/>
      <c r="M1481" s="1780">
        <f>I1481/K1481</f>
        <v>500</v>
      </c>
      <c r="N1481" s="1779"/>
    </row>
    <row r="1482" spans="1:14" ht="13.5" x14ac:dyDescent="0.2">
      <c r="A1482" s="1789" t="s">
        <v>132</v>
      </c>
      <c r="B1482" s="1790"/>
      <c r="C1482" s="1790"/>
      <c r="D1482" s="1790"/>
      <c r="E1482" s="1790"/>
      <c r="F1482" s="1790"/>
      <c r="G1482" s="1791"/>
      <c r="H1482" s="1032" t="str">
        <f>IF(A1482="","",VLOOKUP(A1482,'11'!$C$6:$E$87,2,FALSE))</f>
        <v>DIA</v>
      </c>
      <c r="I1482" s="1785">
        <f>IF(A1482="","",VLOOKUP(A1482,'11'!$C$6:$E$87,3,FALSE))</f>
        <v>50000</v>
      </c>
      <c r="J1482" s="1412"/>
      <c r="K1482" s="1794">
        <v>4</v>
      </c>
      <c r="L1482" s="1779"/>
      <c r="M1482" s="1780">
        <f t="shared" ref="M1482:M1484" si="68">I1482/K1482</f>
        <v>12500</v>
      </c>
      <c r="N1482" s="1779"/>
    </row>
    <row r="1483" spans="1:14" ht="13.5" x14ac:dyDescent="0.2">
      <c r="A1483" s="1789" t="s">
        <v>863</v>
      </c>
      <c r="B1483" s="1790"/>
      <c r="C1483" s="1790"/>
      <c r="D1483" s="1790"/>
      <c r="E1483" s="1790"/>
      <c r="F1483" s="1790"/>
      <c r="G1483" s="1791"/>
      <c r="H1483" s="1032" t="str">
        <f>IF(A1483="","",VLOOKUP(A1483,'11'!$C$6:$E$87,2,FALSE))</f>
        <v>DIA</v>
      </c>
      <c r="I1483" s="1785">
        <f>IF(A1483="","",VLOOKUP(A1483,'11'!$C$6:$E$87,3,FALSE))</f>
        <v>85000</v>
      </c>
      <c r="J1483" s="1412"/>
      <c r="K1483" s="1787">
        <v>4</v>
      </c>
      <c r="L1483" s="1779"/>
      <c r="M1483" s="1780">
        <f t="shared" si="68"/>
        <v>21250</v>
      </c>
      <c r="N1483" s="1779"/>
    </row>
    <row r="1484" spans="1:14" ht="13.5" x14ac:dyDescent="0.2">
      <c r="A1484" s="1789" t="s">
        <v>147</v>
      </c>
      <c r="B1484" s="1790"/>
      <c r="C1484" s="1790"/>
      <c r="D1484" s="1790"/>
      <c r="E1484" s="1790"/>
      <c r="F1484" s="1790"/>
      <c r="G1484" s="1791"/>
      <c r="H1484" s="1032" t="str">
        <f>IF(A1484="","",VLOOKUP(A1484,'11'!$C$6:$E$87,2,FALSE))</f>
        <v>DÍA</v>
      </c>
      <c r="I1484" s="1785">
        <f>IF(A1484="","",VLOOKUP(A1484,'11'!$C$6:$E$87,3,FALSE))</f>
        <v>1500</v>
      </c>
      <c r="J1484" s="1412"/>
      <c r="K1484" s="1787">
        <v>4</v>
      </c>
      <c r="L1484" s="1779"/>
      <c r="M1484" s="1780">
        <f t="shared" si="68"/>
        <v>375</v>
      </c>
      <c r="N1484" s="1779"/>
    </row>
    <row r="1485" spans="1:14" ht="13.5" x14ac:dyDescent="0.2">
      <c r="A1485" s="1789"/>
      <c r="B1485" s="1782"/>
      <c r="C1485" s="1782"/>
      <c r="D1485" s="1782"/>
      <c r="E1485" s="1782"/>
      <c r="F1485" s="1782"/>
      <c r="G1485" s="1779"/>
      <c r="H1485" s="1137"/>
      <c r="I1485" s="1780"/>
      <c r="J1485" s="1779"/>
      <c r="K1485" s="1787"/>
      <c r="L1485" s="1779"/>
      <c r="M1485" s="1780"/>
      <c r="N1485" s="1779"/>
    </row>
    <row r="1486" spans="1:14" ht="13.5" x14ac:dyDescent="0.25">
      <c r="A1486" s="1138"/>
      <c r="B1486" s="1138"/>
      <c r="C1486" s="1138"/>
      <c r="D1486" s="1138"/>
      <c r="E1486" s="1138"/>
      <c r="F1486" s="1138"/>
      <c r="G1486" s="1138"/>
      <c r="H1486" s="1138"/>
      <c r="I1486" s="1138"/>
      <c r="J1486" s="1138"/>
      <c r="K1486" s="1778" t="s">
        <v>523</v>
      </c>
      <c r="L1486" s="1779"/>
      <c r="M1486" s="1780">
        <f>SUM(M1481:N1485)</f>
        <v>34625</v>
      </c>
      <c r="N1486" s="1779"/>
    </row>
    <row r="1487" spans="1:14" ht="13.5" x14ac:dyDescent="0.25">
      <c r="A1487" s="1138"/>
      <c r="B1487" s="1138"/>
      <c r="C1487" s="1138"/>
      <c r="D1487" s="1138"/>
      <c r="E1487" s="1138"/>
      <c r="F1487" s="1138"/>
      <c r="G1487" s="1138"/>
      <c r="H1487" s="1138"/>
      <c r="I1487" s="1138"/>
      <c r="J1487" s="1138"/>
      <c r="K1487" s="1138"/>
      <c r="L1487" s="1138"/>
      <c r="M1487" s="1138"/>
      <c r="N1487" s="1138"/>
    </row>
    <row r="1488" spans="1:14" x14ac:dyDescent="0.2">
      <c r="A1488" s="1781" t="s">
        <v>2147</v>
      </c>
      <c r="B1488" s="1782"/>
      <c r="C1488" s="1782"/>
      <c r="D1488" s="1782"/>
      <c r="E1488" s="1782"/>
      <c r="F1488" s="1782"/>
      <c r="G1488" s="1782"/>
      <c r="H1488" s="1782"/>
      <c r="I1488" s="1782"/>
      <c r="J1488" s="1782"/>
      <c r="K1488" s="1782"/>
      <c r="L1488" s="1782"/>
      <c r="M1488" s="1782"/>
      <c r="N1488" s="1779"/>
    </row>
    <row r="1489" spans="1:14" x14ac:dyDescent="0.2">
      <c r="A1489" s="1778" t="s">
        <v>14</v>
      </c>
      <c r="B1489" s="1782"/>
      <c r="C1489" s="1782"/>
      <c r="D1489" s="1782"/>
      <c r="E1489" s="1782"/>
      <c r="F1489" s="1782"/>
      <c r="G1489" s="1779"/>
      <c r="H1489" s="1136" t="s">
        <v>15</v>
      </c>
      <c r="I1489" s="1783" t="s">
        <v>619</v>
      </c>
      <c r="J1489" s="1779"/>
      <c r="K1489" s="1783" t="s">
        <v>628</v>
      </c>
      <c r="L1489" s="1779"/>
      <c r="M1489" s="1783" t="s">
        <v>2140</v>
      </c>
      <c r="N1489" s="1779"/>
    </row>
    <row r="1490" spans="1:14" ht="13.5" x14ac:dyDescent="0.2">
      <c r="A1490" s="1792" t="s">
        <v>2328</v>
      </c>
      <c r="B1490" s="1782"/>
      <c r="C1490" s="1782"/>
      <c r="D1490" s="1782"/>
      <c r="E1490" s="1782"/>
      <c r="F1490" s="1782"/>
      <c r="G1490" s="1779"/>
      <c r="H1490" s="1032" t="str">
        <f>IF(A1490="","",VLOOKUP(A1490,'11'!$C$6:$E$1012,2,FALSE))</f>
        <v>KM-M3</v>
      </c>
      <c r="I1490" s="1785">
        <f>IF(A1490="","",VLOOKUP(A1490,'11'!$C$6:$E$1012,3,FALSE))</f>
        <v>1440</v>
      </c>
      <c r="J1490" s="1412"/>
      <c r="K1490" s="1787">
        <v>11</v>
      </c>
      <c r="L1490" s="1793"/>
      <c r="M1490" s="1780">
        <f t="shared" ref="M1490" si="69">IF(A1490="","",I1490*K1490)</f>
        <v>15840</v>
      </c>
      <c r="N1490" s="1779"/>
    </row>
    <row r="1491" spans="1:14" ht="13.5" x14ac:dyDescent="0.2">
      <c r="A1491" s="1786"/>
      <c r="B1491" s="1782"/>
      <c r="C1491" s="1782"/>
      <c r="D1491" s="1782"/>
      <c r="E1491" s="1782"/>
      <c r="F1491" s="1782"/>
      <c r="G1491" s="1779"/>
      <c r="H1491" s="1032"/>
      <c r="I1491" s="1780"/>
      <c r="J1491" s="1779"/>
      <c r="K1491" s="1787"/>
      <c r="L1491" s="1779"/>
      <c r="M1491" s="1780"/>
      <c r="N1491" s="1779"/>
    </row>
    <row r="1492" spans="1:14" ht="13.5" x14ac:dyDescent="0.2">
      <c r="A1492" s="1786"/>
      <c r="B1492" s="1782"/>
      <c r="C1492" s="1782"/>
      <c r="D1492" s="1782"/>
      <c r="E1492" s="1782"/>
      <c r="F1492" s="1782"/>
      <c r="G1492" s="1779"/>
      <c r="H1492" s="1032"/>
      <c r="I1492" s="1780"/>
      <c r="J1492" s="1779"/>
      <c r="K1492" s="1788"/>
      <c r="L1492" s="1779"/>
      <c r="M1492" s="1780"/>
      <c r="N1492" s="1779"/>
    </row>
    <row r="1493" spans="1:14" ht="13.5" x14ac:dyDescent="0.2">
      <c r="A1493" s="1789"/>
      <c r="B1493" s="1782"/>
      <c r="C1493" s="1782"/>
      <c r="D1493" s="1782"/>
      <c r="E1493" s="1782"/>
      <c r="F1493" s="1782"/>
      <c r="G1493" s="1779"/>
      <c r="H1493" s="1137"/>
      <c r="I1493" s="1780"/>
      <c r="J1493" s="1779"/>
      <c r="K1493" s="1787"/>
      <c r="L1493" s="1779"/>
      <c r="M1493" s="1780"/>
      <c r="N1493" s="1779"/>
    </row>
    <row r="1494" spans="1:14" ht="13.5" x14ac:dyDescent="0.2">
      <c r="A1494" s="1789"/>
      <c r="B1494" s="1782"/>
      <c r="C1494" s="1782"/>
      <c r="D1494" s="1782"/>
      <c r="E1494" s="1782"/>
      <c r="F1494" s="1782"/>
      <c r="G1494" s="1779"/>
      <c r="H1494" s="1137"/>
      <c r="I1494" s="1780"/>
      <c r="J1494" s="1779"/>
      <c r="K1494" s="1787"/>
      <c r="L1494" s="1779"/>
      <c r="M1494" s="1780"/>
      <c r="N1494" s="1779"/>
    </row>
    <row r="1495" spans="1:14" ht="13.5" x14ac:dyDescent="0.25">
      <c r="A1495" s="1138"/>
      <c r="B1495" s="1138"/>
      <c r="C1495" s="1138"/>
      <c r="D1495" s="1138"/>
      <c r="E1495" s="1138"/>
      <c r="F1495" s="1138"/>
      <c r="G1495" s="1138"/>
      <c r="H1495" s="1138"/>
      <c r="I1495" s="1138"/>
      <c r="J1495" s="1138"/>
      <c r="K1495" s="1778" t="s">
        <v>523</v>
      </c>
      <c r="L1495" s="1779"/>
      <c r="M1495" s="1780">
        <f>SUM(M1490:N1494)</f>
        <v>15840</v>
      </c>
      <c r="N1495" s="1779"/>
    </row>
    <row r="1496" spans="1:14" ht="13.5" x14ac:dyDescent="0.25">
      <c r="A1496" s="1138"/>
      <c r="B1496" s="1138"/>
      <c r="C1496" s="1138"/>
      <c r="D1496" s="1138"/>
      <c r="E1496" s="1138"/>
      <c r="F1496" s="1138"/>
      <c r="G1496" s="1138"/>
      <c r="H1496" s="1138"/>
      <c r="I1496" s="1138"/>
      <c r="J1496" s="1138"/>
      <c r="K1496" s="1138"/>
      <c r="L1496" s="1138"/>
      <c r="M1496" s="1138"/>
      <c r="N1496" s="1138"/>
    </row>
    <row r="1497" spans="1:14" x14ac:dyDescent="0.2">
      <c r="A1497" s="1781" t="s">
        <v>2150</v>
      </c>
      <c r="B1497" s="1782"/>
      <c r="C1497" s="1782"/>
      <c r="D1497" s="1782"/>
      <c r="E1497" s="1782"/>
      <c r="F1497" s="1782"/>
      <c r="G1497" s="1782"/>
      <c r="H1497" s="1782"/>
      <c r="I1497" s="1782"/>
      <c r="J1497" s="1782"/>
      <c r="K1497" s="1782"/>
      <c r="L1497" s="1782"/>
      <c r="M1497" s="1782"/>
      <c r="N1497" s="1779"/>
    </row>
    <row r="1498" spans="1:14" x14ac:dyDescent="0.2">
      <c r="A1498" s="1778" t="s">
        <v>14</v>
      </c>
      <c r="B1498" s="1782"/>
      <c r="C1498" s="1782"/>
      <c r="D1498" s="1782"/>
      <c r="E1498" s="1782"/>
      <c r="F1498" s="1782"/>
      <c r="G1498" s="1779"/>
      <c r="H1498" s="1136" t="s">
        <v>15</v>
      </c>
      <c r="I1498" s="1783" t="s">
        <v>619</v>
      </c>
      <c r="J1498" s="1779"/>
      <c r="K1498" s="1139" t="s">
        <v>1919</v>
      </c>
      <c r="L1498" s="1140" t="s">
        <v>2151</v>
      </c>
      <c r="M1498" s="1783" t="s">
        <v>2140</v>
      </c>
      <c r="N1498" s="1779"/>
    </row>
    <row r="1499" spans="1:14" ht="13.5" x14ac:dyDescent="0.25">
      <c r="A1499" s="1784" t="s">
        <v>2168</v>
      </c>
      <c r="B1499" s="1782"/>
      <c r="C1499" s="1782"/>
      <c r="D1499" s="1782"/>
      <c r="E1499" s="1782"/>
      <c r="F1499" s="1782"/>
      <c r="G1499" s="1779"/>
      <c r="H1499" s="1032" t="str">
        <f>IF(A1499="","",VLOOKUP(A1499,'09'!$A$22:$O$168,4,FALSE))</f>
        <v>Cuadrilla</v>
      </c>
      <c r="I1499" s="1785">
        <f>IF(A1499="","",VLOOKUP(A1499,'09'!$A$22:$O$168,5,FALSE))</f>
        <v>204272</v>
      </c>
      <c r="J1499" s="1412"/>
      <c r="K1499" s="1034">
        <f>IF(A1499="","",'03'!$I$2)</f>
        <v>1.88995</v>
      </c>
      <c r="L1499" s="1142">
        <v>4</v>
      </c>
      <c r="M1499" s="1780">
        <f>I1499*K1499/(L1499*8)</f>
        <v>12064.495825</v>
      </c>
      <c r="N1499" s="1779"/>
    </row>
    <row r="1500" spans="1:14" ht="13.5" x14ac:dyDescent="0.25">
      <c r="A1500" s="1784"/>
      <c r="B1500" s="1782"/>
      <c r="C1500" s="1782"/>
      <c r="D1500" s="1782"/>
      <c r="E1500" s="1782"/>
      <c r="F1500" s="1782"/>
      <c r="G1500" s="1779"/>
      <c r="H1500" s="1137"/>
      <c r="I1500" s="1780"/>
      <c r="J1500" s="1779"/>
      <c r="K1500" s="1141"/>
      <c r="L1500" s="1141"/>
      <c r="M1500" s="1780"/>
      <c r="N1500" s="1779"/>
    </row>
    <row r="1501" spans="1:14" ht="13.5" x14ac:dyDescent="0.25">
      <c r="A1501" s="1784"/>
      <c r="B1501" s="1782"/>
      <c r="C1501" s="1782"/>
      <c r="D1501" s="1782"/>
      <c r="E1501" s="1782"/>
      <c r="F1501" s="1782"/>
      <c r="G1501" s="1779"/>
      <c r="H1501" s="1137"/>
      <c r="I1501" s="1780"/>
      <c r="J1501" s="1779"/>
      <c r="K1501" s="1141"/>
      <c r="L1501" s="1143"/>
      <c r="M1501" s="1780"/>
      <c r="N1501" s="1779"/>
    </row>
    <row r="1502" spans="1:14" ht="13.5" x14ac:dyDescent="0.25">
      <c r="A1502" s="1784"/>
      <c r="B1502" s="1782"/>
      <c r="C1502" s="1782"/>
      <c r="D1502" s="1782"/>
      <c r="E1502" s="1782"/>
      <c r="F1502" s="1782"/>
      <c r="G1502" s="1779"/>
      <c r="H1502" s="1137"/>
      <c r="I1502" s="1780"/>
      <c r="J1502" s="1779"/>
      <c r="K1502" s="1141"/>
      <c r="L1502" s="1143"/>
      <c r="M1502" s="1780"/>
      <c r="N1502" s="1779"/>
    </row>
    <row r="1503" spans="1:14" ht="13.5" x14ac:dyDescent="0.25">
      <c r="A1503" s="1784"/>
      <c r="B1503" s="1782"/>
      <c r="C1503" s="1782"/>
      <c r="D1503" s="1782"/>
      <c r="E1503" s="1782"/>
      <c r="F1503" s="1782"/>
      <c r="G1503" s="1779"/>
      <c r="H1503" s="1137"/>
      <c r="I1503" s="1780"/>
      <c r="J1503" s="1779"/>
      <c r="K1503" s="1141"/>
      <c r="L1503" s="1143"/>
      <c r="M1503" s="1780"/>
      <c r="N1503" s="1779"/>
    </row>
    <row r="1504" spans="1:14" ht="13.5" x14ac:dyDescent="0.25">
      <c r="A1504" s="1138"/>
      <c r="B1504" s="1138"/>
      <c r="C1504" s="1138"/>
      <c r="D1504" s="1138"/>
      <c r="E1504" s="1138"/>
      <c r="F1504" s="1138"/>
      <c r="G1504" s="1138"/>
      <c r="H1504" s="1138"/>
      <c r="I1504" s="1138"/>
      <c r="J1504" s="1138"/>
      <c r="K1504" s="1778" t="s">
        <v>523</v>
      </c>
      <c r="L1504" s="1779"/>
      <c r="M1504" s="1780">
        <f>SUM(M1499:N1503)</f>
        <v>12064.495825</v>
      </c>
      <c r="N1504" s="1779"/>
    </row>
    <row r="1505" spans="1:15" x14ac:dyDescent="0.2">
      <c r="I1505" s="1414"/>
      <c r="J1505" s="1415"/>
      <c r="K1505" s="1415"/>
      <c r="L1505" s="1415"/>
      <c r="M1505" s="1415"/>
      <c r="N1505" s="1415"/>
    </row>
    <row r="1506" spans="1:15" ht="13.5" thickBot="1" x14ac:dyDescent="0.25">
      <c r="I1506" s="1416"/>
      <c r="J1506" s="1416"/>
      <c r="K1506" s="1416"/>
      <c r="L1506" s="1416"/>
      <c r="M1506" s="1416"/>
      <c r="N1506" s="1416"/>
    </row>
    <row r="1507" spans="1:15" ht="14.25" thickTop="1" x14ac:dyDescent="0.2">
      <c r="I1507" s="1417" t="s">
        <v>1829</v>
      </c>
      <c r="J1507" s="1418"/>
      <c r="K1507" s="1417" t="s">
        <v>2653</v>
      </c>
      <c r="L1507" s="1418"/>
      <c r="M1507" s="1418"/>
      <c r="N1507" s="1418"/>
    </row>
    <row r="1508" spans="1:15" ht="13.5" x14ac:dyDescent="0.2">
      <c r="I1508" s="1419" t="s">
        <v>1831</v>
      </c>
      <c r="J1508" s="1420"/>
      <c r="K1508" s="1419"/>
      <c r="L1508" s="1420"/>
      <c r="M1508" s="1420"/>
      <c r="N1508" s="1420"/>
    </row>
    <row r="1509" spans="1:15" x14ac:dyDescent="0.2">
      <c r="A1509" s="1796" t="s">
        <v>2363</v>
      </c>
      <c r="B1509" s="1797"/>
      <c r="C1509" s="1797"/>
      <c r="D1509" s="1797"/>
      <c r="E1509" s="1797"/>
      <c r="F1509" s="1797"/>
      <c r="G1509" s="1797"/>
      <c r="H1509" s="1797"/>
      <c r="I1509" s="1797"/>
      <c r="J1509" s="1797"/>
      <c r="K1509" s="1797"/>
      <c r="L1509" s="1797"/>
      <c r="M1509" s="1797"/>
      <c r="N1509" s="1798"/>
    </row>
    <row r="1510" spans="1:15" x14ac:dyDescent="0.2">
      <c r="A1510" s="1799"/>
      <c r="B1510" s="1800"/>
      <c r="C1510" s="1800"/>
      <c r="D1510" s="1800"/>
      <c r="E1510" s="1800"/>
      <c r="F1510" s="1800"/>
      <c r="G1510" s="1800"/>
      <c r="H1510" s="1800"/>
      <c r="I1510" s="1800"/>
      <c r="J1510" s="1800"/>
      <c r="K1510" s="1800"/>
      <c r="L1510" s="1800"/>
      <c r="M1510" s="1800"/>
      <c r="N1510" s="1801"/>
    </row>
    <row r="1511" spans="1:15" ht="13.5" x14ac:dyDescent="0.2">
      <c r="A1511" s="1128"/>
      <c r="B1511" s="1128"/>
      <c r="C1511" s="1128"/>
      <c r="D1511" s="1128"/>
      <c r="E1511" s="1128"/>
      <c r="F1511" s="1128"/>
      <c r="G1511" s="1128"/>
      <c r="H1511" s="1128"/>
      <c r="I1511" s="1128"/>
      <c r="J1511" s="1128"/>
      <c r="K1511" s="1128"/>
      <c r="L1511" s="1128"/>
      <c r="M1511" s="1128"/>
      <c r="N1511" s="1128"/>
    </row>
    <row r="1512" spans="1:15" ht="14.25" x14ac:dyDescent="0.3">
      <c r="A1512" s="1104" t="s">
        <v>2362</v>
      </c>
      <c r="B1512" s="1129" t="str">
        <f>A1509</f>
        <v xml:space="preserve">GRAVA PARA FILTRO. </v>
      </c>
      <c r="C1512" s="1130" t="s">
        <v>634</v>
      </c>
      <c r="D1512" s="1107" t="s">
        <v>12</v>
      </c>
      <c r="E1512" s="1132" t="s">
        <v>1833</v>
      </c>
      <c r="F1512" s="1133">
        <f>H1512+J1512+L1512+N1512</f>
        <v>858879.49582500011</v>
      </c>
      <c r="G1512" s="1132" t="s">
        <v>2136</v>
      </c>
      <c r="H1512" s="1133">
        <f>M1535</f>
        <v>37875</v>
      </c>
      <c r="I1512" s="1132" t="s">
        <v>621</v>
      </c>
      <c r="J1512" s="1134">
        <f>M1526</f>
        <v>793100.00000000012</v>
      </c>
      <c r="K1512" s="1132" t="s">
        <v>2137</v>
      </c>
      <c r="L1512" s="1133">
        <f>M1544</f>
        <v>15840</v>
      </c>
      <c r="M1512" s="1132" t="s">
        <v>2138</v>
      </c>
      <c r="N1512" s="1133">
        <f>M1553</f>
        <v>12064.495825</v>
      </c>
    </row>
    <row r="1513" spans="1:15" ht="13.5" x14ac:dyDescent="0.25">
      <c r="A1513" s="1135"/>
      <c r="B1513" s="1135"/>
      <c r="C1513" s="1135"/>
      <c r="D1513" s="1135"/>
      <c r="E1513" s="1135"/>
      <c r="F1513" s="1135"/>
      <c r="G1513" s="1135"/>
      <c r="J1513" s="1135"/>
      <c r="K1513" s="1135"/>
      <c r="L1513" s="1135"/>
      <c r="M1513" s="1270" t="s">
        <v>2667</v>
      </c>
      <c r="N1513" s="1270">
        <f>+F1512*'01'!$O$15</f>
        <v>1111651.0875058945</v>
      </c>
    </row>
    <row r="1514" spans="1:15" x14ac:dyDescent="0.2">
      <c r="A1514" s="1781" t="s">
        <v>2139</v>
      </c>
      <c r="B1514" s="1782"/>
      <c r="C1514" s="1782"/>
      <c r="D1514" s="1782"/>
      <c r="E1514" s="1782"/>
      <c r="F1514" s="1782"/>
      <c r="G1514" s="1782"/>
      <c r="H1514" s="1782"/>
      <c r="I1514" s="1782"/>
      <c r="J1514" s="1782"/>
      <c r="K1514" s="1782"/>
      <c r="L1514" s="1782"/>
      <c r="M1514" s="1782"/>
      <c r="N1514" s="1779"/>
    </row>
    <row r="1515" spans="1:15" x14ac:dyDescent="0.2">
      <c r="A1515" s="1778" t="s">
        <v>14</v>
      </c>
      <c r="B1515" s="1782"/>
      <c r="C1515" s="1782"/>
      <c r="D1515" s="1782"/>
      <c r="E1515" s="1782"/>
      <c r="F1515" s="1782"/>
      <c r="G1515" s="1779"/>
      <c r="H1515" s="1136" t="s">
        <v>15</v>
      </c>
      <c r="I1515" s="1783" t="s">
        <v>619</v>
      </c>
      <c r="J1515" s="1779"/>
      <c r="K1515" s="1783" t="s">
        <v>628</v>
      </c>
      <c r="L1515" s="1779"/>
      <c r="M1515" s="1783" t="s">
        <v>2140</v>
      </c>
      <c r="N1515" s="1779"/>
    </row>
    <row r="1516" spans="1:15" ht="13.5" customHeight="1" x14ac:dyDescent="0.2">
      <c r="A1516" s="1792" t="s">
        <v>923</v>
      </c>
      <c r="B1516" s="1782"/>
      <c r="C1516" s="1782"/>
      <c r="D1516" s="1782"/>
      <c r="E1516" s="1782"/>
      <c r="F1516" s="1782"/>
      <c r="G1516" s="1779"/>
      <c r="H1516" s="1032" t="str">
        <f>IF(A1516="","",VLOOKUP(A1516,'10'!$C$6:$E$1152,2,FALSE))</f>
        <v>M3</v>
      </c>
      <c r="I1516" s="1785">
        <f>IF(A1516="","",VLOOKUP(A1516,'10'!$C$6:$E$1152,3,FALSE))</f>
        <v>770000.00000000012</v>
      </c>
      <c r="J1516" s="1412"/>
      <c r="K1516" s="1794">
        <v>1.03</v>
      </c>
      <c r="L1516" s="1795"/>
      <c r="M1516" s="1780">
        <f>K1516*I1516</f>
        <v>793100.00000000012</v>
      </c>
      <c r="N1516" s="1779"/>
    </row>
    <row r="1517" spans="1:15" ht="13.5" customHeight="1" x14ac:dyDescent="0.2">
      <c r="A1517" s="1792"/>
      <c r="B1517" s="1782"/>
      <c r="C1517" s="1782"/>
      <c r="D1517" s="1782"/>
      <c r="E1517" s="1782"/>
      <c r="F1517" s="1782"/>
      <c r="G1517" s="1779"/>
      <c r="H1517" s="1032"/>
      <c r="I1517" s="1785"/>
      <c r="J1517" s="1412"/>
      <c r="K1517" s="1794"/>
      <c r="L1517" s="1795"/>
      <c r="M1517" s="1780">
        <f t="shared" ref="M1517:M1521" si="70">K1517*I1517</f>
        <v>0</v>
      </c>
      <c r="N1517" s="1779"/>
    </row>
    <row r="1518" spans="1:15" ht="13.5" x14ac:dyDescent="0.2">
      <c r="A1518" s="1792"/>
      <c r="B1518" s="1782"/>
      <c r="C1518" s="1782"/>
      <c r="D1518" s="1782"/>
      <c r="E1518" s="1782"/>
      <c r="F1518" s="1782"/>
      <c r="G1518" s="1779"/>
      <c r="H1518" s="1032"/>
      <c r="I1518" s="1785"/>
      <c r="J1518" s="1412"/>
      <c r="K1518" s="1794"/>
      <c r="L1518" s="1795"/>
      <c r="M1518" s="1780">
        <f t="shared" si="70"/>
        <v>0</v>
      </c>
      <c r="N1518" s="1779"/>
      <c r="O1518" s="799"/>
    </row>
    <row r="1519" spans="1:15" ht="13.5" x14ac:dyDescent="0.2">
      <c r="A1519" s="1792"/>
      <c r="B1519" s="1782"/>
      <c r="C1519" s="1782"/>
      <c r="D1519" s="1782"/>
      <c r="E1519" s="1782"/>
      <c r="F1519" s="1782"/>
      <c r="G1519" s="1779"/>
      <c r="H1519" s="1032"/>
      <c r="I1519" s="1785"/>
      <c r="J1519" s="1412"/>
      <c r="K1519" s="1794"/>
      <c r="L1519" s="1795"/>
      <c r="M1519" s="1780">
        <f t="shared" si="70"/>
        <v>0</v>
      </c>
      <c r="N1519" s="1779"/>
    </row>
    <row r="1520" spans="1:15" ht="13.5" x14ac:dyDescent="0.2">
      <c r="A1520" s="1792"/>
      <c r="B1520" s="1782"/>
      <c r="C1520" s="1782"/>
      <c r="D1520" s="1782"/>
      <c r="E1520" s="1782"/>
      <c r="F1520" s="1782"/>
      <c r="G1520" s="1779"/>
      <c r="H1520" s="1032"/>
      <c r="I1520" s="1785"/>
      <c r="J1520" s="1412"/>
      <c r="K1520" s="1794"/>
      <c r="L1520" s="1795"/>
      <c r="M1520" s="1780">
        <f t="shared" si="70"/>
        <v>0</v>
      </c>
      <c r="N1520" s="1779"/>
    </row>
    <row r="1521" spans="1:14" ht="13.5" x14ac:dyDescent="0.2">
      <c r="A1521" s="1792"/>
      <c r="B1521" s="1782"/>
      <c r="C1521" s="1782"/>
      <c r="D1521" s="1782"/>
      <c r="E1521" s="1782"/>
      <c r="F1521" s="1782"/>
      <c r="G1521" s="1779"/>
      <c r="H1521" s="1032"/>
      <c r="I1521" s="1785"/>
      <c r="J1521" s="1412"/>
      <c r="K1521" s="1794"/>
      <c r="L1521" s="1795"/>
      <c r="M1521" s="1780">
        <f t="shared" si="70"/>
        <v>0</v>
      </c>
      <c r="N1521" s="1779"/>
    </row>
    <row r="1522" spans="1:14" ht="13.5" x14ac:dyDescent="0.2">
      <c r="A1522" s="1792"/>
      <c r="B1522" s="1782"/>
      <c r="C1522" s="1782"/>
      <c r="D1522" s="1782"/>
      <c r="E1522" s="1782"/>
      <c r="F1522" s="1782"/>
      <c r="G1522" s="1779"/>
      <c r="H1522" s="1032" t="str">
        <f>IF(A1522="","",VLOOKUP(A1522,'10'!$C$6:$E$1152,2,FALSE))</f>
        <v/>
      </c>
      <c r="I1522" s="1785" t="str">
        <f>IF(A1522="","",VLOOKUP(A1522,'10'!$C$6:$E$1152,3,FALSE))</f>
        <v/>
      </c>
      <c r="J1522" s="1412"/>
      <c r="K1522" s="1794"/>
      <c r="L1522" s="1795"/>
      <c r="M1522" s="1780"/>
      <c r="N1522" s="1779"/>
    </row>
    <row r="1523" spans="1:14" ht="13.5" x14ac:dyDescent="0.2">
      <c r="A1523" s="1792"/>
      <c r="B1523" s="1782"/>
      <c r="C1523" s="1782"/>
      <c r="D1523" s="1782"/>
      <c r="E1523" s="1782"/>
      <c r="F1523" s="1782"/>
      <c r="G1523" s="1779"/>
      <c r="H1523" s="1032"/>
      <c r="I1523" s="1785"/>
      <c r="J1523" s="1412"/>
      <c r="K1523" s="1794"/>
      <c r="L1523" s="1795"/>
      <c r="M1523" s="1780"/>
      <c r="N1523" s="1779"/>
    </row>
    <row r="1524" spans="1:14" ht="13.5" x14ac:dyDescent="0.2">
      <c r="A1524" s="1792"/>
      <c r="B1524" s="1782"/>
      <c r="C1524" s="1782"/>
      <c r="D1524" s="1782"/>
      <c r="E1524" s="1782"/>
      <c r="F1524" s="1782"/>
      <c r="G1524" s="1779"/>
      <c r="H1524" s="1032"/>
      <c r="I1524" s="1785"/>
      <c r="J1524" s="1412"/>
      <c r="K1524" s="1794"/>
      <c r="L1524" s="1795"/>
      <c r="M1524" s="1780"/>
      <c r="N1524" s="1779"/>
    </row>
    <row r="1525" spans="1:14" ht="13.5" x14ac:dyDescent="0.2">
      <c r="A1525" s="1792"/>
      <c r="B1525" s="1782"/>
      <c r="C1525" s="1782"/>
      <c r="D1525" s="1782"/>
      <c r="E1525" s="1782"/>
      <c r="F1525" s="1782"/>
      <c r="G1525" s="1779"/>
      <c r="H1525" s="1032"/>
      <c r="I1525" s="1785"/>
      <c r="J1525" s="1412"/>
      <c r="K1525" s="1794"/>
      <c r="L1525" s="1795"/>
      <c r="M1525" s="1780"/>
      <c r="N1525" s="1779"/>
    </row>
    <row r="1526" spans="1:14" ht="13.5" x14ac:dyDescent="0.25">
      <c r="A1526" s="1138"/>
      <c r="B1526" s="1138"/>
      <c r="C1526" s="1138"/>
      <c r="D1526" s="1138"/>
      <c r="E1526" s="1138"/>
      <c r="F1526" s="1138"/>
      <c r="G1526" s="1138"/>
      <c r="H1526" s="1138"/>
      <c r="I1526" s="1138"/>
      <c r="J1526" s="1138"/>
      <c r="K1526" s="1778" t="s">
        <v>523</v>
      </c>
      <c r="L1526" s="1779"/>
      <c r="M1526" s="1780">
        <f>SUM(M1516:N1520)</f>
        <v>793100.00000000012</v>
      </c>
      <c r="N1526" s="1779"/>
    </row>
    <row r="1527" spans="1:14" ht="13.5" x14ac:dyDescent="0.25">
      <c r="A1527" s="1138"/>
      <c r="B1527" s="1138"/>
      <c r="C1527" s="1138"/>
      <c r="D1527" s="1138"/>
      <c r="E1527" s="1138"/>
      <c r="F1527" s="1138"/>
      <c r="G1527" s="1138"/>
      <c r="H1527" s="1138"/>
      <c r="I1527" s="1138"/>
      <c r="J1527" s="1138"/>
      <c r="K1527" s="1138"/>
      <c r="L1527" s="1138"/>
      <c r="M1527" s="1138"/>
      <c r="N1527" s="1138"/>
    </row>
    <row r="1528" spans="1:14" x14ac:dyDescent="0.2">
      <c r="A1528" s="1781" t="s">
        <v>2145</v>
      </c>
      <c r="B1528" s="1782"/>
      <c r="C1528" s="1782"/>
      <c r="D1528" s="1782"/>
      <c r="E1528" s="1782"/>
      <c r="F1528" s="1782"/>
      <c r="G1528" s="1782"/>
      <c r="H1528" s="1782"/>
      <c r="I1528" s="1782"/>
      <c r="J1528" s="1782"/>
      <c r="K1528" s="1782"/>
      <c r="L1528" s="1782"/>
      <c r="M1528" s="1782"/>
      <c r="N1528" s="1779"/>
    </row>
    <row r="1529" spans="1:14" x14ac:dyDescent="0.2">
      <c r="A1529" s="1778" t="s">
        <v>14</v>
      </c>
      <c r="B1529" s="1782"/>
      <c r="C1529" s="1782"/>
      <c r="D1529" s="1782"/>
      <c r="E1529" s="1782"/>
      <c r="F1529" s="1782"/>
      <c r="G1529" s="1779"/>
      <c r="H1529" s="1136" t="s">
        <v>15</v>
      </c>
      <c r="I1529" s="1783" t="s">
        <v>619</v>
      </c>
      <c r="J1529" s="1779"/>
      <c r="K1529" s="1783" t="s">
        <v>610</v>
      </c>
      <c r="L1529" s="1779"/>
      <c r="M1529" s="1783" t="s">
        <v>2140</v>
      </c>
      <c r="N1529" s="1779"/>
    </row>
    <row r="1530" spans="1:14" ht="13.5" x14ac:dyDescent="0.2">
      <c r="A1530" s="1789" t="s">
        <v>131</v>
      </c>
      <c r="B1530" s="1790"/>
      <c r="C1530" s="1790"/>
      <c r="D1530" s="1790"/>
      <c r="E1530" s="1790"/>
      <c r="F1530" s="1790"/>
      <c r="G1530" s="1791"/>
      <c r="H1530" s="1032" t="str">
        <f>IF(A1530="","",VLOOKUP(A1530,'11'!$C$6:$E$87,2,FALSE))</f>
        <v>DIA</v>
      </c>
      <c r="I1530" s="1785">
        <f>IF(A1530="","",VLOOKUP(A1530,'11'!$C$6:$E$87,3,FALSE))</f>
        <v>15000</v>
      </c>
      <c r="J1530" s="1412"/>
      <c r="K1530" s="1787">
        <v>4</v>
      </c>
      <c r="L1530" s="1793"/>
      <c r="M1530" s="1780">
        <f>I1530/K1530</f>
        <v>3750</v>
      </c>
      <c r="N1530" s="1779"/>
    </row>
    <row r="1531" spans="1:14" ht="13.5" x14ac:dyDescent="0.2">
      <c r="A1531" s="1789" t="s">
        <v>132</v>
      </c>
      <c r="B1531" s="1790"/>
      <c r="C1531" s="1790"/>
      <c r="D1531" s="1790"/>
      <c r="E1531" s="1790"/>
      <c r="F1531" s="1790"/>
      <c r="G1531" s="1791"/>
      <c r="H1531" s="1032" t="str">
        <f>IF(A1531="","",VLOOKUP(A1531,'11'!$C$6:$E$87,2,FALSE))</f>
        <v>DIA</v>
      </c>
      <c r="I1531" s="1785">
        <f>IF(A1531="","",VLOOKUP(A1531,'11'!$C$6:$E$87,3,FALSE))</f>
        <v>50000</v>
      </c>
      <c r="J1531" s="1412"/>
      <c r="K1531" s="1794">
        <v>4</v>
      </c>
      <c r="L1531" s="1779"/>
      <c r="M1531" s="1780">
        <f t="shared" ref="M1531:M1533" si="71">I1531/K1531</f>
        <v>12500</v>
      </c>
      <c r="N1531" s="1779"/>
    </row>
    <row r="1532" spans="1:14" ht="13.5" x14ac:dyDescent="0.2">
      <c r="A1532" s="1789" t="s">
        <v>863</v>
      </c>
      <c r="B1532" s="1790"/>
      <c r="C1532" s="1790"/>
      <c r="D1532" s="1790"/>
      <c r="E1532" s="1790"/>
      <c r="F1532" s="1790"/>
      <c r="G1532" s="1791"/>
      <c r="H1532" s="1032" t="str">
        <f>IF(A1532="","",VLOOKUP(A1532,'11'!$C$6:$E$87,2,FALSE))</f>
        <v>DIA</v>
      </c>
      <c r="I1532" s="1785">
        <f>IF(A1532="","",VLOOKUP(A1532,'11'!$C$6:$E$87,3,FALSE))</f>
        <v>85000</v>
      </c>
      <c r="J1532" s="1412"/>
      <c r="K1532" s="1787">
        <v>4</v>
      </c>
      <c r="L1532" s="1779"/>
      <c r="M1532" s="1780">
        <f t="shared" si="71"/>
        <v>21250</v>
      </c>
      <c r="N1532" s="1779"/>
    </row>
    <row r="1533" spans="1:14" ht="13.5" x14ac:dyDescent="0.2">
      <c r="A1533" s="1789" t="s">
        <v>147</v>
      </c>
      <c r="B1533" s="1790"/>
      <c r="C1533" s="1790"/>
      <c r="D1533" s="1790"/>
      <c r="E1533" s="1790"/>
      <c r="F1533" s="1790"/>
      <c r="G1533" s="1791"/>
      <c r="H1533" s="1032" t="str">
        <f>IF(A1533="","",VLOOKUP(A1533,'11'!$C$6:$E$87,2,FALSE))</f>
        <v>DÍA</v>
      </c>
      <c r="I1533" s="1785">
        <f>IF(A1533="","",VLOOKUP(A1533,'11'!$C$6:$E$87,3,FALSE))</f>
        <v>1500</v>
      </c>
      <c r="J1533" s="1412"/>
      <c r="K1533" s="1787">
        <v>4</v>
      </c>
      <c r="L1533" s="1779"/>
      <c r="M1533" s="1780">
        <f t="shared" si="71"/>
        <v>375</v>
      </c>
      <c r="N1533" s="1779"/>
    </row>
    <row r="1534" spans="1:14" ht="13.5" x14ac:dyDescent="0.2">
      <c r="A1534" s="1789"/>
      <c r="B1534" s="1782"/>
      <c r="C1534" s="1782"/>
      <c r="D1534" s="1782"/>
      <c r="E1534" s="1782"/>
      <c r="F1534" s="1782"/>
      <c r="G1534" s="1779"/>
      <c r="H1534" s="1137"/>
      <c r="I1534" s="1780"/>
      <c r="J1534" s="1779"/>
      <c r="K1534" s="1787"/>
      <c r="L1534" s="1779"/>
      <c r="M1534" s="1780"/>
      <c r="N1534" s="1779"/>
    </row>
    <row r="1535" spans="1:14" ht="13.5" x14ac:dyDescent="0.25">
      <c r="A1535" s="1138"/>
      <c r="B1535" s="1138"/>
      <c r="C1535" s="1138"/>
      <c r="D1535" s="1138"/>
      <c r="E1535" s="1138"/>
      <c r="F1535" s="1138"/>
      <c r="G1535" s="1138"/>
      <c r="H1535" s="1138"/>
      <c r="I1535" s="1138"/>
      <c r="J1535" s="1138"/>
      <c r="K1535" s="1778" t="s">
        <v>523</v>
      </c>
      <c r="L1535" s="1779"/>
      <c r="M1535" s="1780">
        <f>SUM(M1530:N1534)</f>
        <v>37875</v>
      </c>
      <c r="N1535" s="1779"/>
    </row>
    <row r="1536" spans="1:14" ht="13.5" x14ac:dyDescent="0.25">
      <c r="A1536" s="1138"/>
      <c r="B1536" s="1138"/>
      <c r="C1536" s="1138"/>
      <c r="D1536" s="1138"/>
      <c r="E1536" s="1138"/>
      <c r="F1536" s="1138"/>
      <c r="G1536" s="1138"/>
      <c r="H1536" s="1138"/>
      <c r="I1536" s="1138"/>
      <c r="J1536" s="1138"/>
      <c r="K1536" s="1138"/>
      <c r="L1536" s="1138"/>
      <c r="M1536" s="1138"/>
      <c r="N1536" s="1138"/>
    </row>
    <row r="1537" spans="1:14" x14ac:dyDescent="0.2">
      <c r="A1537" s="1781" t="s">
        <v>2147</v>
      </c>
      <c r="B1537" s="1782"/>
      <c r="C1537" s="1782"/>
      <c r="D1537" s="1782"/>
      <c r="E1537" s="1782"/>
      <c r="F1537" s="1782"/>
      <c r="G1537" s="1782"/>
      <c r="H1537" s="1782"/>
      <c r="I1537" s="1782"/>
      <c r="J1537" s="1782"/>
      <c r="K1537" s="1782"/>
      <c r="L1537" s="1782"/>
      <c r="M1537" s="1782"/>
      <c r="N1537" s="1779"/>
    </row>
    <row r="1538" spans="1:14" x14ac:dyDescent="0.2">
      <c r="A1538" s="1778" t="s">
        <v>14</v>
      </c>
      <c r="B1538" s="1782"/>
      <c r="C1538" s="1782"/>
      <c r="D1538" s="1782"/>
      <c r="E1538" s="1782"/>
      <c r="F1538" s="1782"/>
      <c r="G1538" s="1779"/>
      <c r="H1538" s="1136" t="s">
        <v>15</v>
      </c>
      <c r="I1538" s="1783" t="s">
        <v>619</v>
      </c>
      <c r="J1538" s="1779"/>
      <c r="K1538" s="1783" t="s">
        <v>628</v>
      </c>
      <c r="L1538" s="1779"/>
      <c r="M1538" s="1783" t="s">
        <v>2140</v>
      </c>
      <c r="N1538" s="1779"/>
    </row>
    <row r="1539" spans="1:14" ht="13.5" x14ac:dyDescent="0.2">
      <c r="A1539" s="1792" t="s">
        <v>2328</v>
      </c>
      <c r="B1539" s="1782"/>
      <c r="C1539" s="1782"/>
      <c r="D1539" s="1782"/>
      <c r="E1539" s="1782"/>
      <c r="F1539" s="1782"/>
      <c r="G1539" s="1779"/>
      <c r="H1539" s="1032" t="str">
        <f>IF(A1539="","",VLOOKUP(A1539,'11'!$C$6:$E$1012,2,FALSE))</f>
        <v>KM-M3</v>
      </c>
      <c r="I1539" s="1785">
        <f>IF(A1539="","",VLOOKUP(A1539,'11'!$C$6:$E$1012,3,FALSE))</f>
        <v>1440</v>
      </c>
      <c r="J1539" s="1412"/>
      <c r="K1539" s="1787">
        <v>11</v>
      </c>
      <c r="L1539" s="1793"/>
      <c r="M1539" s="1780">
        <f t="shared" ref="M1539" si="72">IF(A1539="","",I1539*K1539)</f>
        <v>15840</v>
      </c>
      <c r="N1539" s="1779"/>
    </row>
    <row r="1540" spans="1:14" ht="13.5" x14ac:dyDescent="0.2">
      <c r="A1540" s="1786"/>
      <c r="B1540" s="1782"/>
      <c r="C1540" s="1782"/>
      <c r="D1540" s="1782"/>
      <c r="E1540" s="1782"/>
      <c r="F1540" s="1782"/>
      <c r="G1540" s="1779"/>
      <c r="H1540" s="1032"/>
      <c r="I1540" s="1780"/>
      <c r="J1540" s="1779"/>
      <c r="K1540" s="1787"/>
      <c r="L1540" s="1779"/>
      <c r="M1540" s="1780"/>
      <c r="N1540" s="1779"/>
    </row>
    <row r="1541" spans="1:14" ht="13.5" x14ac:dyDescent="0.2">
      <c r="A1541" s="1786"/>
      <c r="B1541" s="1782"/>
      <c r="C1541" s="1782"/>
      <c r="D1541" s="1782"/>
      <c r="E1541" s="1782"/>
      <c r="F1541" s="1782"/>
      <c r="G1541" s="1779"/>
      <c r="H1541" s="1032"/>
      <c r="I1541" s="1780"/>
      <c r="J1541" s="1779"/>
      <c r="K1541" s="1788"/>
      <c r="L1541" s="1779"/>
      <c r="M1541" s="1780"/>
      <c r="N1541" s="1779"/>
    </row>
    <row r="1542" spans="1:14" ht="13.5" x14ac:dyDescent="0.2">
      <c r="A1542" s="1789"/>
      <c r="B1542" s="1782"/>
      <c r="C1542" s="1782"/>
      <c r="D1542" s="1782"/>
      <c r="E1542" s="1782"/>
      <c r="F1542" s="1782"/>
      <c r="G1542" s="1779"/>
      <c r="H1542" s="1137"/>
      <c r="I1542" s="1780"/>
      <c r="J1542" s="1779"/>
      <c r="K1542" s="1787"/>
      <c r="L1542" s="1779"/>
      <c r="M1542" s="1780"/>
      <c r="N1542" s="1779"/>
    </row>
    <row r="1543" spans="1:14" ht="13.5" x14ac:dyDescent="0.2">
      <c r="A1543" s="1789"/>
      <c r="B1543" s="1782"/>
      <c r="C1543" s="1782"/>
      <c r="D1543" s="1782"/>
      <c r="E1543" s="1782"/>
      <c r="F1543" s="1782"/>
      <c r="G1543" s="1779"/>
      <c r="H1543" s="1137"/>
      <c r="I1543" s="1780"/>
      <c r="J1543" s="1779"/>
      <c r="K1543" s="1787"/>
      <c r="L1543" s="1779"/>
      <c r="M1543" s="1780"/>
      <c r="N1543" s="1779"/>
    </row>
    <row r="1544" spans="1:14" ht="13.5" x14ac:dyDescent="0.25">
      <c r="A1544" s="1138"/>
      <c r="B1544" s="1138"/>
      <c r="C1544" s="1138"/>
      <c r="D1544" s="1138"/>
      <c r="E1544" s="1138"/>
      <c r="F1544" s="1138"/>
      <c r="G1544" s="1138"/>
      <c r="H1544" s="1138"/>
      <c r="I1544" s="1138"/>
      <c r="J1544" s="1138"/>
      <c r="K1544" s="1778" t="s">
        <v>523</v>
      </c>
      <c r="L1544" s="1779"/>
      <c r="M1544" s="1780">
        <f>SUM(M1539:N1543)</f>
        <v>15840</v>
      </c>
      <c r="N1544" s="1779"/>
    </row>
    <row r="1545" spans="1:14" ht="13.5" x14ac:dyDescent="0.25">
      <c r="A1545" s="1138"/>
      <c r="B1545" s="1138"/>
      <c r="C1545" s="1138"/>
      <c r="D1545" s="1138"/>
      <c r="E1545" s="1138"/>
      <c r="F1545" s="1138"/>
      <c r="G1545" s="1138"/>
      <c r="H1545" s="1138"/>
      <c r="I1545" s="1138"/>
      <c r="J1545" s="1138"/>
      <c r="K1545" s="1138"/>
      <c r="L1545" s="1138"/>
      <c r="M1545" s="1138"/>
      <c r="N1545" s="1138"/>
    </row>
    <row r="1546" spans="1:14" x14ac:dyDescent="0.2">
      <c r="A1546" s="1781" t="s">
        <v>2150</v>
      </c>
      <c r="B1546" s="1782"/>
      <c r="C1546" s="1782"/>
      <c r="D1546" s="1782"/>
      <c r="E1546" s="1782"/>
      <c r="F1546" s="1782"/>
      <c r="G1546" s="1782"/>
      <c r="H1546" s="1782"/>
      <c r="I1546" s="1782"/>
      <c r="J1546" s="1782"/>
      <c r="K1546" s="1782"/>
      <c r="L1546" s="1782"/>
      <c r="M1546" s="1782"/>
      <c r="N1546" s="1779"/>
    </row>
    <row r="1547" spans="1:14" x14ac:dyDescent="0.2">
      <c r="A1547" s="1778" t="s">
        <v>14</v>
      </c>
      <c r="B1547" s="1782"/>
      <c r="C1547" s="1782"/>
      <c r="D1547" s="1782"/>
      <c r="E1547" s="1782"/>
      <c r="F1547" s="1782"/>
      <c r="G1547" s="1779"/>
      <c r="H1547" s="1136" t="s">
        <v>15</v>
      </c>
      <c r="I1547" s="1783" t="s">
        <v>619</v>
      </c>
      <c r="J1547" s="1779"/>
      <c r="K1547" s="1139" t="s">
        <v>1919</v>
      </c>
      <c r="L1547" s="1140" t="s">
        <v>2151</v>
      </c>
      <c r="M1547" s="1783" t="s">
        <v>2140</v>
      </c>
      <c r="N1547" s="1779"/>
    </row>
    <row r="1548" spans="1:14" ht="13.5" x14ac:dyDescent="0.25">
      <c r="A1548" s="1784" t="s">
        <v>2168</v>
      </c>
      <c r="B1548" s="1782"/>
      <c r="C1548" s="1782"/>
      <c r="D1548" s="1782"/>
      <c r="E1548" s="1782"/>
      <c r="F1548" s="1782"/>
      <c r="G1548" s="1779"/>
      <c r="H1548" s="1032" t="str">
        <f>IF(A1548="","",VLOOKUP(A1548,'09'!$A$22:$O$168,4,FALSE))</f>
        <v>Cuadrilla</v>
      </c>
      <c r="I1548" s="1785">
        <f>IF(A1548="","",VLOOKUP(A1548,'09'!$A$22:$O$168,5,FALSE))</f>
        <v>204272</v>
      </c>
      <c r="J1548" s="1412"/>
      <c r="K1548" s="1034">
        <f>IF(A1548="","",'03'!$I$2)</f>
        <v>1.88995</v>
      </c>
      <c r="L1548" s="1142">
        <v>4</v>
      </c>
      <c r="M1548" s="1780">
        <f>I1548*K1548/(L1548*8)</f>
        <v>12064.495825</v>
      </c>
      <c r="N1548" s="1779"/>
    </row>
    <row r="1549" spans="1:14" ht="13.5" x14ac:dyDescent="0.25">
      <c r="A1549" s="1784"/>
      <c r="B1549" s="1782"/>
      <c r="C1549" s="1782"/>
      <c r="D1549" s="1782"/>
      <c r="E1549" s="1782"/>
      <c r="F1549" s="1782"/>
      <c r="G1549" s="1779"/>
      <c r="H1549" s="1137"/>
      <c r="I1549" s="1780"/>
      <c r="J1549" s="1779"/>
      <c r="K1549" s="1141"/>
      <c r="L1549" s="1141"/>
      <c r="M1549" s="1780"/>
      <c r="N1549" s="1779"/>
    </row>
    <row r="1550" spans="1:14" ht="13.5" x14ac:dyDescent="0.25">
      <c r="A1550" s="1784"/>
      <c r="B1550" s="1782"/>
      <c r="C1550" s="1782"/>
      <c r="D1550" s="1782"/>
      <c r="E1550" s="1782"/>
      <c r="F1550" s="1782"/>
      <c r="G1550" s="1779"/>
      <c r="H1550" s="1137"/>
      <c r="I1550" s="1780"/>
      <c r="J1550" s="1779"/>
      <c r="K1550" s="1141"/>
      <c r="L1550" s="1143"/>
      <c r="M1550" s="1780"/>
      <c r="N1550" s="1779"/>
    </row>
    <row r="1551" spans="1:14" ht="13.5" x14ac:dyDescent="0.25">
      <c r="A1551" s="1784"/>
      <c r="B1551" s="1782"/>
      <c r="C1551" s="1782"/>
      <c r="D1551" s="1782"/>
      <c r="E1551" s="1782"/>
      <c r="F1551" s="1782"/>
      <c r="G1551" s="1779"/>
      <c r="H1551" s="1137"/>
      <c r="I1551" s="1780"/>
      <c r="J1551" s="1779"/>
      <c r="K1551" s="1141"/>
      <c r="L1551" s="1143"/>
      <c r="M1551" s="1780"/>
      <c r="N1551" s="1779"/>
    </row>
    <row r="1552" spans="1:14" ht="13.5" x14ac:dyDescent="0.25">
      <c r="A1552" s="1784"/>
      <c r="B1552" s="1782"/>
      <c r="C1552" s="1782"/>
      <c r="D1552" s="1782"/>
      <c r="E1552" s="1782"/>
      <c r="F1552" s="1782"/>
      <c r="G1552" s="1779"/>
      <c r="H1552" s="1137"/>
      <c r="I1552" s="1780"/>
      <c r="J1552" s="1779"/>
      <c r="K1552" s="1141"/>
      <c r="L1552" s="1143"/>
      <c r="M1552" s="1780"/>
      <c r="N1552" s="1779"/>
    </row>
    <row r="1553" spans="1:15" ht="13.5" x14ac:dyDescent="0.25">
      <c r="A1553" s="1138"/>
      <c r="B1553" s="1138"/>
      <c r="C1553" s="1138"/>
      <c r="D1553" s="1138"/>
      <c r="E1553" s="1138"/>
      <c r="F1553" s="1138"/>
      <c r="G1553" s="1138"/>
      <c r="H1553" s="1138"/>
      <c r="I1553" s="1138"/>
      <c r="J1553" s="1138"/>
      <c r="K1553" s="1778" t="s">
        <v>523</v>
      </c>
      <c r="L1553" s="1779"/>
      <c r="M1553" s="1780">
        <f>SUM(M1548:N1552)</f>
        <v>12064.495825</v>
      </c>
      <c r="N1553" s="1779"/>
    </row>
    <row r="1554" spans="1:15" x14ac:dyDescent="0.2">
      <c r="I1554" s="1414"/>
      <c r="J1554" s="1415"/>
      <c r="K1554" s="1415"/>
      <c r="L1554" s="1415"/>
      <c r="M1554" s="1415"/>
      <c r="N1554" s="1415"/>
    </row>
    <row r="1555" spans="1:15" ht="13.5" thickBot="1" x14ac:dyDescent="0.25">
      <c r="I1555" s="1416"/>
      <c r="J1555" s="1416"/>
      <c r="K1555" s="1416"/>
      <c r="L1555" s="1416"/>
      <c r="M1555" s="1416"/>
      <c r="N1555" s="1416"/>
    </row>
    <row r="1556" spans="1:15" ht="14.25" thickTop="1" x14ac:dyDescent="0.2">
      <c r="I1556" s="1417" t="s">
        <v>1829</v>
      </c>
      <c r="J1556" s="1418"/>
      <c r="K1556" s="1417" t="s">
        <v>2653</v>
      </c>
      <c r="L1556" s="1418"/>
      <c r="M1556" s="1418"/>
      <c r="N1556" s="1418"/>
    </row>
    <row r="1557" spans="1:15" ht="13.5" x14ac:dyDescent="0.2">
      <c r="I1557" s="1419" t="s">
        <v>1831</v>
      </c>
      <c r="J1557" s="1420"/>
      <c r="K1557" s="1419"/>
      <c r="L1557" s="1420"/>
      <c r="M1557" s="1420"/>
      <c r="N1557" s="1420"/>
    </row>
    <row r="1558" spans="1:15" x14ac:dyDescent="0.2">
      <c r="A1558" s="1796" t="s">
        <v>2365</v>
      </c>
      <c r="B1558" s="1797"/>
      <c r="C1558" s="1797"/>
      <c r="D1558" s="1797"/>
      <c r="E1558" s="1797"/>
      <c r="F1558" s="1797"/>
      <c r="G1558" s="1797"/>
      <c r="H1558" s="1797"/>
      <c r="I1558" s="1797"/>
      <c r="J1558" s="1797"/>
      <c r="K1558" s="1797"/>
      <c r="L1558" s="1797"/>
      <c r="M1558" s="1797"/>
      <c r="N1558" s="1798"/>
    </row>
    <row r="1559" spans="1:15" x14ac:dyDescent="0.2">
      <c r="A1559" s="1799"/>
      <c r="B1559" s="1800"/>
      <c r="C1559" s="1800"/>
      <c r="D1559" s="1800"/>
      <c r="E1559" s="1800"/>
      <c r="F1559" s="1800"/>
      <c r="G1559" s="1800"/>
      <c r="H1559" s="1800"/>
      <c r="I1559" s="1800"/>
      <c r="J1559" s="1800"/>
      <c r="K1559" s="1800"/>
      <c r="L1559" s="1800"/>
      <c r="M1559" s="1800"/>
      <c r="N1559" s="1801"/>
    </row>
    <row r="1560" spans="1:15" ht="13.5" x14ac:dyDescent="0.2">
      <c r="A1560" s="1128"/>
      <c r="B1560" s="1128"/>
      <c r="C1560" s="1128"/>
      <c r="D1560" s="1128"/>
      <c r="E1560" s="1128"/>
      <c r="F1560" s="1128"/>
      <c r="G1560" s="1128"/>
      <c r="H1560" s="1128"/>
      <c r="I1560" s="1128"/>
      <c r="J1560" s="1128"/>
      <c r="K1560" s="1128"/>
      <c r="L1560" s="1128"/>
      <c r="M1560" s="1128"/>
      <c r="N1560" s="1128"/>
    </row>
    <row r="1561" spans="1:15" ht="14.25" x14ac:dyDescent="0.3">
      <c r="A1561" s="1104" t="s">
        <v>2364</v>
      </c>
      <c r="B1561" s="1129" t="str">
        <f>A1558</f>
        <v>LOCALIZACIÓN Y REPLANTEO. INCLUYE: MATERIALES, EQUIPOS, COMISIÓN TOPOGRÁFICA PARA CONTROL DE NIVELES PERMANENTES Y PLANOS RECORD.</v>
      </c>
      <c r="C1561" s="1130" t="s">
        <v>634</v>
      </c>
      <c r="D1561" s="1107" t="s">
        <v>4</v>
      </c>
      <c r="E1561" s="1132" t="s">
        <v>1833</v>
      </c>
      <c r="F1561" s="1133">
        <f>H1561+J1561+L1561+N1561</f>
        <v>3985.417197280844</v>
      </c>
      <c r="G1561" s="1132" t="s">
        <v>2136</v>
      </c>
      <c r="H1561" s="1133">
        <f>M1584</f>
        <v>840.17857142857144</v>
      </c>
      <c r="I1561" s="1132" t="s">
        <v>621</v>
      </c>
      <c r="J1561" s="1134">
        <f>M1575</f>
        <v>324.95</v>
      </c>
      <c r="K1561" s="1132" t="s">
        <v>2137</v>
      </c>
      <c r="L1561" s="1133">
        <f>M1593</f>
        <v>0</v>
      </c>
      <c r="M1561" s="1132" t="s">
        <v>2138</v>
      </c>
      <c r="N1561" s="1133">
        <f>M1602</f>
        <v>2820.2886258522726</v>
      </c>
    </row>
    <row r="1562" spans="1:15" ht="13.5" x14ac:dyDescent="0.25">
      <c r="A1562" s="1135"/>
      <c r="B1562" s="1135"/>
      <c r="C1562" s="1135"/>
      <c r="D1562" s="1135"/>
      <c r="E1562" s="1135"/>
      <c r="F1562" s="1135"/>
      <c r="G1562" s="1135"/>
      <c r="J1562" s="1135"/>
      <c r="K1562" s="1135"/>
      <c r="L1562" s="1135"/>
      <c r="M1562" s="1270" t="s">
        <v>2667</v>
      </c>
      <c r="N1562" s="1270">
        <f>+F1561*'01'!$O$15</f>
        <v>5158.341051402459</v>
      </c>
    </row>
    <row r="1563" spans="1:15" x14ac:dyDescent="0.2">
      <c r="A1563" s="1781" t="s">
        <v>2139</v>
      </c>
      <c r="B1563" s="1782"/>
      <c r="C1563" s="1782"/>
      <c r="D1563" s="1782"/>
      <c r="E1563" s="1782"/>
      <c r="F1563" s="1782"/>
      <c r="G1563" s="1782"/>
      <c r="H1563" s="1782"/>
      <c r="I1563" s="1782"/>
      <c r="J1563" s="1782"/>
      <c r="K1563" s="1782"/>
      <c r="L1563" s="1782"/>
      <c r="M1563" s="1782"/>
      <c r="N1563" s="1779"/>
    </row>
    <row r="1564" spans="1:15" x14ac:dyDescent="0.2">
      <c r="A1564" s="1778" t="s">
        <v>14</v>
      </c>
      <c r="B1564" s="1782"/>
      <c r="C1564" s="1782"/>
      <c r="D1564" s="1782"/>
      <c r="E1564" s="1782"/>
      <c r="F1564" s="1782"/>
      <c r="G1564" s="1779"/>
      <c r="H1564" s="1136" t="s">
        <v>15</v>
      </c>
      <c r="I1564" s="1783" t="s">
        <v>619</v>
      </c>
      <c r="J1564" s="1779"/>
      <c r="K1564" s="1783" t="s">
        <v>628</v>
      </c>
      <c r="L1564" s="1779"/>
      <c r="M1564" s="1783" t="s">
        <v>2140</v>
      </c>
      <c r="N1564" s="1779"/>
    </row>
    <row r="1565" spans="1:15" ht="13.5" customHeight="1" x14ac:dyDescent="0.2">
      <c r="A1565" s="1792" t="s">
        <v>157</v>
      </c>
      <c r="B1565" s="1782"/>
      <c r="C1565" s="1782"/>
      <c r="D1565" s="1782"/>
      <c r="E1565" s="1782"/>
      <c r="F1565" s="1782"/>
      <c r="G1565" s="1779"/>
      <c r="H1565" s="1032" t="str">
        <f>IF(A1565="","",VLOOKUP(A1565,'10'!$C$6:$E$1152,2,FALSE))</f>
        <v>LB</v>
      </c>
      <c r="I1565" s="1785">
        <f>IF(A1565="","",VLOOKUP(A1565,'10'!$C$6:$E$1152,3,FALSE))</f>
        <v>5450</v>
      </c>
      <c r="J1565" s="1412"/>
      <c r="K1565" s="1794">
        <v>5.0000000000000001E-3</v>
      </c>
      <c r="L1565" s="1795"/>
      <c r="M1565" s="1780">
        <f>K1565*I1565</f>
        <v>27.25</v>
      </c>
      <c r="N1565" s="1779"/>
    </row>
    <row r="1566" spans="1:15" ht="13.5" customHeight="1" x14ac:dyDescent="0.2">
      <c r="A1566" s="1792" t="s">
        <v>1179</v>
      </c>
      <c r="B1566" s="1782"/>
      <c r="C1566" s="1782"/>
      <c r="D1566" s="1782"/>
      <c r="E1566" s="1782"/>
      <c r="F1566" s="1782"/>
      <c r="G1566" s="1779"/>
      <c r="H1566" s="1032" t="str">
        <f>IF(A1566="","",VLOOKUP(A1566,'10'!$C$6:$E$1152,2,FALSE))</f>
        <v>UND</v>
      </c>
      <c r="I1566" s="1785">
        <f>IF(A1566="","",VLOOKUP(A1566,'10'!$C$6:$E$1152,3,FALSE))</f>
        <v>16900</v>
      </c>
      <c r="J1566" s="1412"/>
      <c r="K1566" s="1794">
        <v>8.9999999999999993E-3</v>
      </c>
      <c r="L1566" s="1795"/>
      <c r="M1566" s="1780">
        <f t="shared" ref="M1566:M1570" si="73">K1566*I1566</f>
        <v>152.1</v>
      </c>
      <c r="N1566" s="1779"/>
    </row>
    <row r="1567" spans="1:15" ht="13.5" x14ac:dyDescent="0.2">
      <c r="A1567" s="1792" t="s">
        <v>1180</v>
      </c>
      <c r="B1567" s="1782"/>
      <c r="C1567" s="1782"/>
      <c r="D1567" s="1782"/>
      <c r="E1567" s="1782"/>
      <c r="F1567" s="1782"/>
      <c r="G1567" s="1779"/>
      <c r="H1567" s="1032" t="str">
        <f>IF(A1567="","",VLOOKUP(A1567,'10'!$C$6:$E$1152,2,FALSE))</f>
        <v>UND</v>
      </c>
      <c r="I1567" s="1785">
        <f>IF(A1567="","",VLOOKUP(A1567,'10'!$C$6:$E$1152,3,FALSE))</f>
        <v>31900</v>
      </c>
      <c r="J1567" s="1412"/>
      <c r="K1567" s="1794">
        <v>4.0000000000000001E-3</v>
      </c>
      <c r="L1567" s="1795"/>
      <c r="M1567" s="1780">
        <f t="shared" si="73"/>
        <v>127.60000000000001</v>
      </c>
      <c r="N1567" s="1779"/>
      <c r="O1567" s="799"/>
    </row>
    <row r="1568" spans="1:15" ht="13.5" x14ac:dyDescent="0.2">
      <c r="A1568" s="1792" t="s">
        <v>107</v>
      </c>
      <c r="B1568" s="1782"/>
      <c r="C1568" s="1782"/>
      <c r="D1568" s="1782"/>
      <c r="E1568" s="1782"/>
      <c r="F1568" s="1782"/>
      <c r="G1568" s="1779"/>
      <c r="H1568" s="1032" t="str">
        <f>IF(A1568="","",VLOOKUP(A1568,'10'!$C$6:$E$1152,2,FALSE))</f>
        <v>UND</v>
      </c>
      <c r="I1568" s="1785">
        <f>IF(A1568="","",VLOOKUP(A1568,'10'!$C$6:$E$1152,3,FALSE))</f>
        <v>4500</v>
      </c>
      <c r="J1568" s="1412"/>
      <c r="K1568" s="1794">
        <v>4.0000000000000001E-3</v>
      </c>
      <c r="L1568" s="1795"/>
      <c r="M1568" s="1780">
        <f t="shared" si="73"/>
        <v>18</v>
      </c>
      <c r="N1568" s="1779"/>
    </row>
    <row r="1569" spans="1:14" ht="13.5" x14ac:dyDescent="0.2">
      <c r="A1569" s="1792"/>
      <c r="B1569" s="1782"/>
      <c r="C1569" s="1782"/>
      <c r="D1569" s="1782"/>
      <c r="E1569" s="1782"/>
      <c r="F1569" s="1782"/>
      <c r="G1569" s="1779"/>
      <c r="H1569" s="1032"/>
      <c r="I1569" s="1785"/>
      <c r="J1569" s="1412"/>
      <c r="K1569" s="1794"/>
      <c r="L1569" s="1795"/>
      <c r="M1569" s="1780">
        <f t="shared" si="73"/>
        <v>0</v>
      </c>
      <c r="N1569" s="1779"/>
    </row>
    <row r="1570" spans="1:14" ht="13.5" x14ac:dyDescent="0.2">
      <c r="A1570" s="1792"/>
      <c r="B1570" s="1782"/>
      <c r="C1570" s="1782"/>
      <c r="D1570" s="1782"/>
      <c r="E1570" s="1782"/>
      <c r="F1570" s="1782"/>
      <c r="G1570" s="1779"/>
      <c r="H1570" s="1032"/>
      <c r="I1570" s="1785"/>
      <c r="J1570" s="1412"/>
      <c r="K1570" s="1794"/>
      <c r="L1570" s="1795"/>
      <c r="M1570" s="1780">
        <f t="shared" si="73"/>
        <v>0</v>
      </c>
      <c r="N1570" s="1779"/>
    </row>
    <row r="1571" spans="1:14" ht="13.5" x14ac:dyDescent="0.2">
      <c r="A1571" s="1792"/>
      <c r="B1571" s="1782"/>
      <c r="C1571" s="1782"/>
      <c r="D1571" s="1782"/>
      <c r="E1571" s="1782"/>
      <c r="F1571" s="1782"/>
      <c r="G1571" s="1779"/>
      <c r="H1571" s="1032" t="str">
        <f>IF(A1571="","",VLOOKUP(A1571,'10'!$C$6:$E$1152,2,FALSE))</f>
        <v/>
      </c>
      <c r="I1571" s="1785" t="str">
        <f>IF(A1571="","",VLOOKUP(A1571,'10'!$C$6:$E$1152,3,FALSE))</f>
        <v/>
      </c>
      <c r="J1571" s="1412"/>
      <c r="K1571" s="1794"/>
      <c r="L1571" s="1795"/>
      <c r="M1571" s="1780"/>
      <c r="N1571" s="1779"/>
    </row>
    <row r="1572" spans="1:14" ht="13.5" x14ac:dyDescent="0.2">
      <c r="A1572" s="1792"/>
      <c r="B1572" s="1782"/>
      <c r="C1572" s="1782"/>
      <c r="D1572" s="1782"/>
      <c r="E1572" s="1782"/>
      <c r="F1572" s="1782"/>
      <c r="G1572" s="1779"/>
      <c r="H1572" s="1032"/>
      <c r="I1572" s="1785"/>
      <c r="J1572" s="1412"/>
      <c r="K1572" s="1794"/>
      <c r="L1572" s="1795"/>
      <c r="M1572" s="1780"/>
      <c r="N1572" s="1779"/>
    </row>
    <row r="1573" spans="1:14" ht="13.5" x14ac:dyDescent="0.2">
      <c r="A1573" s="1792"/>
      <c r="B1573" s="1782"/>
      <c r="C1573" s="1782"/>
      <c r="D1573" s="1782"/>
      <c r="E1573" s="1782"/>
      <c r="F1573" s="1782"/>
      <c r="G1573" s="1779"/>
      <c r="H1573" s="1032"/>
      <c r="I1573" s="1785"/>
      <c r="J1573" s="1412"/>
      <c r="K1573" s="1794"/>
      <c r="L1573" s="1795"/>
      <c r="M1573" s="1780"/>
      <c r="N1573" s="1779"/>
    </row>
    <row r="1574" spans="1:14" ht="13.5" x14ac:dyDescent="0.2">
      <c r="A1574" s="1792"/>
      <c r="B1574" s="1782"/>
      <c r="C1574" s="1782"/>
      <c r="D1574" s="1782"/>
      <c r="E1574" s="1782"/>
      <c r="F1574" s="1782"/>
      <c r="G1574" s="1779"/>
      <c r="H1574" s="1032"/>
      <c r="I1574" s="1785"/>
      <c r="J1574" s="1412"/>
      <c r="K1574" s="1794"/>
      <c r="L1574" s="1795"/>
      <c r="M1574" s="1780"/>
      <c r="N1574" s="1779"/>
    </row>
    <row r="1575" spans="1:14" ht="13.5" x14ac:dyDescent="0.25">
      <c r="A1575" s="1138"/>
      <c r="B1575" s="1138"/>
      <c r="C1575" s="1138"/>
      <c r="D1575" s="1138"/>
      <c r="E1575" s="1138"/>
      <c r="F1575" s="1138"/>
      <c r="G1575" s="1138"/>
      <c r="H1575" s="1138"/>
      <c r="I1575" s="1138"/>
      <c r="J1575" s="1138"/>
      <c r="K1575" s="1778" t="s">
        <v>523</v>
      </c>
      <c r="L1575" s="1779"/>
      <c r="M1575" s="1780">
        <f>SUM(M1565:N1569)</f>
        <v>324.95</v>
      </c>
      <c r="N1575" s="1779"/>
    </row>
    <row r="1576" spans="1:14" ht="13.5" x14ac:dyDescent="0.25">
      <c r="A1576" s="1138"/>
      <c r="B1576" s="1138"/>
      <c r="C1576" s="1138"/>
      <c r="D1576" s="1138"/>
      <c r="E1576" s="1138"/>
      <c r="F1576" s="1138"/>
      <c r="G1576" s="1138"/>
      <c r="H1576" s="1138"/>
      <c r="I1576" s="1138"/>
      <c r="J1576" s="1138"/>
      <c r="K1576" s="1138"/>
      <c r="L1576" s="1138"/>
      <c r="M1576" s="1138"/>
      <c r="N1576" s="1138"/>
    </row>
    <row r="1577" spans="1:14" x14ac:dyDescent="0.2">
      <c r="A1577" s="1781" t="s">
        <v>2145</v>
      </c>
      <c r="B1577" s="1782"/>
      <c r="C1577" s="1782"/>
      <c r="D1577" s="1782"/>
      <c r="E1577" s="1782"/>
      <c r="F1577" s="1782"/>
      <c r="G1577" s="1782"/>
      <c r="H1577" s="1782"/>
      <c r="I1577" s="1782"/>
      <c r="J1577" s="1782"/>
      <c r="K1577" s="1782"/>
      <c r="L1577" s="1782"/>
      <c r="M1577" s="1782"/>
      <c r="N1577" s="1779"/>
    </row>
    <row r="1578" spans="1:14" x14ac:dyDescent="0.2">
      <c r="A1578" s="1778" t="s">
        <v>14</v>
      </c>
      <c r="B1578" s="1782"/>
      <c r="C1578" s="1782"/>
      <c r="D1578" s="1782"/>
      <c r="E1578" s="1782"/>
      <c r="F1578" s="1782"/>
      <c r="G1578" s="1779"/>
      <c r="H1578" s="1136" t="s">
        <v>15</v>
      </c>
      <c r="I1578" s="1783" t="s">
        <v>619</v>
      </c>
      <c r="J1578" s="1779"/>
      <c r="K1578" s="1783" t="s">
        <v>610</v>
      </c>
      <c r="L1578" s="1779"/>
      <c r="M1578" s="1783" t="s">
        <v>2140</v>
      </c>
      <c r="N1578" s="1779"/>
    </row>
    <row r="1579" spans="1:14" ht="13.5" x14ac:dyDescent="0.2">
      <c r="A1579" s="1789" t="s">
        <v>131</v>
      </c>
      <c r="B1579" s="1790"/>
      <c r="C1579" s="1790"/>
      <c r="D1579" s="1790"/>
      <c r="E1579" s="1790"/>
      <c r="F1579" s="1790"/>
      <c r="G1579" s="1791"/>
      <c r="H1579" s="1032" t="str">
        <f>IF(A1579="","",VLOOKUP(A1579,'11'!$C$6:$E$87,2,FALSE))</f>
        <v>DIA</v>
      </c>
      <c r="I1579" s="1785">
        <f>IF(A1579="","",VLOOKUP(A1579,'11'!$C$6:$E$87,3,FALSE))</f>
        <v>15000</v>
      </c>
      <c r="J1579" s="1412"/>
      <c r="K1579" s="1787">
        <v>32</v>
      </c>
      <c r="L1579" s="1793"/>
      <c r="M1579" s="1780">
        <f>I1579/K1579</f>
        <v>468.75</v>
      </c>
      <c r="N1579" s="1779"/>
    </row>
    <row r="1580" spans="1:14" ht="13.5" x14ac:dyDescent="0.2">
      <c r="A1580" s="1789" t="s">
        <v>1171</v>
      </c>
      <c r="B1580" s="1790"/>
      <c r="C1580" s="1790"/>
      <c r="D1580" s="1790"/>
      <c r="E1580" s="1790"/>
      <c r="F1580" s="1790"/>
      <c r="G1580" s="1791"/>
      <c r="H1580" s="1032" t="str">
        <f>IF(A1580="","",VLOOKUP(A1580,'11'!$C$6:$E$87,2,FALSE))</f>
        <v>DIA</v>
      </c>
      <c r="I1580" s="1785">
        <f>IF(A1580="","",VLOOKUP(A1580,'11'!$C$6:$E$87,3,FALSE))</f>
        <v>130000</v>
      </c>
      <c r="J1580" s="1412"/>
      <c r="K1580" s="1794">
        <v>350</v>
      </c>
      <c r="L1580" s="1779"/>
      <c r="M1580" s="1780">
        <f t="shared" ref="M1580" si="74">I1580/K1580</f>
        <v>371.42857142857144</v>
      </c>
      <c r="N1580" s="1779"/>
    </row>
    <row r="1581" spans="1:14" ht="13.5" x14ac:dyDescent="0.2">
      <c r="A1581" s="1789"/>
      <c r="B1581" s="1790"/>
      <c r="C1581" s="1790"/>
      <c r="D1581" s="1790"/>
      <c r="E1581" s="1790"/>
      <c r="F1581" s="1790"/>
      <c r="G1581" s="1791"/>
      <c r="H1581" s="1032" t="str">
        <f>IF(A1581="","",VLOOKUP(A1581,'11'!$C$6:$E$87,2,FALSE))</f>
        <v/>
      </c>
      <c r="I1581" s="1785" t="str">
        <f>IF(A1581="","",VLOOKUP(A1581,'11'!$C$6:$E$87,3,FALSE))</f>
        <v/>
      </c>
      <c r="J1581" s="1412"/>
      <c r="K1581" s="1787"/>
      <c r="L1581" s="1779"/>
      <c r="M1581" s="1780"/>
      <c r="N1581" s="1779"/>
    </row>
    <row r="1582" spans="1:14" ht="13.5" x14ac:dyDescent="0.2">
      <c r="A1582" s="1789"/>
      <c r="B1582" s="1790"/>
      <c r="C1582" s="1790"/>
      <c r="D1582" s="1790"/>
      <c r="E1582" s="1790"/>
      <c r="F1582" s="1790"/>
      <c r="G1582" s="1791"/>
      <c r="H1582" s="1032" t="str">
        <f>IF(A1582="","",VLOOKUP(A1582,'11'!$C$6:$E$87,2,FALSE))</f>
        <v/>
      </c>
      <c r="I1582" s="1785" t="str">
        <f>IF(A1582="","",VLOOKUP(A1582,'11'!$C$6:$E$87,3,FALSE))</f>
        <v/>
      </c>
      <c r="J1582" s="1412"/>
      <c r="K1582" s="1787"/>
      <c r="L1582" s="1779"/>
      <c r="M1582" s="1780"/>
      <c r="N1582" s="1779"/>
    </row>
    <row r="1583" spans="1:14" ht="13.5" x14ac:dyDescent="0.2">
      <c r="A1583" s="1789"/>
      <c r="B1583" s="1782"/>
      <c r="C1583" s="1782"/>
      <c r="D1583" s="1782"/>
      <c r="E1583" s="1782"/>
      <c r="F1583" s="1782"/>
      <c r="G1583" s="1779"/>
      <c r="H1583" s="1137"/>
      <c r="I1583" s="1780"/>
      <c r="J1583" s="1779"/>
      <c r="K1583" s="1787"/>
      <c r="L1583" s="1779"/>
      <c r="M1583" s="1780"/>
      <c r="N1583" s="1779"/>
    </row>
    <row r="1584" spans="1:14" ht="13.5" x14ac:dyDescent="0.25">
      <c r="A1584" s="1138"/>
      <c r="B1584" s="1138"/>
      <c r="C1584" s="1138"/>
      <c r="D1584" s="1138"/>
      <c r="E1584" s="1138"/>
      <c r="F1584" s="1138"/>
      <c r="G1584" s="1138"/>
      <c r="H1584" s="1138"/>
      <c r="I1584" s="1138"/>
      <c r="J1584" s="1138"/>
      <c r="K1584" s="1778" t="s">
        <v>523</v>
      </c>
      <c r="L1584" s="1779"/>
      <c r="M1584" s="1780">
        <f>SUM(M1579:N1583)</f>
        <v>840.17857142857144</v>
      </c>
      <c r="N1584" s="1779"/>
    </row>
    <row r="1585" spans="1:14" ht="13.5" x14ac:dyDescent="0.25">
      <c r="A1585" s="1138"/>
      <c r="B1585" s="1138"/>
      <c r="C1585" s="1138"/>
      <c r="D1585" s="1138"/>
      <c r="E1585" s="1138"/>
      <c r="F1585" s="1138"/>
      <c r="G1585" s="1138"/>
      <c r="H1585" s="1138"/>
      <c r="I1585" s="1138"/>
      <c r="J1585" s="1138"/>
      <c r="K1585" s="1138"/>
      <c r="L1585" s="1138"/>
      <c r="M1585" s="1138"/>
      <c r="N1585" s="1138"/>
    </row>
    <row r="1586" spans="1:14" x14ac:dyDescent="0.2">
      <c r="A1586" s="1781" t="s">
        <v>2147</v>
      </c>
      <c r="B1586" s="1782"/>
      <c r="C1586" s="1782"/>
      <c r="D1586" s="1782"/>
      <c r="E1586" s="1782"/>
      <c r="F1586" s="1782"/>
      <c r="G1586" s="1782"/>
      <c r="H1586" s="1782"/>
      <c r="I1586" s="1782"/>
      <c r="J1586" s="1782"/>
      <c r="K1586" s="1782"/>
      <c r="L1586" s="1782"/>
      <c r="M1586" s="1782"/>
      <c r="N1586" s="1779"/>
    </row>
    <row r="1587" spans="1:14" x14ac:dyDescent="0.2">
      <c r="A1587" s="1778" t="s">
        <v>14</v>
      </c>
      <c r="B1587" s="1782"/>
      <c r="C1587" s="1782"/>
      <c r="D1587" s="1782"/>
      <c r="E1587" s="1782"/>
      <c r="F1587" s="1782"/>
      <c r="G1587" s="1779"/>
      <c r="H1587" s="1136" t="s">
        <v>15</v>
      </c>
      <c r="I1587" s="1783" t="s">
        <v>619</v>
      </c>
      <c r="J1587" s="1779"/>
      <c r="K1587" s="1783" t="s">
        <v>628</v>
      </c>
      <c r="L1587" s="1779"/>
      <c r="M1587" s="1783" t="s">
        <v>2140</v>
      </c>
      <c r="N1587" s="1779"/>
    </row>
    <row r="1588" spans="1:14" ht="13.5" x14ac:dyDescent="0.2">
      <c r="A1588" s="1792" t="s">
        <v>2328</v>
      </c>
      <c r="B1588" s="1782"/>
      <c r="C1588" s="1782"/>
      <c r="D1588" s="1782"/>
      <c r="E1588" s="1782"/>
      <c r="F1588" s="1782"/>
      <c r="G1588" s="1779"/>
      <c r="H1588" s="1032" t="str">
        <f>IF(A1588="","",VLOOKUP(A1588,'11'!$C$6:$E$1012,2,FALSE))</f>
        <v>KM-M3</v>
      </c>
      <c r="I1588" s="1785">
        <f>IF(A1588="","",VLOOKUP(A1588,'11'!$C$6:$E$1012,3,FALSE))</f>
        <v>1440</v>
      </c>
      <c r="J1588" s="1412"/>
      <c r="K1588" s="1787">
        <v>0</v>
      </c>
      <c r="L1588" s="1793"/>
      <c r="M1588" s="1780">
        <f t="shared" ref="M1588" si="75">IF(A1588="","",I1588*K1588)</f>
        <v>0</v>
      </c>
      <c r="N1588" s="1779"/>
    </row>
    <row r="1589" spans="1:14" ht="13.5" x14ac:dyDescent="0.2">
      <c r="A1589" s="1786"/>
      <c r="B1589" s="1782"/>
      <c r="C1589" s="1782"/>
      <c r="D1589" s="1782"/>
      <c r="E1589" s="1782"/>
      <c r="F1589" s="1782"/>
      <c r="G1589" s="1779"/>
      <c r="H1589" s="1032"/>
      <c r="I1589" s="1780"/>
      <c r="J1589" s="1779"/>
      <c r="K1589" s="1787"/>
      <c r="L1589" s="1779"/>
      <c r="M1589" s="1780"/>
      <c r="N1589" s="1779"/>
    </row>
    <row r="1590" spans="1:14" ht="13.5" x14ac:dyDescent="0.2">
      <c r="A1590" s="1786"/>
      <c r="B1590" s="1782"/>
      <c r="C1590" s="1782"/>
      <c r="D1590" s="1782"/>
      <c r="E1590" s="1782"/>
      <c r="F1590" s="1782"/>
      <c r="G1590" s="1779"/>
      <c r="H1590" s="1032"/>
      <c r="I1590" s="1780"/>
      <c r="J1590" s="1779"/>
      <c r="K1590" s="1788"/>
      <c r="L1590" s="1779"/>
      <c r="M1590" s="1780"/>
      <c r="N1590" s="1779"/>
    </row>
    <row r="1591" spans="1:14" ht="13.5" x14ac:dyDescent="0.2">
      <c r="A1591" s="1789"/>
      <c r="B1591" s="1782"/>
      <c r="C1591" s="1782"/>
      <c r="D1591" s="1782"/>
      <c r="E1591" s="1782"/>
      <c r="F1591" s="1782"/>
      <c r="G1591" s="1779"/>
      <c r="H1591" s="1137"/>
      <c r="I1591" s="1780"/>
      <c r="J1591" s="1779"/>
      <c r="K1591" s="1787"/>
      <c r="L1591" s="1779"/>
      <c r="M1591" s="1780"/>
      <c r="N1591" s="1779"/>
    </row>
    <row r="1592" spans="1:14" ht="13.5" x14ac:dyDescent="0.2">
      <c r="A1592" s="1789"/>
      <c r="B1592" s="1782"/>
      <c r="C1592" s="1782"/>
      <c r="D1592" s="1782"/>
      <c r="E1592" s="1782"/>
      <c r="F1592" s="1782"/>
      <c r="G1592" s="1779"/>
      <c r="H1592" s="1137"/>
      <c r="I1592" s="1780"/>
      <c r="J1592" s="1779"/>
      <c r="K1592" s="1787"/>
      <c r="L1592" s="1779"/>
      <c r="M1592" s="1780"/>
      <c r="N1592" s="1779"/>
    </row>
    <row r="1593" spans="1:14" ht="13.5" x14ac:dyDescent="0.25">
      <c r="A1593" s="1138"/>
      <c r="B1593" s="1138"/>
      <c r="C1593" s="1138"/>
      <c r="D1593" s="1138"/>
      <c r="E1593" s="1138"/>
      <c r="F1593" s="1138"/>
      <c r="G1593" s="1138"/>
      <c r="H1593" s="1138"/>
      <c r="I1593" s="1138"/>
      <c r="J1593" s="1138"/>
      <c r="K1593" s="1778" t="s">
        <v>523</v>
      </c>
      <c r="L1593" s="1779"/>
      <c r="M1593" s="1780">
        <f>SUM(M1588:N1592)</f>
        <v>0</v>
      </c>
      <c r="N1593" s="1779"/>
    </row>
    <row r="1594" spans="1:14" ht="13.5" x14ac:dyDescent="0.25">
      <c r="A1594" s="1138"/>
      <c r="B1594" s="1138"/>
      <c r="C1594" s="1138"/>
      <c r="D1594" s="1138"/>
      <c r="E1594" s="1138"/>
      <c r="F1594" s="1138"/>
      <c r="G1594" s="1138"/>
      <c r="H1594" s="1138"/>
      <c r="I1594" s="1138"/>
      <c r="J1594" s="1138"/>
      <c r="K1594" s="1138"/>
      <c r="L1594" s="1138"/>
      <c r="M1594" s="1138"/>
      <c r="N1594" s="1138"/>
    </row>
    <row r="1595" spans="1:14" x14ac:dyDescent="0.2">
      <c r="A1595" s="1781" t="s">
        <v>2150</v>
      </c>
      <c r="B1595" s="1782"/>
      <c r="C1595" s="1782"/>
      <c r="D1595" s="1782"/>
      <c r="E1595" s="1782"/>
      <c r="F1595" s="1782"/>
      <c r="G1595" s="1782"/>
      <c r="H1595" s="1782"/>
      <c r="I1595" s="1782"/>
      <c r="J1595" s="1782"/>
      <c r="K1595" s="1782"/>
      <c r="L1595" s="1782"/>
      <c r="M1595" s="1782"/>
      <c r="N1595" s="1779"/>
    </row>
    <row r="1596" spans="1:14" x14ac:dyDescent="0.2">
      <c r="A1596" s="1778" t="s">
        <v>14</v>
      </c>
      <c r="B1596" s="1782"/>
      <c r="C1596" s="1782"/>
      <c r="D1596" s="1782"/>
      <c r="E1596" s="1782"/>
      <c r="F1596" s="1782"/>
      <c r="G1596" s="1779"/>
      <c r="H1596" s="1136" t="s">
        <v>15</v>
      </c>
      <c r="I1596" s="1783" t="s">
        <v>619</v>
      </c>
      <c r="J1596" s="1779"/>
      <c r="K1596" s="1139" t="s">
        <v>1919</v>
      </c>
      <c r="L1596" s="1140" t="s">
        <v>2151</v>
      </c>
      <c r="M1596" s="1783" t="s">
        <v>2140</v>
      </c>
      <c r="N1596" s="1779"/>
    </row>
    <row r="1597" spans="1:14" ht="13.5" x14ac:dyDescent="0.25">
      <c r="A1597" s="1784" t="s">
        <v>158</v>
      </c>
      <c r="B1597" s="1782"/>
      <c r="C1597" s="1782"/>
      <c r="D1597" s="1782"/>
      <c r="E1597" s="1782"/>
      <c r="F1597" s="1782"/>
      <c r="G1597" s="1779"/>
      <c r="H1597" s="1032" t="str">
        <f>IF(A1597="","",VLOOKUP(A1597,'09'!$A$22:$O$168,4,FALSE))</f>
        <v>Cuadrilla</v>
      </c>
      <c r="I1597" s="1785">
        <f>IF(A1597="","",VLOOKUP(A1597,'09'!$A$22:$O$168,5,FALSE))</f>
        <v>262637</v>
      </c>
      <c r="J1597" s="1412"/>
      <c r="K1597" s="1034">
        <f>IF(A1597="","",'03'!$I$2)</f>
        <v>1.88995</v>
      </c>
      <c r="L1597" s="1142">
        <v>22</v>
      </c>
      <c r="M1597" s="1780">
        <f>I1597*K1597/(L1597*8)</f>
        <v>2820.2886258522726</v>
      </c>
      <c r="N1597" s="1779"/>
    </row>
    <row r="1598" spans="1:14" ht="13.5" x14ac:dyDescent="0.25">
      <c r="A1598" s="1784"/>
      <c r="B1598" s="1782"/>
      <c r="C1598" s="1782"/>
      <c r="D1598" s="1782"/>
      <c r="E1598" s="1782"/>
      <c r="F1598" s="1782"/>
      <c r="G1598" s="1779"/>
      <c r="H1598" s="1137"/>
      <c r="I1598" s="1780"/>
      <c r="J1598" s="1779"/>
      <c r="K1598" s="1141"/>
      <c r="L1598" s="1141"/>
      <c r="M1598" s="1780"/>
      <c r="N1598" s="1779"/>
    </row>
    <row r="1599" spans="1:14" ht="13.5" x14ac:dyDescent="0.25">
      <c r="A1599" s="1784"/>
      <c r="B1599" s="1782"/>
      <c r="C1599" s="1782"/>
      <c r="D1599" s="1782"/>
      <c r="E1599" s="1782"/>
      <c r="F1599" s="1782"/>
      <c r="G1599" s="1779"/>
      <c r="H1599" s="1137"/>
      <c r="I1599" s="1780"/>
      <c r="J1599" s="1779"/>
      <c r="K1599" s="1141"/>
      <c r="L1599" s="1143"/>
      <c r="M1599" s="1780"/>
      <c r="N1599" s="1779"/>
    </row>
    <row r="1600" spans="1:14" ht="13.5" x14ac:dyDescent="0.25">
      <c r="A1600" s="1784"/>
      <c r="B1600" s="1782"/>
      <c r="C1600" s="1782"/>
      <c r="D1600" s="1782"/>
      <c r="E1600" s="1782"/>
      <c r="F1600" s="1782"/>
      <c r="G1600" s="1779"/>
      <c r="H1600" s="1137"/>
      <c r="I1600" s="1780"/>
      <c r="J1600" s="1779"/>
      <c r="K1600" s="1141"/>
      <c r="L1600" s="1143"/>
      <c r="M1600" s="1780"/>
      <c r="N1600" s="1779"/>
    </row>
    <row r="1601" spans="1:15" ht="13.5" x14ac:dyDescent="0.25">
      <c r="A1601" s="1784"/>
      <c r="B1601" s="1782"/>
      <c r="C1601" s="1782"/>
      <c r="D1601" s="1782"/>
      <c r="E1601" s="1782"/>
      <c r="F1601" s="1782"/>
      <c r="G1601" s="1779"/>
      <c r="H1601" s="1137"/>
      <c r="I1601" s="1780"/>
      <c r="J1601" s="1779"/>
      <c r="K1601" s="1141"/>
      <c r="L1601" s="1143"/>
      <c r="M1601" s="1780"/>
      <c r="N1601" s="1779"/>
    </row>
    <row r="1602" spans="1:15" ht="13.5" x14ac:dyDescent="0.25">
      <c r="A1602" s="1138"/>
      <c r="B1602" s="1138"/>
      <c r="C1602" s="1138"/>
      <c r="D1602" s="1138"/>
      <c r="E1602" s="1138"/>
      <c r="F1602" s="1138"/>
      <c r="G1602" s="1138"/>
      <c r="H1602" s="1138"/>
      <c r="I1602" s="1138"/>
      <c r="J1602" s="1138"/>
      <c r="K1602" s="1778" t="s">
        <v>523</v>
      </c>
      <c r="L1602" s="1779"/>
      <c r="M1602" s="1780">
        <f>SUM(M1597:N1601)</f>
        <v>2820.2886258522726</v>
      </c>
      <c r="N1602" s="1779"/>
    </row>
    <row r="1603" spans="1:15" x14ac:dyDescent="0.2">
      <c r="I1603" s="1414"/>
      <c r="J1603" s="1415"/>
      <c r="K1603" s="1415"/>
      <c r="L1603" s="1415"/>
      <c r="M1603" s="1415"/>
      <c r="N1603" s="1415"/>
    </row>
    <row r="1604" spans="1:15" ht="13.5" thickBot="1" x14ac:dyDescent="0.25">
      <c r="I1604" s="1416"/>
      <c r="J1604" s="1416"/>
      <c r="K1604" s="1416"/>
      <c r="L1604" s="1416"/>
      <c r="M1604" s="1416"/>
      <c r="N1604" s="1416"/>
    </row>
    <row r="1605" spans="1:15" ht="14.25" thickTop="1" x14ac:dyDescent="0.2">
      <c r="I1605" s="1417" t="s">
        <v>1829</v>
      </c>
      <c r="J1605" s="1418"/>
      <c r="K1605" s="1417" t="s">
        <v>2653</v>
      </c>
      <c r="L1605" s="1418"/>
      <c r="M1605" s="1418"/>
      <c r="N1605" s="1418"/>
    </row>
    <row r="1606" spans="1:15" ht="13.5" x14ac:dyDescent="0.2">
      <c r="I1606" s="1419" t="s">
        <v>1831</v>
      </c>
      <c r="J1606" s="1420"/>
      <c r="K1606" s="1419"/>
      <c r="L1606" s="1420"/>
      <c r="M1606" s="1420"/>
      <c r="N1606" s="1420"/>
    </row>
    <row r="1607" spans="1:15" x14ac:dyDescent="0.2">
      <c r="A1607" s="1796" t="str">
        <f>+UPPER('01'!C110)</f>
        <v>EXCAVACIÓN MANUAL EN TIERRA</v>
      </c>
      <c r="B1607" s="1797"/>
      <c r="C1607" s="1797"/>
      <c r="D1607" s="1797"/>
      <c r="E1607" s="1797"/>
      <c r="F1607" s="1797"/>
      <c r="G1607" s="1797"/>
      <c r="H1607" s="1797"/>
      <c r="I1607" s="1797"/>
      <c r="J1607" s="1797"/>
      <c r="K1607" s="1797"/>
      <c r="L1607" s="1797"/>
      <c r="M1607" s="1797"/>
      <c r="N1607" s="1798"/>
    </row>
    <row r="1608" spans="1:15" x14ac:dyDescent="0.2">
      <c r="A1608" s="1799"/>
      <c r="B1608" s="1800"/>
      <c r="C1608" s="1800"/>
      <c r="D1608" s="1800"/>
      <c r="E1608" s="1800"/>
      <c r="F1608" s="1800"/>
      <c r="G1608" s="1800"/>
      <c r="H1608" s="1800"/>
      <c r="I1608" s="1800"/>
      <c r="J1608" s="1800"/>
      <c r="K1608" s="1800"/>
      <c r="L1608" s="1800"/>
      <c r="M1608" s="1800"/>
      <c r="N1608" s="1801"/>
    </row>
    <row r="1609" spans="1:15" ht="13.5" x14ac:dyDescent="0.2">
      <c r="A1609" s="1128"/>
      <c r="B1609" s="1128"/>
      <c r="C1609" s="1128"/>
      <c r="D1609" s="1128"/>
      <c r="E1609" s="1128"/>
      <c r="F1609" s="1128"/>
      <c r="G1609" s="1128"/>
      <c r="H1609" s="1128"/>
      <c r="I1609" s="1128"/>
      <c r="J1609" s="1128"/>
      <c r="K1609" s="1128"/>
      <c r="L1609" s="1128"/>
      <c r="M1609" s="1128"/>
      <c r="N1609" s="1128"/>
    </row>
    <row r="1610" spans="1:15" ht="14.25" x14ac:dyDescent="0.3">
      <c r="A1610" s="1104" t="s">
        <v>2366</v>
      </c>
      <c r="B1610" s="1129" t="str">
        <f>A1607</f>
        <v>EXCAVACIÓN MANUAL EN TIERRA</v>
      </c>
      <c r="C1610" s="1130" t="s">
        <v>634</v>
      </c>
      <c r="D1610" s="1107" t="s">
        <v>12</v>
      </c>
      <c r="E1610" s="1132" t="s">
        <v>1833</v>
      </c>
      <c r="F1610" s="1133">
        <f>H1610+J1610+L1610+N1610</f>
        <v>32471.988866666667</v>
      </c>
      <c r="G1610" s="1132" t="s">
        <v>2136</v>
      </c>
      <c r="H1610" s="1133">
        <f>M1633</f>
        <v>300</v>
      </c>
      <c r="I1610" s="1132" t="s">
        <v>621</v>
      </c>
      <c r="J1610" s="1134">
        <f>M1624</f>
        <v>0</v>
      </c>
      <c r="K1610" s="1132" t="s">
        <v>2137</v>
      </c>
      <c r="L1610" s="1133">
        <f>M1642</f>
        <v>0</v>
      </c>
      <c r="M1610" s="1132" t="s">
        <v>2138</v>
      </c>
      <c r="N1610" s="1133">
        <f>M1651</f>
        <v>32171.988866666667</v>
      </c>
    </row>
    <row r="1611" spans="1:15" ht="13.5" x14ac:dyDescent="0.25">
      <c r="A1611" s="1135"/>
      <c r="B1611" s="1135"/>
      <c r="C1611" s="1135"/>
      <c r="D1611" s="1135"/>
      <c r="E1611" s="1135"/>
      <c r="F1611" s="1135"/>
      <c r="G1611" s="1135"/>
      <c r="J1611" s="1135"/>
      <c r="K1611" s="1135"/>
      <c r="L1611" s="1135"/>
      <c r="M1611" s="1270" t="s">
        <v>2667</v>
      </c>
      <c r="N1611" s="1270">
        <f>+F1610*'01'!$O$15</f>
        <v>42028.622073968225</v>
      </c>
    </row>
    <row r="1612" spans="1:15" x14ac:dyDescent="0.2">
      <c r="A1612" s="1781" t="s">
        <v>2139</v>
      </c>
      <c r="B1612" s="1782"/>
      <c r="C1612" s="1782"/>
      <c r="D1612" s="1782"/>
      <c r="E1612" s="1782"/>
      <c r="F1612" s="1782"/>
      <c r="G1612" s="1782"/>
      <c r="H1612" s="1782"/>
      <c r="I1612" s="1782"/>
      <c r="J1612" s="1782"/>
      <c r="K1612" s="1782"/>
      <c r="L1612" s="1782"/>
      <c r="M1612" s="1782"/>
      <c r="N1612" s="1779"/>
    </row>
    <row r="1613" spans="1:15" x14ac:dyDescent="0.2">
      <c r="A1613" s="1778" t="s">
        <v>14</v>
      </c>
      <c r="B1613" s="1782"/>
      <c r="C1613" s="1782"/>
      <c r="D1613" s="1782"/>
      <c r="E1613" s="1782"/>
      <c r="F1613" s="1782"/>
      <c r="G1613" s="1779"/>
      <c r="H1613" s="1136" t="s">
        <v>15</v>
      </c>
      <c r="I1613" s="1783" t="s">
        <v>619</v>
      </c>
      <c r="J1613" s="1779"/>
      <c r="K1613" s="1783" t="s">
        <v>628</v>
      </c>
      <c r="L1613" s="1779"/>
      <c r="M1613" s="1783" t="s">
        <v>2140</v>
      </c>
      <c r="N1613" s="1779"/>
    </row>
    <row r="1614" spans="1:15" ht="13.5" customHeight="1" x14ac:dyDescent="0.2">
      <c r="A1614" s="1792"/>
      <c r="B1614" s="1782"/>
      <c r="C1614" s="1782"/>
      <c r="D1614" s="1782"/>
      <c r="E1614" s="1782"/>
      <c r="F1614" s="1782"/>
      <c r="G1614" s="1779"/>
      <c r="H1614" s="1032" t="str">
        <f>IF(A1614="","",VLOOKUP(A1614,'10'!$C$6:$E$1152,2,FALSE))</f>
        <v/>
      </c>
      <c r="I1614" s="1785" t="str">
        <f>IF(A1614="","",VLOOKUP(A1614,'10'!$C$6:$E$1152,3,FALSE))</f>
        <v/>
      </c>
      <c r="J1614" s="1412"/>
      <c r="K1614" s="1794"/>
      <c r="L1614" s="1795"/>
      <c r="M1614" s="1780"/>
      <c r="N1614" s="1779"/>
    </row>
    <row r="1615" spans="1:15" ht="13.5" customHeight="1" x14ac:dyDescent="0.2">
      <c r="A1615" s="1792"/>
      <c r="B1615" s="1782"/>
      <c r="C1615" s="1782"/>
      <c r="D1615" s="1782"/>
      <c r="E1615" s="1782"/>
      <c r="F1615" s="1782"/>
      <c r="G1615" s="1779"/>
      <c r="H1615" s="1032" t="str">
        <f>IF(A1615="","",VLOOKUP(A1615,'10'!$C$6:$E$1152,2,FALSE))</f>
        <v/>
      </c>
      <c r="I1615" s="1785" t="str">
        <f>IF(A1615="","",VLOOKUP(A1615,'10'!$C$6:$E$1152,3,FALSE))</f>
        <v/>
      </c>
      <c r="J1615" s="1412"/>
      <c r="K1615" s="1794"/>
      <c r="L1615" s="1795"/>
      <c r="M1615" s="1780"/>
      <c r="N1615" s="1779"/>
    </row>
    <row r="1616" spans="1:15" ht="13.5" x14ac:dyDescent="0.2">
      <c r="A1616" s="1792"/>
      <c r="B1616" s="1782"/>
      <c r="C1616" s="1782"/>
      <c r="D1616" s="1782"/>
      <c r="E1616" s="1782"/>
      <c r="F1616" s="1782"/>
      <c r="G1616" s="1779"/>
      <c r="H1616" s="1032" t="str">
        <f>IF(A1616="","",VLOOKUP(A1616,'10'!$C$6:$E$1152,2,FALSE))</f>
        <v/>
      </c>
      <c r="I1616" s="1785" t="str">
        <f>IF(A1616="","",VLOOKUP(A1616,'10'!$C$6:$E$1152,3,FALSE))</f>
        <v/>
      </c>
      <c r="J1616" s="1412"/>
      <c r="K1616" s="1794"/>
      <c r="L1616" s="1795"/>
      <c r="M1616" s="1780"/>
      <c r="N1616" s="1779"/>
      <c r="O1616" s="799"/>
    </row>
    <row r="1617" spans="1:14" ht="13.5" x14ac:dyDescent="0.2">
      <c r="A1617" s="1792"/>
      <c r="B1617" s="1782"/>
      <c r="C1617" s="1782"/>
      <c r="D1617" s="1782"/>
      <c r="E1617" s="1782"/>
      <c r="F1617" s="1782"/>
      <c r="G1617" s="1779"/>
      <c r="H1617" s="1032" t="str">
        <f>IF(A1617="","",VLOOKUP(A1617,'10'!$C$6:$E$1152,2,FALSE))</f>
        <v/>
      </c>
      <c r="I1617" s="1785" t="str">
        <f>IF(A1617="","",VLOOKUP(A1617,'10'!$C$6:$E$1152,3,FALSE))</f>
        <v/>
      </c>
      <c r="J1617" s="1412"/>
      <c r="K1617" s="1794"/>
      <c r="L1617" s="1795"/>
      <c r="M1617" s="1780"/>
      <c r="N1617" s="1779"/>
    </row>
    <row r="1618" spans="1:14" ht="13.5" x14ac:dyDescent="0.2">
      <c r="A1618" s="1792"/>
      <c r="B1618" s="1782"/>
      <c r="C1618" s="1782"/>
      <c r="D1618" s="1782"/>
      <c r="E1618" s="1782"/>
      <c r="F1618" s="1782"/>
      <c r="G1618" s="1779"/>
      <c r="H1618" s="1032"/>
      <c r="I1618" s="1785"/>
      <c r="J1618" s="1412"/>
      <c r="K1618" s="1794"/>
      <c r="L1618" s="1795"/>
      <c r="M1618" s="1780"/>
      <c r="N1618" s="1779"/>
    </row>
    <row r="1619" spans="1:14" ht="13.5" x14ac:dyDescent="0.2">
      <c r="A1619" s="1792"/>
      <c r="B1619" s="1782"/>
      <c r="C1619" s="1782"/>
      <c r="D1619" s="1782"/>
      <c r="E1619" s="1782"/>
      <c r="F1619" s="1782"/>
      <c r="G1619" s="1779"/>
      <c r="H1619" s="1032"/>
      <c r="I1619" s="1785"/>
      <c r="J1619" s="1412"/>
      <c r="K1619" s="1794"/>
      <c r="L1619" s="1795"/>
      <c r="M1619" s="1780"/>
      <c r="N1619" s="1779"/>
    </row>
    <row r="1620" spans="1:14" ht="13.5" x14ac:dyDescent="0.2">
      <c r="A1620" s="1792"/>
      <c r="B1620" s="1782"/>
      <c r="C1620" s="1782"/>
      <c r="D1620" s="1782"/>
      <c r="E1620" s="1782"/>
      <c r="F1620" s="1782"/>
      <c r="G1620" s="1779"/>
      <c r="H1620" s="1032" t="str">
        <f>IF(A1620="","",VLOOKUP(A1620,'10'!$C$6:$E$1152,2,FALSE))</f>
        <v/>
      </c>
      <c r="I1620" s="1785" t="str">
        <f>IF(A1620="","",VLOOKUP(A1620,'10'!$C$6:$E$1152,3,FALSE))</f>
        <v/>
      </c>
      <c r="J1620" s="1412"/>
      <c r="K1620" s="1794"/>
      <c r="L1620" s="1795"/>
      <c r="M1620" s="1780"/>
      <c r="N1620" s="1779"/>
    </row>
    <row r="1621" spans="1:14" ht="13.5" x14ac:dyDescent="0.2">
      <c r="A1621" s="1792"/>
      <c r="B1621" s="1782"/>
      <c r="C1621" s="1782"/>
      <c r="D1621" s="1782"/>
      <c r="E1621" s="1782"/>
      <c r="F1621" s="1782"/>
      <c r="G1621" s="1779"/>
      <c r="H1621" s="1032"/>
      <c r="I1621" s="1785"/>
      <c r="J1621" s="1412"/>
      <c r="K1621" s="1794"/>
      <c r="L1621" s="1795"/>
      <c r="M1621" s="1780"/>
      <c r="N1621" s="1779"/>
    </row>
    <row r="1622" spans="1:14" ht="13.5" x14ac:dyDescent="0.2">
      <c r="A1622" s="1792"/>
      <c r="B1622" s="1782"/>
      <c r="C1622" s="1782"/>
      <c r="D1622" s="1782"/>
      <c r="E1622" s="1782"/>
      <c r="F1622" s="1782"/>
      <c r="G1622" s="1779"/>
      <c r="H1622" s="1032"/>
      <c r="I1622" s="1785"/>
      <c r="J1622" s="1412"/>
      <c r="K1622" s="1794"/>
      <c r="L1622" s="1795"/>
      <c r="M1622" s="1780"/>
      <c r="N1622" s="1779"/>
    </row>
    <row r="1623" spans="1:14" ht="13.5" x14ac:dyDescent="0.2">
      <c r="A1623" s="1792"/>
      <c r="B1623" s="1782"/>
      <c r="C1623" s="1782"/>
      <c r="D1623" s="1782"/>
      <c r="E1623" s="1782"/>
      <c r="F1623" s="1782"/>
      <c r="G1623" s="1779"/>
      <c r="H1623" s="1032"/>
      <c r="I1623" s="1785"/>
      <c r="J1623" s="1412"/>
      <c r="K1623" s="1794"/>
      <c r="L1623" s="1795"/>
      <c r="M1623" s="1780"/>
      <c r="N1623" s="1779"/>
    </row>
    <row r="1624" spans="1:14" ht="13.5" x14ac:dyDescent="0.25">
      <c r="A1624" s="1138"/>
      <c r="B1624" s="1138"/>
      <c r="C1624" s="1138"/>
      <c r="D1624" s="1138"/>
      <c r="E1624" s="1138"/>
      <c r="F1624" s="1138"/>
      <c r="G1624" s="1138"/>
      <c r="H1624" s="1138"/>
      <c r="I1624" s="1138"/>
      <c r="J1624" s="1138"/>
      <c r="K1624" s="1778" t="s">
        <v>523</v>
      </c>
      <c r="L1624" s="1779"/>
      <c r="M1624" s="1780">
        <f>SUM(M1614:N1618)</f>
        <v>0</v>
      </c>
      <c r="N1624" s="1779"/>
    </row>
    <row r="1625" spans="1:14" ht="13.5" x14ac:dyDescent="0.25">
      <c r="A1625" s="1138"/>
      <c r="B1625" s="1138"/>
      <c r="C1625" s="1138"/>
      <c r="D1625" s="1138"/>
      <c r="E1625" s="1138"/>
      <c r="F1625" s="1138"/>
      <c r="G1625" s="1138"/>
      <c r="H1625" s="1138"/>
      <c r="I1625" s="1138"/>
      <c r="J1625" s="1138"/>
      <c r="K1625" s="1138"/>
      <c r="L1625" s="1138"/>
      <c r="M1625" s="1138"/>
      <c r="N1625" s="1138"/>
    </row>
    <row r="1626" spans="1:14" x14ac:dyDescent="0.2">
      <c r="A1626" s="1781" t="s">
        <v>2145</v>
      </c>
      <c r="B1626" s="1782"/>
      <c r="C1626" s="1782"/>
      <c r="D1626" s="1782"/>
      <c r="E1626" s="1782"/>
      <c r="F1626" s="1782"/>
      <c r="G1626" s="1782"/>
      <c r="H1626" s="1782"/>
      <c r="I1626" s="1782"/>
      <c r="J1626" s="1782"/>
      <c r="K1626" s="1782"/>
      <c r="L1626" s="1782"/>
      <c r="M1626" s="1782"/>
      <c r="N1626" s="1779"/>
    </row>
    <row r="1627" spans="1:14" x14ac:dyDescent="0.2">
      <c r="A1627" s="1778" t="s">
        <v>14</v>
      </c>
      <c r="B1627" s="1782"/>
      <c r="C1627" s="1782"/>
      <c r="D1627" s="1782"/>
      <c r="E1627" s="1782"/>
      <c r="F1627" s="1782"/>
      <c r="G1627" s="1779"/>
      <c r="H1627" s="1136" t="s">
        <v>15</v>
      </c>
      <c r="I1627" s="1783" t="s">
        <v>619</v>
      </c>
      <c r="J1627" s="1779"/>
      <c r="K1627" s="1783" t="s">
        <v>610</v>
      </c>
      <c r="L1627" s="1779"/>
      <c r="M1627" s="1783" t="s">
        <v>2140</v>
      </c>
      <c r="N1627" s="1779"/>
    </row>
    <row r="1628" spans="1:14" ht="13.5" x14ac:dyDescent="0.2">
      <c r="A1628" s="1789" t="s">
        <v>131</v>
      </c>
      <c r="B1628" s="1790"/>
      <c r="C1628" s="1790"/>
      <c r="D1628" s="1790"/>
      <c r="E1628" s="1790"/>
      <c r="F1628" s="1790"/>
      <c r="G1628" s="1791"/>
      <c r="H1628" s="1032" t="str">
        <f>IF(A1628="","",VLOOKUP(A1628,'11'!$C$6:$E$87,2,FALSE))</f>
        <v>DIA</v>
      </c>
      <c r="I1628" s="1785">
        <f>IF(A1628="","",VLOOKUP(A1628,'11'!$C$6:$E$87,3,FALSE))</f>
        <v>15000</v>
      </c>
      <c r="J1628" s="1412"/>
      <c r="K1628" s="1787">
        <v>50</v>
      </c>
      <c r="L1628" s="1793"/>
      <c r="M1628" s="1780">
        <f>I1628/K1628</f>
        <v>300</v>
      </c>
      <c r="N1628" s="1779"/>
    </row>
    <row r="1629" spans="1:14" ht="13.5" x14ac:dyDescent="0.2">
      <c r="A1629" s="1789"/>
      <c r="B1629" s="1790"/>
      <c r="C1629" s="1790"/>
      <c r="D1629" s="1790"/>
      <c r="E1629" s="1790"/>
      <c r="F1629" s="1790"/>
      <c r="G1629" s="1791"/>
      <c r="H1629" s="1032" t="str">
        <f>IF(A1629="","",VLOOKUP(A1629,'11'!$C$6:$E$87,2,FALSE))</f>
        <v/>
      </c>
      <c r="I1629" s="1785" t="str">
        <f>IF(A1629="","",VLOOKUP(A1629,'11'!$C$6:$E$87,3,FALSE))</f>
        <v/>
      </c>
      <c r="J1629" s="1412"/>
      <c r="K1629" s="1794"/>
      <c r="L1629" s="1779"/>
      <c r="M1629" s="1780"/>
      <c r="N1629" s="1779"/>
    </row>
    <row r="1630" spans="1:14" ht="13.5" x14ac:dyDescent="0.2">
      <c r="A1630" s="1789"/>
      <c r="B1630" s="1790"/>
      <c r="C1630" s="1790"/>
      <c r="D1630" s="1790"/>
      <c r="E1630" s="1790"/>
      <c r="F1630" s="1790"/>
      <c r="G1630" s="1791"/>
      <c r="H1630" s="1032" t="str">
        <f>IF(A1630="","",VLOOKUP(A1630,'11'!$C$6:$E$87,2,FALSE))</f>
        <v/>
      </c>
      <c r="I1630" s="1785" t="str">
        <f>IF(A1630="","",VLOOKUP(A1630,'11'!$C$6:$E$87,3,FALSE))</f>
        <v/>
      </c>
      <c r="J1630" s="1412"/>
      <c r="K1630" s="1787"/>
      <c r="L1630" s="1779"/>
      <c r="M1630" s="1780"/>
      <c r="N1630" s="1779"/>
    </row>
    <row r="1631" spans="1:14" ht="13.5" x14ac:dyDescent="0.2">
      <c r="A1631" s="1789"/>
      <c r="B1631" s="1790"/>
      <c r="C1631" s="1790"/>
      <c r="D1631" s="1790"/>
      <c r="E1631" s="1790"/>
      <c r="F1631" s="1790"/>
      <c r="G1631" s="1791"/>
      <c r="H1631" s="1032" t="str">
        <f>IF(A1631="","",VLOOKUP(A1631,'11'!$C$6:$E$87,2,FALSE))</f>
        <v/>
      </c>
      <c r="I1631" s="1785" t="str">
        <f>IF(A1631="","",VLOOKUP(A1631,'11'!$C$6:$E$87,3,FALSE))</f>
        <v/>
      </c>
      <c r="J1631" s="1412"/>
      <c r="K1631" s="1787"/>
      <c r="L1631" s="1779"/>
      <c r="M1631" s="1780"/>
      <c r="N1631" s="1779"/>
    </row>
    <row r="1632" spans="1:14" ht="13.5" x14ac:dyDescent="0.2">
      <c r="A1632" s="1789"/>
      <c r="B1632" s="1782"/>
      <c r="C1632" s="1782"/>
      <c r="D1632" s="1782"/>
      <c r="E1632" s="1782"/>
      <c r="F1632" s="1782"/>
      <c r="G1632" s="1779"/>
      <c r="H1632" s="1137"/>
      <c r="I1632" s="1780"/>
      <c r="J1632" s="1779"/>
      <c r="K1632" s="1787"/>
      <c r="L1632" s="1779"/>
      <c r="M1632" s="1780"/>
      <c r="N1632" s="1779"/>
    </row>
    <row r="1633" spans="1:14" ht="13.5" x14ac:dyDescent="0.25">
      <c r="A1633" s="1138"/>
      <c r="B1633" s="1138"/>
      <c r="C1633" s="1138"/>
      <c r="D1633" s="1138"/>
      <c r="E1633" s="1138"/>
      <c r="F1633" s="1138"/>
      <c r="G1633" s="1138"/>
      <c r="H1633" s="1138"/>
      <c r="I1633" s="1138"/>
      <c r="J1633" s="1138"/>
      <c r="K1633" s="1778" t="s">
        <v>523</v>
      </c>
      <c r="L1633" s="1779"/>
      <c r="M1633" s="1780">
        <f>SUM(M1628:N1632)</f>
        <v>300</v>
      </c>
      <c r="N1633" s="1779"/>
    </row>
    <row r="1634" spans="1:14" ht="13.5" x14ac:dyDescent="0.25">
      <c r="A1634" s="1138"/>
      <c r="B1634" s="1138"/>
      <c r="C1634" s="1138"/>
      <c r="D1634" s="1138"/>
      <c r="E1634" s="1138"/>
      <c r="F1634" s="1138"/>
      <c r="G1634" s="1138"/>
      <c r="H1634" s="1138"/>
      <c r="I1634" s="1138"/>
      <c r="J1634" s="1138"/>
      <c r="K1634" s="1138"/>
      <c r="L1634" s="1138"/>
      <c r="M1634" s="1138"/>
      <c r="N1634" s="1138"/>
    </row>
    <row r="1635" spans="1:14" x14ac:dyDescent="0.2">
      <c r="A1635" s="1781" t="s">
        <v>2147</v>
      </c>
      <c r="B1635" s="1782"/>
      <c r="C1635" s="1782"/>
      <c r="D1635" s="1782"/>
      <c r="E1635" s="1782"/>
      <c r="F1635" s="1782"/>
      <c r="G1635" s="1782"/>
      <c r="H1635" s="1782"/>
      <c r="I1635" s="1782"/>
      <c r="J1635" s="1782"/>
      <c r="K1635" s="1782"/>
      <c r="L1635" s="1782"/>
      <c r="M1635" s="1782"/>
      <c r="N1635" s="1779"/>
    </row>
    <row r="1636" spans="1:14" x14ac:dyDescent="0.2">
      <c r="A1636" s="1778" t="s">
        <v>14</v>
      </c>
      <c r="B1636" s="1782"/>
      <c r="C1636" s="1782"/>
      <c r="D1636" s="1782"/>
      <c r="E1636" s="1782"/>
      <c r="F1636" s="1782"/>
      <c r="G1636" s="1779"/>
      <c r="H1636" s="1136" t="s">
        <v>15</v>
      </c>
      <c r="I1636" s="1783" t="s">
        <v>619</v>
      </c>
      <c r="J1636" s="1779"/>
      <c r="K1636" s="1783" t="s">
        <v>628</v>
      </c>
      <c r="L1636" s="1779"/>
      <c r="M1636" s="1783" t="s">
        <v>2140</v>
      </c>
      <c r="N1636" s="1779"/>
    </row>
    <row r="1637" spans="1:14" ht="13.5" x14ac:dyDescent="0.2">
      <c r="A1637" s="1792" t="s">
        <v>2328</v>
      </c>
      <c r="B1637" s="1782"/>
      <c r="C1637" s="1782"/>
      <c r="D1637" s="1782"/>
      <c r="E1637" s="1782"/>
      <c r="F1637" s="1782"/>
      <c r="G1637" s="1779"/>
      <c r="H1637" s="1032" t="str">
        <f>IF(A1637="","",VLOOKUP(A1637,'11'!$C$6:$E$1012,2,FALSE))</f>
        <v>KM-M3</v>
      </c>
      <c r="I1637" s="1785">
        <f>IF(A1637="","",VLOOKUP(A1637,'11'!$C$6:$E$1012,3,FALSE))</f>
        <v>1440</v>
      </c>
      <c r="J1637" s="1412"/>
      <c r="K1637" s="1787">
        <v>0</v>
      </c>
      <c r="L1637" s="1793"/>
      <c r="M1637" s="1780">
        <f t="shared" ref="M1637" si="76">IF(A1637="","",I1637*K1637)</f>
        <v>0</v>
      </c>
      <c r="N1637" s="1779"/>
    </row>
    <row r="1638" spans="1:14" ht="13.5" x14ac:dyDescent="0.2">
      <c r="A1638" s="1786"/>
      <c r="B1638" s="1782"/>
      <c r="C1638" s="1782"/>
      <c r="D1638" s="1782"/>
      <c r="E1638" s="1782"/>
      <c r="F1638" s="1782"/>
      <c r="G1638" s="1779"/>
      <c r="H1638" s="1032"/>
      <c r="I1638" s="1780"/>
      <c r="J1638" s="1779"/>
      <c r="K1638" s="1787"/>
      <c r="L1638" s="1779"/>
      <c r="M1638" s="1780"/>
      <c r="N1638" s="1779"/>
    </row>
    <row r="1639" spans="1:14" ht="13.5" x14ac:dyDescent="0.2">
      <c r="A1639" s="1786"/>
      <c r="B1639" s="1782"/>
      <c r="C1639" s="1782"/>
      <c r="D1639" s="1782"/>
      <c r="E1639" s="1782"/>
      <c r="F1639" s="1782"/>
      <c r="G1639" s="1779"/>
      <c r="H1639" s="1032"/>
      <c r="I1639" s="1780"/>
      <c r="J1639" s="1779"/>
      <c r="K1639" s="1788"/>
      <c r="L1639" s="1779"/>
      <c r="M1639" s="1780"/>
      <c r="N1639" s="1779"/>
    </row>
    <row r="1640" spans="1:14" ht="13.5" x14ac:dyDescent="0.2">
      <c r="A1640" s="1789"/>
      <c r="B1640" s="1782"/>
      <c r="C1640" s="1782"/>
      <c r="D1640" s="1782"/>
      <c r="E1640" s="1782"/>
      <c r="F1640" s="1782"/>
      <c r="G1640" s="1779"/>
      <c r="H1640" s="1137"/>
      <c r="I1640" s="1780"/>
      <c r="J1640" s="1779"/>
      <c r="K1640" s="1787"/>
      <c r="L1640" s="1779"/>
      <c r="M1640" s="1780"/>
      <c r="N1640" s="1779"/>
    </row>
    <row r="1641" spans="1:14" ht="13.5" x14ac:dyDescent="0.2">
      <c r="A1641" s="1789"/>
      <c r="B1641" s="1782"/>
      <c r="C1641" s="1782"/>
      <c r="D1641" s="1782"/>
      <c r="E1641" s="1782"/>
      <c r="F1641" s="1782"/>
      <c r="G1641" s="1779"/>
      <c r="H1641" s="1137"/>
      <c r="I1641" s="1780"/>
      <c r="J1641" s="1779"/>
      <c r="K1641" s="1787"/>
      <c r="L1641" s="1779"/>
      <c r="M1641" s="1780"/>
      <c r="N1641" s="1779"/>
    </row>
    <row r="1642" spans="1:14" ht="13.5" x14ac:dyDescent="0.25">
      <c r="A1642" s="1138"/>
      <c r="B1642" s="1138"/>
      <c r="C1642" s="1138"/>
      <c r="D1642" s="1138"/>
      <c r="E1642" s="1138"/>
      <c r="F1642" s="1138"/>
      <c r="G1642" s="1138"/>
      <c r="H1642" s="1138"/>
      <c r="I1642" s="1138"/>
      <c r="J1642" s="1138"/>
      <c r="K1642" s="1778" t="s">
        <v>523</v>
      </c>
      <c r="L1642" s="1779"/>
      <c r="M1642" s="1780">
        <f>SUM(M1637:N1641)</f>
        <v>0</v>
      </c>
      <c r="N1642" s="1779"/>
    </row>
    <row r="1643" spans="1:14" ht="13.5" x14ac:dyDescent="0.25">
      <c r="A1643" s="1138"/>
      <c r="B1643" s="1138"/>
      <c r="C1643" s="1138"/>
      <c r="D1643" s="1138"/>
      <c r="E1643" s="1138"/>
      <c r="F1643" s="1138"/>
      <c r="G1643" s="1138"/>
      <c r="H1643" s="1138"/>
      <c r="I1643" s="1138"/>
      <c r="J1643" s="1138"/>
      <c r="K1643" s="1138"/>
      <c r="L1643" s="1138"/>
      <c r="M1643" s="1138"/>
      <c r="N1643" s="1138"/>
    </row>
    <row r="1644" spans="1:14" x14ac:dyDescent="0.2">
      <c r="A1644" s="1781" t="s">
        <v>2150</v>
      </c>
      <c r="B1644" s="1782"/>
      <c r="C1644" s="1782"/>
      <c r="D1644" s="1782"/>
      <c r="E1644" s="1782"/>
      <c r="F1644" s="1782"/>
      <c r="G1644" s="1782"/>
      <c r="H1644" s="1782"/>
      <c r="I1644" s="1782"/>
      <c r="J1644" s="1782"/>
      <c r="K1644" s="1782"/>
      <c r="L1644" s="1782"/>
      <c r="M1644" s="1782"/>
      <c r="N1644" s="1779"/>
    </row>
    <row r="1645" spans="1:14" x14ac:dyDescent="0.2">
      <c r="A1645" s="1778" t="s">
        <v>14</v>
      </c>
      <c r="B1645" s="1782"/>
      <c r="C1645" s="1782"/>
      <c r="D1645" s="1782"/>
      <c r="E1645" s="1782"/>
      <c r="F1645" s="1782"/>
      <c r="G1645" s="1779"/>
      <c r="H1645" s="1136" t="s">
        <v>15</v>
      </c>
      <c r="I1645" s="1783" t="s">
        <v>619</v>
      </c>
      <c r="J1645" s="1779"/>
      <c r="K1645" s="1139" t="s">
        <v>1919</v>
      </c>
      <c r="L1645" s="1140" t="s">
        <v>2151</v>
      </c>
      <c r="M1645" s="1783" t="s">
        <v>2140</v>
      </c>
      <c r="N1645" s="1779"/>
    </row>
    <row r="1646" spans="1:14" ht="13.5" x14ac:dyDescent="0.25">
      <c r="A1646" s="1784" t="s">
        <v>2168</v>
      </c>
      <c r="B1646" s="1782"/>
      <c r="C1646" s="1782"/>
      <c r="D1646" s="1782"/>
      <c r="E1646" s="1782"/>
      <c r="F1646" s="1782"/>
      <c r="G1646" s="1779"/>
      <c r="H1646" s="1032" t="str">
        <f>IF(A1646="","",VLOOKUP(A1646,'09'!$A$22:$O$168,4,FALSE))</f>
        <v>Cuadrilla</v>
      </c>
      <c r="I1646" s="1785">
        <f>IF(A1646="","",VLOOKUP(A1646,'09'!$A$22:$O$168,5,FALSE))</f>
        <v>204272</v>
      </c>
      <c r="J1646" s="1412"/>
      <c r="K1646" s="1034">
        <f>IF(A1646="","",'03'!$I$2)</f>
        <v>1.88995</v>
      </c>
      <c r="L1646" s="1142">
        <v>1.5</v>
      </c>
      <c r="M1646" s="1780">
        <f>I1646*K1646/(L1646*8)</f>
        <v>32171.988866666667</v>
      </c>
      <c r="N1646" s="1779"/>
    </row>
    <row r="1647" spans="1:14" ht="13.5" x14ac:dyDescent="0.25">
      <c r="A1647" s="1784"/>
      <c r="B1647" s="1782"/>
      <c r="C1647" s="1782"/>
      <c r="D1647" s="1782"/>
      <c r="E1647" s="1782"/>
      <c r="F1647" s="1782"/>
      <c r="G1647" s="1779"/>
      <c r="H1647" s="1137"/>
      <c r="I1647" s="1780"/>
      <c r="J1647" s="1779"/>
      <c r="K1647" s="1141"/>
      <c r="L1647" s="1141"/>
      <c r="M1647" s="1780"/>
      <c r="N1647" s="1779"/>
    </row>
    <row r="1648" spans="1:14" ht="13.5" x14ac:dyDescent="0.25">
      <c r="A1648" s="1784"/>
      <c r="B1648" s="1782"/>
      <c r="C1648" s="1782"/>
      <c r="D1648" s="1782"/>
      <c r="E1648" s="1782"/>
      <c r="F1648" s="1782"/>
      <c r="G1648" s="1779"/>
      <c r="H1648" s="1137"/>
      <c r="I1648" s="1780"/>
      <c r="J1648" s="1779"/>
      <c r="K1648" s="1141"/>
      <c r="L1648" s="1143"/>
      <c r="M1648" s="1780"/>
      <c r="N1648" s="1779"/>
    </row>
    <row r="1649" spans="1:14" ht="13.5" x14ac:dyDescent="0.25">
      <c r="A1649" s="1784"/>
      <c r="B1649" s="1782"/>
      <c r="C1649" s="1782"/>
      <c r="D1649" s="1782"/>
      <c r="E1649" s="1782"/>
      <c r="F1649" s="1782"/>
      <c r="G1649" s="1779"/>
      <c r="H1649" s="1137"/>
      <c r="I1649" s="1780"/>
      <c r="J1649" s="1779"/>
      <c r="K1649" s="1141"/>
      <c r="L1649" s="1143"/>
      <c r="M1649" s="1780"/>
      <c r="N1649" s="1779"/>
    </row>
    <row r="1650" spans="1:14" ht="13.5" x14ac:dyDescent="0.25">
      <c r="A1650" s="1784"/>
      <c r="B1650" s="1782"/>
      <c r="C1650" s="1782"/>
      <c r="D1650" s="1782"/>
      <c r="E1650" s="1782"/>
      <c r="F1650" s="1782"/>
      <c r="G1650" s="1779"/>
      <c r="H1650" s="1137"/>
      <c r="I1650" s="1780"/>
      <c r="J1650" s="1779"/>
      <c r="K1650" s="1141"/>
      <c r="L1650" s="1143"/>
      <c r="M1650" s="1780"/>
      <c r="N1650" s="1779"/>
    </row>
    <row r="1651" spans="1:14" ht="13.5" x14ac:dyDescent="0.25">
      <c r="A1651" s="1138"/>
      <c r="B1651" s="1138"/>
      <c r="C1651" s="1138"/>
      <c r="D1651" s="1138"/>
      <c r="E1651" s="1138"/>
      <c r="F1651" s="1138"/>
      <c r="G1651" s="1138"/>
      <c r="H1651" s="1138"/>
      <c r="I1651" s="1138"/>
      <c r="J1651" s="1138"/>
      <c r="K1651" s="1778" t="s">
        <v>523</v>
      </c>
      <c r="L1651" s="1779"/>
      <c r="M1651" s="1780">
        <f>SUM(M1646:N1650)</f>
        <v>32171.988866666667</v>
      </c>
      <c r="N1651" s="1779"/>
    </row>
    <row r="1652" spans="1:14" x14ac:dyDescent="0.2">
      <c r="I1652" s="1414"/>
      <c r="J1652" s="1415"/>
      <c r="K1652" s="1415"/>
      <c r="L1652" s="1415"/>
      <c r="M1652" s="1415"/>
      <c r="N1652" s="1415"/>
    </row>
    <row r="1653" spans="1:14" ht="13.5" thickBot="1" x14ac:dyDescent="0.25">
      <c r="I1653" s="1416"/>
      <c r="J1653" s="1416"/>
      <c r="K1653" s="1416"/>
      <c r="L1653" s="1416"/>
      <c r="M1653" s="1416"/>
      <c r="N1653" s="1416"/>
    </row>
    <row r="1654" spans="1:14" ht="14.25" thickTop="1" x14ac:dyDescent="0.2">
      <c r="I1654" s="1417" t="s">
        <v>1829</v>
      </c>
      <c r="J1654" s="1418"/>
      <c r="K1654" s="1417" t="s">
        <v>2653</v>
      </c>
      <c r="L1654" s="1418"/>
      <c r="M1654" s="1418"/>
      <c r="N1654" s="1418"/>
    </row>
    <row r="1655" spans="1:14" ht="13.5" x14ac:dyDescent="0.2">
      <c r="I1655" s="1419" t="s">
        <v>1831</v>
      </c>
      <c r="J1655" s="1420"/>
      <c r="K1655" s="1419"/>
      <c r="L1655" s="1420"/>
      <c r="M1655" s="1420"/>
      <c r="N1655" s="1420"/>
    </row>
    <row r="1656" spans="1:14" x14ac:dyDescent="0.2">
      <c r="A1656" s="1796" t="s">
        <v>2369</v>
      </c>
      <c r="B1656" s="1797"/>
      <c r="C1656" s="1797"/>
      <c r="D1656" s="1797"/>
      <c r="E1656" s="1797"/>
      <c r="F1656" s="1797"/>
      <c r="G1656" s="1797"/>
      <c r="H1656" s="1797"/>
      <c r="I1656" s="1797"/>
      <c r="J1656" s="1797"/>
      <c r="K1656" s="1797"/>
      <c r="L1656" s="1797"/>
      <c r="M1656" s="1797"/>
      <c r="N1656" s="1798"/>
    </row>
    <row r="1657" spans="1:14" x14ac:dyDescent="0.2">
      <c r="A1657" s="1799"/>
      <c r="B1657" s="1800"/>
      <c r="C1657" s="1800"/>
      <c r="D1657" s="1800"/>
      <c r="E1657" s="1800"/>
      <c r="F1657" s="1800"/>
      <c r="G1657" s="1800"/>
      <c r="H1657" s="1800"/>
      <c r="I1657" s="1800"/>
      <c r="J1657" s="1800"/>
      <c r="K1657" s="1800"/>
      <c r="L1657" s="1800"/>
      <c r="M1657" s="1800"/>
      <c r="N1657" s="1801"/>
    </row>
    <row r="1658" spans="1:14" ht="13.5" x14ac:dyDescent="0.2">
      <c r="A1658" s="1128"/>
      <c r="B1658" s="1128"/>
      <c r="C1658" s="1128"/>
      <c r="D1658" s="1128"/>
      <c r="E1658" s="1128"/>
      <c r="F1658" s="1128"/>
      <c r="G1658" s="1128"/>
      <c r="H1658" s="1128"/>
      <c r="I1658" s="1128"/>
      <c r="J1658" s="1128"/>
      <c r="K1658" s="1128"/>
      <c r="L1658" s="1128"/>
      <c r="M1658" s="1128"/>
      <c r="N1658" s="1128"/>
    </row>
    <row r="1659" spans="1:14" ht="14.25" x14ac:dyDescent="0.3">
      <c r="A1659" s="1104" t="s">
        <v>2368</v>
      </c>
      <c r="B1659" s="1129" t="str">
        <f>A1656</f>
        <v>MATERIAL SOPORTE EN INSTALACION DE TUBERIA. CAMA DE ARENA DE BASE 0.10 METROS Y 0.15 METROS POR ENCIMA DE LA COTA CLAVE DE LA TUBERIA.</v>
      </c>
      <c r="C1659" s="1130" t="s">
        <v>634</v>
      </c>
      <c r="D1659" s="1107" t="s">
        <v>12</v>
      </c>
      <c r="E1659" s="1132" t="s">
        <v>1833</v>
      </c>
      <c r="F1659" s="1133">
        <f>H1659+J1659+L1659+N1659</f>
        <v>80587.995228571424</v>
      </c>
      <c r="G1659" s="1132" t="s">
        <v>2136</v>
      </c>
      <c r="H1659" s="1133">
        <f>M1682</f>
        <v>500</v>
      </c>
      <c r="I1659" s="1132" t="s">
        <v>621</v>
      </c>
      <c r="J1659" s="1134">
        <f>M1673</f>
        <v>43260</v>
      </c>
      <c r="K1659" s="1132" t="s">
        <v>2137</v>
      </c>
      <c r="L1659" s="1133">
        <f>M1691</f>
        <v>23040</v>
      </c>
      <c r="M1659" s="1132" t="s">
        <v>2138</v>
      </c>
      <c r="N1659" s="1133">
        <f>M1700</f>
        <v>13787.995228571428</v>
      </c>
    </row>
    <row r="1660" spans="1:14" ht="13.5" x14ac:dyDescent="0.25">
      <c r="A1660" s="1135"/>
      <c r="B1660" s="1135"/>
      <c r="C1660" s="1135"/>
      <c r="D1660" s="1135"/>
      <c r="E1660" s="1135"/>
      <c r="F1660" s="1135"/>
      <c r="G1660" s="1135"/>
      <c r="J1660" s="1135"/>
      <c r="K1660" s="1135"/>
      <c r="L1660" s="1135"/>
      <c r="M1660" s="1270" t="s">
        <v>2667</v>
      </c>
      <c r="N1660" s="1270">
        <f>+F1659*'01'!$O$15</f>
        <v>104305.35712080231</v>
      </c>
    </row>
    <row r="1661" spans="1:14" x14ac:dyDescent="0.2">
      <c r="A1661" s="1781" t="s">
        <v>2139</v>
      </c>
      <c r="B1661" s="1782"/>
      <c r="C1661" s="1782"/>
      <c r="D1661" s="1782"/>
      <c r="E1661" s="1782"/>
      <c r="F1661" s="1782"/>
      <c r="G1661" s="1782"/>
      <c r="H1661" s="1782"/>
      <c r="I1661" s="1782"/>
      <c r="J1661" s="1782"/>
      <c r="K1661" s="1782"/>
      <c r="L1661" s="1782"/>
      <c r="M1661" s="1782"/>
      <c r="N1661" s="1779"/>
    </row>
    <row r="1662" spans="1:14" x14ac:dyDescent="0.2">
      <c r="A1662" s="1778" t="s">
        <v>14</v>
      </c>
      <c r="B1662" s="1782"/>
      <c r="C1662" s="1782"/>
      <c r="D1662" s="1782"/>
      <c r="E1662" s="1782"/>
      <c r="F1662" s="1782"/>
      <c r="G1662" s="1779"/>
      <c r="H1662" s="1136" t="s">
        <v>15</v>
      </c>
      <c r="I1662" s="1783" t="s">
        <v>619</v>
      </c>
      <c r="J1662" s="1779"/>
      <c r="K1662" s="1783" t="s">
        <v>628</v>
      </c>
      <c r="L1662" s="1779"/>
      <c r="M1662" s="1783" t="s">
        <v>2140</v>
      </c>
      <c r="N1662" s="1779"/>
    </row>
    <row r="1663" spans="1:14" ht="13.5" customHeight="1" x14ac:dyDescent="0.2">
      <c r="A1663" s="1792" t="s">
        <v>1780</v>
      </c>
      <c r="B1663" s="1782"/>
      <c r="C1663" s="1782"/>
      <c r="D1663" s="1782"/>
      <c r="E1663" s="1782"/>
      <c r="F1663" s="1782"/>
      <c r="G1663" s="1779"/>
      <c r="H1663" s="1032" t="str">
        <f>IF(A1663="","",VLOOKUP(A1663,'10'!$C$6:$E$1152,2,FALSE))</f>
        <v>M3</v>
      </c>
      <c r="I1663" s="1785">
        <f>IF(A1663="","",VLOOKUP(A1663,'10'!$C$6:$E$1152,3,FALSE))</f>
        <v>42000</v>
      </c>
      <c r="J1663" s="1412"/>
      <c r="K1663" s="1794">
        <v>1.03</v>
      </c>
      <c r="L1663" s="1795"/>
      <c r="M1663" s="1780">
        <f>K1663*I1663</f>
        <v>43260</v>
      </c>
      <c r="N1663" s="1779"/>
    </row>
    <row r="1664" spans="1:14" ht="13.5" customHeight="1" x14ac:dyDescent="0.2">
      <c r="A1664" s="1792"/>
      <c r="B1664" s="1782"/>
      <c r="C1664" s="1782"/>
      <c r="D1664" s="1782"/>
      <c r="E1664" s="1782"/>
      <c r="F1664" s="1782"/>
      <c r="G1664" s="1779"/>
      <c r="H1664" s="1032"/>
      <c r="I1664" s="1785"/>
      <c r="J1664" s="1412"/>
      <c r="K1664" s="1794"/>
      <c r="L1664" s="1795"/>
      <c r="M1664" s="1780"/>
      <c r="N1664" s="1779"/>
    </row>
    <row r="1665" spans="1:15" ht="13.5" x14ac:dyDescent="0.2">
      <c r="A1665" s="1792"/>
      <c r="B1665" s="1782"/>
      <c r="C1665" s="1782"/>
      <c r="D1665" s="1782"/>
      <c r="E1665" s="1782"/>
      <c r="F1665" s="1782"/>
      <c r="G1665" s="1779"/>
      <c r="H1665" s="1032"/>
      <c r="I1665" s="1785"/>
      <c r="J1665" s="1412"/>
      <c r="K1665" s="1794"/>
      <c r="L1665" s="1795"/>
      <c r="M1665" s="1780"/>
      <c r="N1665" s="1779"/>
      <c r="O1665" s="799"/>
    </row>
    <row r="1666" spans="1:15" ht="13.5" x14ac:dyDescent="0.2">
      <c r="A1666" s="1792"/>
      <c r="B1666" s="1782"/>
      <c r="C1666" s="1782"/>
      <c r="D1666" s="1782"/>
      <c r="E1666" s="1782"/>
      <c r="F1666" s="1782"/>
      <c r="G1666" s="1779"/>
      <c r="H1666" s="1032"/>
      <c r="I1666" s="1785"/>
      <c r="J1666" s="1412"/>
      <c r="K1666" s="1794"/>
      <c r="L1666" s="1795"/>
      <c r="M1666" s="1780"/>
      <c r="N1666" s="1779"/>
    </row>
    <row r="1667" spans="1:15" ht="13.5" x14ac:dyDescent="0.2">
      <c r="A1667" s="1792"/>
      <c r="B1667" s="1782"/>
      <c r="C1667" s="1782"/>
      <c r="D1667" s="1782"/>
      <c r="E1667" s="1782"/>
      <c r="F1667" s="1782"/>
      <c r="G1667" s="1779"/>
      <c r="H1667" s="1032"/>
      <c r="I1667" s="1785"/>
      <c r="J1667" s="1412"/>
      <c r="K1667" s="1794"/>
      <c r="L1667" s="1795"/>
      <c r="M1667" s="1780"/>
      <c r="N1667" s="1779"/>
    </row>
    <row r="1668" spans="1:15" ht="13.5" x14ac:dyDescent="0.2">
      <c r="A1668" s="1792"/>
      <c r="B1668" s="1782"/>
      <c r="C1668" s="1782"/>
      <c r="D1668" s="1782"/>
      <c r="E1668" s="1782"/>
      <c r="F1668" s="1782"/>
      <c r="G1668" s="1779"/>
      <c r="H1668" s="1032"/>
      <c r="I1668" s="1785"/>
      <c r="J1668" s="1412"/>
      <c r="K1668" s="1794"/>
      <c r="L1668" s="1795"/>
      <c r="M1668" s="1780"/>
      <c r="N1668" s="1779"/>
    </row>
    <row r="1669" spans="1:15" ht="13.5" x14ac:dyDescent="0.2">
      <c r="A1669" s="1792"/>
      <c r="B1669" s="1782"/>
      <c r="C1669" s="1782"/>
      <c r="D1669" s="1782"/>
      <c r="E1669" s="1782"/>
      <c r="F1669" s="1782"/>
      <c r="G1669" s="1779"/>
      <c r="H1669" s="1032" t="str">
        <f>IF(A1669="","",VLOOKUP(A1669,'10'!$C$6:$E$1152,2,FALSE))</f>
        <v/>
      </c>
      <c r="I1669" s="1785" t="str">
        <f>IF(A1669="","",VLOOKUP(A1669,'10'!$C$6:$E$1152,3,FALSE))</f>
        <v/>
      </c>
      <c r="J1669" s="1412"/>
      <c r="K1669" s="1794"/>
      <c r="L1669" s="1795"/>
      <c r="M1669" s="1780"/>
      <c r="N1669" s="1779"/>
    </row>
    <row r="1670" spans="1:15" ht="13.5" x14ac:dyDescent="0.2">
      <c r="A1670" s="1792"/>
      <c r="B1670" s="1782"/>
      <c r="C1670" s="1782"/>
      <c r="D1670" s="1782"/>
      <c r="E1670" s="1782"/>
      <c r="F1670" s="1782"/>
      <c r="G1670" s="1779"/>
      <c r="H1670" s="1032"/>
      <c r="I1670" s="1785"/>
      <c r="J1670" s="1412"/>
      <c r="K1670" s="1794"/>
      <c r="L1670" s="1795"/>
      <c r="M1670" s="1780"/>
      <c r="N1670" s="1779"/>
    </row>
    <row r="1671" spans="1:15" ht="13.5" x14ac:dyDescent="0.2">
      <c r="A1671" s="1792"/>
      <c r="B1671" s="1782"/>
      <c r="C1671" s="1782"/>
      <c r="D1671" s="1782"/>
      <c r="E1671" s="1782"/>
      <c r="F1671" s="1782"/>
      <c r="G1671" s="1779"/>
      <c r="H1671" s="1032"/>
      <c r="I1671" s="1785"/>
      <c r="J1671" s="1412"/>
      <c r="K1671" s="1794"/>
      <c r="L1671" s="1795"/>
      <c r="M1671" s="1780"/>
      <c r="N1671" s="1779"/>
    </row>
    <row r="1672" spans="1:15" ht="13.5" x14ac:dyDescent="0.2">
      <c r="A1672" s="1792"/>
      <c r="B1672" s="1782"/>
      <c r="C1672" s="1782"/>
      <c r="D1672" s="1782"/>
      <c r="E1672" s="1782"/>
      <c r="F1672" s="1782"/>
      <c r="G1672" s="1779"/>
      <c r="H1672" s="1032"/>
      <c r="I1672" s="1785"/>
      <c r="J1672" s="1412"/>
      <c r="K1672" s="1794"/>
      <c r="L1672" s="1795"/>
      <c r="M1672" s="1780"/>
      <c r="N1672" s="1779"/>
    </row>
    <row r="1673" spans="1:15" ht="13.5" x14ac:dyDescent="0.25">
      <c r="A1673" s="1138"/>
      <c r="B1673" s="1138"/>
      <c r="C1673" s="1138"/>
      <c r="D1673" s="1138"/>
      <c r="E1673" s="1138"/>
      <c r="F1673" s="1138"/>
      <c r="G1673" s="1138"/>
      <c r="H1673" s="1138"/>
      <c r="I1673" s="1138"/>
      <c r="J1673" s="1138"/>
      <c r="K1673" s="1778" t="s">
        <v>523</v>
      </c>
      <c r="L1673" s="1779"/>
      <c r="M1673" s="1780">
        <f>SUM(M1663:N1667)</f>
        <v>43260</v>
      </c>
      <c r="N1673" s="1779"/>
    </row>
    <row r="1674" spans="1:15" ht="13.5" x14ac:dyDescent="0.25">
      <c r="A1674" s="1138"/>
      <c r="B1674" s="1138"/>
      <c r="C1674" s="1138"/>
      <c r="D1674" s="1138"/>
      <c r="E1674" s="1138"/>
      <c r="F1674" s="1138"/>
      <c r="G1674" s="1138"/>
      <c r="H1674" s="1138"/>
      <c r="I1674" s="1138"/>
      <c r="J1674" s="1138"/>
      <c r="K1674" s="1138"/>
      <c r="L1674" s="1138"/>
      <c r="M1674" s="1138"/>
      <c r="N1674" s="1138"/>
    </row>
    <row r="1675" spans="1:15" x14ac:dyDescent="0.2">
      <c r="A1675" s="1781" t="s">
        <v>2145</v>
      </c>
      <c r="B1675" s="1782"/>
      <c r="C1675" s="1782"/>
      <c r="D1675" s="1782"/>
      <c r="E1675" s="1782"/>
      <c r="F1675" s="1782"/>
      <c r="G1675" s="1782"/>
      <c r="H1675" s="1782"/>
      <c r="I1675" s="1782"/>
      <c r="J1675" s="1782"/>
      <c r="K1675" s="1782"/>
      <c r="L1675" s="1782"/>
      <c r="M1675" s="1782"/>
      <c r="N1675" s="1779"/>
    </row>
    <row r="1676" spans="1:15" x14ac:dyDescent="0.2">
      <c r="A1676" s="1778" t="s">
        <v>14</v>
      </c>
      <c r="B1676" s="1782"/>
      <c r="C1676" s="1782"/>
      <c r="D1676" s="1782"/>
      <c r="E1676" s="1782"/>
      <c r="F1676" s="1782"/>
      <c r="G1676" s="1779"/>
      <c r="H1676" s="1136" t="s">
        <v>15</v>
      </c>
      <c r="I1676" s="1783" t="s">
        <v>619</v>
      </c>
      <c r="J1676" s="1779"/>
      <c r="K1676" s="1783" t="s">
        <v>610</v>
      </c>
      <c r="L1676" s="1779"/>
      <c r="M1676" s="1783" t="s">
        <v>2140</v>
      </c>
      <c r="N1676" s="1779"/>
    </row>
    <row r="1677" spans="1:15" ht="13.5" x14ac:dyDescent="0.2">
      <c r="A1677" s="1789" t="s">
        <v>131</v>
      </c>
      <c r="B1677" s="1790"/>
      <c r="C1677" s="1790"/>
      <c r="D1677" s="1790"/>
      <c r="E1677" s="1790"/>
      <c r="F1677" s="1790"/>
      <c r="G1677" s="1791"/>
      <c r="H1677" s="1032" t="str">
        <f>IF(A1677="","",VLOOKUP(A1677,'11'!$C$6:$E$87,2,FALSE))</f>
        <v>DIA</v>
      </c>
      <c r="I1677" s="1785">
        <f>IF(A1677="","",VLOOKUP(A1677,'11'!$C$6:$E$87,3,FALSE))</f>
        <v>15000</v>
      </c>
      <c r="J1677" s="1412"/>
      <c r="K1677" s="1787">
        <v>30</v>
      </c>
      <c r="L1677" s="1793"/>
      <c r="M1677" s="1780">
        <f>I1677/K1677</f>
        <v>500</v>
      </c>
      <c r="N1677" s="1779"/>
    </row>
    <row r="1678" spans="1:15" ht="13.5" x14ac:dyDescent="0.2">
      <c r="A1678" s="1789"/>
      <c r="B1678" s="1790"/>
      <c r="C1678" s="1790"/>
      <c r="D1678" s="1790"/>
      <c r="E1678" s="1790"/>
      <c r="F1678" s="1790"/>
      <c r="G1678" s="1791"/>
      <c r="H1678" s="1032" t="str">
        <f>IF(A1678="","",VLOOKUP(A1678,'11'!$C$6:$E$87,2,FALSE))</f>
        <v/>
      </c>
      <c r="I1678" s="1785" t="str">
        <f>IF(A1678="","",VLOOKUP(A1678,'11'!$C$6:$E$87,3,FALSE))</f>
        <v/>
      </c>
      <c r="J1678" s="1412"/>
      <c r="K1678" s="1794"/>
      <c r="L1678" s="1779"/>
      <c r="M1678" s="1780"/>
      <c r="N1678" s="1779"/>
    </row>
    <row r="1679" spans="1:15" ht="13.5" x14ac:dyDescent="0.2">
      <c r="A1679" s="1789"/>
      <c r="B1679" s="1790"/>
      <c r="C1679" s="1790"/>
      <c r="D1679" s="1790"/>
      <c r="E1679" s="1790"/>
      <c r="F1679" s="1790"/>
      <c r="G1679" s="1791"/>
      <c r="H1679" s="1032" t="str">
        <f>IF(A1679="","",VLOOKUP(A1679,'11'!$C$6:$E$87,2,FALSE))</f>
        <v/>
      </c>
      <c r="I1679" s="1785" t="str">
        <f>IF(A1679="","",VLOOKUP(A1679,'11'!$C$6:$E$87,3,FALSE))</f>
        <v/>
      </c>
      <c r="J1679" s="1412"/>
      <c r="K1679" s="1787"/>
      <c r="L1679" s="1779"/>
      <c r="M1679" s="1780"/>
      <c r="N1679" s="1779"/>
    </row>
    <row r="1680" spans="1:15" ht="13.5" x14ac:dyDescent="0.2">
      <c r="A1680" s="1789"/>
      <c r="B1680" s="1790"/>
      <c r="C1680" s="1790"/>
      <c r="D1680" s="1790"/>
      <c r="E1680" s="1790"/>
      <c r="F1680" s="1790"/>
      <c r="G1680" s="1791"/>
      <c r="H1680" s="1032" t="str">
        <f>IF(A1680="","",VLOOKUP(A1680,'11'!$C$6:$E$87,2,FALSE))</f>
        <v/>
      </c>
      <c r="I1680" s="1785" t="str">
        <f>IF(A1680="","",VLOOKUP(A1680,'11'!$C$6:$E$87,3,FALSE))</f>
        <v/>
      </c>
      <c r="J1680" s="1412"/>
      <c r="K1680" s="1787"/>
      <c r="L1680" s="1779"/>
      <c r="M1680" s="1780"/>
      <c r="N1680" s="1779"/>
    </row>
    <row r="1681" spans="1:14" ht="13.5" x14ac:dyDescent="0.2">
      <c r="A1681" s="1789"/>
      <c r="B1681" s="1782"/>
      <c r="C1681" s="1782"/>
      <c r="D1681" s="1782"/>
      <c r="E1681" s="1782"/>
      <c r="F1681" s="1782"/>
      <c r="G1681" s="1779"/>
      <c r="H1681" s="1137"/>
      <c r="I1681" s="1780"/>
      <c r="J1681" s="1779"/>
      <c r="K1681" s="1787"/>
      <c r="L1681" s="1779"/>
      <c r="M1681" s="1780"/>
      <c r="N1681" s="1779"/>
    </row>
    <row r="1682" spans="1:14" ht="13.5" x14ac:dyDescent="0.25">
      <c r="A1682" s="1138"/>
      <c r="B1682" s="1138"/>
      <c r="C1682" s="1138"/>
      <c r="D1682" s="1138"/>
      <c r="E1682" s="1138"/>
      <c r="F1682" s="1138"/>
      <c r="G1682" s="1138"/>
      <c r="H1682" s="1138"/>
      <c r="I1682" s="1138"/>
      <c r="J1682" s="1138"/>
      <c r="K1682" s="1778" t="s">
        <v>523</v>
      </c>
      <c r="L1682" s="1779"/>
      <c r="M1682" s="1780">
        <f>SUM(M1677:N1681)</f>
        <v>500</v>
      </c>
      <c r="N1682" s="1779"/>
    </row>
    <row r="1683" spans="1:14" ht="13.5" x14ac:dyDescent="0.25">
      <c r="A1683" s="1138"/>
      <c r="B1683" s="1138"/>
      <c r="C1683" s="1138"/>
      <c r="D1683" s="1138"/>
      <c r="E1683" s="1138"/>
      <c r="F1683" s="1138"/>
      <c r="G1683" s="1138"/>
      <c r="H1683" s="1138"/>
      <c r="I1683" s="1138"/>
      <c r="J1683" s="1138"/>
      <c r="K1683" s="1138"/>
      <c r="L1683" s="1138"/>
      <c r="M1683" s="1138"/>
      <c r="N1683" s="1138"/>
    </row>
    <row r="1684" spans="1:14" x14ac:dyDescent="0.2">
      <c r="A1684" s="1781" t="s">
        <v>2147</v>
      </c>
      <c r="B1684" s="1782"/>
      <c r="C1684" s="1782"/>
      <c r="D1684" s="1782"/>
      <c r="E1684" s="1782"/>
      <c r="F1684" s="1782"/>
      <c r="G1684" s="1782"/>
      <c r="H1684" s="1782"/>
      <c r="I1684" s="1782"/>
      <c r="J1684" s="1782"/>
      <c r="K1684" s="1782"/>
      <c r="L1684" s="1782"/>
      <c r="M1684" s="1782"/>
      <c r="N1684" s="1779"/>
    </row>
    <row r="1685" spans="1:14" x14ac:dyDescent="0.2">
      <c r="A1685" s="1778" t="s">
        <v>14</v>
      </c>
      <c r="B1685" s="1782"/>
      <c r="C1685" s="1782"/>
      <c r="D1685" s="1782"/>
      <c r="E1685" s="1782"/>
      <c r="F1685" s="1782"/>
      <c r="G1685" s="1779"/>
      <c r="H1685" s="1136" t="s">
        <v>15</v>
      </c>
      <c r="I1685" s="1783" t="s">
        <v>619</v>
      </c>
      <c r="J1685" s="1779"/>
      <c r="K1685" s="1783" t="s">
        <v>628</v>
      </c>
      <c r="L1685" s="1779"/>
      <c r="M1685" s="1783" t="s">
        <v>2140</v>
      </c>
      <c r="N1685" s="1779"/>
    </row>
    <row r="1686" spans="1:14" ht="13.5" x14ac:dyDescent="0.2">
      <c r="A1686" s="1792" t="s">
        <v>2328</v>
      </c>
      <c r="B1686" s="1782"/>
      <c r="C1686" s="1782"/>
      <c r="D1686" s="1782"/>
      <c r="E1686" s="1782"/>
      <c r="F1686" s="1782"/>
      <c r="G1686" s="1779"/>
      <c r="H1686" s="1032" t="str">
        <f>IF(A1686="","",VLOOKUP(A1686,'11'!$C$6:$E$1012,2,FALSE))</f>
        <v>KM-M3</v>
      </c>
      <c r="I1686" s="1785">
        <f>IF(A1686="","",VLOOKUP(A1686,'11'!$C$6:$E$1012,3,FALSE))</f>
        <v>1440</v>
      </c>
      <c r="J1686" s="1412"/>
      <c r="K1686" s="1787">
        <v>16</v>
      </c>
      <c r="L1686" s="1793"/>
      <c r="M1686" s="1780">
        <f t="shared" ref="M1686" si="77">IF(A1686="","",I1686*K1686)</f>
        <v>23040</v>
      </c>
      <c r="N1686" s="1779"/>
    </row>
    <row r="1687" spans="1:14" ht="13.5" x14ac:dyDescent="0.2">
      <c r="A1687" s="1786"/>
      <c r="B1687" s="1782"/>
      <c r="C1687" s="1782"/>
      <c r="D1687" s="1782"/>
      <c r="E1687" s="1782"/>
      <c r="F1687" s="1782"/>
      <c r="G1687" s="1779"/>
      <c r="H1687" s="1032"/>
      <c r="I1687" s="1780"/>
      <c r="J1687" s="1779"/>
      <c r="K1687" s="1787"/>
      <c r="L1687" s="1779"/>
      <c r="M1687" s="1780"/>
      <c r="N1687" s="1779"/>
    </row>
    <row r="1688" spans="1:14" ht="13.5" x14ac:dyDescent="0.2">
      <c r="A1688" s="1786"/>
      <c r="B1688" s="1782"/>
      <c r="C1688" s="1782"/>
      <c r="D1688" s="1782"/>
      <c r="E1688" s="1782"/>
      <c r="F1688" s="1782"/>
      <c r="G1688" s="1779"/>
      <c r="H1688" s="1032"/>
      <c r="I1688" s="1780"/>
      <c r="J1688" s="1779"/>
      <c r="K1688" s="1788"/>
      <c r="L1688" s="1779"/>
      <c r="M1688" s="1780"/>
      <c r="N1688" s="1779"/>
    </row>
    <row r="1689" spans="1:14" ht="13.5" x14ac:dyDescent="0.2">
      <c r="A1689" s="1789"/>
      <c r="B1689" s="1782"/>
      <c r="C1689" s="1782"/>
      <c r="D1689" s="1782"/>
      <c r="E1689" s="1782"/>
      <c r="F1689" s="1782"/>
      <c r="G1689" s="1779"/>
      <c r="H1689" s="1137"/>
      <c r="I1689" s="1780"/>
      <c r="J1689" s="1779"/>
      <c r="K1689" s="1787"/>
      <c r="L1689" s="1779"/>
      <c r="M1689" s="1780"/>
      <c r="N1689" s="1779"/>
    </row>
    <row r="1690" spans="1:14" ht="13.5" x14ac:dyDescent="0.2">
      <c r="A1690" s="1789"/>
      <c r="B1690" s="1782"/>
      <c r="C1690" s="1782"/>
      <c r="D1690" s="1782"/>
      <c r="E1690" s="1782"/>
      <c r="F1690" s="1782"/>
      <c r="G1690" s="1779"/>
      <c r="H1690" s="1137"/>
      <c r="I1690" s="1780"/>
      <c r="J1690" s="1779"/>
      <c r="K1690" s="1787"/>
      <c r="L1690" s="1779"/>
      <c r="M1690" s="1780"/>
      <c r="N1690" s="1779"/>
    </row>
    <row r="1691" spans="1:14" ht="13.5" x14ac:dyDescent="0.25">
      <c r="A1691" s="1138"/>
      <c r="B1691" s="1138"/>
      <c r="C1691" s="1138"/>
      <c r="D1691" s="1138"/>
      <c r="E1691" s="1138"/>
      <c r="F1691" s="1138"/>
      <c r="G1691" s="1138"/>
      <c r="H1691" s="1138"/>
      <c r="I1691" s="1138"/>
      <c r="J1691" s="1138"/>
      <c r="K1691" s="1778" t="s">
        <v>523</v>
      </c>
      <c r="L1691" s="1779"/>
      <c r="M1691" s="1780">
        <f>SUM(M1686:N1690)</f>
        <v>23040</v>
      </c>
      <c r="N1691" s="1779"/>
    </row>
    <row r="1692" spans="1:14" ht="13.5" x14ac:dyDescent="0.25">
      <c r="A1692" s="1138"/>
      <c r="B1692" s="1138"/>
      <c r="C1692" s="1138"/>
      <c r="D1692" s="1138"/>
      <c r="E1692" s="1138"/>
      <c r="F1692" s="1138"/>
      <c r="G1692" s="1138"/>
      <c r="H1692" s="1138"/>
      <c r="I1692" s="1138"/>
      <c r="J1692" s="1138"/>
      <c r="K1692" s="1138"/>
      <c r="L1692" s="1138"/>
      <c r="M1692" s="1138"/>
      <c r="N1692" s="1138"/>
    </row>
    <row r="1693" spans="1:14" x14ac:dyDescent="0.2">
      <c r="A1693" s="1781" t="s">
        <v>2150</v>
      </c>
      <c r="B1693" s="1782"/>
      <c r="C1693" s="1782"/>
      <c r="D1693" s="1782"/>
      <c r="E1693" s="1782"/>
      <c r="F1693" s="1782"/>
      <c r="G1693" s="1782"/>
      <c r="H1693" s="1782"/>
      <c r="I1693" s="1782"/>
      <c r="J1693" s="1782"/>
      <c r="K1693" s="1782"/>
      <c r="L1693" s="1782"/>
      <c r="M1693" s="1782"/>
      <c r="N1693" s="1779"/>
    </row>
    <row r="1694" spans="1:14" x14ac:dyDescent="0.2">
      <c r="A1694" s="1778" t="s">
        <v>14</v>
      </c>
      <c r="B1694" s="1782"/>
      <c r="C1694" s="1782"/>
      <c r="D1694" s="1782"/>
      <c r="E1694" s="1782"/>
      <c r="F1694" s="1782"/>
      <c r="G1694" s="1779"/>
      <c r="H1694" s="1136" t="s">
        <v>15</v>
      </c>
      <c r="I1694" s="1783" t="s">
        <v>619</v>
      </c>
      <c r="J1694" s="1779"/>
      <c r="K1694" s="1139" t="s">
        <v>1919</v>
      </c>
      <c r="L1694" s="1140" t="s">
        <v>2151</v>
      </c>
      <c r="M1694" s="1783" t="s">
        <v>2140</v>
      </c>
      <c r="N1694" s="1779"/>
    </row>
    <row r="1695" spans="1:14" ht="13.5" x14ac:dyDescent="0.25">
      <c r="A1695" s="1784" t="s">
        <v>2168</v>
      </c>
      <c r="B1695" s="1782"/>
      <c r="C1695" s="1782"/>
      <c r="D1695" s="1782"/>
      <c r="E1695" s="1782"/>
      <c r="F1695" s="1782"/>
      <c r="G1695" s="1779"/>
      <c r="H1695" s="1032" t="str">
        <f>IF(A1695="","",VLOOKUP(A1695,'09'!$A$22:$O$168,4,FALSE))</f>
        <v>Cuadrilla</v>
      </c>
      <c r="I1695" s="1785">
        <f>IF(A1695="","",VLOOKUP(A1695,'09'!$A$22:$O$168,5,FALSE))</f>
        <v>204272</v>
      </c>
      <c r="J1695" s="1412"/>
      <c r="K1695" s="1034">
        <f>IF(A1695="","",'03'!$I$2)</f>
        <v>1.88995</v>
      </c>
      <c r="L1695" s="1142">
        <v>3.5</v>
      </c>
      <c r="M1695" s="1780">
        <f>I1695*K1695/(L1695*8)</f>
        <v>13787.995228571428</v>
      </c>
      <c r="N1695" s="1779"/>
    </row>
    <row r="1696" spans="1:14" ht="13.5" x14ac:dyDescent="0.25">
      <c r="A1696" s="1784"/>
      <c r="B1696" s="1782"/>
      <c r="C1696" s="1782"/>
      <c r="D1696" s="1782"/>
      <c r="E1696" s="1782"/>
      <c r="F1696" s="1782"/>
      <c r="G1696" s="1779"/>
      <c r="H1696" s="1137"/>
      <c r="I1696" s="1780"/>
      <c r="J1696" s="1779"/>
      <c r="K1696" s="1141"/>
      <c r="L1696" s="1141"/>
      <c r="M1696" s="1780"/>
      <c r="N1696" s="1779"/>
    </row>
    <row r="1697" spans="1:14" ht="13.5" x14ac:dyDescent="0.25">
      <c r="A1697" s="1784"/>
      <c r="B1697" s="1782"/>
      <c r="C1697" s="1782"/>
      <c r="D1697" s="1782"/>
      <c r="E1697" s="1782"/>
      <c r="F1697" s="1782"/>
      <c r="G1697" s="1779"/>
      <c r="H1697" s="1137"/>
      <c r="I1697" s="1780"/>
      <c r="J1697" s="1779"/>
      <c r="K1697" s="1141"/>
      <c r="L1697" s="1143"/>
      <c r="M1697" s="1780"/>
      <c r="N1697" s="1779"/>
    </row>
    <row r="1698" spans="1:14" ht="13.5" x14ac:dyDescent="0.25">
      <c r="A1698" s="1784"/>
      <c r="B1698" s="1782"/>
      <c r="C1698" s="1782"/>
      <c r="D1698" s="1782"/>
      <c r="E1698" s="1782"/>
      <c r="F1698" s="1782"/>
      <c r="G1698" s="1779"/>
      <c r="H1698" s="1137"/>
      <c r="I1698" s="1780"/>
      <c r="J1698" s="1779"/>
      <c r="K1698" s="1141"/>
      <c r="L1698" s="1143"/>
      <c r="M1698" s="1780"/>
      <c r="N1698" s="1779"/>
    </row>
    <row r="1699" spans="1:14" ht="13.5" x14ac:dyDescent="0.25">
      <c r="A1699" s="1784"/>
      <c r="B1699" s="1782"/>
      <c r="C1699" s="1782"/>
      <c r="D1699" s="1782"/>
      <c r="E1699" s="1782"/>
      <c r="F1699" s="1782"/>
      <c r="G1699" s="1779"/>
      <c r="H1699" s="1137"/>
      <c r="I1699" s="1780"/>
      <c r="J1699" s="1779"/>
      <c r="K1699" s="1141"/>
      <c r="L1699" s="1143"/>
      <c r="M1699" s="1780"/>
      <c r="N1699" s="1779"/>
    </row>
    <row r="1700" spans="1:14" ht="13.5" x14ac:dyDescent="0.25">
      <c r="A1700" s="1138"/>
      <c r="B1700" s="1138"/>
      <c r="C1700" s="1138"/>
      <c r="D1700" s="1138"/>
      <c r="E1700" s="1138"/>
      <c r="F1700" s="1138"/>
      <c r="G1700" s="1138"/>
      <c r="H1700" s="1138"/>
      <c r="I1700" s="1138"/>
      <c r="J1700" s="1138"/>
      <c r="K1700" s="1778" t="s">
        <v>523</v>
      </c>
      <c r="L1700" s="1779"/>
      <c r="M1700" s="1780">
        <f>SUM(M1695:N1699)</f>
        <v>13787.995228571428</v>
      </c>
      <c r="N1700" s="1779"/>
    </row>
    <row r="1701" spans="1:14" x14ac:dyDescent="0.2">
      <c r="I1701" s="1414"/>
      <c r="J1701" s="1415"/>
      <c r="K1701" s="1415"/>
      <c r="L1701" s="1415"/>
      <c r="M1701" s="1415"/>
      <c r="N1701" s="1415"/>
    </row>
    <row r="1702" spans="1:14" ht="13.5" thickBot="1" x14ac:dyDescent="0.25">
      <c r="I1702" s="1416"/>
      <c r="J1702" s="1416"/>
      <c r="K1702" s="1416"/>
      <c r="L1702" s="1416"/>
      <c r="M1702" s="1416"/>
      <c r="N1702" s="1416"/>
    </row>
    <row r="1703" spans="1:14" ht="14.25" thickTop="1" x14ac:dyDescent="0.2">
      <c r="I1703" s="1417" t="s">
        <v>1829</v>
      </c>
      <c r="J1703" s="1418"/>
      <c r="K1703" s="1417" t="s">
        <v>2653</v>
      </c>
      <c r="L1703" s="1418"/>
      <c r="M1703" s="1418"/>
      <c r="N1703" s="1418"/>
    </row>
    <row r="1704" spans="1:14" ht="13.5" x14ac:dyDescent="0.2">
      <c r="I1704" s="1419" t="s">
        <v>1831</v>
      </c>
      <c r="J1704" s="1420"/>
      <c r="K1704" s="1419"/>
      <c r="L1704" s="1420"/>
      <c r="M1704" s="1420"/>
      <c r="N1704" s="1420"/>
    </row>
    <row r="1705" spans="1:14" x14ac:dyDescent="0.2">
      <c r="A1705" s="1796" t="s">
        <v>2373</v>
      </c>
      <c r="B1705" s="1797"/>
      <c r="C1705" s="1797"/>
      <c r="D1705" s="1797"/>
      <c r="E1705" s="1797"/>
      <c r="F1705" s="1797"/>
      <c r="G1705" s="1797"/>
      <c r="H1705" s="1797"/>
      <c r="I1705" s="1797"/>
      <c r="J1705" s="1797"/>
      <c r="K1705" s="1797"/>
      <c r="L1705" s="1797"/>
      <c r="M1705" s="1797"/>
      <c r="N1705" s="1798"/>
    </row>
    <row r="1706" spans="1:14" x14ac:dyDescent="0.2">
      <c r="A1706" s="1799"/>
      <c r="B1706" s="1800"/>
      <c r="C1706" s="1800"/>
      <c r="D1706" s="1800"/>
      <c r="E1706" s="1800"/>
      <c r="F1706" s="1800"/>
      <c r="G1706" s="1800"/>
      <c r="H1706" s="1800"/>
      <c r="I1706" s="1800"/>
      <c r="J1706" s="1800"/>
      <c r="K1706" s="1800"/>
      <c r="L1706" s="1800"/>
      <c r="M1706" s="1800"/>
      <c r="N1706" s="1801"/>
    </row>
    <row r="1707" spans="1:14" ht="13.5" x14ac:dyDescent="0.2">
      <c r="A1707" s="1128"/>
      <c r="B1707" s="1128"/>
      <c r="C1707" s="1128"/>
      <c r="D1707" s="1128"/>
      <c r="E1707" s="1128"/>
      <c r="F1707" s="1128"/>
      <c r="G1707" s="1128"/>
      <c r="H1707" s="1128"/>
      <c r="I1707" s="1128"/>
      <c r="J1707" s="1128"/>
      <c r="K1707" s="1128"/>
      <c r="L1707" s="1128"/>
      <c r="M1707" s="1128"/>
      <c r="N1707" s="1128"/>
    </row>
    <row r="1708" spans="1:14" ht="14.25" x14ac:dyDescent="0.3">
      <c r="A1708" s="1104" t="s">
        <v>2372</v>
      </c>
      <c r="B1708" s="1129" t="str">
        <f>A1705</f>
        <v>SUMINISTRO E INSTALACIÓN PASAMURO HD 4" BXB=0,75M Z=0.375 M.</v>
      </c>
      <c r="C1708" s="1130" t="s">
        <v>634</v>
      </c>
      <c r="D1708" s="1107" t="s">
        <v>2</v>
      </c>
      <c r="E1708" s="1132" t="s">
        <v>1833</v>
      </c>
      <c r="F1708" s="1133">
        <f>H1708+J1708+L1708+N1708</f>
        <v>612473.39384895843</v>
      </c>
      <c r="G1708" s="1132" t="s">
        <v>2136</v>
      </c>
      <c r="H1708" s="1133">
        <f>M1731</f>
        <v>833.33333333333337</v>
      </c>
      <c r="I1708" s="1132" t="s">
        <v>621</v>
      </c>
      <c r="J1708" s="1134">
        <f>M1722</f>
        <v>535500</v>
      </c>
      <c r="K1708" s="1132" t="s">
        <v>2137</v>
      </c>
      <c r="L1708" s="1133">
        <f>M1740</f>
        <v>7200</v>
      </c>
      <c r="M1708" s="1132" t="s">
        <v>2138</v>
      </c>
      <c r="N1708" s="1133">
        <f>M1749</f>
        <v>68940.060515624995</v>
      </c>
    </row>
    <row r="1709" spans="1:14" ht="13.5" x14ac:dyDescent="0.25">
      <c r="A1709" s="1135"/>
      <c r="B1709" s="1135"/>
      <c r="C1709" s="1135"/>
      <c r="D1709" s="1135"/>
      <c r="E1709" s="1135"/>
      <c r="F1709" s="1135"/>
      <c r="G1709" s="1135"/>
      <c r="J1709" s="1135"/>
      <c r="K1709" s="1135"/>
      <c r="L1709" s="1135"/>
      <c r="M1709" s="1270" t="s">
        <v>2667</v>
      </c>
      <c r="N1709" s="1270">
        <f>+F1708*'01'!$O$15</f>
        <v>792726.70688991249</v>
      </c>
    </row>
    <row r="1710" spans="1:14" x14ac:dyDescent="0.2">
      <c r="A1710" s="1781" t="s">
        <v>2139</v>
      </c>
      <c r="B1710" s="1782"/>
      <c r="C1710" s="1782"/>
      <c r="D1710" s="1782"/>
      <c r="E1710" s="1782"/>
      <c r="F1710" s="1782"/>
      <c r="G1710" s="1782"/>
      <c r="H1710" s="1782"/>
      <c r="I1710" s="1782"/>
      <c r="J1710" s="1782"/>
      <c r="K1710" s="1782"/>
      <c r="L1710" s="1782"/>
      <c r="M1710" s="1782"/>
      <c r="N1710" s="1779"/>
    </row>
    <row r="1711" spans="1:14" x14ac:dyDescent="0.2">
      <c r="A1711" s="1778" t="s">
        <v>14</v>
      </c>
      <c r="B1711" s="1782"/>
      <c r="C1711" s="1782"/>
      <c r="D1711" s="1782"/>
      <c r="E1711" s="1782"/>
      <c r="F1711" s="1782"/>
      <c r="G1711" s="1779"/>
      <c r="H1711" s="1136" t="s">
        <v>15</v>
      </c>
      <c r="I1711" s="1783" t="s">
        <v>619</v>
      </c>
      <c r="J1711" s="1779"/>
      <c r="K1711" s="1783" t="s">
        <v>628</v>
      </c>
      <c r="L1711" s="1779"/>
      <c r="M1711" s="1783" t="s">
        <v>2140</v>
      </c>
      <c r="N1711" s="1779"/>
    </row>
    <row r="1712" spans="1:14" ht="13.5" customHeight="1" x14ac:dyDescent="0.2">
      <c r="A1712" s="1792" t="s">
        <v>909</v>
      </c>
      <c r="B1712" s="1782"/>
      <c r="C1712" s="1782"/>
      <c r="D1712" s="1782"/>
      <c r="E1712" s="1782"/>
      <c r="F1712" s="1782"/>
      <c r="G1712" s="1779"/>
      <c r="H1712" s="1032" t="str">
        <f>IF(A1712="","",VLOOKUP(A1712,'10'!$C$6:$E$1152,2,FALSE))</f>
        <v>UND</v>
      </c>
      <c r="I1712" s="1785">
        <f>IF(A1712="","",VLOOKUP(A1712,'10'!$C$6:$E$1152,3,FALSE))</f>
        <v>535500</v>
      </c>
      <c r="J1712" s="1412"/>
      <c r="K1712" s="1794">
        <v>1</v>
      </c>
      <c r="L1712" s="1795"/>
      <c r="M1712" s="1780">
        <f>K1712*I1712</f>
        <v>535500</v>
      </c>
      <c r="N1712" s="1779"/>
    </row>
    <row r="1713" spans="1:15" ht="13.5" customHeight="1" x14ac:dyDescent="0.2">
      <c r="A1713" s="1792"/>
      <c r="B1713" s="1782"/>
      <c r="C1713" s="1782"/>
      <c r="D1713" s="1782"/>
      <c r="E1713" s="1782"/>
      <c r="F1713" s="1782"/>
      <c r="G1713" s="1779"/>
      <c r="H1713" s="1032"/>
      <c r="I1713" s="1785"/>
      <c r="J1713" s="1412"/>
      <c r="K1713" s="1794"/>
      <c r="L1713" s="1795"/>
      <c r="M1713" s="1780"/>
      <c r="N1713" s="1779"/>
    </row>
    <row r="1714" spans="1:15" ht="13.5" x14ac:dyDescent="0.2">
      <c r="A1714" s="1792"/>
      <c r="B1714" s="1782"/>
      <c r="C1714" s="1782"/>
      <c r="D1714" s="1782"/>
      <c r="E1714" s="1782"/>
      <c r="F1714" s="1782"/>
      <c r="G1714" s="1779"/>
      <c r="H1714" s="1032"/>
      <c r="I1714" s="1785"/>
      <c r="J1714" s="1412"/>
      <c r="K1714" s="1794"/>
      <c r="L1714" s="1795"/>
      <c r="M1714" s="1780"/>
      <c r="N1714" s="1779"/>
      <c r="O1714" s="799"/>
    </row>
    <row r="1715" spans="1:15" ht="13.5" x14ac:dyDescent="0.2">
      <c r="A1715" s="1792"/>
      <c r="B1715" s="1782"/>
      <c r="C1715" s="1782"/>
      <c r="D1715" s="1782"/>
      <c r="E1715" s="1782"/>
      <c r="F1715" s="1782"/>
      <c r="G1715" s="1779"/>
      <c r="H1715" s="1032"/>
      <c r="I1715" s="1785"/>
      <c r="J1715" s="1412"/>
      <c r="K1715" s="1794"/>
      <c r="L1715" s="1795"/>
      <c r="M1715" s="1780"/>
      <c r="N1715" s="1779"/>
    </row>
    <row r="1716" spans="1:15" ht="13.5" x14ac:dyDescent="0.2">
      <c r="A1716" s="1792"/>
      <c r="B1716" s="1782"/>
      <c r="C1716" s="1782"/>
      <c r="D1716" s="1782"/>
      <c r="E1716" s="1782"/>
      <c r="F1716" s="1782"/>
      <c r="G1716" s="1779"/>
      <c r="H1716" s="1032"/>
      <c r="I1716" s="1785"/>
      <c r="J1716" s="1412"/>
      <c r="K1716" s="1794"/>
      <c r="L1716" s="1795"/>
      <c r="M1716" s="1780"/>
      <c r="N1716" s="1779"/>
    </row>
    <row r="1717" spans="1:15" ht="13.5" x14ac:dyDescent="0.2">
      <c r="A1717" s="1792"/>
      <c r="B1717" s="1782"/>
      <c r="C1717" s="1782"/>
      <c r="D1717" s="1782"/>
      <c r="E1717" s="1782"/>
      <c r="F1717" s="1782"/>
      <c r="G1717" s="1779"/>
      <c r="H1717" s="1032"/>
      <c r="I1717" s="1785"/>
      <c r="J1717" s="1412"/>
      <c r="K1717" s="1794"/>
      <c r="L1717" s="1795"/>
      <c r="M1717" s="1780"/>
      <c r="N1717" s="1779"/>
    </row>
    <row r="1718" spans="1:15" ht="13.5" x14ac:dyDescent="0.2">
      <c r="A1718" s="1792"/>
      <c r="B1718" s="1782"/>
      <c r="C1718" s="1782"/>
      <c r="D1718" s="1782"/>
      <c r="E1718" s="1782"/>
      <c r="F1718" s="1782"/>
      <c r="G1718" s="1779"/>
      <c r="H1718" s="1032" t="str">
        <f>IF(A1718="","",VLOOKUP(A1718,'10'!$C$6:$E$1152,2,FALSE))</f>
        <v/>
      </c>
      <c r="I1718" s="1785" t="str">
        <f>IF(A1718="","",VLOOKUP(A1718,'10'!$C$6:$E$1152,3,FALSE))</f>
        <v/>
      </c>
      <c r="J1718" s="1412"/>
      <c r="K1718" s="1794"/>
      <c r="L1718" s="1795"/>
      <c r="M1718" s="1780"/>
      <c r="N1718" s="1779"/>
    </row>
    <row r="1719" spans="1:15" ht="13.5" x14ac:dyDescent="0.2">
      <c r="A1719" s="1792"/>
      <c r="B1719" s="1782"/>
      <c r="C1719" s="1782"/>
      <c r="D1719" s="1782"/>
      <c r="E1719" s="1782"/>
      <c r="F1719" s="1782"/>
      <c r="G1719" s="1779"/>
      <c r="H1719" s="1032"/>
      <c r="I1719" s="1785"/>
      <c r="J1719" s="1412"/>
      <c r="K1719" s="1794"/>
      <c r="L1719" s="1795"/>
      <c r="M1719" s="1780"/>
      <c r="N1719" s="1779"/>
    </row>
    <row r="1720" spans="1:15" ht="13.5" x14ac:dyDescent="0.2">
      <c r="A1720" s="1792"/>
      <c r="B1720" s="1782"/>
      <c r="C1720" s="1782"/>
      <c r="D1720" s="1782"/>
      <c r="E1720" s="1782"/>
      <c r="F1720" s="1782"/>
      <c r="G1720" s="1779"/>
      <c r="H1720" s="1032"/>
      <c r="I1720" s="1785"/>
      <c r="J1720" s="1412"/>
      <c r="K1720" s="1794"/>
      <c r="L1720" s="1795"/>
      <c r="M1720" s="1780"/>
      <c r="N1720" s="1779"/>
    </row>
    <row r="1721" spans="1:15" ht="13.5" x14ac:dyDescent="0.2">
      <c r="A1721" s="1792"/>
      <c r="B1721" s="1782"/>
      <c r="C1721" s="1782"/>
      <c r="D1721" s="1782"/>
      <c r="E1721" s="1782"/>
      <c r="F1721" s="1782"/>
      <c r="G1721" s="1779"/>
      <c r="H1721" s="1032"/>
      <c r="I1721" s="1785"/>
      <c r="J1721" s="1412"/>
      <c r="K1721" s="1794"/>
      <c r="L1721" s="1795"/>
      <c r="M1721" s="1780"/>
      <c r="N1721" s="1779"/>
    </row>
    <row r="1722" spans="1:15" ht="13.5" x14ac:dyDescent="0.25">
      <c r="A1722" s="1138"/>
      <c r="B1722" s="1138"/>
      <c r="C1722" s="1138"/>
      <c r="D1722" s="1138"/>
      <c r="E1722" s="1138"/>
      <c r="F1722" s="1138"/>
      <c r="G1722" s="1138"/>
      <c r="H1722" s="1138"/>
      <c r="I1722" s="1138"/>
      <c r="J1722" s="1138"/>
      <c r="K1722" s="1778" t="s">
        <v>523</v>
      </c>
      <c r="L1722" s="1779"/>
      <c r="M1722" s="1780">
        <f>SUM(M1712:N1716)</f>
        <v>535500</v>
      </c>
      <c r="N1722" s="1779"/>
    </row>
    <row r="1723" spans="1:15" ht="13.5" x14ac:dyDescent="0.25">
      <c r="A1723" s="1138"/>
      <c r="B1723" s="1138"/>
      <c r="C1723" s="1138"/>
      <c r="D1723" s="1138"/>
      <c r="E1723" s="1138"/>
      <c r="F1723" s="1138"/>
      <c r="G1723" s="1138"/>
      <c r="H1723" s="1138"/>
      <c r="I1723" s="1138"/>
      <c r="J1723" s="1138"/>
      <c r="K1723" s="1138"/>
      <c r="L1723" s="1138"/>
      <c r="M1723" s="1138"/>
      <c r="N1723" s="1138"/>
    </row>
    <row r="1724" spans="1:15" x14ac:dyDescent="0.2">
      <c r="A1724" s="1781" t="s">
        <v>2145</v>
      </c>
      <c r="B1724" s="1782"/>
      <c r="C1724" s="1782"/>
      <c r="D1724" s="1782"/>
      <c r="E1724" s="1782"/>
      <c r="F1724" s="1782"/>
      <c r="G1724" s="1782"/>
      <c r="H1724" s="1782"/>
      <c r="I1724" s="1782"/>
      <c r="J1724" s="1782"/>
      <c r="K1724" s="1782"/>
      <c r="L1724" s="1782"/>
      <c r="M1724" s="1782"/>
      <c r="N1724" s="1779"/>
    </row>
    <row r="1725" spans="1:15" x14ac:dyDescent="0.2">
      <c r="A1725" s="1778" t="s">
        <v>14</v>
      </c>
      <c r="B1725" s="1782"/>
      <c r="C1725" s="1782"/>
      <c r="D1725" s="1782"/>
      <c r="E1725" s="1782"/>
      <c r="F1725" s="1782"/>
      <c r="G1725" s="1779"/>
      <c r="H1725" s="1136" t="s">
        <v>15</v>
      </c>
      <c r="I1725" s="1783" t="s">
        <v>619</v>
      </c>
      <c r="J1725" s="1779"/>
      <c r="K1725" s="1783" t="s">
        <v>610</v>
      </c>
      <c r="L1725" s="1779"/>
      <c r="M1725" s="1783" t="s">
        <v>2140</v>
      </c>
      <c r="N1725" s="1779"/>
    </row>
    <row r="1726" spans="1:15" ht="13.5" x14ac:dyDescent="0.2">
      <c r="A1726" s="1789" t="s">
        <v>131</v>
      </c>
      <c r="B1726" s="1790"/>
      <c r="C1726" s="1790"/>
      <c r="D1726" s="1790"/>
      <c r="E1726" s="1790"/>
      <c r="F1726" s="1790"/>
      <c r="G1726" s="1791"/>
      <c r="H1726" s="1032" t="str">
        <f>IF(A1726="","",VLOOKUP(A1726,'11'!$C$6:$E$87,2,FALSE))</f>
        <v>DIA</v>
      </c>
      <c r="I1726" s="1785">
        <f>IF(A1726="","",VLOOKUP(A1726,'11'!$C$6:$E$87,3,FALSE))</f>
        <v>15000</v>
      </c>
      <c r="J1726" s="1412"/>
      <c r="K1726" s="1787">
        <v>18</v>
      </c>
      <c r="L1726" s="1793"/>
      <c r="M1726" s="1780">
        <f>I1726/K1726</f>
        <v>833.33333333333337</v>
      </c>
      <c r="N1726" s="1779"/>
    </row>
    <row r="1727" spans="1:15" ht="13.5" x14ac:dyDescent="0.2">
      <c r="A1727" s="1789"/>
      <c r="B1727" s="1790"/>
      <c r="C1727" s="1790"/>
      <c r="D1727" s="1790"/>
      <c r="E1727" s="1790"/>
      <c r="F1727" s="1790"/>
      <c r="G1727" s="1791"/>
      <c r="H1727" s="1032" t="str">
        <f>IF(A1727="","",VLOOKUP(A1727,'11'!$C$6:$E$87,2,FALSE))</f>
        <v/>
      </c>
      <c r="I1727" s="1785" t="str">
        <f>IF(A1727="","",VLOOKUP(A1727,'11'!$C$6:$E$87,3,FALSE))</f>
        <v/>
      </c>
      <c r="J1727" s="1412"/>
      <c r="K1727" s="1794"/>
      <c r="L1727" s="1779"/>
      <c r="M1727" s="1780"/>
      <c r="N1727" s="1779"/>
    </row>
    <row r="1728" spans="1:15" ht="13.5" x14ac:dyDescent="0.2">
      <c r="A1728" s="1789"/>
      <c r="B1728" s="1790"/>
      <c r="C1728" s="1790"/>
      <c r="D1728" s="1790"/>
      <c r="E1728" s="1790"/>
      <c r="F1728" s="1790"/>
      <c r="G1728" s="1791"/>
      <c r="H1728" s="1032" t="str">
        <f>IF(A1728="","",VLOOKUP(A1728,'11'!$C$6:$E$87,2,FALSE))</f>
        <v/>
      </c>
      <c r="I1728" s="1785" t="str">
        <f>IF(A1728="","",VLOOKUP(A1728,'11'!$C$6:$E$87,3,FALSE))</f>
        <v/>
      </c>
      <c r="J1728" s="1412"/>
      <c r="K1728" s="1787"/>
      <c r="L1728" s="1779"/>
      <c r="M1728" s="1780"/>
      <c r="N1728" s="1779"/>
    </row>
    <row r="1729" spans="1:14" ht="13.5" x14ac:dyDescent="0.2">
      <c r="A1729" s="1789"/>
      <c r="B1729" s="1790"/>
      <c r="C1729" s="1790"/>
      <c r="D1729" s="1790"/>
      <c r="E1729" s="1790"/>
      <c r="F1729" s="1790"/>
      <c r="G1729" s="1791"/>
      <c r="H1729" s="1032" t="str">
        <f>IF(A1729="","",VLOOKUP(A1729,'11'!$C$6:$E$87,2,FALSE))</f>
        <v/>
      </c>
      <c r="I1729" s="1785" t="str">
        <f>IF(A1729="","",VLOOKUP(A1729,'11'!$C$6:$E$87,3,FALSE))</f>
        <v/>
      </c>
      <c r="J1729" s="1412"/>
      <c r="K1729" s="1787"/>
      <c r="L1729" s="1779"/>
      <c r="M1729" s="1780"/>
      <c r="N1729" s="1779"/>
    </row>
    <row r="1730" spans="1:14" ht="13.5" x14ac:dyDescent="0.2">
      <c r="A1730" s="1789"/>
      <c r="B1730" s="1782"/>
      <c r="C1730" s="1782"/>
      <c r="D1730" s="1782"/>
      <c r="E1730" s="1782"/>
      <c r="F1730" s="1782"/>
      <c r="G1730" s="1779"/>
      <c r="H1730" s="1137"/>
      <c r="I1730" s="1780"/>
      <c r="J1730" s="1779"/>
      <c r="K1730" s="1787"/>
      <c r="L1730" s="1779"/>
      <c r="M1730" s="1780"/>
      <c r="N1730" s="1779"/>
    </row>
    <row r="1731" spans="1:14" ht="13.5" x14ac:dyDescent="0.25">
      <c r="A1731" s="1138"/>
      <c r="B1731" s="1138"/>
      <c r="C1731" s="1138"/>
      <c r="D1731" s="1138"/>
      <c r="E1731" s="1138"/>
      <c r="F1731" s="1138"/>
      <c r="G1731" s="1138"/>
      <c r="H1731" s="1138"/>
      <c r="I1731" s="1138"/>
      <c r="J1731" s="1138"/>
      <c r="K1731" s="1778" t="s">
        <v>523</v>
      </c>
      <c r="L1731" s="1779"/>
      <c r="M1731" s="1780">
        <f>SUM(M1726:N1730)</f>
        <v>833.33333333333337</v>
      </c>
      <c r="N1731" s="1779"/>
    </row>
    <row r="1732" spans="1:14" ht="13.5" x14ac:dyDescent="0.25">
      <c r="A1732" s="1138"/>
      <c r="B1732" s="1138"/>
      <c r="C1732" s="1138"/>
      <c r="D1732" s="1138"/>
      <c r="E1732" s="1138"/>
      <c r="F1732" s="1138"/>
      <c r="G1732" s="1138"/>
      <c r="H1732" s="1138"/>
      <c r="I1732" s="1138"/>
      <c r="J1732" s="1138"/>
      <c r="K1732" s="1138"/>
      <c r="L1732" s="1138"/>
      <c r="M1732" s="1138"/>
      <c r="N1732" s="1138"/>
    </row>
    <row r="1733" spans="1:14" x14ac:dyDescent="0.2">
      <c r="A1733" s="1781" t="s">
        <v>2147</v>
      </c>
      <c r="B1733" s="1782"/>
      <c r="C1733" s="1782"/>
      <c r="D1733" s="1782"/>
      <c r="E1733" s="1782"/>
      <c r="F1733" s="1782"/>
      <c r="G1733" s="1782"/>
      <c r="H1733" s="1782"/>
      <c r="I1733" s="1782"/>
      <c r="J1733" s="1782"/>
      <c r="K1733" s="1782"/>
      <c r="L1733" s="1782"/>
      <c r="M1733" s="1782"/>
      <c r="N1733" s="1779"/>
    </row>
    <row r="1734" spans="1:14" x14ac:dyDescent="0.2">
      <c r="A1734" s="1778" t="s">
        <v>14</v>
      </c>
      <c r="B1734" s="1782"/>
      <c r="C1734" s="1782"/>
      <c r="D1734" s="1782"/>
      <c r="E1734" s="1782"/>
      <c r="F1734" s="1782"/>
      <c r="G1734" s="1779"/>
      <c r="H1734" s="1136" t="s">
        <v>15</v>
      </c>
      <c r="I1734" s="1783" t="s">
        <v>619</v>
      </c>
      <c r="J1734" s="1779"/>
      <c r="K1734" s="1783" t="s">
        <v>628</v>
      </c>
      <c r="L1734" s="1779"/>
      <c r="M1734" s="1783" t="s">
        <v>2140</v>
      </c>
      <c r="N1734" s="1779"/>
    </row>
    <row r="1735" spans="1:14" ht="13.5" x14ac:dyDescent="0.2">
      <c r="A1735" s="1792" t="s">
        <v>2328</v>
      </c>
      <c r="B1735" s="1782"/>
      <c r="C1735" s="1782"/>
      <c r="D1735" s="1782"/>
      <c r="E1735" s="1782"/>
      <c r="F1735" s="1782"/>
      <c r="G1735" s="1779"/>
      <c r="H1735" s="1032" t="str">
        <f>IF(A1735="","",VLOOKUP(A1735,'11'!$C$6:$E$1012,2,FALSE))</f>
        <v>KM-M3</v>
      </c>
      <c r="I1735" s="1785">
        <f>IF(A1735="","",VLOOKUP(A1735,'11'!$C$6:$E$1012,3,FALSE))</f>
        <v>1440</v>
      </c>
      <c r="J1735" s="1412"/>
      <c r="K1735" s="1787">
        <v>5</v>
      </c>
      <c r="L1735" s="1793"/>
      <c r="M1735" s="1780">
        <f t="shared" ref="M1735" si="78">IF(A1735="","",I1735*K1735)</f>
        <v>7200</v>
      </c>
      <c r="N1735" s="1779"/>
    </row>
    <row r="1736" spans="1:14" ht="13.5" x14ac:dyDescent="0.2">
      <c r="A1736" s="1786"/>
      <c r="B1736" s="1782"/>
      <c r="C1736" s="1782"/>
      <c r="D1736" s="1782"/>
      <c r="E1736" s="1782"/>
      <c r="F1736" s="1782"/>
      <c r="G1736" s="1779"/>
      <c r="H1736" s="1032"/>
      <c r="I1736" s="1780"/>
      <c r="J1736" s="1779"/>
      <c r="K1736" s="1787"/>
      <c r="L1736" s="1779"/>
      <c r="M1736" s="1780"/>
      <c r="N1736" s="1779"/>
    </row>
    <row r="1737" spans="1:14" ht="13.5" x14ac:dyDescent="0.2">
      <c r="A1737" s="1786"/>
      <c r="B1737" s="1782"/>
      <c r="C1737" s="1782"/>
      <c r="D1737" s="1782"/>
      <c r="E1737" s="1782"/>
      <c r="F1737" s="1782"/>
      <c r="G1737" s="1779"/>
      <c r="H1737" s="1032"/>
      <c r="I1737" s="1780"/>
      <c r="J1737" s="1779"/>
      <c r="K1737" s="1788"/>
      <c r="L1737" s="1779"/>
      <c r="M1737" s="1780"/>
      <c r="N1737" s="1779"/>
    </row>
    <row r="1738" spans="1:14" ht="13.5" x14ac:dyDescent="0.2">
      <c r="A1738" s="1789"/>
      <c r="B1738" s="1782"/>
      <c r="C1738" s="1782"/>
      <c r="D1738" s="1782"/>
      <c r="E1738" s="1782"/>
      <c r="F1738" s="1782"/>
      <c r="G1738" s="1779"/>
      <c r="H1738" s="1137"/>
      <c r="I1738" s="1780"/>
      <c r="J1738" s="1779"/>
      <c r="K1738" s="1787"/>
      <c r="L1738" s="1779"/>
      <c r="M1738" s="1780"/>
      <c r="N1738" s="1779"/>
    </row>
    <row r="1739" spans="1:14" ht="13.5" x14ac:dyDescent="0.2">
      <c r="A1739" s="1789"/>
      <c r="B1739" s="1782"/>
      <c r="C1739" s="1782"/>
      <c r="D1739" s="1782"/>
      <c r="E1739" s="1782"/>
      <c r="F1739" s="1782"/>
      <c r="G1739" s="1779"/>
      <c r="H1739" s="1137"/>
      <c r="I1739" s="1780"/>
      <c r="J1739" s="1779"/>
      <c r="K1739" s="1787"/>
      <c r="L1739" s="1779"/>
      <c r="M1739" s="1780"/>
      <c r="N1739" s="1779"/>
    </row>
    <row r="1740" spans="1:14" ht="13.5" x14ac:dyDescent="0.25">
      <c r="A1740" s="1138"/>
      <c r="B1740" s="1138"/>
      <c r="C1740" s="1138"/>
      <c r="D1740" s="1138"/>
      <c r="E1740" s="1138"/>
      <c r="F1740" s="1138"/>
      <c r="G1740" s="1138"/>
      <c r="H1740" s="1138"/>
      <c r="I1740" s="1138"/>
      <c r="J1740" s="1138"/>
      <c r="K1740" s="1778" t="s">
        <v>523</v>
      </c>
      <c r="L1740" s="1779"/>
      <c r="M1740" s="1780">
        <f>SUM(M1735:N1739)</f>
        <v>7200</v>
      </c>
      <c r="N1740" s="1779"/>
    </row>
    <row r="1741" spans="1:14" ht="13.5" x14ac:dyDescent="0.25">
      <c r="A1741" s="1138"/>
      <c r="B1741" s="1138"/>
      <c r="C1741" s="1138"/>
      <c r="D1741" s="1138"/>
      <c r="E1741" s="1138"/>
      <c r="F1741" s="1138"/>
      <c r="G1741" s="1138"/>
      <c r="H1741" s="1138"/>
      <c r="I1741" s="1138"/>
      <c r="J1741" s="1138"/>
      <c r="K1741" s="1138"/>
      <c r="L1741" s="1138"/>
      <c r="M1741" s="1138"/>
      <c r="N1741" s="1138"/>
    </row>
    <row r="1742" spans="1:14" x14ac:dyDescent="0.2">
      <c r="A1742" s="1781" t="s">
        <v>2150</v>
      </c>
      <c r="B1742" s="1782"/>
      <c r="C1742" s="1782"/>
      <c r="D1742" s="1782"/>
      <c r="E1742" s="1782"/>
      <c r="F1742" s="1782"/>
      <c r="G1742" s="1782"/>
      <c r="H1742" s="1782"/>
      <c r="I1742" s="1782"/>
      <c r="J1742" s="1782"/>
      <c r="K1742" s="1782"/>
      <c r="L1742" s="1782"/>
      <c r="M1742" s="1782"/>
      <c r="N1742" s="1779"/>
    </row>
    <row r="1743" spans="1:14" x14ac:dyDescent="0.2">
      <c r="A1743" s="1778" t="s">
        <v>14</v>
      </c>
      <c r="B1743" s="1782"/>
      <c r="C1743" s="1782"/>
      <c r="D1743" s="1782"/>
      <c r="E1743" s="1782"/>
      <c r="F1743" s="1782"/>
      <c r="G1743" s="1779"/>
      <c r="H1743" s="1136" t="s">
        <v>15</v>
      </c>
      <c r="I1743" s="1783" t="s">
        <v>619</v>
      </c>
      <c r="J1743" s="1779"/>
      <c r="K1743" s="1139" t="s">
        <v>1919</v>
      </c>
      <c r="L1743" s="1140" t="s">
        <v>2151</v>
      </c>
      <c r="M1743" s="1783" t="s">
        <v>2140</v>
      </c>
      <c r="N1743" s="1779"/>
    </row>
    <row r="1744" spans="1:14" ht="13.5" x14ac:dyDescent="0.25">
      <c r="A1744" s="1784" t="s">
        <v>2266</v>
      </c>
      <c r="B1744" s="1782"/>
      <c r="C1744" s="1782"/>
      <c r="D1744" s="1782"/>
      <c r="E1744" s="1782"/>
      <c r="F1744" s="1782"/>
      <c r="G1744" s="1779"/>
      <c r="H1744" s="1032" t="str">
        <f>IF(A1744="","",VLOOKUP(A1744,'09'!$A$22:$O$168,4,FALSE))</f>
        <v>Cuadrilla</v>
      </c>
      <c r="I1744" s="1785">
        <f>IF(A1744="","",VLOOKUP(A1744,'09'!$A$22:$O$168,5,FALSE))</f>
        <v>233454</v>
      </c>
      <c r="J1744" s="1412"/>
      <c r="K1744" s="1034">
        <f>IF(A1744="","",'03'!$I$2)</f>
        <v>1.88995</v>
      </c>
      <c r="L1744" s="1142">
        <v>0.8</v>
      </c>
      <c r="M1744" s="1780">
        <f>I1744*K1744/(L1744*8)</f>
        <v>68940.060515624995</v>
      </c>
      <c r="N1744" s="1779"/>
    </row>
    <row r="1745" spans="1:14" ht="13.5" x14ac:dyDescent="0.25">
      <c r="A1745" s="1784"/>
      <c r="B1745" s="1782"/>
      <c r="C1745" s="1782"/>
      <c r="D1745" s="1782"/>
      <c r="E1745" s="1782"/>
      <c r="F1745" s="1782"/>
      <c r="G1745" s="1779"/>
      <c r="H1745" s="1137"/>
      <c r="I1745" s="1780"/>
      <c r="J1745" s="1779"/>
      <c r="K1745" s="1141"/>
      <c r="L1745" s="1141"/>
      <c r="M1745" s="1780"/>
      <c r="N1745" s="1779"/>
    </row>
    <row r="1746" spans="1:14" ht="13.5" x14ac:dyDescent="0.25">
      <c r="A1746" s="1784"/>
      <c r="B1746" s="1782"/>
      <c r="C1746" s="1782"/>
      <c r="D1746" s="1782"/>
      <c r="E1746" s="1782"/>
      <c r="F1746" s="1782"/>
      <c r="G1746" s="1779"/>
      <c r="H1746" s="1137"/>
      <c r="I1746" s="1780"/>
      <c r="J1746" s="1779"/>
      <c r="K1746" s="1141"/>
      <c r="L1746" s="1143"/>
      <c r="M1746" s="1780"/>
      <c r="N1746" s="1779"/>
    </row>
    <row r="1747" spans="1:14" ht="13.5" x14ac:dyDescent="0.25">
      <c r="A1747" s="1784"/>
      <c r="B1747" s="1782"/>
      <c r="C1747" s="1782"/>
      <c r="D1747" s="1782"/>
      <c r="E1747" s="1782"/>
      <c r="F1747" s="1782"/>
      <c r="G1747" s="1779"/>
      <c r="H1747" s="1137"/>
      <c r="I1747" s="1780"/>
      <c r="J1747" s="1779"/>
      <c r="K1747" s="1141"/>
      <c r="L1747" s="1143"/>
      <c r="M1747" s="1780"/>
      <c r="N1747" s="1779"/>
    </row>
    <row r="1748" spans="1:14" ht="13.5" x14ac:dyDescent="0.25">
      <c r="A1748" s="1784"/>
      <c r="B1748" s="1782"/>
      <c r="C1748" s="1782"/>
      <c r="D1748" s="1782"/>
      <c r="E1748" s="1782"/>
      <c r="F1748" s="1782"/>
      <c r="G1748" s="1779"/>
      <c r="H1748" s="1137"/>
      <c r="I1748" s="1780"/>
      <c r="J1748" s="1779"/>
      <c r="K1748" s="1141"/>
      <c r="L1748" s="1143"/>
      <c r="M1748" s="1780"/>
      <c r="N1748" s="1779"/>
    </row>
    <row r="1749" spans="1:14" ht="13.5" x14ac:dyDescent="0.25">
      <c r="A1749" s="1138"/>
      <c r="B1749" s="1138"/>
      <c r="C1749" s="1138"/>
      <c r="D1749" s="1138"/>
      <c r="E1749" s="1138"/>
      <c r="F1749" s="1138"/>
      <c r="G1749" s="1138"/>
      <c r="H1749" s="1138"/>
      <c r="I1749" s="1138"/>
      <c r="J1749" s="1138"/>
      <c r="K1749" s="1778" t="s">
        <v>523</v>
      </c>
      <c r="L1749" s="1779"/>
      <c r="M1749" s="1780">
        <f>SUM(M1744:N1748)</f>
        <v>68940.060515624995</v>
      </c>
      <c r="N1749" s="1779"/>
    </row>
    <row r="1750" spans="1:14" x14ac:dyDescent="0.2">
      <c r="I1750" s="1414"/>
      <c r="J1750" s="1415"/>
      <c r="K1750" s="1415"/>
      <c r="L1750" s="1415"/>
      <c r="M1750" s="1415"/>
      <c r="N1750" s="1415"/>
    </row>
    <row r="1751" spans="1:14" ht="13.5" thickBot="1" x14ac:dyDescent="0.25">
      <c r="I1751" s="1416"/>
      <c r="J1751" s="1416"/>
      <c r="K1751" s="1416"/>
      <c r="L1751" s="1416"/>
      <c r="M1751" s="1416"/>
      <c r="N1751" s="1416"/>
    </row>
    <row r="1752" spans="1:14" ht="14.25" thickTop="1" x14ac:dyDescent="0.2">
      <c r="I1752" s="1417" t="s">
        <v>1829</v>
      </c>
      <c r="J1752" s="1418"/>
      <c r="K1752" s="1417" t="s">
        <v>2653</v>
      </c>
      <c r="L1752" s="1418"/>
      <c r="M1752" s="1418"/>
      <c r="N1752" s="1418"/>
    </row>
    <row r="1753" spans="1:14" ht="13.5" x14ac:dyDescent="0.2">
      <c r="I1753" s="1419" t="s">
        <v>1831</v>
      </c>
      <c r="J1753" s="1420"/>
      <c r="K1753" s="1419"/>
      <c r="L1753" s="1420"/>
      <c r="M1753" s="1420"/>
      <c r="N1753" s="1420"/>
    </row>
    <row r="1754" spans="1:14" x14ac:dyDescent="0.2">
      <c r="A1754" s="1796" t="s">
        <v>2375</v>
      </c>
      <c r="B1754" s="1797"/>
      <c r="C1754" s="1797"/>
      <c r="D1754" s="1797"/>
      <c r="E1754" s="1797"/>
      <c r="F1754" s="1797"/>
      <c r="G1754" s="1797"/>
      <c r="H1754" s="1797"/>
      <c r="I1754" s="1797"/>
      <c r="J1754" s="1797"/>
      <c r="K1754" s="1797"/>
      <c r="L1754" s="1797"/>
      <c r="M1754" s="1797"/>
      <c r="N1754" s="1798"/>
    </row>
    <row r="1755" spans="1:14" x14ac:dyDescent="0.2">
      <c r="A1755" s="1799"/>
      <c r="B1755" s="1800"/>
      <c r="C1755" s="1800"/>
      <c r="D1755" s="1800"/>
      <c r="E1755" s="1800"/>
      <c r="F1755" s="1800"/>
      <c r="G1755" s="1800"/>
      <c r="H1755" s="1800"/>
      <c r="I1755" s="1800"/>
      <c r="J1755" s="1800"/>
      <c r="K1755" s="1800"/>
      <c r="L1755" s="1800"/>
      <c r="M1755" s="1800"/>
      <c r="N1755" s="1801"/>
    </row>
    <row r="1756" spans="1:14" ht="13.5" x14ac:dyDescent="0.2">
      <c r="A1756" s="1128"/>
      <c r="B1756" s="1128"/>
      <c r="C1756" s="1128"/>
      <c r="D1756" s="1128"/>
      <c r="E1756" s="1128"/>
      <c r="F1756" s="1128"/>
      <c r="G1756" s="1128"/>
      <c r="H1756" s="1128"/>
      <c r="I1756" s="1128"/>
      <c r="J1756" s="1128"/>
      <c r="K1756" s="1128"/>
      <c r="L1756" s="1128"/>
      <c r="M1756" s="1128"/>
      <c r="N1756" s="1128"/>
    </row>
    <row r="1757" spans="1:14" ht="14.25" x14ac:dyDescent="0.3">
      <c r="A1757" s="1104" t="s">
        <v>2374</v>
      </c>
      <c r="B1757" s="1129" t="str">
        <f>A1754</f>
        <v xml:space="preserve"> SUMINISTRO E INSTALACION VALVULA DE COMPUERTA ELASTICA VASTAGO NO ASCENDENTE EXTREMO BRIDADO PARA PVC DIAMETRO 4".</v>
      </c>
      <c r="C1757" s="1130" t="s">
        <v>634</v>
      </c>
      <c r="D1757" s="1107" t="s">
        <v>2</v>
      </c>
      <c r="E1757" s="1132" t="s">
        <v>1833</v>
      </c>
      <c r="F1757" s="1133">
        <f>H1757+J1757+L1757+N1757</f>
        <v>1463224.04034375</v>
      </c>
      <c r="G1757" s="1132" t="s">
        <v>2136</v>
      </c>
      <c r="H1757" s="1133">
        <f>M1780</f>
        <v>500</v>
      </c>
      <c r="I1757" s="1132" t="s">
        <v>621</v>
      </c>
      <c r="J1757" s="1134">
        <f>M1771</f>
        <v>1409564</v>
      </c>
      <c r="K1757" s="1132" t="s">
        <v>2137</v>
      </c>
      <c r="L1757" s="1133">
        <f>M1789</f>
        <v>7200</v>
      </c>
      <c r="M1757" s="1132" t="s">
        <v>2138</v>
      </c>
      <c r="N1757" s="1133">
        <f>M1798</f>
        <v>45960.040343749999</v>
      </c>
    </row>
    <row r="1758" spans="1:14" ht="13.5" x14ac:dyDescent="0.25">
      <c r="A1758" s="1135"/>
      <c r="B1758" s="1135"/>
      <c r="C1758" s="1135"/>
      <c r="D1758" s="1135"/>
      <c r="E1758" s="1135"/>
      <c r="F1758" s="1135"/>
      <c r="G1758" s="1135"/>
      <c r="J1758" s="1135"/>
      <c r="K1758" s="1135"/>
      <c r="L1758" s="1135"/>
      <c r="M1758" s="1270" t="s">
        <v>2667</v>
      </c>
      <c r="N1758" s="1270">
        <f>+F1757*'01'!$O$15</f>
        <v>1893856.5929443534</v>
      </c>
    </row>
    <row r="1759" spans="1:14" x14ac:dyDescent="0.2">
      <c r="A1759" s="1781" t="s">
        <v>2139</v>
      </c>
      <c r="B1759" s="1782"/>
      <c r="C1759" s="1782"/>
      <c r="D1759" s="1782"/>
      <c r="E1759" s="1782"/>
      <c r="F1759" s="1782"/>
      <c r="G1759" s="1782"/>
      <c r="H1759" s="1782"/>
      <c r="I1759" s="1782"/>
      <c r="J1759" s="1782"/>
      <c r="K1759" s="1782"/>
      <c r="L1759" s="1782"/>
      <c r="M1759" s="1782"/>
      <c r="N1759" s="1779"/>
    </row>
    <row r="1760" spans="1:14" x14ac:dyDescent="0.2">
      <c r="A1760" s="1778" t="s">
        <v>14</v>
      </c>
      <c r="B1760" s="1782"/>
      <c r="C1760" s="1782"/>
      <c r="D1760" s="1782"/>
      <c r="E1760" s="1782"/>
      <c r="F1760" s="1782"/>
      <c r="G1760" s="1779"/>
      <c r="H1760" s="1136" t="s">
        <v>15</v>
      </c>
      <c r="I1760" s="1783" t="s">
        <v>619</v>
      </c>
      <c r="J1760" s="1779"/>
      <c r="K1760" s="1783" t="s">
        <v>628</v>
      </c>
      <c r="L1760" s="1779"/>
      <c r="M1760" s="1783" t="s">
        <v>2140</v>
      </c>
      <c r="N1760" s="1779"/>
    </row>
    <row r="1761" spans="1:15" ht="13.5" customHeight="1" x14ac:dyDescent="0.2">
      <c r="A1761" s="1792" t="s">
        <v>1453</v>
      </c>
      <c r="B1761" s="1782"/>
      <c r="C1761" s="1782"/>
      <c r="D1761" s="1782"/>
      <c r="E1761" s="1782"/>
      <c r="F1761" s="1782"/>
      <c r="G1761" s="1779"/>
      <c r="H1761" s="1032" t="str">
        <f>IF(A1761="","",VLOOKUP(A1761,'10'!$C$6:$E$1152,2,FALSE))</f>
        <v>UND</v>
      </c>
      <c r="I1761" s="1785">
        <f>IF(A1761="","",VLOOKUP(A1761,'10'!$C$6:$E$1152,3,FALSE))</f>
        <v>1203090</v>
      </c>
      <c r="J1761" s="1412"/>
      <c r="K1761" s="1794">
        <v>1</v>
      </c>
      <c r="L1761" s="1795"/>
      <c r="M1761" s="1780">
        <f>K1761*I1761</f>
        <v>1203090</v>
      </c>
      <c r="N1761" s="1779"/>
    </row>
    <row r="1762" spans="1:15" ht="13.5" customHeight="1" x14ac:dyDescent="0.2">
      <c r="A1762" s="1792" t="s">
        <v>1084</v>
      </c>
      <c r="B1762" s="1782"/>
      <c r="C1762" s="1782"/>
      <c r="D1762" s="1782"/>
      <c r="E1762" s="1782"/>
      <c r="F1762" s="1782"/>
      <c r="G1762" s="1779"/>
      <c r="H1762" s="1032" t="str">
        <f>IF(A1762="","",VLOOKUP(A1762,'10'!$C$6:$E$1152,2,FALSE))</f>
        <v>UND</v>
      </c>
      <c r="I1762" s="1785">
        <f>IF(A1762="","",VLOOKUP(A1762,'10'!$C$6:$E$1152,3,FALSE))</f>
        <v>79237</v>
      </c>
      <c r="J1762" s="1412"/>
      <c r="K1762" s="1794">
        <v>2</v>
      </c>
      <c r="L1762" s="1795"/>
      <c r="M1762" s="1780">
        <f t="shared" ref="M1762:M1763" si="79">K1762*I1762</f>
        <v>158474</v>
      </c>
      <c r="N1762" s="1779"/>
    </row>
    <row r="1763" spans="1:15" ht="13.5" x14ac:dyDescent="0.2">
      <c r="A1763" s="1792" t="s">
        <v>1562</v>
      </c>
      <c r="B1763" s="1782"/>
      <c r="C1763" s="1782"/>
      <c r="D1763" s="1782"/>
      <c r="E1763" s="1782"/>
      <c r="F1763" s="1782"/>
      <c r="G1763" s="1779"/>
      <c r="H1763" s="1032" t="str">
        <f>IF(A1763="","",VLOOKUP(A1763,'10'!$C$6:$E$1152,2,FALSE))</f>
        <v>UND</v>
      </c>
      <c r="I1763" s="1785">
        <f>IF(A1763="","",VLOOKUP(A1763,'10'!$C$6:$E$1152,3,FALSE))</f>
        <v>3000</v>
      </c>
      <c r="J1763" s="1412"/>
      <c r="K1763" s="1794">
        <v>16</v>
      </c>
      <c r="L1763" s="1795"/>
      <c r="M1763" s="1780">
        <f t="shared" si="79"/>
        <v>48000</v>
      </c>
      <c r="N1763" s="1779"/>
      <c r="O1763" s="799"/>
    </row>
    <row r="1764" spans="1:15" ht="13.5" x14ac:dyDescent="0.2">
      <c r="A1764" s="1792"/>
      <c r="B1764" s="1782"/>
      <c r="C1764" s="1782"/>
      <c r="D1764" s="1782"/>
      <c r="E1764" s="1782"/>
      <c r="F1764" s="1782"/>
      <c r="G1764" s="1779"/>
      <c r="H1764" s="1032"/>
      <c r="I1764" s="1785"/>
      <c r="J1764" s="1412"/>
      <c r="K1764" s="1794"/>
      <c r="L1764" s="1795"/>
      <c r="M1764" s="1780"/>
      <c r="N1764" s="1779"/>
    </row>
    <row r="1765" spans="1:15" ht="13.5" x14ac:dyDescent="0.2">
      <c r="A1765" s="1792"/>
      <c r="B1765" s="1782"/>
      <c r="C1765" s="1782"/>
      <c r="D1765" s="1782"/>
      <c r="E1765" s="1782"/>
      <c r="F1765" s="1782"/>
      <c r="G1765" s="1779"/>
      <c r="H1765" s="1032"/>
      <c r="I1765" s="1785"/>
      <c r="J1765" s="1412"/>
      <c r="K1765" s="1794"/>
      <c r="L1765" s="1795"/>
      <c r="M1765" s="1780"/>
      <c r="N1765" s="1779"/>
    </row>
    <row r="1766" spans="1:15" ht="13.5" x14ac:dyDescent="0.2">
      <c r="A1766" s="1792"/>
      <c r="B1766" s="1782"/>
      <c r="C1766" s="1782"/>
      <c r="D1766" s="1782"/>
      <c r="E1766" s="1782"/>
      <c r="F1766" s="1782"/>
      <c r="G1766" s="1779"/>
      <c r="H1766" s="1032"/>
      <c r="I1766" s="1785"/>
      <c r="J1766" s="1412"/>
      <c r="K1766" s="1794"/>
      <c r="L1766" s="1795"/>
      <c r="M1766" s="1780"/>
      <c r="N1766" s="1779"/>
    </row>
    <row r="1767" spans="1:15" ht="13.5" x14ac:dyDescent="0.2">
      <c r="A1767" s="1792"/>
      <c r="B1767" s="1782"/>
      <c r="C1767" s="1782"/>
      <c r="D1767" s="1782"/>
      <c r="E1767" s="1782"/>
      <c r="F1767" s="1782"/>
      <c r="G1767" s="1779"/>
      <c r="H1767" s="1032" t="str">
        <f>IF(A1767="","",VLOOKUP(A1767,'10'!$C$6:$E$1152,2,FALSE))</f>
        <v/>
      </c>
      <c r="I1767" s="1785" t="str">
        <f>IF(A1767="","",VLOOKUP(A1767,'10'!$C$6:$E$1152,3,FALSE))</f>
        <v/>
      </c>
      <c r="J1767" s="1412"/>
      <c r="K1767" s="1794"/>
      <c r="L1767" s="1795"/>
      <c r="M1767" s="1780"/>
      <c r="N1767" s="1779"/>
    </row>
    <row r="1768" spans="1:15" ht="13.5" x14ac:dyDescent="0.2">
      <c r="A1768" s="1792"/>
      <c r="B1768" s="1782"/>
      <c r="C1768" s="1782"/>
      <c r="D1768" s="1782"/>
      <c r="E1768" s="1782"/>
      <c r="F1768" s="1782"/>
      <c r="G1768" s="1779"/>
      <c r="H1768" s="1032"/>
      <c r="I1768" s="1785"/>
      <c r="J1768" s="1412"/>
      <c r="K1768" s="1794"/>
      <c r="L1768" s="1795"/>
      <c r="M1768" s="1780"/>
      <c r="N1768" s="1779"/>
    </row>
    <row r="1769" spans="1:15" ht="13.5" x14ac:dyDescent="0.2">
      <c r="A1769" s="1792"/>
      <c r="B1769" s="1782"/>
      <c r="C1769" s="1782"/>
      <c r="D1769" s="1782"/>
      <c r="E1769" s="1782"/>
      <c r="F1769" s="1782"/>
      <c r="G1769" s="1779"/>
      <c r="H1769" s="1032"/>
      <c r="I1769" s="1785"/>
      <c r="J1769" s="1412"/>
      <c r="K1769" s="1794"/>
      <c r="L1769" s="1795"/>
      <c r="M1769" s="1780"/>
      <c r="N1769" s="1779"/>
    </row>
    <row r="1770" spans="1:15" ht="13.5" x14ac:dyDescent="0.2">
      <c r="A1770" s="1792"/>
      <c r="B1770" s="1782"/>
      <c r="C1770" s="1782"/>
      <c r="D1770" s="1782"/>
      <c r="E1770" s="1782"/>
      <c r="F1770" s="1782"/>
      <c r="G1770" s="1779"/>
      <c r="H1770" s="1032"/>
      <c r="I1770" s="1785"/>
      <c r="J1770" s="1412"/>
      <c r="K1770" s="1794"/>
      <c r="L1770" s="1795"/>
      <c r="M1770" s="1780"/>
      <c r="N1770" s="1779"/>
    </row>
    <row r="1771" spans="1:15" ht="13.5" x14ac:dyDescent="0.25">
      <c r="A1771" s="1138"/>
      <c r="B1771" s="1138"/>
      <c r="C1771" s="1138"/>
      <c r="D1771" s="1138"/>
      <c r="E1771" s="1138"/>
      <c r="F1771" s="1138"/>
      <c r="G1771" s="1138"/>
      <c r="H1771" s="1138"/>
      <c r="I1771" s="1138"/>
      <c r="J1771" s="1138"/>
      <c r="K1771" s="1778" t="s">
        <v>523</v>
      </c>
      <c r="L1771" s="1779"/>
      <c r="M1771" s="1780">
        <f>SUM(M1761:N1765)</f>
        <v>1409564</v>
      </c>
      <c r="N1771" s="1779"/>
    </row>
    <row r="1772" spans="1:15" ht="13.5" x14ac:dyDescent="0.25">
      <c r="A1772" s="1138"/>
      <c r="B1772" s="1138"/>
      <c r="C1772" s="1138"/>
      <c r="D1772" s="1138"/>
      <c r="E1772" s="1138"/>
      <c r="F1772" s="1138"/>
      <c r="G1772" s="1138"/>
      <c r="H1772" s="1138"/>
      <c r="I1772" s="1138"/>
      <c r="J1772" s="1138"/>
      <c r="K1772" s="1138"/>
      <c r="L1772" s="1138"/>
      <c r="M1772" s="1138"/>
      <c r="N1772" s="1138"/>
    </row>
    <row r="1773" spans="1:15" x14ac:dyDescent="0.2">
      <c r="A1773" s="1781" t="s">
        <v>2145</v>
      </c>
      <c r="B1773" s="1782"/>
      <c r="C1773" s="1782"/>
      <c r="D1773" s="1782"/>
      <c r="E1773" s="1782"/>
      <c r="F1773" s="1782"/>
      <c r="G1773" s="1782"/>
      <c r="H1773" s="1782"/>
      <c r="I1773" s="1782"/>
      <c r="J1773" s="1782"/>
      <c r="K1773" s="1782"/>
      <c r="L1773" s="1782"/>
      <c r="M1773" s="1782"/>
      <c r="N1773" s="1779"/>
    </row>
    <row r="1774" spans="1:15" x14ac:dyDescent="0.2">
      <c r="A1774" s="1778" t="s">
        <v>14</v>
      </c>
      <c r="B1774" s="1782"/>
      <c r="C1774" s="1782"/>
      <c r="D1774" s="1782"/>
      <c r="E1774" s="1782"/>
      <c r="F1774" s="1782"/>
      <c r="G1774" s="1779"/>
      <c r="H1774" s="1136" t="s">
        <v>15</v>
      </c>
      <c r="I1774" s="1783" t="s">
        <v>619</v>
      </c>
      <c r="J1774" s="1779"/>
      <c r="K1774" s="1783" t="s">
        <v>610</v>
      </c>
      <c r="L1774" s="1779"/>
      <c r="M1774" s="1783" t="s">
        <v>2140</v>
      </c>
      <c r="N1774" s="1779"/>
    </row>
    <row r="1775" spans="1:15" ht="13.5" x14ac:dyDescent="0.2">
      <c r="A1775" s="1789" t="s">
        <v>131</v>
      </c>
      <c r="B1775" s="1790"/>
      <c r="C1775" s="1790"/>
      <c r="D1775" s="1790"/>
      <c r="E1775" s="1790"/>
      <c r="F1775" s="1790"/>
      <c r="G1775" s="1791"/>
      <c r="H1775" s="1032" t="str">
        <f>IF(A1775="","",VLOOKUP(A1775,'11'!$C$6:$E$87,2,FALSE))</f>
        <v>DIA</v>
      </c>
      <c r="I1775" s="1785">
        <f>IF(A1775="","",VLOOKUP(A1775,'11'!$C$6:$E$87,3,FALSE))</f>
        <v>15000</v>
      </c>
      <c r="J1775" s="1412"/>
      <c r="K1775" s="1787">
        <v>30</v>
      </c>
      <c r="L1775" s="1793"/>
      <c r="M1775" s="1780">
        <f>I1775/K1775</f>
        <v>500</v>
      </c>
      <c r="N1775" s="1779"/>
    </row>
    <row r="1776" spans="1:15" ht="13.5" x14ac:dyDescent="0.2">
      <c r="A1776" s="1789"/>
      <c r="B1776" s="1790"/>
      <c r="C1776" s="1790"/>
      <c r="D1776" s="1790"/>
      <c r="E1776" s="1790"/>
      <c r="F1776" s="1790"/>
      <c r="G1776" s="1791"/>
      <c r="H1776" s="1032" t="str">
        <f>IF(A1776="","",VLOOKUP(A1776,'11'!$C$6:$E$87,2,FALSE))</f>
        <v/>
      </c>
      <c r="I1776" s="1785" t="str">
        <f>IF(A1776="","",VLOOKUP(A1776,'11'!$C$6:$E$87,3,FALSE))</f>
        <v/>
      </c>
      <c r="J1776" s="1412"/>
      <c r="K1776" s="1794"/>
      <c r="L1776" s="1779"/>
      <c r="M1776" s="1780"/>
      <c r="N1776" s="1779"/>
    </row>
    <row r="1777" spans="1:14" ht="13.5" x14ac:dyDescent="0.2">
      <c r="A1777" s="1789"/>
      <c r="B1777" s="1790"/>
      <c r="C1777" s="1790"/>
      <c r="D1777" s="1790"/>
      <c r="E1777" s="1790"/>
      <c r="F1777" s="1790"/>
      <c r="G1777" s="1791"/>
      <c r="H1777" s="1032" t="str">
        <f>IF(A1777="","",VLOOKUP(A1777,'11'!$C$6:$E$87,2,FALSE))</f>
        <v/>
      </c>
      <c r="I1777" s="1785" t="str">
        <f>IF(A1777="","",VLOOKUP(A1777,'11'!$C$6:$E$87,3,FALSE))</f>
        <v/>
      </c>
      <c r="J1777" s="1412"/>
      <c r="K1777" s="1787"/>
      <c r="L1777" s="1779"/>
      <c r="M1777" s="1780"/>
      <c r="N1777" s="1779"/>
    </row>
    <row r="1778" spans="1:14" ht="13.5" x14ac:dyDescent="0.2">
      <c r="A1778" s="1789"/>
      <c r="B1778" s="1790"/>
      <c r="C1778" s="1790"/>
      <c r="D1778" s="1790"/>
      <c r="E1778" s="1790"/>
      <c r="F1778" s="1790"/>
      <c r="G1778" s="1791"/>
      <c r="H1778" s="1032" t="str">
        <f>IF(A1778="","",VLOOKUP(A1778,'11'!$C$6:$E$87,2,FALSE))</f>
        <v/>
      </c>
      <c r="I1778" s="1785" t="str">
        <f>IF(A1778="","",VLOOKUP(A1778,'11'!$C$6:$E$87,3,FALSE))</f>
        <v/>
      </c>
      <c r="J1778" s="1412"/>
      <c r="K1778" s="1787"/>
      <c r="L1778" s="1779"/>
      <c r="M1778" s="1780"/>
      <c r="N1778" s="1779"/>
    </row>
    <row r="1779" spans="1:14" ht="13.5" x14ac:dyDescent="0.2">
      <c r="A1779" s="1789"/>
      <c r="B1779" s="1782"/>
      <c r="C1779" s="1782"/>
      <c r="D1779" s="1782"/>
      <c r="E1779" s="1782"/>
      <c r="F1779" s="1782"/>
      <c r="G1779" s="1779"/>
      <c r="H1779" s="1137"/>
      <c r="I1779" s="1780"/>
      <c r="J1779" s="1779"/>
      <c r="K1779" s="1787"/>
      <c r="L1779" s="1779"/>
      <c r="M1779" s="1780"/>
      <c r="N1779" s="1779"/>
    </row>
    <row r="1780" spans="1:14" ht="13.5" x14ac:dyDescent="0.25">
      <c r="A1780" s="1138"/>
      <c r="B1780" s="1138"/>
      <c r="C1780" s="1138"/>
      <c r="D1780" s="1138"/>
      <c r="E1780" s="1138"/>
      <c r="F1780" s="1138"/>
      <c r="G1780" s="1138"/>
      <c r="H1780" s="1138"/>
      <c r="I1780" s="1138"/>
      <c r="J1780" s="1138"/>
      <c r="K1780" s="1778" t="s">
        <v>523</v>
      </c>
      <c r="L1780" s="1779"/>
      <c r="M1780" s="1780">
        <f>SUM(M1775:N1779)</f>
        <v>500</v>
      </c>
      <c r="N1780" s="1779"/>
    </row>
    <row r="1781" spans="1:14" ht="13.5" x14ac:dyDescent="0.25">
      <c r="A1781" s="1138"/>
      <c r="B1781" s="1138"/>
      <c r="C1781" s="1138"/>
      <c r="D1781" s="1138"/>
      <c r="E1781" s="1138"/>
      <c r="F1781" s="1138"/>
      <c r="G1781" s="1138"/>
      <c r="H1781" s="1138"/>
      <c r="I1781" s="1138"/>
      <c r="J1781" s="1138"/>
      <c r="K1781" s="1138"/>
      <c r="L1781" s="1138"/>
      <c r="M1781" s="1138"/>
      <c r="N1781" s="1138"/>
    </row>
    <row r="1782" spans="1:14" x14ac:dyDescent="0.2">
      <c r="A1782" s="1781" t="s">
        <v>2147</v>
      </c>
      <c r="B1782" s="1782"/>
      <c r="C1782" s="1782"/>
      <c r="D1782" s="1782"/>
      <c r="E1782" s="1782"/>
      <c r="F1782" s="1782"/>
      <c r="G1782" s="1782"/>
      <c r="H1782" s="1782"/>
      <c r="I1782" s="1782"/>
      <c r="J1782" s="1782"/>
      <c r="K1782" s="1782"/>
      <c r="L1782" s="1782"/>
      <c r="M1782" s="1782"/>
      <c r="N1782" s="1779"/>
    </row>
    <row r="1783" spans="1:14" x14ac:dyDescent="0.2">
      <c r="A1783" s="1778" t="s">
        <v>14</v>
      </c>
      <c r="B1783" s="1782"/>
      <c r="C1783" s="1782"/>
      <c r="D1783" s="1782"/>
      <c r="E1783" s="1782"/>
      <c r="F1783" s="1782"/>
      <c r="G1783" s="1779"/>
      <c r="H1783" s="1136" t="s">
        <v>15</v>
      </c>
      <c r="I1783" s="1783" t="s">
        <v>619</v>
      </c>
      <c r="J1783" s="1779"/>
      <c r="K1783" s="1783" t="s">
        <v>628</v>
      </c>
      <c r="L1783" s="1779"/>
      <c r="M1783" s="1783" t="s">
        <v>2140</v>
      </c>
      <c r="N1783" s="1779"/>
    </row>
    <row r="1784" spans="1:14" ht="13.5" x14ac:dyDescent="0.2">
      <c r="A1784" s="1792" t="s">
        <v>2328</v>
      </c>
      <c r="B1784" s="1782"/>
      <c r="C1784" s="1782"/>
      <c r="D1784" s="1782"/>
      <c r="E1784" s="1782"/>
      <c r="F1784" s="1782"/>
      <c r="G1784" s="1779"/>
      <c r="H1784" s="1032" t="str">
        <f>IF(A1784="","",VLOOKUP(A1784,'11'!$C$6:$E$1012,2,FALSE))</f>
        <v>KM-M3</v>
      </c>
      <c r="I1784" s="1785">
        <f>IF(A1784="","",VLOOKUP(A1784,'11'!$C$6:$E$1012,3,FALSE))</f>
        <v>1440</v>
      </c>
      <c r="J1784" s="1412"/>
      <c r="K1784" s="1787">
        <v>5</v>
      </c>
      <c r="L1784" s="1793"/>
      <c r="M1784" s="1780">
        <f t="shared" ref="M1784" si="80">IF(A1784="","",I1784*K1784)</f>
        <v>7200</v>
      </c>
      <c r="N1784" s="1779"/>
    </row>
    <row r="1785" spans="1:14" ht="13.5" x14ac:dyDescent="0.2">
      <c r="A1785" s="1786"/>
      <c r="B1785" s="1782"/>
      <c r="C1785" s="1782"/>
      <c r="D1785" s="1782"/>
      <c r="E1785" s="1782"/>
      <c r="F1785" s="1782"/>
      <c r="G1785" s="1779"/>
      <c r="H1785" s="1032"/>
      <c r="I1785" s="1780"/>
      <c r="J1785" s="1779"/>
      <c r="K1785" s="1787"/>
      <c r="L1785" s="1779"/>
      <c r="M1785" s="1780"/>
      <c r="N1785" s="1779"/>
    </row>
    <row r="1786" spans="1:14" ht="13.5" x14ac:dyDescent="0.2">
      <c r="A1786" s="1786"/>
      <c r="B1786" s="1782"/>
      <c r="C1786" s="1782"/>
      <c r="D1786" s="1782"/>
      <c r="E1786" s="1782"/>
      <c r="F1786" s="1782"/>
      <c r="G1786" s="1779"/>
      <c r="H1786" s="1032"/>
      <c r="I1786" s="1780"/>
      <c r="J1786" s="1779"/>
      <c r="K1786" s="1788"/>
      <c r="L1786" s="1779"/>
      <c r="M1786" s="1780"/>
      <c r="N1786" s="1779"/>
    </row>
    <row r="1787" spans="1:14" ht="13.5" x14ac:dyDescent="0.2">
      <c r="A1787" s="1789"/>
      <c r="B1787" s="1782"/>
      <c r="C1787" s="1782"/>
      <c r="D1787" s="1782"/>
      <c r="E1787" s="1782"/>
      <c r="F1787" s="1782"/>
      <c r="G1787" s="1779"/>
      <c r="H1787" s="1137"/>
      <c r="I1787" s="1780"/>
      <c r="J1787" s="1779"/>
      <c r="K1787" s="1787"/>
      <c r="L1787" s="1779"/>
      <c r="M1787" s="1780"/>
      <c r="N1787" s="1779"/>
    </row>
    <row r="1788" spans="1:14" ht="13.5" x14ac:dyDescent="0.2">
      <c r="A1788" s="1789"/>
      <c r="B1788" s="1782"/>
      <c r="C1788" s="1782"/>
      <c r="D1788" s="1782"/>
      <c r="E1788" s="1782"/>
      <c r="F1788" s="1782"/>
      <c r="G1788" s="1779"/>
      <c r="H1788" s="1137"/>
      <c r="I1788" s="1780"/>
      <c r="J1788" s="1779"/>
      <c r="K1788" s="1787"/>
      <c r="L1788" s="1779"/>
      <c r="M1788" s="1780"/>
      <c r="N1788" s="1779"/>
    </row>
    <row r="1789" spans="1:14" ht="13.5" x14ac:dyDescent="0.25">
      <c r="A1789" s="1138"/>
      <c r="B1789" s="1138"/>
      <c r="C1789" s="1138"/>
      <c r="D1789" s="1138"/>
      <c r="E1789" s="1138"/>
      <c r="F1789" s="1138"/>
      <c r="G1789" s="1138"/>
      <c r="H1789" s="1138"/>
      <c r="I1789" s="1138"/>
      <c r="J1789" s="1138"/>
      <c r="K1789" s="1778" t="s">
        <v>523</v>
      </c>
      <c r="L1789" s="1779"/>
      <c r="M1789" s="1780">
        <f>SUM(M1784:N1788)</f>
        <v>7200</v>
      </c>
      <c r="N1789" s="1779"/>
    </row>
    <row r="1790" spans="1:14" ht="13.5" x14ac:dyDescent="0.25">
      <c r="A1790" s="1138"/>
      <c r="B1790" s="1138"/>
      <c r="C1790" s="1138"/>
      <c r="D1790" s="1138"/>
      <c r="E1790" s="1138"/>
      <c r="F1790" s="1138"/>
      <c r="G1790" s="1138"/>
      <c r="H1790" s="1138"/>
      <c r="I1790" s="1138"/>
      <c r="J1790" s="1138"/>
      <c r="K1790" s="1138"/>
      <c r="L1790" s="1138"/>
      <c r="M1790" s="1138"/>
      <c r="N1790" s="1138"/>
    </row>
    <row r="1791" spans="1:14" x14ac:dyDescent="0.2">
      <c r="A1791" s="1781" t="s">
        <v>2150</v>
      </c>
      <c r="B1791" s="1782"/>
      <c r="C1791" s="1782"/>
      <c r="D1791" s="1782"/>
      <c r="E1791" s="1782"/>
      <c r="F1791" s="1782"/>
      <c r="G1791" s="1782"/>
      <c r="H1791" s="1782"/>
      <c r="I1791" s="1782"/>
      <c r="J1791" s="1782"/>
      <c r="K1791" s="1782"/>
      <c r="L1791" s="1782"/>
      <c r="M1791" s="1782"/>
      <c r="N1791" s="1779"/>
    </row>
    <row r="1792" spans="1:14" x14ac:dyDescent="0.2">
      <c r="A1792" s="1778" t="s">
        <v>14</v>
      </c>
      <c r="B1792" s="1782"/>
      <c r="C1792" s="1782"/>
      <c r="D1792" s="1782"/>
      <c r="E1792" s="1782"/>
      <c r="F1792" s="1782"/>
      <c r="G1792" s="1779"/>
      <c r="H1792" s="1136" t="s">
        <v>15</v>
      </c>
      <c r="I1792" s="1783" t="s">
        <v>619</v>
      </c>
      <c r="J1792" s="1779"/>
      <c r="K1792" s="1139" t="s">
        <v>1919</v>
      </c>
      <c r="L1792" s="1140" t="s">
        <v>2151</v>
      </c>
      <c r="M1792" s="1783" t="s">
        <v>2140</v>
      </c>
      <c r="N1792" s="1779"/>
    </row>
    <row r="1793" spans="1:14" ht="13.5" x14ac:dyDescent="0.25">
      <c r="A1793" s="1784" t="s">
        <v>2266</v>
      </c>
      <c r="B1793" s="1782"/>
      <c r="C1793" s="1782"/>
      <c r="D1793" s="1782"/>
      <c r="E1793" s="1782"/>
      <c r="F1793" s="1782"/>
      <c r="G1793" s="1779"/>
      <c r="H1793" s="1032" t="str">
        <f>IF(A1793="","",VLOOKUP(A1793,'09'!$A$22:$O$168,4,FALSE))</f>
        <v>Cuadrilla</v>
      </c>
      <c r="I1793" s="1785">
        <f>IF(A1793="","",VLOOKUP(A1793,'09'!$A$22:$O$168,5,FALSE))</f>
        <v>233454</v>
      </c>
      <c r="J1793" s="1412"/>
      <c r="K1793" s="1034">
        <f>IF(A1793="","",'03'!$I$2)</f>
        <v>1.88995</v>
      </c>
      <c r="L1793" s="1142">
        <v>1.2</v>
      </c>
      <c r="M1793" s="1780">
        <f>I1793*K1793/(L1793*8)</f>
        <v>45960.040343749999</v>
      </c>
      <c r="N1793" s="1779"/>
    </row>
    <row r="1794" spans="1:14" ht="13.5" x14ac:dyDescent="0.25">
      <c r="A1794" s="1784"/>
      <c r="B1794" s="1782"/>
      <c r="C1794" s="1782"/>
      <c r="D1794" s="1782"/>
      <c r="E1794" s="1782"/>
      <c r="F1794" s="1782"/>
      <c r="G1794" s="1779"/>
      <c r="H1794" s="1137"/>
      <c r="I1794" s="1780"/>
      <c r="J1794" s="1779"/>
      <c r="K1794" s="1141"/>
      <c r="L1794" s="1141"/>
      <c r="M1794" s="1780"/>
      <c r="N1794" s="1779"/>
    </row>
    <row r="1795" spans="1:14" ht="13.5" x14ac:dyDescent="0.25">
      <c r="A1795" s="1784"/>
      <c r="B1795" s="1782"/>
      <c r="C1795" s="1782"/>
      <c r="D1795" s="1782"/>
      <c r="E1795" s="1782"/>
      <c r="F1795" s="1782"/>
      <c r="G1795" s="1779"/>
      <c r="H1795" s="1137"/>
      <c r="I1795" s="1780"/>
      <c r="J1795" s="1779"/>
      <c r="K1795" s="1141"/>
      <c r="L1795" s="1143"/>
      <c r="M1795" s="1780"/>
      <c r="N1795" s="1779"/>
    </row>
    <row r="1796" spans="1:14" ht="13.5" x14ac:dyDescent="0.25">
      <c r="A1796" s="1784"/>
      <c r="B1796" s="1782"/>
      <c r="C1796" s="1782"/>
      <c r="D1796" s="1782"/>
      <c r="E1796" s="1782"/>
      <c r="F1796" s="1782"/>
      <c r="G1796" s="1779"/>
      <c r="H1796" s="1137"/>
      <c r="I1796" s="1780"/>
      <c r="J1796" s="1779"/>
      <c r="K1796" s="1141"/>
      <c r="L1796" s="1143"/>
      <c r="M1796" s="1780"/>
      <c r="N1796" s="1779"/>
    </row>
    <row r="1797" spans="1:14" ht="13.5" x14ac:dyDescent="0.25">
      <c r="A1797" s="1784"/>
      <c r="B1797" s="1782"/>
      <c r="C1797" s="1782"/>
      <c r="D1797" s="1782"/>
      <c r="E1797" s="1782"/>
      <c r="F1797" s="1782"/>
      <c r="G1797" s="1779"/>
      <c r="H1797" s="1137"/>
      <c r="I1797" s="1780"/>
      <c r="J1797" s="1779"/>
      <c r="K1797" s="1141"/>
      <c r="L1797" s="1143"/>
      <c r="M1797" s="1780"/>
      <c r="N1797" s="1779"/>
    </row>
    <row r="1798" spans="1:14" ht="13.5" x14ac:dyDescent="0.25">
      <c r="A1798" s="1138"/>
      <c r="B1798" s="1138"/>
      <c r="C1798" s="1138"/>
      <c r="D1798" s="1138"/>
      <c r="E1798" s="1138"/>
      <c r="F1798" s="1138"/>
      <c r="G1798" s="1138"/>
      <c r="H1798" s="1138"/>
      <c r="I1798" s="1138"/>
      <c r="J1798" s="1138"/>
      <c r="K1798" s="1778" t="s">
        <v>523</v>
      </c>
      <c r="L1798" s="1779"/>
      <c r="M1798" s="1780">
        <f>SUM(M1793:N1797)</f>
        <v>45960.040343749999</v>
      </c>
      <c r="N1798" s="1779"/>
    </row>
    <row r="1799" spans="1:14" x14ac:dyDescent="0.2">
      <c r="I1799" s="1414"/>
      <c r="J1799" s="1415"/>
      <c r="K1799" s="1415"/>
      <c r="L1799" s="1415"/>
      <c r="M1799" s="1415"/>
      <c r="N1799" s="1415"/>
    </row>
    <row r="1800" spans="1:14" ht="13.5" thickBot="1" x14ac:dyDescent="0.25">
      <c r="I1800" s="1416"/>
      <c r="J1800" s="1416"/>
      <c r="K1800" s="1416"/>
      <c r="L1800" s="1416"/>
      <c r="M1800" s="1416"/>
      <c r="N1800" s="1416"/>
    </row>
    <row r="1801" spans="1:14" ht="14.25" thickTop="1" x14ac:dyDescent="0.2">
      <c r="I1801" s="1417" t="s">
        <v>1829</v>
      </c>
      <c r="J1801" s="1418"/>
      <c r="K1801" s="1417" t="s">
        <v>2653</v>
      </c>
      <c r="L1801" s="1418"/>
      <c r="M1801" s="1418"/>
      <c r="N1801" s="1418"/>
    </row>
    <row r="1802" spans="1:14" ht="13.5" x14ac:dyDescent="0.2">
      <c r="I1802" s="1419" t="s">
        <v>1831</v>
      </c>
      <c r="J1802" s="1420"/>
      <c r="K1802" s="1419"/>
      <c r="L1802" s="1420"/>
      <c r="M1802" s="1420"/>
      <c r="N1802" s="1420"/>
    </row>
    <row r="1803" spans="1:14" x14ac:dyDescent="0.2">
      <c r="A1803" s="1796" t="s">
        <v>2377</v>
      </c>
      <c r="B1803" s="1797"/>
      <c r="C1803" s="1797"/>
      <c r="D1803" s="1797"/>
      <c r="E1803" s="1797"/>
      <c r="F1803" s="1797"/>
      <c r="G1803" s="1797"/>
      <c r="H1803" s="1797"/>
      <c r="I1803" s="1797"/>
      <c r="J1803" s="1797"/>
      <c r="K1803" s="1797"/>
      <c r="L1803" s="1797"/>
      <c r="M1803" s="1797"/>
      <c r="N1803" s="1798"/>
    </row>
    <row r="1804" spans="1:14" x14ac:dyDescent="0.2">
      <c r="A1804" s="1799"/>
      <c r="B1804" s="1800"/>
      <c r="C1804" s="1800"/>
      <c r="D1804" s="1800"/>
      <c r="E1804" s="1800"/>
      <c r="F1804" s="1800"/>
      <c r="G1804" s="1800"/>
      <c r="H1804" s="1800"/>
      <c r="I1804" s="1800"/>
      <c r="J1804" s="1800"/>
      <c r="K1804" s="1800"/>
      <c r="L1804" s="1800"/>
      <c r="M1804" s="1800"/>
      <c r="N1804" s="1801"/>
    </row>
    <row r="1805" spans="1:14" ht="13.5" x14ac:dyDescent="0.2">
      <c r="A1805" s="1128"/>
      <c r="B1805" s="1128"/>
      <c r="C1805" s="1128"/>
      <c r="D1805" s="1128"/>
      <c r="E1805" s="1128"/>
      <c r="F1805" s="1128"/>
      <c r="G1805" s="1128"/>
      <c r="H1805" s="1128"/>
      <c r="I1805" s="1128"/>
      <c r="J1805" s="1128"/>
      <c r="K1805" s="1128"/>
      <c r="L1805" s="1128"/>
      <c r="M1805" s="1128"/>
      <c r="N1805" s="1128"/>
    </row>
    <row r="1806" spans="1:14" ht="14.25" x14ac:dyDescent="0.3">
      <c r="A1806" s="1104" t="s">
        <v>2378</v>
      </c>
      <c r="B1806" s="1129" t="str">
        <f>A1803</f>
        <v>SUMINISTRO E INSTALACION DE ESTRUCTURA METALICA PARA SOPORTE DE CUBIERTA.</v>
      </c>
      <c r="C1806" s="1130" t="s">
        <v>634</v>
      </c>
      <c r="D1806" s="1107" t="s">
        <v>7</v>
      </c>
      <c r="E1806" s="1132" t="s">
        <v>1833</v>
      </c>
      <c r="F1806" s="1133">
        <f>H1806+J1806+L1806+N1806</f>
        <v>23587.610449702377</v>
      </c>
      <c r="G1806" s="1132" t="s">
        <v>2136</v>
      </c>
      <c r="H1806" s="1133">
        <f>M1834</f>
        <v>2449.7023809523807</v>
      </c>
      <c r="I1806" s="1132" t="s">
        <v>621</v>
      </c>
      <c r="J1806" s="1134">
        <f>M1820</f>
        <v>11773.1</v>
      </c>
      <c r="K1806" s="1132" t="s">
        <v>2137</v>
      </c>
      <c r="L1806" s="1133">
        <f>M1843</f>
        <v>172.79999999999998</v>
      </c>
      <c r="M1806" s="1132" t="s">
        <v>2138</v>
      </c>
      <c r="N1806" s="1133">
        <f>M1852</f>
        <v>9192.0080687499994</v>
      </c>
    </row>
    <row r="1807" spans="1:14" ht="13.5" x14ac:dyDescent="0.25">
      <c r="A1807" s="1135"/>
      <c r="B1807" s="1135"/>
      <c r="C1807" s="1135"/>
      <c r="D1807" s="1135"/>
      <c r="E1807" s="1135"/>
      <c r="F1807" s="1135"/>
      <c r="G1807" s="1135"/>
      <c r="J1807" s="1135"/>
      <c r="K1807" s="1135"/>
      <c r="L1807" s="1135"/>
      <c r="M1807" s="1270" t="s">
        <v>2667</v>
      </c>
      <c r="N1807" s="1270">
        <f>+F1806*'01'!$O$15</f>
        <v>30529.536373307154</v>
      </c>
    </row>
    <row r="1808" spans="1:14" x14ac:dyDescent="0.2">
      <c r="A1808" s="1781" t="s">
        <v>2139</v>
      </c>
      <c r="B1808" s="1782"/>
      <c r="C1808" s="1782"/>
      <c r="D1808" s="1782"/>
      <c r="E1808" s="1782"/>
      <c r="F1808" s="1782"/>
      <c r="G1808" s="1782"/>
      <c r="H1808" s="1782"/>
      <c r="I1808" s="1782"/>
      <c r="J1808" s="1782"/>
      <c r="K1808" s="1782"/>
      <c r="L1808" s="1782"/>
      <c r="M1808" s="1782"/>
      <c r="N1808" s="1779"/>
    </row>
    <row r="1809" spans="1:15" x14ac:dyDescent="0.2">
      <c r="A1809" s="1778" t="s">
        <v>14</v>
      </c>
      <c r="B1809" s="1782"/>
      <c r="C1809" s="1782"/>
      <c r="D1809" s="1782"/>
      <c r="E1809" s="1782"/>
      <c r="F1809" s="1782"/>
      <c r="G1809" s="1779"/>
      <c r="H1809" s="1136" t="s">
        <v>15</v>
      </c>
      <c r="I1809" s="1783" t="s">
        <v>619</v>
      </c>
      <c r="J1809" s="1779"/>
      <c r="K1809" s="1783" t="s">
        <v>628</v>
      </c>
      <c r="L1809" s="1779"/>
      <c r="M1809" s="1783" t="s">
        <v>2140</v>
      </c>
      <c r="N1809" s="1779"/>
    </row>
    <row r="1810" spans="1:15" ht="13.5" customHeight="1" x14ac:dyDescent="0.2">
      <c r="A1810" s="1792" t="s">
        <v>915</v>
      </c>
      <c r="B1810" s="1782"/>
      <c r="C1810" s="1782"/>
      <c r="D1810" s="1782"/>
      <c r="E1810" s="1782"/>
      <c r="F1810" s="1782"/>
      <c r="G1810" s="1779"/>
      <c r="H1810" s="1032" t="str">
        <f>IF(A1810="","",VLOOKUP(A1810,'10'!$C$6:$E$1152,2,FALSE))</f>
        <v>KG</v>
      </c>
      <c r="I1810" s="1785">
        <f>IF(A1810="","",VLOOKUP(A1810,'10'!$C$6:$E$1152,3,FALSE))</f>
        <v>7800</v>
      </c>
      <c r="J1810" s="1412"/>
      <c r="K1810" s="1794">
        <v>1.05</v>
      </c>
      <c r="L1810" s="1795"/>
      <c r="M1810" s="1780">
        <f>K1810*I1810</f>
        <v>8190</v>
      </c>
      <c r="N1810" s="1779"/>
    </row>
    <row r="1811" spans="1:15" ht="13.5" customHeight="1" x14ac:dyDescent="0.2">
      <c r="A1811" s="1792" t="s">
        <v>1094</v>
      </c>
      <c r="B1811" s="1782"/>
      <c r="C1811" s="1782"/>
      <c r="D1811" s="1782"/>
      <c r="E1811" s="1782"/>
      <c r="F1811" s="1782"/>
      <c r="G1811" s="1779"/>
      <c r="H1811" s="1032" t="str">
        <f>IF(A1811="","",VLOOKUP(A1811,'10'!$C$6:$E$1152,2,FALSE))</f>
        <v>ML</v>
      </c>
      <c r="I1811" s="1785">
        <f>IF(A1811="","",VLOOKUP(A1811,'10'!$C$6:$E$1152,3,FALSE))</f>
        <v>2567</v>
      </c>
      <c r="J1811" s="1412"/>
      <c r="K1811" s="1794">
        <v>0.3</v>
      </c>
      <c r="L1811" s="1795"/>
      <c r="M1811" s="1780">
        <f t="shared" ref="M1811:M1812" si="81">K1811*I1811</f>
        <v>770.1</v>
      </c>
      <c r="N1811" s="1779"/>
    </row>
    <row r="1812" spans="1:15" ht="13.5" x14ac:dyDescent="0.2">
      <c r="A1812" s="1792" t="s">
        <v>1712</v>
      </c>
      <c r="B1812" s="1782"/>
      <c r="C1812" s="1782"/>
      <c r="D1812" s="1782"/>
      <c r="E1812" s="1782"/>
      <c r="F1812" s="1782"/>
      <c r="G1812" s="1779"/>
      <c r="H1812" s="1032" t="str">
        <f>IF(A1812="","",VLOOKUP(A1812,'10'!$C$6:$E$1152,2,FALSE))</f>
        <v>KG</v>
      </c>
      <c r="I1812" s="1785">
        <f>IF(A1812="","",VLOOKUP(A1812,'10'!$C$6:$E$1152,3,FALSE))</f>
        <v>19500</v>
      </c>
      <c r="J1812" s="1412"/>
      <c r="K1812" s="1794">
        <v>7.0000000000000007E-2</v>
      </c>
      <c r="L1812" s="1795"/>
      <c r="M1812" s="1780">
        <f t="shared" si="81"/>
        <v>1365.0000000000002</v>
      </c>
      <c r="N1812" s="1779"/>
      <c r="O1812" s="799"/>
    </row>
    <row r="1813" spans="1:15" ht="13.5" x14ac:dyDescent="0.2">
      <c r="A1813" s="1792" t="s">
        <v>913</v>
      </c>
      <c r="B1813" s="1782"/>
      <c r="C1813" s="1782"/>
      <c r="D1813" s="1782"/>
      <c r="E1813" s="1782"/>
      <c r="F1813" s="1782"/>
      <c r="G1813" s="1779"/>
      <c r="H1813" s="1032" t="str">
        <f>IF(A1813="","",VLOOKUP(A1813,'10'!$C$6:$E$1152,2,FALSE))</f>
        <v>GAL</v>
      </c>
      <c r="I1813" s="1785">
        <f>IF(A1813="","",VLOOKUP(A1813,'10'!$C$6:$E$1152,3,FALSE))</f>
        <v>64900</v>
      </c>
      <c r="J1813" s="1412"/>
      <c r="K1813" s="1794">
        <v>0.01</v>
      </c>
      <c r="L1813" s="1795"/>
      <c r="M1813" s="1780">
        <f t="shared" ref="M1813:M1815" si="82">K1813*I1813</f>
        <v>649</v>
      </c>
      <c r="N1813" s="1779"/>
    </row>
    <row r="1814" spans="1:15" ht="13.5" x14ac:dyDescent="0.2">
      <c r="A1814" s="1792" t="s">
        <v>1713</v>
      </c>
      <c r="B1814" s="1782"/>
      <c r="C1814" s="1782"/>
      <c r="D1814" s="1782"/>
      <c r="E1814" s="1782"/>
      <c r="F1814" s="1782"/>
      <c r="G1814" s="1779"/>
      <c r="H1814" s="1032" t="str">
        <f>IF(A1814="","",VLOOKUP(A1814,'10'!$C$6:$E$1152,2,FALSE))</f>
        <v>GAL</v>
      </c>
      <c r="I1814" s="1785">
        <f>IF(A1814="","",VLOOKUP(A1814,'10'!$C$6:$E$1152,3,FALSE))</f>
        <v>79900</v>
      </c>
      <c r="J1814" s="1412"/>
      <c r="K1814" s="1794">
        <v>0.01</v>
      </c>
      <c r="L1814" s="1795"/>
      <c r="M1814" s="1780">
        <f t="shared" si="82"/>
        <v>799</v>
      </c>
      <c r="N1814" s="1779"/>
    </row>
    <row r="1815" spans="1:15" ht="13.5" x14ac:dyDescent="0.2">
      <c r="A1815" s="1792" t="s">
        <v>862</v>
      </c>
      <c r="B1815" s="1782"/>
      <c r="C1815" s="1782"/>
      <c r="D1815" s="1782"/>
      <c r="E1815" s="1782"/>
      <c r="F1815" s="1782"/>
      <c r="G1815" s="1779"/>
      <c r="H1815" s="1032" t="s">
        <v>64</v>
      </c>
      <c r="I1815" s="1785">
        <v>36000</v>
      </c>
      <c r="J1815" s="1412"/>
      <c r="K1815" s="1794">
        <v>0.01</v>
      </c>
      <c r="L1815" s="1795"/>
      <c r="M1815" s="1780">
        <f t="shared" si="82"/>
        <v>360</v>
      </c>
      <c r="N1815" s="1779"/>
    </row>
    <row r="1816" spans="1:15" ht="13.5" x14ac:dyDescent="0.2">
      <c r="A1816" s="1792"/>
      <c r="B1816" s="1782"/>
      <c r="C1816" s="1782"/>
      <c r="D1816" s="1782"/>
      <c r="E1816" s="1782"/>
      <c r="F1816" s="1782"/>
      <c r="G1816" s="1779"/>
      <c r="H1816" s="1032" t="str">
        <f>IF(A1816="","",VLOOKUP(A1816,'10'!$C$6:$E$1152,2,FALSE))</f>
        <v/>
      </c>
      <c r="I1816" s="1785" t="str">
        <f>IF(A1816="","",VLOOKUP(A1816,'10'!$C$6:$E$1152,3,FALSE))</f>
        <v/>
      </c>
      <c r="J1816" s="1412"/>
      <c r="K1816" s="1794"/>
      <c r="L1816" s="1795"/>
      <c r="M1816" s="1780"/>
      <c r="N1816" s="1779"/>
    </row>
    <row r="1817" spans="1:15" ht="13.5" x14ac:dyDescent="0.2">
      <c r="A1817" s="1792"/>
      <c r="B1817" s="1782"/>
      <c r="C1817" s="1782"/>
      <c r="D1817" s="1782"/>
      <c r="E1817" s="1782"/>
      <c r="F1817" s="1782"/>
      <c r="G1817" s="1779"/>
      <c r="H1817" s="1032"/>
      <c r="I1817" s="1785"/>
      <c r="J1817" s="1412"/>
      <c r="K1817" s="1794"/>
      <c r="L1817" s="1795"/>
      <c r="M1817" s="1780"/>
      <c r="N1817" s="1779"/>
    </row>
    <row r="1818" spans="1:15" ht="13.5" x14ac:dyDescent="0.2">
      <c r="A1818" s="1792"/>
      <c r="B1818" s="1782"/>
      <c r="C1818" s="1782"/>
      <c r="D1818" s="1782"/>
      <c r="E1818" s="1782"/>
      <c r="F1818" s="1782"/>
      <c r="G1818" s="1779"/>
      <c r="H1818" s="1032"/>
      <c r="I1818" s="1785"/>
      <c r="J1818" s="1412"/>
      <c r="K1818" s="1794"/>
      <c r="L1818" s="1795"/>
      <c r="M1818" s="1780"/>
      <c r="N1818" s="1779"/>
    </row>
    <row r="1819" spans="1:15" ht="13.5" x14ac:dyDescent="0.2">
      <c r="A1819" s="1792"/>
      <c r="B1819" s="1782"/>
      <c r="C1819" s="1782"/>
      <c r="D1819" s="1782"/>
      <c r="E1819" s="1782"/>
      <c r="F1819" s="1782"/>
      <c r="G1819" s="1779"/>
      <c r="H1819" s="1032"/>
      <c r="I1819" s="1785"/>
      <c r="J1819" s="1412"/>
      <c r="K1819" s="1794"/>
      <c r="L1819" s="1795"/>
      <c r="M1819" s="1780"/>
      <c r="N1819" s="1779"/>
    </row>
    <row r="1820" spans="1:15" ht="13.5" x14ac:dyDescent="0.25">
      <c r="A1820" s="1138"/>
      <c r="B1820" s="1138"/>
      <c r="C1820" s="1138"/>
      <c r="D1820" s="1138"/>
      <c r="E1820" s="1138"/>
      <c r="F1820" s="1138"/>
      <c r="G1820" s="1138"/>
      <c r="H1820" s="1138"/>
      <c r="I1820" s="1138"/>
      <c r="J1820" s="1138"/>
      <c r="K1820" s="1778" t="s">
        <v>523</v>
      </c>
      <c r="L1820" s="1779"/>
      <c r="M1820" s="1780">
        <f>SUM(M1810:N1814)</f>
        <v>11773.1</v>
      </c>
      <c r="N1820" s="1779"/>
    </row>
    <row r="1821" spans="1:15" ht="13.5" x14ac:dyDescent="0.25">
      <c r="A1821" s="1138"/>
      <c r="B1821" s="1138"/>
      <c r="C1821" s="1138"/>
      <c r="D1821" s="1138"/>
      <c r="E1821" s="1138"/>
      <c r="F1821" s="1138"/>
      <c r="G1821" s="1138"/>
      <c r="H1821" s="1138"/>
      <c r="I1821" s="1138"/>
      <c r="J1821" s="1138"/>
      <c r="K1821" s="1138"/>
      <c r="L1821" s="1138"/>
      <c r="M1821" s="1138"/>
      <c r="N1821" s="1138"/>
    </row>
    <row r="1822" spans="1:15" x14ac:dyDescent="0.2">
      <c r="A1822" s="1781" t="s">
        <v>2145</v>
      </c>
      <c r="B1822" s="1782"/>
      <c r="C1822" s="1782"/>
      <c r="D1822" s="1782"/>
      <c r="E1822" s="1782"/>
      <c r="F1822" s="1782"/>
      <c r="G1822" s="1782"/>
      <c r="H1822" s="1782"/>
      <c r="I1822" s="1782"/>
      <c r="J1822" s="1782"/>
      <c r="K1822" s="1782"/>
      <c r="L1822" s="1782"/>
      <c r="M1822" s="1782"/>
      <c r="N1822" s="1779"/>
    </row>
    <row r="1823" spans="1:15" x14ac:dyDescent="0.2">
      <c r="A1823" s="1778" t="s">
        <v>14</v>
      </c>
      <c r="B1823" s="1782"/>
      <c r="C1823" s="1782"/>
      <c r="D1823" s="1782"/>
      <c r="E1823" s="1782"/>
      <c r="F1823" s="1782"/>
      <c r="G1823" s="1779"/>
      <c r="H1823" s="1136" t="s">
        <v>15</v>
      </c>
      <c r="I1823" s="1783" t="s">
        <v>619</v>
      </c>
      <c r="J1823" s="1779"/>
      <c r="K1823" s="1783" t="s">
        <v>610</v>
      </c>
      <c r="L1823" s="1779"/>
      <c r="M1823" s="1783" t="s">
        <v>2140</v>
      </c>
      <c r="N1823" s="1779"/>
    </row>
    <row r="1824" spans="1:15" ht="13.5" x14ac:dyDescent="0.2">
      <c r="A1824" s="1789" t="s">
        <v>131</v>
      </c>
      <c r="B1824" s="1790"/>
      <c r="C1824" s="1790"/>
      <c r="D1824" s="1790"/>
      <c r="E1824" s="1790"/>
      <c r="F1824" s="1790"/>
      <c r="G1824" s="1791"/>
      <c r="H1824" s="1032" t="str">
        <f>IF(A1824="","",VLOOKUP(A1824,'11'!$C$6:$E$87,2,FALSE))</f>
        <v>DIA</v>
      </c>
      <c r="I1824" s="1785">
        <f>IF(A1824="","",VLOOKUP(A1824,'11'!$C$6:$E$87,3,FALSE))</f>
        <v>15000</v>
      </c>
      <c r="J1824" s="1412"/>
      <c r="K1824" s="1787">
        <v>20</v>
      </c>
      <c r="L1824" s="1793"/>
      <c r="M1824" s="1780">
        <f>I1824/K1824</f>
        <v>750</v>
      </c>
      <c r="N1824" s="1779"/>
    </row>
    <row r="1825" spans="1:14" ht="13.5" x14ac:dyDescent="0.2">
      <c r="A1825" s="1789" t="s">
        <v>147</v>
      </c>
      <c r="B1825" s="1790"/>
      <c r="C1825" s="1790"/>
      <c r="D1825" s="1790"/>
      <c r="E1825" s="1790"/>
      <c r="F1825" s="1790"/>
      <c r="G1825" s="1791"/>
      <c r="H1825" s="1032" t="str">
        <f>IF(A1825="","",VLOOKUP(A1825,'11'!$C$6:$E$87,2,FALSE))</f>
        <v>DÍA</v>
      </c>
      <c r="I1825" s="1785">
        <f>IF(A1825="","",VLOOKUP(A1825,'11'!$C$6:$E$87,3,FALSE))</f>
        <v>1500</v>
      </c>
      <c r="J1825" s="1412"/>
      <c r="K1825" s="1787">
        <v>5</v>
      </c>
      <c r="L1825" s="1793"/>
      <c r="M1825" s="1780">
        <f t="shared" ref="M1825:M1830" si="83">I1825/K1825</f>
        <v>300</v>
      </c>
      <c r="N1825" s="1779"/>
    </row>
    <row r="1826" spans="1:14" ht="13.5" x14ac:dyDescent="0.2">
      <c r="A1826" s="1789" t="s">
        <v>132</v>
      </c>
      <c r="B1826" s="1790"/>
      <c r="C1826" s="1790"/>
      <c r="D1826" s="1790"/>
      <c r="E1826" s="1790"/>
      <c r="F1826" s="1790"/>
      <c r="G1826" s="1791"/>
      <c r="H1826" s="1032" t="str">
        <f>IF(A1826="","",VLOOKUP(A1826,'11'!$C$6:$E$87,2,FALSE))</f>
        <v>DIA</v>
      </c>
      <c r="I1826" s="1785">
        <f>IF(A1826="","",VLOOKUP(A1826,'11'!$C$6:$E$87,3,FALSE))</f>
        <v>50000</v>
      </c>
      <c r="J1826" s="1412"/>
      <c r="K1826" s="1787">
        <v>200</v>
      </c>
      <c r="L1826" s="1793"/>
      <c r="M1826" s="1780">
        <f t="shared" si="83"/>
        <v>250</v>
      </c>
      <c r="N1826" s="1779"/>
    </row>
    <row r="1827" spans="1:14" ht="13.5" x14ac:dyDescent="0.2">
      <c r="A1827" s="1789" t="s">
        <v>196</v>
      </c>
      <c r="B1827" s="1790"/>
      <c r="C1827" s="1790"/>
      <c r="D1827" s="1790"/>
      <c r="E1827" s="1790"/>
      <c r="F1827" s="1790"/>
      <c r="G1827" s="1791"/>
      <c r="H1827" s="1032" t="str">
        <f>IF(A1827="","",VLOOKUP(A1827,'11'!$C$6:$E$87,2,FALSE))</f>
        <v>HR</v>
      </c>
      <c r="I1827" s="1785">
        <f>IF(A1827="","",VLOOKUP(A1827,'11'!$C$6:$E$87,3,FALSE))</f>
        <v>4375</v>
      </c>
      <c r="J1827" s="1412"/>
      <c r="K1827" s="1787">
        <v>20</v>
      </c>
      <c r="L1827" s="1793"/>
      <c r="M1827" s="1780">
        <f t="shared" si="83"/>
        <v>218.75</v>
      </c>
      <c r="N1827" s="1779"/>
    </row>
    <row r="1828" spans="1:14" ht="13.5" x14ac:dyDescent="0.2">
      <c r="A1828" s="1789" t="s">
        <v>863</v>
      </c>
      <c r="B1828" s="1790"/>
      <c r="C1828" s="1790"/>
      <c r="D1828" s="1790"/>
      <c r="E1828" s="1790"/>
      <c r="F1828" s="1790"/>
      <c r="G1828" s="1791"/>
      <c r="H1828" s="1032" t="str">
        <f>IF(A1828="","",VLOOKUP(A1828,'11'!$C$6:$E$87,2,FALSE))</f>
        <v>DIA</v>
      </c>
      <c r="I1828" s="1785">
        <f>IF(A1828="","",VLOOKUP(A1828,'11'!$C$6:$E$87,3,FALSE))</f>
        <v>85000</v>
      </c>
      <c r="J1828" s="1412"/>
      <c r="K1828" s="1787">
        <v>300</v>
      </c>
      <c r="L1828" s="1793"/>
      <c r="M1828" s="1780">
        <f t="shared" si="83"/>
        <v>283.33333333333331</v>
      </c>
      <c r="N1828" s="1779"/>
    </row>
    <row r="1829" spans="1:14" ht="13.5" x14ac:dyDescent="0.2">
      <c r="A1829" s="1789" t="s">
        <v>139</v>
      </c>
      <c r="B1829" s="1790"/>
      <c r="C1829" s="1790"/>
      <c r="D1829" s="1790"/>
      <c r="E1829" s="1790"/>
      <c r="F1829" s="1790"/>
      <c r="G1829" s="1791"/>
      <c r="H1829" s="1032" t="str">
        <f>IF(A1829="","",VLOOKUP(A1829,'11'!$C$6:$E$87,2,FALSE))</f>
        <v>DIA</v>
      </c>
      <c r="I1829" s="1785">
        <f>IF(A1829="","",VLOOKUP(A1829,'11'!$C$6:$E$87,3,FALSE))</f>
        <v>65000</v>
      </c>
      <c r="J1829" s="1412"/>
      <c r="K1829" s="1787">
        <v>150</v>
      </c>
      <c r="L1829" s="1793"/>
      <c r="M1829" s="1780">
        <f t="shared" si="83"/>
        <v>433.33333333333331</v>
      </c>
      <c r="N1829" s="1779"/>
    </row>
    <row r="1830" spans="1:14" ht="13.5" x14ac:dyDescent="0.2">
      <c r="A1830" s="1789" t="s">
        <v>137</v>
      </c>
      <c r="B1830" s="1790"/>
      <c r="C1830" s="1790"/>
      <c r="D1830" s="1790"/>
      <c r="E1830" s="1790"/>
      <c r="F1830" s="1790"/>
      <c r="G1830" s="1791"/>
      <c r="H1830" s="1032" t="str">
        <f>IF(A1830="","",VLOOKUP(A1830,'11'!$C$6:$E$87,2,FALSE))</f>
        <v>HR</v>
      </c>
      <c r="I1830" s="1785">
        <f>IF(A1830="","",VLOOKUP(A1830,'11'!$C$6:$E$87,3,FALSE))</f>
        <v>15000</v>
      </c>
      <c r="J1830" s="1412"/>
      <c r="K1830" s="1787">
        <v>70</v>
      </c>
      <c r="L1830" s="1793"/>
      <c r="M1830" s="1780">
        <f t="shared" si="83"/>
        <v>214.28571428571428</v>
      </c>
      <c r="N1830" s="1779"/>
    </row>
    <row r="1831" spans="1:14" ht="13.5" x14ac:dyDescent="0.2">
      <c r="A1831" s="1789"/>
      <c r="B1831" s="1790"/>
      <c r="C1831" s="1790"/>
      <c r="D1831" s="1790"/>
      <c r="E1831" s="1790"/>
      <c r="F1831" s="1790"/>
      <c r="G1831" s="1791"/>
      <c r="H1831" s="1032"/>
      <c r="I1831" s="1785"/>
      <c r="J1831" s="1412"/>
      <c r="K1831" s="1787"/>
      <c r="L1831" s="1779"/>
      <c r="M1831" s="1780"/>
      <c r="N1831" s="1779"/>
    </row>
    <row r="1832" spans="1:14" ht="13.5" x14ac:dyDescent="0.2">
      <c r="A1832" s="1789"/>
      <c r="B1832" s="1790"/>
      <c r="C1832" s="1790"/>
      <c r="D1832" s="1790"/>
      <c r="E1832" s="1790"/>
      <c r="F1832" s="1790"/>
      <c r="G1832" s="1791"/>
      <c r="H1832" s="1032"/>
      <c r="I1832" s="1785"/>
      <c r="J1832" s="1412"/>
      <c r="K1832" s="1787"/>
      <c r="L1832" s="1779"/>
      <c r="M1832" s="1780"/>
      <c r="N1832" s="1779"/>
    </row>
    <row r="1833" spans="1:14" ht="13.5" x14ac:dyDescent="0.2">
      <c r="A1833" s="1789"/>
      <c r="B1833" s="1782"/>
      <c r="C1833" s="1782"/>
      <c r="D1833" s="1782"/>
      <c r="E1833" s="1782"/>
      <c r="F1833" s="1782"/>
      <c r="G1833" s="1779"/>
      <c r="H1833" s="1137"/>
      <c r="I1833" s="1780"/>
      <c r="J1833" s="1779"/>
      <c r="K1833" s="1787"/>
      <c r="L1833" s="1779"/>
      <c r="M1833" s="1780"/>
      <c r="N1833" s="1779"/>
    </row>
    <row r="1834" spans="1:14" ht="13.5" x14ac:dyDescent="0.25">
      <c r="A1834" s="1138"/>
      <c r="B1834" s="1138"/>
      <c r="C1834" s="1138"/>
      <c r="D1834" s="1138"/>
      <c r="E1834" s="1138"/>
      <c r="F1834" s="1138"/>
      <c r="G1834" s="1138"/>
      <c r="H1834" s="1138"/>
      <c r="I1834" s="1138"/>
      <c r="J1834" s="1138"/>
      <c r="K1834" s="1778" t="s">
        <v>523</v>
      </c>
      <c r="L1834" s="1779"/>
      <c r="M1834" s="1780">
        <f>SUM(M1824:N1833)</f>
        <v>2449.7023809523807</v>
      </c>
      <c r="N1834" s="1779"/>
    </row>
    <row r="1835" spans="1:14" ht="13.5" x14ac:dyDescent="0.25">
      <c r="A1835" s="1138"/>
      <c r="B1835" s="1138"/>
      <c r="C1835" s="1138"/>
      <c r="D1835" s="1138"/>
      <c r="E1835" s="1138"/>
      <c r="F1835" s="1138"/>
      <c r="G1835" s="1138"/>
      <c r="H1835" s="1138"/>
      <c r="I1835" s="1138"/>
      <c r="J1835" s="1138"/>
      <c r="K1835" s="1138"/>
      <c r="L1835" s="1138"/>
      <c r="M1835" s="1138"/>
      <c r="N1835" s="1138"/>
    </row>
    <row r="1836" spans="1:14" x14ac:dyDescent="0.2">
      <c r="A1836" s="1781" t="s">
        <v>2147</v>
      </c>
      <c r="B1836" s="1782"/>
      <c r="C1836" s="1782"/>
      <c r="D1836" s="1782"/>
      <c r="E1836" s="1782"/>
      <c r="F1836" s="1782"/>
      <c r="G1836" s="1782"/>
      <c r="H1836" s="1782"/>
      <c r="I1836" s="1782"/>
      <c r="J1836" s="1782"/>
      <c r="K1836" s="1782"/>
      <c r="L1836" s="1782"/>
      <c r="M1836" s="1782"/>
      <c r="N1836" s="1779"/>
    </row>
    <row r="1837" spans="1:14" x14ac:dyDescent="0.2">
      <c r="A1837" s="1778" t="s">
        <v>14</v>
      </c>
      <c r="B1837" s="1782"/>
      <c r="C1837" s="1782"/>
      <c r="D1837" s="1782"/>
      <c r="E1837" s="1782"/>
      <c r="F1837" s="1782"/>
      <c r="G1837" s="1779"/>
      <c r="H1837" s="1136" t="s">
        <v>15</v>
      </c>
      <c r="I1837" s="1783" t="s">
        <v>619</v>
      </c>
      <c r="J1837" s="1779"/>
      <c r="K1837" s="1783" t="s">
        <v>628</v>
      </c>
      <c r="L1837" s="1779"/>
      <c r="M1837" s="1783" t="s">
        <v>2140</v>
      </c>
      <c r="N1837" s="1779"/>
    </row>
    <row r="1838" spans="1:14" ht="13.5" x14ac:dyDescent="0.2">
      <c r="A1838" s="1792" t="s">
        <v>2328</v>
      </c>
      <c r="B1838" s="1782"/>
      <c r="C1838" s="1782"/>
      <c r="D1838" s="1782"/>
      <c r="E1838" s="1782"/>
      <c r="F1838" s="1782"/>
      <c r="G1838" s="1779"/>
      <c r="H1838" s="1032" t="str">
        <f>IF(A1838="","",VLOOKUP(A1838,'11'!$C$6:$E$1012,2,FALSE))</f>
        <v>KM-M3</v>
      </c>
      <c r="I1838" s="1785">
        <f>IF(A1838="","",VLOOKUP(A1838,'11'!$C$6:$E$1012,3,FALSE))</f>
        <v>1440</v>
      </c>
      <c r="J1838" s="1412"/>
      <c r="K1838" s="1787">
        <v>0.12</v>
      </c>
      <c r="L1838" s="1793"/>
      <c r="M1838" s="1780">
        <f t="shared" ref="M1838" si="84">IF(A1838="","",I1838*K1838)</f>
        <v>172.79999999999998</v>
      </c>
      <c r="N1838" s="1779"/>
    </row>
    <row r="1839" spans="1:14" ht="13.5" x14ac:dyDescent="0.2">
      <c r="A1839" s="1786"/>
      <c r="B1839" s="1782"/>
      <c r="C1839" s="1782"/>
      <c r="D1839" s="1782"/>
      <c r="E1839" s="1782"/>
      <c r="F1839" s="1782"/>
      <c r="G1839" s="1779"/>
      <c r="H1839" s="1032"/>
      <c r="I1839" s="1780"/>
      <c r="J1839" s="1779"/>
      <c r="K1839" s="1787"/>
      <c r="L1839" s="1779"/>
      <c r="M1839" s="1780"/>
      <c r="N1839" s="1779"/>
    </row>
    <row r="1840" spans="1:14" ht="13.5" x14ac:dyDescent="0.2">
      <c r="A1840" s="1786"/>
      <c r="B1840" s="1782"/>
      <c r="C1840" s="1782"/>
      <c r="D1840" s="1782"/>
      <c r="E1840" s="1782"/>
      <c r="F1840" s="1782"/>
      <c r="G1840" s="1779"/>
      <c r="H1840" s="1032"/>
      <c r="I1840" s="1780"/>
      <c r="J1840" s="1779"/>
      <c r="K1840" s="1788"/>
      <c r="L1840" s="1779"/>
      <c r="M1840" s="1780"/>
      <c r="N1840" s="1779"/>
    </row>
    <row r="1841" spans="1:14" ht="13.5" x14ac:dyDescent="0.2">
      <c r="A1841" s="1789"/>
      <c r="B1841" s="1782"/>
      <c r="C1841" s="1782"/>
      <c r="D1841" s="1782"/>
      <c r="E1841" s="1782"/>
      <c r="F1841" s="1782"/>
      <c r="G1841" s="1779"/>
      <c r="H1841" s="1137"/>
      <c r="I1841" s="1780"/>
      <c r="J1841" s="1779"/>
      <c r="K1841" s="1787"/>
      <c r="L1841" s="1779"/>
      <c r="M1841" s="1780"/>
      <c r="N1841" s="1779"/>
    </row>
    <row r="1842" spans="1:14" ht="13.5" x14ac:dyDescent="0.2">
      <c r="A1842" s="1789"/>
      <c r="B1842" s="1782"/>
      <c r="C1842" s="1782"/>
      <c r="D1842" s="1782"/>
      <c r="E1842" s="1782"/>
      <c r="F1842" s="1782"/>
      <c r="G1842" s="1779"/>
      <c r="H1842" s="1137"/>
      <c r="I1842" s="1780"/>
      <c r="J1842" s="1779"/>
      <c r="K1842" s="1787"/>
      <c r="L1842" s="1779"/>
      <c r="M1842" s="1780"/>
      <c r="N1842" s="1779"/>
    </row>
    <row r="1843" spans="1:14" ht="13.5" x14ac:dyDescent="0.25">
      <c r="A1843" s="1138"/>
      <c r="B1843" s="1138"/>
      <c r="C1843" s="1138"/>
      <c r="D1843" s="1138"/>
      <c r="E1843" s="1138"/>
      <c r="F1843" s="1138"/>
      <c r="G1843" s="1138"/>
      <c r="H1843" s="1138"/>
      <c r="I1843" s="1138"/>
      <c r="J1843" s="1138"/>
      <c r="K1843" s="1778" t="s">
        <v>523</v>
      </c>
      <c r="L1843" s="1779"/>
      <c r="M1843" s="1780">
        <f>SUM(M1838:N1842)</f>
        <v>172.79999999999998</v>
      </c>
      <c r="N1843" s="1779"/>
    </row>
    <row r="1844" spans="1:14" ht="13.5" x14ac:dyDescent="0.25">
      <c r="A1844" s="1138"/>
      <c r="B1844" s="1138"/>
      <c r="C1844" s="1138"/>
      <c r="D1844" s="1138"/>
      <c r="E1844" s="1138"/>
      <c r="F1844" s="1138"/>
      <c r="G1844" s="1138"/>
      <c r="H1844" s="1138"/>
      <c r="I1844" s="1138"/>
      <c r="J1844" s="1138"/>
      <c r="K1844" s="1138"/>
      <c r="L1844" s="1138"/>
      <c r="M1844" s="1138"/>
      <c r="N1844" s="1138"/>
    </row>
    <row r="1845" spans="1:14" x14ac:dyDescent="0.2">
      <c r="A1845" s="1781" t="s">
        <v>2150</v>
      </c>
      <c r="B1845" s="1782"/>
      <c r="C1845" s="1782"/>
      <c r="D1845" s="1782"/>
      <c r="E1845" s="1782"/>
      <c r="F1845" s="1782"/>
      <c r="G1845" s="1782"/>
      <c r="H1845" s="1782"/>
      <c r="I1845" s="1782"/>
      <c r="J1845" s="1782"/>
      <c r="K1845" s="1782"/>
      <c r="L1845" s="1782"/>
      <c r="M1845" s="1782"/>
      <c r="N1845" s="1779"/>
    </row>
    <row r="1846" spans="1:14" x14ac:dyDescent="0.2">
      <c r="A1846" s="1778" t="s">
        <v>14</v>
      </c>
      <c r="B1846" s="1782"/>
      <c r="C1846" s="1782"/>
      <c r="D1846" s="1782"/>
      <c r="E1846" s="1782"/>
      <c r="F1846" s="1782"/>
      <c r="G1846" s="1779"/>
      <c r="H1846" s="1136" t="s">
        <v>15</v>
      </c>
      <c r="I1846" s="1783" t="s">
        <v>619</v>
      </c>
      <c r="J1846" s="1779"/>
      <c r="K1846" s="1139" t="s">
        <v>1919</v>
      </c>
      <c r="L1846" s="1140" t="s">
        <v>2151</v>
      </c>
      <c r="M1846" s="1783" t="s">
        <v>2140</v>
      </c>
      <c r="N1846" s="1779"/>
    </row>
    <row r="1847" spans="1:14" ht="13.5" x14ac:dyDescent="0.25">
      <c r="A1847" s="1784" t="s">
        <v>2271</v>
      </c>
      <c r="B1847" s="1782"/>
      <c r="C1847" s="1782"/>
      <c r="D1847" s="1782"/>
      <c r="E1847" s="1782"/>
      <c r="F1847" s="1782"/>
      <c r="G1847" s="1779"/>
      <c r="H1847" s="1032" t="str">
        <f>IF(A1847="","",VLOOKUP(A1847,'09'!$A$22:$O$168,4,FALSE))</f>
        <v>Cuadrilla</v>
      </c>
      <c r="I1847" s="1785">
        <f>IF(A1847="","",VLOOKUP(A1847,'09'!$A$22:$O$168,5,FALSE))</f>
        <v>233454</v>
      </c>
      <c r="J1847" s="1412"/>
      <c r="K1847" s="1034">
        <f>IF(A1847="","",'03'!$I$2)</f>
        <v>1.88995</v>
      </c>
      <c r="L1847" s="1142">
        <v>6</v>
      </c>
      <c r="M1847" s="1780">
        <f>I1847*K1847/(L1847*8)</f>
        <v>9192.0080687499994</v>
      </c>
      <c r="N1847" s="1779"/>
    </row>
    <row r="1848" spans="1:14" ht="13.5" x14ac:dyDescent="0.25">
      <c r="A1848" s="1784"/>
      <c r="B1848" s="1782"/>
      <c r="C1848" s="1782"/>
      <c r="D1848" s="1782"/>
      <c r="E1848" s="1782"/>
      <c r="F1848" s="1782"/>
      <c r="G1848" s="1779"/>
      <c r="H1848" s="1137"/>
      <c r="I1848" s="1780"/>
      <c r="J1848" s="1779"/>
      <c r="K1848" s="1141"/>
      <c r="L1848" s="1141"/>
      <c r="M1848" s="1780"/>
      <c r="N1848" s="1779"/>
    </row>
    <row r="1849" spans="1:14" ht="13.5" x14ac:dyDescent="0.25">
      <c r="A1849" s="1784"/>
      <c r="B1849" s="1782"/>
      <c r="C1849" s="1782"/>
      <c r="D1849" s="1782"/>
      <c r="E1849" s="1782"/>
      <c r="F1849" s="1782"/>
      <c r="G1849" s="1779"/>
      <c r="H1849" s="1137"/>
      <c r="I1849" s="1780"/>
      <c r="J1849" s="1779"/>
      <c r="K1849" s="1141"/>
      <c r="L1849" s="1143"/>
      <c r="M1849" s="1780"/>
      <c r="N1849" s="1779"/>
    </row>
    <row r="1850" spans="1:14" ht="13.5" x14ac:dyDescent="0.25">
      <c r="A1850" s="1784"/>
      <c r="B1850" s="1782"/>
      <c r="C1850" s="1782"/>
      <c r="D1850" s="1782"/>
      <c r="E1850" s="1782"/>
      <c r="F1850" s="1782"/>
      <c r="G1850" s="1779"/>
      <c r="H1850" s="1137"/>
      <c r="I1850" s="1780"/>
      <c r="J1850" s="1779"/>
      <c r="K1850" s="1141"/>
      <c r="L1850" s="1143"/>
      <c r="M1850" s="1780"/>
      <c r="N1850" s="1779"/>
    </row>
    <row r="1851" spans="1:14" ht="13.5" x14ac:dyDescent="0.25">
      <c r="A1851" s="1784"/>
      <c r="B1851" s="1782"/>
      <c r="C1851" s="1782"/>
      <c r="D1851" s="1782"/>
      <c r="E1851" s="1782"/>
      <c r="F1851" s="1782"/>
      <c r="G1851" s="1779"/>
      <c r="H1851" s="1137"/>
      <c r="I1851" s="1780"/>
      <c r="J1851" s="1779"/>
      <c r="K1851" s="1141"/>
      <c r="L1851" s="1143"/>
      <c r="M1851" s="1780"/>
      <c r="N1851" s="1779"/>
    </row>
    <row r="1852" spans="1:14" ht="13.5" x14ac:dyDescent="0.25">
      <c r="A1852" s="1138"/>
      <c r="B1852" s="1138"/>
      <c r="C1852" s="1138"/>
      <c r="D1852" s="1138"/>
      <c r="E1852" s="1138"/>
      <c r="F1852" s="1138"/>
      <c r="G1852" s="1138"/>
      <c r="H1852" s="1138"/>
      <c r="I1852" s="1138"/>
      <c r="J1852" s="1138"/>
      <c r="K1852" s="1778" t="s">
        <v>523</v>
      </c>
      <c r="L1852" s="1779"/>
      <c r="M1852" s="1780">
        <f>SUM(M1847:N1851)</f>
        <v>9192.0080687499994</v>
      </c>
      <c r="N1852" s="1779"/>
    </row>
    <row r="1853" spans="1:14" x14ac:dyDescent="0.2">
      <c r="I1853" s="1414"/>
      <c r="J1853" s="1415"/>
      <c r="K1853" s="1415"/>
      <c r="L1853" s="1415"/>
      <c r="M1853" s="1415"/>
      <c r="N1853" s="1415"/>
    </row>
    <row r="1854" spans="1:14" ht="13.5" thickBot="1" x14ac:dyDescent="0.25">
      <c r="I1854" s="1416"/>
      <c r="J1854" s="1416"/>
      <c r="K1854" s="1416"/>
      <c r="L1854" s="1416"/>
      <c r="M1854" s="1416"/>
      <c r="N1854" s="1416"/>
    </row>
    <row r="1855" spans="1:14" ht="14.25" thickTop="1" x14ac:dyDescent="0.2">
      <c r="I1855" s="1417" t="s">
        <v>1829</v>
      </c>
      <c r="J1855" s="1418"/>
      <c r="K1855" s="1417" t="s">
        <v>2653</v>
      </c>
      <c r="L1855" s="1418"/>
      <c r="M1855" s="1418"/>
      <c r="N1855" s="1418"/>
    </row>
    <row r="1856" spans="1:14" ht="13.5" x14ac:dyDescent="0.2">
      <c r="I1856" s="1419" t="s">
        <v>1831</v>
      </c>
      <c r="J1856" s="1420"/>
      <c r="K1856" s="1419"/>
      <c r="L1856" s="1420"/>
      <c r="M1856" s="1420"/>
      <c r="N1856" s="1420"/>
    </row>
    <row r="1857" spans="1:14" x14ac:dyDescent="0.2">
      <c r="A1857" s="1796" t="s">
        <v>2380</v>
      </c>
      <c r="B1857" s="1797"/>
      <c r="C1857" s="1797"/>
      <c r="D1857" s="1797"/>
      <c r="E1857" s="1797"/>
      <c r="F1857" s="1797"/>
      <c r="G1857" s="1797"/>
      <c r="H1857" s="1797"/>
      <c r="I1857" s="1797"/>
      <c r="J1857" s="1797"/>
      <c r="K1857" s="1797"/>
      <c r="L1857" s="1797"/>
      <c r="M1857" s="1797"/>
      <c r="N1857" s="1798"/>
    </row>
    <row r="1858" spans="1:14" x14ac:dyDescent="0.2">
      <c r="A1858" s="1799"/>
      <c r="B1858" s="1800"/>
      <c r="C1858" s="1800"/>
      <c r="D1858" s="1800"/>
      <c r="E1858" s="1800"/>
      <c r="F1858" s="1800"/>
      <c r="G1858" s="1800"/>
      <c r="H1858" s="1800"/>
      <c r="I1858" s="1800"/>
      <c r="J1858" s="1800"/>
      <c r="K1858" s="1800"/>
      <c r="L1858" s="1800"/>
      <c r="M1858" s="1800"/>
      <c r="N1858" s="1801"/>
    </row>
    <row r="1859" spans="1:14" ht="13.5" x14ac:dyDescent="0.2">
      <c r="A1859" s="1128"/>
      <c r="B1859" s="1128"/>
      <c r="C1859" s="1128"/>
      <c r="D1859" s="1128"/>
      <c r="E1859" s="1128"/>
      <c r="F1859" s="1128"/>
      <c r="G1859" s="1128"/>
      <c r="H1859" s="1128"/>
      <c r="I1859" s="1128"/>
      <c r="J1859" s="1128"/>
      <c r="K1859" s="1128"/>
      <c r="L1859" s="1128"/>
      <c r="M1859" s="1128"/>
      <c r="N1859" s="1128"/>
    </row>
    <row r="1860" spans="1:14" ht="14.25" x14ac:dyDescent="0.3">
      <c r="A1860" s="1104" t="s">
        <v>2379</v>
      </c>
      <c r="B1860" s="1129" t="str">
        <f>A1857</f>
        <v>CUBIERTA EN TEJA MATER 1000 PREPINTADA, INCLUYE SOPORTES Y TORNILLOS.</v>
      </c>
      <c r="C1860" s="1130" t="s">
        <v>634</v>
      </c>
      <c r="D1860" s="1107" t="s">
        <v>4</v>
      </c>
      <c r="E1860" s="1132" t="s">
        <v>1833</v>
      </c>
      <c r="F1860" s="1133">
        <f>H1860+J1860+L1860+N1860</f>
        <v>73764.695436458336</v>
      </c>
      <c r="G1860" s="1132" t="s">
        <v>2136</v>
      </c>
      <c r="H1860" s="1133">
        <f>M1888</f>
        <v>2145.8333333333335</v>
      </c>
      <c r="I1860" s="1132" t="s">
        <v>621</v>
      </c>
      <c r="J1860" s="1134">
        <f>M1874</f>
        <v>56102.85</v>
      </c>
      <c r="K1860" s="1132" t="s">
        <v>2137</v>
      </c>
      <c r="L1860" s="1133">
        <f>M1897</f>
        <v>1728</v>
      </c>
      <c r="M1860" s="1132" t="s">
        <v>2138</v>
      </c>
      <c r="N1860" s="1133">
        <f>M1906</f>
        <v>13788.012103125</v>
      </c>
    </row>
    <row r="1861" spans="1:14" ht="13.5" x14ac:dyDescent="0.25">
      <c r="A1861" s="1135"/>
      <c r="B1861" s="1135"/>
      <c r="C1861" s="1135"/>
      <c r="D1861" s="1135"/>
      <c r="E1861" s="1135"/>
      <c r="F1861" s="1135"/>
      <c r="G1861" s="1135"/>
      <c r="J1861" s="1135"/>
      <c r="K1861" s="1135"/>
      <c r="L1861" s="1135"/>
      <c r="M1861" s="1270" t="s">
        <v>2667</v>
      </c>
      <c r="N1861" s="1270">
        <f>+F1860*'01'!$O$15</f>
        <v>95473.933537921985</v>
      </c>
    </row>
    <row r="1862" spans="1:14" x14ac:dyDescent="0.2">
      <c r="A1862" s="1781" t="s">
        <v>2139</v>
      </c>
      <c r="B1862" s="1782"/>
      <c r="C1862" s="1782"/>
      <c r="D1862" s="1782"/>
      <c r="E1862" s="1782"/>
      <c r="F1862" s="1782"/>
      <c r="G1862" s="1782"/>
      <c r="H1862" s="1782"/>
      <c r="I1862" s="1782"/>
      <c r="J1862" s="1782"/>
      <c r="K1862" s="1782"/>
      <c r="L1862" s="1782"/>
      <c r="M1862" s="1782"/>
      <c r="N1862" s="1779"/>
    </row>
    <row r="1863" spans="1:14" x14ac:dyDescent="0.2">
      <c r="A1863" s="1778" t="s">
        <v>14</v>
      </c>
      <c r="B1863" s="1782"/>
      <c r="C1863" s="1782"/>
      <c r="D1863" s="1782"/>
      <c r="E1863" s="1782"/>
      <c r="F1863" s="1782"/>
      <c r="G1863" s="1779"/>
      <c r="H1863" s="1136" t="s">
        <v>15</v>
      </c>
      <c r="I1863" s="1783" t="s">
        <v>619</v>
      </c>
      <c r="J1863" s="1779"/>
      <c r="K1863" s="1783" t="s">
        <v>628</v>
      </c>
      <c r="L1863" s="1779"/>
      <c r="M1863" s="1783" t="s">
        <v>2140</v>
      </c>
      <c r="N1863" s="1779"/>
    </row>
    <row r="1864" spans="1:14" ht="13.5" customHeight="1" x14ac:dyDescent="0.2">
      <c r="A1864" s="1792" t="s">
        <v>1545</v>
      </c>
      <c r="B1864" s="1782"/>
      <c r="C1864" s="1782"/>
      <c r="D1864" s="1782"/>
      <c r="E1864" s="1782"/>
      <c r="F1864" s="1782"/>
      <c r="G1864" s="1779"/>
      <c r="H1864" s="1032" t="str">
        <f>IF(A1864="","",VLOOKUP(A1864,'10'!$C$6:$E$1152,2,FALSE))</f>
        <v>M2</v>
      </c>
      <c r="I1864" s="1785">
        <f>IF(A1864="","",VLOOKUP(A1864,'10'!$C$6:$E$1152,3,FALSE))</f>
        <v>37317</v>
      </c>
      <c r="J1864" s="1412"/>
      <c r="K1864" s="1794">
        <v>1.05</v>
      </c>
      <c r="L1864" s="1795"/>
      <c r="M1864" s="1780">
        <f>K1864*I1864</f>
        <v>39182.85</v>
      </c>
      <c r="N1864" s="1779"/>
    </row>
    <row r="1865" spans="1:14" ht="13.5" customHeight="1" x14ac:dyDescent="0.2">
      <c r="A1865" s="1792" t="s">
        <v>1544</v>
      </c>
      <c r="B1865" s="1782"/>
      <c r="C1865" s="1782"/>
      <c r="D1865" s="1782"/>
      <c r="E1865" s="1782"/>
      <c r="F1865" s="1782"/>
      <c r="G1865" s="1779"/>
      <c r="H1865" s="1032" t="str">
        <f>IF(A1865="","",VLOOKUP(A1865,'10'!$C$6:$E$1152,2,FALSE))</f>
        <v>ML</v>
      </c>
      <c r="I1865" s="1785">
        <f>IF(A1865="","",VLOOKUP(A1865,'10'!$C$6:$E$1152,3,FALSE))</f>
        <v>25450</v>
      </c>
      <c r="J1865" s="1412"/>
      <c r="K1865" s="1794">
        <v>0.5</v>
      </c>
      <c r="L1865" s="1795"/>
      <c r="M1865" s="1780">
        <f t="shared" ref="M1865:M1866" si="85">K1865*I1865</f>
        <v>12725</v>
      </c>
      <c r="N1865" s="1779"/>
    </row>
    <row r="1866" spans="1:14" ht="13.5" x14ac:dyDescent="0.2">
      <c r="A1866" s="1792" t="s">
        <v>1546</v>
      </c>
      <c r="B1866" s="1782"/>
      <c r="C1866" s="1782"/>
      <c r="D1866" s="1782"/>
      <c r="E1866" s="1782"/>
      <c r="F1866" s="1782"/>
      <c r="G1866" s="1779"/>
      <c r="H1866" s="1032" t="str">
        <f>IF(A1866="","",VLOOKUP(A1866,'10'!$C$6:$E$1152,2,FALSE))</f>
        <v>UND</v>
      </c>
      <c r="I1866" s="1785">
        <f>IF(A1866="","",VLOOKUP(A1866,'10'!$C$6:$E$1152,3,FALSE))</f>
        <v>839</v>
      </c>
      <c r="J1866" s="1412"/>
      <c r="K1866" s="1794">
        <v>5</v>
      </c>
      <c r="L1866" s="1795"/>
      <c r="M1866" s="1780">
        <f t="shared" si="85"/>
        <v>4195</v>
      </c>
      <c r="N1866" s="1779"/>
    </row>
    <row r="1867" spans="1:14" ht="13.5" x14ac:dyDescent="0.2">
      <c r="A1867" s="1792"/>
      <c r="B1867" s="1782"/>
      <c r="C1867" s="1782"/>
      <c r="D1867" s="1782"/>
      <c r="E1867" s="1782"/>
      <c r="F1867" s="1782"/>
      <c r="G1867" s="1779"/>
      <c r="H1867" s="1032" t="str">
        <f>IF(A1867="","",VLOOKUP(A1867,'10'!$C$6:$E$1152,2,FALSE))</f>
        <v/>
      </c>
      <c r="I1867" s="1785" t="str">
        <f>IF(A1867="","",VLOOKUP(A1867,'10'!$C$6:$E$1152,3,FALSE))</f>
        <v/>
      </c>
      <c r="J1867" s="1412"/>
      <c r="K1867" s="1794"/>
      <c r="L1867" s="1795"/>
      <c r="M1867" s="1780"/>
      <c r="N1867" s="1779"/>
    </row>
    <row r="1868" spans="1:14" ht="13.5" x14ac:dyDescent="0.2">
      <c r="A1868" s="1792"/>
      <c r="B1868" s="1782"/>
      <c r="C1868" s="1782"/>
      <c r="D1868" s="1782"/>
      <c r="E1868" s="1782"/>
      <c r="F1868" s="1782"/>
      <c r="G1868" s="1779"/>
      <c r="H1868" s="1032" t="str">
        <f>IF(A1868="","",VLOOKUP(A1868,'10'!$C$6:$E$1152,2,FALSE))</f>
        <v/>
      </c>
      <c r="I1868" s="1785" t="str">
        <f>IF(A1868="","",VLOOKUP(A1868,'10'!$C$6:$E$1152,3,FALSE))</f>
        <v/>
      </c>
      <c r="J1868" s="1412"/>
      <c r="K1868" s="1794"/>
      <c r="L1868" s="1795"/>
      <c r="M1868" s="1780"/>
      <c r="N1868" s="1779"/>
    </row>
    <row r="1869" spans="1:14" ht="13.5" x14ac:dyDescent="0.2">
      <c r="A1869" s="1792"/>
      <c r="B1869" s="1782"/>
      <c r="C1869" s="1782"/>
      <c r="D1869" s="1782"/>
      <c r="E1869" s="1782"/>
      <c r="F1869" s="1782"/>
      <c r="G1869" s="1779"/>
      <c r="H1869" s="1032" t="str">
        <f>IF(A1869="","",VLOOKUP(A1869,'10'!$C$6:$E$1152,2,FALSE))</f>
        <v/>
      </c>
      <c r="I1869" s="1785" t="str">
        <f>IF(A1869="","",VLOOKUP(A1869,'10'!$C$6:$E$1152,3,FALSE))</f>
        <v/>
      </c>
      <c r="J1869" s="1412"/>
      <c r="K1869" s="1794"/>
      <c r="L1869" s="1795"/>
      <c r="M1869" s="1780"/>
      <c r="N1869" s="1779"/>
    </row>
    <row r="1870" spans="1:14" ht="13.5" x14ac:dyDescent="0.2">
      <c r="A1870" s="1792"/>
      <c r="B1870" s="1782"/>
      <c r="C1870" s="1782"/>
      <c r="D1870" s="1782"/>
      <c r="E1870" s="1782"/>
      <c r="F1870" s="1782"/>
      <c r="G1870" s="1779"/>
      <c r="H1870" s="1032" t="str">
        <f>IF(A1870="","",VLOOKUP(A1870,'10'!$C$6:$E$1152,2,FALSE))</f>
        <v/>
      </c>
      <c r="I1870" s="1785" t="str">
        <f>IF(A1870="","",VLOOKUP(A1870,'10'!$C$6:$E$1152,3,FALSE))</f>
        <v/>
      </c>
      <c r="J1870" s="1412"/>
      <c r="K1870" s="1794"/>
      <c r="L1870" s="1795"/>
      <c r="M1870" s="1780"/>
      <c r="N1870" s="1779"/>
    </row>
    <row r="1871" spans="1:14" ht="13.5" x14ac:dyDescent="0.2">
      <c r="A1871" s="1792"/>
      <c r="B1871" s="1782"/>
      <c r="C1871" s="1782"/>
      <c r="D1871" s="1782"/>
      <c r="E1871" s="1782"/>
      <c r="F1871" s="1782"/>
      <c r="G1871" s="1779"/>
      <c r="H1871" s="1032"/>
      <c r="I1871" s="1785"/>
      <c r="J1871" s="1412"/>
      <c r="K1871" s="1794"/>
      <c r="L1871" s="1795"/>
      <c r="M1871" s="1780"/>
      <c r="N1871" s="1779"/>
    </row>
    <row r="1872" spans="1:14" ht="13.5" x14ac:dyDescent="0.2">
      <c r="A1872" s="1792"/>
      <c r="B1872" s="1782"/>
      <c r="C1872" s="1782"/>
      <c r="D1872" s="1782"/>
      <c r="E1872" s="1782"/>
      <c r="F1872" s="1782"/>
      <c r="G1872" s="1779"/>
      <c r="H1872" s="1032"/>
      <c r="I1872" s="1785"/>
      <c r="J1872" s="1412"/>
      <c r="K1872" s="1794"/>
      <c r="L1872" s="1795"/>
      <c r="M1872" s="1780"/>
      <c r="N1872" s="1779"/>
    </row>
    <row r="1873" spans="1:14" ht="13.5" x14ac:dyDescent="0.2">
      <c r="A1873" s="1792"/>
      <c r="B1873" s="1782"/>
      <c r="C1873" s="1782"/>
      <c r="D1873" s="1782"/>
      <c r="E1873" s="1782"/>
      <c r="F1873" s="1782"/>
      <c r="G1873" s="1779"/>
      <c r="H1873" s="1032"/>
      <c r="I1873" s="1785"/>
      <c r="J1873" s="1412"/>
      <c r="K1873" s="1794"/>
      <c r="L1873" s="1795"/>
      <c r="M1873" s="1780"/>
      <c r="N1873" s="1779"/>
    </row>
    <row r="1874" spans="1:14" ht="13.5" x14ac:dyDescent="0.25">
      <c r="A1874" s="1138"/>
      <c r="B1874" s="1138"/>
      <c r="C1874" s="1138"/>
      <c r="D1874" s="1138"/>
      <c r="E1874" s="1138"/>
      <c r="F1874" s="1138"/>
      <c r="G1874" s="1138"/>
      <c r="H1874" s="1138"/>
      <c r="I1874" s="1138"/>
      <c r="J1874" s="1138"/>
      <c r="K1874" s="1778" t="s">
        <v>523</v>
      </c>
      <c r="L1874" s="1779"/>
      <c r="M1874" s="1780">
        <f>SUM(M1864:N1868)</f>
        <v>56102.85</v>
      </c>
      <c r="N1874" s="1779"/>
    </row>
    <row r="1875" spans="1:14" ht="13.5" x14ac:dyDescent="0.25">
      <c r="A1875" s="1138"/>
      <c r="B1875" s="1138"/>
      <c r="C1875" s="1138"/>
      <c r="D1875" s="1138"/>
      <c r="E1875" s="1138"/>
      <c r="F1875" s="1138"/>
      <c r="G1875" s="1138"/>
      <c r="H1875" s="1138"/>
      <c r="I1875" s="1138"/>
      <c r="J1875" s="1138"/>
      <c r="K1875" s="1138"/>
      <c r="L1875" s="1138"/>
      <c r="M1875" s="1138"/>
      <c r="N1875" s="1138"/>
    </row>
    <row r="1876" spans="1:14" x14ac:dyDescent="0.2">
      <c r="A1876" s="1781" t="s">
        <v>2145</v>
      </c>
      <c r="B1876" s="1782"/>
      <c r="C1876" s="1782"/>
      <c r="D1876" s="1782"/>
      <c r="E1876" s="1782"/>
      <c r="F1876" s="1782"/>
      <c r="G1876" s="1782"/>
      <c r="H1876" s="1782"/>
      <c r="I1876" s="1782"/>
      <c r="J1876" s="1782"/>
      <c r="K1876" s="1782"/>
      <c r="L1876" s="1782"/>
      <c r="M1876" s="1782"/>
      <c r="N1876" s="1779"/>
    </row>
    <row r="1877" spans="1:14" x14ac:dyDescent="0.2">
      <c r="A1877" s="1778" t="s">
        <v>14</v>
      </c>
      <c r="B1877" s="1782"/>
      <c r="C1877" s="1782"/>
      <c r="D1877" s="1782"/>
      <c r="E1877" s="1782"/>
      <c r="F1877" s="1782"/>
      <c r="G1877" s="1779"/>
      <c r="H1877" s="1136" t="s">
        <v>15</v>
      </c>
      <c r="I1877" s="1783" t="s">
        <v>619</v>
      </c>
      <c r="J1877" s="1779"/>
      <c r="K1877" s="1783" t="s">
        <v>610</v>
      </c>
      <c r="L1877" s="1779"/>
      <c r="M1877" s="1783" t="s">
        <v>2140</v>
      </c>
      <c r="N1877" s="1779"/>
    </row>
    <row r="1878" spans="1:14" ht="13.5" x14ac:dyDescent="0.2">
      <c r="A1878" s="1789" t="s">
        <v>131</v>
      </c>
      <c r="B1878" s="1790"/>
      <c r="C1878" s="1790"/>
      <c r="D1878" s="1790"/>
      <c r="E1878" s="1790"/>
      <c r="F1878" s="1790"/>
      <c r="G1878" s="1791"/>
      <c r="H1878" s="1032" t="str">
        <f>IF(A1878="","",VLOOKUP(A1878,'11'!$C$6:$E$87,2,FALSE))</f>
        <v>DIA</v>
      </c>
      <c r="I1878" s="1785">
        <f>IF(A1878="","",VLOOKUP(A1878,'11'!$C$6:$E$87,3,FALSE))</f>
        <v>15000</v>
      </c>
      <c r="J1878" s="1412"/>
      <c r="K1878" s="1787">
        <v>30</v>
      </c>
      <c r="L1878" s="1793"/>
      <c r="M1878" s="1780">
        <f>I1878/K1878</f>
        <v>500</v>
      </c>
      <c r="N1878" s="1779"/>
    </row>
    <row r="1879" spans="1:14" ht="13.5" x14ac:dyDescent="0.2">
      <c r="A1879" s="1789" t="s">
        <v>147</v>
      </c>
      <c r="B1879" s="1790"/>
      <c r="C1879" s="1790"/>
      <c r="D1879" s="1790"/>
      <c r="E1879" s="1790"/>
      <c r="F1879" s="1790"/>
      <c r="G1879" s="1791"/>
      <c r="H1879" s="1032" t="str">
        <f>IF(A1879="","",VLOOKUP(A1879,'11'!$C$6:$E$87,2,FALSE))</f>
        <v>DÍA</v>
      </c>
      <c r="I1879" s="1785">
        <f>IF(A1879="","",VLOOKUP(A1879,'11'!$C$6:$E$87,3,FALSE))</f>
        <v>1500</v>
      </c>
      <c r="J1879" s="1412"/>
      <c r="K1879" s="1787">
        <v>1</v>
      </c>
      <c r="L1879" s="1793"/>
      <c r="M1879" s="1780">
        <f t="shared" ref="M1879:M1880" si="86">I1879/K1879</f>
        <v>1500</v>
      </c>
      <c r="N1879" s="1779"/>
    </row>
    <row r="1880" spans="1:14" ht="13.5" x14ac:dyDescent="0.2">
      <c r="A1880" s="1789" t="s">
        <v>196</v>
      </c>
      <c r="B1880" s="1790"/>
      <c r="C1880" s="1790"/>
      <c r="D1880" s="1790"/>
      <c r="E1880" s="1790"/>
      <c r="F1880" s="1790"/>
      <c r="G1880" s="1791"/>
      <c r="H1880" s="1032" t="str">
        <f>IF(A1880="","",VLOOKUP(A1880,'11'!$C$6:$E$87,2,FALSE))</f>
        <v>HR</v>
      </c>
      <c r="I1880" s="1785">
        <f>IF(A1880="","",VLOOKUP(A1880,'11'!$C$6:$E$87,3,FALSE))</f>
        <v>4375</v>
      </c>
      <c r="J1880" s="1412"/>
      <c r="K1880" s="1787">
        <v>30</v>
      </c>
      <c r="L1880" s="1793"/>
      <c r="M1880" s="1780">
        <f t="shared" si="86"/>
        <v>145.83333333333334</v>
      </c>
      <c r="N1880" s="1779"/>
    </row>
    <row r="1881" spans="1:14" ht="13.5" x14ac:dyDescent="0.2">
      <c r="A1881" s="1789"/>
      <c r="B1881" s="1790"/>
      <c r="C1881" s="1790"/>
      <c r="D1881" s="1790"/>
      <c r="E1881" s="1790"/>
      <c r="F1881" s="1790"/>
      <c r="G1881" s="1791"/>
      <c r="H1881" s="1032" t="str">
        <f>IF(A1881="","",VLOOKUP(A1881,'11'!$C$6:$E$87,2,FALSE))</f>
        <v/>
      </c>
      <c r="I1881" s="1785"/>
      <c r="J1881" s="1412"/>
      <c r="K1881" s="1787"/>
      <c r="L1881" s="1793"/>
      <c r="M1881" s="1780"/>
      <c r="N1881" s="1779"/>
    </row>
    <row r="1882" spans="1:14" ht="13.5" x14ac:dyDescent="0.2">
      <c r="A1882" s="1789"/>
      <c r="B1882" s="1790"/>
      <c r="C1882" s="1790"/>
      <c r="D1882" s="1790"/>
      <c r="E1882" s="1790"/>
      <c r="F1882" s="1790"/>
      <c r="G1882" s="1791"/>
      <c r="H1882" s="1032"/>
      <c r="I1882" s="1785"/>
      <c r="J1882" s="1412"/>
      <c r="K1882" s="1787"/>
      <c r="L1882" s="1793"/>
      <c r="M1882" s="1780"/>
      <c r="N1882" s="1779"/>
    </row>
    <row r="1883" spans="1:14" ht="13.5" x14ac:dyDescent="0.2">
      <c r="A1883" s="1789"/>
      <c r="B1883" s="1790"/>
      <c r="C1883" s="1790"/>
      <c r="D1883" s="1790"/>
      <c r="E1883" s="1790"/>
      <c r="F1883" s="1790"/>
      <c r="G1883" s="1791"/>
      <c r="H1883" s="1032"/>
      <c r="I1883" s="1785"/>
      <c r="J1883" s="1412"/>
      <c r="K1883" s="1787"/>
      <c r="L1883" s="1793"/>
      <c r="M1883" s="1780"/>
      <c r="N1883" s="1779"/>
    </row>
    <row r="1884" spans="1:14" ht="13.5" x14ac:dyDescent="0.2">
      <c r="A1884" s="1789"/>
      <c r="B1884" s="1790"/>
      <c r="C1884" s="1790"/>
      <c r="D1884" s="1790"/>
      <c r="E1884" s="1790"/>
      <c r="F1884" s="1790"/>
      <c r="G1884" s="1791"/>
      <c r="H1884" s="1032"/>
      <c r="I1884" s="1785"/>
      <c r="J1884" s="1412"/>
      <c r="K1884" s="1787"/>
      <c r="L1884" s="1793"/>
      <c r="M1884" s="1780"/>
      <c r="N1884" s="1779"/>
    </row>
    <row r="1885" spans="1:14" ht="13.5" x14ac:dyDescent="0.2">
      <c r="A1885" s="1789"/>
      <c r="B1885" s="1790"/>
      <c r="C1885" s="1790"/>
      <c r="D1885" s="1790"/>
      <c r="E1885" s="1790"/>
      <c r="F1885" s="1790"/>
      <c r="G1885" s="1791"/>
      <c r="H1885" s="1032"/>
      <c r="I1885" s="1785"/>
      <c r="J1885" s="1412"/>
      <c r="K1885" s="1787"/>
      <c r="L1885" s="1779"/>
      <c r="M1885" s="1780"/>
      <c r="N1885" s="1779"/>
    </row>
    <row r="1886" spans="1:14" ht="13.5" x14ac:dyDescent="0.2">
      <c r="A1886" s="1789"/>
      <c r="B1886" s="1790"/>
      <c r="C1886" s="1790"/>
      <c r="D1886" s="1790"/>
      <c r="E1886" s="1790"/>
      <c r="F1886" s="1790"/>
      <c r="G1886" s="1791"/>
      <c r="H1886" s="1032"/>
      <c r="I1886" s="1785"/>
      <c r="J1886" s="1412"/>
      <c r="K1886" s="1787"/>
      <c r="L1886" s="1779"/>
      <c r="M1886" s="1780"/>
      <c r="N1886" s="1779"/>
    </row>
    <row r="1887" spans="1:14" ht="13.5" x14ac:dyDescent="0.2">
      <c r="A1887" s="1789"/>
      <c r="B1887" s="1782"/>
      <c r="C1887" s="1782"/>
      <c r="D1887" s="1782"/>
      <c r="E1887" s="1782"/>
      <c r="F1887" s="1782"/>
      <c r="G1887" s="1779"/>
      <c r="H1887" s="1137"/>
      <c r="I1887" s="1780"/>
      <c r="J1887" s="1779"/>
      <c r="K1887" s="1787"/>
      <c r="L1887" s="1779"/>
      <c r="M1887" s="1780"/>
      <c r="N1887" s="1779"/>
    </row>
    <row r="1888" spans="1:14" ht="13.5" x14ac:dyDescent="0.25">
      <c r="A1888" s="1138"/>
      <c r="B1888" s="1138"/>
      <c r="C1888" s="1138"/>
      <c r="D1888" s="1138"/>
      <c r="E1888" s="1138"/>
      <c r="F1888" s="1138"/>
      <c r="G1888" s="1138"/>
      <c r="H1888" s="1138"/>
      <c r="I1888" s="1138"/>
      <c r="J1888" s="1138"/>
      <c r="K1888" s="1778" t="s">
        <v>523</v>
      </c>
      <c r="L1888" s="1779"/>
      <c r="M1888" s="1780">
        <f>SUM(M1878:N1887)</f>
        <v>2145.8333333333335</v>
      </c>
      <c r="N1888" s="1779"/>
    </row>
    <row r="1889" spans="1:14" ht="13.5" x14ac:dyDescent="0.25">
      <c r="A1889" s="1138"/>
      <c r="B1889" s="1138"/>
      <c r="C1889" s="1138"/>
      <c r="D1889" s="1138"/>
      <c r="E1889" s="1138"/>
      <c r="F1889" s="1138"/>
      <c r="G1889" s="1138"/>
      <c r="H1889" s="1138"/>
      <c r="I1889" s="1138"/>
      <c r="J1889" s="1138"/>
      <c r="K1889" s="1138"/>
      <c r="L1889" s="1138"/>
      <c r="M1889" s="1138"/>
      <c r="N1889" s="1138"/>
    </row>
    <row r="1890" spans="1:14" x14ac:dyDescent="0.2">
      <c r="A1890" s="1781" t="s">
        <v>2147</v>
      </c>
      <c r="B1890" s="1782"/>
      <c r="C1890" s="1782"/>
      <c r="D1890" s="1782"/>
      <c r="E1890" s="1782"/>
      <c r="F1890" s="1782"/>
      <c r="G1890" s="1782"/>
      <c r="H1890" s="1782"/>
      <c r="I1890" s="1782"/>
      <c r="J1890" s="1782"/>
      <c r="K1890" s="1782"/>
      <c r="L1890" s="1782"/>
      <c r="M1890" s="1782"/>
      <c r="N1890" s="1779"/>
    </row>
    <row r="1891" spans="1:14" x14ac:dyDescent="0.2">
      <c r="A1891" s="1778" t="s">
        <v>14</v>
      </c>
      <c r="B1891" s="1782"/>
      <c r="C1891" s="1782"/>
      <c r="D1891" s="1782"/>
      <c r="E1891" s="1782"/>
      <c r="F1891" s="1782"/>
      <c r="G1891" s="1779"/>
      <c r="H1891" s="1136" t="s">
        <v>15</v>
      </c>
      <c r="I1891" s="1783" t="s">
        <v>619</v>
      </c>
      <c r="J1891" s="1779"/>
      <c r="K1891" s="1783" t="s">
        <v>628</v>
      </c>
      <c r="L1891" s="1779"/>
      <c r="M1891" s="1783" t="s">
        <v>2140</v>
      </c>
      <c r="N1891" s="1779"/>
    </row>
    <row r="1892" spans="1:14" ht="13.5" x14ac:dyDescent="0.2">
      <c r="A1892" s="1792" t="s">
        <v>2328</v>
      </c>
      <c r="B1892" s="1782"/>
      <c r="C1892" s="1782"/>
      <c r="D1892" s="1782"/>
      <c r="E1892" s="1782"/>
      <c r="F1892" s="1782"/>
      <c r="G1892" s="1779"/>
      <c r="H1892" s="1032" t="str">
        <f>IF(A1892="","",VLOOKUP(A1892,'11'!$C$6:$E$1012,2,FALSE))</f>
        <v>KM-M3</v>
      </c>
      <c r="I1892" s="1785">
        <f>IF(A1892="","",VLOOKUP(A1892,'11'!$C$6:$E$1012,3,FALSE))</f>
        <v>1440</v>
      </c>
      <c r="J1892" s="1412"/>
      <c r="K1892" s="1787">
        <v>1.2</v>
      </c>
      <c r="L1892" s="1793"/>
      <c r="M1892" s="1780">
        <f t="shared" ref="M1892" si="87">IF(A1892="","",I1892*K1892)</f>
        <v>1728</v>
      </c>
      <c r="N1892" s="1779"/>
    </row>
    <row r="1893" spans="1:14" ht="13.5" x14ac:dyDescent="0.2">
      <c r="A1893" s="1786"/>
      <c r="B1893" s="1782"/>
      <c r="C1893" s="1782"/>
      <c r="D1893" s="1782"/>
      <c r="E1893" s="1782"/>
      <c r="F1893" s="1782"/>
      <c r="G1893" s="1779"/>
      <c r="H1893" s="1032"/>
      <c r="I1893" s="1780"/>
      <c r="J1893" s="1779"/>
      <c r="K1893" s="1787"/>
      <c r="L1893" s="1779"/>
      <c r="M1893" s="1780"/>
      <c r="N1893" s="1779"/>
    </row>
    <row r="1894" spans="1:14" ht="13.5" x14ac:dyDescent="0.2">
      <c r="A1894" s="1786"/>
      <c r="B1894" s="1782"/>
      <c r="C1894" s="1782"/>
      <c r="D1894" s="1782"/>
      <c r="E1894" s="1782"/>
      <c r="F1894" s="1782"/>
      <c r="G1894" s="1779"/>
      <c r="H1894" s="1032"/>
      <c r="I1894" s="1780"/>
      <c r="J1894" s="1779"/>
      <c r="K1894" s="1788"/>
      <c r="L1894" s="1779"/>
      <c r="M1894" s="1780"/>
      <c r="N1894" s="1779"/>
    </row>
    <row r="1895" spans="1:14" ht="13.5" x14ac:dyDescent="0.2">
      <c r="A1895" s="1789"/>
      <c r="B1895" s="1782"/>
      <c r="C1895" s="1782"/>
      <c r="D1895" s="1782"/>
      <c r="E1895" s="1782"/>
      <c r="F1895" s="1782"/>
      <c r="G1895" s="1779"/>
      <c r="H1895" s="1137"/>
      <c r="I1895" s="1780"/>
      <c r="J1895" s="1779"/>
      <c r="K1895" s="1787"/>
      <c r="L1895" s="1779"/>
      <c r="M1895" s="1780"/>
      <c r="N1895" s="1779"/>
    </row>
    <row r="1896" spans="1:14" ht="13.5" x14ac:dyDescent="0.2">
      <c r="A1896" s="1789"/>
      <c r="B1896" s="1782"/>
      <c r="C1896" s="1782"/>
      <c r="D1896" s="1782"/>
      <c r="E1896" s="1782"/>
      <c r="F1896" s="1782"/>
      <c r="G1896" s="1779"/>
      <c r="H1896" s="1137"/>
      <c r="I1896" s="1780"/>
      <c r="J1896" s="1779"/>
      <c r="K1896" s="1787"/>
      <c r="L1896" s="1779"/>
      <c r="M1896" s="1780"/>
      <c r="N1896" s="1779"/>
    </row>
    <row r="1897" spans="1:14" ht="13.5" x14ac:dyDescent="0.25">
      <c r="A1897" s="1138"/>
      <c r="B1897" s="1138"/>
      <c r="C1897" s="1138"/>
      <c r="D1897" s="1138"/>
      <c r="E1897" s="1138"/>
      <c r="F1897" s="1138"/>
      <c r="G1897" s="1138"/>
      <c r="H1897" s="1138"/>
      <c r="I1897" s="1138"/>
      <c r="J1897" s="1138"/>
      <c r="K1897" s="1778" t="s">
        <v>523</v>
      </c>
      <c r="L1897" s="1779"/>
      <c r="M1897" s="1780">
        <f>SUM(M1892:N1896)</f>
        <v>1728</v>
      </c>
      <c r="N1897" s="1779"/>
    </row>
    <row r="1898" spans="1:14" ht="13.5" x14ac:dyDescent="0.25">
      <c r="A1898" s="1138"/>
      <c r="B1898" s="1138"/>
      <c r="C1898" s="1138"/>
      <c r="D1898" s="1138"/>
      <c r="E1898" s="1138"/>
      <c r="F1898" s="1138"/>
      <c r="G1898" s="1138"/>
      <c r="H1898" s="1138"/>
      <c r="I1898" s="1138"/>
      <c r="J1898" s="1138"/>
      <c r="K1898" s="1138"/>
      <c r="L1898" s="1138"/>
      <c r="M1898" s="1138"/>
      <c r="N1898" s="1138"/>
    </row>
    <row r="1899" spans="1:14" x14ac:dyDescent="0.2">
      <c r="A1899" s="1781" t="s">
        <v>2150</v>
      </c>
      <c r="B1899" s="1782"/>
      <c r="C1899" s="1782"/>
      <c r="D1899" s="1782"/>
      <c r="E1899" s="1782"/>
      <c r="F1899" s="1782"/>
      <c r="G1899" s="1782"/>
      <c r="H1899" s="1782"/>
      <c r="I1899" s="1782"/>
      <c r="J1899" s="1782"/>
      <c r="K1899" s="1782"/>
      <c r="L1899" s="1782"/>
      <c r="M1899" s="1782"/>
      <c r="N1899" s="1779"/>
    </row>
    <row r="1900" spans="1:14" x14ac:dyDescent="0.2">
      <c r="A1900" s="1778" t="s">
        <v>14</v>
      </c>
      <c r="B1900" s="1782"/>
      <c r="C1900" s="1782"/>
      <c r="D1900" s="1782"/>
      <c r="E1900" s="1782"/>
      <c r="F1900" s="1782"/>
      <c r="G1900" s="1779"/>
      <c r="H1900" s="1136" t="s">
        <v>15</v>
      </c>
      <c r="I1900" s="1783" t="s">
        <v>619</v>
      </c>
      <c r="J1900" s="1779"/>
      <c r="K1900" s="1139" t="s">
        <v>1919</v>
      </c>
      <c r="L1900" s="1140" t="s">
        <v>2151</v>
      </c>
      <c r="M1900" s="1783" t="s">
        <v>2140</v>
      </c>
      <c r="N1900" s="1779"/>
    </row>
    <row r="1901" spans="1:14" ht="13.5" x14ac:dyDescent="0.25">
      <c r="A1901" s="1784" t="s">
        <v>2271</v>
      </c>
      <c r="B1901" s="1782"/>
      <c r="C1901" s="1782"/>
      <c r="D1901" s="1782"/>
      <c r="E1901" s="1782"/>
      <c r="F1901" s="1782"/>
      <c r="G1901" s="1779"/>
      <c r="H1901" s="1032" t="str">
        <f>IF(A1901="","",VLOOKUP(A1901,'09'!$A$22:$O$168,4,FALSE))</f>
        <v>Cuadrilla</v>
      </c>
      <c r="I1901" s="1785">
        <f>IF(A1901="","",VLOOKUP(A1901,'09'!$A$22:$O$168,5,FALSE))</f>
        <v>233454</v>
      </c>
      <c r="J1901" s="1412"/>
      <c r="K1901" s="1034">
        <f>IF(A1901="","",'03'!$I$2)</f>
        <v>1.88995</v>
      </c>
      <c r="L1901" s="1142">
        <v>4</v>
      </c>
      <c r="M1901" s="1780">
        <f>I1901*K1901/(L1901*8)</f>
        <v>13788.012103125</v>
      </c>
      <c r="N1901" s="1779"/>
    </row>
    <row r="1902" spans="1:14" ht="13.5" x14ac:dyDescent="0.25">
      <c r="A1902" s="1784"/>
      <c r="B1902" s="1782"/>
      <c r="C1902" s="1782"/>
      <c r="D1902" s="1782"/>
      <c r="E1902" s="1782"/>
      <c r="F1902" s="1782"/>
      <c r="G1902" s="1779"/>
      <c r="H1902" s="1137"/>
      <c r="I1902" s="1780"/>
      <c r="J1902" s="1779"/>
      <c r="K1902" s="1141"/>
      <c r="L1902" s="1141"/>
      <c r="M1902" s="1780"/>
      <c r="N1902" s="1779"/>
    </row>
    <row r="1903" spans="1:14" ht="13.5" x14ac:dyDescent="0.25">
      <c r="A1903" s="1784"/>
      <c r="B1903" s="1782"/>
      <c r="C1903" s="1782"/>
      <c r="D1903" s="1782"/>
      <c r="E1903" s="1782"/>
      <c r="F1903" s="1782"/>
      <c r="G1903" s="1779"/>
      <c r="H1903" s="1137"/>
      <c r="I1903" s="1780"/>
      <c r="J1903" s="1779"/>
      <c r="K1903" s="1141"/>
      <c r="L1903" s="1143"/>
      <c r="M1903" s="1780"/>
      <c r="N1903" s="1779"/>
    </row>
    <row r="1904" spans="1:14" ht="13.5" x14ac:dyDescent="0.25">
      <c r="A1904" s="1784"/>
      <c r="B1904" s="1782"/>
      <c r="C1904" s="1782"/>
      <c r="D1904" s="1782"/>
      <c r="E1904" s="1782"/>
      <c r="F1904" s="1782"/>
      <c r="G1904" s="1779"/>
      <c r="H1904" s="1137"/>
      <c r="I1904" s="1780"/>
      <c r="J1904" s="1779"/>
      <c r="K1904" s="1141"/>
      <c r="L1904" s="1143"/>
      <c r="M1904" s="1780"/>
      <c r="N1904" s="1779"/>
    </row>
    <row r="1905" spans="1:14" ht="13.5" x14ac:dyDescent="0.25">
      <c r="A1905" s="1784"/>
      <c r="B1905" s="1782"/>
      <c r="C1905" s="1782"/>
      <c r="D1905" s="1782"/>
      <c r="E1905" s="1782"/>
      <c r="F1905" s="1782"/>
      <c r="G1905" s="1779"/>
      <c r="H1905" s="1137"/>
      <c r="I1905" s="1780"/>
      <c r="J1905" s="1779"/>
      <c r="K1905" s="1141"/>
      <c r="L1905" s="1143"/>
      <c r="M1905" s="1780"/>
      <c r="N1905" s="1779"/>
    </row>
    <row r="1906" spans="1:14" ht="13.5" x14ac:dyDescent="0.25">
      <c r="A1906" s="1138"/>
      <c r="B1906" s="1138"/>
      <c r="C1906" s="1138"/>
      <c r="D1906" s="1138"/>
      <c r="E1906" s="1138"/>
      <c r="F1906" s="1138"/>
      <c r="G1906" s="1138"/>
      <c r="H1906" s="1138"/>
      <c r="I1906" s="1138"/>
      <c r="J1906" s="1138"/>
      <c r="K1906" s="1778" t="s">
        <v>523</v>
      </c>
      <c r="L1906" s="1779"/>
      <c r="M1906" s="1780">
        <f>SUM(M1901:N1905)</f>
        <v>13788.012103125</v>
      </c>
      <c r="N1906" s="1779"/>
    </row>
    <row r="1907" spans="1:14" x14ac:dyDescent="0.2">
      <c r="I1907" s="1414"/>
      <c r="J1907" s="1415"/>
      <c r="K1907" s="1415"/>
      <c r="L1907" s="1415"/>
      <c r="M1907" s="1415"/>
      <c r="N1907" s="1415"/>
    </row>
    <row r="1908" spans="1:14" ht="13.5" thickBot="1" x14ac:dyDescent="0.25">
      <c r="I1908" s="1416"/>
      <c r="J1908" s="1416"/>
      <c r="K1908" s="1416"/>
      <c r="L1908" s="1416"/>
      <c r="M1908" s="1416"/>
      <c r="N1908" s="1416"/>
    </row>
    <row r="1909" spans="1:14" ht="14.25" thickTop="1" x14ac:dyDescent="0.2">
      <c r="I1909" s="1417" t="s">
        <v>1829</v>
      </c>
      <c r="J1909" s="1418"/>
      <c r="K1909" s="1417" t="s">
        <v>2653</v>
      </c>
      <c r="L1909" s="1418"/>
      <c r="M1909" s="1418"/>
      <c r="N1909" s="1418"/>
    </row>
    <row r="1910" spans="1:14" ht="13.5" x14ac:dyDescent="0.2">
      <c r="I1910" s="1419" t="s">
        <v>1831</v>
      </c>
      <c r="J1910" s="1420"/>
      <c r="K1910" s="1419"/>
      <c r="L1910" s="1420"/>
      <c r="M1910" s="1420"/>
      <c r="N1910" s="1420"/>
    </row>
    <row r="1911" spans="1:14" x14ac:dyDescent="0.2">
      <c r="A1911" s="1796" t="s">
        <v>2382</v>
      </c>
      <c r="B1911" s="1797"/>
      <c r="C1911" s="1797"/>
      <c r="D1911" s="1797"/>
      <c r="E1911" s="1797"/>
      <c r="F1911" s="1797"/>
      <c r="G1911" s="1797"/>
      <c r="H1911" s="1797"/>
      <c r="I1911" s="1797"/>
      <c r="J1911" s="1797"/>
      <c r="K1911" s="1797"/>
      <c r="L1911" s="1797"/>
      <c r="M1911" s="1797"/>
      <c r="N1911" s="1798"/>
    </row>
    <row r="1912" spans="1:14" x14ac:dyDescent="0.2">
      <c r="A1912" s="1799"/>
      <c r="B1912" s="1800"/>
      <c r="C1912" s="1800"/>
      <c r="D1912" s="1800"/>
      <c r="E1912" s="1800"/>
      <c r="F1912" s="1800"/>
      <c r="G1912" s="1800"/>
      <c r="H1912" s="1800"/>
      <c r="I1912" s="1800"/>
      <c r="J1912" s="1800"/>
      <c r="K1912" s="1800"/>
      <c r="L1912" s="1800"/>
      <c r="M1912" s="1800"/>
      <c r="N1912" s="1801"/>
    </row>
    <row r="1913" spans="1:14" ht="13.5" x14ac:dyDescent="0.2">
      <c r="A1913" s="1128"/>
      <c r="B1913" s="1128"/>
      <c r="C1913" s="1128"/>
      <c r="D1913" s="1128"/>
      <c r="E1913" s="1128"/>
      <c r="F1913" s="1128"/>
      <c r="G1913" s="1128"/>
      <c r="H1913" s="1128"/>
      <c r="I1913" s="1128"/>
      <c r="J1913" s="1128"/>
      <c r="K1913" s="1128"/>
      <c r="L1913" s="1128"/>
      <c r="M1913" s="1128"/>
      <c r="N1913" s="1128"/>
    </row>
    <row r="1914" spans="1:14" ht="14.25" x14ac:dyDescent="0.3">
      <c r="A1914" s="1104" t="s">
        <v>2381</v>
      </c>
      <c r="B1914" s="1129" t="str">
        <f>A1911</f>
        <v>SUMINISTRO E INSTALACIÓN DE ANCLAJE PARA COLUMNAS METÁLICAS, INCLUYE:  PLATINA DE 3/8" DE 0.20X0.20 METROS DOBLES, PERNOS EN VARILLA ROSCADA DE 1/2" DE 0.40 METROS, CON TUERCA Y ARANDELA DE SEGURIDAD</v>
      </c>
      <c r="C1914" s="1130" t="s">
        <v>634</v>
      </c>
      <c r="D1914" s="1107" t="s">
        <v>2</v>
      </c>
      <c r="E1914" s="1132" t="s">
        <v>1833</v>
      </c>
      <c r="F1914" s="1133">
        <f>H1914+J1914+L1914+N1914</f>
        <v>476937.81051562499</v>
      </c>
      <c r="G1914" s="1132" t="s">
        <v>2136</v>
      </c>
      <c r="H1914" s="1133">
        <f>M1942</f>
        <v>14093.75</v>
      </c>
      <c r="I1914" s="1132" t="s">
        <v>621</v>
      </c>
      <c r="J1914" s="1134">
        <f>M1928</f>
        <v>393904</v>
      </c>
      <c r="K1914" s="1132" t="s">
        <v>2137</v>
      </c>
      <c r="L1914" s="1133">
        <f>M1951</f>
        <v>0</v>
      </c>
      <c r="M1914" s="1132" t="s">
        <v>2138</v>
      </c>
      <c r="N1914" s="1133">
        <f>M1960</f>
        <v>68940.060515624995</v>
      </c>
    </row>
    <row r="1915" spans="1:14" ht="13.5" x14ac:dyDescent="0.25">
      <c r="A1915" s="1135"/>
      <c r="B1915" s="1135"/>
      <c r="C1915" s="1135"/>
      <c r="D1915" s="1135"/>
      <c r="E1915" s="1135"/>
      <c r="F1915" s="1135"/>
      <c r="G1915" s="1135"/>
      <c r="J1915" s="1135"/>
      <c r="K1915" s="1135"/>
      <c r="L1915" s="1135"/>
      <c r="M1915" s="1270" t="s">
        <v>2667</v>
      </c>
      <c r="N1915" s="1270">
        <f>+F1914*'01'!$O$15</f>
        <v>617302.47177818604</v>
      </c>
    </row>
    <row r="1916" spans="1:14" x14ac:dyDescent="0.2">
      <c r="A1916" s="1781" t="s">
        <v>2139</v>
      </c>
      <c r="B1916" s="1782"/>
      <c r="C1916" s="1782"/>
      <c r="D1916" s="1782"/>
      <c r="E1916" s="1782"/>
      <c r="F1916" s="1782"/>
      <c r="G1916" s="1782"/>
      <c r="H1916" s="1782"/>
      <c r="I1916" s="1782"/>
      <c r="J1916" s="1782"/>
      <c r="K1916" s="1782"/>
      <c r="L1916" s="1782"/>
      <c r="M1916" s="1782"/>
      <c r="N1916" s="1779"/>
    </row>
    <row r="1917" spans="1:14" x14ac:dyDescent="0.2">
      <c r="A1917" s="1778" t="s">
        <v>14</v>
      </c>
      <c r="B1917" s="1782"/>
      <c r="C1917" s="1782"/>
      <c r="D1917" s="1782"/>
      <c r="E1917" s="1782"/>
      <c r="F1917" s="1782"/>
      <c r="G1917" s="1779"/>
      <c r="H1917" s="1136" t="s">
        <v>15</v>
      </c>
      <c r="I1917" s="1783" t="s">
        <v>619</v>
      </c>
      <c r="J1917" s="1779"/>
      <c r="K1917" s="1783" t="s">
        <v>628</v>
      </c>
      <c r="L1917" s="1779"/>
      <c r="M1917" s="1783" t="s">
        <v>2140</v>
      </c>
      <c r="N1917" s="1779"/>
    </row>
    <row r="1918" spans="1:14" ht="13.5" customHeight="1" x14ac:dyDescent="0.2">
      <c r="A1918" s="1792" t="s">
        <v>914</v>
      </c>
      <c r="B1918" s="1782"/>
      <c r="C1918" s="1782"/>
      <c r="D1918" s="1782"/>
      <c r="E1918" s="1782"/>
      <c r="F1918" s="1782"/>
      <c r="G1918" s="1779"/>
      <c r="H1918" s="1032" t="str">
        <f>IF(A1918="","",VLOOKUP(A1918,'10'!$C$6:$E$1152,2,FALSE))</f>
        <v>UND</v>
      </c>
      <c r="I1918" s="1785">
        <f>IF(A1918="","",VLOOKUP(A1918,'10'!$C$6:$E$1152,3,FALSE))</f>
        <v>4232250</v>
      </c>
      <c r="J1918" s="1412"/>
      <c r="K1918" s="1794">
        <v>0.08</v>
      </c>
      <c r="L1918" s="1795"/>
      <c r="M1918" s="1780">
        <f>K1918*I1918</f>
        <v>338580</v>
      </c>
      <c r="N1918" s="1779"/>
    </row>
    <row r="1919" spans="1:14" ht="13.5" customHeight="1" x14ac:dyDescent="0.2">
      <c r="A1919" s="1792" t="s">
        <v>860</v>
      </c>
      <c r="B1919" s="1782"/>
      <c r="C1919" s="1782"/>
      <c r="D1919" s="1782"/>
      <c r="E1919" s="1782"/>
      <c r="F1919" s="1782"/>
      <c r="G1919" s="1779"/>
      <c r="H1919" s="1032" t="str">
        <f>IF(A1919="","",VLOOKUP(A1919,'10'!$C$6:$E$1152,2,FALSE))</f>
        <v>UND</v>
      </c>
      <c r="I1919" s="1785">
        <f>IF(A1919="","",VLOOKUP(A1919,'10'!$C$6:$E$1152,3,FALSE))</f>
        <v>105200</v>
      </c>
      <c r="J1919" s="1412"/>
      <c r="K1919" s="1794">
        <v>0.45</v>
      </c>
      <c r="L1919" s="1795"/>
      <c r="M1919" s="1780">
        <f t="shared" ref="M1919:M1924" si="88">K1919*I1919</f>
        <v>47340</v>
      </c>
      <c r="N1919" s="1779"/>
    </row>
    <row r="1920" spans="1:14" ht="13.5" x14ac:dyDescent="0.2">
      <c r="A1920" s="1792" t="s">
        <v>861</v>
      </c>
      <c r="B1920" s="1782"/>
      <c r="C1920" s="1782"/>
      <c r="D1920" s="1782"/>
      <c r="E1920" s="1782"/>
      <c r="F1920" s="1782"/>
      <c r="G1920" s="1779"/>
      <c r="H1920" s="1032" t="str">
        <f>IF(A1920="","",VLOOKUP(A1920,'10'!$C$6:$E$1152,2,FALSE))</f>
        <v>UND</v>
      </c>
      <c r="I1920" s="1785">
        <f>IF(A1920="","",VLOOKUP(A1920,'10'!$C$6:$E$1152,3,FALSE))</f>
        <v>1200</v>
      </c>
      <c r="J1920" s="1412"/>
      <c r="K1920" s="1794">
        <v>4</v>
      </c>
      <c r="L1920" s="1795"/>
      <c r="M1920" s="1780">
        <f t="shared" si="88"/>
        <v>4800</v>
      </c>
      <c r="N1920" s="1779"/>
    </row>
    <row r="1921" spans="1:14" ht="13.5" x14ac:dyDescent="0.2">
      <c r="A1921" s="1792" t="s">
        <v>1712</v>
      </c>
      <c r="B1921" s="1782"/>
      <c r="C1921" s="1782"/>
      <c r="D1921" s="1782"/>
      <c r="E1921" s="1782"/>
      <c r="F1921" s="1782"/>
      <c r="G1921" s="1779"/>
      <c r="H1921" s="1032" t="str">
        <f>IF(A1921="","",VLOOKUP(A1921,'10'!$C$6:$E$1152,2,FALSE))</f>
        <v>KG</v>
      </c>
      <c r="I1921" s="1785">
        <f>IF(A1921="","",VLOOKUP(A1921,'10'!$C$6:$E$1152,3,FALSE))</f>
        <v>19500</v>
      </c>
      <c r="J1921" s="1412"/>
      <c r="K1921" s="1794">
        <v>0.13</v>
      </c>
      <c r="L1921" s="1795"/>
      <c r="M1921" s="1780">
        <f t="shared" si="88"/>
        <v>2535</v>
      </c>
      <c r="N1921" s="1779"/>
    </row>
    <row r="1922" spans="1:14" ht="13.5" x14ac:dyDescent="0.2">
      <c r="A1922" s="1792" t="s">
        <v>913</v>
      </c>
      <c r="B1922" s="1782"/>
      <c r="C1922" s="1782"/>
      <c r="D1922" s="1782"/>
      <c r="E1922" s="1782"/>
      <c r="F1922" s="1782"/>
      <c r="G1922" s="1779"/>
      <c r="H1922" s="1032" t="str">
        <f>IF(A1922="","",VLOOKUP(A1922,'10'!$C$6:$E$1152,2,FALSE))</f>
        <v>GAL</v>
      </c>
      <c r="I1922" s="1785">
        <f>IF(A1922="","",VLOOKUP(A1922,'10'!$C$6:$E$1152,3,FALSE))</f>
        <v>64900</v>
      </c>
      <c r="J1922" s="1412"/>
      <c r="K1922" s="1794">
        <v>0.01</v>
      </c>
      <c r="L1922" s="1795"/>
      <c r="M1922" s="1780">
        <f t="shared" si="88"/>
        <v>649</v>
      </c>
      <c r="N1922" s="1779"/>
    </row>
    <row r="1923" spans="1:14" ht="13.5" x14ac:dyDescent="0.2">
      <c r="A1923" s="1792" t="s">
        <v>1713</v>
      </c>
      <c r="B1923" s="1782"/>
      <c r="C1923" s="1782"/>
      <c r="D1923" s="1782"/>
      <c r="E1923" s="1782"/>
      <c r="F1923" s="1782"/>
      <c r="G1923" s="1779"/>
      <c r="H1923" s="1032" t="str">
        <f>IF(A1923="","",VLOOKUP(A1923,'10'!$C$6:$E$1152,2,FALSE))</f>
        <v>GAL</v>
      </c>
      <c r="I1923" s="1785">
        <f>IF(A1923="","",VLOOKUP(A1923,'10'!$C$6:$E$1152,3,FALSE))</f>
        <v>79900</v>
      </c>
      <c r="J1923" s="1412"/>
      <c r="K1923" s="1794">
        <v>0.01</v>
      </c>
      <c r="L1923" s="1795"/>
      <c r="M1923" s="1780">
        <f t="shared" si="88"/>
        <v>799</v>
      </c>
      <c r="N1923" s="1779"/>
    </row>
    <row r="1924" spans="1:14" ht="13.5" x14ac:dyDescent="0.2">
      <c r="A1924" s="1792" t="s">
        <v>862</v>
      </c>
      <c r="B1924" s="1782"/>
      <c r="C1924" s="1782"/>
      <c r="D1924" s="1782"/>
      <c r="E1924" s="1782"/>
      <c r="F1924" s="1782"/>
      <c r="G1924" s="1779"/>
      <c r="H1924" s="1032" t="s">
        <v>91</v>
      </c>
      <c r="I1924" s="1785">
        <v>25000</v>
      </c>
      <c r="J1924" s="1412"/>
      <c r="K1924" s="1794">
        <v>0.02</v>
      </c>
      <c r="L1924" s="1795"/>
      <c r="M1924" s="1780">
        <f t="shared" si="88"/>
        <v>500</v>
      </c>
      <c r="N1924" s="1779"/>
    </row>
    <row r="1925" spans="1:14" ht="13.5" x14ac:dyDescent="0.2">
      <c r="A1925" s="1792"/>
      <c r="B1925" s="1782"/>
      <c r="C1925" s="1782"/>
      <c r="D1925" s="1782"/>
      <c r="E1925" s="1782"/>
      <c r="F1925" s="1782"/>
      <c r="G1925" s="1779"/>
      <c r="H1925" s="1032"/>
      <c r="I1925" s="1785"/>
      <c r="J1925" s="1412"/>
      <c r="K1925" s="1794"/>
      <c r="L1925" s="1795"/>
      <c r="M1925" s="1780"/>
      <c r="N1925" s="1779"/>
    </row>
    <row r="1926" spans="1:14" ht="13.5" x14ac:dyDescent="0.2">
      <c r="A1926" s="1792"/>
      <c r="B1926" s="1782"/>
      <c r="C1926" s="1782"/>
      <c r="D1926" s="1782"/>
      <c r="E1926" s="1782"/>
      <c r="F1926" s="1782"/>
      <c r="G1926" s="1779"/>
      <c r="H1926" s="1032"/>
      <c r="I1926" s="1785"/>
      <c r="J1926" s="1412"/>
      <c r="K1926" s="1794"/>
      <c r="L1926" s="1795"/>
      <c r="M1926" s="1780"/>
      <c r="N1926" s="1779"/>
    </row>
    <row r="1927" spans="1:14" ht="13.5" x14ac:dyDescent="0.2">
      <c r="A1927" s="1792"/>
      <c r="B1927" s="1782"/>
      <c r="C1927" s="1782"/>
      <c r="D1927" s="1782"/>
      <c r="E1927" s="1782"/>
      <c r="F1927" s="1782"/>
      <c r="G1927" s="1779"/>
      <c r="H1927" s="1032"/>
      <c r="I1927" s="1785"/>
      <c r="J1927" s="1412"/>
      <c r="K1927" s="1794"/>
      <c r="L1927" s="1795"/>
      <c r="M1927" s="1780"/>
      <c r="N1927" s="1779"/>
    </row>
    <row r="1928" spans="1:14" ht="13.5" x14ac:dyDescent="0.25">
      <c r="A1928" s="1138"/>
      <c r="B1928" s="1138"/>
      <c r="C1928" s="1138"/>
      <c r="D1928" s="1138"/>
      <c r="E1928" s="1138"/>
      <c r="F1928" s="1138"/>
      <c r="G1928" s="1138"/>
      <c r="H1928" s="1138"/>
      <c r="I1928" s="1138"/>
      <c r="J1928" s="1138"/>
      <c r="K1928" s="1778" t="s">
        <v>523</v>
      </c>
      <c r="L1928" s="1779"/>
      <c r="M1928" s="1780">
        <f>SUM(M1918:N1922)</f>
        <v>393904</v>
      </c>
      <c r="N1928" s="1779"/>
    </row>
    <row r="1929" spans="1:14" ht="13.5" x14ac:dyDescent="0.25">
      <c r="A1929" s="1138"/>
      <c r="B1929" s="1138"/>
      <c r="C1929" s="1138"/>
      <c r="D1929" s="1138"/>
      <c r="E1929" s="1138"/>
      <c r="F1929" s="1138"/>
      <c r="G1929" s="1138"/>
      <c r="H1929" s="1138"/>
      <c r="I1929" s="1138"/>
      <c r="J1929" s="1138"/>
      <c r="K1929" s="1138"/>
      <c r="L1929" s="1138"/>
      <c r="M1929" s="1138"/>
      <c r="N1929" s="1138"/>
    </row>
    <row r="1930" spans="1:14" x14ac:dyDescent="0.2">
      <c r="A1930" s="1781" t="s">
        <v>2145</v>
      </c>
      <c r="B1930" s="1782"/>
      <c r="C1930" s="1782"/>
      <c r="D1930" s="1782"/>
      <c r="E1930" s="1782"/>
      <c r="F1930" s="1782"/>
      <c r="G1930" s="1782"/>
      <c r="H1930" s="1782"/>
      <c r="I1930" s="1782"/>
      <c r="J1930" s="1782"/>
      <c r="K1930" s="1782"/>
      <c r="L1930" s="1782"/>
      <c r="M1930" s="1782"/>
      <c r="N1930" s="1779"/>
    </row>
    <row r="1931" spans="1:14" x14ac:dyDescent="0.2">
      <c r="A1931" s="1778" t="s">
        <v>14</v>
      </c>
      <c r="B1931" s="1782"/>
      <c r="C1931" s="1782"/>
      <c r="D1931" s="1782"/>
      <c r="E1931" s="1782"/>
      <c r="F1931" s="1782"/>
      <c r="G1931" s="1779"/>
      <c r="H1931" s="1136" t="s">
        <v>15</v>
      </c>
      <c r="I1931" s="1783" t="s">
        <v>619</v>
      </c>
      <c r="J1931" s="1779"/>
      <c r="K1931" s="1783" t="s">
        <v>610</v>
      </c>
      <c r="L1931" s="1779"/>
      <c r="M1931" s="1783" t="s">
        <v>2140</v>
      </c>
      <c r="N1931" s="1779"/>
    </row>
    <row r="1932" spans="1:14" ht="13.5" x14ac:dyDescent="0.2">
      <c r="A1932" s="1789" t="s">
        <v>131</v>
      </c>
      <c r="B1932" s="1790"/>
      <c r="C1932" s="1790"/>
      <c r="D1932" s="1790"/>
      <c r="E1932" s="1790"/>
      <c r="F1932" s="1790"/>
      <c r="G1932" s="1791"/>
      <c r="H1932" s="1032" t="str">
        <f>IF(A1932="","",VLOOKUP(A1932,'11'!$C$6:$E$87,2,FALSE))</f>
        <v>DIA</v>
      </c>
      <c r="I1932" s="1785">
        <f>IF(A1932="","",VLOOKUP(A1932,'11'!$C$6:$E$87,3,FALSE))</f>
        <v>15000</v>
      </c>
      <c r="J1932" s="1412"/>
      <c r="K1932" s="1787">
        <v>30</v>
      </c>
      <c r="L1932" s="1793"/>
      <c r="M1932" s="1780">
        <f>I1932/K1932</f>
        <v>500</v>
      </c>
      <c r="N1932" s="1779"/>
    </row>
    <row r="1933" spans="1:14" ht="13.5" x14ac:dyDescent="0.2">
      <c r="A1933" s="1789" t="s">
        <v>147</v>
      </c>
      <c r="B1933" s="1790"/>
      <c r="C1933" s="1790"/>
      <c r="D1933" s="1790"/>
      <c r="E1933" s="1790"/>
      <c r="F1933" s="1790"/>
      <c r="G1933" s="1791"/>
      <c r="H1933" s="1032" t="str">
        <f>IF(A1933="","",VLOOKUP(A1933,'11'!$C$6:$E$87,2,FALSE))</f>
        <v>DÍA</v>
      </c>
      <c r="I1933" s="1785">
        <f>IF(A1933="","",VLOOKUP(A1933,'11'!$C$6:$E$87,3,FALSE))</f>
        <v>1500</v>
      </c>
      <c r="J1933" s="1412"/>
      <c r="K1933" s="1787">
        <v>1</v>
      </c>
      <c r="L1933" s="1793"/>
      <c r="M1933" s="1780">
        <f t="shared" ref="M1933:M1935" si="89">I1933/K1933</f>
        <v>1500</v>
      </c>
      <c r="N1933" s="1779"/>
    </row>
    <row r="1934" spans="1:14" ht="13.5" x14ac:dyDescent="0.2">
      <c r="A1934" s="1789" t="s">
        <v>196</v>
      </c>
      <c r="B1934" s="1790"/>
      <c r="C1934" s="1790"/>
      <c r="D1934" s="1790"/>
      <c r="E1934" s="1790"/>
      <c r="F1934" s="1790"/>
      <c r="G1934" s="1791"/>
      <c r="H1934" s="1032" t="str">
        <f>IF(A1934="","",VLOOKUP(A1934,'11'!$C$6:$E$87,2,FALSE))</f>
        <v>HR</v>
      </c>
      <c r="I1934" s="1785">
        <f>IF(A1934="","",VLOOKUP(A1934,'11'!$C$6:$E$87,3,FALSE))</f>
        <v>4375</v>
      </c>
      <c r="J1934" s="1412"/>
      <c r="K1934" s="1787">
        <v>4</v>
      </c>
      <c r="L1934" s="1793"/>
      <c r="M1934" s="1780">
        <f t="shared" si="89"/>
        <v>1093.75</v>
      </c>
      <c r="N1934" s="1779"/>
    </row>
    <row r="1935" spans="1:14" ht="13.5" x14ac:dyDescent="0.2">
      <c r="A1935" s="1789" t="s">
        <v>863</v>
      </c>
      <c r="B1935" s="1790"/>
      <c r="C1935" s="1790"/>
      <c r="D1935" s="1790"/>
      <c r="E1935" s="1790"/>
      <c r="F1935" s="1790"/>
      <c r="G1935" s="1791"/>
      <c r="H1935" s="1032" t="str">
        <f>IF(A1935="","",VLOOKUP(A1935,'11'!$C$6:$E$87,2,FALSE))</f>
        <v>DIA</v>
      </c>
      <c r="I1935" s="1785">
        <f>IF(A1935="","",VLOOKUP(A1935,'11'!$C$6:$E$87,3,FALSE))</f>
        <v>85000</v>
      </c>
      <c r="J1935" s="1412"/>
      <c r="K1935" s="1787">
        <v>15</v>
      </c>
      <c r="L1935" s="1793"/>
      <c r="M1935" s="1780">
        <f t="shared" si="89"/>
        <v>5666.666666666667</v>
      </c>
      <c r="N1935" s="1779"/>
    </row>
    <row r="1936" spans="1:14" ht="13.5" x14ac:dyDescent="0.2">
      <c r="A1936" s="1789" t="s">
        <v>139</v>
      </c>
      <c r="B1936" s="1790"/>
      <c r="C1936" s="1790"/>
      <c r="D1936" s="1790"/>
      <c r="E1936" s="1790"/>
      <c r="F1936" s="1790"/>
      <c r="G1936" s="1791"/>
      <c r="H1936" s="1032" t="str">
        <f>IF(A1936="","",VLOOKUP(A1936,'11'!$C$6:$E$87,2,FALSE))</f>
        <v>DIA</v>
      </c>
      <c r="I1936" s="1785">
        <f>IF(A1936="","",VLOOKUP(A1936,'11'!$C$6:$E$87,3,FALSE))</f>
        <v>65000</v>
      </c>
      <c r="J1936" s="1412"/>
      <c r="K1936" s="1787">
        <v>15</v>
      </c>
      <c r="L1936" s="1793"/>
      <c r="M1936" s="1780">
        <f t="shared" ref="M1936:M1937" si="90">I1936/K1936</f>
        <v>4333.333333333333</v>
      </c>
      <c r="N1936" s="1779"/>
    </row>
    <row r="1937" spans="1:14" ht="13.5" x14ac:dyDescent="0.2">
      <c r="A1937" s="1789" t="s">
        <v>137</v>
      </c>
      <c r="B1937" s="1790"/>
      <c r="C1937" s="1790"/>
      <c r="D1937" s="1790"/>
      <c r="E1937" s="1790"/>
      <c r="F1937" s="1790"/>
      <c r="G1937" s="1791"/>
      <c r="H1937" s="1032" t="str">
        <f>IF(A1937="","",VLOOKUP(A1937,'11'!$C$6:$E$87,2,FALSE))</f>
        <v>HR</v>
      </c>
      <c r="I1937" s="1785">
        <f>IF(A1937="","",VLOOKUP(A1937,'11'!$C$6:$E$87,3,FALSE))</f>
        <v>15000</v>
      </c>
      <c r="J1937" s="1412"/>
      <c r="K1937" s="1787">
        <v>15</v>
      </c>
      <c r="L1937" s="1793"/>
      <c r="M1937" s="1780">
        <f t="shared" si="90"/>
        <v>1000</v>
      </c>
      <c r="N1937" s="1779"/>
    </row>
    <row r="1938" spans="1:14" ht="13.5" x14ac:dyDescent="0.2">
      <c r="A1938" s="1789"/>
      <c r="B1938" s="1790"/>
      <c r="C1938" s="1790"/>
      <c r="D1938" s="1790"/>
      <c r="E1938" s="1790"/>
      <c r="F1938" s="1790"/>
      <c r="G1938" s="1791"/>
      <c r="H1938" s="1032"/>
      <c r="I1938" s="1785"/>
      <c r="J1938" s="1412"/>
      <c r="K1938" s="1787"/>
      <c r="L1938" s="1793"/>
      <c r="M1938" s="1780"/>
      <c r="N1938" s="1779"/>
    </row>
    <row r="1939" spans="1:14" ht="13.5" x14ac:dyDescent="0.2">
      <c r="A1939" s="1789"/>
      <c r="B1939" s="1790"/>
      <c r="C1939" s="1790"/>
      <c r="D1939" s="1790"/>
      <c r="E1939" s="1790"/>
      <c r="F1939" s="1790"/>
      <c r="G1939" s="1791"/>
      <c r="H1939" s="1032"/>
      <c r="I1939" s="1785"/>
      <c r="J1939" s="1412"/>
      <c r="K1939" s="1787"/>
      <c r="L1939" s="1779"/>
      <c r="M1939" s="1780"/>
      <c r="N1939" s="1779"/>
    </row>
    <row r="1940" spans="1:14" ht="13.5" x14ac:dyDescent="0.2">
      <c r="A1940" s="1789"/>
      <c r="B1940" s="1790"/>
      <c r="C1940" s="1790"/>
      <c r="D1940" s="1790"/>
      <c r="E1940" s="1790"/>
      <c r="F1940" s="1790"/>
      <c r="G1940" s="1791"/>
      <c r="H1940" s="1032"/>
      <c r="I1940" s="1785"/>
      <c r="J1940" s="1412"/>
      <c r="K1940" s="1787"/>
      <c r="L1940" s="1779"/>
      <c r="M1940" s="1780"/>
      <c r="N1940" s="1779"/>
    </row>
    <row r="1941" spans="1:14" ht="13.5" x14ac:dyDescent="0.2">
      <c r="A1941" s="1789"/>
      <c r="B1941" s="1782"/>
      <c r="C1941" s="1782"/>
      <c r="D1941" s="1782"/>
      <c r="E1941" s="1782"/>
      <c r="F1941" s="1782"/>
      <c r="G1941" s="1779"/>
      <c r="H1941" s="1137"/>
      <c r="I1941" s="1780"/>
      <c r="J1941" s="1779"/>
      <c r="K1941" s="1787"/>
      <c r="L1941" s="1779"/>
      <c r="M1941" s="1780"/>
      <c r="N1941" s="1779"/>
    </row>
    <row r="1942" spans="1:14" ht="13.5" x14ac:dyDescent="0.25">
      <c r="A1942" s="1138"/>
      <c r="B1942" s="1138"/>
      <c r="C1942" s="1138"/>
      <c r="D1942" s="1138"/>
      <c r="E1942" s="1138"/>
      <c r="F1942" s="1138"/>
      <c r="G1942" s="1138"/>
      <c r="H1942" s="1138"/>
      <c r="I1942" s="1138"/>
      <c r="J1942" s="1138"/>
      <c r="K1942" s="1778" t="s">
        <v>523</v>
      </c>
      <c r="L1942" s="1779"/>
      <c r="M1942" s="1780">
        <f>SUM(M1932:N1941)</f>
        <v>14093.75</v>
      </c>
      <c r="N1942" s="1779"/>
    </row>
    <row r="1943" spans="1:14" ht="13.5" x14ac:dyDescent="0.25">
      <c r="A1943" s="1138"/>
      <c r="B1943" s="1138"/>
      <c r="C1943" s="1138"/>
      <c r="D1943" s="1138"/>
      <c r="E1943" s="1138"/>
      <c r="F1943" s="1138"/>
      <c r="G1943" s="1138"/>
      <c r="H1943" s="1138"/>
      <c r="I1943" s="1138"/>
      <c r="J1943" s="1138"/>
      <c r="K1943" s="1138"/>
      <c r="L1943" s="1138"/>
      <c r="M1943" s="1138"/>
      <c r="N1943" s="1138"/>
    </row>
    <row r="1944" spans="1:14" x14ac:dyDescent="0.2">
      <c r="A1944" s="1781" t="s">
        <v>2147</v>
      </c>
      <c r="B1944" s="1782"/>
      <c r="C1944" s="1782"/>
      <c r="D1944" s="1782"/>
      <c r="E1944" s="1782"/>
      <c r="F1944" s="1782"/>
      <c r="G1944" s="1782"/>
      <c r="H1944" s="1782"/>
      <c r="I1944" s="1782"/>
      <c r="J1944" s="1782"/>
      <c r="K1944" s="1782"/>
      <c r="L1944" s="1782"/>
      <c r="M1944" s="1782"/>
      <c r="N1944" s="1779"/>
    </row>
    <row r="1945" spans="1:14" x14ac:dyDescent="0.2">
      <c r="A1945" s="1778" t="s">
        <v>14</v>
      </c>
      <c r="B1945" s="1782"/>
      <c r="C1945" s="1782"/>
      <c r="D1945" s="1782"/>
      <c r="E1945" s="1782"/>
      <c r="F1945" s="1782"/>
      <c r="G1945" s="1779"/>
      <c r="H1945" s="1136" t="s">
        <v>15</v>
      </c>
      <c r="I1945" s="1783" t="s">
        <v>619</v>
      </c>
      <c r="J1945" s="1779"/>
      <c r="K1945" s="1783" t="s">
        <v>628</v>
      </c>
      <c r="L1945" s="1779"/>
      <c r="M1945" s="1783" t="s">
        <v>2140</v>
      </c>
      <c r="N1945" s="1779"/>
    </row>
    <row r="1946" spans="1:14" ht="13.5" x14ac:dyDescent="0.2">
      <c r="A1946" s="1792" t="s">
        <v>2328</v>
      </c>
      <c r="B1946" s="1782"/>
      <c r="C1946" s="1782"/>
      <c r="D1946" s="1782"/>
      <c r="E1946" s="1782"/>
      <c r="F1946" s="1782"/>
      <c r="G1946" s="1779"/>
      <c r="H1946" s="1032" t="str">
        <f>IF(A1946="","",VLOOKUP(A1946,'11'!$C$6:$E$1012,2,FALSE))</f>
        <v>KM-M3</v>
      </c>
      <c r="I1946" s="1785">
        <f>IF(A1946="","",VLOOKUP(A1946,'11'!$C$6:$E$1012,3,FALSE))</f>
        <v>1440</v>
      </c>
      <c r="J1946" s="1412"/>
      <c r="K1946" s="1787">
        <v>0</v>
      </c>
      <c r="L1946" s="1793"/>
      <c r="M1946" s="1780">
        <f t="shared" ref="M1946" si="91">IF(A1946="","",I1946*K1946)</f>
        <v>0</v>
      </c>
      <c r="N1946" s="1779"/>
    </row>
    <row r="1947" spans="1:14" ht="13.5" x14ac:dyDescent="0.2">
      <c r="A1947" s="1786"/>
      <c r="B1947" s="1782"/>
      <c r="C1947" s="1782"/>
      <c r="D1947" s="1782"/>
      <c r="E1947" s="1782"/>
      <c r="F1947" s="1782"/>
      <c r="G1947" s="1779"/>
      <c r="H1947" s="1032"/>
      <c r="I1947" s="1780"/>
      <c r="J1947" s="1779"/>
      <c r="K1947" s="1787"/>
      <c r="L1947" s="1779"/>
      <c r="M1947" s="1780"/>
      <c r="N1947" s="1779"/>
    </row>
    <row r="1948" spans="1:14" ht="13.5" x14ac:dyDescent="0.2">
      <c r="A1948" s="1786"/>
      <c r="B1948" s="1782"/>
      <c r="C1948" s="1782"/>
      <c r="D1948" s="1782"/>
      <c r="E1948" s="1782"/>
      <c r="F1948" s="1782"/>
      <c r="G1948" s="1779"/>
      <c r="H1948" s="1032"/>
      <c r="I1948" s="1780"/>
      <c r="J1948" s="1779"/>
      <c r="K1948" s="1788"/>
      <c r="L1948" s="1779"/>
      <c r="M1948" s="1780"/>
      <c r="N1948" s="1779"/>
    </row>
    <row r="1949" spans="1:14" ht="13.5" x14ac:dyDescent="0.2">
      <c r="A1949" s="1789"/>
      <c r="B1949" s="1782"/>
      <c r="C1949" s="1782"/>
      <c r="D1949" s="1782"/>
      <c r="E1949" s="1782"/>
      <c r="F1949" s="1782"/>
      <c r="G1949" s="1779"/>
      <c r="H1949" s="1137"/>
      <c r="I1949" s="1780"/>
      <c r="J1949" s="1779"/>
      <c r="K1949" s="1787"/>
      <c r="L1949" s="1779"/>
      <c r="M1949" s="1780"/>
      <c r="N1949" s="1779"/>
    </row>
    <row r="1950" spans="1:14" ht="13.5" x14ac:dyDescent="0.2">
      <c r="A1950" s="1789"/>
      <c r="B1950" s="1782"/>
      <c r="C1950" s="1782"/>
      <c r="D1950" s="1782"/>
      <c r="E1950" s="1782"/>
      <c r="F1950" s="1782"/>
      <c r="G1950" s="1779"/>
      <c r="H1950" s="1137"/>
      <c r="I1950" s="1780"/>
      <c r="J1950" s="1779"/>
      <c r="K1950" s="1787"/>
      <c r="L1950" s="1779"/>
      <c r="M1950" s="1780"/>
      <c r="N1950" s="1779"/>
    </row>
    <row r="1951" spans="1:14" ht="13.5" x14ac:dyDescent="0.25">
      <c r="A1951" s="1138"/>
      <c r="B1951" s="1138"/>
      <c r="C1951" s="1138"/>
      <c r="D1951" s="1138"/>
      <c r="E1951" s="1138"/>
      <c r="F1951" s="1138"/>
      <c r="G1951" s="1138"/>
      <c r="H1951" s="1138"/>
      <c r="I1951" s="1138"/>
      <c r="J1951" s="1138"/>
      <c r="K1951" s="1778" t="s">
        <v>523</v>
      </c>
      <c r="L1951" s="1779"/>
      <c r="M1951" s="1780">
        <f>SUM(M1946:N1950)</f>
        <v>0</v>
      </c>
      <c r="N1951" s="1779"/>
    </row>
    <row r="1952" spans="1:14" ht="13.5" x14ac:dyDescent="0.25">
      <c r="A1952" s="1138"/>
      <c r="B1952" s="1138"/>
      <c r="C1952" s="1138"/>
      <c r="D1952" s="1138"/>
      <c r="E1952" s="1138"/>
      <c r="F1952" s="1138"/>
      <c r="G1952" s="1138"/>
      <c r="H1952" s="1138"/>
      <c r="I1952" s="1138"/>
      <c r="J1952" s="1138"/>
      <c r="K1952" s="1138"/>
      <c r="L1952" s="1138"/>
      <c r="M1952" s="1138"/>
      <c r="N1952" s="1138"/>
    </row>
    <row r="1953" spans="1:14" x14ac:dyDescent="0.2">
      <c r="A1953" s="1781" t="s">
        <v>2150</v>
      </c>
      <c r="B1953" s="1782"/>
      <c r="C1953" s="1782"/>
      <c r="D1953" s="1782"/>
      <c r="E1953" s="1782"/>
      <c r="F1953" s="1782"/>
      <c r="G1953" s="1782"/>
      <c r="H1953" s="1782"/>
      <c r="I1953" s="1782"/>
      <c r="J1953" s="1782"/>
      <c r="K1953" s="1782"/>
      <c r="L1953" s="1782"/>
      <c r="M1953" s="1782"/>
      <c r="N1953" s="1779"/>
    </row>
    <row r="1954" spans="1:14" x14ac:dyDescent="0.2">
      <c r="A1954" s="1778" t="s">
        <v>14</v>
      </c>
      <c r="B1954" s="1782"/>
      <c r="C1954" s="1782"/>
      <c r="D1954" s="1782"/>
      <c r="E1954" s="1782"/>
      <c r="F1954" s="1782"/>
      <c r="G1954" s="1779"/>
      <c r="H1954" s="1136" t="s">
        <v>15</v>
      </c>
      <c r="I1954" s="1783" t="s">
        <v>619</v>
      </c>
      <c r="J1954" s="1779"/>
      <c r="K1954" s="1139" t="s">
        <v>1919</v>
      </c>
      <c r="L1954" s="1140" t="s">
        <v>2151</v>
      </c>
      <c r="M1954" s="1783" t="s">
        <v>2140</v>
      </c>
      <c r="N1954" s="1779"/>
    </row>
    <row r="1955" spans="1:14" ht="13.5" x14ac:dyDescent="0.25">
      <c r="A1955" s="1784" t="s">
        <v>2271</v>
      </c>
      <c r="B1955" s="1782"/>
      <c r="C1955" s="1782"/>
      <c r="D1955" s="1782"/>
      <c r="E1955" s="1782"/>
      <c r="F1955" s="1782"/>
      <c r="G1955" s="1779"/>
      <c r="H1955" s="1032" t="str">
        <f>IF(A1955="","",VLOOKUP(A1955,'09'!$A$22:$O$168,4,FALSE))</f>
        <v>Cuadrilla</v>
      </c>
      <c r="I1955" s="1785">
        <f>IF(A1955="","",VLOOKUP(A1955,'09'!$A$22:$O$168,5,FALSE))</f>
        <v>233454</v>
      </c>
      <c r="J1955" s="1412"/>
      <c r="K1955" s="1034">
        <f>IF(A1955="","",'03'!$I$2)</f>
        <v>1.88995</v>
      </c>
      <c r="L1955" s="1142">
        <v>0.8</v>
      </c>
      <c r="M1955" s="1780">
        <f>I1955*K1955/(L1955*8)</f>
        <v>68940.060515624995</v>
      </c>
      <c r="N1955" s="1779"/>
    </row>
    <row r="1956" spans="1:14" ht="13.5" x14ac:dyDescent="0.25">
      <c r="A1956" s="1784"/>
      <c r="B1956" s="1782"/>
      <c r="C1956" s="1782"/>
      <c r="D1956" s="1782"/>
      <c r="E1956" s="1782"/>
      <c r="F1956" s="1782"/>
      <c r="G1956" s="1779"/>
      <c r="H1956" s="1137"/>
      <c r="I1956" s="1780"/>
      <c r="J1956" s="1779"/>
      <c r="K1956" s="1141"/>
      <c r="L1956" s="1141"/>
      <c r="M1956" s="1780"/>
      <c r="N1956" s="1779"/>
    </row>
    <row r="1957" spans="1:14" ht="13.5" x14ac:dyDescent="0.25">
      <c r="A1957" s="1784"/>
      <c r="B1957" s="1782"/>
      <c r="C1957" s="1782"/>
      <c r="D1957" s="1782"/>
      <c r="E1957" s="1782"/>
      <c r="F1957" s="1782"/>
      <c r="G1957" s="1779"/>
      <c r="H1957" s="1137"/>
      <c r="I1957" s="1780"/>
      <c r="J1957" s="1779"/>
      <c r="K1957" s="1141"/>
      <c r="L1957" s="1143"/>
      <c r="M1957" s="1780"/>
      <c r="N1957" s="1779"/>
    </row>
    <row r="1958" spans="1:14" ht="13.5" x14ac:dyDescent="0.25">
      <c r="A1958" s="1784"/>
      <c r="B1958" s="1782"/>
      <c r="C1958" s="1782"/>
      <c r="D1958" s="1782"/>
      <c r="E1958" s="1782"/>
      <c r="F1958" s="1782"/>
      <c r="G1958" s="1779"/>
      <c r="H1958" s="1137"/>
      <c r="I1958" s="1780"/>
      <c r="J1958" s="1779"/>
      <c r="K1958" s="1141"/>
      <c r="L1958" s="1143"/>
      <c r="M1958" s="1780"/>
      <c r="N1958" s="1779"/>
    </row>
    <row r="1959" spans="1:14" ht="13.5" x14ac:dyDescent="0.25">
      <c r="A1959" s="1784"/>
      <c r="B1959" s="1782"/>
      <c r="C1959" s="1782"/>
      <c r="D1959" s="1782"/>
      <c r="E1959" s="1782"/>
      <c r="F1959" s="1782"/>
      <c r="G1959" s="1779"/>
      <c r="H1959" s="1137"/>
      <c r="I1959" s="1780"/>
      <c r="J1959" s="1779"/>
      <c r="K1959" s="1141"/>
      <c r="L1959" s="1143"/>
      <c r="M1959" s="1780"/>
      <c r="N1959" s="1779"/>
    </row>
    <row r="1960" spans="1:14" ht="13.5" x14ac:dyDescent="0.25">
      <c r="A1960" s="1138"/>
      <c r="B1960" s="1138"/>
      <c r="C1960" s="1138"/>
      <c r="D1960" s="1138"/>
      <c r="E1960" s="1138"/>
      <c r="F1960" s="1138"/>
      <c r="G1960" s="1138"/>
      <c r="H1960" s="1138"/>
      <c r="I1960" s="1138"/>
      <c r="J1960" s="1138"/>
      <c r="K1960" s="1778" t="s">
        <v>523</v>
      </c>
      <c r="L1960" s="1779"/>
      <c r="M1960" s="1780">
        <f>SUM(M1955:N1959)</f>
        <v>68940.060515624995</v>
      </c>
      <c r="N1960" s="1779"/>
    </row>
    <row r="1961" spans="1:14" x14ac:dyDescent="0.2">
      <c r="I1961" s="1414"/>
      <c r="J1961" s="1415"/>
      <c r="K1961" s="1415"/>
      <c r="L1961" s="1415"/>
      <c r="M1961" s="1415"/>
      <c r="N1961" s="1415"/>
    </row>
    <row r="1962" spans="1:14" ht="13.5" thickBot="1" x14ac:dyDescent="0.25">
      <c r="I1962" s="1416"/>
      <c r="J1962" s="1416"/>
      <c r="K1962" s="1416"/>
      <c r="L1962" s="1416"/>
      <c r="M1962" s="1416"/>
      <c r="N1962" s="1416"/>
    </row>
    <row r="1963" spans="1:14" ht="14.25" thickTop="1" x14ac:dyDescent="0.2">
      <c r="I1963" s="1417" t="s">
        <v>1829</v>
      </c>
      <c r="J1963" s="1418"/>
      <c r="K1963" s="1417" t="s">
        <v>2653</v>
      </c>
      <c r="L1963" s="1418"/>
      <c r="M1963" s="1418"/>
      <c r="N1963" s="1418"/>
    </row>
    <row r="1964" spans="1:14" ht="13.5" x14ac:dyDescent="0.2">
      <c r="I1964" s="1419" t="s">
        <v>1831</v>
      </c>
      <c r="J1964" s="1420"/>
      <c r="K1964" s="1419"/>
      <c r="L1964" s="1420"/>
      <c r="M1964" s="1420"/>
      <c r="N1964" s="1420"/>
    </row>
    <row r="1965" spans="1:14" x14ac:dyDescent="0.2">
      <c r="A1965" s="1796" t="s">
        <v>2384</v>
      </c>
      <c r="B1965" s="1797"/>
      <c r="C1965" s="1797"/>
      <c r="D1965" s="1797"/>
      <c r="E1965" s="1797"/>
      <c r="F1965" s="1797"/>
      <c r="G1965" s="1797"/>
      <c r="H1965" s="1797"/>
      <c r="I1965" s="1797"/>
      <c r="J1965" s="1797"/>
      <c r="K1965" s="1797"/>
      <c r="L1965" s="1797"/>
      <c r="M1965" s="1797"/>
      <c r="N1965" s="1798"/>
    </row>
    <row r="1966" spans="1:14" x14ac:dyDescent="0.2">
      <c r="A1966" s="1799"/>
      <c r="B1966" s="1800"/>
      <c r="C1966" s="1800"/>
      <c r="D1966" s="1800"/>
      <c r="E1966" s="1800"/>
      <c r="F1966" s="1800"/>
      <c r="G1966" s="1800"/>
      <c r="H1966" s="1800"/>
      <c r="I1966" s="1800"/>
      <c r="J1966" s="1800"/>
      <c r="K1966" s="1800"/>
      <c r="L1966" s="1800"/>
      <c r="M1966" s="1800"/>
      <c r="N1966" s="1801"/>
    </row>
    <row r="1967" spans="1:14" ht="13.5" x14ac:dyDescent="0.2">
      <c r="A1967" s="1128"/>
      <c r="B1967" s="1128"/>
      <c r="C1967" s="1128"/>
      <c r="D1967" s="1128"/>
      <c r="E1967" s="1128"/>
      <c r="F1967" s="1128"/>
      <c r="G1967" s="1128"/>
      <c r="H1967" s="1128"/>
      <c r="I1967" s="1128"/>
      <c r="J1967" s="1128"/>
      <c r="K1967" s="1128"/>
      <c r="L1967" s="1128"/>
      <c r="M1967" s="1128"/>
      <c r="N1967" s="1128"/>
    </row>
    <row r="1968" spans="1:14" ht="14.25" x14ac:dyDescent="0.3">
      <c r="A1968" s="1104" t="s">
        <v>2383</v>
      </c>
      <c r="B1968" s="1129" t="str">
        <f>A1965</f>
        <v>SUMINISTRO E INSTALACIÓN DE BOMBA DOSIFICADORA DE PRODUCTOS QUIMICOS TIPO DIAFRAGMA.</v>
      </c>
      <c r="C1968" s="1130" t="s">
        <v>634</v>
      </c>
      <c r="D1968" s="1107" t="s">
        <v>2</v>
      </c>
      <c r="E1968" s="1132" t="s">
        <v>1833</v>
      </c>
      <c r="F1968" s="1133">
        <f>H1968+J1968+L1968+N1968</f>
        <v>4205691.5816590916</v>
      </c>
      <c r="G1968" s="1132" t="s">
        <v>2136</v>
      </c>
      <c r="H1968" s="1133">
        <f>M1996</f>
        <v>500</v>
      </c>
      <c r="I1968" s="1132" t="s">
        <v>621</v>
      </c>
      <c r="J1968" s="1134">
        <f>M1982</f>
        <v>4080435.1300000004</v>
      </c>
      <c r="K1968" s="1132" t="s">
        <v>2137</v>
      </c>
      <c r="L1968" s="1133">
        <f>M2005</f>
        <v>24480</v>
      </c>
      <c r="M1968" s="1132" t="s">
        <v>2138</v>
      </c>
      <c r="N1968" s="1133">
        <f>M2014</f>
        <v>100276.4516590909</v>
      </c>
    </row>
    <row r="1969" spans="1:14" ht="13.5" x14ac:dyDescent="0.25">
      <c r="A1969" s="1135"/>
      <c r="B1969" s="1135"/>
      <c r="C1969" s="1135"/>
      <c r="D1969" s="1135"/>
      <c r="E1969" s="1135"/>
      <c r="F1969" s="1135"/>
      <c r="G1969" s="1135"/>
      <c r="J1969" s="1135"/>
      <c r="K1969" s="1135"/>
      <c r="L1969" s="1135"/>
      <c r="M1969" s="1270" t="s">
        <v>2667</v>
      </c>
      <c r="N1969" s="1270">
        <f>+F1968*'01'!$O$15</f>
        <v>5443443.0478222957</v>
      </c>
    </row>
    <row r="1970" spans="1:14" x14ac:dyDescent="0.2">
      <c r="A1970" s="1781" t="s">
        <v>2139</v>
      </c>
      <c r="B1970" s="1782"/>
      <c r="C1970" s="1782"/>
      <c r="D1970" s="1782"/>
      <c r="E1970" s="1782"/>
      <c r="F1970" s="1782"/>
      <c r="G1970" s="1782"/>
      <c r="H1970" s="1782"/>
      <c r="I1970" s="1782"/>
      <c r="J1970" s="1782"/>
      <c r="K1970" s="1782"/>
      <c r="L1970" s="1782"/>
      <c r="M1970" s="1782"/>
      <c r="N1970" s="1779"/>
    </row>
    <row r="1971" spans="1:14" x14ac:dyDescent="0.2">
      <c r="A1971" s="1778" t="s">
        <v>14</v>
      </c>
      <c r="B1971" s="1782"/>
      <c r="C1971" s="1782"/>
      <c r="D1971" s="1782"/>
      <c r="E1971" s="1782"/>
      <c r="F1971" s="1782"/>
      <c r="G1971" s="1779"/>
      <c r="H1971" s="1136" t="s">
        <v>15</v>
      </c>
      <c r="I1971" s="1783" t="s">
        <v>619</v>
      </c>
      <c r="J1971" s="1779"/>
      <c r="K1971" s="1783" t="s">
        <v>628</v>
      </c>
      <c r="L1971" s="1779"/>
      <c r="M1971" s="1783" t="s">
        <v>2140</v>
      </c>
      <c r="N1971" s="1779"/>
    </row>
    <row r="1972" spans="1:14" ht="13.5" customHeight="1" x14ac:dyDescent="0.2">
      <c r="A1972" s="1792" t="s">
        <v>924</v>
      </c>
      <c r="B1972" s="1782"/>
      <c r="C1972" s="1782"/>
      <c r="D1972" s="1782"/>
      <c r="E1972" s="1782"/>
      <c r="F1972" s="1782"/>
      <c r="G1972" s="1779"/>
      <c r="H1972" s="1032" t="str">
        <f>IF(A1972="","",VLOOKUP(A1972,'10'!$C$6:$E$1152,2,FALSE))</f>
        <v>UND</v>
      </c>
      <c r="I1972" s="1785">
        <f>IF(A1972="","",VLOOKUP(A1972,'10'!$C$6:$E$1152,3,FALSE))</f>
        <v>3399000.0000000005</v>
      </c>
      <c r="J1972" s="1412"/>
      <c r="K1972" s="1794">
        <v>1</v>
      </c>
      <c r="L1972" s="1795"/>
      <c r="M1972" s="1780">
        <f>K1972*I1972</f>
        <v>3399000.0000000005</v>
      </c>
      <c r="N1972" s="1779"/>
    </row>
    <row r="1973" spans="1:14" ht="13.5" customHeight="1" x14ac:dyDescent="0.2">
      <c r="A1973" s="1792" t="s">
        <v>1465</v>
      </c>
      <c r="B1973" s="1782"/>
      <c r="C1973" s="1782"/>
      <c r="D1973" s="1782"/>
      <c r="E1973" s="1782"/>
      <c r="F1973" s="1782"/>
      <c r="G1973" s="1779"/>
      <c r="H1973" s="1032" t="str">
        <f>IF(A1973="","",VLOOKUP(A1973,'10'!$C$6:$E$1152,2,FALSE))</f>
        <v>UND</v>
      </c>
      <c r="I1973" s="1785">
        <f>IF(A1973="","",VLOOKUP(A1973,'10'!$C$6:$E$1152,3,FALSE))</f>
        <v>22283</v>
      </c>
      <c r="J1973" s="1412"/>
      <c r="K1973" s="1794">
        <v>6</v>
      </c>
      <c r="L1973" s="1795"/>
      <c r="M1973" s="1780">
        <f t="shared" ref="M1973:M1977" si="92">K1973*I1973</f>
        <v>133698</v>
      </c>
      <c r="N1973" s="1779"/>
    </row>
    <row r="1974" spans="1:14" ht="13.5" x14ac:dyDescent="0.2">
      <c r="A1974" s="1792" t="s">
        <v>101</v>
      </c>
      <c r="B1974" s="1782"/>
      <c r="C1974" s="1782"/>
      <c r="D1974" s="1782"/>
      <c r="E1974" s="1782"/>
      <c r="F1974" s="1782"/>
      <c r="G1974" s="1779"/>
      <c r="H1974" s="1032" t="str">
        <f>IF(A1974="","",VLOOKUP(A1974,'10'!$C$6:$E$1152,2,FALSE))</f>
        <v>UND</v>
      </c>
      <c r="I1974" s="1785">
        <f>IF(A1974="","",VLOOKUP(A1974,'10'!$C$6:$E$1152,3,FALSE))</f>
        <v>863</v>
      </c>
      <c r="J1974" s="1412"/>
      <c r="K1974" s="1794">
        <v>6</v>
      </c>
      <c r="L1974" s="1795"/>
      <c r="M1974" s="1780">
        <f t="shared" si="92"/>
        <v>5178</v>
      </c>
      <c r="N1974" s="1779"/>
    </row>
    <row r="1975" spans="1:14" ht="13.5" x14ac:dyDescent="0.2">
      <c r="A1975" s="1792" t="s">
        <v>1683</v>
      </c>
      <c r="B1975" s="1782"/>
      <c r="C1975" s="1782"/>
      <c r="D1975" s="1782"/>
      <c r="E1975" s="1782"/>
      <c r="F1975" s="1782"/>
      <c r="G1975" s="1779"/>
      <c r="H1975" s="1032" t="str">
        <f>IF(A1975="","",VLOOKUP(A1975,'10'!$C$6:$E$1152,2,FALSE))</f>
        <v>UND</v>
      </c>
      <c r="I1975" s="1785">
        <f>IF(A1975="","",VLOOKUP(A1975,'10'!$C$6:$E$1152,3,FALSE))</f>
        <v>541900</v>
      </c>
      <c r="J1975" s="1412"/>
      <c r="K1975" s="1794">
        <v>1</v>
      </c>
      <c r="L1975" s="1795"/>
      <c r="M1975" s="1780">
        <f t="shared" si="92"/>
        <v>541900</v>
      </c>
      <c r="N1975" s="1779"/>
    </row>
    <row r="1976" spans="1:14" ht="13.5" x14ac:dyDescent="0.2">
      <c r="A1976" s="1792" t="s">
        <v>1735</v>
      </c>
      <c r="B1976" s="1782"/>
      <c r="C1976" s="1782"/>
      <c r="D1976" s="1782"/>
      <c r="E1976" s="1782"/>
      <c r="F1976" s="1782"/>
      <c r="G1976" s="1779"/>
      <c r="H1976" s="1032" t="str">
        <f>IF(A1976="","",VLOOKUP(A1976,'10'!$C$6:$E$1152,2,FALSE))</f>
        <v>UND</v>
      </c>
      <c r="I1976" s="1785">
        <f>IF(A1976="","",VLOOKUP(A1976,'10'!$C$6:$E$1152,3,FALSE))</f>
        <v>65913</v>
      </c>
      <c r="J1976" s="1412"/>
      <c r="K1976" s="1794">
        <v>0.01</v>
      </c>
      <c r="L1976" s="1795"/>
      <c r="M1976" s="1780">
        <f t="shared" si="92"/>
        <v>659.13</v>
      </c>
      <c r="N1976" s="1779"/>
    </row>
    <row r="1977" spans="1:14" ht="13.5" x14ac:dyDescent="0.2">
      <c r="A1977" s="1792" t="s">
        <v>100</v>
      </c>
      <c r="B1977" s="1782"/>
      <c r="C1977" s="1782"/>
      <c r="D1977" s="1782"/>
      <c r="E1977" s="1782"/>
      <c r="F1977" s="1782"/>
      <c r="G1977" s="1779"/>
      <c r="H1977" s="1032" t="str">
        <f>IF(A1977="","",VLOOKUP(A1977,'10'!$C$6:$E$1152,2,FALSE))</f>
        <v>UND</v>
      </c>
      <c r="I1977" s="1785">
        <f>IF(A1977="","",VLOOKUP(A1977,'10'!$C$6:$E$1152,3,FALSE))</f>
        <v>136699</v>
      </c>
      <c r="J1977" s="1412"/>
      <c r="K1977" s="1794">
        <v>0.01</v>
      </c>
      <c r="L1977" s="1795"/>
      <c r="M1977" s="1780">
        <f t="shared" si="92"/>
        <v>1366.99</v>
      </c>
      <c r="N1977" s="1779"/>
    </row>
    <row r="1978" spans="1:14" ht="13.5" x14ac:dyDescent="0.2">
      <c r="A1978" s="1792"/>
      <c r="B1978" s="1782"/>
      <c r="C1978" s="1782"/>
      <c r="D1978" s="1782"/>
      <c r="E1978" s="1782"/>
      <c r="F1978" s="1782"/>
      <c r="G1978" s="1779"/>
      <c r="H1978" s="1032"/>
      <c r="I1978" s="1785"/>
      <c r="J1978" s="1412"/>
      <c r="K1978" s="1794"/>
      <c r="L1978" s="1795"/>
      <c r="M1978" s="1780"/>
      <c r="N1978" s="1779"/>
    </row>
    <row r="1979" spans="1:14" ht="13.5" x14ac:dyDescent="0.2">
      <c r="A1979" s="1792"/>
      <c r="B1979" s="1782"/>
      <c r="C1979" s="1782"/>
      <c r="D1979" s="1782"/>
      <c r="E1979" s="1782"/>
      <c r="F1979" s="1782"/>
      <c r="G1979" s="1779"/>
      <c r="H1979" s="1032"/>
      <c r="I1979" s="1785"/>
      <c r="J1979" s="1412"/>
      <c r="K1979" s="1794"/>
      <c r="L1979" s="1795"/>
      <c r="M1979" s="1780"/>
      <c r="N1979" s="1779"/>
    </row>
    <row r="1980" spans="1:14" ht="13.5" x14ac:dyDescent="0.2">
      <c r="A1980" s="1792"/>
      <c r="B1980" s="1782"/>
      <c r="C1980" s="1782"/>
      <c r="D1980" s="1782"/>
      <c r="E1980" s="1782"/>
      <c r="F1980" s="1782"/>
      <c r="G1980" s="1779"/>
      <c r="H1980" s="1032"/>
      <c r="I1980" s="1785"/>
      <c r="J1980" s="1412"/>
      <c r="K1980" s="1794"/>
      <c r="L1980" s="1795"/>
      <c r="M1980" s="1780"/>
      <c r="N1980" s="1779"/>
    </row>
    <row r="1981" spans="1:14" ht="13.5" x14ac:dyDescent="0.2">
      <c r="A1981" s="1792"/>
      <c r="B1981" s="1782"/>
      <c r="C1981" s="1782"/>
      <c r="D1981" s="1782"/>
      <c r="E1981" s="1782"/>
      <c r="F1981" s="1782"/>
      <c r="G1981" s="1779"/>
      <c r="H1981" s="1032"/>
      <c r="I1981" s="1785"/>
      <c r="J1981" s="1412"/>
      <c r="K1981" s="1794"/>
      <c r="L1981" s="1795"/>
      <c r="M1981" s="1780"/>
      <c r="N1981" s="1779"/>
    </row>
    <row r="1982" spans="1:14" ht="13.5" x14ac:dyDescent="0.25">
      <c r="A1982" s="1138"/>
      <c r="B1982" s="1138"/>
      <c r="C1982" s="1138"/>
      <c r="D1982" s="1138"/>
      <c r="E1982" s="1138"/>
      <c r="F1982" s="1138"/>
      <c r="G1982" s="1138"/>
      <c r="H1982" s="1138"/>
      <c r="I1982" s="1138"/>
      <c r="J1982" s="1138"/>
      <c r="K1982" s="1778" t="s">
        <v>523</v>
      </c>
      <c r="L1982" s="1779"/>
      <c r="M1982" s="1780">
        <f>SUM(M1972:N1976)</f>
        <v>4080435.1300000004</v>
      </c>
      <c r="N1982" s="1779"/>
    </row>
    <row r="1983" spans="1:14" ht="13.5" x14ac:dyDescent="0.25">
      <c r="A1983" s="1138"/>
      <c r="B1983" s="1138"/>
      <c r="C1983" s="1138"/>
      <c r="D1983" s="1138"/>
      <c r="E1983" s="1138"/>
      <c r="F1983" s="1138"/>
      <c r="G1983" s="1138"/>
      <c r="H1983" s="1138"/>
      <c r="I1983" s="1138"/>
      <c r="J1983" s="1138"/>
      <c r="K1983" s="1138"/>
      <c r="L1983" s="1138"/>
      <c r="M1983" s="1138"/>
      <c r="N1983" s="1138"/>
    </row>
    <row r="1984" spans="1:14" x14ac:dyDescent="0.2">
      <c r="A1984" s="1781" t="s">
        <v>2145</v>
      </c>
      <c r="B1984" s="1782"/>
      <c r="C1984" s="1782"/>
      <c r="D1984" s="1782"/>
      <c r="E1984" s="1782"/>
      <c r="F1984" s="1782"/>
      <c r="G1984" s="1782"/>
      <c r="H1984" s="1782"/>
      <c r="I1984" s="1782"/>
      <c r="J1984" s="1782"/>
      <c r="K1984" s="1782"/>
      <c r="L1984" s="1782"/>
      <c r="M1984" s="1782"/>
      <c r="N1984" s="1779"/>
    </row>
    <row r="1985" spans="1:14" x14ac:dyDescent="0.2">
      <c r="A1985" s="1778" t="s">
        <v>14</v>
      </c>
      <c r="B1985" s="1782"/>
      <c r="C1985" s="1782"/>
      <c r="D1985" s="1782"/>
      <c r="E1985" s="1782"/>
      <c r="F1985" s="1782"/>
      <c r="G1985" s="1779"/>
      <c r="H1985" s="1136" t="s">
        <v>15</v>
      </c>
      <c r="I1985" s="1783" t="s">
        <v>619</v>
      </c>
      <c r="J1985" s="1779"/>
      <c r="K1985" s="1783" t="s">
        <v>610</v>
      </c>
      <c r="L1985" s="1779"/>
      <c r="M1985" s="1783" t="s">
        <v>2140</v>
      </c>
      <c r="N1985" s="1779"/>
    </row>
    <row r="1986" spans="1:14" ht="13.5" x14ac:dyDescent="0.2">
      <c r="A1986" s="1789" t="s">
        <v>131</v>
      </c>
      <c r="B1986" s="1790"/>
      <c r="C1986" s="1790"/>
      <c r="D1986" s="1790"/>
      <c r="E1986" s="1790"/>
      <c r="F1986" s="1790"/>
      <c r="G1986" s="1791"/>
      <c r="H1986" s="1032" t="str">
        <f>IF(A1986="","",VLOOKUP(A1986,'11'!$C$6:$E$87,2,FALSE))</f>
        <v>DIA</v>
      </c>
      <c r="I1986" s="1785">
        <f>IF(A1986="","",VLOOKUP(A1986,'11'!$C$6:$E$87,3,FALSE))</f>
        <v>15000</v>
      </c>
      <c r="J1986" s="1412"/>
      <c r="K1986" s="1787">
        <v>30</v>
      </c>
      <c r="L1986" s="1793"/>
      <c r="M1986" s="1780">
        <f>I1986/K1986</f>
        <v>500</v>
      </c>
      <c r="N1986" s="1779"/>
    </row>
    <row r="1987" spans="1:14" ht="13.5" x14ac:dyDescent="0.2">
      <c r="A1987" s="1789"/>
      <c r="B1987" s="1790"/>
      <c r="C1987" s="1790"/>
      <c r="D1987" s="1790"/>
      <c r="E1987" s="1790"/>
      <c r="F1987" s="1790"/>
      <c r="G1987" s="1791"/>
      <c r="H1987" s="1032"/>
      <c r="I1987" s="1785"/>
      <c r="J1987" s="1412"/>
      <c r="K1987" s="1787"/>
      <c r="L1987" s="1793"/>
      <c r="M1987" s="1780"/>
      <c r="N1987" s="1779"/>
    </row>
    <row r="1988" spans="1:14" ht="13.5" x14ac:dyDescent="0.2">
      <c r="A1988" s="1789"/>
      <c r="B1988" s="1790"/>
      <c r="C1988" s="1790"/>
      <c r="D1988" s="1790"/>
      <c r="E1988" s="1790"/>
      <c r="F1988" s="1790"/>
      <c r="G1988" s="1791"/>
      <c r="H1988" s="1032"/>
      <c r="I1988" s="1785"/>
      <c r="J1988" s="1412"/>
      <c r="K1988" s="1787"/>
      <c r="L1988" s="1793"/>
      <c r="M1988" s="1780"/>
      <c r="N1988" s="1779"/>
    </row>
    <row r="1989" spans="1:14" ht="13.5" x14ac:dyDescent="0.2">
      <c r="A1989" s="1789"/>
      <c r="B1989" s="1790"/>
      <c r="C1989" s="1790"/>
      <c r="D1989" s="1790"/>
      <c r="E1989" s="1790"/>
      <c r="F1989" s="1790"/>
      <c r="G1989" s="1791"/>
      <c r="H1989" s="1032"/>
      <c r="I1989" s="1785"/>
      <c r="J1989" s="1412"/>
      <c r="K1989" s="1787"/>
      <c r="L1989" s="1793"/>
      <c r="M1989" s="1780"/>
      <c r="N1989" s="1779"/>
    </row>
    <row r="1990" spans="1:14" ht="13.5" x14ac:dyDescent="0.2">
      <c r="A1990" s="1789"/>
      <c r="B1990" s="1790"/>
      <c r="C1990" s="1790"/>
      <c r="D1990" s="1790"/>
      <c r="E1990" s="1790"/>
      <c r="F1990" s="1790"/>
      <c r="G1990" s="1791"/>
      <c r="H1990" s="1032"/>
      <c r="I1990" s="1785"/>
      <c r="J1990" s="1412"/>
      <c r="K1990" s="1787"/>
      <c r="L1990" s="1793"/>
      <c r="M1990" s="1780"/>
      <c r="N1990" s="1779"/>
    </row>
    <row r="1991" spans="1:14" ht="13.5" x14ac:dyDescent="0.2">
      <c r="A1991" s="1789"/>
      <c r="B1991" s="1790"/>
      <c r="C1991" s="1790"/>
      <c r="D1991" s="1790"/>
      <c r="E1991" s="1790"/>
      <c r="F1991" s="1790"/>
      <c r="G1991" s="1791"/>
      <c r="H1991" s="1032"/>
      <c r="I1991" s="1785"/>
      <c r="J1991" s="1412"/>
      <c r="K1991" s="1787"/>
      <c r="L1991" s="1793"/>
      <c r="M1991" s="1780"/>
      <c r="N1991" s="1779"/>
    </row>
    <row r="1992" spans="1:14" ht="13.5" x14ac:dyDescent="0.2">
      <c r="A1992" s="1789"/>
      <c r="B1992" s="1790"/>
      <c r="C1992" s="1790"/>
      <c r="D1992" s="1790"/>
      <c r="E1992" s="1790"/>
      <c r="F1992" s="1790"/>
      <c r="G1992" s="1791"/>
      <c r="H1992" s="1032"/>
      <c r="I1992" s="1785"/>
      <c r="J1992" s="1412"/>
      <c r="K1992" s="1787"/>
      <c r="L1992" s="1793"/>
      <c r="M1992" s="1780"/>
      <c r="N1992" s="1779"/>
    </row>
    <row r="1993" spans="1:14" ht="13.5" x14ac:dyDescent="0.2">
      <c r="A1993" s="1789"/>
      <c r="B1993" s="1790"/>
      <c r="C1993" s="1790"/>
      <c r="D1993" s="1790"/>
      <c r="E1993" s="1790"/>
      <c r="F1993" s="1790"/>
      <c r="G1993" s="1791"/>
      <c r="H1993" s="1032"/>
      <c r="I1993" s="1785"/>
      <c r="J1993" s="1412"/>
      <c r="K1993" s="1787"/>
      <c r="L1993" s="1779"/>
      <c r="M1993" s="1780"/>
      <c r="N1993" s="1779"/>
    </row>
    <row r="1994" spans="1:14" ht="13.5" x14ac:dyDescent="0.2">
      <c r="A1994" s="1789"/>
      <c r="B1994" s="1790"/>
      <c r="C1994" s="1790"/>
      <c r="D1994" s="1790"/>
      <c r="E1994" s="1790"/>
      <c r="F1994" s="1790"/>
      <c r="G1994" s="1791"/>
      <c r="H1994" s="1032"/>
      <c r="I1994" s="1785"/>
      <c r="J1994" s="1412"/>
      <c r="K1994" s="1787"/>
      <c r="L1994" s="1779"/>
      <c r="M1994" s="1780"/>
      <c r="N1994" s="1779"/>
    </row>
    <row r="1995" spans="1:14" ht="13.5" x14ac:dyDescent="0.2">
      <c r="A1995" s="1789"/>
      <c r="B1995" s="1782"/>
      <c r="C1995" s="1782"/>
      <c r="D1995" s="1782"/>
      <c r="E1995" s="1782"/>
      <c r="F1995" s="1782"/>
      <c r="G1995" s="1779"/>
      <c r="H1995" s="1137"/>
      <c r="I1995" s="1780"/>
      <c r="J1995" s="1779"/>
      <c r="K1995" s="1787"/>
      <c r="L1995" s="1779"/>
      <c r="M1995" s="1780"/>
      <c r="N1995" s="1779"/>
    </row>
    <row r="1996" spans="1:14" ht="13.5" x14ac:dyDescent="0.25">
      <c r="A1996" s="1138"/>
      <c r="B1996" s="1138"/>
      <c r="C1996" s="1138"/>
      <c r="D1996" s="1138"/>
      <c r="E1996" s="1138"/>
      <c r="F1996" s="1138"/>
      <c r="G1996" s="1138"/>
      <c r="H1996" s="1138"/>
      <c r="I1996" s="1138"/>
      <c r="J1996" s="1138"/>
      <c r="K1996" s="1778" t="s">
        <v>523</v>
      </c>
      <c r="L1996" s="1779"/>
      <c r="M1996" s="1780">
        <f>SUM(M1986:N1995)</f>
        <v>500</v>
      </c>
      <c r="N1996" s="1779"/>
    </row>
    <row r="1997" spans="1:14" ht="13.5" x14ac:dyDescent="0.25">
      <c r="A1997" s="1138"/>
      <c r="B1997" s="1138"/>
      <c r="C1997" s="1138"/>
      <c r="D1997" s="1138"/>
      <c r="E1997" s="1138"/>
      <c r="F1997" s="1138"/>
      <c r="G1997" s="1138"/>
      <c r="H1997" s="1138"/>
      <c r="I1997" s="1138"/>
      <c r="J1997" s="1138"/>
      <c r="K1997" s="1138"/>
      <c r="L1997" s="1138"/>
      <c r="M1997" s="1138"/>
      <c r="N1997" s="1138"/>
    </row>
    <row r="1998" spans="1:14" x14ac:dyDescent="0.2">
      <c r="A1998" s="1781" t="s">
        <v>2147</v>
      </c>
      <c r="B1998" s="1782"/>
      <c r="C1998" s="1782"/>
      <c r="D1998" s="1782"/>
      <c r="E1998" s="1782"/>
      <c r="F1998" s="1782"/>
      <c r="G1998" s="1782"/>
      <c r="H1998" s="1782"/>
      <c r="I1998" s="1782"/>
      <c r="J1998" s="1782"/>
      <c r="K1998" s="1782"/>
      <c r="L1998" s="1782"/>
      <c r="M1998" s="1782"/>
      <c r="N1998" s="1779"/>
    </row>
    <row r="1999" spans="1:14" x14ac:dyDescent="0.2">
      <c r="A1999" s="1778" t="s">
        <v>14</v>
      </c>
      <c r="B1999" s="1782"/>
      <c r="C1999" s="1782"/>
      <c r="D1999" s="1782"/>
      <c r="E1999" s="1782"/>
      <c r="F1999" s="1782"/>
      <c r="G1999" s="1779"/>
      <c r="H1999" s="1136" t="s">
        <v>15</v>
      </c>
      <c r="I1999" s="1783" t="s">
        <v>619</v>
      </c>
      <c r="J1999" s="1779"/>
      <c r="K1999" s="1783" t="s">
        <v>628</v>
      </c>
      <c r="L1999" s="1779"/>
      <c r="M1999" s="1783" t="s">
        <v>2140</v>
      </c>
      <c r="N1999" s="1779"/>
    </row>
    <row r="2000" spans="1:14" ht="13.5" x14ac:dyDescent="0.2">
      <c r="A2000" s="1792" t="s">
        <v>2328</v>
      </c>
      <c r="B2000" s="1782"/>
      <c r="C2000" s="1782"/>
      <c r="D2000" s="1782"/>
      <c r="E2000" s="1782"/>
      <c r="F2000" s="1782"/>
      <c r="G2000" s="1779"/>
      <c r="H2000" s="1032" t="str">
        <f>IF(A2000="","",VLOOKUP(A2000,'11'!$C$6:$E$1012,2,FALSE))</f>
        <v>KM-M3</v>
      </c>
      <c r="I2000" s="1785">
        <f>IF(A2000="","",VLOOKUP(A2000,'11'!$C$6:$E$1012,3,FALSE))</f>
        <v>1440</v>
      </c>
      <c r="J2000" s="1412"/>
      <c r="K2000" s="1787">
        <v>17</v>
      </c>
      <c r="L2000" s="1793"/>
      <c r="M2000" s="1780">
        <f t="shared" ref="M2000" si="93">IF(A2000="","",I2000*K2000)</f>
        <v>24480</v>
      </c>
      <c r="N2000" s="1779"/>
    </row>
    <row r="2001" spans="1:14" ht="13.5" x14ac:dyDescent="0.2">
      <c r="A2001" s="1786"/>
      <c r="B2001" s="1782"/>
      <c r="C2001" s="1782"/>
      <c r="D2001" s="1782"/>
      <c r="E2001" s="1782"/>
      <c r="F2001" s="1782"/>
      <c r="G2001" s="1779"/>
      <c r="H2001" s="1032"/>
      <c r="I2001" s="1780"/>
      <c r="J2001" s="1779"/>
      <c r="K2001" s="1787"/>
      <c r="L2001" s="1779"/>
      <c r="M2001" s="1780"/>
      <c r="N2001" s="1779"/>
    </row>
    <row r="2002" spans="1:14" ht="13.5" x14ac:dyDescent="0.2">
      <c r="A2002" s="1786"/>
      <c r="B2002" s="1782"/>
      <c r="C2002" s="1782"/>
      <c r="D2002" s="1782"/>
      <c r="E2002" s="1782"/>
      <c r="F2002" s="1782"/>
      <c r="G2002" s="1779"/>
      <c r="H2002" s="1032"/>
      <c r="I2002" s="1780"/>
      <c r="J2002" s="1779"/>
      <c r="K2002" s="1788"/>
      <c r="L2002" s="1779"/>
      <c r="M2002" s="1780"/>
      <c r="N2002" s="1779"/>
    </row>
    <row r="2003" spans="1:14" ht="13.5" x14ac:dyDescent="0.2">
      <c r="A2003" s="1789"/>
      <c r="B2003" s="1782"/>
      <c r="C2003" s="1782"/>
      <c r="D2003" s="1782"/>
      <c r="E2003" s="1782"/>
      <c r="F2003" s="1782"/>
      <c r="G2003" s="1779"/>
      <c r="H2003" s="1137"/>
      <c r="I2003" s="1780"/>
      <c r="J2003" s="1779"/>
      <c r="K2003" s="1787"/>
      <c r="L2003" s="1779"/>
      <c r="M2003" s="1780"/>
      <c r="N2003" s="1779"/>
    </row>
    <row r="2004" spans="1:14" ht="13.5" x14ac:dyDescent="0.2">
      <c r="A2004" s="1789"/>
      <c r="B2004" s="1782"/>
      <c r="C2004" s="1782"/>
      <c r="D2004" s="1782"/>
      <c r="E2004" s="1782"/>
      <c r="F2004" s="1782"/>
      <c r="G2004" s="1779"/>
      <c r="H2004" s="1137"/>
      <c r="I2004" s="1780"/>
      <c r="J2004" s="1779"/>
      <c r="K2004" s="1787"/>
      <c r="L2004" s="1779"/>
      <c r="M2004" s="1780"/>
      <c r="N2004" s="1779"/>
    </row>
    <row r="2005" spans="1:14" ht="13.5" x14ac:dyDescent="0.25">
      <c r="A2005" s="1138"/>
      <c r="B2005" s="1138"/>
      <c r="C2005" s="1138"/>
      <c r="D2005" s="1138"/>
      <c r="E2005" s="1138"/>
      <c r="F2005" s="1138"/>
      <c r="G2005" s="1138"/>
      <c r="H2005" s="1138"/>
      <c r="I2005" s="1138"/>
      <c r="J2005" s="1138"/>
      <c r="K2005" s="1778" t="s">
        <v>523</v>
      </c>
      <c r="L2005" s="1779"/>
      <c r="M2005" s="1780">
        <f>SUM(M2000:N2004)</f>
        <v>24480</v>
      </c>
      <c r="N2005" s="1779"/>
    </row>
    <row r="2006" spans="1:14" ht="13.5" x14ac:dyDescent="0.25">
      <c r="A2006" s="1138"/>
      <c r="B2006" s="1138"/>
      <c r="C2006" s="1138"/>
      <c r="D2006" s="1138"/>
      <c r="E2006" s="1138"/>
      <c r="F2006" s="1138"/>
      <c r="G2006" s="1138"/>
      <c r="H2006" s="1138"/>
      <c r="I2006" s="1138"/>
      <c r="J2006" s="1138"/>
      <c r="K2006" s="1138"/>
      <c r="L2006" s="1138"/>
      <c r="M2006" s="1138"/>
      <c r="N2006" s="1138"/>
    </row>
    <row r="2007" spans="1:14" x14ac:dyDescent="0.2">
      <c r="A2007" s="1781" t="s">
        <v>2150</v>
      </c>
      <c r="B2007" s="1782"/>
      <c r="C2007" s="1782"/>
      <c r="D2007" s="1782"/>
      <c r="E2007" s="1782"/>
      <c r="F2007" s="1782"/>
      <c r="G2007" s="1782"/>
      <c r="H2007" s="1782"/>
      <c r="I2007" s="1782"/>
      <c r="J2007" s="1782"/>
      <c r="K2007" s="1782"/>
      <c r="L2007" s="1782"/>
      <c r="M2007" s="1782"/>
      <c r="N2007" s="1779"/>
    </row>
    <row r="2008" spans="1:14" x14ac:dyDescent="0.2">
      <c r="A2008" s="1778" t="s">
        <v>14</v>
      </c>
      <c r="B2008" s="1782"/>
      <c r="C2008" s="1782"/>
      <c r="D2008" s="1782"/>
      <c r="E2008" s="1782"/>
      <c r="F2008" s="1782"/>
      <c r="G2008" s="1779"/>
      <c r="H2008" s="1136" t="s">
        <v>15</v>
      </c>
      <c r="I2008" s="1783" t="s">
        <v>619</v>
      </c>
      <c r="J2008" s="1779"/>
      <c r="K2008" s="1139" t="s">
        <v>1919</v>
      </c>
      <c r="L2008" s="1140" t="s">
        <v>2151</v>
      </c>
      <c r="M2008" s="1783" t="s">
        <v>2140</v>
      </c>
      <c r="N2008" s="1779"/>
    </row>
    <row r="2009" spans="1:14" ht="13.5" x14ac:dyDescent="0.25">
      <c r="A2009" s="1784" t="s">
        <v>2271</v>
      </c>
      <c r="B2009" s="1782"/>
      <c r="C2009" s="1782"/>
      <c r="D2009" s="1782"/>
      <c r="E2009" s="1782"/>
      <c r="F2009" s="1782"/>
      <c r="G2009" s="1779"/>
      <c r="H2009" s="1032" t="str">
        <f>IF(A2009="","",VLOOKUP(A2009,'09'!$A$22:$O$168,4,FALSE))</f>
        <v>Cuadrilla</v>
      </c>
      <c r="I2009" s="1785">
        <f>IF(A2009="","",VLOOKUP(A2009,'09'!$A$22:$O$168,5,FALSE))</f>
        <v>233454</v>
      </c>
      <c r="J2009" s="1412"/>
      <c r="K2009" s="1034">
        <f>IF(A2009="","",'03'!$I$2)</f>
        <v>1.88995</v>
      </c>
      <c r="L2009" s="1142">
        <v>0.55000000000000004</v>
      </c>
      <c r="M2009" s="1780">
        <f>I2009*K2009/(L2009*8)</f>
        <v>100276.4516590909</v>
      </c>
      <c r="N2009" s="1779"/>
    </row>
    <row r="2010" spans="1:14" ht="13.5" x14ac:dyDescent="0.25">
      <c r="A2010" s="1784"/>
      <c r="B2010" s="1782"/>
      <c r="C2010" s="1782"/>
      <c r="D2010" s="1782"/>
      <c r="E2010" s="1782"/>
      <c r="F2010" s="1782"/>
      <c r="G2010" s="1779"/>
      <c r="H2010" s="1137"/>
      <c r="I2010" s="1780"/>
      <c r="J2010" s="1779"/>
      <c r="K2010" s="1141"/>
      <c r="L2010" s="1141"/>
      <c r="M2010" s="1780"/>
      <c r="N2010" s="1779"/>
    </row>
    <row r="2011" spans="1:14" ht="13.5" x14ac:dyDescent="0.25">
      <c r="A2011" s="1784"/>
      <c r="B2011" s="1782"/>
      <c r="C2011" s="1782"/>
      <c r="D2011" s="1782"/>
      <c r="E2011" s="1782"/>
      <c r="F2011" s="1782"/>
      <c r="G2011" s="1779"/>
      <c r="H2011" s="1137"/>
      <c r="I2011" s="1780"/>
      <c r="J2011" s="1779"/>
      <c r="K2011" s="1141"/>
      <c r="L2011" s="1143"/>
      <c r="M2011" s="1780"/>
      <c r="N2011" s="1779"/>
    </row>
    <row r="2012" spans="1:14" ht="13.5" x14ac:dyDescent="0.25">
      <c r="A2012" s="1784"/>
      <c r="B2012" s="1782"/>
      <c r="C2012" s="1782"/>
      <c r="D2012" s="1782"/>
      <c r="E2012" s="1782"/>
      <c r="F2012" s="1782"/>
      <c r="G2012" s="1779"/>
      <c r="H2012" s="1137"/>
      <c r="I2012" s="1780"/>
      <c r="J2012" s="1779"/>
      <c r="K2012" s="1141"/>
      <c r="L2012" s="1143"/>
      <c r="M2012" s="1780"/>
      <c r="N2012" s="1779"/>
    </row>
    <row r="2013" spans="1:14" ht="13.5" x14ac:dyDescent="0.25">
      <c r="A2013" s="1784"/>
      <c r="B2013" s="1782"/>
      <c r="C2013" s="1782"/>
      <c r="D2013" s="1782"/>
      <c r="E2013" s="1782"/>
      <c r="F2013" s="1782"/>
      <c r="G2013" s="1779"/>
      <c r="H2013" s="1137"/>
      <c r="I2013" s="1780"/>
      <c r="J2013" s="1779"/>
      <c r="K2013" s="1141"/>
      <c r="L2013" s="1143"/>
      <c r="M2013" s="1780"/>
      <c r="N2013" s="1779"/>
    </row>
    <row r="2014" spans="1:14" ht="13.5" x14ac:dyDescent="0.25">
      <c r="A2014" s="1138"/>
      <c r="B2014" s="1138"/>
      <c r="C2014" s="1138"/>
      <c r="D2014" s="1138"/>
      <c r="E2014" s="1138"/>
      <c r="F2014" s="1138"/>
      <c r="G2014" s="1138"/>
      <c r="H2014" s="1138"/>
      <c r="I2014" s="1138"/>
      <c r="J2014" s="1138"/>
      <c r="K2014" s="1778" t="s">
        <v>523</v>
      </c>
      <c r="L2014" s="1779"/>
      <c r="M2014" s="1780">
        <f>SUM(M2009:N2013)</f>
        <v>100276.4516590909</v>
      </c>
      <c r="N2014" s="1779"/>
    </row>
    <row r="2015" spans="1:14" x14ac:dyDescent="0.2">
      <c r="I2015" s="1414"/>
      <c r="J2015" s="1415"/>
      <c r="K2015" s="1415"/>
      <c r="L2015" s="1415"/>
      <c r="M2015" s="1415"/>
      <c r="N2015" s="1415"/>
    </row>
    <row r="2016" spans="1:14" ht="13.5" thickBot="1" x14ac:dyDescent="0.25">
      <c r="I2016" s="1416"/>
      <c r="J2016" s="1416"/>
      <c r="K2016" s="1416"/>
      <c r="L2016" s="1416"/>
      <c r="M2016" s="1416"/>
      <c r="N2016" s="1416"/>
    </row>
    <row r="2017" spans="1:14" ht="14.25" thickTop="1" x14ac:dyDescent="0.2">
      <c r="I2017" s="1417" t="s">
        <v>1829</v>
      </c>
      <c r="J2017" s="1418"/>
      <c r="K2017" s="1417" t="s">
        <v>2653</v>
      </c>
      <c r="L2017" s="1418"/>
      <c r="M2017" s="1418"/>
      <c r="N2017" s="1418"/>
    </row>
    <row r="2018" spans="1:14" ht="13.5" x14ac:dyDescent="0.2">
      <c r="I2018" s="1419" t="s">
        <v>1831</v>
      </c>
      <c r="J2018" s="1420"/>
      <c r="K2018" s="1419"/>
      <c r="L2018" s="1420"/>
      <c r="M2018" s="1420"/>
      <c r="N2018" s="1420"/>
    </row>
    <row r="2019" spans="1:14" x14ac:dyDescent="0.2">
      <c r="A2019" s="1796" t="s">
        <v>2387</v>
      </c>
      <c r="B2019" s="1797"/>
      <c r="C2019" s="1797"/>
      <c r="D2019" s="1797"/>
      <c r="E2019" s="1797"/>
      <c r="F2019" s="1797"/>
      <c r="G2019" s="1797"/>
      <c r="H2019" s="1797"/>
      <c r="I2019" s="1797"/>
      <c r="J2019" s="1797"/>
      <c r="K2019" s="1797"/>
      <c r="L2019" s="1797"/>
      <c r="M2019" s="1797"/>
      <c r="N2019" s="1798"/>
    </row>
    <row r="2020" spans="1:14" x14ac:dyDescent="0.2">
      <c r="A2020" s="1799"/>
      <c r="B2020" s="1800"/>
      <c r="C2020" s="1800"/>
      <c r="D2020" s="1800"/>
      <c r="E2020" s="1800"/>
      <c r="F2020" s="1800"/>
      <c r="G2020" s="1800"/>
      <c r="H2020" s="1800"/>
      <c r="I2020" s="1800"/>
      <c r="J2020" s="1800"/>
      <c r="K2020" s="1800"/>
      <c r="L2020" s="1800"/>
      <c r="M2020" s="1800"/>
      <c r="N2020" s="1801"/>
    </row>
    <row r="2021" spans="1:14" ht="13.5" x14ac:dyDescent="0.2">
      <c r="A2021" s="1128"/>
      <c r="B2021" s="1128"/>
      <c r="C2021" s="1128"/>
      <c r="D2021" s="1128"/>
      <c r="E2021" s="1128"/>
      <c r="F2021" s="1128"/>
      <c r="G2021" s="1128"/>
      <c r="H2021" s="1128"/>
      <c r="I2021" s="1128"/>
      <c r="J2021" s="1128"/>
      <c r="K2021" s="1128"/>
      <c r="L2021" s="1128"/>
      <c r="M2021" s="1128"/>
      <c r="N2021" s="1128"/>
    </row>
    <row r="2022" spans="1:14" ht="14.25" x14ac:dyDescent="0.3">
      <c r="A2022" s="1104" t="s">
        <v>2385</v>
      </c>
      <c r="B2022" s="1129" t="str">
        <f>A2019</f>
        <v xml:space="preserve">SUMINISTRO E INSTALACIÓN MACROMEDIDOR DE 8". INCLUYE ACCESORIOS. INCLUYE CAJA DE CONCRETO REFORZADA. </v>
      </c>
      <c r="C2022" s="1130" t="s">
        <v>634</v>
      </c>
      <c r="D2022" s="1107" t="s">
        <v>2</v>
      </c>
      <c r="E2022" s="1132" t="s">
        <v>1833</v>
      </c>
      <c r="F2022" s="1133" t="e">
        <f>H2022+J2022+L2022+N2022</f>
        <v>#REF!</v>
      </c>
      <c r="G2022" s="1132" t="s">
        <v>2136</v>
      </c>
      <c r="H2022" s="1133">
        <f>M2050</f>
        <v>500</v>
      </c>
      <c r="I2022" s="1132" t="s">
        <v>621</v>
      </c>
      <c r="J2022" s="1134" t="e">
        <f>M2036</f>
        <v>#REF!</v>
      </c>
      <c r="K2022" s="1132" t="s">
        <v>2137</v>
      </c>
      <c r="L2022" s="1133">
        <f>M2059</f>
        <v>7200</v>
      </c>
      <c r="M2022" s="1132" t="s">
        <v>2138</v>
      </c>
      <c r="N2022" s="1133">
        <f>M2068</f>
        <v>2240547.5371874999</v>
      </c>
    </row>
    <row r="2023" spans="1:14" ht="13.5" x14ac:dyDescent="0.25">
      <c r="A2023" s="1135"/>
      <c r="B2023" s="1135"/>
      <c r="C2023" s="1135"/>
      <c r="D2023" s="1135"/>
      <c r="E2023" s="1135"/>
      <c r="F2023" s="1135"/>
      <c r="G2023" s="1135"/>
      <c r="J2023" s="1135"/>
      <c r="K2023" s="1135"/>
      <c r="L2023" s="1135"/>
      <c r="M2023" s="1270" t="s">
        <v>2667</v>
      </c>
      <c r="N2023" s="1270" t="e">
        <f>+F2022*'01'!$O$15</f>
        <v>#REF!</v>
      </c>
    </row>
    <row r="2024" spans="1:14" x14ac:dyDescent="0.2">
      <c r="A2024" s="1781" t="s">
        <v>2139</v>
      </c>
      <c r="B2024" s="1782"/>
      <c r="C2024" s="1782"/>
      <c r="D2024" s="1782"/>
      <c r="E2024" s="1782"/>
      <c r="F2024" s="1782"/>
      <c r="G2024" s="1782"/>
      <c r="H2024" s="1782"/>
      <c r="I2024" s="1782"/>
      <c r="J2024" s="1782"/>
      <c r="K2024" s="1782"/>
      <c r="L2024" s="1782"/>
      <c r="M2024" s="1782"/>
      <c r="N2024" s="1779"/>
    </row>
    <row r="2025" spans="1:14" x14ac:dyDescent="0.2">
      <c r="A2025" s="1778" t="s">
        <v>14</v>
      </c>
      <c r="B2025" s="1782"/>
      <c r="C2025" s="1782"/>
      <c r="D2025" s="1782"/>
      <c r="E2025" s="1782"/>
      <c r="F2025" s="1782"/>
      <c r="G2025" s="1779"/>
      <c r="H2025" s="1136" t="s">
        <v>15</v>
      </c>
      <c r="I2025" s="1783" t="s">
        <v>619</v>
      </c>
      <c r="J2025" s="1779"/>
      <c r="K2025" s="1783" t="s">
        <v>628</v>
      </c>
      <c r="L2025" s="1779"/>
      <c r="M2025" s="1783" t="s">
        <v>2140</v>
      </c>
      <c r="N2025" s="1779"/>
    </row>
    <row r="2026" spans="1:14" ht="13.5" customHeight="1" x14ac:dyDescent="0.2">
      <c r="A2026" s="1792" t="s">
        <v>1738</v>
      </c>
      <c r="B2026" s="1782"/>
      <c r="C2026" s="1782"/>
      <c r="D2026" s="1782"/>
      <c r="E2026" s="1782"/>
      <c r="F2026" s="1782"/>
      <c r="G2026" s="1779"/>
      <c r="H2026" s="1032" t="str">
        <f>IF(A2026="","",VLOOKUP(A2026,'10'!$C$6:$E$1152,2,FALSE))</f>
        <v>UND</v>
      </c>
      <c r="I2026" s="1785">
        <f>IF(A2026="","",VLOOKUP(A2026,'10'!$C$6:$E$1152,3,FALSE))</f>
        <v>6188000</v>
      </c>
      <c r="J2026" s="1412"/>
      <c r="K2026" s="1794">
        <v>1</v>
      </c>
      <c r="L2026" s="1795"/>
      <c r="M2026" s="1780">
        <f>K2026*I2026</f>
        <v>6188000</v>
      </c>
      <c r="N2026" s="1779"/>
    </row>
    <row r="2027" spans="1:14" ht="13.5" customHeight="1" x14ac:dyDescent="0.2">
      <c r="A2027" s="1792" t="s">
        <v>1455</v>
      </c>
      <c r="B2027" s="1782"/>
      <c r="C2027" s="1782"/>
      <c r="D2027" s="1782"/>
      <c r="E2027" s="1782"/>
      <c r="F2027" s="1782"/>
      <c r="G2027" s="1779"/>
      <c r="H2027" s="1032" t="str">
        <f>IF(A2027="","",VLOOKUP(A2027,'10'!$C$6:$E$1152,2,FALSE))</f>
        <v>UND</v>
      </c>
      <c r="I2027" s="1785">
        <f>IF(A2027="","",VLOOKUP(A2027,'10'!$C$6:$E$1152,3,FALSE))</f>
        <v>3004750</v>
      </c>
      <c r="J2027" s="1412"/>
      <c r="K2027" s="1794">
        <v>1</v>
      </c>
      <c r="L2027" s="1795"/>
      <c r="M2027" s="1780">
        <f t="shared" ref="M2027:M2031" si="94">K2027*I2027</f>
        <v>3004750</v>
      </c>
      <c r="N2027" s="1779"/>
    </row>
    <row r="2028" spans="1:14" ht="13.5" x14ac:dyDescent="0.2">
      <c r="A2028" s="1792" t="s">
        <v>1147</v>
      </c>
      <c r="B2028" s="1782"/>
      <c r="C2028" s="1782"/>
      <c r="D2028" s="1782"/>
      <c r="E2028" s="1782"/>
      <c r="F2028" s="1782"/>
      <c r="G2028" s="1779"/>
      <c r="H2028" s="1032" t="str">
        <f>IF(A2028="","",VLOOKUP(A2028,'10'!$C$6:$E$1152,2,FALSE))</f>
        <v>UND</v>
      </c>
      <c r="I2028" s="1785">
        <f>IF(A2028="","",VLOOKUP(A2028,'10'!$C$6:$E$1152,3,FALSE))</f>
        <v>1880200</v>
      </c>
      <c r="J2028" s="1412"/>
      <c r="K2028" s="1794">
        <v>1</v>
      </c>
      <c r="L2028" s="1795"/>
      <c r="M2028" s="1780">
        <f t="shared" si="94"/>
        <v>1880200</v>
      </c>
      <c r="N2028" s="1779"/>
    </row>
    <row r="2029" spans="1:14" ht="13.5" x14ac:dyDescent="0.2">
      <c r="A2029" s="1792" t="s">
        <v>1086</v>
      </c>
      <c r="B2029" s="1782"/>
      <c r="C2029" s="1782"/>
      <c r="D2029" s="1782"/>
      <c r="E2029" s="1782"/>
      <c r="F2029" s="1782"/>
      <c r="G2029" s="1779"/>
      <c r="H2029" s="1032" t="str">
        <f>IF(A2029="","",VLOOKUP(A2029,'10'!$C$6:$E$1152,2,FALSE))</f>
        <v>UND</v>
      </c>
      <c r="I2029" s="1785">
        <f>IF(A2029="","",VLOOKUP(A2029,'10'!$C$6:$E$1152,3,FALSE))</f>
        <v>238705</v>
      </c>
      <c r="J2029" s="1412"/>
      <c r="K2029" s="1794">
        <v>2</v>
      </c>
      <c r="L2029" s="1795"/>
      <c r="M2029" s="1780">
        <f t="shared" si="94"/>
        <v>477410</v>
      </c>
      <c r="N2029" s="1779"/>
    </row>
    <row r="2030" spans="1:14" ht="13.5" x14ac:dyDescent="0.2">
      <c r="A2030" s="1792" t="s">
        <v>161</v>
      </c>
      <c r="B2030" s="1782"/>
      <c r="C2030" s="1782"/>
      <c r="D2030" s="1782"/>
      <c r="E2030" s="1782"/>
      <c r="F2030" s="1782"/>
      <c r="G2030" s="1779"/>
      <c r="H2030" s="1032" t="str">
        <f>IF(A2030="","",VLOOKUP(A2030,'10'!$C$6:$E$1152,2,FALSE))</f>
        <v>M3</v>
      </c>
      <c r="I2030" s="1785" t="e">
        <f>IF(A2030="","",VLOOKUP(A2030,'10'!$C$6:$E$1152,3,FALSE))</f>
        <v>#REF!</v>
      </c>
      <c r="J2030" s="1412"/>
      <c r="K2030" s="1794">
        <v>3.5</v>
      </c>
      <c r="L2030" s="1795"/>
      <c r="M2030" s="1780" t="e">
        <f t="shared" si="94"/>
        <v>#REF!</v>
      </c>
      <c r="N2030" s="1779"/>
    </row>
    <row r="2031" spans="1:14" ht="13.5" x14ac:dyDescent="0.2">
      <c r="A2031" s="1792" t="s">
        <v>164</v>
      </c>
      <c r="B2031" s="1782"/>
      <c r="C2031" s="1782"/>
      <c r="D2031" s="1782"/>
      <c r="E2031" s="1782"/>
      <c r="F2031" s="1782"/>
      <c r="G2031" s="1779"/>
      <c r="H2031" s="1032" t="str">
        <f>IF(A2031="","",VLOOKUP(A2031,'10'!$C$6:$E$1152,2,FALSE))</f>
        <v>KG</v>
      </c>
      <c r="I2031" s="1785">
        <f>IF(A2031="","",VLOOKUP(A2031,'10'!$C$6:$E$1152,3,FALSE))</f>
        <v>4500</v>
      </c>
      <c r="J2031" s="1412"/>
      <c r="K2031" s="1794">
        <v>490</v>
      </c>
      <c r="L2031" s="1795"/>
      <c r="M2031" s="1780">
        <f t="shared" si="94"/>
        <v>2205000</v>
      </c>
      <c r="N2031" s="1779"/>
    </row>
    <row r="2032" spans="1:14" ht="13.5" x14ac:dyDescent="0.2">
      <c r="A2032" s="1792" t="s">
        <v>1736</v>
      </c>
      <c r="B2032" s="1782"/>
      <c r="C2032" s="1782"/>
      <c r="D2032" s="1782"/>
      <c r="E2032" s="1782"/>
      <c r="F2032" s="1782"/>
      <c r="G2032" s="1779"/>
      <c r="H2032" s="1032" t="str">
        <f>IF(A2032="","",VLOOKUP(A2032,'10'!$C$6:$E$1152,2,FALSE))</f>
        <v>KG</v>
      </c>
      <c r="I2032" s="1785">
        <f>IF(A2032="","",VLOOKUP(A2032,'10'!$C$6:$E$1152,3,FALSE))</f>
        <v>8300</v>
      </c>
      <c r="J2032" s="1412"/>
      <c r="K2032" s="1794">
        <v>8.5</v>
      </c>
      <c r="L2032" s="1795"/>
      <c r="M2032" s="1780">
        <f t="shared" ref="M2032:M2033" si="95">K2032*I2032</f>
        <v>70550</v>
      </c>
      <c r="N2032" s="1779"/>
    </row>
    <row r="2033" spans="1:14" ht="13.5" x14ac:dyDescent="0.2">
      <c r="A2033" s="1792" t="s">
        <v>1451</v>
      </c>
      <c r="B2033" s="1782"/>
      <c r="C2033" s="1782"/>
      <c r="D2033" s="1782"/>
      <c r="E2033" s="1782"/>
      <c r="F2033" s="1782"/>
      <c r="G2033" s="1779"/>
      <c r="H2033" s="1032" t="str">
        <f>IF(A2033="","",VLOOKUP(A2033,'10'!$C$6:$E$1152,2,FALSE))</f>
        <v>UND</v>
      </c>
      <c r="I2033" s="1785">
        <f>IF(A2033="","",VLOOKUP(A2033,'10'!$C$6:$E$1152,3,FALSE))</f>
        <v>30983</v>
      </c>
      <c r="J2033" s="1412"/>
      <c r="K2033" s="1794">
        <v>0.85</v>
      </c>
      <c r="L2033" s="1795"/>
      <c r="M2033" s="1780">
        <f t="shared" si="95"/>
        <v>26335.55</v>
      </c>
      <c r="N2033" s="1779"/>
    </row>
    <row r="2034" spans="1:14" ht="13.5" x14ac:dyDescent="0.2">
      <c r="A2034" s="1792"/>
      <c r="B2034" s="1782"/>
      <c r="C2034" s="1782"/>
      <c r="D2034" s="1782"/>
      <c r="E2034" s="1782"/>
      <c r="F2034" s="1782"/>
      <c r="G2034" s="1779"/>
      <c r="H2034" s="1032"/>
      <c r="I2034" s="1785"/>
      <c r="J2034" s="1412"/>
      <c r="K2034" s="1794"/>
      <c r="L2034" s="1795"/>
      <c r="M2034" s="1780"/>
      <c r="N2034" s="1779"/>
    </row>
    <row r="2035" spans="1:14" ht="13.5" x14ac:dyDescent="0.2">
      <c r="A2035" s="1792"/>
      <c r="B2035" s="1782"/>
      <c r="C2035" s="1782"/>
      <c r="D2035" s="1782"/>
      <c r="E2035" s="1782"/>
      <c r="F2035" s="1782"/>
      <c r="G2035" s="1779"/>
      <c r="H2035" s="1032"/>
      <c r="I2035" s="1785"/>
      <c r="J2035" s="1412"/>
      <c r="K2035" s="1794"/>
      <c r="L2035" s="1795"/>
      <c r="M2035" s="1780"/>
      <c r="N2035" s="1779"/>
    </row>
    <row r="2036" spans="1:14" ht="13.5" x14ac:dyDescent="0.25">
      <c r="A2036" s="1138"/>
      <c r="B2036" s="1138"/>
      <c r="C2036" s="1138"/>
      <c r="D2036" s="1138"/>
      <c r="E2036" s="1138"/>
      <c r="F2036" s="1138"/>
      <c r="G2036" s="1138"/>
      <c r="H2036" s="1138"/>
      <c r="I2036" s="1138"/>
      <c r="J2036" s="1138"/>
      <c r="K2036" s="1778" t="s">
        <v>523</v>
      </c>
      <c r="L2036" s="1779"/>
      <c r="M2036" s="1780" t="e">
        <f>SUM(M2026:N2030)</f>
        <v>#REF!</v>
      </c>
      <c r="N2036" s="1779"/>
    </row>
    <row r="2037" spans="1:14" ht="13.5" x14ac:dyDescent="0.25">
      <c r="A2037" s="1138"/>
      <c r="B2037" s="1138"/>
      <c r="C2037" s="1138"/>
      <c r="D2037" s="1138"/>
      <c r="E2037" s="1138"/>
      <c r="F2037" s="1138"/>
      <c r="G2037" s="1138"/>
      <c r="H2037" s="1138"/>
      <c r="I2037" s="1138"/>
      <c r="J2037" s="1138"/>
      <c r="K2037" s="1138"/>
      <c r="L2037" s="1138"/>
      <c r="M2037" s="1138"/>
      <c r="N2037" s="1138"/>
    </row>
    <row r="2038" spans="1:14" x14ac:dyDescent="0.2">
      <c r="A2038" s="1781" t="s">
        <v>2145</v>
      </c>
      <c r="B2038" s="1782"/>
      <c r="C2038" s="1782"/>
      <c r="D2038" s="1782"/>
      <c r="E2038" s="1782"/>
      <c r="F2038" s="1782"/>
      <c r="G2038" s="1782"/>
      <c r="H2038" s="1782"/>
      <c r="I2038" s="1782"/>
      <c r="J2038" s="1782"/>
      <c r="K2038" s="1782"/>
      <c r="L2038" s="1782"/>
      <c r="M2038" s="1782"/>
      <c r="N2038" s="1779"/>
    </row>
    <row r="2039" spans="1:14" x14ac:dyDescent="0.2">
      <c r="A2039" s="1778" t="s">
        <v>14</v>
      </c>
      <c r="B2039" s="1782"/>
      <c r="C2039" s="1782"/>
      <c r="D2039" s="1782"/>
      <c r="E2039" s="1782"/>
      <c r="F2039" s="1782"/>
      <c r="G2039" s="1779"/>
      <c r="H2039" s="1136" t="s">
        <v>15</v>
      </c>
      <c r="I2039" s="1783" t="s">
        <v>619</v>
      </c>
      <c r="J2039" s="1779"/>
      <c r="K2039" s="1783" t="s">
        <v>610</v>
      </c>
      <c r="L2039" s="1779"/>
      <c r="M2039" s="1783" t="s">
        <v>2140</v>
      </c>
      <c r="N2039" s="1779"/>
    </row>
    <row r="2040" spans="1:14" ht="13.5" x14ac:dyDescent="0.2">
      <c r="A2040" s="1789" t="s">
        <v>131</v>
      </c>
      <c r="B2040" s="1790"/>
      <c r="C2040" s="1790"/>
      <c r="D2040" s="1790"/>
      <c r="E2040" s="1790"/>
      <c r="F2040" s="1790"/>
      <c r="G2040" s="1791"/>
      <c r="H2040" s="1032" t="str">
        <f>IF(A2040="","",VLOOKUP(A2040,'11'!$C$6:$E$87,2,FALSE))</f>
        <v>DIA</v>
      </c>
      <c r="I2040" s="1785">
        <f>IF(A2040="","",VLOOKUP(A2040,'11'!$C$6:$E$87,3,FALSE))</f>
        <v>15000</v>
      </c>
      <c r="J2040" s="1412"/>
      <c r="K2040" s="1787">
        <v>30</v>
      </c>
      <c r="L2040" s="1793"/>
      <c r="M2040" s="1780">
        <f>I2040/K2040</f>
        <v>500</v>
      </c>
      <c r="N2040" s="1779"/>
    </row>
    <row r="2041" spans="1:14" ht="13.5" x14ac:dyDescent="0.2">
      <c r="A2041" s="1789"/>
      <c r="B2041" s="1790"/>
      <c r="C2041" s="1790"/>
      <c r="D2041" s="1790"/>
      <c r="E2041" s="1790"/>
      <c r="F2041" s="1790"/>
      <c r="G2041" s="1791"/>
      <c r="H2041" s="1032"/>
      <c r="I2041" s="1785"/>
      <c r="J2041" s="1412"/>
      <c r="K2041" s="1787"/>
      <c r="L2041" s="1793"/>
      <c r="M2041" s="1780"/>
      <c r="N2041" s="1779"/>
    </row>
    <row r="2042" spans="1:14" ht="13.5" x14ac:dyDescent="0.2">
      <c r="A2042" s="1789"/>
      <c r="B2042" s="1790"/>
      <c r="C2042" s="1790"/>
      <c r="D2042" s="1790"/>
      <c r="E2042" s="1790"/>
      <c r="F2042" s="1790"/>
      <c r="G2042" s="1791"/>
      <c r="H2042" s="1032"/>
      <c r="I2042" s="1785"/>
      <c r="J2042" s="1412"/>
      <c r="K2042" s="1787"/>
      <c r="L2042" s="1793"/>
      <c r="M2042" s="1780"/>
      <c r="N2042" s="1779"/>
    </row>
    <row r="2043" spans="1:14" ht="13.5" x14ac:dyDescent="0.2">
      <c r="A2043" s="1789"/>
      <c r="B2043" s="1790"/>
      <c r="C2043" s="1790"/>
      <c r="D2043" s="1790"/>
      <c r="E2043" s="1790"/>
      <c r="F2043" s="1790"/>
      <c r="G2043" s="1791"/>
      <c r="H2043" s="1032"/>
      <c r="I2043" s="1785"/>
      <c r="J2043" s="1412"/>
      <c r="K2043" s="1787"/>
      <c r="L2043" s="1793"/>
      <c r="M2043" s="1780"/>
      <c r="N2043" s="1779"/>
    </row>
    <row r="2044" spans="1:14" ht="13.5" x14ac:dyDescent="0.2">
      <c r="A2044" s="1789"/>
      <c r="B2044" s="1790"/>
      <c r="C2044" s="1790"/>
      <c r="D2044" s="1790"/>
      <c r="E2044" s="1790"/>
      <c r="F2044" s="1790"/>
      <c r="G2044" s="1791"/>
      <c r="H2044" s="1032"/>
      <c r="I2044" s="1785"/>
      <c r="J2044" s="1412"/>
      <c r="K2044" s="1787"/>
      <c r="L2044" s="1793"/>
      <c r="M2044" s="1780"/>
      <c r="N2044" s="1779"/>
    </row>
    <row r="2045" spans="1:14" ht="13.5" x14ac:dyDescent="0.2">
      <c r="A2045" s="1789"/>
      <c r="B2045" s="1790"/>
      <c r="C2045" s="1790"/>
      <c r="D2045" s="1790"/>
      <c r="E2045" s="1790"/>
      <c r="F2045" s="1790"/>
      <c r="G2045" s="1791"/>
      <c r="H2045" s="1032"/>
      <c r="I2045" s="1785"/>
      <c r="J2045" s="1412"/>
      <c r="K2045" s="1787"/>
      <c r="L2045" s="1793"/>
      <c r="M2045" s="1780"/>
      <c r="N2045" s="1779"/>
    </row>
    <row r="2046" spans="1:14" ht="13.5" x14ac:dyDescent="0.2">
      <c r="A2046" s="1789"/>
      <c r="B2046" s="1790"/>
      <c r="C2046" s="1790"/>
      <c r="D2046" s="1790"/>
      <c r="E2046" s="1790"/>
      <c r="F2046" s="1790"/>
      <c r="G2046" s="1791"/>
      <c r="H2046" s="1032"/>
      <c r="I2046" s="1785"/>
      <c r="J2046" s="1412"/>
      <c r="K2046" s="1787"/>
      <c r="L2046" s="1793"/>
      <c r="M2046" s="1780"/>
      <c r="N2046" s="1779"/>
    </row>
    <row r="2047" spans="1:14" ht="13.5" x14ac:dyDescent="0.2">
      <c r="A2047" s="1789"/>
      <c r="B2047" s="1790"/>
      <c r="C2047" s="1790"/>
      <c r="D2047" s="1790"/>
      <c r="E2047" s="1790"/>
      <c r="F2047" s="1790"/>
      <c r="G2047" s="1791"/>
      <c r="H2047" s="1032"/>
      <c r="I2047" s="1785"/>
      <c r="J2047" s="1412"/>
      <c r="K2047" s="1787"/>
      <c r="L2047" s="1779"/>
      <c r="M2047" s="1780"/>
      <c r="N2047" s="1779"/>
    </row>
    <row r="2048" spans="1:14" ht="13.5" x14ac:dyDescent="0.2">
      <c r="A2048" s="1789"/>
      <c r="B2048" s="1790"/>
      <c r="C2048" s="1790"/>
      <c r="D2048" s="1790"/>
      <c r="E2048" s="1790"/>
      <c r="F2048" s="1790"/>
      <c r="G2048" s="1791"/>
      <c r="H2048" s="1032"/>
      <c r="I2048" s="1785"/>
      <c r="J2048" s="1412"/>
      <c r="K2048" s="1787"/>
      <c r="L2048" s="1779"/>
      <c r="M2048" s="1780"/>
      <c r="N2048" s="1779"/>
    </row>
    <row r="2049" spans="1:14" ht="13.5" x14ac:dyDescent="0.2">
      <c r="A2049" s="1789"/>
      <c r="B2049" s="1782"/>
      <c r="C2049" s="1782"/>
      <c r="D2049" s="1782"/>
      <c r="E2049" s="1782"/>
      <c r="F2049" s="1782"/>
      <c r="G2049" s="1779"/>
      <c r="H2049" s="1137"/>
      <c r="I2049" s="1780"/>
      <c r="J2049" s="1779"/>
      <c r="K2049" s="1787"/>
      <c r="L2049" s="1779"/>
      <c r="M2049" s="1780"/>
      <c r="N2049" s="1779"/>
    </row>
    <row r="2050" spans="1:14" ht="13.5" x14ac:dyDescent="0.25">
      <c r="A2050" s="1138"/>
      <c r="B2050" s="1138"/>
      <c r="C2050" s="1138"/>
      <c r="D2050" s="1138"/>
      <c r="E2050" s="1138"/>
      <c r="F2050" s="1138"/>
      <c r="G2050" s="1138"/>
      <c r="H2050" s="1138"/>
      <c r="I2050" s="1138"/>
      <c r="J2050" s="1138"/>
      <c r="K2050" s="1778" t="s">
        <v>523</v>
      </c>
      <c r="L2050" s="1779"/>
      <c r="M2050" s="1780">
        <f>SUM(M2040:N2049)</f>
        <v>500</v>
      </c>
      <c r="N2050" s="1779"/>
    </row>
    <row r="2051" spans="1:14" ht="13.5" x14ac:dyDescent="0.25">
      <c r="A2051" s="1138"/>
      <c r="B2051" s="1138"/>
      <c r="C2051" s="1138"/>
      <c r="D2051" s="1138"/>
      <c r="E2051" s="1138"/>
      <c r="F2051" s="1138"/>
      <c r="G2051" s="1138"/>
      <c r="H2051" s="1138"/>
      <c r="I2051" s="1138"/>
      <c r="J2051" s="1138"/>
      <c r="K2051" s="1138"/>
      <c r="L2051" s="1138"/>
      <c r="M2051" s="1138"/>
      <c r="N2051" s="1138"/>
    </row>
    <row r="2052" spans="1:14" x14ac:dyDescent="0.2">
      <c r="A2052" s="1781" t="s">
        <v>2147</v>
      </c>
      <c r="B2052" s="1782"/>
      <c r="C2052" s="1782"/>
      <c r="D2052" s="1782"/>
      <c r="E2052" s="1782"/>
      <c r="F2052" s="1782"/>
      <c r="G2052" s="1782"/>
      <c r="H2052" s="1782"/>
      <c r="I2052" s="1782"/>
      <c r="J2052" s="1782"/>
      <c r="K2052" s="1782"/>
      <c r="L2052" s="1782"/>
      <c r="M2052" s="1782"/>
      <c r="N2052" s="1779"/>
    </row>
    <row r="2053" spans="1:14" x14ac:dyDescent="0.2">
      <c r="A2053" s="1778" t="s">
        <v>14</v>
      </c>
      <c r="B2053" s="1782"/>
      <c r="C2053" s="1782"/>
      <c r="D2053" s="1782"/>
      <c r="E2053" s="1782"/>
      <c r="F2053" s="1782"/>
      <c r="G2053" s="1779"/>
      <c r="H2053" s="1136" t="s">
        <v>15</v>
      </c>
      <c r="I2053" s="1783" t="s">
        <v>619</v>
      </c>
      <c r="J2053" s="1779"/>
      <c r="K2053" s="1783" t="s">
        <v>628</v>
      </c>
      <c r="L2053" s="1779"/>
      <c r="M2053" s="1783" t="s">
        <v>2140</v>
      </c>
      <c r="N2053" s="1779"/>
    </row>
    <row r="2054" spans="1:14" ht="13.5" x14ac:dyDescent="0.2">
      <c r="A2054" s="1792" t="s">
        <v>2328</v>
      </c>
      <c r="B2054" s="1782"/>
      <c r="C2054" s="1782"/>
      <c r="D2054" s="1782"/>
      <c r="E2054" s="1782"/>
      <c r="F2054" s="1782"/>
      <c r="G2054" s="1779"/>
      <c r="H2054" s="1032" t="str">
        <f>IF(A2054="","",VLOOKUP(A2054,'11'!$C$6:$E$1012,2,FALSE))</f>
        <v>KM-M3</v>
      </c>
      <c r="I2054" s="1785">
        <f>IF(A2054="","",VLOOKUP(A2054,'11'!$C$6:$E$1012,3,FALSE))</f>
        <v>1440</v>
      </c>
      <c r="J2054" s="1412"/>
      <c r="K2054" s="1787">
        <f>+'01'!$B$15</f>
        <v>5</v>
      </c>
      <c r="L2054" s="1793"/>
      <c r="M2054" s="1780">
        <f t="shared" ref="M2054" si="96">IF(A2054="","",I2054*K2054)</f>
        <v>7200</v>
      </c>
      <c r="N2054" s="1779"/>
    </row>
    <row r="2055" spans="1:14" ht="13.5" x14ac:dyDescent="0.2">
      <c r="A2055" s="1786"/>
      <c r="B2055" s="1782"/>
      <c r="C2055" s="1782"/>
      <c r="D2055" s="1782"/>
      <c r="E2055" s="1782"/>
      <c r="F2055" s="1782"/>
      <c r="G2055" s="1779"/>
      <c r="H2055" s="1032"/>
      <c r="I2055" s="1780"/>
      <c r="J2055" s="1779"/>
      <c r="K2055" s="1787"/>
      <c r="L2055" s="1779"/>
      <c r="M2055" s="1780"/>
      <c r="N2055" s="1779"/>
    </row>
    <row r="2056" spans="1:14" ht="13.5" x14ac:dyDescent="0.2">
      <c r="A2056" s="1786"/>
      <c r="B2056" s="1782"/>
      <c r="C2056" s="1782"/>
      <c r="D2056" s="1782"/>
      <c r="E2056" s="1782"/>
      <c r="F2056" s="1782"/>
      <c r="G2056" s="1779"/>
      <c r="H2056" s="1032"/>
      <c r="I2056" s="1780"/>
      <c r="J2056" s="1779"/>
      <c r="K2056" s="1788"/>
      <c r="L2056" s="1779"/>
      <c r="M2056" s="1780"/>
      <c r="N2056" s="1779"/>
    </row>
    <row r="2057" spans="1:14" ht="13.5" x14ac:dyDescent="0.2">
      <c r="A2057" s="1789"/>
      <c r="B2057" s="1782"/>
      <c r="C2057" s="1782"/>
      <c r="D2057" s="1782"/>
      <c r="E2057" s="1782"/>
      <c r="F2057" s="1782"/>
      <c r="G2057" s="1779"/>
      <c r="H2057" s="1137"/>
      <c r="I2057" s="1780"/>
      <c r="J2057" s="1779"/>
      <c r="K2057" s="1787"/>
      <c r="L2057" s="1779"/>
      <c r="M2057" s="1780"/>
      <c r="N2057" s="1779"/>
    </row>
    <row r="2058" spans="1:14" ht="13.5" x14ac:dyDescent="0.2">
      <c r="A2058" s="1789"/>
      <c r="B2058" s="1782"/>
      <c r="C2058" s="1782"/>
      <c r="D2058" s="1782"/>
      <c r="E2058" s="1782"/>
      <c r="F2058" s="1782"/>
      <c r="G2058" s="1779"/>
      <c r="H2058" s="1137"/>
      <c r="I2058" s="1780"/>
      <c r="J2058" s="1779"/>
      <c r="K2058" s="1787"/>
      <c r="L2058" s="1779"/>
      <c r="M2058" s="1780"/>
      <c r="N2058" s="1779"/>
    </row>
    <row r="2059" spans="1:14" ht="13.5" x14ac:dyDescent="0.25">
      <c r="A2059" s="1138"/>
      <c r="B2059" s="1138"/>
      <c r="C2059" s="1138"/>
      <c r="D2059" s="1138"/>
      <c r="E2059" s="1138"/>
      <c r="F2059" s="1138"/>
      <c r="G2059" s="1138"/>
      <c r="H2059" s="1138"/>
      <c r="I2059" s="1138"/>
      <c r="J2059" s="1138"/>
      <c r="K2059" s="1778" t="s">
        <v>523</v>
      </c>
      <c r="L2059" s="1779"/>
      <c r="M2059" s="1780">
        <f>SUM(M2054:N2058)</f>
        <v>7200</v>
      </c>
      <c r="N2059" s="1779"/>
    </row>
    <row r="2060" spans="1:14" ht="13.5" x14ac:dyDescent="0.25">
      <c r="A2060" s="1138"/>
      <c r="B2060" s="1138"/>
      <c r="C2060" s="1138"/>
      <c r="D2060" s="1138"/>
      <c r="E2060" s="1138"/>
      <c r="F2060" s="1138"/>
      <c r="G2060" s="1138"/>
      <c r="H2060" s="1138"/>
      <c r="I2060" s="1138"/>
      <c r="J2060" s="1138"/>
      <c r="K2060" s="1138"/>
      <c r="L2060" s="1138"/>
      <c r="M2060" s="1138"/>
      <c r="N2060" s="1138"/>
    </row>
    <row r="2061" spans="1:14" x14ac:dyDescent="0.2">
      <c r="A2061" s="1781" t="s">
        <v>2150</v>
      </c>
      <c r="B2061" s="1782"/>
      <c r="C2061" s="1782"/>
      <c r="D2061" s="1782"/>
      <c r="E2061" s="1782"/>
      <c r="F2061" s="1782"/>
      <c r="G2061" s="1782"/>
      <c r="H2061" s="1782"/>
      <c r="I2061" s="1782"/>
      <c r="J2061" s="1782"/>
      <c r="K2061" s="1782"/>
      <c r="L2061" s="1782"/>
      <c r="M2061" s="1782"/>
      <c r="N2061" s="1779"/>
    </row>
    <row r="2062" spans="1:14" x14ac:dyDescent="0.2">
      <c r="A2062" s="1778" t="s">
        <v>14</v>
      </c>
      <c r="B2062" s="1782"/>
      <c r="C2062" s="1782"/>
      <c r="D2062" s="1782"/>
      <c r="E2062" s="1782"/>
      <c r="F2062" s="1782"/>
      <c r="G2062" s="1779"/>
      <c r="H2062" s="1136" t="s">
        <v>15</v>
      </c>
      <c r="I2062" s="1783" t="s">
        <v>619</v>
      </c>
      <c r="J2062" s="1779"/>
      <c r="K2062" s="1139" t="s">
        <v>1919</v>
      </c>
      <c r="L2062" s="1140" t="s">
        <v>2151</v>
      </c>
      <c r="M2062" s="1783" t="s">
        <v>2140</v>
      </c>
      <c r="N2062" s="1779"/>
    </row>
    <row r="2063" spans="1:14" ht="13.5" x14ac:dyDescent="0.25">
      <c r="A2063" s="1784" t="s">
        <v>2257</v>
      </c>
      <c r="B2063" s="1782"/>
      <c r="C2063" s="1782"/>
      <c r="D2063" s="1782"/>
      <c r="E2063" s="1782"/>
      <c r="F2063" s="1782"/>
      <c r="G2063" s="1779"/>
      <c r="H2063" s="1032" t="str">
        <f>IF(A2063="","",VLOOKUP(A2063,'09'!$A$22:$O$168,4,FALSE))</f>
        <v>Cuadrilla</v>
      </c>
      <c r="I2063" s="1785">
        <f>IF(A2063="","",VLOOKUP(A2063,'09'!$A$22:$O$168,5,FALSE))</f>
        <v>379362</v>
      </c>
      <c r="J2063" s="1412"/>
      <c r="K2063" s="1034">
        <f>IF(A2063="","",'03'!$I$2)</f>
        <v>1.88995</v>
      </c>
      <c r="L2063" s="1142">
        <v>0.04</v>
      </c>
      <c r="M2063" s="1780">
        <f>I2063*K2063/(L2063*8)</f>
        <v>2240547.5371874999</v>
      </c>
      <c r="N2063" s="1779"/>
    </row>
    <row r="2064" spans="1:14" ht="13.5" x14ac:dyDescent="0.25">
      <c r="A2064" s="1784"/>
      <c r="B2064" s="1782"/>
      <c r="C2064" s="1782"/>
      <c r="D2064" s="1782"/>
      <c r="E2064" s="1782"/>
      <c r="F2064" s="1782"/>
      <c r="G2064" s="1779"/>
      <c r="H2064" s="1137"/>
      <c r="I2064" s="1780"/>
      <c r="J2064" s="1779"/>
      <c r="K2064" s="1141"/>
      <c r="L2064" s="1141"/>
      <c r="M2064" s="1780"/>
      <c r="N2064" s="1779"/>
    </row>
    <row r="2065" spans="1:15" ht="13.5" x14ac:dyDescent="0.25">
      <c r="A2065" s="1784"/>
      <c r="B2065" s="1782"/>
      <c r="C2065" s="1782"/>
      <c r="D2065" s="1782"/>
      <c r="E2065" s="1782"/>
      <c r="F2065" s="1782"/>
      <c r="G2065" s="1779"/>
      <c r="H2065" s="1137"/>
      <c r="I2065" s="1780"/>
      <c r="J2065" s="1779"/>
      <c r="K2065" s="1141"/>
      <c r="L2065" s="1143"/>
      <c r="M2065" s="1780"/>
      <c r="N2065" s="1779"/>
    </row>
    <row r="2066" spans="1:15" ht="13.5" x14ac:dyDescent="0.25">
      <c r="A2066" s="1784"/>
      <c r="B2066" s="1782"/>
      <c r="C2066" s="1782"/>
      <c r="D2066" s="1782"/>
      <c r="E2066" s="1782"/>
      <c r="F2066" s="1782"/>
      <c r="G2066" s="1779"/>
      <c r="H2066" s="1137"/>
      <c r="I2066" s="1780"/>
      <c r="J2066" s="1779"/>
      <c r="K2066" s="1141"/>
      <c r="L2066" s="1143"/>
      <c r="M2066" s="1780"/>
      <c r="N2066" s="1779"/>
    </row>
    <row r="2067" spans="1:15" ht="13.5" x14ac:dyDescent="0.25">
      <c r="A2067" s="1784"/>
      <c r="B2067" s="1782"/>
      <c r="C2067" s="1782"/>
      <c r="D2067" s="1782"/>
      <c r="E2067" s="1782"/>
      <c r="F2067" s="1782"/>
      <c r="G2067" s="1779"/>
      <c r="H2067" s="1137"/>
      <c r="I2067" s="1780"/>
      <c r="J2067" s="1779"/>
      <c r="K2067" s="1141"/>
      <c r="L2067" s="1143"/>
      <c r="M2067" s="1780"/>
      <c r="N2067" s="1779"/>
    </row>
    <row r="2068" spans="1:15" ht="13.5" x14ac:dyDescent="0.25">
      <c r="A2068" s="1138"/>
      <c r="B2068" s="1138"/>
      <c r="C2068" s="1138"/>
      <c r="D2068" s="1138"/>
      <c r="E2068" s="1138"/>
      <c r="F2068" s="1138"/>
      <c r="G2068" s="1138"/>
      <c r="H2068" s="1138"/>
      <c r="I2068" s="1138"/>
      <c r="J2068" s="1138"/>
      <c r="K2068" s="1778" t="s">
        <v>523</v>
      </c>
      <c r="L2068" s="1779"/>
      <c r="M2068" s="1780">
        <f>SUM(M2063:N2067)</f>
        <v>2240547.5371874999</v>
      </c>
      <c r="N2068" s="1779"/>
    </row>
    <row r="2069" spans="1:15" x14ac:dyDescent="0.2">
      <c r="I2069" s="1414"/>
      <c r="J2069" s="1415"/>
      <c r="K2069" s="1415"/>
      <c r="L2069" s="1415"/>
      <c r="M2069" s="1415"/>
      <c r="N2069" s="1415"/>
    </row>
    <row r="2070" spans="1:15" ht="13.5" thickBot="1" x14ac:dyDescent="0.25">
      <c r="I2070" s="1416"/>
      <c r="J2070" s="1416"/>
      <c r="K2070" s="1416"/>
      <c r="L2070" s="1416"/>
      <c r="M2070" s="1416"/>
      <c r="N2070" s="1416"/>
    </row>
    <row r="2071" spans="1:15" ht="14.25" thickTop="1" x14ac:dyDescent="0.2">
      <c r="I2071" s="1417" t="s">
        <v>1829</v>
      </c>
      <c r="J2071" s="1418"/>
      <c r="K2071" s="1417" t="s">
        <v>2653</v>
      </c>
      <c r="L2071" s="1418"/>
      <c r="M2071" s="1418"/>
      <c r="N2071" s="1418"/>
    </row>
    <row r="2072" spans="1:15" ht="13.5" x14ac:dyDescent="0.2">
      <c r="I2072" s="1419" t="s">
        <v>1831</v>
      </c>
      <c r="J2072" s="1420"/>
      <c r="K2072" s="1419"/>
      <c r="L2072" s="1420"/>
      <c r="M2072" s="1420"/>
      <c r="N2072" s="1420"/>
    </row>
    <row r="2073" spans="1:15" x14ac:dyDescent="0.2">
      <c r="A2073" s="1803" t="s">
        <v>161</v>
      </c>
      <c r="B2073" s="1804"/>
      <c r="C2073" s="1804"/>
      <c r="D2073" s="1804"/>
      <c r="E2073" s="1804"/>
      <c r="F2073" s="1804"/>
      <c r="G2073" s="1804"/>
      <c r="H2073" s="1804"/>
      <c r="I2073" s="1804"/>
      <c r="J2073" s="1804"/>
      <c r="K2073" s="1804"/>
      <c r="L2073" s="1804"/>
      <c r="M2073" s="1804"/>
      <c r="N2073" s="1805"/>
      <c r="O2073" s="799"/>
    </row>
    <row r="2074" spans="1:15" x14ac:dyDescent="0.2">
      <c r="A2074" s="1806"/>
      <c r="B2074" s="1807"/>
      <c r="C2074" s="1807"/>
      <c r="D2074" s="1807"/>
      <c r="E2074" s="1807"/>
      <c r="F2074" s="1807"/>
      <c r="G2074" s="1807"/>
      <c r="H2074" s="1807"/>
      <c r="I2074" s="1807"/>
      <c r="J2074" s="1807"/>
      <c r="K2074" s="1807"/>
      <c r="L2074" s="1807"/>
      <c r="M2074" s="1807"/>
      <c r="N2074" s="1808"/>
    </row>
    <row r="2075" spans="1:15" ht="13.5" x14ac:dyDescent="0.2">
      <c r="A2075" s="1128"/>
      <c r="B2075" s="1128"/>
      <c r="C2075" s="1128"/>
      <c r="D2075" s="1128"/>
      <c r="E2075" s="1128"/>
      <c r="F2075" s="1128"/>
      <c r="G2075" s="1128"/>
      <c r="H2075" s="1128"/>
      <c r="I2075" s="1128"/>
      <c r="J2075" s="1128"/>
      <c r="K2075" s="1128"/>
      <c r="L2075" s="1128"/>
      <c r="M2075" s="1128"/>
      <c r="N2075" s="1128"/>
    </row>
    <row r="2076" spans="1:15" ht="14.25" x14ac:dyDescent="0.3">
      <c r="A2076" s="1104" t="s">
        <v>2386</v>
      </c>
      <c r="B2076" s="1129" t="str">
        <f>A2073</f>
        <v xml:space="preserve">CONCRETO NORMAL - 3000 PSI (210 KG/CM2) </v>
      </c>
      <c r="C2076" s="1130" t="s">
        <v>634</v>
      </c>
      <c r="D2076" s="1131" t="s">
        <v>12</v>
      </c>
      <c r="E2076" s="1132" t="s">
        <v>1833</v>
      </c>
      <c r="F2076" s="1133" t="e">
        <f>H2076+J2076+L2076+N2076</f>
        <v>#REF!</v>
      </c>
      <c r="G2076" s="1132" t="s">
        <v>2136</v>
      </c>
      <c r="H2076" s="1133" t="e">
        <f>M2094</f>
        <v>#REF!</v>
      </c>
      <c r="I2076" s="1132" t="s">
        <v>621</v>
      </c>
      <c r="J2076" s="1134">
        <f>M2085</f>
        <v>315773.59999999998</v>
      </c>
      <c r="K2076" s="1132" t="s">
        <v>2137</v>
      </c>
      <c r="L2076" s="1133">
        <f>M2101</f>
        <v>7200</v>
      </c>
      <c r="M2076" s="1132" t="s">
        <v>2138</v>
      </c>
      <c r="N2076" s="1133">
        <f>M2110</f>
        <v>212334.89027624999</v>
      </c>
    </row>
    <row r="2077" spans="1:15" ht="13.5" x14ac:dyDescent="0.25">
      <c r="A2077" s="1135"/>
      <c r="B2077" s="1135"/>
      <c r="C2077" s="1135"/>
      <c r="D2077" s="1135"/>
      <c r="E2077" s="1135"/>
      <c r="F2077" s="1135"/>
      <c r="G2077" s="1135"/>
      <c r="J2077" s="1135"/>
      <c r="K2077" s="1135"/>
      <c r="L2077" s="1135"/>
      <c r="M2077" s="1270" t="s">
        <v>2667</v>
      </c>
      <c r="N2077" s="1270" t="e">
        <f>+F2076*'01'!$O$15</f>
        <v>#REF!</v>
      </c>
    </row>
    <row r="2078" spans="1:15" x14ac:dyDescent="0.2">
      <c r="A2078" s="1781" t="s">
        <v>2139</v>
      </c>
      <c r="B2078" s="1782"/>
      <c r="C2078" s="1782"/>
      <c r="D2078" s="1782"/>
      <c r="E2078" s="1782"/>
      <c r="F2078" s="1782"/>
      <c r="G2078" s="1782"/>
      <c r="H2078" s="1782"/>
      <c r="I2078" s="1782"/>
      <c r="J2078" s="1782"/>
      <c r="K2078" s="1782"/>
      <c r="L2078" s="1782"/>
      <c r="M2078" s="1782"/>
      <c r="N2078" s="1779"/>
    </row>
    <row r="2079" spans="1:15" x14ac:dyDescent="0.2">
      <c r="A2079" s="1778" t="s">
        <v>14</v>
      </c>
      <c r="B2079" s="1782"/>
      <c r="C2079" s="1782"/>
      <c r="D2079" s="1782"/>
      <c r="E2079" s="1782"/>
      <c r="F2079" s="1782"/>
      <c r="G2079" s="1779"/>
      <c r="H2079" s="1136" t="s">
        <v>15</v>
      </c>
      <c r="I2079" s="1783" t="s">
        <v>619</v>
      </c>
      <c r="J2079" s="1779"/>
      <c r="K2079" s="1783" t="s">
        <v>628</v>
      </c>
      <c r="L2079" s="1779"/>
      <c r="M2079" s="1783" t="s">
        <v>2140</v>
      </c>
      <c r="N2079" s="1779"/>
    </row>
    <row r="2080" spans="1:15" ht="13.5" x14ac:dyDescent="0.2">
      <c r="A2080" s="1789" t="s">
        <v>63</v>
      </c>
      <c r="B2080" s="1782"/>
      <c r="C2080" s="1782"/>
      <c r="D2080" s="1782"/>
      <c r="E2080" s="1782"/>
      <c r="F2080" s="1782"/>
      <c r="G2080" s="1779"/>
      <c r="H2080" s="1032" t="str">
        <f>IF(A2080="","",VLOOKUP(A2080,'10'!$C$6:$E$1152,2,FALSE))</f>
        <v>KG</v>
      </c>
      <c r="I2080" s="1785">
        <f>IF(A2080="","",VLOOKUP(A2080,'10'!$C$6:$E$1152,3,FALSE))</f>
        <v>695</v>
      </c>
      <c r="J2080" s="1412"/>
      <c r="K2080" s="1787">
        <v>320</v>
      </c>
      <c r="L2080" s="1779"/>
      <c r="M2080" s="1780">
        <f t="shared" ref="M2080:M2083" si="97">IF(A2080="","",I2080*K2080)</f>
        <v>222400</v>
      </c>
      <c r="N2080" s="1779"/>
    </row>
    <row r="2081" spans="1:15" ht="13.5" x14ac:dyDescent="0.2">
      <c r="A2081" s="1789" t="s">
        <v>1541</v>
      </c>
      <c r="B2081" s="1782"/>
      <c r="C2081" s="1782"/>
      <c r="D2081" s="1782"/>
      <c r="E2081" s="1782"/>
      <c r="F2081" s="1782"/>
      <c r="G2081" s="1779"/>
      <c r="H2081" s="1032" t="str">
        <f>IF(A2081="","",VLOOKUP(A2081,'10'!$C$6:$E$1152,2,FALSE))</f>
        <v>M3</v>
      </c>
      <c r="I2081" s="1785">
        <f>IF(A2081="","",VLOOKUP(A2081,'10'!$C$6:$E$1152,3,FALSE))</f>
        <v>73780</v>
      </c>
      <c r="J2081" s="1412"/>
      <c r="K2081" s="1787">
        <v>0.52</v>
      </c>
      <c r="L2081" s="1779"/>
      <c r="M2081" s="1780">
        <f t="shared" si="97"/>
        <v>38365.599999999999</v>
      </c>
      <c r="N2081" s="1779"/>
    </row>
    <row r="2082" spans="1:15" ht="13.5" x14ac:dyDescent="0.2">
      <c r="A2082" s="1789" t="s">
        <v>1542</v>
      </c>
      <c r="B2082" s="1782"/>
      <c r="C2082" s="1782"/>
      <c r="D2082" s="1782"/>
      <c r="E2082" s="1782"/>
      <c r="F2082" s="1782"/>
      <c r="G2082" s="1779"/>
      <c r="H2082" s="1032" t="str">
        <f>IF(A2082="","",VLOOKUP(A2082,'10'!$C$6:$E$1152,2,FALSE))</f>
        <v>M3</v>
      </c>
      <c r="I2082" s="1785">
        <f>IF(A2082="","",VLOOKUP(A2082,'10'!$C$6:$E$1152,3,FALSE))</f>
        <v>57120</v>
      </c>
      <c r="J2082" s="1412"/>
      <c r="K2082" s="1787">
        <v>0.9</v>
      </c>
      <c r="L2082" s="1779"/>
      <c r="M2082" s="1780">
        <f t="shared" si="97"/>
        <v>51408</v>
      </c>
      <c r="N2082" s="1779"/>
    </row>
    <row r="2083" spans="1:15" ht="13.5" x14ac:dyDescent="0.2">
      <c r="A2083" s="1789" t="s">
        <v>104</v>
      </c>
      <c r="B2083" s="1782"/>
      <c r="C2083" s="1782"/>
      <c r="D2083" s="1782"/>
      <c r="E2083" s="1782"/>
      <c r="F2083" s="1782"/>
      <c r="G2083" s="1779"/>
      <c r="H2083" s="1032" t="str">
        <f>IF(A2083="","",VLOOKUP(A2083,'10'!$C$6:$E$1152,2,FALSE))</f>
        <v>LT</v>
      </c>
      <c r="I2083" s="1785">
        <f>IF(A2083="","",VLOOKUP(A2083,'10'!$C$6:$E$1152,3,FALSE))</f>
        <v>20</v>
      </c>
      <c r="J2083" s="1412"/>
      <c r="K2083" s="1787">
        <v>180</v>
      </c>
      <c r="L2083" s="1779"/>
      <c r="M2083" s="1780">
        <f t="shared" si="97"/>
        <v>3600</v>
      </c>
      <c r="N2083" s="1779"/>
      <c r="O2083" s="799"/>
    </row>
    <row r="2084" spans="1:15" ht="13.5" x14ac:dyDescent="0.2">
      <c r="A2084" s="1792"/>
      <c r="B2084" s="1782"/>
      <c r="C2084" s="1782"/>
      <c r="D2084" s="1782"/>
      <c r="E2084" s="1782"/>
      <c r="F2084" s="1782"/>
      <c r="G2084" s="1779"/>
      <c r="H2084" s="1032"/>
      <c r="I2084" s="1785"/>
      <c r="J2084" s="1412"/>
      <c r="K2084" s="1787"/>
      <c r="L2084" s="1779"/>
      <c r="M2084" s="1780"/>
      <c r="N2084" s="1779"/>
    </row>
    <row r="2085" spans="1:15" ht="13.5" x14ac:dyDescent="0.25">
      <c r="A2085" s="1138"/>
      <c r="B2085" s="1138"/>
      <c r="C2085" s="1138"/>
      <c r="D2085" s="1138"/>
      <c r="E2085" s="1138"/>
      <c r="F2085" s="1138"/>
      <c r="G2085" s="1138"/>
      <c r="H2085" s="1138"/>
      <c r="I2085" s="1138"/>
      <c r="J2085" s="1138"/>
      <c r="K2085" s="1778" t="s">
        <v>523</v>
      </c>
      <c r="L2085" s="1779"/>
      <c r="M2085" s="1780">
        <f>SUM(M2080:N2084)</f>
        <v>315773.59999999998</v>
      </c>
      <c r="N2085" s="1779"/>
    </row>
    <row r="2086" spans="1:15" ht="13.5" x14ac:dyDescent="0.25">
      <c r="A2086" s="1138"/>
      <c r="B2086" s="1138"/>
      <c r="C2086" s="1138"/>
      <c r="D2086" s="1138"/>
      <c r="E2086" s="1138"/>
      <c r="F2086" s="1138"/>
      <c r="G2086" s="1138"/>
      <c r="H2086" s="1138"/>
      <c r="I2086" s="1138"/>
      <c r="J2086" s="1138"/>
      <c r="K2086" s="1138"/>
      <c r="L2086" s="1138"/>
      <c r="M2086" s="1138"/>
      <c r="N2086" s="1138"/>
    </row>
    <row r="2087" spans="1:15" x14ac:dyDescent="0.2">
      <c r="A2087" s="1781" t="s">
        <v>2145</v>
      </c>
      <c r="B2087" s="1782"/>
      <c r="C2087" s="1782"/>
      <c r="D2087" s="1782"/>
      <c r="E2087" s="1782"/>
      <c r="F2087" s="1782"/>
      <c r="G2087" s="1782"/>
      <c r="H2087" s="1782"/>
      <c r="I2087" s="1782"/>
      <c r="J2087" s="1782"/>
      <c r="K2087" s="1782"/>
      <c r="L2087" s="1782"/>
      <c r="M2087" s="1782"/>
      <c r="N2087" s="1779"/>
    </row>
    <row r="2088" spans="1:15" x14ac:dyDescent="0.2">
      <c r="A2088" s="1778" t="s">
        <v>14</v>
      </c>
      <c r="B2088" s="1782"/>
      <c r="C2088" s="1782"/>
      <c r="D2088" s="1782"/>
      <c r="E2088" s="1782"/>
      <c r="F2088" s="1782"/>
      <c r="G2088" s="1779"/>
      <c r="H2088" s="1136" t="s">
        <v>15</v>
      </c>
      <c r="I2088" s="1783" t="s">
        <v>619</v>
      </c>
      <c r="J2088" s="1779"/>
      <c r="K2088" s="1783" t="s">
        <v>628</v>
      </c>
      <c r="L2088" s="1779"/>
      <c r="M2088" s="1783" t="s">
        <v>2140</v>
      </c>
      <c r="N2088" s="1779"/>
    </row>
    <row r="2089" spans="1:15" ht="13.5" x14ac:dyDescent="0.2">
      <c r="A2089" s="1789" t="s">
        <v>133</v>
      </c>
      <c r="B2089" s="1782"/>
      <c r="C2089" s="1782"/>
      <c r="D2089" s="1782"/>
      <c r="E2089" s="1782"/>
      <c r="F2089" s="1782"/>
      <c r="G2089" s="1779"/>
      <c r="H2089" s="1032" t="str">
        <f>IF(A2089="","",VLOOKUP(A2089,'11'!$C$6:$E$87,2,FALSE))</f>
        <v>DIA</v>
      </c>
      <c r="I2089" s="1785">
        <f>IF(A2089="","",VLOOKUP(A2089,'11'!$C$6:$E$87,3,FALSE))</f>
        <v>75000</v>
      </c>
      <c r="J2089" s="1412"/>
      <c r="K2089" s="1794">
        <v>0.08</v>
      </c>
      <c r="L2089" s="1779"/>
      <c r="M2089" s="1780">
        <f t="shared" ref="M2089" si="98">IF(A2089="","",I2089*K2089)</f>
        <v>6000</v>
      </c>
      <c r="N2089" s="1779"/>
    </row>
    <row r="2090" spans="1:15" ht="13.15" customHeight="1" x14ac:dyDescent="0.2">
      <c r="A2090" s="1789" t="s">
        <v>131</v>
      </c>
      <c r="B2090" s="1782"/>
      <c r="C2090" s="1782"/>
      <c r="D2090" s="1782"/>
      <c r="E2090" s="1782"/>
      <c r="F2090" s="1782"/>
      <c r="G2090" s="1779"/>
      <c r="H2090" s="1032" t="str">
        <f>IF(A2090="","",VLOOKUP(A2090,'11'!$C$6:$E$87,2,FALSE))</f>
        <v>DIA</v>
      </c>
      <c r="I2090" s="1785">
        <f>IF(A2090="","",VLOOKUP(A2090,'11'!$C$6:$E$87,3,FALSE))</f>
        <v>15000</v>
      </c>
      <c r="J2090" s="1412"/>
      <c r="K2090" s="1787">
        <v>0.08</v>
      </c>
      <c r="L2090" s="1779"/>
      <c r="M2090" s="1884" t="e">
        <f>IF(A2090="","",I2090*#REF!)</f>
        <v>#REF!</v>
      </c>
      <c r="N2090" s="1885"/>
      <c r="O2090" s="799"/>
    </row>
    <row r="2091" spans="1:15" ht="13.5" x14ac:dyDescent="0.2">
      <c r="A2091" s="1792"/>
      <c r="B2091" s="1782"/>
      <c r="C2091" s="1782"/>
      <c r="D2091" s="1782"/>
      <c r="E2091" s="1782"/>
      <c r="F2091" s="1782"/>
      <c r="G2091" s="1779"/>
      <c r="H2091" s="1032"/>
      <c r="I2091" s="1785"/>
      <c r="J2091" s="1412"/>
      <c r="M2091" s="1780"/>
      <c r="N2091" s="1779"/>
      <c r="O2091" s="799"/>
    </row>
    <row r="2092" spans="1:15" ht="13.5" x14ac:dyDescent="0.2">
      <c r="A2092" s="1792"/>
      <c r="B2092" s="1782"/>
      <c r="C2092" s="1782"/>
      <c r="D2092" s="1782"/>
      <c r="E2092" s="1782"/>
      <c r="F2092" s="1782"/>
      <c r="G2092" s="1779"/>
      <c r="H2092" s="1032"/>
      <c r="I2092" s="1785"/>
      <c r="J2092" s="1412"/>
      <c r="K2092" s="1787"/>
      <c r="L2092" s="1779"/>
      <c r="M2092" s="1780"/>
      <c r="N2092" s="1779"/>
    </row>
    <row r="2093" spans="1:15" ht="13.5" x14ac:dyDescent="0.2">
      <c r="A2093" s="1792"/>
      <c r="B2093" s="1782"/>
      <c r="C2093" s="1782"/>
      <c r="D2093" s="1782"/>
      <c r="E2093" s="1782"/>
      <c r="F2093" s="1782"/>
      <c r="G2093" s="1779"/>
      <c r="H2093" s="1032"/>
      <c r="I2093" s="1785"/>
      <c r="J2093" s="1412"/>
      <c r="K2093" s="1787"/>
      <c r="L2093" s="1779"/>
      <c r="M2093" s="1780"/>
      <c r="N2093" s="1779"/>
    </row>
    <row r="2094" spans="1:15" ht="13.5" x14ac:dyDescent="0.25">
      <c r="A2094" s="1138"/>
      <c r="B2094" s="1138"/>
      <c r="C2094" s="1138"/>
      <c r="D2094" s="1138"/>
      <c r="E2094" s="1138"/>
      <c r="F2094" s="1138"/>
      <c r="G2094" s="1138"/>
      <c r="H2094" s="1138"/>
      <c r="I2094" s="1138"/>
      <c r="J2094" s="1138"/>
      <c r="K2094" s="1778" t="s">
        <v>523</v>
      </c>
      <c r="L2094" s="1779"/>
      <c r="M2094" s="1780" t="e">
        <f>SUM(M2089:N2093)</f>
        <v>#REF!</v>
      </c>
      <c r="N2094" s="1779"/>
    </row>
    <row r="2095" spans="1:15" ht="13.5" x14ac:dyDescent="0.25">
      <c r="A2095" s="1138"/>
      <c r="B2095" s="1138"/>
      <c r="C2095" s="1138"/>
      <c r="D2095" s="1138"/>
      <c r="E2095" s="1138"/>
      <c r="F2095" s="1138"/>
      <c r="G2095" s="1138"/>
      <c r="H2095" s="1138"/>
      <c r="I2095" s="1138"/>
      <c r="J2095" s="1138"/>
      <c r="K2095" s="1138"/>
      <c r="L2095" s="1138"/>
      <c r="M2095" s="1138"/>
      <c r="N2095" s="1138"/>
    </row>
    <row r="2096" spans="1:15" x14ac:dyDescent="0.2">
      <c r="A2096" s="1781" t="s">
        <v>2147</v>
      </c>
      <c r="B2096" s="1782"/>
      <c r="C2096" s="1782"/>
      <c r="D2096" s="1782"/>
      <c r="E2096" s="1782"/>
      <c r="F2096" s="1782"/>
      <c r="G2096" s="1782"/>
      <c r="H2096" s="1782"/>
      <c r="I2096" s="1782"/>
      <c r="J2096" s="1782"/>
      <c r="K2096" s="1782"/>
      <c r="L2096" s="1782"/>
      <c r="M2096" s="1782"/>
      <c r="N2096" s="1779"/>
    </row>
    <row r="2097" spans="1:15" x14ac:dyDescent="0.2">
      <c r="A2097" s="1778" t="s">
        <v>14</v>
      </c>
      <c r="B2097" s="1782"/>
      <c r="C2097" s="1782"/>
      <c r="D2097" s="1782"/>
      <c r="E2097" s="1782"/>
      <c r="F2097" s="1782"/>
      <c r="G2097" s="1779"/>
      <c r="H2097" s="1136" t="s">
        <v>15</v>
      </c>
      <c r="I2097" s="1783" t="s">
        <v>619</v>
      </c>
      <c r="J2097" s="1779"/>
      <c r="K2097" s="1783" t="s">
        <v>628</v>
      </c>
      <c r="L2097" s="1779"/>
      <c r="M2097" s="1783" t="s">
        <v>2140</v>
      </c>
      <c r="N2097" s="1779"/>
    </row>
    <row r="2098" spans="1:15" ht="13.5" x14ac:dyDescent="0.2">
      <c r="A2098" s="1786" t="s">
        <v>2328</v>
      </c>
      <c r="B2098" s="1782"/>
      <c r="C2098" s="1782"/>
      <c r="D2098" s="1782"/>
      <c r="E2098" s="1782"/>
      <c r="F2098" s="1782"/>
      <c r="G2098" s="1779"/>
      <c r="H2098" s="1032" t="str">
        <f>IF(A2098="","",VLOOKUP(A2098,'11'!$C$6:$E$1012,2,FALSE))</f>
        <v>KM-M3</v>
      </c>
      <c r="I2098" s="1785">
        <f>IF(A2098="","",VLOOKUP(A2098,'11'!$C$6:$E$1012,3,FALSE))</f>
        <v>1440</v>
      </c>
      <c r="J2098" s="1412"/>
      <c r="K2098" s="1787">
        <f>+'01'!$B$15</f>
        <v>5</v>
      </c>
      <c r="L2098" s="1779"/>
      <c r="M2098" s="1780">
        <f t="shared" ref="M2098:M2100" si="99">IF(A2098="","",I2098*K2098)</f>
        <v>7200</v>
      </c>
      <c r="N2098" s="1779"/>
    </row>
    <row r="2099" spans="1:15" ht="13.5" x14ac:dyDescent="0.2">
      <c r="A2099" s="1789"/>
      <c r="B2099" s="1782"/>
      <c r="C2099" s="1782"/>
      <c r="D2099" s="1782"/>
      <c r="E2099" s="1782"/>
      <c r="F2099" s="1782"/>
      <c r="G2099" s="1779"/>
      <c r="H2099" s="1137"/>
      <c r="I2099" s="1780"/>
      <c r="J2099" s="1779"/>
      <c r="K2099" s="1787"/>
      <c r="L2099" s="1779"/>
      <c r="M2099" s="1780" t="str">
        <f t="shared" si="99"/>
        <v/>
      </c>
      <c r="N2099" s="1779"/>
    </row>
    <row r="2100" spans="1:15" ht="13.5" x14ac:dyDescent="0.2">
      <c r="A2100" s="1789"/>
      <c r="B2100" s="1782"/>
      <c r="C2100" s="1782"/>
      <c r="D2100" s="1782"/>
      <c r="E2100" s="1782"/>
      <c r="F2100" s="1782"/>
      <c r="G2100" s="1779"/>
      <c r="H2100" s="1137"/>
      <c r="I2100" s="1780"/>
      <c r="J2100" s="1779"/>
      <c r="K2100" s="1787"/>
      <c r="L2100" s="1779"/>
      <c r="M2100" s="1780" t="str">
        <f t="shared" si="99"/>
        <v/>
      </c>
      <c r="N2100" s="1779"/>
    </row>
    <row r="2101" spans="1:15" ht="13.5" x14ac:dyDescent="0.25">
      <c r="A2101" s="1138"/>
      <c r="B2101" s="1138"/>
      <c r="C2101" s="1138"/>
      <c r="D2101" s="1138"/>
      <c r="E2101" s="1138"/>
      <c r="F2101" s="1138"/>
      <c r="G2101" s="1138"/>
      <c r="H2101" s="1138"/>
      <c r="I2101" s="1138"/>
      <c r="J2101" s="1138"/>
      <c r="K2101" s="1778" t="s">
        <v>523</v>
      </c>
      <c r="L2101" s="1779"/>
      <c r="M2101" s="1780">
        <f>SUM(M2098:N2100)</f>
        <v>7200</v>
      </c>
      <c r="N2101" s="1779"/>
    </row>
    <row r="2102" spans="1:15" ht="13.5" x14ac:dyDescent="0.25">
      <c r="A2102" s="1138"/>
      <c r="B2102" s="1138"/>
      <c r="C2102" s="1138"/>
      <c r="D2102" s="1138"/>
      <c r="E2102" s="1138"/>
      <c r="F2102" s="1138"/>
      <c r="G2102" s="1138"/>
      <c r="H2102" s="1138"/>
      <c r="I2102" s="1138"/>
      <c r="J2102" s="1138"/>
      <c r="K2102" s="1138"/>
      <c r="L2102" s="1138"/>
      <c r="M2102" s="1138"/>
      <c r="N2102" s="1138"/>
    </row>
    <row r="2103" spans="1:15" x14ac:dyDescent="0.2">
      <c r="A2103" s="1781" t="s">
        <v>2150</v>
      </c>
      <c r="B2103" s="1782"/>
      <c r="C2103" s="1782"/>
      <c r="D2103" s="1782"/>
      <c r="E2103" s="1782"/>
      <c r="F2103" s="1782"/>
      <c r="G2103" s="1782"/>
      <c r="H2103" s="1782"/>
      <c r="I2103" s="1782"/>
      <c r="J2103" s="1782"/>
      <c r="K2103" s="1782"/>
      <c r="L2103" s="1782"/>
      <c r="M2103" s="1782"/>
      <c r="N2103" s="1779"/>
    </row>
    <row r="2104" spans="1:15" x14ac:dyDescent="0.2">
      <c r="A2104" s="1778" t="s">
        <v>14</v>
      </c>
      <c r="B2104" s="1782"/>
      <c r="C2104" s="1782"/>
      <c r="D2104" s="1782"/>
      <c r="E2104" s="1782"/>
      <c r="F2104" s="1782"/>
      <c r="G2104" s="1779"/>
      <c r="H2104" s="1136" t="s">
        <v>15</v>
      </c>
      <c r="I2104" s="1783" t="s">
        <v>619</v>
      </c>
      <c r="J2104" s="1779"/>
      <c r="K2104" s="1139" t="s">
        <v>1919</v>
      </c>
      <c r="L2104" s="1140" t="s">
        <v>2151</v>
      </c>
      <c r="M2104" s="1783" t="s">
        <v>2140</v>
      </c>
      <c r="N2104" s="1779"/>
    </row>
    <row r="2105" spans="1:15" ht="13.5" x14ac:dyDescent="0.25">
      <c r="A2105" s="1784" t="s">
        <v>2259</v>
      </c>
      <c r="B2105" s="1782"/>
      <c r="C2105" s="1782"/>
      <c r="D2105" s="1782"/>
      <c r="E2105" s="1782"/>
      <c r="F2105" s="1782"/>
      <c r="G2105" s="1779"/>
      <c r="H2105" s="1032" t="str">
        <f>IF(A2105="","",VLOOKUP(A2105,'09'!$A$22:$O$168,4,FALSE))</f>
        <v>Cuadrilla</v>
      </c>
      <c r="I2105" s="1785">
        <f>IF(A2105="","",VLOOKUP(A2105,'09'!$A$22:$O$168,5,FALSE))</f>
        <v>641997</v>
      </c>
      <c r="J2105" s="1412"/>
      <c r="K2105" s="1034">
        <f>IF(A2105="","",'03'!$I$2)</f>
        <v>1.88995</v>
      </c>
      <c r="L2105" s="1034">
        <v>0.17499999999999999</v>
      </c>
      <c r="M2105" s="1780">
        <f t="shared" ref="M2105:M2109" si="100">IF(A2105="","",I2105*K2105*L2105)</f>
        <v>212334.89027624999</v>
      </c>
      <c r="N2105" s="1779"/>
    </row>
    <row r="2106" spans="1:15" ht="13.5" x14ac:dyDescent="0.25">
      <c r="A2106" s="1784"/>
      <c r="B2106" s="1782"/>
      <c r="C2106" s="1782"/>
      <c r="D2106" s="1782"/>
      <c r="E2106" s="1782"/>
      <c r="F2106" s="1782"/>
      <c r="G2106" s="1779"/>
      <c r="H2106" s="1032" t="str">
        <f>IF(A2106="","",VLOOKUP(A2106,'09'!$A$22:$O$168,4,FALSE))</f>
        <v/>
      </c>
      <c r="I2106" s="1785" t="str">
        <f>IF(A2106="","",VLOOKUP(A2106,'09'!$A$22:$O$168,5,FALSE))</f>
        <v/>
      </c>
      <c r="J2106" s="1412"/>
      <c r="K2106" s="1034" t="str">
        <f>IF(A2106="","",'03'!$I$2)</f>
        <v/>
      </c>
      <c r="L2106" s="1141"/>
      <c r="M2106" s="1780" t="str">
        <f t="shared" si="100"/>
        <v/>
      </c>
      <c r="N2106" s="1779"/>
    </row>
    <row r="2107" spans="1:15" ht="13.5" x14ac:dyDescent="0.25">
      <c r="A2107" s="1784"/>
      <c r="B2107" s="1782"/>
      <c r="C2107" s="1782"/>
      <c r="D2107" s="1782"/>
      <c r="E2107" s="1782"/>
      <c r="F2107" s="1782"/>
      <c r="G2107" s="1779"/>
      <c r="H2107" s="1032" t="str">
        <f>IF(A2107="","",VLOOKUP(A2107,'09'!$A$22:$O$168,4,FALSE))</f>
        <v/>
      </c>
      <c r="I2107" s="1785" t="str">
        <f>IF(A2107="","",VLOOKUP(A2107,'09'!$A$22:$O$168,5,FALSE))</f>
        <v/>
      </c>
      <c r="J2107" s="1412"/>
      <c r="K2107" s="1034" t="str">
        <f>IF(A2107="","",'03'!$I$2)</f>
        <v/>
      </c>
      <c r="L2107" s="1143"/>
      <c r="M2107" s="1780" t="str">
        <f t="shared" si="100"/>
        <v/>
      </c>
      <c r="N2107" s="1779"/>
    </row>
    <row r="2108" spans="1:15" ht="13.5" x14ac:dyDescent="0.25">
      <c r="A2108" s="1784"/>
      <c r="B2108" s="1782"/>
      <c r="C2108" s="1782"/>
      <c r="D2108" s="1782"/>
      <c r="E2108" s="1782"/>
      <c r="F2108" s="1782"/>
      <c r="G2108" s="1779"/>
      <c r="H2108" s="1032" t="str">
        <f>IF(A2108="","",VLOOKUP(A2108,'09'!$A$22:$O$168,4,FALSE))</f>
        <v/>
      </c>
      <c r="I2108" s="1785" t="str">
        <f>IF(A2108="","",VLOOKUP(A2108,'09'!$A$22:$O$168,5,FALSE))</f>
        <v/>
      </c>
      <c r="J2108" s="1412"/>
      <c r="K2108" s="1034" t="str">
        <f>IF(A2108="","",'03'!$I$2)</f>
        <v/>
      </c>
      <c r="L2108" s="1143"/>
      <c r="M2108" s="1780" t="str">
        <f t="shared" si="100"/>
        <v/>
      </c>
      <c r="N2108" s="1779"/>
    </row>
    <row r="2109" spans="1:15" ht="13.5" x14ac:dyDescent="0.25">
      <c r="A2109" s="1784"/>
      <c r="B2109" s="1782"/>
      <c r="C2109" s="1782"/>
      <c r="D2109" s="1782"/>
      <c r="E2109" s="1782"/>
      <c r="F2109" s="1782"/>
      <c r="G2109" s="1779"/>
      <c r="H2109" s="1032" t="str">
        <f>IF(A2109="","",VLOOKUP(A2109,'09'!$A$22:$O$168,4,FALSE))</f>
        <v/>
      </c>
      <c r="I2109" s="1785" t="str">
        <f>IF(A2109="","",VLOOKUP(A2109,'09'!$A$22:$O$168,5,FALSE))</f>
        <v/>
      </c>
      <c r="J2109" s="1412"/>
      <c r="K2109" s="1034" t="str">
        <f>IF(A2109="","",'03'!$I$2)</f>
        <v/>
      </c>
      <c r="L2109" s="1143"/>
      <c r="M2109" s="1780" t="str">
        <f t="shared" si="100"/>
        <v/>
      </c>
      <c r="N2109" s="1779"/>
    </row>
    <row r="2110" spans="1:15" ht="13.5" x14ac:dyDescent="0.25">
      <c r="A2110" s="1138"/>
      <c r="B2110" s="1138"/>
      <c r="C2110" s="1138"/>
      <c r="D2110" s="1138"/>
      <c r="E2110" s="1138"/>
      <c r="F2110" s="1138"/>
      <c r="G2110" s="1138"/>
      <c r="H2110" s="1138"/>
      <c r="I2110" s="1138"/>
      <c r="J2110" s="1138"/>
      <c r="K2110" s="1778" t="s">
        <v>523</v>
      </c>
      <c r="L2110" s="1779"/>
      <c r="M2110" s="1780">
        <f>SUM(M2105:N2109)</f>
        <v>212334.89027624999</v>
      </c>
      <c r="N2110" s="1779"/>
    </row>
    <row r="2111" spans="1:15" x14ac:dyDescent="0.2">
      <c r="I2111" s="1414"/>
      <c r="J2111" s="1415"/>
      <c r="K2111" s="1415"/>
      <c r="L2111" s="1415"/>
      <c r="M2111" s="1415"/>
      <c r="N2111" s="1415"/>
    </row>
    <row r="2112" spans="1:15" ht="13.5" thickBot="1" x14ac:dyDescent="0.25">
      <c r="I2112" s="1416"/>
      <c r="J2112" s="1416"/>
      <c r="K2112" s="1416"/>
      <c r="L2112" s="1416"/>
      <c r="M2112" s="1416"/>
      <c r="N2112" s="1416"/>
      <c r="O2112" s="1163"/>
    </row>
    <row r="2113" spans="1:14" ht="14.25" thickTop="1" x14ac:dyDescent="0.2">
      <c r="I2113" s="1417" t="s">
        <v>1829</v>
      </c>
      <c r="J2113" s="1418"/>
      <c r="K2113" s="1417" t="s">
        <v>2653</v>
      </c>
      <c r="L2113" s="1418"/>
      <c r="M2113" s="1418"/>
      <c r="N2113" s="1418"/>
    </row>
    <row r="2114" spans="1:14" ht="13.5" x14ac:dyDescent="0.2">
      <c r="I2114" s="1419" t="s">
        <v>1831</v>
      </c>
      <c r="J2114" s="1420"/>
      <c r="K2114" s="1419"/>
      <c r="L2114" s="1420"/>
      <c r="M2114" s="1420"/>
      <c r="N2114" s="1420"/>
    </row>
    <row r="2115" spans="1:14" x14ac:dyDescent="0.2">
      <c r="A2115" s="1796" t="s">
        <v>2388</v>
      </c>
      <c r="B2115" s="1797"/>
      <c r="C2115" s="1797"/>
      <c r="D2115" s="1797"/>
      <c r="E2115" s="1797"/>
      <c r="F2115" s="1797"/>
      <c r="G2115" s="1797"/>
      <c r="H2115" s="1797"/>
      <c r="I2115" s="1797"/>
      <c r="J2115" s="1797"/>
      <c r="K2115" s="1797"/>
      <c r="L2115" s="1797"/>
      <c r="M2115" s="1797"/>
      <c r="N2115" s="1798"/>
    </row>
    <row r="2116" spans="1:14" x14ac:dyDescent="0.2">
      <c r="A2116" s="1799"/>
      <c r="B2116" s="1800"/>
      <c r="C2116" s="1800"/>
      <c r="D2116" s="1800"/>
      <c r="E2116" s="1800"/>
      <c r="F2116" s="1800"/>
      <c r="G2116" s="1800"/>
      <c r="H2116" s="1800"/>
      <c r="I2116" s="1800"/>
      <c r="J2116" s="1800"/>
      <c r="K2116" s="1800"/>
      <c r="L2116" s="1800"/>
      <c r="M2116" s="1800"/>
      <c r="N2116" s="1801"/>
    </row>
    <row r="2117" spans="1:14" ht="13.5" x14ac:dyDescent="0.2">
      <c r="A2117" s="1128"/>
      <c r="B2117" s="1128"/>
      <c r="C2117" s="1128"/>
      <c r="D2117" s="1128"/>
      <c r="E2117" s="1128"/>
      <c r="F2117" s="1128"/>
      <c r="G2117" s="1128"/>
      <c r="H2117" s="1128"/>
      <c r="I2117" s="1128"/>
      <c r="J2117" s="1128"/>
      <c r="K2117" s="1128"/>
      <c r="L2117" s="1128"/>
      <c r="M2117" s="1128"/>
      <c r="N2117" s="1128"/>
    </row>
    <row r="2118" spans="1:14" ht="14.25" x14ac:dyDescent="0.3">
      <c r="A2118" s="1104" t="s">
        <v>2389</v>
      </c>
      <c r="B2118" s="1129" t="str">
        <f>A2115</f>
        <v xml:space="preserve">SUMINISTRO E INSTALACIÓN MACROMEDIDOR DE 6". INCLUYE ACCESORIOS. INCLUYE CAJA DE CONCRETO REFORZADA. </v>
      </c>
      <c r="C2118" s="1130" t="s">
        <v>634</v>
      </c>
      <c r="D2118" s="1107" t="s">
        <v>2</v>
      </c>
      <c r="E2118" s="1132" t="s">
        <v>1833</v>
      </c>
      <c r="F2118" s="1133" t="e">
        <f>H2118+J2118+L2118+N2118</f>
        <v>#REF!</v>
      </c>
      <c r="G2118" s="1132" t="s">
        <v>2136</v>
      </c>
      <c r="H2118" s="1133">
        <f>M2146</f>
        <v>833.33333333333337</v>
      </c>
      <c r="I2118" s="1132" t="s">
        <v>621</v>
      </c>
      <c r="J2118" s="1134" t="e">
        <f>M2132</f>
        <v>#REF!</v>
      </c>
      <c r="K2118" s="1132" t="s">
        <v>2137</v>
      </c>
      <c r="L2118" s="1133">
        <f>M2155</f>
        <v>7200</v>
      </c>
      <c r="M2118" s="1132" t="s">
        <v>2138</v>
      </c>
      <c r="N2118" s="1133">
        <f>M2164</f>
        <v>2240547.5371874999</v>
      </c>
    </row>
    <row r="2119" spans="1:14" ht="13.5" x14ac:dyDescent="0.25">
      <c r="A2119" s="1135"/>
      <c r="B2119" s="1135"/>
      <c r="C2119" s="1135"/>
      <c r="D2119" s="1135"/>
      <c r="E2119" s="1135"/>
      <c r="F2119" s="1135"/>
      <c r="G2119" s="1135"/>
      <c r="J2119" s="1135"/>
      <c r="K2119" s="1135"/>
      <c r="L2119" s="1135"/>
      <c r="M2119" s="1270" t="s">
        <v>2667</v>
      </c>
      <c r="N2119" s="1270" t="e">
        <f>+F2118*'01'!$O$15</f>
        <v>#REF!</v>
      </c>
    </row>
    <row r="2120" spans="1:14" x14ac:dyDescent="0.2">
      <c r="A2120" s="1781" t="s">
        <v>2139</v>
      </c>
      <c r="B2120" s="1782"/>
      <c r="C2120" s="1782"/>
      <c r="D2120" s="1782"/>
      <c r="E2120" s="1782"/>
      <c r="F2120" s="1782"/>
      <c r="G2120" s="1782"/>
      <c r="H2120" s="1782"/>
      <c r="I2120" s="1782"/>
      <c r="J2120" s="1782"/>
      <c r="K2120" s="1782"/>
      <c r="L2120" s="1782"/>
      <c r="M2120" s="1782"/>
      <c r="N2120" s="1779"/>
    </row>
    <row r="2121" spans="1:14" x14ac:dyDescent="0.2">
      <c r="A2121" s="1778" t="s">
        <v>14</v>
      </c>
      <c r="B2121" s="1782"/>
      <c r="C2121" s="1782"/>
      <c r="D2121" s="1782"/>
      <c r="E2121" s="1782"/>
      <c r="F2121" s="1782"/>
      <c r="G2121" s="1779"/>
      <c r="H2121" s="1136" t="s">
        <v>15</v>
      </c>
      <c r="I2121" s="1783" t="s">
        <v>619</v>
      </c>
      <c r="J2121" s="1779"/>
      <c r="K2121" s="1783" t="s">
        <v>628</v>
      </c>
      <c r="L2121" s="1779"/>
      <c r="M2121" s="1783" t="s">
        <v>2140</v>
      </c>
      <c r="N2121" s="1779"/>
    </row>
    <row r="2122" spans="1:14" ht="13.5" customHeight="1" x14ac:dyDescent="0.2">
      <c r="A2122" s="1792" t="s">
        <v>1739</v>
      </c>
      <c r="B2122" s="1782"/>
      <c r="C2122" s="1782"/>
      <c r="D2122" s="1782"/>
      <c r="E2122" s="1782"/>
      <c r="F2122" s="1782"/>
      <c r="G2122" s="1779"/>
      <c r="H2122" s="1032" t="str">
        <f>IF(A2122="","",VLOOKUP(A2122,'10'!$C$6:$E$1152,2,FALSE))</f>
        <v>UND</v>
      </c>
      <c r="I2122" s="1785">
        <f>IF(A2122="","",VLOOKUP(A2122,'10'!$C$6:$E$1152,3,FALSE))</f>
        <v>4879000</v>
      </c>
      <c r="J2122" s="1412"/>
      <c r="K2122" s="1794">
        <v>1</v>
      </c>
      <c r="L2122" s="1795"/>
      <c r="M2122" s="1780">
        <f>K2122*I2122</f>
        <v>4879000</v>
      </c>
      <c r="N2122" s="1779"/>
    </row>
    <row r="2123" spans="1:14" ht="13.5" customHeight="1" x14ac:dyDescent="0.2">
      <c r="A2123" s="1792" t="s">
        <v>1454</v>
      </c>
      <c r="B2123" s="1782"/>
      <c r="C2123" s="1782"/>
      <c r="D2123" s="1782"/>
      <c r="E2123" s="1782"/>
      <c r="F2123" s="1782"/>
      <c r="G2123" s="1779"/>
      <c r="H2123" s="1032" t="str">
        <f>IF(A2123="","",VLOOKUP(A2123,'10'!$C$6:$E$1152,2,FALSE))</f>
        <v>UND</v>
      </c>
      <c r="I2123" s="1785">
        <f>IF(A2123="","",VLOOKUP(A2123,'10'!$C$6:$E$1152,3,FALSE))</f>
        <v>2033710</v>
      </c>
      <c r="J2123" s="1412"/>
      <c r="K2123" s="1794">
        <v>1</v>
      </c>
      <c r="L2123" s="1795"/>
      <c r="M2123" s="1780">
        <f t="shared" ref="M2123:M2129" si="101">K2123*I2123</f>
        <v>2033710</v>
      </c>
      <c r="N2123" s="1779"/>
    </row>
    <row r="2124" spans="1:14" ht="13.5" x14ac:dyDescent="0.2">
      <c r="A2124" s="1792" t="s">
        <v>1071</v>
      </c>
      <c r="B2124" s="1782"/>
      <c r="C2124" s="1782"/>
      <c r="D2124" s="1782"/>
      <c r="E2124" s="1782"/>
      <c r="F2124" s="1782"/>
      <c r="G2124" s="1779"/>
      <c r="H2124" s="1032" t="str">
        <f>IF(A2124="","",VLOOKUP(A2124,'10'!$C$6:$E$1152,2,FALSE))</f>
        <v>UND</v>
      </c>
      <c r="I2124" s="1785">
        <f>IF(A2124="","",VLOOKUP(A2124,'10'!$C$6:$E$1152,3,FALSE))</f>
        <v>1166200</v>
      </c>
      <c r="J2124" s="1412"/>
      <c r="K2124" s="1794">
        <v>1</v>
      </c>
      <c r="L2124" s="1795"/>
      <c r="M2124" s="1780">
        <f t="shared" si="101"/>
        <v>1166200</v>
      </c>
      <c r="N2124" s="1779"/>
    </row>
    <row r="2125" spans="1:14" ht="13.5" x14ac:dyDescent="0.2">
      <c r="A2125" s="1792" t="s">
        <v>1085</v>
      </c>
      <c r="B2125" s="1782"/>
      <c r="C2125" s="1782"/>
      <c r="D2125" s="1782"/>
      <c r="E2125" s="1782"/>
      <c r="F2125" s="1782"/>
      <c r="G2125" s="1779"/>
      <c r="H2125" s="1032" t="str">
        <f>IF(A2125="","",VLOOKUP(A2125,'10'!$C$6:$E$1152,2,FALSE))</f>
        <v>UND</v>
      </c>
      <c r="I2125" s="1785">
        <f>IF(A2125="","",VLOOKUP(A2125,'10'!$C$6:$E$1152,3,FALSE))</f>
        <v>140475</v>
      </c>
      <c r="J2125" s="1412"/>
      <c r="K2125" s="1794">
        <v>2</v>
      </c>
      <c r="L2125" s="1795"/>
      <c r="M2125" s="1780">
        <f t="shared" si="101"/>
        <v>280950</v>
      </c>
      <c r="N2125" s="1779"/>
    </row>
    <row r="2126" spans="1:14" ht="13.5" x14ac:dyDescent="0.2">
      <c r="A2126" s="1792" t="s">
        <v>161</v>
      </c>
      <c r="B2126" s="1782"/>
      <c r="C2126" s="1782"/>
      <c r="D2126" s="1782"/>
      <c r="E2126" s="1782"/>
      <c r="F2126" s="1782"/>
      <c r="G2126" s="1779"/>
      <c r="H2126" s="1032" t="str">
        <f>IF(A2126="","",VLOOKUP(A2126,'10'!$C$6:$E$1152,2,FALSE))</f>
        <v>M3</v>
      </c>
      <c r="I2126" s="1785" t="e">
        <f>IF(A2126="","",VLOOKUP(A2126,'10'!$C$6:$E$1152,3,FALSE))</f>
        <v>#REF!</v>
      </c>
      <c r="J2126" s="1412"/>
      <c r="K2126" s="1794">
        <v>3.5</v>
      </c>
      <c r="L2126" s="1795"/>
      <c r="M2126" s="1884" t="e">
        <f t="shared" si="101"/>
        <v>#REF!</v>
      </c>
      <c r="N2126" s="1885"/>
    </row>
    <row r="2127" spans="1:14" ht="13.5" x14ac:dyDescent="0.2">
      <c r="A2127" s="1792" t="s">
        <v>164</v>
      </c>
      <c r="B2127" s="1782"/>
      <c r="C2127" s="1782"/>
      <c r="D2127" s="1782"/>
      <c r="E2127" s="1782"/>
      <c r="F2127" s="1782"/>
      <c r="G2127" s="1779"/>
      <c r="H2127" s="1032" t="str">
        <f>IF(A2127="","",VLOOKUP(A2127,'10'!$C$6:$E$1152,2,FALSE))</f>
        <v>KG</v>
      </c>
      <c r="I2127" s="1785">
        <f>IF(A2127="","",VLOOKUP(A2127,'10'!$C$6:$E$1152,3,FALSE))</f>
        <v>4500</v>
      </c>
      <c r="J2127" s="1412"/>
      <c r="K2127" s="1794">
        <v>490</v>
      </c>
      <c r="L2127" s="1795"/>
      <c r="M2127" s="1780">
        <f t="shared" si="101"/>
        <v>2205000</v>
      </c>
      <c r="N2127" s="1779"/>
    </row>
    <row r="2128" spans="1:14" ht="13.5" x14ac:dyDescent="0.2">
      <c r="A2128" s="1792" t="s">
        <v>1736</v>
      </c>
      <c r="B2128" s="1782"/>
      <c r="C2128" s="1782"/>
      <c r="D2128" s="1782"/>
      <c r="E2128" s="1782"/>
      <c r="F2128" s="1782"/>
      <c r="G2128" s="1779"/>
      <c r="H2128" s="1032" t="str">
        <f>IF(A2128="","",VLOOKUP(A2128,'10'!$C$6:$E$1152,2,FALSE))</f>
        <v>KG</v>
      </c>
      <c r="I2128" s="1785">
        <f>IF(A2128="","",VLOOKUP(A2128,'10'!$C$6:$E$1152,3,FALSE))</f>
        <v>8300</v>
      </c>
      <c r="J2128" s="1412"/>
      <c r="K2128" s="1794">
        <v>0.5</v>
      </c>
      <c r="L2128" s="1795"/>
      <c r="M2128" s="1780">
        <f t="shared" si="101"/>
        <v>4150</v>
      </c>
      <c r="N2128" s="1779"/>
    </row>
    <row r="2129" spans="1:14" ht="13.5" x14ac:dyDescent="0.2">
      <c r="A2129" s="1792" t="s">
        <v>1451</v>
      </c>
      <c r="B2129" s="1782"/>
      <c r="C2129" s="1782"/>
      <c r="D2129" s="1782"/>
      <c r="E2129" s="1782"/>
      <c r="F2129" s="1782"/>
      <c r="G2129" s="1779"/>
      <c r="H2129" s="1032" t="str">
        <f>IF(A2129="","",VLOOKUP(A2129,'10'!$C$6:$E$1152,2,FALSE))</f>
        <v>UND</v>
      </c>
      <c r="I2129" s="1785">
        <f>IF(A2129="","",VLOOKUP(A2129,'10'!$C$6:$E$1152,3,FALSE))</f>
        <v>30983</v>
      </c>
      <c r="J2129" s="1412"/>
      <c r="K2129" s="1794">
        <v>0.12</v>
      </c>
      <c r="L2129" s="1795"/>
      <c r="M2129" s="1780">
        <f t="shared" si="101"/>
        <v>3717.96</v>
      </c>
      <c r="N2129" s="1779"/>
    </row>
    <row r="2130" spans="1:14" ht="13.5" x14ac:dyDescent="0.2">
      <c r="A2130" s="1792"/>
      <c r="B2130" s="1782"/>
      <c r="C2130" s="1782"/>
      <c r="D2130" s="1782"/>
      <c r="E2130" s="1782"/>
      <c r="F2130" s="1782"/>
      <c r="G2130" s="1779"/>
      <c r="H2130" s="1032"/>
      <c r="I2130" s="1785"/>
      <c r="J2130" s="1412"/>
      <c r="K2130" s="1794"/>
      <c r="L2130" s="1795"/>
      <c r="M2130" s="1780"/>
      <c r="N2130" s="1779"/>
    </row>
    <row r="2131" spans="1:14" ht="13.5" x14ac:dyDescent="0.2">
      <c r="A2131" s="1792"/>
      <c r="B2131" s="1782"/>
      <c r="C2131" s="1782"/>
      <c r="D2131" s="1782"/>
      <c r="E2131" s="1782"/>
      <c r="F2131" s="1782"/>
      <c r="G2131" s="1779"/>
      <c r="H2131" s="1032"/>
      <c r="I2131" s="1785"/>
      <c r="J2131" s="1412"/>
      <c r="K2131" s="1794"/>
      <c r="L2131" s="1795"/>
      <c r="M2131" s="1780"/>
      <c r="N2131" s="1779"/>
    </row>
    <row r="2132" spans="1:14" ht="13.5" x14ac:dyDescent="0.25">
      <c r="A2132" s="1138"/>
      <c r="B2132" s="1138"/>
      <c r="C2132" s="1138"/>
      <c r="D2132" s="1138"/>
      <c r="E2132" s="1138"/>
      <c r="F2132" s="1138"/>
      <c r="G2132" s="1138"/>
      <c r="H2132" s="1138"/>
      <c r="I2132" s="1138"/>
      <c r="J2132" s="1138"/>
      <c r="K2132" s="1778" t="s">
        <v>523</v>
      </c>
      <c r="L2132" s="1779"/>
      <c r="M2132" s="1780" t="e">
        <f>SUM(M2122:N2126)</f>
        <v>#REF!</v>
      </c>
      <c r="N2132" s="1779"/>
    </row>
    <row r="2133" spans="1:14" ht="13.5" x14ac:dyDescent="0.25">
      <c r="A2133" s="1138"/>
      <c r="B2133" s="1138"/>
      <c r="C2133" s="1138"/>
      <c r="D2133" s="1138"/>
      <c r="E2133" s="1138"/>
      <c r="F2133" s="1138"/>
      <c r="G2133" s="1138"/>
      <c r="H2133" s="1138"/>
      <c r="I2133" s="1138"/>
      <c r="J2133" s="1138"/>
      <c r="K2133" s="1138"/>
      <c r="L2133" s="1138"/>
      <c r="M2133" s="1138"/>
      <c r="N2133" s="1138"/>
    </row>
    <row r="2134" spans="1:14" x14ac:dyDescent="0.2">
      <c r="A2134" s="1781" t="s">
        <v>2145</v>
      </c>
      <c r="B2134" s="1782"/>
      <c r="C2134" s="1782"/>
      <c r="D2134" s="1782"/>
      <c r="E2134" s="1782"/>
      <c r="F2134" s="1782"/>
      <c r="G2134" s="1782"/>
      <c r="H2134" s="1782"/>
      <c r="I2134" s="1782"/>
      <c r="J2134" s="1782"/>
      <c r="K2134" s="1782"/>
      <c r="L2134" s="1782"/>
      <c r="M2134" s="1782"/>
      <c r="N2134" s="1779"/>
    </row>
    <row r="2135" spans="1:14" x14ac:dyDescent="0.2">
      <c r="A2135" s="1778" t="s">
        <v>14</v>
      </c>
      <c r="B2135" s="1782"/>
      <c r="C2135" s="1782"/>
      <c r="D2135" s="1782"/>
      <c r="E2135" s="1782"/>
      <c r="F2135" s="1782"/>
      <c r="G2135" s="1779"/>
      <c r="H2135" s="1136" t="s">
        <v>15</v>
      </c>
      <c r="I2135" s="1783" t="s">
        <v>619</v>
      </c>
      <c r="J2135" s="1779"/>
      <c r="K2135" s="1783" t="s">
        <v>610</v>
      </c>
      <c r="L2135" s="1779"/>
      <c r="M2135" s="1783" t="s">
        <v>2140</v>
      </c>
      <c r="N2135" s="1779"/>
    </row>
    <row r="2136" spans="1:14" ht="13.5" x14ac:dyDescent="0.2">
      <c r="A2136" s="1789" t="s">
        <v>131</v>
      </c>
      <c r="B2136" s="1790"/>
      <c r="C2136" s="1790"/>
      <c r="D2136" s="1790"/>
      <c r="E2136" s="1790"/>
      <c r="F2136" s="1790"/>
      <c r="G2136" s="1791"/>
      <c r="H2136" s="1032" t="str">
        <f>IF(A2136="","",VLOOKUP(A2136,'11'!$C$6:$E$87,2,FALSE))</f>
        <v>DIA</v>
      </c>
      <c r="I2136" s="1785">
        <f>IF(A2136="","",VLOOKUP(A2136,'11'!$C$6:$E$87,3,FALSE))</f>
        <v>15000</v>
      </c>
      <c r="J2136" s="1412"/>
      <c r="K2136" s="1787">
        <v>18</v>
      </c>
      <c r="L2136" s="1793"/>
      <c r="M2136" s="1780">
        <f>I2136/K2136</f>
        <v>833.33333333333337</v>
      </c>
      <c r="N2136" s="1779"/>
    </row>
    <row r="2137" spans="1:14" ht="13.5" x14ac:dyDescent="0.2">
      <c r="A2137" s="1789"/>
      <c r="B2137" s="1790"/>
      <c r="C2137" s="1790"/>
      <c r="D2137" s="1790"/>
      <c r="E2137" s="1790"/>
      <c r="F2137" s="1790"/>
      <c r="G2137" s="1791"/>
      <c r="H2137" s="1032"/>
      <c r="I2137" s="1785"/>
      <c r="J2137" s="1412"/>
      <c r="K2137" s="1787"/>
      <c r="L2137" s="1793"/>
      <c r="M2137" s="1780"/>
      <c r="N2137" s="1779"/>
    </row>
    <row r="2138" spans="1:14" ht="13.5" x14ac:dyDescent="0.2">
      <c r="A2138" s="1789"/>
      <c r="B2138" s="1790"/>
      <c r="C2138" s="1790"/>
      <c r="D2138" s="1790"/>
      <c r="E2138" s="1790"/>
      <c r="F2138" s="1790"/>
      <c r="G2138" s="1791"/>
      <c r="H2138" s="1032"/>
      <c r="I2138" s="1785"/>
      <c r="J2138" s="1412"/>
      <c r="K2138" s="1787"/>
      <c r="L2138" s="1793"/>
      <c r="M2138" s="1780"/>
      <c r="N2138" s="1779"/>
    </row>
    <row r="2139" spans="1:14" ht="13.5" x14ac:dyDescent="0.2">
      <c r="A2139" s="1789"/>
      <c r="B2139" s="1790"/>
      <c r="C2139" s="1790"/>
      <c r="D2139" s="1790"/>
      <c r="E2139" s="1790"/>
      <c r="F2139" s="1790"/>
      <c r="G2139" s="1791"/>
      <c r="H2139" s="1032"/>
      <c r="I2139" s="1785"/>
      <c r="J2139" s="1412"/>
      <c r="K2139" s="1787"/>
      <c r="L2139" s="1793"/>
      <c r="M2139" s="1780"/>
      <c r="N2139" s="1779"/>
    </row>
    <row r="2140" spans="1:14" ht="13.5" x14ac:dyDescent="0.2">
      <c r="A2140" s="1789"/>
      <c r="B2140" s="1790"/>
      <c r="C2140" s="1790"/>
      <c r="D2140" s="1790"/>
      <c r="E2140" s="1790"/>
      <c r="F2140" s="1790"/>
      <c r="G2140" s="1791"/>
      <c r="H2140" s="1032"/>
      <c r="I2140" s="1785"/>
      <c r="J2140" s="1412"/>
      <c r="K2140" s="1787"/>
      <c r="L2140" s="1793"/>
      <c r="M2140" s="1780"/>
      <c r="N2140" s="1779"/>
    </row>
    <row r="2141" spans="1:14" ht="13.5" x14ac:dyDescent="0.2">
      <c r="A2141" s="1789"/>
      <c r="B2141" s="1790"/>
      <c r="C2141" s="1790"/>
      <c r="D2141" s="1790"/>
      <c r="E2141" s="1790"/>
      <c r="F2141" s="1790"/>
      <c r="G2141" s="1791"/>
      <c r="H2141" s="1032"/>
      <c r="I2141" s="1785"/>
      <c r="J2141" s="1412"/>
      <c r="K2141" s="1787"/>
      <c r="L2141" s="1793"/>
      <c r="M2141" s="1780"/>
      <c r="N2141" s="1779"/>
    </row>
    <row r="2142" spans="1:14" ht="13.5" x14ac:dyDescent="0.2">
      <c r="A2142" s="1789"/>
      <c r="B2142" s="1790"/>
      <c r="C2142" s="1790"/>
      <c r="D2142" s="1790"/>
      <c r="E2142" s="1790"/>
      <c r="F2142" s="1790"/>
      <c r="G2142" s="1791"/>
      <c r="H2142" s="1032"/>
      <c r="I2142" s="1785"/>
      <c r="J2142" s="1412"/>
      <c r="K2142" s="1787"/>
      <c r="L2142" s="1793"/>
      <c r="M2142" s="1780"/>
      <c r="N2142" s="1779"/>
    </row>
    <row r="2143" spans="1:14" ht="13.5" x14ac:dyDescent="0.2">
      <c r="A2143" s="1789"/>
      <c r="B2143" s="1790"/>
      <c r="C2143" s="1790"/>
      <c r="D2143" s="1790"/>
      <c r="E2143" s="1790"/>
      <c r="F2143" s="1790"/>
      <c r="G2143" s="1791"/>
      <c r="H2143" s="1032"/>
      <c r="I2143" s="1785"/>
      <c r="J2143" s="1412"/>
      <c r="K2143" s="1787"/>
      <c r="L2143" s="1779"/>
      <c r="M2143" s="1780"/>
      <c r="N2143" s="1779"/>
    </row>
    <row r="2144" spans="1:14" ht="13.5" x14ac:dyDescent="0.2">
      <c r="A2144" s="1789"/>
      <c r="B2144" s="1790"/>
      <c r="C2144" s="1790"/>
      <c r="D2144" s="1790"/>
      <c r="E2144" s="1790"/>
      <c r="F2144" s="1790"/>
      <c r="G2144" s="1791"/>
      <c r="H2144" s="1032"/>
      <c r="I2144" s="1785"/>
      <c r="J2144" s="1412"/>
      <c r="K2144" s="1787"/>
      <c r="L2144" s="1779"/>
      <c r="M2144" s="1780"/>
      <c r="N2144" s="1779"/>
    </row>
    <row r="2145" spans="1:14" ht="13.5" x14ac:dyDescent="0.2">
      <c r="A2145" s="1789"/>
      <c r="B2145" s="1782"/>
      <c r="C2145" s="1782"/>
      <c r="D2145" s="1782"/>
      <c r="E2145" s="1782"/>
      <c r="F2145" s="1782"/>
      <c r="G2145" s="1779"/>
      <c r="H2145" s="1137"/>
      <c r="I2145" s="1780"/>
      <c r="J2145" s="1779"/>
      <c r="K2145" s="1787"/>
      <c r="L2145" s="1779"/>
      <c r="M2145" s="1780"/>
      <c r="N2145" s="1779"/>
    </row>
    <row r="2146" spans="1:14" ht="13.5" x14ac:dyDescent="0.25">
      <c r="A2146" s="1138"/>
      <c r="B2146" s="1138"/>
      <c r="C2146" s="1138"/>
      <c r="D2146" s="1138"/>
      <c r="E2146" s="1138"/>
      <c r="F2146" s="1138"/>
      <c r="G2146" s="1138"/>
      <c r="H2146" s="1138"/>
      <c r="I2146" s="1138"/>
      <c r="J2146" s="1138"/>
      <c r="K2146" s="1778" t="s">
        <v>523</v>
      </c>
      <c r="L2146" s="1779"/>
      <c r="M2146" s="1780">
        <f>SUM(M2136:N2145)</f>
        <v>833.33333333333337</v>
      </c>
      <c r="N2146" s="1779"/>
    </row>
    <row r="2147" spans="1:14" ht="13.5" x14ac:dyDescent="0.25">
      <c r="A2147" s="1138"/>
      <c r="B2147" s="1138"/>
      <c r="C2147" s="1138"/>
      <c r="D2147" s="1138"/>
      <c r="E2147" s="1138"/>
      <c r="F2147" s="1138"/>
      <c r="G2147" s="1138"/>
      <c r="H2147" s="1138"/>
      <c r="I2147" s="1138"/>
      <c r="J2147" s="1138"/>
      <c r="K2147" s="1138"/>
      <c r="L2147" s="1138"/>
      <c r="M2147" s="1138"/>
      <c r="N2147" s="1138"/>
    </row>
    <row r="2148" spans="1:14" x14ac:dyDescent="0.2">
      <c r="A2148" s="1781" t="s">
        <v>2147</v>
      </c>
      <c r="B2148" s="1782"/>
      <c r="C2148" s="1782"/>
      <c r="D2148" s="1782"/>
      <c r="E2148" s="1782"/>
      <c r="F2148" s="1782"/>
      <c r="G2148" s="1782"/>
      <c r="H2148" s="1782"/>
      <c r="I2148" s="1782"/>
      <c r="J2148" s="1782"/>
      <c r="K2148" s="1782"/>
      <c r="L2148" s="1782"/>
      <c r="M2148" s="1782"/>
      <c r="N2148" s="1779"/>
    </row>
    <row r="2149" spans="1:14" x14ac:dyDescent="0.2">
      <c r="A2149" s="1778" t="s">
        <v>14</v>
      </c>
      <c r="B2149" s="1782"/>
      <c r="C2149" s="1782"/>
      <c r="D2149" s="1782"/>
      <c r="E2149" s="1782"/>
      <c r="F2149" s="1782"/>
      <c r="G2149" s="1779"/>
      <c r="H2149" s="1136" t="s">
        <v>15</v>
      </c>
      <c r="I2149" s="1783" t="s">
        <v>619</v>
      </c>
      <c r="J2149" s="1779"/>
      <c r="K2149" s="1783" t="s">
        <v>628</v>
      </c>
      <c r="L2149" s="1779"/>
      <c r="M2149" s="1783" t="s">
        <v>2140</v>
      </c>
      <c r="N2149" s="1779"/>
    </row>
    <row r="2150" spans="1:14" ht="13.5" x14ac:dyDescent="0.2">
      <c r="A2150" s="1792" t="s">
        <v>2328</v>
      </c>
      <c r="B2150" s="1782"/>
      <c r="C2150" s="1782"/>
      <c r="D2150" s="1782"/>
      <c r="E2150" s="1782"/>
      <c r="F2150" s="1782"/>
      <c r="G2150" s="1779"/>
      <c r="H2150" s="1032" t="str">
        <f>IF(A2150="","",VLOOKUP(A2150,'11'!$C$6:$E$1012,2,FALSE))</f>
        <v>KM-M3</v>
      </c>
      <c r="I2150" s="1785">
        <f>IF(A2150="","",VLOOKUP(A2150,'11'!$C$6:$E$1012,3,FALSE))</f>
        <v>1440</v>
      </c>
      <c r="J2150" s="1412"/>
      <c r="K2150" s="1787">
        <f>+'01'!$B$15</f>
        <v>5</v>
      </c>
      <c r="L2150" s="1793"/>
      <c r="M2150" s="1780">
        <f t="shared" ref="M2150" si="102">IF(A2150="","",I2150*K2150)</f>
        <v>7200</v>
      </c>
      <c r="N2150" s="1779"/>
    </row>
    <row r="2151" spans="1:14" ht="13.5" x14ac:dyDescent="0.2">
      <c r="A2151" s="1786"/>
      <c r="B2151" s="1782"/>
      <c r="C2151" s="1782"/>
      <c r="D2151" s="1782"/>
      <c r="E2151" s="1782"/>
      <c r="F2151" s="1782"/>
      <c r="G2151" s="1779"/>
      <c r="H2151" s="1032"/>
      <c r="I2151" s="1780"/>
      <c r="J2151" s="1779"/>
      <c r="K2151" s="1787"/>
      <c r="L2151" s="1779"/>
      <c r="M2151" s="1780"/>
      <c r="N2151" s="1779"/>
    </row>
    <row r="2152" spans="1:14" ht="13.5" x14ac:dyDescent="0.2">
      <c r="A2152" s="1786"/>
      <c r="B2152" s="1782"/>
      <c r="C2152" s="1782"/>
      <c r="D2152" s="1782"/>
      <c r="E2152" s="1782"/>
      <c r="F2152" s="1782"/>
      <c r="G2152" s="1779"/>
      <c r="H2152" s="1032"/>
      <c r="I2152" s="1780"/>
      <c r="J2152" s="1779"/>
      <c r="K2152" s="1788"/>
      <c r="L2152" s="1779"/>
      <c r="M2152" s="1780"/>
      <c r="N2152" s="1779"/>
    </row>
    <row r="2153" spans="1:14" ht="13.5" x14ac:dyDescent="0.2">
      <c r="A2153" s="1789"/>
      <c r="B2153" s="1782"/>
      <c r="C2153" s="1782"/>
      <c r="D2153" s="1782"/>
      <c r="E2153" s="1782"/>
      <c r="F2153" s="1782"/>
      <c r="G2153" s="1779"/>
      <c r="H2153" s="1137"/>
      <c r="I2153" s="1780"/>
      <c r="J2153" s="1779"/>
      <c r="K2153" s="1787"/>
      <c r="L2153" s="1779"/>
      <c r="M2153" s="1780"/>
      <c r="N2153" s="1779"/>
    </row>
    <row r="2154" spans="1:14" ht="13.5" x14ac:dyDescent="0.2">
      <c r="A2154" s="1789"/>
      <c r="B2154" s="1782"/>
      <c r="C2154" s="1782"/>
      <c r="D2154" s="1782"/>
      <c r="E2154" s="1782"/>
      <c r="F2154" s="1782"/>
      <c r="G2154" s="1779"/>
      <c r="H2154" s="1137"/>
      <c r="I2154" s="1780"/>
      <c r="J2154" s="1779"/>
      <c r="K2154" s="1787"/>
      <c r="L2154" s="1779"/>
      <c r="M2154" s="1780"/>
      <c r="N2154" s="1779"/>
    </row>
    <row r="2155" spans="1:14" ht="13.5" x14ac:dyDescent="0.25">
      <c r="A2155" s="1138"/>
      <c r="B2155" s="1138"/>
      <c r="C2155" s="1138"/>
      <c r="D2155" s="1138"/>
      <c r="E2155" s="1138"/>
      <c r="F2155" s="1138"/>
      <c r="G2155" s="1138"/>
      <c r="H2155" s="1138"/>
      <c r="I2155" s="1138"/>
      <c r="J2155" s="1138"/>
      <c r="K2155" s="1778" t="s">
        <v>523</v>
      </c>
      <c r="L2155" s="1779"/>
      <c r="M2155" s="1780">
        <f>SUM(M2150:N2154)</f>
        <v>7200</v>
      </c>
      <c r="N2155" s="1779"/>
    </row>
    <row r="2156" spans="1:14" ht="13.5" x14ac:dyDescent="0.25">
      <c r="A2156" s="1138"/>
      <c r="B2156" s="1138"/>
      <c r="C2156" s="1138"/>
      <c r="D2156" s="1138"/>
      <c r="E2156" s="1138"/>
      <c r="F2156" s="1138"/>
      <c r="G2156" s="1138"/>
      <c r="H2156" s="1138"/>
      <c r="I2156" s="1138"/>
      <c r="J2156" s="1138"/>
      <c r="K2156" s="1138"/>
      <c r="L2156" s="1138"/>
      <c r="M2156" s="1138"/>
      <c r="N2156" s="1138"/>
    </row>
    <row r="2157" spans="1:14" x14ac:dyDescent="0.2">
      <c r="A2157" s="1781" t="s">
        <v>2150</v>
      </c>
      <c r="B2157" s="1782"/>
      <c r="C2157" s="1782"/>
      <c r="D2157" s="1782"/>
      <c r="E2157" s="1782"/>
      <c r="F2157" s="1782"/>
      <c r="G2157" s="1782"/>
      <c r="H2157" s="1782"/>
      <c r="I2157" s="1782"/>
      <c r="J2157" s="1782"/>
      <c r="K2157" s="1782"/>
      <c r="L2157" s="1782"/>
      <c r="M2157" s="1782"/>
      <c r="N2157" s="1779"/>
    </row>
    <row r="2158" spans="1:14" x14ac:dyDescent="0.2">
      <c r="A2158" s="1778" t="s">
        <v>14</v>
      </c>
      <c r="B2158" s="1782"/>
      <c r="C2158" s="1782"/>
      <c r="D2158" s="1782"/>
      <c r="E2158" s="1782"/>
      <c r="F2158" s="1782"/>
      <c r="G2158" s="1779"/>
      <c r="H2158" s="1136" t="s">
        <v>15</v>
      </c>
      <c r="I2158" s="1783" t="s">
        <v>619</v>
      </c>
      <c r="J2158" s="1779"/>
      <c r="K2158" s="1139" t="s">
        <v>1919</v>
      </c>
      <c r="L2158" s="1140" t="s">
        <v>2151</v>
      </c>
      <c r="M2158" s="1783" t="s">
        <v>2140</v>
      </c>
      <c r="N2158" s="1779"/>
    </row>
    <row r="2159" spans="1:14" ht="13.5" x14ac:dyDescent="0.25">
      <c r="A2159" s="1784" t="s">
        <v>2257</v>
      </c>
      <c r="B2159" s="1782"/>
      <c r="C2159" s="1782"/>
      <c r="D2159" s="1782"/>
      <c r="E2159" s="1782"/>
      <c r="F2159" s="1782"/>
      <c r="G2159" s="1779"/>
      <c r="H2159" s="1032" t="str">
        <f>IF(A2159="","",VLOOKUP(A2159,'09'!$A$22:$O$168,4,FALSE))</f>
        <v>Cuadrilla</v>
      </c>
      <c r="I2159" s="1785">
        <f>IF(A2159="","",VLOOKUP(A2159,'09'!$A$22:$O$168,5,FALSE))</f>
        <v>379362</v>
      </c>
      <c r="J2159" s="1412"/>
      <c r="K2159" s="1034">
        <f>IF(A2159="","",'03'!$I$2)</f>
        <v>1.88995</v>
      </c>
      <c r="L2159" s="1142">
        <v>0.04</v>
      </c>
      <c r="M2159" s="1780">
        <f>I2159*K2159/(L2159*8)</f>
        <v>2240547.5371874999</v>
      </c>
      <c r="N2159" s="1779"/>
    </row>
    <row r="2160" spans="1:14" ht="13.5" x14ac:dyDescent="0.25">
      <c r="A2160" s="1784"/>
      <c r="B2160" s="1782"/>
      <c r="C2160" s="1782"/>
      <c r="D2160" s="1782"/>
      <c r="E2160" s="1782"/>
      <c r="F2160" s="1782"/>
      <c r="G2160" s="1779"/>
      <c r="H2160" s="1137"/>
      <c r="I2160" s="1780"/>
      <c r="J2160" s="1779"/>
      <c r="K2160" s="1141"/>
      <c r="L2160" s="1141"/>
      <c r="M2160" s="1780"/>
      <c r="N2160" s="1779"/>
    </row>
    <row r="2161" spans="1:14" ht="13.5" x14ac:dyDescent="0.25">
      <c r="A2161" s="1784"/>
      <c r="B2161" s="1782"/>
      <c r="C2161" s="1782"/>
      <c r="D2161" s="1782"/>
      <c r="E2161" s="1782"/>
      <c r="F2161" s="1782"/>
      <c r="G2161" s="1779"/>
      <c r="H2161" s="1137"/>
      <c r="I2161" s="1780"/>
      <c r="J2161" s="1779"/>
      <c r="K2161" s="1141"/>
      <c r="L2161" s="1143"/>
      <c r="M2161" s="1780"/>
      <c r="N2161" s="1779"/>
    </row>
    <row r="2162" spans="1:14" ht="13.5" x14ac:dyDescent="0.25">
      <c r="A2162" s="1784"/>
      <c r="B2162" s="1782"/>
      <c r="C2162" s="1782"/>
      <c r="D2162" s="1782"/>
      <c r="E2162" s="1782"/>
      <c r="F2162" s="1782"/>
      <c r="G2162" s="1779"/>
      <c r="H2162" s="1137"/>
      <c r="I2162" s="1780"/>
      <c r="J2162" s="1779"/>
      <c r="K2162" s="1141"/>
      <c r="L2162" s="1143"/>
      <c r="M2162" s="1780"/>
      <c r="N2162" s="1779"/>
    </row>
    <row r="2163" spans="1:14" ht="13.5" x14ac:dyDescent="0.25">
      <c r="A2163" s="1784"/>
      <c r="B2163" s="1782"/>
      <c r="C2163" s="1782"/>
      <c r="D2163" s="1782"/>
      <c r="E2163" s="1782"/>
      <c r="F2163" s="1782"/>
      <c r="G2163" s="1779"/>
      <c r="H2163" s="1137"/>
      <c r="I2163" s="1780"/>
      <c r="J2163" s="1779"/>
      <c r="K2163" s="1141"/>
      <c r="L2163" s="1143"/>
      <c r="M2163" s="1780"/>
      <c r="N2163" s="1779"/>
    </row>
    <row r="2164" spans="1:14" ht="13.5" x14ac:dyDescent="0.25">
      <c r="A2164" s="1138"/>
      <c r="B2164" s="1138"/>
      <c r="C2164" s="1138"/>
      <c r="D2164" s="1138"/>
      <c r="E2164" s="1138"/>
      <c r="F2164" s="1138"/>
      <c r="G2164" s="1138"/>
      <c r="H2164" s="1138"/>
      <c r="I2164" s="1138"/>
      <c r="J2164" s="1138"/>
      <c r="K2164" s="1778" t="s">
        <v>523</v>
      </c>
      <c r="L2164" s="1779"/>
      <c r="M2164" s="1780">
        <f>SUM(M2159:N2163)</f>
        <v>2240547.5371874999</v>
      </c>
      <c r="N2164" s="1779"/>
    </row>
    <row r="2165" spans="1:14" x14ac:dyDescent="0.2">
      <c r="I2165" s="1414"/>
      <c r="J2165" s="1415"/>
      <c r="K2165" s="1415"/>
      <c r="L2165" s="1415"/>
      <c r="M2165" s="1415"/>
      <c r="N2165" s="1415"/>
    </row>
    <row r="2166" spans="1:14" ht="13.5" thickBot="1" x14ac:dyDescent="0.25">
      <c r="I2166" s="1416"/>
      <c r="J2166" s="1416"/>
      <c r="K2166" s="1416"/>
      <c r="L2166" s="1416"/>
      <c r="M2166" s="1416"/>
      <c r="N2166" s="1416"/>
    </row>
    <row r="2167" spans="1:14" ht="14.25" thickTop="1" x14ac:dyDescent="0.2">
      <c r="I2167" s="1417" t="s">
        <v>1829</v>
      </c>
      <c r="J2167" s="1418"/>
      <c r="K2167" s="1417" t="s">
        <v>2653</v>
      </c>
      <c r="L2167" s="1418"/>
      <c r="M2167" s="1418"/>
      <c r="N2167" s="1418"/>
    </row>
    <row r="2168" spans="1:14" ht="13.5" x14ac:dyDescent="0.2">
      <c r="I2168" s="1419" t="s">
        <v>1831</v>
      </c>
      <c r="J2168" s="1420"/>
      <c r="K2168" s="1419"/>
      <c r="L2168" s="1420"/>
      <c r="M2168" s="1420"/>
      <c r="N2168" s="1420"/>
    </row>
    <row r="2169" spans="1:14" x14ac:dyDescent="0.2">
      <c r="A2169" s="1796" t="s">
        <v>2391</v>
      </c>
      <c r="B2169" s="1797"/>
      <c r="C2169" s="1797"/>
      <c r="D2169" s="1797"/>
      <c r="E2169" s="1797"/>
      <c r="F2169" s="1797"/>
      <c r="G2169" s="1797"/>
      <c r="H2169" s="1797"/>
      <c r="I2169" s="1797"/>
      <c r="J2169" s="1797"/>
      <c r="K2169" s="1797"/>
      <c r="L2169" s="1797"/>
      <c r="M2169" s="1797"/>
      <c r="N2169" s="1798"/>
    </row>
    <row r="2170" spans="1:14" x14ac:dyDescent="0.2">
      <c r="A2170" s="1799"/>
      <c r="B2170" s="1800"/>
      <c r="C2170" s="1800"/>
      <c r="D2170" s="1800"/>
      <c r="E2170" s="1800"/>
      <c r="F2170" s="1800"/>
      <c r="G2170" s="1800"/>
      <c r="H2170" s="1800"/>
      <c r="I2170" s="1800"/>
      <c r="J2170" s="1800"/>
      <c r="K2170" s="1800"/>
      <c r="L2170" s="1800"/>
      <c r="M2170" s="1800"/>
      <c r="N2170" s="1801"/>
    </row>
    <row r="2171" spans="1:14" ht="13.5" x14ac:dyDescent="0.2">
      <c r="A2171" s="1128"/>
      <c r="B2171" s="1128"/>
      <c r="C2171" s="1128"/>
      <c r="D2171" s="1128"/>
      <c r="E2171" s="1128"/>
      <c r="F2171" s="1128"/>
      <c r="G2171" s="1128"/>
      <c r="H2171" s="1128"/>
      <c r="I2171" s="1128"/>
      <c r="J2171" s="1128"/>
      <c r="K2171" s="1128"/>
      <c r="L2171" s="1128"/>
      <c r="M2171" s="1128"/>
      <c r="N2171" s="1128"/>
    </row>
    <row r="2172" spans="1:14" ht="14.25" x14ac:dyDescent="0.3">
      <c r="A2172" s="1104" t="s">
        <v>2390</v>
      </c>
      <c r="B2172" s="1129" t="str">
        <f>A2169</f>
        <v>MÓDULOS DE DIVISIÓN DE CUBICULOS DE OFICINA. INCLUYE TODO LO NECESARIO PARA SU CORRECTA INSTALACIÓN Y FUNCIONAMIENTO.</v>
      </c>
      <c r="C2172" s="1130" t="s">
        <v>634</v>
      </c>
      <c r="D2172" s="1107" t="s">
        <v>4</v>
      </c>
      <c r="E2172" s="1132" t="s">
        <v>1833</v>
      </c>
      <c r="F2172" s="1133">
        <f>H2172+J2172+L2172+N2172</f>
        <v>644199.87370192306</v>
      </c>
      <c r="G2172" s="1132" t="s">
        <v>2136</v>
      </c>
      <c r="H2172" s="1133">
        <f>M2200</f>
        <v>500</v>
      </c>
      <c r="I2172" s="1132" t="s">
        <v>621</v>
      </c>
      <c r="J2172" s="1134">
        <f>M2186</f>
        <v>500000</v>
      </c>
      <c r="K2172" s="1132" t="s">
        <v>2137</v>
      </c>
      <c r="L2172" s="1133">
        <f>M2209</f>
        <v>28800</v>
      </c>
      <c r="M2172" s="1132" t="s">
        <v>2138</v>
      </c>
      <c r="N2172" s="1133">
        <f>M2218</f>
        <v>114899.87370192308</v>
      </c>
    </row>
    <row r="2173" spans="1:14" ht="13.5" x14ac:dyDescent="0.25">
      <c r="A2173" s="1135"/>
      <c r="B2173" s="1135"/>
      <c r="C2173" s="1135"/>
      <c r="D2173" s="1135"/>
      <c r="E2173" s="1135"/>
      <c r="F2173" s="1135"/>
      <c r="G2173" s="1135"/>
      <c r="J2173" s="1135"/>
      <c r="K2173" s="1135"/>
      <c r="L2173" s="1135"/>
      <c r="M2173" s="1270" t="s">
        <v>2667</v>
      </c>
      <c r="N2173" s="1270">
        <f>+F2172*'01'!$O$15</f>
        <v>833790.41373438016</v>
      </c>
    </row>
    <row r="2174" spans="1:14" x14ac:dyDescent="0.2">
      <c r="A2174" s="1781" t="s">
        <v>2139</v>
      </c>
      <c r="B2174" s="1782"/>
      <c r="C2174" s="1782"/>
      <c r="D2174" s="1782"/>
      <c r="E2174" s="1782"/>
      <c r="F2174" s="1782"/>
      <c r="G2174" s="1782"/>
      <c r="H2174" s="1782"/>
      <c r="I2174" s="1782"/>
      <c r="J2174" s="1782"/>
      <c r="K2174" s="1782"/>
      <c r="L2174" s="1782"/>
      <c r="M2174" s="1782"/>
      <c r="N2174" s="1779"/>
    </row>
    <row r="2175" spans="1:14" x14ac:dyDescent="0.2">
      <c r="A2175" s="1778" t="s">
        <v>14</v>
      </c>
      <c r="B2175" s="1782"/>
      <c r="C2175" s="1782"/>
      <c r="D2175" s="1782"/>
      <c r="E2175" s="1782"/>
      <c r="F2175" s="1782"/>
      <c r="G2175" s="1779"/>
      <c r="H2175" s="1136" t="s">
        <v>15</v>
      </c>
      <c r="I2175" s="1783" t="s">
        <v>619</v>
      </c>
      <c r="J2175" s="1779"/>
      <c r="K2175" s="1783" t="s">
        <v>628</v>
      </c>
      <c r="L2175" s="1779"/>
      <c r="M2175" s="1783" t="s">
        <v>2140</v>
      </c>
      <c r="N2175" s="1779"/>
    </row>
    <row r="2176" spans="1:14" ht="13.5" customHeight="1" x14ac:dyDescent="0.2">
      <c r="A2176" s="1792" t="s">
        <v>1671</v>
      </c>
      <c r="B2176" s="1782"/>
      <c r="C2176" s="1782"/>
      <c r="D2176" s="1782"/>
      <c r="E2176" s="1782"/>
      <c r="F2176" s="1782"/>
      <c r="G2176" s="1779"/>
      <c r="H2176" s="1032" t="str">
        <f>IF(A2176="","",VLOOKUP(A2176,'10'!$C$6:$E$1152,2,FALSE))</f>
        <v>M2</v>
      </c>
      <c r="I2176" s="1785">
        <f>IF(A2176="","",VLOOKUP(A2176,'10'!$C$6:$E$1152,3,FALSE))</f>
        <v>500000</v>
      </c>
      <c r="J2176" s="1412"/>
      <c r="K2176" s="1794">
        <v>1</v>
      </c>
      <c r="L2176" s="1795"/>
      <c r="M2176" s="1780">
        <f>K2176*I2176</f>
        <v>500000</v>
      </c>
      <c r="N2176" s="1779"/>
    </row>
    <row r="2177" spans="1:14" ht="13.5" customHeight="1" x14ac:dyDescent="0.2">
      <c r="A2177" s="1792"/>
      <c r="B2177" s="1782"/>
      <c r="C2177" s="1782"/>
      <c r="D2177" s="1782"/>
      <c r="E2177" s="1782"/>
      <c r="F2177" s="1782"/>
      <c r="G2177" s="1779"/>
      <c r="H2177" s="1032"/>
      <c r="I2177" s="1785"/>
      <c r="J2177" s="1412"/>
      <c r="K2177" s="1794"/>
      <c r="L2177" s="1795"/>
      <c r="M2177" s="1780"/>
      <c r="N2177" s="1779"/>
    </row>
    <row r="2178" spans="1:14" ht="13.5" x14ac:dyDescent="0.2">
      <c r="A2178" s="1792"/>
      <c r="B2178" s="1782"/>
      <c r="C2178" s="1782"/>
      <c r="D2178" s="1782"/>
      <c r="E2178" s="1782"/>
      <c r="F2178" s="1782"/>
      <c r="G2178" s="1779"/>
      <c r="H2178" s="1032"/>
      <c r="I2178" s="1785"/>
      <c r="J2178" s="1412"/>
      <c r="K2178" s="1794"/>
      <c r="L2178" s="1795"/>
      <c r="M2178" s="1780"/>
      <c r="N2178" s="1779"/>
    </row>
    <row r="2179" spans="1:14" ht="13.5" x14ac:dyDescent="0.2">
      <c r="A2179" s="1792"/>
      <c r="B2179" s="1782"/>
      <c r="C2179" s="1782"/>
      <c r="D2179" s="1782"/>
      <c r="E2179" s="1782"/>
      <c r="F2179" s="1782"/>
      <c r="G2179" s="1779"/>
      <c r="H2179" s="1032"/>
      <c r="I2179" s="1785"/>
      <c r="J2179" s="1412"/>
      <c r="K2179" s="1794"/>
      <c r="L2179" s="1795"/>
      <c r="M2179" s="1780"/>
      <c r="N2179" s="1779"/>
    </row>
    <row r="2180" spans="1:14" ht="13.5" x14ac:dyDescent="0.2">
      <c r="A2180" s="1792"/>
      <c r="B2180" s="1782"/>
      <c r="C2180" s="1782"/>
      <c r="D2180" s="1782"/>
      <c r="E2180" s="1782"/>
      <c r="F2180" s="1782"/>
      <c r="G2180" s="1779"/>
      <c r="H2180" s="1032"/>
      <c r="I2180" s="1785"/>
      <c r="J2180" s="1412"/>
      <c r="K2180" s="1794"/>
      <c r="L2180" s="1795"/>
      <c r="M2180" s="1780"/>
      <c r="N2180" s="1779"/>
    </row>
    <row r="2181" spans="1:14" ht="13.5" x14ac:dyDescent="0.2">
      <c r="A2181" s="1792"/>
      <c r="B2181" s="1782"/>
      <c r="C2181" s="1782"/>
      <c r="D2181" s="1782"/>
      <c r="E2181" s="1782"/>
      <c r="F2181" s="1782"/>
      <c r="G2181" s="1779"/>
      <c r="H2181" s="1032"/>
      <c r="I2181" s="1785"/>
      <c r="J2181" s="1412"/>
      <c r="K2181" s="1794"/>
      <c r="L2181" s="1795"/>
      <c r="M2181" s="1780"/>
      <c r="N2181" s="1779"/>
    </row>
    <row r="2182" spans="1:14" ht="13.5" x14ac:dyDescent="0.2">
      <c r="A2182" s="1792"/>
      <c r="B2182" s="1782"/>
      <c r="C2182" s="1782"/>
      <c r="D2182" s="1782"/>
      <c r="E2182" s="1782"/>
      <c r="F2182" s="1782"/>
      <c r="G2182" s="1779"/>
      <c r="H2182" s="1032"/>
      <c r="I2182" s="1785"/>
      <c r="J2182" s="1412"/>
      <c r="K2182" s="1794"/>
      <c r="L2182" s="1795"/>
      <c r="M2182" s="1780"/>
      <c r="N2182" s="1779"/>
    </row>
    <row r="2183" spans="1:14" ht="13.5" x14ac:dyDescent="0.2">
      <c r="A2183" s="1792"/>
      <c r="B2183" s="1782"/>
      <c r="C2183" s="1782"/>
      <c r="D2183" s="1782"/>
      <c r="E2183" s="1782"/>
      <c r="F2183" s="1782"/>
      <c r="G2183" s="1779"/>
      <c r="H2183" s="1032"/>
      <c r="I2183" s="1785"/>
      <c r="J2183" s="1412"/>
      <c r="K2183" s="1794"/>
      <c r="L2183" s="1795"/>
      <c r="M2183" s="1780"/>
      <c r="N2183" s="1779"/>
    </row>
    <row r="2184" spans="1:14" ht="13.5" x14ac:dyDescent="0.2">
      <c r="A2184" s="1792"/>
      <c r="B2184" s="1782"/>
      <c r="C2184" s="1782"/>
      <c r="D2184" s="1782"/>
      <c r="E2184" s="1782"/>
      <c r="F2184" s="1782"/>
      <c r="G2184" s="1779"/>
      <c r="H2184" s="1032"/>
      <c r="I2184" s="1785"/>
      <c r="J2184" s="1412"/>
      <c r="K2184" s="1794"/>
      <c r="L2184" s="1795"/>
      <c r="M2184" s="1780"/>
      <c r="N2184" s="1779"/>
    </row>
    <row r="2185" spans="1:14" ht="13.5" x14ac:dyDescent="0.2">
      <c r="A2185" s="1792"/>
      <c r="B2185" s="1782"/>
      <c r="C2185" s="1782"/>
      <c r="D2185" s="1782"/>
      <c r="E2185" s="1782"/>
      <c r="F2185" s="1782"/>
      <c r="G2185" s="1779"/>
      <c r="H2185" s="1032"/>
      <c r="I2185" s="1785"/>
      <c r="J2185" s="1412"/>
      <c r="K2185" s="1794"/>
      <c r="L2185" s="1795"/>
      <c r="M2185" s="1780"/>
      <c r="N2185" s="1779"/>
    </row>
    <row r="2186" spans="1:14" ht="13.5" x14ac:dyDescent="0.25">
      <c r="A2186" s="1138"/>
      <c r="B2186" s="1138"/>
      <c r="C2186" s="1138"/>
      <c r="D2186" s="1138"/>
      <c r="E2186" s="1138"/>
      <c r="F2186" s="1138"/>
      <c r="G2186" s="1138"/>
      <c r="H2186" s="1138"/>
      <c r="I2186" s="1138"/>
      <c r="J2186" s="1138"/>
      <c r="K2186" s="1778" t="s">
        <v>523</v>
      </c>
      <c r="L2186" s="1779"/>
      <c r="M2186" s="1780">
        <f>SUM(M2176:N2180)</f>
        <v>500000</v>
      </c>
      <c r="N2186" s="1779"/>
    </row>
    <row r="2187" spans="1:14" ht="13.5" x14ac:dyDescent="0.25">
      <c r="A2187" s="1138"/>
      <c r="B2187" s="1138"/>
      <c r="C2187" s="1138"/>
      <c r="D2187" s="1138"/>
      <c r="E2187" s="1138"/>
      <c r="F2187" s="1138"/>
      <c r="G2187" s="1138"/>
      <c r="H2187" s="1138"/>
      <c r="I2187" s="1138"/>
      <c r="J2187" s="1138"/>
      <c r="K2187" s="1138"/>
      <c r="L2187" s="1138"/>
      <c r="M2187" s="1138"/>
      <c r="N2187" s="1138"/>
    </row>
    <row r="2188" spans="1:14" x14ac:dyDescent="0.2">
      <c r="A2188" s="1781" t="s">
        <v>2145</v>
      </c>
      <c r="B2188" s="1782"/>
      <c r="C2188" s="1782"/>
      <c r="D2188" s="1782"/>
      <c r="E2188" s="1782"/>
      <c r="F2188" s="1782"/>
      <c r="G2188" s="1782"/>
      <c r="H2188" s="1782"/>
      <c r="I2188" s="1782"/>
      <c r="J2188" s="1782"/>
      <c r="K2188" s="1782"/>
      <c r="L2188" s="1782"/>
      <c r="M2188" s="1782"/>
      <c r="N2188" s="1779"/>
    </row>
    <row r="2189" spans="1:14" x14ac:dyDescent="0.2">
      <c r="A2189" s="1778" t="s">
        <v>14</v>
      </c>
      <c r="B2189" s="1782"/>
      <c r="C2189" s="1782"/>
      <c r="D2189" s="1782"/>
      <c r="E2189" s="1782"/>
      <c r="F2189" s="1782"/>
      <c r="G2189" s="1779"/>
      <c r="H2189" s="1136" t="s">
        <v>15</v>
      </c>
      <c r="I2189" s="1783" t="s">
        <v>619</v>
      </c>
      <c r="J2189" s="1779"/>
      <c r="K2189" s="1783" t="s">
        <v>610</v>
      </c>
      <c r="L2189" s="1779"/>
      <c r="M2189" s="1783" t="s">
        <v>2140</v>
      </c>
      <c r="N2189" s="1779"/>
    </row>
    <row r="2190" spans="1:14" ht="13.5" x14ac:dyDescent="0.2">
      <c r="A2190" s="1789" t="s">
        <v>131</v>
      </c>
      <c r="B2190" s="1790"/>
      <c r="C2190" s="1790"/>
      <c r="D2190" s="1790"/>
      <c r="E2190" s="1790"/>
      <c r="F2190" s="1790"/>
      <c r="G2190" s="1791"/>
      <c r="H2190" s="1032" t="str">
        <f>IF(A2190="","",VLOOKUP(A2190,'11'!$C$6:$E$87,2,FALSE))</f>
        <v>DIA</v>
      </c>
      <c r="I2190" s="1785">
        <f>IF(A2190="","",VLOOKUP(A2190,'11'!$C$6:$E$87,3,FALSE))</f>
        <v>15000</v>
      </c>
      <c r="J2190" s="1412"/>
      <c r="K2190" s="1787">
        <v>30</v>
      </c>
      <c r="L2190" s="1793"/>
      <c r="M2190" s="1780">
        <f>I2190/K2190</f>
        <v>500</v>
      </c>
      <c r="N2190" s="1779"/>
    </row>
    <row r="2191" spans="1:14" ht="13.5" x14ac:dyDescent="0.2">
      <c r="A2191" s="1789"/>
      <c r="B2191" s="1790"/>
      <c r="C2191" s="1790"/>
      <c r="D2191" s="1790"/>
      <c r="E2191" s="1790"/>
      <c r="F2191" s="1790"/>
      <c r="G2191" s="1791"/>
      <c r="H2191" s="1032"/>
      <c r="I2191" s="1785"/>
      <c r="J2191" s="1412"/>
      <c r="K2191" s="1787"/>
      <c r="L2191" s="1793"/>
      <c r="M2191" s="1780"/>
      <c r="N2191" s="1779"/>
    </row>
    <row r="2192" spans="1:14" ht="13.5" x14ac:dyDescent="0.2">
      <c r="A2192" s="1789"/>
      <c r="B2192" s="1790"/>
      <c r="C2192" s="1790"/>
      <c r="D2192" s="1790"/>
      <c r="E2192" s="1790"/>
      <c r="F2192" s="1790"/>
      <c r="G2192" s="1791"/>
      <c r="H2192" s="1032"/>
      <c r="I2192" s="1785"/>
      <c r="J2192" s="1412"/>
      <c r="K2192" s="1787"/>
      <c r="L2192" s="1793"/>
      <c r="M2192" s="1780"/>
      <c r="N2192" s="1779"/>
    </row>
    <row r="2193" spans="1:14" ht="13.5" x14ac:dyDescent="0.2">
      <c r="A2193" s="1789"/>
      <c r="B2193" s="1790"/>
      <c r="C2193" s="1790"/>
      <c r="D2193" s="1790"/>
      <c r="E2193" s="1790"/>
      <c r="F2193" s="1790"/>
      <c r="G2193" s="1791"/>
      <c r="H2193" s="1032"/>
      <c r="I2193" s="1785"/>
      <c r="J2193" s="1412"/>
      <c r="K2193" s="1787"/>
      <c r="L2193" s="1793"/>
      <c r="M2193" s="1780"/>
      <c r="N2193" s="1779"/>
    </row>
    <row r="2194" spans="1:14" ht="13.5" x14ac:dyDescent="0.2">
      <c r="A2194" s="1789"/>
      <c r="B2194" s="1790"/>
      <c r="C2194" s="1790"/>
      <c r="D2194" s="1790"/>
      <c r="E2194" s="1790"/>
      <c r="F2194" s="1790"/>
      <c r="G2194" s="1791"/>
      <c r="H2194" s="1032"/>
      <c r="I2194" s="1785"/>
      <c r="J2194" s="1412"/>
      <c r="K2194" s="1787"/>
      <c r="L2194" s="1793"/>
      <c r="M2194" s="1780"/>
      <c r="N2194" s="1779"/>
    </row>
    <row r="2195" spans="1:14" ht="13.5" x14ac:dyDescent="0.2">
      <c r="A2195" s="1789"/>
      <c r="B2195" s="1790"/>
      <c r="C2195" s="1790"/>
      <c r="D2195" s="1790"/>
      <c r="E2195" s="1790"/>
      <c r="F2195" s="1790"/>
      <c r="G2195" s="1791"/>
      <c r="H2195" s="1032"/>
      <c r="I2195" s="1785"/>
      <c r="J2195" s="1412"/>
      <c r="K2195" s="1787"/>
      <c r="L2195" s="1793"/>
      <c r="M2195" s="1780"/>
      <c r="N2195" s="1779"/>
    </row>
    <row r="2196" spans="1:14" ht="13.5" x14ac:dyDescent="0.2">
      <c r="A2196" s="1789"/>
      <c r="B2196" s="1790"/>
      <c r="C2196" s="1790"/>
      <c r="D2196" s="1790"/>
      <c r="E2196" s="1790"/>
      <c r="F2196" s="1790"/>
      <c r="G2196" s="1791"/>
      <c r="H2196" s="1032"/>
      <c r="I2196" s="1785"/>
      <c r="J2196" s="1412"/>
      <c r="K2196" s="1787"/>
      <c r="L2196" s="1793"/>
      <c r="M2196" s="1780"/>
      <c r="N2196" s="1779"/>
    </row>
    <row r="2197" spans="1:14" ht="13.5" x14ac:dyDescent="0.2">
      <c r="A2197" s="1789"/>
      <c r="B2197" s="1790"/>
      <c r="C2197" s="1790"/>
      <c r="D2197" s="1790"/>
      <c r="E2197" s="1790"/>
      <c r="F2197" s="1790"/>
      <c r="G2197" s="1791"/>
      <c r="H2197" s="1032"/>
      <c r="I2197" s="1785"/>
      <c r="J2197" s="1412"/>
      <c r="K2197" s="1787"/>
      <c r="L2197" s="1779"/>
      <c r="M2197" s="1780"/>
      <c r="N2197" s="1779"/>
    </row>
    <row r="2198" spans="1:14" ht="13.5" x14ac:dyDescent="0.2">
      <c r="A2198" s="1789"/>
      <c r="B2198" s="1790"/>
      <c r="C2198" s="1790"/>
      <c r="D2198" s="1790"/>
      <c r="E2198" s="1790"/>
      <c r="F2198" s="1790"/>
      <c r="G2198" s="1791"/>
      <c r="H2198" s="1032"/>
      <c r="I2198" s="1785"/>
      <c r="J2198" s="1412"/>
      <c r="K2198" s="1787"/>
      <c r="L2198" s="1779"/>
      <c r="M2198" s="1780"/>
      <c r="N2198" s="1779"/>
    </row>
    <row r="2199" spans="1:14" ht="13.5" x14ac:dyDescent="0.2">
      <c r="A2199" s="1789"/>
      <c r="B2199" s="1782"/>
      <c r="C2199" s="1782"/>
      <c r="D2199" s="1782"/>
      <c r="E2199" s="1782"/>
      <c r="F2199" s="1782"/>
      <c r="G2199" s="1779"/>
      <c r="H2199" s="1137"/>
      <c r="I2199" s="1780"/>
      <c r="J2199" s="1779"/>
      <c r="K2199" s="1787"/>
      <c r="L2199" s="1779"/>
      <c r="M2199" s="1780"/>
      <c r="N2199" s="1779"/>
    </row>
    <row r="2200" spans="1:14" ht="13.5" x14ac:dyDescent="0.25">
      <c r="A2200" s="1138"/>
      <c r="B2200" s="1138"/>
      <c r="C2200" s="1138"/>
      <c r="D2200" s="1138"/>
      <c r="E2200" s="1138"/>
      <c r="F2200" s="1138"/>
      <c r="G2200" s="1138"/>
      <c r="H2200" s="1138"/>
      <c r="I2200" s="1138"/>
      <c r="J2200" s="1138"/>
      <c r="K2200" s="1778" t="s">
        <v>523</v>
      </c>
      <c r="L2200" s="1779"/>
      <c r="M2200" s="1780">
        <f>SUM(M2190:N2199)</f>
        <v>500</v>
      </c>
      <c r="N2200" s="1779"/>
    </row>
    <row r="2201" spans="1:14" ht="13.5" x14ac:dyDescent="0.25">
      <c r="A2201" s="1138"/>
      <c r="B2201" s="1138"/>
      <c r="C2201" s="1138"/>
      <c r="D2201" s="1138"/>
      <c r="E2201" s="1138"/>
      <c r="F2201" s="1138"/>
      <c r="G2201" s="1138"/>
      <c r="H2201" s="1138"/>
      <c r="I2201" s="1138"/>
      <c r="J2201" s="1138"/>
      <c r="K2201" s="1138"/>
      <c r="L2201" s="1138"/>
      <c r="M2201" s="1138"/>
      <c r="N2201" s="1138"/>
    </row>
    <row r="2202" spans="1:14" x14ac:dyDescent="0.2">
      <c r="A2202" s="1781" t="s">
        <v>2147</v>
      </c>
      <c r="B2202" s="1782"/>
      <c r="C2202" s="1782"/>
      <c r="D2202" s="1782"/>
      <c r="E2202" s="1782"/>
      <c r="F2202" s="1782"/>
      <c r="G2202" s="1782"/>
      <c r="H2202" s="1782"/>
      <c r="I2202" s="1782"/>
      <c r="J2202" s="1782"/>
      <c r="K2202" s="1782"/>
      <c r="L2202" s="1782"/>
      <c r="M2202" s="1782"/>
      <c r="N2202" s="1779"/>
    </row>
    <row r="2203" spans="1:14" x14ac:dyDescent="0.2">
      <c r="A2203" s="1778" t="s">
        <v>14</v>
      </c>
      <c r="B2203" s="1782"/>
      <c r="C2203" s="1782"/>
      <c r="D2203" s="1782"/>
      <c r="E2203" s="1782"/>
      <c r="F2203" s="1782"/>
      <c r="G2203" s="1779"/>
      <c r="H2203" s="1136" t="s">
        <v>15</v>
      </c>
      <c r="I2203" s="1783" t="s">
        <v>619</v>
      </c>
      <c r="J2203" s="1779"/>
      <c r="K2203" s="1783" t="s">
        <v>628</v>
      </c>
      <c r="L2203" s="1779"/>
      <c r="M2203" s="1783" t="s">
        <v>2140</v>
      </c>
      <c r="N2203" s="1779"/>
    </row>
    <row r="2204" spans="1:14" ht="13.5" x14ac:dyDescent="0.2">
      <c r="A2204" s="1792" t="s">
        <v>2328</v>
      </c>
      <c r="B2204" s="1782"/>
      <c r="C2204" s="1782"/>
      <c r="D2204" s="1782"/>
      <c r="E2204" s="1782"/>
      <c r="F2204" s="1782"/>
      <c r="G2204" s="1779"/>
      <c r="H2204" s="1032" t="str">
        <f>IF(A2204="","",VLOOKUP(A2204,'11'!$C$6:$E$1012,2,FALSE))</f>
        <v>KM-M3</v>
      </c>
      <c r="I2204" s="1785">
        <f>IF(A2204="","",VLOOKUP(A2204,'11'!$C$6:$E$1012,3,FALSE))</f>
        <v>1440</v>
      </c>
      <c r="J2204" s="1412"/>
      <c r="K2204" s="1787">
        <v>20</v>
      </c>
      <c r="L2204" s="1793"/>
      <c r="M2204" s="1780">
        <f t="shared" ref="M2204" si="103">IF(A2204="","",I2204*K2204)</f>
        <v>28800</v>
      </c>
      <c r="N2204" s="1779"/>
    </row>
    <row r="2205" spans="1:14" ht="13.5" x14ac:dyDescent="0.2">
      <c r="A2205" s="1786"/>
      <c r="B2205" s="1782"/>
      <c r="C2205" s="1782"/>
      <c r="D2205" s="1782"/>
      <c r="E2205" s="1782"/>
      <c r="F2205" s="1782"/>
      <c r="G2205" s="1779"/>
      <c r="H2205" s="1032"/>
      <c r="I2205" s="1780"/>
      <c r="J2205" s="1779"/>
      <c r="K2205" s="1787"/>
      <c r="L2205" s="1779"/>
      <c r="M2205" s="1780"/>
      <c r="N2205" s="1779"/>
    </row>
    <row r="2206" spans="1:14" ht="13.5" x14ac:dyDescent="0.2">
      <c r="A2206" s="1786"/>
      <c r="B2206" s="1782"/>
      <c r="C2206" s="1782"/>
      <c r="D2206" s="1782"/>
      <c r="E2206" s="1782"/>
      <c r="F2206" s="1782"/>
      <c r="G2206" s="1779"/>
      <c r="H2206" s="1032"/>
      <c r="I2206" s="1780"/>
      <c r="J2206" s="1779"/>
      <c r="K2206" s="1788"/>
      <c r="L2206" s="1779"/>
      <c r="M2206" s="1780"/>
      <c r="N2206" s="1779"/>
    </row>
    <row r="2207" spans="1:14" ht="13.5" x14ac:dyDescent="0.2">
      <c r="A2207" s="1789"/>
      <c r="B2207" s="1782"/>
      <c r="C2207" s="1782"/>
      <c r="D2207" s="1782"/>
      <c r="E2207" s="1782"/>
      <c r="F2207" s="1782"/>
      <c r="G2207" s="1779"/>
      <c r="H2207" s="1137"/>
      <c r="I2207" s="1780"/>
      <c r="J2207" s="1779"/>
      <c r="K2207" s="1787"/>
      <c r="L2207" s="1779"/>
      <c r="M2207" s="1780"/>
      <c r="N2207" s="1779"/>
    </row>
    <row r="2208" spans="1:14" ht="13.5" x14ac:dyDescent="0.2">
      <c r="A2208" s="1789"/>
      <c r="B2208" s="1782"/>
      <c r="C2208" s="1782"/>
      <c r="D2208" s="1782"/>
      <c r="E2208" s="1782"/>
      <c r="F2208" s="1782"/>
      <c r="G2208" s="1779"/>
      <c r="H2208" s="1137"/>
      <c r="I2208" s="1780"/>
      <c r="J2208" s="1779"/>
      <c r="K2208" s="1787"/>
      <c r="L2208" s="1779"/>
      <c r="M2208" s="1780"/>
      <c r="N2208" s="1779"/>
    </row>
    <row r="2209" spans="1:14" ht="13.5" x14ac:dyDescent="0.25">
      <c r="A2209" s="1138"/>
      <c r="B2209" s="1138"/>
      <c r="C2209" s="1138"/>
      <c r="D2209" s="1138"/>
      <c r="E2209" s="1138"/>
      <c r="F2209" s="1138"/>
      <c r="G2209" s="1138"/>
      <c r="H2209" s="1138"/>
      <c r="I2209" s="1138"/>
      <c r="J2209" s="1138"/>
      <c r="K2209" s="1778" t="s">
        <v>523</v>
      </c>
      <c r="L2209" s="1779"/>
      <c r="M2209" s="1780">
        <f>SUM(M2204:N2208)</f>
        <v>28800</v>
      </c>
      <c r="N2209" s="1779"/>
    </row>
    <row r="2210" spans="1:14" ht="13.5" x14ac:dyDescent="0.25">
      <c r="A2210" s="1138"/>
      <c r="B2210" s="1138"/>
      <c r="C2210" s="1138"/>
      <c r="D2210" s="1138"/>
      <c r="E2210" s="1138"/>
      <c r="F2210" s="1138"/>
      <c r="G2210" s="1138"/>
      <c r="H2210" s="1138"/>
      <c r="I2210" s="1138"/>
      <c r="J2210" s="1138"/>
      <c r="K2210" s="1138"/>
      <c r="L2210" s="1138"/>
      <c r="M2210" s="1138"/>
      <c r="N2210" s="1138"/>
    </row>
    <row r="2211" spans="1:14" x14ac:dyDescent="0.2">
      <c r="A2211" s="1781" t="s">
        <v>2150</v>
      </c>
      <c r="B2211" s="1782"/>
      <c r="C2211" s="1782"/>
      <c r="D2211" s="1782"/>
      <c r="E2211" s="1782"/>
      <c r="F2211" s="1782"/>
      <c r="G2211" s="1782"/>
      <c r="H2211" s="1782"/>
      <c r="I2211" s="1782"/>
      <c r="J2211" s="1782"/>
      <c r="K2211" s="1782"/>
      <c r="L2211" s="1782"/>
      <c r="M2211" s="1782"/>
      <c r="N2211" s="1779"/>
    </row>
    <row r="2212" spans="1:14" x14ac:dyDescent="0.2">
      <c r="A2212" s="1778" t="s">
        <v>14</v>
      </c>
      <c r="B2212" s="1782"/>
      <c r="C2212" s="1782"/>
      <c r="D2212" s="1782"/>
      <c r="E2212" s="1782"/>
      <c r="F2212" s="1782"/>
      <c r="G2212" s="1779"/>
      <c r="H2212" s="1136" t="s">
        <v>15</v>
      </c>
      <c r="I2212" s="1783" t="s">
        <v>619</v>
      </c>
      <c r="J2212" s="1779"/>
      <c r="K2212" s="1139" t="s">
        <v>1919</v>
      </c>
      <c r="L2212" s="1140" t="s">
        <v>2151</v>
      </c>
      <c r="M2212" s="1783" t="s">
        <v>2140</v>
      </c>
      <c r="N2212" s="1779"/>
    </row>
    <row r="2213" spans="1:14" ht="13.5" x14ac:dyDescent="0.25">
      <c r="A2213" s="1784" t="s">
        <v>2257</v>
      </c>
      <c r="B2213" s="1782"/>
      <c r="C2213" s="1782"/>
      <c r="D2213" s="1782"/>
      <c r="E2213" s="1782"/>
      <c r="F2213" s="1782"/>
      <c r="G2213" s="1779"/>
      <c r="H2213" s="1032" t="str">
        <f>IF(A2213="","",VLOOKUP(A2213,'09'!$A$22:$O$168,4,FALSE))</f>
        <v>Cuadrilla</v>
      </c>
      <c r="I2213" s="1785">
        <f>IF(A2213="","",VLOOKUP(A2213,'09'!$A$22:$O$168,5,FALSE))</f>
        <v>379362</v>
      </c>
      <c r="J2213" s="1412"/>
      <c r="K2213" s="1034">
        <f>IF(A2213="","",'03'!$I$2)</f>
        <v>1.88995</v>
      </c>
      <c r="L2213" s="1142">
        <v>0.78</v>
      </c>
      <c r="M2213" s="1780">
        <f>I2213*K2213/(L2213*8)</f>
        <v>114899.87370192308</v>
      </c>
      <c r="N2213" s="1779"/>
    </row>
    <row r="2214" spans="1:14" ht="13.5" x14ac:dyDescent="0.25">
      <c r="A2214" s="1784"/>
      <c r="B2214" s="1782"/>
      <c r="C2214" s="1782"/>
      <c r="D2214" s="1782"/>
      <c r="E2214" s="1782"/>
      <c r="F2214" s="1782"/>
      <c r="G2214" s="1779"/>
      <c r="H2214" s="1137"/>
      <c r="I2214" s="1780"/>
      <c r="J2214" s="1779"/>
      <c r="K2214" s="1141"/>
      <c r="L2214" s="1141"/>
      <c r="M2214" s="1780"/>
      <c r="N2214" s="1779"/>
    </row>
    <row r="2215" spans="1:14" ht="13.5" x14ac:dyDescent="0.25">
      <c r="A2215" s="1784"/>
      <c r="B2215" s="1782"/>
      <c r="C2215" s="1782"/>
      <c r="D2215" s="1782"/>
      <c r="E2215" s="1782"/>
      <c r="F2215" s="1782"/>
      <c r="G2215" s="1779"/>
      <c r="H2215" s="1137"/>
      <c r="I2215" s="1780"/>
      <c r="J2215" s="1779"/>
      <c r="K2215" s="1141"/>
      <c r="L2215" s="1143"/>
      <c r="M2215" s="1780"/>
      <c r="N2215" s="1779"/>
    </row>
    <row r="2216" spans="1:14" ht="13.5" x14ac:dyDescent="0.25">
      <c r="A2216" s="1784"/>
      <c r="B2216" s="1782"/>
      <c r="C2216" s="1782"/>
      <c r="D2216" s="1782"/>
      <c r="E2216" s="1782"/>
      <c r="F2216" s="1782"/>
      <c r="G2216" s="1779"/>
      <c r="H2216" s="1137"/>
      <c r="I2216" s="1780"/>
      <c r="J2216" s="1779"/>
      <c r="K2216" s="1141"/>
      <c r="L2216" s="1143"/>
      <c r="M2216" s="1780"/>
      <c r="N2216" s="1779"/>
    </row>
    <row r="2217" spans="1:14" ht="13.5" x14ac:dyDescent="0.25">
      <c r="A2217" s="1784"/>
      <c r="B2217" s="1782"/>
      <c r="C2217" s="1782"/>
      <c r="D2217" s="1782"/>
      <c r="E2217" s="1782"/>
      <c r="F2217" s="1782"/>
      <c r="G2217" s="1779"/>
      <c r="H2217" s="1137"/>
      <c r="I2217" s="1780"/>
      <c r="J2217" s="1779"/>
      <c r="K2217" s="1141"/>
      <c r="L2217" s="1143"/>
      <c r="M2217" s="1780"/>
      <c r="N2217" s="1779"/>
    </row>
    <row r="2218" spans="1:14" ht="13.5" x14ac:dyDescent="0.25">
      <c r="A2218" s="1138"/>
      <c r="B2218" s="1138"/>
      <c r="C2218" s="1138"/>
      <c r="D2218" s="1138"/>
      <c r="E2218" s="1138"/>
      <c r="F2218" s="1138"/>
      <c r="G2218" s="1138"/>
      <c r="H2218" s="1138"/>
      <c r="I2218" s="1138"/>
      <c r="J2218" s="1138"/>
      <c r="K2218" s="1778" t="s">
        <v>523</v>
      </c>
      <c r="L2218" s="1779"/>
      <c r="M2218" s="1780">
        <f>SUM(M2213:N2217)</f>
        <v>114899.87370192308</v>
      </c>
      <c r="N2218" s="1779"/>
    </row>
    <row r="2219" spans="1:14" x14ac:dyDescent="0.2">
      <c r="I2219" s="1414"/>
      <c r="J2219" s="1415"/>
      <c r="K2219" s="1415"/>
      <c r="L2219" s="1415"/>
      <c r="M2219" s="1415"/>
      <c r="N2219" s="1415"/>
    </row>
    <row r="2220" spans="1:14" ht="13.5" thickBot="1" x14ac:dyDescent="0.25">
      <c r="I2220" s="1416"/>
      <c r="J2220" s="1416"/>
      <c r="K2220" s="1416"/>
      <c r="L2220" s="1416"/>
      <c r="M2220" s="1416"/>
      <c r="N2220" s="1416"/>
    </row>
    <row r="2221" spans="1:14" ht="14.25" thickTop="1" x14ac:dyDescent="0.2">
      <c r="I2221" s="1417" t="s">
        <v>1829</v>
      </c>
      <c r="J2221" s="1418"/>
      <c r="K2221" s="1417" t="s">
        <v>2653</v>
      </c>
      <c r="L2221" s="1418"/>
      <c r="M2221" s="1418"/>
      <c r="N2221" s="1418"/>
    </row>
    <row r="2222" spans="1:14" ht="13.5" x14ac:dyDescent="0.2">
      <c r="I2222" s="1419" t="s">
        <v>1831</v>
      </c>
      <c r="J2222" s="1420"/>
      <c r="K2222" s="1419"/>
      <c r="L2222" s="1420"/>
      <c r="M2222" s="1420"/>
      <c r="N2222" s="1420"/>
    </row>
    <row r="2223" spans="1:14" x14ac:dyDescent="0.2">
      <c r="A2223" s="1796" t="s">
        <v>2393</v>
      </c>
      <c r="B2223" s="1797"/>
      <c r="C2223" s="1797"/>
      <c r="D2223" s="1797"/>
      <c r="E2223" s="1797"/>
      <c r="F2223" s="1797"/>
      <c r="G2223" s="1797"/>
      <c r="H2223" s="1797"/>
      <c r="I2223" s="1797"/>
      <c r="J2223" s="1797"/>
      <c r="K2223" s="1797"/>
      <c r="L2223" s="1797"/>
      <c r="M2223" s="1797"/>
      <c r="N2223" s="1798"/>
    </row>
    <row r="2224" spans="1:14" x14ac:dyDescent="0.2">
      <c r="A2224" s="1799"/>
      <c r="B2224" s="1800"/>
      <c r="C2224" s="1800"/>
      <c r="D2224" s="1800"/>
      <c r="E2224" s="1800"/>
      <c r="F2224" s="1800"/>
      <c r="G2224" s="1800"/>
      <c r="H2224" s="1800"/>
      <c r="I2224" s="1800"/>
      <c r="J2224" s="1800"/>
      <c r="K2224" s="1800"/>
      <c r="L2224" s="1800"/>
      <c r="M2224" s="1800"/>
      <c r="N2224" s="1801"/>
    </row>
    <row r="2225" spans="1:14" ht="13.5" x14ac:dyDescent="0.2">
      <c r="A2225" s="1128"/>
      <c r="B2225" s="1128"/>
      <c r="C2225" s="1128"/>
      <c r="D2225" s="1128"/>
      <c r="E2225" s="1128"/>
      <c r="F2225" s="1128"/>
      <c r="G2225" s="1128"/>
      <c r="H2225" s="1128"/>
      <c r="I2225" s="1128"/>
      <c r="J2225" s="1128"/>
      <c r="K2225" s="1128"/>
      <c r="L2225" s="1128"/>
      <c r="M2225" s="1128"/>
      <c r="N2225" s="1128"/>
    </row>
    <row r="2226" spans="1:14" ht="14.25" x14ac:dyDescent="0.3">
      <c r="A2226" s="1104" t="s">
        <v>2392</v>
      </c>
      <c r="B2226" s="1129" t="str">
        <f>A2223</f>
        <v>AIREADOR DE BANDEJAS (3 UNIDADES) DE SECCIÓN 1.34X1.34M. EN ACERO INOXIDABLE. LÁMINA CAL. 3/16", TUBERÍA CUADRADA DE 25X25X1.5MM PARA SOPORTE Y TUBERÍA CUADRADA DE 50X50X1.5 MM PARA ESTRUCTURA PRINCIPAL. INCLUYE ESCALERA DE GATO.</v>
      </c>
      <c r="C2226" s="1130" t="s">
        <v>634</v>
      </c>
      <c r="D2226" s="1107" t="s">
        <v>2</v>
      </c>
      <c r="E2226" s="1132" t="s">
        <v>1833</v>
      </c>
      <c r="F2226" s="1133">
        <f>H2226+J2226+L2226+N2226</f>
        <v>11842562.575678572</v>
      </c>
      <c r="G2226" s="1132" t="s">
        <v>2136</v>
      </c>
      <c r="H2226" s="1133">
        <f>M2254</f>
        <v>500</v>
      </c>
      <c r="I2226" s="1132" t="s">
        <v>621</v>
      </c>
      <c r="J2226" s="1134">
        <f>M2240</f>
        <v>11550000</v>
      </c>
      <c r="K2226" s="1132" t="s">
        <v>2137</v>
      </c>
      <c r="L2226" s="1133">
        <f>M2263</f>
        <v>36000</v>
      </c>
      <c r="M2226" s="1132" t="s">
        <v>2138</v>
      </c>
      <c r="N2226" s="1133">
        <f>M2272</f>
        <v>256062.57567857145</v>
      </c>
    </row>
    <row r="2227" spans="1:14" ht="13.5" x14ac:dyDescent="0.25">
      <c r="A2227" s="1135"/>
      <c r="B2227" s="1135"/>
      <c r="C2227" s="1135"/>
      <c r="D2227" s="1135"/>
      <c r="E2227" s="1135"/>
      <c r="F2227" s="1135"/>
      <c r="G2227" s="1135"/>
      <c r="J2227" s="1135"/>
      <c r="K2227" s="1135"/>
      <c r="L2227" s="1135"/>
      <c r="M2227" s="1270" t="s">
        <v>2667</v>
      </c>
      <c r="N2227" s="1270">
        <f>+F2226*'01'!$O$15</f>
        <v>15327875.016348125</v>
      </c>
    </row>
    <row r="2228" spans="1:14" x14ac:dyDescent="0.2">
      <c r="A2228" s="1781" t="s">
        <v>2139</v>
      </c>
      <c r="B2228" s="1782"/>
      <c r="C2228" s="1782"/>
      <c r="D2228" s="1782"/>
      <c r="E2228" s="1782"/>
      <c r="F2228" s="1782"/>
      <c r="G2228" s="1782"/>
      <c r="H2228" s="1782"/>
      <c r="I2228" s="1782"/>
      <c r="J2228" s="1782"/>
      <c r="K2228" s="1782"/>
      <c r="L2228" s="1782"/>
      <c r="M2228" s="1782"/>
      <c r="N2228" s="1779"/>
    </row>
    <row r="2229" spans="1:14" x14ac:dyDescent="0.2">
      <c r="A2229" s="1778" t="s">
        <v>14</v>
      </c>
      <c r="B2229" s="1782"/>
      <c r="C2229" s="1782"/>
      <c r="D2229" s="1782"/>
      <c r="E2229" s="1782"/>
      <c r="F2229" s="1782"/>
      <c r="G2229" s="1779"/>
      <c r="H2229" s="1136" t="s">
        <v>15</v>
      </c>
      <c r="I2229" s="1783" t="s">
        <v>619</v>
      </c>
      <c r="J2229" s="1779"/>
      <c r="K2229" s="1783" t="s">
        <v>628</v>
      </c>
      <c r="L2229" s="1779"/>
      <c r="M2229" s="1783" t="s">
        <v>2140</v>
      </c>
      <c r="N2229" s="1779"/>
    </row>
    <row r="2230" spans="1:14" ht="13.5" customHeight="1" x14ac:dyDescent="0.2">
      <c r="A2230" s="1792" t="s">
        <v>1708</v>
      </c>
      <c r="B2230" s="1782"/>
      <c r="C2230" s="1782"/>
      <c r="D2230" s="1782"/>
      <c r="E2230" s="1782"/>
      <c r="F2230" s="1782"/>
      <c r="G2230" s="1779"/>
      <c r="H2230" s="1032" t="str">
        <f>IF(A2230="","",VLOOKUP(A2230,'10'!$C$6:$E$1152,2,FALSE))</f>
        <v>UND</v>
      </c>
      <c r="I2230" s="1785">
        <f>IF(A2230="","",VLOOKUP(A2230,'10'!$C$6:$E$1152,3,FALSE))</f>
        <v>11550000</v>
      </c>
      <c r="J2230" s="1412"/>
      <c r="K2230" s="1794">
        <v>1</v>
      </c>
      <c r="L2230" s="1795"/>
      <c r="M2230" s="1780">
        <f>K2230*I2230</f>
        <v>11550000</v>
      </c>
      <c r="N2230" s="1779"/>
    </row>
    <row r="2231" spans="1:14" ht="13.5" customHeight="1" x14ac:dyDescent="0.2">
      <c r="A2231" s="1792"/>
      <c r="B2231" s="1782"/>
      <c r="C2231" s="1782"/>
      <c r="D2231" s="1782"/>
      <c r="E2231" s="1782"/>
      <c r="F2231" s="1782"/>
      <c r="G2231" s="1779"/>
      <c r="H2231" s="1032"/>
      <c r="I2231" s="1785"/>
      <c r="J2231" s="1412"/>
      <c r="K2231" s="1794"/>
      <c r="L2231" s="1795"/>
      <c r="M2231" s="1780"/>
      <c r="N2231" s="1779"/>
    </row>
    <row r="2232" spans="1:14" ht="13.5" x14ac:dyDescent="0.2">
      <c r="A2232" s="1792"/>
      <c r="B2232" s="1782"/>
      <c r="C2232" s="1782"/>
      <c r="D2232" s="1782"/>
      <c r="E2232" s="1782"/>
      <c r="F2232" s="1782"/>
      <c r="G2232" s="1779"/>
      <c r="H2232" s="1032"/>
      <c r="I2232" s="1785"/>
      <c r="J2232" s="1412"/>
      <c r="K2232" s="1794"/>
      <c r="L2232" s="1795"/>
      <c r="M2232" s="1780"/>
      <c r="N2232" s="1779"/>
    </row>
    <row r="2233" spans="1:14" ht="13.5" x14ac:dyDescent="0.2">
      <c r="A2233" s="1792"/>
      <c r="B2233" s="1782"/>
      <c r="C2233" s="1782"/>
      <c r="D2233" s="1782"/>
      <c r="E2233" s="1782"/>
      <c r="F2233" s="1782"/>
      <c r="G2233" s="1779"/>
      <c r="H2233" s="1032"/>
      <c r="I2233" s="1785"/>
      <c r="J2233" s="1412"/>
      <c r="K2233" s="1794"/>
      <c r="L2233" s="1795"/>
      <c r="M2233" s="1780"/>
      <c r="N2233" s="1779"/>
    </row>
    <row r="2234" spans="1:14" ht="13.5" x14ac:dyDescent="0.2">
      <c r="A2234" s="1792"/>
      <c r="B2234" s="1782"/>
      <c r="C2234" s="1782"/>
      <c r="D2234" s="1782"/>
      <c r="E2234" s="1782"/>
      <c r="F2234" s="1782"/>
      <c r="G2234" s="1779"/>
      <c r="H2234" s="1032"/>
      <c r="I2234" s="1785"/>
      <c r="J2234" s="1412"/>
      <c r="K2234" s="1794"/>
      <c r="L2234" s="1795"/>
      <c r="M2234" s="1780"/>
      <c r="N2234" s="1779"/>
    </row>
    <row r="2235" spans="1:14" ht="13.5" x14ac:dyDescent="0.2">
      <c r="A2235" s="1792"/>
      <c r="B2235" s="1782"/>
      <c r="C2235" s="1782"/>
      <c r="D2235" s="1782"/>
      <c r="E2235" s="1782"/>
      <c r="F2235" s="1782"/>
      <c r="G2235" s="1779"/>
      <c r="H2235" s="1032"/>
      <c r="I2235" s="1785"/>
      <c r="J2235" s="1412"/>
      <c r="K2235" s="1794"/>
      <c r="L2235" s="1795"/>
      <c r="M2235" s="1780"/>
      <c r="N2235" s="1779"/>
    </row>
    <row r="2236" spans="1:14" ht="13.5" x14ac:dyDescent="0.2">
      <c r="A2236" s="1792"/>
      <c r="B2236" s="1782"/>
      <c r="C2236" s="1782"/>
      <c r="D2236" s="1782"/>
      <c r="E2236" s="1782"/>
      <c r="F2236" s="1782"/>
      <c r="G2236" s="1779"/>
      <c r="H2236" s="1032"/>
      <c r="I2236" s="1785"/>
      <c r="J2236" s="1412"/>
      <c r="K2236" s="1794"/>
      <c r="L2236" s="1795"/>
      <c r="M2236" s="1780"/>
      <c r="N2236" s="1779"/>
    </row>
    <row r="2237" spans="1:14" ht="13.5" x14ac:dyDescent="0.2">
      <c r="A2237" s="1792"/>
      <c r="B2237" s="1782"/>
      <c r="C2237" s="1782"/>
      <c r="D2237" s="1782"/>
      <c r="E2237" s="1782"/>
      <c r="F2237" s="1782"/>
      <c r="G2237" s="1779"/>
      <c r="H2237" s="1032"/>
      <c r="I2237" s="1785"/>
      <c r="J2237" s="1412"/>
      <c r="K2237" s="1794"/>
      <c r="L2237" s="1795"/>
      <c r="M2237" s="1780"/>
      <c r="N2237" s="1779"/>
    </row>
    <row r="2238" spans="1:14" ht="13.5" x14ac:dyDescent="0.2">
      <c r="A2238" s="1792"/>
      <c r="B2238" s="1782"/>
      <c r="C2238" s="1782"/>
      <c r="D2238" s="1782"/>
      <c r="E2238" s="1782"/>
      <c r="F2238" s="1782"/>
      <c r="G2238" s="1779"/>
      <c r="H2238" s="1032"/>
      <c r="I2238" s="1785"/>
      <c r="J2238" s="1412"/>
      <c r="K2238" s="1794"/>
      <c r="L2238" s="1795"/>
      <c r="M2238" s="1780"/>
      <c r="N2238" s="1779"/>
    </row>
    <row r="2239" spans="1:14" ht="13.5" x14ac:dyDescent="0.2">
      <c r="A2239" s="1792"/>
      <c r="B2239" s="1782"/>
      <c r="C2239" s="1782"/>
      <c r="D2239" s="1782"/>
      <c r="E2239" s="1782"/>
      <c r="F2239" s="1782"/>
      <c r="G2239" s="1779"/>
      <c r="H2239" s="1032"/>
      <c r="I2239" s="1785"/>
      <c r="J2239" s="1412"/>
      <c r="K2239" s="1794"/>
      <c r="L2239" s="1795"/>
      <c r="M2239" s="1780"/>
      <c r="N2239" s="1779"/>
    </row>
    <row r="2240" spans="1:14" ht="13.5" x14ac:dyDescent="0.25">
      <c r="A2240" s="1138"/>
      <c r="B2240" s="1138"/>
      <c r="C2240" s="1138"/>
      <c r="D2240" s="1138"/>
      <c r="E2240" s="1138"/>
      <c r="F2240" s="1138"/>
      <c r="G2240" s="1138"/>
      <c r="H2240" s="1138"/>
      <c r="I2240" s="1138"/>
      <c r="J2240" s="1138"/>
      <c r="K2240" s="1778" t="s">
        <v>523</v>
      </c>
      <c r="L2240" s="1779"/>
      <c r="M2240" s="1780">
        <f>SUM(M2230:N2234)</f>
        <v>11550000</v>
      </c>
      <c r="N2240" s="1779"/>
    </row>
    <row r="2241" spans="1:14" ht="13.5" x14ac:dyDescent="0.25">
      <c r="A2241" s="1138"/>
      <c r="B2241" s="1138"/>
      <c r="C2241" s="1138"/>
      <c r="D2241" s="1138"/>
      <c r="E2241" s="1138"/>
      <c r="F2241" s="1138"/>
      <c r="G2241" s="1138"/>
      <c r="H2241" s="1138"/>
      <c r="I2241" s="1138"/>
      <c r="J2241" s="1138"/>
      <c r="K2241" s="1138"/>
      <c r="L2241" s="1138"/>
      <c r="M2241" s="1138"/>
      <c r="N2241" s="1138"/>
    </row>
    <row r="2242" spans="1:14" x14ac:dyDescent="0.2">
      <c r="A2242" s="1781" t="s">
        <v>2145</v>
      </c>
      <c r="B2242" s="1782"/>
      <c r="C2242" s="1782"/>
      <c r="D2242" s="1782"/>
      <c r="E2242" s="1782"/>
      <c r="F2242" s="1782"/>
      <c r="G2242" s="1782"/>
      <c r="H2242" s="1782"/>
      <c r="I2242" s="1782"/>
      <c r="J2242" s="1782"/>
      <c r="K2242" s="1782"/>
      <c r="L2242" s="1782"/>
      <c r="M2242" s="1782"/>
      <c r="N2242" s="1779"/>
    </row>
    <row r="2243" spans="1:14" x14ac:dyDescent="0.2">
      <c r="A2243" s="1778" t="s">
        <v>14</v>
      </c>
      <c r="B2243" s="1782"/>
      <c r="C2243" s="1782"/>
      <c r="D2243" s="1782"/>
      <c r="E2243" s="1782"/>
      <c r="F2243" s="1782"/>
      <c r="G2243" s="1779"/>
      <c r="H2243" s="1136" t="s">
        <v>15</v>
      </c>
      <c r="I2243" s="1783" t="s">
        <v>619</v>
      </c>
      <c r="J2243" s="1779"/>
      <c r="K2243" s="1783" t="s">
        <v>610</v>
      </c>
      <c r="L2243" s="1779"/>
      <c r="M2243" s="1783" t="s">
        <v>2140</v>
      </c>
      <c r="N2243" s="1779"/>
    </row>
    <row r="2244" spans="1:14" ht="13.5" x14ac:dyDescent="0.2">
      <c r="A2244" s="1789" t="s">
        <v>131</v>
      </c>
      <c r="B2244" s="1790"/>
      <c r="C2244" s="1790"/>
      <c r="D2244" s="1790"/>
      <c r="E2244" s="1790"/>
      <c r="F2244" s="1790"/>
      <c r="G2244" s="1791"/>
      <c r="H2244" s="1032" t="str">
        <f>IF(A2244="","",VLOOKUP(A2244,'11'!$C$6:$E$87,2,FALSE))</f>
        <v>DIA</v>
      </c>
      <c r="I2244" s="1785">
        <f>IF(A2244="","",VLOOKUP(A2244,'11'!$C$6:$E$87,3,FALSE))</f>
        <v>15000</v>
      </c>
      <c r="J2244" s="1412"/>
      <c r="K2244" s="1787">
        <v>30</v>
      </c>
      <c r="L2244" s="1793"/>
      <c r="M2244" s="1780">
        <f>I2244/K2244</f>
        <v>500</v>
      </c>
      <c r="N2244" s="1779"/>
    </row>
    <row r="2245" spans="1:14" ht="13.5" x14ac:dyDescent="0.2">
      <c r="A2245" s="1789"/>
      <c r="B2245" s="1790"/>
      <c r="C2245" s="1790"/>
      <c r="D2245" s="1790"/>
      <c r="E2245" s="1790"/>
      <c r="F2245" s="1790"/>
      <c r="G2245" s="1791"/>
      <c r="H2245" s="1032"/>
      <c r="I2245" s="1785"/>
      <c r="J2245" s="1412"/>
      <c r="K2245" s="1787"/>
      <c r="L2245" s="1793"/>
      <c r="M2245" s="1780"/>
      <c r="N2245" s="1779"/>
    </row>
    <row r="2246" spans="1:14" ht="13.5" x14ac:dyDescent="0.2">
      <c r="A2246" s="1789"/>
      <c r="B2246" s="1790"/>
      <c r="C2246" s="1790"/>
      <c r="D2246" s="1790"/>
      <c r="E2246" s="1790"/>
      <c r="F2246" s="1790"/>
      <c r="G2246" s="1791"/>
      <c r="H2246" s="1032"/>
      <c r="I2246" s="1785"/>
      <c r="J2246" s="1412"/>
      <c r="K2246" s="1787"/>
      <c r="L2246" s="1793"/>
      <c r="M2246" s="1780"/>
      <c r="N2246" s="1779"/>
    </row>
    <row r="2247" spans="1:14" ht="13.5" x14ac:dyDescent="0.2">
      <c r="A2247" s="1789"/>
      <c r="B2247" s="1790"/>
      <c r="C2247" s="1790"/>
      <c r="D2247" s="1790"/>
      <c r="E2247" s="1790"/>
      <c r="F2247" s="1790"/>
      <c r="G2247" s="1791"/>
      <c r="H2247" s="1032"/>
      <c r="I2247" s="1785"/>
      <c r="J2247" s="1412"/>
      <c r="K2247" s="1787"/>
      <c r="L2247" s="1793"/>
      <c r="M2247" s="1780"/>
      <c r="N2247" s="1779"/>
    </row>
    <row r="2248" spans="1:14" ht="13.5" x14ac:dyDescent="0.2">
      <c r="A2248" s="1789"/>
      <c r="B2248" s="1790"/>
      <c r="C2248" s="1790"/>
      <c r="D2248" s="1790"/>
      <c r="E2248" s="1790"/>
      <c r="F2248" s="1790"/>
      <c r="G2248" s="1791"/>
      <c r="H2248" s="1032"/>
      <c r="I2248" s="1785"/>
      <c r="J2248" s="1412"/>
      <c r="K2248" s="1787"/>
      <c r="L2248" s="1793"/>
      <c r="M2248" s="1780"/>
      <c r="N2248" s="1779"/>
    </row>
    <row r="2249" spans="1:14" ht="13.5" x14ac:dyDescent="0.2">
      <c r="A2249" s="1789"/>
      <c r="B2249" s="1790"/>
      <c r="C2249" s="1790"/>
      <c r="D2249" s="1790"/>
      <c r="E2249" s="1790"/>
      <c r="F2249" s="1790"/>
      <c r="G2249" s="1791"/>
      <c r="H2249" s="1032"/>
      <c r="I2249" s="1785"/>
      <c r="J2249" s="1412"/>
      <c r="K2249" s="1787"/>
      <c r="L2249" s="1793"/>
      <c r="M2249" s="1780"/>
      <c r="N2249" s="1779"/>
    </row>
    <row r="2250" spans="1:14" ht="13.5" x14ac:dyDescent="0.2">
      <c r="A2250" s="1789"/>
      <c r="B2250" s="1790"/>
      <c r="C2250" s="1790"/>
      <c r="D2250" s="1790"/>
      <c r="E2250" s="1790"/>
      <c r="F2250" s="1790"/>
      <c r="G2250" s="1791"/>
      <c r="H2250" s="1032"/>
      <c r="I2250" s="1785"/>
      <c r="J2250" s="1412"/>
      <c r="K2250" s="1787"/>
      <c r="L2250" s="1793"/>
      <c r="M2250" s="1780"/>
      <c r="N2250" s="1779"/>
    </row>
    <row r="2251" spans="1:14" ht="13.5" x14ac:dyDescent="0.2">
      <c r="A2251" s="1789"/>
      <c r="B2251" s="1790"/>
      <c r="C2251" s="1790"/>
      <c r="D2251" s="1790"/>
      <c r="E2251" s="1790"/>
      <c r="F2251" s="1790"/>
      <c r="G2251" s="1791"/>
      <c r="H2251" s="1032"/>
      <c r="I2251" s="1785"/>
      <c r="J2251" s="1412"/>
      <c r="K2251" s="1787"/>
      <c r="L2251" s="1779"/>
      <c r="M2251" s="1780"/>
      <c r="N2251" s="1779"/>
    </row>
    <row r="2252" spans="1:14" ht="13.5" x14ac:dyDescent="0.2">
      <c r="A2252" s="1789"/>
      <c r="B2252" s="1790"/>
      <c r="C2252" s="1790"/>
      <c r="D2252" s="1790"/>
      <c r="E2252" s="1790"/>
      <c r="F2252" s="1790"/>
      <c r="G2252" s="1791"/>
      <c r="H2252" s="1032"/>
      <c r="I2252" s="1785"/>
      <c r="J2252" s="1412"/>
      <c r="K2252" s="1787"/>
      <c r="L2252" s="1779"/>
      <c r="M2252" s="1780"/>
      <c r="N2252" s="1779"/>
    </row>
    <row r="2253" spans="1:14" ht="13.5" x14ac:dyDescent="0.2">
      <c r="A2253" s="1789"/>
      <c r="B2253" s="1782"/>
      <c r="C2253" s="1782"/>
      <c r="D2253" s="1782"/>
      <c r="E2253" s="1782"/>
      <c r="F2253" s="1782"/>
      <c r="G2253" s="1779"/>
      <c r="H2253" s="1137"/>
      <c r="I2253" s="1780"/>
      <c r="J2253" s="1779"/>
      <c r="K2253" s="1787"/>
      <c r="L2253" s="1779"/>
      <c r="M2253" s="1780"/>
      <c r="N2253" s="1779"/>
    </row>
    <row r="2254" spans="1:14" ht="13.5" x14ac:dyDescent="0.25">
      <c r="A2254" s="1138"/>
      <c r="B2254" s="1138"/>
      <c r="C2254" s="1138"/>
      <c r="D2254" s="1138"/>
      <c r="E2254" s="1138"/>
      <c r="F2254" s="1138"/>
      <c r="G2254" s="1138"/>
      <c r="H2254" s="1138"/>
      <c r="I2254" s="1138"/>
      <c r="J2254" s="1138"/>
      <c r="K2254" s="1778" t="s">
        <v>523</v>
      </c>
      <c r="L2254" s="1779"/>
      <c r="M2254" s="1780">
        <f>SUM(M2244:N2253)</f>
        <v>500</v>
      </c>
      <c r="N2254" s="1779"/>
    </row>
    <row r="2255" spans="1:14" ht="13.5" x14ac:dyDescent="0.25">
      <c r="A2255" s="1138"/>
      <c r="B2255" s="1138"/>
      <c r="C2255" s="1138"/>
      <c r="D2255" s="1138"/>
      <c r="E2255" s="1138"/>
      <c r="F2255" s="1138"/>
      <c r="G2255" s="1138"/>
      <c r="H2255" s="1138"/>
      <c r="I2255" s="1138"/>
      <c r="J2255" s="1138"/>
      <c r="K2255" s="1138"/>
      <c r="L2255" s="1138"/>
      <c r="M2255" s="1138"/>
      <c r="N2255" s="1138"/>
    </row>
    <row r="2256" spans="1:14" x14ac:dyDescent="0.2">
      <c r="A2256" s="1781" t="s">
        <v>2147</v>
      </c>
      <c r="B2256" s="1782"/>
      <c r="C2256" s="1782"/>
      <c r="D2256" s="1782"/>
      <c r="E2256" s="1782"/>
      <c r="F2256" s="1782"/>
      <c r="G2256" s="1782"/>
      <c r="H2256" s="1782"/>
      <c r="I2256" s="1782"/>
      <c r="J2256" s="1782"/>
      <c r="K2256" s="1782"/>
      <c r="L2256" s="1782"/>
      <c r="M2256" s="1782"/>
      <c r="N2256" s="1779"/>
    </row>
    <row r="2257" spans="1:14" x14ac:dyDescent="0.2">
      <c r="A2257" s="1778" t="s">
        <v>14</v>
      </c>
      <c r="B2257" s="1782"/>
      <c r="C2257" s="1782"/>
      <c r="D2257" s="1782"/>
      <c r="E2257" s="1782"/>
      <c r="F2257" s="1782"/>
      <c r="G2257" s="1779"/>
      <c r="H2257" s="1136" t="s">
        <v>15</v>
      </c>
      <c r="I2257" s="1783" t="s">
        <v>619</v>
      </c>
      <c r="J2257" s="1779"/>
      <c r="K2257" s="1783" t="s">
        <v>628</v>
      </c>
      <c r="L2257" s="1779"/>
      <c r="M2257" s="1783" t="s">
        <v>2140</v>
      </c>
      <c r="N2257" s="1779"/>
    </row>
    <row r="2258" spans="1:14" ht="13.5" x14ac:dyDescent="0.2">
      <c r="A2258" s="1792" t="s">
        <v>2328</v>
      </c>
      <c r="B2258" s="1782"/>
      <c r="C2258" s="1782"/>
      <c r="D2258" s="1782"/>
      <c r="E2258" s="1782"/>
      <c r="F2258" s="1782"/>
      <c r="G2258" s="1779"/>
      <c r="H2258" s="1032" t="str">
        <f>IF(A2258="","",VLOOKUP(A2258,'11'!$C$6:$E$1012,2,FALSE))</f>
        <v>KM-M3</v>
      </c>
      <c r="I2258" s="1785">
        <f>IF(A2258="","",VLOOKUP(A2258,'11'!$C$6:$E$1012,3,FALSE))</f>
        <v>1440</v>
      </c>
      <c r="J2258" s="1412"/>
      <c r="K2258" s="1787">
        <v>25</v>
      </c>
      <c r="L2258" s="1793"/>
      <c r="M2258" s="1780">
        <f t="shared" ref="M2258" si="104">IF(A2258="","",I2258*K2258)</f>
        <v>36000</v>
      </c>
      <c r="N2258" s="1779"/>
    </row>
    <row r="2259" spans="1:14" ht="13.5" x14ac:dyDescent="0.2">
      <c r="A2259" s="1786"/>
      <c r="B2259" s="1782"/>
      <c r="C2259" s="1782"/>
      <c r="D2259" s="1782"/>
      <c r="E2259" s="1782"/>
      <c r="F2259" s="1782"/>
      <c r="G2259" s="1779"/>
      <c r="H2259" s="1032"/>
      <c r="I2259" s="1780"/>
      <c r="J2259" s="1779"/>
      <c r="K2259" s="1787"/>
      <c r="L2259" s="1779"/>
      <c r="M2259" s="1780"/>
      <c r="N2259" s="1779"/>
    </row>
    <row r="2260" spans="1:14" ht="13.5" x14ac:dyDescent="0.2">
      <c r="A2260" s="1786"/>
      <c r="B2260" s="1782"/>
      <c r="C2260" s="1782"/>
      <c r="D2260" s="1782"/>
      <c r="E2260" s="1782"/>
      <c r="F2260" s="1782"/>
      <c r="G2260" s="1779"/>
      <c r="H2260" s="1032"/>
      <c r="I2260" s="1780"/>
      <c r="J2260" s="1779"/>
      <c r="K2260" s="1788"/>
      <c r="L2260" s="1779"/>
      <c r="M2260" s="1780"/>
      <c r="N2260" s="1779"/>
    </row>
    <row r="2261" spans="1:14" ht="13.5" x14ac:dyDescent="0.2">
      <c r="A2261" s="1789"/>
      <c r="B2261" s="1782"/>
      <c r="C2261" s="1782"/>
      <c r="D2261" s="1782"/>
      <c r="E2261" s="1782"/>
      <c r="F2261" s="1782"/>
      <c r="G2261" s="1779"/>
      <c r="H2261" s="1137"/>
      <c r="I2261" s="1780"/>
      <c r="J2261" s="1779"/>
      <c r="K2261" s="1787"/>
      <c r="L2261" s="1779"/>
      <c r="M2261" s="1780"/>
      <c r="N2261" s="1779"/>
    </row>
    <row r="2262" spans="1:14" ht="13.5" x14ac:dyDescent="0.2">
      <c r="A2262" s="1789"/>
      <c r="B2262" s="1782"/>
      <c r="C2262" s="1782"/>
      <c r="D2262" s="1782"/>
      <c r="E2262" s="1782"/>
      <c r="F2262" s="1782"/>
      <c r="G2262" s="1779"/>
      <c r="H2262" s="1137"/>
      <c r="I2262" s="1780"/>
      <c r="J2262" s="1779"/>
      <c r="K2262" s="1787"/>
      <c r="L2262" s="1779"/>
      <c r="M2262" s="1780"/>
      <c r="N2262" s="1779"/>
    </row>
    <row r="2263" spans="1:14" ht="13.5" x14ac:dyDescent="0.25">
      <c r="A2263" s="1138"/>
      <c r="B2263" s="1138"/>
      <c r="C2263" s="1138"/>
      <c r="D2263" s="1138"/>
      <c r="E2263" s="1138"/>
      <c r="F2263" s="1138"/>
      <c r="G2263" s="1138"/>
      <c r="H2263" s="1138"/>
      <c r="I2263" s="1138"/>
      <c r="J2263" s="1138"/>
      <c r="K2263" s="1778" t="s">
        <v>523</v>
      </c>
      <c r="L2263" s="1779"/>
      <c r="M2263" s="1780">
        <f>SUM(M2258:N2262)</f>
        <v>36000</v>
      </c>
      <c r="N2263" s="1779"/>
    </row>
    <row r="2264" spans="1:14" ht="13.5" x14ac:dyDescent="0.25">
      <c r="A2264" s="1138"/>
      <c r="B2264" s="1138"/>
      <c r="C2264" s="1138"/>
      <c r="D2264" s="1138"/>
      <c r="E2264" s="1138"/>
      <c r="F2264" s="1138"/>
      <c r="G2264" s="1138"/>
      <c r="H2264" s="1138"/>
      <c r="I2264" s="1138"/>
      <c r="J2264" s="1138"/>
      <c r="K2264" s="1138"/>
      <c r="L2264" s="1138"/>
      <c r="M2264" s="1138"/>
      <c r="N2264" s="1138"/>
    </row>
    <row r="2265" spans="1:14" x14ac:dyDescent="0.2">
      <c r="A2265" s="1781" t="s">
        <v>2150</v>
      </c>
      <c r="B2265" s="1782"/>
      <c r="C2265" s="1782"/>
      <c r="D2265" s="1782"/>
      <c r="E2265" s="1782"/>
      <c r="F2265" s="1782"/>
      <c r="G2265" s="1782"/>
      <c r="H2265" s="1782"/>
      <c r="I2265" s="1782"/>
      <c r="J2265" s="1782"/>
      <c r="K2265" s="1782"/>
      <c r="L2265" s="1782"/>
      <c r="M2265" s="1782"/>
      <c r="N2265" s="1779"/>
    </row>
    <row r="2266" spans="1:14" x14ac:dyDescent="0.2">
      <c r="A2266" s="1778" t="s">
        <v>14</v>
      </c>
      <c r="B2266" s="1782"/>
      <c r="C2266" s="1782"/>
      <c r="D2266" s="1782"/>
      <c r="E2266" s="1782"/>
      <c r="F2266" s="1782"/>
      <c r="G2266" s="1779"/>
      <c r="H2266" s="1136" t="s">
        <v>15</v>
      </c>
      <c r="I2266" s="1783" t="s">
        <v>619</v>
      </c>
      <c r="J2266" s="1779"/>
      <c r="K2266" s="1139" t="s">
        <v>1919</v>
      </c>
      <c r="L2266" s="1140" t="s">
        <v>2151</v>
      </c>
      <c r="M2266" s="1783" t="s">
        <v>2140</v>
      </c>
      <c r="N2266" s="1779"/>
    </row>
    <row r="2267" spans="1:14" ht="13.5" x14ac:dyDescent="0.25">
      <c r="A2267" s="1784" t="s">
        <v>2257</v>
      </c>
      <c r="B2267" s="1782"/>
      <c r="C2267" s="1782"/>
      <c r="D2267" s="1782"/>
      <c r="E2267" s="1782"/>
      <c r="F2267" s="1782"/>
      <c r="G2267" s="1779"/>
      <c r="H2267" s="1032" t="str">
        <f>IF(A2267="","",VLOOKUP(A2267,'09'!$A$22:$O$168,4,FALSE))</f>
        <v>Cuadrilla</v>
      </c>
      <c r="I2267" s="1785">
        <f>IF(A2267="","",VLOOKUP(A2267,'09'!$A$22:$O$168,5,FALSE))</f>
        <v>379362</v>
      </c>
      <c r="J2267" s="1412"/>
      <c r="K2267" s="1034">
        <f>IF(A2267="","",'03'!$I$2)</f>
        <v>1.88995</v>
      </c>
      <c r="L2267" s="1142">
        <v>0.35</v>
      </c>
      <c r="M2267" s="1780">
        <f>I2267*K2267/(L2267*8)</f>
        <v>256062.57567857145</v>
      </c>
      <c r="N2267" s="1779"/>
    </row>
    <row r="2268" spans="1:14" ht="13.5" x14ac:dyDescent="0.25">
      <c r="A2268" s="1784"/>
      <c r="B2268" s="1782"/>
      <c r="C2268" s="1782"/>
      <c r="D2268" s="1782"/>
      <c r="E2268" s="1782"/>
      <c r="F2268" s="1782"/>
      <c r="G2268" s="1779"/>
      <c r="H2268" s="1137"/>
      <c r="I2268" s="1780"/>
      <c r="J2268" s="1779"/>
      <c r="K2268" s="1141"/>
      <c r="L2268" s="1141"/>
      <c r="M2268" s="1780"/>
      <c r="N2268" s="1779"/>
    </row>
    <row r="2269" spans="1:14" ht="13.5" x14ac:dyDescent="0.25">
      <c r="A2269" s="1784"/>
      <c r="B2269" s="1782"/>
      <c r="C2269" s="1782"/>
      <c r="D2269" s="1782"/>
      <c r="E2269" s="1782"/>
      <c r="F2269" s="1782"/>
      <c r="G2269" s="1779"/>
      <c r="H2269" s="1137"/>
      <c r="I2269" s="1780"/>
      <c r="J2269" s="1779"/>
      <c r="K2269" s="1141"/>
      <c r="L2269" s="1143"/>
      <c r="M2269" s="1780"/>
      <c r="N2269" s="1779"/>
    </row>
    <row r="2270" spans="1:14" ht="13.5" x14ac:dyDescent="0.25">
      <c r="A2270" s="1784"/>
      <c r="B2270" s="1782"/>
      <c r="C2270" s="1782"/>
      <c r="D2270" s="1782"/>
      <c r="E2270" s="1782"/>
      <c r="F2270" s="1782"/>
      <c r="G2270" s="1779"/>
      <c r="H2270" s="1137"/>
      <c r="I2270" s="1780"/>
      <c r="J2270" s="1779"/>
      <c r="K2270" s="1141"/>
      <c r="L2270" s="1143"/>
      <c r="M2270" s="1780"/>
      <c r="N2270" s="1779"/>
    </row>
    <row r="2271" spans="1:14" ht="13.5" x14ac:dyDescent="0.25">
      <c r="A2271" s="1784"/>
      <c r="B2271" s="1782"/>
      <c r="C2271" s="1782"/>
      <c r="D2271" s="1782"/>
      <c r="E2271" s="1782"/>
      <c r="F2271" s="1782"/>
      <c r="G2271" s="1779"/>
      <c r="H2271" s="1137"/>
      <c r="I2271" s="1780"/>
      <c r="J2271" s="1779"/>
      <c r="K2271" s="1141"/>
      <c r="L2271" s="1143"/>
      <c r="M2271" s="1780"/>
      <c r="N2271" s="1779"/>
    </row>
    <row r="2272" spans="1:14" ht="13.5" x14ac:dyDescent="0.25">
      <c r="A2272" s="1138"/>
      <c r="B2272" s="1138"/>
      <c r="C2272" s="1138"/>
      <c r="D2272" s="1138"/>
      <c r="E2272" s="1138"/>
      <c r="F2272" s="1138"/>
      <c r="G2272" s="1138"/>
      <c r="H2272" s="1138"/>
      <c r="I2272" s="1138"/>
      <c r="J2272" s="1138"/>
      <c r="K2272" s="1778" t="s">
        <v>523</v>
      </c>
      <c r="L2272" s="1779"/>
      <c r="M2272" s="1780">
        <f>SUM(M2267:N2271)</f>
        <v>256062.57567857145</v>
      </c>
      <c r="N2272" s="1779"/>
    </row>
    <row r="2273" spans="1:14" x14ac:dyDescent="0.2">
      <c r="I2273" s="1414"/>
      <c r="J2273" s="1415"/>
      <c r="K2273" s="1415"/>
      <c r="L2273" s="1415"/>
      <c r="M2273" s="1415"/>
      <c r="N2273" s="1415"/>
    </row>
    <row r="2274" spans="1:14" ht="13.5" thickBot="1" x14ac:dyDescent="0.25">
      <c r="I2274" s="1416"/>
      <c r="J2274" s="1416"/>
      <c r="K2274" s="1416"/>
      <c r="L2274" s="1416"/>
      <c r="M2274" s="1416"/>
      <c r="N2274" s="1416"/>
    </row>
    <row r="2275" spans="1:14" ht="14.25" thickTop="1" x14ac:dyDescent="0.2">
      <c r="I2275" s="1417" t="s">
        <v>1829</v>
      </c>
      <c r="J2275" s="1418"/>
      <c r="K2275" s="1417" t="s">
        <v>2653</v>
      </c>
      <c r="L2275" s="1418"/>
      <c r="M2275" s="1418"/>
      <c r="N2275" s="1418"/>
    </row>
    <row r="2276" spans="1:14" ht="13.5" x14ac:dyDescent="0.2">
      <c r="I2276" s="1419" t="s">
        <v>1831</v>
      </c>
      <c r="J2276" s="1420"/>
      <c r="K2276" s="1419"/>
      <c r="L2276" s="1420"/>
      <c r="M2276" s="1420"/>
      <c r="N2276" s="1420"/>
    </row>
    <row r="2277" spans="1:14" x14ac:dyDescent="0.2">
      <c r="A2277" s="1796" t="s">
        <v>2400</v>
      </c>
      <c r="B2277" s="1797"/>
      <c r="C2277" s="1797"/>
      <c r="D2277" s="1797"/>
      <c r="E2277" s="1797"/>
      <c r="F2277" s="1797"/>
      <c r="G2277" s="1797"/>
      <c r="H2277" s="1797"/>
      <c r="I2277" s="1797"/>
      <c r="J2277" s="1797"/>
      <c r="K2277" s="1797"/>
      <c r="L2277" s="1797"/>
      <c r="M2277" s="1797"/>
      <c r="N2277" s="1798"/>
    </row>
    <row r="2278" spans="1:14" x14ac:dyDescent="0.2">
      <c r="A2278" s="1799"/>
      <c r="B2278" s="1800"/>
      <c r="C2278" s="1800"/>
      <c r="D2278" s="1800"/>
      <c r="E2278" s="1800"/>
      <c r="F2278" s="1800"/>
      <c r="G2278" s="1800"/>
      <c r="H2278" s="1800"/>
      <c r="I2278" s="1800"/>
      <c r="J2278" s="1800"/>
      <c r="K2278" s="1800"/>
      <c r="L2278" s="1800"/>
      <c r="M2278" s="1800"/>
      <c r="N2278" s="1801"/>
    </row>
    <row r="2279" spans="1:14" ht="13.5" x14ac:dyDescent="0.2">
      <c r="A2279" s="1128"/>
      <c r="B2279" s="1128"/>
      <c r="C2279" s="1128"/>
      <c r="D2279" s="1128"/>
      <c r="E2279" s="1128"/>
      <c r="F2279" s="1128"/>
      <c r="G2279" s="1128"/>
      <c r="H2279" s="1128"/>
      <c r="I2279" s="1128"/>
      <c r="J2279" s="1128"/>
      <c r="K2279" s="1128"/>
      <c r="L2279" s="1128"/>
      <c r="M2279" s="1128"/>
      <c r="N2279" s="1128"/>
    </row>
    <row r="2280" spans="1:14" ht="14.25" x14ac:dyDescent="0.3">
      <c r="A2280" s="1104" t="s">
        <v>2399</v>
      </c>
      <c r="B2280" s="1129" t="str">
        <f>A2277</f>
        <v>SUMINISTRO E INSTALACIÓN SISTEMA DE ALMENARA PARA TUBERÍA PVC PRESIÓN DE 8".</v>
      </c>
      <c r="C2280" s="1130" t="s">
        <v>634</v>
      </c>
      <c r="D2280" s="1107" t="s">
        <v>2</v>
      </c>
      <c r="E2280" s="1132" t="s">
        <v>1833</v>
      </c>
      <c r="F2280" s="1133">
        <f>H2280+J2280+L2280+N2280</f>
        <v>2928545.7214403842</v>
      </c>
      <c r="G2280" s="1132" t="s">
        <v>2136</v>
      </c>
      <c r="H2280" s="1133">
        <f>M2308</f>
        <v>115.38461538461539</v>
      </c>
      <c r="I2280" s="1132" t="s">
        <v>621</v>
      </c>
      <c r="J2280" s="1134">
        <f>M2294</f>
        <v>2818126.2399999998</v>
      </c>
      <c r="K2280" s="1132" t="s">
        <v>2137</v>
      </c>
      <c r="L2280" s="1133">
        <f>M2317</f>
        <v>0</v>
      </c>
      <c r="M2280" s="1132" t="s">
        <v>2138</v>
      </c>
      <c r="N2280" s="1133">
        <f>M2326</f>
        <v>110304.096825</v>
      </c>
    </row>
    <row r="2281" spans="1:14" ht="13.5" x14ac:dyDescent="0.25">
      <c r="A2281" s="1135"/>
      <c r="B2281" s="1135"/>
      <c r="C2281" s="1135"/>
      <c r="D2281" s="1135"/>
      <c r="E2281" s="1135"/>
      <c r="F2281" s="1135"/>
      <c r="G2281" s="1135"/>
      <c r="J2281" s="1135"/>
      <c r="K2281" s="1135"/>
      <c r="L2281" s="1135"/>
      <c r="M2281" s="1270" t="s">
        <v>2667</v>
      </c>
      <c r="N2281" s="1270">
        <f>+F2280*'01'!$O$15</f>
        <v>3790428.1705116667</v>
      </c>
    </row>
    <row r="2282" spans="1:14" x14ac:dyDescent="0.2">
      <c r="A2282" s="1781" t="s">
        <v>2139</v>
      </c>
      <c r="B2282" s="1782"/>
      <c r="C2282" s="1782"/>
      <c r="D2282" s="1782"/>
      <c r="E2282" s="1782"/>
      <c r="F2282" s="1782"/>
      <c r="G2282" s="1782"/>
      <c r="H2282" s="1782"/>
      <c r="I2282" s="1782"/>
      <c r="J2282" s="1782"/>
      <c r="K2282" s="1782"/>
      <c r="L2282" s="1782"/>
      <c r="M2282" s="1782"/>
      <c r="N2282" s="1779"/>
    </row>
    <row r="2283" spans="1:14" x14ac:dyDescent="0.2">
      <c r="A2283" s="1778" t="s">
        <v>14</v>
      </c>
      <c r="B2283" s="1782"/>
      <c r="C2283" s="1782"/>
      <c r="D2283" s="1782"/>
      <c r="E2283" s="1782"/>
      <c r="F2283" s="1782"/>
      <c r="G2283" s="1779"/>
      <c r="H2283" s="1136" t="s">
        <v>15</v>
      </c>
      <c r="I2283" s="1783" t="s">
        <v>619</v>
      </c>
      <c r="J2283" s="1779"/>
      <c r="K2283" s="1783" t="s">
        <v>628</v>
      </c>
      <c r="L2283" s="1779"/>
      <c r="M2283" s="1783" t="s">
        <v>2140</v>
      </c>
      <c r="N2283" s="1779"/>
    </row>
    <row r="2284" spans="1:14" ht="13.5" customHeight="1" x14ac:dyDescent="0.2">
      <c r="A2284" s="1792" t="s">
        <v>1468</v>
      </c>
      <c r="B2284" s="1782"/>
      <c r="C2284" s="1782"/>
      <c r="D2284" s="1782"/>
      <c r="E2284" s="1782"/>
      <c r="F2284" s="1782"/>
      <c r="G2284" s="1779"/>
      <c r="H2284" s="1032" t="str">
        <f>IF(A2284="","",VLOOKUP(A2284,'10'!$C$6:$E$1152,2,FALSE))</f>
        <v>ML</v>
      </c>
      <c r="I2284" s="1785">
        <f>IF(A2284="","",VLOOKUP(A2284,'10'!$C$6:$E$1152,3,FALSE))</f>
        <v>205580</v>
      </c>
      <c r="J2284" s="1412"/>
      <c r="K2284" s="1794">
        <v>3</v>
      </c>
      <c r="L2284" s="1795"/>
      <c r="M2284" s="1780">
        <f>K2284*I2284</f>
        <v>616740</v>
      </c>
      <c r="N2284" s="1779"/>
    </row>
    <row r="2285" spans="1:14" ht="13.5" customHeight="1" x14ac:dyDescent="0.2">
      <c r="A2285" s="1792" t="s">
        <v>1068</v>
      </c>
      <c r="B2285" s="1782"/>
      <c r="C2285" s="1782"/>
      <c r="D2285" s="1782"/>
      <c r="E2285" s="1782"/>
      <c r="F2285" s="1782"/>
      <c r="G2285" s="1779"/>
      <c r="H2285" s="1032" t="str">
        <f>IF(A2285="","",VLOOKUP(A2285,'10'!$C$6:$E$1152,2,FALSE))</f>
        <v>UND</v>
      </c>
      <c r="I2285" s="1785">
        <f>IF(A2285="","",VLOOKUP(A2285,'10'!$C$6:$E$1152,3,FALSE))</f>
        <v>910500</v>
      </c>
      <c r="J2285" s="1412"/>
      <c r="K2285" s="1794">
        <v>1</v>
      </c>
      <c r="L2285" s="1795"/>
      <c r="M2285" s="1780">
        <f t="shared" ref="M2285:M2288" si="105">K2285*I2285</f>
        <v>910500</v>
      </c>
      <c r="N2285" s="1779"/>
    </row>
    <row r="2286" spans="1:14" ht="13.5" x14ac:dyDescent="0.2">
      <c r="A2286" s="1792" t="s">
        <v>1069</v>
      </c>
      <c r="B2286" s="1782"/>
      <c r="C2286" s="1782"/>
      <c r="D2286" s="1782"/>
      <c r="E2286" s="1782"/>
      <c r="F2286" s="1782"/>
      <c r="G2286" s="1779"/>
      <c r="H2286" s="1032" t="str">
        <f>IF(A2286="","",VLOOKUP(A2286,'10'!$C$6:$E$1152,2,FALSE))</f>
        <v>UND</v>
      </c>
      <c r="I2286" s="1785">
        <f>IF(A2286="","",VLOOKUP(A2286,'10'!$C$6:$E$1152,3,FALSE))</f>
        <v>643417</v>
      </c>
      <c r="J2286" s="1412"/>
      <c r="K2286" s="1794">
        <v>2</v>
      </c>
      <c r="L2286" s="1795"/>
      <c r="M2286" s="1780">
        <f t="shared" si="105"/>
        <v>1286834</v>
      </c>
      <c r="N2286" s="1779"/>
    </row>
    <row r="2287" spans="1:14" ht="13.5" x14ac:dyDescent="0.2">
      <c r="A2287" s="1792" t="s">
        <v>1735</v>
      </c>
      <c r="B2287" s="1782"/>
      <c r="C2287" s="1782"/>
      <c r="D2287" s="1782"/>
      <c r="E2287" s="1782"/>
      <c r="F2287" s="1782"/>
      <c r="G2287" s="1779"/>
      <c r="H2287" s="1032" t="str">
        <f>IF(A2287="","",VLOOKUP(A2287,'10'!$C$6:$E$1152,2,FALSE))</f>
        <v>UND</v>
      </c>
      <c r="I2287" s="1785">
        <f>IF(A2287="","",VLOOKUP(A2287,'10'!$C$6:$E$1152,3,FALSE))</f>
        <v>65913</v>
      </c>
      <c r="J2287" s="1412"/>
      <c r="K2287" s="1794">
        <v>0.02</v>
      </c>
      <c r="L2287" s="1795"/>
      <c r="M2287" s="1780">
        <f t="shared" si="105"/>
        <v>1318.26</v>
      </c>
      <c r="N2287" s="1779"/>
    </row>
    <row r="2288" spans="1:14" ht="13.5" x14ac:dyDescent="0.2">
      <c r="A2288" s="1792" t="s">
        <v>100</v>
      </c>
      <c r="B2288" s="1782"/>
      <c r="C2288" s="1782"/>
      <c r="D2288" s="1782"/>
      <c r="E2288" s="1782"/>
      <c r="F2288" s="1782"/>
      <c r="G2288" s="1779"/>
      <c r="H2288" s="1032" t="str">
        <f>IF(A2288="","",VLOOKUP(A2288,'10'!$C$6:$E$1152,2,FALSE))</f>
        <v>UND</v>
      </c>
      <c r="I2288" s="1785">
        <f>IF(A2288="","",VLOOKUP(A2288,'10'!$C$6:$E$1152,3,FALSE))</f>
        <v>136699</v>
      </c>
      <c r="J2288" s="1412"/>
      <c r="K2288" s="1794">
        <v>0.02</v>
      </c>
      <c r="L2288" s="1795"/>
      <c r="M2288" s="1780">
        <f t="shared" si="105"/>
        <v>2733.98</v>
      </c>
      <c r="N2288" s="1779"/>
    </row>
    <row r="2289" spans="1:14" ht="13.5" x14ac:dyDescent="0.2">
      <c r="A2289" s="1792"/>
      <c r="B2289" s="1782"/>
      <c r="C2289" s="1782"/>
      <c r="D2289" s="1782"/>
      <c r="E2289" s="1782"/>
      <c r="F2289" s="1782"/>
      <c r="G2289" s="1779"/>
      <c r="H2289" s="1032"/>
      <c r="I2289" s="1785"/>
      <c r="J2289" s="1412"/>
      <c r="K2289" s="1794"/>
      <c r="L2289" s="1795"/>
      <c r="M2289" s="1780"/>
      <c r="N2289" s="1779"/>
    </row>
    <row r="2290" spans="1:14" ht="13.5" x14ac:dyDescent="0.2">
      <c r="A2290" s="1792"/>
      <c r="B2290" s="1782"/>
      <c r="C2290" s="1782"/>
      <c r="D2290" s="1782"/>
      <c r="E2290" s="1782"/>
      <c r="F2290" s="1782"/>
      <c r="G2290" s="1779"/>
      <c r="H2290" s="1032"/>
      <c r="I2290" s="1785"/>
      <c r="J2290" s="1412"/>
      <c r="K2290" s="1794"/>
      <c r="L2290" s="1795"/>
      <c r="M2290" s="1780"/>
      <c r="N2290" s="1779"/>
    </row>
    <row r="2291" spans="1:14" ht="13.5" x14ac:dyDescent="0.2">
      <c r="A2291" s="1792"/>
      <c r="B2291" s="1782"/>
      <c r="C2291" s="1782"/>
      <c r="D2291" s="1782"/>
      <c r="E2291" s="1782"/>
      <c r="F2291" s="1782"/>
      <c r="G2291" s="1779"/>
      <c r="H2291" s="1032"/>
      <c r="I2291" s="1785"/>
      <c r="J2291" s="1412"/>
      <c r="K2291" s="1794"/>
      <c r="L2291" s="1795"/>
      <c r="M2291" s="1780"/>
      <c r="N2291" s="1779"/>
    </row>
    <row r="2292" spans="1:14" ht="13.5" x14ac:dyDescent="0.2">
      <c r="A2292" s="1792"/>
      <c r="B2292" s="1782"/>
      <c r="C2292" s="1782"/>
      <c r="D2292" s="1782"/>
      <c r="E2292" s="1782"/>
      <c r="F2292" s="1782"/>
      <c r="G2292" s="1779"/>
      <c r="H2292" s="1032"/>
      <c r="I2292" s="1785"/>
      <c r="J2292" s="1412"/>
      <c r="K2292" s="1794"/>
      <c r="L2292" s="1795"/>
      <c r="M2292" s="1780"/>
      <c r="N2292" s="1779"/>
    </row>
    <row r="2293" spans="1:14" ht="13.5" x14ac:dyDescent="0.2">
      <c r="A2293" s="1792"/>
      <c r="B2293" s="1782"/>
      <c r="C2293" s="1782"/>
      <c r="D2293" s="1782"/>
      <c r="E2293" s="1782"/>
      <c r="F2293" s="1782"/>
      <c r="G2293" s="1779"/>
      <c r="H2293" s="1032"/>
      <c r="I2293" s="1785"/>
      <c r="J2293" s="1412"/>
      <c r="K2293" s="1794"/>
      <c r="L2293" s="1795"/>
      <c r="M2293" s="1780"/>
      <c r="N2293" s="1779"/>
    </row>
    <row r="2294" spans="1:14" ht="13.5" x14ac:dyDescent="0.25">
      <c r="A2294" s="1138"/>
      <c r="B2294" s="1138"/>
      <c r="C2294" s="1138"/>
      <c r="D2294" s="1138"/>
      <c r="E2294" s="1138"/>
      <c r="F2294" s="1138"/>
      <c r="G2294" s="1138"/>
      <c r="H2294" s="1138"/>
      <c r="I2294" s="1138"/>
      <c r="J2294" s="1138"/>
      <c r="K2294" s="1778" t="s">
        <v>523</v>
      </c>
      <c r="L2294" s="1779"/>
      <c r="M2294" s="1780">
        <f>SUM(M2284:N2288)</f>
        <v>2818126.2399999998</v>
      </c>
      <c r="N2294" s="1779"/>
    </row>
    <row r="2295" spans="1:14" ht="13.5" x14ac:dyDescent="0.25">
      <c r="A2295" s="1138"/>
      <c r="B2295" s="1138"/>
      <c r="C2295" s="1138"/>
      <c r="D2295" s="1138"/>
      <c r="E2295" s="1138"/>
      <c r="F2295" s="1138"/>
      <c r="G2295" s="1138"/>
      <c r="H2295" s="1138"/>
      <c r="I2295" s="1138"/>
      <c r="J2295" s="1138"/>
      <c r="K2295" s="1138"/>
      <c r="L2295" s="1138"/>
      <c r="M2295" s="1138"/>
      <c r="N2295" s="1138"/>
    </row>
    <row r="2296" spans="1:14" x14ac:dyDescent="0.2">
      <c r="A2296" s="1781" t="s">
        <v>2145</v>
      </c>
      <c r="B2296" s="1782"/>
      <c r="C2296" s="1782"/>
      <c r="D2296" s="1782"/>
      <c r="E2296" s="1782"/>
      <c r="F2296" s="1782"/>
      <c r="G2296" s="1782"/>
      <c r="H2296" s="1782"/>
      <c r="I2296" s="1782"/>
      <c r="J2296" s="1782"/>
      <c r="K2296" s="1782"/>
      <c r="L2296" s="1782"/>
      <c r="M2296" s="1782"/>
      <c r="N2296" s="1779"/>
    </row>
    <row r="2297" spans="1:14" x14ac:dyDescent="0.2">
      <c r="A2297" s="1778" t="s">
        <v>14</v>
      </c>
      <c r="B2297" s="1782"/>
      <c r="C2297" s="1782"/>
      <c r="D2297" s="1782"/>
      <c r="E2297" s="1782"/>
      <c r="F2297" s="1782"/>
      <c r="G2297" s="1779"/>
      <c r="H2297" s="1136" t="s">
        <v>15</v>
      </c>
      <c r="I2297" s="1783" t="s">
        <v>619</v>
      </c>
      <c r="J2297" s="1779"/>
      <c r="K2297" s="1783" t="s">
        <v>610</v>
      </c>
      <c r="L2297" s="1779"/>
      <c r="M2297" s="1783" t="s">
        <v>2140</v>
      </c>
      <c r="N2297" s="1779"/>
    </row>
    <row r="2298" spans="1:14" ht="13.5" x14ac:dyDescent="0.2">
      <c r="A2298" s="1789" t="s">
        <v>131</v>
      </c>
      <c r="B2298" s="1790"/>
      <c r="C2298" s="1790"/>
      <c r="D2298" s="1790"/>
      <c r="E2298" s="1790"/>
      <c r="F2298" s="1790"/>
      <c r="G2298" s="1791"/>
      <c r="H2298" s="1032" t="str">
        <f>IF(A2298="","",VLOOKUP(A2298,'11'!$C$6:$E$87,2,FALSE))</f>
        <v>DIA</v>
      </c>
      <c r="I2298" s="1785">
        <f>IF(A2298="","",VLOOKUP(A2298,'11'!$C$6:$E$87,3,FALSE))</f>
        <v>15000</v>
      </c>
      <c r="J2298" s="1412"/>
      <c r="K2298" s="1787">
        <v>130</v>
      </c>
      <c r="L2298" s="1793"/>
      <c r="M2298" s="1780">
        <f>I2298/K2298</f>
        <v>115.38461538461539</v>
      </c>
      <c r="N2298" s="1779"/>
    </row>
    <row r="2299" spans="1:14" ht="13.5" x14ac:dyDescent="0.2">
      <c r="A2299" s="1789"/>
      <c r="B2299" s="1790"/>
      <c r="C2299" s="1790"/>
      <c r="D2299" s="1790"/>
      <c r="E2299" s="1790"/>
      <c r="F2299" s="1790"/>
      <c r="G2299" s="1791"/>
      <c r="H2299" s="1032"/>
      <c r="I2299" s="1785"/>
      <c r="J2299" s="1412"/>
      <c r="K2299" s="1787"/>
      <c r="L2299" s="1793"/>
      <c r="M2299" s="1780"/>
      <c r="N2299" s="1779"/>
    </row>
    <row r="2300" spans="1:14" ht="13.5" x14ac:dyDescent="0.2">
      <c r="A2300" s="1789"/>
      <c r="B2300" s="1790"/>
      <c r="C2300" s="1790"/>
      <c r="D2300" s="1790"/>
      <c r="E2300" s="1790"/>
      <c r="F2300" s="1790"/>
      <c r="G2300" s="1791"/>
      <c r="H2300" s="1032"/>
      <c r="I2300" s="1785"/>
      <c r="J2300" s="1412"/>
      <c r="K2300" s="1787"/>
      <c r="L2300" s="1793"/>
      <c r="M2300" s="1780"/>
      <c r="N2300" s="1779"/>
    </row>
    <row r="2301" spans="1:14" ht="13.5" x14ac:dyDescent="0.2">
      <c r="A2301" s="1789"/>
      <c r="B2301" s="1790"/>
      <c r="C2301" s="1790"/>
      <c r="D2301" s="1790"/>
      <c r="E2301" s="1790"/>
      <c r="F2301" s="1790"/>
      <c r="G2301" s="1791"/>
      <c r="H2301" s="1032"/>
      <c r="I2301" s="1785"/>
      <c r="J2301" s="1412"/>
      <c r="K2301" s="1787"/>
      <c r="L2301" s="1793"/>
      <c r="M2301" s="1780"/>
      <c r="N2301" s="1779"/>
    </row>
    <row r="2302" spans="1:14" ht="13.5" x14ac:dyDescent="0.2">
      <c r="A2302" s="1789"/>
      <c r="B2302" s="1790"/>
      <c r="C2302" s="1790"/>
      <c r="D2302" s="1790"/>
      <c r="E2302" s="1790"/>
      <c r="F2302" s="1790"/>
      <c r="G2302" s="1791"/>
      <c r="H2302" s="1032"/>
      <c r="I2302" s="1785"/>
      <c r="J2302" s="1412"/>
      <c r="K2302" s="1787"/>
      <c r="L2302" s="1793"/>
      <c r="M2302" s="1780"/>
      <c r="N2302" s="1779"/>
    </row>
    <row r="2303" spans="1:14" ht="13.5" x14ac:dyDescent="0.2">
      <c r="A2303" s="1789"/>
      <c r="B2303" s="1790"/>
      <c r="C2303" s="1790"/>
      <c r="D2303" s="1790"/>
      <c r="E2303" s="1790"/>
      <c r="F2303" s="1790"/>
      <c r="G2303" s="1791"/>
      <c r="H2303" s="1032"/>
      <c r="I2303" s="1785"/>
      <c r="J2303" s="1412"/>
      <c r="K2303" s="1787"/>
      <c r="L2303" s="1793"/>
      <c r="M2303" s="1780"/>
      <c r="N2303" s="1779"/>
    </row>
    <row r="2304" spans="1:14" ht="13.5" x14ac:dyDescent="0.2">
      <c r="A2304" s="1789"/>
      <c r="B2304" s="1790"/>
      <c r="C2304" s="1790"/>
      <c r="D2304" s="1790"/>
      <c r="E2304" s="1790"/>
      <c r="F2304" s="1790"/>
      <c r="G2304" s="1791"/>
      <c r="H2304" s="1032"/>
      <c r="I2304" s="1785"/>
      <c r="J2304" s="1412"/>
      <c r="K2304" s="1787"/>
      <c r="L2304" s="1793"/>
      <c r="M2304" s="1780"/>
      <c r="N2304" s="1779"/>
    </row>
    <row r="2305" spans="1:14" ht="13.5" x14ac:dyDescent="0.2">
      <c r="A2305" s="1789"/>
      <c r="B2305" s="1790"/>
      <c r="C2305" s="1790"/>
      <c r="D2305" s="1790"/>
      <c r="E2305" s="1790"/>
      <c r="F2305" s="1790"/>
      <c r="G2305" s="1791"/>
      <c r="H2305" s="1032"/>
      <c r="I2305" s="1785"/>
      <c r="J2305" s="1412"/>
      <c r="K2305" s="1787"/>
      <c r="L2305" s="1779"/>
      <c r="M2305" s="1780"/>
      <c r="N2305" s="1779"/>
    </row>
    <row r="2306" spans="1:14" ht="13.5" x14ac:dyDescent="0.2">
      <c r="A2306" s="1789"/>
      <c r="B2306" s="1790"/>
      <c r="C2306" s="1790"/>
      <c r="D2306" s="1790"/>
      <c r="E2306" s="1790"/>
      <c r="F2306" s="1790"/>
      <c r="G2306" s="1791"/>
      <c r="H2306" s="1032"/>
      <c r="I2306" s="1785"/>
      <c r="J2306" s="1412"/>
      <c r="K2306" s="1787"/>
      <c r="L2306" s="1779"/>
      <c r="M2306" s="1780"/>
      <c r="N2306" s="1779"/>
    </row>
    <row r="2307" spans="1:14" ht="13.5" x14ac:dyDescent="0.2">
      <c r="A2307" s="1789"/>
      <c r="B2307" s="1782"/>
      <c r="C2307" s="1782"/>
      <c r="D2307" s="1782"/>
      <c r="E2307" s="1782"/>
      <c r="F2307" s="1782"/>
      <c r="G2307" s="1779"/>
      <c r="H2307" s="1137"/>
      <c r="I2307" s="1780"/>
      <c r="J2307" s="1779"/>
      <c r="K2307" s="1787"/>
      <c r="L2307" s="1779"/>
      <c r="M2307" s="1780"/>
      <c r="N2307" s="1779"/>
    </row>
    <row r="2308" spans="1:14" ht="13.5" x14ac:dyDescent="0.25">
      <c r="A2308" s="1138"/>
      <c r="B2308" s="1138"/>
      <c r="C2308" s="1138"/>
      <c r="D2308" s="1138"/>
      <c r="E2308" s="1138"/>
      <c r="F2308" s="1138"/>
      <c r="G2308" s="1138"/>
      <c r="H2308" s="1138"/>
      <c r="I2308" s="1138"/>
      <c r="J2308" s="1138"/>
      <c r="K2308" s="1778" t="s">
        <v>523</v>
      </c>
      <c r="L2308" s="1779"/>
      <c r="M2308" s="1780">
        <f>SUM(M2298:N2307)</f>
        <v>115.38461538461539</v>
      </c>
      <c r="N2308" s="1779"/>
    </row>
    <row r="2309" spans="1:14" ht="13.5" x14ac:dyDescent="0.25">
      <c r="A2309" s="1138"/>
      <c r="B2309" s="1138"/>
      <c r="C2309" s="1138"/>
      <c r="D2309" s="1138"/>
      <c r="E2309" s="1138"/>
      <c r="F2309" s="1138"/>
      <c r="G2309" s="1138"/>
      <c r="H2309" s="1138"/>
      <c r="I2309" s="1138"/>
      <c r="J2309" s="1138"/>
      <c r="K2309" s="1138"/>
      <c r="L2309" s="1138"/>
      <c r="M2309" s="1138"/>
      <c r="N2309" s="1138"/>
    </row>
    <row r="2310" spans="1:14" x14ac:dyDescent="0.2">
      <c r="A2310" s="1781" t="s">
        <v>2147</v>
      </c>
      <c r="B2310" s="1782"/>
      <c r="C2310" s="1782"/>
      <c r="D2310" s="1782"/>
      <c r="E2310" s="1782"/>
      <c r="F2310" s="1782"/>
      <c r="G2310" s="1782"/>
      <c r="H2310" s="1782"/>
      <c r="I2310" s="1782"/>
      <c r="J2310" s="1782"/>
      <c r="K2310" s="1782"/>
      <c r="L2310" s="1782"/>
      <c r="M2310" s="1782"/>
      <c r="N2310" s="1779"/>
    </row>
    <row r="2311" spans="1:14" x14ac:dyDescent="0.2">
      <c r="A2311" s="1778" t="s">
        <v>14</v>
      </c>
      <c r="B2311" s="1782"/>
      <c r="C2311" s="1782"/>
      <c r="D2311" s="1782"/>
      <c r="E2311" s="1782"/>
      <c r="F2311" s="1782"/>
      <c r="G2311" s="1779"/>
      <c r="H2311" s="1136" t="s">
        <v>15</v>
      </c>
      <c r="I2311" s="1783" t="s">
        <v>619</v>
      </c>
      <c r="J2311" s="1779"/>
      <c r="K2311" s="1783" t="s">
        <v>628</v>
      </c>
      <c r="L2311" s="1779"/>
      <c r="M2311" s="1783" t="s">
        <v>2140</v>
      </c>
      <c r="N2311" s="1779"/>
    </row>
    <row r="2312" spans="1:14" ht="13.5" x14ac:dyDescent="0.2">
      <c r="A2312" s="1792" t="s">
        <v>2328</v>
      </c>
      <c r="B2312" s="1782"/>
      <c r="C2312" s="1782"/>
      <c r="D2312" s="1782"/>
      <c r="E2312" s="1782"/>
      <c r="F2312" s="1782"/>
      <c r="G2312" s="1779"/>
      <c r="H2312" s="1032" t="str">
        <f>IF(A2312="","",VLOOKUP(A2312,'11'!$C$6:$E$1012,2,FALSE))</f>
        <v>KM-M3</v>
      </c>
      <c r="I2312" s="1785">
        <f>IF(A2312="","",VLOOKUP(A2312,'11'!$C$6:$E$1012,3,FALSE))</f>
        <v>1440</v>
      </c>
      <c r="J2312" s="1412"/>
      <c r="K2312" s="1787">
        <v>0</v>
      </c>
      <c r="L2312" s="1793"/>
      <c r="M2312" s="1780">
        <f t="shared" ref="M2312" si="106">IF(A2312="","",I2312*K2312)</f>
        <v>0</v>
      </c>
      <c r="N2312" s="1779"/>
    </row>
    <row r="2313" spans="1:14" ht="13.5" x14ac:dyDescent="0.2">
      <c r="A2313" s="1786"/>
      <c r="B2313" s="1782"/>
      <c r="C2313" s="1782"/>
      <c r="D2313" s="1782"/>
      <c r="E2313" s="1782"/>
      <c r="F2313" s="1782"/>
      <c r="G2313" s="1779"/>
      <c r="H2313" s="1032"/>
      <c r="I2313" s="1780"/>
      <c r="J2313" s="1779"/>
      <c r="K2313" s="1787"/>
      <c r="L2313" s="1779"/>
      <c r="M2313" s="1780"/>
      <c r="N2313" s="1779"/>
    </row>
    <row r="2314" spans="1:14" ht="13.5" x14ac:dyDescent="0.2">
      <c r="A2314" s="1786"/>
      <c r="B2314" s="1782"/>
      <c r="C2314" s="1782"/>
      <c r="D2314" s="1782"/>
      <c r="E2314" s="1782"/>
      <c r="F2314" s="1782"/>
      <c r="G2314" s="1779"/>
      <c r="H2314" s="1032"/>
      <c r="I2314" s="1780"/>
      <c r="J2314" s="1779"/>
      <c r="K2314" s="1788"/>
      <c r="L2314" s="1779"/>
      <c r="M2314" s="1780"/>
      <c r="N2314" s="1779"/>
    </row>
    <row r="2315" spans="1:14" ht="13.5" x14ac:dyDescent="0.2">
      <c r="A2315" s="1789"/>
      <c r="B2315" s="1782"/>
      <c r="C2315" s="1782"/>
      <c r="D2315" s="1782"/>
      <c r="E2315" s="1782"/>
      <c r="F2315" s="1782"/>
      <c r="G2315" s="1779"/>
      <c r="H2315" s="1137"/>
      <c r="I2315" s="1780"/>
      <c r="J2315" s="1779"/>
      <c r="K2315" s="1787"/>
      <c r="L2315" s="1779"/>
      <c r="M2315" s="1780"/>
      <c r="N2315" s="1779"/>
    </row>
    <row r="2316" spans="1:14" ht="13.5" x14ac:dyDescent="0.2">
      <c r="A2316" s="1789"/>
      <c r="B2316" s="1782"/>
      <c r="C2316" s="1782"/>
      <c r="D2316" s="1782"/>
      <c r="E2316" s="1782"/>
      <c r="F2316" s="1782"/>
      <c r="G2316" s="1779"/>
      <c r="H2316" s="1137"/>
      <c r="I2316" s="1780"/>
      <c r="J2316" s="1779"/>
      <c r="K2316" s="1787"/>
      <c r="L2316" s="1779"/>
      <c r="M2316" s="1780"/>
      <c r="N2316" s="1779"/>
    </row>
    <row r="2317" spans="1:14" ht="13.5" x14ac:dyDescent="0.25">
      <c r="A2317" s="1138"/>
      <c r="B2317" s="1138"/>
      <c r="C2317" s="1138"/>
      <c r="D2317" s="1138"/>
      <c r="E2317" s="1138"/>
      <c r="F2317" s="1138"/>
      <c r="G2317" s="1138"/>
      <c r="H2317" s="1138"/>
      <c r="I2317" s="1138"/>
      <c r="J2317" s="1138"/>
      <c r="K2317" s="1778" t="s">
        <v>523</v>
      </c>
      <c r="L2317" s="1779"/>
      <c r="M2317" s="1780">
        <f>SUM(M2312:N2316)</f>
        <v>0</v>
      </c>
      <c r="N2317" s="1779"/>
    </row>
    <row r="2318" spans="1:14" ht="13.5" x14ac:dyDescent="0.25">
      <c r="A2318" s="1138"/>
      <c r="B2318" s="1138"/>
      <c r="C2318" s="1138"/>
      <c r="D2318" s="1138"/>
      <c r="E2318" s="1138"/>
      <c r="F2318" s="1138"/>
      <c r="G2318" s="1138"/>
      <c r="H2318" s="1138"/>
      <c r="I2318" s="1138"/>
      <c r="J2318" s="1138"/>
      <c r="K2318" s="1138"/>
      <c r="L2318" s="1138"/>
      <c r="M2318" s="1138"/>
      <c r="N2318" s="1138"/>
    </row>
    <row r="2319" spans="1:14" x14ac:dyDescent="0.2">
      <c r="A2319" s="1781" t="s">
        <v>2150</v>
      </c>
      <c r="B2319" s="1782"/>
      <c r="C2319" s="1782"/>
      <c r="D2319" s="1782"/>
      <c r="E2319" s="1782"/>
      <c r="F2319" s="1782"/>
      <c r="G2319" s="1782"/>
      <c r="H2319" s="1782"/>
      <c r="I2319" s="1782"/>
      <c r="J2319" s="1782"/>
      <c r="K2319" s="1782"/>
      <c r="L2319" s="1782"/>
      <c r="M2319" s="1782"/>
      <c r="N2319" s="1779"/>
    </row>
    <row r="2320" spans="1:14" x14ac:dyDescent="0.2">
      <c r="A2320" s="1778" t="s">
        <v>14</v>
      </c>
      <c r="B2320" s="1782"/>
      <c r="C2320" s="1782"/>
      <c r="D2320" s="1782"/>
      <c r="E2320" s="1782"/>
      <c r="F2320" s="1782"/>
      <c r="G2320" s="1779"/>
      <c r="H2320" s="1136" t="s">
        <v>15</v>
      </c>
      <c r="I2320" s="1783" t="s">
        <v>619</v>
      </c>
      <c r="J2320" s="1779"/>
      <c r="K2320" s="1139" t="s">
        <v>1919</v>
      </c>
      <c r="L2320" s="1140" t="s">
        <v>2151</v>
      </c>
      <c r="M2320" s="1783" t="s">
        <v>2140</v>
      </c>
      <c r="N2320" s="1779"/>
    </row>
    <row r="2321" spans="1:14" ht="13.5" x14ac:dyDescent="0.25">
      <c r="A2321" s="1784" t="s">
        <v>2266</v>
      </c>
      <c r="B2321" s="1782"/>
      <c r="C2321" s="1782"/>
      <c r="D2321" s="1782"/>
      <c r="E2321" s="1782"/>
      <c r="F2321" s="1782"/>
      <c r="G2321" s="1779"/>
      <c r="H2321" s="1032" t="str">
        <f>IF(A2321="","",VLOOKUP(A2321,'09'!$A$22:$O$168,4,FALSE))</f>
        <v>Cuadrilla</v>
      </c>
      <c r="I2321" s="1785">
        <f>IF(A2321="","",VLOOKUP(A2321,'09'!$A$22:$O$168,5,FALSE))</f>
        <v>233454</v>
      </c>
      <c r="J2321" s="1412"/>
      <c r="K2321" s="1034">
        <f>IF(A2321="","",'03'!$I$2)</f>
        <v>1.88995</v>
      </c>
      <c r="L2321" s="1142">
        <v>0.5</v>
      </c>
      <c r="M2321" s="1780">
        <f>I2321*K2321/(L2321*8)</f>
        <v>110304.096825</v>
      </c>
      <c r="N2321" s="1779"/>
    </row>
    <row r="2322" spans="1:14" ht="13.5" x14ac:dyDescent="0.25">
      <c r="A2322" s="1784"/>
      <c r="B2322" s="1782"/>
      <c r="C2322" s="1782"/>
      <c r="D2322" s="1782"/>
      <c r="E2322" s="1782"/>
      <c r="F2322" s="1782"/>
      <c r="G2322" s="1779"/>
      <c r="H2322" s="1137"/>
      <c r="I2322" s="1780"/>
      <c r="J2322" s="1779"/>
      <c r="K2322" s="1141"/>
      <c r="L2322" s="1141"/>
      <c r="M2322" s="1780"/>
      <c r="N2322" s="1779"/>
    </row>
    <row r="2323" spans="1:14" ht="13.5" x14ac:dyDescent="0.25">
      <c r="A2323" s="1784"/>
      <c r="B2323" s="1782"/>
      <c r="C2323" s="1782"/>
      <c r="D2323" s="1782"/>
      <c r="E2323" s="1782"/>
      <c r="F2323" s="1782"/>
      <c r="G2323" s="1779"/>
      <c r="H2323" s="1137"/>
      <c r="I2323" s="1780"/>
      <c r="J2323" s="1779"/>
      <c r="K2323" s="1141"/>
      <c r="L2323" s="1143"/>
      <c r="M2323" s="1780"/>
      <c r="N2323" s="1779"/>
    </row>
    <row r="2324" spans="1:14" ht="13.5" x14ac:dyDescent="0.25">
      <c r="A2324" s="1784"/>
      <c r="B2324" s="1782"/>
      <c r="C2324" s="1782"/>
      <c r="D2324" s="1782"/>
      <c r="E2324" s="1782"/>
      <c r="F2324" s="1782"/>
      <c r="G2324" s="1779"/>
      <c r="H2324" s="1137"/>
      <c r="I2324" s="1780"/>
      <c r="J2324" s="1779"/>
      <c r="K2324" s="1141"/>
      <c r="L2324" s="1143"/>
      <c r="M2324" s="1780"/>
      <c r="N2324" s="1779"/>
    </row>
    <row r="2325" spans="1:14" ht="13.5" x14ac:dyDescent="0.25">
      <c r="A2325" s="1784"/>
      <c r="B2325" s="1782"/>
      <c r="C2325" s="1782"/>
      <c r="D2325" s="1782"/>
      <c r="E2325" s="1782"/>
      <c r="F2325" s="1782"/>
      <c r="G2325" s="1779"/>
      <c r="H2325" s="1137"/>
      <c r="I2325" s="1780"/>
      <c r="J2325" s="1779"/>
      <c r="K2325" s="1141"/>
      <c r="L2325" s="1143"/>
      <c r="M2325" s="1780"/>
      <c r="N2325" s="1779"/>
    </row>
    <row r="2326" spans="1:14" ht="13.5" x14ac:dyDescent="0.25">
      <c r="A2326" s="1138"/>
      <c r="B2326" s="1138"/>
      <c r="C2326" s="1138"/>
      <c r="D2326" s="1138"/>
      <c r="E2326" s="1138"/>
      <c r="F2326" s="1138"/>
      <c r="G2326" s="1138"/>
      <c r="H2326" s="1138"/>
      <c r="I2326" s="1138"/>
      <c r="J2326" s="1138"/>
      <c r="K2326" s="1778" t="s">
        <v>523</v>
      </c>
      <c r="L2326" s="1779"/>
      <c r="M2326" s="1780">
        <f>SUM(M2321:N2325)</f>
        <v>110304.096825</v>
      </c>
      <c r="N2326" s="1779"/>
    </row>
    <row r="2327" spans="1:14" x14ac:dyDescent="0.2">
      <c r="I2327" s="1414"/>
      <c r="J2327" s="1415"/>
      <c r="K2327" s="1415"/>
      <c r="L2327" s="1415"/>
      <c r="M2327" s="1415"/>
      <c r="N2327" s="1415"/>
    </row>
    <row r="2328" spans="1:14" ht="13.5" thickBot="1" x14ac:dyDescent="0.25">
      <c r="I2328" s="1416"/>
      <c r="J2328" s="1416"/>
      <c r="K2328" s="1416"/>
      <c r="L2328" s="1416"/>
      <c r="M2328" s="1416"/>
      <c r="N2328" s="1416"/>
    </row>
    <row r="2329" spans="1:14" ht="14.25" thickTop="1" x14ac:dyDescent="0.2">
      <c r="I2329" s="1417" t="s">
        <v>1829</v>
      </c>
      <c r="J2329" s="1418"/>
      <c r="K2329" s="1417" t="s">
        <v>2653</v>
      </c>
      <c r="L2329" s="1418"/>
      <c r="M2329" s="1418"/>
      <c r="N2329" s="1418"/>
    </row>
    <row r="2330" spans="1:14" ht="13.5" x14ac:dyDescent="0.2">
      <c r="I2330" s="1419" t="s">
        <v>1831</v>
      </c>
      <c r="J2330" s="1420"/>
      <c r="K2330" s="1419"/>
      <c r="L2330" s="1420"/>
      <c r="M2330" s="1420"/>
      <c r="N2330" s="1420"/>
    </row>
    <row r="2331" spans="1:14" x14ac:dyDescent="0.2">
      <c r="A2331" s="1796" t="s">
        <v>2402</v>
      </c>
      <c r="B2331" s="1797"/>
      <c r="C2331" s="1797"/>
      <c r="D2331" s="1797"/>
      <c r="E2331" s="1797"/>
      <c r="F2331" s="1797"/>
      <c r="G2331" s="1797"/>
      <c r="H2331" s="1797"/>
      <c r="I2331" s="1797"/>
      <c r="J2331" s="1797"/>
      <c r="K2331" s="1797"/>
      <c r="L2331" s="1797"/>
      <c r="M2331" s="1797"/>
      <c r="N2331" s="1798"/>
    </row>
    <row r="2332" spans="1:14" x14ac:dyDescent="0.2">
      <c r="A2332" s="1799"/>
      <c r="B2332" s="1800"/>
      <c r="C2332" s="1800"/>
      <c r="D2332" s="1800"/>
      <c r="E2332" s="1800"/>
      <c r="F2332" s="1800"/>
      <c r="G2332" s="1800"/>
      <c r="H2332" s="1800"/>
      <c r="I2332" s="1800"/>
      <c r="J2332" s="1800"/>
      <c r="K2332" s="1800"/>
      <c r="L2332" s="1800"/>
      <c r="M2332" s="1800"/>
      <c r="N2332" s="1801"/>
    </row>
    <row r="2333" spans="1:14" ht="13.5" x14ac:dyDescent="0.2">
      <c r="A2333" s="1128"/>
      <c r="B2333" s="1128"/>
      <c r="C2333" s="1128"/>
      <c r="D2333" s="1128"/>
      <c r="E2333" s="1128"/>
      <c r="F2333" s="1128"/>
      <c r="G2333" s="1128"/>
      <c r="H2333" s="1128"/>
      <c r="I2333" s="1128"/>
      <c r="J2333" s="1128"/>
      <c r="K2333" s="1128"/>
      <c r="L2333" s="1128"/>
      <c r="M2333" s="1128"/>
      <c r="N2333" s="1128"/>
    </row>
    <row r="2334" spans="1:14" ht="14.25" x14ac:dyDescent="0.3">
      <c r="A2334" s="1104" t="s">
        <v>2401</v>
      </c>
      <c r="B2334" s="1129" t="str">
        <f>A2331</f>
        <v xml:space="preserve">SUMINISTRO E INSTALACIÓN CODO PVC DE 90 GRADOS PRESIÓN DE 8". INCLUYE UNIÓN DE REPARACIÓN. </v>
      </c>
      <c r="C2334" s="1130" t="s">
        <v>634</v>
      </c>
      <c r="D2334" s="1107" t="s">
        <v>2</v>
      </c>
      <c r="E2334" s="1132" t="s">
        <v>1833</v>
      </c>
      <c r="F2334" s="1133">
        <f>H2334+J2334+L2334+N2334</f>
        <v>1704765.2387300001</v>
      </c>
      <c r="G2334" s="1132" t="s">
        <v>2136</v>
      </c>
      <c r="H2334" s="1133">
        <f>M2362</f>
        <v>500</v>
      </c>
      <c r="I2334" s="1132" t="s">
        <v>621</v>
      </c>
      <c r="J2334" s="1134">
        <f>M2348</f>
        <v>1660143.6</v>
      </c>
      <c r="K2334" s="1132" t="s">
        <v>2137</v>
      </c>
      <c r="L2334" s="1133">
        <f>M2371</f>
        <v>0</v>
      </c>
      <c r="M2334" s="1132" t="s">
        <v>2138</v>
      </c>
      <c r="N2334" s="1133">
        <f>M2380</f>
        <v>44121.638729999999</v>
      </c>
    </row>
    <row r="2335" spans="1:14" ht="13.5" x14ac:dyDescent="0.25">
      <c r="A2335" s="1135"/>
      <c r="B2335" s="1135"/>
      <c r="C2335" s="1135"/>
      <c r="D2335" s="1135"/>
      <c r="E2335" s="1135"/>
      <c r="F2335" s="1135"/>
      <c r="G2335" s="1135"/>
      <c r="J2335" s="1135"/>
      <c r="K2335" s="1135"/>
      <c r="L2335" s="1135"/>
      <c r="M2335" s="1270" t="s">
        <v>2667</v>
      </c>
      <c r="N2335" s="1270">
        <f>+F2334*'01'!$O$15</f>
        <v>2206484.3098345255</v>
      </c>
    </row>
    <row r="2336" spans="1:14" x14ac:dyDescent="0.2">
      <c r="A2336" s="1781" t="s">
        <v>2139</v>
      </c>
      <c r="B2336" s="1782"/>
      <c r="C2336" s="1782"/>
      <c r="D2336" s="1782"/>
      <c r="E2336" s="1782"/>
      <c r="F2336" s="1782"/>
      <c r="G2336" s="1782"/>
      <c r="H2336" s="1782"/>
      <c r="I2336" s="1782"/>
      <c r="J2336" s="1782"/>
      <c r="K2336" s="1782"/>
      <c r="L2336" s="1782"/>
      <c r="M2336" s="1782"/>
      <c r="N2336" s="1779"/>
    </row>
    <row r="2337" spans="1:14" x14ac:dyDescent="0.2">
      <c r="A2337" s="1778" t="s">
        <v>14</v>
      </c>
      <c r="B2337" s="1782"/>
      <c r="C2337" s="1782"/>
      <c r="D2337" s="1782"/>
      <c r="E2337" s="1782"/>
      <c r="F2337" s="1782"/>
      <c r="G2337" s="1779"/>
      <c r="H2337" s="1136" t="s">
        <v>15</v>
      </c>
      <c r="I2337" s="1783" t="s">
        <v>619</v>
      </c>
      <c r="J2337" s="1779"/>
      <c r="K2337" s="1783" t="s">
        <v>628</v>
      </c>
      <c r="L2337" s="1779"/>
      <c r="M2337" s="1783" t="s">
        <v>2140</v>
      </c>
      <c r="N2337" s="1779"/>
    </row>
    <row r="2338" spans="1:14" ht="13.5" customHeight="1" x14ac:dyDescent="0.2">
      <c r="A2338" s="1792" t="s">
        <v>1461</v>
      </c>
      <c r="B2338" s="1782"/>
      <c r="C2338" s="1782"/>
      <c r="D2338" s="1782"/>
      <c r="E2338" s="1782"/>
      <c r="F2338" s="1782"/>
      <c r="G2338" s="1779"/>
      <c r="H2338" s="1032" t="str">
        <f>IF(A2338="","",VLOOKUP(A2338,'10'!$C$6:$E$1152,2,FALSE))</f>
        <v>UND</v>
      </c>
      <c r="I2338" s="1785">
        <f>IF(A2338="","",VLOOKUP(A2338,'10'!$C$6:$E$1152,3,FALSE))</f>
        <v>1203485</v>
      </c>
      <c r="J2338" s="1412"/>
      <c r="K2338" s="1794">
        <v>1</v>
      </c>
      <c r="L2338" s="1795"/>
      <c r="M2338" s="1780">
        <f>K2338*I2338</f>
        <v>1203485</v>
      </c>
      <c r="N2338" s="1779"/>
    </row>
    <row r="2339" spans="1:14" ht="13.5" customHeight="1" x14ac:dyDescent="0.2">
      <c r="A2339" s="1792" t="s">
        <v>1464</v>
      </c>
      <c r="B2339" s="1782"/>
      <c r="C2339" s="1782"/>
      <c r="D2339" s="1782"/>
      <c r="E2339" s="1782"/>
      <c r="F2339" s="1782"/>
      <c r="G2339" s="1779"/>
      <c r="H2339" s="1032" t="str">
        <f>IF(A2339="","",VLOOKUP(A2339,'10'!$C$6:$E$1152,2,FALSE))</f>
        <v>UND</v>
      </c>
      <c r="I2339" s="1785">
        <f>IF(A2339="","",VLOOKUP(A2339,'10'!$C$6:$E$1152,3,FALSE))</f>
        <v>446969</v>
      </c>
      <c r="J2339" s="1412"/>
      <c r="K2339" s="1794">
        <v>1</v>
      </c>
      <c r="L2339" s="1795"/>
      <c r="M2339" s="1780">
        <f t="shared" ref="M2339:M2341" si="107">K2339*I2339</f>
        <v>446969</v>
      </c>
      <c r="N2339" s="1779"/>
    </row>
    <row r="2340" spans="1:14" ht="13.5" x14ac:dyDescent="0.2">
      <c r="A2340" s="1792" t="s">
        <v>1451</v>
      </c>
      <c r="B2340" s="1782"/>
      <c r="C2340" s="1782"/>
      <c r="D2340" s="1782"/>
      <c r="E2340" s="1782"/>
      <c r="F2340" s="1782"/>
      <c r="G2340" s="1779"/>
      <c r="H2340" s="1032" t="str">
        <f>IF(A2340="","",VLOOKUP(A2340,'10'!$C$6:$E$1152,2,FALSE))</f>
        <v>UND</v>
      </c>
      <c r="I2340" s="1785">
        <f>IF(A2340="","",VLOOKUP(A2340,'10'!$C$6:$E$1152,3,FALSE))</f>
        <v>30983</v>
      </c>
      <c r="J2340" s="1412"/>
      <c r="K2340" s="1794">
        <v>0.1</v>
      </c>
      <c r="L2340" s="1795"/>
      <c r="M2340" s="1780">
        <f t="shared" si="107"/>
        <v>3098.3</v>
      </c>
      <c r="N2340" s="1779"/>
    </row>
    <row r="2341" spans="1:14" ht="13.5" x14ac:dyDescent="0.2">
      <c r="A2341" s="1792" t="s">
        <v>1735</v>
      </c>
      <c r="B2341" s="1782"/>
      <c r="C2341" s="1782"/>
      <c r="D2341" s="1782"/>
      <c r="E2341" s="1782"/>
      <c r="F2341" s="1782"/>
      <c r="G2341" s="1779"/>
      <c r="H2341" s="1032" t="str">
        <f>IF(A2341="","",VLOOKUP(A2341,'10'!$C$6:$E$1152,2,FALSE))</f>
        <v>UND</v>
      </c>
      <c r="I2341" s="1785">
        <f>IF(A2341="","",VLOOKUP(A2341,'10'!$C$6:$E$1152,3,FALSE))</f>
        <v>65913</v>
      </c>
      <c r="J2341" s="1412"/>
      <c r="K2341" s="1794">
        <v>0.1</v>
      </c>
      <c r="L2341" s="1795"/>
      <c r="M2341" s="1780">
        <f t="shared" si="107"/>
        <v>6591.3</v>
      </c>
      <c r="N2341" s="1779"/>
    </row>
    <row r="2342" spans="1:14" ht="13.5" x14ac:dyDescent="0.2">
      <c r="A2342" s="1792"/>
      <c r="B2342" s="1782"/>
      <c r="C2342" s="1782"/>
      <c r="D2342" s="1782"/>
      <c r="E2342" s="1782"/>
      <c r="F2342" s="1782"/>
      <c r="G2342" s="1779"/>
      <c r="H2342" s="1032"/>
      <c r="I2342" s="1785"/>
      <c r="J2342" s="1412"/>
      <c r="K2342" s="1794"/>
      <c r="L2342" s="1795"/>
      <c r="M2342" s="1780"/>
      <c r="N2342" s="1779"/>
    </row>
    <row r="2343" spans="1:14" ht="13.5" x14ac:dyDescent="0.2">
      <c r="A2343" s="1792"/>
      <c r="B2343" s="1782"/>
      <c r="C2343" s="1782"/>
      <c r="D2343" s="1782"/>
      <c r="E2343" s="1782"/>
      <c r="F2343" s="1782"/>
      <c r="G2343" s="1779"/>
      <c r="H2343" s="1032"/>
      <c r="I2343" s="1785"/>
      <c r="J2343" s="1412"/>
      <c r="K2343" s="1794"/>
      <c r="L2343" s="1795"/>
      <c r="M2343" s="1780"/>
      <c r="N2343" s="1779"/>
    </row>
    <row r="2344" spans="1:14" ht="13.5" x14ac:dyDescent="0.2">
      <c r="A2344" s="1792"/>
      <c r="B2344" s="1782"/>
      <c r="C2344" s="1782"/>
      <c r="D2344" s="1782"/>
      <c r="E2344" s="1782"/>
      <c r="F2344" s="1782"/>
      <c r="G2344" s="1779"/>
      <c r="H2344" s="1032"/>
      <c r="I2344" s="1785"/>
      <c r="J2344" s="1412"/>
      <c r="K2344" s="1794"/>
      <c r="L2344" s="1795"/>
      <c r="M2344" s="1780"/>
      <c r="N2344" s="1779"/>
    </row>
    <row r="2345" spans="1:14" ht="13.5" x14ac:dyDescent="0.2">
      <c r="A2345" s="1792"/>
      <c r="B2345" s="1782"/>
      <c r="C2345" s="1782"/>
      <c r="D2345" s="1782"/>
      <c r="E2345" s="1782"/>
      <c r="F2345" s="1782"/>
      <c r="G2345" s="1779"/>
      <c r="H2345" s="1032"/>
      <c r="I2345" s="1785"/>
      <c r="J2345" s="1412"/>
      <c r="K2345" s="1794"/>
      <c r="L2345" s="1795"/>
      <c r="M2345" s="1780"/>
      <c r="N2345" s="1779"/>
    </row>
    <row r="2346" spans="1:14" ht="13.5" x14ac:dyDescent="0.2">
      <c r="A2346" s="1792"/>
      <c r="B2346" s="1782"/>
      <c r="C2346" s="1782"/>
      <c r="D2346" s="1782"/>
      <c r="E2346" s="1782"/>
      <c r="F2346" s="1782"/>
      <c r="G2346" s="1779"/>
      <c r="H2346" s="1032"/>
      <c r="I2346" s="1785"/>
      <c r="J2346" s="1412"/>
      <c r="K2346" s="1794"/>
      <c r="L2346" s="1795"/>
      <c r="M2346" s="1780"/>
      <c r="N2346" s="1779"/>
    </row>
    <row r="2347" spans="1:14" ht="13.5" x14ac:dyDescent="0.2">
      <c r="A2347" s="1792"/>
      <c r="B2347" s="1782"/>
      <c r="C2347" s="1782"/>
      <c r="D2347" s="1782"/>
      <c r="E2347" s="1782"/>
      <c r="F2347" s="1782"/>
      <c r="G2347" s="1779"/>
      <c r="H2347" s="1032"/>
      <c r="I2347" s="1785"/>
      <c r="J2347" s="1412"/>
      <c r="K2347" s="1794"/>
      <c r="L2347" s="1795"/>
      <c r="M2347" s="1780"/>
      <c r="N2347" s="1779"/>
    </row>
    <row r="2348" spans="1:14" ht="13.5" x14ac:dyDescent="0.25">
      <c r="A2348" s="1138"/>
      <c r="B2348" s="1138"/>
      <c r="C2348" s="1138"/>
      <c r="D2348" s="1138"/>
      <c r="E2348" s="1138"/>
      <c r="F2348" s="1138"/>
      <c r="G2348" s="1138"/>
      <c r="H2348" s="1138"/>
      <c r="I2348" s="1138"/>
      <c r="J2348" s="1138"/>
      <c r="K2348" s="1778" t="s">
        <v>523</v>
      </c>
      <c r="L2348" s="1779"/>
      <c r="M2348" s="1780">
        <f>SUM(M2338:N2342)</f>
        <v>1660143.6</v>
      </c>
      <c r="N2348" s="1779"/>
    </row>
    <row r="2349" spans="1:14" ht="13.5" x14ac:dyDescent="0.25">
      <c r="A2349" s="1138"/>
      <c r="B2349" s="1138"/>
      <c r="C2349" s="1138"/>
      <c r="D2349" s="1138"/>
      <c r="E2349" s="1138"/>
      <c r="F2349" s="1138"/>
      <c r="G2349" s="1138"/>
      <c r="H2349" s="1138"/>
      <c r="I2349" s="1138"/>
      <c r="J2349" s="1138"/>
      <c r="K2349" s="1138"/>
      <c r="L2349" s="1138"/>
      <c r="M2349" s="1138"/>
      <c r="N2349" s="1138"/>
    </row>
    <row r="2350" spans="1:14" x14ac:dyDescent="0.2">
      <c r="A2350" s="1781" t="s">
        <v>2145</v>
      </c>
      <c r="B2350" s="1782"/>
      <c r="C2350" s="1782"/>
      <c r="D2350" s="1782"/>
      <c r="E2350" s="1782"/>
      <c r="F2350" s="1782"/>
      <c r="G2350" s="1782"/>
      <c r="H2350" s="1782"/>
      <c r="I2350" s="1782"/>
      <c r="J2350" s="1782"/>
      <c r="K2350" s="1782"/>
      <c r="L2350" s="1782"/>
      <c r="M2350" s="1782"/>
      <c r="N2350" s="1779"/>
    </row>
    <row r="2351" spans="1:14" x14ac:dyDescent="0.2">
      <c r="A2351" s="1778" t="s">
        <v>14</v>
      </c>
      <c r="B2351" s="1782"/>
      <c r="C2351" s="1782"/>
      <c r="D2351" s="1782"/>
      <c r="E2351" s="1782"/>
      <c r="F2351" s="1782"/>
      <c r="G2351" s="1779"/>
      <c r="H2351" s="1136" t="s">
        <v>15</v>
      </c>
      <c r="I2351" s="1783" t="s">
        <v>619</v>
      </c>
      <c r="J2351" s="1779"/>
      <c r="K2351" s="1783" t="s">
        <v>610</v>
      </c>
      <c r="L2351" s="1779"/>
      <c r="M2351" s="1783" t="s">
        <v>2140</v>
      </c>
      <c r="N2351" s="1779"/>
    </row>
    <row r="2352" spans="1:14" ht="13.5" x14ac:dyDescent="0.2">
      <c r="A2352" s="1789" t="s">
        <v>131</v>
      </c>
      <c r="B2352" s="1790"/>
      <c r="C2352" s="1790"/>
      <c r="D2352" s="1790"/>
      <c r="E2352" s="1790"/>
      <c r="F2352" s="1790"/>
      <c r="G2352" s="1791"/>
      <c r="H2352" s="1032" t="str">
        <f>IF(A2352="","",VLOOKUP(A2352,'11'!$C$6:$E$87,2,FALSE))</f>
        <v>DIA</v>
      </c>
      <c r="I2352" s="1785">
        <f>IF(A2352="","",VLOOKUP(A2352,'11'!$C$6:$E$87,3,FALSE))</f>
        <v>15000</v>
      </c>
      <c r="J2352" s="1412"/>
      <c r="K2352" s="1787">
        <v>30</v>
      </c>
      <c r="L2352" s="1793"/>
      <c r="M2352" s="1780">
        <f>I2352/K2352</f>
        <v>500</v>
      </c>
      <c r="N2352" s="1779"/>
    </row>
    <row r="2353" spans="1:14" ht="13.5" x14ac:dyDescent="0.2">
      <c r="A2353" s="1789"/>
      <c r="B2353" s="1790"/>
      <c r="C2353" s="1790"/>
      <c r="D2353" s="1790"/>
      <c r="E2353" s="1790"/>
      <c r="F2353" s="1790"/>
      <c r="G2353" s="1791"/>
      <c r="H2353" s="1032"/>
      <c r="I2353" s="1785"/>
      <c r="J2353" s="1412"/>
      <c r="K2353" s="1787"/>
      <c r="L2353" s="1793"/>
      <c r="M2353" s="1780"/>
      <c r="N2353" s="1779"/>
    </row>
    <row r="2354" spans="1:14" ht="13.5" x14ac:dyDescent="0.2">
      <c r="A2354" s="1789"/>
      <c r="B2354" s="1790"/>
      <c r="C2354" s="1790"/>
      <c r="D2354" s="1790"/>
      <c r="E2354" s="1790"/>
      <c r="F2354" s="1790"/>
      <c r="G2354" s="1791"/>
      <c r="H2354" s="1032"/>
      <c r="I2354" s="1785"/>
      <c r="J2354" s="1412"/>
      <c r="K2354" s="1787"/>
      <c r="L2354" s="1793"/>
      <c r="M2354" s="1780"/>
      <c r="N2354" s="1779"/>
    </row>
    <row r="2355" spans="1:14" ht="13.5" x14ac:dyDescent="0.2">
      <c r="A2355" s="1789"/>
      <c r="B2355" s="1790"/>
      <c r="C2355" s="1790"/>
      <c r="D2355" s="1790"/>
      <c r="E2355" s="1790"/>
      <c r="F2355" s="1790"/>
      <c r="G2355" s="1791"/>
      <c r="H2355" s="1032"/>
      <c r="I2355" s="1785"/>
      <c r="J2355" s="1412"/>
      <c r="K2355" s="1787"/>
      <c r="L2355" s="1793"/>
      <c r="M2355" s="1780"/>
      <c r="N2355" s="1779"/>
    </row>
    <row r="2356" spans="1:14" ht="13.5" x14ac:dyDescent="0.2">
      <c r="A2356" s="1789"/>
      <c r="B2356" s="1790"/>
      <c r="C2356" s="1790"/>
      <c r="D2356" s="1790"/>
      <c r="E2356" s="1790"/>
      <c r="F2356" s="1790"/>
      <c r="G2356" s="1791"/>
      <c r="H2356" s="1032"/>
      <c r="I2356" s="1785"/>
      <c r="J2356" s="1412"/>
      <c r="K2356" s="1787"/>
      <c r="L2356" s="1793"/>
      <c r="M2356" s="1780"/>
      <c r="N2356" s="1779"/>
    </row>
    <row r="2357" spans="1:14" ht="13.5" x14ac:dyDescent="0.2">
      <c r="A2357" s="1789"/>
      <c r="B2357" s="1790"/>
      <c r="C2357" s="1790"/>
      <c r="D2357" s="1790"/>
      <c r="E2357" s="1790"/>
      <c r="F2357" s="1790"/>
      <c r="G2357" s="1791"/>
      <c r="H2357" s="1032"/>
      <c r="I2357" s="1785"/>
      <c r="J2357" s="1412"/>
      <c r="K2357" s="1787"/>
      <c r="L2357" s="1793"/>
      <c r="M2357" s="1780"/>
      <c r="N2357" s="1779"/>
    </row>
    <row r="2358" spans="1:14" ht="13.5" x14ac:dyDescent="0.2">
      <c r="A2358" s="1789"/>
      <c r="B2358" s="1790"/>
      <c r="C2358" s="1790"/>
      <c r="D2358" s="1790"/>
      <c r="E2358" s="1790"/>
      <c r="F2358" s="1790"/>
      <c r="G2358" s="1791"/>
      <c r="H2358" s="1032"/>
      <c r="I2358" s="1785"/>
      <c r="J2358" s="1412"/>
      <c r="K2358" s="1787"/>
      <c r="L2358" s="1793"/>
      <c r="M2358" s="1780"/>
      <c r="N2358" s="1779"/>
    </row>
    <row r="2359" spans="1:14" ht="13.5" x14ac:dyDescent="0.2">
      <c r="A2359" s="1789"/>
      <c r="B2359" s="1790"/>
      <c r="C2359" s="1790"/>
      <c r="D2359" s="1790"/>
      <c r="E2359" s="1790"/>
      <c r="F2359" s="1790"/>
      <c r="G2359" s="1791"/>
      <c r="H2359" s="1032"/>
      <c r="I2359" s="1785"/>
      <c r="J2359" s="1412"/>
      <c r="K2359" s="1787"/>
      <c r="L2359" s="1779"/>
      <c r="M2359" s="1780"/>
      <c r="N2359" s="1779"/>
    </row>
    <row r="2360" spans="1:14" ht="13.5" x14ac:dyDescent="0.2">
      <c r="A2360" s="1789"/>
      <c r="B2360" s="1790"/>
      <c r="C2360" s="1790"/>
      <c r="D2360" s="1790"/>
      <c r="E2360" s="1790"/>
      <c r="F2360" s="1790"/>
      <c r="G2360" s="1791"/>
      <c r="H2360" s="1032"/>
      <c r="I2360" s="1785"/>
      <c r="J2360" s="1412"/>
      <c r="K2360" s="1787"/>
      <c r="L2360" s="1779"/>
      <c r="M2360" s="1780"/>
      <c r="N2360" s="1779"/>
    </row>
    <row r="2361" spans="1:14" ht="13.5" x14ac:dyDescent="0.2">
      <c r="A2361" s="1789"/>
      <c r="B2361" s="1782"/>
      <c r="C2361" s="1782"/>
      <c r="D2361" s="1782"/>
      <c r="E2361" s="1782"/>
      <c r="F2361" s="1782"/>
      <c r="G2361" s="1779"/>
      <c r="H2361" s="1137"/>
      <c r="I2361" s="1780"/>
      <c r="J2361" s="1779"/>
      <c r="K2361" s="1787"/>
      <c r="L2361" s="1779"/>
      <c r="M2361" s="1780"/>
      <c r="N2361" s="1779"/>
    </row>
    <row r="2362" spans="1:14" ht="13.5" x14ac:dyDescent="0.25">
      <c r="A2362" s="1138"/>
      <c r="B2362" s="1138"/>
      <c r="C2362" s="1138"/>
      <c r="D2362" s="1138"/>
      <c r="E2362" s="1138"/>
      <c r="F2362" s="1138"/>
      <c r="G2362" s="1138"/>
      <c r="H2362" s="1138"/>
      <c r="I2362" s="1138"/>
      <c r="J2362" s="1138"/>
      <c r="K2362" s="1778" t="s">
        <v>523</v>
      </c>
      <c r="L2362" s="1779"/>
      <c r="M2362" s="1780">
        <f>SUM(M2352:N2361)</f>
        <v>500</v>
      </c>
      <c r="N2362" s="1779"/>
    </row>
    <row r="2363" spans="1:14" ht="13.5" x14ac:dyDescent="0.25">
      <c r="A2363" s="1138"/>
      <c r="B2363" s="1138"/>
      <c r="C2363" s="1138"/>
      <c r="D2363" s="1138"/>
      <c r="E2363" s="1138"/>
      <c r="F2363" s="1138"/>
      <c r="G2363" s="1138"/>
      <c r="H2363" s="1138"/>
      <c r="I2363" s="1138"/>
      <c r="J2363" s="1138"/>
      <c r="K2363" s="1138"/>
      <c r="L2363" s="1138"/>
      <c r="M2363" s="1138"/>
      <c r="N2363" s="1138"/>
    </row>
    <row r="2364" spans="1:14" x14ac:dyDescent="0.2">
      <c r="A2364" s="1781" t="s">
        <v>2147</v>
      </c>
      <c r="B2364" s="1782"/>
      <c r="C2364" s="1782"/>
      <c r="D2364" s="1782"/>
      <c r="E2364" s="1782"/>
      <c r="F2364" s="1782"/>
      <c r="G2364" s="1782"/>
      <c r="H2364" s="1782"/>
      <c r="I2364" s="1782"/>
      <c r="J2364" s="1782"/>
      <c r="K2364" s="1782"/>
      <c r="L2364" s="1782"/>
      <c r="M2364" s="1782"/>
      <c r="N2364" s="1779"/>
    </row>
    <row r="2365" spans="1:14" x14ac:dyDescent="0.2">
      <c r="A2365" s="1778" t="s">
        <v>14</v>
      </c>
      <c r="B2365" s="1782"/>
      <c r="C2365" s="1782"/>
      <c r="D2365" s="1782"/>
      <c r="E2365" s="1782"/>
      <c r="F2365" s="1782"/>
      <c r="G2365" s="1779"/>
      <c r="H2365" s="1136" t="s">
        <v>15</v>
      </c>
      <c r="I2365" s="1783" t="s">
        <v>619</v>
      </c>
      <c r="J2365" s="1779"/>
      <c r="K2365" s="1783" t="s">
        <v>628</v>
      </c>
      <c r="L2365" s="1779"/>
      <c r="M2365" s="1783" t="s">
        <v>2140</v>
      </c>
      <c r="N2365" s="1779"/>
    </row>
    <row r="2366" spans="1:14" ht="13.5" x14ac:dyDescent="0.2">
      <c r="A2366" s="1792" t="s">
        <v>2328</v>
      </c>
      <c r="B2366" s="1782"/>
      <c r="C2366" s="1782"/>
      <c r="D2366" s="1782"/>
      <c r="E2366" s="1782"/>
      <c r="F2366" s="1782"/>
      <c r="G2366" s="1779"/>
      <c r="H2366" s="1032" t="str">
        <f>IF(A2366="","",VLOOKUP(A2366,'11'!$C$6:$E$1012,2,FALSE))</f>
        <v>KM-M3</v>
      </c>
      <c r="I2366" s="1785">
        <f>IF(A2366="","",VLOOKUP(A2366,'11'!$C$6:$E$1012,3,FALSE))</f>
        <v>1440</v>
      </c>
      <c r="J2366" s="1412"/>
      <c r="K2366" s="1787">
        <v>0</v>
      </c>
      <c r="L2366" s="1793"/>
      <c r="M2366" s="1780">
        <f t="shared" ref="M2366" si="108">IF(A2366="","",I2366*K2366)</f>
        <v>0</v>
      </c>
      <c r="N2366" s="1779"/>
    </row>
    <row r="2367" spans="1:14" ht="13.5" x14ac:dyDescent="0.2">
      <c r="A2367" s="1786"/>
      <c r="B2367" s="1782"/>
      <c r="C2367" s="1782"/>
      <c r="D2367" s="1782"/>
      <c r="E2367" s="1782"/>
      <c r="F2367" s="1782"/>
      <c r="G2367" s="1779"/>
      <c r="H2367" s="1032"/>
      <c r="I2367" s="1780"/>
      <c r="J2367" s="1779"/>
      <c r="K2367" s="1787"/>
      <c r="L2367" s="1779"/>
      <c r="M2367" s="1780"/>
      <c r="N2367" s="1779"/>
    </row>
    <row r="2368" spans="1:14" ht="13.5" x14ac:dyDescent="0.2">
      <c r="A2368" s="1786"/>
      <c r="B2368" s="1782"/>
      <c r="C2368" s="1782"/>
      <c r="D2368" s="1782"/>
      <c r="E2368" s="1782"/>
      <c r="F2368" s="1782"/>
      <c r="G2368" s="1779"/>
      <c r="H2368" s="1032"/>
      <c r="I2368" s="1780"/>
      <c r="J2368" s="1779"/>
      <c r="K2368" s="1788"/>
      <c r="L2368" s="1779"/>
      <c r="M2368" s="1780"/>
      <c r="N2368" s="1779"/>
    </row>
    <row r="2369" spans="1:14" ht="13.5" x14ac:dyDescent="0.2">
      <c r="A2369" s="1789"/>
      <c r="B2369" s="1782"/>
      <c r="C2369" s="1782"/>
      <c r="D2369" s="1782"/>
      <c r="E2369" s="1782"/>
      <c r="F2369" s="1782"/>
      <c r="G2369" s="1779"/>
      <c r="H2369" s="1137"/>
      <c r="I2369" s="1780"/>
      <c r="J2369" s="1779"/>
      <c r="K2369" s="1787"/>
      <c r="L2369" s="1779"/>
      <c r="M2369" s="1780"/>
      <c r="N2369" s="1779"/>
    </row>
    <row r="2370" spans="1:14" ht="13.5" x14ac:dyDescent="0.2">
      <c r="A2370" s="1789"/>
      <c r="B2370" s="1782"/>
      <c r="C2370" s="1782"/>
      <c r="D2370" s="1782"/>
      <c r="E2370" s="1782"/>
      <c r="F2370" s="1782"/>
      <c r="G2370" s="1779"/>
      <c r="H2370" s="1137"/>
      <c r="I2370" s="1780"/>
      <c r="J2370" s="1779"/>
      <c r="K2370" s="1787"/>
      <c r="L2370" s="1779"/>
      <c r="M2370" s="1780"/>
      <c r="N2370" s="1779"/>
    </row>
    <row r="2371" spans="1:14" ht="13.5" x14ac:dyDescent="0.25">
      <c r="A2371" s="1138"/>
      <c r="B2371" s="1138"/>
      <c r="C2371" s="1138"/>
      <c r="D2371" s="1138"/>
      <c r="E2371" s="1138"/>
      <c r="F2371" s="1138"/>
      <c r="G2371" s="1138"/>
      <c r="H2371" s="1138"/>
      <c r="I2371" s="1138"/>
      <c r="J2371" s="1138"/>
      <c r="K2371" s="1778" t="s">
        <v>523</v>
      </c>
      <c r="L2371" s="1779"/>
      <c r="M2371" s="1780">
        <f>SUM(M2366:N2370)</f>
        <v>0</v>
      </c>
      <c r="N2371" s="1779"/>
    </row>
    <row r="2372" spans="1:14" ht="13.5" x14ac:dyDescent="0.25">
      <c r="A2372" s="1138"/>
      <c r="B2372" s="1138"/>
      <c r="C2372" s="1138"/>
      <c r="D2372" s="1138"/>
      <c r="E2372" s="1138"/>
      <c r="F2372" s="1138"/>
      <c r="G2372" s="1138"/>
      <c r="H2372" s="1138"/>
      <c r="I2372" s="1138"/>
      <c r="J2372" s="1138"/>
      <c r="K2372" s="1138"/>
      <c r="L2372" s="1138"/>
      <c r="M2372" s="1138"/>
      <c r="N2372" s="1138"/>
    </row>
    <row r="2373" spans="1:14" x14ac:dyDescent="0.2">
      <c r="A2373" s="1781" t="s">
        <v>2150</v>
      </c>
      <c r="B2373" s="1782"/>
      <c r="C2373" s="1782"/>
      <c r="D2373" s="1782"/>
      <c r="E2373" s="1782"/>
      <c r="F2373" s="1782"/>
      <c r="G2373" s="1782"/>
      <c r="H2373" s="1782"/>
      <c r="I2373" s="1782"/>
      <c r="J2373" s="1782"/>
      <c r="K2373" s="1782"/>
      <c r="L2373" s="1782"/>
      <c r="M2373" s="1782"/>
      <c r="N2373" s="1779"/>
    </row>
    <row r="2374" spans="1:14" x14ac:dyDescent="0.2">
      <c r="A2374" s="1778" t="s">
        <v>14</v>
      </c>
      <c r="B2374" s="1782"/>
      <c r="C2374" s="1782"/>
      <c r="D2374" s="1782"/>
      <c r="E2374" s="1782"/>
      <c r="F2374" s="1782"/>
      <c r="G2374" s="1779"/>
      <c r="H2374" s="1136" t="s">
        <v>15</v>
      </c>
      <c r="I2374" s="1783" t="s">
        <v>619</v>
      </c>
      <c r="J2374" s="1779"/>
      <c r="K2374" s="1139" t="s">
        <v>1919</v>
      </c>
      <c r="L2374" s="1140" t="s">
        <v>2151</v>
      </c>
      <c r="M2374" s="1783" t="s">
        <v>2140</v>
      </c>
      <c r="N2374" s="1779"/>
    </row>
    <row r="2375" spans="1:14" ht="13.5" x14ac:dyDescent="0.25">
      <c r="A2375" s="1784" t="s">
        <v>2266</v>
      </c>
      <c r="B2375" s="1782"/>
      <c r="C2375" s="1782"/>
      <c r="D2375" s="1782"/>
      <c r="E2375" s="1782"/>
      <c r="F2375" s="1782"/>
      <c r="G2375" s="1779"/>
      <c r="H2375" s="1032" t="str">
        <f>IF(A2375="","",VLOOKUP(A2375,'09'!$A$22:$O$168,4,FALSE))</f>
        <v>Cuadrilla</v>
      </c>
      <c r="I2375" s="1785">
        <f>IF(A2375="","",VLOOKUP(A2375,'09'!$A$22:$O$168,5,FALSE))</f>
        <v>233454</v>
      </c>
      <c r="J2375" s="1412"/>
      <c r="K2375" s="1034">
        <f>IF(A2375="","",'03'!$I$2)</f>
        <v>1.88995</v>
      </c>
      <c r="L2375" s="1142">
        <v>1.25</v>
      </c>
      <c r="M2375" s="1780">
        <f>I2375*K2375/(L2375*8)</f>
        <v>44121.638729999999</v>
      </c>
      <c r="N2375" s="1779"/>
    </row>
    <row r="2376" spans="1:14" ht="13.5" x14ac:dyDescent="0.25">
      <c r="A2376" s="1784"/>
      <c r="B2376" s="1782"/>
      <c r="C2376" s="1782"/>
      <c r="D2376" s="1782"/>
      <c r="E2376" s="1782"/>
      <c r="F2376" s="1782"/>
      <c r="G2376" s="1779"/>
      <c r="H2376" s="1137"/>
      <c r="I2376" s="1780"/>
      <c r="J2376" s="1779"/>
      <c r="K2376" s="1141"/>
      <c r="L2376" s="1141"/>
      <c r="M2376" s="1780"/>
      <c r="N2376" s="1779"/>
    </row>
    <row r="2377" spans="1:14" ht="13.5" x14ac:dyDescent="0.25">
      <c r="A2377" s="1784"/>
      <c r="B2377" s="1782"/>
      <c r="C2377" s="1782"/>
      <c r="D2377" s="1782"/>
      <c r="E2377" s="1782"/>
      <c r="F2377" s="1782"/>
      <c r="G2377" s="1779"/>
      <c r="H2377" s="1137"/>
      <c r="I2377" s="1780"/>
      <c r="J2377" s="1779"/>
      <c r="K2377" s="1141"/>
      <c r="L2377" s="1143"/>
      <c r="M2377" s="1780"/>
      <c r="N2377" s="1779"/>
    </row>
    <row r="2378" spans="1:14" ht="13.5" x14ac:dyDescent="0.25">
      <c r="A2378" s="1784"/>
      <c r="B2378" s="1782"/>
      <c r="C2378" s="1782"/>
      <c r="D2378" s="1782"/>
      <c r="E2378" s="1782"/>
      <c r="F2378" s="1782"/>
      <c r="G2378" s="1779"/>
      <c r="H2378" s="1137"/>
      <c r="I2378" s="1780"/>
      <c r="J2378" s="1779"/>
      <c r="K2378" s="1141"/>
      <c r="L2378" s="1143"/>
      <c r="M2378" s="1780"/>
      <c r="N2378" s="1779"/>
    </row>
    <row r="2379" spans="1:14" ht="13.5" x14ac:dyDescent="0.25">
      <c r="A2379" s="1784"/>
      <c r="B2379" s="1782"/>
      <c r="C2379" s="1782"/>
      <c r="D2379" s="1782"/>
      <c r="E2379" s="1782"/>
      <c r="F2379" s="1782"/>
      <c r="G2379" s="1779"/>
      <c r="H2379" s="1137"/>
      <c r="I2379" s="1780"/>
      <c r="J2379" s="1779"/>
      <c r="K2379" s="1141"/>
      <c r="L2379" s="1143"/>
      <c r="M2379" s="1780"/>
      <c r="N2379" s="1779"/>
    </row>
    <row r="2380" spans="1:14" ht="13.5" x14ac:dyDescent="0.25">
      <c r="A2380" s="1138"/>
      <c r="B2380" s="1138"/>
      <c r="C2380" s="1138"/>
      <c r="D2380" s="1138"/>
      <c r="E2380" s="1138"/>
      <c r="F2380" s="1138"/>
      <c r="G2380" s="1138"/>
      <c r="H2380" s="1138"/>
      <c r="I2380" s="1138"/>
      <c r="J2380" s="1138"/>
      <c r="K2380" s="1778" t="s">
        <v>523</v>
      </c>
      <c r="L2380" s="1779"/>
      <c r="M2380" s="1780">
        <f>SUM(M2375:N2379)</f>
        <v>44121.638729999999</v>
      </c>
      <c r="N2380" s="1779"/>
    </row>
    <row r="2381" spans="1:14" x14ac:dyDescent="0.2">
      <c r="I2381" s="1414"/>
      <c r="J2381" s="1415"/>
      <c r="K2381" s="1415"/>
      <c r="L2381" s="1415"/>
      <c r="M2381" s="1415"/>
      <c r="N2381" s="1415"/>
    </row>
    <row r="2382" spans="1:14" ht="13.5" thickBot="1" x14ac:dyDescent="0.25">
      <c r="I2382" s="1416"/>
      <c r="J2382" s="1416"/>
      <c r="K2382" s="1416"/>
      <c r="L2382" s="1416"/>
      <c r="M2382" s="1416"/>
      <c r="N2382" s="1416"/>
    </row>
    <row r="2383" spans="1:14" ht="14.25" thickTop="1" x14ac:dyDescent="0.2">
      <c r="I2383" s="1417" t="s">
        <v>1829</v>
      </c>
      <c r="J2383" s="1418"/>
      <c r="K2383" s="1417" t="s">
        <v>2653</v>
      </c>
      <c r="L2383" s="1418"/>
      <c r="M2383" s="1418"/>
      <c r="N2383" s="1418"/>
    </row>
    <row r="2384" spans="1:14" ht="13.5" x14ac:dyDescent="0.2">
      <c r="I2384" s="1419" t="s">
        <v>1831</v>
      </c>
      <c r="J2384" s="1420"/>
      <c r="K2384" s="1419"/>
      <c r="L2384" s="1420"/>
      <c r="M2384" s="1420"/>
      <c r="N2384" s="1420"/>
    </row>
    <row r="2385" spans="1:14" x14ac:dyDescent="0.2">
      <c r="A2385" s="1796" t="s">
        <v>2404</v>
      </c>
      <c r="B2385" s="1797"/>
      <c r="C2385" s="1797"/>
      <c r="D2385" s="1797"/>
      <c r="E2385" s="1797"/>
      <c r="F2385" s="1797"/>
      <c r="G2385" s="1797"/>
      <c r="H2385" s="1797"/>
      <c r="I2385" s="1797"/>
      <c r="J2385" s="1797"/>
      <c r="K2385" s="1797"/>
      <c r="L2385" s="1797"/>
      <c r="M2385" s="1797"/>
      <c r="N2385" s="1798"/>
    </row>
    <row r="2386" spans="1:14" x14ac:dyDescent="0.2">
      <c r="A2386" s="1799"/>
      <c r="B2386" s="1800"/>
      <c r="C2386" s="1800"/>
      <c r="D2386" s="1800"/>
      <c r="E2386" s="1800"/>
      <c r="F2386" s="1800"/>
      <c r="G2386" s="1800"/>
      <c r="H2386" s="1800"/>
      <c r="I2386" s="1800"/>
      <c r="J2386" s="1800"/>
      <c r="K2386" s="1800"/>
      <c r="L2386" s="1800"/>
      <c r="M2386" s="1800"/>
      <c r="N2386" s="1801"/>
    </row>
    <row r="2387" spans="1:14" ht="13.5" x14ac:dyDescent="0.2">
      <c r="A2387" s="1128"/>
      <c r="B2387" s="1128"/>
      <c r="C2387" s="1128"/>
      <c r="D2387" s="1128"/>
      <c r="E2387" s="1128"/>
      <c r="F2387" s="1128"/>
      <c r="G2387" s="1128"/>
      <c r="H2387" s="1128"/>
      <c r="I2387" s="1128"/>
      <c r="J2387" s="1128"/>
      <c r="K2387" s="1128"/>
      <c r="L2387" s="1128"/>
      <c r="M2387" s="1128"/>
      <c r="N2387" s="1128"/>
    </row>
    <row r="2388" spans="1:14" ht="14.25" x14ac:dyDescent="0.3">
      <c r="A2388" s="1104" t="s">
        <v>2403</v>
      </c>
      <c r="B2388" s="1129" t="str">
        <f>A2385</f>
        <v xml:space="preserve"> SUMINISTRO E INSTALACIÓN DE TEE HF DE 8"X8" EXTREMO BRIDAS PARA CONEXIÓN DE TUBERÍA PVC.</v>
      </c>
      <c r="C2388" s="1130" t="s">
        <v>634</v>
      </c>
      <c r="D2388" s="1107" t="s">
        <v>2</v>
      </c>
      <c r="E2388" s="1132" t="s">
        <v>1833</v>
      </c>
      <c r="F2388" s="1133">
        <f>H2388+J2388+L2388+N2388</f>
        <v>3067295.80171875</v>
      </c>
      <c r="G2388" s="1132" t="s">
        <v>2136</v>
      </c>
      <c r="H2388" s="1133">
        <f>M2416</f>
        <v>15000</v>
      </c>
      <c r="I2388" s="1132" t="s">
        <v>621</v>
      </c>
      <c r="J2388" s="1134">
        <f>M2402</f>
        <v>2822495.6</v>
      </c>
      <c r="K2388" s="1132" t="s">
        <v>2137</v>
      </c>
      <c r="L2388" s="1133">
        <f>M2425</f>
        <v>0</v>
      </c>
      <c r="M2388" s="1132" t="s">
        <v>2138</v>
      </c>
      <c r="N2388" s="1133">
        <f>M2434</f>
        <v>229800.20171875</v>
      </c>
    </row>
    <row r="2389" spans="1:14" ht="13.5" x14ac:dyDescent="0.25">
      <c r="A2389" s="1135"/>
      <c r="B2389" s="1135"/>
      <c r="C2389" s="1135"/>
      <c r="D2389" s="1135"/>
      <c r="E2389" s="1135"/>
      <c r="F2389" s="1135"/>
      <c r="G2389" s="1135"/>
      <c r="J2389" s="1135"/>
      <c r="K2389" s="1135"/>
      <c r="L2389" s="1135"/>
      <c r="M2389" s="1270" t="s">
        <v>2667</v>
      </c>
      <c r="N2389" s="1270">
        <f>+F2388*'01'!$O$15</f>
        <v>3970012.94157995</v>
      </c>
    </row>
    <row r="2390" spans="1:14" x14ac:dyDescent="0.2">
      <c r="A2390" s="1781" t="s">
        <v>2139</v>
      </c>
      <c r="B2390" s="1782"/>
      <c r="C2390" s="1782"/>
      <c r="D2390" s="1782"/>
      <c r="E2390" s="1782"/>
      <c r="F2390" s="1782"/>
      <c r="G2390" s="1782"/>
      <c r="H2390" s="1782"/>
      <c r="I2390" s="1782"/>
      <c r="J2390" s="1782"/>
      <c r="K2390" s="1782"/>
      <c r="L2390" s="1782"/>
      <c r="M2390" s="1782"/>
      <c r="N2390" s="1779"/>
    </row>
    <row r="2391" spans="1:14" x14ac:dyDescent="0.2">
      <c r="A2391" s="1778" t="s">
        <v>14</v>
      </c>
      <c r="B2391" s="1782"/>
      <c r="C2391" s="1782"/>
      <c r="D2391" s="1782"/>
      <c r="E2391" s="1782"/>
      <c r="F2391" s="1782"/>
      <c r="G2391" s="1779"/>
      <c r="H2391" s="1136" t="s">
        <v>15</v>
      </c>
      <c r="I2391" s="1783" t="s">
        <v>619</v>
      </c>
      <c r="J2391" s="1779"/>
      <c r="K2391" s="1783" t="s">
        <v>628</v>
      </c>
      <c r="L2391" s="1779"/>
      <c r="M2391" s="1783" t="s">
        <v>2140</v>
      </c>
      <c r="N2391" s="1779"/>
    </row>
    <row r="2392" spans="1:14" ht="13.5" customHeight="1" x14ac:dyDescent="0.2">
      <c r="A2392" s="1792" t="s">
        <v>1702</v>
      </c>
      <c r="B2392" s="1782"/>
      <c r="C2392" s="1782"/>
      <c r="D2392" s="1782"/>
      <c r="E2392" s="1782"/>
      <c r="F2392" s="1782"/>
      <c r="G2392" s="1779"/>
      <c r="H2392" s="1032" t="str">
        <f>IF(A2392="","",VLOOKUP(A2392,'10'!$C$6:$E$1152,2,FALSE))</f>
        <v>UND</v>
      </c>
      <c r="I2392" s="1785">
        <f>IF(A2392="","",VLOOKUP(A2392,'10'!$C$6:$E$1152,3,FALSE))</f>
        <v>1874250</v>
      </c>
      <c r="J2392" s="1412"/>
      <c r="K2392" s="1794">
        <v>1</v>
      </c>
      <c r="L2392" s="1795"/>
      <c r="M2392" s="1780">
        <f>K2392*I2392</f>
        <v>1874250</v>
      </c>
      <c r="N2392" s="1779"/>
    </row>
    <row r="2393" spans="1:14" ht="13.5" customHeight="1" x14ac:dyDescent="0.2">
      <c r="A2393" s="1792" t="s">
        <v>1086</v>
      </c>
      <c r="B2393" s="1782"/>
      <c r="C2393" s="1782"/>
      <c r="D2393" s="1782"/>
      <c r="E2393" s="1782"/>
      <c r="F2393" s="1782"/>
      <c r="G2393" s="1779"/>
      <c r="H2393" s="1032" t="str">
        <f>IF(A2393="","",VLOOKUP(A2393,'10'!$C$6:$E$1152,2,FALSE))</f>
        <v>UND</v>
      </c>
      <c r="I2393" s="1785">
        <f>IF(A2393="","",VLOOKUP(A2393,'10'!$C$6:$E$1152,3,FALSE))</f>
        <v>238705</v>
      </c>
      <c r="J2393" s="1412"/>
      <c r="K2393" s="1794">
        <v>3</v>
      </c>
      <c r="L2393" s="1795"/>
      <c r="M2393" s="1780">
        <f t="shared" ref="M2393:M2395" si="109">K2393*I2393</f>
        <v>716115</v>
      </c>
      <c r="N2393" s="1779"/>
    </row>
    <row r="2394" spans="1:14" ht="13.5" x14ac:dyDescent="0.2">
      <c r="A2394" s="1792" t="s">
        <v>1561</v>
      </c>
      <c r="B2394" s="1782"/>
      <c r="C2394" s="1782"/>
      <c r="D2394" s="1782"/>
      <c r="E2394" s="1782"/>
      <c r="F2394" s="1782"/>
      <c r="G2394" s="1779"/>
      <c r="H2394" s="1032" t="str">
        <f>IF(A2394="","",VLOOKUP(A2394,'10'!$C$6:$E$1152,2,FALSE))</f>
        <v>UND</v>
      </c>
      <c r="I2394" s="1785">
        <f>IF(A2394="","",VLOOKUP(A2394,'10'!$C$6:$E$1152,3,FALSE))</f>
        <v>5500</v>
      </c>
      <c r="J2394" s="1412"/>
      <c r="K2394" s="1794">
        <v>24</v>
      </c>
      <c r="L2394" s="1795"/>
      <c r="M2394" s="1780">
        <f t="shared" si="109"/>
        <v>132000</v>
      </c>
      <c r="N2394" s="1779"/>
    </row>
    <row r="2395" spans="1:14" ht="13.5" x14ac:dyDescent="0.2">
      <c r="A2395" s="1792" t="s">
        <v>1564</v>
      </c>
      <c r="B2395" s="1782"/>
      <c r="C2395" s="1782"/>
      <c r="D2395" s="1782"/>
      <c r="E2395" s="1782"/>
      <c r="F2395" s="1782"/>
      <c r="G2395" s="1779"/>
      <c r="H2395" s="1032" t="str">
        <f>IF(A2395="","",VLOOKUP(A2395,'10'!$C$6:$E$1152,2,FALSE))</f>
        <v>UND</v>
      </c>
      <c r="I2395" s="1785">
        <f>IF(A2395="","",VLOOKUP(A2395,'10'!$C$6:$E$1152,3,FALSE))</f>
        <v>30000</v>
      </c>
      <c r="J2395" s="1412"/>
      <c r="K2395" s="1794">
        <v>3</v>
      </c>
      <c r="L2395" s="1795"/>
      <c r="M2395" s="1780">
        <f t="shared" si="109"/>
        <v>90000</v>
      </c>
      <c r="N2395" s="1779"/>
    </row>
    <row r="2396" spans="1:14" ht="13.5" x14ac:dyDescent="0.2">
      <c r="A2396" s="1792" t="s">
        <v>1735</v>
      </c>
      <c r="B2396" s="1782"/>
      <c r="C2396" s="1782"/>
      <c r="D2396" s="1782"/>
      <c r="E2396" s="1782"/>
      <c r="F2396" s="1782"/>
      <c r="G2396" s="1779"/>
      <c r="H2396" s="1032" t="str">
        <f>IF(A2396="","",VLOOKUP(A2396,'10'!$C$6:$E$1152,2,FALSE))</f>
        <v>UND</v>
      </c>
      <c r="I2396" s="1785">
        <f>IF(A2396="","",VLOOKUP(A2396,'10'!$C$6:$E$1152,3,FALSE))</f>
        <v>65913</v>
      </c>
      <c r="J2396" s="1412"/>
      <c r="K2396" s="1794">
        <v>0.05</v>
      </c>
      <c r="L2396" s="1795"/>
      <c r="M2396" s="1780">
        <f t="shared" ref="M2396" si="110">K2396*I2396</f>
        <v>3295.65</v>
      </c>
      <c r="N2396" s="1779"/>
    </row>
    <row r="2397" spans="1:14" ht="13.5" x14ac:dyDescent="0.2">
      <c r="A2397" s="1792" t="s">
        <v>100</v>
      </c>
      <c r="B2397" s="1782"/>
      <c r="C2397" s="1782"/>
      <c r="D2397" s="1782"/>
      <c r="E2397" s="1782"/>
      <c r="F2397" s="1782"/>
      <c r="G2397" s="1779"/>
      <c r="H2397" s="1032" t="str">
        <f>IF(A2397="","",VLOOKUP(A2397,'10'!$C$6:$E$1152,2,FALSE))</f>
        <v>UND</v>
      </c>
      <c r="I2397" s="1785">
        <f>IF(A2397="","",VLOOKUP(A2397,'10'!$C$6:$E$1152,3,FALSE))</f>
        <v>136699</v>
      </c>
      <c r="J2397" s="1412"/>
      <c r="K2397" s="1794">
        <v>0.05</v>
      </c>
      <c r="L2397" s="1795"/>
      <c r="M2397" s="1780">
        <f t="shared" ref="M2397" si="111">K2397*I2397</f>
        <v>6834.9500000000007</v>
      </c>
      <c r="N2397" s="1779"/>
    </row>
    <row r="2398" spans="1:14" ht="13.5" x14ac:dyDescent="0.2">
      <c r="A2398" s="1792"/>
      <c r="B2398" s="1782"/>
      <c r="C2398" s="1782"/>
      <c r="D2398" s="1782"/>
      <c r="E2398" s="1782"/>
      <c r="F2398" s="1782"/>
      <c r="G2398" s="1779"/>
      <c r="H2398" s="1032"/>
      <c r="I2398" s="1785"/>
      <c r="J2398" s="1412"/>
      <c r="K2398" s="1794"/>
      <c r="L2398" s="1795"/>
      <c r="M2398" s="1780"/>
      <c r="N2398" s="1779"/>
    </row>
    <row r="2399" spans="1:14" ht="13.5" x14ac:dyDescent="0.2">
      <c r="A2399" s="1792"/>
      <c r="B2399" s="1782"/>
      <c r="C2399" s="1782"/>
      <c r="D2399" s="1782"/>
      <c r="E2399" s="1782"/>
      <c r="F2399" s="1782"/>
      <c r="G2399" s="1779"/>
      <c r="H2399" s="1032"/>
      <c r="I2399" s="1785"/>
      <c r="J2399" s="1412"/>
      <c r="K2399" s="1794"/>
      <c r="L2399" s="1795"/>
      <c r="M2399" s="1780"/>
      <c r="N2399" s="1779"/>
    </row>
    <row r="2400" spans="1:14" ht="13.5" x14ac:dyDescent="0.2">
      <c r="A2400" s="1792"/>
      <c r="B2400" s="1782"/>
      <c r="C2400" s="1782"/>
      <c r="D2400" s="1782"/>
      <c r="E2400" s="1782"/>
      <c r="F2400" s="1782"/>
      <c r="G2400" s="1779"/>
      <c r="H2400" s="1032"/>
      <c r="I2400" s="1785"/>
      <c r="J2400" s="1412"/>
      <c r="K2400" s="1794"/>
      <c r="L2400" s="1795"/>
      <c r="M2400" s="1780"/>
      <c r="N2400" s="1779"/>
    </row>
    <row r="2401" spans="1:14" ht="13.5" x14ac:dyDescent="0.2">
      <c r="A2401" s="1792"/>
      <c r="B2401" s="1782"/>
      <c r="C2401" s="1782"/>
      <c r="D2401" s="1782"/>
      <c r="E2401" s="1782"/>
      <c r="F2401" s="1782"/>
      <c r="G2401" s="1779"/>
      <c r="H2401" s="1032"/>
      <c r="I2401" s="1785"/>
      <c r="J2401" s="1412"/>
      <c r="K2401" s="1794"/>
      <c r="L2401" s="1795"/>
      <c r="M2401" s="1780"/>
      <c r="N2401" s="1779"/>
    </row>
    <row r="2402" spans="1:14" ht="13.5" x14ac:dyDescent="0.25">
      <c r="A2402" s="1138"/>
      <c r="B2402" s="1138"/>
      <c r="C2402" s="1138"/>
      <c r="D2402" s="1138"/>
      <c r="E2402" s="1138"/>
      <c r="F2402" s="1138"/>
      <c r="G2402" s="1138"/>
      <c r="H2402" s="1138"/>
      <c r="I2402" s="1138"/>
      <c r="J2402" s="1138"/>
      <c r="K2402" s="1778" t="s">
        <v>523</v>
      </c>
      <c r="L2402" s="1779"/>
      <c r="M2402" s="1780">
        <f>SUM(M2392:N2397)</f>
        <v>2822495.6</v>
      </c>
      <c r="N2402" s="1779"/>
    </row>
    <row r="2403" spans="1:14" ht="13.5" x14ac:dyDescent="0.25">
      <c r="A2403" s="1138"/>
      <c r="B2403" s="1138"/>
      <c r="C2403" s="1138"/>
      <c r="D2403" s="1138"/>
      <c r="E2403" s="1138"/>
      <c r="F2403" s="1138"/>
      <c r="G2403" s="1138"/>
      <c r="H2403" s="1138"/>
      <c r="I2403" s="1138"/>
      <c r="J2403" s="1138"/>
      <c r="K2403" s="1138"/>
      <c r="L2403" s="1138"/>
      <c r="M2403" s="1138"/>
      <c r="N2403" s="1138"/>
    </row>
    <row r="2404" spans="1:14" x14ac:dyDescent="0.2">
      <c r="A2404" s="1781" t="s">
        <v>2145</v>
      </c>
      <c r="B2404" s="1782"/>
      <c r="C2404" s="1782"/>
      <c r="D2404" s="1782"/>
      <c r="E2404" s="1782"/>
      <c r="F2404" s="1782"/>
      <c r="G2404" s="1782"/>
      <c r="H2404" s="1782"/>
      <c r="I2404" s="1782"/>
      <c r="J2404" s="1782"/>
      <c r="K2404" s="1782"/>
      <c r="L2404" s="1782"/>
      <c r="M2404" s="1782"/>
      <c r="N2404" s="1779"/>
    </row>
    <row r="2405" spans="1:14" x14ac:dyDescent="0.2">
      <c r="A2405" s="1778" t="s">
        <v>14</v>
      </c>
      <c r="B2405" s="1782"/>
      <c r="C2405" s="1782"/>
      <c r="D2405" s="1782"/>
      <c r="E2405" s="1782"/>
      <c r="F2405" s="1782"/>
      <c r="G2405" s="1779"/>
      <c r="H2405" s="1136" t="s">
        <v>15</v>
      </c>
      <c r="I2405" s="1783" t="s">
        <v>619</v>
      </c>
      <c r="J2405" s="1779"/>
      <c r="K2405" s="1783" t="s">
        <v>610</v>
      </c>
      <c r="L2405" s="1779"/>
      <c r="M2405" s="1783" t="s">
        <v>2140</v>
      </c>
      <c r="N2405" s="1779"/>
    </row>
    <row r="2406" spans="1:14" ht="13.5" x14ac:dyDescent="0.2">
      <c r="A2406" s="1789" t="s">
        <v>131</v>
      </c>
      <c r="B2406" s="1790"/>
      <c r="C2406" s="1790"/>
      <c r="D2406" s="1790"/>
      <c r="E2406" s="1790"/>
      <c r="F2406" s="1790"/>
      <c r="G2406" s="1791"/>
      <c r="H2406" s="1032" t="str">
        <f>IF(A2406="","",VLOOKUP(A2406,'11'!$C$6:$E$87,2,FALSE))</f>
        <v>DIA</v>
      </c>
      <c r="I2406" s="1785">
        <f>IF(A2406="","",VLOOKUP(A2406,'11'!$C$6:$E$87,3,FALSE))</f>
        <v>15000</v>
      </c>
      <c r="J2406" s="1412"/>
      <c r="K2406" s="1787">
        <v>1</v>
      </c>
      <c r="L2406" s="1793"/>
      <c r="M2406" s="1780">
        <f>I2406/K2406</f>
        <v>15000</v>
      </c>
      <c r="N2406" s="1779"/>
    </row>
    <row r="2407" spans="1:14" ht="13.5" x14ac:dyDescent="0.2">
      <c r="A2407" s="1789"/>
      <c r="B2407" s="1790"/>
      <c r="C2407" s="1790"/>
      <c r="D2407" s="1790"/>
      <c r="E2407" s="1790"/>
      <c r="F2407" s="1790"/>
      <c r="G2407" s="1791"/>
      <c r="H2407" s="1032"/>
      <c r="I2407" s="1785"/>
      <c r="J2407" s="1412"/>
      <c r="K2407" s="1787"/>
      <c r="L2407" s="1793"/>
      <c r="M2407" s="1780"/>
      <c r="N2407" s="1779"/>
    </row>
    <row r="2408" spans="1:14" ht="13.5" x14ac:dyDescent="0.2">
      <c r="A2408" s="1789"/>
      <c r="B2408" s="1790"/>
      <c r="C2408" s="1790"/>
      <c r="D2408" s="1790"/>
      <c r="E2408" s="1790"/>
      <c r="F2408" s="1790"/>
      <c r="G2408" s="1791"/>
      <c r="H2408" s="1032"/>
      <c r="I2408" s="1785"/>
      <c r="J2408" s="1412"/>
      <c r="K2408" s="1787"/>
      <c r="L2408" s="1793"/>
      <c r="M2408" s="1780"/>
      <c r="N2408" s="1779"/>
    </row>
    <row r="2409" spans="1:14" ht="13.5" x14ac:dyDescent="0.2">
      <c r="A2409" s="1789"/>
      <c r="B2409" s="1790"/>
      <c r="C2409" s="1790"/>
      <c r="D2409" s="1790"/>
      <c r="E2409" s="1790"/>
      <c r="F2409" s="1790"/>
      <c r="G2409" s="1791"/>
      <c r="H2409" s="1032"/>
      <c r="I2409" s="1785"/>
      <c r="J2409" s="1412"/>
      <c r="K2409" s="1787"/>
      <c r="L2409" s="1793"/>
      <c r="M2409" s="1780"/>
      <c r="N2409" s="1779"/>
    </row>
    <row r="2410" spans="1:14" ht="13.5" x14ac:dyDescent="0.2">
      <c r="A2410" s="1789"/>
      <c r="B2410" s="1790"/>
      <c r="C2410" s="1790"/>
      <c r="D2410" s="1790"/>
      <c r="E2410" s="1790"/>
      <c r="F2410" s="1790"/>
      <c r="G2410" s="1791"/>
      <c r="H2410" s="1032"/>
      <c r="I2410" s="1785"/>
      <c r="J2410" s="1412"/>
      <c r="K2410" s="1787"/>
      <c r="L2410" s="1793"/>
      <c r="M2410" s="1780"/>
      <c r="N2410" s="1779"/>
    </row>
    <row r="2411" spans="1:14" ht="13.5" x14ac:dyDescent="0.2">
      <c r="A2411" s="1789"/>
      <c r="B2411" s="1790"/>
      <c r="C2411" s="1790"/>
      <c r="D2411" s="1790"/>
      <c r="E2411" s="1790"/>
      <c r="F2411" s="1790"/>
      <c r="G2411" s="1791"/>
      <c r="H2411" s="1032"/>
      <c r="I2411" s="1785"/>
      <c r="J2411" s="1412"/>
      <c r="K2411" s="1787"/>
      <c r="L2411" s="1793"/>
      <c r="M2411" s="1780"/>
      <c r="N2411" s="1779"/>
    </row>
    <row r="2412" spans="1:14" ht="13.5" x14ac:dyDescent="0.2">
      <c r="A2412" s="1789"/>
      <c r="B2412" s="1790"/>
      <c r="C2412" s="1790"/>
      <c r="D2412" s="1790"/>
      <c r="E2412" s="1790"/>
      <c r="F2412" s="1790"/>
      <c r="G2412" s="1791"/>
      <c r="H2412" s="1032"/>
      <c r="I2412" s="1785"/>
      <c r="J2412" s="1412"/>
      <c r="K2412" s="1787"/>
      <c r="L2412" s="1793"/>
      <c r="M2412" s="1780"/>
      <c r="N2412" s="1779"/>
    </row>
    <row r="2413" spans="1:14" ht="13.5" x14ac:dyDescent="0.2">
      <c r="A2413" s="1789"/>
      <c r="B2413" s="1790"/>
      <c r="C2413" s="1790"/>
      <c r="D2413" s="1790"/>
      <c r="E2413" s="1790"/>
      <c r="F2413" s="1790"/>
      <c r="G2413" s="1791"/>
      <c r="H2413" s="1032"/>
      <c r="I2413" s="1785"/>
      <c r="J2413" s="1412"/>
      <c r="K2413" s="1787"/>
      <c r="L2413" s="1779"/>
      <c r="M2413" s="1780"/>
      <c r="N2413" s="1779"/>
    </row>
    <row r="2414" spans="1:14" ht="13.5" x14ac:dyDescent="0.2">
      <c r="A2414" s="1789"/>
      <c r="B2414" s="1790"/>
      <c r="C2414" s="1790"/>
      <c r="D2414" s="1790"/>
      <c r="E2414" s="1790"/>
      <c r="F2414" s="1790"/>
      <c r="G2414" s="1791"/>
      <c r="H2414" s="1032"/>
      <c r="I2414" s="1785"/>
      <c r="J2414" s="1412"/>
      <c r="K2414" s="1787"/>
      <c r="L2414" s="1779"/>
      <c r="M2414" s="1780"/>
      <c r="N2414" s="1779"/>
    </row>
    <row r="2415" spans="1:14" ht="13.5" x14ac:dyDescent="0.2">
      <c r="A2415" s="1789"/>
      <c r="B2415" s="1782"/>
      <c r="C2415" s="1782"/>
      <c r="D2415" s="1782"/>
      <c r="E2415" s="1782"/>
      <c r="F2415" s="1782"/>
      <c r="G2415" s="1779"/>
      <c r="H2415" s="1137"/>
      <c r="I2415" s="1780"/>
      <c r="J2415" s="1779"/>
      <c r="K2415" s="1787"/>
      <c r="L2415" s="1779"/>
      <c r="M2415" s="1780"/>
      <c r="N2415" s="1779"/>
    </row>
    <row r="2416" spans="1:14" ht="13.5" x14ac:dyDescent="0.25">
      <c r="A2416" s="1138"/>
      <c r="B2416" s="1138"/>
      <c r="C2416" s="1138"/>
      <c r="D2416" s="1138"/>
      <c r="E2416" s="1138"/>
      <c r="F2416" s="1138"/>
      <c r="G2416" s="1138"/>
      <c r="H2416" s="1138"/>
      <c r="I2416" s="1138"/>
      <c r="J2416" s="1138"/>
      <c r="K2416" s="1778" t="s">
        <v>523</v>
      </c>
      <c r="L2416" s="1779"/>
      <c r="M2416" s="1780">
        <f>SUM(M2406:N2415)</f>
        <v>15000</v>
      </c>
      <c r="N2416" s="1779"/>
    </row>
    <row r="2417" spans="1:14" ht="13.5" x14ac:dyDescent="0.25">
      <c r="A2417" s="1138"/>
      <c r="B2417" s="1138"/>
      <c r="C2417" s="1138"/>
      <c r="D2417" s="1138"/>
      <c r="E2417" s="1138"/>
      <c r="F2417" s="1138"/>
      <c r="G2417" s="1138"/>
      <c r="H2417" s="1138"/>
      <c r="I2417" s="1138"/>
      <c r="J2417" s="1138"/>
      <c r="K2417" s="1138"/>
      <c r="L2417" s="1138"/>
      <c r="M2417" s="1138"/>
      <c r="N2417" s="1138"/>
    </row>
    <row r="2418" spans="1:14" x14ac:dyDescent="0.2">
      <c r="A2418" s="1781" t="s">
        <v>2147</v>
      </c>
      <c r="B2418" s="1782"/>
      <c r="C2418" s="1782"/>
      <c r="D2418" s="1782"/>
      <c r="E2418" s="1782"/>
      <c r="F2418" s="1782"/>
      <c r="G2418" s="1782"/>
      <c r="H2418" s="1782"/>
      <c r="I2418" s="1782"/>
      <c r="J2418" s="1782"/>
      <c r="K2418" s="1782"/>
      <c r="L2418" s="1782"/>
      <c r="M2418" s="1782"/>
      <c r="N2418" s="1779"/>
    </row>
    <row r="2419" spans="1:14" x14ac:dyDescent="0.2">
      <c r="A2419" s="1778" t="s">
        <v>14</v>
      </c>
      <c r="B2419" s="1782"/>
      <c r="C2419" s="1782"/>
      <c r="D2419" s="1782"/>
      <c r="E2419" s="1782"/>
      <c r="F2419" s="1782"/>
      <c r="G2419" s="1779"/>
      <c r="H2419" s="1136" t="s">
        <v>15</v>
      </c>
      <c r="I2419" s="1783" t="s">
        <v>619</v>
      </c>
      <c r="J2419" s="1779"/>
      <c r="K2419" s="1783" t="s">
        <v>628</v>
      </c>
      <c r="L2419" s="1779"/>
      <c r="M2419" s="1783" t="s">
        <v>2140</v>
      </c>
      <c r="N2419" s="1779"/>
    </row>
    <row r="2420" spans="1:14" ht="13.5" x14ac:dyDescent="0.2">
      <c r="A2420" s="1792" t="s">
        <v>2328</v>
      </c>
      <c r="B2420" s="1782"/>
      <c r="C2420" s="1782"/>
      <c r="D2420" s="1782"/>
      <c r="E2420" s="1782"/>
      <c r="F2420" s="1782"/>
      <c r="G2420" s="1779"/>
      <c r="H2420" s="1032" t="str">
        <f>IF(A2420="","",VLOOKUP(A2420,'11'!$C$6:$E$1012,2,FALSE))</f>
        <v>KM-M3</v>
      </c>
      <c r="I2420" s="1785">
        <f>IF(A2420="","",VLOOKUP(A2420,'11'!$C$6:$E$1012,3,FALSE))</f>
        <v>1440</v>
      </c>
      <c r="J2420" s="1412"/>
      <c r="K2420" s="1787">
        <v>0</v>
      </c>
      <c r="L2420" s="1793"/>
      <c r="M2420" s="1780">
        <f t="shared" ref="M2420" si="112">IF(A2420="","",I2420*K2420)</f>
        <v>0</v>
      </c>
      <c r="N2420" s="1779"/>
    </row>
    <row r="2421" spans="1:14" ht="13.5" x14ac:dyDescent="0.2">
      <c r="A2421" s="1786"/>
      <c r="B2421" s="1782"/>
      <c r="C2421" s="1782"/>
      <c r="D2421" s="1782"/>
      <c r="E2421" s="1782"/>
      <c r="F2421" s="1782"/>
      <c r="G2421" s="1779"/>
      <c r="H2421" s="1032"/>
      <c r="I2421" s="1780"/>
      <c r="J2421" s="1779"/>
      <c r="K2421" s="1787"/>
      <c r="L2421" s="1779"/>
      <c r="M2421" s="1780"/>
      <c r="N2421" s="1779"/>
    </row>
    <row r="2422" spans="1:14" ht="13.5" x14ac:dyDescent="0.2">
      <c r="A2422" s="1786"/>
      <c r="B2422" s="1782"/>
      <c r="C2422" s="1782"/>
      <c r="D2422" s="1782"/>
      <c r="E2422" s="1782"/>
      <c r="F2422" s="1782"/>
      <c r="G2422" s="1779"/>
      <c r="H2422" s="1032"/>
      <c r="I2422" s="1780"/>
      <c r="J2422" s="1779"/>
      <c r="K2422" s="1788"/>
      <c r="L2422" s="1779"/>
      <c r="M2422" s="1780"/>
      <c r="N2422" s="1779"/>
    </row>
    <row r="2423" spans="1:14" ht="13.5" x14ac:dyDescent="0.2">
      <c r="A2423" s="1789"/>
      <c r="B2423" s="1782"/>
      <c r="C2423" s="1782"/>
      <c r="D2423" s="1782"/>
      <c r="E2423" s="1782"/>
      <c r="F2423" s="1782"/>
      <c r="G2423" s="1779"/>
      <c r="H2423" s="1137"/>
      <c r="I2423" s="1780"/>
      <c r="J2423" s="1779"/>
      <c r="K2423" s="1787"/>
      <c r="L2423" s="1779"/>
      <c r="M2423" s="1780"/>
      <c r="N2423" s="1779"/>
    </row>
    <row r="2424" spans="1:14" ht="13.5" x14ac:dyDescent="0.2">
      <c r="A2424" s="1789"/>
      <c r="B2424" s="1782"/>
      <c r="C2424" s="1782"/>
      <c r="D2424" s="1782"/>
      <c r="E2424" s="1782"/>
      <c r="F2424" s="1782"/>
      <c r="G2424" s="1779"/>
      <c r="H2424" s="1137"/>
      <c r="I2424" s="1780"/>
      <c r="J2424" s="1779"/>
      <c r="K2424" s="1787"/>
      <c r="L2424" s="1779"/>
      <c r="M2424" s="1780"/>
      <c r="N2424" s="1779"/>
    </row>
    <row r="2425" spans="1:14" ht="13.5" x14ac:dyDescent="0.25">
      <c r="A2425" s="1138"/>
      <c r="B2425" s="1138"/>
      <c r="C2425" s="1138"/>
      <c r="D2425" s="1138"/>
      <c r="E2425" s="1138"/>
      <c r="F2425" s="1138"/>
      <c r="G2425" s="1138"/>
      <c r="H2425" s="1138"/>
      <c r="I2425" s="1138"/>
      <c r="J2425" s="1138"/>
      <c r="K2425" s="1778" t="s">
        <v>523</v>
      </c>
      <c r="L2425" s="1779"/>
      <c r="M2425" s="1780">
        <f>SUM(M2420:N2424)</f>
        <v>0</v>
      </c>
      <c r="N2425" s="1779"/>
    </row>
    <row r="2426" spans="1:14" ht="13.5" x14ac:dyDescent="0.25">
      <c r="A2426" s="1138"/>
      <c r="B2426" s="1138"/>
      <c r="C2426" s="1138"/>
      <c r="D2426" s="1138"/>
      <c r="E2426" s="1138"/>
      <c r="F2426" s="1138"/>
      <c r="G2426" s="1138"/>
      <c r="H2426" s="1138"/>
      <c r="I2426" s="1138"/>
      <c r="J2426" s="1138"/>
      <c r="K2426" s="1138"/>
      <c r="L2426" s="1138"/>
      <c r="M2426" s="1138"/>
      <c r="N2426" s="1138"/>
    </row>
    <row r="2427" spans="1:14" x14ac:dyDescent="0.2">
      <c r="A2427" s="1781" t="s">
        <v>2150</v>
      </c>
      <c r="B2427" s="1782"/>
      <c r="C2427" s="1782"/>
      <c r="D2427" s="1782"/>
      <c r="E2427" s="1782"/>
      <c r="F2427" s="1782"/>
      <c r="G2427" s="1782"/>
      <c r="H2427" s="1782"/>
      <c r="I2427" s="1782"/>
      <c r="J2427" s="1782"/>
      <c r="K2427" s="1782"/>
      <c r="L2427" s="1782"/>
      <c r="M2427" s="1782"/>
      <c r="N2427" s="1779"/>
    </row>
    <row r="2428" spans="1:14" x14ac:dyDescent="0.2">
      <c r="A2428" s="1778" t="s">
        <v>14</v>
      </c>
      <c r="B2428" s="1782"/>
      <c r="C2428" s="1782"/>
      <c r="D2428" s="1782"/>
      <c r="E2428" s="1782"/>
      <c r="F2428" s="1782"/>
      <c r="G2428" s="1779"/>
      <c r="H2428" s="1136" t="s">
        <v>15</v>
      </c>
      <c r="I2428" s="1783" t="s">
        <v>619</v>
      </c>
      <c r="J2428" s="1779"/>
      <c r="K2428" s="1139" t="s">
        <v>1919</v>
      </c>
      <c r="L2428" s="1140" t="s">
        <v>2151</v>
      </c>
      <c r="M2428" s="1783" t="s">
        <v>2140</v>
      </c>
      <c r="N2428" s="1779"/>
    </row>
    <row r="2429" spans="1:14" ht="13.5" x14ac:dyDescent="0.25">
      <c r="A2429" s="1784" t="s">
        <v>2266</v>
      </c>
      <c r="B2429" s="1782"/>
      <c r="C2429" s="1782"/>
      <c r="D2429" s="1782"/>
      <c r="E2429" s="1782"/>
      <c r="F2429" s="1782"/>
      <c r="G2429" s="1779"/>
      <c r="H2429" s="1032" t="str">
        <f>IF(A2429="","",VLOOKUP(A2429,'09'!$A$22:$O$168,4,FALSE))</f>
        <v>Cuadrilla</v>
      </c>
      <c r="I2429" s="1785">
        <f>IF(A2429="","",VLOOKUP(A2429,'09'!$A$22:$O$168,5,FALSE))</f>
        <v>233454</v>
      </c>
      <c r="J2429" s="1412"/>
      <c r="K2429" s="1034">
        <f>IF(A2429="","",'03'!$I$2)</f>
        <v>1.88995</v>
      </c>
      <c r="L2429" s="1142">
        <v>0.24</v>
      </c>
      <c r="M2429" s="1780">
        <f>I2429*K2429/(L2429*8)</f>
        <v>229800.20171875</v>
      </c>
      <c r="N2429" s="1779"/>
    </row>
    <row r="2430" spans="1:14" ht="13.5" x14ac:dyDescent="0.25">
      <c r="A2430" s="1784"/>
      <c r="B2430" s="1782"/>
      <c r="C2430" s="1782"/>
      <c r="D2430" s="1782"/>
      <c r="E2430" s="1782"/>
      <c r="F2430" s="1782"/>
      <c r="G2430" s="1779"/>
      <c r="H2430" s="1137"/>
      <c r="I2430" s="1780"/>
      <c r="J2430" s="1779"/>
      <c r="K2430" s="1141"/>
      <c r="L2430" s="1141"/>
      <c r="M2430" s="1780"/>
      <c r="N2430" s="1779"/>
    </row>
    <row r="2431" spans="1:14" ht="13.5" x14ac:dyDescent="0.25">
      <c r="A2431" s="1784"/>
      <c r="B2431" s="1782"/>
      <c r="C2431" s="1782"/>
      <c r="D2431" s="1782"/>
      <c r="E2431" s="1782"/>
      <c r="F2431" s="1782"/>
      <c r="G2431" s="1779"/>
      <c r="H2431" s="1137"/>
      <c r="I2431" s="1780"/>
      <c r="J2431" s="1779"/>
      <c r="K2431" s="1141"/>
      <c r="L2431" s="1143"/>
      <c r="M2431" s="1780"/>
      <c r="N2431" s="1779"/>
    </row>
    <row r="2432" spans="1:14" ht="13.5" x14ac:dyDescent="0.25">
      <c r="A2432" s="1784"/>
      <c r="B2432" s="1782"/>
      <c r="C2432" s="1782"/>
      <c r="D2432" s="1782"/>
      <c r="E2432" s="1782"/>
      <c r="F2432" s="1782"/>
      <c r="G2432" s="1779"/>
      <c r="H2432" s="1137"/>
      <c r="I2432" s="1780"/>
      <c r="J2432" s="1779"/>
      <c r="K2432" s="1141"/>
      <c r="L2432" s="1143"/>
      <c r="M2432" s="1780"/>
      <c r="N2432" s="1779"/>
    </row>
    <row r="2433" spans="1:14" ht="13.5" x14ac:dyDescent="0.25">
      <c r="A2433" s="1784"/>
      <c r="B2433" s="1782"/>
      <c r="C2433" s="1782"/>
      <c r="D2433" s="1782"/>
      <c r="E2433" s="1782"/>
      <c r="F2433" s="1782"/>
      <c r="G2433" s="1779"/>
      <c r="H2433" s="1137"/>
      <c r="I2433" s="1780"/>
      <c r="J2433" s="1779"/>
      <c r="K2433" s="1141"/>
      <c r="L2433" s="1143"/>
      <c r="M2433" s="1780"/>
      <c r="N2433" s="1779"/>
    </row>
    <row r="2434" spans="1:14" ht="13.5" x14ac:dyDescent="0.25">
      <c r="A2434" s="1138"/>
      <c r="B2434" s="1138"/>
      <c r="C2434" s="1138"/>
      <c r="D2434" s="1138"/>
      <c r="E2434" s="1138"/>
      <c r="F2434" s="1138"/>
      <c r="G2434" s="1138"/>
      <c r="H2434" s="1138"/>
      <c r="I2434" s="1138"/>
      <c r="J2434" s="1138"/>
      <c r="K2434" s="1778" t="s">
        <v>523</v>
      </c>
      <c r="L2434" s="1779"/>
      <c r="M2434" s="1780">
        <f>SUM(M2429:N2433)</f>
        <v>229800.20171875</v>
      </c>
      <c r="N2434" s="1779"/>
    </row>
    <row r="2435" spans="1:14" x14ac:dyDescent="0.2">
      <c r="I2435" s="1414"/>
      <c r="J2435" s="1415"/>
      <c r="K2435" s="1415"/>
      <c r="L2435" s="1415"/>
      <c r="M2435" s="1415"/>
      <c r="N2435" s="1415"/>
    </row>
    <row r="2436" spans="1:14" ht="13.5" thickBot="1" x14ac:dyDescent="0.25">
      <c r="I2436" s="1416"/>
      <c r="J2436" s="1416"/>
      <c r="K2436" s="1416"/>
      <c r="L2436" s="1416"/>
      <c r="M2436" s="1416"/>
      <c r="N2436" s="1416"/>
    </row>
    <row r="2437" spans="1:14" ht="14.25" thickTop="1" x14ac:dyDescent="0.2">
      <c r="I2437" s="1417" t="s">
        <v>1829</v>
      </c>
      <c r="J2437" s="1418"/>
      <c r="K2437" s="1417" t="s">
        <v>2653</v>
      </c>
      <c r="L2437" s="1418"/>
      <c r="M2437" s="1418"/>
      <c r="N2437" s="1418"/>
    </row>
    <row r="2438" spans="1:14" ht="13.5" x14ac:dyDescent="0.2">
      <c r="I2438" s="1419" t="s">
        <v>1831</v>
      </c>
      <c r="J2438" s="1420"/>
      <c r="K2438" s="1419"/>
      <c r="L2438" s="1420"/>
      <c r="M2438" s="1420"/>
      <c r="N2438" s="1420"/>
    </row>
    <row r="2439" spans="1:14" x14ac:dyDescent="0.2">
      <c r="A2439" s="1803" t="s">
        <v>2431</v>
      </c>
      <c r="B2439" s="1804"/>
      <c r="C2439" s="1804"/>
      <c r="D2439" s="1804"/>
      <c r="E2439" s="1804"/>
      <c r="F2439" s="1804"/>
      <c r="G2439" s="1804"/>
      <c r="H2439" s="1804"/>
      <c r="I2439" s="1804"/>
      <c r="J2439" s="1804"/>
      <c r="K2439" s="1804"/>
      <c r="L2439" s="1804"/>
      <c r="M2439" s="1804"/>
      <c r="N2439" s="1805"/>
    </row>
    <row r="2440" spans="1:14" x14ac:dyDescent="0.2">
      <c r="A2440" s="1806"/>
      <c r="B2440" s="1807"/>
      <c r="C2440" s="1807"/>
      <c r="D2440" s="1807"/>
      <c r="E2440" s="1807"/>
      <c r="F2440" s="1807"/>
      <c r="G2440" s="1807"/>
      <c r="H2440" s="1807"/>
      <c r="I2440" s="1807"/>
      <c r="J2440" s="1807"/>
      <c r="K2440" s="1807"/>
      <c r="L2440" s="1807"/>
      <c r="M2440" s="1807"/>
      <c r="N2440" s="1808"/>
    </row>
    <row r="2441" spans="1:14" ht="13.5" x14ac:dyDescent="0.2">
      <c r="A2441" s="1128"/>
      <c r="B2441" s="1128"/>
      <c r="C2441" s="1128"/>
      <c r="D2441" s="1128"/>
      <c r="E2441" s="1128"/>
      <c r="F2441" s="1128"/>
      <c r="G2441" s="1128"/>
      <c r="H2441" s="1128"/>
      <c r="I2441" s="1128"/>
      <c r="J2441" s="1128"/>
      <c r="K2441" s="1128"/>
      <c r="L2441" s="1128"/>
      <c r="M2441" s="1128"/>
      <c r="N2441" s="1128"/>
    </row>
    <row r="2442" spans="1:14" ht="14.25" x14ac:dyDescent="0.3">
      <c r="A2442" s="1104" t="s">
        <v>2430</v>
      </c>
      <c r="B2442" s="1129" t="str">
        <f>A2439</f>
        <v>SUMINISTRO E INSTALACIÓN PASAMURO HD 12" BXB=0,75M Z=0.375 M.</v>
      </c>
      <c r="C2442" s="1130" t="s">
        <v>634</v>
      </c>
      <c r="D2442" s="1107" t="s">
        <v>2</v>
      </c>
      <c r="E2442" s="1132" t="s">
        <v>1833</v>
      </c>
      <c r="F2442" s="1133">
        <f>H2442+J2442+L2442+N2442</f>
        <v>1970991.9703111111</v>
      </c>
      <c r="G2442" s="1132" t="s">
        <v>2136</v>
      </c>
      <c r="H2442" s="1133">
        <f>M2460</f>
        <v>5000</v>
      </c>
      <c r="I2442" s="1132" t="s">
        <v>621</v>
      </c>
      <c r="J2442" s="1134">
        <f>M2451</f>
        <v>1880200</v>
      </c>
      <c r="K2442" s="1132" t="s">
        <v>2137</v>
      </c>
      <c r="L2442" s="1133">
        <f>M2469</f>
        <v>0</v>
      </c>
      <c r="M2442" s="1132" t="s">
        <v>2138</v>
      </c>
      <c r="N2442" s="1133">
        <f>M2478</f>
        <v>85791.970311111116</v>
      </c>
    </row>
    <row r="2443" spans="1:14" ht="13.5" x14ac:dyDescent="0.25">
      <c r="A2443" s="1135"/>
      <c r="B2443" s="1135"/>
      <c r="C2443" s="1135"/>
      <c r="D2443" s="1135"/>
      <c r="E2443" s="1135"/>
      <c r="F2443" s="1135"/>
      <c r="G2443" s="1135"/>
      <c r="J2443" s="1135"/>
      <c r="K2443" s="1135"/>
      <c r="L2443" s="1135"/>
      <c r="M2443" s="1270" t="s">
        <v>2667</v>
      </c>
      <c r="N2443" s="1270">
        <f>+F2442*'01'!$O$15</f>
        <v>2551062.6087971814</v>
      </c>
    </row>
    <row r="2444" spans="1:14" x14ac:dyDescent="0.2">
      <c r="A2444" s="1781" t="s">
        <v>2139</v>
      </c>
      <c r="B2444" s="1782"/>
      <c r="C2444" s="1782"/>
      <c r="D2444" s="1782"/>
      <c r="E2444" s="1782"/>
      <c r="F2444" s="1782"/>
      <c r="G2444" s="1782"/>
      <c r="H2444" s="1782"/>
      <c r="I2444" s="1782"/>
      <c r="J2444" s="1782"/>
      <c r="K2444" s="1782"/>
      <c r="L2444" s="1782"/>
      <c r="M2444" s="1782"/>
      <c r="N2444" s="1779"/>
    </row>
    <row r="2445" spans="1:14" x14ac:dyDescent="0.2">
      <c r="A2445" s="1778" t="s">
        <v>14</v>
      </c>
      <c r="B2445" s="1782"/>
      <c r="C2445" s="1782"/>
      <c r="D2445" s="1782"/>
      <c r="E2445" s="1782"/>
      <c r="F2445" s="1782"/>
      <c r="G2445" s="1779"/>
      <c r="H2445" s="1136" t="s">
        <v>15</v>
      </c>
      <c r="I2445" s="1783" t="s">
        <v>619</v>
      </c>
      <c r="J2445" s="1779"/>
      <c r="K2445" s="1783" t="s">
        <v>628</v>
      </c>
      <c r="L2445" s="1779"/>
      <c r="M2445" s="1783" t="s">
        <v>2140</v>
      </c>
      <c r="N2445" s="1779"/>
    </row>
    <row r="2446" spans="1:14" ht="13.5" customHeight="1" x14ac:dyDescent="0.2">
      <c r="A2446" s="1812" t="s">
        <v>1111</v>
      </c>
      <c r="B2446" s="1813"/>
      <c r="C2446" s="1813"/>
      <c r="D2446" s="1813"/>
      <c r="E2446" s="1813"/>
      <c r="F2446" s="1813"/>
      <c r="G2446" s="1814"/>
      <c r="H2446" s="1032" t="str">
        <f>IF(A2446="","",VLOOKUP(A2446,'10'!$C$6:$E$1152,2,FALSE))</f>
        <v>UND</v>
      </c>
      <c r="I2446" s="1785">
        <f>IF(A2446="","",VLOOKUP(A2446,'10'!$C$6:$E$1152,3,FALSE))</f>
        <v>1880200</v>
      </c>
      <c r="J2446" s="1412"/>
      <c r="K2446" s="1787">
        <v>1</v>
      </c>
      <c r="L2446" s="1779"/>
      <c r="M2446" s="1780">
        <f>K2446*I2446</f>
        <v>1880200</v>
      </c>
      <c r="N2446" s="1779"/>
    </row>
    <row r="2447" spans="1:14" ht="13.5" x14ac:dyDescent="0.2">
      <c r="A2447" s="1851"/>
      <c r="B2447" s="1852"/>
      <c r="C2447" s="1852"/>
      <c r="D2447" s="1852"/>
      <c r="E2447" s="1852"/>
      <c r="F2447" s="1852"/>
      <c r="G2447" s="1853"/>
      <c r="H2447" s="1137"/>
      <c r="I2447" s="1780"/>
      <c r="J2447" s="1779"/>
      <c r="K2447" s="1787"/>
      <c r="L2447" s="1779"/>
      <c r="M2447" s="1780"/>
      <c r="N2447" s="1779"/>
    </row>
    <row r="2448" spans="1:14" ht="13.5" x14ac:dyDescent="0.2">
      <c r="A2448" s="1851"/>
      <c r="B2448" s="1852"/>
      <c r="C2448" s="1852"/>
      <c r="D2448" s="1852"/>
      <c r="E2448" s="1852"/>
      <c r="F2448" s="1852"/>
      <c r="G2448" s="1853"/>
      <c r="H2448" s="1137"/>
      <c r="I2448" s="1780"/>
      <c r="J2448" s="1779"/>
      <c r="K2448" s="1787"/>
      <c r="L2448" s="1779"/>
      <c r="M2448" s="1780"/>
      <c r="N2448" s="1779"/>
    </row>
    <row r="2449" spans="1:14" ht="13.5" x14ac:dyDescent="0.2">
      <c r="A2449" s="1862"/>
      <c r="B2449" s="1863"/>
      <c r="C2449" s="1863"/>
      <c r="D2449" s="1863"/>
      <c r="E2449" s="1863"/>
      <c r="F2449" s="1863"/>
      <c r="G2449" s="1864"/>
      <c r="H2449" s="1137"/>
      <c r="I2449" s="1780"/>
      <c r="J2449" s="1779"/>
      <c r="K2449" s="1787"/>
      <c r="L2449" s="1779"/>
      <c r="M2449" s="1780"/>
      <c r="N2449" s="1779"/>
    </row>
    <row r="2450" spans="1:14" ht="13.5" x14ac:dyDescent="0.2">
      <c r="A2450" s="1789"/>
      <c r="B2450" s="1782"/>
      <c r="C2450" s="1782"/>
      <c r="D2450" s="1782"/>
      <c r="E2450" s="1782"/>
      <c r="F2450" s="1782"/>
      <c r="G2450" s="1779"/>
      <c r="H2450" s="1137"/>
      <c r="I2450" s="1780"/>
      <c r="J2450" s="1779"/>
      <c r="K2450" s="1787"/>
      <c r="L2450" s="1779"/>
      <c r="M2450" s="1780"/>
      <c r="N2450" s="1779"/>
    </row>
    <row r="2451" spans="1:14" ht="13.5" x14ac:dyDescent="0.25">
      <c r="A2451" s="1138"/>
      <c r="B2451" s="1138"/>
      <c r="C2451" s="1138"/>
      <c r="D2451" s="1138"/>
      <c r="E2451" s="1138"/>
      <c r="F2451" s="1138"/>
      <c r="G2451" s="1138"/>
      <c r="H2451" s="1138"/>
      <c r="I2451" s="1138"/>
      <c r="J2451" s="1138"/>
      <c r="K2451" s="1778" t="s">
        <v>523</v>
      </c>
      <c r="L2451" s="1779"/>
      <c r="M2451" s="1780">
        <f>SUM(M2446:N2450)</f>
        <v>1880200</v>
      </c>
      <c r="N2451" s="1779"/>
    </row>
    <row r="2452" spans="1:14" ht="13.5" x14ac:dyDescent="0.25">
      <c r="A2452" s="1138"/>
      <c r="B2452" s="1138"/>
      <c r="C2452" s="1138"/>
      <c r="D2452" s="1138"/>
      <c r="E2452" s="1138"/>
      <c r="F2452" s="1138"/>
      <c r="G2452" s="1138"/>
      <c r="H2452" s="1138"/>
      <c r="I2452" s="1138"/>
      <c r="J2452" s="1138"/>
      <c r="K2452" s="1138"/>
      <c r="L2452" s="1138"/>
      <c r="M2452" s="1138"/>
      <c r="N2452" s="1138"/>
    </row>
    <row r="2453" spans="1:14" x14ac:dyDescent="0.2">
      <c r="A2453" s="1781" t="s">
        <v>2145</v>
      </c>
      <c r="B2453" s="1782"/>
      <c r="C2453" s="1782"/>
      <c r="D2453" s="1782"/>
      <c r="E2453" s="1782"/>
      <c r="F2453" s="1782"/>
      <c r="G2453" s="1782"/>
      <c r="H2453" s="1782"/>
      <c r="I2453" s="1782"/>
      <c r="J2453" s="1782"/>
      <c r="K2453" s="1782"/>
      <c r="L2453" s="1782"/>
      <c r="M2453" s="1782"/>
      <c r="N2453" s="1779"/>
    </row>
    <row r="2454" spans="1:14" x14ac:dyDescent="0.2">
      <c r="A2454" s="1778" t="s">
        <v>14</v>
      </c>
      <c r="B2454" s="1782"/>
      <c r="C2454" s="1782"/>
      <c r="D2454" s="1782"/>
      <c r="E2454" s="1782"/>
      <c r="F2454" s="1782"/>
      <c r="G2454" s="1779"/>
      <c r="H2454" s="1136" t="s">
        <v>15</v>
      </c>
      <c r="I2454" s="1783" t="s">
        <v>619</v>
      </c>
      <c r="J2454" s="1779"/>
      <c r="K2454" s="1783" t="s">
        <v>610</v>
      </c>
      <c r="L2454" s="1779"/>
      <c r="M2454" s="1783" t="s">
        <v>2140</v>
      </c>
      <c r="N2454" s="1779"/>
    </row>
    <row r="2455" spans="1:14" ht="13.5" x14ac:dyDescent="0.2">
      <c r="A2455" s="1836" t="s">
        <v>131</v>
      </c>
      <c r="B2455" s="1837"/>
      <c r="C2455" s="1837"/>
      <c r="D2455" s="1837"/>
      <c r="E2455" s="1837"/>
      <c r="F2455" s="1837"/>
      <c r="G2455" s="1838"/>
      <c r="H2455" s="1032" t="str">
        <f>IF(A2455="","",VLOOKUP(A2455,'11'!$C$6:$E$87,2,FALSE))</f>
        <v>DIA</v>
      </c>
      <c r="I2455" s="1785">
        <f>IF(A2455="","",VLOOKUP(A2455,'11'!$C$6:$E$87,3,FALSE))</f>
        <v>15000</v>
      </c>
      <c r="J2455" s="1412"/>
      <c r="K2455" s="1787">
        <v>3</v>
      </c>
      <c r="L2455" s="1793"/>
      <c r="M2455" s="1780">
        <f>I2455/K2455</f>
        <v>5000</v>
      </c>
      <c r="N2455" s="1779"/>
    </row>
    <row r="2456" spans="1:14" ht="13.5" x14ac:dyDescent="0.2">
      <c r="A2456" s="1839"/>
      <c r="B2456" s="1840"/>
      <c r="C2456" s="1840"/>
      <c r="D2456" s="1840"/>
      <c r="E2456" s="1840"/>
      <c r="F2456" s="1840"/>
      <c r="G2456" s="1841"/>
      <c r="H2456" s="1137"/>
      <c r="I2456" s="1780"/>
      <c r="J2456" s="1779"/>
      <c r="K2456" s="1794"/>
      <c r="L2456" s="1779"/>
      <c r="M2456" s="1780"/>
      <c r="N2456" s="1779"/>
    </row>
    <row r="2457" spans="1:14" ht="13.5" x14ac:dyDescent="0.2">
      <c r="A2457" s="1836"/>
      <c r="B2457" s="1837"/>
      <c r="C2457" s="1837"/>
      <c r="D2457" s="1837"/>
      <c r="E2457" s="1837"/>
      <c r="F2457" s="1837"/>
      <c r="G2457" s="1838"/>
      <c r="H2457" s="1137"/>
      <c r="I2457" s="1780"/>
      <c r="J2457" s="1779"/>
      <c r="K2457" s="1787"/>
      <c r="L2457" s="1779"/>
      <c r="M2457" s="1780"/>
      <c r="N2457" s="1779"/>
    </row>
    <row r="2458" spans="1:14" ht="13.5" x14ac:dyDescent="0.2">
      <c r="A2458" s="1836"/>
      <c r="B2458" s="1837"/>
      <c r="C2458" s="1837"/>
      <c r="D2458" s="1837"/>
      <c r="E2458" s="1837"/>
      <c r="F2458" s="1837"/>
      <c r="G2458" s="1838"/>
      <c r="H2458" s="1137"/>
      <c r="I2458" s="1780"/>
      <c r="J2458" s="1779"/>
      <c r="K2458" s="1787"/>
      <c r="L2458" s="1779"/>
      <c r="M2458" s="1780"/>
      <c r="N2458" s="1779"/>
    </row>
    <row r="2459" spans="1:14" ht="13.5" x14ac:dyDescent="0.2">
      <c r="A2459" s="1789"/>
      <c r="B2459" s="1790"/>
      <c r="C2459" s="1790"/>
      <c r="D2459" s="1790"/>
      <c r="E2459" s="1790"/>
      <c r="F2459" s="1790"/>
      <c r="G2459" s="1791"/>
      <c r="H2459" s="1137"/>
      <c r="I2459" s="1780"/>
      <c r="J2459" s="1779"/>
      <c r="K2459" s="1787"/>
      <c r="L2459" s="1779"/>
      <c r="M2459" s="1780"/>
      <c r="N2459" s="1779"/>
    </row>
    <row r="2460" spans="1:14" ht="13.5" x14ac:dyDescent="0.25">
      <c r="A2460" s="1138"/>
      <c r="B2460" s="1138"/>
      <c r="C2460" s="1138"/>
      <c r="D2460" s="1138"/>
      <c r="E2460" s="1138"/>
      <c r="F2460" s="1138"/>
      <c r="G2460" s="1138"/>
      <c r="H2460" s="1138"/>
      <c r="I2460" s="1138"/>
      <c r="J2460" s="1138"/>
      <c r="K2460" s="1778" t="s">
        <v>523</v>
      </c>
      <c r="L2460" s="1779"/>
      <c r="M2460" s="1780">
        <f>SUM(M2455:N2459)</f>
        <v>5000</v>
      </c>
      <c r="N2460" s="1779"/>
    </row>
    <row r="2461" spans="1:14" ht="13.5" x14ac:dyDescent="0.25">
      <c r="A2461" s="1138"/>
      <c r="B2461" s="1138"/>
      <c r="C2461" s="1138"/>
      <c r="D2461" s="1138"/>
      <c r="E2461" s="1138"/>
      <c r="F2461" s="1138"/>
      <c r="G2461" s="1138"/>
      <c r="H2461" s="1138"/>
      <c r="I2461" s="1138"/>
      <c r="J2461" s="1138"/>
      <c r="K2461" s="1138"/>
      <c r="L2461" s="1138"/>
      <c r="M2461" s="1138"/>
      <c r="N2461" s="1138"/>
    </row>
    <row r="2462" spans="1:14" x14ac:dyDescent="0.2">
      <c r="A2462" s="1781" t="s">
        <v>2147</v>
      </c>
      <c r="B2462" s="1782"/>
      <c r="C2462" s="1782"/>
      <c r="D2462" s="1782"/>
      <c r="E2462" s="1782"/>
      <c r="F2462" s="1782"/>
      <c r="G2462" s="1782"/>
      <c r="H2462" s="1782"/>
      <c r="I2462" s="1782"/>
      <c r="J2462" s="1782"/>
      <c r="K2462" s="1782"/>
      <c r="L2462" s="1782"/>
      <c r="M2462" s="1782"/>
      <c r="N2462" s="1779"/>
    </row>
    <row r="2463" spans="1:14" x14ac:dyDescent="0.2">
      <c r="A2463" s="1778" t="s">
        <v>14</v>
      </c>
      <c r="B2463" s="1782"/>
      <c r="C2463" s="1782"/>
      <c r="D2463" s="1782"/>
      <c r="E2463" s="1782"/>
      <c r="F2463" s="1782"/>
      <c r="G2463" s="1779"/>
      <c r="H2463" s="1136" t="s">
        <v>15</v>
      </c>
      <c r="I2463" s="1783" t="s">
        <v>619</v>
      </c>
      <c r="J2463" s="1779"/>
      <c r="K2463" s="1783" t="s">
        <v>628</v>
      </c>
      <c r="L2463" s="1779"/>
      <c r="M2463" s="1783" t="s">
        <v>2140</v>
      </c>
      <c r="N2463" s="1779"/>
    </row>
    <row r="2464" spans="1:14" ht="13.5" x14ac:dyDescent="0.2">
      <c r="A2464" s="1789"/>
      <c r="B2464" s="1790"/>
      <c r="C2464" s="1790"/>
      <c r="D2464" s="1790"/>
      <c r="E2464" s="1790"/>
      <c r="F2464" s="1790"/>
      <c r="G2464" s="1791"/>
      <c r="H2464" s="1137"/>
      <c r="I2464" s="1780"/>
      <c r="J2464" s="1779"/>
      <c r="K2464" s="1787"/>
      <c r="L2464" s="1779"/>
      <c r="M2464" s="1780"/>
      <c r="N2464" s="1779"/>
    </row>
    <row r="2465" spans="1:14" ht="13.5" x14ac:dyDescent="0.2">
      <c r="A2465" s="1126"/>
      <c r="B2465" s="1145"/>
      <c r="C2465" s="1145"/>
      <c r="D2465" s="1145"/>
      <c r="E2465" s="1145"/>
      <c r="F2465" s="1145"/>
      <c r="G2465" s="1146"/>
      <c r="H2465" s="1032"/>
      <c r="I2465" s="1780"/>
      <c r="J2465" s="1779"/>
      <c r="K2465" s="1787"/>
      <c r="L2465" s="1779"/>
      <c r="M2465" s="1780"/>
      <c r="N2465" s="1779"/>
    </row>
    <row r="2466" spans="1:14" ht="13.5" x14ac:dyDescent="0.2">
      <c r="A2466" s="1126"/>
      <c r="B2466" s="1145"/>
      <c r="C2466" s="1145"/>
      <c r="D2466" s="1145"/>
      <c r="E2466" s="1145"/>
      <c r="F2466" s="1145"/>
      <c r="G2466" s="1146"/>
      <c r="H2466" s="1032"/>
      <c r="I2466" s="1780"/>
      <c r="J2466" s="1779"/>
      <c r="K2466" s="1788"/>
      <c r="L2466" s="1779"/>
      <c r="M2466" s="1780"/>
      <c r="N2466" s="1779"/>
    </row>
    <row r="2467" spans="1:14" ht="13.5" x14ac:dyDescent="0.2">
      <c r="A2467" s="1789"/>
      <c r="B2467" s="1782"/>
      <c r="C2467" s="1782"/>
      <c r="D2467" s="1782"/>
      <c r="E2467" s="1782"/>
      <c r="F2467" s="1782"/>
      <c r="G2467" s="1779"/>
      <c r="H2467" s="1137"/>
      <c r="I2467" s="1780"/>
      <c r="J2467" s="1779"/>
      <c r="K2467" s="1787"/>
      <c r="L2467" s="1779"/>
      <c r="M2467" s="1780"/>
      <c r="N2467" s="1779"/>
    </row>
    <row r="2468" spans="1:14" ht="13.5" x14ac:dyDescent="0.2">
      <c r="A2468" s="1789"/>
      <c r="B2468" s="1782"/>
      <c r="C2468" s="1782"/>
      <c r="D2468" s="1782"/>
      <c r="E2468" s="1782"/>
      <c r="F2468" s="1782"/>
      <c r="G2468" s="1779"/>
      <c r="H2468" s="1137"/>
      <c r="I2468" s="1780"/>
      <c r="J2468" s="1779"/>
      <c r="K2468" s="1787"/>
      <c r="L2468" s="1779"/>
      <c r="M2468" s="1780"/>
      <c r="N2468" s="1779"/>
    </row>
    <row r="2469" spans="1:14" ht="13.5" x14ac:dyDescent="0.25">
      <c r="A2469" s="1138"/>
      <c r="B2469" s="1138"/>
      <c r="C2469" s="1138"/>
      <c r="D2469" s="1138"/>
      <c r="E2469" s="1138"/>
      <c r="F2469" s="1138"/>
      <c r="G2469" s="1138"/>
      <c r="H2469" s="1138"/>
      <c r="I2469" s="1138"/>
      <c r="J2469" s="1138"/>
      <c r="K2469" s="1778" t="s">
        <v>523</v>
      </c>
      <c r="L2469" s="1779"/>
      <c r="M2469" s="1780">
        <f>SUM(M2464:N2468)</f>
        <v>0</v>
      </c>
      <c r="N2469" s="1779"/>
    </row>
    <row r="2470" spans="1:14" ht="13.5" x14ac:dyDescent="0.25">
      <c r="A2470" s="1138"/>
      <c r="B2470" s="1138"/>
      <c r="C2470" s="1138"/>
      <c r="D2470" s="1138"/>
      <c r="E2470" s="1138"/>
      <c r="F2470" s="1138"/>
      <c r="G2470" s="1138"/>
      <c r="H2470" s="1138"/>
      <c r="I2470" s="1138"/>
      <c r="J2470" s="1138"/>
      <c r="K2470" s="1138"/>
      <c r="L2470" s="1138"/>
      <c r="M2470" s="1138"/>
      <c r="N2470" s="1138"/>
    </row>
    <row r="2471" spans="1:14" x14ac:dyDescent="0.2">
      <c r="A2471" s="1781" t="s">
        <v>2150</v>
      </c>
      <c r="B2471" s="1782"/>
      <c r="C2471" s="1782"/>
      <c r="D2471" s="1782"/>
      <c r="E2471" s="1782"/>
      <c r="F2471" s="1782"/>
      <c r="G2471" s="1782"/>
      <c r="H2471" s="1782"/>
      <c r="I2471" s="1782"/>
      <c r="J2471" s="1782"/>
      <c r="K2471" s="1782"/>
      <c r="L2471" s="1782"/>
      <c r="M2471" s="1782"/>
      <c r="N2471" s="1779"/>
    </row>
    <row r="2472" spans="1:14" x14ac:dyDescent="0.2">
      <c r="A2472" s="1778" t="s">
        <v>14</v>
      </c>
      <c r="B2472" s="1782"/>
      <c r="C2472" s="1782"/>
      <c r="D2472" s="1782"/>
      <c r="E2472" s="1782"/>
      <c r="F2472" s="1782"/>
      <c r="G2472" s="1779"/>
      <c r="H2472" s="1136" t="s">
        <v>15</v>
      </c>
      <c r="I2472" s="1783" t="s">
        <v>619</v>
      </c>
      <c r="J2472" s="1779"/>
      <c r="K2472" s="1139" t="s">
        <v>1919</v>
      </c>
      <c r="L2472" s="1140" t="s">
        <v>2151</v>
      </c>
      <c r="M2472" s="1783" t="s">
        <v>2140</v>
      </c>
      <c r="N2472" s="1779"/>
    </row>
    <row r="2473" spans="1:14" ht="13.5" x14ac:dyDescent="0.25">
      <c r="A2473" s="1817" t="s">
        <v>2168</v>
      </c>
      <c r="B2473" s="1849"/>
      <c r="C2473" s="1849"/>
      <c r="D2473" s="1849"/>
      <c r="E2473" s="1849"/>
      <c r="F2473" s="1849"/>
      <c r="G2473" s="1850"/>
      <c r="H2473" s="1032" t="str">
        <f>IF(A2473="","",VLOOKUP(A2473,'09'!$A$22:$O$168,4,FALSE))</f>
        <v>Cuadrilla</v>
      </c>
      <c r="I2473" s="1785">
        <f>IF(A2473="","",VLOOKUP(A2473,'09'!$A$22:$O$168,5,FALSE))</f>
        <v>204272</v>
      </c>
      <c r="J2473" s="1412"/>
      <c r="K2473" s="1034">
        <f>IF(A2473="","",'03'!$I$2)</f>
        <v>1.88995</v>
      </c>
      <c r="L2473" s="1142">
        <v>4.5</v>
      </c>
      <c r="M2473" s="1780">
        <f>I2473*K2473/L2473</f>
        <v>85791.970311111116</v>
      </c>
      <c r="N2473" s="1779"/>
    </row>
    <row r="2474" spans="1:14" ht="13.5" x14ac:dyDescent="0.25">
      <c r="A2474" s="1830"/>
      <c r="B2474" s="1831"/>
      <c r="C2474" s="1831"/>
      <c r="D2474" s="1831"/>
      <c r="E2474" s="1831"/>
      <c r="F2474" s="1831"/>
      <c r="G2474" s="1832"/>
      <c r="H2474" s="1137"/>
      <c r="I2474" s="1780"/>
      <c r="J2474" s="1779"/>
      <c r="K2474" s="1141"/>
      <c r="L2474" s="1141"/>
      <c r="M2474" s="1780"/>
      <c r="N2474" s="1779"/>
    </row>
    <row r="2475" spans="1:14" ht="13.5" x14ac:dyDescent="0.25">
      <c r="A2475" s="1830"/>
      <c r="B2475" s="1831"/>
      <c r="C2475" s="1831"/>
      <c r="D2475" s="1831"/>
      <c r="E2475" s="1831"/>
      <c r="F2475" s="1831"/>
      <c r="G2475" s="1832"/>
      <c r="H2475" s="1137"/>
      <c r="I2475" s="1780"/>
      <c r="J2475" s="1779"/>
      <c r="K2475" s="1141"/>
      <c r="L2475" s="1143"/>
      <c r="M2475" s="1780"/>
      <c r="N2475" s="1779"/>
    </row>
    <row r="2476" spans="1:14" ht="13.5" x14ac:dyDescent="0.25">
      <c r="A2476" s="1784"/>
      <c r="B2476" s="1782"/>
      <c r="C2476" s="1782"/>
      <c r="D2476" s="1782"/>
      <c r="E2476" s="1782"/>
      <c r="F2476" s="1782"/>
      <c r="G2476" s="1779"/>
      <c r="H2476" s="1137"/>
      <c r="I2476" s="1780"/>
      <c r="J2476" s="1779"/>
      <c r="K2476" s="1141"/>
      <c r="L2476" s="1143"/>
      <c r="M2476" s="1780"/>
      <c r="N2476" s="1779"/>
    </row>
    <row r="2477" spans="1:14" ht="13.5" x14ac:dyDescent="0.25">
      <c r="A2477" s="1784"/>
      <c r="B2477" s="1782"/>
      <c r="C2477" s="1782"/>
      <c r="D2477" s="1782"/>
      <c r="E2477" s="1782"/>
      <c r="F2477" s="1782"/>
      <c r="G2477" s="1779"/>
      <c r="H2477" s="1137"/>
      <c r="I2477" s="1780"/>
      <c r="J2477" s="1779"/>
      <c r="K2477" s="1141"/>
      <c r="L2477" s="1143"/>
      <c r="M2477" s="1780"/>
      <c r="N2477" s="1779"/>
    </row>
    <row r="2478" spans="1:14" ht="13.5" x14ac:dyDescent="0.25">
      <c r="A2478" s="1138"/>
      <c r="B2478" s="1138"/>
      <c r="C2478" s="1138"/>
      <c r="D2478" s="1138"/>
      <c r="E2478" s="1138"/>
      <c r="F2478" s="1138"/>
      <c r="G2478" s="1138"/>
      <c r="H2478" s="1138"/>
      <c r="I2478" s="1138"/>
      <c r="J2478" s="1138"/>
      <c r="K2478" s="1778" t="s">
        <v>523</v>
      </c>
      <c r="L2478" s="1779"/>
      <c r="M2478" s="1780">
        <f>SUM(M2473:N2477)</f>
        <v>85791.970311111116</v>
      </c>
      <c r="N2478" s="1779"/>
    </row>
    <row r="2479" spans="1:14" x14ac:dyDescent="0.2">
      <c r="I2479" s="1414"/>
      <c r="J2479" s="1415"/>
      <c r="K2479" s="1415"/>
      <c r="L2479" s="1415"/>
      <c r="M2479" s="1415"/>
      <c r="N2479" s="1415"/>
    </row>
    <row r="2480" spans="1:14" ht="13.5" thickBot="1" x14ac:dyDescent="0.25">
      <c r="I2480" s="1416"/>
      <c r="J2480" s="1416"/>
      <c r="K2480" s="1416"/>
      <c r="L2480" s="1416"/>
      <c r="M2480" s="1416"/>
      <c r="N2480" s="1416"/>
    </row>
    <row r="2481" spans="1:14" ht="14.25" thickTop="1" x14ac:dyDescent="0.2">
      <c r="I2481" s="1417" t="s">
        <v>1829</v>
      </c>
      <c r="J2481" s="1418"/>
      <c r="K2481" s="1417" t="s">
        <v>2653</v>
      </c>
      <c r="L2481" s="1418"/>
      <c r="M2481" s="1418"/>
      <c r="N2481" s="1418"/>
    </row>
    <row r="2482" spans="1:14" ht="13.5" x14ac:dyDescent="0.2">
      <c r="I2482" s="1419" t="s">
        <v>1831</v>
      </c>
      <c r="J2482" s="1420"/>
      <c r="K2482" s="1419"/>
      <c r="L2482" s="1420"/>
      <c r="M2482" s="1420"/>
      <c r="N2482" s="1420"/>
    </row>
    <row r="2483" spans="1:14" x14ac:dyDescent="0.2">
      <c r="A2483" s="1796" t="s">
        <v>2477</v>
      </c>
      <c r="B2483" s="1797"/>
      <c r="C2483" s="1797"/>
      <c r="D2483" s="1797"/>
      <c r="E2483" s="1797"/>
      <c r="F2483" s="1797"/>
      <c r="G2483" s="1797"/>
      <c r="H2483" s="1797"/>
      <c r="I2483" s="1797"/>
      <c r="J2483" s="1797"/>
      <c r="K2483" s="1797"/>
      <c r="L2483" s="1797"/>
      <c r="M2483" s="1797"/>
      <c r="N2483" s="1798"/>
    </row>
    <row r="2484" spans="1:14" x14ac:dyDescent="0.2">
      <c r="A2484" s="1799"/>
      <c r="B2484" s="1800"/>
      <c r="C2484" s="1800"/>
      <c r="D2484" s="1800"/>
      <c r="E2484" s="1800"/>
      <c r="F2484" s="1800"/>
      <c r="G2484" s="1800"/>
      <c r="H2484" s="1800"/>
      <c r="I2484" s="1800"/>
      <c r="J2484" s="1800"/>
      <c r="K2484" s="1800"/>
      <c r="L2484" s="1800"/>
      <c r="M2484" s="1800"/>
      <c r="N2484" s="1801"/>
    </row>
    <row r="2485" spans="1:14" ht="13.5" x14ac:dyDescent="0.2">
      <c r="A2485" s="1128"/>
      <c r="B2485" s="1128"/>
      <c r="C2485" s="1128"/>
      <c r="D2485" s="1128"/>
      <c r="E2485" s="1128"/>
      <c r="F2485" s="1128"/>
      <c r="G2485" s="1128"/>
      <c r="H2485" s="1128"/>
      <c r="I2485" s="1128"/>
      <c r="J2485" s="1128"/>
      <c r="K2485" s="1128"/>
      <c r="L2485" s="1128"/>
      <c r="M2485" s="1128"/>
      <c r="N2485" s="1128"/>
    </row>
    <row r="2486" spans="1:14" ht="14.25" x14ac:dyDescent="0.3">
      <c r="A2486" s="1104" t="s">
        <v>2476</v>
      </c>
      <c r="B2486" s="1129" t="str">
        <f>A2483</f>
        <v xml:space="preserve">SUMINISTRO E INSTALACIÓN CODO PVC DE 90 GRADOS PRESIÓN DE 6". INCLUYE UNIÓN DE REPARACIÓN. </v>
      </c>
      <c r="C2486" s="1130" t="s">
        <v>634</v>
      </c>
      <c r="D2486" s="1107" t="s">
        <v>2</v>
      </c>
      <c r="E2486" s="1132" t="s">
        <v>1833</v>
      </c>
      <c r="F2486" s="1133">
        <f>H2486+J2486+L2486+N2486</f>
        <v>870399.2387300001</v>
      </c>
      <c r="G2486" s="1132" t="s">
        <v>2136</v>
      </c>
      <c r="H2486" s="1133">
        <f>M2514</f>
        <v>1875</v>
      </c>
      <c r="I2486" s="1132" t="s">
        <v>621</v>
      </c>
      <c r="J2486" s="1134">
        <f>M2500</f>
        <v>824402.60000000009</v>
      </c>
      <c r="K2486" s="1132" t="s">
        <v>2137</v>
      </c>
      <c r="L2486" s="1133">
        <f>M2523</f>
        <v>0</v>
      </c>
      <c r="M2486" s="1132" t="s">
        <v>2138</v>
      </c>
      <c r="N2486" s="1133">
        <f>M2532</f>
        <v>44121.638729999999</v>
      </c>
    </row>
    <row r="2487" spans="1:14" ht="13.5" x14ac:dyDescent="0.25">
      <c r="A2487" s="1135"/>
      <c r="B2487" s="1135"/>
      <c r="C2487" s="1135"/>
      <c r="D2487" s="1135"/>
      <c r="E2487" s="1135"/>
      <c r="F2487" s="1135"/>
      <c r="G2487" s="1135"/>
      <c r="J2487" s="1135"/>
      <c r="K2487" s="1135"/>
      <c r="L2487" s="1135"/>
      <c r="M2487" s="1270" t="s">
        <v>2667</v>
      </c>
      <c r="N2487" s="1270">
        <f>+F2486*'01'!$O$15</f>
        <v>1126561.1357610701</v>
      </c>
    </row>
    <row r="2488" spans="1:14" x14ac:dyDescent="0.2">
      <c r="A2488" s="1781" t="s">
        <v>2139</v>
      </c>
      <c r="B2488" s="1782"/>
      <c r="C2488" s="1782"/>
      <c r="D2488" s="1782"/>
      <c r="E2488" s="1782"/>
      <c r="F2488" s="1782"/>
      <c r="G2488" s="1782"/>
      <c r="H2488" s="1782"/>
      <c r="I2488" s="1782"/>
      <c r="J2488" s="1782"/>
      <c r="K2488" s="1782"/>
      <c r="L2488" s="1782"/>
      <c r="M2488" s="1782"/>
      <c r="N2488" s="1779"/>
    </row>
    <row r="2489" spans="1:14" x14ac:dyDescent="0.2">
      <c r="A2489" s="1778" t="s">
        <v>14</v>
      </c>
      <c r="B2489" s="1782"/>
      <c r="C2489" s="1782"/>
      <c r="D2489" s="1782"/>
      <c r="E2489" s="1782"/>
      <c r="F2489" s="1782"/>
      <c r="G2489" s="1779"/>
      <c r="H2489" s="1136" t="s">
        <v>15</v>
      </c>
      <c r="I2489" s="1783" t="s">
        <v>619</v>
      </c>
      <c r="J2489" s="1779"/>
      <c r="K2489" s="1783" t="s">
        <v>628</v>
      </c>
      <c r="L2489" s="1779"/>
      <c r="M2489" s="1783" t="s">
        <v>2140</v>
      </c>
      <c r="N2489" s="1779"/>
    </row>
    <row r="2490" spans="1:14" ht="13.5" customHeight="1" x14ac:dyDescent="0.2">
      <c r="A2490" s="1792" t="s">
        <v>1460</v>
      </c>
      <c r="B2490" s="1782"/>
      <c r="C2490" s="1782"/>
      <c r="D2490" s="1782"/>
      <c r="E2490" s="1782"/>
      <c r="F2490" s="1782"/>
      <c r="G2490" s="1779"/>
      <c r="H2490" s="1032" t="str">
        <f>IF(A2490="","",VLOOKUP(A2490,'10'!$C$6:$E$1152,2,FALSE))</f>
        <v>UND</v>
      </c>
      <c r="I2490" s="1785">
        <f>IF(A2490="","",VLOOKUP(A2490,'10'!$C$6:$E$1152,3,FALSE))</f>
        <v>328533</v>
      </c>
      <c r="J2490" s="1412"/>
      <c r="K2490" s="1794">
        <v>1</v>
      </c>
      <c r="L2490" s="1795"/>
      <c r="M2490" s="1780">
        <f>K2490*I2490</f>
        <v>328533</v>
      </c>
      <c r="N2490" s="1779"/>
    </row>
    <row r="2491" spans="1:14" ht="13.5" customHeight="1" x14ac:dyDescent="0.2">
      <c r="A2491" s="1792" t="s">
        <v>1463</v>
      </c>
      <c r="B2491" s="1782"/>
      <c r="C2491" s="1782"/>
      <c r="D2491" s="1782"/>
      <c r="E2491" s="1782"/>
      <c r="F2491" s="1782"/>
      <c r="G2491" s="1779"/>
      <c r="H2491" s="1032" t="str">
        <f>IF(A2491="","",VLOOKUP(A2491,'10'!$C$6:$E$1152,2,FALSE))</f>
        <v>UND</v>
      </c>
      <c r="I2491" s="1785">
        <f>IF(A2491="","",VLOOKUP(A2491,'10'!$C$6:$E$1152,3,FALSE))</f>
        <v>243090</v>
      </c>
      <c r="J2491" s="1412"/>
      <c r="K2491" s="1794">
        <v>2</v>
      </c>
      <c r="L2491" s="1795"/>
      <c r="M2491" s="1780">
        <f t="shared" ref="M2491:M2493" si="113">K2491*I2491</f>
        <v>486180</v>
      </c>
      <c r="N2491" s="1779"/>
    </row>
    <row r="2492" spans="1:14" ht="13.5" x14ac:dyDescent="0.2">
      <c r="A2492" s="1792" t="s">
        <v>1451</v>
      </c>
      <c r="B2492" s="1782"/>
      <c r="C2492" s="1782"/>
      <c r="D2492" s="1782"/>
      <c r="E2492" s="1782"/>
      <c r="F2492" s="1782"/>
      <c r="G2492" s="1779"/>
      <c r="H2492" s="1032" t="str">
        <f>IF(A2492="","",VLOOKUP(A2492,'10'!$C$6:$E$1152,2,FALSE))</f>
        <v>UND</v>
      </c>
      <c r="I2492" s="1785">
        <f>IF(A2492="","",VLOOKUP(A2492,'10'!$C$6:$E$1152,3,FALSE))</f>
        <v>30983</v>
      </c>
      <c r="J2492" s="1412"/>
      <c r="K2492" s="1794">
        <v>0.1</v>
      </c>
      <c r="L2492" s="1795"/>
      <c r="M2492" s="1780">
        <f t="shared" si="113"/>
        <v>3098.3</v>
      </c>
      <c r="N2492" s="1779"/>
    </row>
    <row r="2493" spans="1:14" ht="13.5" x14ac:dyDescent="0.2">
      <c r="A2493" s="1792" t="s">
        <v>1735</v>
      </c>
      <c r="B2493" s="1782"/>
      <c r="C2493" s="1782"/>
      <c r="D2493" s="1782"/>
      <c r="E2493" s="1782"/>
      <c r="F2493" s="1782"/>
      <c r="G2493" s="1779"/>
      <c r="H2493" s="1032" t="str">
        <f>IF(A2493="","",VLOOKUP(A2493,'10'!$C$6:$E$1152,2,FALSE))</f>
        <v>UND</v>
      </c>
      <c r="I2493" s="1785">
        <f>IF(A2493="","",VLOOKUP(A2493,'10'!$C$6:$E$1152,3,FALSE))</f>
        <v>65913</v>
      </c>
      <c r="J2493" s="1412"/>
      <c r="K2493" s="1794">
        <v>0.1</v>
      </c>
      <c r="L2493" s="1795"/>
      <c r="M2493" s="1780">
        <f t="shared" si="113"/>
        <v>6591.3</v>
      </c>
      <c r="N2493" s="1779"/>
    </row>
    <row r="2494" spans="1:14" ht="13.5" x14ac:dyDescent="0.2">
      <c r="A2494" s="1792"/>
      <c r="B2494" s="1782"/>
      <c r="C2494" s="1782"/>
      <c r="D2494" s="1782"/>
      <c r="E2494" s="1782"/>
      <c r="F2494" s="1782"/>
      <c r="G2494" s="1779"/>
      <c r="H2494" s="1032"/>
      <c r="I2494" s="1785"/>
      <c r="J2494" s="1412"/>
      <c r="K2494" s="1794"/>
      <c r="L2494" s="1795"/>
      <c r="M2494" s="1780"/>
      <c r="N2494" s="1779"/>
    </row>
    <row r="2495" spans="1:14" ht="13.5" x14ac:dyDescent="0.2">
      <c r="A2495" s="1792"/>
      <c r="B2495" s="1782"/>
      <c r="C2495" s="1782"/>
      <c r="D2495" s="1782"/>
      <c r="E2495" s="1782"/>
      <c r="F2495" s="1782"/>
      <c r="G2495" s="1779"/>
      <c r="H2495" s="1032"/>
      <c r="I2495" s="1785"/>
      <c r="J2495" s="1412"/>
      <c r="K2495" s="1794"/>
      <c r="L2495" s="1795"/>
      <c r="M2495" s="1780"/>
      <c r="N2495" s="1779"/>
    </row>
    <row r="2496" spans="1:14" ht="13.5" x14ac:dyDescent="0.2">
      <c r="A2496" s="1792"/>
      <c r="B2496" s="1782"/>
      <c r="C2496" s="1782"/>
      <c r="D2496" s="1782"/>
      <c r="E2496" s="1782"/>
      <c r="F2496" s="1782"/>
      <c r="G2496" s="1779"/>
      <c r="H2496" s="1032"/>
      <c r="I2496" s="1785"/>
      <c r="J2496" s="1412"/>
      <c r="K2496" s="1794"/>
      <c r="L2496" s="1795"/>
      <c r="M2496" s="1780"/>
      <c r="N2496" s="1779"/>
    </row>
    <row r="2497" spans="1:14" ht="13.5" x14ac:dyDescent="0.2">
      <c r="A2497" s="1792"/>
      <c r="B2497" s="1782"/>
      <c r="C2497" s="1782"/>
      <c r="D2497" s="1782"/>
      <c r="E2497" s="1782"/>
      <c r="F2497" s="1782"/>
      <c r="G2497" s="1779"/>
      <c r="H2497" s="1032"/>
      <c r="I2497" s="1785"/>
      <c r="J2497" s="1412"/>
      <c r="K2497" s="1794"/>
      <c r="L2497" s="1795"/>
      <c r="M2497" s="1780"/>
      <c r="N2497" s="1779"/>
    </row>
    <row r="2498" spans="1:14" ht="13.5" x14ac:dyDescent="0.2">
      <c r="A2498" s="1792"/>
      <c r="B2498" s="1782"/>
      <c r="C2498" s="1782"/>
      <c r="D2498" s="1782"/>
      <c r="E2498" s="1782"/>
      <c r="F2498" s="1782"/>
      <c r="G2498" s="1779"/>
      <c r="H2498" s="1032"/>
      <c r="I2498" s="1785"/>
      <c r="J2498" s="1412"/>
      <c r="K2498" s="1794"/>
      <c r="L2498" s="1795"/>
      <c r="M2498" s="1780"/>
      <c r="N2498" s="1779"/>
    </row>
    <row r="2499" spans="1:14" ht="13.5" x14ac:dyDescent="0.2">
      <c r="A2499" s="1792"/>
      <c r="B2499" s="1782"/>
      <c r="C2499" s="1782"/>
      <c r="D2499" s="1782"/>
      <c r="E2499" s="1782"/>
      <c r="F2499" s="1782"/>
      <c r="G2499" s="1779"/>
      <c r="H2499" s="1032"/>
      <c r="I2499" s="1785"/>
      <c r="J2499" s="1412"/>
      <c r="K2499" s="1794"/>
      <c r="L2499" s="1795"/>
      <c r="M2499" s="1780"/>
      <c r="N2499" s="1779"/>
    </row>
    <row r="2500" spans="1:14" ht="13.5" x14ac:dyDescent="0.25">
      <c r="A2500" s="1138"/>
      <c r="B2500" s="1138"/>
      <c r="C2500" s="1138"/>
      <c r="D2500" s="1138"/>
      <c r="E2500" s="1138"/>
      <c r="F2500" s="1138"/>
      <c r="G2500" s="1138"/>
      <c r="H2500" s="1138"/>
      <c r="I2500" s="1138"/>
      <c r="J2500" s="1138"/>
      <c r="K2500" s="1778" t="s">
        <v>523</v>
      </c>
      <c r="L2500" s="1779"/>
      <c r="M2500" s="1780">
        <f>SUM(M2490:N2494)</f>
        <v>824402.60000000009</v>
      </c>
      <c r="N2500" s="1779"/>
    </row>
    <row r="2501" spans="1:14" ht="13.5" x14ac:dyDescent="0.25">
      <c r="A2501" s="1138"/>
      <c r="B2501" s="1138"/>
      <c r="C2501" s="1138"/>
      <c r="D2501" s="1138"/>
      <c r="E2501" s="1138"/>
      <c r="F2501" s="1138"/>
      <c r="G2501" s="1138"/>
      <c r="H2501" s="1138"/>
      <c r="I2501" s="1138"/>
      <c r="J2501" s="1138"/>
      <c r="K2501" s="1138"/>
      <c r="L2501" s="1138"/>
      <c r="M2501" s="1138"/>
      <c r="N2501" s="1138"/>
    </row>
    <row r="2502" spans="1:14" x14ac:dyDescent="0.2">
      <c r="A2502" s="1781" t="s">
        <v>2145</v>
      </c>
      <c r="B2502" s="1782"/>
      <c r="C2502" s="1782"/>
      <c r="D2502" s="1782"/>
      <c r="E2502" s="1782"/>
      <c r="F2502" s="1782"/>
      <c r="G2502" s="1782"/>
      <c r="H2502" s="1782"/>
      <c r="I2502" s="1782"/>
      <c r="J2502" s="1782"/>
      <c r="K2502" s="1782"/>
      <c r="L2502" s="1782"/>
      <c r="M2502" s="1782"/>
      <c r="N2502" s="1779"/>
    </row>
    <row r="2503" spans="1:14" x14ac:dyDescent="0.2">
      <c r="A2503" s="1778" t="s">
        <v>14</v>
      </c>
      <c r="B2503" s="1782"/>
      <c r="C2503" s="1782"/>
      <c r="D2503" s="1782"/>
      <c r="E2503" s="1782"/>
      <c r="F2503" s="1782"/>
      <c r="G2503" s="1779"/>
      <c r="H2503" s="1136" t="s">
        <v>15</v>
      </c>
      <c r="I2503" s="1783" t="s">
        <v>619</v>
      </c>
      <c r="J2503" s="1779"/>
      <c r="K2503" s="1783" t="s">
        <v>610</v>
      </c>
      <c r="L2503" s="1779"/>
      <c r="M2503" s="1783" t="s">
        <v>2140</v>
      </c>
      <c r="N2503" s="1779"/>
    </row>
    <row r="2504" spans="1:14" ht="13.5" x14ac:dyDescent="0.2">
      <c r="A2504" s="1789" t="s">
        <v>131</v>
      </c>
      <c r="B2504" s="1790"/>
      <c r="C2504" s="1790"/>
      <c r="D2504" s="1790"/>
      <c r="E2504" s="1790"/>
      <c r="F2504" s="1790"/>
      <c r="G2504" s="1791"/>
      <c r="H2504" s="1032" t="str">
        <f>IF(A2504="","",VLOOKUP(A2504,'11'!$C$6:$E$87,2,FALSE))</f>
        <v>DIA</v>
      </c>
      <c r="I2504" s="1785">
        <f>IF(A2504="","",VLOOKUP(A2504,'11'!$C$6:$E$87,3,FALSE))</f>
        <v>15000</v>
      </c>
      <c r="J2504" s="1412"/>
      <c r="K2504" s="1787">
        <v>8</v>
      </c>
      <c r="L2504" s="1793"/>
      <c r="M2504" s="1780">
        <f>I2504/K2504</f>
        <v>1875</v>
      </c>
      <c r="N2504" s="1779"/>
    </row>
    <row r="2505" spans="1:14" ht="13.5" x14ac:dyDescent="0.2">
      <c r="A2505" s="1789"/>
      <c r="B2505" s="1790"/>
      <c r="C2505" s="1790"/>
      <c r="D2505" s="1790"/>
      <c r="E2505" s="1790"/>
      <c r="F2505" s="1790"/>
      <c r="G2505" s="1791"/>
      <c r="H2505" s="1032"/>
      <c r="I2505" s="1785"/>
      <c r="J2505" s="1412"/>
      <c r="K2505" s="1787"/>
      <c r="L2505" s="1793"/>
      <c r="M2505" s="1780"/>
      <c r="N2505" s="1779"/>
    </row>
    <row r="2506" spans="1:14" ht="13.5" x14ac:dyDescent="0.2">
      <c r="A2506" s="1789"/>
      <c r="B2506" s="1790"/>
      <c r="C2506" s="1790"/>
      <c r="D2506" s="1790"/>
      <c r="E2506" s="1790"/>
      <c r="F2506" s="1790"/>
      <c r="G2506" s="1791"/>
      <c r="H2506" s="1032"/>
      <c r="I2506" s="1785"/>
      <c r="J2506" s="1412"/>
      <c r="K2506" s="1787"/>
      <c r="L2506" s="1793"/>
      <c r="M2506" s="1780"/>
      <c r="N2506" s="1779"/>
    </row>
    <row r="2507" spans="1:14" ht="13.5" x14ac:dyDescent="0.2">
      <c r="A2507" s="1789"/>
      <c r="B2507" s="1790"/>
      <c r="C2507" s="1790"/>
      <c r="D2507" s="1790"/>
      <c r="E2507" s="1790"/>
      <c r="F2507" s="1790"/>
      <c r="G2507" s="1791"/>
      <c r="H2507" s="1032"/>
      <c r="I2507" s="1785"/>
      <c r="J2507" s="1412"/>
      <c r="K2507" s="1787"/>
      <c r="L2507" s="1793"/>
      <c r="M2507" s="1780"/>
      <c r="N2507" s="1779"/>
    </row>
    <row r="2508" spans="1:14" ht="13.5" x14ac:dyDescent="0.2">
      <c r="A2508" s="1789"/>
      <c r="B2508" s="1790"/>
      <c r="C2508" s="1790"/>
      <c r="D2508" s="1790"/>
      <c r="E2508" s="1790"/>
      <c r="F2508" s="1790"/>
      <c r="G2508" s="1791"/>
      <c r="H2508" s="1032"/>
      <c r="I2508" s="1785"/>
      <c r="J2508" s="1412"/>
      <c r="K2508" s="1787"/>
      <c r="L2508" s="1793"/>
      <c r="M2508" s="1780"/>
      <c r="N2508" s="1779"/>
    </row>
    <row r="2509" spans="1:14" ht="13.5" x14ac:dyDescent="0.2">
      <c r="A2509" s="1789"/>
      <c r="B2509" s="1790"/>
      <c r="C2509" s="1790"/>
      <c r="D2509" s="1790"/>
      <c r="E2509" s="1790"/>
      <c r="F2509" s="1790"/>
      <c r="G2509" s="1791"/>
      <c r="H2509" s="1032"/>
      <c r="I2509" s="1785"/>
      <c r="J2509" s="1412"/>
      <c r="K2509" s="1787"/>
      <c r="L2509" s="1793"/>
      <c r="M2509" s="1780"/>
      <c r="N2509" s="1779"/>
    </row>
    <row r="2510" spans="1:14" ht="13.5" x14ac:dyDescent="0.2">
      <c r="A2510" s="1789"/>
      <c r="B2510" s="1790"/>
      <c r="C2510" s="1790"/>
      <c r="D2510" s="1790"/>
      <c r="E2510" s="1790"/>
      <c r="F2510" s="1790"/>
      <c r="G2510" s="1791"/>
      <c r="H2510" s="1032"/>
      <c r="I2510" s="1785"/>
      <c r="J2510" s="1412"/>
      <c r="K2510" s="1787"/>
      <c r="L2510" s="1793"/>
      <c r="M2510" s="1780"/>
      <c r="N2510" s="1779"/>
    </row>
    <row r="2511" spans="1:14" ht="13.5" x14ac:dyDescent="0.2">
      <c r="A2511" s="1789"/>
      <c r="B2511" s="1790"/>
      <c r="C2511" s="1790"/>
      <c r="D2511" s="1790"/>
      <c r="E2511" s="1790"/>
      <c r="F2511" s="1790"/>
      <c r="G2511" s="1791"/>
      <c r="H2511" s="1032"/>
      <c r="I2511" s="1785"/>
      <c r="J2511" s="1412"/>
      <c r="K2511" s="1787"/>
      <c r="L2511" s="1779"/>
      <c r="M2511" s="1780"/>
      <c r="N2511" s="1779"/>
    </row>
    <row r="2512" spans="1:14" ht="13.5" x14ac:dyDescent="0.2">
      <c r="A2512" s="1789"/>
      <c r="B2512" s="1790"/>
      <c r="C2512" s="1790"/>
      <c r="D2512" s="1790"/>
      <c r="E2512" s="1790"/>
      <c r="F2512" s="1790"/>
      <c r="G2512" s="1791"/>
      <c r="H2512" s="1032"/>
      <c r="I2512" s="1785"/>
      <c r="J2512" s="1412"/>
      <c r="K2512" s="1787"/>
      <c r="L2512" s="1779"/>
      <c r="M2512" s="1780"/>
      <c r="N2512" s="1779"/>
    </row>
    <row r="2513" spans="1:14" ht="13.5" x14ac:dyDescent="0.2">
      <c r="A2513" s="1789"/>
      <c r="B2513" s="1782"/>
      <c r="C2513" s="1782"/>
      <c r="D2513" s="1782"/>
      <c r="E2513" s="1782"/>
      <c r="F2513" s="1782"/>
      <c r="G2513" s="1779"/>
      <c r="H2513" s="1137"/>
      <c r="I2513" s="1780"/>
      <c r="J2513" s="1779"/>
      <c r="K2513" s="1787"/>
      <c r="L2513" s="1779"/>
      <c r="M2513" s="1780"/>
      <c r="N2513" s="1779"/>
    </row>
    <row r="2514" spans="1:14" ht="13.5" x14ac:dyDescent="0.25">
      <c r="A2514" s="1138"/>
      <c r="B2514" s="1138"/>
      <c r="C2514" s="1138"/>
      <c r="D2514" s="1138"/>
      <c r="E2514" s="1138"/>
      <c r="F2514" s="1138"/>
      <c r="G2514" s="1138"/>
      <c r="H2514" s="1138"/>
      <c r="I2514" s="1138"/>
      <c r="J2514" s="1138"/>
      <c r="K2514" s="1778" t="s">
        <v>523</v>
      </c>
      <c r="L2514" s="1779"/>
      <c r="M2514" s="1780">
        <f>SUM(M2504:N2513)</f>
        <v>1875</v>
      </c>
      <c r="N2514" s="1779"/>
    </row>
    <row r="2515" spans="1:14" ht="13.5" x14ac:dyDescent="0.25">
      <c r="A2515" s="1138"/>
      <c r="B2515" s="1138"/>
      <c r="C2515" s="1138"/>
      <c r="D2515" s="1138"/>
      <c r="E2515" s="1138"/>
      <c r="F2515" s="1138"/>
      <c r="G2515" s="1138"/>
      <c r="H2515" s="1138"/>
      <c r="I2515" s="1138"/>
      <c r="J2515" s="1138"/>
      <c r="K2515" s="1138"/>
      <c r="L2515" s="1138"/>
      <c r="M2515" s="1138"/>
      <c r="N2515" s="1138"/>
    </row>
    <row r="2516" spans="1:14" x14ac:dyDescent="0.2">
      <c r="A2516" s="1781" t="s">
        <v>2147</v>
      </c>
      <c r="B2516" s="1782"/>
      <c r="C2516" s="1782"/>
      <c r="D2516" s="1782"/>
      <c r="E2516" s="1782"/>
      <c r="F2516" s="1782"/>
      <c r="G2516" s="1782"/>
      <c r="H2516" s="1782"/>
      <c r="I2516" s="1782"/>
      <c r="J2516" s="1782"/>
      <c r="K2516" s="1782"/>
      <c r="L2516" s="1782"/>
      <c r="M2516" s="1782"/>
      <c r="N2516" s="1779"/>
    </row>
    <row r="2517" spans="1:14" x14ac:dyDescent="0.2">
      <c r="A2517" s="1778" t="s">
        <v>14</v>
      </c>
      <c r="B2517" s="1782"/>
      <c r="C2517" s="1782"/>
      <c r="D2517" s="1782"/>
      <c r="E2517" s="1782"/>
      <c r="F2517" s="1782"/>
      <c r="G2517" s="1779"/>
      <c r="H2517" s="1136" t="s">
        <v>15</v>
      </c>
      <c r="I2517" s="1783" t="s">
        <v>619</v>
      </c>
      <c r="J2517" s="1779"/>
      <c r="K2517" s="1783" t="s">
        <v>628</v>
      </c>
      <c r="L2517" s="1779"/>
      <c r="M2517" s="1783" t="s">
        <v>2140</v>
      </c>
      <c r="N2517" s="1779"/>
    </row>
    <row r="2518" spans="1:14" ht="13.5" x14ac:dyDescent="0.2">
      <c r="A2518" s="1792" t="s">
        <v>2328</v>
      </c>
      <c r="B2518" s="1782"/>
      <c r="C2518" s="1782"/>
      <c r="D2518" s="1782"/>
      <c r="E2518" s="1782"/>
      <c r="F2518" s="1782"/>
      <c r="G2518" s="1779"/>
      <c r="H2518" s="1032" t="str">
        <f>IF(A2518="","",VLOOKUP(A2518,'11'!$C$6:$E$1012,2,FALSE))</f>
        <v>KM-M3</v>
      </c>
      <c r="I2518" s="1785">
        <f>IF(A2518="","",VLOOKUP(A2518,'11'!$C$6:$E$1012,3,FALSE))</f>
        <v>1440</v>
      </c>
      <c r="J2518" s="1412"/>
      <c r="K2518" s="1787">
        <v>0</v>
      </c>
      <c r="L2518" s="1793"/>
      <c r="M2518" s="1780">
        <f t="shared" ref="M2518" si="114">IF(A2518="","",I2518*K2518)</f>
        <v>0</v>
      </c>
      <c r="N2518" s="1779"/>
    </row>
    <row r="2519" spans="1:14" ht="13.5" x14ac:dyDescent="0.2">
      <c r="A2519" s="1786"/>
      <c r="B2519" s="1782"/>
      <c r="C2519" s="1782"/>
      <c r="D2519" s="1782"/>
      <c r="E2519" s="1782"/>
      <c r="F2519" s="1782"/>
      <c r="G2519" s="1779"/>
      <c r="H2519" s="1032"/>
      <c r="I2519" s="1780"/>
      <c r="J2519" s="1779"/>
      <c r="K2519" s="1787"/>
      <c r="L2519" s="1779"/>
      <c r="M2519" s="1780"/>
      <c r="N2519" s="1779"/>
    </row>
    <row r="2520" spans="1:14" ht="13.5" x14ac:dyDescent="0.2">
      <c r="A2520" s="1786"/>
      <c r="B2520" s="1782"/>
      <c r="C2520" s="1782"/>
      <c r="D2520" s="1782"/>
      <c r="E2520" s="1782"/>
      <c r="F2520" s="1782"/>
      <c r="G2520" s="1779"/>
      <c r="H2520" s="1032"/>
      <c r="I2520" s="1780"/>
      <c r="J2520" s="1779"/>
      <c r="K2520" s="1788"/>
      <c r="L2520" s="1779"/>
      <c r="M2520" s="1780"/>
      <c r="N2520" s="1779"/>
    </row>
    <row r="2521" spans="1:14" ht="13.5" x14ac:dyDescent="0.2">
      <c r="A2521" s="1789"/>
      <c r="B2521" s="1782"/>
      <c r="C2521" s="1782"/>
      <c r="D2521" s="1782"/>
      <c r="E2521" s="1782"/>
      <c r="F2521" s="1782"/>
      <c r="G2521" s="1779"/>
      <c r="H2521" s="1137"/>
      <c r="I2521" s="1780"/>
      <c r="J2521" s="1779"/>
      <c r="K2521" s="1787"/>
      <c r="L2521" s="1779"/>
      <c r="M2521" s="1780"/>
      <c r="N2521" s="1779"/>
    </row>
    <row r="2522" spans="1:14" ht="13.5" x14ac:dyDescent="0.2">
      <c r="A2522" s="1789"/>
      <c r="B2522" s="1782"/>
      <c r="C2522" s="1782"/>
      <c r="D2522" s="1782"/>
      <c r="E2522" s="1782"/>
      <c r="F2522" s="1782"/>
      <c r="G2522" s="1779"/>
      <c r="H2522" s="1137"/>
      <c r="I2522" s="1780"/>
      <c r="J2522" s="1779"/>
      <c r="K2522" s="1787"/>
      <c r="L2522" s="1779"/>
      <c r="M2522" s="1780"/>
      <c r="N2522" s="1779"/>
    </row>
    <row r="2523" spans="1:14" ht="13.5" x14ac:dyDescent="0.25">
      <c r="A2523" s="1138"/>
      <c r="B2523" s="1138"/>
      <c r="C2523" s="1138"/>
      <c r="D2523" s="1138"/>
      <c r="E2523" s="1138"/>
      <c r="F2523" s="1138"/>
      <c r="G2523" s="1138"/>
      <c r="H2523" s="1138"/>
      <c r="I2523" s="1138"/>
      <c r="J2523" s="1138"/>
      <c r="K2523" s="1778" t="s">
        <v>523</v>
      </c>
      <c r="L2523" s="1779"/>
      <c r="M2523" s="1780">
        <f>SUM(M2518:N2522)</f>
        <v>0</v>
      </c>
      <c r="N2523" s="1779"/>
    </row>
    <row r="2524" spans="1:14" ht="13.5" x14ac:dyDescent="0.25">
      <c r="A2524" s="1138"/>
      <c r="B2524" s="1138"/>
      <c r="C2524" s="1138"/>
      <c r="D2524" s="1138"/>
      <c r="E2524" s="1138"/>
      <c r="F2524" s="1138"/>
      <c r="G2524" s="1138"/>
      <c r="H2524" s="1138"/>
      <c r="I2524" s="1138"/>
      <c r="J2524" s="1138"/>
      <c r="K2524" s="1138"/>
      <c r="L2524" s="1138"/>
      <c r="M2524" s="1138"/>
      <c r="N2524" s="1138"/>
    </row>
    <row r="2525" spans="1:14" x14ac:dyDescent="0.2">
      <c r="A2525" s="1781" t="s">
        <v>2150</v>
      </c>
      <c r="B2525" s="1782"/>
      <c r="C2525" s="1782"/>
      <c r="D2525" s="1782"/>
      <c r="E2525" s="1782"/>
      <c r="F2525" s="1782"/>
      <c r="G2525" s="1782"/>
      <c r="H2525" s="1782"/>
      <c r="I2525" s="1782"/>
      <c r="J2525" s="1782"/>
      <c r="K2525" s="1782"/>
      <c r="L2525" s="1782"/>
      <c r="M2525" s="1782"/>
      <c r="N2525" s="1779"/>
    </row>
    <row r="2526" spans="1:14" x14ac:dyDescent="0.2">
      <c r="A2526" s="1778" t="s">
        <v>14</v>
      </c>
      <c r="B2526" s="1782"/>
      <c r="C2526" s="1782"/>
      <c r="D2526" s="1782"/>
      <c r="E2526" s="1782"/>
      <c r="F2526" s="1782"/>
      <c r="G2526" s="1779"/>
      <c r="H2526" s="1136" t="s">
        <v>15</v>
      </c>
      <c r="I2526" s="1783" t="s">
        <v>619</v>
      </c>
      <c r="J2526" s="1779"/>
      <c r="K2526" s="1139" t="s">
        <v>1919</v>
      </c>
      <c r="L2526" s="1140" t="s">
        <v>2151</v>
      </c>
      <c r="M2526" s="1783" t="s">
        <v>2140</v>
      </c>
      <c r="N2526" s="1779"/>
    </row>
    <row r="2527" spans="1:14" ht="13.5" x14ac:dyDescent="0.25">
      <c r="A2527" s="1784" t="s">
        <v>2266</v>
      </c>
      <c r="B2527" s="1782"/>
      <c r="C2527" s="1782"/>
      <c r="D2527" s="1782"/>
      <c r="E2527" s="1782"/>
      <c r="F2527" s="1782"/>
      <c r="G2527" s="1779"/>
      <c r="H2527" s="1032" t="str">
        <f>IF(A2527="","",VLOOKUP(A2527,'09'!$A$22:$O$168,4,FALSE))</f>
        <v>Cuadrilla</v>
      </c>
      <c r="I2527" s="1785">
        <f>IF(A2527="","",VLOOKUP(A2527,'09'!$A$22:$O$168,5,FALSE))</f>
        <v>233454</v>
      </c>
      <c r="J2527" s="1412"/>
      <c r="K2527" s="1034">
        <f>IF(A2527="","",'03'!$I$2)</f>
        <v>1.88995</v>
      </c>
      <c r="L2527" s="1142">
        <v>1.25</v>
      </c>
      <c r="M2527" s="1780">
        <f>I2527*K2527/(L2527*8)</f>
        <v>44121.638729999999</v>
      </c>
      <c r="N2527" s="1779"/>
    </row>
    <row r="2528" spans="1:14" ht="13.5" x14ac:dyDescent="0.25">
      <c r="A2528" s="1784"/>
      <c r="B2528" s="1782"/>
      <c r="C2528" s="1782"/>
      <c r="D2528" s="1782"/>
      <c r="E2528" s="1782"/>
      <c r="F2528" s="1782"/>
      <c r="G2528" s="1779"/>
      <c r="H2528" s="1137"/>
      <c r="I2528" s="1780"/>
      <c r="J2528" s="1779"/>
      <c r="K2528" s="1141"/>
      <c r="L2528" s="1141"/>
      <c r="M2528" s="1780"/>
      <c r="N2528" s="1779"/>
    </row>
    <row r="2529" spans="1:14" ht="13.5" x14ac:dyDescent="0.25">
      <c r="A2529" s="1784"/>
      <c r="B2529" s="1782"/>
      <c r="C2529" s="1782"/>
      <c r="D2529" s="1782"/>
      <c r="E2529" s="1782"/>
      <c r="F2529" s="1782"/>
      <c r="G2529" s="1779"/>
      <c r="H2529" s="1137"/>
      <c r="I2529" s="1780"/>
      <c r="J2529" s="1779"/>
      <c r="K2529" s="1141"/>
      <c r="L2529" s="1143"/>
      <c r="M2529" s="1780"/>
      <c r="N2529" s="1779"/>
    </row>
    <row r="2530" spans="1:14" ht="13.5" x14ac:dyDescent="0.25">
      <c r="A2530" s="1784"/>
      <c r="B2530" s="1782"/>
      <c r="C2530" s="1782"/>
      <c r="D2530" s="1782"/>
      <c r="E2530" s="1782"/>
      <c r="F2530" s="1782"/>
      <c r="G2530" s="1779"/>
      <c r="H2530" s="1137"/>
      <c r="I2530" s="1780"/>
      <c r="J2530" s="1779"/>
      <c r="K2530" s="1141"/>
      <c r="L2530" s="1143"/>
      <c r="M2530" s="1780"/>
      <c r="N2530" s="1779"/>
    </row>
    <row r="2531" spans="1:14" ht="13.5" x14ac:dyDescent="0.25">
      <c r="A2531" s="1784"/>
      <c r="B2531" s="1782"/>
      <c r="C2531" s="1782"/>
      <c r="D2531" s="1782"/>
      <c r="E2531" s="1782"/>
      <c r="F2531" s="1782"/>
      <c r="G2531" s="1779"/>
      <c r="H2531" s="1137"/>
      <c r="I2531" s="1780"/>
      <c r="J2531" s="1779"/>
      <c r="K2531" s="1141"/>
      <c r="L2531" s="1143"/>
      <c r="M2531" s="1780"/>
      <c r="N2531" s="1779"/>
    </row>
    <row r="2532" spans="1:14" ht="13.5" x14ac:dyDescent="0.25">
      <c r="A2532" s="1138"/>
      <c r="B2532" s="1138"/>
      <c r="C2532" s="1138"/>
      <c r="D2532" s="1138"/>
      <c r="E2532" s="1138"/>
      <c r="F2532" s="1138"/>
      <c r="G2532" s="1138"/>
      <c r="H2532" s="1138"/>
      <c r="I2532" s="1138"/>
      <c r="J2532" s="1138"/>
      <c r="K2532" s="1778" t="s">
        <v>523</v>
      </c>
      <c r="L2532" s="1779"/>
      <c r="M2532" s="1780">
        <f>SUM(M2527:N2531)</f>
        <v>44121.638729999999</v>
      </c>
      <c r="N2532" s="1779"/>
    </row>
    <row r="2533" spans="1:14" x14ac:dyDescent="0.2">
      <c r="I2533" s="1414"/>
      <c r="J2533" s="1415"/>
      <c r="K2533" s="1415"/>
      <c r="L2533" s="1415"/>
      <c r="M2533" s="1415"/>
      <c r="N2533" s="1415"/>
    </row>
    <row r="2534" spans="1:14" ht="13.5" thickBot="1" x14ac:dyDescent="0.25">
      <c r="I2534" s="1416"/>
      <c r="J2534" s="1416"/>
      <c r="K2534" s="1416"/>
      <c r="L2534" s="1416"/>
      <c r="M2534" s="1416"/>
      <c r="N2534" s="1416"/>
    </row>
    <row r="2535" spans="1:14" ht="14.25" thickTop="1" x14ac:dyDescent="0.2">
      <c r="I2535" s="1417" t="s">
        <v>1829</v>
      </c>
      <c r="J2535" s="1418"/>
      <c r="K2535" s="1417" t="s">
        <v>2653</v>
      </c>
      <c r="L2535" s="1418"/>
      <c r="M2535" s="1418"/>
      <c r="N2535" s="1418"/>
    </row>
    <row r="2536" spans="1:14" ht="13.5" x14ac:dyDescent="0.2">
      <c r="I2536" s="1419" t="s">
        <v>1831</v>
      </c>
      <c r="J2536" s="1420"/>
      <c r="K2536" s="1419"/>
      <c r="L2536" s="1420"/>
      <c r="M2536" s="1420"/>
      <c r="N2536" s="1420"/>
    </row>
    <row r="2538" spans="1:14" x14ac:dyDescent="0.2">
      <c r="A2538" s="1796" t="s">
        <v>2480</v>
      </c>
      <c r="B2538" s="1797"/>
      <c r="C2538" s="1797"/>
      <c r="D2538" s="1797"/>
      <c r="E2538" s="1797"/>
      <c r="F2538" s="1797"/>
      <c r="G2538" s="1797"/>
      <c r="H2538" s="1797"/>
      <c r="I2538" s="1797"/>
      <c r="J2538" s="1797"/>
      <c r="K2538" s="1797"/>
      <c r="L2538" s="1797"/>
      <c r="M2538" s="1797"/>
      <c r="N2538" s="1798"/>
    </row>
    <row r="2539" spans="1:14" x14ac:dyDescent="0.2">
      <c r="A2539" s="1799"/>
      <c r="B2539" s="1800"/>
      <c r="C2539" s="1800"/>
      <c r="D2539" s="1800"/>
      <c r="E2539" s="1800"/>
      <c r="F2539" s="1800"/>
      <c r="G2539" s="1800"/>
      <c r="H2539" s="1800"/>
      <c r="I2539" s="1800"/>
      <c r="J2539" s="1800"/>
      <c r="K2539" s="1800"/>
      <c r="L2539" s="1800"/>
      <c r="M2539" s="1800"/>
      <c r="N2539" s="1801"/>
    </row>
    <row r="2540" spans="1:14" ht="13.5" x14ac:dyDescent="0.2">
      <c r="A2540" s="1128"/>
      <c r="B2540" s="1128"/>
      <c r="C2540" s="1128"/>
      <c r="D2540" s="1128"/>
      <c r="E2540" s="1128"/>
      <c r="F2540" s="1128"/>
      <c r="G2540" s="1128"/>
      <c r="H2540" s="1128"/>
      <c r="I2540" s="1128"/>
      <c r="J2540" s="1128"/>
      <c r="K2540" s="1128"/>
      <c r="L2540" s="1128"/>
      <c r="M2540" s="1128"/>
      <c r="N2540" s="1128"/>
    </row>
    <row r="2541" spans="1:14" ht="14.25" x14ac:dyDescent="0.3">
      <c r="A2541" s="1104" t="s">
        <v>2479</v>
      </c>
      <c r="B2541" s="1129" t="str">
        <f>A2538</f>
        <v xml:space="preserve"> SUMINISTRO E INSTALACIÓN DE TEE HF DE 6"X6" EXTREMO BRIDAS PARA CONEXIÓN DE TUBERÍA PVC.</v>
      </c>
      <c r="C2541" s="1130" t="s">
        <v>634</v>
      </c>
      <c r="D2541" s="1107" t="s">
        <v>2</v>
      </c>
      <c r="E2541" s="1132" t="s">
        <v>1833</v>
      </c>
      <c r="F2541" s="1133">
        <f>H2541+J2541+L2541+N2541</f>
        <v>2017425.8017187498</v>
      </c>
      <c r="G2541" s="1132" t="s">
        <v>2136</v>
      </c>
      <c r="H2541" s="1133">
        <f>M2569</f>
        <v>15000</v>
      </c>
      <c r="I2541" s="1132" t="s">
        <v>621</v>
      </c>
      <c r="J2541" s="1134">
        <f>M2555</f>
        <v>1772625.5999999999</v>
      </c>
      <c r="K2541" s="1132" t="s">
        <v>2137</v>
      </c>
      <c r="L2541" s="1133">
        <f>M2578</f>
        <v>0</v>
      </c>
      <c r="M2541" s="1132" t="s">
        <v>2138</v>
      </c>
      <c r="N2541" s="1133">
        <f>M2587</f>
        <v>229800.20171875</v>
      </c>
    </row>
    <row r="2542" spans="1:14" ht="13.5" x14ac:dyDescent="0.25">
      <c r="A2542" s="1135"/>
      <c r="B2542" s="1135"/>
      <c r="C2542" s="1135"/>
      <c r="D2542" s="1135"/>
      <c r="E2542" s="1135"/>
      <c r="F2542" s="1135"/>
      <c r="G2542" s="1135"/>
      <c r="J2542" s="1135"/>
      <c r="K2542" s="1135"/>
      <c r="L2542" s="1135"/>
      <c r="M2542" s="1270" t="s">
        <v>2667</v>
      </c>
      <c r="N2542" s="1270">
        <f>+F2541*'01'!$O$15</f>
        <v>2611162.0982276336</v>
      </c>
    </row>
    <row r="2543" spans="1:14" x14ac:dyDescent="0.2">
      <c r="A2543" s="1781" t="s">
        <v>2139</v>
      </c>
      <c r="B2543" s="1782"/>
      <c r="C2543" s="1782"/>
      <c r="D2543" s="1782"/>
      <c r="E2543" s="1782"/>
      <c r="F2543" s="1782"/>
      <c r="G2543" s="1782"/>
      <c r="H2543" s="1782"/>
      <c r="I2543" s="1782"/>
      <c r="J2543" s="1782"/>
      <c r="K2543" s="1782"/>
      <c r="L2543" s="1782"/>
      <c r="M2543" s="1782"/>
      <c r="N2543" s="1779"/>
    </row>
    <row r="2544" spans="1:14" x14ac:dyDescent="0.2">
      <c r="A2544" s="1778" t="s">
        <v>14</v>
      </c>
      <c r="B2544" s="1782"/>
      <c r="C2544" s="1782"/>
      <c r="D2544" s="1782"/>
      <c r="E2544" s="1782"/>
      <c r="F2544" s="1782"/>
      <c r="G2544" s="1779"/>
      <c r="H2544" s="1136" t="s">
        <v>15</v>
      </c>
      <c r="I2544" s="1783" t="s">
        <v>619</v>
      </c>
      <c r="J2544" s="1779"/>
      <c r="K2544" s="1783" t="s">
        <v>628</v>
      </c>
      <c r="L2544" s="1779"/>
      <c r="M2544" s="1783" t="s">
        <v>2140</v>
      </c>
      <c r="N2544" s="1779"/>
    </row>
    <row r="2545" spans="1:14" ht="13.5" customHeight="1" x14ac:dyDescent="0.2">
      <c r="A2545" s="1792" t="s">
        <v>1585</v>
      </c>
      <c r="B2545" s="1782"/>
      <c r="C2545" s="1782"/>
      <c r="D2545" s="1782"/>
      <c r="E2545" s="1782"/>
      <c r="F2545" s="1782"/>
      <c r="G2545" s="1779"/>
      <c r="H2545" s="1032" t="str">
        <f>IF(A2545="","",VLOOKUP(A2545,'10'!$C$6:$E$1152,2,FALSE))</f>
        <v>UND</v>
      </c>
      <c r="I2545" s="1785">
        <f>IF(A2545="","",VLOOKUP(A2545,'10'!$C$6:$E$1152,3,FALSE))</f>
        <v>1134070</v>
      </c>
      <c r="J2545" s="1412"/>
      <c r="K2545" s="1794">
        <v>1</v>
      </c>
      <c r="L2545" s="1795"/>
      <c r="M2545" s="1780">
        <f>K2545*I2545</f>
        <v>1134070</v>
      </c>
      <c r="N2545" s="1779"/>
    </row>
    <row r="2546" spans="1:14" ht="13.5" customHeight="1" x14ac:dyDescent="0.2">
      <c r="A2546" s="1792" t="s">
        <v>1085</v>
      </c>
      <c r="B2546" s="1782"/>
      <c r="C2546" s="1782"/>
      <c r="D2546" s="1782"/>
      <c r="E2546" s="1782"/>
      <c r="F2546" s="1782"/>
      <c r="G2546" s="1779"/>
      <c r="H2546" s="1032" t="str">
        <f>IF(A2546="","",VLOOKUP(A2546,'10'!$C$6:$E$1152,2,FALSE))</f>
        <v>UND</v>
      </c>
      <c r="I2546" s="1785">
        <f>IF(A2546="","",VLOOKUP(A2546,'10'!$C$6:$E$1152,3,FALSE))</f>
        <v>140475</v>
      </c>
      <c r="J2546" s="1412"/>
      <c r="K2546" s="1794">
        <v>3</v>
      </c>
      <c r="L2546" s="1795"/>
      <c r="M2546" s="1780">
        <f t="shared" ref="M2546:M2550" si="115">K2546*I2546</f>
        <v>421425</v>
      </c>
      <c r="N2546" s="1779"/>
    </row>
    <row r="2547" spans="1:14" ht="13.5" x14ac:dyDescent="0.2">
      <c r="A2547" s="1792" t="s">
        <v>1561</v>
      </c>
      <c r="B2547" s="1782"/>
      <c r="C2547" s="1782"/>
      <c r="D2547" s="1782"/>
      <c r="E2547" s="1782"/>
      <c r="F2547" s="1782"/>
      <c r="G2547" s="1779"/>
      <c r="H2547" s="1032" t="str">
        <f>IF(A2547="","",VLOOKUP(A2547,'10'!$C$6:$E$1152,2,FALSE))</f>
        <v>UND</v>
      </c>
      <c r="I2547" s="1785">
        <f>IF(A2547="","",VLOOKUP(A2547,'10'!$C$6:$E$1152,3,FALSE))</f>
        <v>5500</v>
      </c>
      <c r="J2547" s="1412"/>
      <c r="K2547" s="1794">
        <v>24</v>
      </c>
      <c r="L2547" s="1795"/>
      <c r="M2547" s="1780">
        <f t="shared" si="115"/>
        <v>132000</v>
      </c>
      <c r="N2547" s="1779"/>
    </row>
    <row r="2548" spans="1:14" ht="13.5" x14ac:dyDescent="0.2">
      <c r="A2548" s="1792" t="s">
        <v>1573</v>
      </c>
      <c r="B2548" s="1782"/>
      <c r="C2548" s="1782"/>
      <c r="D2548" s="1782"/>
      <c r="E2548" s="1782"/>
      <c r="F2548" s="1782"/>
      <c r="G2548" s="1779"/>
      <c r="H2548" s="1032" t="str">
        <f>IF(A2548="","",VLOOKUP(A2548,'10'!$C$6:$E$1152,2,FALSE))</f>
        <v>UND</v>
      </c>
      <c r="I2548" s="1785">
        <f>IF(A2548="","",VLOOKUP(A2548,'10'!$C$6:$E$1152,3,FALSE))</f>
        <v>25000</v>
      </c>
      <c r="J2548" s="1412"/>
      <c r="K2548" s="1794">
        <v>3</v>
      </c>
      <c r="L2548" s="1795"/>
      <c r="M2548" s="1780">
        <f t="shared" si="115"/>
        <v>75000</v>
      </c>
      <c r="N2548" s="1779"/>
    </row>
    <row r="2549" spans="1:14" ht="13.5" x14ac:dyDescent="0.2">
      <c r="A2549" s="1792" t="s">
        <v>1735</v>
      </c>
      <c r="B2549" s="1782"/>
      <c r="C2549" s="1782"/>
      <c r="D2549" s="1782"/>
      <c r="E2549" s="1782"/>
      <c r="F2549" s="1782"/>
      <c r="G2549" s="1779"/>
      <c r="H2549" s="1032" t="str">
        <f>IF(A2549="","",VLOOKUP(A2549,'10'!$C$6:$E$1152,2,FALSE))</f>
        <v>UND</v>
      </c>
      <c r="I2549" s="1785">
        <f>IF(A2549="","",VLOOKUP(A2549,'10'!$C$6:$E$1152,3,FALSE))</f>
        <v>65913</v>
      </c>
      <c r="J2549" s="1412"/>
      <c r="K2549" s="1794">
        <v>0.05</v>
      </c>
      <c r="L2549" s="1795"/>
      <c r="M2549" s="1780">
        <f t="shared" si="115"/>
        <v>3295.65</v>
      </c>
      <c r="N2549" s="1779"/>
    </row>
    <row r="2550" spans="1:14" ht="13.5" x14ac:dyDescent="0.2">
      <c r="A2550" s="1792" t="s">
        <v>100</v>
      </c>
      <c r="B2550" s="1782"/>
      <c r="C2550" s="1782"/>
      <c r="D2550" s="1782"/>
      <c r="E2550" s="1782"/>
      <c r="F2550" s="1782"/>
      <c r="G2550" s="1779"/>
      <c r="H2550" s="1032" t="str">
        <f>IF(A2550="","",VLOOKUP(A2550,'10'!$C$6:$E$1152,2,FALSE))</f>
        <v>UND</v>
      </c>
      <c r="I2550" s="1785">
        <f>IF(A2550="","",VLOOKUP(A2550,'10'!$C$6:$E$1152,3,FALSE))</f>
        <v>136699</v>
      </c>
      <c r="J2550" s="1412"/>
      <c r="K2550" s="1794">
        <v>0.05</v>
      </c>
      <c r="L2550" s="1795"/>
      <c r="M2550" s="1780">
        <f t="shared" si="115"/>
        <v>6834.9500000000007</v>
      </c>
      <c r="N2550" s="1779"/>
    </row>
    <row r="2551" spans="1:14" ht="13.5" x14ac:dyDescent="0.2">
      <c r="A2551" s="1792"/>
      <c r="B2551" s="1782"/>
      <c r="C2551" s="1782"/>
      <c r="D2551" s="1782"/>
      <c r="E2551" s="1782"/>
      <c r="F2551" s="1782"/>
      <c r="G2551" s="1779"/>
      <c r="H2551" s="1032"/>
      <c r="I2551" s="1785"/>
      <c r="J2551" s="1412"/>
      <c r="K2551" s="1794"/>
      <c r="L2551" s="1795"/>
      <c r="M2551" s="1780"/>
      <c r="N2551" s="1779"/>
    </row>
    <row r="2552" spans="1:14" ht="13.5" x14ac:dyDescent="0.2">
      <c r="A2552" s="1792"/>
      <c r="B2552" s="1782"/>
      <c r="C2552" s="1782"/>
      <c r="D2552" s="1782"/>
      <c r="E2552" s="1782"/>
      <c r="F2552" s="1782"/>
      <c r="G2552" s="1779"/>
      <c r="H2552" s="1032"/>
      <c r="I2552" s="1785"/>
      <c r="J2552" s="1412"/>
      <c r="K2552" s="1794"/>
      <c r="L2552" s="1795"/>
      <c r="M2552" s="1780"/>
      <c r="N2552" s="1779"/>
    </row>
    <row r="2553" spans="1:14" ht="13.5" x14ac:dyDescent="0.2">
      <c r="A2553" s="1792"/>
      <c r="B2553" s="1782"/>
      <c r="C2553" s="1782"/>
      <c r="D2553" s="1782"/>
      <c r="E2553" s="1782"/>
      <c r="F2553" s="1782"/>
      <c r="G2553" s="1779"/>
      <c r="H2553" s="1032"/>
      <c r="I2553" s="1785"/>
      <c r="J2553" s="1412"/>
      <c r="K2553" s="1794"/>
      <c r="L2553" s="1795"/>
      <c r="M2553" s="1780"/>
      <c r="N2553" s="1779"/>
    </row>
    <row r="2554" spans="1:14" ht="13.5" x14ac:dyDescent="0.2">
      <c r="A2554" s="1792"/>
      <c r="B2554" s="1782"/>
      <c r="C2554" s="1782"/>
      <c r="D2554" s="1782"/>
      <c r="E2554" s="1782"/>
      <c r="F2554" s="1782"/>
      <c r="G2554" s="1779"/>
      <c r="H2554" s="1032"/>
      <c r="I2554" s="1785"/>
      <c r="J2554" s="1412"/>
      <c r="K2554" s="1794"/>
      <c r="L2554" s="1795"/>
      <c r="M2554" s="1780"/>
      <c r="N2554" s="1779"/>
    </row>
    <row r="2555" spans="1:14" ht="13.5" x14ac:dyDescent="0.25">
      <c r="A2555" s="1138"/>
      <c r="B2555" s="1138"/>
      <c r="C2555" s="1138"/>
      <c r="D2555" s="1138"/>
      <c r="E2555" s="1138"/>
      <c r="F2555" s="1138"/>
      <c r="G2555" s="1138"/>
      <c r="H2555" s="1138"/>
      <c r="I2555" s="1138"/>
      <c r="J2555" s="1138"/>
      <c r="K2555" s="1778" t="s">
        <v>523</v>
      </c>
      <c r="L2555" s="1779"/>
      <c r="M2555" s="1780">
        <f>SUM(M2545:N2550)</f>
        <v>1772625.5999999999</v>
      </c>
      <c r="N2555" s="1779"/>
    </row>
    <row r="2556" spans="1:14" ht="13.5" x14ac:dyDescent="0.25">
      <c r="A2556" s="1138"/>
      <c r="B2556" s="1138"/>
      <c r="C2556" s="1138"/>
      <c r="D2556" s="1138"/>
      <c r="E2556" s="1138"/>
      <c r="F2556" s="1138"/>
      <c r="G2556" s="1138"/>
      <c r="H2556" s="1138"/>
      <c r="I2556" s="1138"/>
      <c r="J2556" s="1138"/>
      <c r="K2556" s="1138"/>
      <c r="L2556" s="1138"/>
      <c r="M2556" s="1138"/>
      <c r="N2556" s="1138"/>
    </row>
    <row r="2557" spans="1:14" x14ac:dyDescent="0.2">
      <c r="A2557" s="1781" t="s">
        <v>2145</v>
      </c>
      <c r="B2557" s="1782"/>
      <c r="C2557" s="1782"/>
      <c r="D2557" s="1782"/>
      <c r="E2557" s="1782"/>
      <c r="F2557" s="1782"/>
      <c r="G2557" s="1782"/>
      <c r="H2557" s="1782"/>
      <c r="I2557" s="1782"/>
      <c r="J2557" s="1782"/>
      <c r="K2557" s="1782"/>
      <c r="L2557" s="1782"/>
      <c r="M2557" s="1782"/>
      <c r="N2557" s="1779"/>
    </row>
    <row r="2558" spans="1:14" x14ac:dyDescent="0.2">
      <c r="A2558" s="1778" t="s">
        <v>14</v>
      </c>
      <c r="B2558" s="1782"/>
      <c r="C2558" s="1782"/>
      <c r="D2558" s="1782"/>
      <c r="E2558" s="1782"/>
      <c r="F2558" s="1782"/>
      <c r="G2558" s="1779"/>
      <c r="H2558" s="1136" t="s">
        <v>15</v>
      </c>
      <c r="I2558" s="1783" t="s">
        <v>619</v>
      </c>
      <c r="J2558" s="1779"/>
      <c r="K2558" s="1783" t="s">
        <v>610</v>
      </c>
      <c r="L2558" s="1779"/>
      <c r="M2558" s="1783" t="s">
        <v>2140</v>
      </c>
      <c r="N2558" s="1779"/>
    </row>
    <row r="2559" spans="1:14" ht="13.5" x14ac:dyDescent="0.2">
      <c r="A2559" s="1789" t="s">
        <v>131</v>
      </c>
      <c r="B2559" s="1790"/>
      <c r="C2559" s="1790"/>
      <c r="D2559" s="1790"/>
      <c r="E2559" s="1790"/>
      <c r="F2559" s="1790"/>
      <c r="G2559" s="1791"/>
      <c r="H2559" s="1032" t="str">
        <f>IF(A2559="","",VLOOKUP(A2559,'11'!$C$6:$E$87,2,FALSE))</f>
        <v>DIA</v>
      </c>
      <c r="I2559" s="1785">
        <f>IF(A2559="","",VLOOKUP(A2559,'11'!$C$6:$E$87,3,FALSE))</f>
        <v>15000</v>
      </c>
      <c r="J2559" s="1412"/>
      <c r="K2559" s="1787">
        <v>1</v>
      </c>
      <c r="L2559" s="1793"/>
      <c r="M2559" s="1780">
        <f>I2559/K2559</f>
        <v>15000</v>
      </c>
      <c r="N2559" s="1779"/>
    </row>
    <row r="2560" spans="1:14" ht="13.5" x14ac:dyDescent="0.2">
      <c r="A2560" s="1789"/>
      <c r="B2560" s="1790"/>
      <c r="C2560" s="1790"/>
      <c r="D2560" s="1790"/>
      <c r="E2560" s="1790"/>
      <c r="F2560" s="1790"/>
      <c r="G2560" s="1791"/>
      <c r="H2560" s="1032"/>
      <c r="I2560" s="1785"/>
      <c r="J2560" s="1412"/>
      <c r="K2560" s="1787"/>
      <c r="L2560" s="1793"/>
      <c r="M2560" s="1780"/>
      <c r="N2560" s="1779"/>
    </row>
    <row r="2561" spans="1:14" ht="13.5" x14ac:dyDescent="0.2">
      <c r="A2561" s="1789"/>
      <c r="B2561" s="1790"/>
      <c r="C2561" s="1790"/>
      <c r="D2561" s="1790"/>
      <c r="E2561" s="1790"/>
      <c r="F2561" s="1790"/>
      <c r="G2561" s="1791"/>
      <c r="H2561" s="1032"/>
      <c r="I2561" s="1785"/>
      <c r="J2561" s="1412"/>
      <c r="K2561" s="1787"/>
      <c r="L2561" s="1793"/>
      <c r="M2561" s="1780"/>
      <c r="N2561" s="1779"/>
    </row>
    <row r="2562" spans="1:14" ht="13.5" x14ac:dyDescent="0.2">
      <c r="A2562" s="1789"/>
      <c r="B2562" s="1790"/>
      <c r="C2562" s="1790"/>
      <c r="D2562" s="1790"/>
      <c r="E2562" s="1790"/>
      <c r="F2562" s="1790"/>
      <c r="G2562" s="1791"/>
      <c r="H2562" s="1032"/>
      <c r="I2562" s="1785"/>
      <c r="J2562" s="1412"/>
      <c r="K2562" s="1787"/>
      <c r="L2562" s="1793"/>
      <c r="M2562" s="1780"/>
      <c r="N2562" s="1779"/>
    </row>
    <row r="2563" spans="1:14" ht="13.5" x14ac:dyDescent="0.2">
      <c r="A2563" s="1789"/>
      <c r="B2563" s="1790"/>
      <c r="C2563" s="1790"/>
      <c r="D2563" s="1790"/>
      <c r="E2563" s="1790"/>
      <c r="F2563" s="1790"/>
      <c r="G2563" s="1791"/>
      <c r="H2563" s="1032"/>
      <c r="I2563" s="1785"/>
      <c r="J2563" s="1412"/>
      <c r="K2563" s="1787"/>
      <c r="L2563" s="1793"/>
      <c r="M2563" s="1780"/>
      <c r="N2563" s="1779"/>
    </row>
    <row r="2564" spans="1:14" ht="13.5" x14ac:dyDescent="0.2">
      <c r="A2564" s="1789"/>
      <c r="B2564" s="1790"/>
      <c r="C2564" s="1790"/>
      <c r="D2564" s="1790"/>
      <c r="E2564" s="1790"/>
      <c r="F2564" s="1790"/>
      <c r="G2564" s="1791"/>
      <c r="H2564" s="1032"/>
      <c r="I2564" s="1785"/>
      <c r="J2564" s="1412"/>
      <c r="K2564" s="1787"/>
      <c r="L2564" s="1793"/>
      <c r="M2564" s="1780"/>
      <c r="N2564" s="1779"/>
    </row>
    <row r="2565" spans="1:14" ht="13.5" x14ac:dyDescent="0.2">
      <c r="A2565" s="1789"/>
      <c r="B2565" s="1790"/>
      <c r="C2565" s="1790"/>
      <c r="D2565" s="1790"/>
      <c r="E2565" s="1790"/>
      <c r="F2565" s="1790"/>
      <c r="G2565" s="1791"/>
      <c r="H2565" s="1032"/>
      <c r="I2565" s="1785"/>
      <c r="J2565" s="1412"/>
      <c r="K2565" s="1787"/>
      <c r="L2565" s="1793"/>
      <c r="M2565" s="1780"/>
      <c r="N2565" s="1779"/>
    </row>
    <row r="2566" spans="1:14" ht="13.5" x14ac:dyDescent="0.2">
      <c r="A2566" s="1789"/>
      <c r="B2566" s="1790"/>
      <c r="C2566" s="1790"/>
      <c r="D2566" s="1790"/>
      <c r="E2566" s="1790"/>
      <c r="F2566" s="1790"/>
      <c r="G2566" s="1791"/>
      <c r="H2566" s="1032"/>
      <c r="I2566" s="1785"/>
      <c r="J2566" s="1412"/>
      <c r="K2566" s="1787"/>
      <c r="L2566" s="1779"/>
      <c r="M2566" s="1780"/>
      <c r="N2566" s="1779"/>
    </row>
    <row r="2567" spans="1:14" ht="13.5" x14ac:dyDescent="0.2">
      <c r="A2567" s="1789"/>
      <c r="B2567" s="1790"/>
      <c r="C2567" s="1790"/>
      <c r="D2567" s="1790"/>
      <c r="E2567" s="1790"/>
      <c r="F2567" s="1790"/>
      <c r="G2567" s="1791"/>
      <c r="H2567" s="1032"/>
      <c r="I2567" s="1785"/>
      <c r="J2567" s="1412"/>
      <c r="K2567" s="1787"/>
      <c r="L2567" s="1779"/>
      <c r="M2567" s="1780"/>
      <c r="N2567" s="1779"/>
    </row>
    <row r="2568" spans="1:14" ht="13.5" x14ac:dyDescent="0.2">
      <c r="A2568" s="1789"/>
      <c r="B2568" s="1782"/>
      <c r="C2568" s="1782"/>
      <c r="D2568" s="1782"/>
      <c r="E2568" s="1782"/>
      <c r="F2568" s="1782"/>
      <c r="G2568" s="1779"/>
      <c r="H2568" s="1137"/>
      <c r="I2568" s="1780"/>
      <c r="J2568" s="1779"/>
      <c r="K2568" s="1787"/>
      <c r="L2568" s="1779"/>
      <c r="M2568" s="1780"/>
      <c r="N2568" s="1779"/>
    </row>
    <row r="2569" spans="1:14" ht="13.5" x14ac:dyDescent="0.25">
      <c r="A2569" s="1138"/>
      <c r="B2569" s="1138"/>
      <c r="C2569" s="1138"/>
      <c r="D2569" s="1138"/>
      <c r="E2569" s="1138"/>
      <c r="F2569" s="1138"/>
      <c r="G2569" s="1138"/>
      <c r="H2569" s="1138"/>
      <c r="I2569" s="1138"/>
      <c r="J2569" s="1138"/>
      <c r="K2569" s="1778" t="s">
        <v>523</v>
      </c>
      <c r="L2569" s="1779"/>
      <c r="M2569" s="1780">
        <f>SUM(M2559:N2568)</f>
        <v>15000</v>
      </c>
      <c r="N2569" s="1779"/>
    </row>
    <row r="2570" spans="1:14" ht="13.5" x14ac:dyDescent="0.25">
      <c r="A2570" s="1138"/>
      <c r="B2570" s="1138"/>
      <c r="C2570" s="1138"/>
      <c r="D2570" s="1138"/>
      <c r="E2570" s="1138"/>
      <c r="F2570" s="1138"/>
      <c r="G2570" s="1138"/>
      <c r="H2570" s="1138"/>
      <c r="I2570" s="1138"/>
      <c r="J2570" s="1138"/>
      <c r="K2570" s="1138"/>
      <c r="L2570" s="1138"/>
      <c r="M2570" s="1138"/>
      <c r="N2570" s="1138"/>
    </row>
    <row r="2571" spans="1:14" x14ac:dyDescent="0.2">
      <c r="A2571" s="1781" t="s">
        <v>2147</v>
      </c>
      <c r="B2571" s="1782"/>
      <c r="C2571" s="1782"/>
      <c r="D2571" s="1782"/>
      <c r="E2571" s="1782"/>
      <c r="F2571" s="1782"/>
      <c r="G2571" s="1782"/>
      <c r="H2571" s="1782"/>
      <c r="I2571" s="1782"/>
      <c r="J2571" s="1782"/>
      <c r="K2571" s="1782"/>
      <c r="L2571" s="1782"/>
      <c r="M2571" s="1782"/>
      <c r="N2571" s="1779"/>
    </row>
    <row r="2572" spans="1:14" x14ac:dyDescent="0.2">
      <c r="A2572" s="1778" t="s">
        <v>14</v>
      </c>
      <c r="B2572" s="1782"/>
      <c r="C2572" s="1782"/>
      <c r="D2572" s="1782"/>
      <c r="E2572" s="1782"/>
      <c r="F2572" s="1782"/>
      <c r="G2572" s="1779"/>
      <c r="H2572" s="1136" t="s">
        <v>15</v>
      </c>
      <c r="I2572" s="1783" t="s">
        <v>619</v>
      </c>
      <c r="J2572" s="1779"/>
      <c r="K2572" s="1783" t="s">
        <v>628</v>
      </c>
      <c r="L2572" s="1779"/>
      <c r="M2572" s="1783" t="s">
        <v>2140</v>
      </c>
      <c r="N2572" s="1779"/>
    </row>
    <row r="2573" spans="1:14" ht="13.5" x14ac:dyDescent="0.2">
      <c r="A2573" s="1792" t="s">
        <v>2328</v>
      </c>
      <c r="B2573" s="1782"/>
      <c r="C2573" s="1782"/>
      <c r="D2573" s="1782"/>
      <c r="E2573" s="1782"/>
      <c r="F2573" s="1782"/>
      <c r="G2573" s="1779"/>
      <c r="H2573" s="1032" t="str">
        <f>IF(A2573="","",VLOOKUP(A2573,'11'!$C$6:$E$1012,2,FALSE))</f>
        <v>KM-M3</v>
      </c>
      <c r="I2573" s="1785">
        <f>IF(A2573="","",VLOOKUP(A2573,'11'!$C$6:$E$1012,3,FALSE))</f>
        <v>1440</v>
      </c>
      <c r="J2573" s="1412"/>
      <c r="K2573" s="1787">
        <v>0</v>
      </c>
      <c r="L2573" s="1793"/>
      <c r="M2573" s="1780">
        <f t="shared" ref="M2573" si="116">IF(A2573="","",I2573*K2573)</f>
        <v>0</v>
      </c>
      <c r="N2573" s="1779"/>
    </row>
    <row r="2574" spans="1:14" ht="13.5" x14ac:dyDescent="0.2">
      <c r="A2574" s="1786"/>
      <c r="B2574" s="1782"/>
      <c r="C2574" s="1782"/>
      <c r="D2574" s="1782"/>
      <c r="E2574" s="1782"/>
      <c r="F2574" s="1782"/>
      <c r="G2574" s="1779"/>
      <c r="H2574" s="1032"/>
      <c r="I2574" s="1780"/>
      <c r="J2574" s="1779"/>
      <c r="K2574" s="1787"/>
      <c r="L2574" s="1779"/>
      <c r="M2574" s="1780"/>
      <c r="N2574" s="1779"/>
    </row>
    <row r="2575" spans="1:14" ht="13.5" x14ac:dyDescent="0.2">
      <c r="A2575" s="1786"/>
      <c r="B2575" s="1782"/>
      <c r="C2575" s="1782"/>
      <c r="D2575" s="1782"/>
      <c r="E2575" s="1782"/>
      <c r="F2575" s="1782"/>
      <c r="G2575" s="1779"/>
      <c r="H2575" s="1032"/>
      <c r="I2575" s="1780"/>
      <c r="J2575" s="1779"/>
      <c r="K2575" s="1788"/>
      <c r="L2575" s="1779"/>
      <c r="M2575" s="1780"/>
      <c r="N2575" s="1779"/>
    </row>
    <row r="2576" spans="1:14" ht="13.5" x14ac:dyDescent="0.2">
      <c r="A2576" s="1789"/>
      <c r="B2576" s="1782"/>
      <c r="C2576" s="1782"/>
      <c r="D2576" s="1782"/>
      <c r="E2576" s="1782"/>
      <c r="F2576" s="1782"/>
      <c r="G2576" s="1779"/>
      <c r="H2576" s="1137"/>
      <c r="I2576" s="1780"/>
      <c r="J2576" s="1779"/>
      <c r="K2576" s="1787"/>
      <c r="L2576" s="1779"/>
      <c r="M2576" s="1780"/>
      <c r="N2576" s="1779"/>
    </row>
    <row r="2577" spans="1:14" ht="13.5" x14ac:dyDescent="0.2">
      <c r="A2577" s="1789"/>
      <c r="B2577" s="1782"/>
      <c r="C2577" s="1782"/>
      <c r="D2577" s="1782"/>
      <c r="E2577" s="1782"/>
      <c r="F2577" s="1782"/>
      <c r="G2577" s="1779"/>
      <c r="H2577" s="1137"/>
      <c r="I2577" s="1780"/>
      <c r="J2577" s="1779"/>
      <c r="K2577" s="1787"/>
      <c r="L2577" s="1779"/>
      <c r="M2577" s="1780"/>
      <c r="N2577" s="1779"/>
    </row>
    <row r="2578" spans="1:14" ht="13.5" x14ac:dyDescent="0.25">
      <c r="A2578" s="1138"/>
      <c r="B2578" s="1138"/>
      <c r="C2578" s="1138"/>
      <c r="D2578" s="1138"/>
      <c r="E2578" s="1138"/>
      <c r="F2578" s="1138"/>
      <c r="G2578" s="1138"/>
      <c r="H2578" s="1138"/>
      <c r="I2578" s="1138"/>
      <c r="J2578" s="1138"/>
      <c r="K2578" s="1778" t="s">
        <v>523</v>
      </c>
      <c r="L2578" s="1779"/>
      <c r="M2578" s="1780">
        <f>SUM(M2573:N2577)</f>
        <v>0</v>
      </c>
      <c r="N2578" s="1779"/>
    </row>
    <row r="2579" spans="1:14" ht="13.5" x14ac:dyDescent="0.25">
      <c r="A2579" s="1138"/>
      <c r="B2579" s="1138"/>
      <c r="C2579" s="1138"/>
      <c r="D2579" s="1138"/>
      <c r="E2579" s="1138"/>
      <c r="F2579" s="1138"/>
      <c r="G2579" s="1138"/>
      <c r="H2579" s="1138"/>
      <c r="I2579" s="1138"/>
      <c r="J2579" s="1138"/>
      <c r="K2579" s="1138"/>
      <c r="L2579" s="1138"/>
      <c r="M2579" s="1138"/>
      <c r="N2579" s="1138"/>
    </row>
    <row r="2580" spans="1:14" x14ac:dyDescent="0.2">
      <c r="A2580" s="1781" t="s">
        <v>2150</v>
      </c>
      <c r="B2580" s="1782"/>
      <c r="C2580" s="1782"/>
      <c r="D2580" s="1782"/>
      <c r="E2580" s="1782"/>
      <c r="F2580" s="1782"/>
      <c r="G2580" s="1782"/>
      <c r="H2580" s="1782"/>
      <c r="I2580" s="1782"/>
      <c r="J2580" s="1782"/>
      <c r="K2580" s="1782"/>
      <c r="L2580" s="1782"/>
      <c r="M2580" s="1782"/>
      <c r="N2580" s="1779"/>
    </row>
    <row r="2581" spans="1:14" x14ac:dyDescent="0.2">
      <c r="A2581" s="1778" t="s">
        <v>14</v>
      </c>
      <c r="B2581" s="1782"/>
      <c r="C2581" s="1782"/>
      <c r="D2581" s="1782"/>
      <c r="E2581" s="1782"/>
      <c r="F2581" s="1782"/>
      <c r="G2581" s="1779"/>
      <c r="H2581" s="1136" t="s">
        <v>15</v>
      </c>
      <c r="I2581" s="1783" t="s">
        <v>619</v>
      </c>
      <c r="J2581" s="1779"/>
      <c r="K2581" s="1139" t="s">
        <v>1919</v>
      </c>
      <c r="L2581" s="1140" t="s">
        <v>2151</v>
      </c>
      <c r="M2581" s="1783" t="s">
        <v>2140</v>
      </c>
      <c r="N2581" s="1779"/>
    </row>
    <row r="2582" spans="1:14" ht="13.5" x14ac:dyDescent="0.25">
      <c r="A2582" s="1784" t="s">
        <v>2266</v>
      </c>
      <c r="B2582" s="1782"/>
      <c r="C2582" s="1782"/>
      <c r="D2582" s="1782"/>
      <c r="E2582" s="1782"/>
      <c r="F2582" s="1782"/>
      <c r="G2582" s="1779"/>
      <c r="H2582" s="1032" t="str">
        <f>IF(A2582="","",VLOOKUP(A2582,'09'!$A$22:$O$168,4,FALSE))</f>
        <v>Cuadrilla</v>
      </c>
      <c r="I2582" s="1785">
        <f>IF(A2582="","",VLOOKUP(A2582,'09'!$A$22:$O$168,5,FALSE))</f>
        <v>233454</v>
      </c>
      <c r="J2582" s="1412"/>
      <c r="K2582" s="1034">
        <f>IF(A2582="","",'03'!$I$2)</f>
        <v>1.88995</v>
      </c>
      <c r="L2582" s="1142">
        <v>0.24</v>
      </c>
      <c r="M2582" s="1780">
        <f>I2582*K2582/(L2582*8)</f>
        <v>229800.20171875</v>
      </c>
      <c r="N2582" s="1779"/>
    </row>
    <row r="2583" spans="1:14" ht="13.5" x14ac:dyDescent="0.25">
      <c r="A2583" s="1784"/>
      <c r="B2583" s="1782"/>
      <c r="C2583" s="1782"/>
      <c r="D2583" s="1782"/>
      <c r="E2583" s="1782"/>
      <c r="F2583" s="1782"/>
      <c r="G2583" s="1779"/>
      <c r="H2583" s="1137"/>
      <c r="I2583" s="1780"/>
      <c r="J2583" s="1779"/>
      <c r="K2583" s="1141"/>
      <c r="L2583" s="1141"/>
      <c r="M2583" s="1780"/>
      <c r="N2583" s="1779"/>
    </row>
    <row r="2584" spans="1:14" ht="13.5" x14ac:dyDescent="0.25">
      <c r="A2584" s="1784"/>
      <c r="B2584" s="1782"/>
      <c r="C2584" s="1782"/>
      <c r="D2584" s="1782"/>
      <c r="E2584" s="1782"/>
      <c r="F2584" s="1782"/>
      <c r="G2584" s="1779"/>
      <c r="H2584" s="1137"/>
      <c r="I2584" s="1780"/>
      <c r="J2584" s="1779"/>
      <c r="K2584" s="1141"/>
      <c r="L2584" s="1143"/>
      <c r="M2584" s="1780"/>
      <c r="N2584" s="1779"/>
    </row>
    <row r="2585" spans="1:14" ht="13.5" x14ac:dyDescent="0.25">
      <c r="A2585" s="1784"/>
      <c r="B2585" s="1782"/>
      <c r="C2585" s="1782"/>
      <c r="D2585" s="1782"/>
      <c r="E2585" s="1782"/>
      <c r="F2585" s="1782"/>
      <c r="G2585" s="1779"/>
      <c r="H2585" s="1137"/>
      <c r="I2585" s="1780"/>
      <c r="J2585" s="1779"/>
      <c r="K2585" s="1141"/>
      <c r="L2585" s="1143"/>
      <c r="M2585" s="1780"/>
      <c r="N2585" s="1779"/>
    </row>
    <row r="2586" spans="1:14" ht="13.5" x14ac:dyDescent="0.25">
      <c r="A2586" s="1784"/>
      <c r="B2586" s="1782"/>
      <c r="C2586" s="1782"/>
      <c r="D2586" s="1782"/>
      <c r="E2586" s="1782"/>
      <c r="F2586" s="1782"/>
      <c r="G2586" s="1779"/>
      <c r="H2586" s="1137"/>
      <c r="I2586" s="1780"/>
      <c r="J2586" s="1779"/>
      <c r="K2586" s="1141"/>
      <c r="L2586" s="1143"/>
      <c r="M2586" s="1780"/>
      <c r="N2586" s="1779"/>
    </row>
    <row r="2587" spans="1:14" ht="13.5" x14ac:dyDescent="0.25">
      <c r="A2587" s="1138"/>
      <c r="B2587" s="1138"/>
      <c r="C2587" s="1138"/>
      <c r="D2587" s="1138"/>
      <c r="E2587" s="1138"/>
      <c r="F2587" s="1138"/>
      <c r="G2587" s="1138"/>
      <c r="H2587" s="1138"/>
      <c r="I2587" s="1138"/>
      <c r="J2587" s="1138"/>
      <c r="K2587" s="1778" t="s">
        <v>523</v>
      </c>
      <c r="L2587" s="1779"/>
      <c r="M2587" s="1780">
        <f>SUM(M2582:N2586)</f>
        <v>229800.20171875</v>
      </c>
      <c r="N2587" s="1779"/>
    </row>
    <row r="2588" spans="1:14" x14ac:dyDescent="0.2">
      <c r="I2588" s="1414"/>
      <c r="J2588" s="1415"/>
      <c r="K2588" s="1415"/>
      <c r="L2588" s="1415"/>
      <c r="M2588" s="1415"/>
      <c r="N2588" s="1415"/>
    </row>
    <row r="2589" spans="1:14" ht="13.5" thickBot="1" x14ac:dyDescent="0.25">
      <c r="I2589" s="1416"/>
      <c r="J2589" s="1416"/>
      <c r="K2589" s="1416"/>
      <c r="L2589" s="1416"/>
      <c r="M2589" s="1416"/>
      <c r="N2589" s="1416"/>
    </row>
    <row r="2590" spans="1:14" ht="14.25" thickTop="1" x14ac:dyDescent="0.2">
      <c r="I2590" s="1417" t="s">
        <v>1829</v>
      </c>
      <c r="J2590" s="1418"/>
      <c r="K2590" s="1417" t="s">
        <v>2653</v>
      </c>
      <c r="L2590" s="1418"/>
      <c r="M2590" s="1418"/>
      <c r="N2590" s="1418"/>
    </row>
    <row r="2591" spans="1:14" ht="13.5" x14ac:dyDescent="0.2">
      <c r="I2591" s="1419" t="s">
        <v>1831</v>
      </c>
      <c r="J2591" s="1420"/>
      <c r="K2591" s="1419"/>
      <c r="L2591" s="1420"/>
      <c r="M2591" s="1420"/>
      <c r="N2591" s="1420"/>
    </row>
    <row r="2593" spans="1:14" x14ac:dyDescent="0.2">
      <c r="A2593" s="1796" t="s">
        <v>2482</v>
      </c>
      <c r="B2593" s="1797"/>
      <c r="C2593" s="1797"/>
      <c r="D2593" s="1797"/>
      <c r="E2593" s="1797"/>
      <c r="F2593" s="1797"/>
      <c r="G2593" s="1797"/>
      <c r="H2593" s="1797"/>
      <c r="I2593" s="1797"/>
      <c r="J2593" s="1797"/>
      <c r="K2593" s="1797"/>
      <c r="L2593" s="1797"/>
      <c r="M2593" s="1797"/>
      <c r="N2593" s="1798"/>
    </row>
    <row r="2594" spans="1:14" x14ac:dyDescent="0.2">
      <c r="A2594" s="1799"/>
      <c r="B2594" s="1800"/>
      <c r="C2594" s="1800"/>
      <c r="D2594" s="1800"/>
      <c r="E2594" s="1800"/>
      <c r="F2594" s="1800"/>
      <c r="G2594" s="1800"/>
      <c r="H2594" s="1800"/>
      <c r="I2594" s="1800"/>
      <c r="J2594" s="1800"/>
      <c r="K2594" s="1800"/>
      <c r="L2594" s="1800"/>
      <c r="M2594" s="1800"/>
      <c r="N2594" s="1801"/>
    </row>
    <row r="2595" spans="1:14" ht="13.5" x14ac:dyDescent="0.2">
      <c r="A2595" s="1128"/>
      <c r="B2595" s="1128"/>
      <c r="C2595" s="1128"/>
      <c r="D2595" s="1128"/>
      <c r="E2595" s="1128"/>
      <c r="F2595" s="1128"/>
      <c r="G2595" s="1128"/>
      <c r="H2595" s="1128"/>
      <c r="I2595" s="1128"/>
      <c r="J2595" s="1128"/>
      <c r="K2595" s="1128"/>
      <c r="L2595" s="1128"/>
      <c r="M2595" s="1128"/>
      <c r="N2595" s="1128"/>
    </row>
    <row r="2596" spans="1:14" ht="14.25" x14ac:dyDescent="0.3">
      <c r="A2596" s="1104" t="s">
        <v>2481</v>
      </c>
      <c r="B2596" s="1129" t="str">
        <f>A2593</f>
        <v xml:space="preserve"> SUMINISTRO E INSTALACIÓN DE BRIDA AJUSTABLE DE 8" SCH80 150 PSI PARA CONEXIÓN DE TUBERÍA PVC.</v>
      </c>
      <c r="C2596" s="1130" t="s">
        <v>634</v>
      </c>
      <c r="D2596" s="1107" t="s">
        <v>2</v>
      </c>
      <c r="E2596" s="1132" t="s">
        <v>1833</v>
      </c>
      <c r="F2596" s="1133">
        <f>H2596+J2596+L2596+N2596</f>
        <v>1073549.696825</v>
      </c>
      <c r="G2596" s="1132" t="s">
        <v>2136</v>
      </c>
      <c r="H2596" s="1133">
        <f>M2623</f>
        <v>15000</v>
      </c>
      <c r="I2596" s="1132" t="s">
        <v>621</v>
      </c>
      <c r="J2596" s="1134">
        <f>M2609</f>
        <v>948245.6</v>
      </c>
      <c r="K2596" s="1132" t="s">
        <v>2137</v>
      </c>
      <c r="L2596" s="1133">
        <f>M2632</f>
        <v>0</v>
      </c>
      <c r="M2596" s="1132" t="s">
        <v>2138</v>
      </c>
      <c r="N2596" s="1133">
        <f>M2641</f>
        <v>110304.096825</v>
      </c>
    </row>
    <row r="2597" spans="1:14" ht="13.5" x14ac:dyDescent="0.25">
      <c r="A2597" s="1135"/>
      <c r="B2597" s="1135"/>
      <c r="C2597" s="1135"/>
      <c r="D2597" s="1135"/>
      <c r="E2597" s="1135"/>
      <c r="F2597" s="1135"/>
      <c r="G2597" s="1135"/>
      <c r="J2597" s="1135"/>
      <c r="K2597" s="1135"/>
      <c r="L2597" s="1135"/>
      <c r="M2597" s="1270" t="s">
        <v>2667</v>
      </c>
      <c r="N2597" s="1270">
        <f>+F2596*'01'!$O$15</f>
        <v>1389499.5674809972</v>
      </c>
    </row>
    <row r="2598" spans="1:14" x14ac:dyDescent="0.2">
      <c r="A2598" s="1781" t="s">
        <v>2139</v>
      </c>
      <c r="B2598" s="1782"/>
      <c r="C2598" s="1782"/>
      <c r="D2598" s="1782"/>
      <c r="E2598" s="1782"/>
      <c r="F2598" s="1782"/>
      <c r="G2598" s="1782"/>
      <c r="H2598" s="1782"/>
      <c r="I2598" s="1782"/>
      <c r="J2598" s="1782"/>
      <c r="K2598" s="1782"/>
      <c r="L2598" s="1782"/>
      <c r="M2598" s="1782"/>
      <c r="N2598" s="1779"/>
    </row>
    <row r="2599" spans="1:14" x14ac:dyDescent="0.2">
      <c r="A2599" s="1778" t="s">
        <v>14</v>
      </c>
      <c r="B2599" s="1782"/>
      <c r="C2599" s="1782"/>
      <c r="D2599" s="1782"/>
      <c r="E2599" s="1782"/>
      <c r="F2599" s="1782"/>
      <c r="G2599" s="1779"/>
      <c r="H2599" s="1136" t="s">
        <v>15</v>
      </c>
      <c r="I2599" s="1783" t="s">
        <v>619</v>
      </c>
      <c r="J2599" s="1779"/>
      <c r="K2599" s="1783" t="s">
        <v>628</v>
      </c>
      <c r="L2599" s="1779"/>
      <c r="M2599" s="1783" t="s">
        <v>2140</v>
      </c>
      <c r="N2599" s="1779"/>
    </row>
    <row r="2600" spans="1:14" ht="13.5" customHeight="1" x14ac:dyDescent="0.2">
      <c r="A2600" s="1792" t="s">
        <v>1086</v>
      </c>
      <c r="B2600" s="1782"/>
      <c r="C2600" s="1782"/>
      <c r="D2600" s="1782"/>
      <c r="E2600" s="1782"/>
      <c r="F2600" s="1782"/>
      <c r="G2600" s="1779"/>
      <c r="H2600" s="1032" t="str">
        <f>IF(A2600="","",VLOOKUP(A2600,'10'!$C$6:$E$1152,2,FALSE))</f>
        <v>UND</v>
      </c>
      <c r="I2600" s="1785">
        <f>IF(A2600="","",VLOOKUP(A2600,'10'!$C$6:$E$1152,3,FALSE))</f>
        <v>238705</v>
      </c>
      <c r="J2600" s="1412"/>
      <c r="K2600" s="1794">
        <v>3</v>
      </c>
      <c r="L2600" s="1795"/>
      <c r="M2600" s="1780">
        <f t="shared" ref="M2600:M2604" si="117">K2600*I2600</f>
        <v>716115</v>
      </c>
      <c r="N2600" s="1779"/>
    </row>
    <row r="2601" spans="1:14" ht="13.5" x14ac:dyDescent="0.2">
      <c r="A2601" s="1792" t="s">
        <v>1561</v>
      </c>
      <c r="B2601" s="1782"/>
      <c r="C2601" s="1782"/>
      <c r="D2601" s="1782"/>
      <c r="E2601" s="1782"/>
      <c r="F2601" s="1782"/>
      <c r="G2601" s="1779"/>
      <c r="H2601" s="1032" t="str">
        <f>IF(A2601="","",VLOOKUP(A2601,'10'!$C$6:$E$1152,2,FALSE))</f>
        <v>UND</v>
      </c>
      <c r="I2601" s="1785">
        <f>IF(A2601="","",VLOOKUP(A2601,'10'!$C$6:$E$1152,3,FALSE))</f>
        <v>5500</v>
      </c>
      <c r="J2601" s="1412"/>
      <c r="K2601" s="1794">
        <v>24</v>
      </c>
      <c r="L2601" s="1795"/>
      <c r="M2601" s="1780">
        <f t="shared" si="117"/>
        <v>132000</v>
      </c>
      <c r="N2601" s="1779"/>
    </row>
    <row r="2602" spans="1:14" ht="13.5" x14ac:dyDescent="0.2">
      <c r="A2602" s="1792" t="s">
        <v>1564</v>
      </c>
      <c r="B2602" s="1782"/>
      <c r="C2602" s="1782"/>
      <c r="D2602" s="1782"/>
      <c r="E2602" s="1782"/>
      <c r="F2602" s="1782"/>
      <c r="G2602" s="1779"/>
      <c r="H2602" s="1032" t="str">
        <f>IF(A2602="","",VLOOKUP(A2602,'10'!$C$6:$E$1152,2,FALSE))</f>
        <v>UND</v>
      </c>
      <c r="I2602" s="1785">
        <f>IF(A2602="","",VLOOKUP(A2602,'10'!$C$6:$E$1152,3,FALSE))</f>
        <v>30000</v>
      </c>
      <c r="J2602" s="1412"/>
      <c r="K2602" s="1794">
        <v>3</v>
      </c>
      <c r="L2602" s="1795"/>
      <c r="M2602" s="1780">
        <f t="shared" si="117"/>
        <v>90000</v>
      </c>
      <c r="N2602" s="1779"/>
    </row>
    <row r="2603" spans="1:14" ht="13.5" x14ac:dyDescent="0.2">
      <c r="A2603" s="1792" t="s">
        <v>1735</v>
      </c>
      <c r="B2603" s="1782"/>
      <c r="C2603" s="1782"/>
      <c r="D2603" s="1782"/>
      <c r="E2603" s="1782"/>
      <c r="F2603" s="1782"/>
      <c r="G2603" s="1779"/>
      <c r="H2603" s="1032" t="str">
        <f>IF(A2603="","",VLOOKUP(A2603,'10'!$C$6:$E$1152,2,FALSE))</f>
        <v>UND</v>
      </c>
      <c r="I2603" s="1785">
        <f>IF(A2603="","",VLOOKUP(A2603,'10'!$C$6:$E$1152,3,FALSE))</f>
        <v>65913</v>
      </c>
      <c r="J2603" s="1412"/>
      <c r="K2603" s="1794">
        <v>0.05</v>
      </c>
      <c r="L2603" s="1795"/>
      <c r="M2603" s="1780">
        <f t="shared" si="117"/>
        <v>3295.65</v>
      </c>
      <c r="N2603" s="1779"/>
    </row>
    <row r="2604" spans="1:14" ht="13.5" x14ac:dyDescent="0.2">
      <c r="A2604" s="1792" t="s">
        <v>100</v>
      </c>
      <c r="B2604" s="1782"/>
      <c r="C2604" s="1782"/>
      <c r="D2604" s="1782"/>
      <c r="E2604" s="1782"/>
      <c r="F2604" s="1782"/>
      <c r="G2604" s="1779"/>
      <c r="H2604" s="1032" t="str">
        <f>IF(A2604="","",VLOOKUP(A2604,'10'!$C$6:$E$1152,2,FALSE))</f>
        <v>UND</v>
      </c>
      <c r="I2604" s="1785">
        <f>IF(A2604="","",VLOOKUP(A2604,'10'!$C$6:$E$1152,3,FALSE))</f>
        <v>136699</v>
      </c>
      <c r="J2604" s="1412"/>
      <c r="K2604" s="1794">
        <v>0.05</v>
      </c>
      <c r="L2604" s="1795"/>
      <c r="M2604" s="1780">
        <f t="shared" si="117"/>
        <v>6834.9500000000007</v>
      </c>
      <c r="N2604" s="1779"/>
    </row>
    <row r="2605" spans="1:14" ht="13.5" x14ac:dyDescent="0.2">
      <c r="A2605" s="1792"/>
      <c r="B2605" s="1782"/>
      <c r="C2605" s="1782"/>
      <c r="D2605" s="1782"/>
      <c r="E2605" s="1782"/>
      <c r="F2605" s="1782"/>
      <c r="G2605" s="1779"/>
      <c r="H2605" s="1032"/>
      <c r="I2605" s="1785"/>
      <c r="J2605" s="1412"/>
      <c r="K2605" s="1794"/>
      <c r="L2605" s="1795"/>
      <c r="M2605" s="1780"/>
      <c r="N2605" s="1779"/>
    </row>
    <row r="2606" spans="1:14" ht="13.5" x14ac:dyDescent="0.2">
      <c r="A2606" s="1792"/>
      <c r="B2606" s="1782"/>
      <c r="C2606" s="1782"/>
      <c r="D2606" s="1782"/>
      <c r="E2606" s="1782"/>
      <c r="F2606" s="1782"/>
      <c r="G2606" s="1779"/>
      <c r="H2606" s="1032"/>
      <c r="I2606" s="1785"/>
      <c r="J2606" s="1412"/>
      <c r="K2606" s="1794"/>
      <c r="L2606" s="1795"/>
      <c r="M2606" s="1780"/>
      <c r="N2606" s="1779"/>
    </row>
    <row r="2607" spans="1:14" ht="13.5" x14ac:dyDescent="0.2">
      <c r="A2607" s="1792"/>
      <c r="B2607" s="1782"/>
      <c r="C2607" s="1782"/>
      <c r="D2607" s="1782"/>
      <c r="E2607" s="1782"/>
      <c r="F2607" s="1782"/>
      <c r="G2607" s="1779"/>
      <c r="H2607" s="1032"/>
      <c r="I2607" s="1785"/>
      <c r="J2607" s="1412"/>
      <c r="K2607" s="1794"/>
      <c r="L2607" s="1795"/>
      <c r="M2607" s="1780"/>
      <c r="N2607" s="1779"/>
    </row>
    <row r="2608" spans="1:14" ht="13.5" x14ac:dyDescent="0.2">
      <c r="A2608" s="1792"/>
      <c r="B2608" s="1782"/>
      <c r="C2608" s="1782"/>
      <c r="D2608" s="1782"/>
      <c r="E2608" s="1782"/>
      <c r="F2608" s="1782"/>
      <c r="G2608" s="1779"/>
      <c r="H2608" s="1032"/>
      <c r="I2608" s="1785"/>
      <c r="J2608" s="1412"/>
      <c r="K2608" s="1794"/>
      <c r="L2608" s="1795"/>
      <c r="M2608" s="1780"/>
      <c r="N2608" s="1779"/>
    </row>
    <row r="2609" spans="1:14" ht="13.5" x14ac:dyDescent="0.25">
      <c r="A2609" s="1138"/>
      <c r="B2609" s="1138"/>
      <c r="C2609" s="1138"/>
      <c r="D2609" s="1138"/>
      <c r="E2609" s="1138"/>
      <c r="F2609" s="1138"/>
      <c r="G2609" s="1138"/>
      <c r="H2609" s="1138"/>
      <c r="I2609" s="1138"/>
      <c r="J2609" s="1138"/>
      <c r="K2609" s="1778" t="s">
        <v>523</v>
      </c>
      <c r="L2609" s="1779"/>
      <c r="M2609" s="1780">
        <f>SUM(M2600:N2604)</f>
        <v>948245.6</v>
      </c>
      <c r="N2609" s="1779"/>
    </row>
    <row r="2610" spans="1:14" ht="13.5" x14ac:dyDescent="0.25">
      <c r="A2610" s="1138"/>
      <c r="B2610" s="1138"/>
      <c r="C2610" s="1138"/>
      <c r="D2610" s="1138"/>
      <c r="E2610" s="1138"/>
      <c r="F2610" s="1138"/>
      <c r="G2610" s="1138"/>
      <c r="H2610" s="1138"/>
      <c r="I2610" s="1138"/>
      <c r="J2610" s="1138"/>
      <c r="K2610" s="1138"/>
      <c r="L2610" s="1138"/>
      <c r="M2610" s="1138"/>
      <c r="N2610" s="1138"/>
    </row>
    <row r="2611" spans="1:14" x14ac:dyDescent="0.2">
      <c r="A2611" s="1781" t="s">
        <v>2145</v>
      </c>
      <c r="B2611" s="1782"/>
      <c r="C2611" s="1782"/>
      <c r="D2611" s="1782"/>
      <c r="E2611" s="1782"/>
      <c r="F2611" s="1782"/>
      <c r="G2611" s="1782"/>
      <c r="H2611" s="1782"/>
      <c r="I2611" s="1782"/>
      <c r="J2611" s="1782"/>
      <c r="K2611" s="1782"/>
      <c r="L2611" s="1782"/>
      <c r="M2611" s="1782"/>
      <c r="N2611" s="1779"/>
    </row>
    <row r="2612" spans="1:14" x14ac:dyDescent="0.2">
      <c r="A2612" s="1778" t="s">
        <v>14</v>
      </c>
      <c r="B2612" s="1782"/>
      <c r="C2612" s="1782"/>
      <c r="D2612" s="1782"/>
      <c r="E2612" s="1782"/>
      <c r="F2612" s="1782"/>
      <c r="G2612" s="1779"/>
      <c r="H2612" s="1136" t="s">
        <v>15</v>
      </c>
      <c r="I2612" s="1783" t="s">
        <v>619</v>
      </c>
      <c r="J2612" s="1779"/>
      <c r="K2612" s="1783" t="s">
        <v>610</v>
      </c>
      <c r="L2612" s="1779"/>
      <c r="M2612" s="1783" t="s">
        <v>2140</v>
      </c>
      <c r="N2612" s="1779"/>
    </row>
    <row r="2613" spans="1:14" ht="13.5" x14ac:dyDescent="0.2">
      <c r="A2613" s="1789" t="s">
        <v>131</v>
      </c>
      <c r="B2613" s="1790"/>
      <c r="C2613" s="1790"/>
      <c r="D2613" s="1790"/>
      <c r="E2613" s="1790"/>
      <c r="F2613" s="1790"/>
      <c r="G2613" s="1791"/>
      <c r="H2613" s="1032" t="str">
        <f>IF(A2613="","",VLOOKUP(A2613,'11'!$C$6:$E$87,2,FALSE))</f>
        <v>DIA</v>
      </c>
      <c r="I2613" s="1785">
        <f>IF(A2613="","",VLOOKUP(A2613,'11'!$C$6:$E$87,3,FALSE))</f>
        <v>15000</v>
      </c>
      <c r="J2613" s="1412"/>
      <c r="K2613" s="1787">
        <v>1</v>
      </c>
      <c r="L2613" s="1793"/>
      <c r="M2613" s="1780">
        <f>I2613/K2613</f>
        <v>15000</v>
      </c>
      <c r="N2613" s="1779"/>
    </row>
    <row r="2614" spans="1:14" ht="13.5" x14ac:dyDescent="0.2">
      <c r="A2614" s="1789"/>
      <c r="B2614" s="1790"/>
      <c r="C2614" s="1790"/>
      <c r="D2614" s="1790"/>
      <c r="E2614" s="1790"/>
      <c r="F2614" s="1790"/>
      <c r="G2614" s="1791"/>
      <c r="H2614" s="1032"/>
      <c r="I2614" s="1785"/>
      <c r="J2614" s="1412"/>
      <c r="K2614" s="1787"/>
      <c r="L2614" s="1793"/>
      <c r="M2614" s="1780"/>
      <c r="N2614" s="1779"/>
    </row>
    <row r="2615" spans="1:14" ht="13.5" x14ac:dyDescent="0.2">
      <c r="A2615" s="1789"/>
      <c r="B2615" s="1790"/>
      <c r="C2615" s="1790"/>
      <c r="D2615" s="1790"/>
      <c r="E2615" s="1790"/>
      <c r="F2615" s="1790"/>
      <c r="G2615" s="1791"/>
      <c r="H2615" s="1032"/>
      <c r="I2615" s="1785"/>
      <c r="J2615" s="1412"/>
      <c r="K2615" s="1787"/>
      <c r="L2615" s="1793"/>
      <c r="M2615" s="1780"/>
      <c r="N2615" s="1779"/>
    </row>
    <row r="2616" spans="1:14" ht="13.5" x14ac:dyDescent="0.2">
      <c r="A2616" s="1789"/>
      <c r="B2616" s="1790"/>
      <c r="C2616" s="1790"/>
      <c r="D2616" s="1790"/>
      <c r="E2616" s="1790"/>
      <c r="F2616" s="1790"/>
      <c r="G2616" s="1791"/>
      <c r="H2616" s="1032"/>
      <c r="I2616" s="1785"/>
      <c r="J2616" s="1412"/>
      <c r="K2616" s="1787"/>
      <c r="L2616" s="1793"/>
      <c r="M2616" s="1780"/>
      <c r="N2616" s="1779"/>
    </row>
    <row r="2617" spans="1:14" ht="13.5" x14ac:dyDescent="0.2">
      <c r="A2617" s="1789"/>
      <c r="B2617" s="1790"/>
      <c r="C2617" s="1790"/>
      <c r="D2617" s="1790"/>
      <c r="E2617" s="1790"/>
      <c r="F2617" s="1790"/>
      <c r="G2617" s="1791"/>
      <c r="H2617" s="1032"/>
      <c r="I2617" s="1785"/>
      <c r="J2617" s="1412"/>
      <c r="K2617" s="1787"/>
      <c r="L2617" s="1793"/>
      <c r="M2617" s="1780"/>
      <c r="N2617" s="1779"/>
    </row>
    <row r="2618" spans="1:14" ht="13.5" x14ac:dyDescent="0.2">
      <c r="A2618" s="1789"/>
      <c r="B2618" s="1790"/>
      <c r="C2618" s="1790"/>
      <c r="D2618" s="1790"/>
      <c r="E2618" s="1790"/>
      <c r="F2618" s="1790"/>
      <c r="G2618" s="1791"/>
      <c r="H2618" s="1032"/>
      <c r="I2618" s="1785"/>
      <c r="J2618" s="1412"/>
      <c r="K2618" s="1787"/>
      <c r="L2618" s="1793"/>
      <c r="M2618" s="1780"/>
      <c r="N2618" s="1779"/>
    </row>
    <row r="2619" spans="1:14" ht="13.5" x14ac:dyDescent="0.2">
      <c r="A2619" s="1789"/>
      <c r="B2619" s="1790"/>
      <c r="C2619" s="1790"/>
      <c r="D2619" s="1790"/>
      <c r="E2619" s="1790"/>
      <c r="F2619" s="1790"/>
      <c r="G2619" s="1791"/>
      <c r="H2619" s="1032"/>
      <c r="I2619" s="1785"/>
      <c r="J2619" s="1412"/>
      <c r="K2619" s="1787"/>
      <c r="L2619" s="1793"/>
      <c r="M2619" s="1780"/>
      <c r="N2619" s="1779"/>
    </row>
    <row r="2620" spans="1:14" ht="13.5" x14ac:dyDescent="0.2">
      <c r="A2620" s="1789"/>
      <c r="B2620" s="1790"/>
      <c r="C2620" s="1790"/>
      <c r="D2620" s="1790"/>
      <c r="E2620" s="1790"/>
      <c r="F2620" s="1790"/>
      <c r="G2620" s="1791"/>
      <c r="H2620" s="1032"/>
      <c r="I2620" s="1785"/>
      <c r="J2620" s="1412"/>
      <c r="K2620" s="1787"/>
      <c r="L2620" s="1779"/>
      <c r="M2620" s="1780"/>
      <c r="N2620" s="1779"/>
    </row>
    <row r="2621" spans="1:14" ht="13.5" x14ac:dyDescent="0.2">
      <c r="A2621" s="1789"/>
      <c r="B2621" s="1790"/>
      <c r="C2621" s="1790"/>
      <c r="D2621" s="1790"/>
      <c r="E2621" s="1790"/>
      <c r="F2621" s="1790"/>
      <c r="G2621" s="1791"/>
      <c r="H2621" s="1032"/>
      <c r="I2621" s="1785"/>
      <c r="J2621" s="1412"/>
      <c r="K2621" s="1787"/>
      <c r="L2621" s="1779"/>
      <c r="M2621" s="1780"/>
      <c r="N2621" s="1779"/>
    </row>
    <row r="2622" spans="1:14" ht="13.5" x14ac:dyDescent="0.2">
      <c r="A2622" s="1789"/>
      <c r="B2622" s="1782"/>
      <c r="C2622" s="1782"/>
      <c r="D2622" s="1782"/>
      <c r="E2622" s="1782"/>
      <c r="F2622" s="1782"/>
      <c r="G2622" s="1779"/>
      <c r="H2622" s="1137"/>
      <c r="I2622" s="1780"/>
      <c r="J2622" s="1779"/>
      <c r="K2622" s="1787"/>
      <c r="L2622" s="1779"/>
      <c r="M2622" s="1780"/>
      <c r="N2622" s="1779"/>
    </row>
    <row r="2623" spans="1:14" ht="13.5" x14ac:dyDescent="0.25">
      <c r="A2623" s="1138"/>
      <c r="B2623" s="1138"/>
      <c r="C2623" s="1138"/>
      <c r="D2623" s="1138"/>
      <c r="E2623" s="1138"/>
      <c r="F2623" s="1138"/>
      <c r="G2623" s="1138"/>
      <c r="H2623" s="1138"/>
      <c r="I2623" s="1138"/>
      <c r="J2623" s="1138"/>
      <c r="K2623" s="1778" t="s">
        <v>523</v>
      </c>
      <c r="L2623" s="1779"/>
      <c r="M2623" s="1780">
        <f>SUM(M2613:N2622)</f>
        <v>15000</v>
      </c>
      <c r="N2623" s="1779"/>
    </row>
    <row r="2624" spans="1:14" ht="13.5" x14ac:dyDescent="0.25">
      <c r="A2624" s="1138"/>
      <c r="B2624" s="1138"/>
      <c r="C2624" s="1138"/>
      <c r="D2624" s="1138"/>
      <c r="E2624" s="1138"/>
      <c r="F2624" s="1138"/>
      <c r="G2624" s="1138"/>
      <c r="H2624" s="1138"/>
      <c r="I2624" s="1138"/>
      <c r="J2624" s="1138"/>
      <c r="K2624" s="1138"/>
      <c r="L2624" s="1138"/>
      <c r="M2624" s="1138"/>
      <c r="N2624" s="1138"/>
    </row>
    <row r="2625" spans="1:14" x14ac:dyDescent="0.2">
      <c r="A2625" s="1781" t="s">
        <v>2147</v>
      </c>
      <c r="B2625" s="1782"/>
      <c r="C2625" s="1782"/>
      <c r="D2625" s="1782"/>
      <c r="E2625" s="1782"/>
      <c r="F2625" s="1782"/>
      <c r="G2625" s="1782"/>
      <c r="H2625" s="1782"/>
      <c r="I2625" s="1782"/>
      <c r="J2625" s="1782"/>
      <c r="K2625" s="1782"/>
      <c r="L2625" s="1782"/>
      <c r="M2625" s="1782"/>
      <c r="N2625" s="1779"/>
    </row>
    <row r="2626" spans="1:14" x14ac:dyDescent="0.2">
      <c r="A2626" s="1778" t="s">
        <v>14</v>
      </c>
      <c r="B2626" s="1782"/>
      <c r="C2626" s="1782"/>
      <c r="D2626" s="1782"/>
      <c r="E2626" s="1782"/>
      <c r="F2626" s="1782"/>
      <c r="G2626" s="1779"/>
      <c r="H2626" s="1136" t="s">
        <v>15</v>
      </c>
      <c r="I2626" s="1783" t="s">
        <v>619</v>
      </c>
      <c r="J2626" s="1779"/>
      <c r="K2626" s="1783" t="s">
        <v>628</v>
      </c>
      <c r="L2626" s="1779"/>
      <c r="M2626" s="1783" t="s">
        <v>2140</v>
      </c>
      <c r="N2626" s="1779"/>
    </row>
    <row r="2627" spans="1:14" ht="13.5" x14ac:dyDescent="0.2">
      <c r="A2627" s="1792" t="s">
        <v>2328</v>
      </c>
      <c r="B2627" s="1782"/>
      <c r="C2627" s="1782"/>
      <c r="D2627" s="1782"/>
      <c r="E2627" s="1782"/>
      <c r="F2627" s="1782"/>
      <c r="G2627" s="1779"/>
      <c r="H2627" s="1032" t="str">
        <f>IF(A2627="","",VLOOKUP(A2627,'11'!$C$6:$E$1012,2,FALSE))</f>
        <v>KM-M3</v>
      </c>
      <c r="I2627" s="1785">
        <f>IF(A2627="","",VLOOKUP(A2627,'11'!$C$6:$E$1012,3,FALSE))</f>
        <v>1440</v>
      </c>
      <c r="J2627" s="1412"/>
      <c r="K2627" s="1787">
        <v>0</v>
      </c>
      <c r="L2627" s="1793"/>
      <c r="M2627" s="1780">
        <f t="shared" ref="M2627" si="118">IF(A2627="","",I2627*K2627)</f>
        <v>0</v>
      </c>
      <c r="N2627" s="1779"/>
    </row>
    <row r="2628" spans="1:14" ht="13.5" x14ac:dyDescent="0.2">
      <c r="A2628" s="1786"/>
      <c r="B2628" s="1782"/>
      <c r="C2628" s="1782"/>
      <c r="D2628" s="1782"/>
      <c r="E2628" s="1782"/>
      <c r="F2628" s="1782"/>
      <c r="G2628" s="1779"/>
      <c r="H2628" s="1032"/>
      <c r="I2628" s="1780"/>
      <c r="J2628" s="1779"/>
      <c r="K2628" s="1787"/>
      <c r="L2628" s="1779"/>
      <c r="M2628" s="1780"/>
      <c r="N2628" s="1779"/>
    </row>
    <row r="2629" spans="1:14" ht="13.5" x14ac:dyDescent="0.2">
      <c r="A2629" s="1786"/>
      <c r="B2629" s="1782"/>
      <c r="C2629" s="1782"/>
      <c r="D2629" s="1782"/>
      <c r="E2629" s="1782"/>
      <c r="F2629" s="1782"/>
      <c r="G2629" s="1779"/>
      <c r="H2629" s="1032"/>
      <c r="I2629" s="1780"/>
      <c r="J2629" s="1779"/>
      <c r="K2629" s="1788"/>
      <c r="L2629" s="1779"/>
      <c r="M2629" s="1780"/>
      <c r="N2629" s="1779"/>
    </row>
    <row r="2630" spans="1:14" ht="13.5" x14ac:dyDescent="0.2">
      <c r="A2630" s="1789"/>
      <c r="B2630" s="1782"/>
      <c r="C2630" s="1782"/>
      <c r="D2630" s="1782"/>
      <c r="E2630" s="1782"/>
      <c r="F2630" s="1782"/>
      <c r="G2630" s="1779"/>
      <c r="H2630" s="1137"/>
      <c r="I2630" s="1780"/>
      <c r="J2630" s="1779"/>
      <c r="K2630" s="1787"/>
      <c r="L2630" s="1779"/>
      <c r="M2630" s="1780"/>
      <c r="N2630" s="1779"/>
    </row>
    <row r="2631" spans="1:14" ht="13.5" x14ac:dyDescent="0.2">
      <c r="A2631" s="1789"/>
      <c r="B2631" s="1782"/>
      <c r="C2631" s="1782"/>
      <c r="D2631" s="1782"/>
      <c r="E2631" s="1782"/>
      <c r="F2631" s="1782"/>
      <c r="G2631" s="1779"/>
      <c r="H2631" s="1137"/>
      <c r="I2631" s="1780"/>
      <c r="J2631" s="1779"/>
      <c r="K2631" s="1787"/>
      <c r="L2631" s="1779"/>
      <c r="M2631" s="1780"/>
      <c r="N2631" s="1779"/>
    </row>
    <row r="2632" spans="1:14" ht="13.5" x14ac:dyDescent="0.25">
      <c r="A2632" s="1138"/>
      <c r="B2632" s="1138"/>
      <c r="C2632" s="1138"/>
      <c r="D2632" s="1138"/>
      <c r="E2632" s="1138"/>
      <c r="F2632" s="1138"/>
      <c r="G2632" s="1138"/>
      <c r="H2632" s="1138"/>
      <c r="I2632" s="1138"/>
      <c r="J2632" s="1138"/>
      <c r="K2632" s="1778" t="s">
        <v>523</v>
      </c>
      <c r="L2632" s="1779"/>
      <c r="M2632" s="1780">
        <f>SUM(M2627:N2631)</f>
        <v>0</v>
      </c>
      <c r="N2632" s="1779"/>
    </row>
    <row r="2633" spans="1:14" ht="13.5" x14ac:dyDescent="0.25">
      <c r="A2633" s="1138"/>
      <c r="B2633" s="1138"/>
      <c r="C2633" s="1138"/>
      <c r="D2633" s="1138"/>
      <c r="E2633" s="1138"/>
      <c r="F2633" s="1138"/>
      <c r="G2633" s="1138"/>
      <c r="H2633" s="1138"/>
      <c r="I2633" s="1138"/>
      <c r="J2633" s="1138"/>
      <c r="K2633" s="1138"/>
      <c r="L2633" s="1138"/>
      <c r="M2633" s="1138"/>
      <c r="N2633" s="1138"/>
    </row>
    <row r="2634" spans="1:14" x14ac:dyDescent="0.2">
      <c r="A2634" s="1781" t="s">
        <v>2150</v>
      </c>
      <c r="B2634" s="1782"/>
      <c r="C2634" s="1782"/>
      <c r="D2634" s="1782"/>
      <c r="E2634" s="1782"/>
      <c r="F2634" s="1782"/>
      <c r="G2634" s="1782"/>
      <c r="H2634" s="1782"/>
      <c r="I2634" s="1782"/>
      <c r="J2634" s="1782"/>
      <c r="K2634" s="1782"/>
      <c r="L2634" s="1782"/>
      <c r="M2634" s="1782"/>
      <c r="N2634" s="1779"/>
    </row>
    <row r="2635" spans="1:14" x14ac:dyDescent="0.2">
      <c r="A2635" s="1778" t="s">
        <v>14</v>
      </c>
      <c r="B2635" s="1782"/>
      <c r="C2635" s="1782"/>
      <c r="D2635" s="1782"/>
      <c r="E2635" s="1782"/>
      <c r="F2635" s="1782"/>
      <c r="G2635" s="1779"/>
      <c r="H2635" s="1136" t="s">
        <v>15</v>
      </c>
      <c r="I2635" s="1783" t="s">
        <v>619</v>
      </c>
      <c r="J2635" s="1779"/>
      <c r="K2635" s="1139" t="s">
        <v>1919</v>
      </c>
      <c r="L2635" s="1140" t="s">
        <v>2151</v>
      </c>
      <c r="M2635" s="1783" t="s">
        <v>2140</v>
      </c>
      <c r="N2635" s="1779"/>
    </row>
    <row r="2636" spans="1:14" ht="13.5" x14ac:dyDescent="0.25">
      <c r="A2636" s="1784" t="s">
        <v>2266</v>
      </c>
      <c r="B2636" s="1782"/>
      <c r="C2636" s="1782"/>
      <c r="D2636" s="1782"/>
      <c r="E2636" s="1782"/>
      <c r="F2636" s="1782"/>
      <c r="G2636" s="1779"/>
      <c r="H2636" s="1032" t="str">
        <f>IF(A2636="","",VLOOKUP(A2636,'09'!$A$22:$O$168,4,FALSE))</f>
        <v>Cuadrilla</v>
      </c>
      <c r="I2636" s="1785">
        <f>IF(A2636="","",VLOOKUP(A2636,'09'!$A$22:$O$168,5,FALSE))</f>
        <v>233454</v>
      </c>
      <c r="J2636" s="1412"/>
      <c r="K2636" s="1034">
        <f>IF(A2636="","",'03'!$I$2)</f>
        <v>1.88995</v>
      </c>
      <c r="L2636" s="1142">
        <v>0.5</v>
      </c>
      <c r="M2636" s="1780">
        <f>I2636*K2636/(L2636*8)</f>
        <v>110304.096825</v>
      </c>
      <c r="N2636" s="1779"/>
    </row>
    <row r="2637" spans="1:14" ht="13.5" x14ac:dyDescent="0.25">
      <c r="A2637" s="1784"/>
      <c r="B2637" s="1782"/>
      <c r="C2637" s="1782"/>
      <c r="D2637" s="1782"/>
      <c r="E2637" s="1782"/>
      <c r="F2637" s="1782"/>
      <c r="G2637" s="1779"/>
      <c r="H2637" s="1137"/>
      <c r="I2637" s="1780"/>
      <c r="J2637" s="1779"/>
      <c r="K2637" s="1141"/>
      <c r="L2637" s="1141"/>
      <c r="M2637" s="1780"/>
      <c r="N2637" s="1779"/>
    </row>
    <row r="2638" spans="1:14" ht="13.5" x14ac:dyDescent="0.25">
      <c r="A2638" s="1784"/>
      <c r="B2638" s="1782"/>
      <c r="C2638" s="1782"/>
      <c r="D2638" s="1782"/>
      <c r="E2638" s="1782"/>
      <c r="F2638" s="1782"/>
      <c r="G2638" s="1779"/>
      <c r="H2638" s="1137"/>
      <c r="I2638" s="1780"/>
      <c r="J2638" s="1779"/>
      <c r="K2638" s="1141"/>
      <c r="L2638" s="1143"/>
      <c r="M2638" s="1780"/>
      <c r="N2638" s="1779"/>
    </row>
    <row r="2639" spans="1:14" ht="13.5" x14ac:dyDescent="0.25">
      <c r="A2639" s="1784"/>
      <c r="B2639" s="1782"/>
      <c r="C2639" s="1782"/>
      <c r="D2639" s="1782"/>
      <c r="E2639" s="1782"/>
      <c r="F2639" s="1782"/>
      <c r="G2639" s="1779"/>
      <c r="H2639" s="1137"/>
      <c r="I2639" s="1780"/>
      <c r="J2639" s="1779"/>
      <c r="K2639" s="1141"/>
      <c r="L2639" s="1143"/>
      <c r="M2639" s="1780"/>
      <c r="N2639" s="1779"/>
    </row>
    <row r="2640" spans="1:14" ht="13.5" x14ac:dyDescent="0.25">
      <c r="A2640" s="1784"/>
      <c r="B2640" s="1782"/>
      <c r="C2640" s="1782"/>
      <c r="D2640" s="1782"/>
      <c r="E2640" s="1782"/>
      <c r="F2640" s="1782"/>
      <c r="G2640" s="1779"/>
      <c r="H2640" s="1137"/>
      <c r="I2640" s="1780"/>
      <c r="J2640" s="1779"/>
      <c r="K2640" s="1141"/>
      <c r="L2640" s="1143"/>
      <c r="M2640" s="1780"/>
      <c r="N2640" s="1779"/>
    </row>
    <row r="2641" spans="1:15" ht="13.5" x14ac:dyDescent="0.25">
      <c r="A2641" s="1138"/>
      <c r="B2641" s="1138"/>
      <c r="C2641" s="1138"/>
      <c r="D2641" s="1138"/>
      <c r="E2641" s="1138"/>
      <c r="F2641" s="1138"/>
      <c r="G2641" s="1138"/>
      <c r="H2641" s="1138"/>
      <c r="I2641" s="1138"/>
      <c r="J2641" s="1138"/>
      <c r="K2641" s="1778" t="s">
        <v>523</v>
      </c>
      <c r="L2641" s="1779"/>
      <c r="M2641" s="1780">
        <f>SUM(M2636:N2640)</f>
        <v>110304.096825</v>
      </c>
      <c r="N2641" s="1779"/>
    </row>
    <row r="2642" spans="1:15" x14ac:dyDescent="0.2">
      <c r="I2642" s="1414"/>
      <c r="J2642" s="1415"/>
      <c r="K2642" s="1415"/>
      <c r="L2642" s="1415"/>
      <c r="M2642" s="1415"/>
      <c r="N2642" s="1415"/>
    </row>
    <row r="2643" spans="1:15" ht="13.5" thickBot="1" x14ac:dyDescent="0.25">
      <c r="I2643" s="1416"/>
      <c r="J2643" s="1416"/>
      <c r="K2643" s="1416"/>
      <c r="L2643" s="1416"/>
      <c r="M2643" s="1416"/>
      <c r="N2643" s="1416"/>
    </row>
    <row r="2644" spans="1:15" ht="14.25" thickTop="1" x14ac:dyDescent="0.2">
      <c r="I2644" s="1417" t="s">
        <v>1829</v>
      </c>
      <c r="J2644" s="1418"/>
      <c r="K2644" s="1417" t="s">
        <v>2653</v>
      </c>
      <c r="L2644" s="1418"/>
      <c r="M2644" s="1418"/>
      <c r="N2644" s="1418"/>
    </row>
    <row r="2645" spans="1:15" ht="13.5" x14ac:dyDescent="0.2">
      <c r="I2645" s="1419" t="s">
        <v>1831</v>
      </c>
      <c r="J2645" s="1420"/>
      <c r="K2645" s="1419"/>
      <c r="L2645" s="1420"/>
      <c r="M2645" s="1420"/>
      <c r="N2645" s="1420"/>
    </row>
    <row r="2646" spans="1:15" x14ac:dyDescent="0.2">
      <c r="A2646" s="1796" t="s">
        <v>2505</v>
      </c>
      <c r="B2646" s="1797"/>
      <c r="C2646" s="1797"/>
      <c r="D2646" s="1797"/>
      <c r="E2646" s="1797"/>
      <c r="F2646" s="1797"/>
      <c r="G2646" s="1797"/>
      <c r="H2646" s="1797"/>
      <c r="I2646" s="1797"/>
      <c r="J2646" s="1797"/>
      <c r="K2646" s="1797"/>
      <c r="L2646" s="1797"/>
      <c r="M2646" s="1797"/>
      <c r="N2646" s="1798"/>
    </row>
    <row r="2647" spans="1:15" x14ac:dyDescent="0.2">
      <c r="A2647" s="1799"/>
      <c r="B2647" s="1800"/>
      <c r="C2647" s="1800"/>
      <c r="D2647" s="1800"/>
      <c r="E2647" s="1800"/>
      <c r="F2647" s="1800"/>
      <c r="G2647" s="1800"/>
      <c r="H2647" s="1800"/>
      <c r="I2647" s="1800"/>
      <c r="J2647" s="1800"/>
      <c r="K2647" s="1800"/>
      <c r="L2647" s="1800"/>
      <c r="M2647" s="1800"/>
      <c r="N2647" s="1801"/>
    </row>
    <row r="2648" spans="1:15" ht="13.5" x14ac:dyDescent="0.2">
      <c r="A2648" s="1128"/>
      <c r="B2648" s="1128"/>
      <c r="C2648" s="1128"/>
      <c r="D2648" s="1128"/>
      <c r="E2648" s="1128"/>
      <c r="F2648" s="1128"/>
      <c r="G2648" s="1128"/>
      <c r="H2648" s="1128"/>
      <c r="I2648" s="1128"/>
      <c r="J2648" s="1128"/>
      <c r="K2648" s="1128"/>
      <c r="L2648" s="1128"/>
      <c r="M2648" s="1128"/>
      <c r="N2648" s="1128"/>
    </row>
    <row r="2649" spans="1:15" ht="14.25" x14ac:dyDescent="0.3">
      <c r="A2649" s="1104" t="s">
        <v>2504</v>
      </c>
      <c r="B2649" s="1129" t="str">
        <f>A2646</f>
        <v>RELLENO CON TRITURADO PASANTE 1", RETENIDO 1/2" PARA FILTRO EN SECADO DE LODOS.</v>
      </c>
      <c r="C2649" s="1130" t="s">
        <v>634</v>
      </c>
      <c r="D2649" s="1107" t="s">
        <v>12</v>
      </c>
      <c r="E2649" s="1132" t="s">
        <v>1833</v>
      </c>
      <c r="F2649" s="1133">
        <f>H2649+J2649+L2649+N2649</f>
        <v>99387.422882508225</v>
      </c>
      <c r="G2649" s="1132" t="s">
        <v>2136</v>
      </c>
      <c r="H2649" s="1133">
        <f>M2672</f>
        <v>1500</v>
      </c>
      <c r="I2649" s="1132" t="s">
        <v>621</v>
      </c>
      <c r="J2649" s="1134">
        <f>M2663</f>
        <v>57120</v>
      </c>
      <c r="K2649" s="1132" t="s">
        <v>2137</v>
      </c>
      <c r="L2649" s="1133">
        <f>M2681</f>
        <v>23040</v>
      </c>
      <c r="M2649" s="1132" t="s">
        <v>2138</v>
      </c>
      <c r="N2649" s="1133">
        <f>M2690</f>
        <v>17727.422882508221</v>
      </c>
    </row>
    <row r="2650" spans="1:15" ht="13.5" x14ac:dyDescent="0.25">
      <c r="A2650" s="1135"/>
      <c r="B2650" s="1135"/>
      <c r="C2650" s="1135"/>
      <c r="D2650" s="1135"/>
      <c r="E2650" s="1135"/>
      <c r="F2650" s="1135"/>
      <c r="G2650" s="1135"/>
      <c r="J2650" s="1135"/>
      <c r="K2650" s="1135"/>
      <c r="L2650" s="1135"/>
      <c r="M2650" s="1270" t="s">
        <v>2667</v>
      </c>
      <c r="N2650" s="1270">
        <f>+F2649*'01'!$O$15</f>
        <v>128637.52979179288</v>
      </c>
    </row>
    <row r="2651" spans="1:15" x14ac:dyDescent="0.2">
      <c r="A2651" s="1781" t="s">
        <v>2139</v>
      </c>
      <c r="B2651" s="1782"/>
      <c r="C2651" s="1782"/>
      <c r="D2651" s="1782"/>
      <c r="E2651" s="1782"/>
      <c r="F2651" s="1782"/>
      <c r="G2651" s="1782"/>
      <c r="H2651" s="1782"/>
      <c r="I2651" s="1782"/>
      <c r="J2651" s="1782"/>
      <c r="K2651" s="1782"/>
      <c r="L2651" s="1782"/>
      <c r="M2651" s="1782"/>
      <c r="N2651" s="1779"/>
    </row>
    <row r="2652" spans="1:15" x14ac:dyDescent="0.2">
      <c r="A2652" s="1778" t="s">
        <v>14</v>
      </c>
      <c r="B2652" s="1782"/>
      <c r="C2652" s="1782"/>
      <c r="D2652" s="1782"/>
      <c r="E2652" s="1782"/>
      <c r="F2652" s="1782"/>
      <c r="G2652" s="1779"/>
      <c r="H2652" s="1136" t="s">
        <v>15</v>
      </c>
      <c r="I2652" s="1783" t="s">
        <v>619</v>
      </c>
      <c r="J2652" s="1779"/>
      <c r="K2652" s="1783" t="s">
        <v>628</v>
      </c>
      <c r="L2652" s="1779"/>
      <c r="M2652" s="1783" t="s">
        <v>2140</v>
      </c>
      <c r="N2652" s="1779"/>
    </row>
    <row r="2653" spans="1:15" ht="13.5" customHeight="1" x14ac:dyDescent="0.2">
      <c r="A2653" s="1792" t="s">
        <v>1542</v>
      </c>
      <c r="B2653" s="1782"/>
      <c r="C2653" s="1782"/>
      <c r="D2653" s="1782"/>
      <c r="E2653" s="1782"/>
      <c r="F2653" s="1782"/>
      <c r="G2653" s="1779"/>
      <c r="H2653" s="1032" t="str">
        <f>IF(A2653="","",VLOOKUP(A2653,'10'!$C$6:$E$1152,2,FALSE))</f>
        <v>M3</v>
      </c>
      <c r="I2653" s="1785">
        <f>IF(A2653="","",VLOOKUP(A2653,'10'!$C$6:$E$1152,3,FALSE))</f>
        <v>57120</v>
      </c>
      <c r="J2653" s="1412"/>
      <c r="K2653" s="1794">
        <v>1</v>
      </c>
      <c r="L2653" s="1795"/>
      <c r="M2653" s="1780">
        <f>K2653*I2653</f>
        <v>57120</v>
      </c>
      <c r="N2653" s="1779"/>
    </row>
    <row r="2654" spans="1:15" ht="13.5" customHeight="1" x14ac:dyDescent="0.2">
      <c r="A2654" s="1792"/>
      <c r="B2654" s="1782"/>
      <c r="C2654" s="1782"/>
      <c r="D2654" s="1782"/>
      <c r="E2654" s="1782"/>
      <c r="F2654" s="1782"/>
      <c r="G2654" s="1779"/>
      <c r="H2654" s="1032"/>
      <c r="I2654" s="1785"/>
      <c r="J2654" s="1412"/>
      <c r="K2654" s="1794"/>
      <c r="L2654" s="1795"/>
      <c r="M2654" s="1780"/>
      <c r="N2654" s="1779"/>
    </row>
    <row r="2655" spans="1:15" ht="13.5" x14ac:dyDescent="0.2">
      <c r="A2655" s="1792"/>
      <c r="B2655" s="1782"/>
      <c r="C2655" s="1782"/>
      <c r="D2655" s="1782"/>
      <c r="E2655" s="1782"/>
      <c r="F2655" s="1782"/>
      <c r="G2655" s="1779"/>
      <c r="H2655" s="1032"/>
      <c r="I2655" s="1785"/>
      <c r="J2655" s="1412"/>
      <c r="K2655" s="1794"/>
      <c r="L2655" s="1795"/>
      <c r="M2655" s="1780"/>
      <c r="N2655" s="1779"/>
      <c r="O2655" s="799"/>
    </row>
    <row r="2656" spans="1:15" ht="13.5" x14ac:dyDescent="0.2">
      <c r="A2656" s="1792"/>
      <c r="B2656" s="1782"/>
      <c r="C2656" s="1782"/>
      <c r="D2656" s="1782"/>
      <c r="E2656" s="1782"/>
      <c r="F2656" s="1782"/>
      <c r="G2656" s="1779"/>
      <c r="H2656" s="1032"/>
      <c r="I2656" s="1785"/>
      <c r="J2656" s="1412"/>
      <c r="K2656" s="1794"/>
      <c r="L2656" s="1795"/>
      <c r="M2656" s="1780"/>
      <c r="N2656" s="1779"/>
    </row>
    <row r="2657" spans="1:14" ht="13.5" x14ac:dyDescent="0.2">
      <c r="A2657" s="1792"/>
      <c r="B2657" s="1782"/>
      <c r="C2657" s="1782"/>
      <c r="D2657" s="1782"/>
      <c r="E2657" s="1782"/>
      <c r="F2657" s="1782"/>
      <c r="G2657" s="1779"/>
      <c r="H2657" s="1032"/>
      <c r="I2657" s="1785"/>
      <c r="J2657" s="1412"/>
      <c r="K2657" s="1794"/>
      <c r="L2657" s="1795"/>
      <c r="M2657" s="1780"/>
      <c r="N2657" s="1779"/>
    </row>
    <row r="2658" spans="1:14" ht="13.5" x14ac:dyDescent="0.2">
      <c r="A2658" s="1792"/>
      <c r="B2658" s="1782"/>
      <c r="C2658" s="1782"/>
      <c r="D2658" s="1782"/>
      <c r="E2658" s="1782"/>
      <c r="F2658" s="1782"/>
      <c r="G2658" s="1779"/>
      <c r="H2658" s="1032"/>
      <c r="I2658" s="1785"/>
      <c r="J2658" s="1412"/>
      <c r="K2658" s="1794"/>
      <c r="L2658" s="1795"/>
      <c r="M2658" s="1780"/>
      <c r="N2658" s="1779"/>
    </row>
    <row r="2659" spans="1:14" ht="13.5" x14ac:dyDescent="0.2">
      <c r="A2659" s="1792"/>
      <c r="B2659" s="1782"/>
      <c r="C2659" s="1782"/>
      <c r="D2659" s="1782"/>
      <c r="E2659" s="1782"/>
      <c r="F2659" s="1782"/>
      <c r="G2659" s="1779"/>
      <c r="H2659" s="1032" t="str">
        <f>IF(A2659="","",VLOOKUP(A2659,'10'!$C$6:$E$1152,2,FALSE))</f>
        <v/>
      </c>
      <c r="I2659" s="1785" t="str">
        <f>IF(A2659="","",VLOOKUP(A2659,'10'!$C$6:$E$1152,3,FALSE))</f>
        <v/>
      </c>
      <c r="J2659" s="1412"/>
      <c r="K2659" s="1794"/>
      <c r="L2659" s="1795"/>
      <c r="M2659" s="1780"/>
      <c r="N2659" s="1779"/>
    </row>
    <row r="2660" spans="1:14" ht="13.5" x14ac:dyDescent="0.2">
      <c r="A2660" s="1792"/>
      <c r="B2660" s="1782"/>
      <c r="C2660" s="1782"/>
      <c r="D2660" s="1782"/>
      <c r="E2660" s="1782"/>
      <c r="F2660" s="1782"/>
      <c r="G2660" s="1779"/>
      <c r="H2660" s="1032"/>
      <c r="I2660" s="1785"/>
      <c r="J2660" s="1412"/>
      <c r="K2660" s="1794"/>
      <c r="L2660" s="1795"/>
      <c r="M2660" s="1780"/>
      <c r="N2660" s="1779"/>
    </row>
    <row r="2661" spans="1:14" ht="13.5" x14ac:dyDescent="0.2">
      <c r="A2661" s="1792"/>
      <c r="B2661" s="1782"/>
      <c r="C2661" s="1782"/>
      <c r="D2661" s="1782"/>
      <c r="E2661" s="1782"/>
      <c r="F2661" s="1782"/>
      <c r="G2661" s="1779"/>
      <c r="H2661" s="1032"/>
      <c r="I2661" s="1785"/>
      <c r="J2661" s="1412"/>
      <c r="K2661" s="1794"/>
      <c r="L2661" s="1795"/>
      <c r="M2661" s="1780"/>
      <c r="N2661" s="1779"/>
    </row>
    <row r="2662" spans="1:14" ht="13.5" x14ac:dyDescent="0.2">
      <c r="A2662" s="1792"/>
      <c r="B2662" s="1782"/>
      <c r="C2662" s="1782"/>
      <c r="D2662" s="1782"/>
      <c r="E2662" s="1782"/>
      <c r="F2662" s="1782"/>
      <c r="G2662" s="1779"/>
      <c r="H2662" s="1032"/>
      <c r="I2662" s="1785"/>
      <c r="J2662" s="1412"/>
      <c r="K2662" s="1794"/>
      <c r="L2662" s="1795"/>
      <c r="M2662" s="1780"/>
      <c r="N2662" s="1779"/>
    </row>
    <row r="2663" spans="1:14" ht="13.5" x14ac:dyDescent="0.25">
      <c r="A2663" s="1138"/>
      <c r="B2663" s="1138"/>
      <c r="C2663" s="1138"/>
      <c r="D2663" s="1138"/>
      <c r="E2663" s="1138"/>
      <c r="F2663" s="1138"/>
      <c r="G2663" s="1138"/>
      <c r="H2663" s="1138"/>
      <c r="I2663" s="1138"/>
      <c r="J2663" s="1138"/>
      <c r="K2663" s="1778" t="s">
        <v>523</v>
      </c>
      <c r="L2663" s="1779"/>
      <c r="M2663" s="1780">
        <f>SUM(M2653:N2657)</f>
        <v>57120</v>
      </c>
      <c r="N2663" s="1779"/>
    </row>
    <row r="2664" spans="1:14" ht="13.5" x14ac:dyDescent="0.25">
      <c r="A2664" s="1138"/>
      <c r="B2664" s="1138"/>
      <c r="C2664" s="1138"/>
      <c r="D2664" s="1138"/>
      <c r="E2664" s="1138"/>
      <c r="F2664" s="1138"/>
      <c r="G2664" s="1138"/>
      <c r="H2664" s="1138"/>
      <c r="I2664" s="1138"/>
      <c r="J2664" s="1138"/>
      <c r="K2664" s="1138"/>
      <c r="L2664" s="1138"/>
      <c r="M2664" s="1138"/>
      <c r="N2664" s="1138"/>
    </row>
    <row r="2665" spans="1:14" x14ac:dyDescent="0.2">
      <c r="A2665" s="1781" t="s">
        <v>2145</v>
      </c>
      <c r="B2665" s="1782"/>
      <c r="C2665" s="1782"/>
      <c r="D2665" s="1782"/>
      <c r="E2665" s="1782"/>
      <c r="F2665" s="1782"/>
      <c r="G2665" s="1782"/>
      <c r="H2665" s="1782"/>
      <c r="I2665" s="1782"/>
      <c r="J2665" s="1782"/>
      <c r="K2665" s="1782"/>
      <c r="L2665" s="1782"/>
      <c r="M2665" s="1782"/>
      <c r="N2665" s="1779"/>
    </row>
    <row r="2666" spans="1:14" x14ac:dyDescent="0.2">
      <c r="A2666" s="1778" t="s">
        <v>14</v>
      </c>
      <c r="B2666" s="1782"/>
      <c r="C2666" s="1782"/>
      <c r="D2666" s="1782"/>
      <c r="E2666" s="1782"/>
      <c r="F2666" s="1782"/>
      <c r="G2666" s="1779"/>
      <c r="H2666" s="1136" t="s">
        <v>15</v>
      </c>
      <c r="I2666" s="1783" t="s">
        <v>619</v>
      </c>
      <c r="J2666" s="1779"/>
      <c r="K2666" s="1783" t="s">
        <v>610</v>
      </c>
      <c r="L2666" s="1779"/>
      <c r="M2666" s="1783" t="s">
        <v>2140</v>
      </c>
      <c r="N2666" s="1779"/>
    </row>
    <row r="2667" spans="1:14" ht="13.5" x14ac:dyDescent="0.2">
      <c r="A2667" s="1789" t="s">
        <v>131</v>
      </c>
      <c r="B2667" s="1790"/>
      <c r="C2667" s="1790"/>
      <c r="D2667" s="1790"/>
      <c r="E2667" s="1790"/>
      <c r="F2667" s="1790"/>
      <c r="G2667" s="1791"/>
      <c r="H2667" s="1032" t="str">
        <f>IF(A2667="","",VLOOKUP(A2667,'11'!$C$6:$E$87,2,FALSE))</f>
        <v>DIA</v>
      </c>
      <c r="I2667" s="1785">
        <f>IF(A2667="","",VLOOKUP(A2667,'11'!$C$6:$E$87,3,FALSE))</f>
        <v>15000</v>
      </c>
      <c r="J2667" s="1412"/>
      <c r="K2667" s="1787">
        <v>10</v>
      </c>
      <c r="L2667" s="1793"/>
      <c r="M2667" s="1780">
        <f>I2667/K2667</f>
        <v>1500</v>
      </c>
      <c r="N2667" s="1779"/>
    </row>
    <row r="2668" spans="1:14" ht="13.5" x14ac:dyDescent="0.2">
      <c r="A2668" s="1789"/>
      <c r="B2668" s="1790"/>
      <c r="C2668" s="1790"/>
      <c r="D2668" s="1790"/>
      <c r="E2668" s="1790"/>
      <c r="F2668" s="1790"/>
      <c r="G2668" s="1791"/>
      <c r="H2668" s="1032" t="str">
        <f>IF(A2668="","",VLOOKUP(A2668,'11'!$C$6:$E$87,2,FALSE))</f>
        <v/>
      </c>
      <c r="I2668" s="1785" t="str">
        <f>IF(A2668="","",VLOOKUP(A2668,'11'!$C$6:$E$87,3,FALSE))</f>
        <v/>
      </c>
      <c r="J2668" s="1412"/>
      <c r="K2668" s="1794"/>
      <c r="L2668" s="1779"/>
      <c r="M2668" s="1780"/>
      <c r="N2668" s="1779"/>
    </row>
    <row r="2669" spans="1:14" ht="13.5" x14ac:dyDescent="0.2">
      <c r="A2669" s="1789"/>
      <c r="B2669" s="1790"/>
      <c r="C2669" s="1790"/>
      <c r="D2669" s="1790"/>
      <c r="E2669" s="1790"/>
      <c r="F2669" s="1790"/>
      <c r="G2669" s="1791"/>
      <c r="H2669" s="1032" t="str">
        <f>IF(A2669="","",VLOOKUP(A2669,'11'!$C$6:$E$87,2,FALSE))</f>
        <v/>
      </c>
      <c r="I2669" s="1785" t="str">
        <f>IF(A2669="","",VLOOKUP(A2669,'11'!$C$6:$E$87,3,FALSE))</f>
        <v/>
      </c>
      <c r="J2669" s="1412"/>
      <c r="K2669" s="1787"/>
      <c r="L2669" s="1779"/>
      <c r="M2669" s="1780"/>
      <c r="N2669" s="1779"/>
    </row>
    <row r="2670" spans="1:14" ht="13.5" x14ac:dyDescent="0.2">
      <c r="A2670" s="1789"/>
      <c r="B2670" s="1790"/>
      <c r="C2670" s="1790"/>
      <c r="D2670" s="1790"/>
      <c r="E2670" s="1790"/>
      <c r="F2670" s="1790"/>
      <c r="G2670" s="1791"/>
      <c r="H2670" s="1032" t="str">
        <f>IF(A2670="","",VLOOKUP(A2670,'11'!$C$6:$E$87,2,FALSE))</f>
        <v/>
      </c>
      <c r="I2670" s="1785" t="str">
        <f>IF(A2670="","",VLOOKUP(A2670,'11'!$C$6:$E$87,3,FALSE))</f>
        <v/>
      </c>
      <c r="J2670" s="1412"/>
      <c r="K2670" s="1787"/>
      <c r="L2670" s="1779"/>
      <c r="M2670" s="1780"/>
      <c r="N2670" s="1779"/>
    </row>
    <row r="2671" spans="1:14" ht="13.5" x14ac:dyDescent="0.2">
      <c r="A2671" s="1789"/>
      <c r="B2671" s="1782"/>
      <c r="C2671" s="1782"/>
      <c r="D2671" s="1782"/>
      <c r="E2671" s="1782"/>
      <c r="F2671" s="1782"/>
      <c r="G2671" s="1779"/>
      <c r="H2671" s="1137"/>
      <c r="I2671" s="1780"/>
      <c r="J2671" s="1779"/>
      <c r="K2671" s="1787"/>
      <c r="L2671" s="1779"/>
      <c r="M2671" s="1780"/>
      <c r="N2671" s="1779"/>
    </row>
    <row r="2672" spans="1:14" ht="13.5" x14ac:dyDescent="0.25">
      <c r="A2672" s="1138"/>
      <c r="B2672" s="1138"/>
      <c r="C2672" s="1138"/>
      <c r="D2672" s="1138"/>
      <c r="E2672" s="1138"/>
      <c r="F2672" s="1138"/>
      <c r="G2672" s="1138"/>
      <c r="H2672" s="1138"/>
      <c r="I2672" s="1138"/>
      <c r="J2672" s="1138"/>
      <c r="K2672" s="1778" t="s">
        <v>523</v>
      </c>
      <c r="L2672" s="1779"/>
      <c r="M2672" s="1780">
        <f>SUM(M2667:N2671)</f>
        <v>1500</v>
      </c>
      <c r="N2672" s="1779"/>
    </row>
    <row r="2673" spans="1:14" ht="13.5" x14ac:dyDescent="0.25">
      <c r="A2673" s="1138"/>
      <c r="B2673" s="1138"/>
      <c r="C2673" s="1138"/>
      <c r="D2673" s="1138"/>
      <c r="E2673" s="1138"/>
      <c r="F2673" s="1138"/>
      <c r="G2673" s="1138"/>
      <c r="H2673" s="1138"/>
      <c r="I2673" s="1138"/>
      <c r="J2673" s="1138"/>
      <c r="K2673" s="1138"/>
      <c r="L2673" s="1138"/>
      <c r="M2673" s="1138"/>
      <c r="N2673" s="1138"/>
    </row>
    <row r="2674" spans="1:14" x14ac:dyDescent="0.2">
      <c r="A2674" s="1781" t="s">
        <v>2147</v>
      </c>
      <c r="B2674" s="1782"/>
      <c r="C2674" s="1782"/>
      <c r="D2674" s="1782"/>
      <c r="E2674" s="1782"/>
      <c r="F2674" s="1782"/>
      <c r="G2674" s="1782"/>
      <c r="H2674" s="1782"/>
      <c r="I2674" s="1782"/>
      <c r="J2674" s="1782"/>
      <c r="K2674" s="1782"/>
      <c r="L2674" s="1782"/>
      <c r="M2674" s="1782"/>
      <c r="N2674" s="1779"/>
    </row>
    <row r="2675" spans="1:14" x14ac:dyDescent="0.2">
      <c r="A2675" s="1778" t="s">
        <v>14</v>
      </c>
      <c r="B2675" s="1782"/>
      <c r="C2675" s="1782"/>
      <c r="D2675" s="1782"/>
      <c r="E2675" s="1782"/>
      <c r="F2675" s="1782"/>
      <c r="G2675" s="1779"/>
      <c r="H2675" s="1136" t="s">
        <v>15</v>
      </c>
      <c r="I2675" s="1783" t="s">
        <v>619</v>
      </c>
      <c r="J2675" s="1779"/>
      <c r="K2675" s="1783" t="s">
        <v>628</v>
      </c>
      <c r="L2675" s="1779"/>
      <c r="M2675" s="1783" t="s">
        <v>2140</v>
      </c>
      <c r="N2675" s="1779"/>
    </row>
    <row r="2676" spans="1:14" ht="13.5" x14ac:dyDescent="0.2">
      <c r="A2676" s="1792" t="s">
        <v>2328</v>
      </c>
      <c r="B2676" s="1782"/>
      <c r="C2676" s="1782"/>
      <c r="D2676" s="1782"/>
      <c r="E2676" s="1782"/>
      <c r="F2676" s="1782"/>
      <c r="G2676" s="1779"/>
      <c r="H2676" s="1032" t="str">
        <f>IF(A2676="","",VLOOKUP(A2676,'11'!$C$6:$E$1012,2,FALSE))</f>
        <v>KM-M3</v>
      </c>
      <c r="I2676" s="1785">
        <f>IF(A2676="","",VLOOKUP(A2676,'11'!$C$6:$E$1012,3,FALSE))</f>
        <v>1440</v>
      </c>
      <c r="J2676" s="1412"/>
      <c r="K2676" s="1787">
        <v>16</v>
      </c>
      <c r="L2676" s="1793"/>
      <c r="M2676" s="1780">
        <f t="shared" ref="M2676" si="119">IF(A2676="","",I2676*K2676)</f>
        <v>23040</v>
      </c>
      <c r="N2676" s="1779"/>
    </row>
    <row r="2677" spans="1:14" ht="13.5" x14ac:dyDescent="0.2">
      <c r="A2677" s="1786"/>
      <c r="B2677" s="1782"/>
      <c r="C2677" s="1782"/>
      <c r="D2677" s="1782"/>
      <c r="E2677" s="1782"/>
      <c r="F2677" s="1782"/>
      <c r="G2677" s="1779"/>
      <c r="H2677" s="1032"/>
      <c r="I2677" s="1780"/>
      <c r="J2677" s="1779"/>
      <c r="K2677" s="1787"/>
      <c r="L2677" s="1779"/>
      <c r="M2677" s="1780"/>
      <c r="N2677" s="1779"/>
    </row>
    <row r="2678" spans="1:14" ht="13.5" x14ac:dyDescent="0.2">
      <c r="A2678" s="1786"/>
      <c r="B2678" s="1782"/>
      <c r="C2678" s="1782"/>
      <c r="D2678" s="1782"/>
      <c r="E2678" s="1782"/>
      <c r="F2678" s="1782"/>
      <c r="G2678" s="1779"/>
      <c r="H2678" s="1032"/>
      <c r="I2678" s="1780"/>
      <c r="J2678" s="1779"/>
      <c r="K2678" s="1788"/>
      <c r="L2678" s="1779"/>
      <c r="M2678" s="1780"/>
      <c r="N2678" s="1779"/>
    </row>
    <row r="2679" spans="1:14" ht="13.5" x14ac:dyDescent="0.2">
      <c r="A2679" s="1789"/>
      <c r="B2679" s="1782"/>
      <c r="C2679" s="1782"/>
      <c r="D2679" s="1782"/>
      <c r="E2679" s="1782"/>
      <c r="F2679" s="1782"/>
      <c r="G2679" s="1779"/>
      <c r="H2679" s="1137"/>
      <c r="I2679" s="1780"/>
      <c r="J2679" s="1779"/>
      <c r="K2679" s="1787"/>
      <c r="L2679" s="1779"/>
      <c r="M2679" s="1780"/>
      <c r="N2679" s="1779"/>
    </row>
    <row r="2680" spans="1:14" ht="13.5" x14ac:dyDescent="0.2">
      <c r="A2680" s="1789"/>
      <c r="B2680" s="1782"/>
      <c r="C2680" s="1782"/>
      <c r="D2680" s="1782"/>
      <c r="E2680" s="1782"/>
      <c r="F2680" s="1782"/>
      <c r="G2680" s="1779"/>
      <c r="H2680" s="1137"/>
      <c r="I2680" s="1780"/>
      <c r="J2680" s="1779"/>
      <c r="K2680" s="1787"/>
      <c r="L2680" s="1779"/>
      <c r="M2680" s="1780"/>
      <c r="N2680" s="1779"/>
    </row>
    <row r="2681" spans="1:14" ht="13.5" x14ac:dyDescent="0.25">
      <c r="A2681" s="1138"/>
      <c r="B2681" s="1138"/>
      <c r="C2681" s="1138"/>
      <c r="D2681" s="1138"/>
      <c r="E2681" s="1138"/>
      <c r="F2681" s="1138"/>
      <c r="G2681" s="1138"/>
      <c r="H2681" s="1138"/>
      <c r="I2681" s="1138"/>
      <c r="J2681" s="1138"/>
      <c r="K2681" s="1778" t="s">
        <v>523</v>
      </c>
      <c r="L2681" s="1779"/>
      <c r="M2681" s="1780">
        <f>SUM(M2676:N2680)</f>
        <v>23040</v>
      </c>
      <c r="N2681" s="1779"/>
    </row>
    <row r="2682" spans="1:14" ht="13.5" x14ac:dyDescent="0.25">
      <c r="A2682" s="1138"/>
      <c r="B2682" s="1138"/>
      <c r="C2682" s="1138"/>
      <c r="D2682" s="1138"/>
      <c r="E2682" s="1138"/>
      <c r="F2682" s="1138"/>
      <c r="G2682" s="1138"/>
      <c r="H2682" s="1138"/>
      <c r="I2682" s="1138"/>
      <c r="J2682" s="1138"/>
      <c r="K2682" s="1138"/>
      <c r="L2682" s="1138"/>
      <c r="M2682" s="1138"/>
      <c r="N2682" s="1138"/>
    </row>
    <row r="2683" spans="1:14" x14ac:dyDescent="0.2">
      <c r="A2683" s="1781" t="s">
        <v>2150</v>
      </c>
      <c r="B2683" s="1782"/>
      <c r="C2683" s="1782"/>
      <c r="D2683" s="1782"/>
      <c r="E2683" s="1782"/>
      <c r="F2683" s="1782"/>
      <c r="G2683" s="1782"/>
      <c r="H2683" s="1782"/>
      <c r="I2683" s="1782"/>
      <c r="J2683" s="1782"/>
      <c r="K2683" s="1782"/>
      <c r="L2683" s="1782"/>
      <c r="M2683" s="1782"/>
      <c r="N2683" s="1779"/>
    </row>
    <row r="2684" spans="1:14" x14ac:dyDescent="0.2">
      <c r="A2684" s="1778" t="s">
        <v>14</v>
      </c>
      <c r="B2684" s="1782"/>
      <c r="C2684" s="1782"/>
      <c r="D2684" s="1782"/>
      <c r="E2684" s="1782"/>
      <c r="F2684" s="1782"/>
      <c r="G2684" s="1779"/>
      <c r="H2684" s="1136" t="s">
        <v>15</v>
      </c>
      <c r="I2684" s="1783" t="s">
        <v>619</v>
      </c>
      <c r="J2684" s="1779"/>
      <c r="K2684" s="1139" t="s">
        <v>1919</v>
      </c>
      <c r="L2684" s="1140" t="s">
        <v>2151</v>
      </c>
      <c r="M2684" s="1783" t="s">
        <v>2140</v>
      </c>
      <c r="N2684" s="1779"/>
    </row>
    <row r="2685" spans="1:14" ht="13.5" x14ac:dyDescent="0.25">
      <c r="A2685" s="1784" t="s">
        <v>2168</v>
      </c>
      <c r="B2685" s="1782"/>
      <c r="C2685" s="1782"/>
      <c r="D2685" s="1782"/>
      <c r="E2685" s="1782"/>
      <c r="F2685" s="1782"/>
      <c r="G2685" s="1779"/>
      <c r="H2685" s="1032" t="str">
        <f>IF(A2685="","",VLOOKUP(A2685,'09'!$A$22:$O$168,4,FALSE))</f>
        <v>Cuadrilla</v>
      </c>
      <c r="I2685" s="1785">
        <f>IF(A2685="","",VLOOKUP(A2685,'09'!$A$22:$O$168,5,FALSE))</f>
        <v>204272</v>
      </c>
      <c r="J2685" s="1412"/>
      <c r="K2685" s="1034">
        <f>IF(A2685="","",'03'!$I$2)</f>
        <v>1.88995</v>
      </c>
      <c r="L2685" s="1142">
        <v>2.7222221537692604</v>
      </c>
      <c r="M2685" s="1780">
        <f>I2685*K2685/(L2685*8)</f>
        <v>17727.422882508221</v>
      </c>
      <c r="N2685" s="1779"/>
    </row>
    <row r="2686" spans="1:14" ht="13.5" x14ac:dyDescent="0.25">
      <c r="A2686" s="1784"/>
      <c r="B2686" s="1782"/>
      <c r="C2686" s="1782"/>
      <c r="D2686" s="1782"/>
      <c r="E2686" s="1782"/>
      <c r="F2686" s="1782"/>
      <c r="G2686" s="1779"/>
      <c r="H2686" s="1137"/>
      <c r="I2686" s="1780"/>
      <c r="J2686" s="1779"/>
      <c r="K2686" s="1141"/>
      <c r="L2686" s="1141"/>
      <c r="M2686" s="1780"/>
      <c r="N2686" s="1779"/>
    </row>
    <row r="2687" spans="1:14" ht="13.5" x14ac:dyDescent="0.25">
      <c r="A2687" s="1784"/>
      <c r="B2687" s="1782"/>
      <c r="C2687" s="1782"/>
      <c r="D2687" s="1782"/>
      <c r="E2687" s="1782"/>
      <c r="F2687" s="1782"/>
      <c r="G2687" s="1779"/>
      <c r="H2687" s="1137"/>
      <c r="I2687" s="1780"/>
      <c r="J2687" s="1779"/>
      <c r="K2687" s="1141"/>
      <c r="L2687" s="1143"/>
      <c r="M2687" s="1780"/>
      <c r="N2687" s="1779"/>
    </row>
    <row r="2688" spans="1:14" ht="13.5" x14ac:dyDescent="0.25">
      <c r="A2688" s="1784"/>
      <c r="B2688" s="1782"/>
      <c r="C2688" s="1782"/>
      <c r="D2688" s="1782"/>
      <c r="E2688" s="1782"/>
      <c r="F2688" s="1782"/>
      <c r="G2688" s="1779"/>
      <c r="H2688" s="1137"/>
      <c r="I2688" s="1780"/>
      <c r="J2688" s="1779"/>
      <c r="K2688" s="1141"/>
      <c r="L2688" s="1143"/>
      <c r="M2688" s="1780"/>
      <c r="N2688" s="1779"/>
    </row>
    <row r="2689" spans="1:14" ht="13.5" x14ac:dyDescent="0.25">
      <c r="A2689" s="1784"/>
      <c r="B2689" s="1782"/>
      <c r="C2689" s="1782"/>
      <c r="D2689" s="1782"/>
      <c r="E2689" s="1782"/>
      <c r="F2689" s="1782"/>
      <c r="G2689" s="1779"/>
      <c r="H2689" s="1137"/>
      <c r="I2689" s="1780"/>
      <c r="J2689" s="1779"/>
      <c r="K2689" s="1141"/>
      <c r="L2689" s="1143"/>
      <c r="M2689" s="1780"/>
      <c r="N2689" s="1779"/>
    </row>
    <row r="2690" spans="1:14" ht="13.5" x14ac:dyDescent="0.25">
      <c r="A2690" s="1138"/>
      <c r="B2690" s="1138"/>
      <c r="C2690" s="1138"/>
      <c r="D2690" s="1138"/>
      <c r="E2690" s="1138"/>
      <c r="F2690" s="1138"/>
      <c r="G2690" s="1138"/>
      <c r="H2690" s="1138"/>
      <c r="I2690" s="1138"/>
      <c r="J2690" s="1138"/>
      <c r="K2690" s="1778" t="s">
        <v>523</v>
      </c>
      <c r="L2690" s="1779"/>
      <c r="M2690" s="1780">
        <f>SUM(M2685:N2689)</f>
        <v>17727.422882508221</v>
      </c>
      <c r="N2690" s="1779"/>
    </row>
    <row r="2691" spans="1:14" x14ac:dyDescent="0.2">
      <c r="I2691" s="1414"/>
      <c r="J2691" s="1415"/>
      <c r="K2691" s="1415"/>
      <c r="L2691" s="1415"/>
      <c r="M2691" s="1415"/>
      <c r="N2691" s="1415"/>
    </row>
    <row r="2692" spans="1:14" ht="13.5" thickBot="1" x14ac:dyDescent="0.25">
      <c r="I2692" s="1416"/>
      <c r="J2692" s="1416"/>
      <c r="K2692" s="1416"/>
      <c r="L2692" s="1416"/>
      <c r="M2692" s="1416"/>
      <c r="N2692" s="1416"/>
    </row>
    <row r="2693" spans="1:14" ht="14.25" thickTop="1" x14ac:dyDescent="0.2">
      <c r="I2693" s="1417" t="s">
        <v>1829</v>
      </c>
      <c r="J2693" s="1418"/>
      <c r="K2693" s="1417" t="s">
        <v>2653</v>
      </c>
      <c r="L2693" s="1418"/>
      <c r="M2693" s="1418"/>
      <c r="N2693" s="1418"/>
    </row>
    <row r="2694" spans="1:14" ht="13.5" x14ac:dyDescent="0.2">
      <c r="I2694" s="1419" t="s">
        <v>1831</v>
      </c>
      <c r="J2694" s="1420"/>
      <c r="K2694" s="1419"/>
      <c r="L2694" s="1420"/>
      <c r="M2694" s="1420"/>
      <c r="N2694" s="1420"/>
    </row>
    <row r="2695" spans="1:14" x14ac:dyDescent="0.2">
      <c r="A2695" s="1796" t="s">
        <v>2513</v>
      </c>
      <c r="B2695" s="1797"/>
      <c r="C2695" s="1797"/>
      <c r="D2695" s="1797"/>
      <c r="E2695" s="1797"/>
      <c r="F2695" s="1797"/>
      <c r="G2695" s="1797"/>
      <c r="H2695" s="1797"/>
      <c r="I2695" s="1797"/>
      <c r="J2695" s="1797"/>
      <c r="K2695" s="1797"/>
      <c r="L2695" s="1797"/>
      <c r="M2695" s="1797"/>
      <c r="N2695" s="1798"/>
    </row>
    <row r="2696" spans="1:14" x14ac:dyDescent="0.2">
      <c r="A2696" s="1799"/>
      <c r="B2696" s="1800"/>
      <c r="C2696" s="1800"/>
      <c r="D2696" s="1800"/>
      <c r="E2696" s="1800"/>
      <c r="F2696" s="1800"/>
      <c r="G2696" s="1800"/>
      <c r="H2696" s="1800"/>
      <c r="I2696" s="1800"/>
      <c r="J2696" s="1800"/>
      <c r="K2696" s="1800"/>
      <c r="L2696" s="1800"/>
      <c r="M2696" s="1800"/>
      <c r="N2696" s="1801"/>
    </row>
    <row r="2697" spans="1:14" ht="13.5" x14ac:dyDescent="0.2">
      <c r="A2697" s="1128"/>
      <c r="B2697" s="1128"/>
      <c r="C2697" s="1128"/>
      <c r="D2697" s="1128"/>
      <c r="E2697" s="1128"/>
      <c r="F2697" s="1128"/>
      <c r="G2697" s="1128"/>
      <c r="H2697" s="1128"/>
      <c r="I2697" s="1128"/>
      <c r="J2697" s="1128"/>
      <c r="K2697" s="1128"/>
      <c r="L2697" s="1128"/>
      <c r="M2697" s="1128"/>
      <c r="N2697" s="1128"/>
    </row>
    <row r="2698" spans="1:14" ht="14.25" x14ac:dyDescent="0.3">
      <c r="A2698" s="1104" t="s">
        <v>2512</v>
      </c>
      <c r="B2698" s="1129" t="str">
        <f>A2695</f>
        <v xml:space="preserve">SUMINISTRO E INSTALACIÓN CODO PVC DE 90 GRADOS PRESIÓN DE 4". INCLUYE UNIÓN DE REPARACIÓN. </v>
      </c>
      <c r="C2698" s="1130" t="s">
        <v>634</v>
      </c>
      <c r="D2698" s="1107" t="s">
        <v>2</v>
      </c>
      <c r="E2698" s="1132" t="s">
        <v>1833</v>
      </c>
      <c r="F2698" s="1133">
        <f>H2698+J2698+L2698+N2698</f>
        <v>650294.33873000008</v>
      </c>
      <c r="G2698" s="1132" t="s">
        <v>2136</v>
      </c>
      <c r="H2698" s="1133">
        <f>M2726</f>
        <v>1875</v>
      </c>
      <c r="I2698" s="1132" t="s">
        <v>621</v>
      </c>
      <c r="J2698" s="1134">
        <f>M2712</f>
        <v>604297.70000000007</v>
      </c>
      <c r="K2698" s="1132" t="s">
        <v>2137</v>
      </c>
      <c r="L2698" s="1133">
        <f>M2735</f>
        <v>0</v>
      </c>
      <c r="M2698" s="1132" t="s">
        <v>2138</v>
      </c>
      <c r="N2698" s="1133">
        <f>M2744</f>
        <v>44121.638729999999</v>
      </c>
    </row>
    <row r="2699" spans="1:14" ht="13.5" x14ac:dyDescent="0.25">
      <c r="A2699" s="1135"/>
      <c r="B2699" s="1135"/>
      <c r="C2699" s="1135"/>
      <c r="D2699" s="1135"/>
      <c r="E2699" s="1135"/>
      <c r="F2699" s="1135"/>
      <c r="G2699" s="1135"/>
      <c r="J2699" s="1135"/>
      <c r="K2699" s="1135"/>
      <c r="L2699" s="1135"/>
      <c r="M2699" s="1270" t="s">
        <v>2667</v>
      </c>
      <c r="N2699" s="1270">
        <f>+F2698*'01'!$O$15</f>
        <v>841678.50363425701</v>
      </c>
    </row>
    <row r="2700" spans="1:14" x14ac:dyDescent="0.2">
      <c r="A2700" s="1781" t="s">
        <v>2139</v>
      </c>
      <c r="B2700" s="1782"/>
      <c r="C2700" s="1782"/>
      <c r="D2700" s="1782"/>
      <c r="E2700" s="1782"/>
      <c r="F2700" s="1782"/>
      <c r="G2700" s="1782"/>
      <c r="H2700" s="1782"/>
      <c r="I2700" s="1782"/>
      <c r="J2700" s="1782"/>
      <c r="K2700" s="1782"/>
      <c r="L2700" s="1782"/>
      <c r="M2700" s="1782"/>
      <c r="N2700" s="1779"/>
    </row>
    <row r="2701" spans="1:14" x14ac:dyDescent="0.2">
      <c r="A2701" s="1778" t="s">
        <v>14</v>
      </c>
      <c r="B2701" s="1782"/>
      <c r="C2701" s="1782"/>
      <c r="D2701" s="1782"/>
      <c r="E2701" s="1782"/>
      <c r="F2701" s="1782"/>
      <c r="G2701" s="1779"/>
      <c r="H2701" s="1136" t="s">
        <v>15</v>
      </c>
      <c r="I2701" s="1783" t="s">
        <v>619</v>
      </c>
      <c r="J2701" s="1779"/>
      <c r="K2701" s="1783" t="s">
        <v>628</v>
      </c>
      <c r="L2701" s="1779"/>
      <c r="M2701" s="1783" t="s">
        <v>2140</v>
      </c>
      <c r="N2701" s="1779"/>
    </row>
    <row r="2702" spans="1:14" ht="13.5" customHeight="1" x14ac:dyDescent="0.2">
      <c r="A2702" s="1792" t="s">
        <v>1459</v>
      </c>
      <c r="B2702" s="1782"/>
      <c r="C2702" s="1782"/>
      <c r="D2702" s="1782"/>
      <c r="E2702" s="1782"/>
      <c r="F2702" s="1782"/>
      <c r="G2702" s="1779"/>
      <c r="H2702" s="1032" t="str">
        <f>IF(A2702="","",VLOOKUP(A2702,'10'!$C$6:$E$1152,2,FALSE))</f>
        <v>UND</v>
      </c>
      <c r="I2702" s="1785">
        <f>IF(A2702="","",VLOOKUP(A2702,'10'!$C$6:$E$1152,3,FALSE))</f>
        <v>229973.09999999998</v>
      </c>
      <c r="J2702" s="1412"/>
      <c r="K2702" s="1794">
        <v>1</v>
      </c>
      <c r="L2702" s="1795"/>
      <c r="M2702" s="1780">
        <f>K2702*I2702</f>
        <v>229973.09999999998</v>
      </c>
      <c r="N2702" s="1779"/>
    </row>
    <row r="2703" spans="1:14" ht="13.5" customHeight="1" x14ac:dyDescent="0.2">
      <c r="A2703" s="1792" t="s">
        <v>1462</v>
      </c>
      <c r="B2703" s="1782"/>
      <c r="C2703" s="1782"/>
      <c r="D2703" s="1782"/>
      <c r="E2703" s="1782"/>
      <c r="F2703" s="1782"/>
      <c r="G2703" s="1779"/>
      <c r="H2703" s="1032" t="str">
        <f>IF(A2703="","",VLOOKUP(A2703,'10'!$C$6:$E$1152,2,FALSE))</f>
        <v>UND</v>
      </c>
      <c r="I2703" s="1785">
        <f>IF(A2703="","",VLOOKUP(A2703,'10'!$C$6:$E$1152,3,FALSE))</f>
        <v>182317.5</v>
      </c>
      <c r="J2703" s="1412"/>
      <c r="K2703" s="1794">
        <v>2</v>
      </c>
      <c r="L2703" s="1795"/>
      <c r="M2703" s="1780">
        <f t="shared" ref="M2703:M2705" si="120">K2703*I2703</f>
        <v>364635</v>
      </c>
      <c r="N2703" s="1779"/>
    </row>
    <row r="2704" spans="1:14" ht="13.5" x14ac:dyDescent="0.2">
      <c r="A2704" s="1792" t="s">
        <v>1451</v>
      </c>
      <c r="B2704" s="1782"/>
      <c r="C2704" s="1782"/>
      <c r="D2704" s="1782"/>
      <c r="E2704" s="1782"/>
      <c r="F2704" s="1782"/>
      <c r="G2704" s="1779"/>
      <c r="H2704" s="1032" t="str">
        <f>IF(A2704="","",VLOOKUP(A2704,'10'!$C$6:$E$1152,2,FALSE))</f>
        <v>UND</v>
      </c>
      <c r="I2704" s="1785">
        <f>IF(A2704="","",VLOOKUP(A2704,'10'!$C$6:$E$1152,3,FALSE))</f>
        <v>30983</v>
      </c>
      <c r="J2704" s="1412"/>
      <c r="K2704" s="1794">
        <v>0.1</v>
      </c>
      <c r="L2704" s="1795"/>
      <c r="M2704" s="1780">
        <f t="shared" si="120"/>
        <v>3098.3</v>
      </c>
      <c r="N2704" s="1779"/>
    </row>
    <row r="2705" spans="1:14" ht="13.5" x14ac:dyDescent="0.2">
      <c r="A2705" s="1792" t="s">
        <v>1735</v>
      </c>
      <c r="B2705" s="1782"/>
      <c r="C2705" s="1782"/>
      <c r="D2705" s="1782"/>
      <c r="E2705" s="1782"/>
      <c r="F2705" s="1782"/>
      <c r="G2705" s="1779"/>
      <c r="H2705" s="1032" t="str">
        <f>IF(A2705="","",VLOOKUP(A2705,'10'!$C$6:$E$1152,2,FALSE))</f>
        <v>UND</v>
      </c>
      <c r="I2705" s="1785">
        <f>IF(A2705="","",VLOOKUP(A2705,'10'!$C$6:$E$1152,3,FALSE))</f>
        <v>65913</v>
      </c>
      <c r="J2705" s="1412"/>
      <c r="K2705" s="1794">
        <v>0.1</v>
      </c>
      <c r="L2705" s="1795"/>
      <c r="M2705" s="1780">
        <f t="shared" si="120"/>
        <v>6591.3</v>
      </c>
      <c r="N2705" s="1779"/>
    </row>
    <row r="2706" spans="1:14" ht="13.5" x14ac:dyDescent="0.2">
      <c r="A2706" s="1792"/>
      <c r="B2706" s="1782"/>
      <c r="C2706" s="1782"/>
      <c r="D2706" s="1782"/>
      <c r="E2706" s="1782"/>
      <c r="F2706" s="1782"/>
      <c r="G2706" s="1779"/>
      <c r="H2706" s="1032"/>
      <c r="I2706" s="1785"/>
      <c r="J2706" s="1412"/>
      <c r="K2706" s="1794"/>
      <c r="L2706" s="1795"/>
      <c r="M2706" s="1780"/>
      <c r="N2706" s="1779"/>
    </row>
    <row r="2707" spans="1:14" ht="13.5" x14ac:dyDescent="0.2">
      <c r="A2707" s="1792"/>
      <c r="B2707" s="1782"/>
      <c r="C2707" s="1782"/>
      <c r="D2707" s="1782"/>
      <c r="E2707" s="1782"/>
      <c r="F2707" s="1782"/>
      <c r="G2707" s="1779"/>
      <c r="H2707" s="1032"/>
      <c r="I2707" s="1785"/>
      <c r="J2707" s="1412"/>
      <c r="K2707" s="1794"/>
      <c r="L2707" s="1795"/>
      <c r="M2707" s="1780"/>
      <c r="N2707" s="1779"/>
    </row>
    <row r="2708" spans="1:14" ht="13.5" x14ac:dyDescent="0.2">
      <c r="A2708" s="1792"/>
      <c r="B2708" s="1782"/>
      <c r="C2708" s="1782"/>
      <c r="D2708" s="1782"/>
      <c r="E2708" s="1782"/>
      <c r="F2708" s="1782"/>
      <c r="G2708" s="1779"/>
      <c r="H2708" s="1032"/>
      <c r="I2708" s="1785"/>
      <c r="J2708" s="1412"/>
      <c r="K2708" s="1794"/>
      <c r="L2708" s="1795"/>
      <c r="M2708" s="1780"/>
      <c r="N2708" s="1779"/>
    </row>
    <row r="2709" spans="1:14" ht="13.5" x14ac:dyDescent="0.2">
      <c r="A2709" s="1792"/>
      <c r="B2709" s="1782"/>
      <c r="C2709" s="1782"/>
      <c r="D2709" s="1782"/>
      <c r="E2709" s="1782"/>
      <c r="F2709" s="1782"/>
      <c r="G2709" s="1779"/>
      <c r="H2709" s="1032"/>
      <c r="I2709" s="1785"/>
      <c r="J2709" s="1412"/>
      <c r="K2709" s="1794"/>
      <c r="L2709" s="1795"/>
      <c r="M2709" s="1780"/>
      <c r="N2709" s="1779"/>
    </row>
    <row r="2710" spans="1:14" ht="13.5" x14ac:dyDescent="0.2">
      <c r="A2710" s="1792"/>
      <c r="B2710" s="1782"/>
      <c r="C2710" s="1782"/>
      <c r="D2710" s="1782"/>
      <c r="E2710" s="1782"/>
      <c r="F2710" s="1782"/>
      <c r="G2710" s="1779"/>
      <c r="H2710" s="1032"/>
      <c r="I2710" s="1785"/>
      <c r="J2710" s="1412"/>
      <c r="K2710" s="1794"/>
      <c r="L2710" s="1795"/>
      <c r="M2710" s="1780"/>
      <c r="N2710" s="1779"/>
    </row>
    <row r="2711" spans="1:14" ht="13.5" x14ac:dyDescent="0.2">
      <c r="A2711" s="1792"/>
      <c r="B2711" s="1782"/>
      <c r="C2711" s="1782"/>
      <c r="D2711" s="1782"/>
      <c r="E2711" s="1782"/>
      <c r="F2711" s="1782"/>
      <c r="G2711" s="1779"/>
      <c r="H2711" s="1032"/>
      <c r="I2711" s="1785"/>
      <c r="J2711" s="1412"/>
      <c r="K2711" s="1794"/>
      <c r="L2711" s="1795"/>
      <c r="M2711" s="1780"/>
      <c r="N2711" s="1779"/>
    </row>
    <row r="2712" spans="1:14" ht="13.5" x14ac:dyDescent="0.25">
      <c r="A2712" s="1138"/>
      <c r="B2712" s="1138"/>
      <c r="C2712" s="1138"/>
      <c r="D2712" s="1138"/>
      <c r="E2712" s="1138"/>
      <c r="F2712" s="1138"/>
      <c r="G2712" s="1138"/>
      <c r="H2712" s="1138"/>
      <c r="I2712" s="1138"/>
      <c r="J2712" s="1138"/>
      <c r="K2712" s="1778" t="s">
        <v>523</v>
      </c>
      <c r="L2712" s="1779"/>
      <c r="M2712" s="1780">
        <f>SUM(M2702:N2706)</f>
        <v>604297.70000000007</v>
      </c>
      <c r="N2712" s="1779"/>
    </row>
    <row r="2713" spans="1:14" ht="13.5" x14ac:dyDescent="0.25">
      <c r="A2713" s="1138"/>
      <c r="B2713" s="1138"/>
      <c r="C2713" s="1138"/>
      <c r="D2713" s="1138"/>
      <c r="E2713" s="1138"/>
      <c r="F2713" s="1138"/>
      <c r="G2713" s="1138"/>
      <c r="H2713" s="1138"/>
      <c r="I2713" s="1138"/>
      <c r="J2713" s="1138"/>
      <c r="K2713" s="1138"/>
      <c r="L2713" s="1138"/>
      <c r="M2713" s="1138"/>
      <c r="N2713" s="1138"/>
    </row>
    <row r="2714" spans="1:14" x14ac:dyDescent="0.2">
      <c r="A2714" s="1781" t="s">
        <v>2145</v>
      </c>
      <c r="B2714" s="1782"/>
      <c r="C2714" s="1782"/>
      <c r="D2714" s="1782"/>
      <c r="E2714" s="1782"/>
      <c r="F2714" s="1782"/>
      <c r="G2714" s="1782"/>
      <c r="H2714" s="1782"/>
      <c r="I2714" s="1782"/>
      <c r="J2714" s="1782"/>
      <c r="K2714" s="1782"/>
      <c r="L2714" s="1782"/>
      <c r="M2714" s="1782"/>
      <c r="N2714" s="1779"/>
    </row>
    <row r="2715" spans="1:14" x14ac:dyDescent="0.2">
      <c r="A2715" s="1778" t="s">
        <v>14</v>
      </c>
      <c r="B2715" s="1782"/>
      <c r="C2715" s="1782"/>
      <c r="D2715" s="1782"/>
      <c r="E2715" s="1782"/>
      <c r="F2715" s="1782"/>
      <c r="G2715" s="1779"/>
      <c r="H2715" s="1136" t="s">
        <v>15</v>
      </c>
      <c r="I2715" s="1783" t="s">
        <v>619</v>
      </c>
      <c r="J2715" s="1779"/>
      <c r="K2715" s="1783" t="s">
        <v>610</v>
      </c>
      <c r="L2715" s="1779"/>
      <c r="M2715" s="1783" t="s">
        <v>2140</v>
      </c>
      <c r="N2715" s="1779"/>
    </row>
    <row r="2716" spans="1:14" ht="13.5" x14ac:dyDescent="0.2">
      <c r="A2716" s="1789" t="s">
        <v>131</v>
      </c>
      <c r="B2716" s="1790"/>
      <c r="C2716" s="1790"/>
      <c r="D2716" s="1790"/>
      <c r="E2716" s="1790"/>
      <c r="F2716" s="1790"/>
      <c r="G2716" s="1791"/>
      <c r="H2716" s="1032" t="str">
        <f>IF(A2716="","",VLOOKUP(A2716,'11'!$C$6:$E$87,2,FALSE))</f>
        <v>DIA</v>
      </c>
      <c r="I2716" s="1785">
        <f>IF(A2716="","",VLOOKUP(A2716,'11'!$C$6:$E$87,3,FALSE))</f>
        <v>15000</v>
      </c>
      <c r="J2716" s="1412"/>
      <c r="K2716" s="1787">
        <v>8</v>
      </c>
      <c r="L2716" s="1793"/>
      <c r="M2716" s="1780">
        <f>I2716/K2716</f>
        <v>1875</v>
      </c>
      <c r="N2716" s="1779"/>
    </row>
    <row r="2717" spans="1:14" ht="13.5" x14ac:dyDescent="0.2">
      <c r="A2717" s="1789"/>
      <c r="B2717" s="1790"/>
      <c r="C2717" s="1790"/>
      <c r="D2717" s="1790"/>
      <c r="E2717" s="1790"/>
      <c r="F2717" s="1790"/>
      <c r="G2717" s="1791"/>
      <c r="H2717" s="1032"/>
      <c r="I2717" s="1785"/>
      <c r="J2717" s="1412"/>
      <c r="K2717" s="1787"/>
      <c r="L2717" s="1793"/>
      <c r="M2717" s="1780"/>
      <c r="N2717" s="1779"/>
    </row>
    <row r="2718" spans="1:14" ht="13.5" x14ac:dyDescent="0.2">
      <c r="A2718" s="1789"/>
      <c r="B2718" s="1790"/>
      <c r="C2718" s="1790"/>
      <c r="D2718" s="1790"/>
      <c r="E2718" s="1790"/>
      <c r="F2718" s="1790"/>
      <c r="G2718" s="1791"/>
      <c r="H2718" s="1032"/>
      <c r="I2718" s="1785"/>
      <c r="J2718" s="1412"/>
      <c r="K2718" s="1787"/>
      <c r="L2718" s="1793"/>
      <c r="M2718" s="1780"/>
      <c r="N2718" s="1779"/>
    </row>
    <row r="2719" spans="1:14" ht="13.5" x14ac:dyDescent="0.2">
      <c r="A2719" s="1789"/>
      <c r="B2719" s="1790"/>
      <c r="C2719" s="1790"/>
      <c r="D2719" s="1790"/>
      <c r="E2719" s="1790"/>
      <c r="F2719" s="1790"/>
      <c r="G2719" s="1791"/>
      <c r="H2719" s="1032"/>
      <c r="I2719" s="1785"/>
      <c r="J2719" s="1412"/>
      <c r="K2719" s="1787"/>
      <c r="L2719" s="1793"/>
      <c r="M2719" s="1780"/>
      <c r="N2719" s="1779"/>
    </row>
    <row r="2720" spans="1:14" ht="13.5" x14ac:dyDescent="0.2">
      <c r="A2720" s="1789"/>
      <c r="B2720" s="1790"/>
      <c r="C2720" s="1790"/>
      <c r="D2720" s="1790"/>
      <c r="E2720" s="1790"/>
      <c r="F2720" s="1790"/>
      <c r="G2720" s="1791"/>
      <c r="H2720" s="1032"/>
      <c r="I2720" s="1785"/>
      <c r="J2720" s="1412"/>
      <c r="K2720" s="1787"/>
      <c r="L2720" s="1793"/>
      <c r="M2720" s="1780"/>
      <c r="N2720" s="1779"/>
    </row>
    <row r="2721" spans="1:14" ht="13.5" x14ac:dyDescent="0.2">
      <c r="A2721" s="1789"/>
      <c r="B2721" s="1790"/>
      <c r="C2721" s="1790"/>
      <c r="D2721" s="1790"/>
      <c r="E2721" s="1790"/>
      <c r="F2721" s="1790"/>
      <c r="G2721" s="1791"/>
      <c r="H2721" s="1032"/>
      <c r="I2721" s="1785"/>
      <c r="J2721" s="1412"/>
      <c r="K2721" s="1787"/>
      <c r="L2721" s="1793"/>
      <c r="M2721" s="1780"/>
      <c r="N2721" s="1779"/>
    </row>
    <row r="2722" spans="1:14" ht="13.5" x14ac:dyDescent="0.2">
      <c r="A2722" s="1789"/>
      <c r="B2722" s="1790"/>
      <c r="C2722" s="1790"/>
      <c r="D2722" s="1790"/>
      <c r="E2722" s="1790"/>
      <c r="F2722" s="1790"/>
      <c r="G2722" s="1791"/>
      <c r="H2722" s="1032"/>
      <c r="I2722" s="1785"/>
      <c r="J2722" s="1412"/>
      <c r="K2722" s="1787"/>
      <c r="L2722" s="1793"/>
      <c r="M2722" s="1780"/>
      <c r="N2722" s="1779"/>
    </row>
    <row r="2723" spans="1:14" ht="13.5" x14ac:dyDescent="0.2">
      <c r="A2723" s="1789"/>
      <c r="B2723" s="1790"/>
      <c r="C2723" s="1790"/>
      <c r="D2723" s="1790"/>
      <c r="E2723" s="1790"/>
      <c r="F2723" s="1790"/>
      <c r="G2723" s="1791"/>
      <c r="H2723" s="1032"/>
      <c r="I2723" s="1785"/>
      <c r="J2723" s="1412"/>
      <c r="K2723" s="1787"/>
      <c r="L2723" s="1779"/>
      <c r="M2723" s="1780"/>
      <c r="N2723" s="1779"/>
    </row>
    <row r="2724" spans="1:14" ht="13.5" x14ac:dyDescent="0.2">
      <c r="A2724" s="1789"/>
      <c r="B2724" s="1790"/>
      <c r="C2724" s="1790"/>
      <c r="D2724" s="1790"/>
      <c r="E2724" s="1790"/>
      <c r="F2724" s="1790"/>
      <c r="G2724" s="1791"/>
      <c r="H2724" s="1032"/>
      <c r="I2724" s="1785"/>
      <c r="J2724" s="1412"/>
      <c r="K2724" s="1787"/>
      <c r="L2724" s="1779"/>
      <c r="M2724" s="1780"/>
      <c r="N2724" s="1779"/>
    </row>
    <row r="2725" spans="1:14" ht="13.5" x14ac:dyDescent="0.2">
      <c r="A2725" s="1789"/>
      <c r="B2725" s="1782"/>
      <c r="C2725" s="1782"/>
      <c r="D2725" s="1782"/>
      <c r="E2725" s="1782"/>
      <c r="F2725" s="1782"/>
      <c r="G2725" s="1779"/>
      <c r="H2725" s="1137"/>
      <c r="I2725" s="1780"/>
      <c r="J2725" s="1779"/>
      <c r="K2725" s="1787"/>
      <c r="L2725" s="1779"/>
      <c r="M2725" s="1780"/>
      <c r="N2725" s="1779"/>
    </row>
    <row r="2726" spans="1:14" ht="13.5" x14ac:dyDescent="0.25">
      <c r="A2726" s="1138"/>
      <c r="B2726" s="1138"/>
      <c r="C2726" s="1138"/>
      <c r="D2726" s="1138"/>
      <c r="E2726" s="1138"/>
      <c r="F2726" s="1138"/>
      <c r="G2726" s="1138"/>
      <c r="H2726" s="1138"/>
      <c r="I2726" s="1138"/>
      <c r="J2726" s="1138"/>
      <c r="K2726" s="1778" t="s">
        <v>523</v>
      </c>
      <c r="L2726" s="1779"/>
      <c r="M2726" s="1780">
        <f>SUM(M2716:N2725)</f>
        <v>1875</v>
      </c>
      <c r="N2726" s="1779"/>
    </row>
    <row r="2727" spans="1:14" ht="13.5" x14ac:dyDescent="0.25">
      <c r="A2727" s="1138"/>
      <c r="B2727" s="1138"/>
      <c r="C2727" s="1138"/>
      <c r="D2727" s="1138"/>
      <c r="E2727" s="1138"/>
      <c r="F2727" s="1138"/>
      <c r="G2727" s="1138"/>
      <c r="H2727" s="1138"/>
      <c r="I2727" s="1138"/>
      <c r="J2727" s="1138"/>
      <c r="K2727" s="1138"/>
      <c r="L2727" s="1138"/>
      <c r="M2727" s="1138"/>
      <c r="N2727" s="1138"/>
    </row>
    <row r="2728" spans="1:14" x14ac:dyDescent="0.2">
      <c r="A2728" s="1781" t="s">
        <v>2147</v>
      </c>
      <c r="B2728" s="1782"/>
      <c r="C2728" s="1782"/>
      <c r="D2728" s="1782"/>
      <c r="E2728" s="1782"/>
      <c r="F2728" s="1782"/>
      <c r="G2728" s="1782"/>
      <c r="H2728" s="1782"/>
      <c r="I2728" s="1782"/>
      <c r="J2728" s="1782"/>
      <c r="K2728" s="1782"/>
      <c r="L2728" s="1782"/>
      <c r="M2728" s="1782"/>
      <c r="N2728" s="1779"/>
    </row>
    <row r="2729" spans="1:14" x14ac:dyDescent="0.2">
      <c r="A2729" s="1778" t="s">
        <v>14</v>
      </c>
      <c r="B2729" s="1782"/>
      <c r="C2729" s="1782"/>
      <c r="D2729" s="1782"/>
      <c r="E2729" s="1782"/>
      <c r="F2729" s="1782"/>
      <c r="G2729" s="1779"/>
      <c r="H2729" s="1136" t="s">
        <v>15</v>
      </c>
      <c r="I2729" s="1783" t="s">
        <v>619</v>
      </c>
      <c r="J2729" s="1779"/>
      <c r="K2729" s="1783" t="s">
        <v>628</v>
      </c>
      <c r="L2729" s="1779"/>
      <c r="M2729" s="1783" t="s">
        <v>2140</v>
      </c>
      <c r="N2729" s="1779"/>
    </row>
    <row r="2730" spans="1:14" ht="13.5" x14ac:dyDescent="0.2">
      <c r="A2730" s="1792" t="s">
        <v>2328</v>
      </c>
      <c r="B2730" s="1782"/>
      <c r="C2730" s="1782"/>
      <c r="D2730" s="1782"/>
      <c r="E2730" s="1782"/>
      <c r="F2730" s="1782"/>
      <c r="G2730" s="1779"/>
      <c r="H2730" s="1032" t="str">
        <f>IF(A2730="","",VLOOKUP(A2730,'11'!$C$6:$E$1012,2,FALSE))</f>
        <v>KM-M3</v>
      </c>
      <c r="I2730" s="1785">
        <f>IF(A2730="","",VLOOKUP(A2730,'11'!$C$6:$E$1012,3,FALSE))</f>
        <v>1440</v>
      </c>
      <c r="J2730" s="1412"/>
      <c r="K2730" s="1787">
        <v>0</v>
      </c>
      <c r="L2730" s="1793"/>
      <c r="M2730" s="1780">
        <f t="shared" ref="M2730" si="121">IF(A2730="","",I2730*K2730)</f>
        <v>0</v>
      </c>
      <c r="N2730" s="1779"/>
    </row>
    <row r="2731" spans="1:14" ht="13.5" x14ac:dyDescent="0.2">
      <c r="A2731" s="1786"/>
      <c r="B2731" s="1782"/>
      <c r="C2731" s="1782"/>
      <c r="D2731" s="1782"/>
      <c r="E2731" s="1782"/>
      <c r="F2731" s="1782"/>
      <c r="G2731" s="1779"/>
      <c r="H2731" s="1032"/>
      <c r="I2731" s="1780"/>
      <c r="J2731" s="1779"/>
      <c r="K2731" s="1787"/>
      <c r="L2731" s="1779"/>
      <c r="M2731" s="1780"/>
      <c r="N2731" s="1779"/>
    </row>
    <row r="2732" spans="1:14" ht="13.5" x14ac:dyDescent="0.2">
      <c r="A2732" s="1786"/>
      <c r="B2732" s="1782"/>
      <c r="C2732" s="1782"/>
      <c r="D2732" s="1782"/>
      <c r="E2732" s="1782"/>
      <c r="F2732" s="1782"/>
      <c r="G2732" s="1779"/>
      <c r="H2732" s="1032"/>
      <c r="I2732" s="1780"/>
      <c r="J2732" s="1779"/>
      <c r="K2732" s="1788"/>
      <c r="L2732" s="1779"/>
      <c r="M2732" s="1780"/>
      <c r="N2732" s="1779"/>
    </row>
    <row r="2733" spans="1:14" ht="13.5" x14ac:dyDescent="0.2">
      <c r="A2733" s="1789"/>
      <c r="B2733" s="1782"/>
      <c r="C2733" s="1782"/>
      <c r="D2733" s="1782"/>
      <c r="E2733" s="1782"/>
      <c r="F2733" s="1782"/>
      <c r="G2733" s="1779"/>
      <c r="H2733" s="1137"/>
      <c r="I2733" s="1780"/>
      <c r="J2733" s="1779"/>
      <c r="K2733" s="1787"/>
      <c r="L2733" s="1779"/>
      <c r="M2733" s="1780"/>
      <c r="N2733" s="1779"/>
    </row>
    <row r="2734" spans="1:14" ht="13.5" x14ac:dyDescent="0.2">
      <c r="A2734" s="1789"/>
      <c r="B2734" s="1782"/>
      <c r="C2734" s="1782"/>
      <c r="D2734" s="1782"/>
      <c r="E2734" s="1782"/>
      <c r="F2734" s="1782"/>
      <c r="G2734" s="1779"/>
      <c r="H2734" s="1137"/>
      <c r="I2734" s="1780"/>
      <c r="J2734" s="1779"/>
      <c r="K2734" s="1787"/>
      <c r="L2734" s="1779"/>
      <c r="M2734" s="1780"/>
      <c r="N2734" s="1779"/>
    </row>
    <row r="2735" spans="1:14" ht="13.5" x14ac:dyDescent="0.25">
      <c r="A2735" s="1138"/>
      <c r="B2735" s="1138"/>
      <c r="C2735" s="1138"/>
      <c r="D2735" s="1138"/>
      <c r="E2735" s="1138"/>
      <c r="F2735" s="1138"/>
      <c r="G2735" s="1138"/>
      <c r="H2735" s="1138"/>
      <c r="I2735" s="1138"/>
      <c r="J2735" s="1138"/>
      <c r="K2735" s="1778" t="s">
        <v>523</v>
      </c>
      <c r="L2735" s="1779"/>
      <c r="M2735" s="1780">
        <f>SUM(M2730:N2734)</f>
        <v>0</v>
      </c>
      <c r="N2735" s="1779"/>
    </row>
    <row r="2736" spans="1:14" ht="13.5" x14ac:dyDescent="0.25">
      <c r="A2736" s="1138"/>
      <c r="B2736" s="1138"/>
      <c r="C2736" s="1138"/>
      <c r="D2736" s="1138"/>
      <c r="E2736" s="1138"/>
      <c r="F2736" s="1138"/>
      <c r="G2736" s="1138"/>
      <c r="H2736" s="1138"/>
      <c r="I2736" s="1138"/>
      <c r="J2736" s="1138"/>
      <c r="K2736" s="1138"/>
      <c r="L2736" s="1138"/>
      <c r="M2736" s="1138"/>
      <c r="N2736" s="1138"/>
    </row>
    <row r="2737" spans="1:14" x14ac:dyDescent="0.2">
      <c r="A2737" s="1781" t="s">
        <v>2150</v>
      </c>
      <c r="B2737" s="1782"/>
      <c r="C2737" s="1782"/>
      <c r="D2737" s="1782"/>
      <c r="E2737" s="1782"/>
      <c r="F2737" s="1782"/>
      <c r="G2737" s="1782"/>
      <c r="H2737" s="1782"/>
      <c r="I2737" s="1782"/>
      <c r="J2737" s="1782"/>
      <c r="K2737" s="1782"/>
      <c r="L2737" s="1782"/>
      <c r="M2737" s="1782"/>
      <c r="N2737" s="1779"/>
    </row>
    <row r="2738" spans="1:14" x14ac:dyDescent="0.2">
      <c r="A2738" s="1778" t="s">
        <v>14</v>
      </c>
      <c r="B2738" s="1782"/>
      <c r="C2738" s="1782"/>
      <c r="D2738" s="1782"/>
      <c r="E2738" s="1782"/>
      <c r="F2738" s="1782"/>
      <c r="G2738" s="1779"/>
      <c r="H2738" s="1136" t="s">
        <v>15</v>
      </c>
      <c r="I2738" s="1783" t="s">
        <v>619</v>
      </c>
      <c r="J2738" s="1779"/>
      <c r="K2738" s="1139" t="s">
        <v>1919</v>
      </c>
      <c r="L2738" s="1140" t="s">
        <v>2151</v>
      </c>
      <c r="M2738" s="1783" t="s">
        <v>2140</v>
      </c>
      <c r="N2738" s="1779"/>
    </row>
    <row r="2739" spans="1:14" ht="13.5" x14ac:dyDescent="0.25">
      <c r="A2739" s="1784" t="s">
        <v>2266</v>
      </c>
      <c r="B2739" s="1782"/>
      <c r="C2739" s="1782"/>
      <c r="D2739" s="1782"/>
      <c r="E2739" s="1782"/>
      <c r="F2739" s="1782"/>
      <c r="G2739" s="1779"/>
      <c r="H2739" s="1032" t="str">
        <f>IF(A2739="","",VLOOKUP(A2739,'09'!$A$22:$O$168,4,FALSE))</f>
        <v>Cuadrilla</v>
      </c>
      <c r="I2739" s="1785">
        <f>IF(A2739="","",VLOOKUP(A2739,'09'!$A$22:$O$168,5,FALSE))</f>
        <v>233454</v>
      </c>
      <c r="J2739" s="1412"/>
      <c r="K2739" s="1034">
        <f>IF(A2739="","",'03'!$I$2)</f>
        <v>1.88995</v>
      </c>
      <c r="L2739" s="1142">
        <v>1.25</v>
      </c>
      <c r="M2739" s="1780">
        <f>I2739*K2739/(L2739*8)</f>
        <v>44121.638729999999</v>
      </c>
      <c r="N2739" s="1779"/>
    </row>
    <row r="2740" spans="1:14" ht="13.5" x14ac:dyDescent="0.25">
      <c r="A2740" s="1784"/>
      <c r="B2740" s="1782"/>
      <c r="C2740" s="1782"/>
      <c r="D2740" s="1782"/>
      <c r="E2740" s="1782"/>
      <c r="F2740" s="1782"/>
      <c r="G2740" s="1779"/>
      <c r="H2740" s="1137"/>
      <c r="I2740" s="1780"/>
      <c r="J2740" s="1779"/>
      <c r="K2740" s="1141"/>
      <c r="L2740" s="1141"/>
      <c r="M2740" s="1780"/>
      <c r="N2740" s="1779"/>
    </row>
    <row r="2741" spans="1:14" ht="13.5" x14ac:dyDescent="0.25">
      <c r="A2741" s="1784"/>
      <c r="B2741" s="1782"/>
      <c r="C2741" s="1782"/>
      <c r="D2741" s="1782"/>
      <c r="E2741" s="1782"/>
      <c r="F2741" s="1782"/>
      <c r="G2741" s="1779"/>
      <c r="H2741" s="1137"/>
      <c r="I2741" s="1780"/>
      <c r="J2741" s="1779"/>
      <c r="K2741" s="1141"/>
      <c r="L2741" s="1143"/>
      <c r="M2741" s="1780"/>
      <c r="N2741" s="1779"/>
    </row>
    <row r="2742" spans="1:14" ht="13.5" x14ac:dyDescent="0.25">
      <c r="A2742" s="1784"/>
      <c r="B2742" s="1782"/>
      <c r="C2742" s="1782"/>
      <c r="D2742" s="1782"/>
      <c r="E2742" s="1782"/>
      <c r="F2742" s="1782"/>
      <c r="G2742" s="1779"/>
      <c r="H2742" s="1137"/>
      <c r="I2742" s="1780"/>
      <c r="J2742" s="1779"/>
      <c r="K2742" s="1141"/>
      <c r="L2742" s="1143"/>
      <c r="M2742" s="1780"/>
      <c r="N2742" s="1779"/>
    </row>
    <row r="2743" spans="1:14" ht="13.5" x14ac:dyDescent="0.25">
      <c r="A2743" s="1784"/>
      <c r="B2743" s="1782"/>
      <c r="C2743" s="1782"/>
      <c r="D2743" s="1782"/>
      <c r="E2743" s="1782"/>
      <c r="F2743" s="1782"/>
      <c r="G2743" s="1779"/>
      <c r="H2743" s="1137"/>
      <c r="I2743" s="1780"/>
      <c r="J2743" s="1779"/>
      <c r="K2743" s="1141"/>
      <c r="L2743" s="1143"/>
      <c r="M2743" s="1780"/>
      <c r="N2743" s="1779"/>
    </row>
    <row r="2744" spans="1:14" ht="13.5" x14ac:dyDescent="0.25">
      <c r="A2744" s="1138"/>
      <c r="B2744" s="1138"/>
      <c r="C2744" s="1138"/>
      <c r="D2744" s="1138"/>
      <c r="E2744" s="1138"/>
      <c r="F2744" s="1138"/>
      <c r="G2744" s="1138"/>
      <c r="H2744" s="1138"/>
      <c r="I2744" s="1138"/>
      <c r="J2744" s="1138"/>
      <c r="K2744" s="1778" t="s">
        <v>523</v>
      </c>
      <c r="L2744" s="1779"/>
      <c r="M2744" s="1780">
        <f>SUM(M2739:N2743)</f>
        <v>44121.638729999999</v>
      </c>
      <c r="N2744" s="1779"/>
    </row>
    <row r="2745" spans="1:14" x14ac:dyDescent="0.2">
      <c r="I2745" s="1414"/>
      <c r="J2745" s="1415"/>
      <c r="K2745" s="1415"/>
      <c r="L2745" s="1415"/>
      <c r="M2745" s="1415"/>
      <c r="N2745" s="1415"/>
    </row>
    <row r="2746" spans="1:14" ht="13.5" thickBot="1" x14ac:dyDescent="0.25">
      <c r="I2746" s="1416"/>
      <c r="J2746" s="1416"/>
      <c r="K2746" s="1416"/>
      <c r="L2746" s="1416"/>
      <c r="M2746" s="1416"/>
      <c r="N2746" s="1416"/>
    </row>
    <row r="2747" spans="1:14" ht="14.25" thickTop="1" x14ac:dyDescent="0.2">
      <c r="I2747" s="1417" t="s">
        <v>1829</v>
      </c>
      <c r="J2747" s="1418"/>
      <c r="K2747" s="1417" t="s">
        <v>2653</v>
      </c>
      <c r="L2747" s="1418"/>
      <c r="M2747" s="1418"/>
      <c r="N2747" s="1418"/>
    </row>
    <row r="2748" spans="1:14" ht="13.5" x14ac:dyDescent="0.2">
      <c r="I2748" s="1419" t="s">
        <v>1831</v>
      </c>
      <c r="J2748" s="1420"/>
      <c r="K2748" s="1419"/>
      <c r="L2748" s="1420"/>
      <c r="M2748" s="1420"/>
      <c r="N2748" s="1420"/>
    </row>
    <row r="2749" spans="1:14" x14ac:dyDescent="0.2">
      <c r="A2749" s="1796" t="s">
        <v>2516</v>
      </c>
      <c r="B2749" s="1797"/>
      <c r="C2749" s="1797"/>
      <c r="D2749" s="1797"/>
      <c r="E2749" s="1797"/>
      <c r="F2749" s="1797"/>
      <c r="G2749" s="1797"/>
      <c r="H2749" s="1797"/>
      <c r="I2749" s="1797"/>
      <c r="J2749" s="1797"/>
      <c r="K2749" s="1797"/>
      <c r="L2749" s="1797"/>
      <c r="M2749" s="1797"/>
      <c r="N2749" s="1798"/>
    </row>
    <row r="2750" spans="1:14" x14ac:dyDescent="0.2">
      <c r="A2750" s="1799"/>
      <c r="B2750" s="1800"/>
      <c r="C2750" s="1800"/>
      <c r="D2750" s="1800"/>
      <c r="E2750" s="1800"/>
      <c r="F2750" s="1800"/>
      <c r="G2750" s="1800"/>
      <c r="H2750" s="1800"/>
      <c r="I2750" s="1800"/>
      <c r="J2750" s="1800"/>
      <c r="K2750" s="1800"/>
      <c r="L2750" s="1800"/>
      <c r="M2750" s="1800"/>
      <c r="N2750" s="1801"/>
    </row>
    <row r="2751" spans="1:14" ht="13.5" x14ac:dyDescent="0.2">
      <c r="A2751" s="1128"/>
      <c r="B2751" s="1128"/>
      <c r="C2751" s="1128"/>
      <c r="D2751" s="1128"/>
      <c r="E2751" s="1128"/>
      <c r="F2751" s="1128"/>
      <c r="G2751" s="1128"/>
      <c r="H2751" s="1128"/>
      <c r="I2751" s="1128"/>
      <c r="J2751" s="1128"/>
      <c r="K2751" s="1128"/>
      <c r="L2751" s="1128"/>
      <c r="M2751" s="1128"/>
      <c r="N2751" s="1128"/>
    </row>
    <row r="2752" spans="1:14" ht="14.25" x14ac:dyDescent="0.3">
      <c r="A2752" s="1104" t="s">
        <v>2517</v>
      </c>
      <c r="B2752" s="1129" t="str">
        <f>A2749</f>
        <v xml:space="preserve">SUMINISTRO E INSTALACIÓN TEE PVC PRESIÓN DE 4"X4". INCLUYE UNIÓN DE REPARACIÓN. </v>
      </c>
      <c r="C2752" s="1130" t="s">
        <v>634</v>
      </c>
      <c r="D2752" s="1107" t="s">
        <v>2</v>
      </c>
      <c r="E2752" s="1132" t="s">
        <v>1833</v>
      </c>
      <c r="F2752" s="1133">
        <f>H2752+J2752+L2752+N2752</f>
        <v>890105.1137300001</v>
      </c>
      <c r="G2752" s="1132" t="s">
        <v>2136</v>
      </c>
      <c r="H2752" s="1133">
        <f>M2780</f>
        <v>1875</v>
      </c>
      <c r="I2752" s="1132" t="s">
        <v>621</v>
      </c>
      <c r="J2752" s="1134">
        <f>M2766</f>
        <v>844108.47500000009</v>
      </c>
      <c r="K2752" s="1132" t="s">
        <v>2137</v>
      </c>
      <c r="L2752" s="1133">
        <f>M2789</f>
        <v>0</v>
      </c>
      <c r="M2752" s="1132" t="s">
        <v>2138</v>
      </c>
      <c r="N2752" s="1133">
        <f>M2798</f>
        <v>44121.638729999999</v>
      </c>
    </row>
    <row r="2753" spans="1:14" ht="13.5" x14ac:dyDescent="0.25">
      <c r="A2753" s="1135"/>
      <c r="B2753" s="1135"/>
      <c r="C2753" s="1135"/>
      <c r="D2753" s="1135"/>
      <c r="E2753" s="1135"/>
      <c r="F2753" s="1135"/>
      <c r="G2753" s="1135"/>
      <c r="J2753" s="1135"/>
      <c r="K2753" s="1135"/>
      <c r="L2753" s="1135"/>
      <c r="M2753" s="1270" t="s">
        <v>2667</v>
      </c>
      <c r="N2753" s="1270">
        <f>+F2752*'01'!$O$15</f>
        <v>1152066.5267740006</v>
      </c>
    </row>
    <row r="2754" spans="1:14" x14ac:dyDescent="0.2">
      <c r="A2754" s="1781" t="s">
        <v>2139</v>
      </c>
      <c r="B2754" s="1782"/>
      <c r="C2754" s="1782"/>
      <c r="D2754" s="1782"/>
      <c r="E2754" s="1782"/>
      <c r="F2754" s="1782"/>
      <c r="G2754" s="1782"/>
      <c r="H2754" s="1782"/>
      <c r="I2754" s="1782"/>
      <c r="J2754" s="1782"/>
      <c r="K2754" s="1782"/>
      <c r="L2754" s="1782"/>
      <c r="M2754" s="1782"/>
      <c r="N2754" s="1779"/>
    </row>
    <row r="2755" spans="1:14" x14ac:dyDescent="0.2">
      <c r="A2755" s="1778" t="s">
        <v>14</v>
      </c>
      <c r="B2755" s="1782"/>
      <c r="C2755" s="1782"/>
      <c r="D2755" s="1782"/>
      <c r="E2755" s="1782"/>
      <c r="F2755" s="1782"/>
      <c r="G2755" s="1779"/>
      <c r="H2755" s="1136" t="s">
        <v>15</v>
      </c>
      <c r="I2755" s="1783" t="s">
        <v>619</v>
      </c>
      <c r="J2755" s="1779"/>
      <c r="K2755" s="1783" t="s">
        <v>628</v>
      </c>
      <c r="L2755" s="1779"/>
      <c r="M2755" s="1783" t="s">
        <v>2140</v>
      </c>
      <c r="N2755" s="1779"/>
    </row>
    <row r="2756" spans="1:14" ht="13.5" customHeight="1" x14ac:dyDescent="0.2">
      <c r="A2756" s="1792" t="s">
        <v>102</v>
      </c>
      <c r="B2756" s="1782"/>
      <c r="C2756" s="1782"/>
      <c r="D2756" s="1782"/>
      <c r="E2756" s="1782"/>
      <c r="F2756" s="1782"/>
      <c r="G2756" s="1779"/>
      <c r="H2756" s="1032" t="str">
        <f>IF(A2756="","",VLOOKUP(A2756,'10'!$C$6:$E$1152,2,FALSE))</f>
        <v>UND</v>
      </c>
      <c r="I2756" s="1785">
        <f>IF(A2756="","",VLOOKUP(A2756,'10'!$C$6:$E$1152,3,FALSE))</f>
        <v>287466.375</v>
      </c>
      <c r="J2756" s="1412"/>
      <c r="K2756" s="1794">
        <v>1</v>
      </c>
      <c r="L2756" s="1795"/>
      <c r="M2756" s="1780">
        <f>K2756*I2756</f>
        <v>287466.375</v>
      </c>
      <c r="N2756" s="1779"/>
    </row>
    <row r="2757" spans="1:14" ht="13.5" customHeight="1" x14ac:dyDescent="0.2">
      <c r="A2757" s="1792" t="s">
        <v>1462</v>
      </c>
      <c r="B2757" s="1782"/>
      <c r="C2757" s="1782"/>
      <c r="D2757" s="1782"/>
      <c r="E2757" s="1782"/>
      <c r="F2757" s="1782"/>
      <c r="G2757" s="1779"/>
      <c r="H2757" s="1032" t="str">
        <f>IF(A2757="","",VLOOKUP(A2757,'10'!$C$6:$E$1152,2,FALSE))</f>
        <v>UND</v>
      </c>
      <c r="I2757" s="1785">
        <f>IF(A2757="","",VLOOKUP(A2757,'10'!$C$6:$E$1152,3,FALSE))</f>
        <v>182317.5</v>
      </c>
      <c r="J2757" s="1412"/>
      <c r="K2757" s="1794">
        <v>3</v>
      </c>
      <c r="L2757" s="1795"/>
      <c r="M2757" s="1780">
        <f t="shared" ref="M2757:M2759" si="122">K2757*I2757</f>
        <v>546952.5</v>
      </c>
      <c r="N2757" s="1779"/>
    </row>
    <row r="2758" spans="1:14" ht="13.5" x14ac:dyDescent="0.2">
      <c r="A2758" s="1792" t="s">
        <v>1451</v>
      </c>
      <c r="B2758" s="1782"/>
      <c r="C2758" s="1782"/>
      <c r="D2758" s="1782"/>
      <c r="E2758" s="1782"/>
      <c r="F2758" s="1782"/>
      <c r="G2758" s="1779"/>
      <c r="H2758" s="1032" t="str">
        <f>IF(A2758="","",VLOOKUP(A2758,'10'!$C$6:$E$1152,2,FALSE))</f>
        <v>UND</v>
      </c>
      <c r="I2758" s="1785">
        <f>IF(A2758="","",VLOOKUP(A2758,'10'!$C$6:$E$1152,3,FALSE))</f>
        <v>30983</v>
      </c>
      <c r="J2758" s="1412"/>
      <c r="K2758" s="1794">
        <v>0.1</v>
      </c>
      <c r="L2758" s="1795"/>
      <c r="M2758" s="1780">
        <f t="shared" si="122"/>
        <v>3098.3</v>
      </c>
      <c r="N2758" s="1779"/>
    </row>
    <row r="2759" spans="1:14" ht="13.5" x14ac:dyDescent="0.2">
      <c r="A2759" s="1792" t="s">
        <v>1735</v>
      </c>
      <c r="B2759" s="1782"/>
      <c r="C2759" s="1782"/>
      <c r="D2759" s="1782"/>
      <c r="E2759" s="1782"/>
      <c r="F2759" s="1782"/>
      <c r="G2759" s="1779"/>
      <c r="H2759" s="1032" t="str">
        <f>IF(A2759="","",VLOOKUP(A2759,'10'!$C$6:$E$1152,2,FALSE))</f>
        <v>UND</v>
      </c>
      <c r="I2759" s="1785">
        <f>IF(A2759="","",VLOOKUP(A2759,'10'!$C$6:$E$1152,3,FALSE))</f>
        <v>65913</v>
      </c>
      <c r="J2759" s="1412"/>
      <c r="K2759" s="1794">
        <v>0.1</v>
      </c>
      <c r="L2759" s="1795"/>
      <c r="M2759" s="1780">
        <f t="shared" si="122"/>
        <v>6591.3</v>
      </c>
      <c r="N2759" s="1779"/>
    </row>
    <row r="2760" spans="1:14" ht="13.5" x14ac:dyDescent="0.2">
      <c r="A2760" s="1792"/>
      <c r="B2760" s="1782"/>
      <c r="C2760" s="1782"/>
      <c r="D2760" s="1782"/>
      <c r="E2760" s="1782"/>
      <c r="F2760" s="1782"/>
      <c r="G2760" s="1779"/>
      <c r="H2760" s="1032"/>
      <c r="I2760" s="1785"/>
      <c r="J2760" s="1412"/>
      <c r="K2760" s="1794"/>
      <c r="L2760" s="1795"/>
      <c r="M2760" s="1780"/>
      <c r="N2760" s="1779"/>
    </row>
    <row r="2761" spans="1:14" ht="13.5" x14ac:dyDescent="0.2">
      <c r="A2761" s="1792"/>
      <c r="B2761" s="1782"/>
      <c r="C2761" s="1782"/>
      <c r="D2761" s="1782"/>
      <c r="E2761" s="1782"/>
      <c r="F2761" s="1782"/>
      <c r="G2761" s="1779"/>
      <c r="H2761" s="1032"/>
      <c r="I2761" s="1785"/>
      <c r="J2761" s="1412"/>
      <c r="K2761" s="1794"/>
      <c r="L2761" s="1795"/>
      <c r="M2761" s="1780"/>
      <c r="N2761" s="1779"/>
    </row>
    <row r="2762" spans="1:14" ht="13.5" x14ac:dyDescent="0.2">
      <c r="A2762" s="1792"/>
      <c r="B2762" s="1782"/>
      <c r="C2762" s="1782"/>
      <c r="D2762" s="1782"/>
      <c r="E2762" s="1782"/>
      <c r="F2762" s="1782"/>
      <c r="G2762" s="1779"/>
      <c r="H2762" s="1032"/>
      <c r="I2762" s="1785"/>
      <c r="J2762" s="1412"/>
      <c r="K2762" s="1794"/>
      <c r="L2762" s="1795"/>
      <c r="M2762" s="1780"/>
      <c r="N2762" s="1779"/>
    </row>
    <row r="2763" spans="1:14" ht="13.5" x14ac:dyDescent="0.2">
      <c r="A2763" s="1792"/>
      <c r="B2763" s="1782"/>
      <c r="C2763" s="1782"/>
      <c r="D2763" s="1782"/>
      <c r="E2763" s="1782"/>
      <c r="F2763" s="1782"/>
      <c r="G2763" s="1779"/>
      <c r="H2763" s="1032"/>
      <c r="I2763" s="1785"/>
      <c r="J2763" s="1412"/>
      <c r="K2763" s="1794"/>
      <c r="L2763" s="1795"/>
      <c r="M2763" s="1780"/>
      <c r="N2763" s="1779"/>
    </row>
    <row r="2764" spans="1:14" ht="13.5" x14ac:dyDescent="0.2">
      <c r="A2764" s="1792"/>
      <c r="B2764" s="1782"/>
      <c r="C2764" s="1782"/>
      <c r="D2764" s="1782"/>
      <c r="E2764" s="1782"/>
      <c r="F2764" s="1782"/>
      <c r="G2764" s="1779"/>
      <c r="H2764" s="1032"/>
      <c r="I2764" s="1785"/>
      <c r="J2764" s="1412"/>
      <c r="K2764" s="1794"/>
      <c r="L2764" s="1795"/>
      <c r="M2764" s="1780"/>
      <c r="N2764" s="1779"/>
    </row>
    <row r="2765" spans="1:14" ht="13.5" x14ac:dyDescent="0.2">
      <c r="A2765" s="1792"/>
      <c r="B2765" s="1782"/>
      <c r="C2765" s="1782"/>
      <c r="D2765" s="1782"/>
      <c r="E2765" s="1782"/>
      <c r="F2765" s="1782"/>
      <c r="G2765" s="1779"/>
      <c r="H2765" s="1032"/>
      <c r="I2765" s="1785"/>
      <c r="J2765" s="1412"/>
      <c r="K2765" s="1794"/>
      <c r="L2765" s="1795"/>
      <c r="M2765" s="1780"/>
      <c r="N2765" s="1779"/>
    </row>
    <row r="2766" spans="1:14" ht="13.5" x14ac:dyDescent="0.25">
      <c r="A2766" s="1138"/>
      <c r="B2766" s="1138"/>
      <c r="C2766" s="1138"/>
      <c r="D2766" s="1138"/>
      <c r="E2766" s="1138"/>
      <c r="F2766" s="1138"/>
      <c r="G2766" s="1138"/>
      <c r="H2766" s="1138"/>
      <c r="I2766" s="1138"/>
      <c r="J2766" s="1138"/>
      <c r="K2766" s="1778" t="s">
        <v>523</v>
      </c>
      <c r="L2766" s="1779"/>
      <c r="M2766" s="1780">
        <f>SUM(M2756:N2760)</f>
        <v>844108.47500000009</v>
      </c>
      <c r="N2766" s="1779"/>
    </row>
    <row r="2767" spans="1:14" ht="13.5" x14ac:dyDescent="0.25">
      <c r="A2767" s="1138"/>
      <c r="B2767" s="1138"/>
      <c r="C2767" s="1138"/>
      <c r="D2767" s="1138"/>
      <c r="E2767" s="1138"/>
      <c r="F2767" s="1138"/>
      <c r="G2767" s="1138"/>
      <c r="H2767" s="1138"/>
      <c r="I2767" s="1138"/>
      <c r="J2767" s="1138"/>
      <c r="K2767" s="1138"/>
      <c r="L2767" s="1138"/>
      <c r="M2767" s="1138"/>
      <c r="N2767" s="1138"/>
    </row>
    <row r="2768" spans="1:14" x14ac:dyDescent="0.2">
      <c r="A2768" s="1781" t="s">
        <v>2145</v>
      </c>
      <c r="B2768" s="1782"/>
      <c r="C2768" s="1782"/>
      <c r="D2768" s="1782"/>
      <c r="E2768" s="1782"/>
      <c r="F2768" s="1782"/>
      <c r="G2768" s="1782"/>
      <c r="H2768" s="1782"/>
      <c r="I2768" s="1782"/>
      <c r="J2768" s="1782"/>
      <c r="K2768" s="1782"/>
      <c r="L2768" s="1782"/>
      <c r="M2768" s="1782"/>
      <c r="N2768" s="1779"/>
    </row>
    <row r="2769" spans="1:14" x14ac:dyDescent="0.2">
      <c r="A2769" s="1778" t="s">
        <v>14</v>
      </c>
      <c r="B2769" s="1782"/>
      <c r="C2769" s="1782"/>
      <c r="D2769" s="1782"/>
      <c r="E2769" s="1782"/>
      <c r="F2769" s="1782"/>
      <c r="G2769" s="1779"/>
      <c r="H2769" s="1136" t="s">
        <v>15</v>
      </c>
      <c r="I2769" s="1783" t="s">
        <v>619</v>
      </c>
      <c r="J2769" s="1779"/>
      <c r="K2769" s="1783" t="s">
        <v>610</v>
      </c>
      <c r="L2769" s="1779"/>
      <c r="M2769" s="1783" t="s">
        <v>2140</v>
      </c>
      <c r="N2769" s="1779"/>
    </row>
    <row r="2770" spans="1:14" ht="13.5" x14ac:dyDescent="0.2">
      <c r="A2770" s="1789" t="s">
        <v>131</v>
      </c>
      <c r="B2770" s="1790"/>
      <c r="C2770" s="1790"/>
      <c r="D2770" s="1790"/>
      <c r="E2770" s="1790"/>
      <c r="F2770" s="1790"/>
      <c r="G2770" s="1791"/>
      <c r="H2770" s="1032" t="str">
        <f>IF(A2770="","",VLOOKUP(A2770,'11'!$C$6:$E$87,2,FALSE))</f>
        <v>DIA</v>
      </c>
      <c r="I2770" s="1785">
        <f>IF(A2770="","",VLOOKUP(A2770,'11'!$C$6:$E$87,3,FALSE))</f>
        <v>15000</v>
      </c>
      <c r="J2770" s="1412"/>
      <c r="K2770" s="1787">
        <v>8</v>
      </c>
      <c r="L2770" s="1793"/>
      <c r="M2770" s="1780">
        <f>I2770/K2770</f>
        <v>1875</v>
      </c>
      <c r="N2770" s="1779"/>
    </row>
    <row r="2771" spans="1:14" ht="13.5" x14ac:dyDescent="0.2">
      <c r="A2771" s="1789"/>
      <c r="B2771" s="1790"/>
      <c r="C2771" s="1790"/>
      <c r="D2771" s="1790"/>
      <c r="E2771" s="1790"/>
      <c r="F2771" s="1790"/>
      <c r="G2771" s="1791"/>
      <c r="H2771" s="1032"/>
      <c r="I2771" s="1785"/>
      <c r="J2771" s="1412"/>
      <c r="K2771" s="1787"/>
      <c r="L2771" s="1793"/>
      <c r="M2771" s="1780"/>
      <c r="N2771" s="1779"/>
    </row>
    <row r="2772" spans="1:14" ht="13.5" x14ac:dyDescent="0.2">
      <c r="A2772" s="1789"/>
      <c r="B2772" s="1790"/>
      <c r="C2772" s="1790"/>
      <c r="D2772" s="1790"/>
      <c r="E2772" s="1790"/>
      <c r="F2772" s="1790"/>
      <c r="G2772" s="1791"/>
      <c r="H2772" s="1032"/>
      <c r="I2772" s="1785"/>
      <c r="J2772" s="1412"/>
      <c r="K2772" s="1787"/>
      <c r="L2772" s="1793"/>
      <c r="M2772" s="1780"/>
      <c r="N2772" s="1779"/>
    </row>
    <row r="2773" spans="1:14" ht="13.5" x14ac:dyDescent="0.2">
      <c r="A2773" s="1789"/>
      <c r="B2773" s="1790"/>
      <c r="C2773" s="1790"/>
      <c r="D2773" s="1790"/>
      <c r="E2773" s="1790"/>
      <c r="F2773" s="1790"/>
      <c r="G2773" s="1791"/>
      <c r="H2773" s="1032"/>
      <c r="I2773" s="1785"/>
      <c r="J2773" s="1412"/>
      <c r="K2773" s="1787"/>
      <c r="L2773" s="1793"/>
      <c r="M2773" s="1780"/>
      <c r="N2773" s="1779"/>
    </row>
    <row r="2774" spans="1:14" ht="13.5" x14ac:dyDescent="0.2">
      <c r="A2774" s="1789"/>
      <c r="B2774" s="1790"/>
      <c r="C2774" s="1790"/>
      <c r="D2774" s="1790"/>
      <c r="E2774" s="1790"/>
      <c r="F2774" s="1790"/>
      <c r="G2774" s="1791"/>
      <c r="H2774" s="1032"/>
      <c r="I2774" s="1785"/>
      <c r="J2774" s="1412"/>
      <c r="K2774" s="1787"/>
      <c r="L2774" s="1793"/>
      <c r="M2774" s="1780"/>
      <c r="N2774" s="1779"/>
    </row>
    <row r="2775" spans="1:14" ht="13.5" x14ac:dyDescent="0.2">
      <c r="A2775" s="1789"/>
      <c r="B2775" s="1790"/>
      <c r="C2775" s="1790"/>
      <c r="D2775" s="1790"/>
      <c r="E2775" s="1790"/>
      <c r="F2775" s="1790"/>
      <c r="G2775" s="1791"/>
      <c r="H2775" s="1032"/>
      <c r="I2775" s="1785"/>
      <c r="J2775" s="1412"/>
      <c r="K2775" s="1787"/>
      <c r="L2775" s="1793"/>
      <c r="M2775" s="1780"/>
      <c r="N2775" s="1779"/>
    </row>
    <row r="2776" spans="1:14" ht="13.5" x14ac:dyDescent="0.2">
      <c r="A2776" s="1789"/>
      <c r="B2776" s="1790"/>
      <c r="C2776" s="1790"/>
      <c r="D2776" s="1790"/>
      <c r="E2776" s="1790"/>
      <c r="F2776" s="1790"/>
      <c r="G2776" s="1791"/>
      <c r="H2776" s="1032"/>
      <c r="I2776" s="1785"/>
      <c r="J2776" s="1412"/>
      <c r="K2776" s="1787"/>
      <c r="L2776" s="1793"/>
      <c r="M2776" s="1780"/>
      <c r="N2776" s="1779"/>
    </row>
    <row r="2777" spans="1:14" ht="13.5" x14ac:dyDescent="0.2">
      <c r="A2777" s="1789"/>
      <c r="B2777" s="1790"/>
      <c r="C2777" s="1790"/>
      <c r="D2777" s="1790"/>
      <c r="E2777" s="1790"/>
      <c r="F2777" s="1790"/>
      <c r="G2777" s="1791"/>
      <c r="H2777" s="1032"/>
      <c r="I2777" s="1785"/>
      <c r="J2777" s="1412"/>
      <c r="K2777" s="1787"/>
      <c r="L2777" s="1779"/>
      <c r="M2777" s="1780"/>
      <c r="N2777" s="1779"/>
    </row>
    <row r="2778" spans="1:14" ht="13.5" x14ac:dyDescent="0.2">
      <c r="A2778" s="1789"/>
      <c r="B2778" s="1790"/>
      <c r="C2778" s="1790"/>
      <c r="D2778" s="1790"/>
      <c r="E2778" s="1790"/>
      <c r="F2778" s="1790"/>
      <c r="G2778" s="1791"/>
      <c r="H2778" s="1032"/>
      <c r="I2778" s="1785"/>
      <c r="J2778" s="1412"/>
      <c r="K2778" s="1787"/>
      <c r="L2778" s="1779"/>
      <c r="M2778" s="1780"/>
      <c r="N2778" s="1779"/>
    </row>
    <row r="2779" spans="1:14" ht="13.5" x14ac:dyDescent="0.2">
      <c r="A2779" s="1789"/>
      <c r="B2779" s="1782"/>
      <c r="C2779" s="1782"/>
      <c r="D2779" s="1782"/>
      <c r="E2779" s="1782"/>
      <c r="F2779" s="1782"/>
      <c r="G2779" s="1779"/>
      <c r="H2779" s="1137"/>
      <c r="I2779" s="1780"/>
      <c r="J2779" s="1779"/>
      <c r="K2779" s="1787"/>
      <c r="L2779" s="1779"/>
      <c r="M2779" s="1780"/>
      <c r="N2779" s="1779"/>
    </row>
    <row r="2780" spans="1:14" ht="13.5" x14ac:dyDescent="0.25">
      <c r="A2780" s="1138"/>
      <c r="B2780" s="1138"/>
      <c r="C2780" s="1138"/>
      <c r="D2780" s="1138"/>
      <c r="E2780" s="1138"/>
      <c r="F2780" s="1138"/>
      <c r="G2780" s="1138"/>
      <c r="H2780" s="1138"/>
      <c r="I2780" s="1138"/>
      <c r="J2780" s="1138"/>
      <c r="K2780" s="1778" t="s">
        <v>523</v>
      </c>
      <c r="L2780" s="1779"/>
      <c r="M2780" s="1780">
        <f>SUM(M2770:N2779)</f>
        <v>1875</v>
      </c>
      <c r="N2780" s="1779"/>
    </row>
    <row r="2781" spans="1:14" ht="13.5" x14ac:dyDescent="0.25">
      <c r="A2781" s="1138"/>
      <c r="B2781" s="1138"/>
      <c r="C2781" s="1138"/>
      <c r="D2781" s="1138"/>
      <c r="E2781" s="1138"/>
      <c r="F2781" s="1138"/>
      <c r="G2781" s="1138"/>
      <c r="H2781" s="1138"/>
      <c r="I2781" s="1138"/>
      <c r="J2781" s="1138"/>
      <c r="K2781" s="1138"/>
      <c r="L2781" s="1138"/>
      <c r="M2781" s="1138"/>
      <c r="N2781" s="1138"/>
    </row>
    <row r="2782" spans="1:14" x14ac:dyDescent="0.2">
      <c r="A2782" s="1781" t="s">
        <v>2147</v>
      </c>
      <c r="B2782" s="1782"/>
      <c r="C2782" s="1782"/>
      <c r="D2782" s="1782"/>
      <c r="E2782" s="1782"/>
      <c r="F2782" s="1782"/>
      <c r="G2782" s="1782"/>
      <c r="H2782" s="1782"/>
      <c r="I2782" s="1782"/>
      <c r="J2782" s="1782"/>
      <c r="K2782" s="1782"/>
      <c r="L2782" s="1782"/>
      <c r="M2782" s="1782"/>
      <c r="N2782" s="1779"/>
    </row>
    <row r="2783" spans="1:14" x14ac:dyDescent="0.2">
      <c r="A2783" s="1778" t="s">
        <v>14</v>
      </c>
      <c r="B2783" s="1782"/>
      <c r="C2783" s="1782"/>
      <c r="D2783" s="1782"/>
      <c r="E2783" s="1782"/>
      <c r="F2783" s="1782"/>
      <c r="G2783" s="1779"/>
      <c r="H2783" s="1136" t="s">
        <v>15</v>
      </c>
      <c r="I2783" s="1783" t="s">
        <v>619</v>
      </c>
      <c r="J2783" s="1779"/>
      <c r="K2783" s="1783" t="s">
        <v>628</v>
      </c>
      <c r="L2783" s="1779"/>
      <c r="M2783" s="1783" t="s">
        <v>2140</v>
      </c>
      <c r="N2783" s="1779"/>
    </row>
    <row r="2784" spans="1:14" ht="13.5" x14ac:dyDescent="0.2">
      <c r="A2784" s="1792" t="s">
        <v>2328</v>
      </c>
      <c r="B2784" s="1782"/>
      <c r="C2784" s="1782"/>
      <c r="D2784" s="1782"/>
      <c r="E2784" s="1782"/>
      <c r="F2784" s="1782"/>
      <c r="G2784" s="1779"/>
      <c r="H2784" s="1032" t="str">
        <f>IF(A2784="","",VLOOKUP(A2784,'11'!$C$6:$E$1012,2,FALSE))</f>
        <v>KM-M3</v>
      </c>
      <c r="I2784" s="1785">
        <f>IF(A2784="","",VLOOKUP(A2784,'11'!$C$6:$E$1012,3,FALSE))</f>
        <v>1440</v>
      </c>
      <c r="J2784" s="1412"/>
      <c r="K2784" s="1787">
        <v>0</v>
      </c>
      <c r="L2784" s="1793"/>
      <c r="M2784" s="1780">
        <f t="shared" ref="M2784" si="123">IF(A2784="","",I2784*K2784)</f>
        <v>0</v>
      </c>
      <c r="N2784" s="1779"/>
    </row>
    <row r="2785" spans="1:14" ht="13.5" x14ac:dyDescent="0.2">
      <c r="A2785" s="1786"/>
      <c r="B2785" s="1782"/>
      <c r="C2785" s="1782"/>
      <c r="D2785" s="1782"/>
      <c r="E2785" s="1782"/>
      <c r="F2785" s="1782"/>
      <c r="G2785" s="1779"/>
      <c r="H2785" s="1032"/>
      <c r="I2785" s="1780"/>
      <c r="J2785" s="1779"/>
      <c r="K2785" s="1787"/>
      <c r="L2785" s="1779"/>
      <c r="M2785" s="1780"/>
      <c r="N2785" s="1779"/>
    </row>
    <row r="2786" spans="1:14" ht="13.5" x14ac:dyDescent="0.2">
      <c r="A2786" s="1786"/>
      <c r="B2786" s="1782"/>
      <c r="C2786" s="1782"/>
      <c r="D2786" s="1782"/>
      <c r="E2786" s="1782"/>
      <c r="F2786" s="1782"/>
      <c r="G2786" s="1779"/>
      <c r="H2786" s="1032"/>
      <c r="I2786" s="1780"/>
      <c r="J2786" s="1779"/>
      <c r="K2786" s="1788"/>
      <c r="L2786" s="1779"/>
      <c r="M2786" s="1780"/>
      <c r="N2786" s="1779"/>
    </row>
    <row r="2787" spans="1:14" ht="13.5" x14ac:dyDescent="0.2">
      <c r="A2787" s="1789"/>
      <c r="B2787" s="1782"/>
      <c r="C2787" s="1782"/>
      <c r="D2787" s="1782"/>
      <c r="E2787" s="1782"/>
      <c r="F2787" s="1782"/>
      <c r="G2787" s="1779"/>
      <c r="H2787" s="1137"/>
      <c r="I2787" s="1780"/>
      <c r="J2787" s="1779"/>
      <c r="K2787" s="1787"/>
      <c r="L2787" s="1779"/>
      <c r="M2787" s="1780"/>
      <c r="N2787" s="1779"/>
    </row>
    <row r="2788" spans="1:14" ht="13.5" x14ac:dyDescent="0.2">
      <c r="A2788" s="1789"/>
      <c r="B2788" s="1782"/>
      <c r="C2788" s="1782"/>
      <c r="D2788" s="1782"/>
      <c r="E2788" s="1782"/>
      <c r="F2788" s="1782"/>
      <c r="G2788" s="1779"/>
      <c r="H2788" s="1137"/>
      <c r="I2788" s="1780"/>
      <c r="J2788" s="1779"/>
      <c r="K2788" s="1787"/>
      <c r="L2788" s="1779"/>
      <c r="M2788" s="1780"/>
      <c r="N2788" s="1779"/>
    </row>
    <row r="2789" spans="1:14" ht="13.5" x14ac:dyDescent="0.25">
      <c r="A2789" s="1138"/>
      <c r="B2789" s="1138"/>
      <c r="C2789" s="1138"/>
      <c r="D2789" s="1138"/>
      <c r="E2789" s="1138"/>
      <c r="F2789" s="1138"/>
      <c r="G2789" s="1138"/>
      <c r="H2789" s="1138"/>
      <c r="I2789" s="1138"/>
      <c r="J2789" s="1138"/>
      <c r="K2789" s="1778" t="s">
        <v>523</v>
      </c>
      <c r="L2789" s="1779"/>
      <c r="M2789" s="1780">
        <f>SUM(M2784:N2788)</f>
        <v>0</v>
      </c>
      <c r="N2789" s="1779"/>
    </row>
    <row r="2790" spans="1:14" ht="13.5" x14ac:dyDescent="0.25">
      <c r="A2790" s="1138"/>
      <c r="B2790" s="1138"/>
      <c r="C2790" s="1138"/>
      <c r="D2790" s="1138"/>
      <c r="E2790" s="1138"/>
      <c r="F2790" s="1138"/>
      <c r="G2790" s="1138"/>
      <c r="H2790" s="1138"/>
      <c r="I2790" s="1138"/>
      <c r="J2790" s="1138"/>
      <c r="K2790" s="1138"/>
      <c r="L2790" s="1138"/>
      <c r="M2790" s="1138"/>
      <c r="N2790" s="1138"/>
    </row>
    <row r="2791" spans="1:14" x14ac:dyDescent="0.2">
      <c r="A2791" s="1781" t="s">
        <v>2150</v>
      </c>
      <c r="B2791" s="1782"/>
      <c r="C2791" s="1782"/>
      <c r="D2791" s="1782"/>
      <c r="E2791" s="1782"/>
      <c r="F2791" s="1782"/>
      <c r="G2791" s="1782"/>
      <c r="H2791" s="1782"/>
      <c r="I2791" s="1782"/>
      <c r="J2791" s="1782"/>
      <c r="K2791" s="1782"/>
      <c r="L2791" s="1782"/>
      <c r="M2791" s="1782"/>
      <c r="N2791" s="1779"/>
    </row>
    <row r="2792" spans="1:14" x14ac:dyDescent="0.2">
      <c r="A2792" s="1778" t="s">
        <v>14</v>
      </c>
      <c r="B2792" s="1782"/>
      <c r="C2792" s="1782"/>
      <c r="D2792" s="1782"/>
      <c r="E2792" s="1782"/>
      <c r="F2792" s="1782"/>
      <c r="G2792" s="1779"/>
      <c r="H2792" s="1136" t="s">
        <v>15</v>
      </c>
      <c r="I2792" s="1783" t="s">
        <v>619</v>
      </c>
      <c r="J2792" s="1779"/>
      <c r="K2792" s="1139" t="s">
        <v>1919</v>
      </c>
      <c r="L2792" s="1140" t="s">
        <v>2151</v>
      </c>
      <c r="M2792" s="1783" t="s">
        <v>2140</v>
      </c>
      <c r="N2792" s="1779"/>
    </row>
    <row r="2793" spans="1:14" ht="13.5" x14ac:dyDescent="0.25">
      <c r="A2793" s="1784" t="s">
        <v>2266</v>
      </c>
      <c r="B2793" s="1782"/>
      <c r="C2793" s="1782"/>
      <c r="D2793" s="1782"/>
      <c r="E2793" s="1782"/>
      <c r="F2793" s="1782"/>
      <c r="G2793" s="1779"/>
      <c r="H2793" s="1032" t="str">
        <f>IF(A2793="","",VLOOKUP(A2793,'09'!$A$22:$O$168,4,FALSE))</f>
        <v>Cuadrilla</v>
      </c>
      <c r="I2793" s="1785">
        <f>IF(A2793="","",VLOOKUP(A2793,'09'!$A$22:$O$168,5,FALSE))</f>
        <v>233454</v>
      </c>
      <c r="J2793" s="1412"/>
      <c r="K2793" s="1034">
        <f>IF(A2793="","",'03'!$I$2)</f>
        <v>1.88995</v>
      </c>
      <c r="L2793" s="1142">
        <v>1.25</v>
      </c>
      <c r="M2793" s="1780">
        <f>I2793*K2793/(L2793*8)</f>
        <v>44121.638729999999</v>
      </c>
      <c r="N2793" s="1779"/>
    </row>
    <row r="2794" spans="1:14" ht="13.5" x14ac:dyDescent="0.25">
      <c r="A2794" s="1784"/>
      <c r="B2794" s="1782"/>
      <c r="C2794" s="1782"/>
      <c r="D2794" s="1782"/>
      <c r="E2794" s="1782"/>
      <c r="F2794" s="1782"/>
      <c r="G2794" s="1779"/>
      <c r="H2794" s="1137"/>
      <c r="I2794" s="1780"/>
      <c r="J2794" s="1779"/>
      <c r="K2794" s="1141"/>
      <c r="L2794" s="1141"/>
      <c r="M2794" s="1780"/>
      <c r="N2794" s="1779"/>
    </row>
    <row r="2795" spans="1:14" ht="13.5" x14ac:dyDescent="0.25">
      <c r="A2795" s="1784"/>
      <c r="B2795" s="1782"/>
      <c r="C2795" s="1782"/>
      <c r="D2795" s="1782"/>
      <c r="E2795" s="1782"/>
      <c r="F2795" s="1782"/>
      <c r="G2795" s="1779"/>
      <c r="H2795" s="1137"/>
      <c r="I2795" s="1780"/>
      <c r="J2795" s="1779"/>
      <c r="K2795" s="1141"/>
      <c r="L2795" s="1143"/>
      <c r="M2795" s="1780"/>
      <c r="N2795" s="1779"/>
    </row>
    <row r="2796" spans="1:14" ht="13.5" x14ac:dyDescent="0.25">
      <c r="A2796" s="1784"/>
      <c r="B2796" s="1782"/>
      <c r="C2796" s="1782"/>
      <c r="D2796" s="1782"/>
      <c r="E2796" s="1782"/>
      <c r="F2796" s="1782"/>
      <c r="G2796" s="1779"/>
      <c r="H2796" s="1137"/>
      <c r="I2796" s="1780"/>
      <c r="J2796" s="1779"/>
      <c r="K2796" s="1141"/>
      <c r="L2796" s="1143"/>
      <c r="M2796" s="1780"/>
      <c r="N2796" s="1779"/>
    </row>
    <row r="2797" spans="1:14" ht="13.5" x14ac:dyDescent="0.25">
      <c r="A2797" s="1784"/>
      <c r="B2797" s="1782"/>
      <c r="C2797" s="1782"/>
      <c r="D2797" s="1782"/>
      <c r="E2797" s="1782"/>
      <c r="F2797" s="1782"/>
      <c r="G2797" s="1779"/>
      <c r="H2797" s="1137"/>
      <c r="I2797" s="1780"/>
      <c r="J2797" s="1779"/>
      <c r="K2797" s="1141"/>
      <c r="L2797" s="1143"/>
      <c r="M2797" s="1780"/>
      <c r="N2797" s="1779"/>
    </row>
    <row r="2798" spans="1:14" ht="13.5" x14ac:dyDescent="0.25">
      <c r="A2798" s="1138"/>
      <c r="B2798" s="1138"/>
      <c r="C2798" s="1138"/>
      <c r="D2798" s="1138"/>
      <c r="E2798" s="1138"/>
      <c r="F2798" s="1138"/>
      <c r="G2798" s="1138"/>
      <c r="H2798" s="1138"/>
      <c r="I2798" s="1138"/>
      <c r="J2798" s="1138"/>
      <c r="K2798" s="1778" t="s">
        <v>523</v>
      </c>
      <c r="L2798" s="1779"/>
      <c r="M2798" s="1780">
        <f>SUM(M2793:N2797)</f>
        <v>44121.638729999999</v>
      </c>
      <c r="N2798" s="1779"/>
    </row>
    <row r="2799" spans="1:14" x14ac:dyDescent="0.2">
      <c r="I2799" s="1414"/>
      <c r="J2799" s="1415"/>
      <c r="K2799" s="1415"/>
      <c r="L2799" s="1415"/>
      <c r="M2799" s="1415"/>
      <c r="N2799" s="1415"/>
    </row>
    <row r="2800" spans="1:14" ht="13.5" thickBot="1" x14ac:dyDescent="0.25">
      <c r="I2800" s="1416"/>
      <c r="J2800" s="1416"/>
      <c r="K2800" s="1416"/>
      <c r="L2800" s="1416"/>
      <c r="M2800" s="1416"/>
      <c r="N2800" s="1416"/>
    </row>
    <row r="2801" spans="1:14" ht="14.25" thickTop="1" x14ac:dyDescent="0.2">
      <c r="I2801" s="1417" t="s">
        <v>1829</v>
      </c>
      <c r="J2801" s="1418"/>
      <c r="K2801" s="1417" t="s">
        <v>2653</v>
      </c>
      <c r="L2801" s="1418"/>
      <c r="M2801" s="1418"/>
      <c r="N2801" s="1418"/>
    </row>
    <row r="2802" spans="1:14" ht="13.5" x14ac:dyDescent="0.2">
      <c r="I2802" s="1419" t="s">
        <v>1831</v>
      </c>
      <c r="J2802" s="1420"/>
      <c r="K2802" s="1419"/>
      <c r="L2802" s="1420"/>
      <c r="M2802" s="1420"/>
      <c r="N2802" s="1420"/>
    </row>
    <row r="2803" spans="1:14" x14ac:dyDescent="0.2">
      <c r="A2803" s="1803" t="s">
        <v>2532</v>
      </c>
      <c r="B2803" s="1804"/>
      <c r="C2803" s="1804"/>
      <c r="D2803" s="1804"/>
      <c r="E2803" s="1804"/>
      <c r="F2803" s="1804"/>
      <c r="G2803" s="1804"/>
      <c r="H2803" s="1804"/>
      <c r="I2803" s="1804"/>
      <c r="J2803" s="1804"/>
      <c r="K2803" s="1804"/>
      <c r="L2803" s="1804"/>
      <c r="M2803" s="1804"/>
      <c r="N2803" s="1805"/>
    </row>
    <row r="2804" spans="1:14" x14ac:dyDescent="0.2">
      <c r="A2804" s="1806"/>
      <c r="B2804" s="1807"/>
      <c r="C2804" s="1807"/>
      <c r="D2804" s="1807"/>
      <c r="E2804" s="1807"/>
      <c r="F2804" s="1807"/>
      <c r="G2804" s="1807"/>
      <c r="H2804" s="1807"/>
      <c r="I2804" s="1807"/>
      <c r="J2804" s="1807"/>
      <c r="K2804" s="1807"/>
      <c r="L2804" s="1807"/>
      <c r="M2804" s="1807"/>
      <c r="N2804" s="1808"/>
    </row>
    <row r="2805" spans="1:14" ht="13.5" x14ac:dyDescent="0.2">
      <c r="A2805" s="1128"/>
      <c r="B2805" s="1128"/>
      <c r="C2805" s="1128"/>
      <c r="D2805" s="1128"/>
      <c r="E2805" s="1128"/>
      <c r="F2805" s="1128"/>
      <c r="G2805" s="1128"/>
      <c r="H2805" s="1128"/>
      <c r="I2805" s="1128"/>
      <c r="J2805" s="1128"/>
      <c r="K2805" s="1128"/>
      <c r="L2805" s="1128"/>
      <c r="M2805" s="1128"/>
      <c r="N2805" s="1128"/>
    </row>
    <row r="2806" spans="1:14" ht="14.25" x14ac:dyDescent="0.3">
      <c r="A2806" s="1104" t="s">
        <v>2531</v>
      </c>
      <c r="B2806" s="1129" t="str">
        <f>A2803</f>
        <v>SUMINISTRO E INSTALACIÓN TUBERÍA DE VENTILACIÓN DE 6". INCLUYE CODOS. PASAMURO. ACCESORIOS DE ENTREGA E INSTALACIÓN.</v>
      </c>
      <c r="C2806" s="1130" t="s">
        <v>634</v>
      </c>
      <c r="D2806" s="1107" t="s">
        <v>2</v>
      </c>
      <c r="E2806" s="1132" t="s">
        <v>1833</v>
      </c>
      <c r="F2806" s="1133">
        <f>H2806+J2806+L2806+N2806</f>
        <v>2604057.46</v>
      </c>
      <c r="G2806" s="1132" t="s">
        <v>2136</v>
      </c>
      <c r="H2806" s="1133">
        <f>M2827</f>
        <v>7500</v>
      </c>
      <c r="I2806" s="1132" t="s">
        <v>621</v>
      </c>
      <c r="J2806" s="1134">
        <f>M2818</f>
        <v>2467707.5</v>
      </c>
      <c r="K2806" s="1132" t="s">
        <v>2137</v>
      </c>
      <c r="L2806" s="1133">
        <f>M2836</f>
        <v>162</v>
      </c>
      <c r="M2806" s="1132" t="s">
        <v>2138</v>
      </c>
      <c r="N2806" s="1133">
        <f>M2845</f>
        <v>128687.96</v>
      </c>
    </row>
    <row r="2807" spans="1:14" ht="13.5" x14ac:dyDescent="0.25">
      <c r="A2807" s="1135"/>
      <c r="B2807" s="1135"/>
      <c r="C2807" s="1135"/>
      <c r="D2807" s="1135"/>
      <c r="E2807" s="1135"/>
      <c r="F2807" s="1135"/>
      <c r="G2807" s="1135"/>
      <c r="J2807" s="1135"/>
      <c r="K2807" s="1135"/>
      <c r="L2807" s="1135"/>
      <c r="M2807" s="1270" t="s">
        <v>2667</v>
      </c>
      <c r="N2807" s="1270">
        <f>+F2806*'01'!$O$15</f>
        <v>3370441.7457960416</v>
      </c>
    </row>
    <row r="2808" spans="1:14" x14ac:dyDescent="0.2">
      <c r="A2808" s="1781" t="s">
        <v>2139</v>
      </c>
      <c r="B2808" s="1782"/>
      <c r="C2808" s="1782"/>
      <c r="D2808" s="1782"/>
      <c r="E2808" s="1782"/>
      <c r="F2808" s="1782"/>
      <c r="G2808" s="1782"/>
      <c r="H2808" s="1782"/>
      <c r="I2808" s="1782"/>
      <c r="J2808" s="1782"/>
      <c r="K2808" s="1782"/>
      <c r="L2808" s="1782"/>
      <c r="M2808" s="1782"/>
      <c r="N2808" s="1779"/>
    </row>
    <row r="2809" spans="1:14" x14ac:dyDescent="0.2">
      <c r="A2809" s="1848" t="s">
        <v>14</v>
      </c>
      <c r="B2809" s="1804"/>
      <c r="C2809" s="1804"/>
      <c r="D2809" s="1804"/>
      <c r="E2809" s="1804"/>
      <c r="F2809" s="1804"/>
      <c r="G2809" s="1805"/>
      <c r="H2809" s="1136" t="s">
        <v>15</v>
      </c>
      <c r="I2809" s="1783" t="s">
        <v>619</v>
      </c>
      <c r="J2809" s="1779"/>
      <c r="K2809" s="1783" t="s">
        <v>628</v>
      </c>
      <c r="L2809" s="1779"/>
      <c r="M2809" s="1783" t="s">
        <v>2140</v>
      </c>
      <c r="N2809" s="1779"/>
    </row>
    <row r="2810" spans="1:14" ht="13.5" customHeight="1" x14ac:dyDescent="0.2">
      <c r="A2810" s="1812" t="s">
        <v>1457</v>
      </c>
      <c r="B2810" s="1813"/>
      <c r="C2810" s="1813"/>
      <c r="D2810" s="1813"/>
      <c r="E2810" s="1813"/>
      <c r="F2810" s="1813"/>
      <c r="G2810" s="1814"/>
      <c r="H2810" s="1032" t="str">
        <f>IF(A2810="","",VLOOKUP(A2810,'10'!$C$6:$E$1152,2,FALSE))</f>
        <v>UND</v>
      </c>
      <c r="I2810" s="1785">
        <f>IF(A2810="","",VLOOKUP(A2810,'10'!$C$6:$E$1152,3,FALSE))</f>
        <v>761600</v>
      </c>
      <c r="J2810" s="1412"/>
      <c r="K2810" s="1787">
        <v>2</v>
      </c>
      <c r="L2810" s="1847"/>
      <c r="M2810" s="1780">
        <f>K2810*I2810</f>
        <v>1523200</v>
      </c>
      <c r="N2810" s="1779"/>
    </row>
    <row r="2811" spans="1:14" ht="13.5" x14ac:dyDescent="0.2">
      <c r="A2811" s="1812" t="s">
        <v>1099</v>
      </c>
      <c r="B2811" s="1813"/>
      <c r="C2811" s="1813"/>
      <c r="D2811" s="1813"/>
      <c r="E2811" s="1813"/>
      <c r="F2811" s="1813"/>
      <c r="G2811" s="1814"/>
      <c r="H2811" s="1032" t="str">
        <f>IF(A2811="","",VLOOKUP(A2811,'10'!$C$6:$E$1152,2,FALSE))</f>
        <v>UND</v>
      </c>
      <c r="I2811" s="1785">
        <f>IF(A2811="","",VLOOKUP(A2811,'10'!$C$6:$E$1152,3,FALSE))</f>
        <v>122570</v>
      </c>
      <c r="J2811" s="1412"/>
      <c r="K2811" s="1787">
        <v>1</v>
      </c>
      <c r="L2811" s="1847"/>
      <c r="M2811" s="1780">
        <f t="shared" ref="M2811:M2814" si="124">K2811*I2811</f>
        <v>122570</v>
      </c>
      <c r="N2811" s="1779"/>
    </row>
    <row r="2812" spans="1:14" ht="13.5" x14ac:dyDescent="0.2">
      <c r="A2812" s="1812" t="s">
        <v>1102</v>
      </c>
      <c r="B2812" s="1813"/>
      <c r="C2812" s="1813"/>
      <c r="D2812" s="1813"/>
      <c r="E2812" s="1813"/>
      <c r="F2812" s="1813"/>
      <c r="G2812" s="1814"/>
      <c r="H2812" s="1032" t="str">
        <f>IF(A2812="","",VLOOKUP(A2812,'10'!$C$6:$E$1152,2,FALSE))</f>
        <v>ML</v>
      </c>
      <c r="I2812" s="1785">
        <f>IF(A2812="","",VLOOKUP(A2812,'10'!$C$6:$E$1152,3,FALSE))</f>
        <v>172550</v>
      </c>
      <c r="J2812" s="1412"/>
      <c r="K2812" s="1787">
        <v>0.25</v>
      </c>
      <c r="L2812" s="1847"/>
      <c r="M2812" s="1780">
        <f t="shared" si="124"/>
        <v>43137.5</v>
      </c>
      <c r="N2812" s="1779"/>
    </row>
    <row r="2813" spans="1:14" ht="13.5" x14ac:dyDescent="0.2">
      <c r="A2813" s="1812" t="s">
        <v>1560</v>
      </c>
      <c r="B2813" s="1813"/>
      <c r="C2813" s="1813"/>
      <c r="D2813" s="1813"/>
      <c r="E2813" s="1813"/>
      <c r="F2813" s="1813"/>
      <c r="G2813" s="1814"/>
      <c r="H2813" s="1032" t="str">
        <f>IF(A2813="","",VLOOKUP(A2813,'10'!$C$6:$E$1152,2,FALSE))</f>
        <v>UND</v>
      </c>
      <c r="I2813" s="1785">
        <f>IF(A2813="","",VLOOKUP(A2813,'10'!$C$6:$E$1152,3,FALSE))</f>
        <v>4000</v>
      </c>
      <c r="J2813" s="1412"/>
      <c r="K2813" s="1787">
        <v>4</v>
      </c>
      <c r="L2813" s="1847"/>
      <c r="M2813" s="1780">
        <f t="shared" si="124"/>
        <v>16000</v>
      </c>
      <c r="N2813" s="1779"/>
    </row>
    <row r="2814" spans="1:14" ht="13.5" x14ac:dyDescent="0.2">
      <c r="A2814" s="1812" t="s">
        <v>1573</v>
      </c>
      <c r="B2814" s="1813"/>
      <c r="C2814" s="1813"/>
      <c r="D2814" s="1813"/>
      <c r="E2814" s="1813"/>
      <c r="F2814" s="1813"/>
      <c r="G2814" s="1814"/>
      <c r="H2814" s="1032" t="str">
        <f>IF(A2814="","",VLOOKUP(A2814,'10'!$C$6:$E$1152,2,FALSE))</f>
        <v>UND</v>
      </c>
      <c r="I2814" s="1785">
        <f>IF(A2814="","",VLOOKUP(A2814,'10'!$C$6:$E$1152,3,FALSE))</f>
        <v>25000</v>
      </c>
      <c r="J2814" s="1412"/>
      <c r="K2814" s="1787">
        <v>1</v>
      </c>
      <c r="L2814" s="1847"/>
      <c r="M2814" s="1780">
        <f t="shared" si="124"/>
        <v>25000</v>
      </c>
      <c r="N2814" s="1779"/>
    </row>
    <row r="2815" spans="1:14" ht="13.5" x14ac:dyDescent="0.2">
      <c r="A2815" s="1812" t="s">
        <v>910</v>
      </c>
      <c r="B2815" s="1813"/>
      <c r="C2815" s="1813"/>
      <c r="D2815" s="1813"/>
      <c r="E2815" s="1813"/>
      <c r="F2815" s="1813"/>
      <c r="G2815" s="1814"/>
      <c r="H2815" s="1032" t="str">
        <f>IF(A2815="","",VLOOKUP(A2815,'10'!$C$6:$E$1152,2,FALSE))</f>
        <v>UND</v>
      </c>
      <c r="I2815" s="1785">
        <f>IF(A2815="","",VLOOKUP(A2815,'10'!$C$6:$E$1152,3,FALSE))</f>
        <v>737800</v>
      </c>
      <c r="J2815" s="1412"/>
      <c r="K2815" s="1787">
        <v>1</v>
      </c>
      <c r="L2815" s="1847"/>
      <c r="M2815" s="1780">
        <f t="shared" ref="M2815" si="125">K2815*I2815</f>
        <v>737800</v>
      </c>
      <c r="N2815" s="1779"/>
    </row>
    <row r="2816" spans="1:14" ht="13.5" x14ac:dyDescent="0.2">
      <c r="A2816" s="1809"/>
      <c r="B2816" s="1810"/>
      <c r="C2816" s="1810"/>
      <c r="D2816" s="1810"/>
      <c r="E2816" s="1810"/>
      <c r="F2816" s="1810"/>
      <c r="G2816" s="1811"/>
      <c r="H2816" s="1032"/>
      <c r="I2816" s="1785"/>
      <c r="J2816" s="1412"/>
      <c r="K2816" s="1787"/>
      <c r="L2816" s="1847"/>
      <c r="M2816" s="1780"/>
      <c r="N2816" s="1779"/>
    </row>
    <row r="2817" spans="1:14" ht="13.5" x14ac:dyDescent="0.2">
      <c r="A2817" s="1153"/>
      <c r="B2817" s="1154"/>
      <c r="C2817" s="1154"/>
      <c r="D2817" s="1154"/>
      <c r="E2817" s="1154"/>
      <c r="F2817" s="1154"/>
      <c r="G2817" s="1155"/>
      <c r="H2817" s="1032"/>
      <c r="I2817" s="1785"/>
      <c r="J2817" s="1412"/>
      <c r="K2817" s="1787"/>
      <c r="L2817" s="1779"/>
      <c r="M2817" s="1780"/>
      <c r="N2817" s="1779"/>
    </row>
    <row r="2818" spans="1:14" ht="13.5" x14ac:dyDescent="0.25">
      <c r="A2818" s="1138"/>
      <c r="B2818" s="1138"/>
      <c r="C2818" s="1138"/>
      <c r="D2818" s="1138"/>
      <c r="E2818" s="1138"/>
      <c r="F2818" s="1138"/>
      <c r="G2818" s="1138"/>
      <c r="H2818" s="1138"/>
      <c r="I2818" s="1138"/>
      <c r="J2818" s="1138"/>
      <c r="K2818" s="1778" t="s">
        <v>523</v>
      </c>
      <c r="L2818" s="1779"/>
      <c r="M2818" s="1780">
        <f>ROUND(SUM(M2810:N2817),2)</f>
        <v>2467707.5</v>
      </c>
      <c r="N2818" s="1779"/>
    </row>
    <row r="2819" spans="1:14" ht="13.5" x14ac:dyDescent="0.25">
      <c r="A2819" s="1138"/>
      <c r="B2819" s="1138"/>
      <c r="C2819" s="1138"/>
      <c r="D2819" s="1138"/>
      <c r="E2819" s="1138"/>
      <c r="F2819" s="1138"/>
      <c r="G2819" s="1138"/>
      <c r="H2819" s="1138"/>
      <c r="I2819" s="1138"/>
      <c r="J2819" s="1138"/>
      <c r="K2819" s="1138"/>
      <c r="L2819" s="1138"/>
      <c r="M2819" s="1138"/>
      <c r="N2819" s="1138"/>
    </row>
    <row r="2820" spans="1:14" x14ac:dyDescent="0.2">
      <c r="A2820" s="1781" t="s">
        <v>2145</v>
      </c>
      <c r="B2820" s="1782"/>
      <c r="C2820" s="1782"/>
      <c r="D2820" s="1782"/>
      <c r="E2820" s="1782"/>
      <c r="F2820" s="1782"/>
      <c r="G2820" s="1782"/>
      <c r="H2820" s="1782"/>
      <c r="I2820" s="1782"/>
      <c r="J2820" s="1782"/>
      <c r="K2820" s="1782"/>
      <c r="L2820" s="1782"/>
      <c r="M2820" s="1782"/>
      <c r="N2820" s="1779"/>
    </row>
    <row r="2821" spans="1:14" x14ac:dyDescent="0.2">
      <c r="A2821" s="1778" t="s">
        <v>14</v>
      </c>
      <c r="B2821" s="1782"/>
      <c r="C2821" s="1782"/>
      <c r="D2821" s="1782"/>
      <c r="E2821" s="1782"/>
      <c r="F2821" s="1782"/>
      <c r="G2821" s="1779"/>
      <c r="H2821" s="1136" t="s">
        <v>15</v>
      </c>
      <c r="I2821" s="1783" t="s">
        <v>619</v>
      </c>
      <c r="J2821" s="1779"/>
      <c r="K2821" s="1783" t="s">
        <v>610</v>
      </c>
      <c r="L2821" s="1779"/>
      <c r="M2821" s="1783" t="s">
        <v>2140</v>
      </c>
      <c r="N2821" s="1779"/>
    </row>
    <row r="2822" spans="1:14" ht="13.5" x14ac:dyDescent="0.2">
      <c r="A2822" s="1836" t="s">
        <v>131</v>
      </c>
      <c r="B2822" s="1837"/>
      <c r="C2822" s="1837"/>
      <c r="D2822" s="1837"/>
      <c r="E2822" s="1837"/>
      <c r="F2822" s="1837"/>
      <c r="G2822" s="1838"/>
      <c r="H2822" s="1032" t="str">
        <f>IF(A2822="","",VLOOKUP(A2822,'11'!$C$6:$E$87,2,FALSE))</f>
        <v>DIA</v>
      </c>
      <c r="I2822" s="1785">
        <f>IF(A2822="","",VLOOKUP(A2822,'11'!$C$6:$E$87,3,FALSE))</f>
        <v>15000</v>
      </c>
      <c r="J2822" s="1412"/>
      <c r="K2822" s="1787">
        <v>2</v>
      </c>
      <c r="L2822" s="1793"/>
      <c r="M2822" s="1780">
        <f>I2822/K2822</f>
        <v>7500</v>
      </c>
      <c r="N2822" s="1779"/>
    </row>
    <row r="2823" spans="1:14" ht="13.5" x14ac:dyDescent="0.2">
      <c r="A2823" s="1839"/>
      <c r="B2823" s="1840"/>
      <c r="C2823" s="1840"/>
      <c r="D2823" s="1840"/>
      <c r="E2823" s="1840"/>
      <c r="F2823" s="1840"/>
      <c r="G2823" s="1841"/>
      <c r="H2823" s="1137"/>
      <c r="I2823" s="1780"/>
      <c r="J2823" s="1779"/>
      <c r="K2823" s="1794"/>
      <c r="L2823" s="1779"/>
      <c r="M2823" s="1780"/>
      <c r="N2823" s="1779"/>
    </row>
    <row r="2824" spans="1:14" ht="13.5" x14ac:dyDescent="0.2">
      <c r="A2824" s="1836"/>
      <c r="B2824" s="1837"/>
      <c r="C2824" s="1837"/>
      <c r="D2824" s="1837"/>
      <c r="E2824" s="1837"/>
      <c r="F2824" s="1837"/>
      <c r="G2824" s="1838"/>
      <c r="H2824" s="1137"/>
      <c r="I2824" s="1780"/>
      <c r="J2824" s="1779"/>
      <c r="K2824" s="1787"/>
      <c r="L2824" s="1779"/>
      <c r="M2824" s="1780"/>
      <c r="N2824" s="1779"/>
    </row>
    <row r="2825" spans="1:14" ht="13.5" x14ac:dyDescent="0.2">
      <c r="A2825" s="1836"/>
      <c r="B2825" s="1837"/>
      <c r="C2825" s="1837"/>
      <c r="D2825" s="1837"/>
      <c r="E2825" s="1837"/>
      <c r="F2825" s="1837"/>
      <c r="G2825" s="1838"/>
      <c r="H2825" s="1137"/>
      <c r="I2825" s="1780"/>
      <c r="J2825" s="1779"/>
      <c r="K2825" s="1787"/>
      <c r="L2825" s="1779"/>
      <c r="M2825" s="1780"/>
      <c r="N2825" s="1779"/>
    </row>
    <row r="2826" spans="1:14" ht="13.5" x14ac:dyDescent="0.2">
      <c r="A2826" s="1789"/>
      <c r="B2826" s="1790"/>
      <c r="C2826" s="1790"/>
      <c r="D2826" s="1790"/>
      <c r="E2826" s="1790"/>
      <c r="F2826" s="1790"/>
      <c r="G2826" s="1791"/>
      <c r="H2826" s="1137"/>
      <c r="I2826" s="1780"/>
      <c r="J2826" s="1779"/>
      <c r="K2826" s="1787"/>
      <c r="L2826" s="1779"/>
      <c r="M2826" s="1780"/>
      <c r="N2826" s="1779"/>
    </row>
    <row r="2827" spans="1:14" ht="13.5" x14ac:dyDescent="0.25">
      <c r="A2827" s="1138"/>
      <c r="B2827" s="1138"/>
      <c r="C2827" s="1138"/>
      <c r="D2827" s="1138"/>
      <c r="E2827" s="1138"/>
      <c r="F2827" s="1138"/>
      <c r="G2827" s="1138"/>
      <c r="H2827" s="1138"/>
      <c r="I2827" s="1138"/>
      <c r="J2827" s="1138"/>
      <c r="K2827" s="1778" t="s">
        <v>523</v>
      </c>
      <c r="L2827" s="1779"/>
      <c r="M2827" s="1780">
        <f>ROUND(SUM(M2822:N2826),2)</f>
        <v>7500</v>
      </c>
      <c r="N2827" s="1779"/>
    </row>
    <row r="2828" spans="1:14" ht="13.5" x14ac:dyDescent="0.25">
      <c r="A2828" s="1138"/>
      <c r="B2828" s="1138"/>
      <c r="C2828" s="1138"/>
      <c r="D2828" s="1138"/>
      <c r="E2828" s="1138"/>
      <c r="F2828" s="1138"/>
      <c r="G2828" s="1138"/>
      <c r="H2828" s="1138"/>
      <c r="I2828" s="1138"/>
      <c r="J2828" s="1138"/>
      <c r="K2828" s="1138"/>
      <c r="L2828" s="1138"/>
      <c r="M2828" s="1138"/>
      <c r="N2828" s="1138"/>
    </row>
    <row r="2829" spans="1:14" x14ac:dyDescent="0.2">
      <c r="A2829" s="1781" t="s">
        <v>2147</v>
      </c>
      <c r="B2829" s="1782"/>
      <c r="C2829" s="1782"/>
      <c r="D2829" s="1782"/>
      <c r="E2829" s="1782"/>
      <c r="F2829" s="1782"/>
      <c r="G2829" s="1782"/>
      <c r="H2829" s="1782"/>
      <c r="I2829" s="1782"/>
      <c r="J2829" s="1782"/>
      <c r="K2829" s="1782"/>
      <c r="L2829" s="1782"/>
      <c r="M2829" s="1782"/>
      <c r="N2829" s="1779"/>
    </row>
    <row r="2830" spans="1:14" x14ac:dyDescent="0.2">
      <c r="A2830" s="1778" t="s">
        <v>14</v>
      </c>
      <c r="B2830" s="1782"/>
      <c r="C2830" s="1782"/>
      <c r="D2830" s="1782"/>
      <c r="E2830" s="1782"/>
      <c r="F2830" s="1782"/>
      <c r="G2830" s="1779"/>
      <c r="H2830" s="1136" t="s">
        <v>15</v>
      </c>
      <c r="I2830" s="1783" t="s">
        <v>619</v>
      </c>
      <c r="J2830" s="1779"/>
      <c r="K2830" s="1783" t="s">
        <v>628</v>
      </c>
      <c r="L2830" s="1779"/>
      <c r="M2830" s="1783" t="s">
        <v>2140</v>
      </c>
      <c r="N2830" s="1779"/>
    </row>
    <row r="2831" spans="1:14" ht="13.5" x14ac:dyDescent="0.2">
      <c r="A2831" s="1789" t="s">
        <v>874</v>
      </c>
      <c r="B2831" s="1790"/>
      <c r="C2831" s="1790"/>
      <c r="D2831" s="1790"/>
      <c r="E2831" s="1790"/>
      <c r="F2831" s="1790"/>
      <c r="G2831" s="1791"/>
      <c r="H2831" s="1032" t="str">
        <f>IF(A2831="","",VLOOKUP(A2831,'11'!$C$6:$E$1012,2,FALSE))</f>
        <v>KM-M3</v>
      </c>
      <c r="I2831" s="1785">
        <f>IF(A2831="","",VLOOKUP(A2831,'11'!$C$6:$E$1012,3,FALSE))</f>
        <v>1440</v>
      </c>
      <c r="J2831" s="1412"/>
      <c r="K2831" s="1787">
        <f>75*0.0015</f>
        <v>0.1125</v>
      </c>
      <c r="L2831" s="1793"/>
      <c r="M2831" s="1780">
        <f>IF(A2831="","",I2831*K2831)</f>
        <v>162</v>
      </c>
      <c r="N2831" s="1779"/>
    </row>
    <row r="2832" spans="1:14" ht="13.5" x14ac:dyDescent="0.2">
      <c r="A2832" s="1789"/>
      <c r="B2832" s="1790"/>
      <c r="C2832" s="1790"/>
      <c r="D2832" s="1790"/>
      <c r="E2832" s="1790"/>
      <c r="F2832" s="1790"/>
      <c r="G2832" s="1791"/>
      <c r="H2832" s="1032"/>
      <c r="I2832" s="1785"/>
      <c r="J2832" s="1412"/>
      <c r="K2832" s="1787"/>
      <c r="L2832" s="1793"/>
      <c r="M2832" s="1780"/>
      <c r="N2832" s="1779"/>
    </row>
    <row r="2833" spans="1:14" ht="13.5" x14ac:dyDescent="0.2">
      <c r="A2833" s="1789"/>
      <c r="B2833" s="1790"/>
      <c r="C2833" s="1790"/>
      <c r="D2833" s="1790"/>
      <c r="E2833" s="1790"/>
      <c r="F2833" s="1790"/>
      <c r="G2833" s="1791"/>
      <c r="H2833" s="1032"/>
      <c r="I2833" s="1785"/>
      <c r="J2833" s="1412"/>
      <c r="K2833" s="1787"/>
      <c r="L2833" s="1793"/>
      <c r="M2833" s="1780"/>
      <c r="N2833" s="1779"/>
    </row>
    <row r="2834" spans="1:14" ht="13.5" x14ac:dyDescent="0.2">
      <c r="A2834" s="1789"/>
      <c r="B2834" s="1782"/>
      <c r="C2834" s="1782"/>
      <c r="D2834" s="1782"/>
      <c r="E2834" s="1782"/>
      <c r="F2834" s="1782"/>
      <c r="G2834" s="1779"/>
      <c r="H2834" s="1137"/>
      <c r="I2834" s="1780"/>
      <c r="J2834" s="1779"/>
      <c r="K2834" s="1787"/>
      <c r="L2834" s="1779"/>
      <c r="M2834" s="1780"/>
      <c r="N2834" s="1779"/>
    </row>
    <row r="2835" spans="1:14" ht="13.5" x14ac:dyDescent="0.2">
      <c r="A2835" s="1789"/>
      <c r="B2835" s="1782"/>
      <c r="C2835" s="1782"/>
      <c r="D2835" s="1782"/>
      <c r="E2835" s="1782"/>
      <c r="F2835" s="1782"/>
      <c r="G2835" s="1779"/>
      <c r="H2835" s="1137"/>
      <c r="I2835" s="1780"/>
      <c r="J2835" s="1779"/>
      <c r="K2835" s="1787"/>
      <c r="L2835" s="1779"/>
      <c r="M2835" s="1780"/>
      <c r="N2835" s="1779"/>
    </row>
    <row r="2836" spans="1:14" ht="13.5" x14ac:dyDescent="0.25">
      <c r="A2836" s="1138"/>
      <c r="B2836" s="1138"/>
      <c r="C2836" s="1138"/>
      <c r="D2836" s="1138"/>
      <c r="E2836" s="1138"/>
      <c r="F2836" s="1138"/>
      <c r="G2836" s="1138"/>
      <c r="H2836" s="1138"/>
      <c r="I2836" s="1138"/>
      <c r="J2836" s="1138"/>
      <c r="K2836" s="1778" t="s">
        <v>523</v>
      </c>
      <c r="L2836" s="1779"/>
      <c r="M2836" s="1780">
        <f>ROUND(SUM(M2831:N2835),2)</f>
        <v>162</v>
      </c>
      <c r="N2836" s="1779"/>
    </row>
    <row r="2837" spans="1:14" ht="13.5" x14ac:dyDescent="0.25">
      <c r="A2837" s="1138"/>
      <c r="B2837" s="1138"/>
      <c r="C2837" s="1138"/>
      <c r="D2837" s="1138"/>
      <c r="E2837" s="1138"/>
      <c r="F2837" s="1138"/>
      <c r="G2837" s="1138"/>
      <c r="H2837" s="1138"/>
      <c r="I2837" s="1138"/>
      <c r="J2837" s="1138"/>
      <c r="K2837" s="1138"/>
      <c r="L2837" s="1138"/>
      <c r="M2837" s="1138"/>
      <c r="N2837" s="1138"/>
    </row>
    <row r="2838" spans="1:14" x14ac:dyDescent="0.2">
      <c r="A2838" s="1781" t="s">
        <v>2150</v>
      </c>
      <c r="B2838" s="1782"/>
      <c r="C2838" s="1782"/>
      <c r="D2838" s="1782"/>
      <c r="E2838" s="1782"/>
      <c r="F2838" s="1782"/>
      <c r="G2838" s="1782"/>
      <c r="H2838" s="1782"/>
      <c r="I2838" s="1782"/>
      <c r="J2838" s="1782"/>
      <c r="K2838" s="1782"/>
      <c r="L2838" s="1782"/>
      <c r="M2838" s="1782"/>
      <c r="N2838" s="1779"/>
    </row>
    <row r="2839" spans="1:14" x14ac:dyDescent="0.2">
      <c r="A2839" s="1778" t="s">
        <v>14</v>
      </c>
      <c r="B2839" s="1782"/>
      <c r="C2839" s="1782"/>
      <c r="D2839" s="1782"/>
      <c r="E2839" s="1782"/>
      <c r="F2839" s="1782"/>
      <c r="G2839" s="1779"/>
      <c r="H2839" s="1136" t="s">
        <v>15</v>
      </c>
      <c r="I2839" s="1783" t="s">
        <v>619</v>
      </c>
      <c r="J2839" s="1779"/>
      <c r="K2839" s="1139" t="s">
        <v>1919</v>
      </c>
      <c r="L2839" s="1140" t="s">
        <v>2151</v>
      </c>
      <c r="M2839" s="1783" t="s">
        <v>2140</v>
      </c>
      <c r="N2839" s="1779"/>
    </row>
    <row r="2840" spans="1:14" ht="13.5" x14ac:dyDescent="0.25">
      <c r="A2840" s="1833" t="s">
        <v>2168</v>
      </c>
      <c r="B2840" s="1834"/>
      <c r="C2840" s="1834"/>
      <c r="D2840" s="1834"/>
      <c r="E2840" s="1834"/>
      <c r="F2840" s="1834"/>
      <c r="G2840" s="1835"/>
      <c r="H2840" s="1032" t="str">
        <f>IF(A2840="","",VLOOKUP(A2840,'09'!$A$22:$O$168,4,FALSE))</f>
        <v>Cuadrilla</v>
      </c>
      <c r="I2840" s="1785">
        <f>IF(A2840="","",VLOOKUP(A2840,'09'!$A$22:$O$168,5,FALSE))</f>
        <v>204272</v>
      </c>
      <c r="J2840" s="1412"/>
      <c r="K2840" s="1034">
        <f>IF(A2840="","",'03'!$I$2)</f>
        <v>1.88995</v>
      </c>
      <c r="L2840" s="1142">
        <v>3</v>
      </c>
      <c r="M2840" s="1780">
        <f>I2840*K2840/L2840</f>
        <v>128687.95546666667</v>
      </c>
      <c r="N2840" s="1779"/>
    </row>
    <row r="2841" spans="1:14" ht="13.5" x14ac:dyDescent="0.25">
      <c r="A2841" s="1830"/>
      <c r="B2841" s="1831"/>
      <c r="C2841" s="1831"/>
      <c r="D2841" s="1831"/>
      <c r="E2841" s="1831"/>
      <c r="F2841" s="1831"/>
      <c r="G2841" s="1832"/>
      <c r="H2841" s="1137"/>
      <c r="I2841" s="1780"/>
      <c r="J2841" s="1779"/>
      <c r="K2841" s="1141"/>
      <c r="L2841" s="1141"/>
      <c r="M2841" s="1780"/>
      <c r="N2841" s="1779"/>
    </row>
    <row r="2842" spans="1:14" ht="13.5" x14ac:dyDescent="0.25">
      <c r="A2842" s="1830"/>
      <c r="B2842" s="1831"/>
      <c r="C2842" s="1831"/>
      <c r="D2842" s="1831"/>
      <c r="E2842" s="1831"/>
      <c r="F2842" s="1831"/>
      <c r="G2842" s="1832"/>
      <c r="H2842" s="1137"/>
      <c r="I2842" s="1780"/>
      <c r="J2842" s="1779"/>
      <c r="K2842" s="1141"/>
      <c r="L2842" s="1143"/>
      <c r="M2842" s="1780"/>
      <c r="N2842" s="1779"/>
    </row>
    <row r="2843" spans="1:14" ht="13.5" x14ac:dyDescent="0.25">
      <c r="A2843" s="1784"/>
      <c r="B2843" s="1782"/>
      <c r="C2843" s="1782"/>
      <c r="D2843" s="1782"/>
      <c r="E2843" s="1782"/>
      <c r="F2843" s="1782"/>
      <c r="G2843" s="1779"/>
      <c r="H2843" s="1137"/>
      <c r="I2843" s="1780"/>
      <c r="J2843" s="1779"/>
      <c r="K2843" s="1141"/>
      <c r="L2843" s="1143"/>
      <c r="M2843" s="1780"/>
      <c r="N2843" s="1779"/>
    </row>
    <row r="2844" spans="1:14" ht="13.5" x14ac:dyDescent="0.25">
      <c r="A2844" s="1784"/>
      <c r="B2844" s="1782"/>
      <c r="C2844" s="1782"/>
      <c r="D2844" s="1782"/>
      <c r="E2844" s="1782"/>
      <c r="F2844" s="1782"/>
      <c r="G2844" s="1779"/>
      <c r="H2844" s="1137"/>
      <c r="I2844" s="1780"/>
      <c r="J2844" s="1779"/>
      <c r="K2844" s="1141"/>
      <c r="L2844" s="1143"/>
      <c r="M2844" s="1780"/>
      <c r="N2844" s="1779"/>
    </row>
    <row r="2845" spans="1:14" ht="13.5" x14ac:dyDescent="0.25">
      <c r="A2845" s="1138"/>
      <c r="B2845" s="1138"/>
      <c r="C2845" s="1138"/>
      <c r="D2845" s="1138"/>
      <c r="E2845" s="1138"/>
      <c r="F2845" s="1138"/>
      <c r="G2845" s="1138"/>
      <c r="H2845" s="1138"/>
      <c r="I2845" s="1138"/>
      <c r="J2845" s="1138"/>
      <c r="K2845" s="1778" t="s">
        <v>523</v>
      </c>
      <c r="L2845" s="1779"/>
      <c r="M2845" s="1780">
        <f>ROUND(SUM(M2840:N2844),2)</f>
        <v>128687.96</v>
      </c>
      <c r="N2845" s="1779"/>
    </row>
    <row r="2846" spans="1:14" x14ac:dyDescent="0.2">
      <c r="I2846" s="1414"/>
      <c r="J2846" s="1415"/>
      <c r="K2846" s="1415"/>
      <c r="L2846" s="1415"/>
      <c r="M2846" s="1415"/>
      <c r="N2846" s="1415"/>
    </row>
    <row r="2847" spans="1:14" ht="13.5" thickBot="1" x14ac:dyDescent="0.25">
      <c r="I2847" s="1416"/>
      <c r="J2847" s="1416"/>
      <c r="K2847" s="1416"/>
      <c r="L2847" s="1416"/>
      <c r="M2847" s="1416"/>
      <c r="N2847" s="1416"/>
    </row>
    <row r="2848" spans="1:14" ht="14.25" thickTop="1" x14ac:dyDescent="0.2">
      <c r="I2848" s="1417" t="s">
        <v>1829</v>
      </c>
      <c r="J2848" s="1418"/>
      <c r="K2848" s="1417" t="s">
        <v>2653</v>
      </c>
      <c r="L2848" s="1418"/>
      <c r="M2848" s="1418"/>
      <c r="N2848" s="1418"/>
    </row>
    <row r="2849" spans="1:14" ht="13.5" x14ac:dyDescent="0.2">
      <c r="I2849" s="1419" t="s">
        <v>1831</v>
      </c>
      <c r="J2849" s="1420"/>
      <c r="K2849" s="1419"/>
      <c r="L2849" s="1420"/>
      <c r="M2849" s="1420"/>
      <c r="N2849" s="1420"/>
    </row>
    <row r="2850" spans="1:14" x14ac:dyDescent="0.2">
      <c r="A2850" s="1803" t="s">
        <v>2534</v>
      </c>
      <c r="B2850" s="1804"/>
      <c r="C2850" s="1804"/>
      <c r="D2850" s="1804"/>
      <c r="E2850" s="1804"/>
      <c r="F2850" s="1804"/>
      <c r="G2850" s="1804"/>
      <c r="H2850" s="1804"/>
      <c r="I2850" s="1804"/>
      <c r="J2850" s="1804"/>
      <c r="K2850" s="1804"/>
      <c r="L2850" s="1804"/>
      <c r="M2850" s="1804"/>
      <c r="N2850" s="1805"/>
    </row>
    <row r="2851" spans="1:14" x14ac:dyDescent="0.2">
      <c r="A2851" s="1806"/>
      <c r="B2851" s="1807"/>
      <c r="C2851" s="1807"/>
      <c r="D2851" s="1807"/>
      <c r="E2851" s="1807"/>
      <c r="F2851" s="1807"/>
      <c r="G2851" s="1807"/>
      <c r="H2851" s="1807"/>
      <c r="I2851" s="1807"/>
      <c r="J2851" s="1807"/>
      <c r="K2851" s="1807"/>
      <c r="L2851" s="1807"/>
      <c r="M2851" s="1807"/>
      <c r="N2851" s="1808"/>
    </row>
    <row r="2852" spans="1:14" ht="13.5" x14ac:dyDescent="0.2">
      <c r="A2852" s="1128"/>
      <c r="B2852" s="1128"/>
      <c r="C2852" s="1128"/>
      <c r="D2852" s="1128"/>
      <c r="E2852" s="1128"/>
      <c r="F2852" s="1128"/>
      <c r="G2852" s="1128"/>
      <c r="H2852" s="1128"/>
      <c r="I2852" s="1128"/>
      <c r="J2852" s="1128"/>
      <c r="K2852" s="1128"/>
      <c r="L2852" s="1128"/>
      <c r="M2852" s="1128"/>
      <c r="N2852" s="1128"/>
    </row>
    <row r="2853" spans="1:14" ht="14.25" x14ac:dyDescent="0.3">
      <c r="A2853" s="1104" t="s">
        <v>2535</v>
      </c>
      <c r="B2853" s="1129" t="str">
        <f>A2850</f>
        <v>SUMINISTRO E INSTALACIÓN DE ESCALERA GATO PARA INSPECCIÓN DE ESTRUCTURAS.</v>
      </c>
      <c r="C2853" s="1130" t="s">
        <v>634</v>
      </c>
      <c r="D2853" s="1107" t="s">
        <v>2</v>
      </c>
      <c r="E2853" s="1132" t="s">
        <v>1833</v>
      </c>
      <c r="F2853" s="1133">
        <f>H2853+J2853+L2853+N2853</f>
        <v>146851.14000000001</v>
      </c>
      <c r="G2853" s="1132" t="s">
        <v>2136</v>
      </c>
      <c r="H2853" s="1133">
        <f>M2874</f>
        <v>10937.5</v>
      </c>
      <c r="I2853" s="1132" t="s">
        <v>621</v>
      </c>
      <c r="J2853" s="1134">
        <f>M2865</f>
        <v>91630</v>
      </c>
      <c r="K2853" s="1132" t="s">
        <v>2137</v>
      </c>
      <c r="L2853" s="1133">
        <f>M2883</f>
        <v>162</v>
      </c>
      <c r="M2853" s="1132" t="s">
        <v>2138</v>
      </c>
      <c r="N2853" s="1133">
        <f>M2892</f>
        <v>44121.64</v>
      </c>
    </row>
    <row r="2854" spans="1:14" ht="13.5" x14ac:dyDescent="0.25">
      <c r="A2854" s="1135"/>
      <c r="B2854" s="1135"/>
      <c r="C2854" s="1135"/>
      <c r="D2854" s="1135"/>
      <c r="E2854" s="1135"/>
      <c r="F2854" s="1135"/>
      <c r="G2854" s="1135"/>
      <c r="J2854" s="1135"/>
      <c r="K2854" s="1135"/>
      <c r="L2854" s="1135"/>
      <c r="M2854" s="1270" t="s">
        <v>2667</v>
      </c>
      <c r="N2854" s="1270">
        <f>+F2853*'01'!$O$15</f>
        <v>190070.00432077216</v>
      </c>
    </row>
    <row r="2855" spans="1:14" x14ac:dyDescent="0.2">
      <c r="A2855" s="1781" t="s">
        <v>2139</v>
      </c>
      <c r="B2855" s="1782"/>
      <c r="C2855" s="1782"/>
      <c r="D2855" s="1782"/>
      <c r="E2855" s="1782"/>
      <c r="F2855" s="1782"/>
      <c r="G2855" s="1782"/>
      <c r="H2855" s="1782"/>
      <c r="I2855" s="1782"/>
      <c r="J2855" s="1782"/>
      <c r="K2855" s="1782"/>
      <c r="L2855" s="1782"/>
      <c r="M2855" s="1782"/>
      <c r="N2855" s="1779"/>
    </row>
    <row r="2856" spans="1:14" x14ac:dyDescent="0.2">
      <c r="A2856" s="1848" t="s">
        <v>14</v>
      </c>
      <c r="B2856" s="1804"/>
      <c r="C2856" s="1804"/>
      <c r="D2856" s="1804"/>
      <c r="E2856" s="1804"/>
      <c r="F2856" s="1804"/>
      <c r="G2856" s="1805"/>
      <c r="H2856" s="1136" t="s">
        <v>15</v>
      </c>
      <c r="I2856" s="1783" t="s">
        <v>619</v>
      </c>
      <c r="J2856" s="1779"/>
      <c r="K2856" s="1783" t="s">
        <v>628</v>
      </c>
      <c r="L2856" s="1779"/>
      <c r="M2856" s="1783" t="s">
        <v>2140</v>
      </c>
      <c r="N2856" s="1779"/>
    </row>
    <row r="2857" spans="1:14" ht="13.5" customHeight="1" x14ac:dyDescent="0.2">
      <c r="A2857" s="1812" t="s">
        <v>2533</v>
      </c>
      <c r="B2857" s="1813"/>
      <c r="C2857" s="1813"/>
      <c r="D2857" s="1813"/>
      <c r="E2857" s="1813"/>
      <c r="F2857" s="1813"/>
      <c r="G2857" s="1814"/>
      <c r="H2857" s="1032" t="str">
        <f>IF(A2857="","",VLOOKUP(A2857,'10'!$C$6:$E$1152,2,FALSE))</f>
        <v>UND</v>
      </c>
      <c r="I2857" s="1785">
        <f>IF(A2857="","",VLOOKUP(A2857,'10'!$C$6:$E$1152,3,FALSE))</f>
        <v>91630</v>
      </c>
      <c r="J2857" s="1412"/>
      <c r="K2857" s="1787">
        <v>1</v>
      </c>
      <c r="L2857" s="1847"/>
      <c r="M2857" s="1780">
        <f>K2857*I2857</f>
        <v>91630</v>
      </c>
      <c r="N2857" s="1779"/>
    </row>
    <row r="2858" spans="1:14" ht="13.5" x14ac:dyDescent="0.2">
      <c r="A2858" s="1812"/>
      <c r="B2858" s="1813"/>
      <c r="C2858" s="1813"/>
      <c r="D2858" s="1813"/>
      <c r="E2858" s="1813"/>
      <c r="F2858" s="1813"/>
      <c r="G2858" s="1814"/>
      <c r="H2858" s="1032" t="str">
        <f>IF(A2858="","",VLOOKUP(A2858,'10'!$C$6:$E$1152,2,FALSE))</f>
        <v/>
      </c>
      <c r="I2858" s="1785" t="str">
        <f>IF(A2858="","",VLOOKUP(A2858,'10'!$C$6:$E$1152,3,FALSE))</f>
        <v/>
      </c>
      <c r="J2858" s="1412"/>
      <c r="K2858" s="1787"/>
      <c r="L2858" s="1847"/>
      <c r="M2858" s="1780"/>
      <c r="N2858" s="1779"/>
    </row>
    <row r="2859" spans="1:14" ht="13.5" x14ac:dyDescent="0.2">
      <c r="A2859" s="1812"/>
      <c r="B2859" s="1813"/>
      <c r="C2859" s="1813"/>
      <c r="D2859" s="1813"/>
      <c r="E2859" s="1813"/>
      <c r="F2859" s="1813"/>
      <c r="G2859" s="1814"/>
      <c r="H2859" s="1032" t="str">
        <f>IF(A2859="","",VLOOKUP(A2859,'10'!$C$6:$E$1152,2,FALSE))</f>
        <v/>
      </c>
      <c r="I2859" s="1785" t="str">
        <f>IF(A2859="","",VLOOKUP(A2859,'10'!$C$6:$E$1152,3,FALSE))</f>
        <v/>
      </c>
      <c r="J2859" s="1412"/>
      <c r="K2859" s="1787"/>
      <c r="L2859" s="1847"/>
      <c r="M2859" s="1780"/>
      <c r="N2859" s="1779"/>
    </row>
    <row r="2860" spans="1:14" ht="13.5" x14ac:dyDescent="0.2">
      <c r="A2860" s="1812"/>
      <c r="B2860" s="1813"/>
      <c r="C2860" s="1813"/>
      <c r="D2860" s="1813"/>
      <c r="E2860" s="1813"/>
      <c r="F2860" s="1813"/>
      <c r="G2860" s="1814"/>
      <c r="H2860" s="1032" t="str">
        <f>IF(A2860="","",VLOOKUP(A2860,'10'!$C$6:$E$1152,2,FALSE))</f>
        <v/>
      </c>
      <c r="I2860" s="1785" t="str">
        <f>IF(A2860="","",VLOOKUP(A2860,'10'!$C$6:$E$1152,3,FALSE))</f>
        <v/>
      </c>
      <c r="J2860" s="1412"/>
      <c r="K2860" s="1787"/>
      <c r="L2860" s="1847"/>
      <c r="M2860" s="1780"/>
      <c r="N2860" s="1779"/>
    </row>
    <row r="2861" spans="1:14" ht="13.5" x14ac:dyDescent="0.2">
      <c r="A2861" s="1812"/>
      <c r="B2861" s="1813"/>
      <c r="C2861" s="1813"/>
      <c r="D2861" s="1813"/>
      <c r="E2861" s="1813"/>
      <c r="F2861" s="1813"/>
      <c r="G2861" s="1814"/>
      <c r="H2861" s="1032" t="str">
        <f>IF(A2861="","",VLOOKUP(A2861,'10'!$C$6:$E$1152,2,FALSE))</f>
        <v/>
      </c>
      <c r="I2861" s="1785" t="str">
        <f>IF(A2861="","",VLOOKUP(A2861,'10'!$C$6:$E$1152,3,FALSE))</f>
        <v/>
      </c>
      <c r="J2861" s="1412"/>
      <c r="K2861" s="1787"/>
      <c r="L2861" s="1847"/>
      <c r="M2861" s="1780"/>
      <c r="N2861" s="1779"/>
    </row>
    <row r="2862" spans="1:14" ht="13.5" x14ac:dyDescent="0.2">
      <c r="A2862" s="1812"/>
      <c r="B2862" s="1813"/>
      <c r="C2862" s="1813"/>
      <c r="D2862" s="1813"/>
      <c r="E2862" s="1813"/>
      <c r="F2862" s="1813"/>
      <c r="G2862" s="1814"/>
      <c r="H2862" s="1032" t="str">
        <f>IF(A2862="","",VLOOKUP(A2862,'10'!$C$6:$E$1152,2,FALSE))</f>
        <v/>
      </c>
      <c r="I2862" s="1785" t="str">
        <f>IF(A2862="","",VLOOKUP(A2862,'10'!$C$6:$E$1152,3,FALSE))</f>
        <v/>
      </c>
      <c r="J2862" s="1412"/>
      <c r="K2862" s="1787"/>
      <c r="L2862" s="1847"/>
      <c r="M2862" s="1780"/>
      <c r="N2862" s="1779"/>
    </row>
    <row r="2863" spans="1:14" ht="13.5" x14ac:dyDescent="0.2">
      <c r="A2863" s="1809"/>
      <c r="B2863" s="1810"/>
      <c r="C2863" s="1810"/>
      <c r="D2863" s="1810"/>
      <c r="E2863" s="1810"/>
      <c r="F2863" s="1810"/>
      <c r="G2863" s="1811"/>
      <c r="H2863" s="1032"/>
      <c r="I2863" s="1785"/>
      <c r="J2863" s="1412"/>
      <c r="K2863" s="1787"/>
      <c r="L2863" s="1847"/>
      <c r="M2863" s="1780"/>
      <c r="N2863" s="1779"/>
    </row>
    <row r="2864" spans="1:14" ht="13.5" x14ac:dyDescent="0.2">
      <c r="A2864" s="1153"/>
      <c r="B2864" s="1154"/>
      <c r="C2864" s="1154"/>
      <c r="D2864" s="1154"/>
      <c r="E2864" s="1154"/>
      <c r="F2864" s="1154"/>
      <c r="G2864" s="1155"/>
      <c r="H2864" s="1032"/>
      <c r="I2864" s="1785"/>
      <c r="J2864" s="1412"/>
      <c r="K2864" s="1787"/>
      <c r="L2864" s="1779"/>
      <c r="M2864" s="1780"/>
      <c r="N2864" s="1779"/>
    </row>
    <row r="2865" spans="1:14" ht="13.5" x14ac:dyDescent="0.25">
      <c r="A2865" s="1138"/>
      <c r="B2865" s="1138"/>
      <c r="C2865" s="1138"/>
      <c r="D2865" s="1138"/>
      <c r="E2865" s="1138"/>
      <c r="F2865" s="1138"/>
      <c r="G2865" s="1138"/>
      <c r="H2865" s="1138"/>
      <c r="I2865" s="1138"/>
      <c r="J2865" s="1138"/>
      <c r="K2865" s="1778" t="s">
        <v>523</v>
      </c>
      <c r="L2865" s="1779"/>
      <c r="M2865" s="1780">
        <f>ROUND(SUM(M2857:N2864),2)</f>
        <v>91630</v>
      </c>
      <c r="N2865" s="1779"/>
    </row>
    <row r="2866" spans="1:14" ht="13.5" x14ac:dyDescent="0.25">
      <c r="A2866" s="1138"/>
      <c r="B2866" s="1138"/>
      <c r="C2866" s="1138"/>
      <c r="D2866" s="1138"/>
      <c r="E2866" s="1138"/>
      <c r="F2866" s="1138"/>
      <c r="G2866" s="1138"/>
      <c r="H2866" s="1138"/>
      <c r="I2866" s="1138"/>
      <c r="J2866" s="1138"/>
      <c r="K2866" s="1138"/>
      <c r="L2866" s="1138"/>
      <c r="M2866" s="1138"/>
      <c r="N2866" s="1138"/>
    </row>
    <row r="2867" spans="1:14" x14ac:dyDescent="0.2">
      <c r="A2867" s="1781" t="s">
        <v>2145</v>
      </c>
      <c r="B2867" s="1782"/>
      <c r="C2867" s="1782"/>
      <c r="D2867" s="1782"/>
      <c r="E2867" s="1782"/>
      <c r="F2867" s="1782"/>
      <c r="G2867" s="1782"/>
      <c r="H2867" s="1782"/>
      <c r="I2867" s="1782"/>
      <c r="J2867" s="1782"/>
      <c r="K2867" s="1782"/>
      <c r="L2867" s="1782"/>
      <c r="M2867" s="1782"/>
      <c r="N2867" s="1779"/>
    </row>
    <row r="2868" spans="1:14" x14ac:dyDescent="0.2">
      <c r="A2868" s="1778" t="s">
        <v>14</v>
      </c>
      <c r="B2868" s="1782"/>
      <c r="C2868" s="1782"/>
      <c r="D2868" s="1782"/>
      <c r="E2868" s="1782"/>
      <c r="F2868" s="1782"/>
      <c r="G2868" s="1779"/>
      <c r="H2868" s="1136" t="s">
        <v>15</v>
      </c>
      <c r="I2868" s="1783" t="s">
        <v>619</v>
      </c>
      <c r="J2868" s="1779"/>
      <c r="K2868" s="1783" t="s">
        <v>610</v>
      </c>
      <c r="L2868" s="1779"/>
      <c r="M2868" s="1783" t="s">
        <v>2140</v>
      </c>
      <c r="N2868" s="1779"/>
    </row>
    <row r="2869" spans="1:14" ht="13.5" x14ac:dyDescent="0.2">
      <c r="A2869" s="1836" t="s">
        <v>131</v>
      </c>
      <c r="B2869" s="1837"/>
      <c r="C2869" s="1837"/>
      <c r="D2869" s="1837"/>
      <c r="E2869" s="1837"/>
      <c r="F2869" s="1837"/>
      <c r="G2869" s="1838"/>
      <c r="H2869" s="1032" t="str">
        <f>IF(A2869="","",VLOOKUP(A2869,'11'!$C$6:$E$87,2,FALSE))</f>
        <v>DIA</v>
      </c>
      <c r="I2869" s="1785">
        <f>IF(A2869="","",VLOOKUP(A2869,'11'!$C$6:$E$87,3,FALSE))</f>
        <v>15000</v>
      </c>
      <c r="J2869" s="1412"/>
      <c r="K2869" s="1787">
        <v>2</v>
      </c>
      <c r="L2869" s="1793"/>
      <c r="M2869" s="1780">
        <f>I2869/K2869</f>
        <v>7500</v>
      </c>
      <c r="N2869" s="1779"/>
    </row>
    <row r="2870" spans="1:14" ht="13.5" x14ac:dyDescent="0.2">
      <c r="A2870" s="1839" t="s">
        <v>1073</v>
      </c>
      <c r="B2870" s="1840"/>
      <c r="C2870" s="1840"/>
      <c r="D2870" s="1840"/>
      <c r="E2870" s="1840"/>
      <c r="F2870" s="1840"/>
      <c r="G2870" s="1841"/>
      <c r="H2870" s="1032" t="str">
        <f>IF(A2870="","",VLOOKUP(A2870,'11'!$C$6:$E$87,2,FALSE))</f>
        <v>HR</v>
      </c>
      <c r="I2870" s="1785">
        <f>IF(A2870="","",VLOOKUP(A2870,'11'!$C$6:$E$87,3,FALSE))</f>
        <v>15000</v>
      </c>
      <c r="J2870" s="1412"/>
      <c r="K2870" s="1794">
        <v>5</v>
      </c>
      <c r="L2870" s="1779"/>
      <c r="M2870" s="1780">
        <f>I2870/K2870</f>
        <v>3000</v>
      </c>
      <c r="N2870" s="1779"/>
    </row>
    <row r="2871" spans="1:14" ht="13.5" x14ac:dyDescent="0.2">
      <c r="A2871" s="1836" t="s">
        <v>196</v>
      </c>
      <c r="B2871" s="1837"/>
      <c r="C2871" s="1837"/>
      <c r="D2871" s="1837"/>
      <c r="E2871" s="1837"/>
      <c r="F2871" s="1837"/>
      <c r="G2871" s="1838"/>
      <c r="H2871" s="1032" t="str">
        <f>IF(A2871="","",VLOOKUP(A2871,'11'!$C$6:$E$87,2,FALSE))</f>
        <v>HR</v>
      </c>
      <c r="I2871" s="1785">
        <f>IF(A2871="","",VLOOKUP(A2871,'11'!$C$6:$E$87,3,FALSE))</f>
        <v>4375</v>
      </c>
      <c r="J2871" s="1412"/>
      <c r="K2871" s="1787">
        <v>10</v>
      </c>
      <c r="L2871" s="1779"/>
      <c r="M2871" s="1780">
        <f>I2871/K2871</f>
        <v>437.5</v>
      </c>
      <c r="N2871" s="1779"/>
    </row>
    <row r="2872" spans="1:14" ht="13.5" x14ac:dyDescent="0.2">
      <c r="A2872" s="1836"/>
      <c r="B2872" s="1837"/>
      <c r="C2872" s="1837"/>
      <c r="D2872" s="1837"/>
      <c r="E2872" s="1837"/>
      <c r="F2872" s="1837"/>
      <c r="G2872" s="1838"/>
      <c r="H2872" s="1137"/>
      <c r="I2872" s="1780"/>
      <c r="J2872" s="1779"/>
      <c r="K2872" s="1787"/>
      <c r="L2872" s="1779"/>
      <c r="M2872" s="1780"/>
      <c r="N2872" s="1779"/>
    </row>
    <row r="2873" spans="1:14" ht="13.5" x14ac:dyDescent="0.2">
      <c r="A2873" s="1789"/>
      <c r="B2873" s="1790"/>
      <c r="C2873" s="1790"/>
      <c r="D2873" s="1790"/>
      <c r="E2873" s="1790"/>
      <c r="F2873" s="1790"/>
      <c r="G2873" s="1791"/>
      <c r="H2873" s="1137"/>
      <c r="I2873" s="1780"/>
      <c r="J2873" s="1779"/>
      <c r="K2873" s="1787"/>
      <c r="L2873" s="1779"/>
      <c r="M2873" s="1780"/>
      <c r="N2873" s="1779"/>
    </row>
    <row r="2874" spans="1:14" ht="13.5" x14ac:dyDescent="0.25">
      <c r="A2874" s="1138"/>
      <c r="B2874" s="1138"/>
      <c r="C2874" s="1138"/>
      <c r="D2874" s="1138"/>
      <c r="E2874" s="1138"/>
      <c r="F2874" s="1138"/>
      <c r="G2874" s="1138"/>
      <c r="H2874" s="1138"/>
      <c r="I2874" s="1138"/>
      <c r="J2874" s="1138"/>
      <c r="K2874" s="1778" t="s">
        <v>523</v>
      </c>
      <c r="L2874" s="1779"/>
      <c r="M2874" s="1780">
        <f>ROUND(SUM(M2869:N2873),2)</f>
        <v>10937.5</v>
      </c>
      <c r="N2874" s="1779"/>
    </row>
    <row r="2875" spans="1:14" ht="13.5" x14ac:dyDescent="0.25">
      <c r="A2875" s="1138"/>
      <c r="B2875" s="1138"/>
      <c r="C2875" s="1138"/>
      <c r="D2875" s="1138"/>
      <c r="E2875" s="1138"/>
      <c r="F2875" s="1138"/>
      <c r="G2875" s="1138"/>
      <c r="H2875" s="1138"/>
      <c r="I2875" s="1138"/>
      <c r="J2875" s="1138"/>
      <c r="K2875" s="1138"/>
      <c r="L2875" s="1138"/>
      <c r="M2875" s="1138"/>
      <c r="N2875" s="1138"/>
    </row>
    <row r="2876" spans="1:14" x14ac:dyDescent="0.2">
      <c r="A2876" s="1781" t="s">
        <v>2147</v>
      </c>
      <c r="B2876" s="1782"/>
      <c r="C2876" s="1782"/>
      <c r="D2876" s="1782"/>
      <c r="E2876" s="1782"/>
      <c r="F2876" s="1782"/>
      <c r="G2876" s="1782"/>
      <c r="H2876" s="1782"/>
      <c r="I2876" s="1782"/>
      <c r="J2876" s="1782"/>
      <c r="K2876" s="1782"/>
      <c r="L2876" s="1782"/>
      <c r="M2876" s="1782"/>
      <c r="N2876" s="1779"/>
    </row>
    <row r="2877" spans="1:14" x14ac:dyDescent="0.2">
      <c r="A2877" s="1778" t="s">
        <v>14</v>
      </c>
      <c r="B2877" s="1782"/>
      <c r="C2877" s="1782"/>
      <c r="D2877" s="1782"/>
      <c r="E2877" s="1782"/>
      <c r="F2877" s="1782"/>
      <c r="G2877" s="1779"/>
      <c r="H2877" s="1136" t="s">
        <v>15</v>
      </c>
      <c r="I2877" s="1783" t="s">
        <v>619</v>
      </c>
      <c r="J2877" s="1779"/>
      <c r="K2877" s="1783" t="s">
        <v>628</v>
      </c>
      <c r="L2877" s="1779"/>
      <c r="M2877" s="1783" t="s">
        <v>2140</v>
      </c>
      <c r="N2877" s="1779"/>
    </row>
    <row r="2878" spans="1:14" ht="13.5" x14ac:dyDescent="0.2">
      <c r="A2878" s="1789" t="s">
        <v>874</v>
      </c>
      <c r="B2878" s="1790"/>
      <c r="C2878" s="1790"/>
      <c r="D2878" s="1790"/>
      <c r="E2878" s="1790"/>
      <c r="F2878" s="1790"/>
      <c r="G2878" s="1791"/>
      <c r="H2878" s="1032" t="str">
        <f>IF(A2878="","",VLOOKUP(A2878,'11'!$C$6:$E$1012,2,FALSE))</f>
        <v>KM-M3</v>
      </c>
      <c r="I2878" s="1785">
        <f>IF(A2878="","",VLOOKUP(A2878,'11'!$C$6:$E$1012,3,FALSE))</f>
        <v>1440</v>
      </c>
      <c r="J2878" s="1412"/>
      <c r="K2878" s="1787">
        <f>75*0.0015</f>
        <v>0.1125</v>
      </c>
      <c r="L2878" s="1793"/>
      <c r="M2878" s="1780">
        <f>IF(A2878="","",I2878*K2878)</f>
        <v>162</v>
      </c>
      <c r="N2878" s="1779"/>
    </row>
    <row r="2879" spans="1:14" ht="13.5" x14ac:dyDescent="0.2">
      <c r="A2879" s="1789"/>
      <c r="B2879" s="1790"/>
      <c r="C2879" s="1790"/>
      <c r="D2879" s="1790"/>
      <c r="E2879" s="1790"/>
      <c r="F2879" s="1790"/>
      <c r="G2879" s="1791"/>
      <c r="H2879" s="1032"/>
      <c r="I2879" s="1785"/>
      <c r="J2879" s="1412"/>
      <c r="K2879" s="1787"/>
      <c r="L2879" s="1793"/>
      <c r="M2879" s="1780"/>
      <c r="N2879" s="1779"/>
    </row>
    <row r="2880" spans="1:14" ht="13.5" x14ac:dyDescent="0.2">
      <c r="A2880" s="1789"/>
      <c r="B2880" s="1790"/>
      <c r="C2880" s="1790"/>
      <c r="D2880" s="1790"/>
      <c r="E2880" s="1790"/>
      <c r="F2880" s="1790"/>
      <c r="G2880" s="1791"/>
      <c r="H2880" s="1032"/>
      <c r="I2880" s="1785"/>
      <c r="J2880" s="1412"/>
      <c r="K2880" s="1787"/>
      <c r="L2880" s="1793"/>
      <c r="M2880" s="1780"/>
      <c r="N2880" s="1779"/>
    </row>
    <row r="2881" spans="1:14" ht="13.5" x14ac:dyDescent="0.2">
      <c r="A2881" s="1789"/>
      <c r="B2881" s="1782"/>
      <c r="C2881" s="1782"/>
      <c r="D2881" s="1782"/>
      <c r="E2881" s="1782"/>
      <c r="F2881" s="1782"/>
      <c r="G2881" s="1779"/>
      <c r="H2881" s="1137"/>
      <c r="I2881" s="1780"/>
      <c r="J2881" s="1779"/>
      <c r="K2881" s="1787"/>
      <c r="L2881" s="1779"/>
      <c r="M2881" s="1780"/>
      <c r="N2881" s="1779"/>
    </row>
    <row r="2882" spans="1:14" ht="13.5" x14ac:dyDescent="0.2">
      <c r="A2882" s="1789"/>
      <c r="B2882" s="1782"/>
      <c r="C2882" s="1782"/>
      <c r="D2882" s="1782"/>
      <c r="E2882" s="1782"/>
      <c r="F2882" s="1782"/>
      <c r="G2882" s="1779"/>
      <c r="H2882" s="1137"/>
      <c r="I2882" s="1780"/>
      <c r="J2882" s="1779"/>
      <c r="K2882" s="1787"/>
      <c r="L2882" s="1779"/>
      <c r="M2882" s="1780"/>
      <c r="N2882" s="1779"/>
    </row>
    <row r="2883" spans="1:14" ht="13.5" x14ac:dyDescent="0.25">
      <c r="A2883" s="1138"/>
      <c r="B2883" s="1138"/>
      <c r="C2883" s="1138"/>
      <c r="D2883" s="1138"/>
      <c r="E2883" s="1138"/>
      <c r="F2883" s="1138"/>
      <c r="G2883" s="1138"/>
      <c r="H2883" s="1138"/>
      <c r="I2883" s="1138"/>
      <c r="J2883" s="1138"/>
      <c r="K2883" s="1778" t="s">
        <v>523</v>
      </c>
      <c r="L2883" s="1779"/>
      <c r="M2883" s="1780">
        <f>ROUND(SUM(M2878:N2882),2)</f>
        <v>162</v>
      </c>
      <c r="N2883" s="1779"/>
    </row>
    <row r="2884" spans="1:14" ht="13.5" x14ac:dyDescent="0.25">
      <c r="A2884" s="1138"/>
      <c r="B2884" s="1138"/>
      <c r="C2884" s="1138"/>
      <c r="D2884" s="1138"/>
      <c r="E2884" s="1138"/>
      <c r="F2884" s="1138"/>
      <c r="G2884" s="1138"/>
      <c r="H2884" s="1138"/>
      <c r="I2884" s="1138"/>
      <c r="J2884" s="1138"/>
      <c r="K2884" s="1138"/>
      <c r="L2884" s="1138"/>
      <c r="M2884" s="1138"/>
      <c r="N2884" s="1138"/>
    </row>
    <row r="2885" spans="1:14" x14ac:dyDescent="0.2">
      <c r="A2885" s="1781" t="s">
        <v>2150</v>
      </c>
      <c r="B2885" s="1782"/>
      <c r="C2885" s="1782"/>
      <c r="D2885" s="1782"/>
      <c r="E2885" s="1782"/>
      <c r="F2885" s="1782"/>
      <c r="G2885" s="1782"/>
      <c r="H2885" s="1782"/>
      <c r="I2885" s="1782"/>
      <c r="J2885" s="1782"/>
      <c r="K2885" s="1782"/>
      <c r="L2885" s="1782"/>
      <c r="M2885" s="1782"/>
      <c r="N2885" s="1779"/>
    </row>
    <row r="2886" spans="1:14" x14ac:dyDescent="0.2">
      <c r="A2886" s="1778" t="s">
        <v>14</v>
      </c>
      <c r="B2886" s="1782"/>
      <c r="C2886" s="1782"/>
      <c r="D2886" s="1782"/>
      <c r="E2886" s="1782"/>
      <c r="F2886" s="1782"/>
      <c r="G2886" s="1779"/>
      <c r="H2886" s="1136" t="s">
        <v>15</v>
      </c>
      <c r="I2886" s="1783" t="s">
        <v>619</v>
      </c>
      <c r="J2886" s="1779"/>
      <c r="K2886" s="1139" t="s">
        <v>1919</v>
      </c>
      <c r="L2886" s="1140" t="s">
        <v>2151</v>
      </c>
      <c r="M2886" s="1783" t="s">
        <v>2140</v>
      </c>
      <c r="N2886" s="1779"/>
    </row>
    <row r="2887" spans="1:14" ht="13.5" x14ac:dyDescent="0.25">
      <c r="A2887" s="1833" t="s">
        <v>2271</v>
      </c>
      <c r="B2887" s="1834"/>
      <c r="C2887" s="1834"/>
      <c r="D2887" s="1834"/>
      <c r="E2887" s="1834"/>
      <c r="F2887" s="1834"/>
      <c r="G2887" s="1835"/>
      <c r="H2887" s="1032" t="str">
        <f>IF(A2887="","",VLOOKUP(A2887,'09'!$A$22:$O$168,4,FALSE))</f>
        <v>Cuadrilla</v>
      </c>
      <c r="I2887" s="1785">
        <f>IF(A2887="","",VLOOKUP(A2887,'09'!$A$22:$O$168,5,FALSE))</f>
        <v>233454</v>
      </c>
      <c r="J2887" s="1412"/>
      <c r="K2887" s="1034">
        <f>IF(A2887="","",'03'!$I$2)</f>
        <v>1.88995</v>
      </c>
      <c r="L2887" s="1142">
        <v>10</v>
      </c>
      <c r="M2887" s="1780">
        <f>I2887*K2887/L2887</f>
        <v>44121.638729999999</v>
      </c>
      <c r="N2887" s="1779"/>
    </row>
    <row r="2888" spans="1:14" ht="13.5" x14ac:dyDescent="0.25">
      <c r="A2888" s="1830"/>
      <c r="B2888" s="1831"/>
      <c r="C2888" s="1831"/>
      <c r="D2888" s="1831"/>
      <c r="E2888" s="1831"/>
      <c r="F2888" s="1831"/>
      <c r="G2888" s="1832"/>
      <c r="H2888" s="1137"/>
      <c r="I2888" s="1780"/>
      <c r="J2888" s="1779"/>
      <c r="K2888" s="1141"/>
      <c r="L2888" s="1141"/>
      <c r="M2888" s="1780"/>
      <c r="N2888" s="1779"/>
    </row>
    <row r="2889" spans="1:14" ht="13.5" x14ac:dyDescent="0.25">
      <c r="A2889" s="1830"/>
      <c r="B2889" s="1831"/>
      <c r="C2889" s="1831"/>
      <c r="D2889" s="1831"/>
      <c r="E2889" s="1831"/>
      <c r="F2889" s="1831"/>
      <c r="G2889" s="1832"/>
      <c r="H2889" s="1137"/>
      <c r="I2889" s="1780"/>
      <c r="J2889" s="1779"/>
      <c r="K2889" s="1141"/>
      <c r="L2889" s="1143"/>
      <c r="M2889" s="1780"/>
      <c r="N2889" s="1779"/>
    </row>
    <row r="2890" spans="1:14" ht="13.5" x14ac:dyDescent="0.25">
      <c r="A2890" s="1784"/>
      <c r="B2890" s="1782"/>
      <c r="C2890" s="1782"/>
      <c r="D2890" s="1782"/>
      <c r="E2890" s="1782"/>
      <c r="F2890" s="1782"/>
      <c r="G2890" s="1779"/>
      <c r="H2890" s="1137"/>
      <c r="I2890" s="1780"/>
      <c r="J2890" s="1779"/>
      <c r="K2890" s="1141"/>
      <c r="L2890" s="1143"/>
      <c r="M2890" s="1780"/>
      <c r="N2890" s="1779"/>
    </row>
    <row r="2891" spans="1:14" ht="13.5" x14ac:dyDescent="0.25">
      <c r="A2891" s="1784"/>
      <c r="B2891" s="1782"/>
      <c r="C2891" s="1782"/>
      <c r="D2891" s="1782"/>
      <c r="E2891" s="1782"/>
      <c r="F2891" s="1782"/>
      <c r="G2891" s="1779"/>
      <c r="H2891" s="1137"/>
      <c r="I2891" s="1780"/>
      <c r="J2891" s="1779"/>
      <c r="K2891" s="1141"/>
      <c r="L2891" s="1143"/>
      <c r="M2891" s="1780"/>
      <c r="N2891" s="1779"/>
    </row>
    <row r="2892" spans="1:14" ht="13.5" x14ac:dyDescent="0.25">
      <c r="A2892" s="1138"/>
      <c r="B2892" s="1138"/>
      <c r="C2892" s="1138"/>
      <c r="D2892" s="1138"/>
      <c r="E2892" s="1138"/>
      <c r="F2892" s="1138"/>
      <c r="G2892" s="1138"/>
      <c r="H2892" s="1138"/>
      <c r="I2892" s="1138"/>
      <c r="J2892" s="1138"/>
      <c r="K2892" s="1778" t="s">
        <v>523</v>
      </c>
      <c r="L2892" s="1779"/>
      <c r="M2892" s="1780">
        <f>ROUND(SUM(M2887:N2891),2)</f>
        <v>44121.64</v>
      </c>
      <c r="N2892" s="1779"/>
    </row>
    <row r="2893" spans="1:14" x14ac:dyDescent="0.2">
      <c r="I2893" s="1414"/>
      <c r="J2893" s="1415"/>
      <c r="K2893" s="1415"/>
      <c r="L2893" s="1415"/>
      <c r="M2893" s="1415"/>
      <c r="N2893" s="1415"/>
    </row>
    <row r="2894" spans="1:14" ht="13.5" thickBot="1" x14ac:dyDescent="0.25">
      <c r="I2894" s="1416"/>
      <c r="J2894" s="1416"/>
      <c r="K2894" s="1416"/>
      <c r="L2894" s="1416"/>
      <c r="M2894" s="1416"/>
      <c r="N2894" s="1416"/>
    </row>
    <row r="2895" spans="1:14" ht="14.25" thickTop="1" x14ac:dyDescent="0.2">
      <c r="I2895" s="1417" t="s">
        <v>1829</v>
      </c>
      <c r="J2895" s="1418"/>
      <c r="K2895" s="1417" t="s">
        <v>2653</v>
      </c>
      <c r="L2895" s="1418"/>
      <c r="M2895" s="1418"/>
      <c r="N2895" s="1418"/>
    </row>
    <row r="2896" spans="1:14" ht="13.5" x14ac:dyDescent="0.2">
      <c r="I2896" s="1419" t="s">
        <v>1831</v>
      </c>
      <c r="J2896" s="1420"/>
      <c r="K2896" s="1419"/>
      <c r="L2896" s="1420"/>
      <c r="M2896" s="1420"/>
      <c r="N2896" s="1420"/>
    </row>
    <row r="2897" spans="1:14" x14ac:dyDescent="0.2">
      <c r="A2897" s="1796" t="s">
        <v>2187</v>
      </c>
      <c r="B2897" s="1797"/>
      <c r="C2897" s="1797"/>
      <c r="D2897" s="1797"/>
      <c r="E2897" s="1797"/>
      <c r="F2897" s="1797"/>
      <c r="G2897" s="1797"/>
      <c r="H2897" s="1797"/>
      <c r="I2897" s="1797"/>
      <c r="J2897" s="1797"/>
      <c r="K2897" s="1797"/>
      <c r="L2897" s="1797"/>
      <c r="M2897" s="1797"/>
      <c r="N2897" s="1798"/>
    </row>
    <row r="2898" spans="1:14" x14ac:dyDescent="0.2">
      <c r="A2898" s="1799"/>
      <c r="B2898" s="1800"/>
      <c r="C2898" s="1800"/>
      <c r="D2898" s="1800"/>
      <c r="E2898" s="1800"/>
      <c r="F2898" s="1800"/>
      <c r="G2898" s="1800"/>
      <c r="H2898" s="1800"/>
      <c r="I2898" s="1800"/>
      <c r="J2898" s="1800"/>
      <c r="K2898" s="1800"/>
      <c r="L2898" s="1800"/>
      <c r="M2898" s="1800"/>
      <c r="N2898" s="1801"/>
    </row>
    <row r="2899" spans="1:14" ht="13.5" x14ac:dyDescent="0.2">
      <c r="A2899" s="1128"/>
      <c r="B2899" s="1128"/>
      <c r="C2899" s="1128"/>
      <c r="D2899" s="1128"/>
      <c r="E2899" s="1128"/>
      <c r="F2899" s="1128"/>
      <c r="G2899" s="1128"/>
      <c r="H2899" s="1128"/>
      <c r="I2899" s="1128"/>
      <c r="J2899" s="1128"/>
      <c r="K2899" s="1128"/>
      <c r="L2899" s="1128"/>
      <c r="M2899" s="1128"/>
      <c r="N2899" s="1128"/>
    </row>
    <row r="2900" spans="1:14" ht="14.25" x14ac:dyDescent="0.3">
      <c r="A2900" s="1104" t="s">
        <v>2188</v>
      </c>
      <c r="B2900" s="1129" t="str">
        <f>A2897</f>
        <v>ESTACIÓN DE MACROMEDICIÓN L=1.90M, A=1.60M DE Ø6" A TODO COSTO (INCLUYE CONFORMACIÓN DE CAJA EN CONCRETO DE 4000 PSI, ACERO DE REFUERZO, TUBERÍA, ACCESORIOS, MATERIALES, HERRRAMIENTA MENOR Y MANO DE OBRA)</v>
      </c>
      <c r="C2900" s="1130" t="s">
        <v>634</v>
      </c>
      <c r="D2900" s="1107" t="s">
        <v>2</v>
      </c>
      <c r="E2900" s="1132" t="s">
        <v>1833</v>
      </c>
      <c r="F2900" s="1133">
        <f>H2900+J2900+L2900+N2900</f>
        <v>37024304.909999996</v>
      </c>
      <c r="G2900" s="1132" t="s">
        <v>2136</v>
      </c>
      <c r="H2900" s="1133">
        <f>M2932</f>
        <v>150000</v>
      </c>
      <c r="I2900" s="1132" t="s">
        <v>621</v>
      </c>
      <c r="J2900" s="1134">
        <f>M2923</f>
        <v>30798470.16</v>
      </c>
      <c r="K2900" s="1132" t="s">
        <v>2137</v>
      </c>
      <c r="L2900" s="1133">
        <f>M2941</f>
        <v>1296000</v>
      </c>
      <c r="M2900" s="1132" t="s">
        <v>2138</v>
      </c>
      <c r="N2900" s="1133">
        <f>M2950</f>
        <v>4779834.75</v>
      </c>
    </row>
    <row r="2901" spans="1:14" ht="13.5" x14ac:dyDescent="0.25">
      <c r="A2901" s="1135"/>
      <c r="B2901" s="1135"/>
      <c r="C2901" s="1135"/>
      <c r="D2901" s="1135"/>
      <c r="E2901" s="1135"/>
      <c r="F2901" s="1135"/>
      <c r="G2901" s="1135"/>
      <c r="J2901" s="1135"/>
      <c r="K2901" s="1135"/>
      <c r="L2901" s="1135"/>
      <c r="M2901" s="1270" t="s">
        <v>2667</v>
      </c>
      <c r="N2901" s="1270">
        <f>+F2900*'01'!$O$15</f>
        <v>47920702.516965717</v>
      </c>
    </row>
    <row r="2902" spans="1:14" x14ac:dyDescent="0.2">
      <c r="A2902" s="1781" t="s">
        <v>2139</v>
      </c>
      <c r="B2902" s="1782"/>
      <c r="C2902" s="1782"/>
      <c r="D2902" s="1782"/>
      <c r="E2902" s="1782"/>
      <c r="F2902" s="1782"/>
      <c r="G2902" s="1782"/>
      <c r="H2902" s="1782"/>
      <c r="I2902" s="1782"/>
      <c r="J2902" s="1782"/>
      <c r="K2902" s="1782"/>
      <c r="L2902" s="1782"/>
      <c r="M2902" s="1782"/>
      <c r="N2902" s="1779"/>
    </row>
    <row r="2903" spans="1:14" x14ac:dyDescent="0.2">
      <c r="A2903" s="1848" t="s">
        <v>14</v>
      </c>
      <c r="B2903" s="1804"/>
      <c r="C2903" s="1804"/>
      <c r="D2903" s="1804"/>
      <c r="E2903" s="1804"/>
      <c r="F2903" s="1804"/>
      <c r="G2903" s="1805"/>
      <c r="H2903" s="1136" t="s">
        <v>15</v>
      </c>
      <c r="I2903" s="1783" t="s">
        <v>619</v>
      </c>
      <c r="J2903" s="1779"/>
      <c r="K2903" s="1783" t="s">
        <v>628</v>
      </c>
      <c r="L2903" s="1779"/>
      <c r="M2903" s="1783" t="s">
        <v>2140</v>
      </c>
      <c r="N2903" s="1779"/>
    </row>
    <row r="2904" spans="1:14" ht="13.5" customHeight="1" x14ac:dyDescent="0.2">
      <c r="A2904" s="1812" t="s">
        <v>2365</v>
      </c>
      <c r="B2904" s="1813"/>
      <c r="C2904" s="1813"/>
      <c r="D2904" s="1813"/>
      <c r="E2904" s="1813"/>
      <c r="F2904" s="1813"/>
      <c r="G2904" s="1814"/>
      <c r="H2904" s="1032" t="str">
        <f>IF(A2904="","",VLOOKUP(A2904,'10'!$C$6:$E$1152,2,FALSE))</f>
        <v>M2</v>
      </c>
      <c r="I2904" s="1785">
        <f>IF(A2904="","",VLOOKUP(A2904,'10'!$C$6:$E$1152,3,FALSE))</f>
        <v>3985.417197280844</v>
      </c>
      <c r="J2904" s="1412"/>
      <c r="K2904" s="1787">
        <v>18.600000000000001</v>
      </c>
      <c r="L2904" s="1847"/>
      <c r="M2904" s="1780">
        <f>K2904*I2904</f>
        <v>74128.759869423709</v>
      </c>
      <c r="N2904" s="1779"/>
    </row>
    <row r="2905" spans="1:14" ht="13.5" x14ac:dyDescent="0.2">
      <c r="A2905" s="1812" t="s">
        <v>2367</v>
      </c>
      <c r="B2905" s="1813"/>
      <c r="C2905" s="1813"/>
      <c r="D2905" s="1813"/>
      <c r="E2905" s="1813"/>
      <c r="F2905" s="1813"/>
      <c r="G2905" s="1814"/>
      <c r="H2905" s="1032" t="str">
        <f>IF(A2905="","",VLOOKUP(A2905,'10'!$C$6:$E$1152,2,FALSE))</f>
        <v>M3</v>
      </c>
      <c r="I2905" s="1785">
        <f>IF(A2905="","",VLOOKUP(A2905,'10'!$C$6:$E$1152,3,FALSE))</f>
        <v>32471.988866666667</v>
      </c>
      <c r="J2905" s="1412"/>
      <c r="K2905" s="1787">
        <f>K2904*0.5</f>
        <v>9.3000000000000007</v>
      </c>
      <c r="L2905" s="1847"/>
      <c r="M2905" s="1780">
        <f t="shared" ref="M2905:M2910" si="126">K2905*I2905</f>
        <v>301989.49645999999</v>
      </c>
      <c r="N2905" s="1779"/>
    </row>
    <row r="2906" spans="1:14" ht="13.5" x14ac:dyDescent="0.2">
      <c r="A2906" s="1812" t="s">
        <v>2327</v>
      </c>
      <c r="B2906" s="1813"/>
      <c r="C2906" s="1813"/>
      <c r="D2906" s="1813"/>
      <c r="E2906" s="1813"/>
      <c r="F2906" s="1813"/>
      <c r="G2906" s="1814"/>
      <c r="H2906" s="1032" t="str">
        <f>IF(A2906="","",VLOOKUP(A2906,'10'!$C$6:$E$1152,2,FALSE))</f>
        <v>M3</v>
      </c>
      <c r="I2906" s="1785">
        <f>IF(A2906="","",VLOOKUP(A2906,'10'!$C$6:$E$1152,3,FALSE))</f>
        <v>95960.630010476176</v>
      </c>
      <c r="J2906" s="1412"/>
      <c r="K2906" s="1787">
        <f>K2904*0.1</f>
        <v>1.8600000000000003</v>
      </c>
      <c r="L2906" s="1847"/>
      <c r="M2906" s="1780">
        <f t="shared" si="126"/>
        <v>178486.77181948573</v>
      </c>
      <c r="N2906" s="1779"/>
    </row>
    <row r="2907" spans="1:14" ht="13.5" x14ac:dyDescent="0.2">
      <c r="A2907" s="1812" t="s">
        <v>2329</v>
      </c>
      <c r="B2907" s="1813"/>
      <c r="C2907" s="1813"/>
      <c r="D2907" s="1813"/>
      <c r="E2907" s="1813"/>
      <c r="F2907" s="1813"/>
      <c r="G2907" s="1814"/>
      <c r="H2907" s="1032" t="str">
        <f>IF(A2907="","",VLOOKUP(A2907,'10'!$C$6:$E$1152,2,FALSE))</f>
        <v>M3</v>
      </c>
      <c r="I2907" s="1785">
        <f>IF(A2907="","",VLOOKUP(A2907,'10'!$C$6:$E$1152,3,FALSE))</f>
        <v>560706.70669999998</v>
      </c>
      <c r="J2907" s="1412"/>
      <c r="K2907" s="1787">
        <f>0.5*10.08</f>
        <v>5.04</v>
      </c>
      <c r="L2907" s="1847"/>
      <c r="M2907" s="1780">
        <f t="shared" si="126"/>
        <v>2825961.8017679998</v>
      </c>
      <c r="N2907" s="1779"/>
    </row>
    <row r="2908" spans="1:14" ht="13.5" x14ac:dyDescent="0.2">
      <c r="A2908" s="1812" t="s">
        <v>2331</v>
      </c>
      <c r="B2908" s="1813"/>
      <c r="C2908" s="1813"/>
      <c r="D2908" s="1813"/>
      <c r="E2908" s="1813"/>
      <c r="F2908" s="1813"/>
      <c r="G2908" s="1814"/>
      <c r="H2908" s="1032" t="str">
        <f>IF(A2908="","",VLOOKUP(A2908,'10'!$C$6:$E$1152,2,FALSE))</f>
        <v>M3</v>
      </c>
      <c r="I2908" s="1785">
        <f>IF(A2908="","",VLOOKUP(A2908,'10'!$C$6:$E$1152,3,FALSE))</f>
        <v>1129033.044978</v>
      </c>
      <c r="J2908" s="1412"/>
      <c r="K2908" s="1886">
        <v>2.3600000000000003</v>
      </c>
      <c r="L2908" s="1887"/>
      <c r="M2908" s="1780">
        <f t="shared" si="126"/>
        <v>2664517.9861480803</v>
      </c>
      <c r="N2908" s="1779"/>
    </row>
    <row r="2909" spans="1:14" ht="13.5" x14ac:dyDescent="0.2">
      <c r="A2909" s="1812" t="s">
        <v>2332</v>
      </c>
      <c r="B2909" s="1813"/>
      <c r="C2909" s="1813"/>
      <c r="D2909" s="1813"/>
      <c r="E2909" s="1813"/>
      <c r="F2909" s="1813"/>
      <c r="G2909" s="1814"/>
      <c r="H2909" s="1032" t="str">
        <f>IF(A2909="","",VLOOKUP(A2909,'10'!$C$6:$E$1152,2,FALSE))</f>
        <v>KG</v>
      </c>
      <c r="I2909" s="1785">
        <f>IF(A2909="","",VLOOKUP(A2909,'10'!$C$6:$E$1152,3,FALSE))</f>
        <v>7771.7124002499995</v>
      </c>
      <c r="J2909" s="1412"/>
      <c r="K2909" s="1787">
        <f>166.8+10.64</f>
        <v>177.44</v>
      </c>
      <c r="L2909" s="1847"/>
      <c r="M2909" s="1780">
        <f t="shared" si="126"/>
        <v>1379012.64830036</v>
      </c>
      <c r="N2909" s="1779"/>
    </row>
    <row r="2910" spans="1:14" ht="13.5" x14ac:dyDescent="0.2">
      <c r="A2910" s="1812" t="s">
        <v>2533</v>
      </c>
      <c r="B2910" s="1813"/>
      <c r="C2910" s="1813"/>
      <c r="D2910" s="1813"/>
      <c r="E2910" s="1813"/>
      <c r="F2910" s="1813"/>
      <c r="G2910" s="1814"/>
      <c r="H2910" s="1032" t="str">
        <f>IF(A2910="","",VLOOKUP(A2910,'10'!$C$6:$E$1152,2,FALSE))</f>
        <v>UND</v>
      </c>
      <c r="I2910" s="1785">
        <f>IF(A2910="","",VLOOKUP(A2910,'10'!$C$6:$E$1152,3,FALSE))</f>
        <v>91630</v>
      </c>
      <c r="J2910" s="1412"/>
      <c r="K2910" s="1787">
        <v>4</v>
      </c>
      <c r="L2910" s="1847"/>
      <c r="M2910" s="1780">
        <f t="shared" si="126"/>
        <v>366520</v>
      </c>
      <c r="N2910" s="1779"/>
    </row>
    <row r="2911" spans="1:14" ht="13.5" x14ac:dyDescent="0.2">
      <c r="A2911" s="1812" t="s">
        <v>876</v>
      </c>
      <c r="B2911" s="1813"/>
      <c r="C2911" s="1813"/>
      <c r="D2911" s="1813"/>
      <c r="E2911" s="1813"/>
      <c r="F2911" s="1813"/>
      <c r="G2911" s="1814"/>
      <c r="H2911" s="1032" t="str">
        <f>IF(A2911="","",VLOOKUP(A2911,'10'!$C$6:$E$1152,2,FALSE))</f>
        <v>UND</v>
      </c>
      <c r="I2911" s="1785">
        <f>IF(A2911="","",VLOOKUP(A2911,'10'!$C$6:$E$1152,3,FALSE))</f>
        <v>1200000</v>
      </c>
      <c r="J2911" s="1412"/>
      <c r="K2911" s="1787">
        <v>1</v>
      </c>
      <c r="L2911" s="1847"/>
      <c r="M2911" s="1780">
        <f t="shared" ref="M2911:M2912" si="127">K2911*I2911</f>
        <v>1200000</v>
      </c>
      <c r="N2911" s="1779"/>
    </row>
    <row r="2912" spans="1:14" ht="13.5" x14ac:dyDescent="0.2">
      <c r="A2912" s="1812" t="s">
        <v>1456</v>
      </c>
      <c r="B2912" s="1813"/>
      <c r="C2912" s="1813"/>
      <c r="D2912" s="1813"/>
      <c r="E2912" s="1813"/>
      <c r="F2912" s="1813"/>
      <c r="G2912" s="1814"/>
      <c r="H2912" s="1032" t="str">
        <f>IF(A2912="","",VLOOKUP(A2912,'10'!$C$6:$E$1152,2,FALSE))</f>
        <v>UND</v>
      </c>
      <c r="I2912" s="1785">
        <f>IF(A2912="","",VLOOKUP(A2912,'10'!$C$6:$E$1152,3,FALSE))</f>
        <v>708050</v>
      </c>
      <c r="J2912" s="1412"/>
      <c r="K2912" s="1787">
        <v>2</v>
      </c>
      <c r="L2912" s="1847"/>
      <c r="M2912" s="1780">
        <f t="shared" si="127"/>
        <v>1416100</v>
      </c>
      <c r="N2912" s="1779"/>
    </row>
    <row r="2913" spans="1:14" ht="13.5" x14ac:dyDescent="0.2">
      <c r="A2913" s="1812" t="s">
        <v>1457</v>
      </c>
      <c r="B2913" s="1813"/>
      <c r="C2913" s="1813"/>
      <c r="D2913" s="1813"/>
      <c r="E2913" s="1813"/>
      <c r="F2913" s="1813"/>
      <c r="G2913" s="1814"/>
      <c r="H2913" s="1032" t="str">
        <f>IF(A2913="","",VLOOKUP(A2913,'10'!$C$6:$E$1152,2,FALSE))</f>
        <v>UND</v>
      </c>
      <c r="I2913" s="1785">
        <f>IF(A2913="","",VLOOKUP(A2913,'10'!$C$6:$E$1152,3,FALSE))</f>
        <v>761600</v>
      </c>
      <c r="J2913" s="1412"/>
      <c r="K2913" s="1787">
        <v>2</v>
      </c>
      <c r="L2913" s="1847"/>
      <c r="M2913" s="1780">
        <f t="shared" ref="M2913:M2915" si="128">K2913*I2913</f>
        <v>1523200</v>
      </c>
      <c r="N2913" s="1779"/>
    </row>
    <row r="2914" spans="1:14" ht="13.5" x14ac:dyDescent="0.2">
      <c r="A2914" s="1812" t="s">
        <v>1454</v>
      </c>
      <c r="B2914" s="1813"/>
      <c r="C2914" s="1813"/>
      <c r="D2914" s="1813"/>
      <c r="E2914" s="1813"/>
      <c r="F2914" s="1813"/>
      <c r="G2914" s="1814"/>
      <c r="H2914" s="1032" t="str">
        <f>IF(A2914="","",VLOOKUP(A2914,'10'!$C$6:$E$1152,2,FALSE))</f>
        <v>UND</v>
      </c>
      <c r="I2914" s="1785">
        <f>IF(A2914="","",VLOOKUP(A2914,'10'!$C$6:$E$1152,3,FALSE))</f>
        <v>2033710</v>
      </c>
      <c r="J2914" s="1412"/>
      <c r="K2914" s="1787">
        <v>3</v>
      </c>
      <c r="L2914" s="1847"/>
      <c r="M2914" s="1780">
        <f t="shared" si="128"/>
        <v>6101130</v>
      </c>
      <c r="N2914" s="1779"/>
    </row>
    <row r="2915" spans="1:14" ht="13.5" x14ac:dyDescent="0.2">
      <c r="A2915" s="1812" t="s">
        <v>1467</v>
      </c>
      <c r="B2915" s="1813"/>
      <c r="C2915" s="1813"/>
      <c r="D2915" s="1813"/>
      <c r="E2915" s="1813"/>
      <c r="F2915" s="1813"/>
      <c r="G2915" s="1814"/>
      <c r="H2915" s="1032" t="str">
        <f>IF(A2915="","",VLOOKUP(A2915,'10'!$C$6:$E$1152,2,FALSE))</f>
        <v>ML</v>
      </c>
      <c r="I2915" s="1785">
        <f>IF(A2915="","",VLOOKUP(A2915,'10'!$C$6:$E$1152,3,FALSE))</f>
        <v>121366</v>
      </c>
      <c r="J2915" s="1412"/>
      <c r="K2915" s="1787">
        <v>11.6</v>
      </c>
      <c r="L2915" s="1847"/>
      <c r="M2915" s="1780">
        <f t="shared" si="128"/>
        <v>1407845.5999999999</v>
      </c>
      <c r="N2915" s="1779"/>
    </row>
    <row r="2916" spans="1:14" ht="13.5" x14ac:dyDescent="0.2">
      <c r="A2916" s="1812" t="s">
        <v>911</v>
      </c>
      <c r="B2916" s="1813"/>
      <c r="C2916" s="1813"/>
      <c r="D2916" s="1813"/>
      <c r="E2916" s="1813"/>
      <c r="F2916" s="1813"/>
      <c r="G2916" s="1814"/>
      <c r="H2916" s="1032" t="str">
        <f>IF(A2916="","",VLOOKUP(A2916,'10'!$C$6:$E$1152,2,FALSE))</f>
        <v>UND</v>
      </c>
      <c r="I2916" s="1785">
        <f>IF(A2916="","",VLOOKUP(A2916,'10'!$C$6:$E$1152,3,FALSE))</f>
        <v>928200</v>
      </c>
      <c r="J2916" s="1412"/>
      <c r="K2916" s="1787">
        <v>2</v>
      </c>
      <c r="L2916" s="1847"/>
      <c r="M2916" s="1780">
        <f t="shared" ref="M2916" si="129">K2916*I2916</f>
        <v>1856400</v>
      </c>
      <c r="N2916" s="1779"/>
    </row>
    <row r="2917" spans="1:14" ht="13.5" x14ac:dyDescent="0.2">
      <c r="A2917" s="1812" t="s">
        <v>2564</v>
      </c>
      <c r="B2917" s="1813"/>
      <c r="C2917" s="1813"/>
      <c r="D2917" s="1813"/>
      <c r="E2917" s="1813"/>
      <c r="F2917" s="1813"/>
      <c r="G2917" s="1814"/>
      <c r="H2917" s="1032" t="str">
        <f>IF(A2917="","",VLOOKUP(A2917,'10'!$C$6:$E$1152,2,FALSE))</f>
        <v>UND</v>
      </c>
      <c r="I2917" s="1785">
        <f>IF(A2917="","",VLOOKUP(A2917,'10'!$C$6:$E$1152,3,FALSE))</f>
        <v>1798348</v>
      </c>
      <c r="J2917" s="1412"/>
      <c r="K2917" s="1787">
        <v>1</v>
      </c>
      <c r="L2917" s="1847"/>
      <c r="M2917" s="1780">
        <f t="shared" ref="M2917:M2920" si="130">K2917*I2917</f>
        <v>1798348</v>
      </c>
      <c r="N2917" s="1779"/>
    </row>
    <row r="2918" spans="1:14" ht="13.5" x14ac:dyDescent="0.2">
      <c r="A2918" s="1812" t="s">
        <v>1071</v>
      </c>
      <c r="B2918" s="1813"/>
      <c r="C2918" s="1813"/>
      <c r="D2918" s="1813"/>
      <c r="E2918" s="1813"/>
      <c r="F2918" s="1813"/>
      <c r="G2918" s="1814"/>
      <c r="H2918" s="1032" t="str">
        <f>IF(A2918="","",VLOOKUP(A2918,'10'!$C$6:$E$1152,2,FALSE))</f>
        <v>UND</v>
      </c>
      <c r="I2918" s="1785">
        <f>IF(A2918="","",VLOOKUP(A2918,'10'!$C$6:$E$1152,3,FALSE))</f>
        <v>1166200</v>
      </c>
      <c r="J2918" s="1412"/>
      <c r="K2918" s="1787">
        <v>1</v>
      </c>
      <c r="L2918" s="1847"/>
      <c r="M2918" s="1780">
        <f t="shared" si="130"/>
        <v>1166200</v>
      </c>
      <c r="N2918" s="1779"/>
    </row>
    <row r="2919" spans="1:14" ht="13.5" x14ac:dyDescent="0.2">
      <c r="A2919" s="1812" t="s">
        <v>2565</v>
      </c>
      <c r="B2919" s="1813"/>
      <c r="C2919" s="1813"/>
      <c r="D2919" s="1813"/>
      <c r="E2919" s="1813"/>
      <c r="F2919" s="1813"/>
      <c r="G2919" s="1814"/>
      <c r="H2919" s="1032" t="str">
        <f>IF(A2919="","",VLOOKUP(A2919,'10'!$C$6:$E$1152,2,FALSE))</f>
        <v>UND</v>
      </c>
      <c r="I2919" s="1785">
        <f>IF(A2919="","",VLOOKUP(A2919,'10'!$C$6:$E$1152,3,FALSE))</f>
        <v>809250</v>
      </c>
      <c r="J2919" s="1412"/>
      <c r="K2919" s="1787">
        <v>2</v>
      </c>
      <c r="L2919" s="1847"/>
      <c r="M2919" s="1780">
        <f t="shared" si="130"/>
        <v>1618500</v>
      </c>
      <c r="N2919" s="1779"/>
    </row>
    <row r="2920" spans="1:14" ht="13.5" x14ac:dyDescent="0.2">
      <c r="A2920" s="1812" t="s">
        <v>1739</v>
      </c>
      <c r="B2920" s="1813"/>
      <c r="C2920" s="1813"/>
      <c r="D2920" s="1813"/>
      <c r="E2920" s="1813"/>
      <c r="F2920" s="1813"/>
      <c r="G2920" s="1814"/>
      <c r="H2920" s="1032" t="str">
        <f>IF(A2920="","",VLOOKUP(A2920,'10'!$C$6:$E$1152,2,FALSE))</f>
        <v>UND</v>
      </c>
      <c r="I2920" s="1785">
        <f>IF(A2920="","",VLOOKUP(A2920,'10'!$C$6:$E$1152,3,FALSE))</f>
        <v>4879000</v>
      </c>
      <c r="J2920" s="1412"/>
      <c r="K2920" s="1787">
        <v>1</v>
      </c>
      <c r="L2920" s="1847"/>
      <c r="M2920" s="1780">
        <f t="shared" si="130"/>
        <v>4879000</v>
      </c>
      <c r="N2920" s="1779"/>
    </row>
    <row r="2921" spans="1:14" ht="13.5" x14ac:dyDescent="0.2">
      <c r="A2921" s="1812" t="s">
        <v>2177</v>
      </c>
      <c r="B2921" s="1813"/>
      <c r="C2921" s="1813"/>
      <c r="D2921" s="1813"/>
      <c r="E2921" s="1813"/>
      <c r="F2921" s="1813"/>
      <c r="G2921" s="1814"/>
      <c r="H2921" s="1032" t="str">
        <f>IF(A2921="","",VLOOKUP(A2921,'10'!$C$6:$E$1152,2,FALSE))</f>
        <v>M3-KM</v>
      </c>
      <c r="I2921" s="1785">
        <f>IF(A2921="","",VLOOKUP(A2921,'10'!$C$6:$E$1152,3,FALSE))</f>
        <v>2527.4249932785979</v>
      </c>
      <c r="J2921" s="1412"/>
      <c r="K2921" s="1787">
        <f>+(K2905-K2906-K2907)*'01'!E15</f>
        <v>12.000000000000002</v>
      </c>
      <c r="L2921" s="1847"/>
      <c r="M2921" s="1780">
        <f t="shared" ref="M2921:M2922" si="131">K2921*I2921</f>
        <v>30329.099919343178</v>
      </c>
      <c r="N2921" s="1779"/>
    </row>
    <row r="2922" spans="1:14" ht="13.5" x14ac:dyDescent="0.2">
      <c r="A2922" s="1812" t="s">
        <v>2182</v>
      </c>
      <c r="B2922" s="1813"/>
      <c r="C2922" s="1813"/>
      <c r="D2922" s="1813"/>
      <c r="E2922" s="1813"/>
      <c r="F2922" s="1813"/>
      <c r="G2922" s="1814"/>
      <c r="H2922" s="1032" t="str">
        <f>IF(A2922="","",VLOOKUP(A2922,'10'!$C$6:$E$1152,2,FALSE))</f>
        <v>M3</v>
      </c>
      <c r="I2922" s="1785">
        <f>IF(A2922="","",VLOOKUP(A2922,'10'!$C$6:$E$1152,3,FALSE))</f>
        <v>4500</v>
      </c>
      <c r="J2922" s="1412"/>
      <c r="K2922" s="1787">
        <f>+K2905-K2906-K2907</f>
        <v>2.4000000000000004</v>
      </c>
      <c r="L2922" s="1847"/>
      <c r="M2922" s="1780">
        <f t="shared" si="131"/>
        <v>10800.000000000002</v>
      </c>
      <c r="N2922" s="1779"/>
    </row>
    <row r="2923" spans="1:14" ht="13.5" x14ac:dyDescent="0.25">
      <c r="A2923" s="1138"/>
      <c r="B2923" s="1138"/>
      <c r="C2923" s="1138"/>
      <c r="D2923" s="1138"/>
      <c r="E2923" s="1138"/>
      <c r="F2923" s="1138"/>
      <c r="G2923" s="1138"/>
      <c r="H2923" s="1138"/>
      <c r="I2923" s="1138"/>
      <c r="J2923" s="1138"/>
      <c r="K2923" s="1778" t="s">
        <v>523</v>
      </c>
      <c r="L2923" s="1779"/>
      <c r="M2923" s="1780">
        <f>ROUND(SUM(M2904:N2922),2)</f>
        <v>30798470.16</v>
      </c>
      <c r="N2923" s="1779"/>
    </row>
    <row r="2924" spans="1:14" ht="13.5" x14ac:dyDescent="0.25">
      <c r="A2924" s="1138"/>
      <c r="B2924" s="1138"/>
      <c r="C2924" s="1138"/>
      <c r="D2924" s="1138"/>
      <c r="E2924" s="1138"/>
      <c r="F2924" s="1138"/>
      <c r="G2924" s="1138"/>
      <c r="H2924" s="1138"/>
      <c r="I2924" s="1138"/>
      <c r="J2924" s="1138"/>
      <c r="K2924" s="1138"/>
      <c r="L2924" s="1138"/>
      <c r="M2924" s="1138"/>
      <c r="N2924" s="1138"/>
    </row>
    <row r="2925" spans="1:14" x14ac:dyDescent="0.2">
      <c r="A2925" s="1781" t="s">
        <v>2145</v>
      </c>
      <c r="B2925" s="1782"/>
      <c r="C2925" s="1782"/>
      <c r="D2925" s="1782"/>
      <c r="E2925" s="1782"/>
      <c r="F2925" s="1782"/>
      <c r="G2925" s="1782"/>
      <c r="H2925" s="1782"/>
      <c r="I2925" s="1782"/>
      <c r="J2925" s="1782"/>
      <c r="K2925" s="1782"/>
      <c r="L2925" s="1782"/>
      <c r="M2925" s="1782"/>
      <c r="N2925" s="1779"/>
    </row>
    <row r="2926" spans="1:14" x14ac:dyDescent="0.2">
      <c r="A2926" s="1778" t="s">
        <v>14</v>
      </c>
      <c r="B2926" s="1782"/>
      <c r="C2926" s="1782"/>
      <c r="D2926" s="1782"/>
      <c r="E2926" s="1782"/>
      <c r="F2926" s="1782"/>
      <c r="G2926" s="1779"/>
      <c r="H2926" s="1136" t="s">
        <v>15</v>
      </c>
      <c r="I2926" s="1783" t="s">
        <v>619</v>
      </c>
      <c r="J2926" s="1779"/>
      <c r="K2926" s="1783" t="s">
        <v>610</v>
      </c>
      <c r="L2926" s="1779"/>
      <c r="M2926" s="1783" t="s">
        <v>2140</v>
      </c>
      <c r="N2926" s="1779"/>
    </row>
    <row r="2927" spans="1:14" ht="13.5" x14ac:dyDescent="0.2">
      <c r="A2927" s="1836" t="s">
        <v>131</v>
      </c>
      <c r="B2927" s="1837"/>
      <c r="C2927" s="1837"/>
      <c r="D2927" s="1837"/>
      <c r="E2927" s="1837"/>
      <c r="F2927" s="1837"/>
      <c r="G2927" s="1838"/>
      <c r="H2927" s="1032" t="str">
        <f>IF(A2927="","",VLOOKUP(A2927,'11'!$C$6:$E$87,2,FALSE))</f>
        <v>DIA</v>
      </c>
      <c r="I2927" s="1785">
        <f>IF(A2927="","",VLOOKUP(A2927,'11'!$C$6:$E$87,3,FALSE))</f>
        <v>15000</v>
      </c>
      <c r="J2927" s="1412"/>
      <c r="K2927" s="1787">
        <v>0.1</v>
      </c>
      <c r="L2927" s="1793"/>
      <c r="M2927" s="1780">
        <f>I2927/K2927</f>
        <v>150000</v>
      </c>
      <c r="N2927" s="1779"/>
    </row>
    <row r="2928" spans="1:14" ht="13.5" x14ac:dyDescent="0.2">
      <c r="A2928" s="1839"/>
      <c r="B2928" s="1840"/>
      <c r="C2928" s="1840"/>
      <c r="D2928" s="1840"/>
      <c r="E2928" s="1840"/>
      <c r="F2928" s="1840"/>
      <c r="G2928" s="1841"/>
      <c r="H2928" s="1032" t="str">
        <f>IF(A2928="","",VLOOKUP(A2928,'11'!$C$6:$E$87,2,FALSE))</f>
        <v/>
      </c>
      <c r="I2928" s="1785" t="str">
        <f>IF(A2928="","",VLOOKUP(A2928,'11'!$C$6:$E$87,3,FALSE))</f>
        <v/>
      </c>
      <c r="J2928" s="1412"/>
      <c r="K2928" s="1794"/>
      <c r="L2928" s="1779"/>
      <c r="M2928" s="1780"/>
      <c r="N2928" s="1779"/>
    </row>
    <row r="2929" spans="1:14" ht="13.5" x14ac:dyDescent="0.2">
      <c r="A2929" s="1836"/>
      <c r="B2929" s="1837"/>
      <c r="C2929" s="1837"/>
      <c r="D2929" s="1837"/>
      <c r="E2929" s="1837"/>
      <c r="F2929" s="1837"/>
      <c r="G2929" s="1838"/>
      <c r="H2929" s="1032" t="str">
        <f>IF(A2929="","",VLOOKUP(A2929,'11'!$C$6:$E$87,2,FALSE))</f>
        <v/>
      </c>
      <c r="I2929" s="1785" t="str">
        <f>IF(A2929="","",VLOOKUP(A2929,'11'!$C$6:$E$87,3,FALSE))</f>
        <v/>
      </c>
      <c r="J2929" s="1412"/>
      <c r="K2929" s="1787"/>
      <c r="L2929" s="1779"/>
      <c r="M2929" s="1780"/>
      <c r="N2929" s="1779"/>
    </row>
    <row r="2930" spans="1:14" ht="13.5" x14ac:dyDescent="0.2">
      <c r="A2930" s="1836"/>
      <c r="B2930" s="1837"/>
      <c r="C2930" s="1837"/>
      <c r="D2930" s="1837"/>
      <c r="E2930" s="1837"/>
      <c r="F2930" s="1837"/>
      <c r="G2930" s="1838"/>
      <c r="H2930" s="1137"/>
      <c r="I2930" s="1780"/>
      <c r="J2930" s="1779"/>
      <c r="K2930" s="1787"/>
      <c r="L2930" s="1779"/>
      <c r="M2930" s="1780"/>
      <c r="N2930" s="1779"/>
    </row>
    <row r="2931" spans="1:14" ht="13.5" x14ac:dyDescent="0.2">
      <c r="A2931" s="1789"/>
      <c r="B2931" s="1790"/>
      <c r="C2931" s="1790"/>
      <c r="D2931" s="1790"/>
      <c r="E2931" s="1790"/>
      <c r="F2931" s="1790"/>
      <c r="G2931" s="1791"/>
      <c r="H2931" s="1137"/>
      <c r="I2931" s="1780"/>
      <c r="J2931" s="1779"/>
      <c r="K2931" s="1787"/>
      <c r="L2931" s="1779"/>
      <c r="M2931" s="1780"/>
      <c r="N2931" s="1779"/>
    </row>
    <row r="2932" spans="1:14" ht="13.5" x14ac:dyDescent="0.25">
      <c r="A2932" s="1138"/>
      <c r="B2932" s="1138"/>
      <c r="C2932" s="1138"/>
      <c r="D2932" s="1138"/>
      <c r="E2932" s="1138"/>
      <c r="F2932" s="1138"/>
      <c r="G2932" s="1138"/>
      <c r="H2932" s="1138"/>
      <c r="I2932" s="1138"/>
      <c r="J2932" s="1138"/>
      <c r="K2932" s="1778" t="s">
        <v>523</v>
      </c>
      <c r="L2932" s="1779"/>
      <c r="M2932" s="1780">
        <f>ROUND(SUM(M2927:N2931),2)</f>
        <v>150000</v>
      </c>
      <c r="N2932" s="1779"/>
    </row>
    <row r="2933" spans="1:14" ht="13.5" x14ac:dyDescent="0.25">
      <c r="A2933" s="1138"/>
      <c r="B2933" s="1138"/>
      <c r="C2933" s="1138"/>
      <c r="D2933" s="1138"/>
      <c r="E2933" s="1138"/>
      <c r="F2933" s="1138"/>
      <c r="G2933" s="1138"/>
      <c r="H2933" s="1138"/>
      <c r="I2933" s="1138"/>
      <c r="J2933" s="1138"/>
      <c r="K2933" s="1138"/>
      <c r="L2933" s="1138"/>
      <c r="M2933" s="1138"/>
      <c r="N2933" s="1138"/>
    </row>
    <row r="2934" spans="1:14" x14ac:dyDescent="0.2">
      <c r="A2934" s="1781" t="s">
        <v>2147</v>
      </c>
      <c r="B2934" s="1782"/>
      <c r="C2934" s="1782"/>
      <c r="D2934" s="1782"/>
      <c r="E2934" s="1782"/>
      <c r="F2934" s="1782"/>
      <c r="G2934" s="1782"/>
      <c r="H2934" s="1782"/>
      <c r="I2934" s="1782"/>
      <c r="J2934" s="1782"/>
      <c r="K2934" s="1782"/>
      <c r="L2934" s="1782"/>
      <c r="M2934" s="1782"/>
      <c r="N2934" s="1779"/>
    </row>
    <row r="2935" spans="1:14" x14ac:dyDescent="0.2">
      <c r="A2935" s="1778" t="s">
        <v>14</v>
      </c>
      <c r="B2935" s="1782"/>
      <c r="C2935" s="1782"/>
      <c r="D2935" s="1782"/>
      <c r="E2935" s="1782"/>
      <c r="F2935" s="1782"/>
      <c r="G2935" s="1779"/>
      <c r="H2935" s="1136" t="s">
        <v>15</v>
      </c>
      <c r="I2935" s="1783" t="s">
        <v>619</v>
      </c>
      <c r="J2935" s="1779"/>
      <c r="K2935" s="1783" t="s">
        <v>628</v>
      </c>
      <c r="L2935" s="1779"/>
      <c r="M2935" s="1783" t="s">
        <v>2140</v>
      </c>
      <c r="N2935" s="1779"/>
    </row>
    <row r="2936" spans="1:14" ht="13.5" x14ac:dyDescent="0.2">
      <c r="A2936" s="1789" t="s">
        <v>874</v>
      </c>
      <c r="B2936" s="1790"/>
      <c r="C2936" s="1790"/>
      <c r="D2936" s="1790"/>
      <c r="E2936" s="1790"/>
      <c r="F2936" s="1790"/>
      <c r="G2936" s="1791"/>
      <c r="H2936" s="1032" t="str">
        <f>IF(A2936="","",VLOOKUP(A2936,'11'!$C$6:$E$1012,2,FALSE))</f>
        <v>KM-M3</v>
      </c>
      <c r="I2936" s="1785">
        <f>IF(A2936="","",VLOOKUP(A2936,'11'!$C$6:$E$1012,3,FALSE))</f>
        <v>1440</v>
      </c>
      <c r="J2936" s="1412"/>
      <c r="K2936" s="1787">
        <v>900</v>
      </c>
      <c r="L2936" s="1793"/>
      <c r="M2936" s="1780">
        <f>IF(A2936="","",I2936*K2936)</f>
        <v>1296000</v>
      </c>
      <c r="N2936" s="1779"/>
    </row>
    <row r="2937" spans="1:14" ht="13.5" x14ac:dyDescent="0.2">
      <c r="A2937" s="1789"/>
      <c r="B2937" s="1790"/>
      <c r="C2937" s="1790"/>
      <c r="D2937" s="1790"/>
      <c r="E2937" s="1790"/>
      <c r="F2937" s="1790"/>
      <c r="G2937" s="1791"/>
      <c r="H2937" s="1032"/>
      <c r="I2937" s="1785"/>
      <c r="J2937" s="1412"/>
      <c r="K2937" s="1787"/>
      <c r="L2937" s="1793"/>
      <c r="M2937" s="1780"/>
      <c r="N2937" s="1779"/>
    </row>
    <row r="2938" spans="1:14" ht="13.5" x14ac:dyDescent="0.2">
      <c r="A2938" s="1789"/>
      <c r="B2938" s="1790"/>
      <c r="C2938" s="1790"/>
      <c r="D2938" s="1790"/>
      <c r="E2938" s="1790"/>
      <c r="F2938" s="1790"/>
      <c r="G2938" s="1791"/>
      <c r="H2938" s="1032"/>
      <c r="I2938" s="1785"/>
      <c r="J2938" s="1412"/>
      <c r="K2938" s="1787"/>
      <c r="L2938" s="1793"/>
      <c r="M2938" s="1780"/>
      <c r="N2938" s="1779"/>
    </row>
    <row r="2939" spans="1:14" ht="13.5" x14ac:dyDescent="0.2">
      <c r="A2939" s="1789"/>
      <c r="B2939" s="1782"/>
      <c r="C2939" s="1782"/>
      <c r="D2939" s="1782"/>
      <c r="E2939" s="1782"/>
      <c r="F2939" s="1782"/>
      <c r="G2939" s="1779"/>
      <c r="H2939" s="1137"/>
      <c r="I2939" s="1780"/>
      <c r="J2939" s="1779"/>
      <c r="K2939" s="1787"/>
      <c r="L2939" s="1779"/>
      <c r="M2939" s="1780"/>
      <c r="N2939" s="1779"/>
    </row>
    <row r="2940" spans="1:14" ht="13.5" x14ac:dyDescent="0.2">
      <c r="A2940" s="1789"/>
      <c r="B2940" s="1782"/>
      <c r="C2940" s="1782"/>
      <c r="D2940" s="1782"/>
      <c r="E2940" s="1782"/>
      <c r="F2940" s="1782"/>
      <c r="G2940" s="1779"/>
      <c r="H2940" s="1137"/>
      <c r="I2940" s="1780"/>
      <c r="J2940" s="1779"/>
      <c r="K2940" s="1787"/>
      <c r="L2940" s="1779"/>
      <c r="M2940" s="1780"/>
      <c r="N2940" s="1779"/>
    </row>
    <row r="2941" spans="1:14" ht="13.5" x14ac:dyDescent="0.25">
      <c r="A2941" s="1138"/>
      <c r="B2941" s="1138"/>
      <c r="C2941" s="1138"/>
      <c r="D2941" s="1138"/>
      <c r="E2941" s="1138"/>
      <c r="F2941" s="1138"/>
      <c r="G2941" s="1138"/>
      <c r="H2941" s="1138"/>
      <c r="I2941" s="1138"/>
      <c r="J2941" s="1138"/>
      <c r="K2941" s="1778" t="s">
        <v>523</v>
      </c>
      <c r="L2941" s="1779"/>
      <c r="M2941" s="1780">
        <f>ROUND(SUM(M2936:N2940),2)</f>
        <v>1296000</v>
      </c>
      <c r="N2941" s="1779"/>
    </row>
    <row r="2942" spans="1:14" ht="13.5" x14ac:dyDescent="0.25">
      <c r="A2942" s="1138"/>
      <c r="B2942" s="1138"/>
      <c r="C2942" s="1138"/>
      <c r="D2942" s="1138"/>
      <c r="E2942" s="1138"/>
      <c r="F2942" s="1138"/>
      <c r="G2942" s="1138"/>
      <c r="H2942" s="1138"/>
      <c r="I2942" s="1138"/>
      <c r="J2942" s="1138"/>
      <c r="K2942" s="1138"/>
      <c r="L2942" s="1138"/>
      <c r="M2942" s="1138"/>
      <c r="N2942" s="1138"/>
    </row>
    <row r="2943" spans="1:14" x14ac:dyDescent="0.2">
      <c r="A2943" s="1781" t="s">
        <v>2150</v>
      </c>
      <c r="B2943" s="1782"/>
      <c r="C2943" s="1782"/>
      <c r="D2943" s="1782"/>
      <c r="E2943" s="1782"/>
      <c r="F2943" s="1782"/>
      <c r="G2943" s="1782"/>
      <c r="H2943" s="1782"/>
      <c r="I2943" s="1782"/>
      <c r="J2943" s="1782"/>
      <c r="K2943" s="1782"/>
      <c r="L2943" s="1782"/>
      <c r="M2943" s="1782"/>
      <c r="N2943" s="1779"/>
    </row>
    <row r="2944" spans="1:14" x14ac:dyDescent="0.2">
      <c r="A2944" s="1778" t="s">
        <v>14</v>
      </c>
      <c r="B2944" s="1782"/>
      <c r="C2944" s="1782"/>
      <c r="D2944" s="1782"/>
      <c r="E2944" s="1782"/>
      <c r="F2944" s="1782"/>
      <c r="G2944" s="1779"/>
      <c r="H2944" s="1136" t="s">
        <v>15</v>
      </c>
      <c r="I2944" s="1783" t="s">
        <v>619</v>
      </c>
      <c r="J2944" s="1779"/>
      <c r="K2944" s="1139" t="s">
        <v>1919</v>
      </c>
      <c r="L2944" s="1140" t="s">
        <v>2151</v>
      </c>
      <c r="M2944" s="1783" t="s">
        <v>2140</v>
      </c>
      <c r="N2944" s="1779"/>
    </row>
    <row r="2945" spans="1:14" ht="13.5" x14ac:dyDescent="0.25">
      <c r="A2945" s="1833" t="s">
        <v>2257</v>
      </c>
      <c r="B2945" s="1834"/>
      <c r="C2945" s="1834"/>
      <c r="D2945" s="1834"/>
      <c r="E2945" s="1834"/>
      <c r="F2945" s="1834"/>
      <c r="G2945" s="1835"/>
      <c r="H2945" s="1032" t="str">
        <f>IF(A2945="","",VLOOKUP(A2945,'09'!$A$22:$O$168,4,FALSE))</f>
        <v>Cuadrilla</v>
      </c>
      <c r="I2945" s="1785">
        <f>IF(A2945="","",VLOOKUP(A2945,'09'!$A$22:$O$168,5,FALSE))</f>
        <v>379362</v>
      </c>
      <c r="J2945" s="1412"/>
      <c r="K2945" s="1034">
        <f>IF(A2945="","",'03'!$I$2)</f>
        <v>1.88995</v>
      </c>
      <c r="L2945" s="1142">
        <v>0.15</v>
      </c>
      <c r="M2945" s="1780">
        <f>I2945*K2945/L2945</f>
        <v>4779834.7460000003</v>
      </c>
      <c r="N2945" s="1779"/>
    </row>
    <row r="2946" spans="1:14" ht="13.5" x14ac:dyDescent="0.25">
      <c r="A2946" s="1830"/>
      <c r="B2946" s="1831"/>
      <c r="C2946" s="1831"/>
      <c r="D2946" s="1831"/>
      <c r="E2946" s="1831"/>
      <c r="F2946" s="1831"/>
      <c r="G2946" s="1832"/>
      <c r="H2946" s="1137"/>
      <c r="I2946" s="1780"/>
      <c r="J2946" s="1779"/>
      <c r="K2946" s="1141"/>
      <c r="L2946" s="1141"/>
      <c r="M2946" s="1780"/>
      <c r="N2946" s="1779"/>
    </row>
    <row r="2947" spans="1:14" ht="13.5" x14ac:dyDescent="0.25">
      <c r="A2947" s="1830"/>
      <c r="B2947" s="1831"/>
      <c r="C2947" s="1831"/>
      <c r="D2947" s="1831"/>
      <c r="E2947" s="1831"/>
      <c r="F2947" s="1831"/>
      <c r="G2947" s="1832"/>
      <c r="H2947" s="1137"/>
      <c r="I2947" s="1780"/>
      <c r="J2947" s="1779"/>
      <c r="K2947" s="1141"/>
      <c r="L2947" s="1143"/>
      <c r="M2947" s="1780"/>
      <c r="N2947" s="1779"/>
    </row>
    <row r="2948" spans="1:14" ht="13.5" x14ac:dyDescent="0.25">
      <c r="A2948" s="1784"/>
      <c r="B2948" s="1782"/>
      <c r="C2948" s="1782"/>
      <c r="D2948" s="1782"/>
      <c r="E2948" s="1782"/>
      <c r="F2948" s="1782"/>
      <c r="G2948" s="1779"/>
      <c r="H2948" s="1137"/>
      <c r="I2948" s="1780"/>
      <c r="J2948" s="1779"/>
      <c r="K2948" s="1141"/>
      <c r="L2948" s="1143"/>
      <c r="M2948" s="1780"/>
      <c r="N2948" s="1779"/>
    </row>
    <row r="2949" spans="1:14" ht="13.5" x14ac:dyDescent="0.25">
      <c r="A2949" s="1784"/>
      <c r="B2949" s="1782"/>
      <c r="C2949" s="1782"/>
      <c r="D2949" s="1782"/>
      <c r="E2949" s="1782"/>
      <c r="F2949" s="1782"/>
      <c r="G2949" s="1779"/>
      <c r="H2949" s="1137"/>
      <c r="I2949" s="1780"/>
      <c r="J2949" s="1779"/>
      <c r="K2949" s="1141"/>
      <c r="L2949" s="1143"/>
      <c r="M2949" s="1780"/>
      <c r="N2949" s="1779"/>
    </row>
    <row r="2950" spans="1:14" ht="13.5" x14ac:dyDescent="0.25">
      <c r="A2950" s="1138"/>
      <c r="B2950" s="1138"/>
      <c r="C2950" s="1138"/>
      <c r="D2950" s="1138"/>
      <c r="E2950" s="1138"/>
      <c r="F2950" s="1138"/>
      <c r="G2950" s="1138"/>
      <c r="H2950" s="1138"/>
      <c r="I2950" s="1138"/>
      <c r="J2950" s="1138"/>
      <c r="K2950" s="1778" t="s">
        <v>523</v>
      </c>
      <c r="L2950" s="1779"/>
      <c r="M2950" s="1780">
        <f>ROUND(SUM(M2945:N2949),2)</f>
        <v>4779834.75</v>
      </c>
      <c r="N2950" s="1779"/>
    </row>
    <row r="2951" spans="1:14" x14ac:dyDescent="0.2">
      <c r="I2951" s="1414"/>
      <c r="J2951" s="1415"/>
      <c r="K2951" s="1415"/>
      <c r="L2951" s="1415"/>
      <c r="M2951" s="1415"/>
      <c r="N2951" s="1415"/>
    </row>
    <row r="2952" spans="1:14" ht="13.5" thickBot="1" x14ac:dyDescent="0.25">
      <c r="I2952" s="1416"/>
      <c r="J2952" s="1416"/>
      <c r="K2952" s="1416"/>
      <c r="L2952" s="1416"/>
      <c r="M2952" s="1416"/>
      <c r="N2952" s="1416"/>
    </row>
    <row r="2953" spans="1:14" ht="14.25" thickTop="1" x14ac:dyDescent="0.2">
      <c r="I2953" s="1417" t="s">
        <v>1829</v>
      </c>
      <c r="J2953" s="1418"/>
      <c r="K2953" s="1417" t="s">
        <v>2653</v>
      </c>
      <c r="L2953" s="1418"/>
      <c r="M2953" s="1418"/>
      <c r="N2953" s="1418"/>
    </row>
    <row r="2954" spans="1:14" ht="13.5" x14ac:dyDescent="0.2">
      <c r="I2954" s="1419" t="s">
        <v>1831</v>
      </c>
      <c r="J2954" s="1420"/>
      <c r="K2954" s="1419"/>
      <c r="L2954" s="1420"/>
      <c r="M2954" s="1420"/>
      <c r="N2954" s="1420"/>
    </row>
    <row r="2955" spans="1:14" x14ac:dyDescent="0.2">
      <c r="A2955" s="1796" t="s">
        <v>2189</v>
      </c>
      <c r="B2955" s="1797"/>
      <c r="C2955" s="1797"/>
      <c r="D2955" s="1797"/>
      <c r="E2955" s="1797"/>
      <c r="F2955" s="1797"/>
      <c r="G2955" s="1797"/>
      <c r="H2955" s="1797"/>
      <c r="I2955" s="1797"/>
      <c r="J2955" s="1797"/>
      <c r="K2955" s="1797"/>
      <c r="L2955" s="1797"/>
      <c r="M2955" s="1797"/>
      <c r="N2955" s="1798"/>
    </row>
    <row r="2956" spans="1:14" x14ac:dyDescent="0.2">
      <c r="A2956" s="1799"/>
      <c r="B2956" s="1800"/>
      <c r="C2956" s="1800"/>
      <c r="D2956" s="1800"/>
      <c r="E2956" s="1800"/>
      <c r="F2956" s="1800"/>
      <c r="G2956" s="1800"/>
      <c r="H2956" s="1800"/>
      <c r="I2956" s="1800"/>
      <c r="J2956" s="1800"/>
      <c r="K2956" s="1800"/>
      <c r="L2956" s="1800"/>
      <c r="M2956" s="1800"/>
      <c r="N2956" s="1801"/>
    </row>
    <row r="2957" spans="1:14" ht="13.5" x14ac:dyDescent="0.2">
      <c r="A2957" s="1128"/>
      <c r="B2957" s="1128"/>
      <c r="C2957" s="1128"/>
      <c r="D2957" s="1128"/>
      <c r="E2957" s="1128"/>
      <c r="F2957" s="1128"/>
      <c r="G2957" s="1128"/>
      <c r="H2957" s="1128"/>
      <c r="I2957" s="1128"/>
      <c r="J2957" s="1128"/>
      <c r="K2957" s="1128"/>
      <c r="L2957" s="1128"/>
      <c r="M2957" s="1128"/>
      <c r="N2957" s="1128"/>
    </row>
    <row r="2958" spans="1:14" ht="14.25" x14ac:dyDescent="0.3">
      <c r="A2958" s="1104" t="s">
        <v>2190</v>
      </c>
      <c r="B2958" s="1129" t="str">
        <f>A2955</f>
        <v>SUMINISTRO E INSTALACIÓN DE VÁLVULA DE CORTE TIPO CHOROTE Ø6" EN HIERRO DUCTIL (INCLUYE CAJA EN CONCRETO, REPLANTEO, EXCAVACIÓN, RECEBO, SOLADO, CONCRETO, ACERO, PASAMURO, VÁLVULA, MATERIALES, HERRAMIENTA MENOR Y MANO DE OBRA)</v>
      </c>
      <c r="C2958" s="1130" t="s">
        <v>634</v>
      </c>
      <c r="D2958" s="1107" t="s">
        <v>2</v>
      </c>
      <c r="E2958" s="1132" t="s">
        <v>1833</v>
      </c>
      <c r="F2958" s="1133">
        <f>H2958+J2958+L2958+N2958</f>
        <v>12475103.49</v>
      </c>
      <c r="G2958" s="1132" t="s">
        <v>2136</v>
      </c>
      <c r="H2958" s="1133">
        <f>M2982</f>
        <v>75000</v>
      </c>
      <c r="I2958" s="1132" t="s">
        <v>621</v>
      </c>
      <c r="J2958" s="1134">
        <f>M2973</f>
        <v>10207602.880000001</v>
      </c>
      <c r="K2958" s="1132" t="s">
        <v>2137</v>
      </c>
      <c r="L2958" s="1133">
        <f>M2991</f>
        <v>144000</v>
      </c>
      <c r="M2958" s="1132" t="s">
        <v>2138</v>
      </c>
      <c r="N2958" s="1133">
        <f>M3000</f>
        <v>2048500.61</v>
      </c>
    </row>
    <row r="2959" spans="1:14" ht="13.5" x14ac:dyDescent="0.25">
      <c r="A2959" s="1135"/>
      <c r="B2959" s="1135"/>
      <c r="C2959" s="1135"/>
      <c r="D2959" s="1135"/>
      <c r="E2959" s="1135"/>
      <c r="F2959" s="1135"/>
      <c r="G2959" s="1135"/>
      <c r="J2959" s="1135"/>
      <c r="K2959" s="1135"/>
      <c r="L2959" s="1135"/>
      <c r="M2959" s="1270" t="s">
        <v>2667</v>
      </c>
      <c r="N2959" s="1270">
        <f>+F2958*'01'!$O$15</f>
        <v>16146575.193399111</v>
      </c>
    </row>
    <row r="2960" spans="1:14" x14ac:dyDescent="0.2">
      <c r="A2960" s="1781" t="s">
        <v>2139</v>
      </c>
      <c r="B2960" s="1782"/>
      <c r="C2960" s="1782"/>
      <c r="D2960" s="1782"/>
      <c r="E2960" s="1782"/>
      <c r="F2960" s="1782"/>
      <c r="G2960" s="1782"/>
      <c r="H2960" s="1782"/>
      <c r="I2960" s="1782"/>
      <c r="J2960" s="1782"/>
      <c r="K2960" s="1782"/>
      <c r="L2960" s="1782"/>
      <c r="M2960" s="1782"/>
      <c r="N2960" s="1779"/>
    </row>
    <row r="2961" spans="1:14" x14ac:dyDescent="0.2">
      <c r="A2961" s="1848" t="s">
        <v>14</v>
      </c>
      <c r="B2961" s="1804"/>
      <c r="C2961" s="1804"/>
      <c r="D2961" s="1804"/>
      <c r="E2961" s="1804"/>
      <c r="F2961" s="1804"/>
      <c r="G2961" s="1805"/>
      <c r="H2961" s="1136" t="s">
        <v>15</v>
      </c>
      <c r="I2961" s="1783" t="s">
        <v>619</v>
      </c>
      <c r="J2961" s="1779"/>
      <c r="K2961" s="1783" t="s">
        <v>628</v>
      </c>
      <c r="L2961" s="1779"/>
      <c r="M2961" s="1783" t="s">
        <v>2140</v>
      </c>
      <c r="N2961" s="1779"/>
    </row>
    <row r="2962" spans="1:14" ht="13.5" customHeight="1" x14ac:dyDescent="0.2">
      <c r="A2962" s="1812" t="s">
        <v>2365</v>
      </c>
      <c r="B2962" s="1813"/>
      <c r="C2962" s="1813"/>
      <c r="D2962" s="1813"/>
      <c r="E2962" s="1813"/>
      <c r="F2962" s="1813"/>
      <c r="G2962" s="1814"/>
      <c r="H2962" s="1032" t="str">
        <f>IF(A2962="","",VLOOKUP(A2962,'10'!$C$6:$E$1152,2,FALSE))</f>
        <v>M2</v>
      </c>
      <c r="I2962" s="1785">
        <f>IF(A2962="","",VLOOKUP(A2962,'10'!$C$6:$E$1152,3,FALSE))</f>
        <v>3985.417197280844</v>
      </c>
      <c r="J2962" s="1412"/>
      <c r="K2962" s="1787">
        <v>5.3654999999999999</v>
      </c>
      <c r="L2962" s="1847"/>
      <c r="M2962" s="1780">
        <f>K2962*I2962</f>
        <v>21383.755972010367</v>
      </c>
      <c r="N2962" s="1779"/>
    </row>
    <row r="2963" spans="1:14" ht="13.5" x14ac:dyDescent="0.2">
      <c r="A2963" s="1812" t="s">
        <v>2367</v>
      </c>
      <c r="B2963" s="1813"/>
      <c r="C2963" s="1813"/>
      <c r="D2963" s="1813"/>
      <c r="E2963" s="1813"/>
      <c r="F2963" s="1813"/>
      <c r="G2963" s="1814"/>
      <c r="H2963" s="1032" t="str">
        <f>IF(A2963="","",VLOOKUP(A2963,'10'!$C$6:$E$1152,2,FALSE))</f>
        <v>M3</v>
      </c>
      <c r="I2963" s="1785">
        <f>IF(A2963="","",VLOOKUP(A2963,'10'!$C$6:$E$1152,3,FALSE))</f>
        <v>32471.988866666667</v>
      </c>
      <c r="J2963" s="1412"/>
      <c r="K2963" s="1787">
        <v>9.2823150000000005</v>
      </c>
      <c r="L2963" s="1847"/>
      <c r="M2963" s="1780">
        <f t="shared" ref="M2963:M2972" si="132">K2963*I2963</f>
        <v>301415.22933689301</v>
      </c>
      <c r="N2963" s="1779"/>
    </row>
    <row r="2964" spans="1:14" ht="13.5" x14ac:dyDescent="0.2">
      <c r="A2964" s="1812" t="s">
        <v>2327</v>
      </c>
      <c r="B2964" s="1813"/>
      <c r="C2964" s="1813"/>
      <c r="D2964" s="1813"/>
      <c r="E2964" s="1813"/>
      <c r="F2964" s="1813"/>
      <c r="G2964" s="1814"/>
      <c r="H2964" s="1032" t="str">
        <f>IF(A2964="","",VLOOKUP(A2964,'10'!$C$6:$E$1152,2,FALSE))</f>
        <v>M3</v>
      </c>
      <c r="I2964" s="1785">
        <f>IF(A2964="","",VLOOKUP(A2964,'10'!$C$6:$E$1152,3,FALSE))</f>
        <v>95960.630010476176</v>
      </c>
      <c r="J2964" s="1412"/>
      <c r="K2964" s="1787">
        <v>1.0730999999999999</v>
      </c>
      <c r="L2964" s="1847"/>
      <c r="M2964" s="1780">
        <f t="shared" si="132"/>
        <v>102975.35206424198</v>
      </c>
      <c r="N2964" s="1779"/>
    </row>
    <row r="2965" spans="1:14" ht="13.5" x14ac:dyDescent="0.2">
      <c r="A2965" s="1812" t="s">
        <v>2329</v>
      </c>
      <c r="B2965" s="1813"/>
      <c r="C2965" s="1813"/>
      <c r="D2965" s="1813"/>
      <c r="E2965" s="1813"/>
      <c r="F2965" s="1813"/>
      <c r="G2965" s="1814"/>
      <c r="H2965" s="1032" t="str">
        <f>IF(A2965="","",VLOOKUP(A2965,'10'!$C$6:$E$1152,2,FALSE))</f>
        <v>M3</v>
      </c>
      <c r="I2965" s="1785">
        <f>IF(A2965="","",VLOOKUP(A2965,'10'!$C$6:$E$1152,3,FALSE))</f>
        <v>560706.70669999998</v>
      </c>
      <c r="J2965" s="1412"/>
      <c r="K2965" s="1787">
        <v>0.26827499999999999</v>
      </c>
      <c r="L2965" s="1847"/>
      <c r="M2965" s="1780">
        <f t="shared" si="132"/>
        <v>150423.59173994249</v>
      </c>
      <c r="N2965" s="1779"/>
    </row>
    <row r="2966" spans="1:14" ht="13.5" x14ac:dyDescent="0.2">
      <c r="A2966" s="1812" t="s">
        <v>2331</v>
      </c>
      <c r="B2966" s="1813"/>
      <c r="C2966" s="1813"/>
      <c r="D2966" s="1813"/>
      <c r="E2966" s="1813"/>
      <c r="F2966" s="1813"/>
      <c r="G2966" s="1814"/>
      <c r="H2966" s="1032" t="str">
        <f>IF(A2966="","",VLOOKUP(A2966,'10'!$C$6:$E$1152,2,FALSE))</f>
        <v>M3</v>
      </c>
      <c r="I2966" s="1785">
        <f>IF(A2966="","",VLOOKUP(A2966,'10'!$C$6:$E$1152,3,FALSE))</f>
        <v>1129033.044978</v>
      </c>
      <c r="J2966" s="1412"/>
      <c r="K2966" s="1787">
        <v>3.6359750000000002</v>
      </c>
      <c r="L2966" s="1847"/>
      <c r="M2966" s="1780">
        <f t="shared" si="132"/>
        <v>4105135.9257138837</v>
      </c>
      <c r="N2966" s="1779"/>
    </row>
    <row r="2967" spans="1:14" ht="13.5" x14ac:dyDescent="0.2">
      <c r="A2967" s="1812" t="s">
        <v>2332</v>
      </c>
      <c r="B2967" s="1813"/>
      <c r="C2967" s="1813"/>
      <c r="D2967" s="1813"/>
      <c r="E2967" s="1813"/>
      <c r="F2967" s="1813"/>
      <c r="G2967" s="1814"/>
      <c r="H2967" s="1032" t="str">
        <f>IF(A2967="","",VLOOKUP(A2967,'10'!$C$6:$E$1152,2,FALSE))</f>
        <v>KG</v>
      </c>
      <c r="I2967" s="1785">
        <f>IF(A2967="","",VLOOKUP(A2967,'10'!$C$6:$E$1152,3,FALSE))</f>
        <v>7771.7124002499995</v>
      </c>
      <c r="J2967" s="1412"/>
      <c r="K2967" s="1787">
        <v>176.62</v>
      </c>
      <c r="L2967" s="1847"/>
      <c r="M2967" s="1780">
        <f t="shared" si="132"/>
        <v>1372639.8441321549</v>
      </c>
      <c r="N2967" s="1779"/>
    </row>
    <row r="2968" spans="1:14" ht="13.5" x14ac:dyDescent="0.2">
      <c r="A2968" s="1812" t="s">
        <v>1454</v>
      </c>
      <c r="B2968" s="1813"/>
      <c r="C2968" s="1813"/>
      <c r="D2968" s="1813"/>
      <c r="E2968" s="1813"/>
      <c r="F2968" s="1813"/>
      <c r="G2968" s="1814"/>
      <c r="H2968" s="1032" t="str">
        <f>IF(A2968="","",VLOOKUP(A2968,'10'!$C$6:$E$1152,2,FALSE))</f>
        <v>UND</v>
      </c>
      <c r="I2968" s="1785">
        <f>IF(A2968="","",VLOOKUP(A2968,'10'!$C$6:$E$1152,3,FALSE))</f>
        <v>2033710</v>
      </c>
      <c r="J2968" s="1412"/>
      <c r="K2968" s="1787">
        <v>1</v>
      </c>
      <c r="L2968" s="1847"/>
      <c r="M2968" s="1780">
        <f t="shared" si="132"/>
        <v>2033710</v>
      </c>
      <c r="N2968" s="1779"/>
    </row>
    <row r="2969" spans="1:14" ht="13.5" x14ac:dyDescent="0.2">
      <c r="A2969" s="1812" t="s">
        <v>1467</v>
      </c>
      <c r="B2969" s="1813"/>
      <c r="C2969" s="1813"/>
      <c r="D2969" s="1813"/>
      <c r="E2969" s="1813"/>
      <c r="F2969" s="1813"/>
      <c r="G2969" s="1814"/>
      <c r="H2969" s="1032" t="str">
        <f>IF(A2969="","",VLOOKUP(A2969,'10'!$C$6:$E$1152,2,FALSE))</f>
        <v>ML</v>
      </c>
      <c r="I2969" s="1785">
        <f>IF(A2969="","",VLOOKUP(A2969,'10'!$C$6:$E$1152,3,FALSE))</f>
        <v>121366</v>
      </c>
      <c r="J2969" s="1412"/>
      <c r="K2969" s="1787">
        <v>1.05</v>
      </c>
      <c r="L2969" s="1847"/>
      <c r="M2969" s="1780">
        <f t="shared" si="132"/>
        <v>127434.3</v>
      </c>
      <c r="N2969" s="1779"/>
    </row>
    <row r="2970" spans="1:14" ht="13.5" x14ac:dyDescent="0.2">
      <c r="A2970" s="1812" t="s">
        <v>911</v>
      </c>
      <c r="B2970" s="1813"/>
      <c r="C2970" s="1813"/>
      <c r="D2970" s="1813"/>
      <c r="E2970" s="1813"/>
      <c r="F2970" s="1813"/>
      <c r="G2970" s="1814"/>
      <c r="H2970" s="1032" t="str">
        <f>IF(A2970="","",VLOOKUP(A2970,'10'!$C$6:$E$1152,2,FALSE))</f>
        <v>UND</v>
      </c>
      <c r="I2970" s="1785">
        <f>IF(A2970="","",VLOOKUP(A2970,'10'!$C$6:$E$1152,3,FALSE))</f>
        <v>928200</v>
      </c>
      <c r="J2970" s="1412"/>
      <c r="K2970" s="1787">
        <v>2</v>
      </c>
      <c r="L2970" s="1847"/>
      <c r="M2970" s="1780">
        <f t="shared" si="132"/>
        <v>1856400</v>
      </c>
      <c r="N2970" s="1779"/>
    </row>
    <row r="2971" spans="1:14" ht="13.5" x14ac:dyDescent="0.2">
      <c r="A2971" s="1812" t="s">
        <v>2177</v>
      </c>
      <c r="B2971" s="1813"/>
      <c r="C2971" s="1813"/>
      <c r="D2971" s="1813"/>
      <c r="E2971" s="1813"/>
      <c r="F2971" s="1813"/>
      <c r="G2971" s="1814"/>
      <c r="H2971" s="1032" t="str">
        <f>IF(A2971="","",VLOOKUP(A2971,'10'!$C$6:$E$1152,2,FALSE))</f>
        <v>M3-KM</v>
      </c>
      <c r="I2971" s="1785">
        <f>IF(A2971="","",VLOOKUP(A2971,'10'!$C$6:$E$1152,3,FALSE))</f>
        <v>2527.4249932785979</v>
      </c>
      <c r="J2971" s="1412"/>
      <c r="K2971" s="1787">
        <f>+K2972*'01'!E15</f>
        <v>39.704700000000003</v>
      </c>
      <c r="L2971" s="1847"/>
      <c r="M2971" s="1780">
        <f t="shared" si="132"/>
        <v>100350.65113062876</v>
      </c>
      <c r="N2971" s="1779"/>
    </row>
    <row r="2972" spans="1:14" ht="13.5" x14ac:dyDescent="0.2">
      <c r="A2972" s="1812" t="s">
        <v>2182</v>
      </c>
      <c r="B2972" s="1813"/>
      <c r="C2972" s="1813"/>
      <c r="D2972" s="1813"/>
      <c r="E2972" s="1813"/>
      <c r="F2972" s="1813"/>
      <c r="G2972" s="1814"/>
      <c r="H2972" s="1032" t="str">
        <f>IF(A2972="","",VLOOKUP(A2972,'10'!$C$6:$E$1152,2,FALSE))</f>
        <v>M3</v>
      </c>
      <c r="I2972" s="1785">
        <f>IF(A2972="","",VLOOKUP(A2972,'10'!$C$6:$E$1152,3,FALSE))</f>
        <v>4500</v>
      </c>
      <c r="J2972" s="1412"/>
      <c r="K2972" s="1787">
        <f>+K2963-K2964-K2965</f>
        <v>7.9409400000000003</v>
      </c>
      <c r="L2972" s="1847"/>
      <c r="M2972" s="1780">
        <f t="shared" si="132"/>
        <v>35734.230000000003</v>
      </c>
      <c r="N2972" s="1779"/>
    </row>
    <row r="2973" spans="1:14" ht="13.5" x14ac:dyDescent="0.25">
      <c r="A2973" s="1138"/>
      <c r="B2973" s="1138"/>
      <c r="C2973" s="1138"/>
      <c r="D2973" s="1138"/>
      <c r="E2973" s="1138"/>
      <c r="F2973" s="1138"/>
      <c r="G2973" s="1138"/>
      <c r="H2973" s="1138"/>
      <c r="I2973" s="1138"/>
      <c r="J2973" s="1138"/>
      <c r="K2973" s="1778" t="s">
        <v>523</v>
      </c>
      <c r="L2973" s="1779"/>
      <c r="M2973" s="1780">
        <f>ROUND(SUM(M2962:N2972),2)</f>
        <v>10207602.880000001</v>
      </c>
      <c r="N2973" s="1779"/>
    </row>
    <row r="2974" spans="1:14" ht="13.5" x14ac:dyDescent="0.25">
      <c r="A2974" s="1138"/>
      <c r="B2974" s="1138"/>
      <c r="C2974" s="1138"/>
      <c r="D2974" s="1138"/>
      <c r="E2974" s="1138"/>
      <c r="F2974" s="1138"/>
      <c r="G2974" s="1138"/>
      <c r="H2974" s="1138"/>
      <c r="I2974" s="1138"/>
      <c r="J2974" s="1138"/>
      <c r="K2974" s="1138"/>
      <c r="L2974" s="1138"/>
      <c r="M2974" s="1138"/>
      <c r="N2974" s="1138"/>
    </row>
    <row r="2975" spans="1:14" x14ac:dyDescent="0.2">
      <c r="A2975" s="1781" t="s">
        <v>2145</v>
      </c>
      <c r="B2975" s="1782"/>
      <c r="C2975" s="1782"/>
      <c r="D2975" s="1782"/>
      <c r="E2975" s="1782"/>
      <c r="F2975" s="1782"/>
      <c r="G2975" s="1782"/>
      <c r="H2975" s="1782"/>
      <c r="I2975" s="1782"/>
      <c r="J2975" s="1782"/>
      <c r="K2975" s="1782"/>
      <c r="L2975" s="1782"/>
      <c r="M2975" s="1782"/>
      <c r="N2975" s="1779"/>
    </row>
    <row r="2976" spans="1:14" x14ac:dyDescent="0.2">
      <c r="A2976" s="1778" t="s">
        <v>14</v>
      </c>
      <c r="B2976" s="1782"/>
      <c r="C2976" s="1782"/>
      <c r="D2976" s="1782"/>
      <c r="E2976" s="1782"/>
      <c r="F2976" s="1782"/>
      <c r="G2976" s="1779"/>
      <c r="H2976" s="1136" t="s">
        <v>15</v>
      </c>
      <c r="I2976" s="1783" t="s">
        <v>619</v>
      </c>
      <c r="J2976" s="1779"/>
      <c r="K2976" s="1783" t="s">
        <v>610</v>
      </c>
      <c r="L2976" s="1779"/>
      <c r="M2976" s="1783" t="s">
        <v>2140</v>
      </c>
      <c r="N2976" s="1779"/>
    </row>
    <row r="2977" spans="1:14" ht="13.5" x14ac:dyDescent="0.2">
      <c r="A2977" s="1836" t="s">
        <v>131</v>
      </c>
      <c r="B2977" s="1837"/>
      <c r="C2977" s="1837"/>
      <c r="D2977" s="1837"/>
      <c r="E2977" s="1837"/>
      <c r="F2977" s="1837"/>
      <c r="G2977" s="1838"/>
      <c r="H2977" s="1032" t="str">
        <f>IF(A2977="","",VLOOKUP(A2977,'11'!$C$6:$E$87,2,FALSE))</f>
        <v>DIA</v>
      </c>
      <c r="I2977" s="1785">
        <f>IF(A2977="","",VLOOKUP(A2977,'11'!$C$6:$E$87,3,FALSE))</f>
        <v>15000</v>
      </c>
      <c r="J2977" s="1412"/>
      <c r="K2977" s="1787">
        <v>0.2</v>
      </c>
      <c r="L2977" s="1793"/>
      <c r="M2977" s="1780">
        <f>I2977/K2977</f>
        <v>75000</v>
      </c>
      <c r="N2977" s="1779"/>
    </row>
    <row r="2978" spans="1:14" ht="13.5" x14ac:dyDescent="0.2">
      <c r="A2978" s="1839"/>
      <c r="B2978" s="1840"/>
      <c r="C2978" s="1840"/>
      <c r="D2978" s="1840"/>
      <c r="E2978" s="1840"/>
      <c r="F2978" s="1840"/>
      <c r="G2978" s="1841"/>
      <c r="H2978" s="1032" t="str">
        <f>IF(A2978="","",VLOOKUP(A2978,'11'!$C$6:$E$87,2,FALSE))</f>
        <v/>
      </c>
      <c r="I2978" s="1785" t="str">
        <f>IF(A2978="","",VLOOKUP(A2978,'11'!$C$6:$E$87,3,FALSE))</f>
        <v/>
      </c>
      <c r="J2978" s="1412"/>
      <c r="K2978" s="1794"/>
      <c r="L2978" s="1779"/>
      <c r="M2978" s="1780"/>
      <c r="N2978" s="1779"/>
    </row>
    <row r="2979" spans="1:14" ht="13.5" x14ac:dyDescent="0.2">
      <c r="A2979" s="1836"/>
      <c r="B2979" s="1837"/>
      <c r="C2979" s="1837"/>
      <c r="D2979" s="1837"/>
      <c r="E2979" s="1837"/>
      <c r="F2979" s="1837"/>
      <c r="G2979" s="1838"/>
      <c r="H2979" s="1032" t="str">
        <f>IF(A2979="","",VLOOKUP(A2979,'11'!$C$6:$E$87,2,FALSE))</f>
        <v/>
      </c>
      <c r="I2979" s="1785" t="str">
        <f>IF(A2979="","",VLOOKUP(A2979,'11'!$C$6:$E$87,3,FALSE))</f>
        <v/>
      </c>
      <c r="J2979" s="1412"/>
      <c r="K2979" s="1787"/>
      <c r="L2979" s="1779"/>
      <c r="M2979" s="1780"/>
      <c r="N2979" s="1779"/>
    </row>
    <row r="2980" spans="1:14" ht="13.5" x14ac:dyDescent="0.2">
      <c r="A2980" s="1836"/>
      <c r="B2980" s="1837"/>
      <c r="C2980" s="1837"/>
      <c r="D2980" s="1837"/>
      <c r="E2980" s="1837"/>
      <c r="F2980" s="1837"/>
      <c r="G2980" s="1838"/>
      <c r="H2980" s="1137"/>
      <c r="I2980" s="1780"/>
      <c r="J2980" s="1779"/>
      <c r="K2980" s="1787"/>
      <c r="L2980" s="1779"/>
      <c r="M2980" s="1780"/>
      <c r="N2980" s="1779"/>
    </row>
    <row r="2981" spans="1:14" ht="13.5" x14ac:dyDescent="0.2">
      <c r="A2981" s="1789"/>
      <c r="B2981" s="1790"/>
      <c r="C2981" s="1790"/>
      <c r="D2981" s="1790"/>
      <c r="E2981" s="1790"/>
      <c r="F2981" s="1790"/>
      <c r="G2981" s="1791"/>
      <c r="H2981" s="1137"/>
      <c r="I2981" s="1780"/>
      <c r="J2981" s="1779"/>
      <c r="K2981" s="1787"/>
      <c r="L2981" s="1779"/>
      <c r="M2981" s="1780"/>
      <c r="N2981" s="1779"/>
    </row>
    <row r="2982" spans="1:14" ht="13.5" x14ac:dyDescent="0.25">
      <c r="A2982" s="1138"/>
      <c r="B2982" s="1138"/>
      <c r="C2982" s="1138"/>
      <c r="D2982" s="1138"/>
      <c r="E2982" s="1138"/>
      <c r="F2982" s="1138"/>
      <c r="G2982" s="1138"/>
      <c r="H2982" s="1138"/>
      <c r="I2982" s="1138"/>
      <c r="J2982" s="1138"/>
      <c r="K2982" s="1778" t="s">
        <v>523</v>
      </c>
      <c r="L2982" s="1779"/>
      <c r="M2982" s="1780">
        <f>ROUND(SUM(M2977:N2981),2)</f>
        <v>75000</v>
      </c>
      <c r="N2982" s="1779"/>
    </row>
    <row r="2983" spans="1:14" ht="13.5" x14ac:dyDescent="0.25">
      <c r="A2983" s="1138"/>
      <c r="B2983" s="1138"/>
      <c r="C2983" s="1138"/>
      <c r="D2983" s="1138"/>
      <c r="E2983" s="1138"/>
      <c r="F2983" s="1138"/>
      <c r="G2983" s="1138"/>
      <c r="H2983" s="1138"/>
      <c r="I2983" s="1138"/>
      <c r="J2983" s="1138"/>
      <c r="K2983" s="1138"/>
      <c r="L2983" s="1138"/>
      <c r="M2983" s="1138"/>
      <c r="N2983" s="1138"/>
    </row>
    <row r="2984" spans="1:14" x14ac:dyDescent="0.2">
      <c r="A2984" s="1781" t="s">
        <v>2147</v>
      </c>
      <c r="B2984" s="1782"/>
      <c r="C2984" s="1782"/>
      <c r="D2984" s="1782"/>
      <c r="E2984" s="1782"/>
      <c r="F2984" s="1782"/>
      <c r="G2984" s="1782"/>
      <c r="H2984" s="1782"/>
      <c r="I2984" s="1782"/>
      <c r="J2984" s="1782"/>
      <c r="K2984" s="1782"/>
      <c r="L2984" s="1782"/>
      <c r="M2984" s="1782"/>
      <c r="N2984" s="1779"/>
    </row>
    <row r="2985" spans="1:14" x14ac:dyDescent="0.2">
      <c r="A2985" s="1778" t="s">
        <v>14</v>
      </c>
      <c r="B2985" s="1782"/>
      <c r="C2985" s="1782"/>
      <c r="D2985" s="1782"/>
      <c r="E2985" s="1782"/>
      <c r="F2985" s="1782"/>
      <c r="G2985" s="1779"/>
      <c r="H2985" s="1136" t="s">
        <v>15</v>
      </c>
      <c r="I2985" s="1783" t="s">
        <v>619</v>
      </c>
      <c r="J2985" s="1779"/>
      <c r="K2985" s="1783" t="s">
        <v>628</v>
      </c>
      <c r="L2985" s="1779"/>
      <c r="M2985" s="1783" t="s">
        <v>2140</v>
      </c>
      <c r="N2985" s="1779"/>
    </row>
    <row r="2986" spans="1:14" ht="13.5" x14ac:dyDescent="0.2">
      <c r="A2986" s="1789" t="s">
        <v>874</v>
      </c>
      <c r="B2986" s="1790"/>
      <c r="C2986" s="1790"/>
      <c r="D2986" s="1790"/>
      <c r="E2986" s="1790"/>
      <c r="F2986" s="1790"/>
      <c r="G2986" s="1791"/>
      <c r="H2986" s="1032" t="str">
        <f>IF(A2986="","",VLOOKUP(A2986,'11'!$C$6:$E$1012,2,FALSE))</f>
        <v>KM-M3</v>
      </c>
      <c r="I2986" s="1785">
        <f>IF(A2986="","",VLOOKUP(A2986,'11'!$C$6:$E$1012,3,FALSE))</f>
        <v>1440</v>
      </c>
      <c r="J2986" s="1412"/>
      <c r="K2986" s="1787">
        <v>100</v>
      </c>
      <c r="L2986" s="1793"/>
      <c r="M2986" s="1780">
        <f>IF(A2986="","",I2986*K2986)</f>
        <v>144000</v>
      </c>
      <c r="N2986" s="1779"/>
    </row>
    <row r="2987" spans="1:14" ht="13.5" x14ac:dyDescent="0.2">
      <c r="A2987" s="1789"/>
      <c r="B2987" s="1790"/>
      <c r="C2987" s="1790"/>
      <c r="D2987" s="1790"/>
      <c r="E2987" s="1790"/>
      <c r="F2987" s="1790"/>
      <c r="G2987" s="1791"/>
      <c r="H2987" s="1032"/>
      <c r="I2987" s="1785"/>
      <c r="J2987" s="1412"/>
      <c r="K2987" s="1787"/>
      <c r="L2987" s="1793"/>
      <c r="M2987" s="1780"/>
      <c r="N2987" s="1779"/>
    </row>
    <row r="2988" spans="1:14" ht="13.5" x14ac:dyDescent="0.2">
      <c r="A2988" s="1789"/>
      <c r="B2988" s="1790"/>
      <c r="C2988" s="1790"/>
      <c r="D2988" s="1790"/>
      <c r="E2988" s="1790"/>
      <c r="F2988" s="1790"/>
      <c r="G2988" s="1791"/>
      <c r="H2988" s="1032"/>
      <c r="I2988" s="1785"/>
      <c r="J2988" s="1412"/>
      <c r="K2988" s="1787"/>
      <c r="L2988" s="1793"/>
      <c r="M2988" s="1780"/>
      <c r="N2988" s="1779"/>
    </row>
    <row r="2989" spans="1:14" ht="13.5" x14ac:dyDescent="0.2">
      <c r="A2989" s="1789"/>
      <c r="B2989" s="1782"/>
      <c r="C2989" s="1782"/>
      <c r="D2989" s="1782"/>
      <c r="E2989" s="1782"/>
      <c r="F2989" s="1782"/>
      <c r="G2989" s="1779"/>
      <c r="H2989" s="1137"/>
      <c r="I2989" s="1780"/>
      <c r="J2989" s="1779"/>
      <c r="K2989" s="1787"/>
      <c r="L2989" s="1779"/>
      <c r="M2989" s="1780"/>
      <c r="N2989" s="1779"/>
    </row>
    <row r="2990" spans="1:14" ht="13.5" x14ac:dyDescent="0.2">
      <c r="A2990" s="1789"/>
      <c r="B2990" s="1782"/>
      <c r="C2990" s="1782"/>
      <c r="D2990" s="1782"/>
      <c r="E2990" s="1782"/>
      <c r="F2990" s="1782"/>
      <c r="G2990" s="1779"/>
      <c r="H2990" s="1137"/>
      <c r="I2990" s="1780"/>
      <c r="J2990" s="1779"/>
      <c r="K2990" s="1787"/>
      <c r="L2990" s="1779"/>
      <c r="M2990" s="1780"/>
      <c r="N2990" s="1779"/>
    </row>
    <row r="2991" spans="1:14" ht="13.5" x14ac:dyDescent="0.25">
      <c r="A2991" s="1138"/>
      <c r="B2991" s="1138"/>
      <c r="C2991" s="1138"/>
      <c r="D2991" s="1138"/>
      <c r="E2991" s="1138"/>
      <c r="F2991" s="1138"/>
      <c r="G2991" s="1138"/>
      <c r="H2991" s="1138"/>
      <c r="I2991" s="1138"/>
      <c r="J2991" s="1138"/>
      <c r="K2991" s="1778" t="s">
        <v>523</v>
      </c>
      <c r="L2991" s="1779"/>
      <c r="M2991" s="1780">
        <f>ROUND(SUM(M2986:N2990),2)</f>
        <v>144000</v>
      </c>
      <c r="N2991" s="1779"/>
    </row>
    <row r="2992" spans="1:14" ht="13.5" x14ac:dyDescent="0.25">
      <c r="A2992" s="1138"/>
      <c r="B2992" s="1138"/>
      <c r="C2992" s="1138"/>
      <c r="D2992" s="1138"/>
      <c r="E2992" s="1138"/>
      <c r="F2992" s="1138"/>
      <c r="G2992" s="1138"/>
      <c r="H2992" s="1138"/>
      <c r="I2992" s="1138"/>
      <c r="J2992" s="1138"/>
      <c r="K2992" s="1138"/>
      <c r="L2992" s="1138"/>
      <c r="M2992" s="1138"/>
      <c r="N2992" s="1138"/>
    </row>
    <row r="2993" spans="1:14" x14ac:dyDescent="0.2">
      <c r="A2993" s="1781" t="s">
        <v>2150</v>
      </c>
      <c r="B2993" s="1782"/>
      <c r="C2993" s="1782"/>
      <c r="D2993" s="1782"/>
      <c r="E2993" s="1782"/>
      <c r="F2993" s="1782"/>
      <c r="G2993" s="1782"/>
      <c r="H2993" s="1782"/>
      <c r="I2993" s="1782"/>
      <c r="J2993" s="1782"/>
      <c r="K2993" s="1782"/>
      <c r="L2993" s="1782"/>
      <c r="M2993" s="1782"/>
      <c r="N2993" s="1779"/>
    </row>
    <row r="2994" spans="1:14" x14ac:dyDescent="0.2">
      <c r="A2994" s="1778" t="s">
        <v>14</v>
      </c>
      <c r="B2994" s="1782"/>
      <c r="C2994" s="1782"/>
      <c r="D2994" s="1782"/>
      <c r="E2994" s="1782"/>
      <c r="F2994" s="1782"/>
      <c r="G2994" s="1779"/>
      <c r="H2994" s="1136" t="s">
        <v>15</v>
      </c>
      <c r="I2994" s="1783" t="s">
        <v>619</v>
      </c>
      <c r="J2994" s="1779"/>
      <c r="K2994" s="1139" t="s">
        <v>1919</v>
      </c>
      <c r="L2994" s="1140" t="s">
        <v>2151</v>
      </c>
      <c r="M2994" s="1783" t="s">
        <v>2140</v>
      </c>
      <c r="N2994" s="1779"/>
    </row>
    <row r="2995" spans="1:14" ht="13.5" x14ac:dyDescent="0.25">
      <c r="A2995" s="1833" t="s">
        <v>2257</v>
      </c>
      <c r="B2995" s="1834"/>
      <c r="C2995" s="1834"/>
      <c r="D2995" s="1834"/>
      <c r="E2995" s="1834"/>
      <c r="F2995" s="1834"/>
      <c r="G2995" s="1835"/>
      <c r="H2995" s="1032" t="str">
        <f>IF(A2995="","",VLOOKUP(A2995,'09'!$A$22:$O$168,4,FALSE))</f>
        <v>Cuadrilla</v>
      </c>
      <c r="I2995" s="1785">
        <f>IF(A2995="","",VLOOKUP(A2995,'09'!$A$22:$O$168,5,FALSE))</f>
        <v>379362</v>
      </c>
      <c r="J2995" s="1412"/>
      <c r="K2995" s="1034">
        <f>IF(A2995="","",'03'!$I$2)</f>
        <v>1.88995</v>
      </c>
      <c r="L2995" s="1142">
        <v>0.35</v>
      </c>
      <c r="M2995" s="1780">
        <f>I2995*K2995/L2995</f>
        <v>2048500.6054285716</v>
      </c>
      <c r="N2995" s="1779"/>
    </row>
    <row r="2996" spans="1:14" ht="13.5" x14ac:dyDescent="0.25">
      <c r="A2996" s="1830"/>
      <c r="B2996" s="1831"/>
      <c r="C2996" s="1831"/>
      <c r="D2996" s="1831"/>
      <c r="E2996" s="1831"/>
      <c r="F2996" s="1831"/>
      <c r="G2996" s="1832"/>
      <c r="H2996" s="1137"/>
      <c r="I2996" s="1780"/>
      <c r="J2996" s="1779"/>
      <c r="K2996" s="1141"/>
      <c r="L2996" s="1141"/>
      <c r="M2996" s="1780"/>
      <c r="N2996" s="1779"/>
    </row>
    <row r="2997" spans="1:14" ht="13.5" x14ac:dyDescent="0.25">
      <c r="A2997" s="1830"/>
      <c r="B2997" s="1831"/>
      <c r="C2997" s="1831"/>
      <c r="D2997" s="1831"/>
      <c r="E2997" s="1831"/>
      <c r="F2997" s="1831"/>
      <c r="G2997" s="1832"/>
      <c r="H2997" s="1137"/>
      <c r="I2997" s="1780"/>
      <c r="J2997" s="1779"/>
      <c r="K2997" s="1141"/>
      <c r="L2997" s="1143"/>
      <c r="M2997" s="1780"/>
      <c r="N2997" s="1779"/>
    </row>
    <row r="2998" spans="1:14" ht="13.5" x14ac:dyDescent="0.25">
      <c r="A2998" s="1784"/>
      <c r="B2998" s="1782"/>
      <c r="C2998" s="1782"/>
      <c r="D2998" s="1782"/>
      <c r="E2998" s="1782"/>
      <c r="F2998" s="1782"/>
      <c r="G2998" s="1779"/>
      <c r="H2998" s="1137"/>
      <c r="I2998" s="1780"/>
      <c r="J2998" s="1779"/>
      <c r="K2998" s="1141"/>
      <c r="L2998" s="1143"/>
      <c r="M2998" s="1780"/>
      <c r="N2998" s="1779"/>
    </row>
    <row r="2999" spans="1:14" ht="13.5" x14ac:dyDescent="0.25">
      <c r="A2999" s="1784"/>
      <c r="B2999" s="1782"/>
      <c r="C2999" s="1782"/>
      <c r="D2999" s="1782"/>
      <c r="E2999" s="1782"/>
      <c r="F2999" s="1782"/>
      <c r="G2999" s="1779"/>
      <c r="H2999" s="1137"/>
      <c r="I2999" s="1780"/>
      <c r="J2999" s="1779"/>
      <c r="K2999" s="1141"/>
      <c r="L2999" s="1143"/>
      <c r="M2999" s="1780"/>
      <c r="N2999" s="1779"/>
    </row>
    <row r="3000" spans="1:14" ht="13.5" x14ac:dyDescent="0.25">
      <c r="A3000" s="1138"/>
      <c r="B3000" s="1138"/>
      <c r="C3000" s="1138"/>
      <c r="D3000" s="1138"/>
      <c r="E3000" s="1138"/>
      <c r="F3000" s="1138"/>
      <c r="G3000" s="1138"/>
      <c r="H3000" s="1138"/>
      <c r="I3000" s="1138"/>
      <c r="J3000" s="1138"/>
      <c r="K3000" s="1778" t="s">
        <v>523</v>
      </c>
      <c r="L3000" s="1779"/>
      <c r="M3000" s="1780">
        <f>ROUND(SUM(M2995:N2999),2)</f>
        <v>2048500.61</v>
      </c>
      <c r="N3000" s="1779"/>
    </row>
    <row r="3001" spans="1:14" x14ac:dyDescent="0.2">
      <c r="I3001" s="1414"/>
      <c r="J3001" s="1415"/>
      <c r="K3001" s="1415"/>
      <c r="L3001" s="1415"/>
      <c r="M3001" s="1415"/>
      <c r="N3001" s="1415"/>
    </row>
    <row r="3002" spans="1:14" ht="13.5" thickBot="1" x14ac:dyDescent="0.25">
      <c r="I3002" s="1416"/>
      <c r="J3002" s="1416"/>
      <c r="K3002" s="1416"/>
      <c r="L3002" s="1416"/>
      <c r="M3002" s="1416"/>
      <c r="N3002" s="1416"/>
    </row>
    <row r="3003" spans="1:14" ht="14.25" thickTop="1" x14ac:dyDescent="0.2">
      <c r="I3003" s="1417" t="s">
        <v>1829</v>
      </c>
      <c r="J3003" s="1418"/>
      <c r="K3003" s="1417" t="s">
        <v>2653</v>
      </c>
      <c r="L3003" s="1418"/>
      <c r="M3003" s="1418"/>
      <c r="N3003" s="1418"/>
    </row>
    <row r="3004" spans="1:14" ht="13.5" x14ac:dyDescent="0.2">
      <c r="I3004" s="1419" t="s">
        <v>1831</v>
      </c>
      <c r="J3004" s="1420"/>
      <c r="K3004" s="1419"/>
      <c r="L3004" s="1420"/>
      <c r="M3004" s="1420"/>
      <c r="N3004" s="1420"/>
    </row>
  </sheetData>
  <mergeCells count="7750">
    <mergeCell ref="I3004:J3004"/>
    <mergeCell ref="K3004:N3004"/>
    <mergeCell ref="A2996:G2996"/>
    <mergeCell ref="I2996:J2996"/>
    <mergeCell ref="M2996:N2996"/>
    <mergeCell ref="A2997:G2997"/>
    <mergeCell ref="I2997:J2997"/>
    <mergeCell ref="M2997:N2997"/>
    <mergeCell ref="A2998:G2998"/>
    <mergeCell ref="I2998:J2998"/>
    <mergeCell ref="M2998:N2998"/>
    <mergeCell ref="A2999:G2999"/>
    <mergeCell ref="I2999:J2999"/>
    <mergeCell ref="M2999:N2999"/>
    <mergeCell ref="K3000:L3000"/>
    <mergeCell ref="M3000:N3000"/>
    <mergeCell ref="I3001:N3002"/>
    <mergeCell ref="I3003:J3003"/>
    <mergeCell ref="K3003:N3003"/>
    <mergeCell ref="A2989:G2989"/>
    <mergeCell ref="I2989:J2989"/>
    <mergeCell ref="K2989:L2989"/>
    <mergeCell ref="M2989:N2989"/>
    <mergeCell ref="A2990:G2990"/>
    <mergeCell ref="I2990:J2990"/>
    <mergeCell ref="K2990:L2990"/>
    <mergeCell ref="M2990:N2990"/>
    <mergeCell ref="K2991:L2991"/>
    <mergeCell ref="M2991:N2991"/>
    <mergeCell ref="A2993:N2993"/>
    <mergeCell ref="A2994:G2994"/>
    <mergeCell ref="I2994:J2994"/>
    <mergeCell ref="M2994:N2994"/>
    <mergeCell ref="A2995:G2995"/>
    <mergeCell ref="I2995:J2995"/>
    <mergeCell ref="M2995:N2995"/>
    <mergeCell ref="K2982:L2982"/>
    <mergeCell ref="M2982:N2982"/>
    <mergeCell ref="A2984:N2984"/>
    <mergeCell ref="A2985:G2985"/>
    <mergeCell ref="I2985:J2985"/>
    <mergeCell ref="K2985:L2985"/>
    <mergeCell ref="M2985:N2985"/>
    <mergeCell ref="A2986:G2986"/>
    <mergeCell ref="I2986:J2986"/>
    <mergeCell ref="K2986:L2986"/>
    <mergeCell ref="M2986:N2986"/>
    <mergeCell ref="A2987:G2987"/>
    <mergeCell ref="I2987:J2987"/>
    <mergeCell ref="K2987:L2987"/>
    <mergeCell ref="M2987:N2987"/>
    <mergeCell ref="A2988:G2988"/>
    <mergeCell ref="I2988:J2988"/>
    <mergeCell ref="K2988:L2988"/>
    <mergeCell ref="M2988:N2988"/>
    <mergeCell ref="A2977:G2977"/>
    <mergeCell ref="I2977:J2977"/>
    <mergeCell ref="K2977:L2977"/>
    <mergeCell ref="M2977:N2977"/>
    <mergeCell ref="A2978:G2978"/>
    <mergeCell ref="I2978:J2978"/>
    <mergeCell ref="K2978:L2978"/>
    <mergeCell ref="M2978:N2978"/>
    <mergeCell ref="A2979:G2979"/>
    <mergeCell ref="I2979:J2979"/>
    <mergeCell ref="K2979:L2979"/>
    <mergeCell ref="M2979:N2979"/>
    <mergeCell ref="A2980:G2980"/>
    <mergeCell ref="I2980:J2980"/>
    <mergeCell ref="K2980:L2980"/>
    <mergeCell ref="M2980:N2980"/>
    <mergeCell ref="A2981:G2981"/>
    <mergeCell ref="I2981:J2981"/>
    <mergeCell ref="K2981:L2981"/>
    <mergeCell ref="M2981:N2981"/>
    <mergeCell ref="A2971:G2971"/>
    <mergeCell ref="I2971:J2971"/>
    <mergeCell ref="K2971:L2971"/>
    <mergeCell ref="M2971:N2971"/>
    <mergeCell ref="A2972:G2972"/>
    <mergeCell ref="I2972:J2972"/>
    <mergeCell ref="K2972:L2972"/>
    <mergeCell ref="M2972:N2972"/>
    <mergeCell ref="K2973:L2973"/>
    <mergeCell ref="M2973:N2973"/>
    <mergeCell ref="A2975:N2975"/>
    <mergeCell ref="A2976:G2976"/>
    <mergeCell ref="I2976:J2976"/>
    <mergeCell ref="K2976:L2976"/>
    <mergeCell ref="M2976:N2976"/>
    <mergeCell ref="A2969:G2969"/>
    <mergeCell ref="I2969:J2969"/>
    <mergeCell ref="K2969:L2969"/>
    <mergeCell ref="M2969:N2969"/>
    <mergeCell ref="A2970:G2970"/>
    <mergeCell ref="I2970:J2970"/>
    <mergeCell ref="K2970:L2970"/>
    <mergeCell ref="M2970:N2970"/>
    <mergeCell ref="A2968:G2968"/>
    <mergeCell ref="I2968:J2968"/>
    <mergeCell ref="K2968:L2968"/>
    <mergeCell ref="M2968:N2968"/>
    <mergeCell ref="A2963:G2963"/>
    <mergeCell ref="I2963:J2963"/>
    <mergeCell ref="K2963:L2963"/>
    <mergeCell ref="M2963:N2963"/>
    <mergeCell ref="A2964:G2964"/>
    <mergeCell ref="I2964:J2964"/>
    <mergeCell ref="K2964:L2964"/>
    <mergeCell ref="M2964:N2964"/>
    <mergeCell ref="A2965:G2965"/>
    <mergeCell ref="I2965:J2965"/>
    <mergeCell ref="K2965:L2965"/>
    <mergeCell ref="M2965:N2965"/>
    <mergeCell ref="A2966:G2966"/>
    <mergeCell ref="I2966:J2966"/>
    <mergeCell ref="K2966:L2966"/>
    <mergeCell ref="M2966:N2966"/>
    <mergeCell ref="A2967:G2967"/>
    <mergeCell ref="I2967:J2967"/>
    <mergeCell ref="K2967:L2967"/>
    <mergeCell ref="M2967:N2967"/>
    <mergeCell ref="A2955:N2956"/>
    <mergeCell ref="A2960:N2960"/>
    <mergeCell ref="A2961:G2961"/>
    <mergeCell ref="I2961:J2961"/>
    <mergeCell ref="K2961:L2961"/>
    <mergeCell ref="M2961:N2961"/>
    <mergeCell ref="A2962:G2962"/>
    <mergeCell ref="I2962:J2962"/>
    <mergeCell ref="K2962:L2962"/>
    <mergeCell ref="M2962:N2962"/>
    <mergeCell ref="I2918:J2918"/>
    <mergeCell ref="K2918:L2918"/>
    <mergeCell ref="M2918:N2918"/>
    <mergeCell ref="A2919:G2919"/>
    <mergeCell ref="I2919:J2919"/>
    <mergeCell ref="K2919:L2919"/>
    <mergeCell ref="M2919:N2919"/>
    <mergeCell ref="A2920:G2920"/>
    <mergeCell ref="I2920:J2920"/>
    <mergeCell ref="K2920:L2920"/>
    <mergeCell ref="M2920:N2920"/>
    <mergeCell ref="A2921:G2921"/>
    <mergeCell ref="I2921:J2921"/>
    <mergeCell ref="K2921:L2921"/>
    <mergeCell ref="M2921:N2921"/>
    <mergeCell ref="K2950:L2950"/>
    <mergeCell ref="M2950:N2950"/>
    <mergeCell ref="I2951:N2952"/>
    <mergeCell ref="I2953:J2953"/>
    <mergeCell ref="K2953:N2953"/>
    <mergeCell ref="I2954:J2954"/>
    <mergeCell ref="K2954:N2954"/>
    <mergeCell ref="M2911:N2911"/>
    <mergeCell ref="A2912:G2912"/>
    <mergeCell ref="I2912:J2912"/>
    <mergeCell ref="K2912:L2912"/>
    <mergeCell ref="M2912:N2912"/>
    <mergeCell ref="A2913:G2913"/>
    <mergeCell ref="I2913:J2913"/>
    <mergeCell ref="K2913:L2913"/>
    <mergeCell ref="M2913:N2913"/>
    <mergeCell ref="A2914:G2914"/>
    <mergeCell ref="I2914:J2914"/>
    <mergeCell ref="K2914:L2914"/>
    <mergeCell ref="M2914:N2914"/>
    <mergeCell ref="A2915:G2915"/>
    <mergeCell ref="I2915:J2915"/>
    <mergeCell ref="K2915:L2915"/>
    <mergeCell ref="M2915:N2915"/>
    <mergeCell ref="A2943:N2943"/>
    <mergeCell ref="A2944:G2944"/>
    <mergeCell ref="I2944:J2944"/>
    <mergeCell ref="M2944:N2944"/>
    <mergeCell ref="A2945:G2945"/>
    <mergeCell ref="I2945:J2945"/>
    <mergeCell ref="M2945:N2945"/>
    <mergeCell ref="A2946:G2946"/>
    <mergeCell ref="I2946:J2946"/>
    <mergeCell ref="M2946:N2946"/>
    <mergeCell ref="A2947:G2947"/>
    <mergeCell ref="I2947:J2947"/>
    <mergeCell ref="M2947:N2947"/>
    <mergeCell ref="A2948:G2948"/>
    <mergeCell ref="I2948:J2948"/>
    <mergeCell ref="M2948:N2948"/>
    <mergeCell ref="A2949:G2949"/>
    <mergeCell ref="I2949:J2949"/>
    <mergeCell ref="M2949:N2949"/>
    <mergeCell ref="A2937:G2937"/>
    <mergeCell ref="I2937:J2937"/>
    <mergeCell ref="K2937:L2937"/>
    <mergeCell ref="M2937:N2937"/>
    <mergeCell ref="A2938:G2938"/>
    <mergeCell ref="I2938:J2938"/>
    <mergeCell ref="K2938:L2938"/>
    <mergeCell ref="M2938:N2938"/>
    <mergeCell ref="A2939:G2939"/>
    <mergeCell ref="I2939:J2939"/>
    <mergeCell ref="K2939:L2939"/>
    <mergeCell ref="M2939:N2939"/>
    <mergeCell ref="A2940:G2940"/>
    <mergeCell ref="I2940:J2940"/>
    <mergeCell ref="K2940:L2940"/>
    <mergeCell ref="M2940:N2940"/>
    <mergeCell ref="K2941:L2941"/>
    <mergeCell ref="M2941:N2941"/>
    <mergeCell ref="A2930:G2930"/>
    <mergeCell ref="I2930:J2930"/>
    <mergeCell ref="K2930:L2930"/>
    <mergeCell ref="M2930:N2930"/>
    <mergeCell ref="A2931:G2931"/>
    <mergeCell ref="I2931:J2931"/>
    <mergeCell ref="K2931:L2931"/>
    <mergeCell ref="M2931:N2931"/>
    <mergeCell ref="K2932:L2932"/>
    <mergeCell ref="M2932:N2932"/>
    <mergeCell ref="A2934:N2934"/>
    <mergeCell ref="A2935:G2935"/>
    <mergeCell ref="I2935:J2935"/>
    <mergeCell ref="K2935:L2935"/>
    <mergeCell ref="M2935:N2935"/>
    <mergeCell ref="A2936:G2936"/>
    <mergeCell ref="I2936:J2936"/>
    <mergeCell ref="K2936:L2936"/>
    <mergeCell ref="M2936:N2936"/>
    <mergeCell ref="K2923:L2923"/>
    <mergeCell ref="M2923:N2923"/>
    <mergeCell ref="A2925:N2925"/>
    <mergeCell ref="A2926:G2926"/>
    <mergeCell ref="I2926:J2926"/>
    <mergeCell ref="K2926:L2926"/>
    <mergeCell ref="M2926:N2926"/>
    <mergeCell ref="A2927:G2927"/>
    <mergeCell ref="I2927:J2927"/>
    <mergeCell ref="K2927:L2927"/>
    <mergeCell ref="M2927:N2927"/>
    <mergeCell ref="A2928:G2928"/>
    <mergeCell ref="I2928:J2928"/>
    <mergeCell ref="K2928:L2928"/>
    <mergeCell ref="M2928:N2928"/>
    <mergeCell ref="A2929:G2929"/>
    <mergeCell ref="I2929:J2929"/>
    <mergeCell ref="K2929:L2929"/>
    <mergeCell ref="M2929:N2929"/>
    <mergeCell ref="A2907:G2907"/>
    <mergeCell ref="I2907:J2907"/>
    <mergeCell ref="K2907:L2907"/>
    <mergeCell ref="M2907:N2907"/>
    <mergeCell ref="A2908:G2908"/>
    <mergeCell ref="I2908:J2908"/>
    <mergeCell ref="K2908:L2908"/>
    <mergeCell ref="M2908:N2908"/>
    <mergeCell ref="A2909:G2909"/>
    <mergeCell ref="I2909:J2909"/>
    <mergeCell ref="K2909:L2909"/>
    <mergeCell ref="M2909:N2909"/>
    <mergeCell ref="A2910:G2910"/>
    <mergeCell ref="I2910:J2910"/>
    <mergeCell ref="K2910:L2910"/>
    <mergeCell ref="M2910:N2910"/>
    <mergeCell ref="I2922:J2922"/>
    <mergeCell ref="K2922:L2922"/>
    <mergeCell ref="M2922:N2922"/>
    <mergeCell ref="A2922:G2922"/>
    <mergeCell ref="A2916:G2916"/>
    <mergeCell ref="I2916:J2916"/>
    <mergeCell ref="K2916:L2916"/>
    <mergeCell ref="M2916:N2916"/>
    <mergeCell ref="A2917:G2917"/>
    <mergeCell ref="I2917:J2917"/>
    <mergeCell ref="K2917:L2917"/>
    <mergeCell ref="M2917:N2917"/>
    <mergeCell ref="A2918:G2918"/>
    <mergeCell ref="A2911:G2911"/>
    <mergeCell ref="I2911:J2911"/>
    <mergeCell ref="K2911:L2911"/>
    <mergeCell ref="I2896:J2896"/>
    <mergeCell ref="K2896:N2896"/>
    <mergeCell ref="A2897:N2898"/>
    <mergeCell ref="A2902:N2902"/>
    <mergeCell ref="A2903:G2903"/>
    <mergeCell ref="I2903:J2903"/>
    <mergeCell ref="K2903:L2903"/>
    <mergeCell ref="M2903:N2903"/>
    <mergeCell ref="A2904:G2904"/>
    <mergeCell ref="I2904:J2904"/>
    <mergeCell ref="K2904:L2904"/>
    <mergeCell ref="M2904:N2904"/>
    <mergeCell ref="A2905:G2905"/>
    <mergeCell ref="I2905:J2905"/>
    <mergeCell ref="K2905:L2905"/>
    <mergeCell ref="M2905:N2905"/>
    <mergeCell ref="A2906:G2906"/>
    <mergeCell ref="I2906:J2906"/>
    <mergeCell ref="K2906:L2906"/>
    <mergeCell ref="M2906:N2906"/>
    <mergeCell ref="A2888:G2888"/>
    <mergeCell ref="I2888:J2888"/>
    <mergeCell ref="M2888:N2888"/>
    <mergeCell ref="A2889:G2889"/>
    <mergeCell ref="I2889:J2889"/>
    <mergeCell ref="M2889:N2889"/>
    <mergeCell ref="A2890:G2890"/>
    <mergeCell ref="I2890:J2890"/>
    <mergeCell ref="M2890:N2890"/>
    <mergeCell ref="A2891:G2891"/>
    <mergeCell ref="I2891:J2891"/>
    <mergeCell ref="M2891:N2891"/>
    <mergeCell ref="K2892:L2892"/>
    <mergeCell ref="M2892:N2892"/>
    <mergeCell ref="I2893:N2894"/>
    <mergeCell ref="I2895:J2895"/>
    <mergeCell ref="K2895:N2895"/>
    <mergeCell ref="A2881:G2881"/>
    <mergeCell ref="I2881:J2881"/>
    <mergeCell ref="K2881:L2881"/>
    <mergeCell ref="M2881:N2881"/>
    <mergeCell ref="A2882:G2882"/>
    <mergeCell ref="I2882:J2882"/>
    <mergeCell ref="K2882:L2882"/>
    <mergeCell ref="M2882:N2882"/>
    <mergeCell ref="K2883:L2883"/>
    <mergeCell ref="M2883:N2883"/>
    <mergeCell ref="A2885:N2885"/>
    <mergeCell ref="A2886:G2886"/>
    <mergeCell ref="I2886:J2886"/>
    <mergeCell ref="M2886:N2886"/>
    <mergeCell ref="A2887:G2887"/>
    <mergeCell ref="I2887:J2887"/>
    <mergeCell ref="M2887:N2887"/>
    <mergeCell ref="A2876:N2876"/>
    <mergeCell ref="A2877:G2877"/>
    <mergeCell ref="I2877:J2877"/>
    <mergeCell ref="K2877:L2877"/>
    <mergeCell ref="M2877:N2877"/>
    <mergeCell ref="A2878:G2878"/>
    <mergeCell ref="I2878:J2878"/>
    <mergeCell ref="K2878:L2878"/>
    <mergeCell ref="M2878:N2878"/>
    <mergeCell ref="A2879:G2879"/>
    <mergeCell ref="I2879:J2879"/>
    <mergeCell ref="K2879:L2879"/>
    <mergeCell ref="M2879:N2879"/>
    <mergeCell ref="A2880:G2880"/>
    <mergeCell ref="I2880:J2880"/>
    <mergeCell ref="K2880:L2880"/>
    <mergeCell ref="M2880:N2880"/>
    <mergeCell ref="A2870:G2870"/>
    <mergeCell ref="I2870:J2870"/>
    <mergeCell ref="K2870:L2870"/>
    <mergeCell ref="M2870:N2870"/>
    <mergeCell ref="A2871:G2871"/>
    <mergeCell ref="I2871:J2871"/>
    <mergeCell ref="K2871:L2871"/>
    <mergeCell ref="M2871:N2871"/>
    <mergeCell ref="A2872:G2872"/>
    <mergeCell ref="I2872:J2872"/>
    <mergeCell ref="K2872:L2872"/>
    <mergeCell ref="M2872:N2872"/>
    <mergeCell ref="A2873:G2873"/>
    <mergeCell ref="I2873:J2873"/>
    <mergeCell ref="K2873:L2873"/>
    <mergeCell ref="M2873:N2873"/>
    <mergeCell ref="K2874:L2874"/>
    <mergeCell ref="M2874:N2874"/>
    <mergeCell ref="A2863:G2863"/>
    <mergeCell ref="I2863:J2863"/>
    <mergeCell ref="K2863:L2863"/>
    <mergeCell ref="M2863:N2863"/>
    <mergeCell ref="I2864:J2864"/>
    <mergeCell ref="K2864:L2864"/>
    <mergeCell ref="M2864:N2864"/>
    <mergeCell ref="K2865:L2865"/>
    <mergeCell ref="M2865:N2865"/>
    <mergeCell ref="A2867:N2867"/>
    <mergeCell ref="A2868:G2868"/>
    <mergeCell ref="I2868:J2868"/>
    <mergeCell ref="K2868:L2868"/>
    <mergeCell ref="M2868:N2868"/>
    <mergeCell ref="A2869:G2869"/>
    <mergeCell ref="I2869:J2869"/>
    <mergeCell ref="K2869:L2869"/>
    <mergeCell ref="M2869:N2869"/>
    <mergeCell ref="A2858:G2858"/>
    <mergeCell ref="I2858:J2858"/>
    <mergeCell ref="K2858:L2858"/>
    <mergeCell ref="M2858:N2858"/>
    <mergeCell ref="A2859:G2859"/>
    <mergeCell ref="I2859:J2859"/>
    <mergeCell ref="K2859:L2859"/>
    <mergeCell ref="M2859:N2859"/>
    <mergeCell ref="A2860:G2860"/>
    <mergeCell ref="I2860:J2860"/>
    <mergeCell ref="K2860:L2860"/>
    <mergeCell ref="M2860:N2860"/>
    <mergeCell ref="A2861:G2861"/>
    <mergeCell ref="I2861:J2861"/>
    <mergeCell ref="K2861:L2861"/>
    <mergeCell ref="M2861:N2861"/>
    <mergeCell ref="A2862:G2862"/>
    <mergeCell ref="I2862:J2862"/>
    <mergeCell ref="K2862:L2862"/>
    <mergeCell ref="M2862:N2862"/>
    <mergeCell ref="K2845:L2845"/>
    <mergeCell ref="M2845:N2845"/>
    <mergeCell ref="I2846:N2847"/>
    <mergeCell ref="I2848:J2848"/>
    <mergeCell ref="K2848:N2848"/>
    <mergeCell ref="I2849:J2849"/>
    <mergeCell ref="K2849:N2849"/>
    <mergeCell ref="A2850:N2851"/>
    <mergeCell ref="A2855:N2855"/>
    <mergeCell ref="A2856:G2856"/>
    <mergeCell ref="I2856:J2856"/>
    <mergeCell ref="K2856:L2856"/>
    <mergeCell ref="M2856:N2856"/>
    <mergeCell ref="A2857:G2857"/>
    <mergeCell ref="I2857:J2857"/>
    <mergeCell ref="K2857:L2857"/>
    <mergeCell ref="M2857:N2857"/>
    <mergeCell ref="A2838:N2838"/>
    <mergeCell ref="A2839:G2839"/>
    <mergeCell ref="I2839:J2839"/>
    <mergeCell ref="M2839:N2839"/>
    <mergeCell ref="A2840:G2840"/>
    <mergeCell ref="I2840:J2840"/>
    <mergeCell ref="M2840:N2840"/>
    <mergeCell ref="A2841:G2841"/>
    <mergeCell ref="I2841:J2841"/>
    <mergeCell ref="M2841:N2841"/>
    <mergeCell ref="A2842:G2842"/>
    <mergeCell ref="I2842:J2842"/>
    <mergeCell ref="M2842:N2842"/>
    <mergeCell ref="A2843:G2843"/>
    <mergeCell ref="I2843:J2843"/>
    <mergeCell ref="M2843:N2843"/>
    <mergeCell ref="A2844:G2844"/>
    <mergeCell ref="I2844:J2844"/>
    <mergeCell ref="M2844:N2844"/>
    <mergeCell ref="A2832:G2832"/>
    <mergeCell ref="I2832:J2832"/>
    <mergeCell ref="K2832:L2832"/>
    <mergeCell ref="M2832:N2832"/>
    <mergeCell ref="A2833:G2833"/>
    <mergeCell ref="I2833:J2833"/>
    <mergeCell ref="K2833:L2833"/>
    <mergeCell ref="M2833:N2833"/>
    <mergeCell ref="A2834:G2834"/>
    <mergeCell ref="I2834:J2834"/>
    <mergeCell ref="K2834:L2834"/>
    <mergeCell ref="M2834:N2834"/>
    <mergeCell ref="A2835:G2835"/>
    <mergeCell ref="I2835:J2835"/>
    <mergeCell ref="K2835:L2835"/>
    <mergeCell ref="M2835:N2835"/>
    <mergeCell ref="K2836:L2836"/>
    <mergeCell ref="M2836:N2836"/>
    <mergeCell ref="A2825:G2825"/>
    <mergeCell ref="I2825:J2825"/>
    <mergeCell ref="K2825:L2825"/>
    <mergeCell ref="M2825:N2825"/>
    <mergeCell ref="A2826:G2826"/>
    <mergeCell ref="I2826:J2826"/>
    <mergeCell ref="K2826:L2826"/>
    <mergeCell ref="M2826:N2826"/>
    <mergeCell ref="K2827:L2827"/>
    <mergeCell ref="M2827:N2827"/>
    <mergeCell ref="A2829:N2829"/>
    <mergeCell ref="A2830:G2830"/>
    <mergeCell ref="I2830:J2830"/>
    <mergeCell ref="K2830:L2830"/>
    <mergeCell ref="M2830:N2830"/>
    <mergeCell ref="A2831:G2831"/>
    <mergeCell ref="I2831:J2831"/>
    <mergeCell ref="K2831:L2831"/>
    <mergeCell ref="M2831:N2831"/>
    <mergeCell ref="K2818:L2818"/>
    <mergeCell ref="M2818:N2818"/>
    <mergeCell ref="A2820:N2820"/>
    <mergeCell ref="A2821:G2821"/>
    <mergeCell ref="I2821:J2821"/>
    <mergeCell ref="K2821:L2821"/>
    <mergeCell ref="M2821:N2821"/>
    <mergeCell ref="A2822:G2822"/>
    <mergeCell ref="I2822:J2822"/>
    <mergeCell ref="K2822:L2822"/>
    <mergeCell ref="M2822:N2822"/>
    <mergeCell ref="A2823:G2823"/>
    <mergeCell ref="I2823:J2823"/>
    <mergeCell ref="K2823:L2823"/>
    <mergeCell ref="M2823:N2823"/>
    <mergeCell ref="A2824:G2824"/>
    <mergeCell ref="I2824:J2824"/>
    <mergeCell ref="K2824:L2824"/>
    <mergeCell ref="M2824:N2824"/>
    <mergeCell ref="A2813:G2813"/>
    <mergeCell ref="I2813:J2813"/>
    <mergeCell ref="K2813:L2813"/>
    <mergeCell ref="M2813:N2813"/>
    <mergeCell ref="A2814:G2814"/>
    <mergeCell ref="I2814:J2814"/>
    <mergeCell ref="K2814:L2814"/>
    <mergeCell ref="M2814:N2814"/>
    <mergeCell ref="A2815:G2815"/>
    <mergeCell ref="I2815:J2815"/>
    <mergeCell ref="K2815:L2815"/>
    <mergeCell ref="M2815:N2815"/>
    <mergeCell ref="A2816:G2816"/>
    <mergeCell ref="I2816:J2816"/>
    <mergeCell ref="K2816:L2816"/>
    <mergeCell ref="M2816:N2816"/>
    <mergeCell ref="I2817:J2817"/>
    <mergeCell ref="K2817:L2817"/>
    <mergeCell ref="M2817:N2817"/>
    <mergeCell ref="A2803:N2804"/>
    <mergeCell ref="A2808:N2808"/>
    <mergeCell ref="A2809:G2809"/>
    <mergeCell ref="I2809:J2809"/>
    <mergeCell ref="K2809:L2809"/>
    <mergeCell ref="M2809:N2809"/>
    <mergeCell ref="A2810:G2810"/>
    <mergeCell ref="I2810:J2810"/>
    <mergeCell ref="K2810:L2810"/>
    <mergeCell ref="M2810:N2810"/>
    <mergeCell ref="A2811:G2811"/>
    <mergeCell ref="I2811:J2811"/>
    <mergeCell ref="K2811:L2811"/>
    <mergeCell ref="M2811:N2811"/>
    <mergeCell ref="A2812:G2812"/>
    <mergeCell ref="I2812:J2812"/>
    <mergeCell ref="K2812:L2812"/>
    <mergeCell ref="M2812:N2812"/>
    <mergeCell ref="I2802:J2802"/>
    <mergeCell ref="K2802:N2802"/>
    <mergeCell ref="A2794:G2794"/>
    <mergeCell ref="I2794:J2794"/>
    <mergeCell ref="M2794:N2794"/>
    <mergeCell ref="A2795:G2795"/>
    <mergeCell ref="I2795:J2795"/>
    <mergeCell ref="M2795:N2795"/>
    <mergeCell ref="A2796:G2796"/>
    <mergeCell ref="I2796:J2796"/>
    <mergeCell ref="M2796:N2796"/>
    <mergeCell ref="A2797:G2797"/>
    <mergeCell ref="I2797:J2797"/>
    <mergeCell ref="M2797:N2797"/>
    <mergeCell ref="K2798:L2798"/>
    <mergeCell ref="M2798:N2798"/>
    <mergeCell ref="I2799:N2800"/>
    <mergeCell ref="I2801:J2801"/>
    <mergeCell ref="K2801:N2801"/>
    <mergeCell ref="A2787:G2787"/>
    <mergeCell ref="I2787:J2787"/>
    <mergeCell ref="K2787:L2787"/>
    <mergeCell ref="M2787:N2787"/>
    <mergeCell ref="A2788:G2788"/>
    <mergeCell ref="I2788:J2788"/>
    <mergeCell ref="K2788:L2788"/>
    <mergeCell ref="M2788:N2788"/>
    <mergeCell ref="K2789:L2789"/>
    <mergeCell ref="M2789:N2789"/>
    <mergeCell ref="A2791:N2791"/>
    <mergeCell ref="A2792:G2792"/>
    <mergeCell ref="I2792:J2792"/>
    <mergeCell ref="M2792:N2792"/>
    <mergeCell ref="A2793:G2793"/>
    <mergeCell ref="I2793:J2793"/>
    <mergeCell ref="M2793:N2793"/>
    <mergeCell ref="A2782:N2782"/>
    <mergeCell ref="A2783:G2783"/>
    <mergeCell ref="I2783:J2783"/>
    <mergeCell ref="K2783:L2783"/>
    <mergeCell ref="M2783:N2783"/>
    <mergeCell ref="A2784:G2784"/>
    <mergeCell ref="I2784:J2784"/>
    <mergeCell ref="K2784:L2784"/>
    <mergeCell ref="M2784:N2784"/>
    <mergeCell ref="A2785:G2785"/>
    <mergeCell ref="I2785:J2785"/>
    <mergeCell ref="K2785:L2785"/>
    <mergeCell ref="M2785:N2785"/>
    <mergeCell ref="A2786:G2786"/>
    <mergeCell ref="I2786:J2786"/>
    <mergeCell ref="K2786:L2786"/>
    <mergeCell ref="M2786:N2786"/>
    <mergeCell ref="A2776:G2776"/>
    <mergeCell ref="I2776:J2776"/>
    <mergeCell ref="K2776:L2776"/>
    <mergeCell ref="M2776:N2776"/>
    <mergeCell ref="A2777:G2777"/>
    <mergeCell ref="I2777:J2777"/>
    <mergeCell ref="K2777:L2777"/>
    <mergeCell ref="M2777:N2777"/>
    <mergeCell ref="A2778:G2778"/>
    <mergeCell ref="I2778:J2778"/>
    <mergeCell ref="K2778:L2778"/>
    <mergeCell ref="M2778:N2778"/>
    <mergeCell ref="A2779:G2779"/>
    <mergeCell ref="I2779:J2779"/>
    <mergeCell ref="K2779:L2779"/>
    <mergeCell ref="M2779:N2779"/>
    <mergeCell ref="K2780:L2780"/>
    <mergeCell ref="M2780:N2780"/>
    <mergeCell ref="A2771:G2771"/>
    <mergeCell ref="I2771:J2771"/>
    <mergeCell ref="K2771:L2771"/>
    <mergeCell ref="M2771:N2771"/>
    <mergeCell ref="A2772:G2772"/>
    <mergeCell ref="I2772:J2772"/>
    <mergeCell ref="K2772:L2772"/>
    <mergeCell ref="M2772:N2772"/>
    <mergeCell ref="A2773:G2773"/>
    <mergeCell ref="I2773:J2773"/>
    <mergeCell ref="K2773:L2773"/>
    <mergeCell ref="M2773:N2773"/>
    <mergeCell ref="A2774:G2774"/>
    <mergeCell ref="I2774:J2774"/>
    <mergeCell ref="K2774:L2774"/>
    <mergeCell ref="M2774:N2774"/>
    <mergeCell ref="A2775:G2775"/>
    <mergeCell ref="I2775:J2775"/>
    <mergeCell ref="K2775:L2775"/>
    <mergeCell ref="M2775:N2775"/>
    <mergeCell ref="A2764:G2764"/>
    <mergeCell ref="I2764:J2764"/>
    <mergeCell ref="K2764:L2764"/>
    <mergeCell ref="M2764:N2764"/>
    <mergeCell ref="A2765:G2765"/>
    <mergeCell ref="I2765:J2765"/>
    <mergeCell ref="K2765:L2765"/>
    <mergeCell ref="M2765:N2765"/>
    <mergeCell ref="K2766:L2766"/>
    <mergeCell ref="M2766:N2766"/>
    <mergeCell ref="A2768:N2768"/>
    <mergeCell ref="A2769:G2769"/>
    <mergeCell ref="I2769:J2769"/>
    <mergeCell ref="K2769:L2769"/>
    <mergeCell ref="M2769:N2769"/>
    <mergeCell ref="A2770:G2770"/>
    <mergeCell ref="I2770:J2770"/>
    <mergeCell ref="K2770:L2770"/>
    <mergeCell ref="M2770:N2770"/>
    <mergeCell ref="A2759:G2759"/>
    <mergeCell ref="I2759:J2759"/>
    <mergeCell ref="K2759:L2759"/>
    <mergeCell ref="M2759:N2759"/>
    <mergeCell ref="A2760:G2760"/>
    <mergeCell ref="I2760:J2760"/>
    <mergeCell ref="K2760:L2760"/>
    <mergeCell ref="M2760:N2760"/>
    <mergeCell ref="A2761:G2761"/>
    <mergeCell ref="I2761:J2761"/>
    <mergeCell ref="K2761:L2761"/>
    <mergeCell ref="M2761:N2761"/>
    <mergeCell ref="A2762:G2762"/>
    <mergeCell ref="I2762:J2762"/>
    <mergeCell ref="K2762:L2762"/>
    <mergeCell ref="M2762:N2762"/>
    <mergeCell ref="A2763:G2763"/>
    <mergeCell ref="I2763:J2763"/>
    <mergeCell ref="K2763:L2763"/>
    <mergeCell ref="M2763:N2763"/>
    <mergeCell ref="A2749:N2750"/>
    <mergeCell ref="A2754:N2754"/>
    <mergeCell ref="A2755:G2755"/>
    <mergeCell ref="I2755:J2755"/>
    <mergeCell ref="K2755:L2755"/>
    <mergeCell ref="M2755:N2755"/>
    <mergeCell ref="A2756:G2756"/>
    <mergeCell ref="I2756:J2756"/>
    <mergeCell ref="K2756:L2756"/>
    <mergeCell ref="M2756:N2756"/>
    <mergeCell ref="A2757:G2757"/>
    <mergeCell ref="I2757:J2757"/>
    <mergeCell ref="K2757:L2757"/>
    <mergeCell ref="M2757:N2757"/>
    <mergeCell ref="A2758:G2758"/>
    <mergeCell ref="I2758:J2758"/>
    <mergeCell ref="K2758:L2758"/>
    <mergeCell ref="M2758:N2758"/>
    <mergeCell ref="I2748:J2748"/>
    <mergeCell ref="K2748:N2748"/>
    <mergeCell ref="A2695:N2696"/>
    <mergeCell ref="A2700:N2700"/>
    <mergeCell ref="A2701:G2701"/>
    <mergeCell ref="I2701:J2701"/>
    <mergeCell ref="K2701:L2701"/>
    <mergeCell ref="M2701:N2701"/>
    <mergeCell ref="A2702:G2702"/>
    <mergeCell ref="I2702:J2702"/>
    <mergeCell ref="K2702:L2702"/>
    <mergeCell ref="M2702:N2702"/>
    <mergeCell ref="A2703:G2703"/>
    <mergeCell ref="I2703:J2703"/>
    <mergeCell ref="K2703:L2703"/>
    <mergeCell ref="M2703:N2703"/>
    <mergeCell ref="A2704:G2704"/>
    <mergeCell ref="I2704:J2704"/>
    <mergeCell ref="K2704:L2704"/>
    <mergeCell ref="M2704:N2704"/>
    <mergeCell ref="A2740:G2740"/>
    <mergeCell ref="I2740:J2740"/>
    <mergeCell ref="M2740:N2740"/>
    <mergeCell ref="A2741:G2741"/>
    <mergeCell ref="I2741:J2741"/>
    <mergeCell ref="M2741:N2741"/>
    <mergeCell ref="A2742:G2742"/>
    <mergeCell ref="I2742:J2742"/>
    <mergeCell ref="M2742:N2742"/>
    <mergeCell ref="A2743:G2743"/>
    <mergeCell ref="I2743:J2743"/>
    <mergeCell ref="M2743:N2743"/>
    <mergeCell ref="K2744:L2744"/>
    <mergeCell ref="M2744:N2744"/>
    <mergeCell ref="I2745:N2746"/>
    <mergeCell ref="I2747:J2747"/>
    <mergeCell ref="K2747:N2747"/>
    <mergeCell ref="A2733:G2733"/>
    <mergeCell ref="I2733:J2733"/>
    <mergeCell ref="K2733:L2733"/>
    <mergeCell ref="M2733:N2733"/>
    <mergeCell ref="A2734:G2734"/>
    <mergeCell ref="I2734:J2734"/>
    <mergeCell ref="K2734:L2734"/>
    <mergeCell ref="M2734:N2734"/>
    <mergeCell ref="K2735:L2735"/>
    <mergeCell ref="M2735:N2735"/>
    <mergeCell ref="A2737:N2737"/>
    <mergeCell ref="A2738:G2738"/>
    <mergeCell ref="I2738:J2738"/>
    <mergeCell ref="M2738:N2738"/>
    <mergeCell ref="A2739:G2739"/>
    <mergeCell ref="I2739:J2739"/>
    <mergeCell ref="M2739:N2739"/>
    <mergeCell ref="A2728:N2728"/>
    <mergeCell ref="A2729:G2729"/>
    <mergeCell ref="I2729:J2729"/>
    <mergeCell ref="K2729:L2729"/>
    <mergeCell ref="M2729:N2729"/>
    <mergeCell ref="A2730:G2730"/>
    <mergeCell ref="I2730:J2730"/>
    <mergeCell ref="K2730:L2730"/>
    <mergeCell ref="M2730:N2730"/>
    <mergeCell ref="A2731:G2731"/>
    <mergeCell ref="I2731:J2731"/>
    <mergeCell ref="K2731:L2731"/>
    <mergeCell ref="M2731:N2731"/>
    <mergeCell ref="A2732:G2732"/>
    <mergeCell ref="I2732:J2732"/>
    <mergeCell ref="K2732:L2732"/>
    <mergeCell ref="M2732:N2732"/>
    <mergeCell ref="A2722:G2722"/>
    <mergeCell ref="I2722:J2722"/>
    <mergeCell ref="K2722:L2722"/>
    <mergeCell ref="M2722:N2722"/>
    <mergeCell ref="A2723:G2723"/>
    <mergeCell ref="I2723:J2723"/>
    <mergeCell ref="K2723:L2723"/>
    <mergeCell ref="M2723:N2723"/>
    <mergeCell ref="A2724:G2724"/>
    <mergeCell ref="I2724:J2724"/>
    <mergeCell ref="K2724:L2724"/>
    <mergeCell ref="M2724:N2724"/>
    <mergeCell ref="A2725:G2725"/>
    <mergeCell ref="I2725:J2725"/>
    <mergeCell ref="K2725:L2725"/>
    <mergeCell ref="M2725:N2725"/>
    <mergeCell ref="K2726:L2726"/>
    <mergeCell ref="M2726:N2726"/>
    <mergeCell ref="A2717:G2717"/>
    <mergeCell ref="I2717:J2717"/>
    <mergeCell ref="K2717:L2717"/>
    <mergeCell ref="M2717:N2717"/>
    <mergeCell ref="A2718:G2718"/>
    <mergeCell ref="I2718:J2718"/>
    <mergeCell ref="K2718:L2718"/>
    <mergeCell ref="M2718:N2718"/>
    <mergeCell ref="A2719:G2719"/>
    <mergeCell ref="I2719:J2719"/>
    <mergeCell ref="K2719:L2719"/>
    <mergeCell ref="M2719:N2719"/>
    <mergeCell ref="A2720:G2720"/>
    <mergeCell ref="I2720:J2720"/>
    <mergeCell ref="K2720:L2720"/>
    <mergeCell ref="M2720:N2720"/>
    <mergeCell ref="A2721:G2721"/>
    <mergeCell ref="I2721:J2721"/>
    <mergeCell ref="K2721:L2721"/>
    <mergeCell ref="M2721:N2721"/>
    <mergeCell ref="A2710:G2710"/>
    <mergeCell ref="I2710:J2710"/>
    <mergeCell ref="K2710:L2710"/>
    <mergeCell ref="M2710:N2710"/>
    <mergeCell ref="A2711:G2711"/>
    <mergeCell ref="I2711:J2711"/>
    <mergeCell ref="K2711:L2711"/>
    <mergeCell ref="M2711:N2711"/>
    <mergeCell ref="K2712:L2712"/>
    <mergeCell ref="M2712:N2712"/>
    <mergeCell ref="A2714:N2714"/>
    <mergeCell ref="A2715:G2715"/>
    <mergeCell ref="I2715:J2715"/>
    <mergeCell ref="K2715:L2715"/>
    <mergeCell ref="M2715:N2715"/>
    <mergeCell ref="A2716:G2716"/>
    <mergeCell ref="I2716:J2716"/>
    <mergeCell ref="K2716:L2716"/>
    <mergeCell ref="M2716:N2716"/>
    <mergeCell ref="A2705:G2705"/>
    <mergeCell ref="I2705:J2705"/>
    <mergeCell ref="K2705:L2705"/>
    <mergeCell ref="M2705:N2705"/>
    <mergeCell ref="A2706:G2706"/>
    <mergeCell ref="I2706:J2706"/>
    <mergeCell ref="K2706:L2706"/>
    <mergeCell ref="M2706:N2706"/>
    <mergeCell ref="A2707:G2707"/>
    <mergeCell ref="I2707:J2707"/>
    <mergeCell ref="K2707:L2707"/>
    <mergeCell ref="M2707:N2707"/>
    <mergeCell ref="A2708:G2708"/>
    <mergeCell ref="I2708:J2708"/>
    <mergeCell ref="K2708:L2708"/>
    <mergeCell ref="M2708:N2708"/>
    <mergeCell ref="A2709:G2709"/>
    <mergeCell ref="I2709:J2709"/>
    <mergeCell ref="K2709:L2709"/>
    <mergeCell ref="M2709:N2709"/>
    <mergeCell ref="I2694:J2694"/>
    <mergeCell ref="K2694:N2694"/>
    <mergeCell ref="A2686:G2686"/>
    <mergeCell ref="I2686:J2686"/>
    <mergeCell ref="M2686:N2686"/>
    <mergeCell ref="A2687:G2687"/>
    <mergeCell ref="I2687:J2687"/>
    <mergeCell ref="M2687:N2687"/>
    <mergeCell ref="A2688:G2688"/>
    <mergeCell ref="I2688:J2688"/>
    <mergeCell ref="M2688:N2688"/>
    <mergeCell ref="A2689:G2689"/>
    <mergeCell ref="I2689:J2689"/>
    <mergeCell ref="M2689:N2689"/>
    <mergeCell ref="K2690:L2690"/>
    <mergeCell ref="M2690:N2690"/>
    <mergeCell ref="I2691:N2692"/>
    <mergeCell ref="I2693:J2693"/>
    <mergeCell ref="K2693:N2693"/>
    <mergeCell ref="A2679:G2679"/>
    <mergeCell ref="I2679:J2679"/>
    <mergeCell ref="K2679:L2679"/>
    <mergeCell ref="M2679:N2679"/>
    <mergeCell ref="A2680:G2680"/>
    <mergeCell ref="I2680:J2680"/>
    <mergeCell ref="K2680:L2680"/>
    <mergeCell ref="M2680:N2680"/>
    <mergeCell ref="K2681:L2681"/>
    <mergeCell ref="M2681:N2681"/>
    <mergeCell ref="A2683:N2683"/>
    <mergeCell ref="A2684:G2684"/>
    <mergeCell ref="I2684:J2684"/>
    <mergeCell ref="M2684:N2684"/>
    <mergeCell ref="A2685:G2685"/>
    <mergeCell ref="I2685:J2685"/>
    <mergeCell ref="M2685:N2685"/>
    <mergeCell ref="A2674:N2674"/>
    <mergeCell ref="A2675:G2675"/>
    <mergeCell ref="I2675:J2675"/>
    <mergeCell ref="K2675:L2675"/>
    <mergeCell ref="M2675:N2675"/>
    <mergeCell ref="A2676:G2676"/>
    <mergeCell ref="I2676:J2676"/>
    <mergeCell ref="K2676:L2676"/>
    <mergeCell ref="M2676:N2676"/>
    <mergeCell ref="A2677:G2677"/>
    <mergeCell ref="I2677:J2677"/>
    <mergeCell ref="K2677:L2677"/>
    <mergeCell ref="M2677:N2677"/>
    <mergeCell ref="A2678:G2678"/>
    <mergeCell ref="I2678:J2678"/>
    <mergeCell ref="K2678:L2678"/>
    <mergeCell ref="M2678:N2678"/>
    <mergeCell ref="A2668:G2668"/>
    <mergeCell ref="I2668:J2668"/>
    <mergeCell ref="K2668:L2668"/>
    <mergeCell ref="M2668:N2668"/>
    <mergeCell ref="A2669:G2669"/>
    <mergeCell ref="I2669:J2669"/>
    <mergeCell ref="K2669:L2669"/>
    <mergeCell ref="M2669:N2669"/>
    <mergeCell ref="A2670:G2670"/>
    <mergeCell ref="I2670:J2670"/>
    <mergeCell ref="K2670:L2670"/>
    <mergeCell ref="M2670:N2670"/>
    <mergeCell ref="A2671:G2671"/>
    <mergeCell ref="I2671:J2671"/>
    <mergeCell ref="K2671:L2671"/>
    <mergeCell ref="M2671:N2671"/>
    <mergeCell ref="K2672:L2672"/>
    <mergeCell ref="M2672:N2672"/>
    <mergeCell ref="A2661:G2661"/>
    <mergeCell ref="I2661:J2661"/>
    <mergeCell ref="K2661:L2661"/>
    <mergeCell ref="M2661:N2661"/>
    <mergeCell ref="A2662:G2662"/>
    <mergeCell ref="I2662:J2662"/>
    <mergeCell ref="K2662:L2662"/>
    <mergeCell ref="M2662:N2662"/>
    <mergeCell ref="K2663:L2663"/>
    <mergeCell ref="M2663:N2663"/>
    <mergeCell ref="A2665:N2665"/>
    <mergeCell ref="A2666:G2666"/>
    <mergeCell ref="I2666:J2666"/>
    <mergeCell ref="K2666:L2666"/>
    <mergeCell ref="M2666:N2666"/>
    <mergeCell ref="A2667:G2667"/>
    <mergeCell ref="I2667:J2667"/>
    <mergeCell ref="K2667:L2667"/>
    <mergeCell ref="M2667:N2667"/>
    <mergeCell ref="A2656:G2656"/>
    <mergeCell ref="I2656:J2656"/>
    <mergeCell ref="K2656:L2656"/>
    <mergeCell ref="M2656:N2656"/>
    <mergeCell ref="A2657:G2657"/>
    <mergeCell ref="I2657:J2657"/>
    <mergeCell ref="K2657:L2657"/>
    <mergeCell ref="M2657:N2657"/>
    <mergeCell ref="A2658:G2658"/>
    <mergeCell ref="I2658:J2658"/>
    <mergeCell ref="K2658:L2658"/>
    <mergeCell ref="M2658:N2658"/>
    <mergeCell ref="A2659:G2659"/>
    <mergeCell ref="I2659:J2659"/>
    <mergeCell ref="K2659:L2659"/>
    <mergeCell ref="M2659:N2659"/>
    <mergeCell ref="A2660:G2660"/>
    <mergeCell ref="I2660:J2660"/>
    <mergeCell ref="K2660:L2660"/>
    <mergeCell ref="M2660:N2660"/>
    <mergeCell ref="A2646:N2647"/>
    <mergeCell ref="A2651:N2651"/>
    <mergeCell ref="A2652:G2652"/>
    <mergeCell ref="I2652:J2652"/>
    <mergeCell ref="K2652:L2652"/>
    <mergeCell ref="M2652:N2652"/>
    <mergeCell ref="A2653:G2653"/>
    <mergeCell ref="I2653:J2653"/>
    <mergeCell ref="K2653:L2653"/>
    <mergeCell ref="M2653:N2653"/>
    <mergeCell ref="A2654:G2654"/>
    <mergeCell ref="I2654:J2654"/>
    <mergeCell ref="K2654:L2654"/>
    <mergeCell ref="M2654:N2654"/>
    <mergeCell ref="A2655:G2655"/>
    <mergeCell ref="I2655:J2655"/>
    <mergeCell ref="K2655:L2655"/>
    <mergeCell ref="M2655:N2655"/>
    <mergeCell ref="I2479:N2480"/>
    <mergeCell ref="I2481:J2481"/>
    <mergeCell ref="K2481:N2481"/>
    <mergeCell ref="I2482:J2482"/>
    <mergeCell ref="K2482:N2482"/>
    <mergeCell ref="A2453:N2453"/>
    <mergeCell ref="A2454:G2454"/>
    <mergeCell ref="I2454:J2454"/>
    <mergeCell ref="A2455:G2455"/>
    <mergeCell ref="I2455:J2455"/>
    <mergeCell ref="K2455:L2455"/>
    <mergeCell ref="M2455:N2455"/>
    <mergeCell ref="A2456:G2456"/>
    <mergeCell ref="I2456:J2456"/>
    <mergeCell ref="K2456:L2456"/>
    <mergeCell ref="M2456:N2456"/>
    <mergeCell ref="A2462:N2462"/>
    <mergeCell ref="A2463:G2463"/>
    <mergeCell ref="I2463:J2463"/>
    <mergeCell ref="A2464:G2464"/>
    <mergeCell ref="I2464:J2464"/>
    <mergeCell ref="K2464:L2464"/>
    <mergeCell ref="M2464:N2464"/>
    <mergeCell ref="I2465:J2465"/>
    <mergeCell ref="K2465:L2465"/>
    <mergeCell ref="M2465:N2465"/>
    <mergeCell ref="A2471:N2471"/>
    <mergeCell ref="A2472:G2472"/>
    <mergeCell ref="I2472:J2472"/>
    <mergeCell ref="A2473:G2473"/>
    <mergeCell ref="A2475:G2475"/>
    <mergeCell ref="I2475:J2475"/>
    <mergeCell ref="M2475:N2475"/>
    <mergeCell ref="A2476:G2476"/>
    <mergeCell ref="I2476:J2476"/>
    <mergeCell ref="M2476:N2476"/>
    <mergeCell ref="A2477:G2477"/>
    <mergeCell ref="I2477:J2477"/>
    <mergeCell ref="M2477:N2477"/>
    <mergeCell ref="M2478:N2478"/>
    <mergeCell ref="A2468:G2468"/>
    <mergeCell ref="I2468:J2468"/>
    <mergeCell ref="K2468:L2468"/>
    <mergeCell ref="M2468:N2468"/>
    <mergeCell ref="K2469:L2469"/>
    <mergeCell ref="M2469:N2469"/>
    <mergeCell ref="M2472:N2472"/>
    <mergeCell ref="I2473:J2473"/>
    <mergeCell ref="M2473:N2473"/>
    <mergeCell ref="A2474:G2474"/>
    <mergeCell ref="I2474:J2474"/>
    <mergeCell ref="M2474:N2474"/>
    <mergeCell ref="K2478:L2478"/>
    <mergeCell ref="K2463:L2463"/>
    <mergeCell ref="M2463:N2463"/>
    <mergeCell ref="I2466:J2466"/>
    <mergeCell ref="K2466:L2466"/>
    <mergeCell ref="M2466:N2466"/>
    <mergeCell ref="A2467:G2467"/>
    <mergeCell ref="I2467:J2467"/>
    <mergeCell ref="K2467:L2467"/>
    <mergeCell ref="M2467:N2467"/>
    <mergeCell ref="K2454:L2454"/>
    <mergeCell ref="M2454:N2454"/>
    <mergeCell ref="A2457:G2457"/>
    <mergeCell ref="I2457:J2457"/>
    <mergeCell ref="K2457:L2457"/>
    <mergeCell ref="M2457:N2457"/>
    <mergeCell ref="A2458:G2458"/>
    <mergeCell ref="I2458:J2458"/>
    <mergeCell ref="K2458:L2458"/>
    <mergeCell ref="M2458:N2458"/>
    <mergeCell ref="A2459:G2459"/>
    <mergeCell ref="I2459:J2459"/>
    <mergeCell ref="K2459:L2459"/>
    <mergeCell ref="M2459:N2459"/>
    <mergeCell ref="K2460:L2460"/>
    <mergeCell ref="M2460:N2460"/>
    <mergeCell ref="A2449:G2449"/>
    <mergeCell ref="I2449:J2449"/>
    <mergeCell ref="K2449:L2449"/>
    <mergeCell ref="M2449:N2449"/>
    <mergeCell ref="A2450:G2450"/>
    <mergeCell ref="I2450:J2450"/>
    <mergeCell ref="K2450:L2450"/>
    <mergeCell ref="M2450:N2450"/>
    <mergeCell ref="K2451:L2451"/>
    <mergeCell ref="M2451:N2451"/>
    <mergeCell ref="A2439:N2440"/>
    <mergeCell ref="A2444:N2444"/>
    <mergeCell ref="A2445:G2445"/>
    <mergeCell ref="I2445:J2445"/>
    <mergeCell ref="K2445:L2445"/>
    <mergeCell ref="M2445:N2445"/>
    <mergeCell ref="A2446:G2446"/>
    <mergeCell ref="I2446:J2446"/>
    <mergeCell ref="K2446:L2446"/>
    <mergeCell ref="M2446:N2446"/>
    <mergeCell ref="A2447:G2447"/>
    <mergeCell ref="I2447:J2447"/>
    <mergeCell ref="K2447:L2447"/>
    <mergeCell ref="M2447:N2447"/>
    <mergeCell ref="A2448:G2448"/>
    <mergeCell ref="I2448:J2448"/>
    <mergeCell ref="K2448:L2448"/>
    <mergeCell ref="M2448:N2448"/>
    <mergeCell ref="K2434:L2434"/>
    <mergeCell ref="M2434:N2434"/>
    <mergeCell ref="I2435:N2436"/>
    <mergeCell ref="I2437:J2437"/>
    <mergeCell ref="K2437:N2437"/>
    <mergeCell ref="I2438:J2438"/>
    <mergeCell ref="K2438:N2438"/>
    <mergeCell ref="A2427:N2427"/>
    <mergeCell ref="A2428:G2428"/>
    <mergeCell ref="I2428:J2428"/>
    <mergeCell ref="M2428:N2428"/>
    <mergeCell ref="A2429:G2429"/>
    <mergeCell ref="I2429:J2429"/>
    <mergeCell ref="M2429:N2429"/>
    <mergeCell ref="A2430:G2430"/>
    <mergeCell ref="I2430:J2430"/>
    <mergeCell ref="M2430:N2430"/>
    <mergeCell ref="A2431:G2431"/>
    <mergeCell ref="I2431:J2431"/>
    <mergeCell ref="M2431:N2431"/>
    <mergeCell ref="A2432:G2432"/>
    <mergeCell ref="I2432:J2432"/>
    <mergeCell ref="M2432:N2432"/>
    <mergeCell ref="A2433:G2433"/>
    <mergeCell ref="I2433:J2433"/>
    <mergeCell ref="M2433:N2433"/>
    <mergeCell ref="A2421:G2421"/>
    <mergeCell ref="I2421:J2421"/>
    <mergeCell ref="K2421:L2421"/>
    <mergeCell ref="M2421:N2421"/>
    <mergeCell ref="A2422:G2422"/>
    <mergeCell ref="I2422:J2422"/>
    <mergeCell ref="K2422:L2422"/>
    <mergeCell ref="M2422:N2422"/>
    <mergeCell ref="A2423:G2423"/>
    <mergeCell ref="I2423:J2423"/>
    <mergeCell ref="K2423:L2423"/>
    <mergeCell ref="M2423:N2423"/>
    <mergeCell ref="A2424:G2424"/>
    <mergeCell ref="I2424:J2424"/>
    <mergeCell ref="K2424:L2424"/>
    <mergeCell ref="M2424:N2424"/>
    <mergeCell ref="K2425:L2425"/>
    <mergeCell ref="M2425:N2425"/>
    <mergeCell ref="A2414:G2414"/>
    <mergeCell ref="I2414:J2414"/>
    <mergeCell ref="K2414:L2414"/>
    <mergeCell ref="M2414:N2414"/>
    <mergeCell ref="A2415:G2415"/>
    <mergeCell ref="I2415:J2415"/>
    <mergeCell ref="K2415:L2415"/>
    <mergeCell ref="M2415:N2415"/>
    <mergeCell ref="K2416:L2416"/>
    <mergeCell ref="M2416:N2416"/>
    <mergeCell ref="A2418:N2418"/>
    <mergeCell ref="A2419:G2419"/>
    <mergeCell ref="I2419:J2419"/>
    <mergeCell ref="K2419:L2419"/>
    <mergeCell ref="M2419:N2419"/>
    <mergeCell ref="A2420:G2420"/>
    <mergeCell ref="I2420:J2420"/>
    <mergeCell ref="K2420:L2420"/>
    <mergeCell ref="M2420:N2420"/>
    <mergeCell ref="A2409:G2409"/>
    <mergeCell ref="I2409:J2409"/>
    <mergeCell ref="K2409:L2409"/>
    <mergeCell ref="M2409:N2409"/>
    <mergeCell ref="A2410:G2410"/>
    <mergeCell ref="I2410:J2410"/>
    <mergeCell ref="K2410:L2410"/>
    <mergeCell ref="M2410:N2410"/>
    <mergeCell ref="A2411:G2411"/>
    <mergeCell ref="I2411:J2411"/>
    <mergeCell ref="K2411:L2411"/>
    <mergeCell ref="M2411:N2411"/>
    <mergeCell ref="A2412:G2412"/>
    <mergeCell ref="I2412:J2412"/>
    <mergeCell ref="K2412:L2412"/>
    <mergeCell ref="M2412:N2412"/>
    <mergeCell ref="A2413:G2413"/>
    <mergeCell ref="I2413:J2413"/>
    <mergeCell ref="K2413:L2413"/>
    <mergeCell ref="M2413:N2413"/>
    <mergeCell ref="A2404:N2404"/>
    <mergeCell ref="A2405:G2405"/>
    <mergeCell ref="I2405:J2405"/>
    <mergeCell ref="K2405:L2405"/>
    <mergeCell ref="M2405:N2405"/>
    <mergeCell ref="A2406:G2406"/>
    <mergeCell ref="I2406:J2406"/>
    <mergeCell ref="K2406:L2406"/>
    <mergeCell ref="M2406:N2406"/>
    <mergeCell ref="A2407:G2407"/>
    <mergeCell ref="I2407:J2407"/>
    <mergeCell ref="K2407:L2407"/>
    <mergeCell ref="M2407:N2407"/>
    <mergeCell ref="A2408:G2408"/>
    <mergeCell ref="I2408:J2408"/>
    <mergeCell ref="K2408:L2408"/>
    <mergeCell ref="M2408:N2408"/>
    <mergeCell ref="A2398:G2398"/>
    <mergeCell ref="I2398:J2398"/>
    <mergeCell ref="K2398:L2398"/>
    <mergeCell ref="M2398:N2398"/>
    <mergeCell ref="A2399:G2399"/>
    <mergeCell ref="I2399:J2399"/>
    <mergeCell ref="K2399:L2399"/>
    <mergeCell ref="M2399:N2399"/>
    <mergeCell ref="A2400:G2400"/>
    <mergeCell ref="I2400:J2400"/>
    <mergeCell ref="K2400:L2400"/>
    <mergeCell ref="M2400:N2400"/>
    <mergeCell ref="A2401:G2401"/>
    <mergeCell ref="I2401:J2401"/>
    <mergeCell ref="K2401:L2401"/>
    <mergeCell ref="M2401:N2401"/>
    <mergeCell ref="K2402:L2402"/>
    <mergeCell ref="M2402:N2402"/>
    <mergeCell ref="A2393:G2393"/>
    <mergeCell ref="I2393:J2393"/>
    <mergeCell ref="K2393:L2393"/>
    <mergeCell ref="M2393:N2393"/>
    <mergeCell ref="A2394:G2394"/>
    <mergeCell ref="I2394:J2394"/>
    <mergeCell ref="K2394:L2394"/>
    <mergeCell ref="M2394:N2394"/>
    <mergeCell ref="A2395:G2395"/>
    <mergeCell ref="I2395:J2395"/>
    <mergeCell ref="K2395:L2395"/>
    <mergeCell ref="M2395:N2395"/>
    <mergeCell ref="A2396:G2396"/>
    <mergeCell ref="I2396:J2396"/>
    <mergeCell ref="K2396:L2396"/>
    <mergeCell ref="M2396:N2396"/>
    <mergeCell ref="A2397:G2397"/>
    <mergeCell ref="I2397:J2397"/>
    <mergeCell ref="K2397:L2397"/>
    <mergeCell ref="M2397:N2397"/>
    <mergeCell ref="K2380:L2380"/>
    <mergeCell ref="M2380:N2380"/>
    <mergeCell ref="I2381:N2382"/>
    <mergeCell ref="I2383:J2383"/>
    <mergeCell ref="K2383:N2383"/>
    <mergeCell ref="I2384:J2384"/>
    <mergeCell ref="K2384:N2384"/>
    <mergeCell ref="A2385:N2386"/>
    <mergeCell ref="A2390:N2390"/>
    <mergeCell ref="A2391:G2391"/>
    <mergeCell ref="I2391:J2391"/>
    <mergeCell ref="K2391:L2391"/>
    <mergeCell ref="M2391:N2391"/>
    <mergeCell ref="A2392:G2392"/>
    <mergeCell ref="I2392:J2392"/>
    <mergeCell ref="K2392:L2392"/>
    <mergeCell ref="M2392:N2392"/>
    <mergeCell ref="A2373:N2373"/>
    <mergeCell ref="A2374:G2374"/>
    <mergeCell ref="I2374:J2374"/>
    <mergeCell ref="M2374:N2374"/>
    <mergeCell ref="A2375:G2375"/>
    <mergeCell ref="I2375:J2375"/>
    <mergeCell ref="M2375:N2375"/>
    <mergeCell ref="A2376:G2376"/>
    <mergeCell ref="I2376:J2376"/>
    <mergeCell ref="M2376:N2376"/>
    <mergeCell ref="A2377:G2377"/>
    <mergeCell ref="I2377:J2377"/>
    <mergeCell ref="M2377:N2377"/>
    <mergeCell ref="A2378:G2378"/>
    <mergeCell ref="I2378:J2378"/>
    <mergeCell ref="M2378:N2378"/>
    <mergeCell ref="A2379:G2379"/>
    <mergeCell ref="I2379:J2379"/>
    <mergeCell ref="M2379:N2379"/>
    <mergeCell ref="A2367:G2367"/>
    <mergeCell ref="I2367:J2367"/>
    <mergeCell ref="K2367:L2367"/>
    <mergeCell ref="M2367:N2367"/>
    <mergeCell ref="A2368:G2368"/>
    <mergeCell ref="I2368:J2368"/>
    <mergeCell ref="K2368:L2368"/>
    <mergeCell ref="M2368:N2368"/>
    <mergeCell ref="A2369:G2369"/>
    <mergeCell ref="I2369:J2369"/>
    <mergeCell ref="K2369:L2369"/>
    <mergeCell ref="M2369:N2369"/>
    <mergeCell ref="A2370:G2370"/>
    <mergeCell ref="I2370:J2370"/>
    <mergeCell ref="K2370:L2370"/>
    <mergeCell ref="M2370:N2370"/>
    <mergeCell ref="K2371:L2371"/>
    <mergeCell ref="M2371:N2371"/>
    <mergeCell ref="A2360:G2360"/>
    <mergeCell ref="I2360:J2360"/>
    <mergeCell ref="K2360:L2360"/>
    <mergeCell ref="M2360:N2360"/>
    <mergeCell ref="A2361:G2361"/>
    <mergeCell ref="I2361:J2361"/>
    <mergeCell ref="K2361:L2361"/>
    <mergeCell ref="M2361:N2361"/>
    <mergeCell ref="K2362:L2362"/>
    <mergeCell ref="M2362:N2362"/>
    <mergeCell ref="A2364:N2364"/>
    <mergeCell ref="A2365:G2365"/>
    <mergeCell ref="I2365:J2365"/>
    <mergeCell ref="K2365:L2365"/>
    <mergeCell ref="M2365:N2365"/>
    <mergeCell ref="A2366:G2366"/>
    <mergeCell ref="I2366:J2366"/>
    <mergeCell ref="K2366:L2366"/>
    <mergeCell ref="M2366:N2366"/>
    <mergeCell ref="A2355:G2355"/>
    <mergeCell ref="I2355:J2355"/>
    <mergeCell ref="K2355:L2355"/>
    <mergeCell ref="M2355:N2355"/>
    <mergeCell ref="A2356:G2356"/>
    <mergeCell ref="I2356:J2356"/>
    <mergeCell ref="K2356:L2356"/>
    <mergeCell ref="M2356:N2356"/>
    <mergeCell ref="A2357:G2357"/>
    <mergeCell ref="I2357:J2357"/>
    <mergeCell ref="K2357:L2357"/>
    <mergeCell ref="M2357:N2357"/>
    <mergeCell ref="A2358:G2358"/>
    <mergeCell ref="I2358:J2358"/>
    <mergeCell ref="K2358:L2358"/>
    <mergeCell ref="M2358:N2358"/>
    <mergeCell ref="A2359:G2359"/>
    <mergeCell ref="I2359:J2359"/>
    <mergeCell ref="K2359:L2359"/>
    <mergeCell ref="M2359:N2359"/>
    <mergeCell ref="A2350:N2350"/>
    <mergeCell ref="A2351:G2351"/>
    <mergeCell ref="I2351:J2351"/>
    <mergeCell ref="K2351:L2351"/>
    <mergeCell ref="M2351:N2351"/>
    <mergeCell ref="A2352:G2352"/>
    <mergeCell ref="I2352:J2352"/>
    <mergeCell ref="K2352:L2352"/>
    <mergeCell ref="M2352:N2352"/>
    <mergeCell ref="A2353:G2353"/>
    <mergeCell ref="I2353:J2353"/>
    <mergeCell ref="K2353:L2353"/>
    <mergeCell ref="M2353:N2353"/>
    <mergeCell ref="A2354:G2354"/>
    <mergeCell ref="I2354:J2354"/>
    <mergeCell ref="K2354:L2354"/>
    <mergeCell ref="M2354:N2354"/>
    <mergeCell ref="A2344:G2344"/>
    <mergeCell ref="I2344:J2344"/>
    <mergeCell ref="K2344:L2344"/>
    <mergeCell ref="M2344:N2344"/>
    <mergeCell ref="A2345:G2345"/>
    <mergeCell ref="I2345:J2345"/>
    <mergeCell ref="K2345:L2345"/>
    <mergeCell ref="M2345:N2345"/>
    <mergeCell ref="A2346:G2346"/>
    <mergeCell ref="I2346:J2346"/>
    <mergeCell ref="K2346:L2346"/>
    <mergeCell ref="M2346:N2346"/>
    <mergeCell ref="A2347:G2347"/>
    <mergeCell ref="I2347:J2347"/>
    <mergeCell ref="K2347:L2347"/>
    <mergeCell ref="M2347:N2347"/>
    <mergeCell ref="K2348:L2348"/>
    <mergeCell ref="M2348:N2348"/>
    <mergeCell ref="A2339:G2339"/>
    <mergeCell ref="I2339:J2339"/>
    <mergeCell ref="K2339:L2339"/>
    <mergeCell ref="M2339:N2339"/>
    <mergeCell ref="A2340:G2340"/>
    <mergeCell ref="I2340:J2340"/>
    <mergeCell ref="K2340:L2340"/>
    <mergeCell ref="M2340:N2340"/>
    <mergeCell ref="A2341:G2341"/>
    <mergeCell ref="I2341:J2341"/>
    <mergeCell ref="K2341:L2341"/>
    <mergeCell ref="M2341:N2341"/>
    <mergeCell ref="A2342:G2342"/>
    <mergeCell ref="I2342:J2342"/>
    <mergeCell ref="K2342:L2342"/>
    <mergeCell ref="M2342:N2342"/>
    <mergeCell ref="A2343:G2343"/>
    <mergeCell ref="I2343:J2343"/>
    <mergeCell ref="K2343:L2343"/>
    <mergeCell ref="M2343:N2343"/>
    <mergeCell ref="K2326:L2326"/>
    <mergeCell ref="M2326:N2326"/>
    <mergeCell ref="I2327:N2328"/>
    <mergeCell ref="I2329:J2329"/>
    <mergeCell ref="K2329:N2329"/>
    <mergeCell ref="I2330:J2330"/>
    <mergeCell ref="K2330:N2330"/>
    <mergeCell ref="A2331:N2332"/>
    <mergeCell ref="A2336:N2336"/>
    <mergeCell ref="A2337:G2337"/>
    <mergeCell ref="I2337:J2337"/>
    <mergeCell ref="K2337:L2337"/>
    <mergeCell ref="M2337:N2337"/>
    <mergeCell ref="A2338:G2338"/>
    <mergeCell ref="I2338:J2338"/>
    <mergeCell ref="K2338:L2338"/>
    <mergeCell ref="M2338:N2338"/>
    <mergeCell ref="A2319:N2319"/>
    <mergeCell ref="A2320:G2320"/>
    <mergeCell ref="I2320:J2320"/>
    <mergeCell ref="M2320:N2320"/>
    <mergeCell ref="A2321:G2321"/>
    <mergeCell ref="I2321:J2321"/>
    <mergeCell ref="M2321:N2321"/>
    <mergeCell ref="A2322:G2322"/>
    <mergeCell ref="I2322:J2322"/>
    <mergeCell ref="M2322:N2322"/>
    <mergeCell ref="A2323:G2323"/>
    <mergeCell ref="I2323:J2323"/>
    <mergeCell ref="M2323:N2323"/>
    <mergeCell ref="A2324:G2324"/>
    <mergeCell ref="I2324:J2324"/>
    <mergeCell ref="M2324:N2324"/>
    <mergeCell ref="A2325:G2325"/>
    <mergeCell ref="I2325:J2325"/>
    <mergeCell ref="M2325:N2325"/>
    <mergeCell ref="A2313:G2313"/>
    <mergeCell ref="I2313:J2313"/>
    <mergeCell ref="K2313:L2313"/>
    <mergeCell ref="M2313:N2313"/>
    <mergeCell ref="A2314:G2314"/>
    <mergeCell ref="I2314:J2314"/>
    <mergeCell ref="K2314:L2314"/>
    <mergeCell ref="M2314:N2314"/>
    <mergeCell ref="A2315:G2315"/>
    <mergeCell ref="I2315:J2315"/>
    <mergeCell ref="K2315:L2315"/>
    <mergeCell ref="M2315:N2315"/>
    <mergeCell ref="A2316:G2316"/>
    <mergeCell ref="I2316:J2316"/>
    <mergeCell ref="K2316:L2316"/>
    <mergeCell ref="M2316:N2316"/>
    <mergeCell ref="K2317:L2317"/>
    <mergeCell ref="M2317:N2317"/>
    <mergeCell ref="A2306:G2306"/>
    <mergeCell ref="I2306:J2306"/>
    <mergeCell ref="K2306:L2306"/>
    <mergeCell ref="M2306:N2306"/>
    <mergeCell ref="A2307:G2307"/>
    <mergeCell ref="I2307:J2307"/>
    <mergeCell ref="K2307:L2307"/>
    <mergeCell ref="M2307:N2307"/>
    <mergeCell ref="K2308:L2308"/>
    <mergeCell ref="M2308:N2308"/>
    <mergeCell ref="A2310:N2310"/>
    <mergeCell ref="A2311:G2311"/>
    <mergeCell ref="I2311:J2311"/>
    <mergeCell ref="K2311:L2311"/>
    <mergeCell ref="M2311:N2311"/>
    <mergeCell ref="A2312:G2312"/>
    <mergeCell ref="I2312:J2312"/>
    <mergeCell ref="K2312:L2312"/>
    <mergeCell ref="M2312:N2312"/>
    <mergeCell ref="A2301:G2301"/>
    <mergeCell ref="I2301:J2301"/>
    <mergeCell ref="K2301:L2301"/>
    <mergeCell ref="M2301:N2301"/>
    <mergeCell ref="A2302:G2302"/>
    <mergeCell ref="I2302:J2302"/>
    <mergeCell ref="K2302:L2302"/>
    <mergeCell ref="M2302:N2302"/>
    <mergeCell ref="A2303:G2303"/>
    <mergeCell ref="I2303:J2303"/>
    <mergeCell ref="K2303:L2303"/>
    <mergeCell ref="M2303:N2303"/>
    <mergeCell ref="A2304:G2304"/>
    <mergeCell ref="I2304:J2304"/>
    <mergeCell ref="K2304:L2304"/>
    <mergeCell ref="M2304:N2304"/>
    <mergeCell ref="A2305:G2305"/>
    <mergeCell ref="I2305:J2305"/>
    <mergeCell ref="K2305:L2305"/>
    <mergeCell ref="M2305:N2305"/>
    <mergeCell ref="A2296:N2296"/>
    <mergeCell ref="A2297:G2297"/>
    <mergeCell ref="I2297:J2297"/>
    <mergeCell ref="K2297:L2297"/>
    <mergeCell ref="M2297:N2297"/>
    <mergeCell ref="A2298:G2298"/>
    <mergeCell ref="I2298:J2298"/>
    <mergeCell ref="K2298:L2298"/>
    <mergeCell ref="M2298:N2298"/>
    <mergeCell ref="A2299:G2299"/>
    <mergeCell ref="I2299:J2299"/>
    <mergeCell ref="K2299:L2299"/>
    <mergeCell ref="M2299:N2299"/>
    <mergeCell ref="A2300:G2300"/>
    <mergeCell ref="I2300:J2300"/>
    <mergeCell ref="K2300:L2300"/>
    <mergeCell ref="M2300:N2300"/>
    <mergeCell ref="A2290:G2290"/>
    <mergeCell ref="I2290:J2290"/>
    <mergeCell ref="K2290:L2290"/>
    <mergeCell ref="M2290:N2290"/>
    <mergeCell ref="A2291:G2291"/>
    <mergeCell ref="I2291:J2291"/>
    <mergeCell ref="K2291:L2291"/>
    <mergeCell ref="M2291:N2291"/>
    <mergeCell ref="A2292:G2292"/>
    <mergeCell ref="I2292:J2292"/>
    <mergeCell ref="K2292:L2292"/>
    <mergeCell ref="M2292:N2292"/>
    <mergeCell ref="A2293:G2293"/>
    <mergeCell ref="I2293:J2293"/>
    <mergeCell ref="K2293:L2293"/>
    <mergeCell ref="M2293:N2293"/>
    <mergeCell ref="K2294:L2294"/>
    <mergeCell ref="M2294:N2294"/>
    <mergeCell ref="A2285:G2285"/>
    <mergeCell ref="I2285:J2285"/>
    <mergeCell ref="K2285:L2285"/>
    <mergeCell ref="M2285:N2285"/>
    <mergeCell ref="A2286:G2286"/>
    <mergeCell ref="I2286:J2286"/>
    <mergeCell ref="K2286:L2286"/>
    <mergeCell ref="M2286:N2286"/>
    <mergeCell ref="A2287:G2287"/>
    <mergeCell ref="I2287:J2287"/>
    <mergeCell ref="K2287:L2287"/>
    <mergeCell ref="M2287:N2287"/>
    <mergeCell ref="A2288:G2288"/>
    <mergeCell ref="I2288:J2288"/>
    <mergeCell ref="K2288:L2288"/>
    <mergeCell ref="M2288:N2288"/>
    <mergeCell ref="A2289:G2289"/>
    <mergeCell ref="I2289:J2289"/>
    <mergeCell ref="K2289:L2289"/>
    <mergeCell ref="M2289:N2289"/>
    <mergeCell ref="K2272:L2272"/>
    <mergeCell ref="M2272:N2272"/>
    <mergeCell ref="I2273:N2274"/>
    <mergeCell ref="I2275:J2275"/>
    <mergeCell ref="K2275:N2275"/>
    <mergeCell ref="I2276:J2276"/>
    <mergeCell ref="K2276:N2276"/>
    <mergeCell ref="A2277:N2278"/>
    <mergeCell ref="A2282:N2282"/>
    <mergeCell ref="A2283:G2283"/>
    <mergeCell ref="I2283:J2283"/>
    <mergeCell ref="K2283:L2283"/>
    <mergeCell ref="M2283:N2283"/>
    <mergeCell ref="A2284:G2284"/>
    <mergeCell ref="I2284:J2284"/>
    <mergeCell ref="K2284:L2284"/>
    <mergeCell ref="M2284:N2284"/>
    <mergeCell ref="A2265:N2265"/>
    <mergeCell ref="A2266:G2266"/>
    <mergeCell ref="I2266:J2266"/>
    <mergeCell ref="M2266:N2266"/>
    <mergeCell ref="A2267:G2267"/>
    <mergeCell ref="I2267:J2267"/>
    <mergeCell ref="M2267:N2267"/>
    <mergeCell ref="A2268:G2268"/>
    <mergeCell ref="I2268:J2268"/>
    <mergeCell ref="M2268:N2268"/>
    <mergeCell ref="A2269:G2269"/>
    <mergeCell ref="I2269:J2269"/>
    <mergeCell ref="M2269:N2269"/>
    <mergeCell ref="A2270:G2270"/>
    <mergeCell ref="I2270:J2270"/>
    <mergeCell ref="M2270:N2270"/>
    <mergeCell ref="A2271:G2271"/>
    <mergeCell ref="I2271:J2271"/>
    <mergeCell ref="M2271:N2271"/>
    <mergeCell ref="A2259:G2259"/>
    <mergeCell ref="I2259:J2259"/>
    <mergeCell ref="K2259:L2259"/>
    <mergeCell ref="M2259:N2259"/>
    <mergeCell ref="A2260:G2260"/>
    <mergeCell ref="I2260:J2260"/>
    <mergeCell ref="K2260:L2260"/>
    <mergeCell ref="M2260:N2260"/>
    <mergeCell ref="A2261:G2261"/>
    <mergeCell ref="I2261:J2261"/>
    <mergeCell ref="K2261:L2261"/>
    <mergeCell ref="M2261:N2261"/>
    <mergeCell ref="A2262:G2262"/>
    <mergeCell ref="I2262:J2262"/>
    <mergeCell ref="K2262:L2262"/>
    <mergeCell ref="M2262:N2262"/>
    <mergeCell ref="K2263:L2263"/>
    <mergeCell ref="M2263:N2263"/>
    <mergeCell ref="A2252:G2252"/>
    <mergeCell ref="I2252:J2252"/>
    <mergeCell ref="K2252:L2252"/>
    <mergeCell ref="M2252:N2252"/>
    <mergeCell ref="A2253:G2253"/>
    <mergeCell ref="I2253:J2253"/>
    <mergeCell ref="K2253:L2253"/>
    <mergeCell ref="M2253:N2253"/>
    <mergeCell ref="K2254:L2254"/>
    <mergeCell ref="M2254:N2254"/>
    <mergeCell ref="A2256:N2256"/>
    <mergeCell ref="A2257:G2257"/>
    <mergeCell ref="I2257:J2257"/>
    <mergeCell ref="K2257:L2257"/>
    <mergeCell ref="M2257:N2257"/>
    <mergeCell ref="A2258:G2258"/>
    <mergeCell ref="I2258:J2258"/>
    <mergeCell ref="K2258:L2258"/>
    <mergeCell ref="M2258:N2258"/>
    <mergeCell ref="A2247:G2247"/>
    <mergeCell ref="I2247:J2247"/>
    <mergeCell ref="K2247:L2247"/>
    <mergeCell ref="M2247:N2247"/>
    <mergeCell ref="A2248:G2248"/>
    <mergeCell ref="I2248:J2248"/>
    <mergeCell ref="K2248:L2248"/>
    <mergeCell ref="M2248:N2248"/>
    <mergeCell ref="A2249:G2249"/>
    <mergeCell ref="I2249:J2249"/>
    <mergeCell ref="K2249:L2249"/>
    <mergeCell ref="M2249:N2249"/>
    <mergeCell ref="A2250:G2250"/>
    <mergeCell ref="I2250:J2250"/>
    <mergeCell ref="K2250:L2250"/>
    <mergeCell ref="M2250:N2250"/>
    <mergeCell ref="A2251:G2251"/>
    <mergeCell ref="I2251:J2251"/>
    <mergeCell ref="K2251:L2251"/>
    <mergeCell ref="M2251:N2251"/>
    <mergeCell ref="A2242:N2242"/>
    <mergeCell ref="A2243:G2243"/>
    <mergeCell ref="I2243:J2243"/>
    <mergeCell ref="K2243:L2243"/>
    <mergeCell ref="M2243:N2243"/>
    <mergeCell ref="A2244:G2244"/>
    <mergeCell ref="I2244:J2244"/>
    <mergeCell ref="K2244:L2244"/>
    <mergeCell ref="M2244:N2244"/>
    <mergeCell ref="A2245:G2245"/>
    <mergeCell ref="I2245:J2245"/>
    <mergeCell ref="K2245:L2245"/>
    <mergeCell ref="M2245:N2245"/>
    <mergeCell ref="A2246:G2246"/>
    <mergeCell ref="I2246:J2246"/>
    <mergeCell ref="K2246:L2246"/>
    <mergeCell ref="M2246:N2246"/>
    <mergeCell ref="A2236:G2236"/>
    <mergeCell ref="I2236:J2236"/>
    <mergeCell ref="K2236:L2236"/>
    <mergeCell ref="M2236:N2236"/>
    <mergeCell ref="A2237:G2237"/>
    <mergeCell ref="I2237:J2237"/>
    <mergeCell ref="K2237:L2237"/>
    <mergeCell ref="M2237:N2237"/>
    <mergeCell ref="A2238:G2238"/>
    <mergeCell ref="I2238:J2238"/>
    <mergeCell ref="K2238:L2238"/>
    <mergeCell ref="M2238:N2238"/>
    <mergeCell ref="A2239:G2239"/>
    <mergeCell ref="I2239:J2239"/>
    <mergeCell ref="K2239:L2239"/>
    <mergeCell ref="M2239:N2239"/>
    <mergeCell ref="K2240:L2240"/>
    <mergeCell ref="M2240:N2240"/>
    <mergeCell ref="A2231:G2231"/>
    <mergeCell ref="I2231:J2231"/>
    <mergeCell ref="K2231:L2231"/>
    <mergeCell ref="M2231:N2231"/>
    <mergeCell ref="A2232:G2232"/>
    <mergeCell ref="I2232:J2232"/>
    <mergeCell ref="K2232:L2232"/>
    <mergeCell ref="M2232:N2232"/>
    <mergeCell ref="A2233:G2233"/>
    <mergeCell ref="I2233:J2233"/>
    <mergeCell ref="K2233:L2233"/>
    <mergeCell ref="M2233:N2233"/>
    <mergeCell ref="A2234:G2234"/>
    <mergeCell ref="I2234:J2234"/>
    <mergeCell ref="K2234:L2234"/>
    <mergeCell ref="M2234:N2234"/>
    <mergeCell ref="A2235:G2235"/>
    <mergeCell ref="I2235:J2235"/>
    <mergeCell ref="K2235:L2235"/>
    <mergeCell ref="M2235:N2235"/>
    <mergeCell ref="K2218:L2218"/>
    <mergeCell ref="M2218:N2218"/>
    <mergeCell ref="I2219:N2220"/>
    <mergeCell ref="I2221:J2221"/>
    <mergeCell ref="K2221:N2221"/>
    <mergeCell ref="I2222:J2222"/>
    <mergeCell ref="K2222:N2222"/>
    <mergeCell ref="A2223:N2224"/>
    <mergeCell ref="A2228:N2228"/>
    <mergeCell ref="A2229:G2229"/>
    <mergeCell ref="I2229:J2229"/>
    <mergeCell ref="K2229:L2229"/>
    <mergeCell ref="M2229:N2229"/>
    <mergeCell ref="A2230:G2230"/>
    <mergeCell ref="I2230:J2230"/>
    <mergeCell ref="K2230:L2230"/>
    <mergeCell ref="M2230:N2230"/>
    <mergeCell ref="A2211:N2211"/>
    <mergeCell ref="A2212:G2212"/>
    <mergeCell ref="I2212:J2212"/>
    <mergeCell ref="M2212:N2212"/>
    <mergeCell ref="A2213:G2213"/>
    <mergeCell ref="I2213:J2213"/>
    <mergeCell ref="M2213:N2213"/>
    <mergeCell ref="A2214:G2214"/>
    <mergeCell ref="I2214:J2214"/>
    <mergeCell ref="M2214:N2214"/>
    <mergeCell ref="A2215:G2215"/>
    <mergeCell ref="I2215:J2215"/>
    <mergeCell ref="M2215:N2215"/>
    <mergeCell ref="A2216:G2216"/>
    <mergeCell ref="I2216:J2216"/>
    <mergeCell ref="M2216:N2216"/>
    <mergeCell ref="A2217:G2217"/>
    <mergeCell ref="I2217:J2217"/>
    <mergeCell ref="M2217:N2217"/>
    <mergeCell ref="A2205:G2205"/>
    <mergeCell ref="I2205:J2205"/>
    <mergeCell ref="K2205:L2205"/>
    <mergeCell ref="M2205:N2205"/>
    <mergeCell ref="A2206:G2206"/>
    <mergeCell ref="I2206:J2206"/>
    <mergeCell ref="K2206:L2206"/>
    <mergeCell ref="M2206:N2206"/>
    <mergeCell ref="A2207:G2207"/>
    <mergeCell ref="I2207:J2207"/>
    <mergeCell ref="K2207:L2207"/>
    <mergeCell ref="M2207:N2207"/>
    <mergeCell ref="A2208:G2208"/>
    <mergeCell ref="I2208:J2208"/>
    <mergeCell ref="K2208:L2208"/>
    <mergeCell ref="M2208:N2208"/>
    <mergeCell ref="K2209:L2209"/>
    <mergeCell ref="M2209:N2209"/>
    <mergeCell ref="A2198:G2198"/>
    <mergeCell ref="I2198:J2198"/>
    <mergeCell ref="K2198:L2198"/>
    <mergeCell ref="M2198:N2198"/>
    <mergeCell ref="A2199:G2199"/>
    <mergeCell ref="I2199:J2199"/>
    <mergeCell ref="K2199:L2199"/>
    <mergeCell ref="M2199:N2199"/>
    <mergeCell ref="K2200:L2200"/>
    <mergeCell ref="M2200:N2200"/>
    <mergeCell ref="A2202:N2202"/>
    <mergeCell ref="A2203:G2203"/>
    <mergeCell ref="I2203:J2203"/>
    <mergeCell ref="K2203:L2203"/>
    <mergeCell ref="M2203:N2203"/>
    <mergeCell ref="A2204:G2204"/>
    <mergeCell ref="I2204:J2204"/>
    <mergeCell ref="K2204:L2204"/>
    <mergeCell ref="M2204:N2204"/>
    <mergeCell ref="A2193:G2193"/>
    <mergeCell ref="I2193:J2193"/>
    <mergeCell ref="K2193:L2193"/>
    <mergeCell ref="M2193:N2193"/>
    <mergeCell ref="A2194:G2194"/>
    <mergeCell ref="I2194:J2194"/>
    <mergeCell ref="K2194:L2194"/>
    <mergeCell ref="M2194:N2194"/>
    <mergeCell ref="A2195:G2195"/>
    <mergeCell ref="I2195:J2195"/>
    <mergeCell ref="K2195:L2195"/>
    <mergeCell ref="M2195:N2195"/>
    <mergeCell ref="A2196:G2196"/>
    <mergeCell ref="I2196:J2196"/>
    <mergeCell ref="K2196:L2196"/>
    <mergeCell ref="M2196:N2196"/>
    <mergeCell ref="A2197:G2197"/>
    <mergeCell ref="I2197:J2197"/>
    <mergeCell ref="K2197:L2197"/>
    <mergeCell ref="M2197:N2197"/>
    <mergeCell ref="A2188:N2188"/>
    <mergeCell ref="A2189:G2189"/>
    <mergeCell ref="I2189:J2189"/>
    <mergeCell ref="K2189:L2189"/>
    <mergeCell ref="M2189:N2189"/>
    <mergeCell ref="A2190:G2190"/>
    <mergeCell ref="I2190:J2190"/>
    <mergeCell ref="K2190:L2190"/>
    <mergeCell ref="M2190:N2190"/>
    <mergeCell ref="A2191:G2191"/>
    <mergeCell ref="I2191:J2191"/>
    <mergeCell ref="K2191:L2191"/>
    <mergeCell ref="M2191:N2191"/>
    <mergeCell ref="A2192:G2192"/>
    <mergeCell ref="I2192:J2192"/>
    <mergeCell ref="K2192:L2192"/>
    <mergeCell ref="M2192:N2192"/>
    <mergeCell ref="A2182:G2182"/>
    <mergeCell ref="I2182:J2182"/>
    <mergeCell ref="K2182:L2182"/>
    <mergeCell ref="M2182:N2182"/>
    <mergeCell ref="A2183:G2183"/>
    <mergeCell ref="I2183:J2183"/>
    <mergeCell ref="K2183:L2183"/>
    <mergeCell ref="M2183:N2183"/>
    <mergeCell ref="A2184:G2184"/>
    <mergeCell ref="I2184:J2184"/>
    <mergeCell ref="K2184:L2184"/>
    <mergeCell ref="M2184:N2184"/>
    <mergeCell ref="A2185:G2185"/>
    <mergeCell ref="I2185:J2185"/>
    <mergeCell ref="K2185:L2185"/>
    <mergeCell ref="M2185:N2185"/>
    <mergeCell ref="K2186:L2186"/>
    <mergeCell ref="M2186:N2186"/>
    <mergeCell ref="A2177:G2177"/>
    <mergeCell ref="I2177:J2177"/>
    <mergeCell ref="K2177:L2177"/>
    <mergeCell ref="M2177:N2177"/>
    <mergeCell ref="A2178:G2178"/>
    <mergeCell ref="I2178:J2178"/>
    <mergeCell ref="K2178:L2178"/>
    <mergeCell ref="M2178:N2178"/>
    <mergeCell ref="A2179:G2179"/>
    <mergeCell ref="I2179:J2179"/>
    <mergeCell ref="K2179:L2179"/>
    <mergeCell ref="M2179:N2179"/>
    <mergeCell ref="A2180:G2180"/>
    <mergeCell ref="I2180:J2180"/>
    <mergeCell ref="K2180:L2180"/>
    <mergeCell ref="M2180:N2180"/>
    <mergeCell ref="A2181:G2181"/>
    <mergeCell ref="I2181:J2181"/>
    <mergeCell ref="K2181:L2181"/>
    <mergeCell ref="M2181:N2181"/>
    <mergeCell ref="K2164:L2164"/>
    <mergeCell ref="M2164:N2164"/>
    <mergeCell ref="I2165:N2166"/>
    <mergeCell ref="I2167:J2167"/>
    <mergeCell ref="K2167:N2167"/>
    <mergeCell ref="I2168:J2168"/>
    <mergeCell ref="K2168:N2168"/>
    <mergeCell ref="A2169:N2170"/>
    <mergeCell ref="A2174:N2174"/>
    <mergeCell ref="A2175:G2175"/>
    <mergeCell ref="I2175:J2175"/>
    <mergeCell ref="K2175:L2175"/>
    <mergeCell ref="M2175:N2175"/>
    <mergeCell ref="A2176:G2176"/>
    <mergeCell ref="I2176:J2176"/>
    <mergeCell ref="K2176:L2176"/>
    <mergeCell ref="M2176:N2176"/>
    <mergeCell ref="A2157:N2157"/>
    <mergeCell ref="A2158:G2158"/>
    <mergeCell ref="I2158:J2158"/>
    <mergeCell ref="M2158:N2158"/>
    <mergeCell ref="A2159:G2159"/>
    <mergeCell ref="I2159:J2159"/>
    <mergeCell ref="M2159:N2159"/>
    <mergeCell ref="A2160:G2160"/>
    <mergeCell ref="I2160:J2160"/>
    <mergeCell ref="M2160:N2160"/>
    <mergeCell ref="A2161:G2161"/>
    <mergeCell ref="I2161:J2161"/>
    <mergeCell ref="M2161:N2161"/>
    <mergeCell ref="A2162:G2162"/>
    <mergeCell ref="I2162:J2162"/>
    <mergeCell ref="M2162:N2162"/>
    <mergeCell ref="A2163:G2163"/>
    <mergeCell ref="I2163:J2163"/>
    <mergeCell ref="M2163:N2163"/>
    <mergeCell ref="A2151:G2151"/>
    <mergeCell ref="I2151:J2151"/>
    <mergeCell ref="K2151:L2151"/>
    <mergeCell ref="M2151:N2151"/>
    <mergeCell ref="A2152:G2152"/>
    <mergeCell ref="I2152:J2152"/>
    <mergeCell ref="K2152:L2152"/>
    <mergeCell ref="M2152:N2152"/>
    <mergeCell ref="A2153:G2153"/>
    <mergeCell ref="I2153:J2153"/>
    <mergeCell ref="K2153:L2153"/>
    <mergeCell ref="M2153:N2153"/>
    <mergeCell ref="A2154:G2154"/>
    <mergeCell ref="I2154:J2154"/>
    <mergeCell ref="K2154:L2154"/>
    <mergeCell ref="M2154:N2154"/>
    <mergeCell ref="K2155:L2155"/>
    <mergeCell ref="M2155:N2155"/>
    <mergeCell ref="A2144:G2144"/>
    <mergeCell ref="I2144:J2144"/>
    <mergeCell ref="K2144:L2144"/>
    <mergeCell ref="M2144:N2144"/>
    <mergeCell ref="A2145:G2145"/>
    <mergeCell ref="I2145:J2145"/>
    <mergeCell ref="K2145:L2145"/>
    <mergeCell ref="M2145:N2145"/>
    <mergeCell ref="K2146:L2146"/>
    <mergeCell ref="M2146:N2146"/>
    <mergeCell ref="A2148:N2148"/>
    <mergeCell ref="A2149:G2149"/>
    <mergeCell ref="I2149:J2149"/>
    <mergeCell ref="K2149:L2149"/>
    <mergeCell ref="M2149:N2149"/>
    <mergeCell ref="A2150:G2150"/>
    <mergeCell ref="I2150:J2150"/>
    <mergeCell ref="K2150:L2150"/>
    <mergeCell ref="M2150:N2150"/>
    <mergeCell ref="A2139:G2139"/>
    <mergeCell ref="I2139:J2139"/>
    <mergeCell ref="K2139:L2139"/>
    <mergeCell ref="M2139:N2139"/>
    <mergeCell ref="A2140:G2140"/>
    <mergeCell ref="I2140:J2140"/>
    <mergeCell ref="K2140:L2140"/>
    <mergeCell ref="M2140:N2140"/>
    <mergeCell ref="A2141:G2141"/>
    <mergeCell ref="I2141:J2141"/>
    <mergeCell ref="K2141:L2141"/>
    <mergeCell ref="M2141:N2141"/>
    <mergeCell ref="A2142:G2142"/>
    <mergeCell ref="I2142:J2142"/>
    <mergeCell ref="K2142:L2142"/>
    <mergeCell ref="M2142:N2142"/>
    <mergeCell ref="A2143:G2143"/>
    <mergeCell ref="I2143:J2143"/>
    <mergeCell ref="K2143:L2143"/>
    <mergeCell ref="M2143:N2143"/>
    <mergeCell ref="A2134:N2134"/>
    <mergeCell ref="A2135:G2135"/>
    <mergeCell ref="I2135:J2135"/>
    <mergeCell ref="K2135:L2135"/>
    <mergeCell ref="M2135:N2135"/>
    <mergeCell ref="A2136:G2136"/>
    <mergeCell ref="I2136:J2136"/>
    <mergeCell ref="K2136:L2136"/>
    <mergeCell ref="M2136:N2136"/>
    <mergeCell ref="A2137:G2137"/>
    <mergeCell ref="I2137:J2137"/>
    <mergeCell ref="K2137:L2137"/>
    <mergeCell ref="M2137:N2137"/>
    <mergeCell ref="A2138:G2138"/>
    <mergeCell ref="I2138:J2138"/>
    <mergeCell ref="K2138:L2138"/>
    <mergeCell ref="M2138:N2138"/>
    <mergeCell ref="A2128:G2128"/>
    <mergeCell ref="I2128:J2128"/>
    <mergeCell ref="K2128:L2128"/>
    <mergeCell ref="M2128:N2128"/>
    <mergeCell ref="A2129:G2129"/>
    <mergeCell ref="I2129:J2129"/>
    <mergeCell ref="K2129:L2129"/>
    <mergeCell ref="M2129:N2129"/>
    <mergeCell ref="A2130:G2130"/>
    <mergeCell ref="I2130:J2130"/>
    <mergeCell ref="K2130:L2130"/>
    <mergeCell ref="M2130:N2130"/>
    <mergeCell ref="A2131:G2131"/>
    <mergeCell ref="I2131:J2131"/>
    <mergeCell ref="K2131:L2131"/>
    <mergeCell ref="M2131:N2131"/>
    <mergeCell ref="K2132:L2132"/>
    <mergeCell ref="M2132:N2132"/>
    <mergeCell ref="A2123:G2123"/>
    <mergeCell ref="I2123:J2123"/>
    <mergeCell ref="K2123:L2123"/>
    <mergeCell ref="M2123:N2123"/>
    <mergeCell ref="A2124:G2124"/>
    <mergeCell ref="I2124:J2124"/>
    <mergeCell ref="K2124:L2124"/>
    <mergeCell ref="M2124:N2124"/>
    <mergeCell ref="A2125:G2125"/>
    <mergeCell ref="I2125:J2125"/>
    <mergeCell ref="K2125:L2125"/>
    <mergeCell ref="M2125:N2125"/>
    <mergeCell ref="A2126:G2126"/>
    <mergeCell ref="I2126:J2126"/>
    <mergeCell ref="K2126:L2126"/>
    <mergeCell ref="M2126:N2126"/>
    <mergeCell ref="A2127:G2127"/>
    <mergeCell ref="I2127:J2127"/>
    <mergeCell ref="K2127:L2127"/>
    <mergeCell ref="M2127:N2127"/>
    <mergeCell ref="A2109:G2109"/>
    <mergeCell ref="I2109:J2109"/>
    <mergeCell ref="M2109:N2109"/>
    <mergeCell ref="K2110:L2110"/>
    <mergeCell ref="M2110:N2110"/>
    <mergeCell ref="I2111:N2112"/>
    <mergeCell ref="I2113:J2113"/>
    <mergeCell ref="K2113:N2113"/>
    <mergeCell ref="I2114:J2114"/>
    <mergeCell ref="K2114:N2114"/>
    <mergeCell ref="A2115:N2116"/>
    <mergeCell ref="A2120:N2120"/>
    <mergeCell ref="A2121:G2121"/>
    <mergeCell ref="I2121:J2121"/>
    <mergeCell ref="K2121:L2121"/>
    <mergeCell ref="M2121:N2121"/>
    <mergeCell ref="A2122:G2122"/>
    <mergeCell ref="I2122:J2122"/>
    <mergeCell ref="K2122:L2122"/>
    <mergeCell ref="M2122:N2122"/>
    <mergeCell ref="K2101:L2101"/>
    <mergeCell ref="M2101:N2101"/>
    <mergeCell ref="A2103:N2103"/>
    <mergeCell ref="A2104:G2104"/>
    <mergeCell ref="I2104:J2104"/>
    <mergeCell ref="M2104:N2104"/>
    <mergeCell ref="A2105:G2105"/>
    <mergeCell ref="I2105:J2105"/>
    <mergeCell ref="M2105:N2105"/>
    <mergeCell ref="A2106:G2106"/>
    <mergeCell ref="I2106:J2106"/>
    <mergeCell ref="M2106:N2106"/>
    <mergeCell ref="A2107:G2107"/>
    <mergeCell ref="I2107:J2107"/>
    <mergeCell ref="M2107:N2107"/>
    <mergeCell ref="A2108:G2108"/>
    <mergeCell ref="I2108:J2108"/>
    <mergeCell ref="M2108:N2108"/>
    <mergeCell ref="A2096:N2096"/>
    <mergeCell ref="A2097:G2097"/>
    <mergeCell ref="I2097:J2097"/>
    <mergeCell ref="K2097:L2097"/>
    <mergeCell ref="M2097:N2097"/>
    <mergeCell ref="A2098:G2098"/>
    <mergeCell ref="I2098:J2098"/>
    <mergeCell ref="K2098:L2098"/>
    <mergeCell ref="M2098:N2098"/>
    <mergeCell ref="A2099:G2099"/>
    <mergeCell ref="I2099:J2099"/>
    <mergeCell ref="K2099:L2099"/>
    <mergeCell ref="M2099:N2099"/>
    <mergeCell ref="A2100:G2100"/>
    <mergeCell ref="I2100:J2100"/>
    <mergeCell ref="K2100:L2100"/>
    <mergeCell ref="M2100:N2100"/>
    <mergeCell ref="A2090:G2090"/>
    <mergeCell ref="I2090:J2090"/>
    <mergeCell ref="M2090:N2090"/>
    <mergeCell ref="A2091:G2091"/>
    <mergeCell ref="I2091:J2091"/>
    <mergeCell ref="K2090:L2090"/>
    <mergeCell ref="M2091:N2091"/>
    <mergeCell ref="A2092:G2092"/>
    <mergeCell ref="I2092:J2092"/>
    <mergeCell ref="K2092:L2092"/>
    <mergeCell ref="M2092:N2092"/>
    <mergeCell ref="A2093:G2093"/>
    <mergeCell ref="I2093:J2093"/>
    <mergeCell ref="K2093:L2093"/>
    <mergeCell ref="M2093:N2093"/>
    <mergeCell ref="K2094:L2094"/>
    <mergeCell ref="M2094:N2094"/>
    <mergeCell ref="A2083:G2083"/>
    <mergeCell ref="I2083:J2083"/>
    <mergeCell ref="K2083:L2083"/>
    <mergeCell ref="M2083:N2083"/>
    <mergeCell ref="A2084:G2084"/>
    <mergeCell ref="I2084:J2084"/>
    <mergeCell ref="K2084:L2084"/>
    <mergeCell ref="M2084:N2084"/>
    <mergeCell ref="K2085:L2085"/>
    <mergeCell ref="M2085:N2085"/>
    <mergeCell ref="A2087:N2087"/>
    <mergeCell ref="A2088:G2088"/>
    <mergeCell ref="I2088:J2088"/>
    <mergeCell ref="K2088:L2088"/>
    <mergeCell ref="M2088:N2088"/>
    <mergeCell ref="A2089:G2089"/>
    <mergeCell ref="I2089:J2089"/>
    <mergeCell ref="K2089:L2089"/>
    <mergeCell ref="M2089:N2089"/>
    <mergeCell ref="I2072:J2072"/>
    <mergeCell ref="K2072:N2072"/>
    <mergeCell ref="A2073:N2074"/>
    <mergeCell ref="A2078:N2078"/>
    <mergeCell ref="A2079:G2079"/>
    <mergeCell ref="I2079:J2079"/>
    <mergeCell ref="K2079:L2079"/>
    <mergeCell ref="M2079:N2079"/>
    <mergeCell ref="A2080:G2080"/>
    <mergeCell ref="I2080:J2080"/>
    <mergeCell ref="K2080:L2080"/>
    <mergeCell ref="M2080:N2080"/>
    <mergeCell ref="A2081:G2081"/>
    <mergeCell ref="I2081:J2081"/>
    <mergeCell ref="K2081:L2081"/>
    <mergeCell ref="M2081:N2081"/>
    <mergeCell ref="A2082:G2082"/>
    <mergeCell ref="I2082:J2082"/>
    <mergeCell ref="K2082:L2082"/>
    <mergeCell ref="M2082:N2082"/>
    <mergeCell ref="A2064:G2064"/>
    <mergeCell ref="I2064:J2064"/>
    <mergeCell ref="M2064:N2064"/>
    <mergeCell ref="A2065:G2065"/>
    <mergeCell ref="I2065:J2065"/>
    <mergeCell ref="M2065:N2065"/>
    <mergeCell ref="A2066:G2066"/>
    <mergeCell ref="I2066:J2066"/>
    <mergeCell ref="M2066:N2066"/>
    <mergeCell ref="A2067:G2067"/>
    <mergeCell ref="I2067:J2067"/>
    <mergeCell ref="M2067:N2067"/>
    <mergeCell ref="K2068:L2068"/>
    <mergeCell ref="M2068:N2068"/>
    <mergeCell ref="I2069:N2070"/>
    <mergeCell ref="I2071:J2071"/>
    <mergeCell ref="K2071:N2071"/>
    <mergeCell ref="A2057:G2057"/>
    <mergeCell ref="I2057:J2057"/>
    <mergeCell ref="K2057:L2057"/>
    <mergeCell ref="M2057:N2057"/>
    <mergeCell ref="A2058:G2058"/>
    <mergeCell ref="I2058:J2058"/>
    <mergeCell ref="K2058:L2058"/>
    <mergeCell ref="M2058:N2058"/>
    <mergeCell ref="K2059:L2059"/>
    <mergeCell ref="M2059:N2059"/>
    <mergeCell ref="A2061:N2061"/>
    <mergeCell ref="A2062:G2062"/>
    <mergeCell ref="I2062:J2062"/>
    <mergeCell ref="M2062:N2062"/>
    <mergeCell ref="A2063:G2063"/>
    <mergeCell ref="I2063:J2063"/>
    <mergeCell ref="M2063:N2063"/>
    <mergeCell ref="A2052:N2052"/>
    <mergeCell ref="A2053:G2053"/>
    <mergeCell ref="I2053:J2053"/>
    <mergeCell ref="K2053:L2053"/>
    <mergeCell ref="M2053:N2053"/>
    <mergeCell ref="A2054:G2054"/>
    <mergeCell ref="I2054:J2054"/>
    <mergeCell ref="K2054:L2054"/>
    <mergeCell ref="M2054:N2054"/>
    <mergeCell ref="A2055:G2055"/>
    <mergeCell ref="I2055:J2055"/>
    <mergeCell ref="K2055:L2055"/>
    <mergeCell ref="M2055:N2055"/>
    <mergeCell ref="A2056:G2056"/>
    <mergeCell ref="I2056:J2056"/>
    <mergeCell ref="K2056:L2056"/>
    <mergeCell ref="M2056:N2056"/>
    <mergeCell ref="A2046:G2046"/>
    <mergeCell ref="I2046:J2046"/>
    <mergeCell ref="K2046:L2046"/>
    <mergeCell ref="M2046:N2046"/>
    <mergeCell ref="A2047:G2047"/>
    <mergeCell ref="I2047:J2047"/>
    <mergeCell ref="K2047:L2047"/>
    <mergeCell ref="M2047:N2047"/>
    <mergeCell ref="A2048:G2048"/>
    <mergeCell ref="I2048:J2048"/>
    <mergeCell ref="K2048:L2048"/>
    <mergeCell ref="M2048:N2048"/>
    <mergeCell ref="A2049:G2049"/>
    <mergeCell ref="I2049:J2049"/>
    <mergeCell ref="K2049:L2049"/>
    <mergeCell ref="M2049:N2049"/>
    <mergeCell ref="K2050:L2050"/>
    <mergeCell ref="M2050:N2050"/>
    <mergeCell ref="A2041:G2041"/>
    <mergeCell ref="I2041:J2041"/>
    <mergeCell ref="K2041:L2041"/>
    <mergeCell ref="M2041:N2041"/>
    <mergeCell ref="A2042:G2042"/>
    <mergeCell ref="I2042:J2042"/>
    <mergeCell ref="K2042:L2042"/>
    <mergeCell ref="M2042:N2042"/>
    <mergeCell ref="A2043:G2043"/>
    <mergeCell ref="I2043:J2043"/>
    <mergeCell ref="K2043:L2043"/>
    <mergeCell ref="M2043:N2043"/>
    <mergeCell ref="A2044:G2044"/>
    <mergeCell ref="I2044:J2044"/>
    <mergeCell ref="K2044:L2044"/>
    <mergeCell ref="M2044:N2044"/>
    <mergeCell ref="A2045:G2045"/>
    <mergeCell ref="I2045:J2045"/>
    <mergeCell ref="K2045:L2045"/>
    <mergeCell ref="M2045:N2045"/>
    <mergeCell ref="A2034:G2034"/>
    <mergeCell ref="I2034:J2034"/>
    <mergeCell ref="K2034:L2034"/>
    <mergeCell ref="M2034:N2034"/>
    <mergeCell ref="A2035:G2035"/>
    <mergeCell ref="I2035:J2035"/>
    <mergeCell ref="K2035:L2035"/>
    <mergeCell ref="M2035:N2035"/>
    <mergeCell ref="K2036:L2036"/>
    <mergeCell ref="M2036:N2036"/>
    <mergeCell ref="A2038:N2038"/>
    <mergeCell ref="A2039:G2039"/>
    <mergeCell ref="I2039:J2039"/>
    <mergeCell ref="K2039:L2039"/>
    <mergeCell ref="M2039:N2039"/>
    <mergeCell ref="A2040:G2040"/>
    <mergeCell ref="I2040:J2040"/>
    <mergeCell ref="K2040:L2040"/>
    <mergeCell ref="M2040:N2040"/>
    <mergeCell ref="A2029:G2029"/>
    <mergeCell ref="I2029:J2029"/>
    <mergeCell ref="K2029:L2029"/>
    <mergeCell ref="M2029:N2029"/>
    <mergeCell ref="A2030:G2030"/>
    <mergeCell ref="I2030:J2030"/>
    <mergeCell ref="K2030:L2030"/>
    <mergeCell ref="M2030:N2030"/>
    <mergeCell ref="A2031:G2031"/>
    <mergeCell ref="I2031:J2031"/>
    <mergeCell ref="K2031:L2031"/>
    <mergeCell ref="M2031:N2031"/>
    <mergeCell ref="A2032:G2032"/>
    <mergeCell ref="I2032:J2032"/>
    <mergeCell ref="K2032:L2032"/>
    <mergeCell ref="M2032:N2032"/>
    <mergeCell ref="A2033:G2033"/>
    <mergeCell ref="I2033:J2033"/>
    <mergeCell ref="K2033:L2033"/>
    <mergeCell ref="M2033:N2033"/>
    <mergeCell ref="I2018:J2018"/>
    <mergeCell ref="K2018:N2018"/>
    <mergeCell ref="A2019:N2020"/>
    <mergeCell ref="A2024:N2024"/>
    <mergeCell ref="A2025:G2025"/>
    <mergeCell ref="I2025:J2025"/>
    <mergeCell ref="K2025:L2025"/>
    <mergeCell ref="M2025:N2025"/>
    <mergeCell ref="A2026:G2026"/>
    <mergeCell ref="I2026:J2026"/>
    <mergeCell ref="K2026:L2026"/>
    <mergeCell ref="M2026:N2026"/>
    <mergeCell ref="A2027:G2027"/>
    <mergeCell ref="I2027:J2027"/>
    <mergeCell ref="K2027:L2027"/>
    <mergeCell ref="M2027:N2027"/>
    <mergeCell ref="A2028:G2028"/>
    <mergeCell ref="I2028:J2028"/>
    <mergeCell ref="K2028:L2028"/>
    <mergeCell ref="M2028:N2028"/>
    <mergeCell ref="A2010:G2010"/>
    <mergeCell ref="I2010:J2010"/>
    <mergeCell ref="M2010:N2010"/>
    <mergeCell ref="A2011:G2011"/>
    <mergeCell ref="I2011:J2011"/>
    <mergeCell ref="M2011:N2011"/>
    <mergeCell ref="A2012:G2012"/>
    <mergeCell ref="I2012:J2012"/>
    <mergeCell ref="M2012:N2012"/>
    <mergeCell ref="A2013:G2013"/>
    <mergeCell ref="I2013:J2013"/>
    <mergeCell ref="M2013:N2013"/>
    <mergeCell ref="K2014:L2014"/>
    <mergeCell ref="M2014:N2014"/>
    <mergeCell ref="I2015:N2016"/>
    <mergeCell ref="I2017:J2017"/>
    <mergeCell ref="K2017:N2017"/>
    <mergeCell ref="A2003:G2003"/>
    <mergeCell ref="I2003:J2003"/>
    <mergeCell ref="K2003:L2003"/>
    <mergeCell ref="M2003:N2003"/>
    <mergeCell ref="A2004:G2004"/>
    <mergeCell ref="I2004:J2004"/>
    <mergeCell ref="K2004:L2004"/>
    <mergeCell ref="M2004:N2004"/>
    <mergeCell ref="K2005:L2005"/>
    <mergeCell ref="M2005:N2005"/>
    <mergeCell ref="A2007:N2007"/>
    <mergeCell ref="A2008:G2008"/>
    <mergeCell ref="I2008:J2008"/>
    <mergeCell ref="M2008:N2008"/>
    <mergeCell ref="A2009:G2009"/>
    <mergeCell ref="I2009:J2009"/>
    <mergeCell ref="M2009:N2009"/>
    <mergeCell ref="A1998:N1998"/>
    <mergeCell ref="A1999:G1999"/>
    <mergeCell ref="I1999:J1999"/>
    <mergeCell ref="K1999:L1999"/>
    <mergeCell ref="M1999:N1999"/>
    <mergeCell ref="A2000:G2000"/>
    <mergeCell ref="I2000:J2000"/>
    <mergeCell ref="K2000:L2000"/>
    <mergeCell ref="M2000:N2000"/>
    <mergeCell ref="A2001:G2001"/>
    <mergeCell ref="I2001:J2001"/>
    <mergeCell ref="K2001:L2001"/>
    <mergeCell ref="M2001:N2001"/>
    <mergeCell ref="A2002:G2002"/>
    <mergeCell ref="I2002:J2002"/>
    <mergeCell ref="K2002:L2002"/>
    <mergeCell ref="M2002:N2002"/>
    <mergeCell ref="A1992:G1992"/>
    <mergeCell ref="I1992:J1992"/>
    <mergeCell ref="K1992:L1992"/>
    <mergeCell ref="M1992:N1992"/>
    <mergeCell ref="A1993:G1993"/>
    <mergeCell ref="I1993:J1993"/>
    <mergeCell ref="K1993:L1993"/>
    <mergeCell ref="M1993:N1993"/>
    <mergeCell ref="A1994:G1994"/>
    <mergeCell ref="I1994:J1994"/>
    <mergeCell ref="K1994:L1994"/>
    <mergeCell ref="M1994:N1994"/>
    <mergeCell ref="A1995:G1995"/>
    <mergeCell ref="I1995:J1995"/>
    <mergeCell ref="K1995:L1995"/>
    <mergeCell ref="M1995:N1995"/>
    <mergeCell ref="K1996:L1996"/>
    <mergeCell ref="M1996:N1996"/>
    <mergeCell ref="A1987:G1987"/>
    <mergeCell ref="I1987:J1987"/>
    <mergeCell ref="K1987:L1987"/>
    <mergeCell ref="M1987:N1987"/>
    <mergeCell ref="A1988:G1988"/>
    <mergeCell ref="I1988:J1988"/>
    <mergeCell ref="K1988:L1988"/>
    <mergeCell ref="M1988:N1988"/>
    <mergeCell ref="A1989:G1989"/>
    <mergeCell ref="I1989:J1989"/>
    <mergeCell ref="K1989:L1989"/>
    <mergeCell ref="M1989:N1989"/>
    <mergeCell ref="A1990:G1990"/>
    <mergeCell ref="I1990:J1990"/>
    <mergeCell ref="K1990:L1990"/>
    <mergeCell ref="M1990:N1990"/>
    <mergeCell ref="A1991:G1991"/>
    <mergeCell ref="I1991:J1991"/>
    <mergeCell ref="K1991:L1991"/>
    <mergeCell ref="M1991:N1991"/>
    <mergeCell ref="A1980:G1980"/>
    <mergeCell ref="I1980:J1980"/>
    <mergeCell ref="K1980:L1980"/>
    <mergeCell ref="M1980:N1980"/>
    <mergeCell ref="A1981:G1981"/>
    <mergeCell ref="I1981:J1981"/>
    <mergeCell ref="K1981:L1981"/>
    <mergeCell ref="M1981:N1981"/>
    <mergeCell ref="K1982:L1982"/>
    <mergeCell ref="M1982:N1982"/>
    <mergeCell ref="A1984:N1984"/>
    <mergeCell ref="A1985:G1985"/>
    <mergeCell ref="I1985:J1985"/>
    <mergeCell ref="K1985:L1985"/>
    <mergeCell ref="M1985:N1985"/>
    <mergeCell ref="A1986:G1986"/>
    <mergeCell ref="I1986:J1986"/>
    <mergeCell ref="K1986:L1986"/>
    <mergeCell ref="M1986:N1986"/>
    <mergeCell ref="A1975:G1975"/>
    <mergeCell ref="I1975:J1975"/>
    <mergeCell ref="K1975:L1975"/>
    <mergeCell ref="M1975:N1975"/>
    <mergeCell ref="A1976:G1976"/>
    <mergeCell ref="I1976:J1976"/>
    <mergeCell ref="K1976:L1976"/>
    <mergeCell ref="M1976:N1976"/>
    <mergeCell ref="A1977:G1977"/>
    <mergeCell ref="I1977:J1977"/>
    <mergeCell ref="K1977:L1977"/>
    <mergeCell ref="M1977:N1977"/>
    <mergeCell ref="A1978:G1978"/>
    <mergeCell ref="I1978:J1978"/>
    <mergeCell ref="K1978:L1978"/>
    <mergeCell ref="M1978:N1978"/>
    <mergeCell ref="A1979:G1979"/>
    <mergeCell ref="I1979:J1979"/>
    <mergeCell ref="K1979:L1979"/>
    <mergeCell ref="M1979:N1979"/>
    <mergeCell ref="A1965:N1966"/>
    <mergeCell ref="A1970:N1970"/>
    <mergeCell ref="A1971:G1971"/>
    <mergeCell ref="I1971:J1971"/>
    <mergeCell ref="K1971:L1971"/>
    <mergeCell ref="M1971:N1971"/>
    <mergeCell ref="A1972:G1972"/>
    <mergeCell ref="I1972:J1972"/>
    <mergeCell ref="K1972:L1972"/>
    <mergeCell ref="M1972:N1972"/>
    <mergeCell ref="A1973:G1973"/>
    <mergeCell ref="I1973:J1973"/>
    <mergeCell ref="K1973:L1973"/>
    <mergeCell ref="M1973:N1973"/>
    <mergeCell ref="A1974:G1974"/>
    <mergeCell ref="I1974:J1974"/>
    <mergeCell ref="K1974:L1974"/>
    <mergeCell ref="M1974:N1974"/>
    <mergeCell ref="I1802:J1802"/>
    <mergeCell ref="K1802:N1802"/>
    <mergeCell ref="A1794:G1794"/>
    <mergeCell ref="I1794:J1794"/>
    <mergeCell ref="M1794:N1794"/>
    <mergeCell ref="A1795:G1795"/>
    <mergeCell ref="I1795:J1795"/>
    <mergeCell ref="M1795:N1795"/>
    <mergeCell ref="A1796:G1796"/>
    <mergeCell ref="I1796:J1796"/>
    <mergeCell ref="M1796:N1796"/>
    <mergeCell ref="A1797:G1797"/>
    <mergeCell ref="I1797:J1797"/>
    <mergeCell ref="M1797:N1797"/>
    <mergeCell ref="K1798:L1798"/>
    <mergeCell ref="M1798:N1798"/>
    <mergeCell ref="I1799:N1800"/>
    <mergeCell ref="I1801:J1801"/>
    <mergeCell ref="K1801:N1801"/>
    <mergeCell ref="A1787:G1787"/>
    <mergeCell ref="I1787:J1787"/>
    <mergeCell ref="K1787:L1787"/>
    <mergeCell ref="M1787:N1787"/>
    <mergeCell ref="A1788:G1788"/>
    <mergeCell ref="I1788:J1788"/>
    <mergeCell ref="K1788:L1788"/>
    <mergeCell ref="M1788:N1788"/>
    <mergeCell ref="K1789:L1789"/>
    <mergeCell ref="M1789:N1789"/>
    <mergeCell ref="A1791:N1791"/>
    <mergeCell ref="A1792:G1792"/>
    <mergeCell ref="I1792:J1792"/>
    <mergeCell ref="M1792:N1792"/>
    <mergeCell ref="A1793:G1793"/>
    <mergeCell ref="I1793:J1793"/>
    <mergeCell ref="M1793:N1793"/>
    <mergeCell ref="A1782:N1782"/>
    <mergeCell ref="A1783:G1783"/>
    <mergeCell ref="I1783:J1783"/>
    <mergeCell ref="K1783:L1783"/>
    <mergeCell ref="M1783:N1783"/>
    <mergeCell ref="A1784:G1784"/>
    <mergeCell ref="I1784:J1784"/>
    <mergeCell ref="K1784:L1784"/>
    <mergeCell ref="M1784:N1784"/>
    <mergeCell ref="A1785:G1785"/>
    <mergeCell ref="I1785:J1785"/>
    <mergeCell ref="K1785:L1785"/>
    <mergeCell ref="M1785:N1785"/>
    <mergeCell ref="A1786:G1786"/>
    <mergeCell ref="I1786:J1786"/>
    <mergeCell ref="K1786:L1786"/>
    <mergeCell ref="M1786:N1786"/>
    <mergeCell ref="A1776:G1776"/>
    <mergeCell ref="I1776:J1776"/>
    <mergeCell ref="K1776:L1776"/>
    <mergeCell ref="M1776:N1776"/>
    <mergeCell ref="A1777:G1777"/>
    <mergeCell ref="I1777:J1777"/>
    <mergeCell ref="K1777:L1777"/>
    <mergeCell ref="M1777:N1777"/>
    <mergeCell ref="A1778:G1778"/>
    <mergeCell ref="I1778:J1778"/>
    <mergeCell ref="K1778:L1778"/>
    <mergeCell ref="M1778:N1778"/>
    <mergeCell ref="A1779:G1779"/>
    <mergeCell ref="I1779:J1779"/>
    <mergeCell ref="K1779:L1779"/>
    <mergeCell ref="M1779:N1779"/>
    <mergeCell ref="K1780:L1780"/>
    <mergeCell ref="M1780:N1780"/>
    <mergeCell ref="A1769:G1769"/>
    <mergeCell ref="I1769:J1769"/>
    <mergeCell ref="K1769:L1769"/>
    <mergeCell ref="M1769:N1769"/>
    <mergeCell ref="A1770:G1770"/>
    <mergeCell ref="I1770:J1770"/>
    <mergeCell ref="K1770:L1770"/>
    <mergeCell ref="M1770:N1770"/>
    <mergeCell ref="K1771:L1771"/>
    <mergeCell ref="M1771:N1771"/>
    <mergeCell ref="A1773:N1773"/>
    <mergeCell ref="A1774:G1774"/>
    <mergeCell ref="I1774:J1774"/>
    <mergeCell ref="K1774:L1774"/>
    <mergeCell ref="M1774:N1774"/>
    <mergeCell ref="A1775:G1775"/>
    <mergeCell ref="I1775:J1775"/>
    <mergeCell ref="K1775:L1775"/>
    <mergeCell ref="M1775:N1775"/>
    <mergeCell ref="A1764:G1764"/>
    <mergeCell ref="I1764:J1764"/>
    <mergeCell ref="K1764:L1764"/>
    <mergeCell ref="M1764:N1764"/>
    <mergeCell ref="A1765:G1765"/>
    <mergeCell ref="I1765:J1765"/>
    <mergeCell ref="K1765:L1765"/>
    <mergeCell ref="M1765:N1765"/>
    <mergeCell ref="A1766:G1766"/>
    <mergeCell ref="I1766:J1766"/>
    <mergeCell ref="K1766:L1766"/>
    <mergeCell ref="M1766:N1766"/>
    <mergeCell ref="A1767:G1767"/>
    <mergeCell ref="I1767:J1767"/>
    <mergeCell ref="K1767:L1767"/>
    <mergeCell ref="M1767:N1767"/>
    <mergeCell ref="A1768:G1768"/>
    <mergeCell ref="I1768:J1768"/>
    <mergeCell ref="K1768:L1768"/>
    <mergeCell ref="M1768:N1768"/>
    <mergeCell ref="I1753:J1753"/>
    <mergeCell ref="K1753:N1753"/>
    <mergeCell ref="A1754:N1755"/>
    <mergeCell ref="A1759:N1759"/>
    <mergeCell ref="A1760:G1760"/>
    <mergeCell ref="I1760:J1760"/>
    <mergeCell ref="K1760:L1760"/>
    <mergeCell ref="M1760:N1760"/>
    <mergeCell ref="A1761:G1761"/>
    <mergeCell ref="I1761:J1761"/>
    <mergeCell ref="K1761:L1761"/>
    <mergeCell ref="M1761:N1761"/>
    <mergeCell ref="A1762:G1762"/>
    <mergeCell ref="I1762:J1762"/>
    <mergeCell ref="K1762:L1762"/>
    <mergeCell ref="M1762:N1762"/>
    <mergeCell ref="A1763:G1763"/>
    <mergeCell ref="I1763:J1763"/>
    <mergeCell ref="K1763:L1763"/>
    <mergeCell ref="M1763:N1763"/>
    <mergeCell ref="A1745:G1745"/>
    <mergeCell ref="I1745:J1745"/>
    <mergeCell ref="M1745:N1745"/>
    <mergeCell ref="A1746:G1746"/>
    <mergeCell ref="I1746:J1746"/>
    <mergeCell ref="M1746:N1746"/>
    <mergeCell ref="A1747:G1747"/>
    <mergeCell ref="I1747:J1747"/>
    <mergeCell ref="M1747:N1747"/>
    <mergeCell ref="A1748:G1748"/>
    <mergeCell ref="I1748:J1748"/>
    <mergeCell ref="M1748:N1748"/>
    <mergeCell ref="K1749:L1749"/>
    <mergeCell ref="M1749:N1749"/>
    <mergeCell ref="I1750:N1751"/>
    <mergeCell ref="I1752:J1752"/>
    <mergeCell ref="K1752:N1752"/>
    <mergeCell ref="A1738:G1738"/>
    <mergeCell ref="I1738:J1738"/>
    <mergeCell ref="K1738:L1738"/>
    <mergeCell ref="M1738:N1738"/>
    <mergeCell ref="A1739:G1739"/>
    <mergeCell ref="I1739:J1739"/>
    <mergeCell ref="K1739:L1739"/>
    <mergeCell ref="M1739:N1739"/>
    <mergeCell ref="K1740:L1740"/>
    <mergeCell ref="M1740:N1740"/>
    <mergeCell ref="A1742:N1742"/>
    <mergeCell ref="A1743:G1743"/>
    <mergeCell ref="I1743:J1743"/>
    <mergeCell ref="M1743:N1743"/>
    <mergeCell ref="A1744:G1744"/>
    <mergeCell ref="I1744:J1744"/>
    <mergeCell ref="M1744:N1744"/>
    <mergeCell ref="A1733:N1733"/>
    <mergeCell ref="A1734:G1734"/>
    <mergeCell ref="I1734:J1734"/>
    <mergeCell ref="K1734:L1734"/>
    <mergeCell ref="M1734:N1734"/>
    <mergeCell ref="A1735:G1735"/>
    <mergeCell ref="I1735:J1735"/>
    <mergeCell ref="K1735:L1735"/>
    <mergeCell ref="M1735:N1735"/>
    <mergeCell ref="A1736:G1736"/>
    <mergeCell ref="I1736:J1736"/>
    <mergeCell ref="K1736:L1736"/>
    <mergeCell ref="M1736:N1736"/>
    <mergeCell ref="A1737:G1737"/>
    <mergeCell ref="I1737:J1737"/>
    <mergeCell ref="K1737:L1737"/>
    <mergeCell ref="M1737:N1737"/>
    <mergeCell ref="A1727:G1727"/>
    <mergeCell ref="I1727:J1727"/>
    <mergeCell ref="K1727:L1727"/>
    <mergeCell ref="M1727:N1727"/>
    <mergeCell ref="A1728:G1728"/>
    <mergeCell ref="I1728:J1728"/>
    <mergeCell ref="K1728:L1728"/>
    <mergeCell ref="M1728:N1728"/>
    <mergeCell ref="A1729:G1729"/>
    <mergeCell ref="I1729:J1729"/>
    <mergeCell ref="K1729:L1729"/>
    <mergeCell ref="M1729:N1729"/>
    <mergeCell ref="A1730:G1730"/>
    <mergeCell ref="I1730:J1730"/>
    <mergeCell ref="K1730:L1730"/>
    <mergeCell ref="M1730:N1730"/>
    <mergeCell ref="K1731:L1731"/>
    <mergeCell ref="M1731:N1731"/>
    <mergeCell ref="A1720:G1720"/>
    <mergeCell ref="I1720:J1720"/>
    <mergeCell ref="K1720:L1720"/>
    <mergeCell ref="M1720:N1720"/>
    <mergeCell ref="A1721:G1721"/>
    <mergeCell ref="I1721:J1721"/>
    <mergeCell ref="K1721:L1721"/>
    <mergeCell ref="M1721:N1721"/>
    <mergeCell ref="K1722:L1722"/>
    <mergeCell ref="M1722:N1722"/>
    <mergeCell ref="A1724:N1724"/>
    <mergeCell ref="A1725:G1725"/>
    <mergeCell ref="I1725:J1725"/>
    <mergeCell ref="K1725:L1725"/>
    <mergeCell ref="M1725:N1725"/>
    <mergeCell ref="A1726:G1726"/>
    <mergeCell ref="I1726:J1726"/>
    <mergeCell ref="K1726:L1726"/>
    <mergeCell ref="M1726:N1726"/>
    <mergeCell ref="A1715:G1715"/>
    <mergeCell ref="I1715:J1715"/>
    <mergeCell ref="K1715:L1715"/>
    <mergeCell ref="M1715:N1715"/>
    <mergeCell ref="A1716:G1716"/>
    <mergeCell ref="I1716:J1716"/>
    <mergeCell ref="K1716:L1716"/>
    <mergeCell ref="M1716:N1716"/>
    <mergeCell ref="A1717:G1717"/>
    <mergeCell ref="I1717:J1717"/>
    <mergeCell ref="K1717:L1717"/>
    <mergeCell ref="M1717:N1717"/>
    <mergeCell ref="A1718:G1718"/>
    <mergeCell ref="I1718:J1718"/>
    <mergeCell ref="K1718:L1718"/>
    <mergeCell ref="M1718:N1718"/>
    <mergeCell ref="A1719:G1719"/>
    <mergeCell ref="I1719:J1719"/>
    <mergeCell ref="K1719:L1719"/>
    <mergeCell ref="M1719:N1719"/>
    <mergeCell ref="I1704:J1704"/>
    <mergeCell ref="K1704:N1704"/>
    <mergeCell ref="A1705:N1706"/>
    <mergeCell ref="A1710:N1710"/>
    <mergeCell ref="A1711:G1711"/>
    <mergeCell ref="I1711:J1711"/>
    <mergeCell ref="K1711:L1711"/>
    <mergeCell ref="M1711:N1711"/>
    <mergeCell ref="A1712:G1712"/>
    <mergeCell ref="I1712:J1712"/>
    <mergeCell ref="K1712:L1712"/>
    <mergeCell ref="M1712:N1712"/>
    <mergeCell ref="A1713:G1713"/>
    <mergeCell ref="I1713:J1713"/>
    <mergeCell ref="K1713:L1713"/>
    <mergeCell ref="M1713:N1713"/>
    <mergeCell ref="A1714:G1714"/>
    <mergeCell ref="I1714:J1714"/>
    <mergeCell ref="K1714:L1714"/>
    <mergeCell ref="M1714:N1714"/>
    <mergeCell ref="A1696:G1696"/>
    <mergeCell ref="I1696:J1696"/>
    <mergeCell ref="M1696:N1696"/>
    <mergeCell ref="A1697:G1697"/>
    <mergeCell ref="I1697:J1697"/>
    <mergeCell ref="M1697:N1697"/>
    <mergeCell ref="A1698:G1698"/>
    <mergeCell ref="I1698:J1698"/>
    <mergeCell ref="M1698:N1698"/>
    <mergeCell ref="A1699:G1699"/>
    <mergeCell ref="I1699:J1699"/>
    <mergeCell ref="M1699:N1699"/>
    <mergeCell ref="K1700:L1700"/>
    <mergeCell ref="M1700:N1700"/>
    <mergeCell ref="I1701:N1702"/>
    <mergeCell ref="I1703:J1703"/>
    <mergeCell ref="K1703:N1703"/>
    <mergeCell ref="A1689:G1689"/>
    <mergeCell ref="I1689:J1689"/>
    <mergeCell ref="K1689:L1689"/>
    <mergeCell ref="M1689:N1689"/>
    <mergeCell ref="A1690:G1690"/>
    <mergeCell ref="I1690:J1690"/>
    <mergeCell ref="K1690:L1690"/>
    <mergeCell ref="M1690:N1690"/>
    <mergeCell ref="K1691:L1691"/>
    <mergeCell ref="M1691:N1691"/>
    <mergeCell ref="A1693:N1693"/>
    <mergeCell ref="A1694:G1694"/>
    <mergeCell ref="I1694:J1694"/>
    <mergeCell ref="M1694:N1694"/>
    <mergeCell ref="A1695:G1695"/>
    <mergeCell ref="I1695:J1695"/>
    <mergeCell ref="M1695:N1695"/>
    <mergeCell ref="A1684:N1684"/>
    <mergeCell ref="A1685:G1685"/>
    <mergeCell ref="I1685:J1685"/>
    <mergeCell ref="K1685:L1685"/>
    <mergeCell ref="M1685:N1685"/>
    <mergeCell ref="A1686:G1686"/>
    <mergeCell ref="I1686:J1686"/>
    <mergeCell ref="K1686:L1686"/>
    <mergeCell ref="M1686:N1686"/>
    <mergeCell ref="A1687:G1687"/>
    <mergeCell ref="I1687:J1687"/>
    <mergeCell ref="K1687:L1687"/>
    <mergeCell ref="M1687:N1687"/>
    <mergeCell ref="A1688:G1688"/>
    <mergeCell ref="I1688:J1688"/>
    <mergeCell ref="K1688:L1688"/>
    <mergeCell ref="M1688:N1688"/>
    <mergeCell ref="A1678:G1678"/>
    <mergeCell ref="I1678:J1678"/>
    <mergeCell ref="K1678:L1678"/>
    <mergeCell ref="M1678:N1678"/>
    <mergeCell ref="A1679:G1679"/>
    <mergeCell ref="I1679:J1679"/>
    <mergeCell ref="K1679:L1679"/>
    <mergeCell ref="M1679:N1679"/>
    <mergeCell ref="A1680:G1680"/>
    <mergeCell ref="I1680:J1680"/>
    <mergeCell ref="K1680:L1680"/>
    <mergeCell ref="M1680:N1680"/>
    <mergeCell ref="A1681:G1681"/>
    <mergeCell ref="I1681:J1681"/>
    <mergeCell ref="K1681:L1681"/>
    <mergeCell ref="M1681:N1681"/>
    <mergeCell ref="K1682:L1682"/>
    <mergeCell ref="M1682:N1682"/>
    <mergeCell ref="A1671:G1671"/>
    <mergeCell ref="I1671:J1671"/>
    <mergeCell ref="K1671:L1671"/>
    <mergeCell ref="M1671:N1671"/>
    <mergeCell ref="A1672:G1672"/>
    <mergeCell ref="I1672:J1672"/>
    <mergeCell ref="K1672:L1672"/>
    <mergeCell ref="M1672:N1672"/>
    <mergeCell ref="K1673:L1673"/>
    <mergeCell ref="M1673:N1673"/>
    <mergeCell ref="A1675:N1675"/>
    <mergeCell ref="A1676:G1676"/>
    <mergeCell ref="I1676:J1676"/>
    <mergeCell ref="K1676:L1676"/>
    <mergeCell ref="M1676:N1676"/>
    <mergeCell ref="A1677:G1677"/>
    <mergeCell ref="I1677:J1677"/>
    <mergeCell ref="K1677:L1677"/>
    <mergeCell ref="M1677:N1677"/>
    <mergeCell ref="A1666:G1666"/>
    <mergeCell ref="I1666:J1666"/>
    <mergeCell ref="K1666:L1666"/>
    <mergeCell ref="M1666:N1666"/>
    <mergeCell ref="A1667:G1667"/>
    <mergeCell ref="I1667:J1667"/>
    <mergeCell ref="K1667:L1667"/>
    <mergeCell ref="M1667:N1667"/>
    <mergeCell ref="A1668:G1668"/>
    <mergeCell ref="I1668:J1668"/>
    <mergeCell ref="K1668:L1668"/>
    <mergeCell ref="M1668:N1668"/>
    <mergeCell ref="A1669:G1669"/>
    <mergeCell ref="I1669:J1669"/>
    <mergeCell ref="K1669:L1669"/>
    <mergeCell ref="M1669:N1669"/>
    <mergeCell ref="A1670:G1670"/>
    <mergeCell ref="I1670:J1670"/>
    <mergeCell ref="K1670:L1670"/>
    <mergeCell ref="M1670:N1670"/>
    <mergeCell ref="I1655:J1655"/>
    <mergeCell ref="K1655:N1655"/>
    <mergeCell ref="A1656:N1657"/>
    <mergeCell ref="A1661:N1661"/>
    <mergeCell ref="A1662:G1662"/>
    <mergeCell ref="I1662:J1662"/>
    <mergeCell ref="K1662:L1662"/>
    <mergeCell ref="M1662:N1662"/>
    <mergeCell ref="A1663:G1663"/>
    <mergeCell ref="I1663:J1663"/>
    <mergeCell ref="K1663:L1663"/>
    <mergeCell ref="M1663:N1663"/>
    <mergeCell ref="A1664:G1664"/>
    <mergeCell ref="I1664:J1664"/>
    <mergeCell ref="K1664:L1664"/>
    <mergeCell ref="M1664:N1664"/>
    <mergeCell ref="A1665:G1665"/>
    <mergeCell ref="I1665:J1665"/>
    <mergeCell ref="K1665:L1665"/>
    <mergeCell ref="M1665:N1665"/>
    <mergeCell ref="A1647:G1647"/>
    <mergeCell ref="I1647:J1647"/>
    <mergeCell ref="M1647:N1647"/>
    <mergeCell ref="A1648:G1648"/>
    <mergeCell ref="I1648:J1648"/>
    <mergeCell ref="M1648:N1648"/>
    <mergeCell ref="A1649:G1649"/>
    <mergeCell ref="I1649:J1649"/>
    <mergeCell ref="M1649:N1649"/>
    <mergeCell ref="A1650:G1650"/>
    <mergeCell ref="I1650:J1650"/>
    <mergeCell ref="M1650:N1650"/>
    <mergeCell ref="K1651:L1651"/>
    <mergeCell ref="M1651:N1651"/>
    <mergeCell ref="I1652:N1653"/>
    <mergeCell ref="I1654:J1654"/>
    <mergeCell ref="K1654:N1654"/>
    <mergeCell ref="A1640:G1640"/>
    <mergeCell ref="I1640:J1640"/>
    <mergeCell ref="K1640:L1640"/>
    <mergeCell ref="M1640:N1640"/>
    <mergeCell ref="A1641:G1641"/>
    <mergeCell ref="I1641:J1641"/>
    <mergeCell ref="K1641:L1641"/>
    <mergeCell ref="M1641:N1641"/>
    <mergeCell ref="K1642:L1642"/>
    <mergeCell ref="M1642:N1642"/>
    <mergeCell ref="A1644:N1644"/>
    <mergeCell ref="A1645:G1645"/>
    <mergeCell ref="I1645:J1645"/>
    <mergeCell ref="M1645:N1645"/>
    <mergeCell ref="A1646:G1646"/>
    <mergeCell ref="I1646:J1646"/>
    <mergeCell ref="M1646:N1646"/>
    <mergeCell ref="A1635:N1635"/>
    <mergeCell ref="A1636:G1636"/>
    <mergeCell ref="I1636:J1636"/>
    <mergeCell ref="K1636:L1636"/>
    <mergeCell ref="M1636:N1636"/>
    <mergeCell ref="A1637:G1637"/>
    <mergeCell ref="I1637:J1637"/>
    <mergeCell ref="K1637:L1637"/>
    <mergeCell ref="M1637:N1637"/>
    <mergeCell ref="A1638:G1638"/>
    <mergeCell ref="I1638:J1638"/>
    <mergeCell ref="K1638:L1638"/>
    <mergeCell ref="M1638:N1638"/>
    <mergeCell ref="A1639:G1639"/>
    <mergeCell ref="I1639:J1639"/>
    <mergeCell ref="K1639:L1639"/>
    <mergeCell ref="M1639:N1639"/>
    <mergeCell ref="A1629:G1629"/>
    <mergeCell ref="I1629:J1629"/>
    <mergeCell ref="K1629:L1629"/>
    <mergeCell ref="M1629:N1629"/>
    <mergeCell ref="A1630:G1630"/>
    <mergeCell ref="I1630:J1630"/>
    <mergeCell ref="K1630:L1630"/>
    <mergeCell ref="M1630:N1630"/>
    <mergeCell ref="A1631:G1631"/>
    <mergeCell ref="I1631:J1631"/>
    <mergeCell ref="K1631:L1631"/>
    <mergeCell ref="M1631:N1631"/>
    <mergeCell ref="A1632:G1632"/>
    <mergeCell ref="I1632:J1632"/>
    <mergeCell ref="K1632:L1632"/>
    <mergeCell ref="M1632:N1632"/>
    <mergeCell ref="K1633:L1633"/>
    <mergeCell ref="M1633:N1633"/>
    <mergeCell ref="A1622:G1622"/>
    <mergeCell ref="I1622:J1622"/>
    <mergeCell ref="K1622:L1622"/>
    <mergeCell ref="M1622:N1622"/>
    <mergeCell ref="A1623:G1623"/>
    <mergeCell ref="I1623:J1623"/>
    <mergeCell ref="K1623:L1623"/>
    <mergeCell ref="M1623:N1623"/>
    <mergeCell ref="K1624:L1624"/>
    <mergeCell ref="M1624:N1624"/>
    <mergeCell ref="A1626:N1626"/>
    <mergeCell ref="A1627:G1627"/>
    <mergeCell ref="I1627:J1627"/>
    <mergeCell ref="K1627:L1627"/>
    <mergeCell ref="M1627:N1627"/>
    <mergeCell ref="A1628:G1628"/>
    <mergeCell ref="I1628:J1628"/>
    <mergeCell ref="K1628:L1628"/>
    <mergeCell ref="M1628:N1628"/>
    <mergeCell ref="A1617:G1617"/>
    <mergeCell ref="I1617:J1617"/>
    <mergeCell ref="K1617:L1617"/>
    <mergeCell ref="M1617:N1617"/>
    <mergeCell ref="A1618:G1618"/>
    <mergeCell ref="I1618:J1618"/>
    <mergeCell ref="K1618:L1618"/>
    <mergeCell ref="M1618:N1618"/>
    <mergeCell ref="A1619:G1619"/>
    <mergeCell ref="I1619:J1619"/>
    <mergeCell ref="K1619:L1619"/>
    <mergeCell ref="M1619:N1619"/>
    <mergeCell ref="A1620:G1620"/>
    <mergeCell ref="I1620:J1620"/>
    <mergeCell ref="K1620:L1620"/>
    <mergeCell ref="M1620:N1620"/>
    <mergeCell ref="A1621:G1621"/>
    <mergeCell ref="I1621:J1621"/>
    <mergeCell ref="K1621:L1621"/>
    <mergeCell ref="M1621:N1621"/>
    <mergeCell ref="I1606:J1606"/>
    <mergeCell ref="K1606:N1606"/>
    <mergeCell ref="A1607:N1608"/>
    <mergeCell ref="A1612:N1612"/>
    <mergeCell ref="A1613:G1613"/>
    <mergeCell ref="I1613:J1613"/>
    <mergeCell ref="K1613:L1613"/>
    <mergeCell ref="M1613:N1613"/>
    <mergeCell ref="A1614:G1614"/>
    <mergeCell ref="I1614:J1614"/>
    <mergeCell ref="K1614:L1614"/>
    <mergeCell ref="M1614:N1614"/>
    <mergeCell ref="A1615:G1615"/>
    <mergeCell ref="I1615:J1615"/>
    <mergeCell ref="K1615:L1615"/>
    <mergeCell ref="M1615:N1615"/>
    <mergeCell ref="A1616:G1616"/>
    <mergeCell ref="I1616:J1616"/>
    <mergeCell ref="K1616:L1616"/>
    <mergeCell ref="M1616:N1616"/>
    <mergeCell ref="A1598:G1598"/>
    <mergeCell ref="I1598:J1598"/>
    <mergeCell ref="M1598:N1598"/>
    <mergeCell ref="A1599:G1599"/>
    <mergeCell ref="I1599:J1599"/>
    <mergeCell ref="M1599:N1599"/>
    <mergeCell ref="A1600:G1600"/>
    <mergeCell ref="I1600:J1600"/>
    <mergeCell ref="M1600:N1600"/>
    <mergeCell ref="A1601:G1601"/>
    <mergeCell ref="I1601:J1601"/>
    <mergeCell ref="M1601:N1601"/>
    <mergeCell ref="K1602:L1602"/>
    <mergeCell ref="M1602:N1602"/>
    <mergeCell ref="I1603:N1604"/>
    <mergeCell ref="I1605:J1605"/>
    <mergeCell ref="K1605:N1605"/>
    <mergeCell ref="A1591:G1591"/>
    <mergeCell ref="I1591:J1591"/>
    <mergeCell ref="K1591:L1591"/>
    <mergeCell ref="M1591:N1591"/>
    <mergeCell ref="A1592:G1592"/>
    <mergeCell ref="I1592:J1592"/>
    <mergeCell ref="K1592:L1592"/>
    <mergeCell ref="M1592:N1592"/>
    <mergeCell ref="K1593:L1593"/>
    <mergeCell ref="M1593:N1593"/>
    <mergeCell ref="A1595:N1595"/>
    <mergeCell ref="A1596:G1596"/>
    <mergeCell ref="I1596:J1596"/>
    <mergeCell ref="M1596:N1596"/>
    <mergeCell ref="A1597:G1597"/>
    <mergeCell ref="I1597:J1597"/>
    <mergeCell ref="M1597:N1597"/>
    <mergeCell ref="A1586:N1586"/>
    <mergeCell ref="A1587:G1587"/>
    <mergeCell ref="I1587:J1587"/>
    <mergeCell ref="K1587:L1587"/>
    <mergeCell ref="M1587:N1587"/>
    <mergeCell ref="A1588:G1588"/>
    <mergeCell ref="I1588:J1588"/>
    <mergeCell ref="K1588:L1588"/>
    <mergeCell ref="M1588:N1588"/>
    <mergeCell ref="A1589:G1589"/>
    <mergeCell ref="I1589:J1589"/>
    <mergeCell ref="K1589:L1589"/>
    <mergeCell ref="M1589:N1589"/>
    <mergeCell ref="A1590:G1590"/>
    <mergeCell ref="I1590:J1590"/>
    <mergeCell ref="K1590:L1590"/>
    <mergeCell ref="M1590:N1590"/>
    <mergeCell ref="A1580:G1580"/>
    <mergeCell ref="I1580:J1580"/>
    <mergeCell ref="K1580:L1580"/>
    <mergeCell ref="M1580:N1580"/>
    <mergeCell ref="A1581:G1581"/>
    <mergeCell ref="I1581:J1581"/>
    <mergeCell ref="K1581:L1581"/>
    <mergeCell ref="M1581:N1581"/>
    <mergeCell ref="A1582:G1582"/>
    <mergeCell ref="I1582:J1582"/>
    <mergeCell ref="K1582:L1582"/>
    <mergeCell ref="M1582:N1582"/>
    <mergeCell ref="A1583:G1583"/>
    <mergeCell ref="I1583:J1583"/>
    <mergeCell ref="K1583:L1583"/>
    <mergeCell ref="M1583:N1583"/>
    <mergeCell ref="K1584:L1584"/>
    <mergeCell ref="M1584:N1584"/>
    <mergeCell ref="A1573:G1573"/>
    <mergeCell ref="I1573:J1573"/>
    <mergeCell ref="K1573:L1573"/>
    <mergeCell ref="M1573:N1573"/>
    <mergeCell ref="A1574:G1574"/>
    <mergeCell ref="I1574:J1574"/>
    <mergeCell ref="K1574:L1574"/>
    <mergeCell ref="M1574:N1574"/>
    <mergeCell ref="K1575:L1575"/>
    <mergeCell ref="M1575:N1575"/>
    <mergeCell ref="A1577:N1577"/>
    <mergeCell ref="A1578:G1578"/>
    <mergeCell ref="I1578:J1578"/>
    <mergeCell ref="K1578:L1578"/>
    <mergeCell ref="M1578:N1578"/>
    <mergeCell ref="A1579:G1579"/>
    <mergeCell ref="I1579:J1579"/>
    <mergeCell ref="K1579:L1579"/>
    <mergeCell ref="M1579:N1579"/>
    <mergeCell ref="A1568:G1568"/>
    <mergeCell ref="I1568:J1568"/>
    <mergeCell ref="K1568:L1568"/>
    <mergeCell ref="M1568:N1568"/>
    <mergeCell ref="A1569:G1569"/>
    <mergeCell ref="I1569:J1569"/>
    <mergeCell ref="K1569:L1569"/>
    <mergeCell ref="M1569:N1569"/>
    <mergeCell ref="A1570:G1570"/>
    <mergeCell ref="I1570:J1570"/>
    <mergeCell ref="K1570:L1570"/>
    <mergeCell ref="M1570:N1570"/>
    <mergeCell ref="A1571:G1571"/>
    <mergeCell ref="I1571:J1571"/>
    <mergeCell ref="K1571:L1571"/>
    <mergeCell ref="M1571:N1571"/>
    <mergeCell ref="A1572:G1572"/>
    <mergeCell ref="I1572:J1572"/>
    <mergeCell ref="K1572:L1572"/>
    <mergeCell ref="M1572:N1572"/>
    <mergeCell ref="I1557:J1557"/>
    <mergeCell ref="K1557:N1557"/>
    <mergeCell ref="A1558:N1559"/>
    <mergeCell ref="A1563:N1563"/>
    <mergeCell ref="A1564:G1564"/>
    <mergeCell ref="I1564:J1564"/>
    <mergeCell ref="K1564:L1564"/>
    <mergeCell ref="M1564:N1564"/>
    <mergeCell ref="A1565:G1565"/>
    <mergeCell ref="I1565:J1565"/>
    <mergeCell ref="K1565:L1565"/>
    <mergeCell ref="M1565:N1565"/>
    <mergeCell ref="A1566:G1566"/>
    <mergeCell ref="I1566:J1566"/>
    <mergeCell ref="K1566:L1566"/>
    <mergeCell ref="M1566:N1566"/>
    <mergeCell ref="A1567:G1567"/>
    <mergeCell ref="I1567:J1567"/>
    <mergeCell ref="K1567:L1567"/>
    <mergeCell ref="M1567:N1567"/>
    <mergeCell ref="A1549:G1549"/>
    <mergeCell ref="I1549:J1549"/>
    <mergeCell ref="M1549:N1549"/>
    <mergeCell ref="A1550:G1550"/>
    <mergeCell ref="I1550:J1550"/>
    <mergeCell ref="M1550:N1550"/>
    <mergeCell ref="A1551:G1551"/>
    <mergeCell ref="I1551:J1551"/>
    <mergeCell ref="M1551:N1551"/>
    <mergeCell ref="A1552:G1552"/>
    <mergeCell ref="I1552:J1552"/>
    <mergeCell ref="M1552:N1552"/>
    <mergeCell ref="K1553:L1553"/>
    <mergeCell ref="M1553:N1553"/>
    <mergeCell ref="I1554:N1555"/>
    <mergeCell ref="I1556:J1556"/>
    <mergeCell ref="K1556:N1556"/>
    <mergeCell ref="A1542:G1542"/>
    <mergeCell ref="I1542:J1542"/>
    <mergeCell ref="K1542:L1542"/>
    <mergeCell ref="M1542:N1542"/>
    <mergeCell ref="A1543:G1543"/>
    <mergeCell ref="I1543:J1543"/>
    <mergeCell ref="K1543:L1543"/>
    <mergeCell ref="M1543:N1543"/>
    <mergeCell ref="K1544:L1544"/>
    <mergeCell ref="M1544:N1544"/>
    <mergeCell ref="A1546:N1546"/>
    <mergeCell ref="A1547:G1547"/>
    <mergeCell ref="I1547:J1547"/>
    <mergeCell ref="M1547:N1547"/>
    <mergeCell ref="A1548:G1548"/>
    <mergeCell ref="I1548:J1548"/>
    <mergeCell ref="M1548:N1548"/>
    <mergeCell ref="A1537:N1537"/>
    <mergeCell ref="A1538:G1538"/>
    <mergeCell ref="I1538:J1538"/>
    <mergeCell ref="K1538:L1538"/>
    <mergeCell ref="M1538:N1538"/>
    <mergeCell ref="A1539:G1539"/>
    <mergeCell ref="I1539:J1539"/>
    <mergeCell ref="K1539:L1539"/>
    <mergeCell ref="M1539:N1539"/>
    <mergeCell ref="A1540:G1540"/>
    <mergeCell ref="I1540:J1540"/>
    <mergeCell ref="K1540:L1540"/>
    <mergeCell ref="M1540:N1540"/>
    <mergeCell ref="A1541:G1541"/>
    <mergeCell ref="I1541:J1541"/>
    <mergeCell ref="K1541:L1541"/>
    <mergeCell ref="M1541:N1541"/>
    <mergeCell ref="A1531:G1531"/>
    <mergeCell ref="I1531:J1531"/>
    <mergeCell ref="K1531:L1531"/>
    <mergeCell ref="M1531:N1531"/>
    <mergeCell ref="A1532:G1532"/>
    <mergeCell ref="I1532:J1532"/>
    <mergeCell ref="K1532:L1532"/>
    <mergeCell ref="M1532:N1532"/>
    <mergeCell ref="A1533:G1533"/>
    <mergeCell ref="I1533:J1533"/>
    <mergeCell ref="K1533:L1533"/>
    <mergeCell ref="M1533:N1533"/>
    <mergeCell ref="A1534:G1534"/>
    <mergeCell ref="I1534:J1534"/>
    <mergeCell ref="K1534:L1534"/>
    <mergeCell ref="M1534:N1534"/>
    <mergeCell ref="K1535:L1535"/>
    <mergeCell ref="M1535:N1535"/>
    <mergeCell ref="A1524:G1524"/>
    <mergeCell ref="I1524:J1524"/>
    <mergeCell ref="K1524:L1524"/>
    <mergeCell ref="M1524:N1524"/>
    <mergeCell ref="A1525:G1525"/>
    <mergeCell ref="I1525:J1525"/>
    <mergeCell ref="K1525:L1525"/>
    <mergeCell ref="M1525:N1525"/>
    <mergeCell ref="K1526:L1526"/>
    <mergeCell ref="M1526:N1526"/>
    <mergeCell ref="A1528:N1528"/>
    <mergeCell ref="A1529:G1529"/>
    <mergeCell ref="I1529:J1529"/>
    <mergeCell ref="K1529:L1529"/>
    <mergeCell ref="M1529:N1529"/>
    <mergeCell ref="A1530:G1530"/>
    <mergeCell ref="I1530:J1530"/>
    <mergeCell ref="K1530:L1530"/>
    <mergeCell ref="M1530:N1530"/>
    <mergeCell ref="A1519:G1519"/>
    <mergeCell ref="I1519:J1519"/>
    <mergeCell ref="K1519:L1519"/>
    <mergeCell ref="M1519:N1519"/>
    <mergeCell ref="A1520:G1520"/>
    <mergeCell ref="I1520:J1520"/>
    <mergeCell ref="K1520:L1520"/>
    <mergeCell ref="M1520:N1520"/>
    <mergeCell ref="A1521:G1521"/>
    <mergeCell ref="I1521:J1521"/>
    <mergeCell ref="K1521:L1521"/>
    <mergeCell ref="M1521:N1521"/>
    <mergeCell ref="A1522:G1522"/>
    <mergeCell ref="I1522:J1522"/>
    <mergeCell ref="K1522:L1522"/>
    <mergeCell ref="M1522:N1522"/>
    <mergeCell ref="A1523:G1523"/>
    <mergeCell ref="I1523:J1523"/>
    <mergeCell ref="K1523:L1523"/>
    <mergeCell ref="M1523:N1523"/>
    <mergeCell ref="I1508:J1508"/>
    <mergeCell ref="K1508:N1508"/>
    <mergeCell ref="A1509:N1510"/>
    <mergeCell ref="A1514:N1514"/>
    <mergeCell ref="A1515:G1515"/>
    <mergeCell ref="I1515:J1515"/>
    <mergeCell ref="K1515:L1515"/>
    <mergeCell ref="M1515:N1515"/>
    <mergeCell ref="A1516:G1516"/>
    <mergeCell ref="I1516:J1516"/>
    <mergeCell ref="K1516:L1516"/>
    <mergeCell ref="M1516:N1516"/>
    <mergeCell ref="A1517:G1517"/>
    <mergeCell ref="I1517:J1517"/>
    <mergeCell ref="K1517:L1517"/>
    <mergeCell ref="M1517:N1517"/>
    <mergeCell ref="A1518:G1518"/>
    <mergeCell ref="I1518:J1518"/>
    <mergeCell ref="K1518:L1518"/>
    <mergeCell ref="M1518:N1518"/>
    <mergeCell ref="A1500:G1500"/>
    <mergeCell ref="I1500:J1500"/>
    <mergeCell ref="M1500:N1500"/>
    <mergeCell ref="A1501:G1501"/>
    <mergeCell ref="I1501:J1501"/>
    <mergeCell ref="M1501:N1501"/>
    <mergeCell ref="A1502:G1502"/>
    <mergeCell ref="I1502:J1502"/>
    <mergeCell ref="M1502:N1502"/>
    <mergeCell ref="A1503:G1503"/>
    <mergeCell ref="I1503:J1503"/>
    <mergeCell ref="M1503:N1503"/>
    <mergeCell ref="K1504:L1504"/>
    <mergeCell ref="M1504:N1504"/>
    <mergeCell ref="I1505:N1506"/>
    <mergeCell ref="I1507:J1507"/>
    <mergeCell ref="K1507:N1507"/>
    <mergeCell ref="A1493:G1493"/>
    <mergeCell ref="I1493:J1493"/>
    <mergeCell ref="K1493:L1493"/>
    <mergeCell ref="M1493:N1493"/>
    <mergeCell ref="A1494:G1494"/>
    <mergeCell ref="I1494:J1494"/>
    <mergeCell ref="K1494:L1494"/>
    <mergeCell ref="M1494:N1494"/>
    <mergeCell ref="K1495:L1495"/>
    <mergeCell ref="M1495:N1495"/>
    <mergeCell ref="A1497:N1497"/>
    <mergeCell ref="A1498:G1498"/>
    <mergeCell ref="I1498:J1498"/>
    <mergeCell ref="M1498:N1498"/>
    <mergeCell ref="A1499:G1499"/>
    <mergeCell ref="I1499:J1499"/>
    <mergeCell ref="M1499:N1499"/>
    <mergeCell ref="A1488:N1488"/>
    <mergeCell ref="A1489:G1489"/>
    <mergeCell ref="I1489:J1489"/>
    <mergeCell ref="K1489:L1489"/>
    <mergeCell ref="M1489:N1489"/>
    <mergeCell ref="A1490:G1490"/>
    <mergeCell ref="I1490:J1490"/>
    <mergeCell ref="K1490:L1490"/>
    <mergeCell ref="M1490:N1490"/>
    <mergeCell ref="A1491:G1491"/>
    <mergeCell ref="I1491:J1491"/>
    <mergeCell ref="K1491:L1491"/>
    <mergeCell ref="M1491:N1491"/>
    <mergeCell ref="A1492:G1492"/>
    <mergeCell ref="I1492:J1492"/>
    <mergeCell ref="K1492:L1492"/>
    <mergeCell ref="M1492:N1492"/>
    <mergeCell ref="A1482:G1482"/>
    <mergeCell ref="I1482:J1482"/>
    <mergeCell ref="K1482:L1482"/>
    <mergeCell ref="M1482:N1482"/>
    <mergeCell ref="A1483:G1483"/>
    <mergeCell ref="I1483:J1483"/>
    <mergeCell ref="K1483:L1483"/>
    <mergeCell ref="M1483:N1483"/>
    <mergeCell ref="A1484:G1484"/>
    <mergeCell ref="I1484:J1484"/>
    <mergeCell ref="K1484:L1484"/>
    <mergeCell ref="M1484:N1484"/>
    <mergeCell ref="A1485:G1485"/>
    <mergeCell ref="I1485:J1485"/>
    <mergeCell ref="K1485:L1485"/>
    <mergeCell ref="M1485:N1485"/>
    <mergeCell ref="K1486:L1486"/>
    <mergeCell ref="M1486:N1486"/>
    <mergeCell ref="A1475:G1475"/>
    <mergeCell ref="I1475:J1475"/>
    <mergeCell ref="K1475:L1475"/>
    <mergeCell ref="M1475:N1475"/>
    <mergeCell ref="A1476:G1476"/>
    <mergeCell ref="I1476:J1476"/>
    <mergeCell ref="K1476:L1476"/>
    <mergeCell ref="M1476:N1476"/>
    <mergeCell ref="K1477:L1477"/>
    <mergeCell ref="M1477:N1477"/>
    <mergeCell ref="A1479:N1479"/>
    <mergeCell ref="A1480:G1480"/>
    <mergeCell ref="I1480:J1480"/>
    <mergeCell ref="K1480:L1480"/>
    <mergeCell ref="M1480:N1480"/>
    <mergeCell ref="A1481:G1481"/>
    <mergeCell ref="I1481:J1481"/>
    <mergeCell ref="K1481:L1481"/>
    <mergeCell ref="M1481:N1481"/>
    <mergeCell ref="A1470:G1470"/>
    <mergeCell ref="I1470:J1470"/>
    <mergeCell ref="K1470:L1470"/>
    <mergeCell ref="M1470:N1470"/>
    <mergeCell ref="A1471:G1471"/>
    <mergeCell ref="I1471:J1471"/>
    <mergeCell ref="K1471:L1471"/>
    <mergeCell ref="M1471:N1471"/>
    <mergeCell ref="A1472:G1472"/>
    <mergeCell ref="I1472:J1472"/>
    <mergeCell ref="K1472:L1472"/>
    <mergeCell ref="M1472:N1472"/>
    <mergeCell ref="A1473:G1473"/>
    <mergeCell ref="I1473:J1473"/>
    <mergeCell ref="K1473:L1473"/>
    <mergeCell ref="M1473:N1473"/>
    <mergeCell ref="A1474:G1474"/>
    <mergeCell ref="I1474:J1474"/>
    <mergeCell ref="K1474:L1474"/>
    <mergeCell ref="M1474:N1474"/>
    <mergeCell ref="I1459:J1459"/>
    <mergeCell ref="K1459:N1459"/>
    <mergeCell ref="A1460:N1461"/>
    <mergeCell ref="A1465:N1465"/>
    <mergeCell ref="A1466:G1466"/>
    <mergeCell ref="I1466:J1466"/>
    <mergeCell ref="K1466:L1466"/>
    <mergeCell ref="M1466:N1466"/>
    <mergeCell ref="A1467:G1467"/>
    <mergeCell ref="I1467:J1467"/>
    <mergeCell ref="K1467:L1467"/>
    <mergeCell ref="M1467:N1467"/>
    <mergeCell ref="A1468:G1468"/>
    <mergeCell ref="I1468:J1468"/>
    <mergeCell ref="K1468:L1468"/>
    <mergeCell ref="M1468:N1468"/>
    <mergeCell ref="A1469:G1469"/>
    <mergeCell ref="I1469:J1469"/>
    <mergeCell ref="K1469:L1469"/>
    <mergeCell ref="M1469:N1469"/>
    <mergeCell ref="A1451:G1451"/>
    <mergeCell ref="I1451:J1451"/>
    <mergeCell ref="M1451:N1451"/>
    <mergeCell ref="A1452:G1452"/>
    <mergeCell ref="I1452:J1452"/>
    <mergeCell ref="M1452:N1452"/>
    <mergeCell ref="A1453:G1453"/>
    <mergeCell ref="I1453:J1453"/>
    <mergeCell ref="M1453:N1453"/>
    <mergeCell ref="A1454:G1454"/>
    <mergeCell ref="I1454:J1454"/>
    <mergeCell ref="M1454:N1454"/>
    <mergeCell ref="K1455:L1455"/>
    <mergeCell ref="M1455:N1455"/>
    <mergeCell ref="I1456:N1457"/>
    <mergeCell ref="I1458:J1458"/>
    <mergeCell ref="K1458:N1458"/>
    <mergeCell ref="A1444:G1444"/>
    <mergeCell ref="I1444:J1444"/>
    <mergeCell ref="K1444:L1444"/>
    <mergeCell ref="M1444:N1444"/>
    <mergeCell ref="A1445:G1445"/>
    <mergeCell ref="I1445:J1445"/>
    <mergeCell ref="K1445:L1445"/>
    <mergeCell ref="M1445:N1445"/>
    <mergeCell ref="K1446:L1446"/>
    <mergeCell ref="M1446:N1446"/>
    <mergeCell ref="A1448:N1448"/>
    <mergeCell ref="A1449:G1449"/>
    <mergeCell ref="I1449:J1449"/>
    <mergeCell ref="M1449:N1449"/>
    <mergeCell ref="A1450:G1450"/>
    <mergeCell ref="I1450:J1450"/>
    <mergeCell ref="M1450:N1450"/>
    <mergeCell ref="A1439:N1439"/>
    <mergeCell ref="A1440:G1440"/>
    <mergeCell ref="I1440:J1440"/>
    <mergeCell ref="K1440:L1440"/>
    <mergeCell ref="M1440:N1440"/>
    <mergeCell ref="A1441:G1441"/>
    <mergeCell ref="I1441:J1441"/>
    <mergeCell ref="K1441:L1441"/>
    <mergeCell ref="M1441:N1441"/>
    <mergeCell ref="A1442:G1442"/>
    <mergeCell ref="I1442:J1442"/>
    <mergeCell ref="K1442:L1442"/>
    <mergeCell ref="M1442:N1442"/>
    <mergeCell ref="A1443:G1443"/>
    <mergeCell ref="I1443:J1443"/>
    <mergeCell ref="K1443:L1443"/>
    <mergeCell ref="M1443:N1443"/>
    <mergeCell ref="A1433:G1433"/>
    <mergeCell ref="I1433:J1433"/>
    <mergeCell ref="K1433:L1433"/>
    <mergeCell ref="M1433:N1433"/>
    <mergeCell ref="A1434:G1434"/>
    <mergeCell ref="I1434:J1434"/>
    <mergeCell ref="K1434:L1434"/>
    <mergeCell ref="M1434:N1434"/>
    <mergeCell ref="A1435:G1435"/>
    <mergeCell ref="I1435:J1435"/>
    <mergeCell ref="K1435:L1435"/>
    <mergeCell ref="M1435:N1435"/>
    <mergeCell ref="A1436:G1436"/>
    <mergeCell ref="I1436:J1436"/>
    <mergeCell ref="K1436:L1436"/>
    <mergeCell ref="M1436:N1436"/>
    <mergeCell ref="K1437:L1437"/>
    <mergeCell ref="M1437:N1437"/>
    <mergeCell ref="A1426:G1426"/>
    <mergeCell ref="I1426:J1426"/>
    <mergeCell ref="K1426:L1426"/>
    <mergeCell ref="M1426:N1426"/>
    <mergeCell ref="A1427:G1427"/>
    <mergeCell ref="I1427:J1427"/>
    <mergeCell ref="K1427:L1427"/>
    <mergeCell ref="M1427:N1427"/>
    <mergeCell ref="K1428:L1428"/>
    <mergeCell ref="M1428:N1428"/>
    <mergeCell ref="A1430:N1430"/>
    <mergeCell ref="A1431:G1431"/>
    <mergeCell ref="I1431:J1431"/>
    <mergeCell ref="K1431:L1431"/>
    <mergeCell ref="M1431:N1431"/>
    <mergeCell ref="A1432:G1432"/>
    <mergeCell ref="I1432:J1432"/>
    <mergeCell ref="K1432:L1432"/>
    <mergeCell ref="M1432:N1432"/>
    <mergeCell ref="A1421:G1421"/>
    <mergeCell ref="I1421:J1421"/>
    <mergeCell ref="K1421:L1421"/>
    <mergeCell ref="M1421:N1421"/>
    <mergeCell ref="A1422:G1422"/>
    <mergeCell ref="I1422:J1422"/>
    <mergeCell ref="K1422:L1422"/>
    <mergeCell ref="M1422:N1422"/>
    <mergeCell ref="A1423:G1423"/>
    <mergeCell ref="I1423:J1423"/>
    <mergeCell ref="K1423:L1423"/>
    <mergeCell ref="M1423:N1423"/>
    <mergeCell ref="A1424:G1424"/>
    <mergeCell ref="I1424:J1424"/>
    <mergeCell ref="K1424:L1424"/>
    <mergeCell ref="M1424:N1424"/>
    <mergeCell ref="A1425:G1425"/>
    <mergeCell ref="I1425:J1425"/>
    <mergeCell ref="K1425:L1425"/>
    <mergeCell ref="M1425:N1425"/>
    <mergeCell ref="I1410:J1410"/>
    <mergeCell ref="K1410:N1410"/>
    <mergeCell ref="A1411:N1412"/>
    <mergeCell ref="A1416:N1416"/>
    <mergeCell ref="A1417:G1417"/>
    <mergeCell ref="I1417:J1417"/>
    <mergeCell ref="K1417:L1417"/>
    <mergeCell ref="M1417:N1417"/>
    <mergeCell ref="A1418:G1418"/>
    <mergeCell ref="I1418:J1418"/>
    <mergeCell ref="K1418:L1418"/>
    <mergeCell ref="M1418:N1418"/>
    <mergeCell ref="A1419:G1419"/>
    <mergeCell ref="I1419:J1419"/>
    <mergeCell ref="K1419:L1419"/>
    <mergeCell ref="M1419:N1419"/>
    <mergeCell ref="A1420:G1420"/>
    <mergeCell ref="I1420:J1420"/>
    <mergeCell ref="K1420:L1420"/>
    <mergeCell ref="M1420:N1420"/>
    <mergeCell ref="A1402:G1402"/>
    <mergeCell ref="I1402:J1402"/>
    <mergeCell ref="M1402:N1402"/>
    <mergeCell ref="A1403:G1403"/>
    <mergeCell ref="I1403:J1403"/>
    <mergeCell ref="M1403:N1403"/>
    <mergeCell ref="A1404:G1404"/>
    <mergeCell ref="I1404:J1404"/>
    <mergeCell ref="M1404:N1404"/>
    <mergeCell ref="A1405:G1405"/>
    <mergeCell ref="I1405:J1405"/>
    <mergeCell ref="M1405:N1405"/>
    <mergeCell ref="K1406:L1406"/>
    <mergeCell ref="M1406:N1406"/>
    <mergeCell ref="I1407:N1408"/>
    <mergeCell ref="I1409:J1409"/>
    <mergeCell ref="K1409:N1409"/>
    <mergeCell ref="A1395:G1395"/>
    <mergeCell ref="I1395:J1395"/>
    <mergeCell ref="K1395:L1395"/>
    <mergeCell ref="M1395:N1395"/>
    <mergeCell ref="A1396:G1396"/>
    <mergeCell ref="I1396:J1396"/>
    <mergeCell ref="K1396:L1396"/>
    <mergeCell ref="M1396:N1396"/>
    <mergeCell ref="K1397:L1397"/>
    <mergeCell ref="M1397:N1397"/>
    <mergeCell ref="A1399:N1399"/>
    <mergeCell ref="A1400:G1400"/>
    <mergeCell ref="I1400:J1400"/>
    <mergeCell ref="M1400:N1400"/>
    <mergeCell ref="A1401:G1401"/>
    <mergeCell ref="I1401:J1401"/>
    <mergeCell ref="M1401:N1401"/>
    <mergeCell ref="A1390:N1390"/>
    <mergeCell ref="A1391:G1391"/>
    <mergeCell ref="I1391:J1391"/>
    <mergeCell ref="K1391:L1391"/>
    <mergeCell ref="M1391:N1391"/>
    <mergeCell ref="A1392:G1392"/>
    <mergeCell ref="I1392:J1392"/>
    <mergeCell ref="K1392:L1392"/>
    <mergeCell ref="M1392:N1392"/>
    <mergeCell ref="A1393:G1393"/>
    <mergeCell ref="I1393:J1393"/>
    <mergeCell ref="K1393:L1393"/>
    <mergeCell ref="M1393:N1393"/>
    <mergeCell ref="A1394:G1394"/>
    <mergeCell ref="I1394:J1394"/>
    <mergeCell ref="K1394:L1394"/>
    <mergeCell ref="M1394:N1394"/>
    <mergeCell ref="A1384:G1384"/>
    <mergeCell ref="I1384:J1384"/>
    <mergeCell ref="K1384:L1384"/>
    <mergeCell ref="M1384:N1384"/>
    <mergeCell ref="A1385:G1385"/>
    <mergeCell ref="I1385:J1385"/>
    <mergeCell ref="K1385:L1385"/>
    <mergeCell ref="M1385:N1385"/>
    <mergeCell ref="A1386:G1386"/>
    <mergeCell ref="I1386:J1386"/>
    <mergeCell ref="K1386:L1386"/>
    <mergeCell ref="M1386:N1386"/>
    <mergeCell ref="A1387:G1387"/>
    <mergeCell ref="I1387:J1387"/>
    <mergeCell ref="K1387:L1387"/>
    <mergeCell ref="M1387:N1387"/>
    <mergeCell ref="K1388:L1388"/>
    <mergeCell ref="M1388:N1388"/>
    <mergeCell ref="A1377:G1377"/>
    <mergeCell ref="I1377:J1377"/>
    <mergeCell ref="K1377:L1377"/>
    <mergeCell ref="M1377:N1377"/>
    <mergeCell ref="A1378:G1378"/>
    <mergeCell ref="I1378:J1378"/>
    <mergeCell ref="K1378:L1378"/>
    <mergeCell ref="M1378:N1378"/>
    <mergeCell ref="K1379:L1379"/>
    <mergeCell ref="M1379:N1379"/>
    <mergeCell ref="A1381:N1381"/>
    <mergeCell ref="A1382:G1382"/>
    <mergeCell ref="I1382:J1382"/>
    <mergeCell ref="K1382:L1382"/>
    <mergeCell ref="M1382:N1382"/>
    <mergeCell ref="A1383:G1383"/>
    <mergeCell ref="I1383:J1383"/>
    <mergeCell ref="K1383:L1383"/>
    <mergeCell ref="M1383:N1383"/>
    <mergeCell ref="A1372:G1372"/>
    <mergeCell ref="I1372:J1372"/>
    <mergeCell ref="K1372:L1372"/>
    <mergeCell ref="M1372:N1372"/>
    <mergeCell ref="A1373:G1373"/>
    <mergeCell ref="I1373:J1373"/>
    <mergeCell ref="K1373:L1373"/>
    <mergeCell ref="M1373:N1373"/>
    <mergeCell ref="A1374:G1374"/>
    <mergeCell ref="I1374:J1374"/>
    <mergeCell ref="K1374:L1374"/>
    <mergeCell ref="M1374:N1374"/>
    <mergeCell ref="A1375:G1375"/>
    <mergeCell ref="I1375:J1375"/>
    <mergeCell ref="K1375:L1375"/>
    <mergeCell ref="M1375:N1375"/>
    <mergeCell ref="A1376:G1376"/>
    <mergeCell ref="I1376:J1376"/>
    <mergeCell ref="K1376:L1376"/>
    <mergeCell ref="M1376:N1376"/>
    <mergeCell ref="I1361:J1361"/>
    <mergeCell ref="K1361:N1361"/>
    <mergeCell ref="A1362:N1363"/>
    <mergeCell ref="A1367:N1367"/>
    <mergeCell ref="A1368:G1368"/>
    <mergeCell ref="I1368:J1368"/>
    <mergeCell ref="K1368:L1368"/>
    <mergeCell ref="M1368:N1368"/>
    <mergeCell ref="A1369:G1369"/>
    <mergeCell ref="I1369:J1369"/>
    <mergeCell ref="K1369:L1369"/>
    <mergeCell ref="M1369:N1369"/>
    <mergeCell ref="A1370:G1370"/>
    <mergeCell ref="I1370:J1370"/>
    <mergeCell ref="K1370:L1370"/>
    <mergeCell ref="M1370:N1370"/>
    <mergeCell ref="A1371:G1371"/>
    <mergeCell ref="I1371:J1371"/>
    <mergeCell ref="K1371:L1371"/>
    <mergeCell ref="M1371:N1371"/>
    <mergeCell ref="A1353:G1353"/>
    <mergeCell ref="I1353:J1353"/>
    <mergeCell ref="M1353:N1353"/>
    <mergeCell ref="A1354:G1354"/>
    <mergeCell ref="I1354:J1354"/>
    <mergeCell ref="M1354:N1354"/>
    <mergeCell ref="A1355:G1355"/>
    <mergeCell ref="I1355:J1355"/>
    <mergeCell ref="M1355:N1355"/>
    <mergeCell ref="A1356:G1356"/>
    <mergeCell ref="I1356:J1356"/>
    <mergeCell ref="M1356:N1356"/>
    <mergeCell ref="K1357:L1357"/>
    <mergeCell ref="M1357:N1357"/>
    <mergeCell ref="I1358:N1359"/>
    <mergeCell ref="I1360:J1360"/>
    <mergeCell ref="K1360:N1360"/>
    <mergeCell ref="A1346:G1346"/>
    <mergeCell ref="I1346:J1346"/>
    <mergeCell ref="K1346:L1346"/>
    <mergeCell ref="M1346:N1346"/>
    <mergeCell ref="A1347:G1347"/>
    <mergeCell ref="I1347:J1347"/>
    <mergeCell ref="K1347:L1347"/>
    <mergeCell ref="M1347:N1347"/>
    <mergeCell ref="K1348:L1348"/>
    <mergeCell ref="M1348:N1348"/>
    <mergeCell ref="A1350:N1350"/>
    <mergeCell ref="A1351:G1351"/>
    <mergeCell ref="I1351:J1351"/>
    <mergeCell ref="M1351:N1351"/>
    <mergeCell ref="A1352:G1352"/>
    <mergeCell ref="I1352:J1352"/>
    <mergeCell ref="M1352:N1352"/>
    <mergeCell ref="A1341:N1341"/>
    <mergeCell ref="A1342:G1342"/>
    <mergeCell ref="I1342:J1342"/>
    <mergeCell ref="K1342:L1342"/>
    <mergeCell ref="M1342:N1342"/>
    <mergeCell ref="A1343:G1343"/>
    <mergeCell ref="I1343:J1343"/>
    <mergeCell ref="K1343:L1343"/>
    <mergeCell ref="M1343:N1343"/>
    <mergeCell ref="A1344:G1344"/>
    <mergeCell ref="I1344:J1344"/>
    <mergeCell ref="K1344:L1344"/>
    <mergeCell ref="M1344:N1344"/>
    <mergeCell ref="A1345:G1345"/>
    <mergeCell ref="I1345:J1345"/>
    <mergeCell ref="K1345:L1345"/>
    <mergeCell ref="M1345:N1345"/>
    <mergeCell ref="A1335:G1335"/>
    <mergeCell ref="I1335:J1335"/>
    <mergeCell ref="K1335:L1335"/>
    <mergeCell ref="M1335:N1335"/>
    <mergeCell ref="A1336:G1336"/>
    <mergeCell ref="I1336:J1336"/>
    <mergeCell ref="K1336:L1336"/>
    <mergeCell ref="M1336:N1336"/>
    <mergeCell ref="A1337:G1337"/>
    <mergeCell ref="I1337:J1337"/>
    <mergeCell ref="K1337:L1337"/>
    <mergeCell ref="M1337:N1337"/>
    <mergeCell ref="A1338:G1338"/>
    <mergeCell ref="I1338:J1338"/>
    <mergeCell ref="K1338:L1338"/>
    <mergeCell ref="M1338:N1338"/>
    <mergeCell ref="K1339:L1339"/>
    <mergeCell ref="M1339:N1339"/>
    <mergeCell ref="A1328:G1328"/>
    <mergeCell ref="I1328:J1328"/>
    <mergeCell ref="K1328:L1328"/>
    <mergeCell ref="M1328:N1328"/>
    <mergeCell ref="A1329:G1329"/>
    <mergeCell ref="I1329:J1329"/>
    <mergeCell ref="K1329:L1329"/>
    <mergeCell ref="M1329:N1329"/>
    <mergeCell ref="K1330:L1330"/>
    <mergeCell ref="M1330:N1330"/>
    <mergeCell ref="A1332:N1332"/>
    <mergeCell ref="A1333:G1333"/>
    <mergeCell ref="I1333:J1333"/>
    <mergeCell ref="K1333:L1333"/>
    <mergeCell ref="M1333:N1333"/>
    <mergeCell ref="A1334:G1334"/>
    <mergeCell ref="I1334:J1334"/>
    <mergeCell ref="K1334:L1334"/>
    <mergeCell ref="M1334:N1334"/>
    <mergeCell ref="A1323:G1323"/>
    <mergeCell ref="I1323:J1323"/>
    <mergeCell ref="K1323:L1323"/>
    <mergeCell ref="M1323:N1323"/>
    <mergeCell ref="A1324:G1324"/>
    <mergeCell ref="I1324:J1324"/>
    <mergeCell ref="K1324:L1324"/>
    <mergeCell ref="M1324:N1324"/>
    <mergeCell ref="A1325:G1325"/>
    <mergeCell ref="I1325:J1325"/>
    <mergeCell ref="K1325:L1325"/>
    <mergeCell ref="M1325:N1325"/>
    <mergeCell ref="A1326:G1326"/>
    <mergeCell ref="I1326:J1326"/>
    <mergeCell ref="K1326:L1326"/>
    <mergeCell ref="M1326:N1326"/>
    <mergeCell ref="A1327:G1327"/>
    <mergeCell ref="I1327:J1327"/>
    <mergeCell ref="K1327:L1327"/>
    <mergeCell ref="M1327:N1327"/>
    <mergeCell ref="I1312:J1312"/>
    <mergeCell ref="K1312:N1312"/>
    <mergeCell ref="A1313:N1314"/>
    <mergeCell ref="A1318:N1318"/>
    <mergeCell ref="A1319:G1319"/>
    <mergeCell ref="I1319:J1319"/>
    <mergeCell ref="K1319:L1319"/>
    <mergeCell ref="M1319:N1319"/>
    <mergeCell ref="A1320:G1320"/>
    <mergeCell ref="I1320:J1320"/>
    <mergeCell ref="K1320:L1320"/>
    <mergeCell ref="M1320:N1320"/>
    <mergeCell ref="A1321:G1321"/>
    <mergeCell ref="I1321:J1321"/>
    <mergeCell ref="K1321:L1321"/>
    <mergeCell ref="M1321:N1321"/>
    <mergeCell ref="A1322:G1322"/>
    <mergeCell ref="I1322:J1322"/>
    <mergeCell ref="K1322:L1322"/>
    <mergeCell ref="M1322:N1322"/>
    <mergeCell ref="A1304:G1304"/>
    <mergeCell ref="I1304:J1304"/>
    <mergeCell ref="M1304:N1304"/>
    <mergeCell ref="A1305:G1305"/>
    <mergeCell ref="I1305:J1305"/>
    <mergeCell ref="M1305:N1305"/>
    <mergeCell ref="A1306:G1306"/>
    <mergeCell ref="I1306:J1306"/>
    <mergeCell ref="M1306:N1306"/>
    <mergeCell ref="A1307:G1307"/>
    <mergeCell ref="I1307:J1307"/>
    <mergeCell ref="M1307:N1307"/>
    <mergeCell ref="K1308:L1308"/>
    <mergeCell ref="M1308:N1308"/>
    <mergeCell ref="I1309:N1310"/>
    <mergeCell ref="I1311:J1311"/>
    <mergeCell ref="K1311:N1311"/>
    <mergeCell ref="A1297:G1297"/>
    <mergeCell ref="I1297:J1297"/>
    <mergeCell ref="K1297:L1297"/>
    <mergeCell ref="M1297:N1297"/>
    <mergeCell ref="A1298:G1298"/>
    <mergeCell ref="I1298:J1298"/>
    <mergeCell ref="K1298:L1298"/>
    <mergeCell ref="M1298:N1298"/>
    <mergeCell ref="K1299:L1299"/>
    <mergeCell ref="M1299:N1299"/>
    <mergeCell ref="A1301:N1301"/>
    <mergeCell ref="A1302:G1302"/>
    <mergeCell ref="I1302:J1302"/>
    <mergeCell ref="M1302:N1302"/>
    <mergeCell ref="A1303:G1303"/>
    <mergeCell ref="I1303:J1303"/>
    <mergeCell ref="M1303:N1303"/>
    <mergeCell ref="A1292:N1292"/>
    <mergeCell ref="A1293:G1293"/>
    <mergeCell ref="I1293:J1293"/>
    <mergeCell ref="K1293:L1293"/>
    <mergeCell ref="M1293:N1293"/>
    <mergeCell ref="A1294:G1294"/>
    <mergeCell ref="I1294:J1294"/>
    <mergeCell ref="K1294:L1294"/>
    <mergeCell ref="M1294:N1294"/>
    <mergeCell ref="A1295:G1295"/>
    <mergeCell ref="I1295:J1295"/>
    <mergeCell ref="K1295:L1295"/>
    <mergeCell ref="M1295:N1295"/>
    <mergeCell ref="A1296:G1296"/>
    <mergeCell ref="I1296:J1296"/>
    <mergeCell ref="K1296:L1296"/>
    <mergeCell ref="M1296:N1296"/>
    <mergeCell ref="A1286:G1286"/>
    <mergeCell ref="I1286:J1286"/>
    <mergeCell ref="K1286:L1286"/>
    <mergeCell ref="M1286:N1286"/>
    <mergeCell ref="A1287:G1287"/>
    <mergeCell ref="I1287:J1287"/>
    <mergeCell ref="K1287:L1287"/>
    <mergeCell ref="M1287:N1287"/>
    <mergeCell ref="A1288:G1288"/>
    <mergeCell ref="I1288:J1288"/>
    <mergeCell ref="K1288:L1288"/>
    <mergeCell ref="M1288:N1288"/>
    <mergeCell ref="A1289:G1289"/>
    <mergeCell ref="I1289:J1289"/>
    <mergeCell ref="K1289:L1289"/>
    <mergeCell ref="M1289:N1289"/>
    <mergeCell ref="K1290:L1290"/>
    <mergeCell ref="M1290:N1290"/>
    <mergeCell ref="A1279:G1279"/>
    <mergeCell ref="I1279:J1279"/>
    <mergeCell ref="K1279:L1279"/>
    <mergeCell ref="M1279:N1279"/>
    <mergeCell ref="A1280:G1280"/>
    <mergeCell ref="I1280:J1280"/>
    <mergeCell ref="K1280:L1280"/>
    <mergeCell ref="M1280:N1280"/>
    <mergeCell ref="K1281:L1281"/>
    <mergeCell ref="M1281:N1281"/>
    <mergeCell ref="A1283:N1283"/>
    <mergeCell ref="A1284:G1284"/>
    <mergeCell ref="I1284:J1284"/>
    <mergeCell ref="K1284:L1284"/>
    <mergeCell ref="M1284:N1284"/>
    <mergeCell ref="A1285:G1285"/>
    <mergeCell ref="I1285:J1285"/>
    <mergeCell ref="K1285:L1285"/>
    <mergeCell ref="M1285:N1285"/>
    <mergeCell ref="A1274:G1274"/>
    <mergeCell ref="I1274:J1274"/>
    <mergeCell ref="K1274:L1274"/>
    <mergeCell ref="M1274:N1274"/>
    <mergeCell ref="A1275:G1275"/>
    <mergeCell ref="I1275:J1275"/>
    <mergeCell ref="K1275:L1275"/>
    <mergeCell ref="M1275:N1275"/>
    <mergeCell ref="A1276:G1276"/>
    <mergeCell ref="I1276:J1276"/>
    <mergeCell ref="K1276:L1276"/>
    <mergeCell ref="M1276:N1276"/>
    <mergeCell ref="A1277:G1277"/>
    <mergeCell ref="I1277:J1277"/>
    <mergeCell ref="K1277:L1277"/>
    <mergeCell ref="M1277:N1277"/>
    <mergeCell ref="A1278:G1278"/>
    <mergeCell ref="I1278:J1278"/>
    <mergeCell ref="K1278:L1278"/>
    <mergeCell ref="M1278:N1278"/>
    <mergeCell ref="A1264:N1265"/>
    <mergeCell ref="A1269:N1269"/>
    <mergeCell ref="A1270:G1270"/>
    <mergeCell ref="I1270:J1270"/>
    <mergeCell ref="K1270:L1270"/>
    <mergeCell ref="M1270:N1270"/>
    <mergeCell ref="A1271:G1271"/>
    <mergeCell ref="I1271:J1271"/>
    <mergeCell ref="K1271:L1271"/>
    <mergeCell ref="M1271:N1271"/>
    <mergeCell ref="A1272:G1272"/>
    <mergeCell ref="I1272:J1272"/>
    <mergeCell ref="K1272:L1272"/>
    <mergeCell ref="M1272:N1272"/>
    <mergeCell ref="A1273:G1273"/>
    <mergeCell ref="I1273:J1273"/>
    <mergeCell ref="K1273:L1273"/>
    <mergeCell ref="M1273:N1273"/>
    <mergeCell ref="A305:G305"/>
    <mergeCell ref="I305:J305"/>
    <mergeCell ref="M305:N305"/>
    <mergeCell ref="I314:J314"/>
    <mergeCell ref="K314:N314"/>
    <mergeCell ref="A306:G306"/>
    <mergeCell ref="I306:J306"/>
    <mergeCell ref="M306:N306"/>
    <mergeCell ref="A307:G307"/>
    <mergeCell ref="I307:J307"/>
    <mergeCell ref="M307:N307"/>
    <mergeCell ref="A308:G308"/>
    <mergeCell ref="I308:J308"/>
    <mergeCell ref="M308:N308"/>
    <mergeCell ref="A309:G309"/>
    <mergeCell ref="I309:J309"/>
    <mergeCell ref="M309:N309"/>
    <mergeCell ref="K310:L310"/>
    <mergeCell ref="M310:N310"/>
    <mergeCell ref="I311:N312"/>
    <mergeCell ref="I313:J313"/>
    <mergeCell ref="K313:N313"/>
    <mergeCell ref="A298:G298"/>
    <mergeCell ref="I298:J298"/>
    <mergeCell ref="K298:L298"/>
    <mergeCell ref="M298:N298"/>
    <mergeCell ref="A299:G299"/>
    <mergeCell ref="I299:J299"/>
    <mergeCell ref="K299:L299"/>
    <mergeCell ref="M299:N299"/>
    <mergeCell ref="A300:G300"/>
    <mergeCell ref="I300:J300"/>
    <mergeCell ref="K300:L300"/>
    <mergeCell ref="M300:N300"/>
    <mergeCell ref="K301:L301"/>
    <mergeCell ref="M301:N301"/>
    <mergeCell ref="A303:N303"/>
    <mergeCell ref="A304:G304"/>
    <mergeCell ref="I304:J304"/>
    <mergeCell ref="M304:N304"/>
    <mergeCell ref="A291:G291"/>
    <mergeCell ref="I291:J291"/>
    <mergeCell ref="K291:L291"/>
    <mergeCell ref="M291:N291"/>
    <mergeCell ref="K292:L292"/>
    <mergeCell ref="M292:N292"/>
    <mergeCell ref="A294:N294"/>
    <mergeCell ref="A295:G295"/>
    <mergeCell ref="I295:J295"/>
    <mergeCell ref="K295:L295"/>
    <mergeCell ref="M295:N295"/>
    <mergeCell ref="A296:G296"/>
    <mergeCell ref="I296:J296"/>
    <mergeCell ref="K296:L296"/>
    <mergeCell ref="M296:N296"/>
    <mergeCell ref="A297:G297"/>
    <mergeCell ref="I297:J297"/>
    <mergeCell ref="K297:L297"/>
    <mergeCell ref="M297:N297"/>
    <mergeCell ref="A286:G286"/>
    <mergeCell ref="I286:J286"/>
    <mergeCell ref="K286:L286"/>
    <mergeCell ref="M286:N286"/>
    <mergeCell ref="A287:G287"/>
    <mergeCell ref="I287:J287"/>
    <mergeCell ref="K287:L287"/>
    <mergeCell ref="M287:N287"/>
    <mergeCell ref="A288:G288"/>
    <mergeCell ref="I288:J288"/>
    <mergeCell ref="K288:L288"/>
    <mergeCell ref="M288:N288"/>
    <mergeCell ref="A289:G289"/>
    <mergeCell ref="I289:J289"/>
    <mergeCell ref="K289:L289"/>
    <mergeCell ref="M289:N289"/>
    <mergeCell ref="A290:G290"/>
    <mergeCell ref="I290:J290"/>
    <mergeCell ref="K290:L290"/>
    <mergeCell ref="M290:N290"/>
    <mergeCell ref="A354:G354"/>
    <mergeCell ref="I354:J354"/>
    <mergeCell ref="M354:N354"/>
    <mergeCell ref="K355:L355"/>
    <mergeCell ref="M355:N355"/>
    <mergeCell ref="I356:N357"/>
    <mergeCell ref="I358:J358"/>
    <mergeCell ref="K358:N358"/>
    <mergeCell ref="I359:J359"/>
    <mergeCell ref="K359:N359"/>
    <mergeCell ref="A270:L271"/>
    <mergeCell ref="M270:N271"/>
    <mergeCell ref="A275:N275"/>
    <mergeCell ref="A276:G276"/>
    <mergeCell ref="I276:J276"/>
    <mergeCell ref="K276:L276"/>
    <mergeCell ref="M276:N276"/>
    <mergeCell ref="A277:G277"/>
    <mergeCell ref="I277:J277"/>
    <mergeCell ref="K277:L277"/>
    <mergeCell ref="M277:N277"/>
    <mergeCell ref="A278:G278"/>
    <mergeCell ref="I278:J278"/>
    <mergeCell ref="K278:L278"/>
    <mergeCell ref="M278:N278"/>
    <mergeCell ref="A279:G279"/>
    <mergeCell ref="I279:J279"/>
    <mergeCell ref="K279:L279"/>
    <mergeCell ref="M279:N279"/>
    <mergeCell ref="A280:G280"/>
    <mergeCell ref="I280:J280"/>
    <mergeCell ref="K280:L280"/>
    <mergeCell ref="K346:L346"/>
    <mergeCell ref="M346:N346"/>
    <mergeCell ref="A348:N348"/>
    <mergeCell ref="A349:G349"/>
    <mergeCell ref="I349:J349"/>
    <mergeCell ref="M349:N349"/>
    <mergeCell ref="A350:G350"/>
    <mergeCell ref="I350:J350"/>
    <mergeCell ref="M350:N350"/>
    <mergeCell ref="A351:G351"/>
    <mergeCell ref="I351:J351"/>
    <mergeCell ref="M351:N351"/>
    <mergeCell ref="A352:G352"/>
    <mergeCell ref="I352:J352"/>
    <mergeCell ref="M352:N352"/>
    <mergeCell ref="A353:G353"/>
    <mergeCell ref="I353:J353"/>
    <mergeCell ref="M353:N353"/>
    <mergeCell ref="A341:G341"/>
    <mergeCell ref="I341:J341"/>
    <mergeCell ref="K341:L341"/>
    <mergeCell ref="M341:N341"/>
    <mergeCell ref="A342:G342"/>
    <mergeCell ref="I342:J342"/>
    <mergeCell ref="K342:L342"/>
    <mergeCell ref="M342:N342"/>
    <mergeCell ref="A343:G343"/>
    <mergeCell ref="I343:J343"/>
    <mergeCell ref="K343:L343"/>
    <mergeCell ref="M343:N343"/>
    <mergeCell ref="A344:G344"/>
    <mergeCell ref="I344:J344"/>
    <mergeCell ref="K344:L344"/>
    <mergeCell ref="M344:N344"/>
    <mergeCell ref="A345:G345"/>
    <mergeCell ref="I345:J345"/>
    <mergeCell ref="K345:L345"/>
    <mergeCell ref="M345:N345"/>
    <mergeCell ref="M333:N333"/>
    <mergeCell ref="A334:G334"/>
    <mergeCell ref="I334:J334"/>
    <mergeCell ref="K334:L334"/>
    <mergeCell ref="M334:N334"/>
    <mergeCell ref="A335:G335"/>
    <mergeCell ref="I335:J335"/>
    <mergeCell ref="K335:L335"/>
    <mergeCell ref="M335:N335"/>
    <mergeCell ref="A336:G336"/>
    <mergeCell ref="I336:J336"/>
    <mergeCell ref="K336:L336"/>
    <mergeCell ref="M336:N336"/>
    <mergeCell ref="K337:L337"/>
    <mergeCell ref="M337:N337"/>
    <mergeCell ref="A339:N339"/>
    <mergeCell ref="A340:G340"/>
    <mergeCell ref="I340:J340"/>
    <mergeCell ref="K340:L340"/>
    <mergeCell ref="M340:N340"/>
    <mergeCell ref="A1033:G1033"/>
    <mergeCell ref="I1033:J1033"/>
    <mergeCell ref="M1033:N1033"/>
    <mergeCell ref="M1034:N1034"/>
    <mergeCell ref="A1029:G1029"/>
    <mergeCell ref="I1029:J1029"/>
    <mergeCell ref="A1030:G1030"/>
    <mergeCell ref="I1030:J1030"/>
    <mergeCell ref="M1030:N1030"/>
    <mergeCell ref="A1031:G1031"/>
    <mergeCell ref="I1031:J1031"/>
    <mergeCell ref="M1031:N1031"/>
    <mergeCell ref="K1034:L1034"/>
    <mergeCell ref="I1035:N1036"/>
    <mergeCell ref="I1037:J1037"/>
    <mergeCell ref="A315:L316"/>
    <mergeCell ref="M315:N316"/>
    <mergeCell ref="A320:N320"/>
    <mergeCell ref="A321:G321"/>
    <mergeCell ref="I321:J321"/>
    <mergeCell ref="K321:L321"/>
    <mergeCell ref="M321:N321"/>
    <mergeCell ref="A322:G322"/>
    <mergeCell ref="I322:J322"/>
    <mergeCell ref="K322:L322"/>
    <mergeCell ref="M322:N322"/>
    <mergeCell ref="A323:G323"/>
    <mergeCell ref="I323:J323"/>
    <mergeCell ref="K323:L323"/>
    <mergeCell ref="M323:N323"/>
    <mergeCell ref="A324:G324"/>
    <mergeCell ref="I324:J324"/>
    <mergeCell ref="A1023:G1023"/>
    <mergeCell ref="I1023:J1023"/>
    <mergeCell ref="K1023:L1023"/>
    <mergeCell ref="M1023:N1023"/>
    <mergeCell ref="A1024:G1024"/>
    <mergeCell ref="I1024:J1024"/>
    <mergeCell ref="K1024:L1024"/>
    <mergeCell ref="M1024:N1024"/>
    <mergeCell ref="K1025:L1025"/>
    <mergeCell ref="M1025:N1025"/>
    <mergeCell ref="A1027:N1027"/>
    <mergeCell ref="A1028:G1028"/>
    <mergeCell ref="I1028:J1028"/>
    <mergeCell ref="M1028:N1028"/>
    <mergeCell ref="M1029:N1029"/>
    <mergeCell ref="A1032:G1032"/>
    <mergeCell ref="I1032:J1032"/>
    <mergeCell ref="M1032:N1032"/>
    <mergeCell ref="K328:L328"/>
    <mergeCell ref="M328:N328"/>
    <mergeCell ref="A330:N330"/>
    <mergeCell ref="A12:G12"/>
    <mergeCell ref="I12:J12"/>
    <mergeCell ref="I1010:J1010"/>
    <mergeCell ref="M1010:N1010"/>
    <mergeCell ref="K1011:L1011"/>
    <mergeCell ref="M1011:N1011"/>
    <mergeCell ref="A1014:G1014"/>
    <mergeCell ref="I1014:J1014"/>
    <mergeCell ref="K1014:L1014"/>
    <mergeCell ref="M1014:N1014"/>
    <mergeCell ref="A1015:G1015"/>
    <mergeCell ref="I1015:J1015"/>
    <mergeCell ref="K1015:L1015"/>
    <mergeCell ref="M1015:N1015"/>
    <mergeCell ref="I1004:J1004"/>
    <mergeCell ref="M1004:N1004"/>
    <mergeCell ref="I1005:J1005"/>
    <mergeCell ref="M1005:N1005"/>
    <mergeCell ref="I1006:J1006"/>
    <mergeCell ref="M1006:N1006"/>
    <mergeCell ref="M1007:N1007"/>
    <mergeCell ref="A1006:G1006"/>
    <mergeCell ref="K1006:L1006"/>
    <mergeCell ref="K1007:L1007"/>
    <mergeCell ref="A1009:N1009"/>
    <mergeCell ref="A1010:G1010"/>
    <mergeCell ref="K1010:L1010"/>
    <mergeCell ref="A1011:G1011"/>
    <mergeCell ref="K324:L324"/>
    <mergeCell ref="A1:L2"/>
    <mergeCell ref="M1:N2"/>
    <mergeCell ref="A6:N6"/>
    <mergeCell ref="A7:G7"/>
    <mergeCell ref="I7:J7"/>
    <mergeCell ref="K7:L7"/>
    <mergeCell ref="M7:N7"/>
    <mergeCell ref="A325:G325"/>
    <mergeCell ref="I325:J325"/>
    <mergeCell ref="K325:L325"/>
    <mergeCell ref="M325:N325"/>
    <mergeCell ref="A326:G326"/>
    <mergeCell ref="I326:J326"/>
    <mergeCell ref="K326:L326"/>
    <mergeCell ref="M326:N326"/>
    <mergeCell ref="A327:G327"/>
    <mergeCell ref="I327:J327"/>
    <mergeCell ref="K327:L327"/>
    <mergeCell ref="M327:N327"/>
    <mergeCell ref="M324:N324"/>
    <mergeCell ref="M280:N280"/>
    <mergeCell ref="A281:G281"/>
    <mergeCell ref="I281:J281"/>
    <mergeCell ref="K281:L281"/>
    <mergeCell ref="M281:N281"/>
    <mergeCell ref="A282:G282"/>
    <mergeCell ref="I282:J282"/>
    <mergeCell ref="K282:L282"/>
    <mergeCell ref="M282:N282"/>
    <mergeCell ref="K283:L283"/>
    <mergeCell ref="M283:N283"/>
    <mergeCell ref="A285:N285"/>
    <mergeCell ref="K12:L12"/>
    <mergeCell ref="M12:N12"/>
    <mergeCell ref="K13:L13"/>
    <mergeCell ref="M13:N13"/>
    <mergeCell ref="A10:G10"/>
    <mergeCell ref="I10:J10"/>
    <mergeCell ref="K10:L10"/>
    <mergeCell ref="M10:N10"/>
    <mergeCell ref="A11:G11"/>
    <mergeCell ref="I11:J11"/>
    <mergeCell ref="K11:L11"/>
    <mergeCell ref="M11:N11"/>
    <mergeCell ref="A8:G8"/>
    <mergeCell ref="I8:J8"/>
    <mergeCell ref="K8:L8"/>
    <mergeCell ref="M8:N8"/>
    <mergeCell ref="A9:G9"/>
    <mergeCell ref="I9:J9"/>
    <mergeCell ref="K9:L9"/>
    <mergeCell ref="M9:N9"/>
    <mergeCell ref="A20:G20"/>
    <mergeCell ref="I20:J20"/>
    <mergeCell ref="K20:L20"/>
    <mergeCell ref="M20:N20"/>
    <mergeCell ref="A21:G21"/>
    <mergeCell ref="I21:J21"/>
    <mergeCell ref="K21:L21"/>
    <mergeCell ref="M21:N21"/>
    <mergeCell ref="A18:G18"/>
    <mergeCell ref="I18:J18"/>
    <mergeCell ref="K18:L18"/>
    <mergeCell ref="M18:N18"/>
    <mergeCell ref="A19:G19"/>
    <mergeCell ref="I19:J19"/>
    <mergeCell ref="K19:L19"/>
    <mergeCell ref="M19:N19"/>
    <mergeCell ref="A15:N15"/>
    <mergeCell ref="A16:G16"/>
    <mergeCell ref="I16:J16"/>
    <mergeCell ref="K16:L16"/>
    <mergeCell ref="M16:N16"/>
    <mergeCell ref="A17:G17"/>
    <mergeCell ref="I17:J17"/>
    <mergeCell ref="K17:L17"/>
    <mergeCell ref="M17:N17"/>
    <mergeCell ref="A28:G28"/>
    <mergeCell ref="I28:J28"/>
    <mergeCell ref="K28:L28"/>
    <mergeCell ref="M28:N28"/>
    <mergeCell ref="A29:G29"/>
    <mergeCell ref="I29:J29"/>
    <mergeCell ref="K29:L29"/>
    <mergeCell ref="M29:N29"/>
    <mergeCell ref="A26:G26"/>
    <mergeCell ref="I26:J26"/>
    <mergeCell ref="K26:L26"/>
    <mergeCell ref="M26:N26"/>
    <mergeCell ref="A27:G27"/>
    <mergeCell ref="I27:J27"/>
    <mergeCell ref="K27:L27"/>
    <mergeCell ref="M27:N27"/>
    <mergeCell ref="K22:L22"/>
    <mergeCell ref="M22:N22"/>
    <mergeCell ref="A24:N24"/>
    <mergeCell ref="A25:G25"/>
    <mergeCell ref="I25:J25"/>
    <mergeCell ref="K25:L25"/>
    <mergeCell ref="M25:N25"/>
    <mergeCell ref="A36:G36"/>
    <mergeCell ref="I36:J36"/>
    <mergeCell ref="M36:N36"/>
    <mergeCell ref="A37:G37"/>
    <mergeCell ref="I37:J37"/>
    <mergeCell ref="M37:N37"/>
    <mergeCell ref="A33:N33"/>
    <mergeCell ref="A34:G34"/>
    <mergeCell ref="I34:J34"/>
    <mergeCell ref="M34:N34"/>
    <mergeCell ref="A35:G35"/>
    <mergeCell ref="I35:J35"/>
    <mergeCell ref="M35:N35"/>
    <mergeCell ref="A30:G30"/>
    <mergeCell ref="I30:J30"/>
    <mergeCell ref="K30:L30"/>
    <mergeCell ref="M30:N30"/>
    <mergeCell ref="K31:L31"/>
    <mergeCell ref="M31:N31"/>
    <mergeCell ref="A45:L46"/>
    <mergeCell ref="M45:N46"/>
    <mergeCell ref="A50:N50"/>
    <mergeCell ref="A51:G51"/>
    <mergeCell ref="I51:J51"/>
    <mergeCell ref="K51:L51"/>
    <mergeCell ref="M51:N51"/>
    <mergeCell ref="K40:L40"/>
    <mergeCell ref="M40:N40"/>
    <mergeCell ref="I41:N42"/>
    <mergeCell ref="I43:J43"/>
    <mergeCell ref="K43:N43"/>
    <mergeCell ref="I44:J44"/>
    <mergeCell ref="K44:N44"/>
    <mergeCell ref="A38:G38"/>
    <mergeCell ref="I38:J38"/>
    <mergeCell ref="M38:N38"/>
    <mergeCell ref="A39:G39"/>
    <mergeCell ref="I39:J39"/>
    <mergeCell ref="M39:N39"/>
    <mergeCell ref="A56:G56"/>
    <mergeCell ref="I56:J56"/>
    <mergeCell ref="K56:L56"/>
    <mergeCell ref="M56:N56"/>
    <mergeCell ref="K57:L57"/>
    <mergeCell ref="M57:N57"/>
    <mergeCell ref="A57:G57"/>
    <mergeCell ref="I57:J57"/>
    <mergeCell ref="A54:G54"/>
    <mergeCell ref="I54:J54"/>
    <mergeCell ref="K54:L54"/>
    <mergeCell ref="M54:N54"/>
    <mergeCell ref="A55:G55"/>
    <mergeCell ref="I55:J55"/>
    <mergeCell ref="K55:L55"/>
    <mergeCell ref="M55:N55"/>
    <mergeCell ref="A52:G52"/>
    <mergeCell ref="I52:J52"/>
    <mergeCell ref="K52:L52"/>
    <mergeCell ref="M52:N52"/>
    <mergeCell ref="A53:G53"/>
    <mergeCell ref="I53:J53"/>
    <mergeCell ref="K53:L53"/>
    <mergeCell ref="M53:N53"/>
    <mergeCell ref="A64:G64"/>
    <mergeCell ref="I64:J64"/>
    <mergeCell ref="K64:L64"/>
    <mergeCell ref="M64:N64"/>
    <mergeCell ref="A65:G65"/>
    <mergeCell ref="I65:J65"/>
    <mergeCell ref="K65:L65"/>
    <mergeCell ref="M65:N65"/>
    <mergeCell ref="A62:G62"/>
    <mergeCell ref="I62:J62"/>
    <mergeCell ref="K62:L62"/>
    <mergeCell ref="M62:N62"/>
    <mergeCell ref="A63:G63"/>
    <mergeCell ref="I63:J63"/>
    <mergeCell ref="K63:L63"/>
    <mergeCell ref="M63:N63"/>
    <mergeCell ref="A61:G61"/>
    <mergeCell ref="I61:J61"/>
    <mergeCell ref="K61:L61"/>
    <mergeCell ref="M61:N61"/>
    <mergeCell ref="A72:G72"/>
    <mergeCell ref="I72:J72"/>
    <mergeCell ref="K72:L72"/>
    <mergeCell ref="M72:N72"/>
    <mergeCell ref="A73:G73"/>
    <mergeCell ref="I73:J73"/>
    <mergeCell ref="K73:L73"/>
    <mergeCell ref="M73:N73"/>
    <mergeCell ref="A70:G70"/>
    <mergeCell ref="I70:J70"/>
    <mergeCell ref="K70:L70"/>
    <mergeCell ref="M70:N70"/>
    <mergeCell ref="A71:G71"/>
    <mergeCell ref="I71:J71"/>
    <mergeCell ref="K71:L71"/>
    <mergeCell ref="M71:N71"/>
    <mergeCell ref="K66:L66"/>
    <mergeCell ref="M66:N66"/>
    <mergeCell ref="A69:N69"/>
    <mergeCell ref="A82:G82"/>
    <mergeCell ref="I82:J82"/>
    <mergeCell ref="M82:N82"/>
    <mergeCell ref="A83:G83"/>
    <mergeCell ref="I83:J83"/>
    <mergeCell ref="M83:N83"/>
    <mergeCell ref="A80:G80"/>
    <mergeCell ref="I80:J80"/>
    <mergeCell ref="M80:N80"/>
    <mergeCell ref="A81:G81"/>
    <mergeCell ref="I81:J81"/>
    <mergeCell ref="M81:N81"/>
    <mergeCell ref="A79:G79"/>
    <mergeCell ref="I79:J79"/>
    <mergeCell ref="M79:N79"/>
    <mergeCell ref="A74:G74"/>
    <mergeCell ref="I74:J74"/>
    <mergeCell ref="K74:L74"/>
    <mergeCell ref="M74:N74"/>
    <mergeCell ref="K75:L75"/>
    <mergeCell ref="M75:N75"/>
    <mergeCell ref="A75:G75"/>
    <mergeCell ref="I75:J75"/>
    <mergeCell ref="A98:G98"/>
    <mergeCell ref="I98:J98"/>
    <mergeCell ref="K98:L98"/>
    <mergeCell ref="M98:N98"/>
    <mergeCell ref="A99:G99"/>
    <mergeCell ref="I99:J99"/>
    <mergeCell ref="K99:L99"/>
    <mergeCell ref="M99:N99"/>
    <mergeCell ref="A91:L92"/>
    <mergeCell ref="M91:N92"/>
    <mergeCell ref="A96:N96"/>
    <mergeCell ref="A97:G97"/>
    <mergeCell ref="I97:J97"/>
    <mergeCell ref="K97:L97"/>
    <mergeCell ref="M97:N97"/>
    <mergeCell ref="M84:N84"/>
    <mergeCell ref="I88:J88"/>
    <mergeCell ref="K88:N88"/>
    <mergeCell ref="I86:N87"/>
    <mergeCell ref="I89:J89"/>
    <mergeCell ref="K89:N89"/>
    <mergeCell ref="K104:L104"/>
    <mergeCell ref="M104:N104"/>
    <mergeCell ref="A106:N106"/>
    <mergeCell ref="A107:G107"/>
    <mergeCell ref="I107:J107"/>
    <mergeCell ref="K107:L107"/>
    <mergeCell ref="M107:N107"/>
    <mergeCell ref="A102:G102"/>
    <mergeCell ref="I102:J102"/>
    <mergeCell ref="K102:L102"/>
    <mergeCell ref="M102:N102"/>
    <mergeCell ref="A103:G103"/>
    <mergeCell ref="I103:J103"/>
    <mergeCell ref="K103:L103"/>
    <mergeCell ref="M103:N103"/>
    <mergeCell ref="A100:G100"/>
    <mergeCell ref="I100:J100"/>
    <mergeCell ref="K100:L100"/>
    <mergeCell ref="M100:N100"/>
    <mergeCell ref="A101:G101"/>
    <mergeCell ref="I101:J101"/>
    <mergeCell ref="K101:L101"/>
    <mergeCell ref="M101:N101"/>
    <mergeCell ref="A112:G112"/>
    <mergeCell ref="I112:J112"/>
    <mergeCell ref="K112:L112"/>
    <mergeCell ref="M112:N112"/>
    <mergeCell ref="K113:L113"/>
    <mergeCell ref="M113:N113"/>
    <mergeCell ref="A110:G110"/>
    <mergeCell ref="I110:J110"/>
    <mergeCell ref="K110:L110"/>
    <mergeCell ref="M110:N110"/>
    <mergeCell ref="A111:G111"/>
    <mergeCell ref="I111:J111"/>
    <mergeCell ref="K111:L111"/>
    <mergeCell ref="M111:N111"/>
    <mergeCell ref="A108:G108"/>
    <mergeCell ref="I108:J108"/>
    <mergeCell ref="K108:L108"/>
    <mergeCell ref="M108:N108"/>
    <mergeCell ref="A109:G109"/>
    <mergeCell ref="I109:J109"/>
    <mergeCell ref="K109:L109"/>
    <mergeCell ref="M109:N109"/>
    <mergeCell ref="A118:G118"/>
    <mergeCell ref="I118:J118"/>
    <mergeCell ref="K118:L118"/>
    <mergeCell ref="M118:N118"/>
    <mergeCell ref="A119:G119"/>
    <mergeCell ref="I119:J119"/>
    <mergeCell ref="K119:L119"/>
    <mergeCell ref="M119:N119"/>
    <mergeCell ref="A115:N115"/>
    <mergeCell ref="A116:G116"/>
    <mergeCell ref="I116:J116"/>
    <mergeCell ref="K116:L116"/>
    <mergeCell ref="M116:N116"/>
    <mergeCell ref="A117:G117"/>
    <mergeCell ref="I117:J117"/>
    <mergeCell ref="K117:L117"/>
    <mergeCell ref="M117:N117"/>
    <mergeCell ref="A126:G126"/>
    <mergeCell ref="I126:J126"/>
    <mergeCell ref="M126:N126"/>
    <mergeCell ref="A127:G127"/>
    <mergeCell ref="I127:J127"/>
    <mergeCell ref="M127:N127"/>
    <mergeCell ref="K122:L122"/>
    <mergeCell ref="M122:N122"/>
    <mergeCell ref="A124:N124"/>
    <mergeCell ref="A125:G125"/>
    <mergeCell ref="I125:J125"/>
    <mergeCell ref="M125:N125"/>
    <mergeCell ref="A120:G120"/>
    <mergeCell ref="I120:J120"/>
    <mergeCell ref="K120:L120"/>
    <mergeCell ref="M120:N120"/>
    <mergeCell ref="A121:G121"/>
    <mergeCell ref="I121:J121"/>
    <mergeCell ref="K121:L121"/>
    <mergeCell ref="M121:N121"/>
    <mergeCell ref="I134:J134"/>
    <mergeCell ref="K134:N134"/>
    <mergeCell ref="I135:J135"/>
    <mergeCell ref="K135:N135"/>
    <mergeCell ref="A136:L137"/>
    <mergeCell ref="M136:N137"/>
    <mergeCell ref="A130:G130"/>
    <mergeCell ref="I130:J130"/>
    <mergeCell ref="M130:N130"/>
    <mergeCell ref="K131:L131"/>
    <mergeCell ref="M131:N131"/>
    <mergeCell ref="I132:N133"/>
    <mergeCell ref="A128:G128"/>
    <mergeCell ref="I128:J128"/>
    <mergeCell ref="M128:N128"/>
    <mergeCell ref="A129:G129"/>
    <mergeCell ref="I129:J129"/>
    <mergeCell ref="M129:N129"/>
    <mergeCell ref="A144:G144"/>
    <mergeCell ref="I144:J144"/>
    <mergeCell ref="K144:L144"/>
    <mergeCell ref="M144:N144"/>
    <mergeCell ref="A145:G145"/>
    <mergeCell ref="I145:J145"/>
    <mergeCell ref="K145:L145"/>
    <mergeCell ref="M145:N145"/>
    <mergeCell ref="A141:N141"/>
    <mergeCell ref="A142:G142"/>
    <mergeCell ref="I142:J142"/>
    <mergeCell ref="K142:L142"/>
    <mergeCell ref="M142:N142"/>
    <mergeCell ref="A143:G143"/>
    <mergeCell ref="I143:J143"/>
    <mergeCell ref="K143:L143"/>
    <mergeCell ref="M143:N143"/>
    <mergeCell ref="A151:N151"/>
    <mergeCell ref="A152:G152"/>
    <mergeCell ref="I152:J152"/>
    <mergeCell ref="K152:L152"/>
    <mergeCell ref="M152:N152"/>
    <mergeCell ref="A153:G153"/>
    <mergeCell ref="I153:J153"/>
    <mergeCell ref="K153:L153"/>
    <mergeCell ref="M153:N153"/>
    <mergeCell ref="A148:G148"/>
    <mergeCell ref="I148:J148"/>
    <mergeCell ref="K148:L148"/>
    <mergeCell ref="M148:N148"/>
    <mergeCell ref="K149:L149"/>
    <mergeCell ref="M149:N149"/>
    <mergeCell ref="A146:G146"/>
    <mergeCell ref="I146:J146"/>
    <mergeCell ref="K146:L146"/>
    <mergeCell ref="M146:N146"/>
    <mergeCell ref="A147:G147"/>
    <mergeCell ref="I147:J147"/>
    <mergeCell ref="K147:L147"/>
    <mergeCell ref="M147:N147"/>
    <mergeCell ref="K158:L158"/>
    <mergeCell ref="M158:N158"/>
    <mergeCell ref="A160:N160"/>
    <mergeCell ref="A161:G161"/>
    <mergeCell ref="I161:J161"/>
    <mergeCell ref="K161:L161"/>
    <mergeCell ref="M161:N161"/>
    <mergeCell ref="A156:G156"/>
    <mergeCell ref="I156:J156"/>
    <mergeCell ref="K156:L156"/>
    <mergeCell ref="M156:N156"/>
    <mergeCell ref="A157:G157"/>
    <mergeCell ref="I157:J157"/>
    <mergeCell ref="K157:L157"/>
    <mergeCell ref="M157:N157"/>
    <mergeCell ref="A154:G154"/>
    <mergeCell ref="I154:J154"/>
    <mergeCell ref="K154:L154"/>
    <mergeCell ref="M154:N154"/>
    <mergeCell ref="A155:G155"/>
    <mergeCell ref="I155:J155"/>
    <mergeCell ref="K155:L155"/>
    <mergeCell ref="M155:N155"/>
    <mergeCell ref="A166:G166"/>
    <mergeCell ref="I166:J166"/>
    <mergeCell ref="K166:L166"/>
    <mergeCell ref="M166:N166"/>
    <mergeCell ref="K167:L167"/>
    <mergeCell ref="M167:N167"/>
    <mergeCell ref="A164:G164"/>
    <mergeCell ref="I164:J164"/>
    <mergeCell ref="K164:L164"/>
    <mergeCell ref="M164:N164"/>
    <mergeCell ref="A165:G165"/>
    <mergeCell ref="I165:J165"/>
    <mergeCell ref="K165:L165"/>
    <mergeCell ref="M165:N165"/>
    <mergeCell ref="A162:G162"/>
    <mergeCell ref="I162:J162"/>
    <mergeCell ref="K162:L162"/>
    <mergeCell ref="M162:N162"/>
    <mergeCell ref="A163:G163"/>
    <mergeCell ref="I163:J163"/>
    <mergeCell ref="K163:L163"/>
    <mergeCell ref="M163:N163"/>
    <mergeCell ref="A174:G174"/>
    <mergeCell ref="I174:J174"/>
    <mergeCell ref="M174:N174"/>
    <mergeCell ref="A175:G175"/>
    <mergeCell ref="I175:J175"/>
    <mergeCell ref="M175:N175"/>
    <mergeCell ref="A172:G172"/>
    <mergeCell ref="I172:J172"/>
    <mergeCell ref="M172:N172"/>
    <mergeCell ref="A173:G173"/>
    <mergeCell ref="I173:J173"/>
    <mergeCell ref="M173:N173"/>
    <mergeCell ref="A169:N169"/>
    <mergeCell ref="A170:G170"/>
    <mergeCell ref="I170:J170"/>
    <mergeCell ref="M170:N170"/>
    <mergeCell ref="A171:G171"/>
    <mergeCell ref="I171:J171"/>
    <mergeCell ref="M171:N171"/>
    <mergeCell ref="A188:G188"/>
    <mergeCell ref="I188:J188"/>
    <mergeCell ref="K188:L188"/>
    <mergeCell ref="M188:N188"/>
    <mergeCell ref="A189:G189"/>
    <mergeCell ref="I189:J189"/>
    <mergeCell ref="K189:L189"/>
    <mergeCell ref="M189:N189"/>
    <mergeCell ref="A181:L182"/>
    <mergeCell ref="M181:N182"/>
    <mergeCell ref="A186:N186"/>
    <mergeCell ref="A187:G187"/>
    <mergeCell ref="I187:J187"/>
    <mergeCell ref="K187:L187"/>
    <mergeCell ref="M187:N187"/>
    <mergeCell ref="K176:L176"/>
    <mergeCell ref="M176:N176"/>
    <mergeCell ref="I177:N178"/>
    <mergeCell ref="I179:J179"/>
    <mergeCell ref="K179:N179"/>
    <mergeCell ref="I180:J180"/>
    <mergeCell ref="K180:N180"/>
    <mergeCell ref="A195:N195"/>
    <mergeCell ref="A196:G196"/>
    <mergeCell ref="I196:J196"/>
    <mergeCell ref="K196:L196"/>
    <mergeCell ref="M196:N196"/>
    <mergeCell ref="A197:G197"/>
    <mergeCell ref="I197:J197"/>
    <mergeCell ref="K197:L197"/>
    <mergeCell ref="M197:N197"/>
    <mergeCell ref="A192:G192"/>
    <mergeCell ref="I192:J192"/>
    <mergeCell ref="K192:L192"/>
    <mergeCell ref="M192:N192"/>
    <mergeCell ref="K193:L193"/>
    <mergeCell ref="M193:N193"/>
    <mergeCell ref="A190:G190"/>
    <mergeCell ref="I190:J190"/>
    <mergeCell ref="K190:L190"/>
    <mergeCell ref="M190:N190"/>
    <mergeCell ref="A191:G191"/>
    <mergeCell ref="I191:J191"/>
    <mergeCell ref="K191:L191"/>
    <mergeCell ref="M191:N191"/>
    <mergeCell ref="K202:L202"/>
    <mergeCell ref="M202:N202"/>
    <mergeCell ref="A204:N204"/>
    <mergeCell ref="A205:G205"/>
    <mergeCell ref="I205:J205"/>
    <mergeCell ref="K205:L205"/>
    <mergeCell ref="M205:N205"/>
    <mergeCell ref="A200:G200"/>
    <mergeCell ref="I200:J200"/>
    <mergeCell ref="K200:L200"/>
    <mergeCell ref="M200:N200"/>
    <mergeCell ref="A201:G201"/>
    <mergeCell ref="I201:J201"/>
    <mergeCell ref="K201:L201"/>
    <mergeCell ref="M201:N201"/>
    <mergeCell ref="A198:G198"/>
    <mergeCell ref="I198:J198"/>
    <mergeCell ref="K198:L198"/>
    <mergeCell ref="M198:N198"/>
    <mergeCell ref="A199:G199"/>
    <mergeCell ref="I199:J199"/>
    <mergeCell ref="K199:L199"/>
    <mergeCell ref="M199:N199"/>
    <mergeCell ref="A210:G210"/>
    <mergeCell ref="I210:J210"/>
    <mergeCell ref="K210:L210"/>
    <mergeCell ref="M210:N210"/>
    <mergeCell ref="K211:L211"/>
    <mergeCell ref="M211:N211"/>
    <mergeCell ref="A208:G208"/>
    <mergeCell ref="I208:J208"/>
    <mergeCell ref="K208:L208"/>
    <mergeCell ref="M208:N208"/>
    <mergeCell ref="A209:G209"/>
    <mergeCell ref="I209:J209"/>
    <mergeCell ref="K209:L209"/>
    <mergeCell ref="M209:N209"/>
    <mergeCell ref="A206:G206"/>
    <mergeCell ref="I206:J206"/>
    <mergeCell ref="K206:L206"/>
    <mergeCell ref="M206:N206"/>
    <mergeCell ref="A207:G207"/>
    <mergeCell ref="I207:J207"/>
    <mergeCell ref="K207:L207"/>
    <mergeCell ref="M207:N207"/>
    <mergeCell ref="A218:G218"/>
    <mergeCell ref="I218:J218"/>
    <mergeCell ref="M218:N218"/>
    <mergeCell ref="A219:G219"/>
    <mergeCell ref="I219:J219"/>
    <mergeCell ref="M219:N219"/>
    <mergeCell ref="A216:G216"/>
    <mergeCell ref="I216:J216"/>
    <mergeCell ref="M216:N216"/>
    <mergeCell ref="A217:G217"/>
    <mergeCell ref="I217:J217"/>
    <mergeCell ref="M217:N217"/>
    <mergeCell ref="A213:N213"/>
    <mergeCell ref="A214:G214"/>
    <mergeCell ref="I214:J214"/>
    <mergeCell ref="M214:N214"/>
    <mergeCell ref="A215:G215"/>
    <mergeCell ref="I215:J215"/>
    <mergeCell ref="M215:N215"/>
    <mergeCell ref="A232:G232"/>
    <mergeCell ref="I232:J232"/>
    <mergeCell ref="K232:L232"/>
    <mergeCell ref="M232:N232"/>
    <mergeCell ref="A233:G233"/>
    <mergeCell ref="I233:J233"/>
    <mergeCell ref="K233:L233"/>
    <mergeCell ref="M233:N233"/>
    <mergeCell ref="A225:L226"/>
    <mergeCell ref="M225:N226"/>
    <mergeCell ref="A230:N230"/>
    <mergeCell ref="A231:G231"/>
    <mergeCell ref="I231:J231"/>
    <mergeCell ref="K231:L231"/>
    <mergeCell ref="M231:N231"/>
    <mergeCell ref="K220:L220"/>
    <mergeCell ref="M220:N220"/>
    <mergeCell ref="I221:N222"/>
    <mergeCell ref="I223:J223"/>
    <mergeCell ref="K223:N223"/>
    <mergeCell ref="I224:J224"/>
    <mergeCell ref="K224:N224"/>
    <mergeCell ref="K238:L238"/>
    <mergeCell ref="M238:N238"/>
    <mergeCell ref="A240:N240"/>
    <mergeCell ref="A241:G241"/>
    <mergeCell ref="I241:J241"/>
    <mergeCell ref="K241:L241"/>
    <mergeCell ref="M241:N241"/>
    <mergeCell ref="A236:G236"/>
    <mergeCell ref="I236:J236"/>
    <mergeCell ref="K236:L236"/>
    <mergeCell ref="M236:N236"/>
    <mergeCell ref="A237:G237"/>
    <mergeCell ref="I237:J237"/>
    <mergeCell ref="K237:L237"/>
    <mergeCell ref="M237:N237"/>
    <mergeCell ref="A234:G234"/>
    <mergeCell ref="I234:J234"/>
    <mergeCell ref="K234:L234"/>
    <mergeCell ref="M234:N234"/>
    <mergeCell ref="A235:G235"/>
    <mergeCell ref="I235:J235"/>
    <mergeCell ref="K235:L235"/>
    <mergeCell ref="M235:N235"/>
    <mergeCell ref="A246:G246"/>
    <mergeCell ref="I246:J246"/>
    <mergeCell ref="K246:L246"/>
    <mergeCell ref="M246:N246"/>
    <mergeCell ref="K247:L247"/>
    <mergeCell ref="M247:N247"/>
    <mergeCell ref="A244:G244"/>
    <mergeCell ref="I244:J244"/>
    <mergeCell ref="K244:L244"/>
    <mergeCell ref="M244:N244"/>
    <mergeCell ref="A245:G245"/>
    <mergeCell ref="I245:J245"/>
    <mergeCell ref="K245:L245"/>
    <mergeCell ref="M245:N245"/>
    <mergeCell ref="A242:G242"/>
    <mergeCell ref="I242:J242"/>
    <mergeCell ref="K242:L242"/>
    <mergeCell ref="M242:N242"/>
    <mergeCell ref="A243:G243"/>
    <mergeCell ref="I243:J243"/>
    <mergeCell ref="K243:L243"/>
    <mergeCell ref="M243:N243"/>
    <mergeCell ref="A254:G254"/>
    <mergeCell ref="I254:J254"/>
    <mergeCell ref="K254:L254"/>
    <mergeCell ref="M254:N254"/>
    <mergeCell ref="A255:G255"/>
    <mergeCell ref="I255:J255"/>
    <mergeCell ref="K255:L255"/>
    <mergeCell ref="M255:N255"/>
    <mergeCell ref="A252:G252"/>
    <mergeCell ref="I252:J252"/>
    <mergeCell ref="K252:L252"/>
    <mergeCell ref="M252:N252"/>
    <mergeCell ref="A253:G253"/>
    <mergeCell ref="I253:J253"/>
    <mergeCell ref="K253:L253"/>
    <mergeCell ref="M253:N253"/>
    <mergeCell ref="A249:N249"/>
    <mergeCell ref="A250:G250"/>
    <mergeCell ref="I250:J250"/>
    <mergeCell ref="K250:L250"/>
    <mergeCell ref="M250:N250"/>
    <mergeCell ref="A251:G251"/>
    <mergeCell ref="I251:J251"/>
    <mergeCell ref="K251:L251"/>
    <mergeCell ref="M251:N251"/>
    <mergeCell ref="A262:G262"/>
    <mergeCell ref="I262:J262"/>
    <mergeCell ref="M262:N262"/>
    <mergeCell ref="A263:G263"/>
    <mergeCell ref="I263:J263"/>
    <mergeCell ref="M263:N263"/>
    <mergeCell ref="A260:G260"/>
    <mergeCell ref="I260:J260"/>
    <mergeCell ref="M260:N260"/>
    <mergeCell ref="A261:G261"/>
    <mergeCell ref="I261:J261"/>
    <mergeCell ref="M261:N261"/>
    <mergeCell ref="K256:L256"/>
    <mergeCell ref="M256:N256"/>
    <mergeCell ref="A258:N258"/>
    <mergeCell ref="A259:G259"/>
    <mergeCell ref="I259:J259"/>
    <mergeCell ref="M259:N259"/>
    <mergeCell ref="A365:N365"/>
    <mergeCell ref="A366:G366"/>
    <mergeCell ref="I366:J366"/>
    <mergeCell ref="K366:L366"/>
    <mergeCell ref="M366:N366"/>
    <mergeCell ref="A367:G367"/>
    <mergeCell ref="I367:J367"/>
    <mergeCell ref="K367:L367"/>
    <mergeCell ref="M367:N367"/>
    <mergeCell ref="I268:J268"/>
    <mergeCell ref="K268:N268"/>
    <mergeCell ref="I269:J269"/>
    <mergeCell ref="K269:N269"/>
    <mergeCell ref="A360:L361"/>
    <mergeCell ref="M360:N361"/>
    <mergeCell ref="A264:G264"/>
    <mergeCell ref="I264:J264"/>
    <mergeCell ref="M264:N264"/>
    <mergeCell ref="K265:L265"/>
    <mergeCell ref="M265:N265"/>
    <mergeCell ref="I266:N267"/>
    <mergeCell ref="A331:G331"/>
    <mergeCell ref="I331:J331"/>
    <mergeCell ref="K331:L331"/>
    <mergeCell ref="M331:N331"/>
    <mergeCell ref="A332:G332"/>
    <mergeCell ref="I332:J332"/>
    <mergeCell ref="K332:L332"/>
    <mergeCell ref="M332:N332"/>
    <mergeCell ref="A333:G333"/>
    <mergeCell ref="I333:J333"/>
    <mergeCell ref="K333:L333"/>
    <mergeCell ref="A372:G372"/>
    <mergeCell ref="I372:J372"/>
    <mergeCell ref="K372:L372"/>
    <mergeCell ref="M372:N372"/>
    <mergeCell ref="K373:L373"/>
    <mergeCell ref="M373:N373"/>
    <mergeCell ref="A370:G370"/>
    <mergeCell ref="I370:J370"/>
    <mergeCell ref="K370:L370"/>
    <mergeCell ref="M370:N370"/>
    <mergeCell ref="A371:G371"/>
    <mergeCell ref="I371:J371"/>
    <mergeCell ref="K371:L371"/>
    <mergeCell ref="M371:N371"/>
    <mergeCell ref="A368:G368"/>
    <mergeCell ref="I368:J368"/>
    <mergeCell ref="K368:L368"/>
    <mergeCell ref="M368:N368"/>
    <mergeCell ref="A369:G369"/>
    <mergeCell ref="I369:J369"/>
    <mergeCell ref="K369:L369"/>
    <mergeCell ref="M369:N369"/>
    <mergeCell ref="A378:G378"/>
    <mergeCell ref="I378:J378"/>
    <mergeCell ref="K378:L378"/>
    <mergeCell ref="M378:N378"/>
    <mergeCell ref="A379:G379"/>
    <mergeCell ref="I379:J379"/>
    <mergeCell ref="K379:L379"/>
    <mergeCell ref="M379:N379"/>
    <mergeCell ref="A375:N375"/>
    <mergeCell ref="A376:G376"/>
    <mergeCell ref="I376:J376"/>
    <mergeCell ref="K376:L376"/>
    <mergeCell ref="M376:N376"/>
    <mergeCell ref="A377:G377"/>
    <mergeCell ref="I377:J377"/>
    <mergeCell ref="K377:L377"/>
    <mergeCell ref="M377:N377"/>
    <mergeCell ref="K386:L386"/>
    <mergeCell ref="M386:N386"/>
    <mergeCell ref="A387:G387"/>
    <mergeCell ref="I387:J387"/>
    <mergeCell ref="K387:L387"/>
    <mergeCell ref="M387:N387"/>
    <mergeCell ref="K382:L382"/>
    <mergeCell ref="M382:N382"/>
    <mergeCell ref="A384:N384"/>
    <mergeCell ref="A385:G385"/>
    <mergeCell ref="I385:J385"/>
    <mergeCell ref="K385:L385"/>
    <mergeCell ref="M385:N385"/>
    <mergeCell ref="A380:G380"/>
    <mergeCell ref="I380:J380"/>
    <mergeCell ref="K380:L380"/>
    <mergeCell ref="M380:N380"/>
    <mergeCell ref="I381:J381"/>
    <mergeCell ref="K381:L381"/>
    <mergeCell ref="M381:N381"/>
    <mergeCell ref="K58:L58"/>
    <mergeCell ref="M58:N58"/>
    <mergeCell ref="A60:N60"/>
    <mergeCell ref="A66:G66"/>
    <mergeCell ref="I66:J66"/>
    <mergeCell ref="K67:L67"/>
    <mergeCell ref="M67:N67"/>
    <mergeCell ref="K400:L400"/>
    <mergeCell ref="M400:N400"/>
    <mergeCell ref="I401:N402"/>
    <mergeCell ref="I403:J403"/>
    <mergeCell ref="K403:N403"/>
    <mergeCell ref="I404:J404"/>
    <mergeCell ref="K404:N404"/>
    <mergeCell ref="A398:G398"/>
    <mergeCell ref="I398:J398"/>
    <mergeCell ref="M398:N398"/>
    <mergeCell ref="A399:G399"/>
    <mergeCell ref="I399:J399"/>
    <mergeCell ref="M399:N399"/>
    <mergeCell ref="A396:G396"/>
    <mergeCell ref="I396:J396"/>
    <mergeCell ref="M396:N396"/>
    <mergeCell ref="A397:G397"/>
    <mergeCell ref="I397:J397"/>
    <mergeCell ref="M397:N397"/>
    <mergeCell ref="A393:N393"/>
    <mergeCell ref="A394:G394"/>
    <mergeCell ref="I394:J394"/>
    <mergeCell ref="M394:N394"/>
    <mergeCell ref="A395:G395"/>
    <mergeCell ref="I395:J395"/>
    <mergeCell ref="A450:N451"/>
    <mergeCell ref="A455:N455"/>
    <mergeCell ref="A456:G456"/>
    <mergeCell ref="I456:J456"/>
    <mergeCell ref="K456:L456"/>
    <mergeCell ref="M456:N456"/>
    <mergeCell ref="K76:L76"/>
    <mergeCell ref="M76:N76"/>
    <mergeCell ref="A78:N78"/>
    <mergeCell ref="A84:G84"/>
    <mergeCell ref="I84:J84"/>
    <mergeCell ref="K85:L85"/>
    <mergeCell ref="M85:N85"/>
    <mergeCell ref="M395:N395"/>
    <mergeCell ref="A390:G390"/>
    <mergeCell ref="I390:J390"/>
    <mergeCell ref="K390:L390"/>
    <mergeCell ref="M390:N390"/>
    <mergeCell ref="K391:L391"/>
    <mergeCell ref="M391:N391"/>
    <mergeCell ref="A388:G388"/>
    <mergeCell ref="I388:J388"/>
    <mergeCell ref="K388:L388"/>
    <mergeCell ref="M388:N388"/>
    <mergeCell ref="A389:G389"/>
    <mergeCell ref="I389:J389"/>
    <mergeCell ref="K389:L389"/>
    <mergeCell ref="M389:N389"/>
    <mergeCell ref="A386:G386"/>
    <mergeCell ref="I386:J386"/>
    <mergeCell ref="A405:L406"/>
    <mergeCell ref="M405:N406"/>
    <mergeCell ref="A461:G461"/>
    <mergeCell ref="I461:J461"/>
    <mergeCell ref="K461:L461"/>
    <mergeCell ref="M461:N461"/>
    <mergeCell ref="K462:L462"/>
    <mergeCell ref="M462:N462"/>
    <mergeCell ref="A459:G459"/>
    <mergeCell ref="I459:J459"/>
    <mergeCell ref="K459:L459"/>
    <mergeCell ref="M459:N459"/>
    <mergeCell ref="A460:G460"/>
    <mergeCell ref="I460:J460"/>
    <mergeCell ref="K460:L460"/>
    <mergeCell ref="M460:N460"/>
    <mergeCell ref="A457:G457"/>
    <mergeCell ref="I457:J457"/>
    <mergeCell ref="K457:L457"/>
    <mergeCell ref="M457:N457"/>
    <mergeCell ref="A458:G458"/>
    <mergeCell ref="I458:J458"/>
    <mergeCell ref="K458:L458"/>
    <mergeCell ref="M458:N458"/>
    <mergeCell ref="A467:G467"/>
    <mergeCell ref="I467:J467"/>
    <mergeCell ref="K467:L467"/>
    <mergeCell ref="M467:N467"/>
    <mergeCell ref="A468:G468"/>
    <mergeCell ref="I468:J468"/>
    <mergeCell ref="K468:L468"/>
    <mergeCell ref="M468:N468"/>
    <mergeCell ref="A464:N464"/>
    <mergeCell ref="A465:G465"/>
    <mergeCell ref="I465:J465"/>
    <mergeCell ref="K465:L465"/>
    <mergeCell ref="M465:N465"/>
    <mergeCell ref="A466:G466"/>
    <mergeCell ref="I466:J466"/>
    <mergeCell ref="K466:L466"/>
    <mergeCell ref="M466:N466"/>
    <mergeCell ref="I475:J475"/>
    <mergeCell ref="A475:G475"/>
    <mergeCell ref="K475:L475"/>
    <mergeCell ref="M475:N475"/>
    <mergeCell ref="K471:L471"/>
    <mergeCell ref="M471:N471"/>
    <mergeCell ref="A473:N473"/>
    <mergeCell ref="A474:G474"/>
    <mergeCell ref="I474:J474"/>
    <mergeCell ref="K474:L474"/>
    <mergeCell ref="M474:N474"/>
    <mergeCell ref="A469:G469"/>
    <mergeCell ref="I469:J469"/>
    <mergeCell ref="K469:L469"/>
    <mergeCell ref="M469:N469"/>
    <mergeCell ref="A470:G470"/>
    <mergeCell ref="I470:J470"/>
    <mergeCell ref="K470:L470"/>
    <mergeCell ref="M470:N470"/>
    <mergeCell ref="A480:N480"/>
    <mergeCell ref="A481:G481"/>
    <mergeCell ref="I481:J481"/>
    <mergeCell ref="M481:N481"/>
    <mergeCell ref="A482:G482"/>
    <mergeCell ref="I482:J482"/>
    <mergeCell ref="M482:N482"/>
    <mergeCell ref="A477:G477"/>
    <mergeCell ref="I477:J477"/>
    <mergeCell ref="K477:L477"/>
    <mergeCell ref="M477:N477"/>
    <mergeCell ref="K478:L478"/>
    <mergeCell ref="M478:N478"/>
    <mergeCell ref="A476:G476"/>
    <mergeCell ref="I476:J476"/>
    <mergeCell ref="K476:L476"/>
    <mergeCell ref="M476:N476"/>
    <mergeCell ref="A585:G585"/>
    <mergeCell ref="I585:J585"/>
    <mergeCell ref="K585:L585"/>
    <mergeCell ref="M585:N585"/>
    <mergeCell ref="A586:G586"/>
    <mergeCell ref="I586:J586"/>
    <mergeCell ref="K586:L586"/>
    <mergeCell ref="M586:N586"/>
    <mergeCell ref="A583:G583"/>
    <mergeCell ref="I583:J583"/>
    <mergeCell ref="K583:L583"/>
    <mergeCell ref="M583:N583"/>
    <mergeCell ref="A584:G584"/>
    <mergeCell ref="I584:J584"/>
    <mergeCell ref="K584:L584"/>
    <mergeCell ref="M584:N584"/>
    <mergeCell ref="K487:L487"/>
    <mergeCell ref="M487:N487"/>
    <mergeCell ref="A576:N577"/>
    <mergeCell ref="A581:N581"/>
    <mergeCell ref="A582:G582"/>
    <mergeCell ref="I582:J582"/>
    <mergeCell ref="K582:L582"/>
    <mergeCell ref="M582:N582"/>
    <mergeCell ref="A502:G502"/>
    <mergeCell ref="I502:J502"/>
    <mergeCell ref="K502:L502"/>
    <mergeCell ref="M502:N502"/>
    <mergeCell ref="A503:G503"/>
    <mergeCell ref="I503:J503"/>
    <mergeCell ref="K503:L503"/>
    <mergeCell ref="M503:N503"/>
    <mergeCell ref="A593:G593"/>
    <mergeCell ref="I593:J593"/>
    <mergeCell ref="K593:L593"/>
    <mergeCell ref="M593:N593"/>
    <mergeCell ref="A594:G594"/>
    <mergeCell ref="I594:J594"/>
    <mergeCell ref="K594:L594"/>
    <mergeCell ref="M594:N594"/>
    <mergeCell ref="A590:N590"/>
    <mergeCell ref="A591:G591"/>
    <mergeCell ref="I591:J591"/>
    <mergeCell ref="K591:L591"/>
    <mergeCell ref="M591:N591"/>
    <mergeCell ref="I592:J592"/>
    <mergeCell ref="K592:L592"/>
    <mergeCell ref="M592:N592"/>
    <mergeCell ref="A587:G587"/>
    <mergeCell ref="I587:J587"/>
    <mergeCell ref="K587:L587"/>
    <mergeCell ref="M587:N587"/>
    <mergeCell ref="K588:L588"/>
    <mergeCell ref="M588:N588"/>
    <mergeCell ref="A601:G601"/>
    <mergeCell ref="I601:J601"/>
    <mergeCell ref="K601:L601"/>
    <mergeCell ref="M601:N601"/>
    <mergeCell ref="A602:G602"/>
    <mergeCell ref="I602:J602"/>
    <mergeCell ref="K602:L602"/>
    <mergeCell ref="M602:N602"/>
    <mergeCell ref="K597:L597"/>
    <mergeCell ref="M597:N597"/>
    <mergeCell ref="A599:N599"/>
    <mergeCell ref="A600:G600"/>
    <mergeCell ref="I600:J600"/>
    <mergeCell ref="K600:L600"/>
    <mergeCell ref="M600:N600"/>
    <mergeCell ref="A595:G595"/>
    <mergeCell ref="I595:J595"/>
    <mergeCell ref="K595:L595"/>
    <mergeCell ref="M595:N595"/>
    <mergeCell ref="A596:G596"/>
    <mergeCell ref="I596:J596"/>
    <mergeCell ref="K596:L596"/>
    <mergeCell ref="M596:N596"/>
    <mergeCell ref="I609:J609"/>
    <mergeCell ref="M609:N609"/>
    <mergeCell ref="A610:G610"/>
    <mergeCell ref="I610:J610"/>
    <mergeCell ref="M610:N610"/>
    <mergeCell ref="A605:G605"/>
    <mergeCell ref="I605:J605"/>
    <mergeCell ref="K605:L605"/>
    <mergeCell ref="M605:N605"/>
    <mergeCell ref="K606:L606"/>
    <mergeCell ref="M606:N606"/>
    <mergeCell ref="A603:G603"/>
    <mergeCell ref="I603:J603"/>
    <mergeCell ref="K603:L603"/>
    <mergeCell ref="M603:N603"/>
    <mergeCell ref="A604:G604"/>
    <mergeCell ref="I604:J604"/>
    <mergeCell ref="K604:L604"/>
    <mergeCell ref="M604:N604"/>
    <mergeCell ref="A621:N622"/>
    <mergeCell ref="A626:N626"/>
    <mergeCell ref="A627:G627"/>
    <mergeCell ref="I627:J627"/>
    <mergeCell ref="K627:L627"/>
    <mergeCell ref="M627:N627"/>
    <mergeCell ref="I616:N617"/>
    <mergeCell ref="I618:J618"/>
    <mergeCell ref="K618:N618"/>
    <mergeCell ref="I619:J619"/>
    <mergeCell ref="K619:N619"/>
    <mergeCell ref="K615:L615"/>
    <mergeCell ref="M615:N615"/>
    <mergeCell ref="I488:N489"/>
    <mergeCell ref="I490:J490"/>
    <mergeCell ref="K490:N490"/>
    <mergeCell ref="I491:J491"/>
    <mergeCell ref="K491:N491"/>
    <mergeCell ref="A613:G613"/>
    <mergeCell ref="I613:J613"/>
    <mergeCell ref="M613:N613"/>
    <mergeCell ref="A614:G614"/>
    <mergeCell ref="I614:J614"/>
    <mergeCell ref="M614:N614"/>
    <mergeCell ref="A611:G611"/>
    <mergeCell ref="I611:J611"/>
    <mergeCell ref="M611:N611"/>
    <mergeCell ref="A612:G612"/>
    <mergeCell ref="I612:J612"/>
    <mergeCell ref="M612:N612"/>
    <mergeCell ref="A608:N608"/>
    <mergeCell ref="A609:G609"/>
    <mergeCell ref="A632:G632"/>
    <mergeCell ref="I632:J632"/>
    <mergeCell ref="K632:L632"/>
    <mergeCell ref="M632:N632"/>
    <mergeCell ref="K633:L633"/>
    <mergeCell ref="M633:N633"/>
    <mergeCell ref="A630:G630"/>
    <mergeCell ref="I630:J630"/>
    <mergeCell ref="K630:L630"/>
    <mergeCell ref="M630:N630"/>
    <mergeCell ref="A631:G631"/>
    <mergeCell ref="I631:J631"/>
    <mergeCell ref="K631:L631"/>
    <mergeCell ref="M631:N631"/>
    <mergeCell ref="A628:G628"/>
    <mergeCell ref="I628:J628"/>
    <mergeCell ref="K628:L628"/>
    <mergeCell ref="M628:N628"/>
    <mergeCell ref="A629:G629"/>
    <mergeCell ref="I629:J629"/>
    <mergeCell ref="K629:L629"/>
    <mergeCell ref="M629:N629"/>
    <mergeCell ref="A640:G640"/>
    <mergeCell ref="I640:J640"/>
    <mergeCell ref="K640:L640"/>
    <mergeCell ref="M640:N640"/>
    <mergeCell ref="A641:G641"/>
    <mergeCell ref="I641:J641"/>
    <mergeCell ref="K641:L641"/>
    <mergeCell ref="M641:N641"/>
    <mergeCell ref="A638:G638"/>
    <mergeCell ref="I638:J638"/>
    <mergeCell ref="K638:L638"/>
    <mergeCell ref="M638:N638"/>
    <mergeCell ref="A639:G639"/>
    <mergeCell ref="I639:J639"/>
    <mergeCell ref="K639:L639"/>
    <mergeCell ref="M639:N639"/>
    <mergeCell ref="A635:N635"/>
    <mergeCell ref="A636:G636"/>
    <mergeCell ref="I636:J636"/>
    <mergeCell ref="K636:L636"/>
    <mergeCell ref="M636:N636"/>
    <mergeCell ref="A637:G637"/>
    <mergeCell ref="I637:J637"/>
    <mergeCell ref="K637:L637"/>
    <mergeCell ref="M637:N637"/>
    <mergeCell ref="A648:G648"/>
    <mergeCell ref="I648:J648"/>
    <mergeCell ref="K648:L648"/>
    <mergeCell ref="M648:N648"/>
    <mergeCell ref="A649:G649"/>
    <mergeCell ref="I649:J649"/>
    <mergeCell ref="K649:L649"/>
    <mergeCell ref="M649:N649"/>
    <mergeCell ref="A646:G646"/>
    <mergeCell ref="I646:J646"/>
    <mergeCell ref="K646:L646"/>
    <mergeCell ref="M646:N646"/>
    <mergeCell ref="A647:G647"/>
    <mergeCell ref="I647:J647"/>
    <mergeCell ref="K647:L647"/>
    <mergeCell ref="M647:N647"/>
    <mergeCell ref="K642:L642"/>
    <mergeCell ref="M642:N642"/>
    <mergeCell ref="A644:N644"/>
    <mergeCell ref="A645:G645"/>
    <mergeCell ref="I645:J645"/>
    <mergeCell ref="K645:L645"/>
    <mergeCell ref="M645:N645"/>
    <mergeCell ref="A656:G656"/>
    <mergeCell ref="I656:J656"/>
    <mergeCell ref="M656:N656"/>
    <mergeCell ref="A657:G657"/>
    <mergeCell ref="I657:J657"/>
    <mergeCell ref="M657:N657"/>
    <mergeCell ref="A653:N653"/>
    <mergeCell ref="A654:G654"/>
    <mergeCell ref="I654:J654"/>
    <mergeCell ref="M654:N654"/>
    <mergeCell ref="A655:G655"/>
    <mergeCell ref="I655:J655"/>
    <mergeCell ref="M655:N655"/>
    <mergeCell ref="A650:G650"/>
    <mergeCell ref="I650:J650"/>
    <mergeCell ref="K650:L650"/>
    <mergeCell ref="M650:N650"/>
    <mergeCell ref="K651:L651"/>
    <mergeCell ref="M651:N651"/>
    <mergeCell ref="A666:N667"/>
    <mergeCell ref="A671:N671"/>
    <mergeCell ref="A672:G672"/>
    <mergeCell ref="I672:J672"/>
    <mergeCell ref="K672:L672"/>
    <mergeCell ref="M672:N672"/>
    <mergeCell ref="K660:L660"/>
    <mergeCell ref="M660:N660"/>
    <mergeCell ref="I661:N662"/>
    <mergeCell ref="I663:J663"/>
    <mergeCell ref="K663:N663"/>
    <mergeCell ref="I664:J664"/>
    <mergeCell ref="K664:N664"/>
    <mergeCell ref="A658:G658"/>
    <mergeCell ref="I658:J658"/>
    <mergeCell ref="M658:N658"/>
    <mergeCell ref="A659:G659"/>
    <mergeCell ref="I659:J659"/>
    <mergeCell ref="M659:N659"/>
    <mergeCell ref="A677:G677"/>
    <mergeCell ref="I677:J677"/>
    <mergeCell ref="K677:L677"/>
    <mergeCell ref="M677:N677"/>
    <mergeCell ref="K678:L678"/>
    <mergeCell ref="M678:N678"/>
    <mergeCell ref="A675:G675"/>
    <mergeCell ref="I675:J675"/>
    <mergeCell ref="K675:L675"/>
    <mergeCell ref="M675:N675"/>
    <mergeCell ref="A676:G676"/>
    <mergeCell ref="I676:J676"/>
    <mergeCell ref="K676:L676"/>
    <mergeCell ref="M676:N676"/>
    <mergeCell ref="A673:G673"/>
    <mergeCell ref="I673:J673"/>
    <mergeCell ref="K673:L673"/>
    <mergeCell ref="M673:N673"/>
    <mergeCell ref="A674:G674"/>
    <mergeCell ref="I674:J674"/>
    <mergeCell ref="K674:L674"/>
    <mergeCell ref="M674:N674"/>
    <mergeCell ref="A685:G685"/>
    <mergeCell ref="I685:J685"/>
    <mergeCell ref="K685:L685"/>
    <mergeCell ref="M685:N685"/>
    <mergeCell ref="A686:G686"/>
    <mergeCell ref="I686:J686"/>
    <mergeCell ref="K686:L686"/>
    <mergeCell ref="M686:N686"/>
    <mergeCell ref="A683:G683"/>
    <mergeCell ref="I683:J683"/>
    <mergeCell ref="K683:L683"/>
    <mergeCell ref="M683:N683"/>
    <mergeCell ref="A684:G684"/>
    <mergeCell ref="I684:J684"/>
    <mergeCell ref="K684:L684"/>
    <mergeCell ref="M684:N684"/>
    <mergeCell ref="A680:N680"/>
    <mergeCell ref="A681:G681"/>
    <mergeCell ref="I681:J681"/>
    <mergeCell ref="K681:L681"/>
    <mergeCell ref="M681:N681"/>
    <mergeCell ref="A682:G682"/>
    <mergeCell ref="I682:J682"/>
    <mergeCell ref="K682:L682"/>
    <mergeCell ref="M682:N682"/>
    <mergeCell ref="I693:J693"/>
    <mergeCell ref="K693:L693"/>
    <mergeCell ref="M693:N693"/>
    <mergeCell ref="A694:G694"/>
    <mergeCell ref="I694:J694"/>
    <mergeCell ref="K694:L694"/>
    <mergeCell ref="M694:N694"/>
    <mergeCell ref="A691:G691"/>
    <mergeCell ref="I691:J691"/>
    <mergeCell ref="K691:L691"/>
    <mergeCell ref="M691:N691"/>
    <mergeCell ref="I692:J692"/>
    <mergeCell ref="K692:L692"/>
    <mergeCell ref="M692:N692"/>
    <mergeCell ref="K687:L687"/>
    <mergeCell ref="M687:N687"/>
    <mergeCell ref="A689:N689"/>
    <mergeCell ref="A690:G690"/>
    <mergeCell ref="I690:J690"/>
    <mergeCell ref="K690:L690"/>
    <mergeCell ref="M690:N690"/>
    <mergeCell ref="A701:G701"/>
    <mergeCell ref="I701:J701"/>
    <mergeCell ref="M701:N701"/>
    <mergeCell ref="A702:G702"/>
    <mergeCell ref="I702:J702"/>
    <mergeCell ref="M702:N702"/>
    <mergeCell ref="A698:N698"/>
    <mergeCell ref="A699:G699"/>
    <mergeCell ref="I699:J699"/>
    <mergeCell ref="M699:N699"/>
    <mergeCell ref="A700:G700"/>
    <mergeCell ref="I700:J700"/>
    <mergeCell ref="M700:N700"/>
    <mergeCell ref="A695:G695"/>
    <mergeCell ref="I695:J695"/>
    <mergeCell ref="K695:L695"/>
    <mergeCell ref="M695:N695"/>
    <mergeCell ref="K696:L696"/>
    <mergeCell ref="M696:N696"/>
    <mergeCell ref="A711:N712"/>
    <mergeCell ref="A716:N716"/>
    <mergeCell ref="A717:G717"/>
    <mergeCell ref="I717:J717"/>
    <mergeCell ref="K717:L717"/>
    <mergeCell ref="M717:N717"/>
    <mergeCell ref="K705:L705"/>
    <mergeCell ref="M705:N705"/>
    <mergeCell ref="I706:N707"/>
    <mergeCell ref="I708:J708"/>
    <mergeCell ref="K708:N708"/>
    <mergeCell ref="I709:J709"/>
    <mergeCell ref="K709:N709"/>
    <mergeCell ref="A703:G703"/>
    <mergeCell ref="I703:J703"/>
    <mergeCell ref="M703:N703"/>
    <mergeCell ref="A704:G704"/>
    <mergeCell ref="I704:J704"/>
    <mergeCell ref="M704:N704"/>
    <mergeCell ref="A722:G722"/>
    <mergeCell ref="I722:J722"/>
    <mergeCell ref="K722:L722"/>
    <mergeCell ref="M722:N722"/>
    <mergeCell ref="K723:L723"/>
    <mergeCell ref="M723:N723"/>
    <mergeCell ref="A720:G720"/>
    <mergeCell ref="I720:J720"/>
    <mergeCell ref="K720:L720"/>
    <mergeCell ref="M720:N720"/>
    <mergeCell ref="A721:G721"/>
    <mergeCell ref="I721:J721"/>
    <mergeCell ref="K721:L721"/>
    <mergeCell ref="M721:N721"/>
    <mergeCell ref="A718:G718"/>
    <mergeCell ref="I718:J718"/>
    <mergeCell ref="K718:L718"/>
    <mergeCell ref="M718:N718"/>
    <mergeCell ref="A719:G719"/>
    <mergeCell ref="I719:J719"/>
    <mergeCell ref="K719:L719"/>
    <mergeCell ref="M719:N719"/>
    <mergeCell ref="A730:G730"/>
    <mergeCell ref="I730:J730"/>
    <mergeCell ref="K730:L730"/>
    <mergeCell ref="M730:N730"/>
    <mergeCell ref="A731:G731"/>
    <mergeCell ref="I731:J731"/>
    <mergeCell ref="K731:L731"/>
    <mergeCell ref="M731:N731"/>
    <mergeCell ref="A728:G728"/>
    <mergeCell ref="I728:J728"/>
    <mergeCell ref="K728:L728"/>
    <mergeCell ref="M728:N728"/>
    <mergeCell ref="A729:G729"/>
    <mergeCell ref="I729:J729"/>
    <mergeCell ref="K729:L729"/>
    <mergeCell ref="M729:N729"/>
    <mergeCell ref="A725:N725"/>
    <mergeCell ref="A726:G726"/>
    <mergeCell ref="I726:J726"/>
    <mergeCell ref="K726:L726"/>
    <mergeCell ref="M726:N726"/>
    <mergeCell ref="A727:G727"/>
    <mergeCell ref="I727:J727"/>
    <mergeCell ref="K727:L727"/>
    <mergeCell ref="M727:N727"/>
    <mergeCell ref="I738:J738"/>
    <mergeCell ref="K738:L738"/>
    <mergeCell ref="M738:N738"/>
    <mergeCell ref="A739:G739"/>
    <mergeCell ref="I739:J739"/>
    <mergeCell ref="K739:L739"/>
    <mergeCell ref="M739:N739"/>
    <mergeCell ref="A736:G736"/>
    <mergeCell ref="I736:J736"/>
    <mergeCell ref="K736:L736"/>
    <mergeCell ref="M736:N736"/>
    <mergeCell ref="I737:J737"/>
    <mergeCell ref="K737:L737"/>
    <mergeCell ref="M737:N737"/>
    <mergeCell ref="K732:L732"/>
    <mergeCell ref="M732:N732"/>
    <mergeCell ref="A734:N734"/>
    <mergeCell ref="A735:G735"/>
    <mergeCell ref="I735:J735"/>
    <mergeCell ref="K735:L735"/>
    <mergeCell ref="M735:N735"/>
    <mergeCell ref="A746:G746"/>
    <mergeCell ref="I746:J746"/>
    <mergeCell ref="M746:N746"/>
    <mergeCell ref="A747:G747"/>
    <mergeCell ref="I747:J747"/>
    <mergeCell ref="M747:N747"/>
    <mergeCell ref="A743:N743"/>
    <mergeCell ref="A744:G744"/>
    <mergeCell ref="I744:J744"/>
    <mergeCell ref="M744:N744"/>
    <mergeCell ref="A745:G745"/>
    <mergeCell ref="I745:J745"/>
    <mergeCell ref="M745:N745"/>
    <mergeCell ref="A740:G740"/>
    <mergeCell ref="I740:J740"/>
    <mergeCell ref="K740:L740"/>
    <mergeCell ref="M740:N740"/>
    <mergeCell ref="K741:L741"/>
    <mergeCell ref="M741:N741"/>
    <mergeCell ref="A756:N757"/>
    <mergeCell ref="A761:N761"/>
    <mergeCell ref="A762:G762"/>
    <mergeCell ref="I762:J762"/>
    <mergeCell ref="K762:L762"/>
    <mergeCell ref="M762:N762"/>
    <mergeCell ref="K750:L750"/>
    <mergeCell ref="M750:N750"/>
    <mergeCell ref="I751:N752"/>
    <mergeCell ref="I753:J753"/>
    <mergeCell ref="K753:N753"/>
    <mergeCell ref="I754:J754"/>
    <mergeCell ref="K754:N754"/>
    <mergeCell ref="A748:G748"/>
    <mergeCell ref="I748:J748"/>
    <mergeCell ref="M748:N748"/>
    <mergeCell ref="A749:G749"/>
    <mergeCell ref="I749:J749"/>
    <mergeCell ref="M749:N749"/>
    <mergeCell ref="A767:G767"/>
    <mergeCell ref="I770:J770"/>
    <mergeCell ref="K770:L770"/>
    <mergeCell ref="M770:N770"/>
    <mergeCell ref="K771:L771"/>
    <mergeCell ref="M771:N771"/>
    <mergeCell ref="A768:G768"/>
    <mergeCell ref="A769:G769"/>
    <mergeCell ref="A765:G765"/>
    <mergeCell ref="I768:J768"/>
    <mergeCell ref="K768:L768"/>
    <mergeCell ref="M768:N768"/>
    <mergeCell ref="A766:G766"/>
    <mergeCell ref="I769:J769"/>
    <mergeCell ref="K769:L769"/>
    <mergeCell ref="M769:N769"/>
    <mergeCell ref="A763:G763"/>
    <mergeCell ref="I763:J763"/>
    <mergeCell ref="K763:L763"/>
    <mergeCell ref="M763:N763"/>
    <mergeCell ref="A764:G764"/>
    <mergeCell ref="I767:J767"/>
    <mergeCell ref="K767:L767"/>
    <mergeCell ref="M767:N767"/>
    <mergeCell ref="A776:G776"/>
    <mergeCell ref="I776:J776"/>
    <mergeCell ref="K776:L776"/>
    <mergeCell ref="M776:N776"/>
    <mergeCell ref="A777:G777"/>
    <mergeCell ref="I777:J777"/>
    <mergeCell ref="K777:L777"/>
    <mergeCell ref="M777:N777"/>
    <mergeCell ref="A773:N773"/>
    <mergeCell ref="A774:G774"/>
    <mergeCell ref="I774:J774"/>
    <mergeCell ref="K774:L774"/>
    <mergeCell ref="M774:N774"/>
    <mergeCell ref="A775:G775"/>
    <mergeCell ref="I775:J775"/>
    <mergeCell ref="K775:L775"/>
    <mergeCell ref="M775:N775"/>
    <mergeCell ref="A784:G784"/>
    <mergeCell ref="I784:J784"/>
    <mergeCell ref="K784:L784"/>
    <mergeCell ref="M784:N784"/>
    <mergeCell ref="I785:J785"/>
    <mergeCell ref="K785:L785"/>
    <mergeCell ref="M785:N785"/>
    <mergeCell ref="K780:L780"/>
    <mergeCell ref="M780:N780"/>
    <mergeCell ref="A782:N782"/>
    <mergeCell ref="A783:G783"/>
    <mergeCell ref="I783:J783"/>
    <mergeCell ref="K783:L783"/>
    <mergeCell ref="M783:N783"/>
    <mergeCell ref="A778:G778"/>
    <mergeCell ref="I778:J778"/>
    <mergeCell ref="K778:L778"/>
    <mergeCell ref="M778:N778"/>
    <mergeCell ref="A779:G779"/>
    <mergeCell ref="I779:J779"/>
    <mergeCell ref="K779:L779"/>
    <mergeCell ref="M779:N779"/>
    <mergeCell ref="A795:G795"/>
    <mergeCell ref="I795:J795"/>
    <mergeCell ref="M795:N795"/>
    <mergeCell ref="A791:N791"/>
    <mergeCell ref="A792:G792"/>
    <mergeCell ref="I792:J792"/>
    <mergeCell ref="M792:N792"/>
    <mergeCell ref="A793:G793"/>
    <mergeCell ref="I793:J793"/>
    <mergeCell ref="M793:N793"/>
    <mergeCell ref="A788:G788"/>
    <mergeCell ref="I788:J788"/>
    <mergeCell ref="K788:L788"/>
    <mergeCell ref="M788:N788"/>
    <mergeCell ref="K789:L789"/>
    <mergeCell ref="M789:N789"/>
    <mergeCell ref="I786:J786"/>
    <mergeCell ref="K786:L786"/>
    <mergeCell ref="M786:N786"/>
    <mergeCell ref="A787:G787"/>
    <mergeCell ref="I787:J787"/>
    <mergeCell ref="K787:L787"/>
    <mergeCell ref="M787:N787"/>
    <mergeCell ref="M812:N812"/>
    <mergeCell ref="M764:N764"/>
    <mergeCell ref="M765:N765"/>
    <mergeCell ref="M766:N766"/>
    <mergeCell ref="A804:N805"/>
    <mergeCell ref="A809:N809"/>
    <mergeCell ref="A810:G810"/>
    <mergeCell ref="I810:J810"/>
    <mergeCell ref="K810:L810"/>
    <mergeCell ref="M810:N810"/>
    <mergeCell ref="I764:J764"/>
    <mergeCell ref="I765:J765"/>
    <mergeCell ref="I766:J766"/>
    <mergeCell ref="K764:L764"/>
    <mergeCell ref="K765:L765"/>
    <mergeCell ref="K766:L766"/>
    <mergeCell ref="K798:L798"/>
    <mergeCell ref="M798:N798"/>
    <mergeCell ref="I799:N800"/>
    <mergeCell ref="I801:J801"/>
    <mergeCell ref="K801:N801"/>
    <mergeCell ref="I802:J802"/>
    <mergeCell ref="K802:N802"/>
    <mergeCell ref="A796:G796"/>
    <mergeCell ref="I796:J796"/>
    <mergeCell ref="M796:N796"/>
    <mergeCell ref="A797:G797"/>
    <mergeCell ref="I797:J797"/>
    <mergeCell ref="M797:N797"/>
    <mergeCell ref="A794:G794"/>
    <mergeCell ref="I794:J794"/>
    <mergeCell ref="M794:N794"/>
    <mergeCell ref="K819:L819"/>
    <mergeCell ref="M819:N819"/>
    <mergeCell ref="A821:N821"/>
    <mergeCell ref="A822:G822"/>
    <mergeCell ref="I822:J822"/>
    <mergeCell ref="K822:L822"/>
    <mergeCell ref="M822:N822"/>
    <mergeCell ref="A817:G817"/>
    <mergeCell ref="I817:J817"/>
    <mergeCell ref="K817:L817"/>
    <mergeCell ref="M817:N817"/>
    <mergeCell ref="I818:J818"/>
    <mergeCell ref="K818:L818"/>
    <mergeCell ref="M818:N818"/>
    <mergeCell ref="A815:G815"/>
    <mergeCell ref="I815:J815"/>
    <mergeCell ref="K815:L815"/>
    <mergeCell ref="M815:N815"/>
    <mergeCell ref="A816:G816"/>
    <mergeCell ref="I816:J816"/>
    <mergeCell ref="K816:L816"/>
    <mergeCell ref="M816:N816"/>
    <mergeCell ref="A827:G827"/>
    <mergeCell ref="I827:J827"/>
    <mergeCell ref="K827:L827"/>
    <mergeCell ref="M827:N827"/>
    <mergeCell ref="K828:L828"/>
    <mergeCell ref="M828:N828"/>
    <mergeCell ref="A825:G825"/>
    <mergeCell ref="I825:J825"/>
    <mergeCell ref="K825:L825"/>
    <mergeCell ref="M825:N825"/>
    <mergeCell ref="A826:G826"/>
    <mergeCell ref="I826:J826"/>
    <mergeCell ref="K826:L826"/>
    <mergeCell ref="M826:N826"/>
    <mergeCell ref="A823:G823"/>
    <mergeCell ref="I823:J823"/>
    <mergeCell ref="K823:L823"/>
    <mergeCell ref="M823:N823"/>
    <mergeCell ref="A824:G824"/>
    <mergeCell ref="I824:J824"/>
    <mergeCell ref="K824:L824"/>
    <mergeCell ref="M824:N824"/>
    <mergeCell ref="A835:G835"/>
    <mergeCell ref="I835:J835"/>
    <mergeCell ref="K835:L835"/>
    <mergeCell ref="M835:N835"/>
    <mergeCell ref="A836:G836"/>
    <mergeCell ref="I836:J836"/>
    <mergeCell ref="K836:L836"/>
    <mergeCell ref="M836:N836"/>
    <mergeCell ref="I833:J833"/>
    <mergeCell ref="K833:L833"/>
    <mergeCell ref="M833:N833"/>
    <mergeCell ref="I834:J834"/>
    <mergeCell ref="K834:L834"/>
    <mergeCell ref="M834:N834"/>
    <mergeCell ref="A830:N830"/>
    <mergeCell ref="A831:G831"/>
    <mergeCell ref="I831:J831"/>
    <mergeCell ref="K831:L831"/>
    <mergeCell ref="M831:N831"/>
    <mergeCell ref="A832:G832"/>
    <mergeCell ref="I832:J832"/>
    <mergeCell ref="K832:L832"/>
    <mergeCell ref="M832:N832"/>
    <mergeCell ref="A833:G833"/>
    <mergeCell ref="A834:G834"/>
    <mergeCell ref="A843:G843"/>
    <mergeCell ref="I843:J843"/>
    <mergeCell ref="M843:N843"/>
    <mergeCell ref="A844:G844"/>
    <mergeCell ref="I844:J844"/>
    <mergeCell ref="M844:N844"/>
    <mergeCell ref="A841:G841"/>
    <mergeCell ref="I841:J841"/>
    <mergeCell ref="M841:N841"/>
    <mergeCell ref="A842:G842"/>
    <mergeCell ref="I842:J842"/>
    <mergeCell ref="M842:N842"/>
    <mergeCell ref="K837:L837"/>
    <mergeCell ref="M837:N837"/>
    <mergeCell ref="A839:N839"/>
    <mergeCell ref="A840:G840"/>
    <mergeCell ref="I840:J840"/>
    <mergeCell ref="M840:N840"/>
    <mergeCell ref="A858:G858"/>
    <mergeCell ref="I858:J858"/>
    <mergeCell ref="K858:L858"/>
    <mergeCell ref="M858:N858"/>
    <mergeCell ref="A859:G859"/>
    <mergeCell ref="I859:J859"/>
    <mergeCell ref="K859:L859"/>
    <mergeCell ref="M859:N859"/>
    <mergeCell ref="I849:J849"/>
    <mergeCell ref="K849:N849"/>
    <mergeCell ref="I850:J850"/>
    <mergeCell ref="K850:N850"/>
    <mergeCell ref="A852:N853"/>
    <mergeCell ref="A857:N857"/>
    <mergeCell ref="A845:G845"/>
    <mergeCell ref="I845:J845"/>
    <mergeCell ref="M845:N845"/>
    <mergeCell ref="K846:L846"/>
    <mergeCell ref="M846:N846"/>
    <mergeCell ref="I847:N848"/>
    <mergeCell ref="A864:G864"/>
    <mergeCell ref="I864:J864"/>
    <mergeCell ref="K864:L864"/>
    <mergeCell ref="M864:N864"/>
    <mergeCell ref="A865:G865"/>
    <mergeCell ref="I865:J865"/>
    <mergeCell ref="K865:L865"/>
    <mergeCell ref="M865:N865"/>
    <mergeCell ref="A862:G862"/>
    <mergeCell ref="I862:J862"/>
    <mergeCell ref="K862:L862"/>
    <mergeCell ref="M862:N862"/>
    <mergeCell ref="A863:G863"/>
    <mergeCell ref="I863:J863"/>
    <mergeCell ref="K863:L863"/>
    <mergeCell ref="M863:N863"/>
    <mergeCell ref="A860:G860"/>
    <mergeCell ref="I860:J860"/>
    <mergeCell ref="K860:L860"/>
    <mergeCell ref="M860:N860"/>
    <mergeCell ref="A861:G861"/>
    <mergeCell ref="I861:J861"/>
    <mergeCell ref="K861:L861"/>
    <mergeCell ref="M861:N861"/>
    <mergeCell ref="A872:G872"/>
    <mergeCell ref="I872:J872"/>
    <mergeCell ref="K872:L872"/>
    <mergeCell ref="M872:N872"/>
    <mergeCell ref="A873:G873"/>
    <mergeCell ref="I873:J873"/>
    <mergeCell ref="K873:L873"/>
    <mergeCell ref="M873:N873"/>
    <mergeCell ref="A870:G870"/>
    <mergeCell ref="I870:J870"/>
    <mergeCell ref="K870:L870"/>
    <mergeCell ref="M870:N870"/>
    <mergeCell ref="A871:G871"/>
    <mergeCell ref="I871:J871"/>
    <mergeCell ref="K871:L871"/>
    <mergeCell ref="M871:N871"/>
    <mergeCell ref="I866:J866"/>
    <mergeCell ref="K866:L866"/>
    <mergeCell ref="M866:N866"/>
    <mergeCell ref="K867:L867"/>
    <mergeCell ref="M867:N867"/>
    <mergeCell ref="A869:N869"/>
    <mergeCell ref="A880:G880"/>
    <mergeCell ref="I880:J880"/>
    <mergeCell ref="K880:L880"/>
    <mergeCell ref="M880:N880"/>
    <mergeCell ref="I881:J881"/>
    <mergeCell ref="K881:L881"/>
    <mergeCell ref="M881:N881"/>
    <mergeCell ref="K876:L876"/>
    <mergeCell ref="M876:N876"/>
    <mergeCell ref="A878:N878"/>
    <mergeCell ref="A879:G879"/>
    <mergeCell ref="I879:J879"/>
    <mergeCell ref="K879:L879"/>
    <mergeCell ref="M879:N879"/>
    <mergeCell ref="A874:G874"/>
    <mergeCell ref="I874:J874"/>
    <mergeCell ref="K874:L874"/>
    <mergeCell ref="M874:N874"/>
    <mergeCell ref="A875:G875"/>
    <mergeCell ref="I875:J875"/>
    <mergeCell ref="K875:L875"/>
    <mergeCell ref="M875:N875"/>
    <mergeCell ref="A881:G881"/>
    <mergeCell ref="A887:N887"/>
    <mergeCell ref="A888:G888"/>
    <mergeCell ref="I888:J888"/>
    <mergeCell ref="M888:N888"/>
    <mergeCell ref="A889:G889"/>
    <mergeCell ref="I889:J889"/>
    <mergeCell ref="M889:N889"/>
    <mergeCell ref="A884:G884"/>
    <mergeCell ref="I884:J884"/>
    <mergeCell ref="K884:L884"/>
    <mergeCell ref="M884:N884"/>
    <mergeCell ref="K885:L885"/>
    <mergeCell ref="M885:N885"/>
    <mergeCell ref="I882:J882"/>
    <mergeCell ref="K882:L882"/>
    <mergeCell ref="M882:N882"/>
    <mergeCell ref="A883:G883"/>
    <mergeCell ref="I883:J883"/>
    <mergeCell ref="K883:L883"/>
    <mergeCell ref="M883:N883"/>
    <mergeCell ref="A882:G882"/>
    <mergeCell ref="K894:L894"/>
    <mergeCell ref="M894:N894"/>
    <mergeCell ref="I895:N896"/>
    <mergeCell ref="I897:J897"/>
    <mergeCell ref="K897:N897"/>
    <mergeCell ref="I898:J898"/>
    <mergeCell ref="K898:N898"/>
    <mergeCell ref="A892:G892"/>
    <mergeCell ref="I892:J892"/>
    <mergeCell ref="M892:N892"/>
    <mergeCell ref="A893:G893"/>
    <mergeCell ref="I893:J893"/>
    <mergeCell ref="M893:N893"/>
    <mergeCell ref="A890:G890"/>
    <mergeCell ref="I890:J890"/>
    <mergeCell ref="M890:N890"/>
    <mergeCell ref="A891:G891"/>
    <mergeCell ref="I891:J891"/>
    <mergeCell ref="M891:N891"/>
    <mergeCell ref="A909:G909"/>
    <mergeCell ref="I909:J909"/>
    <mergeCell ref="K909:L909"/>
    <mergeCell ref="M909:N909"/>
    <mergeCell ref="A910:G910"/>
    <mergeCell ref="I910:J910"/>
    <mergeCell ref="K910:L910"/>
    <mergeCell ref="M910:N910"/>
    <mergeCell ref="A907:G907"/>
    <mergeCell ref="I907:J907"/>
    <mergeCell ref="K907:L907"/>
    <mergeCell ref="M907:N907"/>
    <mergeCell ref="A908:G908"/>
    <mergeCell ref="I908:J908"/>
    <mergeCell ref="K908:L908"/>
    <mergeCell ref="M908:N908"/>
    <mergeCell ref="A900:N901"/>
    <mergeCell ref="A905:N905"/>
    <mergeCell ref="A906:G906"/>
    <mergeCell ref="I906:J906"/>
    <mergeCell ref="K906:L906"/>
    <mergeCell ref="M906:N906"/>
    <mergeCell ref="K915:L915"/>
    <mergeCell ref="M915:N915"/>
    <mergeCell ref="A917:N917"/>
    <mergeCell ref="A918:G918"/>
    <mergeCell ref="I918:J918"/>
    <mergeCell ref="K918:L918"/>
    <mergeCell ref="M918:N918"/>
    <mergeCell ref="A913:G913"/>
    <mergeCell ref="I913:J913"/>
    <mergeCell ref="K913:L913"/>
    <mergeCell ref="M913:N913"/>
    <mergeCell ref="I914:J914"/>
    <mergeCell ref="K914:L914"/>
    <mergeCell ref="M914:N914"/>
    <mergeCell ref="A911:G911"/>
    <mergeCell ref="I911:J911"/>
    <mergeCell ref="K911:L911"/>
    <mergeCell ref="M911:N911"/>
    <mergeCell ref="A912:G912"/>
    <mergeCell ref="I912:J912"/>
    <mergeCell ref="K912:L912"/>
    <mergeCell ref="M912:N912"/>
    <mergeCell ref="A923:G923"/>
    <mergeCell ref="I923:J923"/>
    <mergeCell ref="K923:L923"/>
    <mergeCell ref="M923:N923"/>
    <mergeCell ref="K924:L924"/>
    <mergeCell ref="M924:N924"/>
    <mergeCell ref="A921:G921"/>
    <mergeCell ref="I921:J921"/>
    <mergeCell ref="K921:L921"/>
    <mergeCell ref="M921:N921"/>
    <mergeCell ref="A922:G922"/>
    <mergeCell ref="I922:J922"/>
    <mergeCell ref="K922:L922"/>
    <mergeCell ref="M922:N922"/>
    <mergeCell ref="A919:G919"/>
    <mergeCell ref="I919:J919"/>
    <mergeCell ref="K919:L919"/>
    <mergeCell ref="M919:N919"/>
    <mergeCell ref="A920:G920"/>
    <mergeCell ref="I920:J920"/>
    <mergeCell ref="K920:L920"/>
    <mergeCell ref="M920:N920"/>
    <mergeCell ref="A931:G931"/>
    <mergeCell ref="I931:J931"/>
    <mergeCell ref="K931:L931"/>
    <mergeCell ref="M931:N931"/>
    <mergeCell ref="A932:G932"/>
    <mergeCell ref="I932:J932"/>
    <mergeCell ref="K932:L932"/>
    <mergeCell ref="M932:N932"/>
    <mergeCell ref="I929:J929"/>
    <mergeCell ref="K929:L929"/>
    <mergeCell ref="M929:N929"/>
    <mergeCell ref="I930:J930"/>
    <mergeCell ref="K930:L930"/>
    <mergeCell ref="M930:N930"/>
    <mergeCell ref="A926:N926"/>
    <mergeCell ref="A927:G927"/>
    <mergeCell ref="I927:J927"/>
    <mergeCell ref="K927:L927"/>
    <mergeCell ref="M927:N927"/>
    <mergeCell ref="A928:G928"/>
    <mergeCell ref="I928:J928"/>
    <mergeCell ref="K928:L928"/>
    <mergeCell ref="M928:N928"/>
    <mergeCell ref="A929:G929"/>
    <mergeCell ref="A930:G930"/>
    <mergeCell ref="A939:G939"/>
    <mergeCell ref="I939:J939"/>
    <mergeCell ref="M939:N939"/>
    <mergeCell ref="A940:G940"/>
    <mergeCell ref="I940:J940"/>
    <mergeCell ref="M940:N940"/>
    <mergeCell ref="A937:G937"/>
    <mergeCell ref="I937:J937"/>
    <mergeCell ref="M937:N937"/>
    <mergeCell ref="A938:G938"/>
    <mergeCell ref="I938:J938"/>
    <mergeCell ref="M938:N938"/>
    <mergeCell ref="K933:L933"/>
    <mergeCell ref="M933:N933"/>
    <mergeCell ref="A935:N935"/>
    <mergeCell ref="A936:G936"/>
    <mergeCell ref="I936:J936"/>
    <mergeCell ref="M936:N936"/>
    <mergeCell ref="A954:G954"/>
    <mergeCell ref="I954:J954"/>
    <mergeCell ref="K954:L954"/>
    <mergeCell ref="M954:N954"/>
    <mergeCell ref="A955:G955"/>
    <mergeCell ref="I955:J955"/>
    <mergeCell ref="K955:L955"/>
    <mergeCell ref="M955:N955"/>
    <mergeCell ref="I945:J945"/>
    <mergeCell ref="K945:N945"/>
    <mergeCell ref="I946:J946"/>
    <mergeCell ref="K946:N946"/>
    <mergeCell ref="A948:N949"/>
    <mergeCell ref="A953:N953"/>
    <mergeCell ref="A941:G941"/>
    <mergeCell ref="I941:J941"/>
    <mergeCell ref="M941:N941"/>
    <mergeCell ref="K942:L942"/>
    <mergeCell ref="M942:N942"/>
    <mergeCell ref="I943:N944"/>
    <mergeCell ref="A960:G960"/>
    <mergeCell ref="I960:J960"/>
    <mergeCell ref="K960:L960"/>
    <mergeCell ref="M960:N960"/>
    <mergeCell ref="A961:G961"/>
    <mergeCell ref="I961:J961"/>
    <mergeCell ref="K961:L961"/>
    <mergeCell ref="M961:N961"/>
    <mergeCell ref="A958:G958"/>
    <mergeCell ref="I958:J958"/>
    <mergeCell ref="K958:L958"/>
    <mergeCell ref="M958:N958"/>
    <mergeCell ref="A959:G959"/>
    <mergeCell ref="I959:J959"/>
    <mergeCell ref="K959:L959"/>
    <mergeCell ref="M959:N959"/>
    <mergeCell ref="A956:G956"/>
    <mergeCell ref="I956:J956"/>
    <mergeCell ref="K956:L956"/>
    <mergeCell ref="M956:N956"/>
    <mergeCell ref="A957:G957"/>
    <mergeCell ref="I957:J957"/>
    <mergeCell ref="K957:L957"/>
    <mergeCell ref="M957:N957"/>
    <mergeCell ref="A968:G968"/>
    <mergeCell ref="I968:J968"/>
    <mergeCell ref="K968:L968"/>
    <mergeCell ref="M968:N968"/>
    <mergeCell ref="A969:G969"/>
    <mergeCell ref="I969:J969"/>
    <mergeCell ref="K969:L969"/>
    <mergeCell ref="M969:N969"/>
    <mergeCell ref="A966:G966"/>
    <mergeCell ref="I966:J966"/>
    <mergeCell ref="K966:L966"/>
    <mergeCell ref="M966:N966"/>
    <mergeCell ref="A967:G967"/>
    <mergeCell ref="I967:J967"/>
    <mergeCell ref="K967:L967"/>
    <mergeCell ref="M967:N967"/>
    <mergeCell ref="I962:J962"/>
    <mergeCell ref="K962:L962"/>
    <mergeCell ref="M962:N962"/>
    <mergeCell ref="K963:L963"/>
    <mergeCell ref="M963:N963"/>
    <mergeCell ref="A965:N965"/>
    <mergeCell ref="A976:G976"/>
    <mergeCell ref="I976:J976"/>
    <mergeCell ref="K976:L976"/>
    <mergeCell ref="M976:N976"/>
    <mergeCell ref="I977:J977"/>
    <mergeCell ref="K977:L977"/>
    <mergeCell ref="M977:N977"/>
    <mergeCell ref="K972:L972"/>
    <mergeCell ref="M972:N972"/>
    <mergeCell ref="A974:N974"/>
    <mergeCell ref="A975:G975"/>
    <mergeCell ref="I975:J975"/>
    <mergeCell ref="K975:L975"/>
    <mergeCell ref="M975:N975"/>
    <mergeCell ref="A970:G970"/>
    <mergeCell ref="I970:J970"/>
    <mergeCell ref="K970:L970"/>
    <mergeCell ref="M970:N970"/>
    <mergeCell ref="A971:G971"/>
    <mergeCell ref="I971:J971"/>
    <mergeCell ref="K971:L971"/>
    <mergeCell ref="M971:N971"/>
    <mergeCell ref="A977:G977"/>
    <mergeCell ref="A983:N983"/>
    <mergeCell ref="A984:G984"/>
    <mergeCell ref="I984:J984"/>
    <mergeCell ref="M984:N984"/>
    <mergeCell ref="A985:G985"/>
    <mergeCell ref="I985:J985"/>
    <mergeCell ref="M985:N985"/>
    <mergeCell ref="A980:G980"/>
    <mergeCell ref="I980:J980"/>
    <mergeCell ref="K980:L980"/>
    <mergeCell ref="M980:N980"/>
    <mergeCell ref="K981:L981"/>
    <mergeCell ref="M981:N981"/>
    <mergeCell ref="I978:J978"/>
    <mergeCell ref="K978:L978"/>
    <mergeCell ref="M978:N978"/>
    <mergeCell ref="A979:G979"/>
    <mergeCell ref="I979:J979"/>
    <mergeCell ref="K979:L979"/>
    <mergeCell ref="M979:N979"/>
    <mergeCell ref="A978:G978"/>
    <mergeCell ref="K990:L990"/>
    <mergeCell ref="M990:N990"/>
    <mergeCell ref="I991:N992"/>
    <mergeCell ref="I993:J993"/>
    <mergeCell ref="K993:N993"/>
    <mergeCell ref="I994:J994"/>
    <mergeCell ref="K994:N994"/>
    <mergeCell ref="A988:G988"/>
    <mergeCell ref="I988:J988"/>
    <mergeCell ref="M988:N988"/>
    <mergeCell ref="A989:G989"/>
    <mergeCell ref="I989:J989"/>
    <mergeCell ref="M989:N989"/>
    <mergeCell ref="A986:G986"/>
    <mergeCell ref="I986:J986"/>
    <mergeCell ref="M986:N986"/>
    <mergeCell ref="A987:G987"/>
    <mergeCell ref="I987:J987"/>
    <mergeCell ref="M987:N987"/>
    <mergeCell ref="A410:N410"/>
    <mergeCell ref="A411:G411"/>
    <mergeCell ref="I411:J411"/>
    <mergeCell ref="K411:L411"/>
    <mergeCell ref="M411:N411"/>
    <mergeCell ref="A412:G412"/>
    <mergeCell ref="I412:J412"/>
    <mergeCell ref="K412:L412"/>
    <mergeCell ref="M412:N412"/>
    <mergeCell ref="A413:G413"/>
    <mergeCell ref="I413:J413"/>
    <mergeCell ref="K413:L413"/>
    <mergeCell ref="M413:N413"/>
    <mergeCell ref="A414:G414"/>
    <mergeCell ref="I414:J414"/>
    <mergeCell ref="K414:L414"/>
    <mergeCell ref="M414:N414"/>
    <mergeCell ref="A415:G415"/>
    <mergeCell ref="I415:J415"/>
    <mergeCell ref="K415:L415"/>
    <mergeCell ref="M415:N415"/>
    <mergeCell ref="A416:G416"/>
    <mergeCell ref="I416:J416"/>
    <mergeCell ref="K416:L416"/>
    <mergeCell ref="M416:N416"/>
    <mergeCell ref="A417:G417"/>
    <mergeCell ref="I417:J417"/>
    <mergeCell ref="K417:L417"/>
    <mergeCell ref="M417:N417"/>
    <mergeCell ref="K418:L418"/>
    <mergeCell ref="M418:N418"/>
    <mergeCell ref="A420:N420"/>
    <mergeCell ref="A421:G421"/>
    <mergeCell ref="I421:J421"/>
    <mergeCell ref="K421:L421"/>
    <mergeCell ref="M421:N421"/>
    <mergeCell ref="A422:G422"/>
    <mergeCell ref="I422:J422"/>
    <mergeCell ref="K422:L422"/>
    <mergeCell ref="M422:N422"/>
    <mergeCell ref="A423:G423"/>
    <mergeCell ref="I423:J423"/>
    <mergeCell ref="K423:L423"/>
    <mergeCell ref="M423:N423"/>
    <mergeCell ref="A424:G424"/>
    <mergeCell ref="I424:J424"/>
    <mergeCell ref="K424:L424"/>
    <mergeCell ref="M424:N424"/>
    <mergeCell ref="A425:G425"/>
    <mergeCell ref="I425:J425"/>
    <mergeCell ref="K425:L425"/>
    <mergeCell ref="M425:N425"/>
    <mergeCell ref="I426:J426"/>
    <mergeCell ref="K426:L426"/>
    <mergeCell ref="M426:N426"/>
    <mergeCell ref="K427:L427"/>
    <mergeCell ref="M427:N427"/>
    <mergeCell ref="A429:N429"/>
    <mergeCell ref="A430:G430"/>
    <mergeCell ref="I430:J430"/>
    <mergeCell ref="K430:L430"/>
    <mergeCell ref="M430:N430"/>
    <mergeCell ref="A431:G431"/>
    <mergeCell ref="I431:J431"/>
    <mergeCell ref="K431:L431"/>
    <mergeCell ref="M431:N431"/>
    <mergeCell ref="A432:G432"/>
    <mergeCell ref="I432:J432"/>
    <mergeCell ref="K432:L432"/>
    <mergeCell ref="M432:N432"/>
    <mergeCell ref="A433:G433"/>
    <mergeCell ref="I433:J433"/>
    <mergeCell ref="K433:L433"/>
    <mergeCell ref="M433:N433"/>
    <mergeCell ref="A434:G434"/>
    <mergeCell ref="I434:J434"/>
    <mergeCell ref="K434:L434"/>
    <mergeCell ref="M434:N434"/>
    <mergeCell ref="A435:G435"/>
    <mergeCell ref="I435:J435"/>
    <mergeCell ref="K435:L435"/>
    <mergeCell ref="M435:N435"/>
    <mergeCell ref="K436:L436"/>
    <mergeCell ref="M436:N436"/>
    <mergeCell ref="A438:N438"/>
    <mergeCell ref="A439:G439"/>
    <mergeCell ref="I439:J439"/>
    <mergeCell ref="M439:N439"/>
    <mergeCell ref="A440:G440"/>
    <mergeCell ref="I440:J440"/>
    <mergeCell ref="M440:N440"/>
    <mergeCell ref="A441:G441"/>
    <mergeCell ref="I441:J441"/>
    <mergeCell ref="M441:N441"/>
    <mergeCell ref="A442:G442"/>
    <mergeCell ref="I442:J442"/>
    <mergeCell ref="M442:N442"/>
    <mergeCell ref="A443:G443"/>
    <mergeCell ref="I443:J443"/>
    <mergeCell ref="M443:N443"/>
    <mergeCell ref="A444:G444"/>
    <mergeCell ref="I444:J444"/>
    <mergeCell ref="M444:N444"/>
    <mergeCell ref="K445:L445"/>
    <mergeCell ref="M445:N445"/>
    <mergeCell ref="I446:N447"/>
    <mergeCell ref="I448:J448"/>
    <mergeCell ref="K448:N448"/>
    <mergeCell ref="I449:J449"/>
    <mergeCell ref="K449:N449"/>
    <mergeCell ref="A492:N493"/>
    <mergeCell ref="A497:N497"/>
    <mergeCell ref="A498:G498"/>
    <mergeCell ref="I498:J498"/>
    <mergeCell ref="K498:L498"/>
    <mergeCell ref="M498:N498"/>
    <mergeCell ref="A499:G499"/>
    <mergeCell ref="I499:J499"/>
    <mergeCell ref="K499:L499"/>
    <mergeCell ref="M499:N499"/>
    <mergeCell ref="A500:G500"/>
    <mergeCell ref="I500:J500"/>
    <mergeCell ref="K500:L500"/>
    <mergeCell ref="M500:N500"/>
    <mergeCell ref="A501:G501"/>
    <mergeCell ref="I501:J501"/>
    <mergeCell ref="K501:L501"/>
    <mergeCell ref="M501:N501"/>
    <mergeCell ref="A485:G485"/>
    <mergeCell ref="I485:J485"/>
    <mergeCell ref="M485:N485"/>
    <mergeCell ref="A486:G486"/>
    <mergeCell ref="I486:J486"/>
    <mergeCell ref="M486:N486"/>
    <mergeCell ref="A483:G483"/>
    <mergeCell ref="I483:J483"/>
    <mergeCell ref="M483:N483"/>
    <mergeCell ref="A484:G484"/>
    <mergeCell ref="I484:J484"/>
    <mergeCell ref="M484:N484"/>
    <mergeCell ref="K504:L504"/>
    <mergeCell ref="M504:N504"/>
    <mergeCell ref="A506:N506"/>
    <mergeCell ref="A507:G507"/>
    <mergeCell ref="I507:J507"/>
    <mergeCell ref="K507:L507"/>
    <mergeCell ref="M507:N507"/>
    <mergeCell ref="A508:G508"/>
    <mergeCell ref="I508:J508"/>
    <mergeCell ref="K508:L508"/>
    <mergeCell ref="M508:N508"/>
    <mergeCell ref="A509:G509"/>
    <mergeCell ref="I509:J509"/>
    <mergeCell ref="K509:L509"/>
    <mergeCell ref="M509:N509"/>
    <mergeCell ref="A510:G510"/>
    <mergeCell ref="I510:J510"/>
    <mergeCell ref="K510:L510"/>
    <mergeCell ref="M510:N510"/>
    <mergeCell ref="A511:G511"/>
    <mergeCell ref="I511:J511"/>
    <mergeCell ref="K511:L511"/>
    <mergeCell ref="M511:N511"/>
    <mergeCell ref="A512:G512"/>
    <mergeCell ref="I512:J512"/>
    <mergeCell ref="K512:L512"/>
    <mergeCell ref="M512:N512"/>
    <mergeCell ref="K513:L513"/>
    <mergeCell ref="M513:N513"/>
    <mergeCell ref="A515:N515"/>
    <mergeCell ref="A516:G516"/>
    <mergeCell ref="I516:J516"/>
    <mergeCell ref="K516:L516"/>
    <mergeCell ref="M516:N516"/>
    <mergeCell ref="A517:G517"/>
    <mergeCell ref="I517:J517"/>
    <mergeCell ref="K517:L517"/>
    <mergeCell ref="M517:N517"/>
    <mergeCell ref="A518:G518"/>
    <mergeCell ref="I518:J518"/>
    <mergeCell ref="K518:L518"/>
    <mergeCell ref="M518:N518"/>
    <mergeCell ref="A519:G519"/>
    <mergeCell ref="I519:J519"/>
    <mergeCell ref="K519:L519"/>
    <mergeCell ref="M519:N519"/>
    <mergeCell ref="K520:L520"/>
    <mergeCell ref="M520:N520"/>
    <mergeCell ref="A522:N522"/>
    <mergeCell ref="A523:G523"/>
    <mergeCell ref="I523:J523"/>
    <mergeCell ref="M523:N523"/>
    <mergeCell ref="A524:G524"/>
    <mergeCell ref="I524:J524"/>
    <mergeCell ref="M524:N524"/>
    <mergeCell ref="I543:J543"/>
    <mergeCell ref="K543:L543"/>
    <mergeCell ref="M543:N543"/>
    <mergeCell ref="A525:G525"/>
    <mergeCell ref="I525:J525"/>
    <mergeCell ref="M525:N525"/>
    <mergeCell ref="A526:G526"/>
    <mergeCell ref="I526:J526"/>
    <mergeCell ref="M526:N526"/>
    <mergeCell ref="A527:G527"/>
    <mergeCell ref="I527:J527"/>
    <mergeCell ref="M527:N527"/>
    <mergeCell ref="A528:G528"/>
    <mergeCell ref="I528:J528"/>
    <mergeCell ref="M528:N528"/>
    <mergeCell ref="K529:L529"/>
    <mergeCell ref="M529:N529"/>
    <mergeCell ref="I530:N531"/>
    <mergeCell ref="I532:J532"/>
    <mergeCell ref="K532:N532"/>
    <mergeCell ref="A544:G544"/>
    <mergeCell ref="I544:J544"/>
    <mergeCell ref="K544:L544"/>
    <mergeCell ref="M544:N544"/>
    <mergeCell ref="A545:G545"/>
    <mergeCell ref="I545:J545"/>
    <mergeCell ref="K545:L545"/>
    <mergeCell ref="M545:N545"/>
    <mergeCell ref="K546:L546"/>
    <mergeCell ref="M546:N546"/>
    <mergeCell ref="A548:N548"/>
    <mergeCell ref="A549:G549"/>
    <mergeCell ref="I549:J549"/>
    <mergeCell ref="K549:L549"/>
    <mergeCell ref="M549:N549"/>
    <mergeCell ref="I533:J533"/>
    <mergeCell ref="K533:N533"/>
    <mergeCell ref="A534:N535"/>
    <mergeCell ref="A539:N539"/>
    <mergeCell ref="A540:G540"/>
    <mergeCell ref="I540:J540"/>
    <mergeCell ref="K540:L540"/>
    <mergeCell ref="M540:N540"/>
    <mergeCell ref="A541:G541"/>
    <mergeCell ref="I541:J541"/>
    <mergeCell ref="K541:L541"/>
    <mergeCell ref="M541:N541"/>
    <mergeCell ref="A542:G542"/>
    <mergeCell ref="I542:J542"/>
    <mergeCell ref="K542:L542"/>
    <mergeCell ref="M542:N542"/>
    <mergeCell ref="A543:G543"/>
    <mergeCell ref="A550:G550"/>
    <mergeCell ref="I550:J550"/>
    <mergeCell ref="K550:L550"/>
    <mergeCell ref="M550:N550"/>
    <mergeCell ref="A551:G551"/>
    <mergeCell ref="I551:J551"/>
    <mergeCell ref="K551:L551"/>
    <mergeCell ref="M551:N551"/>
    <mergeCell ref="A552:G552"/>
    <mergeCell ref="I552:J552"/>
    <mergeCell ref="K552:L552"/>
    <mergeCell ref="M552:N552"/>
    <mergeCell ref="A553:G553"/>
    <mergeCell ref="I553:J553"/>
    <mergeCell ref="K553:L553"/>
    <mergeCell ref="M553:N553"/>
    <mergeCell ref="K554:L554"/>
    <mergeCell ref="M554:N554"/>
    <mergeCell ref="A556:N556"/>
    <mergeCell ref="A557:G557"/>
    <mergeCell ref="I557:J557"/>
    <mergeCell ref="K557:L557"/>
    <mergeCell ref="M557:N557"/>
    <mergeCell ref="A558:G558"/>
    <mergeCell ref="I558:J558"/>
    <mergeCell ref="K558:L558"/>
    <mergeCell ref="M558:N558"/>
    <mergeCell ref="A559:G559"/>
    <mergeCell ref="I559:J559"/>
    <mergeCell ref="K559:L559"/>
    <mergeCell ref="M559:N559"/>
    <mergeCell ref="A560:G560"/>
    <mergeCell ref="I560:J560"/>
    <mergeCell ref="K560:L560"/>
    <mergeCell ref="M560:N560"/>
    <mergeCell ref="K561:L561"/>
    <mergeCell ref="M561:N561"/>
    <mergeCell ref="A563:N563"/>
    <mergeCell ref="A564:G564"/>
    <mergeCell ref="I564:J564"/>
    <mergeCell ref="M564:N564"/>
    <mergeCell ref="A565:G565"/>
    <mergeCell ref="I565:J565"/>
    <mergeCell ref="M565:N565"/>
    <mergeCell ref="A566:G566"/>
    <mergeCell ref="I566:J566"/>
    <mergeCell ref="M566:N566"/>
    <mergeCell ref="A567:G567"/>
    <mergeCell ref="I567:J567"/>
    <mergeCell ref="M567:N567"/>
    <mergeCell ref="A568:G568"/>
    <mergeCell ref="I568:J568"/>
    <mergeCell ref="M568:N568"/>
    <mergeCell ref="A569:G569"/>
    <mergeCell ref="I569:J569"/>
    <mergeCell ref="M569:N569"/>
    <mergeCell ref="K570:L570"/>
    <mergeCell ref="M570:N570"/>
    <mergeCell ref="I571:N572"/>
    <mergeCell ref="I573:J573"/>
    <mergeCell ref="K573:N573"/>
    <mergeCell ref="I574:J574"/>
    <mergeCell ref="K574:N574"/>
    <mergeCell ref="A592:G592"/>
    <mergeCell ref="A692:G692"/>
    <mergeCell ref="A693:G693"/>
    <mergeCell ref="A770:G770"/>
    <mergeCell ref="A785:G785"/>
    <mergeCell ref="A786:G786"/>
    <mergeCell ref="A818:G818"/>
    <mergeCell ref="A813:G813"/>
    <mergeCell ref="I813:J813"/>
    <mergeCell ref="K813:L813"/>
    <mergeCell ref="M813:N813"/>
    <mergeCell ref="A814:G814"/>
    <mergeCell ref="I814:J814"/>
    <mergeCell ref="K814:L814"/>
    <mergeCell ref="M814:N814"/>
    <mergeCell ref="A811:G811"/>
    <mergeCell ref="I811:J811"/>
    <mergeCell ref="K811:L811"/>
    <mergeCell ref="M811:N811"/>
    <mergeCell ref="A812:G812"/>
    <mergeCell ref="I812:J812"/>
    <mergeCell ref="K812:L812"/>
    <mergeCell ref="A995:N996"/>
    <mergeCell ref="A1000:N1000"/>
    <mergeCell ref="A1001:G1001"/>
    <mergeCell ref="I1001:J1001"/>
    <mergeCell ref="K1001:L1001"/>
    <mergeCell ref="M1001:N1001"/>
    <mergeCell ref="A1002:G1002"/>
    <mergeCell ref="I1002:J1002"/>
    <mergeCell ref="K1002:L1002"/>
    <mergeCell ref="M1002:N1002"/>
    <mergeCell ref="A1003:G1003"/>
    <mergeCell ref="I1003:J1003"/>
    <mergeCell ref="K1003:L1003"/>
    <mergeCell ref="M1003:N1003"/>
    <mergeCell ref="A1004:G1004"/>
    <mergeCell ref="K1004:L1004"/>
    <mergeCell ref="A1005:G1005"/>
    <mergeCell ref="K1005:L1005"/>
    <mergeCell ref="I1011:J1011"/>
    <mergeCell ref="A1012:G1012"/>
    <mergeCell ref="I1012:J1012"/>
    <mergeCell ref="K1012:L1012"/>
    <mergeCell ref="M1012:N1012"/>
    <mergeCell ref="A1013:G1013"/>
    <mergeCell ref="I1013:J1013"/>
    <mergeCell ref="K1013:L1013"/>
    <mergeCell ref="M1013:N1013"/>
    <mergeCell ref="A1018:N1018"/>
    <mergeCell ref="A1020:G1020"/>
    <mergeCell ref="I1020:J1020"/>
    <mergeCell ref="A1021:G1021"/>
    <mergeCell ref="I1021:J1021"/>
    <mergeCell ref="K1021:L1021"/>
    <mergeCell ref="M1021:N1021"/>
    <mergeCell ref="A1022:G1022"/>
    <mergeCell ref="I1022:J1022"/>
    <mergeCell ref="K1022:L1022"/>
    <mergeCell ref="M1022:N1022"/>
    <mergeCell ref="K1016:L1016"/>
    <mergeCell ref="M1016:N1016"/>
    <mergeCell ref="A1019:G1019"/>
    <mergeCell ref="I1019:J1019"/>
    <mergeCell ref="K1019:L1019"/>
    <mergeCell ref="M1019:N1019"/>
    <mergeCell ref="K1020:L1020"/>
    <mergeCell ref="M1020:N1020"/>
    <mergeCell ref="K1037:N1037"/>
    <mergeCell ref="I1038:J1038"/>
    <mergeCell ref="K1038:N1038"/>
    <mergeCell ref="A1039:N1040"/>
    <mergeCell ref="A1044:N1044"/>
    <mergeCell ref="A1045:G1045"/>
    <mergeCell ref="I1045:J1045"/>
    <mergeCell ref="K1045:L1045"/>
    <mergeCell ref="M1045:N1045"/>
    <mergeCell ref="A1046:G1046"/>
    <mergeCell ref="I1046:J1046"/>
    <mergeCell ref="K1046:L1046"/>
    <mergeCell ref="M1046:N1046"/>
    <mergeCell ref="A1047:G1047"/>
    <mergeCell ref="I1047:J1047"/>
    <mergeCell ref="K1047:L1047"/>
    <mergeCell ref="M1047:N1047"/>
    <mergeCell ref="A1048:G1048"/>
    <mergeCell ref="I1048:J1048"/>
    <mergeCell ref="K1048:L1048"/>
    <mergeCell ref="M1048:N1048"/>
    <mergeCell ref="A1049:G1049"/>
    <mergeCell ref="I1049:J1049"/>
    <mergeCell ref="K1049:L1049"/>
    <mergeCell ref="M1049:N1049"/>
    <mergeCell ref="A1050:G1050"/>
    <mergeCell ref="I1050:J1050"/>
    <mergeCell ref="K1050:L1050"/>
    <mergeCell ref="M1050:N1050"/>
    <mergeCell ref="K1051:L1051"/>
    <mergeCell ref="M1051:N1051"/>
    <mergeCell ref="A1053:N1053"/>
    <mergeCell ref="A1054:G1054"/>
    <mergeCell ref="I1054:J1054"/>
    <mergeCell ref="K1054:L1054"/>
    <mergeCell ref="M1054:N1054"/>
    <mergeCell ref="A1055:G1055"/>
    <mergeCell ref="I1055:J1055"/>
    <mergeCell ref="K1055:L1055"/>
    <mergeCell ref="M1055:N1055"/>
    <mergeCell ref="A1056:G1056"/>
    <mergeCell ref="I1056:J1056"/>
    <mergeCell ref="K1056:L1056"/>
    <mergeCell ref="M1056:N1056"/>
    <mergeCell ref="A1057:G1057"/>
    <mergeCell ref="I1057:J1057"/>
    <mergeCell ref="K1057:L1057"/>
    <mergeCell ref="M1057:N1057"/>
    <mergeCell ref="A1058:G1058"/>
    <mergeCell ref="I1058:J1058"/>
    <mergeCell ref="K1058:L1058"/>
    <mergeCell ref="M1058:N1058"/>
    <mergeCell ref="A1059:G1059"/>
    <mergeCell ref="I1059:J1059"/>
    <mergeCell ref="K1059:L1059"/>
    <mergeCell ref="M1059:N1059"/>
    <mergeCell ref="K1060:L1060"/>
    <mergeCell ref="M1060:N1060"/>
    <mergeCell ref="A1062:N1062"/>
    <mergeCell ref="A1063:G1063"/>
    <mergeCell ref="I1063:J1063"/>
    <mergeCell ref="K1063:L1063"/>
    <mergeCell ref="M1063:N1063"/>
    <mergeCell ref="A1064:G1064"/>
    <mergeCell ref="I1064:J1064"/>
    <mergeCell ref="K1064:L1064"/>
    <mergeCell ref="M1064:N1064"/>
    <mergeCell ref="A1065:G1065"/>
    <mergeCell ref="I1065:J1065"/>
    <mergeCell ref="K1065:L1065"/>
    <mergeCell ref="M1065:N1065"/>
    <mergeCell ref="A1066:G1066"/>
    <mergeCell ref="I1066:J1066"/>
    <mergeCell ref="K1066:L1066"/>
    <mergeCell ref="M1066:N1066"/>
    <mergeCell ref="A1067:G1067"/>
    <mergeCell ref="I1067:J1067"/>
    <mergeCell ref="K1067:L1067"/>
    <mergeCell ref="M1067:N1067"/>
    <mergeCell ref="A1068:G1068"/>
    <mergeCell ref="I1068:J1068"/>
    <mergeCell ref="K1068:L1068"/>
    <mergeCell ref="M1068:N1068"/>
    <mergeCell ref="K1069:L1069"/>
    <mergeCell ref="M1069:N1069"/>
    <mergeCell ref="A1071:N1071"/>
    <mergeCell ref="A1072:G1072"/>
    <mergeCell ref="I1072:J1072"/>
    <mergeCell ref="M1072:N1072"/>
    <mergeCell ref="A1073:G1073"/>
    <mergeCell ref="I1073:J1073"/>
    <mergeCell ref="M1073:N1073"/>
    <mergeCell ref="A1074:G1074"/>
    <mergeCell ref="I1074:J1074"/>
    <mergeCell ref="M1074:N1074"/>
    <mergeCell ref="A1075:G1075"/>
    <mergeCell ref="I1075:J1075"/>
    <mergeCell ref="M1075:N1075"/>
    <mergeCell ref="A1076:G1076"/>
    <mergeCell ref="I1076:J1076"/>
    <mergeCell ref="M1076:N1076"/>
    <mergeCell ref="A1077:G1077"/>
    <mergeCell ref="I1077:J1077"/>
    <mergeCell ref="M1077:N1077"/>
    <mergeCell ref="K1078:L1078"/>
    <mergeCell ref="M1078:N1078"/>
    <mergeCell ref="I1079:N1080"/>
    <mergeCell ref="I1081:J1081"/>
    <mergeCell ref="K1081:N1081"/>
    <mergeCell ref="I1082:J1082"/>
    <mergeCell ref="K1082:N1082"/>
    <mergeCell ref="A1083:N1084"/>
    <mergeCell ref="A1088:N1088"/>
    <mergeCell ref="A1089:G1089"/>
    <mergeCell ref="I1089:J1089"/>
    <mergeCell ref="K1089:L1089"/>
    <mergeCell ref="M1089:N1089"/>
    <mergeCell ref="A1090:G1090"/>
    <mergeCell ref="I1090:J1090"/>
    <mergeCell ref="K1090:L1090"/>
    <mergeCell ref="M1090:N1090"/>
    <mergeCell ref="A1091:G1091"/>
    <mergeCell ref="I1091:J1091"/>
    <mergeCell ref="K1091:L1091"/>
    <mergeCell ref="M1091:N1091"/>
    <mergeCell ref="A1092:G1092"/>
    <mergeCell ref="I1092:J1092"/>
    <mergeCell ref="K1092:L1092"/>
    <mergeCell ref="M1092:N1092"/>
    <mergeCell ref="A1093:G1093"/>
    <mergeCell ref="I1093:J1093"/>
    <mergeCell ref="K1093:L1093"/>
    <mergeCell ref="M1093:N1093"/>
    <mergeCell ref="A1094:G1094"/>
    <mergeCell ref="I1094:J1094"/>
    <mergeCell ref="K1094:L1094"/>
    <mergeCell ref="M1094:N1094"/>
    <mergeCell ref="K1095:L1095"/>
    <mergeCell ref="M1095:N1095"/>
    <mergeCell ref="A1097:N1097"/>
    <mergeCell ref="A1098:G1098"/>
    <mergeCell ref="I1098:J1098"/>
    <mergeCell ref="K1098:L1098"/>
    <mergeCell ref="M1098:N1098"/>
    <mergeCell ref="A1099:G1099"/>
    <mergeCell ref="I1099:J1099"/>
    <mergeCell ref="K1099:L1099"/>
    <mergeCell ref="M1099:N1099"/>
    <mergeCell ref="A1100:G1100"/>
    <mergeCell ref="I1100:J1100"/>
    <mergeCell ref="K1100:L1100"/>
    <mergeCell ref="M1100:N1100"/>
    <mergeCell ref="A1101:G1101"/>
    <mergeCell ref="I1101:J1101"/>
    <mergeCell ref="K1101:L1101"/>
    <mergeCell ref="M1101:N1101"/>
    <mergeCell ref="A1102:G1102"/>
    <mergeCell ref="I1102:J1102"/>
    <mergeCell ref="K1102:L1102"/>
    <mergeCell ref="M1102:N1102"/>
    <mergeCell ref="A1103:G1103"/>
    <mergeCell ref="I1103:J1103"/>
    <mergeCell ref="K1103:L1103"/>
    <mergeCell ref="M1103:N1103"/>
    <mergeCell ref="K1104:L1104"/>
    <mergeCell ref="M1104:N1104"/>
    <mergeCell ref="A1106:N1106"/>
    <mergeCell ref="A1107:G1107"/>
    <mergeCell ref="I1107:J1107"/>
    <mergeCell ref="K1107:L1107"/>
    <mergeCell ref="M1107:N1107"/>
    <mergeCell ref="A1108:G1108"/>
    <mergeCell ref="I1108:J1108"/>
    <mergeCell ref="K1108:L1108"/>
    <mergeCell ref="M1108:N1108"/>
    <mergeCell ref="A1109:G1109"/>
    <mergeCell ref="I1109:J1109"/>
    <mergeCell ref="K1109:L1109"/>
    <mergeCell ref="M1109:N1109"/>
    <mergeCell ref="A1110:G1110"/>
    <mergeCell ref="I1110:J1110"/>
    <mergeCell ref="K1110:L1110"/>
    <mergeCell ref="M1110:N1110"/>
    <mergeCell ref="A1111:G1111"/>
    <mergeCell ref="I1111:J1111"/>
    <mergeCell ref="K1111:L1111"/>
    <mergeCell ref="M1111:N1111"/>
    <mergeCell ref="A1112:G1112"/>
    <mergeCell ref="I1112:J1112"/>
    <mergeCell ref="K1112:L1112"/>
    <mergeCell ref="M1112:N1112"/>
    <mergeCell ref="K1113:L1113"/>
    <mergeCell ref="M1113:N1113"/>
    <mergeCell ref="A1115:N1115"/>
    <mergeCell ref="A1116:G1116"/>
    <mergeCell ref="I1116:J1116"/>
    <mergeCell ref="M1116:N1116"/>
    <mergeCell ref="A1117:G1117"/>
    <mergeCell ref="I1117:J1117"/>
    <mergeCell ref="M1117:N1117"/>
    <mergeCell ref="A1118:G1118"/>
    <mergeCell ref="I1118:J1118"/>
    <mergeCell ref="M1118:N1118"/>
    <mergeCell ref="A1119:G1119"/>
    <mergeCell ref="I1119:J1119"/>
    <mergeCell ref="M1119:N1119"/>
    <mergeCell ref="A1120:G1120"/>
    <mergeCell ref="I1120:J1120"/>
    <mergeCell ref="M1120:N1120"/>
    <mergeCell ref="A1121:G1121"/>
    <mergeCell ref="I1121:J1121"/>
    <mergeCell ref="M1121:N1121"/>
    <mergeCell ref="K1122:L1122"/>
    <mergeCell ref="M1122:N1122"/>
    <mergeCell ref="I1123:N1124"/>
    <mergeCell ref="I1125:J1125"/>
    <mergeCell ref="K1125:N1125"/>
    <mergeCell ref="I1126:J1126"/>
    <mergeCell ref="K1126:N1126"/>
    <mergeCell ref="A1127:N1128"/>
    <mergeCell ref="A1132:N1132"/>
    <mergeCell ref="A1133:G1133"/>
    <mergeCell ref="I1133:J1133"/>
    <mergeCell ref="K1133:L1133"/>
    <mergeCell ref="M1133:N1133"/>
    <mergeCell ref="A1134:G1134"/>
    <mergeCell ref="I1134:J1134"/>
    <mergeCell ref="K1134:L1134"/>
    <mergeCell ref="M1134:N1134"/>
    <mergeCell ref="A1135:G1135"/>
    <mergeCell ref="I1135:J1135"/>
    <mergeCell ref="K1135:L1135"/>
    <mergeCell ref="M1135:N1135"/>
    <mergeCell ref="A1136:G1136"/>
    <mergeCell ref="I1136:J1136"/>
    <mergeCell ref="K1136:L1136"/>
    <mergeCell ref="M1136:N1136"/>
    <mergeCell ref="A1137:G1137"/>
    <mergeCell ref="I1137:J1137"/>
    <mergeCell ref="K1137:L1137"/>
    <mergeCell ref="M1137:N1137"/>
    <mergeCell ref="A1138:G1138"/>
    <mergeCell ref="I1138:J1138"/>
    <mergeCell ref="K1138:L1138"/>
    <mergeCell ref="M1138:N1138"/>
    <mergeCell ref="K1139:L1139"/>
    <mergeCell ref="M1139:N1139"/>
    <mergeCell ref="A1141:N1141"/>
    <mergeCell ref="A1142:G1142"/>
    <mergeCell ref="I1142:J1142"/>
    <mergeCell ref="K1142:L1142"/>
    <mergeCell ref="M1142:N1142"/>
    <mergeCell ref="A1143:G1143"/>
    <mergeCell ref="I1143:J1143"/>
    <mergeCell ref="K1143:L1143"/>
    <mergeCell ref="M1143:N1143"/>
    <mergeCell ref="A1144:G1144"/>
    <mergeCell ref="I1144:J1144"/>
    <mergeCell ref="K1144:L1144"/>
    <mergeCell ref="M1144:N1144"/>
    <mergeCell ref="A1145:G1145"/>
    <mergeCell ref="I1145:J1145"/>
    <mergeCell ref="K1145:L1145"/>
    <mergeCell ref="M1145:N1145"/>
    <mergeCell ref="A1146:G1146"/>
    <mergeCell ref="I1146:J1146"/>
    <mergeCell ref="K1146:L1146"/>
    <mergeCell ref="M1146:N1146"/>
    <mergeCell ref="A1147:G1147"/>
    <mergeCell ref="I1147:J1147"/>
    <mergeCell ref="K1147:L1147"/>
    <mergeCell ref="M1147:N1147"/>
    <mergeCell ref="K1148:L1148"/>
    <mergeCell ref="M1148:N1148"/>
    <mergeCell ref="A1150:N1150"/>
    <mergeCell ref="A1151:G1151"/>
    <mergeCell ref="I1151:J1151"/>
    <mergeCell ref="K1151:L1151"/>
    <mergeCell ref="M1151:N1151"/>
    <mergeCell ref="A1152:G1152"/>
    <mergeCell ref="I1152:J1152"/>
    <mergeCell ref="K1152:L1152"/>
    <mergeCell ref="M1152:N1152"/>
    <mergeCell ref="A1153:G1153"/>
    <mergeCell ref="I1153:J1153"/>
    <mergeCell ref="K1153:L1153"/>
    <mergeCell ref="M1153:N1153"/>
    <mergeCell ref="A1154:G1154"/>
    <mergeCell ref="I1154:J1154"/>
    <mergeCell ref="K1154:L1154"/>
    <mergeCell ref="M1154:N1154"/>
    <mergeCell ref="A1155:G1155"/>
    <mergeCell ref="I1155:J1155"/>
    <mergeCell ref="K1155:L1155"/>
    <mergeCell ref="M1155:N1155"/>
    <mergeCell ref="A1156:G1156"/>
    <mergeCell ref="I1156:J1156"/>
    <mergeCell ref="K1156:L1156"/>
    <mergeCell ref="M1156:N1156"/>
    <mergeCell ref="K1157:L1157"/>
    <mergeCell ref="M1157:N1157"/>
    <mergeCell ref="A1159:N1159"/>
    <mergeCell ref="A1160:G1160"/>
    <mergeCell ref="I1160:J1160"/>
    <mergeCell ref="M1160:N1160"/>
    <mergeCell ref="A1161:G1161"/>
    <mergeCell ref="I1161:J1161"/>
    <mergeCell ref="M1161:N1161"/>
    <mergeCell ref="A1162:G1162"/>
    <mergeCell ref="I1162:J1162"/>
    <mergeCell ref="M1162:N1162"/>
    <mergeCell ref="A1163:G1163"/>
    <mergeCell ref="I1163:J1163"/>
    <mergeCell ref="M1163:N1163"/>
    <mergeCell ref="A1164:G1164"/>
    <mergeCell ref="I1164:J1164"/>
    <mergeCell ref="M1164:N1164"/>
    <mergeCell ref="A1165:G1165"/>
    <mergeCell ref="I1165:J1165"/>
    <mergeCell ref="M1165:N1165"/>
    <mergeCell ref="K1166:L1166"/>
    <mergeCell ref="M1166:N1166"/>
    <mergeCell ref="I1167:N1168"/>
    <mergeCell ref="I1169:J1169"/>
    <mergeCell ref="K1169:N1169"/>
    <mergeCell ref="I1170:J1170"/>
    <mergeCell ref="K1170:N1170"/>
    <mergeCell ref="A1171:N1172"/>
    <mergeCell ref="A1176:N1176"/>
    <mergeCell ref="A1177:G1177"/>
    <mergeCell ref="I1177:J1177"/>
    <mergeCell ref="K1177:L1177"/>
    <mergeCell ref="M1177:N1177"/>
    <mergeCell ref="A1178:G1178"/>
    <mergeCell ref="I1178:J1178"/>
    <mergeCell ref="K1178:L1178"/>
    <mergeCell ref="M1178:N1178"/>
    <mergeCell ref="A1179:G1179"/>
    <mergeCell ref="I1179:J1179"/>
    <mergeCell ref="K1179:L1179"/>
    <mergeCell ref="M1179:N1179"/>
    <mergeCell ref="A1180:G1180"/>
    <mergeCell ref="I1180:J1180"/>
    <mergeCell ref="K1180:L1180"/>
    <mergeCell ref="M1180:N1180"/>
    <mergeCell ref="A1181:G1181"/>
    <mergeCell ref="I1181:J1181"/>
    <mergeCell ref="K1181:L1181"/>
    <mergeCell ref="M1181:N1181"/>
    <mergeCell ref="A1182:G1182"/>
    <mergeCell ref="I1182:J1182"/>
    <mergeCell ref="K1182:L1182"/>
    <mergeCell ref="M1182:N1182"/>
    <mergeCell ref="K1183:L1183"/>
    <mergeCell ref="M1183:N1183"/>
    <mergeCell ref="A1185:N1185"/>
    <mergeCell ref="A1186:G1186"/>
    <mergeCell ref="I1186:J1186"/>
    <mergeCell ref="K1186:L1186"/>
    <mergeCell ref="M1186:N1186"/>
    <mergeCell ref="A1187:G1187"/>
    <mergeCell ref="I1187:J1187"/>
    <mergeCell ref="K1187:L1187"/>
    <mergeCell ref="M1187:N1187"/>
    <mergeCell ref="A1188:G1188"/>
    <mergeCell ref="I1188:J1188"/>
    <mergeCell ref="K1188:L1188"/>
    <mergeCell ref="M1188:N1188"/>
    <mergeCell ref="A1189:G1189"/>
    <mergeCell ref="I1189:J1189"/>
    <mergeCell ref="K1189:L1189"/>
    <mergeCell ref="M1189:N1189"/>
    <mergeCell ref="A1190:G1190"/>
    <mergeCell ref="I1190:J1190"/>
    <mergeCell ref="K1190:L1190"/>
    <mergeCell ref="M1190:N1190"/>
    <mergeCell ref="A1191:G1191"/>
    <mergeCell ref="I1191:J1191"/>
    <mergeCell ref="K1191:L1191"/>
    <mergeCell ref="M1191:N1191"/>
    <mergeCell ref="K1192:L1192"/>
    <mergeCell ref="M1192:N1192"/>
    <mergeCell ref="A1194:N1194"/>
    <mergeCell ref="A1195:G1195"/>
    <mergeCell ref="I1195:J1195"/>
    <mergeCell ref="K1195:L1195"/>
    <mergeCell ref="M1195:N1195"/>
    <mergeCell ref="A1196:G1196"/>
    <mergeCell ref="I1196:J1196"/>
    <mergeCell ref="K1196:L1196"/>
    <mergeCell ref="M1196:N1196"/>
    <mergeCell ref="A1197:G1197"/>
    <mergeCell ref="I1197:J1197"/>
    <mergeCell ref="K1197:L1197"/>
    <mergeCell ref="M1197:N1197"/>
    <mergeCell ref="A1198:G1198"/>
    <mergeCell ref="I1198:J1198"/>
    <mergeCell ref="K1198:L1198"/>
    <mergeCell ref="M1198:N1198"/>
    <mergeCell ref="A1199:G1199"/>
    <mergeCell ref="I1199:J1199"/>
    <mergeCell ref="K1199:L1199"/>
    <mergeCell ref="M1199:N1199"/>
    <mergeCell ref="A1200:G1200"/>
    <mergeCell ref="I1200:J1200"/>
    <mergeCell ref="K1200:L1200"/>
    <mergeCell ref="M1200:N1200"/>
    <mergeCell ref="K1201:L1201"/>
    <mergeCell ref="M1201:N1201"/>
    <mergeCell ref="A1203:N1203"/>
    <mergeCell ref="A1204:G1204"/>
    <mergeCell ref="I1204:J1204"/>
    <mergeCell ref="M1204:N1204"/>
    <mergeCell ref="A1205:G1205"/>
    <mergeCell ref="I1205:J1205"/>
    <mergeCell ref="M1205:N1205"/>
    <mergeCell ref="A1206:G1206"/>
    <mergeCell ref="I1206:J1206"/>
    <mergeCell ref="M1206:N1206"/>
    <mergeCell ref="A1207:G1207"/>
    <mergeCell ref="I1207:J1207"/>
    <mergeCell ref="M1207:N1207"/>
    <mergeCell ref="A1208:G1208"/>
    <mergeCell ref="I1208:J1208"/>
    <mergeCell ref="M1208:N1208"/>
    <mergeCell ref="A1209:G1209"/>
    <mergeCell ref="I1209:J1209"/>
    <mergeCell ref="M1209:N1209"/>
    <mergeCell ref="K1210:L1210"/>
    <mergeCell ref="M1210:N1210"/>
    <mergeCell ref="I1211:N1212"/>
    <mergeCell ref="I1213:J1213"/>
    <mergeCell ref="K1213:N1213"/>
    <mergeCell ref="I1214:J1214"/>
    <mergeCell ref="K1214:N1214"/>
    <mergeCell ref="A1215:N1216"/>
    <mergeCell ref="A1220:N1220"/>
    <mergeCell ref="A1221:G1221"/>
    <mergeCell ref="I1221:J1221"/>
    <mergeCell ref="K1221:L1221"/>
    <mergeCell ref="M1221:N1221"/>
    <mergeCell ref="A1222:G1222"/>
    <mergeCell ref="I1222:J1222"/>
    <mergeCell ref="K1222:L1222"/>
    <mergeCell ref="M1222:N1222"/>
    <mergeCell ref="A1223:G1223"/>
    <mergeCell ref="I1223:J1223"/>
    <mergeCell ref="K1223:L1223"/>
    <mergeCell ref="M1223:N1223"/>
    <mergeCell ref="A1224:G1224"/>
    <mergeCell ref="I1224:J1224"/>
    <mergeCell ref="K1224:L1224"/>
    <mergeCell ref="M1224:N1224"/>
    <mergeCell ref="A1225:G1225"/>
    <mergeCell ref="I1225:J1225"/>
    <mergeCell ref="K1225:L1225"/>
    <mergeCell ref="M1225:N1225"/>
    <mergeCell ref="A1226:G1226"/>
    <mergeCell ref="I1226:J1226"/>
    <mergeCell ref="K1226:L1226"/>
    <mergeCell ref="M1226:N1226"/>
    <mergeCell ref="K1232:L1232"/>
    <mergeCell ref="M1232:N1232"/>
    <mergeCell ref="A1234:N1234"/>
    <mergeCell ref="A1235:G1235"/>
    <mergeCell ref="I1235:J1235"/>
    <mergeCell ref="K1235:L1235"/>
    <mergeCell ref="M1235:N1235"/>
    <mergeCell ref="A1236:G1236"/>
    <mergeCell ref="I1236:J1236"/>
    <mergeCell ref="K1236:L1236"/>
    <mergeCell ref="M1236:N1236"/>
    <mergeCell ref="A1237:G1237"/>
    <mergeCell ref="I1237:J1237"/>
    <mergeCell ref="K1237:L1237"/>
    <mergeCell ref="M1237:N1237"/>
    <mergeCell ref="A1238:G1238"/>
    <mergeCell ref="I1238:J1238"/>
    <mergeCell ref="K1238:L1238"/>
    <mergeCell ref="M1238:N1238"/>
    <mergeCell ref="A1239:G1239"/>
    <mergeCell ref="I1239:J1239"/>
    <mergeCell ref="K1239:L1239"/>
    <mergeCell ref="M1239:N1239"/>
    <mergeCell ref="A1240:G1240"/>
    <mergeCell ref="I1240:J1240"/>
    <mergeCell ref="K1240:L1240"/>
    <mergeCell ref="M1240:N1240"/>
    <mergeCell ref="K1241:L1241"/>
    <mergeCell ref="M1241:N1241"/>
    <mergeCell ref="A1243:N1243"/>
    <mergeCell ref="A1244:G1244"/>
    <mergeCell ref="I1244:J1244"/>
    <mergeCell ref="K1244:L1244"/>
    <mergeCell ref="M1244:N1244"/>
    <mergeCell ref="A1245:G1245"/>
    <mergeCell ref="I1245:J1245"/>
    <mergeCell ref="K1245:L1245"/>
    <mergeCell ref="M1245:N1245"/>
    <mergeCell ref="A1246:G1246"/>
    <mergeCell ref="I1246:J1246"/>
    <mergeCell ref="K1246:L1246"/>
    <mergeCell ref="M1246:N1246"/>
    <mergeCell ref="A1247:G1247"/>
    <mergeCell ref="I1247:J1247"/>
    <mergeCell ref="K1247:L1247"/>
    <mergeCell ref="M1247:N1247"/>
    <mergeCell ref="I1258:J1258"/>
    <mergeCell ref="M1258:N1258"/>
    <mergeCell ref="K1259:L1259"/>
    <mergeCell ref="M1259:N1259"/>
    <mergeCell ref="I1260:N1261"/>
    <mergeCell ref="I1262:J1262"/>
    <mergeCell ref="K1262:N1262"/>
    <mergeCell ref="A1248:G1248"/>
    <mergeCell ref="I1248:J1248"/>
    <mergeCell ref="K1248:L1248"/>
    <mergeCell ref="M1248:N1248"/>
    <mergeCell ref="A1249:G1249"/>
    <mergeCell ref="I1249:J1249"/>
    <mergeCell ref="K1249:L1249"/>
    <mergeCell ref="M1249:N1249"/>
    <mergeCell ref="K1250:L1250"/>
    <mergeCell ref="M1250:N1250"/>
    <mergeCell ref="A1252:N1252"/>
    <mergeCell ref="A1253:G1253"/>
    <mergeCell ref="I1253:J1253"/>
    <mergeCell ref="M1253:N1253"/>
    <mergeCell ref="A1254:G1254"/>
    <mergeCell ref="I1254:J1254"/>
    <mergeCell ref="M1254:N1254"/>
    <mergeCell ref="I1263:J1263"/>
    <mergeCell ref="K1263:N1263"/>
    <mergeCell ref="A1227:G1227"/>
    <mergeCell ref="I1227:J1227"/>
    <mergeCell ref="K1227:L1227"/>
    <mergeCell ref="M1227:N1227"/>
    <mergeCell ref="A1228:G1228"/>
    <mergeCell ref="I1228:J1228"/>
    <mergeCell ref="K1228:L1228"/>
    <mergeCell ref="M1228:N1228"/>
    <mergeCell ref="A1229:G1229"/>
    <mergeCell ref="I1229:J1229"/>
    <mergeCell ref="K1229:L1229"/>
    <mergeCell ref="M1229:N1229"/>
    <mergeCell ref="A1230:G1230"/>
    <mergeCell ref="I1230:J1230"/>
    <mergeCell ref="K1230:L1230"/>
    <mergeCell ref="M1230:N1230"/>
    <mergeCell ref="A1231:G1231"/>
    <mergeCell ref="I1231:J1231"/>
    <mergeCell ref="K1231:L1231"/>
    <mergeCell ref="M1231:N1231"/>
    <mergeCell ref="A1255:G1255"/>
    <mergeCell ref="I1255:J1255"/>
    <mergeCell ref="M1255:N1255"/>
    <mergeCell ref="A1256:G1256"/>
    <mergeCell ref="I1256:J1256"/>
    <mergeCell ref="M1256:N1256"/>
    <mergeCell ref="A1257:G1257"/>
    <mergeCell ref="I1257:J1257"/>
    <mergeCell ref="M1257:N1257"/>
    <mergeCell ref="A1258:G1258"/>
    <mergeCell ref="A1803:N1804"/>
    <mergeCell ref="A1808:N1808"/>
    <mergeCell ref="A1809:G1809"/>
    <mergeCell ref="I1809:J1809"/>
    <mergeCell ref="K1809:L1809"/>
    <mergeCell ref="M1809:N1809"/>
    <mergeCell ref="A1810:G1810"/>
    <mergeCell ref="I1810:J1810"/>
    <mergeCell ref="K1810:L1810"/>
    <mergeCell ref="M1810:N1810"/>
    <mergeCell ref="A1811:G1811"/>
    <mergeCell ref="I1811:J1811"/>
    <mergeCell ref="K1811:L1811"/>
    <mergeCell ref="M1811:N1811"/>
    <mergeCell ref="A1812:G1812"/>
    <mergeCell ref="I1812:J1812"/>
    <mergeCell ref="K1812:L1812"/>
    <mergeCell ref="M1812:N1812"/>
    <mergeCell ref="A1813:G1813"/>
    <mergeCell ref="I1813:J1813"/>
    <mergeCell ref="K1813:L1813"/>
    <mergeCell ref="M1813:N1813"/>
    <mergeCell ref="A1814:G1814"/>
    <mergeCell ref="I1814:J1814"/>
    <mergeCell ref="K1814:L1814"/>
    <mergeCell ref="M1814:N1814"/>
    <mergeCell ref="A1815:G1815"/>
    <mergeCell ref="I1815:J1815"/>
    <mergeCell ref="K1815:L1815"/>
    <mergeCell ref="M1815:N1815"/>
    <mergeCell ref="A1816:G1816"/>
    <mergeCell ref="I1816:J1816"/>
    <mergeCell ref="K1816:L1816"/>
    <mergeCell ref="M1816:N1816"/>
    <mergeCell ref="A1817:G1817"/>
    <mergeCell ref="I1817:J1817"/>
    <mergeCell ref="K1817:L1817"/>
    <mergeCell ref="M1817:N1817"/>
    <mergeCell ref="A1818:G1818"/>
    <mergeCell ref="I1818:J1818"/>
    <mergeCell ref="K1818:L1818"/>
    <mergeCell ref="M1818:N1818"/>
    <mergeCell ref="A1819:G1819"/>
    <mergeCell ref="I1819:J1819"/>
    <mergeCell ref="K1819:L1819"/>
    <mergeCell ref="M1819:N1819"/>
    <mergeCell ref="K1820:L1820"/>
    <mergeCell ref="M1820:N1820"/>
    <mergeCell ref="A1822:N1822"/>
    <mergeCell ref="A1823:G1823"/>
    <mergeCell ref="I1823:J1823"/>
    <mergeCell ref="K1823:L1823"/>
    <mergeCell ref="M1823:N1823"/>
    <mergeCell ref="A1824:G1824"/>
    <mergeCell ref="I1824:J1824"/>
    <mergeCell ref="K1824:L1824"/>
    <mergeCell ref="M1824:N1824"/>
    <mergeCell ref="A1825:G1825"/>
    <mergeCell ref="I1825:J1825"/>
    <mergeCell ref="K1825:L1825"/>
    <mergeCell ref="M1825:N1825"/>
    <mergeCell ref="A1826:G1826"/>
    <mergeCell ref="I1826:J1826"/>
    <mergeCell ref="K1826:L1826"/>
    <mergeCell ref="M1826:N1826"/>
    <mergeCell ref="A1827:G1827"/>
    <mergeCell ref="I1827:J1827"/>
    <mergeCell ref="K1827:L1827"/>
    <mergeCell ref="M1827:N1827"/>
    <mergeCell ref="A1833:G1833"/>
    <mergeCell ref="I1833:J1833"/>
    <mergeCell ref="K1833:L1833"/>
    <mergeCell ref="M1833:N1833"/>
    <mergeCell ref="K1834:L1834"/>
    <mergeCell ref="M1834:N1834"/>
    <mergeCell ref="A1836:N1836"/>
    <mergeCell ref="A1837:G1837"/>
    <mergeCell ref="I1837:J1837"/>
    <mergeCell ref="K1837:L1837"/>
    <mergeCell ref="M1837:N1837"/>
    <mergeCell ref="A1838:G1838"/>
    <mergeCell ref="I1838:J1838"/>
    <mergeCell ref="K1838:L1838"/>
    <mergeCell ref="M1838:N1838"/>
    <mergeCell ref="A1839:G1839"/>
    <mergeCell ref="I1839:J1839"/>
    <mergeCell ref="K1839:L1839"/>
    <mergeCell ref="M1839:N1839"/>
    <mergeCell ref="A1840:G1840"/>
    <mergeCell ref="I1840:J1840"/>
    <mergeCell ref="K1840:L1840"/>
    <mergeCell ref="M1840:N1840"/>
    <mergeCell ref="I1851:J1851"/>
    <mergeCell ref="M1851:N1851"/>
    <mergeCell ref="K1852:L1852"/>
    <mergeCell ref="M1852:N1852"/>
    <mergeCell ref="I1853:N1854"/>
    <mergeCell ref="I1855:J1855"/>
    <mergeCell ref="K1855:N1855"/>
    <mergeCell ref="A1841:G1841"/>
    <mergeCell ref="I1841:J1841"/>
    <mergeCell ref="K1841:L1841"/>
    <mergeCell ref="M1841:N1841"/>
    <mergeCell ref="A1842:G1842"/>
    <mergeCell ref="I1842:J1842"/>
    <mergeCell ref="K1842:L1842"/>
    <mergeCell ref="M1842:N1842"/>
    <mergeCell ref="K1843:L1843"/>
    <mergeCell ref="M1843:N1843"/>
    <mergeCell ref="A1845:N1845"/>
    <mergeCell ref="A1846:G1846"/>
    <mergeCell ref="I1846:J1846"/>
    <mergeCell ref="M1846:N1846"/>
    <mergeCell ref="A1847:G1847"/>
    <mergeCell ref="I1847:J1847"/>
    <mergeCell ref="M1847:N1847"/>
    <mergeCell ref="I1856:J1856"/>
    <mergeCell ref="K1856:N1856"/>
    <mergeCell ref="A1828:G1828"/>
    <mergeCell ref="I1828:J1828"/>
    <mergeCell ref="K1828:L1828"/>
    <mergeCell ref="M1828:N1828"/>
    <mergeCell ref="A1829:G1829"/>
    <mergeCell ref="I1829:J1829"/>
    <mergeCell ref="K1829:L1829"/>
    <mergeCell ref="M1829:N1829"/>
    <mergeCell ref="A1830:G1830"/>
    <mergeCell ref="I1830:J1830"/>
    <mergeCell ref="K1830:L1830"/>
    <mergeCell ref="M1830:N1830"/>
    <mergeCell ref="A1831:G1831"/>
    <mergeCell ref="I1831:J1831"/>
    <mergeCell ref="K1831:L1831"/>
    <mergeCell ref="M1831:N1831"/>
    <mergeCell ref="A1832:G1832"/>
    <mergeCell ref="I1832:J1832"/>
    <mergeCell ref="K1832:L1832"/>
    <mergeCell ref="M1832:N1832"/>
    <mergeCell ref="A1848:G1848"/>
    <mergeCell ref="I1848:J1848"/>
    <mergeCell ref="M1848:N1848"/>
    <mergeCell ref="A1849:G1849"/>
    <mergeCell ref="I1849:J1849"/>
    <mergeCell ref="M1849:N1849"/>
    <mergeCell ref="A1850:G1850"/>
    <mergeCell ref="I1850:J1850"/>
    <mergeCell ref="M1850:N1850"/>
    <mergeCell ref="A1851:G1851"/>
    <mergeCell ref="A1857:N1858"/>
    <mergeCell ref="A1862:N1862"/>
    <mergeCell ref="A1863:G1863"/>
    <mergeCell ref="I1863:J1863"/>
    <mergeCell ref="K1863:L1863"/>
    <mergeCell ref="M1863:N1863"/>
    <mergeCell ref="A1864:G1864"/>
    <mergeCell ref="I1864:J1864"/>
    <mergeCell ref="K1864:L1864"/>
    <mergeCell ref="M1864:N1864"/>
    <mergeCell ref="A1865:G1865"/>
    <mergeCell ref="I1865:J1865"/>
    <mergeCell ref="K1865:L1865"/>
    <mergeCell ref="M1865:N1865"/>
    <mergeCell ref="A1866:G1866"/>
    <mergeCell ref="I1866:J1866"/>
    <mergeCell ref="K1866:L1866"/>
    <mergeCell ref="M1866:N1866"/>
    <mergeCell ref="A1867:G1867"/>
    <mergeCell ref="I1867:J1867"/>
    <mergeCell ref="K1867:L1867"/>
    <mergeCell ref="M1867:N1867"/>
    <mergeCell ref="A1868:G1868"/>
    <mergeCell ref="I1868:J1868"/>
    <mergeCell ref="K1868:L1868"/>
    <mergeCell ref="M1868:N1868"/>
    <mergeCell ref="A1869:G1869"/>
    <mergeCell ref="I1869:J1869"/>
    <mergeCell ref="K1869:L1869"/>
    <mergeCell ref="M1869:N1869"/>
    <mergeCell ref="A1870:G1870"/>
    <mergeCell ref="I1870:J1870"/>
    <mergeCell ref="K1870:L1870"/>
    <mergeCell ref="M1870:N1870"/>
    <mergeCell ref="A1871:G1871"/>
    <mergeCell ref="I1871:J1871"/>
    <mergeCell ref="K1871:L1871"/>
    <mergeCell ref="M1871:N1871"/>
    <mergeCell ref="A1872:G1872"/>
    <mergeCell ref="I1872:J1872"/>
    <mergeCell ref="K1872:L1872"/>
    <mergeCell ref="M1872:N1872"/>
    <mergeCell ref="A1873:G1873"/>
    <mergeCell ref="I1873:J1873"/>
    <mergeCell ref="K1873:L1873"/>
    <mergeCell ref="M1873:N1873"/>
    <mergeCell ref="K1874:L1874"/>
    <mergeCell ref="M1874:N1874"/>
    <mergeCell ref="A1876:N1876"/>
    <mergeCell ref="A1877:G1877"/>
    <mergeCell ref="I1877:J1877"/>
    <mergeCell ref="K1877:L1877"/>
    <mergeCell ref="M1877:N1877"/>
    <mergeCell ref="A1878:G1878"/>
    <mergeCell ref="I1878:J1878"/>
    <mergeCell ref="K1878:L1878"/>
    <mergeCell ref="M1878:N1878"/>
    <mergeCell ref="A1879:G1879"/>
    <mergeCell ref="I1879:J1879"/>
    <mergeCell ref="K1879:L1879"/>
    <mergeCell ref="M1879:N1879"/>
    <mergeCell ref="A1880:G1880"/>
    <mergeCell ref="I1880:J1880"/>
    <mergeCell ref="K1880:L1880"/>
    <mergeCell ref="M1880:N1880"/>
    <mergeCell ref="A1881:G1881"/>
    <mergeCell ref="I1881:J1881"/>
    <mergeCell ref="K1881:L1881"/>
    <mergeCell ref="M1881:N1881"/>
    <mergeCell ref="A1882:G1882"/>
    <mergeCell ref="I1882:J1882"/>
    <mergeCell ref="K1882:L1882"/>
    <mergeCell ref="M1882:N1882"/>
    <mergeCell ref="A1883:G1883"/>
    <mergeCell ref="I1883:J1883"/>
    <mergeCell ref="K1883:L1883"/>
    <mergeCell ref="M1883:N1883"/>
    <mergeCell ref="A1884:G1884"/>
    <mergeCell ref="I1884:J1884"/>
    <mergeCell ref="K1884:L1884"/>
    <mergeCell ref="M1884:N1884"/>
    <mergeCell ref="A1885:G1885"/>
    <mergeCell ref="I1885:J1885"/>
    <mergeCell ref="K1885:L1885"/>
    <mergeCell ref="M1885:N1885"/>
    <mergeCell ref="A1886:G1886"/>
    <mergeCell ref="I1886:J1886"/>
    <mergeCell ref="K1886:L1886"/>
    <mergeCell ref="M1886:N1886"/>
    <mergeCell ref="A1887:G1887"/>
    <mergeCell ref="I1887:J1887"/>
    <mergeCell ref="K1887:L1887"/>
    <mergeCell ref="M1887:N1887"/>
    <mergeCell ref="K1888:L1888"/>
    <mergeCell ref="M1888:N1888"/>
    <mergeCell ref="A1890:N1890"/>
    <mergeCell ref="A1891:G1891"/>
    <mergeCell ref="I1891:J1891"/>
    <mergeCell ref="K1891:L1891"/>
    <mergeCell ref="M1891:N1891"/>
    <mergeCell ref="A1892:G1892"/>
    <mergeCell ref="I1892:J1892"/>
    <mergeCell ref="K1892:L1892"/>
    <mergeCell ref="M1892:N1892"/>
    <mergeCell ref="A1893:G1893"/>
    <mergeCell ref="I1893:J1893"/>
    <mergeCell ref="K1893:L1893"/>
    <mergeCell ref="M1893:N1893"/>
    <mergeCell ref="A1894:G1894"/>
    <mergeCell ref="I1894:J1894"/>
    <mergeCell ref="K1894:L1894"/>
    <mergeCell ref="M1894:N1894"/>
    <mergeCell ref="A1895:G1895"/>
    <mergeCell ref="I1895:J1895"/>
    <mergeCell ref="K1895:L1895"/>
    <mergeCell ref="M1895:N1895"/>
    <mergeCell ref="A1896:G1896"/>
    <mergeCell ref="I1896:J1896"/>
    <mergeCell ref="K1896:L1896"/>
    <mergeCell ref="M1896:N1896"/>
    <mergeCell ref="K1897:L1897"/>
    <mergeCell ref="M1897:N1897"/>
    <mergeCell ref="A1899:N1899"/>
    <mergeCell ref="A1900:G1900"/>
    <mergeCell ref="I1900:J1900"/>
    <mergeCell ref="M1900:N1900"/>
    <mergeCell ref="A1901:G1901"/>
    <mergeCell ref="I1901:J1901"/>
    <mergeCell ref="M1901:N1901"/>
    <mergeCell ref="A1902:G1902"/>
    <mergeCell ref="I1902:J1902"/>
    <mergeCell ref="M1902:N1902"/>
    <mergeCell ref="A1903:G1903"/>
    <mergeCell ref="I1903:J1903"/>
    <mergeCell ref="M1903:N1903"/>
    <mergeCell ref="A1904:G1904"/>
    <mergeCell ref="I1904:J1904"/>
    <mergeCell ref="M1904:N1904"/>
    <mergeCell ref="A1905:G1905"/>
    <mergeCell ref="I1905:J1905"/>
    <mergeCell ref="M1905:N1905"/>
    <mergeCell ref="K1906:L1906"/>
    <mergeCell ref="M1906:N1906"/>
    <mergeCell ref="I1907:N1908"/>
    <mergeCell ref="I1909:J1909"/>
    <mergeCell ref="K1909:N1909"/>
    <mergeCell ref="I1910:J1910"/>
    <mergeCell ref="K1910:N1910"/>
    <mergeCell ref="A1911:N1912"/>
    <mergeCell ref="A1916:N1916"/>
    <mergeCell ref="A1917:G1917"/>
    <mergeCell ref="I1917:J1917"/>
    <mergeCell ref="K1917:L1917"/>
    <mergeCell ref="M1917:N1917"/>
    <mergeCell ref="A1918:G1918"/>
    <mergeCell ref="I1918:J1918"/>
    <mergeCell ref="K1918:L1918"/>
    <mergeCell ref="M1918:N1918"/>
    <mergeCell ref="A1919:G1919"/>
    <mergeCell ref="I1919:J1919"/>
    <mergeCell ref="K1919:L1919"/>
    <mergeCell ref="M1919:N1919"/>
    <mergeCell ref="A1920:G1920"/>
    <mergeCell ref="I1920:J1920"/>
    <mergeCell ref="K1920:L1920"/>
    <mergeCell ref="M1920:N1920"/>
    <mergeCell ref="A1921:G1921"/>
    <mergeCell ref="I1921:J1921"/>
    <mergeCell ref="K1921:L1921"/>
    <mergeCell ref="M1921:N1921"/>
    <mergeCell ref="A1922:G1922"/>
    <mergeCell ref="I1922:J1922"/>
    <mergeCell ref="K1922:L1922"/>
    <mergeCell ref="M1922:N1922"/>
    <mergeCell ref="A1923:G1923"/>
    <mergeCell ref="I1923:J1923"/>
    <mergeCell ref="K1923:L1923"/>
    <mergeCell ref="M1923:N1923"/>
    <mergeCell ref="A1924:G1924"/>
    <mergeCell ref="I1924:J1924"/>
    <mergeCell ref="K1924:L1924"/>
    <mergeCell ref="M1924:N1924"/>
    <mergeCell ref="A1925:G1925"/>
    <mergeCell ref="I1925:J1925"/>
    <mergeCell ref="K1925:L1925"/>
    <mergeCell ref="M1925:N1925"/>
    <mergeCell ref="A1926:G1926"/>
    <mergeCell ref="I1926:J1926"/>
    <mergeCell ref="K1926:L1926"/>
    <mergeCell ref="M1926:N1926"/>
    <mergeCell ref="A1927:G1927"/>
    <mergeCell ref="I1927:J1927"/>
    <mergeCell ref="K1927:L1927"/>
    <mergeCell ref="M1927:N1927"/>
    <mergeCell ref="K1928:L1928"/>
    <mergeCell ref="M1928:N1928"/>
    <mergeCell ref="A1930:N1930"/>
    <mergeCell ref="A1931:G1931"/>
    <mergeCell ref="I1931:J1931"/>
    <mergeCell ref="K1931:L1931"/>
    <mergeCell ref="M1931:N1931"/>
    <mergeCell ref="A1932:G1932"/>
    <mergeCell ref="I1932:J1932"/>
    <mergeCell ref="K1932:L1932"/>
    <mergeCell ref="M1932:N1932"/>
    <mergeCell ref="A1933:G1933"/>
    <mergeCell ref="I1933:J1933"/>
    <mergeCell ref="K1933:L1933"/>
    <mergeCell ref="M1933:N1933"/>
    <mergeCell ref="A1934:G1934"/>
    <mergeCell ref="I1934:J1934"/>
    <mergeCell ref="K1934:L1934"/>
    <mergeCell ref="M1934:N1934"/>
    <mergeCell ref="A1935:G1935"/>
    <mergeCell ref="I1935:J1935"/>
    <mergeCell ref="K1935:L1935"/>
    <mergeCell ref="M1935:N1935"/>
    <mergeCell ref="A1936:G1936"/>
    <mergeCell ref="I1936:J1936"/>
    <mergeCell ref="K1936:L1936"/>
    <mergeCell ref="M1936:N1936"/>
    <mergeCell ref="A1937:G1937"/>
    <mergeCell ref="I1937:J1937"/>
    <mergeCell ref="K1937:L1937"/>
    <mergeCell ref="M1937:N1937"/>
    <mergeCell ref="A1938:G1938"/>
    <mergeCell ref="I1938:J1938"/>
    <mergeCell ref="K1938:L1938"/>
    <mergeCell ref="M1938:N1938"/>
    <mergeCell ref="A1939:G1939"/>
    <mergeCell ref="I1939:J1939"/>
    <mergeCell ref="K1939:L1939"/>
    <mergeCell ref="M1939:N1939"/>
    <mergeCell ref="A1940:G1940"/>
    <mergeCell ref="I1940:J1940"/>
    <mergeCell ref="K1940:L1940"/>
    <mergeCell ref="M1940:N1940"/>
    <mergeCell ref="A1941:G1941"/>
    <mergeCell ref="I1941:J1941"/>
    <mergeCell ref="K1941:L1941"/>
    <mergeCell ref="M1941:N1941"/>
    <mergeCell ref="K1942:L1942"/>
    <mergeCell ref="M1942:N1942"/>
    <mergeCell ref="A1944:N1944"/>
    <mergeCell ref="A1945:G1945"/>
    <mergeCell ref="I1945:J1945"/>
    <mergeCell ref="K1945:L1945"/>
    <mergeCell ref="M1945:N1945"/>
    <mergeCell ref="A1946:G1946"/>
    <mergeCell ref="I1946:J1946"/>
    <mergeCell ref="K1946:L1946"/>
    <mergeCell ref="M1946:N1946"/>
    <mergeCell ref="A1947:G1947"/>
    <mergeCell ref="I1947:J1947"/>
    <mergeCell ref="K1947:L1947"/>
    <mergeCell ref="M1947:N1947"/>
    <mergeCell ref="A1948:G1948"/>
    <mergeCell ref="I1948:J1948"/>
    <mergeCell ref="K1948:L1948"/>
    <mergeCell ref="M1948:N1948"/>
    <mergeCell ref="A1949:G1949"/>
    <mergeCell ref="I1949:J1949"/>
    <mergeCell ref="K1949:L1949"/>
    <mergeCell ref="M1949:N1949"/>
    <mergeCell ref="A1950:G1950"/>
    <mergeCell ref="I1950:J1950"/>
    <mergeCell ref="K1950:L1950"/>
    <mergeCell ref="M1950:N1950"/>
    <mergeCell ref="K1951:L1951"/>
    <mergeCell ref="M1951:N1951"/>
    <mergeCell ref="A1953:N1953"/>
    <mergeCell ref="A1954:G1954"/>
    <mergeCell ref="I1954:J1954"/>
    <mergeCell ref="M1954:N1954"/>
    <mergeCell ref="A1955:G1955"/>
    <mergeCell ref="I1955:J1955"/>
    <mergeCell ref="M1955:N1955"/>
    <mergeCell ref="I1964:J1964"/>
    <mergeCell ref="K1964:N1964"/>
    <mergeCell ref="A1956:G1956"/>
    <mergeCell ref="I1956:J1956"/>
    <mergeCell ref="M1956:N1956"/>
    <mergeCell ref="A1957:G1957"/>
    <mergeCell ref="I1957:J1957"/>
    <mergeCell ref="M1957:N1957"/>
    <mergeCell ref="A1958:G1958"/>
    <mergeCell ref="I1958:J1958"/>
    <mergeCell ref="M1958:N1958"/>
    <mergeCell ref="A1959:G1959"/>
    <mergeCell ref="I1959:J1959"/>
    <mergeCell ref="M1959:N1959"/>
    <mergeCell ref="K1960:L1960"/>
    <mergeCell ref="M1960:N1960"/>
    <mergeCell ref="I1961:N1962"/>
    <mergeCell ref="I1963:J1963"/>
    <mergeCell ref="K1963:N1963"/>
    <mergeCell ref="I2497:J2497"/>
    <mergeCell ref="K2497:L2497"/>
    <mergeCell ref="M2497:N2497"/>
    <mergeCell ref="A2483:N2484"/>
    <mergeCell ref="A2488:N2488"/>
    <mergeCell ref="A2489:G2489"/>
    <mergeCell ref="I2489:J2489"/>
    <mergeCell ref="K2489:L2489"/>
    <mergeCell ref="M2489:N2489"/>
    <mergeCell ref="A2490:G2490"/>
    <mergeCell ref="I2490:J2490"/>
    <mergeCell ref="K2490:L2490"/>
    <mergeCell ref="M2490:N2490"/>
    <mergeCell ref="A2491:G2491"/>
    <mergeCell ref="I2491:J2491"/>
    <mergeCell ref="K2491:L2491"/>
    <mergeCell ref="M2491:N2491"/>
    <mergeCell ref="A2492:G2492"/>
    <mergeCell ref="I2492:J2492"/>
    <mergeCell ref="K2492:L2492"/>
    <mergeCell ref="M2492:N2492"/>
    <mergeCell ref="A2502:N2502"/>
    <mergeCell ref="A2504:G2504"/>
    <mergeCell ref="I2504:J2504"/>
    <mergeCell ref="A2505:G2505"/>
    <mergeCell ref="I2505:J2505"/>
    <mergeCell ref="K2505:L2505"/>
    <mergeCell ref="M2505:N2505"/>
    <mergeCell ref="A2493:G2493"/>
    <mergeCell ref="I2493:J2493"/>
    <mergeCell ref="K2493:L2493"/>
    <mergeCell ref="M2493:N2493"/>
    <mergeCell ref="A2494:G2494"/>
    <mergeCell ref="I2494:J2494"/>
    <mergeCell ref="K2494:L2494"/>
    <mergeCell ref="M2494:N2494"/>
    <mergeCell ref="K2495:L2495"/>
    <mergeCell ref="M2495:N2495"/>
    <mergeCell ref="A2498:G2498"/>
    <mergeCell ref="I2498:J2498"/>
    <mergeCell ref="K2498:L2498"/>
    <mergeCell ref="M2498:N2498"/>
    <mergeCell ref="A2499:G2499"/>
    <mergeCell ref="I2499:J2499"/>
    <mergeCell ref="K2499:L2499"/>
    <mergeCell ref="M2499:N2499"/>
    <mergeCell ref="A2495:G2495"/>
    <mergeCell ref="I2495:J2495"/>
    <mergeCell ref="A2496:G2496"/>
    <mergeCell ref="I2496:J2496"/>
    <mergeCell ref="K2496:L2496"/>
    <mergeCell ref="M2496:N2496"/>
    <mergeCell ref="A2497:G2497"/>
    <mergeCell ref="M2508:N2508"/>
    <mergeCell ref="I2509:J2509"/>
    <mergeCell ref="K2509:L2509"/>
    <mergeCell ref="M2509:N2509"/>
    <mergeCell ref="I2510:J2510"/>
    <mergeCell ref="K2510:L2510"/>
    <mergeCell ref="M2510:N2510"/>
    <mergeCell ref="A2511:G2511"/>
    <mergeCell ref="I2511:J2511"/>
    <mergeCell ref="K2511:L2511"/>
    <mergeCell ref="M2511:N2511"/>
    <mergeCell ref="K2506:L2506"/>
    <mergeCell ref="M2506:N2506"/>
    <mergeCell ref="A2509:G2509"/>
    <mergeCell ref="A2510:G2510"/>
    <mergeCell ref="K2500:L2500"/>
    <mergeCell ref="M2500:N2500"/>
    <mergeCell ref="A2503:G2503"/>
    <mergeCell ref="I2503:J2503"/>
    <mergeCell ref="K2503:L2503"/>
    <mergeCell ref="M2503:N2503"/>
    <mergeCell ref="K2504:L2504"/>
    <mergeCell ref="M2504:N2504"/>
    <mergeCell ref="A2506:G2506"/>
    <mergeCell ref="I2506:J2506"/>
    <mergeCell ref="A2507:G2507"/>
    <mergeCell ref="I2507:J2507"/>
    <mergeCell ref="K2507:L2507"/>
    <mergeCell ref="M2507:N2507"/>
    <mergeCell ref="A2508:G2508"/>
    <mergeCell ref="I2508:J2508"/>
    <mergeCell ref="K2508:L2508"/>
    <mergeCell ref="A2512:G2512"/>
    <mergeCell ref="I2512:J2512"/>
    <mergeCell ref="K2512:L2512"/>
    <mergeCell ref="M2512:N2512"/>
    <mergeCell ref="K2513:L2513"/>
    <mergeCell ref="M2513:N2513"/>
    <mergeCell ref="A2517:G2517"/>
    <mergeCell ref="I2517:J2517"/>
    <mergeCell ref="M2517:N2517"/>
    <mergeCell ref="A2518:G2518"/>
    <mergeCell ref="I2518:J2518"/>
    <mergeCell ref="M2518:N2518"/>
    <mergeCell ref="A2519:G2519"/>
    <mergeCell ref="I2519:J2519"/>
    <mergeCell ref="M2519:N2519"/>
    <mergeCell ref="A2513:G2513"/>
    <mergeCell ref="I2513:J2513"/>
    <mergeCell ref="K2514:L2514"/>
    <mergeCell ref="M2514:N2514"/>
    <mergeCell ref="A2516:N2516"/>
    <mergeCell ref="K2517:L2517"/>
    <mergeCell ref="K2518:L2518"/>
    <mergeCell ref="K2519:L2519"/>
    <mergeCell ref="A2528:G2528"/>
    <mergeCell ref="I2528:J2528"/>
    <mergeCell ref="M2528:N2528"/>
    <mergeCell ref="A2529:G2529"/>
    <mergeCell ref="I2529:J2529"/>
    <mergeCell ref="M2529:N2529"/>
    <mergeCell ref="A2520:G2520"/>
    <mergeCell ref="I2520:J2520"/>
    <mergeCell ref="M2520:N2520"/>
    <mergeCell ref="A2521:G2521"/>
    <mergeCell ref="I2521:J2521"/>
    <mergeCell ref="M2521:N2521"/>
    <mergeCell ref="K2522:L2522"/>
    <mergeCell ref="M2522:N2522"/>
    <mergeCell ref="I2526:J2526"/>
    <mergeCell ref="A2530:G2530"/>
    <mergeCell ref="I2530:J2530"/>
    <mergeCell ref="M2530:N2530"/>
    <mergeCell ref="K2520:L2520"/>
    <mergeCell ref="K2521:L2521"/>
    <mergeCell ref="A2522:G2522"/>
    <mergeCell ref="I2522:J2522"/>
    <mergeCell ref="K2523:L2523"/>
    <mergeCell ref="M2523:N2523"/>
    <mergeCell ref="A2525:N2525"/>
    <mergeCell ref="A2526:G2526"/>
    <mergeCell ref="M2526:N2526"/>
    <mergeCell ref="A2527:G2527"/>
    <mergeCell ref="I2527:J2527"/>
    <mergeCell ref="M2527:N2527"/>
    <mergeCell ref="A2531:G2531"/>
    <mergeCell ref="I2531:J2531"/>
    <mergeCell ref="M2531:N2531"/>
    <mergeCell ref="K2532:L2532"/>
    <mergeCell ref="M2532:N2532"/>
    <mergeCell ref="I2533:N2534"/>
    <mergeCell ref="I2535:J2535"/>
    <mergeCell ref="K2535:N2535"/>
    <mergeCell ref="I2536:J2536"/>
    <mergeCell ref="K2536:N2536"/>
    <mergeCell ref="A2538:N2539"/>
    <mergeCell ref="A2543:N2543"/>
    <mergeCell ref="A2544:G2544"/>
    <mergeCell ref="I2544:J2544"/>
    <mergeCell ref="K2544:L2544"/>
    <mergeCell ref="M2544:N2544"/>
    <mergeCell ref="A2545:G2545"/>
    <mergeCell ref="I2545:J2545"/>
    <mergeCell ref="K2545:L2545"/>
    <mergeCell ref="M2545:N2545"/>
    <mergeCell ref="A2546:G2546"/>
    <mergeCell ref="I2546:J2546"/>
    <mergeCell ref="K2546:L2546"/>
    <mergeCell ref="M2546:N2546"/>
    <mergeCell ref="A2547:G2547"/>
    <mergeCell ref="I2547:J2547"/>
    <mergeCell ref="K2547:L2547"/>
    <mergeCell ref="M2547:N2547"/>
    <mergeCell ref="A2548:G2548"/>
    <mergeCell ref="I2548:J2548"/>
    <mergeCell ref="K2548:L2548"/>
    <mergeCell ref="M2548:N2548"/>
    <mergeCell ref="A2549:G2549"/>
    <mergeCell ref="I2549:J2549"/>
    <mergeCell ref="K2549:L2549"/>
    <mergeCell ref="M2549:N2549"/>
    <mergeCell ref="A2550:G2550"/>
    <mergeCell ref="I2550:J2550"/>
    <mergeCell ref="K2550:L2550"/>
    <mergeCell ref="M2550:N2550"/>
    <mergeCell ref="A2551:G2551"/>
    <mergeCell ref="I2551:J2551"/>
    <mergeCell ref="K2551:L2551"/>
    <mergeCell ref="M2551:N2551"/>
    <mergeCell ref="A2552:G2552"/>
    <mergeCell ref="I2552:J2552"/>
    <mergeCell ref="K2552:L2552"/>
    <mergeCell ref="M2552:N2552"/>
    <mergeCell ref="A2553:G2553"/>
    <mergeCell ref="I2553:J2553"/>
    <mergeCell ref="K2553:L2553"/>
    <mergeCell ref="M2553:N2553"/>
    <mergeCell ref="A2554:G2554"/>
    <mergeCell ref="I2554:J2554"/>
    <mergeCell ref="K2554:L2554"/>
    <mergeCell ref="M2554:N2554"/>
    <mergeCell ref="K2555:L2555"/>
    <mergeCell ref="M2555:N2555"/>
    <mergeCell ref="A2557:N2557"/>
    <mergeCell ref="A2558:G2558"/>
    <mergeCell ref="I2558:J2558"/>
    <mergeCell ref="K2558:L2558"/>
    <mergeCell ref="M2558:N2558"/>
    <mergeCell ref="A2559:G2559"/>
    <mergeCell ref="I2559:J2559"/>
    <mergeCell ref="K2559:L2559"/>
    <mergeCell ref="M2559:N2559"/>
    <mergeCell ref="A2560:G2560"/>
    <mergeCell ref="I2560:J2560"/>
    <mergeCell ref="K2560:L2560"/>
    <mergeCell ref="M2560:N2560"/>
    <mergeCell ref="A2561:G2561"/>
    <mergeCell ref="I2561:J2561"/>
    <mergeCell ref="K2561:L2561"/>
    <mergeCell ref="M2561:N2561"/>
    <mergeCell ref="A2562:G2562"/>
    <mergeCell ref="I2562:J2562"/>
    <mergeCell ref="K2562:L2562"/>
    <mergeCell ref="M2562:N2562"/>
    <mergeCell ref="A2563:G2563"/>
    <mergeCell ref="I2563:J2563"/>
    <mergeCell ref="K2563:L2563"/>
    <mergeCell ref="M2563:N2563"/>
    <mergeCell ref="A2564:G2564"/>
    <mergeCell ref="I2564:J2564"/>
    <mergeCell ref="K2564:L2564"/>
    <mergeCell ref="M2564:N2564"/>
    <mergeCell ref="A2565:G2565"/>
    <mergeCell ref="I2565:J2565"/>
    <mergeCell ref="K2565:L2565"/>
    <mergeCell ref="M2565:N2565"/>
    <mergeCell ref="A2566:G2566"/>
    <mergeCell ref="I2566:J2566"/>
    <mergeCell ref="K2566:L2566"/>
    <mergeCell ref="M2566:N2566"/>
    <mergeCell ref="A2567:G2567"/>
    <mergeCell ref="I2567:J2567"/>
    <mergeCell ref="K2567:L2567"/>
    <mergeCell ref="M2567:N2567"/>
    <mergeCell ref="A2568:G2568"/>
    <mergeCell ref="I2568:J2568"/>
    <mergeCell ref="K2568:L2568"/>
    <mergeCell ref="M2568:N2568"/>
    <mergeCell ref="K2569:L2569"/>
    <mergeCell ref="M2569:N2569"/>
    <mergeCell ref="A2571:N2571"/>
    <mergeCell ref="A2572:G2572"/>
    <mergeCell ref="I2572:J2572"/>
    <mergeCell ref="K2572:L2572"/>
    <mergeCell ref="M2572:N2572"/>
    <mergeCell ref="A2573:G2573"/>
    <mergeCell ref="I2573:J2573"/>
    <mergeCell ref="K2573:L2573"/>
    <mergeCell ref="M2573:N2573"/>
    <mergeCell ref="A2574:G2574"/>
    <mergeCell ref="I2574:J2574"/>
    <mergeCell ref="K2574:L2574"/>
    <mergeCell ref="M2574:N2574"/>
    <mergeCell ref="A2575:G2575"/>
    <mergeCell ref="I2575:J2575"/>
    <mergeCell ref="K2575:L2575"/>
    <mergeCell ref="M2575:N2575"/>
    <mergeCell ref="A2576:G2576"/>
    <mergeCell ref="I2576:J2576"/>
    <mergeCell ref="K2576:L2576"/>
    <mergeCell ref="M2576:N2576"/>
    <mergeCell ref="A2577:G2577"/>
    <mergeCell ref="I2577:J2577"/>
    <mergeCell ref="K2577:L2577"/>
    <mergeCell ref="M2577:N2577"/>
    <mergeCell ref="K2578:L2578"/>
    <mergeCell ref="M2578:N2578"/>
    <mergeCell ref="K2587:L2587"/>
    <mergeCell ref="M2587:N2587"/>
    <mergeCell ref="I2588:N2589"/>
    <mergeCell ref="I2590:J2590"/>
    <mergeCell ref="K2590:N2590"/>
    <mergeCell ref="I2591:J2591"/>
    <mergeCell ref="K2591:N2591"/>
    <mergeCell ref="A2593:N2594"/>
    <mergeCell ref="A2598:N2598"/>
    <mergeCell ref="A2599:G2599"/>
    <mergeCell ref="I2599:J2599"/>
    <mergeCell ref="K2599:L2599"/>
    <mergeCell ref="M2599:N2599"/>
    <mergeCell ref="A2580:N2580"/>
    <mergeCell ref="A2581:G2581"/>
    <mergeCell ref="I2581:J2581"/>
    <mergeCell ref="M2581:N2581"/>
    <mergeCell ref="A2582:G2582"/>
    <mergeCell ref="I2582:J2582"/>
    <mergeCell ref="M2582:N2582"/>
    <mergeCell ref="A2583:G2583"/>
    <mergeCell ref="I2583:J2583"/>
    <mergeCell ref="M2583:N2583"/>
    <mergeCell ref="A2584:G2584"/>
    <mergeCell ref="I2584:J2584"/>
    <mergeCell ref="M2584:N2584"/>
    <mergeCell ref="A2585:G2585"/>
    <mergeCell ref="I2585:J2585"/>
    <mergeCell ref="M2585:N2585"/>
    <mergeCell ref="A2586:G2586"/>
    <mergeCell ref="I2586:J2586"/>
    <mergeCell ref="M2586:N2586"/>
    <mergeCell ref="A2600:G2600"/>
    <mergeCell ref="I2600:J2600"/>
    <mergeCell ref="K2600:L2600"/>
    <mergeCell ref="M2600:N2600"/>
    <mergeCell ref="A2601:G2601"/>
    <mergeCell ref="I2601:J2601"/>
    <mergeCell ref="K2601:L2601"/>
    <mergeCell ref="M2601:N2601"/>
    <mergeCell ref="A2602:G2602"/>
    <mergeCell ref="I2602:J2602"/>
    <mergeCell ref="K2602:L2602"/>
    <mergeCell ref="M2602:N2602"/>
    <mergeCell ref="A2603:G2603"/>
    <mergeCell ref="I2603:J2603"/>
    <mergeCell ref="K2603:L2603"/>
    <mergeCell ref="M2603:N2603"/>
    <mergeCell ref="A2604:G2604"/>
    <mergeCell ref="I2604:J2604"/>
    <mergeCell ref="K2604:L2604"/>
    <mergeCell ref="M2604:N2604"/>
    <mergeCell ref="A2605:G2605"/>
    <mergeCell ref="I2605:J2605"/>
    <mergeCell ref="K2605:L2605"/>
    <mergeCell ref="M2605:N2605"/>
    <mergeCell ref="A2606:G2606"/>
    <mergeCell ref="I2606:J2606"/>
    <mergeCell ref="K2606:L2606"/>
    <mergeCell ref="M2606:N2606"/>
    <mergeCell ref="A2607:G2607"/>
    <mergeCell ref="I2607:J2607"/>
    <mergeCell ref="K2607:L2607"/>
    <mergeCell ref="M2607:N2607"/>
    <mergeCell ref="A2608:G2608"/>
    <mergeCell ref="I2608:J2608"/>
    <mergeCell ref="K2608:L2608"/>
    <mergeCell ref="M2608:N2608"/>
    <mergeCell ref="K2609:L2609"/>
    <mergeCell ref="M2609:N2609"/>
    <mergeCell ref="A2611:N2611"/>
    <mergeCell ref="A2612:G2612"/>
    <mergeCell ref="I2612:J2612"/>
    <mergeCell ref="K2612:L2612"/>
    <mergeCell ref="M2612:N2612"/>
    <mergeCell ref="A2613:G2613"/>
    <mergeCell ref="I2613:J2613"/>
    <mergeCell ref="K2613:L2613"/>
    <mergeCell ref="M2613:N2613"/>
    <mergeCell ref="A2614:G2614"/>
    <mergeCell ref="I2614:J2614"/>
    <mergeCell ref="K2614:L2614"/>
    <mergeCell ref="M2614:N2614"/>
    <mergeCell ref="A2615:G2615"/>
    <mergeCell ref="I2615:J2615"/>
    <mergeCell ref="K2615:L2615"/>
    <mergeCell ref="M2615:N2615"/>
    <mergeCell ref="A2616:G2616"/>
    <mergeCell ref="I2616:J2616"/>
    <mergeCell ref="K2616:L2616"/>
    <mergeCell ref="M2616:N2616"/>
    <mergeCell ref="A2617:G2617"/>
    <mergeCell ref="I2617:J2617"/>
    <mergeCell ref="K2617:L2617"/>
    <mergeCell ref="M2617:N2617"/>
    <mergeCell ref="A2618:G2618"/>
    <mergeCell ref="I2618:J2618"/>
    <mergeCell ref="K2618:L2618"/>
    <mergeCell ref="M2618:N2618"/>
    <mergeCell ref="A2619:G2619"/>
    <mergeCell ref="I2619:J2619"/>
    <mergeCell ref="K2619:L2619"/>
    <mergeCell ref="M2619:N2619"/>
    <mergeCell ref="A2620:G2620"/>
    <mergeCell ref="I2620:J2620"/>
    <mergeCell ref="K2620:L2620"/>
    <mergeCell ref="M2620:N2620"/>
    <mergeCell ref="A2621:G2621"/>
    <mergeCell ref="I2621:J2621"/>
    <mergeCell ref="K2621:L2621"/>
    <mergeCell ref="M2621:N2621"/>
    <mergeCell ref="A2622:G2622"/>
    <mergeCell ref="I2622:J2622"/>
    <mergeCell ref="K2622:L2622"/>
    <mergeCell ref="M2622:N2622"/>
    <mergeCell ref="K2623:L2623"/>
    <mergeCell ref="M2623:N2623"/>
    <mergeCell ref="A2625:N2625"/>
    <mergeCell ref="A2626:G2626"/>
    <mergeCell ref="I2626:J2626"/>
    <mergeCell ref="K2626:L2626"/>
    <mergeCell ref="M2626:N2626"/>
    <mergeCell ref="A2627:G2627"/>
    <mergeCell ref="I2627:J2627"/>
    <mergeCell ref="K2627:L2627"/>
    <mergeCell ref="M2627:N2627"/>
    <mergeCell ref="A2628:G2628"/>
    <mergeCell ref="I2628:J2628"/>
    <mergeCell ref="K2628:L2628"/>
    <mergeCell ref="M2628:N2628"/>
    <mergeCell ref="A2629:G2629"/>
    <mergeCell ref="I2629:J2629"/>
    <mergeCell ref="K2629:L2629"/>
    <mergeCell ref="M2629:N2629"/>
    <mergeCell ref="A2630:G2630"/>
    <mergeCell ref="I2630:J2630"/>
    <mergeCell ref="K2630:L2630"/>
    <mergeCell ref="M2630:N2630"/>
    <mergeCell ref="A2631:G2631"/>
    <mergeCell ref="I2631:J2631"/>
    <mergeCell ref="K2631:L2631"/>
    <mergeCell ref="M2631:N2631"/>
    <mergeCell ref="K2632:L2632"/>
    <mergeCell ref="M2632:N2632"/>
    <mergeCell ref="K2641:L2641"/>
    <mergeCell ref="M2641:N2641"/>
    <mergeCell ref="I2642:N2643"/>
    <mergeCell ref="I2644:J2644"/>
    <mergeCell ref="K2644:N2644"/>
    <mergeCell ref="I2645:J2645"/>
    <mergeCell ref="K2645:N2645"/>
    <mergeCell ref="A2634:N2634"/>
    <mergeCell ref="A2635:G2635"/>
    <mergeCell ref="I2635:J2635"/>
    <mergeCell ref="M2635:N2635"/>
    <mergeCell ref="A2636:G2636"/>
    <mergeCell ref="I2636:J2636"/>
    <mergeCell ref="M2636:N2636"/>
    <mergeCell ref="A2637:G2637"/>
    <mergeCell ref="I2637:J2637"/>
    <mergeCell ref="M2637:N2637"/>
    <mergeCell ref="A2638:G2638"/>
    <mergeCell ref="I2638:J2638"/>
    <mergeCell ref="M2638:N2638"/>
    <mergeCell ref="A2639:G2639"/>
    <mergeCell ref="I2639:J2639"/>
    <mergeCell ref="M2639:N2639"/>
    <mergeCell ref="A2640:G2640"/>
    <mergeCell ref="I2640:J2640"/>
    <mergeCell ref="M2640:N2640"/>
  </mergeCells>
  <dataValidations count="9">
    <dataValidation type="list" allowBlank="1" showErrorMessage="1" sqref="A232:A236 A278:A281 A188:A191 A52:A56" xr:uid="{00000000-0002-0000-1100-000000000000}">
      <formula1>$C$6:$C$151</formula1>
    </dataValidation>
    <dataValidation type="list" allowBlank="1" showErrorMessage="1" sqref="A143 A98" xr:uid="{00000000-0002-0000-1100-000001000000}">
      <formula1>$C$6:$C$167</formula1>
    </dataValidation>
    <dataValidation allowBlank="1" showErrorMessage="1" sqref="A277:G277 A550:G553 A610:G614 A655:G659 A637:A641 A682:A686 A700:A704 B703:G704 A727:A731 A745:A749 B748:G749 A775:A779 A793:A797 B796:G797 A823:A827 A841:A845 B844:G845 A871:A875 A889:A893 B892:G893 A919:A923 A937:A941 B940:G941 A967:A971 A985:A989 B988:G989 A322:A327 B324:G327 A396:G399 A441:G444 A466:G468 A461:G461 A508:G512 A503:G503 A545:G545 A592:A596 B593:G596 A1029:G1033 A1011:A1015 B1012:G1015 A1073:G1077 A1055:A1059 B1056:G1059 A1117:G1121 A1099:A1103 B1100:G1103 A1161:G1165 A1143:A1147 B1144:G1147 A1205:G1209 A1187:A1191 B1188:G1191 A1254:G1258 A1236:A1240 B1237:G1240 A1303:G1307 A1285:A1289 B1286:G1289 A1352:G1356 A1334:A1338 B1335:G1338 A1401:G1405 A1383:A1387 B1384:G1387 A1450:G1454 B1436:G1436 A1432:A1436 A1499:G1503 B1485:G1485 A1481:A1485 A1548:G1552 B1534:G1534 A1530:A1534 A1597:G1601 B1583:G1583 A1579:A1583 A1646:G1650 B1632:G1632 A1628:A1632 A1695:G1699 B1681:G1681 A1677:A1681 A1744:G1748 B1730:G1730 A1726:A1730 A1793:G1797 B1779:G1779 A1775:A1779 A1847:G1851 B1833:G1833 A1824:A1833 A1901:G1905 B1887:G1887 A1878:A1887 A1955:G1959 B1941:G1941 A1932:A1941 A2009:G2013 B1995:G1995 A1986:A1995 A2063:G2067 B2049:G2049 A2040:A2049 A2089:G2093 A2084:G2084 A2159:G2163 B2145:G2145 A2136:A2145 A2213:G2217 B2199:G2199 A2190:A2199 A2267:G2271 B2253:G2253 A2244:A2253 A2321:G2325 B2307:G2307 A2298:A2307 A2375:G2379 B2361:G2361 A2352:A2361 A2429:G2433 B2415:G2415 A2406:A2415 A2455:A2459 A2473:A2477 B2476:G2477 A2527:G2531 B2513:G2513 A2504:A2513 A2582:G2586 B2568:G2568 A2559:A2568 A2636:G2640 B2622:G2622 A2613:A2622 A2685:G2689 B2671:G2671 A2667:A2671 A2739:G2743 B2725:G2725 A2716:A2725 A2793:G2797 B2779:G2779 A2770:A2779 A2822:A2826 A2840:A2844 B2843:G2844 A2869:A2873 A2887:A2891 B2890:G2891 A2927:A2931 A2945:A2949 B2948:G2949 A2977:A2981 A2995:A2999 B2998:G2999" xr:uid="{00000000-0002-0000-1100-000002000000}"/>
    <dataValidation type="list" allowBlank="1" showErrorMessage="1" sqref="A483:A486 A525:A528 A566:A569 A2106:A2109" xr:uid="{00000000-0002-0000-1100-000003000000}">
      <formula1>$A$23:$A$66</formula1>
    </dataValidation>
    <dataValidation type="list" allowBlank="1" showErrorMessage="1" sqref="A469:A470" xr:uid="{00000000-0002-0000-1100-000004000000}">
      <formula1>$C$6:$C$103</formula1>
    </dataValidation>
    <dataValidation type="list" allowBlank="1" showErrorMessage="1" sqref="A587 A1138 A1094 A1050 A1006 A962 A914 A866 A818 A770 A722 A677 A632 A2450 A2817 A2864" xr:uid="{00000000-0002-0000-1100-000005000000}">
      <formula1>C$7:C$96</formula1>
    </dataValidation>
    <dataValidation type="list" allowBlank="1" showErrorMessage="1" sqref="A12 A282 A237 A192 A57" xr:uid="{00000000-0002-0000-1100-000006000000}">
      <formula1>C$15:C$256</formula1>
    </dataValidation>
    <dataValidation type="list" allowBlank="1" showErrorMessage="1" sqref="A395 A306:A309 A126:A130 A171:A175 A215:A219 A80:A84 A260:A264 A351:A354" xr:uid="{00000000-0002-0000-1100-000007000000}">
      <formula1>$A$23:$A$2694</formula1>
    </dataValidation>
    <dataValidation type="list" allowBlank="1" showErrorMessage="1" sqref="A144:A148 A99:A103" xr:uid="{00000000-0002-0000-1100-000008000000}">
      <formula1>$C$6:$C$2874</formula1>
    </dataValidation>
  </dataValidations>
  <pageMargins left="0.7" right="0.7" top="0.75" bottom="0.75" header="0.3" footer="0.3"/>
  <pageSetup scale="70" orientation="landscape" r:id="rId1"/>
  <rowBreaks count="58" manualBreakCount="58">
    <brk id="44" max="16383" man="1"/>
    <brk id="90" max="16383" man="1"/>
    <brk id="135" max="16383" man="1"/>
    <brk id="180" max="16383" man="1"/>
    <brk id="224" max="16383" man="1"/>
    <brk id="269" max="16383" man="1"/>
    <brk id="314" max="16383" man="1"/>
    <brk id="359" max="16383" man="1"/>
    <brk id="404" max="16383" man="1"/>
    <brk id="449" max="16383" man="1"/>
    <brk id="491" max="16383" man="1"/>
    <brk id="533" max="16383" man="1"/>
    <brk id="575" max="16383" man="1"/>
    <brk id="620" max="16383" man="1"/>
    <brk id="665" max="16383" man="1"/>
    <brk id="710" max="16383" man="1"/>
    <brk id="755" max="16383" man="1"/>
    <brk id="803" max="16383" man="1"/>
    <brk id="851" max="16383" man="1"/>
    <brk id="899" max="16383" man="1"/>
    <brk id="947" max="16383" man="1"/>
    <brk id="994" max="16383" man="1"/>
    <brk id="1038" max="16383" man="1"/>
    <brk id="1082" max="16383" man="1"/>
    <brk id="1170" max="16383" man="1"/>
    <brk id="1214" max="16383" man="1"/>
    <brk id="1263" max="16383" man="1"/>
    <brk id="1361" max="16383" man="1"/>
    <brk id="1459" max="16383" man="1"/>
    <brk id="1508" max="16383" man="1"/>
    <brk id="1557" max="16383" man="1"/>
    <brk id="1606" max="16383" man="1"/>
    <brk id="1655" max="16383" man="1"/>
    <brk id="1704" max="16383" man="1"/>
    <brk id="1753" max="16383" man="1"/>
    <brk id="1802" max="16383" man="1"/>
    <brk id="1856" max="16383" man="1"/>
    <brk id="1910" max="16383" man="1"/>
    <brk id="1964" max="16383" man="1"/>
    <brk id="2018" max="16383" man="1"/>
    <brk id="2072" max="16383" man="1"/>
    <brk id="2114" max="16383" man="1"/>
    <brk id="2168" max="16383" man="1"/>
    <brk id="2222" max="16383" man="1"/>
    <brk id="2276" max="16383" man="1"/>
    <brk id="2330" max="16383" man="1"/>
    <brk id="2384" max="16383" man="1"/>
    <brk id="2438" max="16383" man="1"/>
    <brk id="2482" max="16383" man="1"/>
    <brk id="2537" max="16383" man="1"/>
    <brk id="2592" max="16383" man="1"/>
    <brk id="2645" max="16383" man="1"/>
    <brk id="2694" max="16383" man="1"/>
    <brk id="2748" max="16383" man="1"/>
    <brk id="2802" max="16383" man="1"/>
    <brk id="2849" max="16383" man="1"/>
    <brk id="2896" max="16383" man="1"/>
    <brk id="2954" max="16383" man="1"/>
  </rowBreaks>
  <drawing r:id="rId2"/>
  <extLst>
    <ext xmlns:x14="http://schemas.microsoft.com/office/spreadsheetml/2009/9/main" uri="{CCE6A557-97BC-4b89-ADB6-D9C93CAAB3DF}">
      <x14:dataValidations xmlns:xm="http://schemas.microsoft.com/office/excel/2006/main" count="3">
        <x14:dataValidation type="list" allowBlank="1" showErrorMessage="1" xr:uid="{00000000-0002-0000-1100-000009000000}">
          <x14:formula1>
            <xm:f>'09'!$A$23:$A$127</xm:f>
          </x14:formula1>
          <xm:sqref>A350:K350 A305:K305</xm:sqref>
        </x14:dataValidation>
        <x14:dataValidation type="list" allowBlank="1" showErrorMessage="1" xr:uid="{00000000-0002-0000-1100-00000A000000}">
          <x14:formula1>
            <xm:f>'09'!$A$23:$A$1371</xm:f>
          </x14:formula1>
          <xm:sqref>A440:G440</xm:sqref>
        </x14:dataValidation>
        <x14:dataValidation type="list" allowBlank="1" showErrorMessage="1" xr:uid="{00000000-0002-0000-1100-00000B000000}">
          <x14:formula1>
            <xm:f>'09'!$A$23:$A$68</xm:f>
          </x14:formula1>
          <xm:sqref>A482:G482 A524:G524 A565:G565 A2105:G2105</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Q994"/>
  <sheetViews>
    <sheetView view="pageBreakPreview" zoomScaleNormal="100" zoomScaleSheetLayoutView="100" workbookViewId="0">
      <selection activeCell="Q39" sqref="Q39"/>
    </sheetView>
  </sheetViews>
  <sheetFormatPr baseColWidth="10" defaultColWidth="12.5703125" defaultRowHeight="15" customHeight="1" x14ac:dyDescent="0.2"/>
  <cols>
    <col min="1" max="15" width="10.42578125" customWidth="1"/>
    <col min="16" max="16" width="18.85546875" customWidth="1"/>
    <col min="17" max="23" width="12.7109375" customWidth="1"/>
  </cols>
  <sheetData>
    <row r="1" spans="1:16" ht="12.75" customHeight="1" x14ac:dyDescent="0.2">
      <c r="A1" s="1465" t="str">
        <f>'01'!A12</f>
        <v>"CONSTRUCCION SISTEMA DE ACUEDUCTO FASE II DEL MUNICIPIO DE TESALIA DPTO DEL HUILA"</v>
      </c>
      <c r="B1" s="1427"/>
      <c r="C1" s="1427"/>
      <c r="D1" s="1427"/>
      <c r="E1" s="1427"/>
      <c r="F1" s="1427"/>
      <c r="G1" s="1427"/>
      <c r="H1" s="1427"/>
      <c r="I1" s="1427"/>
      <c r="J1" s="1428"/>
      <c r="K1" s="1466" t="s">
        <v>1181</v>
      </c>
      <c r="L1" s="1412"/>
      <c r="M1" s="1458">
        <f>N56</f>
        <v>442852953.80999994</v>
      </c>
      <c r="N1" s="1427"/>
      <c r="O1" s="1428"/>
    </row>
    <row r="2" spans="1:16" ht="12.75" customHeight="1" x14ac:dyDescent="0.2">
      <c r="A2" s="1459"/>
      <c r="B2" s="1415"/>
      <c r="C2" s="1415"/>
      <c r="D2" s="1415"/>
      <c r="E2" s="1415"/>
      <c r="F2" s="1415"/>
      <c r="G2" s="1415"/>
      <c r="H2" s="1415"/>
      <c r="I2" s="1415"/>
      <c r="J2" s="1460"/>
      <c r="K2" s="1461">
        <v>2026</v>
      </c>
      <c r="L2" s="1428"/>
      <c r="M2" s="1459"/>
      <c r="N2" s="1415"/>
      <c r="O2" s="1460"/>
    </row>
    <row r="3" spans="1:16" ht="12.75" customHeight="1" x14ac:dyDescent="0.2">
      <c r="A3" s="1426"/>
      <c r="B3" s="1429"/>
      <c r="C3" s="1429"/>
      <c r="D3" s="1429"/>
      <c r="E3" s="1429"/>
      <c r="F3" s="1429"/>
      <c r="G3" s="1429"/>
      <c r="H3" s="1429"/>
      <c r="I3" s="1429"/>
      <c r="J3" s="1430"/>
      <c r="K3" s="1426"/>
      <c r="L3" s="1430"/>
      <c r="M3" s="1426"/>
      <c r="N3" s="1429"/>
      <c r="O3" s="1430"/>
    </row>
    <row r="4" spans="1:16" ht="12.75" customHeight="1" x14ac:dyDescent="0.25">
      <c r="A4" s="1028"/>
      <c r="B4" s="1028"/>
      <c r="C4" s="1028"/>
      <c r="D4" s="1028"/>
      <c r="E4" s="1028"/>
      <c r="F4" s="1028"/>
      <c r="G4" s="1028"/>
      <c r="H4" s="1028"/>
      <c r="I4" s="1028"/>
      <c r="J4" s="1028"/>
      <c r="K4" s="1028"/>
      <c r="L4" s="1028"/>
      <c r="M4" s="1068"/>
      <c r="N4" s="1069"/>
      <c r="O4" s="1069"/>
    </row>
    <row r="5" spans="1:16" ht="12.75" customHeight="1" x14ac:dyDescent="0.2">
      <c r="A5" s="1462" t="s">
        <v>1870</v>
      </c>
      <c r="B5" s="1427"/>
      <c r="C5" s="1427"/>
      <c r="D5" s="1427"/>
      <c r="E5" s="1427"/>
      <c r="F5" s="1427"/>
      <c r="G5" s="1427"/>
      <c r="H5" s="1427"/>
      <c r="I5" s="1427"/>
      <c r="J5" s="1427"/>
      <c r="K5" s="1427"/>
      <c r="L5" s="1427"/>
      <c r="M5" s="1427"/>
      <c r="N5" s="1428"/>
      <c r="O5" s="1463"/>
    </row>
    <row r="6" spans="1:16" ht="12.75" customHeight="1" x14ac:dyDescent="0.2">
      <c r="A6" s="1426"/>
      <c r="B6" s="1429"/>
      <c r="C6" s="1429"/>
      <c r="D6" s="1429"/>
      <c r="E6" s="1429"/>
      <c r="F6" s="1429"/>
      <c r="G6" s="1429"/>
      <c r="H6" s="1429"/>
      <c r="I6" s="1429"/>
      <c r="J6" s="1429"/>
      <c r="K6" s="1429"/>
      <c r="L6" s="1429"/>
      <c r="M6" s="1429"/>
      <c r="N6" s="1430"/>
      <c r="O6" s="1432"/>
    </row>
    <row r="7" spans="1:16" ht="12.75" customHeight="1" x14ac:dyDescent="0.25">
      <c r="A7" s="1028"/>
      <c r="B7" s="1028"/>
      <c r="C7" s="1028"/>
      <c r="D7" s="1028"/>
      <c r="E7" s="1028"/>
      <c r="F7" s="1028"/>
      <c r="G7" s="1028"/>
      <c r="H7" s="1028"/>
      <c r="I7" s="1028"/>
      <c r="J7" s="1028"/>
      <c r="K7" s="1028"/>
      <c r="L7" s="1028"/>
      <c r="M7" s="1068"/>
      <c r="N7" s="1069"/>
      <c r="O7" s="1069"/>
    </row>
    <row r="8" spans="1:16" ht="12.75" customHeight="1" x14ac:dyDescent="0.25">
      <c r="A8" s="1028"/>
      <c r="B8" s="1455" t="s">
        <v>1871</v>
      </c>
      <c r="C8" s="1412"/>
      <c r="D8" s="1456">
        <f>'01'!M268</f>
        <v>2279176778.0025139</v>
      </c>
      <c r="E8" s="1412"/>
      <c r="F8" s="1028"/>
      <c r="G8" s="1028"/>
      <c r="H8" s="1028"/>
      <c r="I8" s="1028"/>
      <c r="J8" s="1028"/>
      <c r="K8" s="1028"/>
      <c r="L8" s="1028"/>
      <c r="M8" s="1028"/>
      <c r="N8" s="1028"/>
      <c r="O8" s="1028"/>
    </row>
    <row r="9" spans="1:16" ht="12.75" customHeight="1" x14ac:dyDescent="0.25">
      <c r="A9" s="1028"/>
      <c r="B9" s="1028"/>
      <c r="C9" s="1028"/>
      <c r="D9" s="1028"/>
      <c r="E9" s="1028"/>
      <c r="F9" s="1028"/>
      <c r="G9" s="1028"/>
      <c r="H9" s="1028"/>
      <c r="I9" s="1028"/>
      <c r="J9" s="1028"/>
      <c r="K9" s="1028"/>
      <c r="L9" s="1028"/>
      <c r="M9" s="1028"/>
      <c r="N9" s="1028"/>
      <c r="O9" s="1028"/>
    </row>
    <row r="10" spans="1:16" ht="12.75" customHeight="1" x14ac:dyDescent="0.2">
      <c r="A10" s="1070" t="s">
        <v>867</v>
      </c>
      <c r="B10" s="1457" t="s">
        <v>1746</v>
      </c>
      <c r="C10" s="1420"/>
      <c r="D10" s="1420"/>
      <c r="E10" s="1420"/>
      <c r="F10" s="1420"/>
      <c r="G10" s="1420"/>
      <c r="H10" s="1420"/>
      <c r="I10" s="1420"/>
      <c r="J10" s="1420"/>
      <c r="K10" s="1420"/>
      <c r="L10" s="1420"/>
      <c r="M10" s="1420"/>
      <c r="N10" s="1420"/>
      <c r="O10" s="1420"/>
      <c r="P10">
        <v>2182372616.9200006</v>
      </c>
    </row>
    <row r="11" spans="1:16" ht="12.75" customHeight="1" x14ac:dyDescent="0.2">
      <c r="A11" s="1431" t="s">
        <v>1063</v>
      </c>
      <c r="B11" s="1425" t="s">
        <v>1741</v>
      </c>
      <c r="C11" s="1427"/>
      <c r="D11" s="1427"/>
      <c r="E11" s="1427"/>
      <c r="F11" s="1428"/>
      <c r="G11" s="1431"/>
      <c r="H11" s="1464" t="s">
        <v>628</v>
      </c>
      <c r="I11" s="1431" t="s">
        <v>1873</v>
      </c>
      <c r="J11" s="1425" t="s">
        <v>1742</v>
      </c>
      <c r="K11" s="1428"/>
      <c r="L11" s="1431" t="s">
        <v>1874</v>
      </c>
      <c r="M11" s="1431" t="s">
        <v>1875</v>
      </c>
      <c r="N11" s="1425" t="s">
        <v>1745</v>
      </c>
      <c r="O11" s="1428"/>
    </row>
    <row r="12" spans="1:16" ht="12.75" customHeight="1" x14ac:dyDescent="0.2">
      <c r="A12" s="1432"/>
      <c r="B12" s="1426"/>
      <c r="C12" s="1429"/>
      <c r="D12" s="1429"/>
      <c r="E12" s="1429"/>
      <c r="F12" s="1430"/>
      <c r="G12" s="1432"/>
      <c r="H12" s="1432"/>
      <c r="I12" s="1432"/>
      <c r="J12" s="1426"/>
      <c r="K12" s="1430"/>
      <c r="L12" s="1432"/>
      <c r="M12" s="1432"/>
      <c r="N12" s="1426"/>
      <c r="O12" s="1430"/>
    </row>
    <row r="13" spans="1:16" ht="12.75" customHeight="1" x14ac:dyDescent="0.2">
      <c r="A13" s="1071" t="s">
        <v>1876</v>
      </c>
      <c r="B13" s="1447" t="s">
        <v>1877</v>
      </c>
      <c r="C13" s="1411"/>
      <c r="D13" s="1411"/>
      <c r="E13" s="1411"/>
      <c r="F13" s="1412"/>
      <c r="G13" s="1072"/>
      <c r="H13" s="1073">
        <v>1</v>
      </c>
      <c r="I13" s="1074">
        <v>0.3</v>
      </c>
      <c r="J13" s="1413">
        <v>6500000</v>
      </c>
      <c r="K13" s="1412"/>
      <c r="L13" s="1073">
        <v>5</v>
      </c>
      <c r="M13" s="1039">
        <f t="shared" ref="M13:M18" si="0">N13/$N$54</f>
        <v>2.2016337287846351E-2</v>
      </c>
      <c r="N13" s="1413">
        <f t="shared" ref="N13:N17" si="1">L13*I13*J13*H13</f>
        <v>9750000</v>
      </c>
      <c r="O13" s="1412"/>
    </row>
    <row r="14" spans="1:16" ht="12.75" customHeight="1" x14ac:dyDescent="0.2">
      <c r="A14" s="1071" t="s">
        <v>1878</v>
      </c>
      <c r="B14" s="1447" t="s">
        <v>1879</v>
      </c>
      <c r="C14" s="1411"/>
      <c r="D14" s="1411"/>
      <c r="E14" s="1411"/>
      <c r="F14" s="1412"/>
      <c r="G14" s="1072"/>
      <c r="H14" s="1073">
        <v>1</v>
      </c>
      <c r="I14" s="1074">
        <v>0.2</v>
      </c>
      <c r="J14" s="1413">
        <v>6000000</v>
      </c>
      <c r="K14" s="1412"/>
      <c r="L14" s="1073">
        <v>4</v>
      </c>
      <c r="M14" s="1039">
        <f t="shared" si="0"/>
        <v>1.0838812203247434E-2</v>
      </c>
      <c r="N14" s="1413">
        <f t="shared" si="1"/>
        <v>4800000</v>
      </c>
      <c r="O14" s="1412"/>
    </row>
    <row r="15" spans="1:16" ht="12.75" customHeight="1" x14ac:dyDescent="0.2">
      <c r="A15" s="1071" t="s">
        <v>1882</v>
      </c>
      <c r="B15" s="1447" t="s">
        <v>1883</v>
      </c>
      <c r="C15" s="1411"/>
      <c r="D15" s="1411"/>
      <c r="E15" s="1411"/>
      <c r="F15" s="1412"/>
      <c r="G15" s="1072"/>
      <c r="H15" s="1073">
        <v>1</v>
      </c>
      <c r="I15" s="1074">
        <v>0.2</v>
      </c>
      <c r="J15" s="1413">
        <v>6000000</v>
      </c>
      <c r="K15" s="1412"/>
      <c r="L15" s="1073">
        <v>4</v>
      </c>
      <c r="M15" s="1039">
        <f t="shared" si="0"/>
        <v>1.0838812203247434E-2</v>
      </c>
      <c r="N15" s="1413">
        <f t="shared" si="1"/>
        <v>4800000</v>
      </c>
      <c r="O15" s="1412"/>
    </row>
    <row r="16" spans="1:16" ht="12.75" customHeight="1" x14ac:dyDescent="0.2">
      <c r="A16" s="1071" t="s">
        <v>1884</v>
      </c>
      <c r="B16" s="1447" t="s">
        <v>1885</v>
      </c>
      <c r="C16" s="1411"/>
      <c r="D16" s="1411"/>
      <c r="E16" s="1411"/>
      <c r="F16" s="1412"/>
      <c r="G16" s="1072"/>
      <c r="H16" s="1073">
        <v>1</v>
      </c>
      <c r="I16" s="1074">
        <v>1</v>
      </c>
      <c r="J16" s="1413">
        <v>3500000</v>
      </c>
      <c r="K16" s="1412"/>
      <c r="L16" s="1073">
        <v>5</v>
      </c>
      <c r="M16" s="1039">
        <f t="shared" si="0"/>
        <v>3.9516502824339605E-2</v>
      </c>
      <c r="N16" s="1413">
        <f t="shared" si="1"/>
        <v>17500000</v>
      </c>
      <c r="O16" s="1412"/>
    </row>
    <row r="17" spans="1:15" ht="12.75" customHeight="1" x14ac:dyDescent="0.2">
      <c r="A17" s="1071" t="s">
        <v>1886</v>
      </c>
      <c r="B17" s="1447" t="s">
        <v>1887</v>
      </c>
      <c r="C17" s="1411"/>
      <c r="D17" s="1411"/>
      <c r="E17" s="1411"/>
      <c r="F17" s="1412"/>
      <c r="G17" s="1072"/>
      <c r="H17" s="1073">
        <v>1</v>
      </c>
      <c r="I17" s="1074">
        <v>0.5</v>
      </c>
      <c r="J17" s="1413">
        <v>3500000</v>
      </c>
      <c r="K17" s="1412"/>
      <c r="L17" s="1073">
        <v>4</v>
      </c>
      <c r="M17" s="1039">
        <f t="shared" si="0"/>
        <v>1.5806601129735844E-2</v>
      </c>
      <c r="N17" s="1413">
        <f t="shared" si="1"/>
        <v>7000000</v>
      </c>
      <c r="O17" s="1412"/>
    </row>
    <row r="18" spans="1:15" ht="12.75" customHeight="1" x14ac:dyDescent="0.2">
      <c r="A18" s="1071" t="s">
        <v>1888</v>
      </c>
      <c r="B18" s="1447" t="s">
        <v>2721</v>
      </c>
      <c r="C18" s="1411"/>
      <c r="D18" s="1411"/>
      <c r="E18" s="1411"/>
      <c r="F18" s="1412"/>
      <c r="G18" s="1072"/>
      <c r="H18" s="1073">
        <v>1</v>
      </c>
      <c r="I18" s="1074">
        <v>1</v>
      </c>
      <c r="J18" s="1413">
        <v>3500000</v>
      </c>
      <c r="K18" s="1412"/>
      <c r="L18" s="1073">
        <v>4</v>
      </c>
      <c r="M18" s="1039">
        <f t="shared" si="0"/>
        <v>3.1613202259471687E-2</v>
      </c>
      <c r="N18" s="1413">
        <f>L18*I18*J18*H18</f>
        <v>14000000</v>
      </c>
      <c r="O18" s="1412"/>
    </row>
    <row r="19" spans="1:15" ht="12.75" customHeight="1" x14ac:dyDescent="0.2">
      <c r="A19" s="1071"/>
      <c r="B19" s="1444"/>
      <c r="C19" s="1427"/>
      <c r="D19" s="1427"/>
      <c r="E19" s="1427"/>
      <c r="F19" s="1428"/>
      <c r="G19" s="1400"/>
      <c r="H19" s="1073"/>
      <c r="I19" s="1074"/>
      <c r="J19" s="1413"/>
      <c r="K19" s="1412"/>
      <c r="L19" s="1073"/>
      <c r="M19" s="1039"/>
      <c r="N19" s="1413"/>
      <c r="O19" s="1412"/>
    </row>
    <row r="20" spans="1:15" ht="12.75" customHeight="1" x14ac:dyDescent="0.2">
      <c r="A20" s="1075"/>
      <c r="B20" s="1448" t="s">
        <v>2724</v>
      </c>
      <c r="C20" s="1449"/>
      <c r="D20" s="1449"/>
      <c r="E20" s="1449"/>
      <c r="F20" s="1450"/>
      <c r="G20" s="1402"/>
      <c r="H20" s="1403"/>
      <c r="I20" s="1404"/>
      <c r="J20" s="1405"/>
      <c r="K20" s="1392"/>
      <c r="L20" s="1403"/>
      <c r="M20" s="1039"/>
      <c r="N20" s="1452"/>
      <c r="O20" s="1453"/>
    </row>
    <row r="21" spans="1:15" ht="12.75" customHeight="1" x14ac:dyDescent="0.2">
      <c r="A21" s="1075"/>
      <c r="B21" s="1451" t="s">
        <v>2725</v>
      </c>
      <c r="C21" s="1451"/>
      <c r="D21" s="1451"/>
      <c r="E21" s="1451"/>
      <c r="F21" s="1451"/>
      <c r="G21" s="1401"/>
      <c r="H21" s="1399">
        <v>1</v>
      </c>
      <c r="I21" s="1406">
        <v>1</v>
      </c>
      <c r="J21" s="1440">
        <v>2000000</v>
      </c>
      <c r="K21" s="1441"/>
      <c r="L21" s="1399">
        <v>4</v>
      </c>
      <c r="M21" s="1039">
        <f>N21/$N$54</f>
        <v>1.8064687005412392E-2</v>
      </c>
      <c r="N21" s="1454">
        <f>I21*J21*L21</f>
        <v>8000000</v>
      </c>
      <c r="O21" s="1441"/>
    </row>
    <row r="22" spans="1:15" ht="12.75" customHeight="1" x14ac:dyDescent="0.2">
      <c r="A22" s="1029"/>
      <c r="B22" s="1029"/>
      <c r="C22" s="1029"/>
      <c r="D22" s="1029"/>
      <c r="E22" s="1029"/>
      <c r="F22" s="1029"/>
      <c r="G22" s="1029"/>
      <c r="H22" s="1435" t="s">
        <v>1763</v>
      </c>
      <c r="I22" s="1429"/>
      <c r="J22" s="1429"/>
      <c r="K22" s="1429"/>
      <c r="L22" s="1429"/>
      <c r="M22" s="1430"/>
      <c r="N22" s="1436">
        <f>SUM(N13:N21)</f>
        <v>65850000</v>
      </c>
      <c r="O22" s="1430"/>
    </row>
    <row r="23" spans="1:15" ht="12.75" customHeight="1" x14ac:dyDescent="0.2">
      <c r="A23" s="1029"/>
      <c r="B23" s="1029"/>
      <c r="C23" s="1029"/>
      <c r="D23" s="1029"/>
      <c r="E23" s="1029"/>
      <c r="F23" s="1029"/>
      <c r="G23" s="1029"/>
      <c r="H23" s="1421" t="s">
        <v>1891</v>
      </c>
      <c r="I23" s="1411"/>
      <c r="J23" s="1411"/>
      <c r="K23" s="1411"/>
      <c r="L23" s="1411"/>
      <c r="M23" s="1412"/>
      <c r="N23" s="1445">
        <f>'03'!$I$2</f>
        <v>1.88995</v>
      </c>
      <c r="O23" s="1446"/>
    </row>
    <row r="24" spans="1:15" ht="12.75" customHeight="1" x14ac:dyDescent="0.2">
      <c r="A24" s="1029"/>
      <c r="B24" s="1029"/>
      <c r="C24" s="1029"/>
      <c r="D24" s="1029"/>
      <c r="E24" s="1029"/>
      <c r="F24" s="1029"/>
      <c r="G24" s="1029"/>
      <c r="H24" s="1421" t="s">
        <v>1892</v>
      </c>
      <c r="I24" s="1411"/>
      <c r="J24" s="1411"/>
      <c r="K24" s="1411"/>
      <c r="L24" s="1411"/>
      <c r="M24" s="1412"/>
      <c r="N24" s="1413">
        <f>+N22*N23</f>
        <v>124453207.5</v>
      </c>
      <c r="O24" s="1412"/>
    </row>
    <row r="25" spans="1:15" ht="12.75" customHeight="1" x14ac:dyDescent="0.2">
      <c r="A25" s="1075"/>
      <c r="B25" s="1076"/>
      <c r="C25" s="1076"/>
      <c r="D25" s="1076"/>
      <c r="E25" s="1076"/>
      <c r="F25" s="1076"/>
      <c r="G25" s="1077"/>
      <c r="H25" s="1077"/>
      <c r="I25" s="1077"/>
      <c r="J25" s="1077"/>
      <c r="K25" s="1077"/>
      <c r="L25" s="1077"/>
      <c r="M25" s="1077"/>
      <c r="N25" s="1077"/>
      <c r="O25" s="1077"/>
    </row>
    <row r="26" spans="1:15" ht="12.75" customHeight="1" x14ac:dyDescent="0.2">
      <c r="A26" s="1078" t="s">
        <v>868</v>
      </c>
      <c r="B26" s="1424" t="s">
        <v>1472</v>
      </c>
      <c r="C26" s="1411"/>
      <c r="D26" s="1411"/>
      <c r="E26" s="1411"/>
      <c r="F26" s="1411"/>
      <c r="G26" s="1411"/>
      <c r="H26" s="1411"/>
      <c r="I26" s="1411"/>
      <c r="J26" s="1411"/>
      <c r="K26" s="1411"/>
      <c r="L26" s="1411"/>
      <c r="M26" s="1411"/>
      <c r="N26" s="1411"/>
      <c r="O26" s="1412"/>
    </row>
    <row r="27" spans="1:15" ht="12.75" customHeight="1" x14ac:dyDescent="0.2">
      <c r="A27" s="1425"/>
      <c r="B27" s="1425" t="s">
        <v>14</v>
      </c>
      <c r="C27" s="1427"/>
      <c r="D27" s="1427"/>
      <c r="E27" s="1427"/>
      <c r="F27" s="1427"/>
      <c r="G27" s="1428"/>
      <c r="H27" s="1431" t="s">
        <v>15</v>
      </c>
      <c r="I27" s="1431" t="s">
        <v>628</v>
      </c>
      <c r="J27" s="1425" t="s">
        <v>1742</v>
      </c>
      <c r="K27" s="1428"/>
      <c r="L27" s="1431" t="s">
        <v>1893</v>
      </c>
      <c r="M27" s="1431" t="s">
        <v>1875</v>
      </c>
      <c r="N27" s="1425" t="s">
        <v>1745</v>
      </c>
      <c r="O27" s="1428"/>
    </row>
    <row r="28" spans="1:15" ht="12.75" customHeight="1" x14ac:dyDescent="0.2">
      <c r="A28" s="1426"/>
      <c r="B28" s="1426"/>
      <c r="C28" s="1429"/>
      <c r="D28" s="1429"/>
      <c r="E28" s="1429"/>
      <c r="F28" s="1429"/>
      <c r="G28" s="1430"/>
      <c r="H28" s="1432"/>
      <c r="I28" s="1432"/>
      <c r="J28" s="1426"/>
      <c r="K28" s="1430"/>
      <c r="L28" s="1432"/>
      <c r="M28" s="1432"/>
      <c r="N28" s="1426"/>
      <c r="O28" s="1430"/>
    </row>
    <row r="29" spans="1:15" ht="12.75" customHeight="1" x14ac:dyDescent="0.2">
      <c r="A29" s="1079" t="s">
        <v>1894</v>
      </c>
      <c r="B29" s="1423" t="s">
        <v>1895</v>
      </c>
      <c r="C29" s="1411"/>
      <c r="D29" s="1411"/>
      <c r="E29" s="1411"/>
      <c r="F29" s="1411"/>
      <c r="G29" s="1412"/>
      <c r="H29" s="1080" t="s">
        <v>1064</v>
      </c>
      <c r="I29" s="1034">
        <v>1</v>
      </c>
      <c r="J29" s="1413">
        <v>800000</v>
      </c>
      <c r="K29" s="1412"/>
      <c r="L29" s="1073">
        <v>5</v>
      </c>
      <c r="M29" s="1039">
        <f t="shared" ref="M29:M35" si="2">N29/$N$54</f>
        <v>9.0323435027061961E-3</v>
      </c>
      <c r="N29" s="1413">
        <f t="shared" ref="N29:N32" si="3">J29*I29*L29</f>
        <v>4000000</v>
      </c>
      <c r="O29" s="1412"/>
    </row>
    <row r="30" spans="1:15" ht="12.75" customHeight="1" x14ac:dyDescent="0.2">
      <c r="A30" s="1079" t="s">
        <v>1896</v>
      </c>
      <c r="B30" s="1423" t="s">
        <v>1897</v>
      </c>
      <c r="C30" s="1411"/>
      <c r="D30" s="1411"/>
      <c r="E30" s="1411"/>
      <c r="F30" s="1411"/>
      <c r="G30" s="1412"/>
      <c r="H30" s="1080" t="s">
        <v>1064</v>
      </c>
      <c r="I30" s="1034">
        <v>1</v>
      </c>
      <c r="J30" s="1413">
        <v>500000</v>
      </c>
      <c r="K30" s="1412"/>
      <c r="L30" s="1073">
        <v>5</v>
      </c>
      <c r="M30" s="1039">
        <f t="shared" si="2"/>
        <v>5.6452146891913723E-3</v>
      </c>
      <c r="N30" s="1413">
        <f t="shared" si="3"/>
        <v>2500000</v>
      </c>
      <c r="O30" s="1412"/>
    </row>
    <row r="31" spans="1:15" ht="12.75" customHeight="1" x14ac:dyDescent="0.2">
      <c r="A31" s="1079" t="s">
        <v>1898</v>
      </c>
      <c r="B31" s="1423" t="s">
        <v>1899</v>
      </c>
      <c r="C31" s="1411"/>
      <c r="D31" s="1411"/>
      <c r="E31" s="1411"/>
      <c r="F31" s="1411"/>
      <c r="G31" s="1412"/>
      <c r="H31" s="1080" t="s">
        <v>1064</v>
      </c>
      <c r="I31" s="1034">
        <v>1</v>
      </c>
      <c r="J31" s="1413">
        <v>6500000</v>
      </c>
      <c r="K31" s="1412"/>
      <c r="L31" s="1073">
        <v>4</v>
      </c>
      <c r="M31" s="1039">
        <f t="shared" si="2"/>
        <v>5.871023276759027E-2</v>
      </c>
      <c r="N31" s="1413">
        <f t="shared" si="3"/>
        <v>26000000</v>
      </c>
      <c r="O31" s="1412"/>
    </row>
    <row r="32" spans="1:15" ht="26.25" customHeight="1" x14ac:dyDescent="0.2">
      <c r="A32" s="1079" t="s">
        <v>1900</v>
      </c>
      <c r="B32" s="1423" t="s">
        <v>2729</v>
      </c>
      <c r="C32" s="1442"/>
      <c r="D32" s="1442"/>
      <c r="E32" s="1442"/>
      <c r="F32" s="1442"/>
      <c r="G32" s="1443"/>
      <c r="H32" s="1080" t="s">
        <v>1064</v>
      </c>
      <c r="I32" s="1034">
        <v>1</v>
      </c>
      <c r="J32" s="1413">
        <v>974632.90999056399</v>
      </c>
      <c r="K32" s="1412"/>
      <c r="L32" s="1073">
        <v>4</v>
      </c>
      <c r="M32" s="1039">
        <f t="shared" si="2"/>
        <v>8.8032192320769038E-3</v>
      </c>
      <c r="N32" s="1413">
        <f t="shared" si="3"/>
        <v>3898531.639962256</v>
      </c>
      <c r="O32" s="1412"/>
    </row>
    <row r="33" spans="1:15" ht="12.75" customHeight="1" x14ac:dyDescent="0.2">
      <c r="A33" s="1079" t="s">
        <v>1902</v>
      </c>
      <c r="B33" s="1423" t="s">
        <v>1903</v>
      </c>
      <c r="C33" s="1411"/>
      <c r="D33" s="1411"/>
      <c r="E33" s="1411"/>
      <c r="F33" s="1411"/>
      <c r="G33" s="1412"/>
      <c r="H33" s="1080" t="s">
        <v>1064</v>
      </c>
      <c r="I33" s="1034">
        <v>1</v>
      </c>
      <c r="J33" s="1413">
        <v>2500000</v>
      </c>
      <c r="K33" s="1412"/>
      <c r="L33" s="1073">
        <v>1</v>
      </c>
      <c r="M33" s="1039">
        <f t="shared" si="2"/>
        <v>5.6452146891913723E-3</v>
      </c>
      <c r="N33" s="1413">
        <f t="shared" ref="N33:N34" si="4">J33*L33*I33</f>
        <v>2500000</v>
      </c>
      <c r="O33" s="1412"/>
    </row>
    <row r="34" spans="1:15" ht="12.75" customHeight="1" x14ac:dyDescent="0.2">
      <c r="A34" s="1393" t="s">
        <v>1904</v>
      </c>
      <c r="B34" s="1433" t="s">
        <v>1905</v>
      </c>
      <c r="C34" s="1427"/>
      <c r="D34" s="1427"/>
      <c r="E34" s="1427"/>
      <c r="F34" s="1427"/>
      <c r="G34" s="1428"/>
      <c r="H34" s="1394" t="s">
        <v>1064</v>
      </c>
      <c r="I34" s="1375">
        <v>0.5</v>
      </c>
      <c r="J34" s="1434">
        <v>2000000</v>
      </c>
      <c r="K34" s="1428"/>
      <c r="L34" s="1395">
        <v>4</v>
      </c>
      <c r="M34" s="1396">
        <f t="shared" si="2"/>
        <v>9.0323435027061961E-3</v>
      </c>
      <c r="N34" s="1434">
        <f t="shared" si="4"/>
        <v>4000000</v>
      </c>
      <c r="O34" s="1428"/>
    </row>
    <row r="35" spans="1:15" ht="12.75" customHeight="1" x14ac:dyDescent="0.2">
      <c r="A35" s="1397"/>
      <c r="B35" s="1437" t="s">
        <v>2723</v>
      </c>
      <c r="C35" s="1438"/>
      <c r="D35" s="1438"/>
      <c r="E35" s="1438"/>
      <c r="F35" s="1438"/>
      <c r="G35" s="1439"/>
      <c r="H35" s="1398" t="s">
        <v>2</v>
      </c>
      <c r="I35" s="1170">
        <v>1</v>
      </c>
      <c r="J35" s="1440">
        <v>2000000</v>
      </c>
      <c r="K35" s="1441"/>
      <c r="L35" s="1399">
        <v>1</v>
      </c>
      <c r="M35" s="1396">
        <f t="shared" si="2"/>
        <v>4.516171751353098E-3</v>
      </c>
      <c r="N35" s="1434">
        <f t="shared" ref="N35" si="5">J35*L35*I35</f>
        <v>2000000</v>
      </c>
      <c r="O35" s="1428"/>
    </row>
    <row r="36" spans="1:15" ht="12.75" customHeight="1" x14ac:dyDescent="0.2">
      <c r="A36" s="1029"/>
      <c r="B36" s="1029"/>
      <c r="C36" s="1029"/>
      <c r="D36" s="1029"/>
      <c r="E36" s="1029"/>
      <c r="F36" s="1081"/>
      <c r="G36" s="1029"/>
      <c r="H36" s="1435" t="s">
        <v>1770</v>
      </c>
      <c r="I36" s="1429"/>
      <c r="J36" s="1429"/>
      <c r="K36" s="1429"/>
      <c r="L36" s="1429"/>
      <c r="M36" s="1430"/>
      <c r="N36" s="1436">
        <f>SUM(N29:N35)</f>
        <v>44898531.639962256</v>
      </c>
      <c r="O36" s="1430"/>
    </row>
    <row r="37" spans="1:15" ht="12.75" customHeight="1" x14ac:dyDescent="0.2">
      <c r="A37" s="1075"/>
      <c r="B37" s="1076"/>
      <c r="C37" s="1076"/>
      <c r="D37" s="1076"/>
      <c r="E37" s="1076"/>
      <c r="F37" s="1076"/>
      <c r="G37" s="1077"/>
      <c r="H37" s="1077"/>
      <c r="I37" s="1077"/>
      <c r="J37" s="1077"/>
      <c r="K37" s="1077"/>
      <c r="L37" s="1077"/>
      <c r="M37" s="1077"/>
      <c r="N37" s="1077"/>
      <c r="O37" s="1077"/>
    </row>
    <row r="38" spans="1:15" ht="12.75" customHeight="1" x14ac:dyDescent="0.2">
      <c r="A38" s="1078" t="s">
        <v>869</v>
      </c>
      <c r="B38" s="1424" t="s">
        <v>1906</v>
      </c>
      <c r="C38" s="1411"/>
      <c r="D38" s="1411"/>
      <c r="E38" s="1411"/>
      <c r="F38" s="1411"/>
      <c r="G38" s="1411"/>
      <c r="H38" s="1411"/>
      <c r="I38" s="1411"/>
      <c r="J38" s="1411"/>
      <c r="K38" s="1411"/>
      <c r="L38" s="1411"/>
      <c r="M38" s="1411"/>
      <c r="N38" s="1411"/>
      <c r="O38" s="1412"/>
    </row>
    <row r="39" spans="1:15" ht="12.75" customHeight="1" x14ac:dyDescent="0.2">
      <c r="A39" s="1425"/>
      <c r="B39" s="1425" t="s">
        <v>14</v>
      </c>
      <c r="C39" s="1427"/>
      <c r="D39" s="1427"/>
      <c r="E39" s="1427"/>
      <c r="F39" s="1427"/>
      <c r="G39" s="1428"/>
      <c r="H39" s="1431" t="s">
        <v>2726</v>
      </c>
      <c r="I39" s="1431" t="s">
        <v>628</v>
      </c>
      <c r="J39" s="1425" t="s">
        <v>2727</v>
      </c>
      <c r="K39" s="1428"/>
      <c r="L39" s="1431" t="s">
        <v>2728</v>
      </c>
      <c r="M39" s="1431" t="s">
        <v>1875</v>
      </c>
      <c r="N39" s="1425" t="s">
        <v>1745</v>
      </c>
      <c r="O39" s="1428"/>
    </row>
    <row r="40" spans="1:15" ht="12.75" customHeight="1" x14ac:dyDescent="0.2">
      <c r="A40" s="1426"/>
      <c r="B40" s="1426"/>
      <c r="C40" s="1429"/>
      <c r="D40" s="1429"/>
      <c r="E40" s="1429"/>
      <c r="F40" s="1429"/>
      <c r="G40" s="1430"/>
      <c r="H40" s="1432"/>
      <c r="I40" s="1432"/>
      <c r="J40" s="1426"/>
      <c r="K40" s="1430"/>
      <c r="L40" s="1432"/>
      <c r="M40" s="1432"/>
      <c r="N40" s="1426"/>
      <c r="O40" s="1430"/>
    </row>
    <row r="41" spans="1:15" ht="12.75" customHeight="1" x14ac:dyDescent="0.2">
      <c r="A41" s="1079" t="s">
        <v>1907</v>
      </c>
      <c r="B41" s="1423" t="s">
        <v>1908</v>
      </c>
      <c r="C41" s="1411"/>
      <c r="D41" s="1411"/>
      <c r="E41" s="1411"/>
      <c r="F41" s="1411"/>
      <c r="G41" s="1412"/>
      <c r="H41" s="1080" t="s">
        <v>2</v>
      </c>
      <c r="I41" s="1034">
        <v>1</v>
      </c>
      <c r="J41" s="1413">
        <f>D8</f>
        <v>2279176778.0025139</v>
      </c>
      <c r="K41" s="1412"/>
      <c r="L41" s="1407">
        <v>1.4999999999999999E-2</v>
      </c>
      <c r="M41" s="1039">
        <f>N41/$N$54</f>
        <v>7.7198653358661926E-2</v>
      </c>
      <c r="N41" s="1413">
        <f>J41*I41*L41</f>
        <v>34187651.670037709</v>
      </c>
      <c r="O41" s="1412"/>
    </row>
    <row r="42" spans="1:15" ht="12.75" customHeight="1" x14ac:dyDescent="0.2">
      <c r="A42" s="1029"/>
      <c r="B42" s="1029"/>
      <c r="C42" s="1029"/>
      <c r="D42" s="1029"/>
      <c r="E42" s="1029"/>
      <c r="F42" s="1081"/>
      <c r="G42" s="1029"/>
      <c r="H42" s="1421" t="s">
        <v>1770</v>
      </c>
      <c r="I42" s="1411"/>
      <c r="J42" s="1411"/>
      <c r="K42" s="1411"/>
      <c r="L42" s="1411"/>
      <c r="M42" s="1412"/>
      <c r="N42" s="1413">
        <f>SUM(N41)</f>
        <v>34187651.670037709</v>
      </c>
      <c r="O42" s="1412"/>
    </row>
    <row r="43" spans="1:15" ht="12.75" customHeight="1" x14ac:dyDescent="0.2">
      <c r="A43" s="1075"/>
      <c r="B43" s="1076"/>
      <c r="C43" s="1076"/>
      <c r="D43" s="1076"/>
      <c r="E43" s="1076"/>
      <c r="F43" s="1076"/>
      <c r="G43" s="1077"/>
      <c r="H43" s="1077"/>
      <c r="I43" s="1077"/>
      <c r="J43" s="1077"/>
      <c r="K43" s="1077"/>
      <c r="L43" s="1077"/>
      <c r="M43" s="1077"/>
      <c r="N43" s="1077"/>
      <c r="O43" s="1077"/>
    </row>
    <row r="44" spans="1:15" ht="12.75" customHeight="1" x14ac:dyDescent="0.2">
      <c r="A44" s="1078" t="s">
        <v>870</v>
      </c>
      <c r="B44" s="1424" t="s">
        <v>1909</v>
      </c>
      <c r="C44" s="1411"/>
      <c r="D44" s="1411"/>
      <c r="E44" s="1411"/>
      <c r="F44" s="1411"/>
      <c r="G44" s="1411"/>
      <c r="H44" s="1411"/>
      <c r="I44" s="1411"/>
      <c r="J44" s="1411"/>
      <c r="K44" s="1411"/>
      <c r="L44" s="1411"/>
      <c r="M44" s="1411"/>
      <c r="N44" s="1411"/>
      <c r="O44" s="1412"/>
    </row>
    <row r="45" spans="1:15" ht="12.75" customHeight="1" x14ac:dyDescent="0.2">
      <c r="A45" s="1425"/>
      <c r="B45" s="1425" t="s">
        <v>14</v>
      </c>
      <c r="C45" s="1427"/>
      <c r="D45" s="1427"/>
      <c r="E45" s="1427"/>
      <c r="F45" s="1427"/>
      <c r="G45" s="1428"/>
      <c r="H45" s="1431" t="s">
        <v>15</v>
      </c>
      <c r="I45" s="1431" t="s">
        <v>628</v>
      </c>
      <c r="J45" s="1425" t="s">
        <v>1742</v>
      </c>
      <c r="K45" s="1428"/>
      <c r="L45" s="1431" t="s">
        <v>1893</v>
      </c>
      <c r="M45" s="1431" t="s">
        <v>1875</v>
      </c>
      <c r="N45" s="1425" t="s">
        <v>1745</v>
      </c>
      <c r="O45" s="1428"/>
    </row>
    <row r="46" spans="1:15" ht="12.75" customHeight="1" x14ac:dyDescent="0.2">
      <c r="A46" s="1426"/>
      <c r="B46" s="1426"/>
      <c r="C46" s="1429"/>
      <c r="D46" s="1429"/>
      <c r="E46" s="1429"/>
      <c r="F46" s="1429"/>
      <c r="G46" s="1430"/>
      <c r="H46" s="1432"/>
      <c r="I46" s="1432"/>
      <c r="J46" s="1426"/>
      <c r="K46" s="1430"/>
      <c r="L46" s="1432"/>
      <c r="M46" s="1432"/>
      <c r="N46" s="1426"/>
      <c r="O46" s="1430"/>
    </row>
    <row r="47" spans="1:15" ht="12.75" customHeight="1" x14ac:dyDescent="0.2">
      <c r="A47" s="1079" t="s">
        <v>1910</v>
      </c>
      <c r="B47" s="1423" t="s">
        <v>1911</v>
      </c>
      <c r="C47" s="1411"/>
      <c r="D47" s="1411"/>
      <c r="E47" s="1411"/>
      <c r="F47" s="1411"/>
      <c r="G47" s="1412"/>
      <c r="H47" s="1080" t="s">
        <v>114</v>
      </c>
      <c r="I47" s="1074">
        <v>0.02</v>
      </c>
      <c r="J47" s="1413">
        <f>ROUND((I47*$D$8),0)</f>
        <v>45583536</v>
      </c>
      <c r="K47" s="1412"/>
      <c r="L47" s="1073">
        <v>1</v>
      </c>
      <c r="M47" s="1039">
        <f>N47/$N$54</f>
        <v>0.10293153880499349</v>
      </c>
      <c r="N47" s="1413">
        <f t="shared" ref="N47:N51" si="6">+J47*L47</f>
        <v>45583536</v>
      </c>
      <c r="O47" s="1412"/>
    </row>
    <row r="48" spans="1:15" ht="12.75" customHeight="1" x14ac:dyDescent="0.2">
      <c r="A48" s="1079" t="s">
        <v>1912</v>
      </c>
      <c r="B48" s="1423" t="s">
        <v>1913</v>
      </c>
      <c r="C48" s="1411"/>
      <c r="D48" s="1411"/>
      <c r="E48" s="1411"/>
      <c r="F48" s="1411"/>
      <c r="G48" s="1412"/>
      <c r="H48" s="1080" t="s">
        <v>114</v>
      </c>
      <c r="I48" s="1074">
        <v>1.4999999999999999E-2</v>
      </c>
      <c r="J48" s="1413">
        <f t="shared" ref="J48:J50" si="7">ROUND((I48*$D$8),0)</f>
        <v>34187652</v>
      </c>
      <c r="K48" s="1412"/>
      <c r="L48" s="1073">
        <v>1</v>
      </c>
      <c r="M48" s="1039">
        <f>N48/$N$54</f>
        <v>7.7198654103745115E-2</v>
      </c>
      <c r="N48" s="1413">
        <f t="shared" si="6"/>
        <v>34187652</v>
      </c>
      <c r="O48" s="1412"/>
    </row>
    <row r="49" spans="1:17" ht="12.75" customHeight="1" x14ac:dyDescent="0.2">
      <c r="A49" s="1079" t="s">
        <v>1914</v>
      </c>
      <c r="B49" s="1423" t="s">
        <v>1915</v>
      </c>
      <c r="C49" s="1411"/>
      <c r="D49" s="1411"/>
      <c r="E49" s="1411"/>
      <c r="F49" s="1411"/>
      <c r="G49" s="1412"/>
      <c r="H49" s="1080" t="s">
        <v>114</v>
      </c>
      <c r="I49" s="1074">
        <v>5.0000000000000001E-3</v>
      </c>
      <c r="J49" s="1413">
        <f t="shared" si="7"/>
        <v>11395884</v>
      </c>
      <c r="K49" s="1412"/>
      <c r="L49" s="1073">
        <v>1</v>
      </c>
      <c r="M49" s="1039">
        <f>N49/$N$54</f>
        <v>2.5732884701248373E-2</v>
      </c>
      <c r="N49" s="1413">
        <f t="shared" si="6"/>
        <v>11395884</v>
      </c>
      <c r="O49" s="1412"/>
    </row>
    <row r="50" spans="1:17" ht="12.75" customHeight="1" x14ac:dyDescent="0.2">
      <c r="A50" s="1079" t="s">
        <v>1916</v>
      </c>
      <c r="B50" s="1423" t="s">
        <v>1917</v>
      </c>
      <c r="C50" s="1411"/>
      <c r="D50" s="1411"/>
      <c r="E50" s="1411"/>
      <c r="F50" s="1411"/>
      <c r="G50" s="1412"/>
      <c r="H50" s="1080" t="s">
        <v>114</v>
      </c>
      <c r="I50" s="1074">
        <v>1.4999999999999999E-2</v>
      </c>
      <c r="J50" s="1413">
        <f t="shared" si="7"/>
        <v>34187652</v>
      </c>
      <c r="K50" s="1412"/>
      <c r="L50" s="1073">
        <v>1</v>
      </c>
      <c r="M50" s="1039">
        <f>N50/$N$54</f>
        <v>7.7198654103745115E-2</v>
      </c>
      <c r="N50" s="1413">
        <f t="shared" si="6"/>
        <v>34187652</v>
      </c>
      <c r="O50" s="1412"/>
    </row>
    <row r="51" spans="1:17" ht="12.75" customHeight="1" x14ac:dyDescent="0.2">
      <c r="A51" s="1079" t="s">
        <v>1916</v>
      </c>
      <c r="B51" s="1423" t="s">
        <v>2722</v>
      </c>
      <c r="C51" s="1411"/>
      <c r="D51" s="1411"/>
      <c r="E51" s="1411"/>
      <c r="F51" s="1411"/>
      <c r="G51" s="1412"/>
      <c r="H51" s="1080" t="s">
        <v>114</v>
      </c>
      <c r="I51" s="1074">
        <v>0.05</v>
      </c>
      <c r="J51" s="1413">
        <f>ROUND((I51*$D$8),0)</f>
        <v>113958839</v>
      </c>
      <c r="K51" s="1412"/>
      <c r="L51" s="1073">
        <v>1</v>
      </c>
      <c r="M51" s="1039">
        <f>N51/$N$54</f>
        <v>0.25732884475439788</v>
      </c>
      <c r="N51" s="1413">
        <f t="shared" si="6"/>
        <v>113958839</v>
      </c>
      <c r="O51" s="1412"/>
    </row>
    <row r="52" spans="1:17" ht="12.75" customHeight="1" x14ac:dyDescent="0.25">
      <c r="A52" s="1029"/>
      <c r="B52" s="1029"/>
      <c r="C52" s="1028"/>
      <c r="D52" s="1028"/>
      <c r="E52" s="1028"/>
      <c r="F52" s="1028"/>
      <c r="G52" s="1029"/>
      <c r="H52" s="1421" t="s">
        <v>1770</v>
      </c>
      <c r="I52" s="1411"/>
      <c r="J52" s="1411"/>
      <c r="K52" s="1411"/>
      <c r="L52" s="1411"/>
      <c r="M52" s="1412"/>
      <c r="N52" s="1413">
        <f>SUM(N47:N51)</f>
        <v>239313563</v>
      </c>
      <c r="O52" s="1412"/>
    </row>
    <row r="53" spans="1:17" ht="12.75" customHeight="1" x14ac:dyDescent="0.25">
      <c r="A53" s="1075"/>
      <c r="B53" s="1076"/>
      <c r="C53" s="1028"/>
      <c r="D53" s="1028"/>
      <c r="E53" s="1028"/>
      <c r="F53" s="1028"/>
      <c r="G53" s="1077"/>
      <c r="H53" s="1077"/>
      <c r="I53" s="1077"/>
      <c r="J53" s="1077"/>
      <c r="K53" s="1077"/>
      <c r="L53" s="1077"/>
      <c r="M53" s="1077"/>
      <c r="N53" s="1077"/>
      <c r="O53" s="1077"/>
    </row>
    <row r="54" spans="1:17" ht="12.75" customHeight="1" x14ac:dyDescent="0.2">
      <c r="A54" s="1409" t="s">
        <v>2730</v>
      </c>
      <c r="B54" s="1409"/>
      <c r="C54" s="1409"/>
      <c r="D54" s="1409"/>
      <c r="E54" s="1409"/>
      <c r="F54" s="1409"/>
      <c r="G54" s="1409"/>
      <c r="H54" s="1410" t="s">
        <v>1771</v>
      </c>
      <c r="I54" s="1411"/>
      <c r="J54" s="1411"/>
      <c r="K54" s="1411"/>
      <c r="L54" s="1411"/>
      <c r="M54" s="1412"/>
      <c r="N54" s="1413">
        <f>N24+N36+N42+N52</f>
        <v>442852953.80999994</v>
      </c>
      <c r="O54" s="1412"/>
    </row>
    <row r="55" spans="1:17" ht="12.75" customHeight="1" x14ac:dyDescent="0.2">
      <c r="A55" s="1409"/>
      <c r="B55" s="1409"/>
      <c r="C55" s="1409"/>
      <c r="D55" s="1409"/>
      <c r="E55" s="1409"/>
      <c r="F55" s="1409"/>
      <c r="G55" s="1409"/>
      <c r="H55" s="1410" t="s">
        <v>1918</v>
      </c>
      <c r="I55" s="1411"/>
      <c r="J55" s="1411"/>
      <c r="K55" s="1411"/>
      <c r="L55" s="1411"/>
      <c r="M55" s="1412"/>
      <c r="N55" s="1422">
        <v>1</v>
      </c>
      <c r="O55" s="1412"/>
    </row>
    <row r="56" spans="1:17" ht="12.75" customHeight="1" x14ac:dyDescent="0.2">
      <c r="A56" s="1409"/>
      <c r="B56" s="1409"/>
      <c r="C56" s="1409"/>
      <c r="D56" s="1409"/>
      <c r="E56" s="1409"/>
      <c r="F56" s="1409"/>
      <c r="G56" s="1409"/>
      <c r="H56" s="1410" t="s">
        <v>600</v>
      </c>
      <c r="I56" s="1411"/>
      <c r="J56" s="1411"/>
      <c r="K56" s="1411"/>
      <c r="L56" s="1411"/>
      <c r="M56" s="1412"/>
      <c r="N56" s="1413">
        <f>N54*N55</f>
        <v>442852953.80999994</v>
      </c>
      <c r="O56" s="1412"/>
      <c r="P56" s="1082" cm="1">
        <f t="array" ref="P56:Q56">'01'!M269:N269</f>
        <v>442852953.80888158</v>
      </c>
      <c r="Q56">
        <v>0</v>
      </c>
    </row>
    <row r="57" spans="1:17" ht="12.75" customHeight="1" x14ac:dyDescent="0.2">
      <c r="A57" s="1029"/>
      <c r="B57" s="1029"/>
      <c r="G57" s="1029"/>
      <c r="H57" s="1029"/>
      <c r="I57" s="1029"/>
      <c r="J57" s="1029"/>
      <c r="K57" s="1029"/>
      <c r="L57" s="1029"/>
      <c r="M57" s="1029"/>
      <c r="N57" s="1029"/>
      <c r="O57" s="1029"/>
    </row>
    <row r="58" spans="1:17" ht="12.75" customHeight="1" x14ac:dyDescent="0.2">
      <c r="J58" s="1414"/>
      <c r="K58" s="1415"/>
      <c r="L58" s="1415"/>
      <c r="M58" s="1415"/>
      <c r="N58" s="1415"/>
      <c r="O58" s="1415"/>
    </row>
    <row r="59" spans="1:17" ht="12.75" customHeight="1" thickBot="1" x14ac:dyDescent="0.25">
      <c r="J59" s="1416"/>
      <c r="K59" s="1416"/>
      <c r="L59" s="1416"/>
      <c r="M59" s="1416"/>
      <c r="N59" s="1416"/>
      <c r="O59" s="1416"/>
    </row>
    <row r="60" spans="1:17" ht="12.75" customHeight="1" thickTop="1" x14ac:dyDescent="0.2">
      <c r="J60" s="1417" t="s">
        <v>1829</v>
      </c>
      <c r="K60" s="1418"/>
      <c r="L60" s="1417" t="s">
        <v>1830</v>
      </c>
      <c r="M60" s="1418"/>
      <c r="N60" s="1418"/>
      <c r="O60" s="1418"/>
    </row>
    <row r="61" spans="1:17" ht="12.75" customHeight="1" x14ac:dyDescent="0.2">
      <c r="J61" s="1419" t="s">
        <v>1831</v>
      </c>
      <c r="K61" s="1420"/>
      <c r="L61" s="1419" t="s">
        <v>1832</v>
      </c>
      <c r="M61" s="1420"/>
      <c r="N61" s="1420"/>
      <c r="O61" s="1420"/>
    </row>
    <row r="62" spans="1:17" ht="12.75" customHeight="1" x14ac:dyDescent="0.2"/>
    <row r="63" spans="1:17" ht="12.75" customHeight="1" x14ac:dyDescent="0.2"/>
    <row r="64" spans="1:17"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sheetData>
  <mergeCells count="134">
    <mergeCell ref="M1:O3"/>
    <mergeCell ref="K2:L3"/>
    <mergeCell ref="A5:N6"/>
    <mergeCell ref="O5:O6"/>
    <mergeCell ref="A11:A12"/>
    <mergeCell ref="B11:F12"/>
    <mergeCell ref="G11:G12"/>
    <mergeCell ref="H11:H12"/>
    <mergeCell ref="I11:I12"/>
    <mergeCell ref="J11:K12"/>
    <mergeCell ref="L11:L12"/>
    <mergeCell ref="A1:J3"/>
    <mergeCell ref="K1:L1"/>
    <mergeCell ref="M11:M12"/>
    <mergeCell ref="N11:O12"/>
    <mergeCell ref="B13:F13"/>
    <mergeCell ref="J13:K13"/>
    <mergeCell ref="N13:O13"/>
    <mergeCell ref="B14:F14"/>
    <mergeCell ref="J14:K14"/>
    <mergeCell ref="N14:O14"/>
    <mergeCell ref="B8:C8"/>
    <mergeCell ref="D8:E8"/>
    <mergeCell ref="B10:O10"/>
    <mergeCell ref="B16:F16"/>
    <mergeCell ref="J16:K16"/>
    <mergeCell ref="N16:O16"/>
    <mergeCell ref="B17:F17"/>
    <mergeCell ref="J17:K17"/>
    <mergeCell ref="N17:O17"/>
    <mergeCell ref="B15:F15"/>
    <mergeCell ref="J15:K15"/>
    <mergeCell ref="N15:O15"/>
    <mergeCell ref="B19:F19"/>
    <mergeCell ref="J19:K19"/>
    <mergeCell ref="N19:O19"/>
    <mergeCell ref="H22:M22"/>
    <mergeCell ref="N22:O22"/>
    <mergeCell ref="H23:M23"/>
    <mergeCell ref="N23:O23"/>
    <mergeCell ref="B18:F18"/>
    <mergeCell ref="J18:K18"/>
    <mergeCell ref="N18:O18"/>
    <mergeCell ref="B20:F20"/>
    <mergeCell ref="B21:F21"/>
    <mergeCell ref="N20:O20"/>
    <mergeCell ref="J21:K21"/>
    <mergeCell ref="N21:O21"/>
    <mergeCell ref="H24:M24"/>
    <mergeCell ref="N24:O24"/>
    <mergeCell ref="B26:O26"/>
    <mergeCell ref="A27:A28"/>
    <mergeCell ref="B27:G28"/>
    <mergeCell ref="H27:H28"/>
    <mergeCell ref="I27:I28"/>
    <mergeCell ref="J27:K28"/>
    <mergeCell ref="L27:L28"/>
    <mergeCell ref="M27:M28"/>
    <mergeCell ref="B31:G31"/>
    <mergeCell ref="J31:K31"/>
    <mergeCell ref="N31:O31"/>
    <mergeCell ref="B32:G32"/>
    <mergeCell ref="J32:K32"/>
    <mergeCell ref="N32:O32"/>
    <mergeCell ref="N27:O28"/>
    <mergeCell ref="B29:G29"/>
    <mergeCell ref="J29:K29"/>
    <mergeCell ref="N29:O29"/>
    <mergeCell ref="B30:G30"/>
    <mergeCell ref="J30:K30"/>
    <mergeCell ref="N30:O30"/>
    <mergeCell ref="B34:G34"/>
    <mergeCell ref="J34:K34"/>
    <mergeCell ref="N34:O34"/>
    <mergeCell ref="H36:M36"/>
    <mergeCell ref="N36:O36"/>
    <mergeCell ref="B38:O38"/>
    <mergeCell ref="B33:G33"/>
    <mergeCell ref="J33:K33"/>
    <mergeCell ref="N33:O33"/>
    <mergeCell ref="B35:G35"/>
    <mergeCell ref="J35:K35"/>
    <mergeCell ref="N35:O35"/>
    <mergeCell ref="M39:M40"/>
    <mergeCell ref="N39:O40"/>
    <mergeCell ref="B41:G41"/>
    <mergeCell ref="J41:K41"/>
    <mergeCell ref="N41:O41"/>
    <mergeCell ref="H42:M42"/>
    <mergeCell ref="N42:O42"/>
    <mergeCell ref="A39:A40"/>
    <mergeCell ref="B39:G40"/>
    <mergeCell ref="H39:H40"/>
    <mergeCell ref="I39:I40"/>
    <mergeCell ref="J39:K40"/>
    <mergeCell ref="L39:L40"/>
    <mergeCell ref="B47:G47"/>
    <mergeCell ref="J47:K47"/>
    <mergeCell ref="N47:O47"/>
    <mergeCell ref="B48:G48"/>
    <mergeCell ref="J48:K48"/>
    <mergeCell ref="N48:O48"/>
    <mergeCell ref="B44:O44"/>
    <mergeCell ref="A45:A46"/>
    <mergeCell ref="B45:G46"/>
    <mergeCell ref="H45:H46"/>
    <mergeCell ref="I45:I46"/>
    <mergeCell ref="J45:K46"/>
    <mergeCell ref="L45:L46"/>
    <mergeCell ref="M45:M46"/>
    <mergeCell ref="N45:O46"/>
    <mergeCell ref="B51:G51"/>
    <mergeCell ref="J51:K51"/>
    <mergeCell ref="N51:O51"/>
    <mergeCell ref="B49:G49"/>
    <mergeCell ref="J49:K49"/>
    <mergeCell ref="N49:O49"/>
    <mergeCell ref="B50:G50"/>
    <mergeCell ref="J50:K50"/>
    <mergeCell ref="N50:O50"/>
    <mergeCell ref="A54:G56"/>
    <mergeCell ref="H56:M56"/>
    <mergeCell ref="N56:O56"/>
    <mergeCell ref="J58:O59"/>
    <mergeCell ref="J60:K60"/>
    <mergeCell ref="L60:O60"/>
    <mergeCell ref="J61:K61"/>
    <mergeCell ref="L61:O61"/>
    <mergeCell ref="H52:M52"/>
    <mergeCell ref="N52:O52"/>
    <mergeCell ref="H54:M54"/>
    <mergeCell ref="N54:O54"/>
    <mergeCell ref="H55:M55"/>
    <mergeCell ref="N55:O55"/>
  </mergeCells>
  <conditionalFormatting sqref="M41 M51 M47:M49 M29:M35 M13:M21">
    <cfRule type="colorScale" priority="2">
      <colorScale>
        <cfvo type="min"/>
        <cfvo type="percentile" val="50"/>
        <cfvo type="max"/>
        <color rgb="FF63BE7B"/>
        <color rgb="FFFFEB84"/>
        <color rgb="FFF8696B"/>
      </colorScale>
    </cfRule>
  </conditionalFormatting>
  <conditionalFormatting sqref="M50">
    <cfRule type="colorScale" priority="17">
      <colorScale>
        <cfvo type="min"/>
        <cfvo type="percentile" val="50"/>
        <cfvo type="max"/>
        <color rgb="FF63BE7B"/>
        <color rgb="FFFFEB84"/>
        <color rgb="FFF8696B"/>
      </colorScale>
    </cfRule>
  </conditionalFormatting>
  <pageMargins left="0.7" right="0.7" top="0.75" bottom="0.75" header="0.3" footer="0.3"/>
  <pageSetup scale="52"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AC445-140C-4BC1-9D62-C84ADE8AF15D}">
  <sheetPr>
    <tabColor rgb="FF7030A0"/>
  </sheetPr>
  <dimension ref="C1:V35"/>
  <sheetViews>
    <sheetView topLeftCell="B1" workbookViewId="0">
      <selection activeCell="C1" sqref="C1:I3"/>
    </sheetView>
  </sheetViews>
  <sheetFormatPr baseColWidth="10" defaultRowHeight="12.75" x14ac:dyDescent="0.2"/>
  <cols>
    <col min="9" max="9" width="18.140625" bestFit="1" customWidth="1"/>
    <col min="13" max="13" width="14.42578125" bestFit="1" customWidth="1"/>
  </cols>
  <sheetData>
    <row r="1" spans="3:22" ht="16.5" thickBot="1" x14ac:dyDescent="0.25">
      <c r="C1" s="1888" t="s">
        <v>2655</v>
      </c>
      <c r="D1" s="1888"/>
      <c r="E1" s="1888"/>
      <c r="F1" s="1230"/>
      <c r="G1" s="1889" t="s">
        <v>2656</v>
      </c>
      <c r="H1" s="1890"/>
      <c r="I1" s="1231" cm="1">
        <f t="array" ref="I1:J1">+'01'!I330:J330</f>
        <v>0</v>
      </c>
      <c r="J1">
        <v>0</v>
      </c>
    </row>
    <row r="2" spans="3:22" ht="16.5" thickBot="1" x14ac:dyDescent="0.25">
      <c r="C2" s="1891">
        <f>+M4</f>
        <v>2353371.7981062215</v>
      </c>
      <c r="D2" s="1891"/>
      <c r="E2" s="1891"/>
      <c r="F2" s="1230"/>
      <c r="G2" s="1232"/>
      <c r="H2" s="1232"/>
      <c r="I2" s="1232"/>
      <c r="P2">
        <f>+N4/2</f>
        <v>256.7</v>
      </c>
    </row>
    <row r="3" spans="3:22" ht="16.5" thickBot="1" x14ac:dyDescent="0.25">
      <c r="C3" s="1233"/>
      <c r="D3" s="1234"/>
      <c r="E3" s="1234"/>
      <c r="F3" s="1230"/>
      <c r="G3" s="1235" t="s">
        <v>19</v>
      </c>
      <c r="H3" s="1236"/>
      <c r="I3" s="1252" t="e">
        <f>(C2/I1)*100</f>
        <v>#DIV/0!</v>
      </c>
    </row>
    <row r="4" spans="3:22" x14ac:dyDescent="0.2">
      <c r="M4" s="853">
        <f>+L7+L10+L13+L14+L15+L18+L21+L22+L23+L26+L27+L30+L33+L34+L35</f>
        <v>2353371.7981062215</v>
      </c>
      <c r="N4" s="1263">
        <f>+N7+N10+N13+N14+N15+N18+N21+N22+N23+N26+N27+N30+N33+N34+N35</f>
        <v>513.4</v>
      </c>
      <c r="O4" t="s">
        <v>6</v>
      </c>
    </row>
    <row r="6" spans="3:22" x14ac:dyDescent="0.2">
      <c r="C6" s="1031" t="s">
        <v>1797</v>
      </c>
      <c r="D6" s="1031" t="s">
        <v>1784</v>
      </c>
      <c r="E6" s="1633" t="s">
        <v>96</v>
      </c>
      <c r="F6" s="1411"/>
      <c r="G6" s="1411"/>
      <c r="H6" s="1411"/>
      <c r="I6" s="1411"/>
      <c r="J6" s="1411"/>
      <c r="K6" s="1411"/>
      <c r="L6" s="1411"/>
      <c r="M6" s="1411"/>
      <c r="N6" s="1412"/>
    </row>
    <row r="7" spans="3:22" ht="13.5" x14ac:dyDescent="0.2">
      <c r="C7" s="1032" t="s">
        <v>1800</v>
      </c>
      <c r="D7" s="1032" t="str">
        <f>VLOOKUP(E7,'06'!$B$8:$N$225,13,FALSE)</f>
        <v>G015</v>
      </c>
      <c r="E7" s="1648" t="s">
        <v>2185</v>
      </c>
      <c r="F7" s="1649"/>
      <c r="G7" s="1649"/>
      <c r="H7" s="1649"/>
      <c r="I7" s="1649"/>
      <c r="J7" s="1649"/>
      <c r="K7" s="1033" t="str">
        <f>VLOOKUP(E7,'06'!$B$8:$N$225,7,FALSE)</f>
        <v>ML</v>
      </c>
      <c r="L7" s="1644">
        <v>136401.8837187216</v>
      </c>
      <c r="M7" s="1645"/>
      <c r="N7" s="1170">
        <v>5</v>
      </c>
    </row>
    <row r="8" spans="3:22" x14ac:dyDescent="0.2">
      <c r="P8" s="1253"/>
      <c r="Q8" s="1254"/>
      <c r="R8" s="1254"/>
      <c r="S8" s="1254"/>
      <c r="T8" s="1254"/>
      <c r="U8" s="1254"/>
      <c r="V8" s="1254"/>
    </row>
    <row r="9" spans="3:22" x14ac:dyDescent="0.2">
      <c r="C9" s="1160" t="s">
        <v>1808</v>
      </c>
      <c r="D9" s="1160" t="s">
        <v>1784</v>
      </c>
      <c r="E9" s="1652" t="s">
        <v>96</v>
      </c>
      <c r="F9" s="1653"/>
      <c r="G9" s="1653"/>
      <c r="H9" s="1653"/>
      <c r="I9" s="1653"/>
      <c r="J9" s="1653"/>
      <c r="K9" s="1653"/>
      <c r="L9" s="1653"/>
      <c r="M9" s="1653"/>
      <c r="N9" s="1653"/>
      <c r="P9" s="1255"/>
      <c r="Q9" s="1256"/>
      <c r="R9" s="1257"/>
      <c r="S9" s="1257"/>
      <c r="T9" s="1256"/>
      <c r="U9" s="1258"/>
      <c r="V9" s="1259"/>
    </row>
    <row r="10" spans="3:22" ht="13.5" x14ac:dyDescent="0.2">
      <c r="C10" s="1229" t="s">
        <v>1818</v>
      </c>
      <c r="D10" s="1161" t="str">
        <f>VLOOKUP(E10,'06'!$B$8:$N$225,13,FALSE)</f>
        <v>G999</v>
      </c>
      <c r="E10" s="1409" t="s">
        <v>2333</v>
      </c>
      <c r="F10" s="1409"/>
      <c r="G10" s="1409"/>
      <c r="H10" s="1409"/>
      <c r="I10" s="1409"/>
      <c r="J10" s="1409"/>
      <c r="K10" s="1162" t="str">
        <f>VLOOKUP(E10,'06'!$B$8:$N$225,7,FALSE)</f>
        <v>ML</v>
      </c>
      <c r="L10" s="1646">
        <v>230829.94153472222</v>
      </c>
      <c r="M10" s="1646"/>
      <c r="N10" s="1170">
        <v>24</v>
      </c>
      <c r="P10" s="1255"/>
      <c r="Q10" s="1256"/>
      <c r="R10" s="1257"/>
      <c r="S10" s="1257"/>
      <c r="T10" s="1256"/>
      <c r="U10" s="1258"/>
      <c r="V10" s="1259"/>
    </row>
    <row r="11" spans="3:22" x14ac:dyDescent="0.2">
      <c r="P11" s="794"/>
      <c r="Q11" s="794"/>
      <c r="R11" s="794"/>
      <c r="S11" s="794"/>
      <c r="T11" s="794"/>
      <c r="U11" s="794"/>
      <c r="V11" s="794"/>
    </row>
    <row r="12" spans="3:22" x14ac:dyDescent="0.2">
      <c r="C12" s="1031" t="s">
        <v>2012</v>
      </c>
      <c r="D12" s="1031" t="s">
        <v>1784</v>
      </c>
      <c r="E12" s="1633" t="s">
        <v>96</v>
      </c>
      <c r="F12" s="1411"/>
      <c r="G12" s="1411"/>
      <c r="H12" s="1411"/>
      <c r="I12" s="1411"/>
      <c r="J12" s="1411"/>
      <c r="K12" s="1411"/>
      <c r="L12" s="1411"/>
      <c r="M12" s="1411"/>
      <c r="N12" s="1412"/>
      <c r="Q12" s="794"/>
      <c r="R12" s="794"/>
      <c r="S12" s="794"/>
      <c r="T12" s="794"/>
      <c r="U12" s="794"/>
      <c r="V12" s="794"/>
    </row>
    <row r="13" spans="3:22" ht="13.5" x14ac:dyDescent="0.2">
      <c r="C13" s="1032" t="s">
        <v>2022</v>
      </c>
      <c r="D13" s="1032" t="str">
        <f>VLOOKUP(E13,'06'!$B$8:$N$225,13,FALSE)</f>
        <v>G990</v>
      </c>
      <c r="E13" s="1648" t="s">
        <v>2342</v>
      </c>
      <c r="F13" s="1649"/>
      <c r="G13" s="1649"/>
      <c r="H13" s="1649"/>
      <c r="I13" s="1649"/>
      <c r="J13" s="1649"/>
      <c r="K13" s="1033" t="str">
        <f>VLOOKUP(E13,'06'!$B$8:$N$225,7,FALSE)</f>
        <v>ML</v>
      </c>
      <c r="L13" s="1644">
        <v>68862.265043750012</v>
      </c>
      <c r="M13" s="1645"/>
      <c r="N13" s="1034">
        <v>22</v>
      </c>
      <c r="P13" s="794"/>
      <c r="Q13" s="794"/>
      <c r="R13" s="794"/>
      <c r="S13" s="794"/>
      <c r="T13" s="794"/>
      <c r="U13" s="794"/>
      <c r="V13" s="794"/>
    </row>
    <row r="14" spans="3:22" ht="13.5" x14ac:dyDescent="0.2">
      <c r="C14" s="1032" t="s">
        <v>2023</v>
      </c>
      <c r="D14" s="1032" t="str">
        <f>VLOOKUP(E14,'06'!$B$8:$N$225,13,FALSE)</f>
        <v>G989</v>
      </c>
      <c r="E14" s="1648" t="s">
        <v>2344</v>
      </c>
      <c r="F14" s="1649"/>
      <c r="G14" s="1649"/>
      <c r="H14" s="1649"/>
      <c r="I14" s="1649"/>
      <c r="J14" s="1649"/>
      <c r="K14" s="1033" t="str">
        <f>VLOOKUP(E14,'06'!$B$8:$N$225,7,FALSE)</f>
        <v>ML</v>
      </c>
      <c r="L14" s="1644">
        <v>139135.30125104164</v>
      </c>
      <c r="M14" s="1645"/>
      <c r="N14" s="1034">
        <v>30.5</v>
      </c>
    </row>
    <row r="15" spans="3:22" ht="13.5" x14ac:dyDescent="0.2">
      <c r="C15" s="1032" t="s">
        <v>2024</v>
      </c>
      <c r="D15" s="1032" t="str">
        <f>VLOOKUP(E15,'06'!$B$8:$N$225,13,FALSE)</f>
        <v>G999</v>
      </c>
      <c r="E15" s="1648" t="s">
        <v>2333</v>
      </c>
      <c r="F15" s="1649"/>
      <c r="G15" s="1649"/>
      <c r="H15" s="1649"/>
      <c r="I15" s="1649"/>
      <c r="J15" s="1649"/>
      <c r="K15" s="1033" t="str">
        <f>VLOOKUP(E15,'06'!$B$8:$N$225,7,FALSE)</f>
        <v>ML</v>
      </c>
      <c r="L15" s="1644">
        <v>230829.94153472222</v>
      </c>
      <c r="M15" s="1645"/>
      <c r="N15" s="1034">
        <v>18</v>
      </c>
      <c r="V15" s="1260"/>
    </row>
    <row r="17" spans="3:22" ht="13.5" thickBot="1" x14ac:dyDescent="0.25">
      <c r="C17" s="1031" t="s">
        <v>2055</v>
      </c>
      <c r="D17" s="1031" t="s">
        <v>1784</v>
      </c>
      <c r="E17" s="1633" t="s">
        <v>96</v>
      </c>
      <c r="F17" s="1411"/>
      <c r="G17" s="1411"/>
      <c r="H17" s="1411"/>
      <c r="I17" s="1411"/>
      <c r="J17" s="1411"/>
      <c r="K17" s="1411"/>
      <c r="L17" s="1411"/>
      <c r="M17" s="1411"/>
      <c r="N17" s="1412"/>
    </row>
    <row r="18" spans="3:22" ht="39.75" thickTop="1" thickBot="1" x14ac:dyDescent="0.25">
      <c r="C18" s="1032" t="s">
        <v>2056</v>
      </c>
      <c r="D18" s="1032" t="str">
        <f>VLOOKUP(E18,'06'!$B$8:$N$225,13,FALSE)</f>
        <v>G999</v>
      </c>
      <c r="E18" s="1409" t="s">
        <v>2333</v>
      </c>
      <c r="F18" s="1409"/>
      <c r="G18" s="1409"/>
      <c r="H18" s="1409"/>
      <c r="I18" s="1409"/>
      <c r="J18" s="1409"/>
      <c r="K18" s="1033" t="str">
        <f>VLOOKUP(E18,'06'!$B$8:$N$225,7,FALSE)</f>
        <v>ML</v>
      </c>
      <c r="L18" s="1644">
        <v>230829.94153472222</v>
      </c>
      <c r="M18" s="1645"/>
      <c r="N18" s="1034">
        <v>5</v>
      </c>
      <c r="P18" s="1240" t="s">
        <v>638</v>
      </c>
      <c r="Q18" s="1241" t="s">
        <v>2657</v>
      </c>
      <c r="R18" s="1241" t="s">
        <v>2658</v>
      </c>
      <c r="S18" s="1241" t="s">
        <v>2659</v>
      </c>
      <c r="T18" s="1241" t="s">
        <v>2660</v>
      </c>
      <c r="U18" s="1242" t="s">
        <v>2661</v>
      </c>
      <c r="V18" s="1237" t="s">
        <v>2662</v>
      </c>
    </row>
    <row r="19" spans="3:22" ht="13.5" thickBot="1" x14ac:dyDescent="0.25">
      <c r="P19" s="1243" t="s">
        <v>2663</v>
      </c>
      <c r="Q19" s="1244" t="s">
        <v>2664</v>
      </c>
      <c r="R19" s="1245">
        <v>45797</v>
      </c>
      <c r="S19" s="1245">
        <v>46213</v>
      </c>
      <c r="T19" s="1244">
        <v>2523210000</v>
      </c>
      <c r="U19" s="1246" t="e">
        <f>+Hoja2!J3</f>
        <v>#DIV/0!</v>
      </c>
      <c r="V19" s="1261" t="e">
        <f>+(U19*20)/(U19+U20)</f>
        <v>#DIV/0!</v>
      </c>
    </row>
    <row r="20" spans="3:22" ht="13.5" thickBot="1" x14ac:dyDescent="0.25">
      <c r="C20" s="1031" t="s">
        <v>2075</v>
      </c>
      <c r="D20" s="1031" t="s">
        <v>1784</v>
      </c>
      <c r="E20" s="1633" t="s">
        <v>96</v>
      </c>
      <c r="F20" s="1411"/>
      <c r="G20" s="1411"/>
      <c r="H20" s="1411"/>
      <c r="I20" s="1411"/>
      <c r="J20" s="1411"/>
      <c r="K20" s="1411"/>
      <c r="L20" s="1411"/>
      <c r="M20" s="1411"/>
      <c r="N20" s="1412"/>
      <c r="P20" s="1247">
        <v>2</v>
      </c>
      <c r="Q20" s="1248" t="s">
        <v>2665</v>
      </c>
      <c r="R20" s="1249">
        <v>45797</v>
      </c>
      <c r="S20" s="1249">
        <v>46371</v>
      </c>
      <c r="T20" s="1248">
        <v>3917239000</v>
      </c>
      <c r="U20" s="1250" t="e">
        <f>+I3</f>
        <v>#DIV/0!</v>
      </c>
      <c r="V20" s="1262" t="e">
        <f>+(U20*20)/(U20+U19)</f>
        <v>#DIV/0!</v>
      </c>
    </row>
    <row r="21" spans="3:22" ht="14.25" thickTop="1" x14ac:dyDescent="0.2">
      <c r="C21" s="1032" t="s">
        <v>2076</v>
      </c>
      <c r="D21" s="1032" t="str">
        <f>VLOOKUP(E21,'06'!$B$8:$N$225,13,FALSE)</f>
        <v>G990</v>
      </c>
      <c r="E21" s="1648" t="s">
        <v>2342</v>
      </c>
      <c r="F21" s="1649"/>
      <c r="G21" s="1649"/>
      <c r="H21" s="1649"/>
      <c r="I21" s="1649"/>
      <c r="J21" s="1649"/>
      <c r="K21" s="1033" t="str">
        <f>VLOOKUP(E21,'06'!$B$8:$N$225,7,FALSE)</f>
        <v>ML</v>
      </c>
      <c r="L21" s="1644">
        <v>68862.265043750012</v>
      </c>
      <c r="M21" s="1645"/>
      <c r="N21" s="1034">
        <v>16</v>
      </c>
      <c r="P21" s="1251"/>
      <c r="Q21" s="1251"/>
      <c r="R21" s="1251"/>
      <c r="S21" s="1251"/>
      <c r="T21" s="1251"/>
      <c r="U21" s="1251"/>
      <c r="V21" s="1251">
        <v>20</v>
      </c>
    </row>
    <row r="22" spans="3:22" ht="13.5" x14ac:dyDescent="0.2">
      <c r="C22" s="1032" t="s">
        <v>2077</v>
      </c>
      <c r="D22" s="1032" t="str">
        <f>VLOOKUP(E22,'06'!$B$8:$N$225,13,FALSE)</f>
        <v>G989</v>
      </c>
      <c r="E22" s="1648" t="s">
        <v>2344</v>
      </c>
      <c r="F22" s="1649"/>
      <c r="G22" s="1649"/>
      <c r="H22" s="1649"/>
      <c r="I22" s="1649"/>
      <c r="J22" s="1649"/>
      <c r="K22" s="1033" t="str">
        <f>VLOOKUP(E22,'06'!$B$8:$N$225,7,FALSE)</f>
        <v>ML</v>
      </c>
      <c r="L22" s="1644">
        <v>139135.30125104164</v>
      </c>
      <c r="M22" s="1645"/>
      <c r="N22" s="1034">
        <v>75.5</v>
      </c>
      <c r="P22" s="1238"/>
      <c r="Q22" s="1251"/>
      <c r="R22" s="1251"/>
      <c r="S22" s="1251"/>
      <c r="T22" s="1251"/>
      <c r="U22" s="1251"/>
      <c r="V22" s="1251"/>
    </row>
    <row r="23" spans="3:22" ht="13.5" x14ac:dyDescent="0.2">
      <c r="C23" s="1032" t="s">
        <v>2078</v>
      </c>
      <c r="D23" s="1032" t="str">
        <f>VLOOKUP(E23,'06'!$B$8:$N$225,13,FALSE)</f>
        <v>G999</v>
      </c>
      <c r="E23" s="1409" t="s">
        <v>2333</v>
      </c>
      <c r="F23" s="1409"/>
      <c r="G23" s="1409"/>
      <c r="H23" s="1409"/>
      <c r="I23" s="1409"/>
      <c r="J23" s="1409"/>
      <c r="K23" s="1033" t="str">
        <f>VLOOKUP(E23,'06'!$B$8:$N$225,7,FALSE)</f>
        <v>ML</v>
      </c>
      <c r="L23" s="1644">
        <v>230829.94153472222</v>
      </c>
      <c r="M23" s="1645"/>
      <c r="N23" s="1034">
        <v>36</v>
      </c>
      <c r="P23" s="1251"/>
      <c r="Q23" s="1251"/>
      <c r="R23" s="1251"/>
      <c r="S23" s="1251"/>
      <c r="T23" s="1251"/>
      <c r="U23" s="1251"/>
      <c r="V23" s="1251"/>
    </row>
    <row r="25" spans="3:22" x14ac:dyDescent="0.2">
      <c r="C25" s="1031" t="s">
        <v>2099</v>
      </c>
      <c r="D25" s="1031" t="s">
        <v>1784</v>
      </c>
      <c r="E25" s="1633" t="s">
        <v>96</v>
      </c>
      <c r="F25" s="1411"/>
      <c r="G25" s="1411"/>
      <c r="H25" s="1411"/>
      <c r="I25" s="1411"/>
      <c r="J25" s="1411"/>
      <c r="K25" s="1411"/>
      <c r="L25" s="1411"/>
      <c r="M25" s="1411"/>
      <c r="N25" s="1412"/>
      <c r="P25" s="1238"/>
      <c r="Q25" s="1238"/>
      <c r="R25" s="1238"/>
      <c r="S25" s="1238"/>
      <c r="T25" s="1238"/>
      <c r="U25" s="1238"/>
      <c r="V25" s="1239">
        <v>17.549112006031695</v>
      </c>
    </row>
    <row r="26" spans="3:22" ht="13.5" x14ac:dyDescent="0.2">
      <c r="C26" s="1032" t="s">
        <v>2100</v>
      </c>
      <c r="D26" s="1032" t="str">
        <f>VLOOKUP(E26,'06'!$B$8:$N$225,13,FALSE)</f>
        <v>G990</v>
      </c>
      <c r="E26" s="1648" t="s">
        <v>2342</v>
      </c>
      <c r="F26" s="1649"/>
      <c r="G26" s="1649"/>
      <c r="H26" s="1649"/>
      <c r="I26" s="1649"/>
      <c r="J26" s="1649"/>
      <c r="K26" s="1033" t="str">
        <f>VLOOKUP(E26,'06'!$B$8:$N$225,7,FALSE)</f>
        <v>ML</v>
      </c>
      <c r="L26" s="1644">
        <v>68862.265043750012</v>
      </c>
      <c r="M26" s="1645"/>
      <c r="N26" s="1034">
        <v>31.4</v>
      </c>
    </row>
    <row r="27" spans="3:22" ht="13.5" x14ac:dyDescent="0.2">
      <c r="C27" s="1032" t="s">
        <v>2101</v>
      </c>
      <c r="D27" s="1032" t="str">
        <f>VLOOKUP(E27,'06'!$B$8:$N$225,13,FALSE)</f>
        <v>G989</v>
      </c>
      <c r="E27" s="1648" t="s">
        <v>2344</v>
      </c>
      <c r="F27" s="1649"/>
      <c r="G27" s="1649"/>
      <c r="H27" s="1649"/>
      <c r="I27" s="1649"/>
      <c r="J27" s="1649"/>
      <c r="K27" s="1033" t="str">
        <f>VLOOKUP(E27,'06'!$B$8:$N$225,7,FALSE)</f>
        <v>ML</v>
      </c>
      <c r="L27" s="1644">
        <v>139135.30125104164</v>
      </c>
      <c r="M27" s="1645"/>
      <c r="N27" s="1034">
        <v>15</v>
      </c>
    </row>
    <row r="29" spans="3:22" x14ac:dyDescent="0.2">
      <c r="C29" s="1031" t="s">
        <v>2123</v>
      </c>
      <c r="D29" s="1031" t="s">
        <v>1784</v>
      </c>
      <c r="E29" s="1633" t="s">
        <v>96</v>
      </c>
      <c r="F29" s="1411"/>
      <c r="G29" s="1411"/>
      <c r="H29" s="1411"/>
      <c r="I29" s="1411"/>
      <c r="J29" s="1411"/>
      <c r="K29" s="1411"/>
      <c r="L29" s="1411"/>
      <c r="M29" s="1411"/>
      <c r="N29" s="1412"/>
    </row>
    <row r="30" spans="3:22" ht="13.5" x14ac:dyDescent="0.2">
      <c r="C30" s="1032" t="s">
        <v>2124</v>
      </c>
      <c r="D30" s="1032" t="str">
        <f>VLOOKUP(E30,'06'!$B$8:$N$225,13,FALSE)</f>
        <v>G999</v>
      </c>
      <c r="E30" s="1409" t="s">
        <v>2333</v>
      </c>
      <c r="F30" s="1409"/>
      <c r="G30" s="1409"/>
      <c r="H30" s="1409"/>
      <c r="I30" s="1409"/>
      <c r="J30" s="1409"/>
      <c r="K30" s="1033" t="str">
        <f>VLOOKUP(E30,'06'!$B$8:$N$225,7,FALSE)</f>
        <v>ML</v>
      </c>
      <c r="L30" s="1644">
        <v>230829.94153472222</v>
      </c>
      <c r="M30" s="1645"/>
      <c r="N30" s="1034">
        <v>90</v>
      </c>
    </row>
    <row r="32" spans="3:22" x14ac:dyDescent="0.2">
      <c r="C32" s="1031" t="s">
        <v>2550</v>
      </c>
      <c r="D32" s="1031" t="s">
        <v>1784</v>
      </c>
      <c r="E32" s="1633" t="s">
        <v>96</v>
      </c>
      <c r="F32" s="1411"/>
      <c r="G32" s="1411"/>
      <c r="H32" s="1411"/>
      <c r="I32" s="1411"/>
      <c r="J32" s="1411"/>
      <c r="K32" s="1411"/>
      <c r="L32" s="1411"/>
      <c r="M32" s="1411"/>
      <c r="N32" s="1412"/>
    </row>
    <row r="33" spans="3:14" ht="13.5" x14ac:dyDescent="0.2">
      <c r="C33" s="1032" t="s">
        <v>2551</v>
      </c>
      <c r="D33" s="1032" t="str">
        <f>VLOOKUP(E33,'06'!$B$8:$N$225,13,FALSE)</f>
        <v>G990</v>
      </c>
      <c r="E33" s="1648" t="s">
        <v>2342</v>
      </c>
      <c r="F33" s="1649"/>
      <c r="G33" s="1649"/>
      <c r="H33" s="1649"/>
      <c r="I33" s="1649"/>
      <c r="J33" s="1649"/>
      <c r="K33" s="1033" t="str">
        <f>VLOOKUP(E33,'06'!$B$8:$N$225,7,FALSE)</f>
        <v>ML</v>
      </c>
      <c r="L33" s="1644">
        <v>68862.265043750012</v>
      </c>
      <c r="M33" s="1645"/>
      <c r="N33" s="1170">
        <v>10</v>
      </c>
    </row>
    <row r="34" spans="3:14" ht="13.5" x14ac:dyDescent="0.2">
      <c r="C34" s="1032" t="s">
        <v>2561</v>
      </c>
      <c r="D34" s="1032" t="str">
        <f>VLOOKUP(E34,'06'!$B$8:$N$225,13,FALSE)</f>
        <v>G989</v>
      </c>
      <c r="E34" s="1648" t="s">
        <v>2344</v>
      </c>
      <c r="F34" s="1649"/>
      <c r="G34" s="1649"/>
      <c r="H34" s="1649"/>
      <c r="I34" s="1649"/>
      <c r="J34" s="1649"/>
      <c r="K34" s="1033" t="str">
        <f>VLOOKUP(E34,'06'!$B$8:$N$225,7,FALSE)</f>
        <v>ML</v>
      </c>
      <c r="L34" s="1644">
        <v>139135.30125104164</v>
      </c>
      <c r="M34" s="1645"/>
      <c r="N34" s="1170">
        <v>20</v>
      </c>
    </row>
    <row r="35" spans="3:14" ht="13.5" x14ac:dyDescent="0.2">
      <c r="C35" s="1032" t="s">
        <v>2562</v>
      </c>
      <c r="D35" s="1032" t="str">
        <f>VLOOKUP(E35,'06'!$B$8:$N$225,13,FALSE)</f>
        <v>G999</v>
      </c>
      <c r="E35" s="1648" t="s">
        <v>2333</v>
      </c>
      <c r="F35" s="1649"/>
      <c r="G35" s="1649"/>
      <c r="H35" s="1649"/>
      <c r="I35" s="1649"/>
      <c r="J35" s="1649"/>
      <c r="K35" s="1033" t="str">
        <f>VLOOKUP(E35,'06'!$B$8:$N$225,7,FALSE)</f>
        <v>ML</v>
      </c>
      <c r="L35" s="1644">
        <v>230829.94153472222</v>
      </c>
      <c r="M35" s="1645"/>
      <c r="N35" s="1170">
        <v>115</v>
      </c>
    </row>
  </sheetData>
  <mergeCells count="41">
    <mergeCell ref="E6:N6"/>
    <mergeCell ref="E7:J7"/>
    <mergeCell ref="L7:M7"/>
    <mergeCell ref="E9:N9"/>
    <mergeCell ref="E10:J10"/>
    <mergeCell ref="L10:M10"/>
    <mergeCell ref="E21:J21"/>
    <mergeCell ref="L21:M21"/>
    <mergeCell ref="E12:N12"/>
    <mergeCell ref="E13:J13"/>
    <mergeCell ref="L13:M13"/>
    <mergeCell ref="E14:J14"/>
    <mergeCell ref="L14:M14"/>
    <mergeCell ref="E15:J15"/>
    <mergeCell ref="L15:M15"/>
    <mergeCell ref="E34:J34"/>
    <mergeCell ref="L34:M34"/>
    <mergeCell ref="E35:J35"/>
    <mergeCell ref="L35:M35"/>
    <mergeCell ref="E27:J27"/>
    <mergeCell ref="L27:M27"/>
    <mergeCell ref="E29:N29"/>
    <mergeCell ref="E30:J30"/>
    <mergeCell ref="L30:M30"/>
    <mergeCell ref="E32:N32"/>
    <mergeCell ref="C1:E1"/>
    <mergeCell ref="G1:H1"/>
    <mergeCell ref="C2:E2"/>
    <mergeCell ref="E33:J33"/>
    <mergeCell ref="L33:M33"/>
    <mergeCell ref="E22:J22"/>
    <mergeCell ref="L22:M22"/>
    <mergeCell ref="E23:J23"/>
    <mergeCell ref="L23:M23"/>
    <mergeCell ref="E25:N25"/>
    <mergeCell ref="E26:J26"/>
    <mergeCell ref="L26:M26"/>
    <mergeCell ref="E17:N17"/>
    <mergeCell ref="E18:J18"/>
    <mergeCell ref="L18:M18"/>
    <mergeCell ref="E20:N20"/>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25EB9-6C51-44AE-872D-6F5207091E25}">
  <dimension ref="A1:U32"/>
  <sheetViews>
    <sheetView topLeftCell="K1" workbookViewId="0">
      <selection activeCell="Q1" sqref="Q1"/>
    </sheetView>
  </sheetViews>
  <sheetFormatPr baseColWidth="10" defaultRowHeight="12.75" x14ac:dyDescent="0.2"/>
  <cols>
    <col min="6" max="8" width="11.42578125" customWidth="1"/>
    <col min="10" max="10" width="10.85546875" customWidth="1"/>
    <col min="11" max="11" width="5.85546875" customWidth="1"/>
    <col min="12" max="12" width="18.140625" bestFit="1" customWidth="1"/>
    <col min="15" max="15" width="11.42578125" style="794"/>
    <col min="17" max="17" width="15" style="1292" bestFit="1" customWidth="1"/>
    <col min="18" max="18" width="11.42578125" style="1292"/>
    <col min="19" max="19" width="12" style="1296" customWidth="1"/>
    <col min="21" max="21" width="16.5703125" style="841" bestFit="1" customWidth="1"/>
    <col min="23" max="23" width="11.28515625" bestFit="1" customWidth="1"/>
  </cols>
  <sheetData>
    <row r="1" spans="1:21" ht="16.5" thickBot="1" x14ac:dyDescent="0.25">
      <c r="D1" s="1894" t="s">
        <v>2666</v>
      </c>
      <c r="E1" s="1894"/>
      <c r="F1" s="1894"/>
      <c r="G1" s="1264"/>
      <c r="H1" s="1895" t="s">
        <v>2656</v>
      </c>
      <c r="I1" s="1896"/>
      <c r="K1" s="1273"/>
      <c r="L1" s="1274" cm="1">
        <f t="array" ref="L1:M1">+'01'!I330:J330</f>
        <v>0</v>
      </c>
      <c r="M1">
        <v>0</v>
      </c>
      <c r="O1" s="1271"/>
      <c r="Q1" s="1291" t="s">
        <v>2668</v>
      </c>
      <c r="R1" s="1291" t="s">
        <v>2153</v>
      </c>
      <c r="S1" s="1295" t="s">
        <v>2669</v>
      </c>
    </row>
    <row r="2" spans="1:21" ht="16.5" thickBot="1" x14ac:dyDescent="0.25">
      <c r="D2" s="1897">
        <f>+U5</f>
        <v>238445968.00000006</v>
      </c>
      <c r="E2" s="1894"/>
      <c r="F2" s="1894"/>
      <c r="G2" s="1264"/>
      <c r="H2" s="1232"/>
      <c r="I2" s="1232"/>
      <c r="J2" s="1272"/>
    </row>
    <row r="3" spans="1:21" ht="16.5" thickBot="1" x14ac:dyDescent="0.25">
      <c r="D3" s="1265"/>
      <c r="E3" s="1266"/>
      <c r="F3" s="1266"/>
      <c r="G3" s="1264"/>
      <c r="H3" s="1267" t="s">
        <v>19</v>
      </c>
      <c r="I3" s="1268"/>
      <c r="J3" s="1269" t="e">
        <f>+(D2/L1)*100</f>
        <v>#DIV/0!</v>
      </c>
    </row>
    <row r="4" spans="1:21" ht="13.5" thickBot="1" x14ac:dyDescent="0.25"/>
    <row r="5" spans="1:21" ht="13.5" thickBot="1" x14ac:dyDescent="0.25">
      <c r="U5" s="1299">
        <f>+U7+U8+U11+U12+U15+U16+U19+U20+U23+U24+U27+U28+U31+U32</f>
        <v>238445968.00000006</v>
      </c>
    </row>
    <row r="6" spans="1:21" ht="13.5" thickBot="1" x14ac:dyDescent="0.25">
      <c r="A6" s="1275" t="s">
        <v>1806</v>
      </c>
      <c r="B6" s="1275" t="s">
        <v>1784</v>
      </c>
      <c r="C6" s="1898" t="s">
        <v>1794</v>
      </c>
      <c r="D6" s="1898"/>
      <c r="E6" s="1898"/>
      <c r="F6" s="1898"/>
      <c r="G6" s="1898"/>
      <c r="H6" s="1898"/>
      <c r="I6" s="1898"/>
      <c r="J6" s="1898"/>
      <c r="K6" s="1898"/>
      <c r="L6" s="1898"/>
      <c r="M6" s="1275" t="s">
        <v>1784</v>
      </c>
      <c r="N6" s="1283"/>
      <c r="O6" s="1281" t="s">
        <v>2153</v>
      </c>
    </row>
    <row r="7" spans="1:21" s="1280" customFormat="1" ht="14.25" thickBot="1" x14ac:dyDescent="0.25">
      <c r="A7" s="1276" t="s">
        <v>1815</v>
      </c>
      <c r="B7" s="1277" t="str">
        <f>VLOOKUP(C7,'06'!$B$8:$N$225,13,FALSE)</f>
        <v>G018</v>
      </c>
      <c r="C7" s="1892" t="s">
        <v>2329</v>
      </c>
      <c r="D7" s="1892"/>
      <c r="E7" s="1892"/>
      <c r="F7" s="1892"/>
      <c r="G7" s="1892"/>
      <c r="H7" s="1892"/>
      <c r="I7" s="1278" t="str">
        <f>VLOOKUP(C7,'06'!$B$8:$N$225,7,FALSE)</f>
        <v>M3</v>
      </c>
      <c r="J7" s="1893">
        <v>550931.44944444438</v>
      </c>
      <c r="K7" s="1893"/>
      <c r="L7" s="1279">
        <v>1.49</v>
      </c>
      <c r="M7" s="1277" t="s">
        <v>2200</v>
      </c>
      <c r="N7" s="1284">
        <v>2000</v>
      </c>
      <c r="O7" s="1282">
        <v>230</v>
      </c>
      <c r="Q7" s="1293">
        <f>+L7</f>
        <v>1.49</v>
      </c>
      <c r="R7" s="1294">
        <f>+O7</f>
        <v>230</v>
      </c>
      <c r="S7" s="1274">
        <v>800</v>
      </c>
      <c r="U7" s="1285">
        <f>+Q7*R7*S7</f>
        <v>274160</v>
      </c>
    </row>
    <row r="8" spans="1:21" s="1280" customFormat="1" ht="14.25" thickBot="1" x14ac:dyDescent="0.25">
      <c r="A8" s="1276" t="s">
        <v>1816</v>
      </c>
      <c r="B8" s="1277" t="str">
        <f>VLOOKUP(C8,'06'!$B$8:$N$225,13,FALSE)</f>
        <v>G019</v>
      </c>
      <c r="C8" s="1892" t="s">
        <v>2331</v>
      </c>
      <c r="D8" s="1892"/>
      <c r="E8" s="1892"/>
      <c r="F8" s="1892"/>
      <c r="G8" s="1892"/>
      <c r="H8" s="1892"/>
      <c r="I8" s="1278" t="str">
        <f>VLOOKUP(C8,'06'!$B$8:$N$225,7,FALSE)</f>
        <v>M3</v>
      </c>
      <c r="J8" s="1893">
        <v>1233519.6402749999</v>
      </c>
      <c r="K8" s="1893"/>
      <c r="L8" s="1279">
        <v>22.9</v>
      </c>
      <c r="M8" s="1277" t="s">
        <v>2202</v>
      </c>
      <c r="N8" s="1284">
        <v>4000</v>
      </c>
      <c r="O8" s="1282">
        <v>420</v>
      </c>
      <c r="Q8" s="1293">
        <f>+L8</f>
        <v>22.9</v>
      </c>
      <c r="R8" s="1294">
        <f>+O8</f>
        <v>420</v>
      </c>
      <c r="S8" s="1274">
        <v>800</v>
      </c>
      <c r="U8" s="1285">
        <f>+Q8*R8*S8</f>
        <v>7694400</v>
      </c>
    </row>
    <row r="10" spans="1:21" ht="13.5" thickBot="1" x14ac:dyDescent="0.25">
      <c r="A10" s="1286" t="s">
        <v>2010</v>
      </c>
      <c r="B10" s="1286" t="s">
        <v>1784</v>
      </c>
      <c r="C10" s="1899" t="s">
        <v>1794</v>
      </c>
      <c r="D10" s="1427"/>
      <c r="E10" s="1427"/>
      <c r="F10" s="1427"/>
      <c r="G10" s="1427"/>
      <c r="H10" s="1427"/>
      <c r="I10" s="1427"/>
      <c r="J10" s="1427"/>
      <c r="K10" s="1427"/>
      <c r="L10" s="1428"/>
      <c r="M10" s="1286" t="s">
        <v>1784</v>
      </c>
      <c r="N10" s="1283"/>
    </row>
    <row r="11" spans="1:21" s="1280" customFormat="1" ht="13.5" customHeight="1" thickBot="1" x14ac:dyDescent="0.25">
      <c r="A11" s="1287" t="s">
        <v>2019</v>
      </c>
      <c r="B11" s="1288" t="str">
        <f>VLOOKUP(C11,'06'!$B$8:$N$225,13,FALSE)</f>
        <v>G018</v>
      </c>
      <c r="C11" s="1900" t="s">
        <v>2329</v>
      </c>
      <c r="D11" s="1901"/>
      <c r="E11" s="1901"/>
      <c r="F11" s="1901"/>
      <c r="G11" s="1901"/>
      <c r="H11" s="1901"/>
      <c r="I11" s="1289" t="str">
        <f>VLOOKUP(C11,'06'!$B$8:$N$225,7,FALSE)</f>
        <v>M3</v>
      </c>
      <c r="J11" s="1902">
        <v>550931.44944444438</v>
      </c>
      <c r="K11" s="1903"/>
      <c r="L11" s="1290">
        <v>6.6300000000000008</v>
      </c>
      <c r="M11" s="1288" t="s">
        <v>2200</v>
      </c>
      <c r="N11" s="1284">
        <v>2000</v>
      </c>
      <c r="O11" s="1282">
        <v>230</v>
      </c>
      <c r="Q11" s="1293">
        <f>+L11</f>
        <v>6.6300000000000008</v>
      </c>
      <c r="R11" s="1294">
        <f>+O11</f>
        <v>230</v>
      </c>
      <c r="S11" s="1274">
        <v>800</v>
      </c>
      <c r="U11" s="1285">
        <f>+Q11*R11*S11</f>
        <v>1219920</v>
      </c>
    </row>
    <row r="12" spans="1:21" s="1280" customFormat="1" ht="13.5" customHeight="1" thickBot="1" x14ac:dyDescent="0.25">
      <c r="A12" s="1287" t="s">
        <v>2020</v>
      </c>
      <c r="B12" s="1288" t="str">
        <f>VLOOKUP(C12,'06'!$B$8:$N$225,13,FALSE)</f>
        <v>G019</v>
      </c>
      <c r="C12" s="1900" t="s">
        <v>2331</v>
      </c>
      <c r="D12" s="1901"/>
      <c r="E12" s="1901"/>
      <c r="F12" s="1901"/>
      <c r="G12" s="1901"/>
      <c r="H12" s="1901"/>
      <c r="I12" s="1289" t="str">
        <f>VLOOKUP(C12,'06'!$B$8:$N$225,7,FALSE)</f>
        <v>M3</v>
      </c>
      <c r="J12" s="1902">
        <v>1233519.6402749999</v>
      </c>
      <c r="K12" s="1903"/>
      <c r="L12" s="1290">
        <v>176.26999999999998</v>
      </c>
      <c r="M12" s="1288" t="s">
        <v>2202</v>
      </c>
      <c r="N12" s="1284">
        <v>4000</v>
      </c>
      <c r="O12" s="1282">
        <v>420</v>
      </c>
      <c r="Q12" s="1293">
        <f>+L12</f>
        <v>176.26999999999998</v>
      </c>
      <c r="R12" s="1294">
        <f>+O12</f>
        <v>420</v>
      </c>
      <c r="S12" s="1274">
        <v>800</v>
      </c>
      <c r="U12" s="1285">
        <f>+Q12*R12*S12</f>
        <v>59226719.999999993</v>
      </c>
    </row>
    <row r="14" spans="1:21" ht="13.5" thickBot="1" x14ac:dyDescent="0.25">
      <c r="A14" s="1286" t="s">
        <v>2050</v>
      </c>
      <c r="B14" s="1286" t="s">
        <v>1784</v>
      </c>
      <c r="C14" s="1899" t="s">
        <v>1794</v>
      </c>
      <c r="D14" s="1427"/>
      <c r="E14" s="1427"/>
      <c r="F14" s="1427"/>
      <c r="G14" s="1427"/>
      <c r="H14" s="1427"/>
      <c r="I14" s="1427"/>
      <c r="J14" s="1427"/>
      <c r="K14" s="1427"/>
      <c r="L14" s="1428"/>
      <c r="M14" s="1286" t="s">
        <v>1784</v>
      </c>
      <c r="N14" s="1283"/>
    </row>
    <row r="15" spans="1:21" s="1280" customFormat="1" ht="14.25" thickBot="1" x14ac:dyDescent="0.25">
      <c r="A15" s="1287" t="s">
        <v>2051</v>
      </c>
      <c r="B15" s="1297" t="str">
        <f>VLOOKUP(C15,'06'!$B$8:$N$225,13,FALSE)</f>
        <v>G018</v>
      </c>
      <c r="C15" s="1892" t="s">
        <v>2329</v>
      </c>
      <c r="D15" s="1892"/>
      <c r="E15" s="1892"/>
      <c r="F15" s="1892"/>
      <c r="G15" s="1892"/>
      <c r="H15" s="1892"/>
      <c r="I15" s="1289" t="str">
        <f>VLOOKUP(C15,'06'!$B$8:$N$225,7,FALSE)</f>
        <v>M3</v>
      </c>
      <c r="J15" s="1902">
        <f>VLOOKUP(C15,'06'!$B$8:$N$225,12,FALSE)</f>
        <v>560706.70669999998</v>
      </c>
      <c r="K15" s="1903"/>
      <c r="L15" s="1290">
        <v>1.86</v>
      </c>
      <c r="M15" s="1297" t="s">
        <v>2200</v>
      </c>
      <c r="N15" s="1284">
        <v>2000</v>
      </c>
      <c r="O15" s="1282">
        <v>230</v>
      </c>
      <c r="Q15" s="1293">
        <f>+L15</f>
        <v>1.86</v>
      </c>
      <c r="R15" s="1294">
        <f>+O15</f>
        <v>230</v>
      </c>
      <c r="S15" s="1274">
        <v>800</v>
      </c>
      <c r="U15" s="1285">
        <f>+Q15*R15*S15</f>
        <v>342240</v>
      </c>
    </row>
    <row r="16" spans="1:21" s="1280" customFormat="1" ht="14.25" customHeight="1" thickBot="1" x14ac:dyDescent="0.25">
      <c r="A16" s="1287" t="s">
        <v>2052</v>
      </c>
      <c r="B16" s="1297" t="str">
        <f>VLOOKUP(C16,'06'!$B$8:$N$225,13,FALSE)</f>
        <v>G019</v>
      </c>
      <c r="C16" s="1892" t="s">
        <v>2331</v>
      </c>
      <c r="D16" s="1892"/>
      <c r="E16" s="1892"/>
      <c r="F16" s="1892"/>
      <c r="G16" s="1892"/>
      <c r="H16" s="1892"/>
      <c r="I16" s="1289" t="str">
        <f>VLOOKUP(C16,'06'!$B$8:$N$225,7,FALSE)</f>
        <v>M3</v>
      </c>
      <c r="J16" s="1902">
        <f>VLOOKUP(C16,'06'!$B$8:$N$225,12,FALSE)</f>
        <v>1129033.044978</v>
      </c>
      <c r="K16" s="1903"/>
      <c r="L16" s="1290">
        <v>37.43</v>
      </c>
      <c r="M16" s="1297" t="s">
        <v>2202</v>
      </c>
      <c r="N16" s="1284">
        <v>4000</v>
      </c>
      <c r="O16" s="1282">
        <v>420</v>
      </c>
      <c r="Q16" s="1293">
        <f>+L16</f>
        <v>37.43</v>
      </c>
      <c r="R16" s="1294">
        <f>+O16</f>
        <v>420</v>
      </c>
      <c r="S16" s="1274">
        <v>800</v>
      </c>
      <c r="U16" s="1285">
        <f>+Q16*R16*S16</f>
        <v>12576480</v>
      </c>
    </row>
    <row r="18" spans="1:21" ht="13.5" thickBot="1" x14ac:dyDescent="0.25">
      <c r="A18" s="1286" t="s">
        <v>2070</v>
      </c>
      <c r="B18" s="1286" t="s">
        <v>1784</v>
      </c>
      <c r="C18" s="1899" t="s">
        <v>1794</v>
      </c>
      <c r="D18" s="1427"/>
      <c r="E18" s="1427"/>
      <c r="F18" s="1427"/>
      <c r="G18" s="1427"/>
      <c r="H18" s="1427"/>
      <c r="I18" s="1427"/>
      <c r="J18" s="1427"/>
      <c r="K18" s="1427"/>
      <c r="L18" s="1428"/>
      <c r="M18" s="1286" t="s">
        <v>1784</v>
      </c>
      <c r="N18" s="1283"/>
    </row>
    <row r="19" spans="1:21" s="1280" customFormat="1" ht="14.25" thickBot="1" x14ac:dyDescent="0.25">
      <c r="A19" s="1287" t="s">
        <v>2071</v>
      </c>
      <c r="B19" s="1297" t="str">
        <f>VLOOKUP(C19,'06'!$B$8:$N$225,13,FALSE)</f>
        <v>G018</v>
      </c>
      <c r="C19" s="1892" t="s">
        <v>2329</v>
      </c>
      <c r="D19" s="1892"/>
      <c r="E19" s="1892"/>
      <c r="F19" s="1892"/>
      <c r="G19" s="1892"/>
      <c r="H19" s="1892"/>
      <c r="I19" s="1289" t="str">
        <f>VLOOKUP(C19,'06'!$B$8:$N$225,7,FALSE)</f>
        <v>M3</v>
      </c>
      <c r="J19" s="1902">
        <f>VLOOKUP(C19,'06'!$B$8:$N$225,12,FALSE)</f>
        <v>560706.70669999998</v>
      </c>
      <c r="K19" s="1903"/>
      <c r="L19" s="1290">
        <v>1.31</v>
      </c>
      <c r="M19" s="1297" t="s">
        <v>2200</v>
      </c>
      <c r="N19" s="1284">
        <v>2000</v>
      </c>
      <c r="O19" s="1282">
        <v>230</v>
      </c>
      <c r="Q19" s="1293">
        <f>+L19</f>
        <v>1.31</v>
      </c>
      <c r="R19" s="1294">
        <f>+O19</f>
        <v>230</v>
      </c>
      <c r="S19" s="1274">
        <v>800</v>
      </c>
      <c r="U19" s="1285">
        <f>+Q19*R19*S19</f>
        <v>241040</v>
      </c>
    </row>
    <row r="20" spans="1:21" s="1280" customFormat="1" ht="14.25" thickBot="1" x14ac:dyDescent="0.25">
      <c r="A20" s="1287" t="s">
        <v>2072</v>
      </c>
      <c r="B20" s="1297" t="str">
        <f>VLOOKUP(C20,'06'!$B$8:$N$225,13,FALSE)</f>
        <v>G019</v>
      </c>
      <c r="C20" s="1892" t="s">
        <v>2331</v>
      </c>
      <c r="D20" s="1892"/>
      <c r="E20" s="1892"/>
      <c r="F20" s="1892"/>
      <c r="G20" s="1892"/>
      <c r="H20" s="1892"/>
      <c r="I20" s="1289" t="str">
        <f>VLOOKUP(C20,'06'!$B$8:$N$225,7,FALSE)</f>
        <v>M3</v>
      </c>
      <c r="J20" s="1902">
        <f>VLOOKUP(C20,'06'!$B$8:$N$225,12,FALSE)</f>
        <v>1129033.044978</v>
      </c>
      <c r="K20" s="1903"/>
      <c r="L20" s="1290">
        <v>54.59</v>
      </c>
      <c r="M20" s="1297" t="s">
        <v>2202</v>
      </c>
      <c r="N20" s="1284">
        <v>4000</v>
      </c>
      <c r="O20" s="1282">
        <v>420</v>
      </c>
      <c r="Q20" s="1293">
        <f>+L20</f>
        <v>54.59</v>
      </c>
      <c r="R20" s="1294">
        <f>+O20</f>
        <v>420</v>
      </c>
      <c r="S20" s="1274">
        <v>800</v>
      </c>
      <c r="U20" s="1285">
        <f>+Q20*R20*S20</f>
        <v>18342240.000000004</v>
      </c>
    </row>
    <row r="22" spans="1:21" ht="13.5" thickBot="1" x14ac:dyDescent="0.25">
      <c r="A22" s="1286" t="s">
        <v>2096</v>
      </c>
      <c r="B22" s="1286" t="s">
        <v>1784</v>
      </c>
      <c r="C22" s="1899" t="s">
        <v>1794</v>
      </c>
      <c r="D22" s="1427"/>
      <c r="E22" s="1427"/>
      <c r="F22" s="1427"/>
      <c r="G22" s="1427"/>
      <c r="H22" s="1427"/>
      <c r="I22" s="1427"/>
      <c r="J22" s="1427"/>
      <c r="K22" s="1427"/>
      <c r="L22" s="1428"/>
      <c r="M22" s="1286" t="s">
        <v>1784</v>
      </c>
      <c r="N22" s="1283"/>
    </row>
    <row r="23" spans="1:21" s="1280" customFormat="1" ht="14.25" thickBot="1" x14ac:dyDescent="0.25">
      <c r="A23" s="1287" t="s">
        <v>2097</v>
      </c>
      <c r="B23" s="1288" t="str">
        <f>VLOOKUP(C23,'06'!$B$8:$N$225,13,FALSE)</f>
        <v>G018</v>
      </c>
      <c r="C23" s="1892" t="s">
        <v>2329</v>
      </c>
      <c r="D23" s="1892"/>
      <c r="E23" s="1892"/>
      <c r="F23" s="1892"/>
      <c r="G23" s="1892"/>
      <c r="H23" s="1892"/>
      <c r="I23" s="1289" t="str">
        <f>VLOOKUP(C23,'06'!$B$8:$N$225,7,FALSE)</f>
        <v>M3</v>
      </c>
      <c r="J23" s="1902">
        <f>VLOOKUP(C23,'06'!$B$8:$N$225,12,FALSE)</f>
        <v>560706.70669999998</v>
      </c>
      <c r="K23" s="1903"/>
      <c r="L23" s="1290">
        <v>2.5</v>
      </c>
      <c r="M23" s="1288" t="s">
        <v>2200</v>
      </c>
      <c r="N23" s="1284">
        <v>2000</v>
      </c>
      <c r="O23" s="1282">
        <v>230</v>
      </c>
      <c r="Q23" s="1293">
        <f>+L23</f>
        <v>2.5</v>
      </c>
      <c r="R23" s="1294">
        <f>+O23</f>
        <v>230</v>
      </c>
      <c r="S23" s="1274">
        <v>800</v>
      </c>
      <c r="U23" s="1285">
        <f>+Q23*R23*S23</f>
        <v>460000</v>
      </c>
    </row>
    <row r="24" spans="1:21" s="1280" customFormat="1" ht="14.25" thickBot="1" x14ac:dyDescent="0.25">
      <c r="A24" s="1287" t="s">
        <v>2098</v>
      </c>
      <c r="B24" s="1288" t="str">
        <f>VLOOKUP(C24,'06'!$B$8:$N$225,13,FALSE)</f>
        <v>G019</v>
      </c>
      <c r="C24" s="1892" t="s">
        <v>2331</v>
      </c>
      <c r="D24" s="1892"/>
      <c r="E24" s="1892"/>
      <c r="F24" s="1892"/>
      <c r="G24" s="1892"/>
      <c r="H24" s="1892"/>
      <c r="I24" s="1289" t="str">
        <f>VLOOKUP(C24,'06'!$B$8:$N$225,7,FALSE)</f>
        <v>M3</v>
      </c>
      <c r="J24" s="1902">
        <f>VLOOKUP(C24,'06'!$B$8:$N$225,12,FALSE)</f>
        <v>1129033.044978</v>
      </c>
      <c r="K24" s="1903"/>
      <c r="L24" s="1290">
        <v>30.89</v>
      </c>
      <c r="M24" s="1288" t="s">
        <v>2202</v>
      </c>
      <c r="N24" s="1284">
        <v>4000</v>
      </c>
      <c r="O24" s="1282">
        <v>420</v>
      </c>
      <c r="Q24" s="1298">
        <f>+L24</f>
        <v>30.89</v>
      </c>
      <c r="R24" s="1294">
        <f>+O24</f>
        <v>420</v>
      </c>
      <c r="S24" s="1274">
        <v>800</v>
      </c>
      <c r="U24" s="1285">
        <f>+Q24*R24*S24</f>
        <v>10379040</v>
      </c>
    </row>
    <row r="26" spans="1:21" ht="13.5" thickBot="1" x14ac:dyDescent="0.25">
      <c r="A26" s="1286" t="s">
        <v>2120</v>
      </c>
      <c r="B26" s="1286" t="s">
        <v>1784</v>
      </c>
      <c r="C26" s="1899" t="s">
        <v>1794</v>
      </c>
      <c r="D26" s="1427"/>
      <c r="E26" s="1427"/>
      <c r="F26" s="1427"/>
      <c r="G26" s="1427"/>
      <c r="H26" s="1427"/>
      <c r="I26" s="1427"/>
      <c r="J26" s="1427"/>
      <c r="K26" s="1427"/>
      <c r="L26" s="1428"/>
      <c r="M26" s="1286" t="s">
        <v>1784</v>
      </c>
      <c r="N26" s="1283"/>
    </row>
    <row r="27" spans="1:21" s="1280" customFormat="1" ht="14.25" thickBot="1" x14ac:dyDescent="0.25">
      <c r="A27" s="1287" t="s">
        <v>2121</v>
      </c>
      <c r="B27" s="1297" t="str">
        <f>VLOOKUP(C27,'06'!$B$8:$N$225,13,FALSE)</f>
        <v>G018</v>
      </c>
      <c r="C27" s="1892" t="s">
        <v>2329</v>
      </c>
      <c r="D27" s="1892"/>
      <c r="E27" s="1892"/>
      <c r="F27" s="1892"/>
      <c r="G27" s="1892"/>
      <c r="H27" s="1892"/>
      <c r="I27" s="1289" t="str">
        <f>VLOOKUP(C27,'06'!$B$8:$N$225,7,FALSE)</f>
        <v>M3</v>
      </c>
      <c r="J27" s="1902">
        <f>VLOOKUP(C27,'06'!$B$8:$N$225,12,FALSE)</f>
        <v>560706.70669999998</v>
      </c>
      <c r="K27" s="1903"/>
      <c r="L27" s="1290">
        <v>14.25</v>
      </c>
      <c r="M27" s="1297" t="s">
        <v>2200</v>
      </c>
      <c r="N27" s="1284">
        <v>2000</v>
      </c>
      <c r="O27" s="1282">
        <v>230</v>
      </c>
      <c r="Q27" s="1293">
        <f>+L27</f>
        <v>14.25</v>
      </c>
      <c r="R27" s="1294">
        <f>+O27</f>
        <v>230</v>
      </c>
      <c r="S27" s="1274">
        <v>800</v>
      </c>
      <c r="U27" s="1285">
        <f>+Q27*R27*S27</f>
        <v>2622000</v>
      </c>
    </row>
    <row r="28" spans="1:21" s="1280" customFormat="1" ht="14.25" thickBot="1" x14ac:dyDescent="0.25">
      <c r="A28" s="1287" t="s">
        <v>2122</v>
      </c>
      <c r="B28" s="1297" t="str">
        <f>VLOOKUP(C28,'06'!$B$8:$N$225,13,FALSE)</f>
        <v>G019</v>
      </c>
      <c r="C28" s="1892" t="s">
        <v>2331</v>
      </c>
      <c r="D28" s="1892"/>
      <c r="E28" s="1892"/>
      <c r="F28" s="1892"/>
      <c r="G28" s="1892"/>
      <c r="H28" s="1892"/>
      <c r="I28" s="1289" t="str">
        <f>VLOOKUP(C28,'06'!$B$8:$N$225,7,FALSE)</f>
        <v>M3</v>
      </c>
      <c r="J28" s="1902">
        <f>VLOOKUP(C28,'06'!$B$8:$N$225,12,FALSE)</f>
        <v>1129033.044978</v>
      </c>
      <c r="K28" s="1903"/>
      <c r="L28" s="1290">
        <v>350.68000000000012</v>
      </c>
      <c r="M28" s="1297" t="s">
        <v>2202</v>
      </c>
      <c r="N28" s="1284">
        <v>4000</v>
      </c>
      <c r="O28" s="1282">
        <v>420</v>
      </c>
      <c r="Q28" s="1293">
        <f>+L28</f>
        <v>350.68000000000012</v>
      </c>
      <c r="R28" s="1294">
        <f>+O28</f>
        <v>420</v>
      </c>
      <c r="S28" s="1274">
        <v>800</v>
      </c>
      <c r="U28" s="1285">
        <f>+Q28*R28*S28</f>
        <v>117828480.00000004</v>
      </c>
    </row>
    <row r="30" spans="1:21" ht="13.5" thickBot="1" x14ac:dyDescent="0.25">
      <c r="A30" s="1286" t="s">
        <v>2579</v>
      </c>
      <c r="B30" s="1286" t="s">
        <v>1784</v>
      </c>
      <c r="C30" s="1899" t="s">
        <v>1794</v>
      </c>
      <c r="D30" s="1427"/>
      <c r="E30" s="1427"/>
      <c r="F30" s="1427"/>
      <c r="G30" s="1427"/>
      <c r="H30" s="1427"/>
      <c r="I30" s="1427"/>
      <c r="J30" s="1427"/>
      <c r="K30" s="1427"/>
      <c r="L30" s="1428"/>
      <c r="M30" s="1286" t="s">
        <v>1784</v>
      </c>
      <c r="N30" s="1283"/>
    </row>
    <row r="31" spans="1:21" s="1280" customFormat="1" ht="14.25" thickBot="1" x14ac:dyDescent="0.25">
      <c r="A31" s="1287" t="s">
        <v>2583</v>
      </c>
      <c r="B31" s="1297" t="str">
        <f>VLOOKUP(C31,'06'!$B$8:$N$225,13,FALSE)</f>
        <v>G018</v>
      </c>
      <c r="C31" s="1892" t="s">
        <v>2329</v>
      </c>
      <c r="D31" s="1892"/>
      <c r="E31" s="1892"/>
      <c r="F31" s="1892"/>
      <c r="G31" s="1892"/>
      <c r="H31" s="1892"/>
      <c r="I31" s="1289" t="str">
        <f>VLOOKUP(C31,'06'!$B$8:$N$225,7,FALSE)</f>
        <v>M3</v>
      </c>
      <c r="J31" s="1902">
        <f>VLOOKUP(C31,'06'!$B$8:$N$225,12,FALSE)</f>
        <v>560706.70669999998</v>
      </c>
      <c r="K31" s="1903"/>
      <c r="L31" s="1290">
        <v>2.8220000000000001</v>
      </c>
      <c r="M31" s="1297" t="s">
        <v>2200</v>
      </c>
      <c r="N31" s="1284">
        <v>2000</v>
      </c>
      <c r="O31" s="1282">
        <v>230</v>
      </c>
      <c r="Q31" s="1293">
        <f>+L31</f>
        <v>2.8220000000000001</v>
      </c>
      <c r="R31" s="1294">
        <f>+O31</f>
        <v>230</v>
      </c>
      <c r="S31" s="1274">
        <v>800</v>
      </c>
      <c r="U31" s="1285">
        <f>+Q31*R31*S31</f>
        <v>519248.00000000006</v>
      </c>
    </row>
    <row r="32" spans="1:21" s="1280" customFormat="1" ht="14.25" thickBot="1" x14ac:dyDescent="0.25">
      <c r="A32" s="1287" t="s">
        <v>2584</v>
      </c>
      <c r="B32" s="1297" t="str">
        <f>VLOOKUP(C32,'06'!$B$8:$N$225,13,FALSE)</f>
        <v>G019</v>
      </c>
      <c r="C32" s="1892" t="s">
        <v>2331</v>
      </c>
      <c r="D32" s="1892"/>
      <c r="E32" s="1892"/>
      <c r="F32" s="1892"/>
      <c r="G32" s="1892"/>
      <c r="H32" s="1892"/>
      <c r="I32" s="1289" t="str">
        <f>VLOOKUP(C32,'06'!$B$8:$N$225,7,FALSE)</f>
        <v>M3</v>
      </c>
      <c r="J32" s="1902">
        <f>VLOOKUP(C32,'06'!$B$8:$N$225,12,FALSE)</f>
        <v>1129033.044978</v>
      </c>
      <c r="K32" s="1903"/>
      <c r="L32" s="1290">
        <v>20</v>
      </c>
      <c r="M32" s="1297" t="s">
        <v>2202</v>
      </c>
      <c r="N32" s="1284">
        <v>4000</v>
      </c>
      <c r="O32" s="1282">
        <v>420</v>
      </c>
      <c r="Q32" s="1293">
        <f>+L32</f>
        <v>20</v>
      </c>
      <c r="R32" s="1294">
        <f>+O32</f>
        <v>420</v>
      </c>
      <c r="S32" s="1274">
        <v>800</v>
      </c>
      <c r="U32" s="1285">
        <f>+Q32*R32*S32</f>
        <v>6720000</v>
      </c>
    </row>
  </sheetData>
  <mergeCells count="38">
    <mergeCell ref="C30:L30"/>
    <mergeCell ref="C31:H31"/>
    <mergeCell ref="J31:K31"/>
    <mergeCell ref="C32:H32"/>
    <mergeCell ref="J32:K32"/>
    <mergeCell ref="C26:L26"/>
    <mergeCell ref="C27:H27"/>
    <mergeCell ref="J27:K27"/>
    <mergeCell ref="C28:H28"/>
    <mergeCell ref="J28:K28"/>
    <mergeCell ref="C22:L22"/>
    <mergeCell ref="C23:H23"/>
    <mergeCell ref="J23:K23"/>
    <mergeCell ref="C24:H24"/>
    <mergeCell ref="J24:K24"/>
    <mergeCell ref="C18:L18"/>
    <mergeCell ref="C19:H19"/>
    <mergeCell ref="J19:K19"/>
    <mergeCell ref="C20:H20"/>
    <mergeCell ref="J20:K20"/>
    <mergeCell ref="C14:L14"/>
    <mergeCell ref="C15:H15"/>
    <mergeCell ref="J15:K15"/>
    <mergeCell ref="C16:H16"/>
    <mergeCell ref="J16:K16"/>
    <mergeCell ref="C10:L10"/>
    <mergeCell ref="C11:H11"/>
    <mergeCell ref="J11:K11"/>
    <mergeCell ref="C12:H12"/>
    <mergeCell ref="J12:K12"/>
    <mergeCell ref="C8:H8"/>
    <mergeCell ref="J8:K8"/>
    <mergeCell ref="D1:F1"/>
    <mergeCell ref="H1:I1"/>
    <mergeCell ref="D2:F2"/>
    <mergeCell ref="C6:L6"/>
    <mergeCell ref="C7:H7"/>
    <mergeCell ref="J7:K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M81"/>
  <sheetViews>
    <sheetView view="pageBreakPreview" topLeftCell="A43" zoomScaleNormal="100" zoomScaleSheetLayoutView="100" workbookViewId="0">
      <selection activeCell="H64" sqref="H64"/>
    </sheetView>
  </sheetViews>
  <sheetFormatPr baseColWidth="10" defaultColWidth="11.42578125" defaultRowHeight="14.25" x14ac:dyDescent="0.2"/>
  <cols>
    <col min="1" max="1" width="3.7109375" style="579" customWidth="1"/>
    <col min="2" max="2" width="8.7109375" style="650" customWidth="1"/>
    <col min="3" max="3" width="37.28515625" style="579" customWidth="1"/>
    <col min="4" max="4" width="7.28515625" style="579" customWidth="1"/>
    <col min="5" max="5" width="9.7109375" style="651" customWidth="1"/>
    <col min="6" max="6" width="13.7109375" style="652" customWidth="1"/>
    <col min="7" max="7" width="22.42578125" style="652" bestFit="1" customWidth="1"/>
    <col min="8" max="8" width="31.5703125" style="579" customWidth="1"/>
    <col min="9" max="9" width="19.42578125" style="579" customWidth="1"/>
    <col min="10" max="10" width="19.85546875" style="579" customWidth="1"/>
    <col min="11" max="11" width="23" style="579" customWidth="1"/>
    <col min="12" max="12" width="19.5703125" style="579" customWidth="1"/>
    <col min="13" max="16384" width="11.42578125" style="579"/>
  </cols>
  <sheetData>
    <row r="1" spans="1:12" ht="77.25" customHeight="1" x14ac:dyDescent="0.3">
      <c r="A1" s="634"/>
      <c r="B1" s="1626"/>
      <c r="C1" s="1626"/>
      <c r="D1" s="1627" t="s">
        <v>1555</v>
      </c>
      <c r="E1" s="1627"/>
      <c r="F1" s="1627"/>
      <c r="G1" s="1627"/>
      <c r="H1" s="635"/>
      <c r="I1" s="635"/>
      <c r="J1" s="635"/>
      <c r="K1" s="635"/>
      <c r="L1" s="635"/>
    </row>
    <row r="2" spans="1:12" ht="50.25" customHeight="1" x14ac:dyDescent="0.2">
      <c r="B2" s="1628" t="s">
        <v>1556</v>
      </c>
      <c r="C2" s="1628"/>
      <c r="D2" s="1628"/>
      <c r="E2" s="1628"/>
      <c r="F2" s="1628"/>
      <c r="G2" s="1628"/>
      <c r="H2" s="636"/>
      <c r="I2" s="636"/>
      <c r="J2" s="636"/>
      <c r="K2" s="636"/>
      <c r="L2" s="636"/>
    </row>
    <row r="3" spans="1:12" ht="17.25" customHeight="1" thickBot="1" x14ac:dyDescent="0.25">
      <c r="B3" s="1629" t="s">
        <v>1724</v>
      </c>
      <c r="C3" s="1629"/>
      <c r="D3" s="1629"/>
      <c r="E3" s="1629"/>
      <c r="F3" s="1629"/>
      <c r="G3" s="1629"/>
    </row>
    <row r="4" spans="1:12" ht="17.25" customHeight="1" thickBot="1" x14ac:dyDescent="0.25">
      <c r="B4" s="1630" t="str">
        <f>'M.CANTID.FASE 3-DISTRIBUCCION'!A5</f>
        <v>CAPITULO 1: ACUEDUCTO</v>
      </c>
      <c r="C4" s="1631"/>
      <c r="D4" s="1631"/>
      <c r="E4" s="1631"/>
      <c r="F4" s="1631"/>
      <c r="G4" s="1632"/>
    </row>
    <row r="5" spans="1:12" ht="15.75" x14ac:dyDescent="0.2">
      <c r="B5" s="747"/>
      <c r="C5" s="747"/>
      <c r="D5" s="747"/>
      <c r="E5" s="747"/>
      <c r="F5" s="747" t="s">
        <v>847</v>
      </c>
      <c r="G5" s="748" t="s">
        <v>1725</v>
      </c>
    </row>
    <row r="6" spans="1:12" ht="33" customHeight="1" thickBot="1" x14ac:dyDescent="0.25">
      <c r="B6" s="637" t="s">
        <v>0</v>
      </c>
      <c r="C6" s="637" t="s">
        <v>1</v>
      </c>
      <c r="D6" s="637" t="s">
        <v>878</v>
      </c>
      <c r="E6" s="638" t="s">
        <v>421</v>
      </c>
      <c r="F6" s="639" t="s">
        <v>879</v>
      </c>
      <c r="G6" s="639" t="s">
        <v>600</v>
      </c>
    </row>
    <row r="7" spans="1:12" ht="16.5" thickBot="1" x14ac:dyDescent="0.25">
      <c r="B7" s="1601" t="str">
        <f>'M.CANTID.FASE 3-DISTRIBUCCION'!A7</f>
        <v>1.6. RED DE DISTRIBUCION</v>
      </c>
      <c r="C7" s="1602"/>
      <c r="D7" s="1602"/>
      <c r="E7" s="1602"/>
      <c r="F7" s="1602"/>
      <c r="G7" s="1603"/>
    </row>
    <row r="8" spans="1:12" ht="17.25" customHeight="1" x14ac:dyDescent="0.2">
      <c r="B8" s="640"/>
      <c r="C8" s="1596" t="str">
        <f>'M.CANTID.FASE 3-DISTRIBUCCION'!C9</f>
        <v>OBRA CIVIL</v>
      </c>
      <c r="D8" s="1596"/>
      <c r="E8" s="1596"/>
      <c r="F8" s="1596"/>
      <c r="G8" s="1596"/>
    </row>
    <row r="9" spans="1:12" x14ac:dyDescent="0.2">
      <c r="B9" s="740" t="str">
        <f>'M.CANTID.FASE 3-DISTRIBUCCION'!B10</f>
        <v>1.6.1.</v>
      </c>
      <c r="C9" s="741" t="e">
        <f>'M.CANTID.FASE 3-DISTRIBUCCION'!C10</f>
        <v>#REF!</v>
      </c>
      <c r="D9" s="742" t="str">
        <f>'M.CANTID.FASE 3-DISTRIBUCCION'!P15</f>
        <v>ML</v>
      </c>
      <c r="E9" s="743">
        <f>'M.CANTID.FASE 3-DISTRIBUCCION'!O15</f>
        <v>27423.56</v>
      </c>
      <c r="F9" s="746" t="e">
        <f>#REF!</f>
        <v>#REF!</v>
      </c>
      <c r="G9" s="745" t="e">
        <f t="shared" ref="G9:G40" si="0">ROUND((+E9*F9),0)</f>
        <v>#REF!</v>
      </c>
    </row>
    <row r="10" spans="1:12" x14ac:dyDescent="0.2">
      <c r="B10" s="714" t="str">
        <f>'M.CANTID.FASE 3-DISTRIBUCCION'!B16</f>
        <v>1.6.2.</v>
      </c>
      <c r="C10" s="718" t="e">
        <f>'M.CANTID.FASE 3-DISTRIBUCCION'!C16</f>
        <v>#REF!</v>
      </c>
      <c r="D10" s="680" t="str">
        <f>'M.CANTID.FASE 3-DISTRIBUCCION'!P24</f>
        <v>M3</v>
      </c>
      <c r="E10" s="681">
        <f>'M.CANTID.FASE 3-DISTRIBUCCION'!O24</f>
        <v>19450.47</v>
      </c>
      <c r="F10" s="644" t="e">
        <f>#REF!</f>
        <v>#REF!</v>
      </c>
      <c r="G10" s="645" t="e">
        <f t="shared" si="0"/>
        <v>#REF!</v>
      </c>
      <c r="I10" s="781"/>
    </row>
    <row r="11" spans="1:12" x14ac:dyDescent="0.2">
      <c r="B11" s="714" t="str">
        <f>'M.CANTID.FASE 3-DISTRIBUCCION'!B25</f>
        <v>1.6.3.</v>
      </c>
      <c r="C11" s="718" t="e">
        <f>'M.CANTID.FASE 3-DISTRIBUCCION'!C25</f>
        <v>#REF!</v>
      </c>
      <c r="D11" s="680" t="str">
        <f>'M.CANTID.FASE 3-DISTRIBUCCION'!P33</f>
        <v>M3</v>
      </c>
      <c r="E11" s="681">
        <f>'M.CANTID.FASE 3-DISTRIBUCCION'!O33</f>
        <v>5226.17</v>
      </c>
      <c r="F11" s="644" t="e">
        <f>#REF!</f>
        <v>#REF!</v>
      </c>
      <c r="G11" s="645" t="e">
        <f t="shared" si="0"/>
        <v>#REF!</v>
      </c>
    </row>
    <row r="12" spans="1:12" x14ac:dyDescent="0.2">
      <c r="B12" s="714" t="str">
        <f>'M.CANTID.FASE 3-DISTRIBUCCION'!B34</f>
        <v>1.6.4.</v>
      </c>
      <c r="C12" s="718" t="e">
        <f>'M.CANTID.FASE 3-DISTRIBUCCION'!C34</f>
        <v>#REF!</v>
      </c>
      <c r="D12" s="680" t="str">
        <f>'M.CANTID.FASE 3-DISTRIBUCCION'!P42</f>
        <v>M3-Km</v>
      </c>
      <c r="E12" s="681">
        <f>'M.CANTID.FASE 3-DISTRIBUCCION'!O42</f>
        <v>51763.42</v>
      </c>
      <c r="F12" s="644" t="e">
        <f>#REF!</f>
        <v>#REF!</v>
      </c>
      <c r="G12" s="645" t="e">
        <f>ROUND((+E12*F12),0)</f>
        <v>#REF!</v>
      </c>
    </row>
    <row r="13" spans="1:12" x14ac:dyDescent="0.2">
      <c r="B13" s="714" t="str">
        <f>'M.CANTID.FASE 3-DISTRIBUCCION'!B44</f>
        <v>1.6.5.</v>
      </c>
      <c r="C13" s="718" t="e">
        <f>'M.CANTID.FASE 3-DISTRIBUCCION'!C44</f>
        <v>#REF!</v>
      </c>
      <c r="D13" s="680" t="str">
        <f>'M.CANTID.FASE 3-DISTRIBUCCION'!P52</f>
        <v>M3</v>
      </c>
      <c r="E13" s="681">
        <f>'M.CANTID.FASE 3-DISTRIBUCCION'!O52</f>
        <v>9097.7900000000009</v>
      </c>
      <c r="F13" s="644" t="e">
        <f>#REF!</f>
        <v>#REF!</v>
      </c>
      <c r="G13" s="645" t="e">
        <f>ROUND((+E13*F13),0)</f>
        <v>#REF!</v>
      </c>
    </row>
    <row r="14" spans="1:12" x14ac:dyDescent="0.2">
      <c r="B14" s="714" t="str">
        <f>'M.CANTID.FASE 3-DISTRIBUCCION'!B56</f>
        <v>1.6.6.</v>
      </c>
      <c r="C14" s="718" t="e">
        <f>'M.CANTID.FASE 3-DISTRIBUCCION'!C56</f>
        <v>#REF!</v>
      </c>
      <c r="D14" s="680" t="str">
        <f>'M.CANTID.FASE 3-DISTRIBUCCION'!P64</f>
        <v>M3</v>
      </c>
      <c r="E14" s="681">
        <f>'M.CANTID.FASE 3-DISTRIBUCCION'!O64</f>
        <v>5012.96</v>
      </c>
      <c r="F14" s="644" t="e">
        <f>#REF!</f>
        <v>#REF!</v>
      </c>
      <c r="G14" s="645" t="e">
        <f t="shared" si="0"/>
        <v>#REF!</v>
      </c>
    </row>
    <row r="15" spans="1:12" x14ac:dyDescent="0.2">
      <c r="B15" s="714" t="str">
        <f>'M.CANTID.FASE 3-DISTRIBUCCION'!B65</f>
        <v>1.6.7.</v>
      </c>
      <c r="C15" s="718" t="e">
        <f>'M.CANTID.FASE 3-DISTRIBUCCION'!C65</f>
        <v>#REF!</v>
      </c>
      <c r="D15" s="680" t="str">
        <f>'M.CANTID.FASE 3-DISTRIBUCCION'!P67</f>
        <v>ML</v>
      </c>
      <c r="E15" s="681">
        <f>'M.CANTID.FASE 3-DISTRIBUCCION'!O67</f>
        <v>530.71</v>
      </c>
      <c r="F15" s="644" t="e">
        <f>#REF!</f>
        <v>#REF!</v>
      </c>
      <c r="G15" s="645" t="e">
        <f>ROUND((+E15*F15),0)</f>
        <v>#REF!</v>
      </c>
    </row>
    <row r="16" spans="1:12" x14ac:dyDescent="0.2">
      <c r="B16" s="714" t="str">
        <f>'M.CANTID.FASE 3-DISTRIBUCCION'!B68</f>
        <v>1.6.8.</v>
      </c>
      <c r="C16" s="718" t="e">
        <f>'M.CANTID.FASE 3-DISTRIBUCCION'!C68</f>
        <v>#REF!</v>
      </c>
      <c r="D16" s="680" t="str">
        <f>'M.CANTID.FASE 3-DISTRIBUCCION'!P70</f>
        <v>ML</v>
      </c>
      <c r="E16" s="681">
        <f>'M.CANTID.FASE 3-DISTRIBUCCION'!O70</f>
        <v>7343.15</v>
      </c>
      <c r="F16" s="644" t="e">
        <f>#REF!</f>
        <v>#REF!</v>
      </c>
      <c r="G16" s="645" t="e">
        <f>ROUND((+E16*F16),0)</f>
        <v>#REF!</v>
      </c>
    </row>
    <row r="17" spans="2:7" x14ac:dyDescent="0.2">
      <c r="B17" s="714" t="str">
        <f>'M.CANTID.FASE 3-DISTRIBUCCION'!B71</f>
        <v>1.6.9.</v>
      </c>
      <c r="C17" s="718" t="e">
        <f>'M.CANTID.FASE 3-DISTRIBUCCION'!C71</f>
        <v>#REF!</v>
      </c>
      <c r="D17" s="680" t="str">
        <f>'M.CANTID.FASE 3-DISTRIBUCCION'!P73</f>
        <v>ML</v>
      </c>
      <c r="E17" s="681">
        <f>'M.CANTID.FASE 3-DISTRIBUCCION'!O73</f>
        <v>15879.73</v>
      </c>
      <c r="F17" s="644" t="e">
        <f>#REF!</f>
        <v>#REF!</v>
      </c>
      <c r="G17" s="645" t="e">
        <f>ROUND((+E17*F17),0)</f>
        <v>#REF!</v>
      </c>
    </row>
    <row r="18" spans="2:7" x14ac:dyDescent="0.2">
      <c r="B18" s="714" t="str">
        <f>'M.CANTID.FASE 3-DISTRIBUCCION'!B74</f>
        <v>1.6.10.</v>
      </c>
      <c r="C18" s="718" t="e">
        <f>'M.CANTID.FASE 3-DISTRIBUCCION'!C74</f>
        <v>#REF!</v>
      </c>
      <c r="D18" s="680" t="str">
        <f>'M.CANTID.FASE 3-DISTRIBUCCION'!P76</f>
        <v>ML</v>
      </c>
      <c r="E18" s="681">
        <f>'M.CANTID.FASE 3-DISTRIBUCCION'!O76</f>
        <v>3669.97</v>
      </c>
      <c r="F18" s="644" t="e">
        <f>#REF!</f>
        <v>#REF!</v>
      </c>
      <c r="G18" s="645" t="e">
        <f t="shared" si="0"/>
        <v>#REF!</v>
      </c>
    </row>
    <row r="19" spans="2:7" x14ac:dyDescent="0.2">
      <c r="B19" s="714" t="str">
        <f>'M.CANTID.FASE 3-DISTRIBUCCION'!B77</f>
        <v>1.6.11.</v>
      </c>
      <c r="C19" s="718" t="e">
        <f>'M.CANTID.FASE 3-DISTRIBUCCION'!C77</f>
        <v>#REF!</v>
      </c>
      <c r="D19" s="680" t="str">
        <f>'M.CANTID.FASE 3-DISTRIBUCCION'!P79</f>
        <v>UND</v>
      </c>
      <c r="E19" s="681">
        <f>'M.CANTID.FASE 3-DISTRIBUCCION'!O79</f>
        <v>4</v>
      </c>
      <c r="F19" s="682" t="e">
        <f>#REF!</f>
        <v>#REF!</v>
      </c>
      <c r="G19" s="645" t="e">
        <f>ROUND((+E19*F19),0)</f>
        <v>#REF!</v>
      </c>
    </row>
    <row r="20" spans="2:7" x14ac:dyDescent="0.2">
      <c r="B20" s="714" t="str">
        <f>'M.CANTID.FASE 3-DISTRIBUCCION'!B80</f>
        <v>1.6.12.</v>
      </c>
      <c r="C20" s="718" t="e">
        <f>'M.CANTID.FASE 3-DISTRIBUCCION'!C80</f>
        <v>#REF!</v>
      </c>
      <c r="D20" s="680" t="str">
        <f>'M.CANTID.FASE 3-DISTRIBUCCION'!P82</f>
        <v>UND</v>
      </c>
      <c r="E20" s="681">
        <f>'M.CANTID.FASE 3-DISTRIBUCCION'!O82</f>
        <v>6</v>
      </c>
      <c r="F20" s="644" t="e">
        <f>#REF!</f>
        <v>#REF!</v>
      </c>
      <c r="G20" s="645" t="e">
        <f t="shared" si="0"/>
        <v>#REF!</v>
      </c>
    </row>
    <row r="21" spans="2:7" x14ac:dyDescent="0.2">
      <c r="B21" s="714" t="str">
        <f>'M.CANTID.FASE 3-DISTRIBUCCION'!B83</f>
        <v>1.6.13.</v>
      </c>
      <c r="C21" s="718" t="e">
        <f>'M.CANTID.FASE 3-DISTRIBUCCION'!C83</f>
        <v>#REF!</v>
      </c>
      <c r="D21" s="680" t="str">
        <f>'M.CANTID.FASE 3-DISTRIBUCCION'!P85</f>
        <v>UND</v>
      </c>
      <c r="E21" s="681">
        <f>'M.CANTID.FASE 3-DISTRIBUCCION'!O85</f>
        <v>2</v>
      </c>
      <c r="F21" s="644" t="e">
        <f>#REF!</f>
        <v>#REF!</v>
      </c>
      <c r="G21" s="645" t="e">
        <f t="shared" si="0"/>
        <v>#REF!</v>
      </c>
    </row>
    <row r="22" spans="2:7" x14ac:dyDescent="0.2">
      <c r="B22" s="714" t="str">
        <f>'M.CANTID.FASE 3-DISTRIBUCCION'!B86</f>
        <v>1.6.14.</v>
      </c>
      <c r="C22" s="718" t="e">
        <f>'M.CANTID.FASE 3-DISTRIBUCCION'!C86</f>
        <v>#REF!</v>
      </c>
      <c r="D22" s="680" t="str">
        <f>'M.CANTID.FASE 3-DISTRIBUCCION'!P90</f>
        <v>UND</v>
      </c>
      <c r="E22" s="681">
        <f>'M.CANTID.FASE 3-DISTRIBUCCION'!O90</f>
        <v>12</v>
      </c>
      <c r="F22" s="644" t="e">
        <f>#REF!</f>
        <v>#REF!</v>
      </c>
      <c r="G22" s="645" t="e">
        <f t="shared" si="0"/>
        <v>#REF!</v>
      </c>
    </row>
    <row r="23" spans="2:7" x14ac:dyDescent="0.2">
      <c r="B23" s="714" t="str">
        <f>'M.CANTID.FASE 3-DISTRIBUCCION'!B91</f>
        <v>1.6.15.</v>
      </c>
      <c r="C23" s="718" t="e">
        <f>'M.CANTID.FASE 3-DISTRIBUCCION'!C91</f>
        <v>#REF!</v>
      </c>
      <c r="D23" s="680" t="str">
        <f>'M.CANTID.FASE 3-DISTRIBUCCION'!P93</f>
        <v>UND</v>
      </c>
      <c r="E23" s="681">
        <f>'M.CANTID.FASE 3-DISTRIBUCCION'!O93</f>
        <v>3</v>
      </c>
      <c r="F23" s="644" t="e">
        <f>#REF!</f>
        <v>#REF!</v>
      </c>
      <c r="G23" s="645" t="e">
        <f>ROUND((+E23*F23),0)</f>
        <v>#REF!</v>
      </c>
    </row>
    <row r="24" spans="2:7" x14ac:dyDescent="0.2">
      <c r="B24" s="714" t="str">
        <f>'M.CANTID.FASE 3-DISTRIBUCCION'!B96</f>
        <v>1.6.16.</v>
      </c>
      <c r="C24" s="718" t="e">
        <f>'M.CANTID.FASE 3-DISTRIBUCCION'!C96</f>
        <v>#REF!</v>
      </c>
      <c r="D24" s="680" t="str">
        <f>'M.CANTID.FASE 3-DISTRIBUCCION'!P98</f>
        <v>UND</v>
      </c>
      <c r="E24" s="681">
        <f>'M.CANTID.FASE 3-DISTRIBUCCION'!O98</f>
        <v>2</v>
      </c>
      <c r="F24" s="644" t="e">
        <f>#REF!</f>
        <v>#REF!</v>
      </c>
      <c r="G24" s="645" t="e">
        <f t="shared" si="0"/>
        <v>#REF!</v>
      </c>
    </row>
    <row r="25" spans="2:7" x14ac:dyDescent="0.2">
      <c r="B25" s="714" t="str">
        <f>'M.CANTID.FASE 3-DISTRIBUCCION'!B99</f>
        <v>1.6.17.</v>
      </c>
      <c r="C25" s="718" t="e">
        <f>'M.CANTID.FASE 3-DISTRIBUCCION'!C99</f>
        <v>#REF!</v>
      </c>
      <c r="D25" s="680" t="str">
        <f>'M.CANTID.FASE 3-DISTRIBUCCION'!P101</f>
        <v>UND</v>
      </c>
      <c r="E25" s="681">
        <f>'M.CANTID.FASE 3-DISTRIBUCCION'!O101</f>
        <v>4</v>
      </c>
      <c r="F25" s="644" t="e">
        <f>#REF!</f>
        <v>#REF!</v>
      </c>
      <c r="G25" s="645" t="e">
        <f t="shared" si="0"/>
        <v>#REF!</v>
      </c>
    </row>
    <row r="26" spans="2:7" x14ac:dyDescent="0.2">
      <c r="B26" s="714" t="str">
        <f>'M.CANTID.FASE 3-DISTRIBUCCION'!B102</f>
        <v>1.6.18.</v>
      </c>
      <c r="C26" s="718" t="e">
        <f>'M.CANTID.FASE 3-DISTRIBUCCION'!C102</f>
        <v>#REF!</v>
      </c>
      <c r="D26" s="680" t="str">
        <f>'M.CANTID.FASE 3-DISTRIBUCCION'!P104</f>
        <v>UND</v>
      </c>
      <c r="E26" s="681">
        <f>'M.CANTID.FASE 3-DISTRIBUCCION'!O104</f>
        <v>1</v>
      </c>
      <c r="F26" s="644" t="e">
        <f>#REF!</f>
        <v>#REF!</v>
      </c>
      <c r="G26" s="645" t="e">
        <f>ROUND((+E26*F26),0)</f>
        <v>#REF!</v>
      </c>
    </row>
    <row r="27" spans="2:7" x14ac:dyDescent="0.2">
      <c r="B27" s="714" t="str">
        <f>'M.CANTID.FASE 3-DISTRIBUCCION'!B105</f>
        <v>1.6.19.</v>
      </c>
      <c r="C27" s="718" t="e">
        <f>'M.CANTID.FASE 3-DISTRIBUCCION'!C105</f>
        <v>#REF!</v>
      </c>
      <c r="D27" s="680" t="str">
        <f>'M.CANTID.FASE 3-DISTRIBUCCION'!P107</f>
        <v>UND</v>
      </c>
      <c r="E27" s="681">
        <f>'M.CANTID.FASE 3-DISTRIBUCCION'!O107</f>
        <v>6</v>
      </c>
      <c r="F27" s="644" t="e">
        <f>#REF!</f>
        <v>#REF!</v>
      </c>
      <c r="G27" s="645" t="e">
        <f t="shared" si="0"/>
        <v>#REF!</v>
      </c>
    </row>
    <row r="28" spans="2:7" x14ac:dyDescent="0.2">
      <c r="B28" s="714" t="str">
        <f>'M.CANTID.FASE 3-DISTRIBUCCION'!B108</f>
        <v>1.6.20.</v>
      </c>
      <c r="C28" s="718" t="e">
        <f>'M.CANTID.FASE 3-DISTRIBUCCION'!C108</f>
        <v>#REF!</v>
      </c>
      <c r="D28" s="680" t="str">
        <f>'M.CANTID.FASE 3-DISTRIBUCCION'!P110</f>
        <v>UND</v>
      </c>
      <c r="E28" s="681">
        <f>'M.CANTID.FASE 3-DISTRIBUCCION'!O110</f>
        <v>5</v>
      </c>
      <c r="F28" s="644" t="e">
        <f>#REF!</f>
        <v>#REF!</v>
      </c>
      <c r="G28" s="645" t="e">
        <f t="shared" si="0"/>
        <v>#REF!</v>
      </c>
    </row>
    <row r="29" spans="2:7" x14ac:dyDescent="0.2">
      <c r="B29" s="714" t="str">
        <f>'M.CANTID.FASE 3-DISTRIBUCCION'!B111</f>
        <v>1.6.21.</v>
      </c>
      <c r="C29" s="718" t="e">
        <f>'M.CANTID.FASE 3-DISTRIBUCCION'!C111</f>
        <v>#REF!</v>
      </c>
      <c r="D29" s="680" t="str">
        <f>'M.CANTID.FASE 3-DISTRIBUCCION'!P113</f>
        <v>UND</v>
      </c>
      <c r="E29" s="681">
        <f>'M.CANTID.FASE 3-DISTRIBUCCION'!O113</f>
        <v>2</v>
      </c>
      <c r="F29" s="644" t="e">
        <f>#REF!</f>
        <v>#REF!</v>
      </c>
      <c r="G29" s="645" t="e">
        <f t="shared" si="0"/>
        <v>#REF!</v>
      </c>
    </row>
    <row r="30" spans="2:7" x14ac:dyDescent="0.2">
      <c r="B30" s="714" t="str">
        <f>'M.CANTID.FASE 3-DISTRIBUCCION'!B114</f>
        <v>1.6.22.</v>
      </c>
      <c r="C30" s="718" t="e">
        <f>'M.CANTID.FASE 3-DISTRIBUCCION'!C114</f>
        <v>#REF!</v>
      </c>
      <c r="D30" s="680" t="str">
        <f>'M.CANTID.FASE 3-DISTRIBUCCION'!P116</f>
        <v>UND</v>
      </c>
      <c r="E30" s="681">
        <f>'M.CANTID.FASE 3-DISTRIBUCCION'!O116</f>
        <v>1</v>
      </c>
      <c r="F30" s="644" t="e">
        <f>#REF!</f>
        <v>#REF!</v>
      </c>
      <c r="G30" s="645" t="e">
        <f t="shared" si="0"/>
        <v>#REF!</v>
      </c>
    </row>
    <row r="31" spans="2:7" x14ac:dyDescent="0.2">
      <c r="B31" s="714" t="str">
        <f>'M.CANTID.FASE 3-DISTRIBUCCION'!B117</f>
        <v>1.6.23.</v>
      </c>
      <c r="C31" s="718" t="e">
        <f>'M.CANTID.FASE 3-DISTRIBUCCION'!C117</f>
        <v>#REF!</v>
      </c>
      <c r="D31" s="680" t="str">
        <f>'M.CANTID.FASE 3-DISTRIBUCCION'!P119</f>
        <v>UND</v>
      </c>
      <c r="E31" s="681">
        <f>'M.CANTID.FASE 3-DISTRIBUCCION'!O119</f>
        <v>45</v>
      </c>
      <c r="F31" s="682" t="e">
        <f>#REF!</f>
        <v>#REF!</v>
      </c>
      <c r="G31" s="756" t="e">
        <f t="shared" si="0"/>
        <v>#REF!</v>
      </c>
    </row>
    <row r="32" spans="2:7" x14ac:dyDescent="0.2">
      <c r="B32" s="714" t="str">
        <f>'M.CANTID.FASE 3-DISTRIBUCCION'!B120</f>
        <v>1.6.24.</v>
      </c>
      <c r="C32" s="718" t="e">
        <f>'M.CANTID.FASE 3-DISTRIBUCCION'!C120</f>
        <v>#REF!</v>
      </c>
      <c r="D32" s="680" t="str">
        <f>'M.CANTID.FASE 3-DISTRIBUCCION'!P122</f>
        <v>UND</v>
      </c>
      <c r="E32" s="681">
        <f>'M.CANTID.FASE 3-DISTRIBUCCION'!O122</f>
        <v>101</v>
      </c>
      <c r="F32" s="682" t="e">
        <f>#REF!</f>
        <v>#REF!</v>
      </c>
      <c r="G32" s="756" t="e">
        <f t="shared" si="0"/>
        <v>#REF!</v>
      </c>
    </row>
    <row r="33" spans="2:9" x14ac:dyDescent="0.2">
      <c r="B33" s="714" t="str">
        <f>'M.CANTID.FASE 3-DISTRIBUCCION'!B123</f>
        <v>1.6.25.</v>
      </c>
      <c r="C33" s="718" t="e">
        <f>'M.CANTID.FASE 3-DISTRIBUCCION'!C123</f>
        <v>#REF!</v>
      </c>
      <c r="D33" s="680" t="str">
        <f>'M.CANTID.FASE 3-DISTRIBUCCION'!P125</f>
        <v>UND</v>
      </c>
      <c r="E33" s="681">
        <f>'M.CANTID.FASE 3-DISTRIBUCCION'!O125</f>
        <v>47</v>
      </c>
      <c r="F33" s="682" t="e">
        <f>#REF!</f>
        <v>#REF!</v>
      </c>
      <c r="G33" s="756" t="e">
        <f t="shared" si="0"/>
        <v>#REF!</v>
      </c>
    </row>
    <row r="34" spans="2:9" ht="38.25" customHeight="1" x14ac:dyDescent="0.2">
      <c r="B34" s="714" t="str">
        <f>'M.CANTID.FASE 3-DISTRIBUCCION'!B126</f>
        <v>1.6.26.</v>
      </c>
      <c r="C34" s="718" t="e">
        <f>'M.CANTID.FASE 3-DISTRIBUCCION'!C126</f>
        <v>#REF!</v>
      </c>
      <c r="D34" s="680" t="str">
        <f>'M.CANTID.FASE 3-DISTRIBUCCION'!P129</f>
        <v>UND</v>
      </c>
      <c r="E34" s="681">
        <f>'M.CANTID.FASE 3-DISTRIBUCCION'!O129</f>
        <v>193</v>
      </c>
      <c r="F34" s="682" t="e">
        <f>#REF!</f>
        <v>#REF!</v>
      </c>
      <c r="G34" s="756" t="e">
        <f t="shared" si="0"/>
        <v>#REF!</v>
      </c>
    </row>
    <row r="35" spans="2:9" x14ac:dyDescent="0.2">
      <c r="B35" s="714" t="str">
        <f>'M.CANTID.FASE 3-DISTRIBUCCION'!B130</f>
        <v>1.6.27.</v>
      </c>
      <c r="C35" s="718" t="e">
        <f>'M.CANTID.FASE 3-DISTRIBUCCION'!C130</f>
        <v>#REF!</v>
      </c>
      <c r="D35" s="680" t="str">
        <f>'M.CANTID.FASE 3-DISTRIBUCCION'!P132</f>
        <v>UND</v>
      </c>
      <c r="E35" s="681">
        <f>'M.CANTID.FASE 3-DISTRIBUCCION'!O132</f>
        <v>1</v>
      </c>
      <c r="F35" s="682" t="e">
        <f>#REF!</f>
        <v>#REF!</v>
      </c>
      <c r="G35" s="756" t="e">
        <f t="shared" si="0"/>
        <v>#REF!</v>
      </c>
    </row>
    <row r="36" spans="2:9" x14ac:dyDescent="0.2">
      <c r="B36" s="714" t="str">
        <f>'M.CANTID.FASE 3-DISTRIBUCCION'!B133</f>
        <v>1.6.28.</v>
      </c>
      <c r="C36" s="718" t="e">
        <f>'M.CANTID.FASE 3-DISTRIBUCCION'!C133</f>
        <v>#REF!</v>
      </c>
      <c r="D36" s="680" t="str">
        <f>'M.CANTID.FASE 3-DISTRIBUCCION'!P135</f>
        <v>UND</v>
      </c>
      <c r="E36" s="681">
        <f>'M.CANTID.FASE 3-DISTRIBUCCION'!O135</f>
        <v>2</v>
      </c>
      <c r="F36" s="682" t="e">
        <f>#REF!</f>
        <v>#REF!</v>
      </c>
      <c r="G36" s="756" t="e">
        <f t="shared" si="0"/>
        <v>#REF!</v>
      </c>
    </row>
    <row r="37" spans="2:9" x14ac:dyDescent="0.2">
      <c r="B37" s="714" t="str">
        <f>'M.CANTID.FASE 3-DISTRIBUCCION'!B136</f>
        <v>1.6.29.</v>
      </c>
      <c r="C37" s="718" t="e">
        <f>'M.CANTID.FASE 3-DISTRIBUCCION'!C136</f>
        <v>#REF!</v>
      </c>
      <c r="D37" s="680" t="str">
        <f>'M.CANTID.FASE 3-DISTRIBUCCION'!P138</f>
        <v>UND</v>
      </c>
      <c r="E37" s="681">
        <f>'M.CANTID.FASE 3-DISTRIBUCCION'!O138</f>
        <v>2</v>
      </c>
      <c r="F37" s="682" t="e">
        <f>#REF!</f>
        <v>#REF!</v>
      </c>
      <c r="G37" s="756" t="e">
        <f t="shared" si="0"/>
        <v>#REF!</v>
      </c>
    </row>
    <row r="38" spans="2:9" x14ac:dyDescent="0.2">
      <c r="B38" s="714" t="str">
        <f>'M.CANTID.FASE 3-DISTRIBUCCION'!B139</f>
        <v>1.6.30.</v>
      </c>
      <c r="C38" s="718" t="e">
        <f>'M.CANTID.FASE 3-DISTRIBUCCION'!C139</f>
        <v>#REF!</v>
      </c>
      <c r="D38" s="680" t="str">
        <f>'M.CANTID.FASE 3-DISTRIBUCCION'!P141</f>
        <v>UND</v>
      </c>
      <c r="E38" s="681">
        <f>'M.CANTID.FASE 3-DISTRIBUCCION'!O141</f>
        <v>1</v>
      </c>
      <c r="F38" s="682" t="e">
        <f>#REF!</f>
        <v>#REF!</v>
      </c>
      <c r="G38" s="756" t="e">
        <f t="shared" si="0"/>
        <v>#REF!</v>
      </c>
    </row>
    <row r="39" spans="2:9" x14ac:dyDescent="0.2">
      <c r="B39" s="714" t="str">
        <f>'M.CANTID.FASE 3-DISTRIBUCCION'!B142</f>
        <v>1.6.31.</v>
      </c>
      <c r="C39" s="718" t="e">
        <f>'M.CANTID.FASE 3-DISTRIBUCCION'!C142</f>
        <v>#REF!</v>
      </c>
      <c r="D39" s="680" t="str">
        <f>'M.CANTID.FASE 3-DISTRIBUCCION'!P145</f>
        <v>UND</v>
      </c>
      <c r="E39" s="681">
        <f>'M.CANTID.FASE 3-DISTRIBUCCION'!O145</f>
        <v>2</v>
      </c>
      <c r="F39" s="682" t="e">
        <f>#REF!</f>
        <v>#REF!</v>
      </c>
      <c r="G39" s="756" t="e">
        <f t="shared" si="0"/>
        <v>#REF!</v>
      </c>
    </row>
    <row r="40" spans="2:9" x14ac:dyDescent="0.2">
      <c r="B40" s="714" t="str">
        <f>'M.CANTID.FASE 3-DISTRIBUCCION'!B146</f>
        <v>1.6.32.</v>
      </c>
      <c r="C40" s="718" t="e">
        <f>'M.CANTID.FASE 3-DISTRIBUCCION'!C146</f>
        <v>#REF!</v>
      </c>
      <c r="D40" s="680" t="str">
        <f>'M.CANTID.FASE 3-DISTRIBUCCION'!P149</f>
        <v>UND</v>
      </c>
      <c r="E40" s="681">
        <f>'M.CANTID.FASE 3-DISTRIBUCCION'!O149</f>
        <v>3</v>
      </c>
      <c r="F40" s="682" t="e">
        <f>#REF!</f>
        <v>#REF!</v>
      </c>
      <c r="G40" s="756" t="e">
        <f t="shared" si="0"/>
        <v>#REF!</v>
      </c>
    </row>
    <row r="41" spans="2:9" ht="24" customHeight="1" x14ac:dyDescent="0.2">
      <c r="B41" s="640"/>
      <c r="C41" s="1600" t="s">
        <v>1160</v>
      </c>
      <c r="D41" s="1600"/>
      <c r="E41" s="1600"/>
      <c r="F41" s="1600"/>
      <c r="G41" s="1600"/>
    </row>
    <row r="42" spans="2:9" ht="24" customHeight="1" x14ac:dyDescent="0.2">
      <c r="B42" s="714" t="str">
        <f>'M.CANTID.FASE 3-DISTRIBUCCION'!B153</f>
        <v>1.6.33.</v>
      </c>
      <c r="C42" s="718" t="e">
        <f>'M.CANTID.FASE 3-DISTRIBUCCION'!C153</f>
        <v>#REF!</v>
      </c>
      <c r="D42" s="680" t="str">
        <f>'M.CANTID.FASE 3-DISTRIBUCCION'!P155</f>
        <v>ML</v>
      </c>
      <c r="E42" s="681">
        <f>'M.CANTID.FASE 3-DISTRIBUCCION'!O155</f>
        <v>530.71</v>
      </c>
      <c r="F42" s="644" t="e">
        <f>#REF!</f>
        <v>#REF!</v>
      </c>
      <c r="G42" s="645" t="e">
        <f t="shared" ref="G42:G45" si="1">ROUND((+E42*F42),0)</f>
        <v>#REF!</v>
      </c>
    </row>
    <row r="43" spans="2:9" ht="31.5" customHeight="1" x14ac:dyDescent="0.2">
      <c r="B43" s="714" t="str">
        <f>'M.CANTID.FASE 3-DISTRIBUCCION'!B156</f>
        <v>1.6.34.</v>
      </c>
      <c r="C43" s="718" t="e">
        <f>'M.CANTID.FASE 3-DISTRIBUCCION'!C156</f>
        <v>#REF!</v>
      </c>
      <c r="D43" s="680" t="str">
        <f>'M.CANTID.FASE 3-DISTRIBUCCION'!P158</f>
        <v>ML</v>
      </c>
      <c r="E43" s="681">
        <f>'M.CANTID.FASE 3-DISTRIBUCCION'!O158</f>
        <v>7343.15</v>
      </c>
      <c r="F43" s="644" t="e">
        <f>#REF!</f>
        <v>#REF!</v>
      </c>
      <c r="G43" s="645" t="e">
        <f t="shared" si="1"/>
        <v>#REF!</v>
      </c>
    </row>
    <row r="44" spans="2:9" ht="35.25" customHeight="1" x14ac:dyDescent="0.2">
      <c r="B44" s="714" t="str">
        <f>'M.CANTID.FASE 3-DISTRIBUCCION'!B159</f>
        <v>1.6.35.</v>
      </c>
      <c r="C44" s="718" t="e">
        <f>'M.CANTID.FASE 3-DISTRIBUCCION'!C159</f>
        <v>#REF!</v>
      </c>
      <c r="D44" s="680" t="str">
        <f>'M.CANTID.FASE 3-DISTRIBUCCION'!P161</f>
        <v>ML</v>
      </c>
      <c r="E44" s="681">
        <f>'M.CANTID.FASE 3-DISTRIBUCCION'!O161</f>
        <v>15879.73</v>
      </c>
      <c r="F44" s="644" t="e">
        <f>#REF!</f>
        <v>#REF!</v>
      </c>
      <c r="G44" s="645" t="e">
        <f t="shared" si="1"/>
        <v>#REF!</v>
      </c>
    </row>
    <row r="45" spans="2:9" ht="32.25" customHeight="1" thickBot="1" x14ac:dyDescent="0.25">
      <c r="B45" s="714" t="str">
        <f>'M.CANTID.FASE 3-DISTRIBUCCION'!B162</f>
        <v>1.6.36.</v>
      </c>
      <c r="C45" s="718" t="e">
        <f>'M.CANTID.FASE 3-DISTRIBUCCION'!C162</f>
        <v>#REF!</v>
      </c>
      <c r="D45" s="680" t="str">
        <f>'M.CANTID.FASE 3-DISTRIBUCCION'!P164</f>
        <v>ML</v>
      </c>
      <c r="E45" s="681">
        <f>'M.CANTID.FASE 3-DISTRIBUCCION'!O164</f>
        <v>3669.97</v>
      </c>
      <c r="F45" s="644" t="e">
        <f>#REF!</f>
        <v>#REF!</v>
      </c>
      <c r="G45" s="645" t="e">
        <f t="shared" si="1"/>
        <v>#REF!</v>
      </c>
    </row>
    <row r="46" spans="2:9" ht="15" thickBot="1" x14ac:dyDescent="0.25">
      <c r="B46" s="1597" t="s">
        <v>1167</v>
      </c>
      <c r="C46" s="1597"/>
      <c r="D46" s="1597"/>
      <c r="E46" s="1597"/>
      <c r="F46" s="1597"/>
      <c r="G46" s="753" t="e">
        <f>SUM(G9:G40)</f>
        <v>#REF!</v>
      </c>
    </row>
    <row r="47" spans="2:9" ht="15" thickBot="1" x14ac:dyDescent="0.25">
      <c r="B47" s="1597" t="s">
        <v>1168</v>
      </c>
      <c r="C47" s="1597"/>
      <c r="D47" s="1597"/>
      <c r="E47" s="1597"/>
      <c r="F47" s="1597"/>
      <c r="G47" s="753" t="e">
        <f>SUM(G42:G45)</f>
        <v>#REF!</v>
      </c>
    </row>
    <row r="48" spans="2:9" ht="15" thickBot="1" x14ac:dyDescent="0.25">
      <c r="B48" s="1598" t="s">
        <v>1169</v>
      </c>
      <c r="C48" s="1598"/>
      <c r="D48" s="1598"/>
      <c r="E48" s="1598"/>
      <c r="F48" s="1598"/>
      <c r="G48" s="754" t="e">
        <f>SUM(G46:G47)</f>
        <v>#REF!</v>
      </c>
      <c r="I48" s="709" t="e">
        <f>G46+G47</f>
        <v>#REF!</v>
      </c>
    </row>
    <row r="49" spans="2:13" ht="15" customHeight="1" thickBot="1" x14ac:dyDescent="0.25">
      <c r="B49" s="1599" t="s">
        <v>1148</v>
      </c>
      <c r="C49" s="1599"/>
      <c r="D49" s="1599"/>
      <c r="E49" s="1599"/>
      <c r="F49" s="1599"/>
      <c r="G49" s="829" t="e">
        <f>G46</f>
        <v>#REF!</v>
      </c>
    </row>
    <row r="50" spans="2:13" ht="15" customHeight="1" thickBot="1" x14ac:dyDescent="0.25">
      <c r="B50" s="1599" t="s">
        <v>1149</v>
      </c>
      <c r="C50" s="1599"/>
      <c r="D50" s="1599"/>
      <c r="E50" s="1599"/>
      <c r="F50" s="1599"/>
      <c r="G50" s="829" t="e">
        <f>G47</f>
        <v>#REF!</v>
      </c>
    </row>
    <row r="51" spans="2:13" ht="15" customHeight="1" thickBot="1" x14ac:dyDescent="0.25">
      <c r="B51" s="1593" t="s">
        <v>1715</v>
      </c>
      <c r="C51" s="1593"/>
      <c r="D51" s="1593"/>
      <c r="E51" s="1593"/>
      <c r="F51" s="1593"/>
      <c r="G51" s="833" t="e">
        <f>G49</f>
        <v>#REF!</v>
      </c>
      <c r="I51" s="708"/>
      <c r="J51" s="709"/>
    </row>
    <row r="52" spans="2:13" ht="15" customHeight="1" thickBot="1" x14ac:dyDescent="0.25">
      <c r="B52" s="1594" t="s">
        <v>856</v>
      </c>
      <c r="C52" s="1595"/>
      <c r="D52" s="1595"/>
      <c r="E52" s="1595"/>
      <c r="F52" s="686">
        <f>SUM(E53:E55)</f>
        <v>0.3</v>
      </c>
      <c r="G52" s="689" t="e">
        <f>SUM(G53:G55)</f>
        <v>#REF!</v>
      </c>
    </row>
    <row r="53" spans="2:13" ht="15" customHeight="1" thickBot="1" x14ac:dyDescent="0.25">
      <c r="B53" s="1583" t="s">
        <v>857</v>
      </c>
      <c r="C53" s="1584"/>
      <c r="D53" s="1585"/>
      <c r="E53" s="687">
        <v>0.23</v>
      </c>
      <c r="F53" s="688"/>
      <c r="G53" s="689" t="e">
        <f>ROUND((G$51*E53),0)</f>
        <v>#REF!</v>
      </c>
    </row>
    <row r="54" spans="2:13" ht="15" customHeight="1" thickBot="1" x14ac:dyDescent="0.25">
      <c r="B54" s="1583" t="s">
        <v>858</v>
      </c>
      <c r="C54" s="1584"/>
      <c r="D54" s="1585"/>
      <c r="E54" s="687">
        <v>0.02</v>
      </c>
      <c r="F54" s="688"/>
      <c r="G54" s="689" t="e">
        <f>ROUND((G$51*E54),0)</f>
        <v>#REF!</v>
      </c>
      <c r="J54" s="709"/>
    </row>
    <row r="55" spans="2:13" ht="15" customHeight="1" thickBot="1" x14ac:dyDescent="0.25">
      <c r="B55" s="1583" t="s">
        <v>859</v>
      </c>
      <c r="C55" s="1584"/>
      <c r="D55" s="1585"/>
      <c r="E55" s="687">
        <v>0.05</v>
      </c>
      <c r="F55" s="688"/>
      <c r="G55" s="689" t="e">
        <f>ROUND((G$51*E55),0)</f>
        <v>#REF!</v>
      </c>
    </row>
    <row r="56" spans="2:13" ht="15" customHeight="1" thickBot="1" x14ac:dyDescent="0.25">
      <c r="B56" s="1593" t="s">
        <v>1682</v>
      </c>
      <c r="C56" s="1593"/>
      <c r="D56" s="1593"/>
      <c r="E56" s="1593"/>
      <c r="F56" s="1593"/>
      <c r="G56" s="833" t="e">
        <f>G51+G52</f>
        <v>#REF!</v>
      </c>
    </row>
    <row r="57" spans="2:13" ht="15" customHeight="1" thickBot="1" x14ac:dyDescent="0.25">
      <c r="B57" s="1580" t="s">
        <v>1716</v>
      </c>
      <c r="C57" s="1581"/>
      <c r="D57" s="1581"/>
      <c r="E57" s="1581"/>
      <c r="F57" s="1582"/>
      <c r="G57" s="835" t="e">
        <f>G50</f>
        <v>#REF!</v>
      </c>
    </row>
    <row r="58" spans="2:13" s="572" customFormat="1" ht="15" customHeight="1" thickBot="1" x14ac:dyDescent="0.25">
      <c r="B58" s="1583" t="s">
        <v>927</v>
      </c>
      <c r="C58" s="1584"/>
      <c r="D58" s="1585"/>
      <c r="E58" s="687">
        <v>0.12</v>
      </c>
      <c r="F58" s="688"/>
      <c r="G58" s="834" t="e">
        <f>ROUND((G$57*E58),0)</f>
        <v>#REF!</v>
      </c>
    </row>
    <row r="59" spans="2:13" ht="15" customHeight="1" thickBot="1" x14ac:dyDescent="0.25">
      <c r="B59" s="1586" t="s">
        <v>1717</v>
      </c>
      <c r="C59" s="1586"/>
      <c r="D59" s="1586"/>
      <c r="E59" s="1586"/>
      <c r="F59" s="1586"/>
      <c r="G59" s="835" t="e">
        <f>G57+G58</f>
        <v>#REF!</v>
      </c>
      <c r="H59" s="691"/>
    </row>
    <row r="60" spans="2:13" ht="15" customHeight="1" thickBot="1" x14ac:dyDescent="0.25">
      <c r="B60" s="1587" t="s">
        <v>1469</v>
      </c>
      <c r="C60" s="1588"/>
      <c r="D60" s="1588"/>
      <c r="E60" s="1589"/>
      <c r="F60" s="848">
        <v>0.01</v>
      </c>
      <c r="G60" s="849" t="e">
        <f>ROUND((G$51*F60),0)</f>
        <v>#REF!</v>
      </c>
      <c r="H60" s="691"/>
    </row>
    <row r="61" spans="2:13" ht="15" customHeight="1" thickBot="1" x14ac:dyDescent="0.25">
      <c r="B61" s="1575" t="s">
        <v>1677</v>
      </c>
      <c r="C61" s="1575"/>
      <c r="D61" s="1575"/>
      <c r="E61" s="1575"/>
      <c r="F61" s="1575"/>
      <c r="G61" s="850" t="e">
        <f>G56+G59+G60</f>
        <v>#REF!</v>
      </c>
      <c r="J61" s="786"/>
    </row>
    <row r="62" spans="2:13" ht="15" customHeight="1" thickBot="1" x14ac:dyDescent="0.25">
      <c r="B62" s="1576" t="s">
        <v>1718</v>
      </c>
      <c r="C62" s="1577"/>
      <c r="D62" s="1578"/>
      <c r="E62" s="755">
        <v>8.4500000000000006E-2</v>
      </c>
      <c r="F62" s="688"/>
      <c r="G62" s="689" t="e">
        <f>ROUND((G$61*E62),0)</f>
        <v>#REF!</v>
      </c>
      <c r="I62" s="709"/>
    </row>
    <row r="63" spans="2:13" ht="15" customHeight="1" thickBot="1" x14ac:dyDescent="0.25">
      <c r="B63" s="1579" t="s">
        <v>1737</v>
      </c>
      <c r="C63" s="1579"/>
      <c r="D63" s="1579"/>
      <c r="E63" s="1579"/>
      <c r="F63" s="1579"/>
      <c r="G63" s="852" t="e">
        <f>G61+G62</f>
        <v>#REF!</v>
      </c>
      <c r="I63" s="733"/>
      <c r="J63" s="572"/>
      <c r="K63" s="784"/>
      <c r="L63" s="572"/>
      <c r="M63" s="572"/>
    </row>
    <row r="64" spans="2:13" ht="21.75" customHeight="1" x14ac:dyDescent="0.2">
      <c r="B64" s="839"/>
      <c r="C64" s="839"/>
      <c r="D64" s="839"/>
      <c r="E64" s="839"/>
      <c r="F64" s="839"/>
      <c r="G64" s="840"/>
      <c r="I64" s="733"/>
      <c r="J64" s="572"/>
      <c r="K64" s="784"/>
      <c r="L64" s="572"/>
      <c r="M64" s="572"/>
    </row>
    <row r="65" spans="2:13" ht="21.75" customHeight="1" x14ac:dyDescent="0.2">
      <c r="B65" s="839"/>
      <c r="C65" s="839"/>
      <c r="D65" s="839"/>
      <c r="E65" s="839"/>
      <c r="F65" s="913"/>
      <c r="G65" s="840"/>
      <c r="I65" s="733"/>
      <c r="J65" s="572"/>
      <c r="K65" s="784"/>
      <c r="L65" s="572"/>
      <c r="M65" s="572"/>
    </row>
    <row r="66" spans="2:13" x14ac:dyDescent="0.2">
      <c r="B66" s="701"/>
      <c r="C66" s="701"/>
      <c r="D66" s="701"/>
      <c r="E66" s="701"/>
      <c r="F66" s="701"/>
      <c r="G66" s="702"/>
      <c r="I66" s="572"/>
      <c r="J66" s="572"/>
      <c r="K66" s="572"/>
      <c r="L66" s="572"/>
      <c r="M66" s="572"/>
    </row>
    <row r="67" spans="2:13" x14ac:dyDescent="0.2">
      <c r="B67" s="701"/>
      <c r="C67" s="701"/>
      <c r="D67" s="701"/>
      <c r="E67" s="701"/>
      <c r="F67" s="701"/>
      <c r="G67" s="702"/>
      <c r="I67" s="709"/>
    </row>
    <row r="68" spans="2:13" x14ac:dyDescent="0.2">
      <c r="B68" s="837"/>
      <c r="C68" s="837"/>
      <c r="D68" s="701"/>
      <c r="E68" s="837"/>
      <c r="F68" s="837"/>
      <c r="G68" s="838"/>
      <c r="J68" s="785"/>
    </row>
    <row r="69" spans="2:13" ht="15" x14ac:dyDescent="0.2">
      <c r="B69" s="946" t="s">
        <v>1673</v>
      </c>
      <c r="C69" s="947"/>
      <c r="D69" s="628"/>
      <c r="E69" s="628"/>
      <c r="F69" s="677"/>
      <c r="G69" s="690"/>
      <c r="H69" s="692"/>
    </row>
    <row r="70" spans="2:13" ht="10.5" customHeight="1" x14ac:dyDescent="0.2">
      <c r="B70" s="946" t="s">
        <v>1674</v>
      </c>
      <c r="C70" s="946"/>
      <c r="D70" s="674"/>
      <c r="E70" s="674"/>
      <c r="F70" s="676"/>
      <c r="G70" s="690"/>
    </row>
    <row r="71" spans="2:13" x14ac:dyDescent="0.2">
      <c r="B71" s="948" t="s">
        <v>1675</v>
      </c>
      <c r="C71" s="794"/>
      <c r="D71" s="674"/>
      <c r="E71" s="674"/>
      <c r="F71" s="676"/>
    </row>
    <row r="72" spans="2:13" x14ac:dyDescent="0.2">
      <c r="B72" s="674"/>
      <c r="D72" s="653"/>
      <c r="E72" s="674"/>
    </row>
    <row r="73" spans="2:13" x14ac:dyDescent="0.2">
      <c r="H73" s="652"/>
      <c r="I73" s="652"/>
      <c r="J73" s="652"/>
      <c r="K73" s="652"/>
    </row>
    <row r="74" spans="2:13" x14ac:dyDescent="0.2">
      <c r="H74" s="652"/>
      <c r="I74" s="652"/>
      <c r="J74" s="652"/>
      <c r="K74" s="652"/>
    </row>
    <row r="76" spans="2:13" x14ac:dyDescent="0.2">
      <c r="I76" s="652"/>
    </row>
    <row r="77" spans="2:13" x14ac:dyDescent="0.2">
      <c r="I77" s="652"/>
    </row>
    <row r="78" spans="2:13" x14ac:dyDescent="0.2">
      <c r="I78" s="652"/>
    </row>
    <row r="79" spans="2:13" x14ac:dyDescent="0.2">
      <c r="I79" s="652"/>
    </row>
    <row r="80" spans="2:13" x14ac:dyDescent="0.2">
      <c r="B80" s="579"/>
      <c r="E80" s="579"/>
      <c r="F80" s="579"/>
      <c r="G80" s="579"/>
      <c r="I80" s="652"/>
    </row>
    <row r="81" spans="2:10" x14ac:dyDescent="0.2">
      <c r="B81" s="579"/>
      <c r="E81" s="579"/>
      <c r="F81" s="579"/>
      <c r="G81" s="579"/>
      <c r="I81" s="652"/>
      <c r="J81" s="652"/>
    </row>
  </sheetData>
  <autoFilter ref="B6:G63" xr:uid="{00000000-0009-0000-0000-000009000000}"/>
  <mergeCells count="26">
    <mergeCell ref="B7:G7"/>
    <mergeCell ref="B1:C1"/>
    <mergeCell ref="D1:G1"/>
    <mergeCell ref="B2:G2"/>
    <mergeCell ref="B3:G3"/>
    <mergeCell ref="B4:G4"/>
    <mergeCell ref="B56:F56"/>
    <mergeCell ref="B49:F49"/>
    <mergeCell ref="B50:F50"/>
    <mergeCell ref="C8:G8"/>
    <mergeCell ref="C41:G41"/>
    <mergeCell ref="B46:F46"/>
    <mergeCell ref="B47:F47"/>
    <mergeCell ref="B48:F48"/>
    <mergeCell ref="B51:F51"/>
    <mergeCell ref="B52:E52"/>
    <mergeCell ref="B53:D53"/>
    <mergeCell ref="B54:D54"/>
    <mergeCell ref="B55:D55"/>
    <mergeCell ref="B61:F61"/>
    <mergeCell ref="B62:D62"/>
    <mergeCell ref="B63:F63"/>
    <mergeCell ref="B57:F57"/>
    <mergeCell ref="B58:D58"/>
    <mergeCell ref="B59:F59"/>
    <mergeCell ref="B60:E60"/>
  </mergeCells>
  <printOptions horizontalCentered="1"/>
  <pageMargins left="0.19685039370078741" right="0.19685039370078741" top="0.19685039370078741" bottom="0.19685039370078741" header="0" footer="0"/>
  <pageSetup scale="92" orientation="portrait" horizontalDpi="4294967293" verticalDpi="4294967293" r:id="rId1"/>
  <rowBreaks count="1" manualBreakCount="1">
    <brk id="42" max="6"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sheetPr>
  <dimension ref="A1:WQY1754"/>
  <sheetViews>
    <sheetView view="pageBreakPreview" topLeftCell="A1721" zoomScaleNormal="100" zoomScaleSheetLayoutView="100" workbookViewId="0">
      <selection activeCell="AB1732" sqref="AB1732:CQ1744"/>
    </sheetView>
  </sheetViews>
  <sheetFormatPr baseColWidth="10" defaultColWidth="11.42578125" defaultRowHeight="12.75" x14ac:dyDescent="0.2"/>
  <cols>
    <col min="1" max="1" width="5.140625" style="609" customWidth="1"/>
    <col min="2" max="2" width="7.7109375" style="609" customWidth="1"/>
    <col min="3" max="3" width="28.5703125" style="609" customWidth="1"/>
    <col min="4" max="4" width="2.5703125" style="609" customWidth="1"/>
    <col min="5" max="5" width="11.28515625" style="661" customWidth="1"/>
    <col min="6" max="6" width="2.5703125" style="630" customWidth="1"/>
    <col min="7" max="7" width="10.5703125" style="672" customWidth="1"/>
    <col min="8" max="8" width="2.42578125" style="672" customWidth="1"/>
    <col min="9" max="9" width="14.140625" style="672" customWidth="1"/>
    <col min="10" max="10" width="2.42578125" style="672" customWidth="1"/>
    <col min="11" max="11" width="15.42578125" style="672" customWidth="1"/>
    <col min="12" max="12" width="2.5703125" style="672" customWidth="1"/>
    <col min="13" max="13" width="13.7109375" style="672" customWidth="1"/>
    <col min="14" max="14" width="3" style="630" customWidth="1"/>
    <col min="15" max="15" width="11.5703125" style="672" customWidth="1"/>
    <col min="16" max="16" width="7.140625" style="655" customWidth="1"/>
    <col min="17" max="16384" width="11.42578125" style="609"/>
  </cols>
  <sheetData>
    <row r="1" spans="1:16" ht="81.75" customHeight="1" thickBot="1" x14ac:dyDescent="0.25">
      <c r="A1" s="1915"/>
      <c r="B1" s="1915"/>
      <c r="C1" s="1915"/>
      <c r="D1" s="1915"/>
      <c r="E1" s="1915"/>
      <c r="F1" s="1916" t="str">
        <f>'PRES.FASE 1-ADUCCION'!D$1</f>
        <v>AGUAS DEL HUILA S.A. E.S.P.</v>
      </c>
      <c r="G1" s="1916"/>
      <c r="H1" s="1916"/>
      <c r="I1" s="1916"/>
      <c r="J1" s="1916"/>
      <c r="K1" s="1916"/>
      <c r="L1" s="1916"/>
      <c r="M1" s="1916"/>
      <c r="N1" s="1916"/>
      <c r="O1" s="1916"/>
      <c r="P1" s="1916"/>
    </row>
    <row r="2" spans="1:16" ht="54.75" customHeight="1" thickBot="1" x14ac:dyDescent="0.25">
      <c r="A2" s="1916" t="str">
        <f>'PRES.FASE 1-ADUCCION'!B$2</f>
        <v>CONTRATO DE CONSULTORIA No. 059 DEL 01 DE MARZO DE 2021 CUYO OBJETO ES “CONTRATO DE CONSULTORIA PARA LA ELABORACION DE ESTUDIOS Y DISEÑOS PARA LA OPTIMIZACION DEL SISTEMA DE ACUEDUCTO DEL MUNICIPIO DE TESALIA”.</v>
      </c>
      <c r="B2" s="1916"/>
      <c r="C2" s="1916"/>
      <c r="D2" s="1916"/>
      <c r="E2" s="1916"/>
      <c r="F2" s="1916"/>
      <c r="G2" s="1916"/>
      <c r="H2" s="1916"/>
      <c r="I2" s="1916"/>
      <c r="J2" s="1916"/>
      <c r="K2" s="1916"/>
      <c r="L2" s="1916"/>
      <c r="M2" s="1916"/>
      <c r="N2" s="1916"/>
      <c r="O2" s="1916"/>
      <c r="P2" s="1916"/>
    </row>
    <row r="3" spans="1:16" ht="19.5" customHeight="1" thickBot="1" x14ac:dyDescent="0.25">
      <c r="A3" s="1916" t="s">
        <v>1727</v>
      </c>
      <c r="B3" s="1916"/>
      <c r="C3" s="1916"/>
      <c r="D3" s="1916"/>
      <c r="E3" s="1916"/>
      <c r="F3" s="1916"/>
      <c r="G3" s="1916"/>
      <c r="H3" s="1916"/>
      <c r="I3" s="1916"/>
      <c r="J3" s="1916"/>
      <c r="K3" s="1916"/>
      <c r="L3" s="1916"/>
      <c r="M3" s="923" t="s">
        <v>1181</v>
      </c>
      <c r="N3" s="1916" t="str">
        <f>PRES.GENERAL!G5</f>
        <v>AGOSTO/2024</v>
      </c>
      <c r="O3" s="1916"/>
      <c r="P3" s="1916"/>
    </row>
    <row r="4" spans="1:16" ht="18.75" x14ac:dyDescent="0.3">
      <c r="B4" s="654"/>
      <c r="C4" s="654"/>
      <c r="D4" s="654"/>
      <c r="E4" s="654"/>
      <c r="F4" s="654"/>
      <c r="G4" s="654"/>
      <c r="H4" s="654"/>
      <c r="I4" s="654"/>
      <c r="J4" s="654"/>
      <c r="K4" s="654"/>
      <c r="L4" s="654"/>
      <c r="M4" s="654"/>
      <c r="O4" s="631"/>
    </row>
    <row r="5" spans="1:16" ht="15.75" x14ac:dyDescent="0.2">
      <c r="A5" s="1904" t="s">
        <v>1074</v>
      </c>
      <c r="B5" s="1914"/>
      <c r="C5" s="1914"/>
      <c r="D5" s="1914"/>
      <c r="E5" s="1914"/>
      <c r="F5" s="1914"/>
      <c r="G5" s="1914"/>
      <c r="H5" s="1914"/>
      <c r="I5" s="1914"/>
      <c r="J5" s="1914"/>
      <c r="K5" s="1914"/>
      <c r="L5" s="1914"/>
      <c r="M5" s="1914"/>
      <c r="N5" s="1914"/>
      <c r="O5" s="1914"/>
      <c r="P5" s="1914"/>
    </row>
    <row r="6" spans="1:16" ht="15.75" x14ac:dyDescent="0.2">
      <c r="A6" s="787"/>
      <c r="B6" s="788"/>
      <c r="C6" s="788"/>
      <c r="D6" s="788"/>
      <c r="E6" s="788"/>
      <c r="F6" s="788"/>
      <c r="G6" s="788"/>
      <c r="H6" s="788"/>
      <c r="I6" s="788"/>
      <c r="J6" s="788"/>
      <c r="K6" s="788"/>
      <c r="L6" s="788"/>
      <c r="M6" s="788"/>
      <c r="N6" s="788"/>
      <c r="O6" s="788"/>
      <c r="P6" s="788"/>
    </row>
    <row r="7" spans="1:16" ht="18.75" customHeight="1" x14ac:dyDescent="0.2">
      <c r="A7" s="1904" t="s">
        <v>1182</v>
      </c>
      <c r="B7" s="1914"/>
      <c r="C7" s="1914"/>
      <c r="D7" s="1914"/>
      <c r="E7" s="1914"/>
      <c r="F7" s="1914"/>
      <c r="G7" s="1914"/>
      <c r="H7" s="1914"/>
      <c r="I7" s="1914"/>
      <c r="J7" s="1914"/>
      <c r="K7" s="1914"/>
      <c r="L7" s="1914"/>
      <c r="M7" s="1914"/>
      <c r="N7" s="1914"/>
      <c r="O7" s="1914"/>
      <c r="P7" s="1914"/>
    </row>
    <row r="8" spans="1:16" ht="18.75" x14ac:dyDescent="0.3">
      <c r="A8" s="736"/>
      <c r="B8" s="750"/>
      <c r="D8" s="654"/>
      <c r="E8" s="654"/>
      <c r="F8" s="654"/>
      <c r="G8" s="654"/>
      <c r="H8" s="654"/>
      <c r="I8" s="654"/>
      <c r="J8" s="654"/>
      <c r="K8" s="654"/>
      <c r="L8" s="654"/>
      <c r="M8" s="654"/>
      <c r="O8" s="631"/>
    </row>
    <row r="9" spans="1:16" ht="15.75" x14ac:dyDescent="0.2">
      <c r="A9" s="736"/>
      <c r="B9" s="925" t="s">
        <v>881</v>
      </c>
      <c r="C9" s="926" t="s">
        <v>1686</v>
      </c>
      <c r="D9" s="656"/>
      <c r="E9" s="629"/>
      <c r="F9" s="657"/>
      <c r="G9" s="658"/>
      <c r="H9" s="658"/>
      <c r="I9" s="658"/>
      <c r="J9" s="658"/>
      <c r="K9" s="658"/>
      <c r="L9" s="658"/>
      <c r="M9" s="658"/>
      <c r="N9" s="657"/>
      <c r="O9" s="658"/>
      <c r="P9" s="659"/>
    </row>
    <row r="10" spans="1:16" ht="15.75" x14ac:dyDescent="0.25">
      <c r="A10" s="736"/>
      <c r="B10" s="749"/>
      <c r="C10" s="912" t="s">
        <v>1159</v>
      </c>
      <c r="D10" s="656"/>
      <c r="E10" s="629"/>
      <c r="F10" s="657"/>
      <c r="G10" s="658"/>
      <c r="H10" s="658"/>
      <c r="I10" s="658"/>
      <c r="J10" s="658"/>
      <c r="K10" s="658"/>
      <c r="L10" s="658"/>
      <c r="M10" s="658"/>
      <c r="N10" s="657"/>
      <c r="O10" s="658"/>
      <c r="P10" s="659"/>
    </row>
    <row r="11" spans="1:16" x14ac:dyDescent="0.2">
      <c r="A11" s="736"/>
      <c r="B11" s="737"/>
      <c r="C11" s="737"/>
      <c r="G11" s="631"/>
      <c r="H11" s="631"/>
      <c r="I11" s="631"/>
      <c r="J11" s="631"/>
      <c r="K11" s="631"/>
      <c r="L11" s="631"/>
      <c r="M11" s="631"/>
      <c r="O11" s="631"/>
    </row>
    <row r="12" spans="1:16" ht="30.75" customHeight="1" x14ac:dyDescent="0.2">
      <c r="A12" s="734" t="s">
        <v>0</v>
      </c>
      <c r="B12" s="735" t="s">
        <v>1183</v>
      </c>
      <c r="C12" s="678" t="e">
        <f>#REF!</f>
        <v>#REF!</v>
      </c>
      <c r="D12" s="662" t="s">
        <v>799</v>
      </c>
      <c r="E12" s="663" t="s">
        <v>864</v>
      </c>
      <c r="F12" s="633"/>
      <c r="G12" s="664" t="s">
        <v>628</v>
      </c>
      <c r="H12" s="664"/>
      <c r="I12" s="664"/>
      <c r="J12" s="664"/>
      <c r="K12" s="664"/>
      <c r="L12" s="664"/>
      <c r="M12" s="664"/>
      <c r="O12" s="631"/>
    </row>
    <row r="13" spans="1:16" ht="13.5" thickBot="1" x14ac:dyDescent="0.25">
      <c r="A13" s="736"/>
      <c r="B13" s="737"/>
      <c r="C13" s="665" t="s">
        <v>892</v>
      </c>
      <c r="E13" s="661">
        <v>25</v>
      </c>
      <c r="F13" s="662" t="s">
        <v>866</v>
      </c>
      <c r="G13" s="631">
        <v>1</v>
      </c>
      <c r="H13" s="631"/>
      <c r="I13" s="631"/>
      <c r="J13" s="631"/>
      <c r="K13" s="631"/>
      <c r="L13" s="631"/>
      <c r="M13" s="631"/>
      <c r="N13" s="666" t="s">
        <v>799</v>
      </c>
      <c r="O13" s="631">
        <f>E13*G13</f>
        <v>25</v>
      </c>
      <c r="P13" s="630" t="s">
        <v>6</v>
      </c>
    </row>
    <row r="14" spans="1:16" ht="13.5" thickBot="1" x14ac:dyDescent="0.25">
      <c r="A14" s="736"/>
      <c r="B14" s="737"/>
      <c r="C14" s="667"/>
      <c r="F14" s="666"/>
      <c r="G14" s="631"/>
      <c r="H14" s="631"/>
      <c r="I14" s="631"/>
      <c r="J14" s="631"/>
      <c r="K14" s="631"/>
      <c r="L14" s="631"/>
      <c r="M14" s="631"/>
      <c r="N14" s="666"/>
      <c r="O14" s="668">
        <f>ROUND((SUM(O13:O13)),2)</f>
        <v>25</v>
      </c>
      <c r="P14" s="669" t="s">
        <v>6</v>
      </c>
    </row>
    <row r="15" spans="1:16" x14ac:dyDescent="0.2">
      <c r="A15" s="734" t="s">
        <v>0</v>
      </c>
      <c r="B15" s="735" t="s">
        <v>1184</v>
      </c>
      <c r="C15" s="678" t="e">
        <f>#REF!</f>
        <v>#REF!</v>
      </c>
      <c r="D15" s="662" t="s">
        <v>799</v>
      </c>
      <c r="E15" s="663" t="s">
        <v>628</v>
      </c>
      <c r="F15" s="633"/>
      <c r="G15" s="664"/>
      <c r="H15" s="664"/>
      <c r="I15" s="664"/>
      <c r="J15" s="664"/>
      <c r="K15" s="664"/>
      <c r="L15" s="664"/>
      <c r="M15" s="664"/>
      <c r="O15" s="631"/>
    </row>
    <row r="16" spans="1:16" ht="13.5" thickBot="1" x14ac:dyDescent="0.25">
      <c r="A16" s="736"/>
      <c r="B16" s="737"/>
      <c r="C16" s="665" t="s">
        <v>893</v>
      </c>
      <c r="E16" s="661">
        <v>1</v>
      </c>
      <c r="F16" s="662"/>
      <c r="G16" s="631"/>
      <c r="H16" s="631"/>
      <c r="I16" s="631"/>
      <c r="J16" s="631"/>
      <c r="K16" s="631"/>
      <c r="L16" s="631"/>
      <c r="M16" s="631"/>
      <c r="N16" s="666" t="s">
        <v>799</v>
      </c>
      <c r="O16" s="631">
        <f>E16</f>
        <v>1</v>
      </c>
      <c r="P16" s="630" t="s">
        <v>2</v>
      </c>
    </row>
    <row r="17" spans="1:16" ht="13.5" thickBot="1" x14ac:dyDescent="0.25">
      <c r="A17" s="736"/>
      <c r="B17" s="737"/>
      <c r="C17" s="667"/>
      <c r="F17" s="666"/>
      <c r="G17" s="631"/>
      <c r="H17" s="631"/>
      <c r="I17" s="631"/>
      <c r="J17" s="631"/>
      <c r="K17" s="631"/>
      <c r="L17" s="631"/>
      <c r="M17" s="631"/>
      <c r="N17" s="666"/>
      <c r="O17" s="668">
        <f>ROUND((SUM(O16:O16)),2)</f>
        <v>1</v>
      </c>
      <c r="P17" s="669" t="s">
        <v>2</v>
      </c>
    </row>
    <row r="18" spans="1:16" ht="26.25" customHeight="1" x14ac:dyDescent="0.2">
      <c r="A18" s="734" t="s">
        <v>0</v>
      </c>
      <c r="B18" s="735" t="s">
        <v>1185</v>
      </c>
      <c r="C18" s="678" t="e">
        <f>#REF!</f>
        <v>#REF!</v>
      </c>
      <c r="D18" s="662" t="s">
        <v>799</v>
      </c>
      <c r="E18" s="663" t="s">
        <v>628</v>
      </c>
      <c r="F18" s="633"/>
      <c r="G18" s="664"/>
      <c r="H18" s="664"/>
      <c r="I18" s="664"/>
      <c r="J18" s="664"/>
      <c r="K18" s="664"/>
      <c r="L18" s="664"/>
      <c r="M18" s="664"/>
      <c r="O18" s="631"/>
    </row>
    <row r="19" spans="1:16" ht="13.5" thickBot="1" x14ac:dyDescent="0.25">
      <c r="A19" s="736"/>
      <c r="B19" s="737"/>
      <c r="C19" s="665" t="s">
        <v>892</v>
      </c>
      <c r="E19" s="661">
        <v>1</v>
      </c>
      <c r="F19" s="662"/>
      <c r="G19" s="631"/>
      <c r="H19" s="631"/>
      <c r="I19" s="631"/>
      <c r="J19" s="631"/>
      <c r="K19" s="631"/>
      <c r="L19" s="631"/>
      <c r="M19" s="631"/>
      <c r="N19" s="666" t="s">
        <v>799</v>
      </c>
      <c r="O19" s="631">
        <f>E19</f>
        <v>1</v>
      </c>
      <c r="P19" s="630" t="s">
        <v>2</v>
      </c>
    </row>
    <row r="20" spans="1:16" ht="13.5" thickBot="1" x14ac:dyDescent="0.25">
      <c r="A20" s="736"/>
      <c r="B20" s="737"/>
      <c r="C20" s="667"/>
      <c r="F20" s="666"/>
      <c r="G20" s="631"/>
      <c r="H20" s="631"/>
      <c r="I20" s="631"/>
      <c r="J20" s="631"/>
      <c r="K20" s="631"/>
      <c r="L20" s="631"/>
      <c r="M20" s="631"/>
      <c r="N20" s="666"/>
      <c r="O20" s="668">
        <f>ROUND((SUM(O19:O19)),2)</f>
        <v>1</v>
      </c>
      <c r="P20" s="669" t="s">
        <v>2</v>
      </c>
    </row>
    <row r="21" spans="1:16" x14ac:dyDescent="0.2">
      <c r="A21" s="734" t="s">
        <v>0</v>
      </c>
      <c r="B21" s="735" t="s">
        <v>1186</v>
      </c>
      <c r="C21" s="678" t="e">
        <f>#REF!</f>
        <v>#REF!</v>
      </c>
      <c r="D21" s="662" t="s">
        <v>799</v>
      </c>
      <c r="E21" s="663" t="s">
        <v>628</v>
      </c>
      <c r="F21" s="633"/>
      <c r="G21" s="664"/>
      <c r="H21" s="664"/>
      <c r="I21" s="664"/>
      <c r="J21" s="664"/>
      <c r="K21" s="664"/>
      <c r="L21" s="664"/>
      <c r="M21" s="664"/>
      <c r="O21" s="631"/>
    </row>
    <row r="22" spans="1:16" ht="13.5" thickBot="1" x14ac:dyDescent="0.25">
      <c r="A22" s="736"/>
      <c r="B22" s="737"/>
      <c r="C22" s="665" t="s">
        <v>893</v>
      </c>
      <c r="E22" s="661">
        <v>1</v>
      </c>
      <c r="F22" s="662"/>
      <c r="G22" s="631"/>
      <c r="H22" s="631"/>
      <c r="I22" s="631"/>
      <c r="J22" s="631"/>
      <c r="K22" s="631"/>
      <c r="L22" s="631"/>
      <c r="M22" s="631"/>
      <c r="N22" s="666" t="s">
        <v>799</v>
      </c>
      <c r="O22" s="631">
        <f>E22</f>
        <v>1</v>
      </c>
      <c r="P22" s="630" t="s">
        <v>2</v>
      </c>
    </row>
    <row r="23" spans="1:16" ht="13.5" thickBot="1" x14ac:dyDescent="0.25">
      <c r="A23" s="736"/>
      <c r="B23" s="737"/>
      <c r="C23" s="667"/>
      <c r="F23" s="666"/>
      <c r="G23" s="631"/>
      <c r="H23" s="631"/>
      <c r="I23" s="631"/>
      <c r="J23" s="631"/>
      <c r="K23" s="631"/>
      <c r="L23" s="631"/>
      <c r="M23" s="631"/>
      <c r="N23" s="666"/>
      <c r="O23" s="668">
        <f>ROUND((SUM(O22:O22)),2)</f>
        <v>1</v>
      </c>
      <c r="P23" s="669" t="s">
        <v>2</v>
      </c>
    </row>
    <row r="24" spans="1:16" x14ac:dyDescent="0.2">
      <c r="A24" s="734" t="s">
        <v>0</v>
      </c>
      <c r="B24" s="735" t="s">
        <v>1187</v>
      </c>
      <c r="C24" s="678" t="e">
        <f>#REF!</f>
        <v>#REF!</v>
      </c>
      <c r="D24" s="662" t="s">
        <v>799</v>
      </c>
      <c r="E24" s="663" t="s">
        <v>628</v>
      </c>
      <c r="F24" s="633"/>
      <c r="G24" s="664"/>
      <c r="H24" s="664"/>
      <c r="I24" s="664"/>
      <c r="J24" s="664"/>
      <c r="K24" s="664"/>
      <c r="L24" s="664"/>
      <c r="M24" s="664"/>
      <c r="O24" s="631"/>
    </row>
    <row r="25" spans="1:16" ht="13.5" thickBot="1" x14ac:dyDescent="0.25">
      <c r="A25" s="736"/>
      <c r="B25" s="737"/>
      <c r="C25" s="665" t="s">
        <v>892</v>
      </c>
      <c r="E25" s="661">
        <v>1</v>
      </c>
      <c r="F25" s="662"/>
      <c r="G25" s="631"/>
      <c r="H25" s="631"/>
      <c r="I25" s="631"/>
      <c r="J25" s="631"/>
      <c r="K25" s="631"/>
      <c r="L25" s="631"/>
      <c r="M25" s="631"/>
      <c r="N25" s="666" t="s">
        <v>799</v>
      </c>
      <c r="O25" s="631">
        <f>E25</f>
        <v>1</v>
      </c>
      <c r="P25" s="630" t="s">
        <v>2</v>
      </c>
    </row>
    <row r="26" spans="1:16" ht="13.5" thickBot="1" x14ac:dyDescent="0.25">
      <c r="A26" s="736"/>
      <c r="B26" s="737"/>
      <c r="C26" s="667"/>
      <c r="F26" s="666"/>
      <c r="G26" s="631"/>
      <c r="H26" s="631"/>
      <c r="I26" s="631"/>
      <c r="J26" s="631"/>
      <c r="K26" s="631"/>
      <c r="L26" s="631"/>
      <c r="M26" s="631"/>
      <c r="N26" s="666"/>
      <c r="O26" s="668">
        <f>ROUND((SUM(O25:O25)),2)</f>
        <v>1</v>
      </c>
      <c r="P26" s="669" t="s">
        <v>2</v>
      </c>
    </row>
    <row r="27" spans="1:16" ht="61.5" customHeight="1" x14ac:dyDescent="0.2">
      <c r="A27" s="734" t="s">
        <v>0</v>
      </c>
      <c r="B27" s="735" t="s">
        <v>1188</v>
      </c>
      <c r="C27" s="678" t="e">
        <f>#REF!</f>
        <v>#REF!</v>
      </c>
      <c r="D27" s="662" t="s">
        <v>799</v>
      </c>
      <c r="E27" s="663" t="s">
        <v>628</v>
      </c>
      <c r="F27" s="633"/>
      <c r="G27" s="664"/>
      <c r="H27" s="664"/>
      <c r="I27" s="664"/>
      <c r="J27" s="664"/>
      <c r="K27" s="664"/>
      <c r="L27" s="664"/>
      <c r="M27" s="664"/>
      <c r="O27" s="631"/>
    </row>
    <row r="28" spans="1:16" ht="13.5" thickBot="1" x14ac:dyDescent="0.25">
      <c r="A28" s="736"/>
      <c r="B28" s="737"/>
      <c r="C28" s="665" t="s">
        <v>1670</v>
      </c>
      <c r="E28" s="661">
        <v>1</v>
      </c>
      <c r="F28" s="662"/>
      <c r="G28" s="631"/>
      <c r="H28" s="631"/>
      <c r="I28" s="631"/>
      <c r="J28" s="631"/>
      <c r="K28" s="631"/>
      <c r="L28" s="631"/>
      <c r="M28" s="631"/>
      <c r="N28" s="666" t="s">
        <v>799</v>
      </c>
      <c r="O28" s="631">
        <f>E28</f>
        <v>1</v>
      </c>
      <c r="P28" s="630" t="s">
        <v>2</v>
      </c>
    </row>
    <row r="29" spans="1:16" ht="13.5" thickBot="1" x14ac:dyDescent="0.25">
      <c r="A29" s="736"/>
      <c r="B29" s="737"/>
      <c r="C29" s="667"/>
      <c r="F29" s="666"/>
      <c r="G29" s="631"/>
      <c r="H29" s="631"/>
      <c r="I29" s="631"/>
      <c r="J29" s="631"/>
      <c r="K29" s="631"/>
      <c r="L29" s="631"/>
      <c r="M29" s="631"/>
      <c r="N29" s="666"/>
      <c r="O29" s="668">
        <f>ROUND((SUM(O28:O28)),2)</f>
        <v>1</v>
      </c>
      <c r="P29" s="669" t="s">
        <v>2</v>
      </c>
    </row>
    <row r="30" spans="1:16" ht="30.75" customHeight="1" x14ac:dyDescent="0.2">
      <c r="A30" s="734" t="s">
        <v>0</v>
      </c>
      <c r="B30" s="735" t="s">
        <v>1189</v>
      </c>
      <c r="C30" s="678" t="e">
        <f>#REF!</f>
        <v>#REF!</v>
      </c>
      <c r="D30" s="662" t="s">
        <v>799</v>
      </c>
      <c r="E30" s="663" t="s">
        <v>628</v>
      </c>
      <c r="F30" s="633"/>
      <c r="G30" s="664"/>
      <c r="H30" s="664"/>
      <c r="I30" s="664"/>
      <c r="J30" s="664"/>
      <c r="K30" s="664"/>
      <c r="L30" s="664"/>
      <c r="M30" s="664"/>
      <c r="O30" s="631"/>
    </row>
    <row r="31" spans="1:16" ht="13.5" thickBot="1" x14ac:dyDescent="0.25">
      <c r="A31" s="736"/>
      <c r="B31" s="737"/>
      <c r="C31" s="665" t="s">
        <v>1693</v>
      </c>
      <c r="E31" s="661">
        <v>20</v>
      </c>
      <c r="F31" s="662"/>
      <c r="G31" s="631"/>
      <c r="H31" s="631"/>
      <c r="I31" s="631"/>
      <c r="J31" s="631"/>
      <c r="K31" s="631"/>
      <c r="L31" s="631"/>
      <c r="M31" s="631"/>
      <c r="N31" s="666" t="s">
        <v>799</v>
      </c>
      <c r="O31" s="631">
        <f>E31</f>
        <v>20</v>
      </c>
      <c r="P31" s="657" t="s">
        <v>1694</v>
      </c>
    </row>
    <row r="32" spans="1:16" ht="13.5" thickBot="1" x14ac:dyDescent="0.25">
      <c r="A32" s="736"/>
      <c r="B32" s="737"/>
      <c r="C32" s="667"/>
      <c r="F32" s="666"/>
      <c r="G32" s="631"/>
      <c r="H32" s="631"/>
      <c r="I32" s="631"/>
      <c r="J32" s="631"/>
      <c r="K32" s="631"/>
      <c r="L32" s="631"/>
      <c r="M32" s="631"/>
      <c r="N32" s="666"/>
      <c r="O32" s="668">
        <f>ROUND((SUM(O31:O31)),2)</f>
        <v>20</v>
      </c>
      <c r="P32" s="669" t="s">
        <v>1694</v>
      </c>
    </row>
    <row r="33" spans="1:16" x14ac:dyDescent="0.2">
      <c r="A33" s="736"/>
      <c r="B33" s="737"/>
      <c r="C33" s="667"/>
      <c r="F33" s="666"/>
      <c r="G33" s="631"/>
      <c r="H33" s="631"/>
      <c r="I33" s="631"/>
      <c r="J33" s="631"/>
      <c r="K33" s="631"/>
      <c r="L33" s="631"/>
      <c r="M33" s="631"/>
      <c r="N33" s="666"/>
      <c r="O33" s="632"/>
      <c r="P33" s="633"/>
    </row>
    <row r="34" spans="1:16" x14ac:dyDescent="0.2">
      <c r="A34" s="736"/>
      <c r="B34" s="737"/>
      <c r="C34" s="667"/>
      <c r="F34" s="666"/>
      <c r="G34" s="631"/>
      <c r="H34" s="631"/>
      <c r="I34" s="631"/>
      <c r="J34" s="631"/>
      <c r="K34" s="631"/>
      <c r="L34" s="631"/>
      <c r="M34" s="631"/>
      <c r="N34" s="666"/>
      <c r="O34" s="632"/>
      <c r="P34" s="633"/>
    </row>
    <row r="35" spans="1:16" ht="15.75" x14ac:dyDescent="0.25">
      <c r="A35" s="736"/>
      <c r="B35" s="737"/>
      <c r="C35" s="912" t="s">
        <v>1160</v>
      </c>
      <c r="F35" s="666"/>
      <c r="G35" s="631"/>
      <c r="H35" s="631"/>
      <c r="I35" s="631"/>
      <c r="J35" s="631"/>
      <c r="K35" s="631"/>
      <c r="L35" s="631"/>
      <c r="M35" s="631"/>
      <c r="N35" s="666"/>
      <c r="O35" s="632"/>
      <c r="P35" s="633"/>
    </row>
    <row r="36" spans="1:16" x14ac:dyDescent="0.2">
      <c r="A36" s="734" t="s">
        <v>0</v>
      </c>
      <c r="B36" s="735" t="s">
        <v>1190</v>
      </c>
      <c r="C36" s="678" t="e">
        <f>#REF!</f>
        <v>#REF!</v>
      </c>
      <c r="D36" s="662" t="s">
        <v>799</v>
      </c>
      <c r="E36" s="663" t="s">
        <v>864</v>
      </c>
      <c r="F36" s="633"/>
      <c r="G36" s="664" t="s">
        <v>628</v>
      </c>
      <c r="H36" s="664"/>
      <c r="I36" s="664"/>
      <c r="J36" s="664"/>
      <c r="K36" s="664"/>
      <c r="L36" s="664"/>
      <c r="M36" s="664"/>
      <c r="O36" s="631"/>
    </row>
    <row r="37" spans="1:16" ht="13.5" thickBot="1" x14ac:dyDescent="0.25">
      <c r="A37" s="736"/>
      <c r="B37" s="737"/>
      <c r="C37" s="665" t="s">
        <v>892</v>
      </c>
      <c r="E37" s="661">
        <v>25</v>
      </c>
      <c r="F37" s="662" t="s">
        <v>866</v>
      </c>
      <c r="G37" s="631">
        <v>1</v>
      </c>
      <c r="H37" s="631"/>
      <c r="I37" s="631"/>
      <c r="J37" s="631"/>
      <c r="K37" s="631"/>
      <c r="L37" s="631"/>
      <c r="M37" s="631"/>
      <c r="N37" s="666" t="s">
        <v>799</v>
      </c>
      <c r="O37" s="631">
        <f>E37*G37</f>
        <v>25</v>
      </c>
      <c r="P37" s="630" t="s">
        <v>6</v>
      </c>
    </row>
    <row r="38" spans="1:16" ht="13.5" thickBot="1" x14ac:dyDescent="0.25">
      <c r="A38" s="736"/>
      <c r="B38" s="737"/>
      <c r="C38" s="667"/>
      <c r="F38" s="666"/>
      <c r="G38" s="631"/>
      <c r="H38" s="631"/>
      <c r="I38" s="631"/>
      <c r="J38" s="631"/>
      <c r="K38" s="631"/>
      <c r="L38" s="631"/>
      <c r="M38" s="631"/>
      <c r="N38" s="666"/>
      <c r="O38" s="668">
        <f>ROUND((SUM(O37:O37)),2)</f>
        <v>25</v>
      </c>
      <c r="P38" s="669" t="s">
        <v>6</v>
      </c>
    </row>
    <row r="39" spans="1:16" x14ac:dyDescent="0.2">
      <c r="A39" s="736"/>
      <c r="B39" s="737"/>
      <c r="C39" s="667"/>
      <c r="F39" s="666"/>
      <c r="G39" s="631"/>
      <c r="H39" s="631"/>
      <c r="I39" s="631"/>
      <c r="J39" s="631"/>
      <c r="K39" s="631"/>
      <c r="L39" s="631"/>
      <c r="M39" s="631"/>
      <c r="N39" s="666"/>
      <c r="O39" s="632"/>
      <c r="P39" s="633"/>
    </row>
    <row r="40" spans="1:16" ht="15.75" x14ac:dyDescent="0.2">
      <c r="A40" s="1904" t="s">
        <v>1191</v>
      </c>
      <c r="B40" s="1914"/>
      <c r="C40" s="1914"/>
      <c r="D40" s="1914"/>
      <c r="E40" s="1914"/>
      <c r="F40" s="1914"/>
      <c r="G40" s="1914"/>
      <c r="H40" s="1914"/>
      <c r="I40" s="1914"/>
      <c r="J40" s="1914"/>
      <c r="K40" s="1914"/>
      <c r="L40" s="1914"/>
      <c r="M40" s="1914"/>
      <c r="N40" s="1914"/>
      <c r="O40" s="1914"/>
      <c r="P40" s="1914"/>
    </row>
    <row r="41" spans="1:16" ht="18.75" x14ac:dyDescent="0.3">
      <c r="B41" s="654"/>
      <c r="D41" s="654"/>
      <c r="E41" s="654"/>
      <c r="F41" s="654"/>
      <c r="G41" s="654"/>
      <c r="H41" s="654"/>
      <c r="I41" s="654"/>
      <c r="J41" s="654"/>
      <c r="K41" s="654"/>
      <c r="L41" s="654"/>
      <c r="M41" s="654"/>
      <c r="O41" s="631"/>
    </row>
    <row r="42" spans="1:16" ht="15.75" x14ac:dyDescent="0.2">
      <c r="A42" s="736"/>
      <c r="B42" s="925" t="s">
        <v>1192</v>
      </c>
      <c r="C42" s="926" t="s">
        <v>1557</v>
      </c>
      <c r="D42" s="927"/>
      <c r="E42" s="928"/>
      <c r="F42" s="657"/>
      <c r="G42" s="658"/>
      <c r="H42" s="658"/>
      <c r="I42" s="658"/>
      <c r="J42" s="658"/>
      <c r="K42" s="658"/>
      <c r="L42" s="658"/>
      <c r="M42" s="658"/>
      <c r="N42" s="657"/>
      <c r="O42" s="658"/>
      <c r="P42" s="659"/>
    </row>
    <row r="43" spans="1:16" ht="15.75" x14ac:dyDescent="0.25">
      <c r="A43" s="736"/>
      <c r="B43" s="749"/>
      <c r="C43" s="912" t="s">
        <v>1159</v>
      </c>
      <c r="D43" s="656"/>
      <c r="E43" s="629"/>
      <c r="F43" s="657"/>
      <c r="G43" s="658"/>
      <c r="H43" s="658"/>
      <c r="I43" s="658"/>
      <c r="J43" s="658"/>
      <c r="K43" s="658"/>
      <c r="L43" s="658"/>
      <c r="M43" s="658"/>
      <c r="N43" s="657"/>
      <c r="O43" s="658"/>
      <c r="P43" s="659"/>
    </row>
    <row r="44" spans="1:16" x14ac:dyDescent="0.2">
      <c r="A44" s="736"/>
      <c r="B44" s="737"/>
      <c r="C44" s="737"/>
      <c r="G44" s="631"/>
      <c r="H44" s="631"/>
      <c r="I44" s="631"/>
      <c r="J44" s="631"/>
      <c r="K44" s="631"/>
      <c r="L44" s="631"/>
      <c r="M44" s="631"/>
      <c r="O44" s="631"/>
    </row>
    <row r="45" spans="1:16" x14ac:dyDescent="0.2">
      <c r="A45" s="734" t="s">
        <v>0</v>
      </c>
      <c r="B45" s="735" t="s">
        <v>1193</v>
      </c>
      <c r="C45" s="751" t="e">
        <f>#REF!</f>
        <v>#REF!</v>
      </c>
      <c r="D45" s="662" t="s">
        <v>799</v>
      </c>
      <c r="E45" s="663" t="s">
        <v>864</v>
      </c>
      <c r="F45" s="633"/>
      <c r="G45" s="664"/>
      <c r="H45" s="664"/>
      <c r="I45" s="664"/>
      <c r="J45" s="664"/>
      <c r="K45" s="664"/>
      <c r="L45" s="664"/>
      <c r="M45" s="664"/>
      <c r="O45" s="631"/>
    </row>
    <row r="46" spans="1:16" ht="13.5" thickBot="1" x14ac:dyDescent="0.25">
      <c r="A46" s="736"/>
      <c r="B46" s="737"/>
      <c r="C46" s="665" t="s">
        <v>1558</v>
      </c>
      <c r="E46" s="629">
        <v>166.98</v>
      </c>
      <c r="F46" s="662"/>
      <c r="G46" s="631"/>
      <c r="H46" s="631"/>
      <c r="I46" s="631"/>
      <c r="J46" s="631"/>
      <c r="K46" s="631"/>
      <c r="L46" s="631"/>
      <c r="M46" s="631"/>
      <c r="N46" s="666" t="s">
        <v>799</v>
      </c>
      <c r="O46" s="631">
        <f>E46</f>
        <v>166.98</v>
      </c>
      <c r="P46" s="630" t="s">
        <v>6</v>
      </c>
    </row>
    <row r="47" spans="1:16" ht="13.5" thickBot="1" x14ac:dyDescent="0.25">
      <c r="A47" s="736"/>
      <c r="B47" s="737"/>
      <c r="C47" s="667"/>
      <c r="F47" s="666"/>
      <c r="G47" s="631"/>
      <c r="H47" s="631"/>
      <c r="I47" s="631"/>
      <c r="J47" s="631"/>
      <c r="K47" s="631"/>
      <c r="L47" s="631"/>
      <c r="M47" s="631"/>
      <c r="N47" s="666"/>
      <c r="O47" s="668">
        <f>ROUND((SUM(O46:O46)),2)</f>
        <v>166.98</v>
      </c>
      <c r="P47" s="669" t="s">
        <v>6</v>
      </c>
    </row>
    <row r="48" spans="1:16" x14ac:dyDescent="0.2">
      <c r="A48" s="734" t="s">
        <v>0</v>
      </c>
      <c r="B48" s="735" t="s">
        <v>1194</v>
      </c>
      <c r="C48" s="751" t="e">
        <f>#REF!</f>
        <v>#REF!</v>
      </c>
      <c r="D48" s="662" t="s">
        <v>799</v>
      </c>
      <c r="E48" s="663" t="s">
        <v>864</v>
      </c>
      <c r="F48" s="633"/>
      <c r="G48" s="664" t="s">
        <v>865</v>
      </c>
      <c r="H48" s="664"/>
      <c r="I48" s="664" t="s">
        <v>883</v>
      </c>
      <c r="J48" s="664"/>
      <c r="K48" s="664"/>
      <c r="L48" s="664"/>
      <c r="M48" s="664"/>
      <c r="O48" s="631"/>
    </row>
    <row r="49" spans="1:16" ht="13.5" thickBot="1" x14ac:dyDescent="0.25">
      <c r="A49" s="736"/>
      <c r="B49" s="737"/>
      <c r="C49" s="665" t="s">
        <v>1558</v>
      </c>
      <c r="E49" s="629">
        <f>E46</f>
        <v>166.98</v>
      </c>
      <c r="F49" s="662" t="s">
        <v>866</v>
      </c>
      <c r="G49" s="631">
        <v>1</v>
      </c>
      <c r="H49" s="631" t="s">
        <v>866</v>
      </c>
      <c r="I49" s="631">
        <v>2.34</v>
      </c>
      <c r="J49" s="631"/>
      <c r="K49" s="631"/>
      <c r="L49" s="631"/>
      <c r="M49" s="631"/>
      <c r="N49" s="666" t="s">
        <v>799</v>
      </c>
      <c r="O49" s="631">
        <f>E49*G49*I49</f>
        <v>390.73319999999995</v>
      </c>
      <c r="P49" s="630" t="s">
        <v>12</v>
      </c>
    </row>
    <row r="50" spans="1:16" ht="13.5" thickBot="1" x14ac:dyDescent="0.25">
      <c r="A50" s="736"/>
      <c r="B50" s="737"/>
      <c r="C50" s="737"/>
      <c r="F50" s="666"/>
      <c r="G50" s="631"/>
      <c r="H50" s="631"/>
      <c r="I50" s="631"/>
      <c r="J50" s="631"/>
      <c r="K50" s="631"/>
      <c r="L50" s="631"/>
      <c r="M50" s="631"/>
      <c r="N50" s="666"/>
      <c r="O50" s="668">
        <f>ROUND((SUM(O49:O49)),2)</f>
        <v>390.73</v>
      </c>
      <c r="P50" s="669" t="s">
        <v>12</v>
      </c>
    </row>
    <row r="51" spans="1:16" x14ac:dyDescent="0.2">
      <c r="A51" s="734" t="s">
        <v>0</v>
      </c>
      <c r="B51" s="735" t="s">
        <v>1195</v>
      </c>
      <c r="C51" s="751" t="e">
        <f>#REF!</f>
        <v>#REF!</v>
      </c>
      <c r="D51" s="662" t="s">
        <v>799</v>
      </c>
      <c r="E51" s="663" t="s">
        <v>864</v>
      </c>
      <c r="F51" s="633"/>
      <c r="G51" s="664" t="s">
        <v>865</v>
      </c>
      <c r="H51" s="664"/>
      <c r="I51" s="664" t="s">
        <v>883</v>
      </c>
      <c r="J51" s="664"/>
      <c r="K51" s="664" t="s">
        <v>1067</v>
      </c>
      <c r="L51" s="664"/>
      <c r="M51" s="664"/>
      <c r="O51" s="631"/>
    </row>
    <row r="52" spans="1:16" ht="13.5" thickBot="1" x14ac:dyDescent="0.25">
      <c r="A52" s="736"/>
      <c r="B52" s="737"/>
      <c r="C52" s="665" t="s">
        <v>1558</v>
      </c>
      <c r="E52" s="629">
        <f>E46</f>
        <v>166.98</v>
      </c>
      <c r="F52" s="662" t="s">
        <v>866</v>
      </c>
      <c r="G52" s="631">
        <v>1</v>
      </c>
      <c r="H52" s="631" t="s">
        <v>866</v>
      </c>
      <c r="I52" s="631">
        <f>0.1+0.27+0.15</f>
        <v>0.52</v>
      </c>
      <c r="J52" s="631" t="s">
        <v>866</v>
      </c>
      <c r="K52" s="631">
        <f>((PI()*(POWER(0.27,2)))/4)*E52</f>
        <v>9.5605277501273207</v>
      </c>
      <c r="L52" s="631"/>
      <c r="M52" s="631"/>
      <c r="N52" s="662" t="s">
        <v>799</v>
      </c>
      <c r="O52" s="631">
        <f>(E52*G52*I52)-K52</f>
        <v>77.269072249872679</v>
      </c>
      <c r="P52" s="630" t="s">
        <v>12</v>
      </c>
    </row>
    <row r="53" spans="1:16" ht="13.5" thickBot="1" x14ac:dyDescent="0.25">
      <c r="A53" s="736"/>
      <c r="B53" s="737"/>
      <c r="C53" s="737"/>
      <c r="F53" s="666"/>
      <c r="G53" s="631"/>
      <c r="H53" s="631"/>
      <c r="I53" s="631"/>
      <c r="J53" s="631"/>
      <c r="K53" s="631"/>
      <c r="L53" s="631"/>
      <c r="M53" s="631"/>
      <c r="N53" s="666"/>
      <c r="O53" s="668">
        <f>ROUND((SUM(O52:O52)),2)</f>
        <v>77.27</v>
      </c>
      <c r="P53" s="669" t="s">
        <v>12</v>
      </c>
    </row>
    <row r="54" spans="1:16" x14ac:dyDescent="0.2">
      <c r="A54" s="734" t="s">
        <v>0</v>
      </c>
      <c r="B54" s="735" t="s">
        <v>1196</v>
      </c>
      <c r="C54" s="751" t="e">
        <f>#REF!</f>
        <v>#REF!</v>
      </c>
      <c r="D54" s="662" t="s">
        <v>799</v>
      </c>
      <c r="E54" s="663" t="s">
        <v>864</v>
      </c>
      <c r="F54" s="633"/>
      <c r="G54" s="664" t="s">
        <v>865</v>
      </c>
      <c r="H54" s="664"/>
      <c r="I54" s="664" t="s">
        <v>883</v>
      </c>
      <c r="J54" s="664"/>
      <c r="K54" s="664" t="s">
        <v>628</v>
      </c>
      <c r="L54" s="664"/>
      <c r="M54" s="664" t="s">
        <v>977</v>
      </c>
      <c r="O54" s="631"/>
    </row>
    <row r="55" spans="1:16" ht="13.5" thickBot="1" x14ac:dyDescent="0.25">
      <c r="A55" s="736"/>
      <c r="B55" s="737"/>
      <c r="C55" s="665" t="s">
        <v>1558</v>
      </c>
      <c r="E55" s="629">
        <f>E46</f>
        <v>166.98</v>
      </c>
      <c r="F55" s="662" t="s">
        <v>866</v>
      </c>
      <c r="G55" s="631">
        <v>1</v>
      </c>
      <c r="H55" s="631" t="s">
        <v>866</v>
      </c>
      <c r="I55" s="631">
        <f>0.1+0.27+0.15</f>
        <v>0.52</v>
      </c>
      <c r="J55" s="631" t="s">
        <v>866</v>
      </c>
      <c r="K55" s="631">
        <v>1</v>
      </c>
      <c r="L55" s="631" t="s">
        <v>866</v>
      </c>
      <c r="M55" s="631">
        <v>5</v>
      </c>
      <c r="N55" s="666" t="s">
        <v>799</v>
      </c>
      <c r="O55" s="631">
        <f>E55*G55*I55*K55*M55</f>
        <v>434.14800000000002</v>
      </c>
      <c r="P55" s="657" t="s">
        <v>976</v>
      </c>
    </row>
    <row r="56" spans="1:16" ht="13.5" thickBot="1" x14ac:dyDescent="0.25">
      <c r="A56" s="736"/>
      <c r="B56" s="737"/>
      <c r="C56" s="667"/>
      <c r="F56" s="666"/>
      <c r="G56" s="631"/>
      <c r="H56" s="631"/>
      <c r="I56" s="631"/>
      <c r="J56" s="631"/>
      <c r="K56" s="631"/>
      <c r="L56" s="631"/>
      <c r="M56" s="631"/>
      <c r="N56" s="666"/>
      <c r="O56" s="668">
        <f>ROUND((SUM(O55:O55)),2)</f>
        <v>434.15</v>
      </c>
      <c r="P56" s="711" t="s">
        <v>976</v>
      </c>
    </row>
    <row r="57" spans="1:16" x14ac:dyDescent="0.2">
      <c r="A57" s="734" t="s">
        <v>0</v>
      </c>
      <c r="B57" s="735" t="s">
        <v>1197</v>
      </c>
      <c r="C57" s="678" t="e">
        <f>#REF!</f>
        <v>#REF!</v>
      </c>
      <c r="D57" s="662" t="s">
        <v>799</v>
      </c>
      <c r="E57" s="663" t="s">
        <v>864</v>
      </c>
      <c r="F57" s="633"/>
      <c r="G57" s="664" t="s">
        <v>865</v>
      </c>
      <c r="H57" s="664"/>
      <c r="I57" s="664" t="s">
        <v>883</v>
      </c>
      <c r="J57" s="664"/>
      <c r="K57" s="664" t="s">
        <v>628</v>
      </c>
      <c r="L57" s="664"/>
      <c r="M57" s="664"/>
      <c r="O57" s="631"/>
    </row>
    <row r="58" spans="1:16" ht="13.5" thickBot="1" x14ac:dyDescent="0.25">
      <c r="A58" s="736"/>
      <c r="B58" s="737"/>
      <c r="C58" s="665" t="s">
        <v>1558</v>
      </c>
      <c r="E58" s="661">
        <f>E$46</f>
        <v>166.98</v>
      </c>
      <c r="F58" s="662" t="s">
        <v>866</v>
      </c>
      <c r="G58" s="631">
        <v>1</v>
      </c>
      <c r="H58" s="631" t="s">
        <v>866</v>
      </c>
      <c r="I58" s="631">
        <f>I49-I55</f>
        <v>1.8199999999999998</v>
      </c>
      <c r="J58" s="631" t="s">
        <v>866</v>
      </c>
      <c r="K58" s="631">
        <v>1</v>
      </c>
      <c r="L58" s="631"/>
      <c r="M58" s="631"/>
      <c r="N58" s="666" t="s">
        <v>799</v>
      </c>
      <c r="O58" s="631">
        <f>E58*G58*I58*K58</f>
        <v>303.90359999999998</v>
      </c>
      <c r="P58" s="630" t="s">
        <v>12</v>
      </c>
    </row>
    <row r="59" spans="1:16" ht="13.5" thickBot="1" x14ac:dyDescent="0.25">
      <c r="A59" s="736"/>
      <c r="B59" s="737"/>
      <c r="C59" s="667"/>
      <c r="F59" s="666"/>
      <c r="G59" s="631"/>
      <c r="H59" s="631"/>
      <c r="I59" s="631"/>
      <c r="J59" s="631"/>
      <c r="K59" s="631"/>
      <c r="L59" s="631"/>
      <c r="M59" s="631"/>
      <c r="N59" s="666"/>
      <c r="O59" s="668">
        <f>ROUND((SUM(O58:O58)),2)</f>
        <v>303.89999999999998</v>
      </c>
      <c r="P59" s="669" t="s">
        <v>12</v>
      </c>
    </row>
    <row r="60" spans="1:16" x14ac:dyDescent="0.2">
      <c r="A60" s="734" t="s">
        <v>0</v>
      </c>
      <c r="B60" s="735" t="s">
        <v>1198</v>
      </c>
      <c r="C60" s="678" t="e">
        <f>#REF!</f>
        <v>#REF!</v>
      </c>
      <c r="D60" s="662" t="s">
        <v>799</v>
      </c>
      <c r="E60" s="663" t="s">
        <v>864</v>
      </c>
      <c r="F60" s="633"/>
      <c r="G60" s="664"/>
      <c r="H60" s="664"/>
      <c r="I60" s="664"/>
      <c r="J60" s="664"/>
      <c r="K60" s="664"/>
      <c r="L60" s="664"/>
      <c r="M60" s="664"/>
      <c r="O60" s="631"/>
    </row>
    <row r="61" spans="1:16" ht="13.5" thickBot="1" x14ac:dyDescent="0.25">
      <c r="A61" s="736"/>
      <c r="B61" s="737"/>
      <c r="C61" s="665" t="s">
        <v>1558</v>
      </c>
      <c r="E61" s="661">
        <f>E46</f>
        <v>166.98</v>
      </c>
      <c r="F61" s="662"/>
      <c r="G61" s="631"/>
      <c r="H61" s="631"/>
      <c r="I61" s="631"/>
      <c r="J61" s="631"/>
      <c r="K61" s="631"/>
      <c r="L61" s="631"/>
      <c r="M61" s="631"/>
      <c r="N61" s="666" t="s">
        <v>799</v>
      </c>
      <c r="O61" s="631">
        <f>E61</f>
        <v>166.98</v>
      </c>
      <c r="P61" s="630" t="s">
        <v>6</v>
      </c>
    </row>
    <row r="62" spans="1:16" ht="13.5" thickBot="1" x14ac:dyDescent="0.25">
      <c r="A62" s="736"/>
      <c r="B62" s="737"/>
      <c r="C62" s="667"/>
      <c r="F62" s="666"/>
      <c r="G62" s="631"/>
      <c r="H62" s="631"/>
      <c r="I62" s="631"/>
      <c r="J62" s="631"/>
      <c r="K62" s="631"/>
      <c r="L62" s="631"/>
      <c r="M62" s="631"/>
      <c r="N62" s="666"/>
      <c r="O62" s="668">
        <f>ROUND((SUM(O61:O61)),2)</f>
        <v>166.98</v>
      </c>
      <c r="P62" s="669" t="s">
        <v>6</v>
      </c>
    </row>
    <row r="63" spans="1:16" ht="36.75" customHeight="1" x14ac:dyDescent="0.2">
      <c r="A63" s="734" t="s">
        <v>0</v>
      </c>
      <c r="B63" s="735" t="s">
        <v>1199</v>
      </c>
      <c r="C63" s="678" t="e">
        <f>#REF!</f>
        <v>#REF!</v>
      </c>
      <c r="D63" s="662" t="s">
        <v>799</v>
      </c>
      <c r="E63" s="663" t="s">
        <v>628</v>
      </c>
      <c r="F63" s="633"/>
      <c r="G63" s="664"/>
      <c r="H63" s="664"/>
      <c r="I63" s="664"/>
      <c r="J63" s="664"/>
      <c r="K63" s="664"/>
      <c r="L63" s="664"/>
      <c r="M63" s="664"/>
      <c r="O63" s="631"/>
    </row>
    <row r="64" spans="1:16" ht="13.5" thickBot="1" x14ac:dyDescent="0.25">
      <c r="A64" s="736"/>
      <c r="B64" s="737"/>
      <c r="C64" s="665" t="s">
        <v>1559</v>
      </c>
      <c r="E64" s="661">
        <v>1</v>
      </c>
      <c r="F64" s="662"/>
      <c r="G64" s="631"/>
      <c r="H64" s="631"/>
      <c r="I64" s="631"/>
      <c r="J64" s="631"/>
      <c r="K64" s="631"/>
      <c r="L64" s="631"/>
      <c r="M64" s="631"/>
      <c r="N64" s="666" t="s">
        <v>799</v>
      </c>
      <c r="O64" s="631">
        <f>E64</f>
        <v>1</v>
      </c>
      <c r="P64" s="657" t="s">
        <v>2</v>
      </c>
    </row>
    <row r="65" spans="1:16" ht="13.5" thickBot="1" x14ac:dyDescent="0.25">
      <c r="A65" s="736"/>
      <c r="B65" s="737"/>
      <c r="C65" s="667"/>
      <c r="F65" s="666"/>
      <c r="G65" s="631"/>
      <c r="H65" s="631"/>
      <c r="I65" s="631"/>
      <c r="J65" s="631"/>
      <c r="K65" s="631"/>
      <c r="L65" s="631"/>
      <c r="M65" s="631"/>
      <c r="N65" s="666"/>
      <c r="O65" s="668">
        <f>ROUND((SUM(O64:O64)),2)</f>
        <v>1</v>
      </c>
      <c r="P65" s="669" t="s">
        <v>2</v>
      </c>
    </row>
    <row r="66" spans="1:16" ht="48.75" customHeight="1" x14ac:dyDescent="0.2">
      <c r="A66" s="734" t="s">
        <v>0</v>
      </c>
      <c r="B66" s="735" t="s">
        <v>1200</v>
      </c>
      <c r="C66" s="751" t="e">
        <f>#REF!</f>
        <v>#REF!</v>
      </c>
      <c r="D66" s="662" t="s">
        <v>799</v>
      </c>
      <c r="E66" s="663" t="s">
        <v>628</v>
      </c>
      <c r="F66" s="633"/>
      <c r="G66" s="664"/>
      <c r="H66" s="664"/>
      <c r="I66" s="664"/>
      <c r="J66" s="664"/>
      <c r="K66" s="664"/>
      <c r="L66" s="664"/>
      <c r="M66" s="664"/>
      <c r="O66" s="631"/>
    </row>
    <row r="67" spans="1:16" ht="13.5" thickBot="1" x14ac:dyDescent="0.25">
      <c r="A67" s="736"/>
      <c r="B67" s="737"/>
      <c r="C67" s="665" t="s">
        <v>1563</v>
      </c>
      <c r="E67" s="661">
        <v>2</v>
      </c>
      <c r="F67" s="662"/>
      <c r="G67" s="631"/>
      <c r="H67" s="631"/>
      <c r="I67" s="631"/>
      <c r="J67" s="631"/>
      <c r="K67" s="631"/>
      <c r="L67" s="631"/>
      <c r="M67" s="631"/>
      <c r="N67" s="666" t="s">
        <v>799</v>
      </c>
      <c r="O67" s="631">
        <f>E67</f>
        <v>2</v>
      </c>
      <c r="P67" s="657" t="s">
        <v>2</v>
      </c>
    </row>
    <row r="68" spans="1:16" ht="13.5" thickBot="1" x14ac:dyDescent="0.25">
      <c r="A68" s="736"/>
      <c r="B68" s="737"/>
      <c r="C68" s="667"/>
      <c r="F68" s="666"/>
      <c r="G68" s="631"/>
      <c r="H68" s="631"/>
      <c r="I68" s="631"/>
      <c r="J68" s="631"/>
      <c r="K68" s="631"/>
      <c r="L68" s="631"/>
      <c r="M68" s="631"/>
      <c r="N68" s="666"/>
      <c r="O68" s="668">
        <f>ROUND((SUM(O67:O67)),2)</f>
        <v>2</v>
      </c>
      <c r="P68" s="669" t="s">
        <v>2</v>
      </c>
    </row>
    <row r="69" spans="1:16" ht="43.5" customHeight="1" x14ac:dyDescent="0.2">
      <c r="A69" s="734" t="s">
        <v>0</v>
      </c>
      <c r="B69" s="735" t="s">
        <v>1201</v>
      </c>
      <c r="C69" s="751" t="e">
        <f>#REF!</f>
        <v>#REF!</v>
      </c>
      <c r="D69" s="662" t="s">
        <v>799</v>
      </c>
      <c r="E69" s="663" t="s">
        <v>628</v>
      </c>
      <c r="F69" s="633"/>
      <c r="G69" s="664"/>
      <c r="H69" s="664"/>
      <c r="I69" s="664"/>
      <c r="J69" s="664"/>
      <c r="K69" s="664"/>
      <c r="L69" s="664"/>
      <c r="M69" s="664"/>
      <c r="O69" s="631"/>
    </row>
    <row r="70" spans="1:16" ht="13.5" thickBot="1" x14ac:dyDescent="0.25">
      <c r="A70" s="736"/>
      <c r="B70" s="737"/>
      <c r="C70" s="665" t="s">
        <v>1565</v>
      </c>
      <c r="E70" s="661">
        <v>1</v>
      </c>
      <c r="F70" s="662"/>
      <c r="G70" s="631"/>
      <c r="H70" s="631"/>
      <c r="I70" s="631"/>
      <c r="J70" s="631"/>
      <c r="K70" s="631"/>
      <c r="L70" s="631"/>
      <c r="M70" s="631"/>
      <c r="N70" s="666" t="s">
        <v>799</v>
      </c>
      <c r="O70" s="631">
        <f>E70</f>
        <v>1</v>
      </c>
      <c r="P70" s="657" t="s">
        <v>2</v>
      </c>
    </row>
    <row r="71" spans="1:16" ht="13.5" thickBot="1" x14ac:dyDescent="0.25">
      <c r="A71" s="736"/>
      <c r="B71" s="737"/>
      <c r="C71" s="667"/>
      <c r="F71" s="666"/>
      <c r="G71" s="631"/>
      <c r="H71" s="631"/>
      <c r="I71" s="631"/>
      <c r="J71" s="631"/>
      <c r="K71" s="631"/>
      <c r="L71" s="631"/>
      <c r="M71" s="631"/>
      <c r="N71" s="666"/>
      <c r="O71" s="668">
        <f>ROUND((SUM(O70:O70)),2)</f>
        <v>1</v>
      </c>
      <c r="P71" s="669" t="s">
        <v>2</v>
      </c>
    </row>
    <row r="72" spans="1:16" ht="33" customHeight="1" x14ac:dyDescent="0.2">
      <c r="A72" s="734" t="s">
        <v>0</v>
      </c>
      <c r="B72" s="735" t="s">
        <v>1202</v>
      </c>
      <c r="C72" s="751" t="e">
        <f>#REF!</f>
        <v>#REF!</v>
      </c>
      <c r="D72" s="662" t="s">
        <v>799</v>
      </c>
      <c r="E72" s="663" t="s">
        <v>628</v>
      </c>
      <c r="F72" s="633"/>
      <c r="G72" s="664"/>
      <c r="H72" s="664"/>
      <c r="I72" s="664"/>
      <c r="J72" s="664"/>
      <c r="K72" s="664"/>
      <c r="L72" s="664"/>
      <c r="M72" s="664"/>
      <c r="O72" s="631"/>
    </row>
    <row r="73" spans="1:16" ht="13.5" thickBot="1" x14ac:dyDescent="0.25">
      <c r="A73" s="736"/>
      <c r="B73" s="737"/>
      <c r="C73" s="665" t="s">
        <v>1565</v>
      </c>
      <c r="E73" s="661">
        <v>2</v>
      </c>
      <c r="F73" s="662"/>
      <c r="G73" s="631"/>
      <c r="H73" s="631"/>
      <c r="I73" s="631"/>
      <c r="J73" s="631"/>
      <c r="K73" s="631"/>
      <c r="L73" s="631"/>
      <c r="M73" s="631"/>
      <c r="N73" s="666" t="s">
        <v>799</v>
      </c>
      <c r="O73" s="631">
        <f>E73</f>
        <v>2</v>
      </c>
      <c r="P73" s="657" t="s">
        <v>2</v>
      </c>
    </row>
    <row r="74" spans="1:16" ht="13.5" thickBot="1" x14ac:dyDescent="0.25">
      <c r="A74" s="736"/>
      <c r="B74" s="737"/>
      <c r="C74" s="667"/>
      <c r="F74" s="666"/>
      <c r="G74" s="631"/>
      <c r="H74" s="631"/>
      <c r="I74" s="631"/>
      <c r="J74" s="631"/>
      <c r="K74" s="631"/>
      <c r="L74" s="631"/>
      <c r="M74" s="631"/>
      <c r="N74" s="666"/>
      <c r="O74" s="668">
        <f>ROUND((SUM(O73:O73)),2)</f>
        <v>2</v>
      </c>
      <c r="P74" s="669" t="s">
        <v>2</v>
      </c>
    </row>
    <row r="75" spans="1:16" ht="31.5" customHeight="1" x14ac:dyDescent="0.2">
      <c r="A75" s="734" t="s">
        <v>0</v>
      </c>
      <c r="B75" s="735" t="s">
        <v>1203</v>
      </c>
      <c r="C75" s="751" t="e">
        <f>#REF!</f>
        <v>#REF!</v>
      </c>
      <c r="D75" s="662" t="s">
        <v>799</v>
      </c>
      <c r="E75" s="663" t="s">
        <v>628</v>
      </c>
      <c r="F75" s="633"/>
      <c r="G75" s="664"/>
      <c r="H75" s="664"/>
      <c r="I75" s="664"/>
      <c r="J75" s="664"/>
      <c r="K75" s="664"/>
      <c r="L75" s="664"/>
      <c r="M75" s="664"/>
      <c r="O75" s="631"/>
    </row>
    <row r="76" spans="1:16" ht="13.5" thickBot="1" x14ac:dyDescent="0.25">
      <c r="A76" s="736"/>
      <c r="B76" s="737"/>
      <c r="C76" s="665" t="s">
        <v>1565</v>
      </c>
      <c r="E76" s="661">
        <v>1</v>
      </c>
      <c r="F76" s="662"/>
      <c r="G76" s="631"/>
      <c r="H76" s="631"/>
      <c r="I76" s="631"/>
      <c r="J76" s="631"/>
      <c r="K76" s="631"/>
      <c r="L76" s="631"/>
      <c r="M76" s="631"/>
      <c r="N76" s="666" t="s">
        <v>799</v>
      </c>
      <c r="O76" s="631">
        <f>E76</f>
        <v>1</v>
      </c>
      <c r="P76" s="657" t="s">
        <v>2</v>
      </c>
    </row>
    <row r="77" spans="1:16" ht="13.5" thickBot="1" x14ac:dyDescent="0.25">
      <c r="A77" s="736"/>
      <c r="B77" s="737"/>
      <c r="C77" s="667"/>
      <c r="F77" s="666"/>
      <c r="G77" s="631"/>
      <c r="H77" s="631"/>
      <c r="I77" s="631"/>
      <c r="J77" s="631"/>
      <c r="K77" s="631"/>
      <c r="L77" s="631"/>
      <c r="M77" s="631"/>
      <c r="N77" s="666"/>
      <c r="O77" s="668">
        <f>ROUND((SUM(O76:O76)),2)</f>
        <v>1</v>
      </c>
      <c r="P77" s="669" t="s">
        <v>2</v>
      </c>
    </row>
    <row r="78" spans="1:16" ht="112.5" customHeight="1" x14ac:dyDescent="0.2">
      <c r="A78" s="734" t="s">
        <v>0</v>
      </c>
      <c r="B78" s="735" t="s">
        <v>1204</v>
      </c>
      <c r="C78" s="751" t="e">
        <f>#REF!</f>
        <v>#REF!</v>
      </c>
      <c r="D78" s="662" t="s">
        <v>799</v>
      </c>
      <c r="E78" s="663" t="s">
        <v>864</v>
      </c>
      <c r="F78" s="633"/>
      <c r="G78" s="664"/>
      <c r="H78" s="664"/>
      <c r="I78" s="664"/>
      <c r="J78" s="664"/>
      <c r="K78" s="664"/>
      <c r="L78" s="664"/>
      <c r="M78" s="664"/>
      <c r="O78" s="631"/>
    </row>
    <row r="79" spans="1:16" ht="13.5" thickBot="1" x14ac:dyDescent="0.25">
      <c r="A79" s="736"/>
      <c r="B79" s="737"/>
      <c r="C79" s="665" t="s">
        <v>1565</v>
      </c>
      <c r="E79" s="661">
        <v>50</v>
      </c>
      <c r="F79" s="662"/>
      <c r="G79" s="631"/>
      <c r="H79" s="631"/>
      <c r="I79" s="631"/>
      <c r="J79" s="631"/>
      <c r="K79" s="631"/>
      <c r="L79" s="631"/>
      <c r="M79" s="631"/>
      <c r="N79" s="666" t="s">
        <v>799</v>
      </c>
      <c r="O79" s="631">
        <f>E79</f>
        <v>50</v>
      </c>
      <c r="P79" s="657" t="s">
        <v>6</v>
      </c>
    </row>
    <row r="80" spans="1:16" ht="13.5" thickBot="1" x14ac:dyDescent="0.25">
      <c r="A80" s="736"/>
      <c r="B80" s="737"/>
      <c r="C80" s="667"/>
      <c r="F80" s="666"/>
      <c r="G80" s="631"/>
      <c r="H80" s="631"/>
      <c r="I80" s="631"/>
      <c r="J80" s="631"/>
      <c r="K80" s="631"/>
      <c r="L80" s="631"/>
      <c r="M80" s="631"/>
      <c r="N80" s="666"/>
      <c r="O80" s="668">
        <f>ROUND((SUM(O79:O79)),2)</f>
        <v>50</v>
      </c>
      <c r="P80" s="669" t="s">
        <v>6</v>
      </c>
    </row>
    <row r="81" spans="1:16" x14ac:dyDescent="0.2">
      <c r="A81" s="734" t="s">
        <v>0</v>
      </c>
      <c r="B81" s="735" t="s">
        <v>1205</v>
      </c>
      <c r="C81" s="678" t="e">
        <f>#REF!</f>
        <v>#REF!</v>
      </c>
      <c r="D81" s="662" t="s">
        <v>799</v>
      </c>
      <c r="E81" s="663" t="s">
        <v>628</v>
      </c>
      <c r="F81" s="633"/>
      <c r="G81" s="664"/>
      <c r="H81" s="664"/>
      <c r="I81" s="664"/>
      <c r="J81" s="664"/>
      <c r="K81" s="664"/>
      <c r="L81" s="664"/>
      <c r="M81" s="664"/>
      <c r="O81" s="631"/>
    </row>
    <row r="82" spans="1:16" x14ac:dyDescent="0.2">
      <c r="A82" s="736"/>
      <c r="B82" s="737"/>
      <c r="C82" s="665" t="s">
        <v>1078</v>
      </c>
      <c r="E82" s="661">
        <v>2</v>
      </c>
      <c r="F82" s="662"/>
      <c r="G82" s="631"/>
      <c r="H82" s="631"/>
      <c r="I82" s="631"/>
      <c r="J82" s="631"/>
      <c r="K82" s="631"/>
      <c r="L82" s="631"/>
      <c r="M82" s="631"/>
      <c r="N82" s="666" t="s">
        <v>799</v>
      </c>
      <c r="O82" s="631">
        <f>E82</f>
        <v>2</v>
      </c>
      <c r="P82" s="657" t="s">
        <v>2</v>
      </c>
    </row>
    <row r="83" spans="1:16" ht="13.5" thickBot="1" x14ac:dyDescent="0.25">
      <c r="A83" s="736"/>
      <c r="B83" s="737"/>
      <c r="C83" s="665" t="s">
        <v>1079</v>
      </c>
      <c r="E83" s="661">
        <v>1</v>
      </c>
      <c r="F83" s="662"/>
      <c r="G83" s="631"/>
      <c r="H83" s="631"/>
      <c r="I83" s="631"/>
      <c r="J83" s="631"/>
      <c r="K83" s="631"/>
      <c r="L83" s="631"/>
      <c r="M83" s="631"/>
      <c r="N83" s="666" t="s">
        <v>799</v>
      </c>
      <c r="O83" s="631">
        <f>E83</f>
        <v>1</v>
      </c>
      <c r="P83" s="657" t="s">
        <v>2</v>
      </c>
    </row>
    <row r="84" spans="1:16" ht="13.5" thickBot="1" x14ac:dyDescent="0.25">
      <c r="A84" s="736"/>
      <c r="B84" s="737"/>
      <c r="C84" s="667"/>
      <c r="F84" s="666"/>
      <c r="G84" s="631"/>
      <c r="H84" s="631"/>
      <c r="I84" s="631"/>
      <c r="J84" s="631"/>
      <c r="K84" s="631"/>
      <c r="L84" s="631"/>
      <c r="M84" s="631"/>
      <c r="N84" s="666"/>
      <c r="O84" s="668">
        <f>ROUND((SUM(O82:O83)),2)</f>
        <v>3</v>
      </c>
      <c r="P84" s="669" t="s">
        <v>2</v>
      </c>
    </row>
    <row r="85" spans="1:16" x14ac:dyDescent="0.2">
      <c r="A85" s="736"/>
      <c r="B85" s="737"/>
      <c r="C85" s="667"/>
      <c r="F85" s="666"/>
      <c r="G85" s="631"/>
      <c r="H85" s="631"/>
      <c r="I85" s="631"/>
      <c r="J85" s="631"/>
      <c r="K85" s="631"/>
      <c r="L85" s="631"/>
      <c r="M85" s="631"/>
      <c r="N85" s="666"/>
      <c r="O85" s="632"/>
      <c r="P85" s="633"/>
    </row>
    <row r="86" spans="1:16" x14ac:dyDescent="0.2">
      <c r="A86" s="736"/>
      <c r="B86" s="737"/>
      <c r="C86" s="667"/>
      <c r="F86" s="666"/>
      <c r="G86" s="631"/>
      <c r="H86" s="631"/>
      <c r="I86" s="631"/>
      <c r="J86" s="631"/>
      <c r="K86" s="631"/>
      <c r="L86" s="631"/>
      <c r="M86" s="631"/>
      <c r="N86" s="666"/>
      <c r="O86" s="632"/>
      <c r="P86" s="633"/>
    </row>
    <row r="87" spans="1:16" ht="15.75" x14ac:dyDescent="0.25">
      <c r="A87" s="736"/>
      <c r="B87" s="737"/>
      <c r="C87" s="912" t="s">
        <v>1160</v>
      </c>
      <c r="F87" s="666"/>
      <c r="G87" s="631"/>
      <c r="H87" s="631"/>
      <c r="I87" s="631"/>
      <c r="J87" s="631"/>
      <c r="K87" s="631"/>
      <c r="L87" s="631"/>
      <c r="M87" s="631"/>
      <c r="N87" s="666"/>
      <c r="O87" s="632"/>
      <c r="P87" s="633"/>
    </row>
    <row r="88" spans="1:16" x14ac:dyDescent="0.2">
      <c r="A88" s="734" t="s">
        <v>0</v>
      </c>
      <c r="B88" s="735" t="s">
        <v>1206</v>
      </c>
      <c r="C88" s="678" t="e">
        <f>#REF!</f>
        <v>#REF!</v>
      </c>
      <c r="D88" s="662" t="s">
        <v>799</v>
      </c>
      <c r="E88" s="663" t="s">
        <v>864</v>
      </c>
      <c r="F88" s="633"/>
      <c r="G88" s="664"/>
      <c r="H88" s="664"/>
      <c r="I88" s="664"/>
      <c r="J88" s="664"/>
      <c r="K88" s="664"/>
      <c r="L88" s="664"/>
      <c r="M88" s="664"/>
      <c r="O88" s="631"/>
    </row>
    <row r="89" spans="1:16" ht="13.5" thickBot="1" x14ac:dyDescent="0.25">
      <c r="A89" s="736"/>
      <c r="B89" s="737"/>
      <c r="C89" s="665" t="s">
        <v>1558</v>
      </c>
      <c r="E89" s="661">
        <f>E46</f>
        <v>166.98</v>
      </c>
      <c r="F89" s="662"/>
      <c r="G89" s="631"/>
      <c r="H89" s="631"/>
      <c r="I89" s="631"/>
      <c r="J89" s="631"/>
      <c r="K89" s="631"/>
      <c r="L89" s="631"/>
      <c r="M89" s="631"/>
      <c r="N89" s="666" t="s">
        <v>799</v>
      </c>
      <c r="O89" s="631">
        <f>E89</f>
        <v>166.98</v>
      </c>
      <c r="P89" s="630" t="s">
        <v>6</v>
      </c>
    </row>
    <row r="90" spans="1:16" ht="13.5" thickBot="1" x14ac:dyDescent="0.25">
      <c r="A90" s="736"/>
      <c r="B90" s="737"/>
      <c r="C90" s="667"/>
      <c r="F90" s="666"/>
      <c r="G90" s="631"/>
      <c r="H90" s="631"/>
      <c r="I90" s="631"/>
      <c r="J90" s="631"/>
      <c r="K90" s="631"/>
      <c r="L90" s="631"/>
      <c r="M90" s="631"/>
      <c r="N90" s="666"/>
      <c r="O90" s="668">
        <f>ROUND((SUM(O89:O89)),2)</f>
        <v>166.98</v>
      </c>
      <c r="P90" s="669" t="s">
        <v>6</v>
      </c>
    </row>
    <row r="91" spans="1:16" x14ac:dyDescent="0.2">
      <c r="A91" s="736"/>
      <c r="B91" s="737"/>
      <c r="C91" s="737"/>
      <c r="G91" s="670"/>
      <c r="H91" s="670"/>
      <c r="I91" s="670"/>
      <c r="J91" s="670"/>
      <c r="K91" s="670"/>
      <c r="L91" s="670"/>
      <c r="M91" s="670"/>
      <c r="O91" s="670"/>
    </row>
    <row r="92" spans="1:16" x14ac:dyDescent="0.2">
      <c r="A92" s="736"/>
      <c r="B92" s="737"/>
      <c r="C92" s="737"/>
      <c r="G92" s="670"/>
      <c r="H92" s="670"/>
      <c r="I92" s="670"/>
      <c r="J92" s="670"/>
      <c r="K92" s="670"/>
      <c r="L92" s="670"/>
      <c r="M92" s="670"/>
      <c r="O92" s="670"/>
    </row>
    <row r="93" spans="1:16" x14ac:dyDescent="0.2">
      <c r="A93" s="736"/>
      <c r="B93" s="737"/>
      <c r="C93" s="737"/>
      <c r="G93" s="670"/>
      <c r="H93" s="670"/>
      <c r="I93" s="670"/>
      <c r="J93" s="670"/>
      <c r="K93" s="670"/>
      <c r="L93" s="670"/>
      <c r="M93" s="670"/>
      <c r="O93" s="670"/>
    </row>
    <row r="94" spans="1:16" ht="15.75" x14ac:dyDescent="0.2">
      <c r="A94" s="736"/>
      <c r="B94" s="925" t="s">
        <v>1207</v>
      </c>
      <c r="C94" s="926" t="s">
        <v>1566</v>
      </c>
      <c r="D94" s="927"/>
      <c r="E94" s="928"/>
      <c r="F94" s="929"/>
      <c r="G94" s="930"/>
      <c r="H94" s="658"/>
      <c r="I94" s="658"/>
      <c r="J94" s="658"/>
      <c r="K94" s="658"/>
      <c r="L94" s="658"/>
      <c r="M94" s="658"/>
      <c r="N94" s="657"/>
      <c r="O94" s="658"/>
      <c r="P94" s="659"/>
    </row>
    <row r="95" spans="1:16" ht="15.75" x14ac:dyDescent="0.25">
      <c r="A95" s="736"/>
      <c r="B95" s="749"/>
      <c r="C95" s="912" t="s">
        <v>1159</v>
      </c>
      <c r="D95" s="656"/>
      <c r="E95" s="629"/>
      <c r="F95" s="657"/>
      <c r="G95" s="658"/>
      <c r="H95" s="658"/>
      <c r="I95" s="658"/>
      <c r="J95" s="658"/>
      <c r="K95" s="658"/>
      <c r="L95" s="658"/>
      <c r="M95" s="658"/>
      <c r="N95" s="657"/>
      <c r="O95" s="658"/>
      <c r="P95" s="659"/>
    </row>
    <row r="96" spans="1:16" x14ac:dyDescent="0.2">
      <c r="A96" s="736"/>
      <c r="B96" s="737"/>
      <c r="C96" s="737"/>
      <c r="G96" s="631"/>
      <c r="H96" s="631"/>
      <c r="I96" s="631"/>
      <c r="J96" s="631"/>
      <c r="K96" s="631"/>
      <c r="L96" s="631"/>
      <c r="M96" s="631"/>
      <c r="O96" s="631"/>
    </row>
    <row r="97" spans="1:16" x14ac:dyDescent="0.2">
      <c r="A97" s="734" t="s">
        <v>0</v>
      </c>
      <c r="B97" s="735" t="s">
        <v>1208</v>
      </c>
      <c r="C97" s="678" t="e">
        <f>#REF!</f>
        <v>#REF!</v>
      </c>
      <c r="D97" s="662" t="s">
        <v>799</v>
      </c>
      <c r="E97" s="663" t="s">
        <v>864</v>
      </c>
      <c r="F97" s="633"/>
      <c r="G97" s="664"/>
      <c r="H97" s="664"/>
      <c r="I97" s="664"/>
      <c r="J97" s="664"/>
      <c r="K97" s="664"/>
      <c r="L97" s="664"/>
      <c r="M97" s="664"/>
      <c r="O97" s="631"/>
    </row>
    <row r="98" spans="1:16" x14ac:dyDescent="0.2">
      <c r="A98" s="736"/>
      <c r="B98" s="737"/>
      <c r="C98" s="665" t="s">
        <v>1567</v>
      </c>
      <c r="E98" s="629">
        <v>4085.2</v>
      </c>
      <c r="F98" s="662"/>
      <c r="G98" s="631"/>
      <c r="H98" s="631"/>
      <c r="I98" s="631"/>
      <c r="J98" s="631"/>
      <c r="K98" s="631"/>
      <c r="L98" s="631"/>
      <c r="M98" s="631"/>
      <c r="N98" s="666" t="s">
        <v>799</v>
      </c>
      <c r="O98" s="631">
        <f>E98</f>
        <v>4085.2</v>
      </c>
      <c r="P98" s="630" t="s">
        <v>6</v>
      </c>
    </row>
    <row r="99" spans="1:16" x14ac:dyDescent="0.2">
      <c r="A99" s="736"/>
      <c r="B99" s="737"/>
      <c r="C99" s="665" t="s">
        <v>1568</v>
      </c>
      <c r="E99" s="629">
        <v>911.06</v>
      </c>
      <c r="F99" s="662"/>
      <c r="G99" s="631"/>
      <c r="H99" s="631"/>
      <c r="I99" s="631"/>
      <c r="J99" s="631"/>
      <c r="K99" s="631"/>
      <c r="L99" s="631"/>
      <c r="M99" s="631"/>
      <c r="N99" s="666" t="s">
        <v>799</v>
      </c>
      <c r="O99" s="631">
        <f t="shared" ref="O99:O102" si="0">E99</f>
        <v>911.06</v>
      </c>
      <c r="P99" s="630" t="s">
        <v>6</v>
      </c>
    </row>
    <row r="100" spans="1:16" x14ac:dyDescent="0.2">
      <c r="A100" s="736"/>
      <c r="B100" s="737"/>
      <c r="C100" s="665" t="s">
        <v>1569</v>
      </c>
      <c r="E100" s="629">
        <v>137.59</v>
      </c>
      <c r="F100" s="662"/>
      <c r="G100" s="631"/>
      <c r="H100" s="631"/>
      <c r="I100" s="631"/>
      <c r="J100" s="631"/>
      <c r="K100" s="631"/>
      <c r="L100" s="631"/>
      <c r="M100" s="631"/>
      <c r="N100" s="666" t="s">
        <v>799</v>
      </c>
      <c r="O100" s="631">
        <f t="shared" si="0"/>
        <v>137.59</v>
      </c>
      <c r="P100" s="630" t="s">
        <v>6</v>
      </c>
    </row>
    <row r="101" spans="1:16" x14ac:dyDescent="0.2">
      <c r="A101" s="736"/>
      <c r="B101" s="737"/>
      <c r="C101" s="665" t="s">
        <v>1570</v>
      </c>
      <c r="E101" s="629">
        <v>86.84</v>
      </c>
      <c r="F101" s="662"/>
      <c r="G101" s="631"/>
      <c r="H101" s="631"/>
      <c r="I101" s="631"/>
      <c r="J101" s="631"/>
      <c r="K101" s="631"/>
      <c r="L101" s="631"/>
      <c r="M101" s="631"/>
      <c r="N101" s="666" t="s">
        <v>799</v>
      </c>
      <c r="O101" s="631">
        <f t="shared" si="0"/>
        <v>86.84</v>
      </c>
      <c r="P101" s="630" t="s">
        <v>6</v>
      </c>
    </row>
    <row r="102" spans="1:16" ht="13.5" thickBot="1" x14ac:dyDescent="0.25">
      <c r="A102" s="736"/>
      <c r="B102" s="737"/>
      <c r="C102" s="665" t="s">
        <v>1571</v>
      </c>
      <c r="E102" s="629">
        <v>6954.07</v>
      </c>
      <c r="F102" s="662"/>
      <c r="G102" s="631"/>
      <c r="H102" s="631"/>
      <c r="I102" s="631"/>
      <c r="J102" s="631"/>
      <c r="K102" s="631"/>
      <c r="L102" s="631"/>
      <c r="M102" s="631"/>
      <c r="N102" s="666" t="s">
        <v>799</v>
      </c>
      <c r="O102" s="631">
        <f t="shared" si="0"/>
        <v>6954.07</v>
      </c>
      <c r="P102" s="630" t="s">
        <v>6</v>
      </c>
    </row>
    <row r="103" spans="1:16" ht="13.5" thickBot="1" x14ac:dyDescent="0.25">
      <c r="A103" s="736"/>
      <c r="B103" s="737"/>
      <c r="C103" s="667"/>
      <c r="F103" s="666"/>
      <c r="G103" s="631"/>
      <c r="H103" s="631"/>
      <c r="I103" s="631"/>
      <c r="J103" s="631"/>
      <c r="K103" s="631"/>
      <c r="L103" s="631"/>
      <c r="M103" s="631"/>
      <c r="N103" s="666"/>
      <c r="O103" s="668">
        <f>ROUND((SUM(O98:O102)),2)</f>
        <v>12174.76</v>
      </c>
      <c r="P103" s="669" t="s">
        <v>6</v>
      </c>
    </row>
    <row r="104" spans="1:16" x14ac:dyDescent="0.2">
      <c r="A104" s="734" t="s">
        <v>0</v>
      </c>
      <c r="B104" s="735" t="s">
        <v>1209</v>
      </c>
      <c r="C104" s="678" t="e">
        <f>#REF!</f>
        <v>#REF!</v>
      </c>
      <c r="D104" s="662" t="s">
        <v>799</v>
      </c>
      <c r="E104" s="663" t="s">
        <v>864</v>
      </c>
      <c r="F104" s="633"/>
      <c r="G104" s="664" t="s">
        <v>865</v>
      </c>
      <c r="H104" s="664"/>
      <c r="I104" s="664" t="s">
        <v>883</v>
      </c>
      <c r="J104" s="664"/>
      <c r="K104" s="664"/>
      <c r="L104" s="664"/>
      <c r="M104" s="664"/>
      <c r="O104" s="631"/>
    </row>
    <row r="105" spans="1:16" x14ac:dyDescent="0.2">
      <c r="A105" s="736"/>
      <c r="B105" s="737"/>
      <c r="C105" s="665" t="s">
        <v>1567</v>
      </c>
      <c r="E105" s="629">
        <v>4085.2</v>
      </c>
      <c r="F105" s="662" t="s">
        <v>866</v>
      </c>
      <c r="G105" s="631">
        <v>1</v>
      </c>
      <c r="H105" s="631" t="s">
        <v>866</v>
      </c>
      <c r="I105" s="631">
        <v>1.27</v>
      </c>
      <c r="J105" s="631"/>
      <c r="K105" s="631"/>
      <c r="L105" s="631"/>
      <c r="M105" s="631"/>
      <c r="N105" s="666" t="s">
        <v>799</v>
      </c>
      <c r="O105" s="631">
        <f>E105*G105*I105</f>
        <v>5188.2039999999997</v>
      </c>
      <c r="P105" s="630" t="s">
        <v>12</v>
      </c>
    </row>
    <row r="106" spans="1:16" x14ac:dyDescent="0.2">
      <c r="A106" s="736"/>
      <c r="B106" s="737"/>
      <c r="C106" s="665" t="s">
        <v>1568</v>
      </c>
      <c r="E106" s="629">
        <v>911.06</v>
      </c>
      <c r="F106" s="662" t="s">
        <v>866</v>
      </c>
      <c r="G106" s="631">
        <v>1</v>
      </c>
      <c r="H106" s="631" t="s">
        <v>866</v>
      </c>
      <c r="I106" s="631">
        <v>1.27</v>
      </c>
      <c r="J106" s="631"/>
      <c r="K106" s="631"/>
      <c r="L106" s="631"/>
      <c r="M106" s="631"/>
      <c r="N106" s="666" t="s">
        <v>799</v>
      </c>
      <c r="O106" s="631">
        <f t="shared" ref="O106:O108" si="1">E106*G106*I106</f>
        <v>1157.0462</v>
      </c>
      <c r="P106" s="630" t="s">
        <v>12</v>
      </c>
    </row>
    <row r="107" spans="1:16" x14ac:dyDescent="0.2">
      <c r="A107" s="736"/>
      <c r="B107" s="737"/>
      <c r="C107" s="665" t="s">
        <v>1569</v>
      </c>
      <c r="E107" s="629">
        <v>137.59</v>
      </c>
      <c r="F107" s="662" t="s">
        <v>866</v>
      </c>
      <c r="G107" s="631">
        <v>1</v>
      </c>
      <c r="H107" s="631" t="s">
        <v>866</v>
      </c>
      <c r="I107" s="631">
        <v>1.27</v>
      </c>
      <c r="J107" s="631"/>
      <c r="K107" s="631"/>
      <c r="L107" s="631"/>
      <c r="M107" s="631"/>
      <c r="N107" s="666" t="s">
        <v>799</v>
      </c>
      <c r="O107" s="631">
        <f t="shared" si="1"/>
        <v>174.73930000000001</v>
      </c>
      <c r="P107" s="630" t="s">
        <v>12</v>
      </c>
    </row>
    <row r="108" spans="1:16" x14ac:dyDescent="0.2">
      <c r="A108" s="736"/>
      <c r="B108" s="737"/>
      <c r="C108" s="665" t="s">
        <v>1570</v>
      </c>
      <c r="E108" s="629">
        <v>86.84</v>
      </c>
      <c r="F108" s="662" t="s">
        <v>866</v>
      </c>
      <c r="G108" s="631">
        <v>1</v>
      </c>
      <c r="H108" s="631" t="s">
        <v>866</v>
      </c>
      <c r="I108" s="631">
        <v>1.27</v>
      </c>
      <c r="J108" s="631"/>
      <c r="K108" s="631"/>
      <c r="L108" s="631"/>
      <c r="M108" s="631"/>
      <c r="N108" s="666" t="s">
        <v>799</v>
      </c>
      <c r="O108" s="631">
        <f t="shared" si="1"/>
        <v>110.2868</v>
      </c>
      <c r="P108" s="630" t="s">
        <v>12</v>
      </c>
    </row>
    <row r="109" spans="1:16" ht="13.5" thickBot="1" x14ac:dyDescent="0.25">
      <c r="A109" s="736"/>
      <c r="B109" s="737"/>
      <c r="C109" s="665" t="s">
        <v>1571</v>
      </c>
      <c r="E109" s="629">
        <v>6954.07</v>
      </c>
      <c r="F109" s="662" t="s">
        <v>866</v>
      </c>
      <c r="G109" s="631">
        <v>1</v>
      </c>
      <c r="H109" s="631" t="s">
        <v>866</v>
      </c>
      <c r="I109" s="631">
        <v>1.27</v>
      </c>
      <c r="J109" s="631"/>
      <c r="K109" s="631"/>
      <c r="L109" s="631"/>
      <c r="M109" s="631"/>
      <c r="N109" s="666" t="s">
        <v>799</v>
      </c>
      <c r="O109" s="631">
        <f>E109*G109*I109</f>
        <v>8831.6689000000006</v>
      </c>
      <c r="P109" s="630" t="s">
        <v>12</v>
      </c>
    </row>
    <row r="110" spans="1:16" ht="13.5" thickBot="1" x14ac:dyDescent="0.25">
      <c r="A110" s="736"/>
      <c r="B110" s="737"/>
      <c r="C110" s="737"/>
      <c r="F110" s="666"/>
      <c r="G110" s="631"/>
      <c r="H110" s="631"/>
      <c r="I110" s="631"/>
      <c r="J110" s="631"/>
      <c r="K110" s="631"/>
      <c r="L110" s="631"/>
      <c r="M110" s="631"/>
      <c r="N110" s="666"/>
      <c r="O110" s="668">
        <f>ROUND((SUM(O105:O109)),2)</f>
        <v>15461.95</v>
      </c>
      <c r="P110" s="669" t="s">
        <v>12</v>
      </c>
    </row>
    <row r="111" spans="1:16" x14ac:dyDescent="0.2">
      <c r="A111" s="734" t="s">
        <v>0</v>
      </c>
      <c r="B111" s="735" t="s">
        <v>1210</v>
      </c>
      <c r="C111" s="751" t="e">
        <f>#REF!</f>
        <v>#REF!</v>
      </c>
      <c r="D111" s="662" t="s">
        <v>799</v>
      </c>
      <c r="E111" s="663" t="s">
        <v>864</v>
      </c>
      <c r="F111" s="633"/>
      <c r="G111" s="664" t="s">
        <v>865</v>
      </c>
      <c r="H111" s="664"/>
      <c r="I111" s="664" t="s">
        <v>883</v>
      </c>
      <c r="J111" s="664"/>
      <c r="K111" s="664" t="s">
        <v>1067</v>
      </c>
      <c r="L111" s="664"/>
      <c r="M111" s="664"/>
      <c r="O111" s="631"/>
    </row>
    <row r="112" spans="1:16" x14ac:dyDescent="0.2">
      <c r="A112" s="736"/>
      <c r="B112" s="737"/>
      <c r="C112" s="665" t="s">
        <v>1567</v>
      </c>
      <c r="E112" s="629">
        <v>4085.2</v>
      </c>
      <c r="F112" s="662" t="s">
        <v>866</v>
      </c>
      <c r="G112" s="631">
        <v>1</v>
      </c>
      <c r="H112" s="631" t="s">
        <v>866</v>
      </c>
      <c r="I112" s="631">
        <f>0.1+0.17+0.15</f>
        <v>0.42000000000000004</v>
      </c>
      <c r="J112" s="631" t="s">
        <v>866</v>
      </c>
      <c r="K112" s="631">
        <f>((PI()*(POWER(0.17,2)))/4)*E112</f>
        <v>92.725897878515312</v>
      </c>
      <c r="L112" s="631"/>
      <c r="M112" s="631"/>
      <c r="N112" s="662" t="s">
        <v>799</v>
      </c>
      <c r="O112" s="631">
        <f>(E112*G112*I112)-K112</f>
        <v>1623.0581021214848</v>
      </c>
      <c r="P112" s="630" t="s">
        <v>12</v>
      </c>
    </row>
    <row r="113" spans="1:16" x14ac:dyDescent="0.2">
      <c r="A113" s="736"/>
      <c r="B113" s="737"/>
      <c r="C113" s="665" t="s">
        <v>1568</v>
      </c>
      <c r="E113" s="629">
        <v>911.06</v>
      </c>
      <c r="F113" s="662" t="s">
        <v>866</v>
      </c>
      <c r="G113" s="631">
        <v>1</v>
      </c>
      <c r="H113" s="631" t="s">
        <v>866</v>
      </c>
      <c r="I113" s="631">
        <f t="shared" ref="I113:I116" si="2">0.1+0.17+0.15</f>
        <v>0.42000000000000004</v>
      </c>
      <c r="J113" s="631" t="s">
        <v>866</v>
      </c>
      <c r="K113" s="631">
        <f t="shared" ref="K113:K116" si="3">((PI()*(POWER(0.17,2)))/4)*E113</f>
        <v>20.679246186527013</v>
      </c>
      <c r="L113" s="631"/>
      <c r="M113" s="631"/>
      <c r="N113" s="662" t="s">
        <v>799</v>
      </c>
      <c r="O113" s="631">
        <f t="shared" ref="O113:O116" si="4">(E113*G113*I113)-K113</f>
        <v>361.96595381347299</v>
      </c>
      <c r="P113" s="630" t="s">
        <v>12</v>
      </c>
    </row>
    <row r="114" spans="1:16" x14ac:dyDescent="0.2">
      <c r="A114" s="736"/>
      <c r="B114" s="737"/>
      <c r="C114" s="665" t="s">
        <v>1569</v>
      </c>
      <c r="E114" s="629">
        <v>137.59</v>
      </c>
      <c r="F114" s="662" t="s">
        <v>866</v>
      </c>
      <c r="G114" s="631">
        <v>1</v>
      </c>
      <c r="H114" s="631" t="s">
        <v>866</v>
      </c>
      <c r="I114" s="631">
        <f t="shared" si="2"/>
        <v>0.42000000000000004</v>
      </c>
      <c r="J114" s="631" t="s">
        <v>866</v>
      </c>
      <c r="K114" s="631">
        <f t="shared" si="3"/>
        <v>3.1230187724236078</v>
      </c>
      <c r="L114" s="631"/>
      <c r="M114" s="631"/>
      <c r="N114" s="662" t="s">
        <v>799</v>
      </c>
      <c r="O114" s="631">
        <f t="shared" si="4"/>
        <v>54.664781227576398</v>
      </c>
      <c r="P114" s="630" t="s">
        <v>12</v>
      </c>
    </row>
    <row r="115" spans="1:16" x14ac:dyDescent="0.2">
      <c r="A115" s="736"/>
      <c r="B115" s="737"/>
      <c r="C115" s="665" t="s">
        <v>1570</v>
      </c>
      <c r="E115" s="629">
        <v>86.84</v>
      </c>
      <c r="F115" s="662" t="s">
        <v>866</v>
      </c>
      <c r="G115" s="631">
        <v>1</v>
      </c>
      <c r="H115" s="631" t="s">
        <v>866</v>
      </c>
      <c r="I115" s="631">
        <f t="shared" si="2"/>
        <v>0.42000000000000004</v>
      </c>
      <c r="J115" s="631" t="s">
        <v>866</v>
      </c>
      <c r="K115" s="631">
        <f t="shared" si="3"/>
        <v>1.9710949211226549</v>
      </c>
      <c r="L115" s="631"/>
      <c r="M115" s="631"/>
      <c r="N115" s="662" t="s">
        <v>799</v>
      </c>
      <c r="O115" s="631">
        <f t="shared" si="4"/>
        <v>34.50170507887735</v>
      </c>
      <c r="P115" s="630" t="s">
        <v>12</v>
      </c>
    </row>
    <row r="116" spans="1:16" ht="13.5" thickBot="1" x14ac:dyDescent="0.25">
      <c r="A116" s="736"/>
      <c r="B116" s="737"/>
      <c r="C116" s="665" t="s">
        <v>1571</v>
      </c>
      <c r="E116" s="629">
        <v>6954.07</v>
      </c>
      <c r="F116" s="662" t="s">
        <v>866</v>
      </c>
      <c r="G116" s="631">
        <v>1</v>
      </c>
      <c r="H116" s="631" t="s">
        <v>866</v>
      </c>
      <c r="I116" s="631">
        <f t="shared" si="2"/>
        <v>0.42000000000000004</v>
      </c>
      <c r="J116" s="631" t="s">
        <v>866</v>
      </c>
      <c r="K116" s="631">
        <f t="shared" si="3"/>
        <v>157.8435289973678</v>
      </c>
      <c r="L116" s="631"/>
      <c r="M116" s="631"/>
      <c r="N116" s="662" t="s">
        <v>799</v>
      </c>
      <c r="O116" s="631">
        <f t="shared" si="4"/>
        <v>2762.8658710026325</v>
      </c>
      <c r="P116" s="630" t="s">
        <v>12</v>
      </c>
    </row>
    <row r="117" spans="1:16" ht="13.5" thickBot="1" x14ac:dyDescent="0.25">
      <c r="A117" s="736"/>
      <c r="B117" s="737"/>
      <c r="C117" s="737"/>
      <c r="F117" s="666"/>
      <c r="G117" s="631"/>
      <c r="H117" s="631"/>
      <c r="I117" s="631"/>
      <c r="J117" s="631"/>
      <c r="K117" s="631"/>
      <c r="L117" s="631"/>
      <c r="M117" s="631"/>
      <c r="N117" s="666"/>
      <c r="O117" s="668">
        <f>ROUND((SUM(O112:O116)),2)</f>
        <v>4837.0600000000004</v>
      </c>
      <c r="P117" s="669" t="s">
        <v>12</v>
      </c>
    </row>
    <row r="118" spans="1:16" x14ac:dyDescent="0.2">
      <c r="A118" s="734" t="s">
        <v>0</v>
      </c>
      <c r="B118" s="735" t="s">
        <v>1211</v>
      </c>
      <c r="C118" s="751" t="e">
        <f>#REF!</f>
        <v>#REF!</v>
      </c>
      <c r="D118" s="662" t="s">
        <v>799</v>
      </c>
      <c r="E118" s="663" t="s">
        <v>864</v>
      </c>
      <c r="F118" s="633"/>
      <c r="G118" s="664" t="s">
        <v>865</v>
      </c>
      <c r="H118" s="664"/>
      <c r="I118" s="664" t="s">
        <v>883</v>
      </c>
      <c r="J118" s="664"/>
      <c r="K118" s="664" t="s">
        <v>628</v>
      </c>
      <c r="L118" s="664"/>
      <c r="M118" s="664" t="s">
        <v>977</v>
      </c>
      <c r="O118" s="631"/>
    </row>
    <row r="119" spans="1:16" x14ac:dyDescent="0.2">
      <c r="A119" s="736"/>
      <c r="B119" s="737"/>
      <c r="C119" s="665" t="s">
        <v>1567</v>
      </c>
      <c r="E119" s="629">
        <v>4085.2</v>
      </c>
      <c r="F119" s="662" t="s">
        <v>866</v>
      </c>
      <c r="G119" s="631">
        <v>1</v>
      </c>
      <c r="H119" s="631" t="s">
        <v>866</v>
      </c>
      <c r="I119" s="631">
        <f>0.1+0.17+0.15</f>
        <v>0.42000000000000004</v>
      </c>
      <c r="J119" s="631" t="s">
        <v>866</v>
      </c>
      <c r="K119" s="631">
        <v>1</v>
      </c>
      <c r="L119" s="631" t="s">
        <v>866</v>
      </c>
      <c r="M119" s="631">
        <v>5</v>
      </c>
      <c r="N119" s="666" t="s">
        <v>799</v>
      </c>
      <c r="O119" s="631">
        <f>E119*G119*I119*K119*M119</f>
        <v>8578.92</v>
      </c>
      <c r="P119" s="657" t="s">
        <v>976</v>
      </c>
    </row>
    <row r="120" spans="1:16" x14ac:dyDescent="0.2">
      <c r="A120" s="736"/>
      <c r="B120" s="737"/>
      <c r="C120" s="665" t="s">
        <v>1568</v>
      </c>
      <c r="E120" s="629">
        <v>911.06</v>
      </c>
      <c r="F120" s="662" t="s">
        <v>866</v>
      </c>
      <c r="G120" s="631">
        <v>1</v>
      </c>
      <c r="H120" s="631" t="s">
        <v>866</v>
      </c>
      <c r="I120" s="631">
        <f t="shared" ref="I120:I123" si="5">0.1+0.17+0.15</f>
        <v>0.42000000000000004</v>
      </c>
      <c r="J120" s="631" t="s">
        <v>866</v>
      </c>
      <c r="K120" s="631">
        <v>1</v>
      </c>
      <c r="L120" s="631" t="s">
        <v>866</v>
      </c>
      <c r="M120" s="631">
        <v>5</v>
      </c>
      <c r="N120" s="666" t="s">
        <v>799</v>
      </c>
      <c r="O120" s="631">
        <f t="shared" ref="O120:O123" si="6">E120*G120*I120*K120*M120</f>
        <v>1913.2259999999999</v>
      </c>
      <c r="P120" s="657" t="s">
        <v>976</v>
      </c>
    </row>
    <row r="121" spans="1:16" x14ac:dyDescent="0.2">
      <c r="A121" s="736"/>
      <c r="B121" s="737"/>
      <c r="C121" s="665" t="s">
        <v>1569</v>
      </c>
      <c r="E121" s="629">
        <v>137.59</v>
      </c>
      <c r="F121" s="662" t="s">
        <v>866</v>
      </c>
      <c r="G121" s="631">
        <v>1</v>
      </c>
      <c r="H121" s="631" t="s">
        <v>866</v>
      </c>
      <c r="I121" s="631">
        <f t="shared" si="5"/>
        <v>0.42000000000000004</v>
      </c>
      <c r="J121" s="631" t="s">
        <v>866</v>
      </c>
      <c r="K121" s="631">
        <v>1</v>
      </c>
      <c r="L121" s="631" t="s">
        <v>866</v>
      </c>
      <c r="M121" s="631">
        <v>5</v>
      </c>
      <c r="N121" s="666" t="s">
        <v>799</v>
      </c>
      <c r="O121" s="631">
        <f t="shared" si="6"/>
        <v>288.93900000000002</v>
      </c>
      <c r="P121" s="657" t="s">
        <v>976</v>
      </c>
    </row>
    <row r="122" spans="1:16" x14ac:dyDescent="0.2">
      <c r="A122" s="736"/>
      <c r="B122" s="737"/>
      <c r="C122" s="665" t="s">
        <v>1570</v>
      </c>
      <c r="E122" s="629">
        <v>86.84</v>
      </c>
      <c r="F122" s="662" t="s">
        <v>866</v>
      </c>
      <c r="G122" s="631">
        <v>1</v>
      </c>
      <c r="H122" s="631" t="s">
        <v>866</v>
      </c>
      <c r="I122" s="631">
        <f t="shared" si="5"/>
        <v>0.42000000000000004</v>
      </c>
      <c r="J122" s="631" t="s">
        <v>866</v>
      </c>
      <c r="K122" s="631">
        <v>1</v>
      </c>
      <c r="L122" s="631" t="s">
        <v>866</v>
      </c>
      <c r="M122" s="631">
        <v>5</v>
      </c>
      <c r="N122" s="666" t="s">
        <v>799</v>
      </c>
      <c r="O122" s="631">
        <f t="shared" si="6"/>
        <v>182.36400000000003</v>
      </c>
      <c r="P122" s="657" t="s">
        <v>976</v>
      </c>
    </row>
    <row r="123" spans="1:16" ht="13.5" thickBot="1" x14ac:dyDescent="0.25">
      <c r="A123" s="736"/>
      <c r="B123" s="737"/>
      <c r="C123" s="665" t="s">
        <v>1571</v>
      </c>
      <c r="E123" s="629">
        <v>6954.07</v>
      </c>
      <c r="F123" s="662" t="s">
        <v>866</v>
      </c>
      <c r="G123" s="631">
        <v>1</v>
      </c>
      <c r="H123" s="631" t="s">
        <v>866</v>
      </c>
      <c r="I123" s="631">
        <f t="shared" si="5"/>
        <v>0.42000000000000004</v>
      </c>
      <c r="J123" s="631" t="s">
        <v>866</v>
      </c>
      <c r="K123" s="631">
        <v>1</v>
      </c>
      <c r="L123" s="631" t="s">
        <v>866</v>
      </c>
      <c r="M123" s="631">
        <v>5</v>
      </c>
      <c r="N123" s="666" t="s">
        <v>799</v>
      </c>
      <c r="O123" s="631">
        <f t="shared" si="6"/>
        <v>14603.547</v>
      </c>
      <c r="P123" s="657" t="s">
        <v>976</v>
      </c>
    </row>
    <row r="124" spans="1:16" ht="13.5" thickBot="1" x14ac:dyDescent="0.25">
      <c r="A124" s="736"/>
      <c r="B124" s="737"/>
      <c r="C124" s="667"/>
      <c r="F124" s="666"/>
      <c r="G124" s="631"/>
      <c r="H124" s="631"/>
      <c r="I124" s="631"/>
      <c r="J124" s="631"/>
      <c r="K124" s="631"/>
      <c r="L124" s="631"/>
      <c r="M124" s="631"/>
      <c r="N124" s="666"/>
      <c r="O124" s="668">
        <f>ROUND((SUM(O119:O123)),2)</f>
        <v>25567</v>
      </c>
      <c r="P124" s="669" t="s">
        <v>976</v>
      </c>
    </row>
    <row r="125" spans="1:16" x14ac:dyDescent="0.2">
      <c r="A125" s="734" t="s">
        <v>0</v>
      </c>
      <c r="B125" s="735" t="s">
        <v>1212</v>
      </c>
      <c r="C125" s="678" t="e">
        <f>#REF!</f>
        <v>#REF!</v>
      </c>
      <c r="D125" s="662" t="s">
        <v>799</v>
      </c>
      <c r="E125" s="663" t="s">
        <v>864</v>
      </c>
      <c r="F125" s="633"/>
      <c r="G125" s="664" t="s">
        <v>865</v>
      </c>
      <c r="H125" s="664"/>
      <c r="I125" s="664" t="s">
        <v>883</v>
      </c>
      <c r="J125" s="664"/>
      <c r="K125" s="664" t="s">
        <v>628</v>
      </c>
      <c r="L125" s="664"/>
      <c r="M125" s="664"/>
      <c r="O125" s="631"/>
    </row>
    <row r="126" spans="1:16" x14ac:dyDescent="0.2">
      <c r="A126" s="736"/>
      <c r="B126" s="737"/>
      <c r="C126" s="665" t="s">
        <v>1567</v>
      </c>
      <c r="E126" s="629">
        <v>4085.2</v>
      </c>
      <c r="F126" s="662" t="s">
        <v>866</v>
      </c>
      <c r="G126" s="631">
        <v>1</v>
      </c>
      <c r="H126" s="631" t="s">
        <v>866</v>
      </c>
      <c r="I126" s="631">
        <f>I105-I119</f>
        <v>0.85</v>
      </c>
      <c r="J126" s="631" t="s">
        <v>866</v>
      </c>
      <c r="K126" s="631">
        <v>1</v>
      </c>
      <c r="L126" s="631"/>
      <c r="M126" s="631"/>
      <c r="N126" s="666" t="s">
        <v>799</v>
      </c>
      <c r="O126" s="631">
        <f>E126*G126*I126*K126</f>
        <v>3472.4199999999996</v>
      </c>
      <c r="P126" s="630" t="s">
        <v>12</v>
      </c>
    </row>
    <row r="127" spans="1:16" x14ac:dyDescent="0.2">
      <c r="A127" s="736"/>
      <c r="B127" s="737"/>
      <c r="C127" s="665" t="s">
        <v>1568</v>
      </c>
      <c r="E127" s="629">
        <v>911.06</v>
      </c>
      <c r="F127" s="662" t="s">
        <v>866</v>
      </c>
      <c r="G127" s="631">
        <v>1</v>
      </c>
      <c r="H127" s="631" t="s">
        <v>866</v>
      </c>
      <c r="I127" s="631">
        <f>I106-I120</f>
        <v>0.85</v>
      </c>
      <c r="J127" s="631" t="s">
        <v>866</v>
      </c>
      <c r="K127" s="631">
        <v>1</v>
      </c>
      <c r="L127" s="631"/>
      <c r="M127" s="631"/>
      <c r="N127" s="666" t="s">
        <v>799</v>
      </c>
      <c r="O127" s="631">
        <f t="shared" ref="O127:O130" si="7">E127*G127*I127*K127</f>
        <v>774.40099999999995</v>
      </c>
      <c r="P127" s="630" t="s">
        <v>12</v>
      </c>
    </row>
    <row r="128" spans="1:16" x14ac:dyDescent="0.2">
      <c r="A128" s="736"/>
      <c r="B128" s="737"/>
      <c r="C128" s="665" t="s">
        <v>1569</v>
      </c>
      <c r="E128" s="629">
        <v>137.59</v>
      </c>
      <c r="F128" s="662" t="s">
        <v>866</v>
      </c>
      <c r="G128" s="631">
        <v>1</v>
      </c>
      <c r="H128" s="631" t="s">
        <v>866</v>
      </c>
      <c r="I128" s="631">
        <f>I107-I121</f>
        <v>0.85</v>
      </c>
      <c r="J128" s="631" t="s">
        <v>866</v>
      </c>
      <c r="K128" s="631">
        <v>1</v>
      </c>
      <c r="L128" s="631"/>
      <c r="M128" s="631"/>
      <c r="N128" s="666" t="s">
        <v>799</v>
      </c>
      <c r="O128" s="631">
        <f t="shared" si="7"/>
        <v>116.9515</v>
      </c>
      <c r="P128" s="630" t="s">
        <v>12</v>
      </c>
    </row>
    <row r="129" spans="1:16" x14ac:dyDescent="0.2">
      <c r="A129" s="736"/>
      <c r="B129" s="737"/>
      <c r="C129" s="665" t="s">
        <v>1570</v>
      </c>
      <c r="E129" s="629">
        <v>86.84</v>
      </c>
      <c r="F129" s="662" t="s">
        <v>866</v>
      </c>
      <c r="G129" s="631">
        <v>1</v>
      </c>
      <c r="H129" s="631" t="s">
        <v>866</v>
      </c>
      <c r="I129" s="631">
        <f>I108-I122</f>
        <v>0.85</v>
      </c>
      <c r="J129" s="631" t="s">
        <v>866</v>
      </c>
      <c r="K129" s="631">
        <v>1</v>
      </c>
      <c r="L129" s="631"/>
      <c r="M129" s="631"/>
      <c r="N129" s="666" t="s">
        <v>799</v>
      </c>
      <c r="O129" s="631">
        <f t="shared" si="7"/>
        <v>73.814000000000007</v>
      </c>
      <c r="P129" s="630" t="s">
        <v>12</v>
      </c>
    </row>
    <row r="130" spans="1:16" ht="13.5" thickBot="1" x14ac:dyDescent="0.25">
      <c r="A130" s="736"/>
      <c r="B130" s="737"/>
      <c r="C130" s="665" t="s">
        <v>1571</v>
      </c>
      <c r="E130" s="629">
        <v>6954.07</v>
      </c>
      <c r="F130" s="662" t="s">
        <v>866</v>
      </c>
      <c r="G130" s="631">
        <v>1</v>
      </c>
      <c r="H130" s="631" t="s">
        <v>866</v>
      </c>
      <c r="I130" s="631">
        <f>I109-I123</f>
        <v>0.85</v>
      </c>
      <c r="J130" s="631" t="s">
        <v>866</v>
      </c>
      <c r="K130" s="631">
        <v>1</v>
      </c>
      <c r="L130" s="631"/>
      <c r="M130" s="631"/>
      <c r="N130" s="666" t="s">
        <v>799</v>
      </c>
      <c r="O130" s="631">
        <f t="shared" si="7"/>
        <v>5910.9594999999999</v>
      </c>
      <c r="P130" s="630" t="s">
        <v>12</v>
      </c>
    </row>
    <row r="131" spans="1:16" ht="13.5" thickBot="1" x14ac:dyDescent="0.25">
      <c r="A131" s="736"/>
      <c r="B131" s="737"/>
      <c r="C131" s="667"/>
      <c r="F131" s="666"/>
      <c r="G131" s="631"/>
      <c r="H131" s="631"/>
      <c r="I131" s="631"/>
      <c r="J131" s="631"/>
      <c r="K131" s="631"/>
      <c r="L131" s="631"/>
      <c r="M131" s="631"/>
      <c r="N131" s="666"/>
      <c r="O131" s="668">
        <f>ROUND((SUM(O126:O130)),2)</f>
        <v>10348.549999999999</v>
      </c>
      <c r="P131" s="669" t="s">
        <v>12</v>
      </c>
    </row>
    <row r="132" spans="1:16" x14ac:dyDescent="0.2">
      <c r="A132" s="734" t="s">
        <v>0</v>
      </c>
      <c r="B132" s="735" t="s">
        <v>1213</v>
      </c>
      <c r="C132" s="678" t="e">
        <f>#REF!</f>
        <v>#REF!</v>
      </c>
      <c r="D132" s="662" t="s">
        <v>799</v>
      </c>
      <c r="E132" s="663" t="s">
        <v>864</v>
      </c>
      <c r="F132" s="633"/>
      <c r="G132" s="664"/>
      <c r="H132" s="664"/>
      <c r="I132" s="664"/>
      <c r="J132" s="664"/>
      <c r="K132" s="664"/>
      <c r="L132" s="664"/>
      <c r="M132" s="664"/>
      <c r="O132" s="631"/>
    </row>
    <row r="133" spans="1:16" x14ac:dyDescent="0.2">
      <c r="A133" s="736"/>
      <c r="B133" s="737"/>
      <c r="C133" s="665" t="s">
        <v>1567</v>
      </c>
      <c r="E133" s="629">
        <v>4085.2</v>
      </c>
      <c r="F133" s="662"/>
      <c r="G133" s="631"/>
      <c r="H133" s="631"/>
      <c r="I133" s="631"/>
      <c r="J133" s="631"/>
      <c r="K133" s="631"/>
      <c r="L133" s="631"/>
      <c r="M133" s="631"/>
      <c r="N133" s="666" t="s">
        <v>799</v>
      </c>
      <c r="O133" s="631">
        <f>E133</f>
        <v>4085.2</v>
      </c>
      <c r="P133" s="630" t="s">
        <v>6</v>
      </c>
    </row>
    <row r="134" spans="1:16" x14ac:dyDescent="0.2">
      <c r="A134" s="736"/>
      <c r="B134" s="737"/>
      <c r="C134" s="665" t="s">
        <v>1568</v>
      </c>
      <c r="E134" s="629">
        <v>911.06</v>
      </c>
      <c r="F134" s="662"/>
      <c r="G134" s="631"/>
      <c r="H134" s="631"/>
      <c r="I134" s="631"/>
      <c r="J134" s="631"/>
      <c r="K134" s="631"/>
      <c r="L134" s="631"/>
      <c r="M134" s="631"/>
      <c r="N134" s="666" t="s">
        <v>799</v>
      </c>
      <c r="O134" s="631">
        <f t="shared" ref="O134:O136" si="8">E134</f>
        <v>911.06</v>
      </c>
      <c r="P134" s="630" t="s">
        <v>6</v>
      </c>
    </row>
    <row r="135" spans="1:16" x14ac:dyDescent="0.2">
      <c r="A135" s="736"/>
      <c r="B135" s="737"/>
      <c r="C135" s="665" t="s">
        <v>1569</v>
      </c>
      <c r="E135" s="629">
        <v>137.59</v>
      </c>
      <c r="F135" s="662"/>
      <c r="G135" s="631"/>
      <c r="H135" s="631"/>
      <c r="I135" s="631"/>
      <c r="J135" s="631"/>
      <c r="K135" s="631"/>
      <c r="L135" s="631"/>
      <c r="M135" s="631"/>
      <c r="N135" s="666" t="s">
        <v>799</v>
      </c>
      <c r="O135" s="631">
        <f t="shared" si="8"/>
        <v>137.59</v>
      </c>
      <c r="P135" s="630" t="s">
        <v>6</v>
      </c>
    </row>
    <row r="136" spans="1:16" ht="13.5" thickBot="1" x14ac:dyDescent="0.25">
      <c r="A136" s="736"/>
      <c r="B136" s="737"/>
      <c r="C136" s="665" t="s">
        <v>1570</v>
      </c>
      <c r="E136" s="629">
        <v>86.84</v>
      </c>
      <c r="F136" s="662"/>
      <c r="G136" s="631"/>
      <c r="H136" s="631"/>
      <c r="I136" s="631"/>
      <c r="J136" s="631"/>
      <c r="K136" s="631"/>
      <c r="L136" s="631"/>
      <c r="M136" s="631"/>
      <c r="N136" s="666" t="s">
        <v>799</v>
      </c>
      <c r="O136" s="631">
        <f t="shared" si="8"/>
        <v>86.84</v>
      </c>
      <c r="P136" s="630" t="s">
        <v>6</v>
      </c>
    </row>
    <row r="137" spans="1:16" ht="13.5" thickBot="1" x14ac:dyDescent="0.25">
      <c r="A137" s="736"/>
      <c r="B137" s="737"/>
      <c r="C137" s="667"/>
      <c r="F137" s="666"/>
      <c r="G137" s="631"/>
      <c r="H137" s="631"/>
      <c r="I137" s="631"/>
      <c r="J137" s="631"/>
      <c r="K137" s="631"/>
      <c r="L137" s="631"/>
      <c r="M137" s="631"/>
      <c r="N137" s="666"/>
      <c r="O137" s="668">
        <f>ROUND((SUM(O133:O136)),2)</f>
        <v>5220.6899999999996</v>
      </c>
      <c r="P137" s="669" t="s">
        <v>6</v>
      </c>
    </row>
    <row r="138" spans="1:16" ht="37.5" customHeight="1" x14ac:dyDescent="0.2">
      <c r="A138" s="734" t="s">
        <v>0</v>
      </c>
      <c r="B138" s="735" t="s">
        <v>1214</v>
      </c>
      <c r="C138" s="678" t="e">
        <f>#REF!</f>
        <v>#REF!</v>
      </c>
      <c r="D138" s="662" t="s">
        <v>799</v>
      </c>
      <c r="E138" s="663" t="s">
        <v>864</v>
      </c>
      <c r="F138" s="633"/>
      <c r="G138" s="664"/>
      <c r="H138" s="664"/>
      <c r="I138" s="664"/>
      <c r="J138" s="664"/>
      <c r="K138" s="664"/>
      <c r="L138" s="664"/>
      <c r="M138" s="664"/>
      <c r="O138" s="631"/>
    </row>
    <row r="139" spans="1:16" ht="13.5" thickBot="1" x14ac:dyDescent="0.25">
      <c r="A139" s="736"/>
      <c r="B139" s="737"/>
      <c r="C139" s="665" t="s">
        <v>1571</v>
      </c>
      <c r="E139" s="629">
        <v>6954.07</v>
      </c>
      <c r="F139" s="662"/>
      <c r="G139" s="631"/>
      <c r="H139" s="631"/>
      <c r="I139" s="631"/>
      <c r="J139" s="631"/>
      <c r="K139" s="631"/>
      <c r="L139" s="631"/>
      <c r="M139" s="631"/>
      <c r="N139" s="666" t="s">
        <v>799</v>
      </c>
      <c r="O139" s="631">
        <f>E139</f>
        <v>6954.07</v>
      </c>
      <c r="P139" s="630" t="s">
        <v>6</v>
      </c>
    </row>
    <row r="140" spans="1:16" ht="13.5" thickBot="1" x14ac:dyDescent="0.25">
      <c r="A140" s="736"/>
      <c r="B140" s="737"/>
      <c r="C140" s="667"/>
      <c r="F140" s="666"/>
      <c r="G140" s="631"/>
      <c r="H140" s="631"/>
      <c r="I140" s="631"/>
      <c r="J140" s="631"/>
      <c r="K140" s="631"/>
      <c r="L140" s="631"/>
      <c r="M140" s="631"/>
      <c r="N140" s="666"/>
      <c r="O140" s="668">
        <f>ROUND((SUM(O139:O139)),2)</f>
        <v>6954.07</v>
      </c>
      <c r="P140" s="669" t="s">
        <v>6</v>
      </c>
    </row>
    <row r="141" spans="1:16" ht="38.25" customHeight="1" x14ac:dyDescent="0.2">
      <c r="A141" s="734" t="s">
        <v>0</v>
      </c>
      <c r="B141" s="735" t="s">
        <v>1215</v>
      </c>
      <c r="C141" s="678" t="e">
        <f>#REF!</f>
        <v>#REF!</v>
      </c>
      <c r="D141" s="662" t="s">
        <v>799</v>
      </c>
      <c r="E141" s="663" t="s">
        <v>628</v>
      </c>
      <c r="F141" s="633"/>
      <c r="G141" s="664"/>
      <c r="H141" s="664"/>
      <c r="I141" s="664"/>
      <c r="J141" s="664"/>
      <c r="K141" s="664"/>
      <c r="L141" s="664"/>
      <c r="M141" s="664"/>
      <c r="O141" s="631"/>
    </row>
    <row r="142" spans="1:16" ht="13.5" thickBot="1" x14ac:dyDescent="0.25">
      <c r="A142" s="736"/>
      <c r="B142" s="737"/>
      <c r="C142" s="665" t="s">
        <v>1572</v>
      </c>
      <c r="E142" s="661">
        <v>1</v>
      </c>
      <c r="F142" s="662"/>
      <c r="G142" s="631"/>
      <c r="H142" s="631"/>
      <c r="I142" s="631"/>
      <c r="J142" s="631"/>
      <c r="K142" s="631"/>
      <c r="L142" s="631"/>
      <c r="M142" s="631"/>
      <c r="N142" s="666" t="s">
        <v>799</v>
      </c>
      <c r="O142" s="631">
        <f>E142</f>
        <v>1</v>
      </c>
      <c r="P142" s="657" t="s">
        <v>2</v>
      </c>
    </row>
    <row r="143" spans="1:16" ht="13.5" thickBot="1" x14ac:dyDescent="0.25">
      <c r="A143" s="736"/>
      <c r="B143" s="737"/>
      <c r="C143" s="667"/>
      <c r="F143" s="666"/>
      <c r="G143" s="631"/>
      <c r="H143" s="631"/>
      <c r="I143" s="631"/>
      <c r="J143" s="631"/>
      <c r="K143" s="631"/>
      <c r="L143" s="631"/>
      <c r="M143" s="631"/>
      <c r="N143" s="666"/>
      <c r="O143" s="668">
        <f>ROUND((SUM(O142:O142)),2)</f>
        <v>1</v>
      </c>
      <c r="P143" s="669" t="s">
        <v>2</v>
      </c>
    </row>
    <row r="144" spans="1:16" ht="50.25" customHeight="1" x14ac:dyDescent="0.2">
      <c r="A144" s="734" t="s">
        <v>0</v>
      </c>
      <c r="B144" s="735" t="s">
        <v>1216</v>
      </c>
      <c r="C144" s="751" t="e">
        <f>#REF!</f>
        <v>#REF!</v>
      </c>
      <c r="D144" s="662" t="s">
        <v>799</v>
      </c>
      <c r="E144" s="663" t="s">
        <v>628</v>
      </c>
      <c r="F144" s="633"/>
      <c r="G144" s="664"/>
      <c r="H144" s="664"/>
      <c r="I144" s="664"/>
      <c r="J144" s="664"/>
      <c r="K144" s="664"/>
      <c r="L144" s="664"/>
      <c r="M144" s="664"/>
      <c r="O144" s="631"/>
    </row>
    <row r="145" spans="1:16" ht="13.5" thickBot="1" x14ac:dyDescent="0.25">
      <c r="A145" s="736"/>
      <c r="B145" s="737"/>
      <c r="C145" s="665" t="s">
        <v>928</v>
      </c>
      <c r="E145" s="661">
        <v>11</v>
      </c>
      <c r="F145" s="662"/>
      <c r="G145" s="631"/>
      <c r="H145" s="631"/>
      <c r="I145" s="631"/>
      <c r="J145" s="631"/>
      <c r="K145" s="631"/>
      <c r="L145" s="631"/>
      <c r="M145" s="631"/>
      <c r="N145" s="666" t="s">
        <v>799</v>
      </c>
      <c r="O145" s="631">
        <f>E145</f>
        <v>11</v>
      </c>
      <c r="P145" s="657" t="s">
        <v>2</v>
      </c>
    </row>
    <row r="146" spans="1:16" ht="13.5" thickBot="1" x14ac:dyDescent="0.25">
      <c r="A146" s="736"/>
      <c r="B146" s="737"/>
      <c r="C146" s="667"/>
      <c r="F146" s="666"/>
      <c r="G146" s="631"/>
      <c r="H146" s="631"/>
      <c r="I146" s="631"/>
      <c r="J146" s="631"/>
      <c r="K146" s="631"/>
      <c r="L146" s="631"/>
      <c r="M146" s="631"/>
      <c r="N146" s="666"/>
      <c r="O146" s="668">
        <f>ROUND((SUM(O145:O145)),2)</f>
        <v>11</v>
      </c>
      <c r="P146" s="669" t="s">
        <v>2</v>
      </c>
    </row>
    <row r="147" spans="1:16" x14ac:dyDescent="0.2">
      <c r="A147" s="734" t="s">
        <v>0</v>
      </c>
      <c r="B147" s="735" t="s">
        <v>1574</v>
      </c>
      <c r="C147" s="678" t="e">
        <f>#REF!</f>
        <v>#REF!</v>
      </c>
      <c r="D147" s="662" t="s">
        <v>799</v>
      </c>
      <c r="E147" s="663" t="s">
        <v>628</v>
      </c>
      <c r="F147" s="633"/>
      <c r="G147" s="664"/>
      <c r="H147" s="664"/>
      <c r="I147" s="664"/>
      <c r="J147" s="664"/>
      <c r="K147" s="664"/>
      <c r="L147" s="664"/>
      <c r="M147" s="664"/>
      <c r="O147" s="631"/>
    </row>
    <row r="148" spans="1:16" ht="13.5" thickBot="1" x14ac:dyDescent="0.25">
      <c r="A148" s="736"/>
      <c r="B148" s="737"/>
      <c r="C148" s="665" t="s">
        <v>1575</v>
      </c>
      <c r="E148" s="661">
        <v>11</v>
      </c>
      <c r="F148" s="662"/>
      <c r="G148" s="631"/>
      <c r="H148" s="631"/>
      <c r="I148" s="631"/>
      <c r="J148" s="631"/>
      <c r="K148" s="631"/>
      <c r="L148" s="631"/>
      <c r="M148" s="631"/>
      <c r="N148" s="666" t="s">
        <v>799</v>
      </c>
      <c r="O148" s="631">
        <f>E148</f>
        <v>11</v>
      </c>
      <c r="P148" s="657" t="s">
        <v>2</v>
      </c>
    </row>
    <row r="149" spans="1:16" ht="13.5" thickBot="1" x14ac:dyDescent="0.25">
      <c r="A149" s="736"/>
      <c r="B149" s="737"/>
      <c r="C149" s="667"/>
      <c r="F149" s="666"/>
      <c r="G149" s="631"/>
      <c r="H149" s="631"/>
      <c r="I149" s="631"/>
      <c r="J149" s="631"/>
      <c r="K149" s="631"/>
      <c r="L149" s="631"/>
      <c r="M149" s="631"/>
      <c r="N149" s="666"/>
      <c r="O149" s="668">
        <f>ROUND((SUM(O148:O148)),2)</f>
        <v>11</v>
      </c>
      <c r="P149" s="669" t="s">
        <v>2</v>
      </c>
    </row>
    <row r="150" spans="1:16" x14ac:dyDescent="0.2">
      <c r="A150" s="734" t="s">
        <v>0</v>
      </c>
      <c r="B150" s="735" t="s">
        <v>1217</v>
      </c>
      <c r="C150" s="678" t="e">
        <f>#REF!</f>
        <v>#REF!</v>
      </c>
      <c r="D150" s="662" t="s">
        <v>799</v>
      </c>
      <c r="E150" s="663" t="s">
        <v>628</v>
      </c>
      <c r="F150" s="633"/>
      <c r="G150" s="664"/>
      <c r="H150" s="664"/>
      <c r="I150" s="664"/>
      <c r="J150" s="664"/>
      <c r="K150" s="664"/>
      <c r="L150" s="664"/>
      <c r="M150" s="664"/>
      <c r="O150" s="631"/>
    </row>
    <row r="151" spans="1:16" ht="13.5" thickBot="1" x14ac:dyDescent="0.25">
      <c r="A151" s="736"/>
      <c r="B151" s="737"/>
      <c r="C151" s="665" t="s">
        <v>929</v>
      </c>
      <c r="E151" s="661">
        <v>18</v>
      </c>
      <c r="F151" s="662"/>
      <c r="G151" s="631"/>
      <c r="H151" s="631"/>
      <c r="I151" s="631"/>
      <c r="J151" s="631"/>
      <c r="K151" s="631"/>
      <c r="L151" s="631"/>
      <c r="M151" s="631"/>
      <c r="N151" s="666" t="s">
        <v>799</v>
      </c>
      <c r="O151" s="631">
        <f>E151</f>
        <v>18</v>
      </c>
      <c r="P151" s="657" t="s">
        <v>2</v>
      </c>
    </row>
    <row r="152" spans="1:16" ht="13.5" thickBot="1" x14ac:dyDescent="0.25">
      <c r="A152" s="736"/>
      <c r="B152" s="737"/>
      <c r="C152" s="667"/>
      <c r="F152" s="666"/>
      <c r="G152" s="631"/>
      <c r="H152" s="631"/>
      <c r="I152" s="631"/>
      <c r="J152" s="631"/>
      <c r="K152" s="631"/>
      <c r="L152" s="631"/>
      <c r="M152" s="631"/>
      <c r="N152" s="666"/>
      <c r="O152" s="668">
        <f>ROUND((SUM(O151:O151)),2)</f>
        <v>18</v>
      </c>
      <c r="P152" s="669" t="s">
        <v>2</v>
      </c>
    </row>
    <row r="153" spans="1:16" x14ac:dyDescent="0.2">
      <c r="A153" s="734" t="s">
        <v>0</v>
      </c>
      <c r="B153" s="735" t="s">
        <v>1218</v>
      </c>
      <c r="C153" s="678" t="e">
        <f>#REF!</f>
        <v>#REF!</v>
      </c>
      <c r="D153" s="662" t="s">
        <v>799</v>
      </c>
      <c r="E153" s="663" t="s">
        <v>628</v>
      </c>
      <c r="F153" s="633"/>
      <c r="G153" s="664"/>
      <c r="H153" s="664"/>
      <c r="I153" s="664"/>
      <c r="J153" s="664"/>
      <c r="K153" s="664"/>
      <c r="L153" s="664"/>
      <c r="M153" s="664"/>
      <c r="O153" s="631"/>
    </row>
    <row r="154" spans="1:16" ht="13.5" thickBot="1" x14ac:dyDescent="0.25">
      <c r="A154" s="736"/>
      <c r="B154" s="737"/>
      <c r="C154" s="665" t="s">
        <v>929</v>
      </c>
      <c r="E154" s="661">
        <v>4</v>
      </c>
      <c r="F154" s="662"/>
      <c r="G154" s="631"/>
      <c r="H154" s="631"/>
      <c r="I154" s="631"/>
      <c r="J154" s="631"/>
      <c r="K154" s="631"/>
      <c r="L154" s="631"/>
      <c r="M154" s="631"/>
      <c r="N154" s="666" t="s">
        <v>799</v>
      </c>
      <c r="O154" s="631">
        <f>E154</f>
        <v>4</v>
      </c>
      <c r="P154" s="657" t="s">
        <v>2</v>
      </c>
    </row>
    <row r="155" spans="1:16" ht="13.5" thickBot="1" x14ac:dyDescent="0.25">
      <c r="A155" s="736"/>
      <c r="B155" s="737"/>
      <c r="C155" s="667"/>
      <c r="F155" s="666"/>
      <c r="G155" s="631"/>
      <c r="H155" s="631"/>
      <c r="I155" s="631"/>
      <c r="J155" s="631"/>
      <c r="K155" s="631"/>
      <c r="L155" s="631"/>
      <c r="M155" s="631"/>
      <c r="N155" s="666"/>
      <c r="O155" s="668">
        <f>ROUND((SUM(O154:O154)),2)</f>
        <v>4</v>
      </c>
      <c r="P155" s="669" t="s">
        <v>2</v>
      </c>
    </row>
    <row r="156" spans="1:16" ht="111.75" customHeight="1" x14ac:dyDescent="0.2">
      <c r="A156" s="734" t="s">
        <v>0</v>
      </c>
      <c r="B156" s="735" t="s">
        <v>1219</v>
      </c>
      <c r="C156" s="751" t="e">
        <f>#REF!</f>
        <v>#REF!</v>
      </c>
      <c r="D156" s="662" t="s">
        <v>799</v>
      </c>
      <c r="E156" s="663" t="s">
        <v>628</v>
      </c>
      <c r="F156" s="633"/>
      <c r="G156" s="664"/>
      <c r="H156" s="664"/>
      <c r="I156" s="664"/>
      <c r="J156" s="664"/>
      <c r="K156" s="664"/>
      <c r="L156" s="664"/>
      <c r="M156" s="664"/>
      <c r="O156" s="631"/>
    </row>
    <row r="157" spans="1:16" x14ac:dyDescent="0.2">
      <c r="A157" s="736"/>
      <c r="B157" s="737"/>
      <c r="C157" s="665" t="s">
        <v>928</v>
      </c>
      <c r="E157" s="661">
        <v>11</v>
      </c>
      <c r="F157" s="662"/>
      <c r="G157" s="631"/>
      <c r="H157" s="631"/>
      <c r="I157" s="631"/>
      <c r="J157" s="631"/>
      <c r="K157" s="631"/>
      <c r="L157" s="631"/>
      <c r="M157" s="631"/>
      <c r="N157" s="666" t="s">
        <v>799</v>
      </c>
      <c r="O157" s="631">
        <f>E157</f>
        <v>11</v>
      </c>
      <c r="P157" s="657" t="s">
        <v>2</v>
      </c>
    </row>
    <row r="158" spans="1:16" ht="13.5" thickBot="1" x14ac:dyDescent="0.25">
      <c r="A158" s="736"/>
      <c r="B158" s="737"/>
      <c r="C158" s="665" t="s">
        <v>1575</v>
      </c>
      <c r="E158" s="661">
        <v>11</v>
      </c>
      <c r="F158" s="662"/>
      <c r="G158" s="631"/>
      <c r="H158" s="631"/>
      <c r="I158" s="631"/>
      <c r="J158" s="631"/>
      <c r="K158" s="631"/>
      <c r="L158" s="631"/>
      <c r="M158" s="631"/>
      <c r="N158" s="666" t="s">
        <v>799</v>
      </c>
      <c r="O158" s="631">
        <f>E158</f>
        <v>11</v>
      </c>
      <c r="P158" s="657" t="s">
        <v>2</v>
      </c>
    </row>
    <row r="159" spans="1:16" ht="13.5" thickBot="1" x14ac:dyDescent="0.25">
      <c r="A159" s="736"/>
      <c r="B159" s="737"/>
      <c r="C159" s="667"/>
      <c r="F159" s="666"/>
      <c r="G159" s="631"/>
      <c r="H159" s="631"/>
      <c r="I159" s="631"/>
      <c r="J159" s="631"/>
      <c r="K159" s="631"/>
      <c r="L159" s="631"/>
      <c r="M159" s="631"/>
      <c r="N159" s="666"/>
      <c r="O159" s="668">
        <f>ROUND((SUM(O157:O158)),2)</f>
        <v>22</v>
      </c>
      <c r="P159" s="669" t="s">
        <v>2</v>
      </c>
    </row>
    <row r="160" spans="1:16" x14ac:dyDescent="0.2">
      <c r="A160" s="734" t="s">
        <v>0</v>
      </c>
      <c r="B160" s="735" t="s">
        <v>1220</v>
      </c>
      <c r="C160" s="751" t="e">
        <f>#REF!</f>
        <v>#REF!</v>
      </c>
      <c r="D160" s="662" t="s">
        <v>799</v>
      </c>
      <c r="E160" s="663" t="s">
        <v>864</v>
      </c>
      <c r="F160" s="633"/>
      <c r="G160" s="664"/>
      <c r="H160" s="664"/>
      <c r="I160" s="664"/>
      <c r="J160" s="664"/>
      <c r="K160" s="664"/>
      <c r="L160" s="664"/>
      <c r="M160" s="664"/>
      <c r="O160" s="631"/>
    </row>
    <row r="161" spans="1:16" ht="13.5" thickBot="1" x14ac:dyDescent="0.25">
      <c r="A161" s="736"/>
      <c r="B161" s="737"/>
      <c r="C161" s="665" t="s">
        <v>929</v>
      </c>
      <c r="E161" s="629">
        <f>255+360.5</f>
        <v>615.5</v>
      </c>
      <c r="F161" s="662"/>
      <c r="G161" s="631"/>
      <c r="H161" s="631"/>
      <c r="I161" s="631"/>
      <c r="J161" s="631"/>
      <c r="K161" s="631"/>
      <c r="L161" s="631"/>
      <c r="M161" s="631"/>
      <c r="N161" s="666" t="s">
        <v>799</v>
      </c>
      <c r="O161" s="631">
        <f>E161</f>
        <v>615.5</v>
      </c>
      <c r="P161" s="657" t="s">
        <v>6</v>
      </c>
    </row>
    <row r="162" spans="1:16" ht="13.5" thickBot="1" x14ac:dyDescent="0.25">
      <c r="A162" s="736"/>
      <c r="B162" s="737"/>
      <c r="C162" s="667"/>
      <c r="F162" s="666"/>
      <c r="G162" s="631"/>
      <c r="H162" s="631"/>
      <c r="I162" s="631"/>
      <c r="J162" s="631"/>
      <c r="K162" s="631"/>
      <c r="L162" s="631"/>
      <c r="M162" s="631"/>
      <c r="N162" s="666"/>
      <c r="O162" s="668">
        <f>ROUND((SUM(O161:O161)),2)</f>
        <v>615.5</v>
      </c>
      <c r="P162" s="669" t="s">
        <v>6</v>
      </c>
    </row>
    <row r="163" spans="1:16" x14ac:dyDescent="0.2">
      <c r="A163" s="734" t="s">
        <v>0</v>
      </c>
      <c r="B163" s="735" t="s">
        <v>1221</v>
      </c>
      <c r="C163" s="751" t="e">
        <f>#REF!</f>
        <v>#REF!</v>
      </c>
      <c r="D163" s="662" t="s">
        <v>799</v>
      </c>
      <c r="E163" s="663" t="s">
        <v>628</v>
      </c>
      <c r="F163" s="633"/>
      <c r="G163" s="664"/>
      <c r="H163" s="664"/>
      <c r="I163" s="664"/>
      <c r="J163" s="664"/>
      <c r="K163" s="664"/>
      <c r="L163" s="664"/>
      <c r="M163" s="664"/>
      <c r="O163" s="631"/>
    </row>
    <row r="164" spans="1:16" ht="13.5" thickBot="1" x14ac:dyDescent="0.25">
      <c r="A164" s="736"/>
      <c r="B164" s="737"/>
      <c r="C164" s="665" t="s">
        <v>1070</v>
      </c>
      <c r="E164" s="629">
        <v>1</v>
      </c>
      <c r="F164" s="662"/>
      <c r="G164" s="631"/>
      <c r="H164" s="631"/>
      <c r="I164" s="631"/>
      <c r="J164" s="631"/>
      <c r="K164" s="631"/>
      <c r="L164" s="631"/>
      <c r="M164" s="631"/>
      <c r="N164" s="666" t="s">
        <v>799</v>
      </c>
      <c r="O164" s="631">
        <f>E164</f>
        <v>1</v>
      </c>
      <c r="P164" s="657" t="s">
        <v>2</v>
      </c>
    </row>
    <row r="165" spans="1:16" ht="13.5" thickBot="1" x14ac:dyDescent="0.25">
      <c r="A165" s="736"/>
      <c r="B165" s="737"/>
      <c r="C165" s="667"/>
      <c r="F165" s="666"/>
      <c r="G165" s="631"/>
      <c r="H165" s="631"/>
      <c r="I165" s="631"/>
      <c r="J165" s="631"/>
      <c r="K165" s="631"/>
      <c r="L165" s="631"/>
      <c r="M165" s="631"/>
      <c r="N165" s="666"/>
      <c r="O165" s="668">
        <f>ROUND((SUM(O164:O164)),2)</f>
        <v>1</v>
      </c>
      <c r="P165" s="669" t="s">
        <v>2</v>
      </c>
    </row>
    <row r="166" spans="1:16" x14ac:dyDescent="0.2">
      <c r="A166" s="736"/>
      <c r="B166" s="737"/>
      <c r="C166" s="667"/>
      <c r="F166" s="666"/>
      <c r="G166" s="631"/>
      <c r="H166" s="631"/>
      <c r="I166" s="631"/>
      <c r="J166" s="631"/>
      <c r="K166" s="631"/>
      <c r="L166" s="631"/>
      <c r="M166" s="631"/>
      <c r="N166" s="666"/>
      <c r="O166" s="632"/>
      <c r="P166" s="633"/>
    </row>
    <row r="167" spans="1:16" ht="15.75" x14ac:dyDescent="0.25">
      <c r="A167" s="736"/>
      <c r="B167" s="737"/>
      <c r="C167" s="912" t="s">
        <v>1160</v>
      </c>
      <c r="F167" s="666"/>
      <c r="G167" s="631"/>
      <c r="H167" s="631"/>
      <c r="I167" s="631"/>
      <c r="J167" s="631"/>
      <c r="K167" s="631"/>
      <c r="L167" s="631"/>
      <c r="M167" s="631"/>
      <c r="N167" s="666"/>
      <c r="O167" s="632"/>
      <c r="P167" s="633"/>
    </row>
    <row r="168" spans="1:16" x14ac:dyDescent="0.2">
      <c r="A168" s="734" t="s">
        <v>0</v>
      </c>
      <c r="B168" s="735" t="s">
        <v>1222</v>
      </c>
      <c r="C168" s="678" t="e">
        <f>#REF!</f>
        <v>#REF!</v>
      </c>
      <c r="D168" s="662" t="s">
        <v>799</v>
      </c>
      <c r="E168" s="663" t="s">
        <v>864</v>
      </c>
      <c r="F168" s="633"/>
      <c r="G168" s="664"/>
      <c r="H168" s="664"/>
      <c r="I168" s="664"/>
      <c r="J168" s="664"/>
      <c r="K168" s="664"/>
      <c r="L168" s="664"/>
      <c r="M168" s="664"/>
      <c r="O168" s="631"/>
    </row>
    <row r="169" spans="1:16" ht="13.5" thickBot="1" x14ac:dyDescent="0.25">
      <c r="A169" s="736"/>
      <c r="B169" s="737"/>
      <c r="C169" s="665" t="s">
        <v>1570</v>
      </c>
      <c r="E169" s="629">
        <v>86.84</v>
      </c>
      <c r="F169" s="662"/>
      <c r="G169" s="631"/>
      <c r="H169" s="631"/>
      <c r="I169" s="631"/>
      <c r="J169" s="631"/>
      <c r="K169" s="631"/>
      <c r="L169" s="631"/>
      <c r="M169" s="631"/>
      <c r="N169" s="666" t="s">
        <v>799</v>
      </c>
      <c r="O169" s="631">
        <f>E169</f>
        <v>86.84</v>
      </c>
      <c r="P169" s="630" t="s">
        <v>6</v>
      </c>
    </row>
    <row r="170" spans="1:16" ht="13.5" thickBot="1" x14ac:dyDescent="0.25">
      <c r="A170" s="736"/>
      <c r="B170" s="737"/>
      <c r="C170" s="667"/>
      <c r="F170" s="666"/>
      <c r="G170" s="631"/>
      <c r="H170" s="631"/>
      <c r="I170" s="631"/>
      <c r="J170" s="631"/>
      <c r="K170" s="631"/>
      <c r="L170" s="631"/>
      <c r="M170" s="631"/>
      <c r="N170" s="666"/>
      <c r="O170" s="668">
        <f>ROUND((SUM(O169:O169)),2)</f>
        <v>86.84</v>
      </c>
      <c r="P170" s="669" t="s">
        <v>6</v>
      </c>
    </row>
    <row r="171" spans="1:16" ht="24.75" customHeight="1" x14ac:dyDescent="0.2">
      <c r="A171" s="734" t="s">
        <v>0</v>
      </c>
      <c r="B171" s="735" t="s">
        <v>1576</v>
      </c>
      <c r="C171" s="678" t="e">
        <f>#REF!</f>
        <v>#REF!</v>
      </c>
      <c r="D171" s="662" t="s">
        <v>799</v>
      </c>
      <c r="E171" s="663" t="s">
        <v>864</v>
      </c>
      <c r="F171" s="633"/>
      <c r="G171" s="664"/>
      <c r="H171" s="664"/>
      <c r="I171" s="664"/>
      <c r="J171" s="664"/>
      <c r="K171" s="664"/>
      <c r="L171" s="664"/>
      <c r="M171" s="664"/>
      <c r="O171" s="631"/>
    </row>
    <row r="172" spans="1:16" ht="13.5" thickBot="1" x14ac:dyDescent="0.25">
      <c r="A172" s="736"/>
      <c r="B172" s="737"/>
      <c r="C172" s="665" t="s">
        <v>1569</v>
      </c>
      <c r="E172" s="629">
        <v>137.59</v>
      </c>
      <c r="F172" s="662"/>
      <c r="G172" s="631"/>
      <c r="H172" s="631"/>
      <c r="I172" s="631"/>
      <c r="J172" s="631"/>
      <c r="K172" s="631"/>
      <c r="L172" s="631"/>
      <c r="M172" s="631"/>
      <c r="N172" s="666" t="s">
        <v>799</v>
      </c>
      <c r="O172" s="631">
        <f>E172</f>
        <v>137.59</v>
      </c>
      <c r="P172" s="630" t="s">
        <v>6</v>
      </c>
    </row>
    <row r="173" spans="1:16" ht="13.5" thickBot="1" x14ac:dyDescent="0.25">
      <c r="A173" s="736"/>
      <c r="B173" s="737"/>
      <c r="C173" s="667"/>
      <c r="F173" s="666"/>
      <c r="G173" s="631"/>
      <c r="H173" s="631"/>
      <c r="I173" s="631"/>
      <c r="J173" s="631"/>
      <c r="K173" s="631"/>
      <c r="L173" s="631"/>
      <c r="M173" s="631"/>
      <c r="N173" s="666"/>
      <c r="O173" s="668">
        <f>ROUND((SUM(O172:O172)),2)</f>
        <v>137.59</v>
      </c>
      <c r="P173" s="669" t="s">
        <v>6</v>
      </c>
    </row>
    <row r="174" spans="1:16" x14ac:dyDescent="0.2">
      <c r="A174" s="736"/>
      <c r="B174" s="737"/>
      <c r="C174" s="667"/>
      <c r="F174" s="666"/>
      <c r="G174" s="631"/>
      <c r="H174" s="631"/>
      <c r="I174" s="631"/>
      <c r="J174" s="631"/>
      <c r="K174" s="631"/>
      <c r="L174" s="631"/>
      <c r="M174" s="631"/>
      <c r="N174" s="666"/>
      <c r="O174" s="632"/>
      <c r="P174" s="633"/>
    </row>
    <row r="175" spans="1:16" x14ac:dyDescent="0.2">
      <c r="A175" s="736"/>
      <c r="B175" s="737"/>
      <c r="C175" s="667"/>
      <c r="F175" s="666"/>
      <c r="G175" s="631"/>
      <c r="H175" s="631"/>
      <c r="I175" s="631"/>
      <c r="J175" s="631"/>
      <c r="K175" s="631"/>
      <c r="L175" s="631"/>
      <c r="M175" s="631"/>
      <c r="N175" s="666"/>
      <c r="O175" s="632"/>
      <c r="P175" s="633"/>
    </row>
    <row r="176" spans="1:16" ht="27.75" customHeight="1" x14ac:dyDescent="0.2">
      <c r="A176" s="734" t="s">
        <v>0</v>
      </c>
      <c r="B176" s="735" t="s">
        <v>1577</v>
      </c>
      <c r="C176" s="678" t="e">
        <f>#REF!</f>
        <v>#REF!</v>
      </c>
      <c r="D176" s="662" t="s">
        <v>799</v>
      </c>
      <c r="E176" s="663" t="s">
        <v>864</v>
      </c>
      <c r="F176" s="633"/>
      <c r="G176" s="664"/>
      <c r="H176" s="664"/>
      <c r="I176" s="664"/>
      <c r="J176" s="664"/>
      <c r="K176" s="664"/>
      <c r="L176" s="664"/>
      <c r="M176" s="664"/>
      <c r="O176" s="631"/>
    </row>
    <row r="177" spans="1:16" ht="13.5" thickBot="1" x14ac:dyDescent="0.25">
      <c r="A177" s="736"/>
      <c r="B177" s="737"/>
      <c r="C177" s="665" t="s">
        <v>1568</v>
      </c>
      <c r="E177" s="629">
        <v>911.06</v>
      </c>
      <c r="F177" s="662"/>
      <c r="G177" s="631"/>
      <c r="H177" s="631"/>
      <c r="I177" s="631"/>
      <c r="J177" s="631"/>
      <c r="K177" s="631"/>
      <c r="L177" s="631"/>
      <c r="M177" s="631"/>
      <c r="N177" s="666" t="s">
        <v>799</v>
      </c>
      <c r="O177" s="631">
        <f>E177</f>
        <v>911.06</v>
      </c>
      <c r="P177" s="630" t="s">
        <v>6</v>
      </c>
    </row>
    <row r="178" spans="1:16" ht="13.5" thickBot="1" x14ac:dyDescent="0.25">
      <c r="A178" s="736"/>
      <c r="B178" s="737"/>
      <c r="C178" s="667"/>
      <c r="F178" s="666"/>
      <c r="G178" s="631"/>
      <c r="H178" s="631"/>
      <c r="I178" s="631"/>
      <c r="J178" s="631"/>
      <c r="K178" s="631"/>
      <c r="L178" s="631"/>
      <c r="M178" s="631"/>
      <c r="N178" s="666"/>
      <c r="O178" s="668">
        <f>ROUND((SUM(O177:O177)),2)</f>
        <v>911.06</v>
      </c>
      <c r="P178" s="669" t="s">
        <v>6</v>
      </c>
    </row>
    <row r="179" spans="1:16" ht="24" customHeight="1" x14ac:dyDescent="0.2">
      <c r="A179" s="734" t="s">
        <v>0</v>
      </c>
      <c r="B179" s="735" t="s">
        <v>1709</v>
      </c>
      <c r="C179" s="678" t="e">
        <f>#REF!</f>
        <v>#REF!</v>
      </c>
      <c r="D179" s="662" t="s">
        <v>799</v>
      </c>
      <c r="E179" s="663" t="s">
        <v>864</v>
      </c>
      <c r="F179" s="633"/>
      <c r="G179" s="664"/>
      <c r="H179" s="664"/>
      <c r="I179" s="664"/>
      <c r="J179" s="664"/>
      <c r="K179" s="664"/>
      <c r="L179" s="664"/>
      <c r="M179" s="664"/>
      <c r="O179" s="631"/>
    </row>
    <row r="180" spans="1:16" ht="13.5" thickBot="1" x14ac:dyDescent="0.25">
      <c r="A180" s="736"/>
      <c r="B180" s="737"/>
      <c r="C180" s="665" t="s">
        <v>1567</v>
      </c>
      <c r="E180" s="629">
        <v>4085.2</v>
      </c>
      <c r="F180" s="662"/>
      <c r="G180" s="631"/>
      <c r="H180" s="631"/>
      <c r="I180" s="631"/>
      <c r="J180" s="631"/>
      <c r="K180" s="631"/>
      <c r="L180" s="631"/>
      <c r="M180" s="631"/>
      <c r="N180" s="666" t="s">
        <v>799</v>
      </c>
      <c r="O180" s="631">
        <f>E180</f>
        <v>4085.2</v>
      </c>
      <c r="P180" s="630" t="s">
        <v>6</v>
      </c>
    </row>
    <row r="181" spans="1:16" ht="13.5" thickBot="1" x14ac:dyDescent="0.25">
      <c r="A181" s="736"/>
      <c r="B181" s="737"/>
      <c r="C181" s="667"/>
      <c r="F181" s="666"/>
      <c r="G181" s="631"/>
      <c r="H181" s="631"/>
      <c r="I181" s="631"/>
      <c r="J181" s="631"/>
      <c r="K181" s="631"/>
      <c r="L181" s="631"/>
      <c r="M181" s="631"/>
      <c r="N181" s="666"/>
      <c r="O181" s="668">
        <f>ROUND((SUM(O180:O180)),2)</f>
        <v>4085.2</v>
      </c>
      <c r="P181" s="669" t="s">
        <v>6</v>
      </c>
    </row>
    <row r="182" spans="1:16" ht="29.25" customHeight="1" x14ac:dyDescent="0.2">
      <c r="A182" s="734" t="s">
        <v>0</v>
      </c>
      <c r="B182" s="735" t="s">
        <v>1710</v>
      </c>
      <c r="C182" s="678" t="e">
        <f>#REF!</f>
        <v>#REF!</v>
      </c>
      <c r="D182" s="662" t="s">
        <v>799</v>
      </c>
      <c r="E182" s="663" t="s">
        <v>864</v>
      </c>
      <c r="F182" s="633"/>
      <c r="G182" s="664"/>
      <c r="H182" s="664"/>
      <c r="I182" s="664"/>
      <c r="J182" s="664"/>
      <c r="K182" s="664"/>
      <c r="L182" s="664"/>
      <c r="M182" s="664"/>
      <c r="O182" s="631"/>
    </row>
    <row r="183" spans="1:16" ht="13.5" thickBot="1" x14ac:dyDescent="0.25">
      <c r="A183" s="736"/>
      <c r="B183" s="737"/>
      <c r="C183" s="665" t="s">
        <v>1571</v>
      </c>
      <c r="E183" s="629">
        <v>6954.07</v>
      </c>
      <c r="F183" s="662"/>
      <c r="G183" s="631"/>
      <c r="H183" s="631"/>
      <c r="I183" s="631"/>
      <c r="J183" s="631"/>
      <c r="K183" s="631"/>
      <c r="L183" s="631"/>
      <c r="M183" s="631"/>
      <c r="N183" s="666" t="s">
        <v>799</v>
      </c>
      <c r="O183" s="631">
        <f>E183</f>
        <v>6954.07</v>
      </c>
      <c r="P183" s="630" t="s">
        <v>6</v>
      </c>
    </row>
    <row r="184" spans="1:16" ht="13.5" thickBot="1" x14ac:dyDescent="0.25">
      <c r="A184" s="736"/>
      <c r="B184" s="737"/>
      <c r="C184" s="667"/>
      <c r="F184" s="666"/>
      <c r="G184" s="631"/>
      <c r="H184" s="631"/>
      <c r="I184" s="631"/>
      <c r="J184" s="631"/>
      <c r="K184" s="631"/>
      <c r="L184" s="631"/>
      <c r="M184" s="631"/>
      <c r="N184" s="666"/>
      <c r="O184" s="668">
        <f>ROUND((SUM(O183:O183)),2)</f>
        <v>6954.07</v>
      </c>
      <c r="P184" s="669" t="s">
        <v>6</v>
      </c>
    </row>
    <row r="185" spans="1:16" x14ac:dyDescent="0.2">
      <c r="A185" s="736"/>
      <c r="B185" s="737"/>
      <c r="C185" s="667"/>
      <c r="F185" s="666"/>
      <c r="G185" s="631"/>
      <c r="H185" s="631"/>
      <c r="I185" s="631"/>
      <c r="J185" s="631"/>
      <c r="K185" s="631"/>
      <c r="L185" s="631"/>
      <c r="M185" s="631"/>
      <c r="N185" s="666"/>
      <c r="O185" s="632"/>
      <c r="P185" s="633"/>
    </row>
    <row r="186" spans="1:16" x14ac:dyDescent="0.2">
      <c r="A186" s="736"/>
      <c r="B186" s="737"/>
      <c r="C186" s="667"/>
      <c r="F186" s="666"/>
      <c r="G186" s="631"/>
      <c r="H186" s="631"/>
      <c r="I186" s="631"/>
      <c r="J186" s="631"/>
      <c r="K186" s="631"/>
      <c r="L186" s="631"/>
      <c r="M186" s="631"/>
      <c r="N186" s="666"/>
      <c r="O186" s="632"/>
      <c r="P186" s="633"/>
    </row>
    <row r="187" spans="1:16" ht="15.75" x14ac:dyDescent="0.2">
      <c r="A187" s="1904" t="s">
        <v>1223</v>
      </c>
      <c r="B187" s="1914"/>
      <c r="C187" s="1914"/>
      <c r="D187" s="1914"/>
      <c r="E187" s="1914"/>
      <c r="F187" s="1914"/>
      <c r="G187" s="1914"/>
      <c r="H187" s="1914"/>
      <c r="I187" s="1914"/>
      <c r="J187" s="1914"/>
      <c r="K187" s="1914"/>
      <c r="L187" s="1914"/>
      <c r="M187" s="1914"/>
      <c r="N187" s="1914"/>
      <c r="O187" s="1914"/>
      <c r="P187" s="1914"/>
    </row>
    <row r="188" spans="1:16" x14ac:dyDescent="0.2">
      <c r="B188" s="660"/>
      <c r="C188" s="660"/>
      <c r="G188" s="670"/>
      <c r="H188" s="670"/>
      <c r="I188" s="670"/>
      <c r="J188" s="670"/>
      <c r="K188" s="670"/>
      <c r="L188" s="670"/>
      <c r="M188" s="670"/>
      <c r="O188" s="670"/>
    </row>
    <row r="189" spans="1:16" ht="15.75" x14ac:dyDescent="0.2">
      <c r="A189" s="736"/>
      <c r="B189" s="931" t="s">
        <v>1224</v>
      </c>
      <c r="C189" s="932" t="s">
        <v>1578</v>
      </c>
      <c r="D189" s="799"/>
      <c r="E189" s="800"/>
      <c r="F189" s="801"/>
      <c r="G189" s="802"/>
      <c r="H189" s="658"/>
      <c r="I189" s="658"/>
      <c r="J189" s="658"/>
      <c r="K189" s="658"/>
      <c r="L189" s="658"/>
      <c r="M189" s="658"/>
      <c r="N189" s="657"/>
      <c r="O189" s="658"/>
      <c r="P189" s="659"/>
    </row>
    <row r="190" spans="1:16" ht="15.75" x14ac:dyDescent="0.25">
      <c r="A190" s="736"/>
      <c r="B190" s="749"/>
      <c r="C190" s="912" t="s">
        <v>1159</v>
      </c>
      <c r="D190" s="656"/>
      <c r="E190" s="629"/>
      <c r="F190" s="657"/>
      <c r="G190" s="658"/>
      <c r="H190" s="658"/>
      <c r="I190" s="658"/>
      <c r="J190" s="658"/>
      <c r="K190" s="658"/>
      <c r="L190" s="658"/>
      <c r="M190" s="658"/>
      <c r="N190" s="657"/>
      <c r="O190" s="658"/>
      <c r="P190" s="659"/>
    </row>
    <row r="191" spans="1:16" x14ac:dyDescent="0.2">
      <c r="A191" s="736"/>
      <c r="B191" s="737"/>
      <c r="C191" s="737"/>
      <c r="G191" s="670"/>
      <c r="H191" s="670"/>
      <c r="I191" s="670"/>
      <c r="J191" s="670"/>
      <c r="K191" s="670"/>
      <c r="L191" s="670"/>
      <c r="M191" s="670"/>
      <c r="O191" s="670"/>
    </row>
    <row r="192" spans="1:16" x14ac:dyDescent="0.2">
      <c r="A192" s="736"/>
      <c r="B192" s="737"/>
      <c r="C192" s="737"/>
      <c r="G192" s="670"/>
      <c r="H192" s="670"/>
      <c r="I192" s="670"/>
      <c r="J192" s="670"/>
      <c r="K192" s="670"/>
      <c r="L192" s="670"/>
      <c r="M192" s="670"/>
      <c r="O192" s="670"/>
    </row>
    <row r="193" spans="1:16" ht="50.25" customHeight="1" x14ac:dyDescent="0.2">
      <c r="A193" s="734" t="s">
        <v>0</v>
      </c>
      <c r="B193" s="735" t="s">
        <v>1225</v>
      </c>
      <c r="C193" s="678" t="e">
        <f>#REF!</f>
        <v>#REF!</v>
      </c>
      <c r="D193" s="662" t="s">
        <v>799</v>
      </c>
      <c r="E193" s="663" t="s">
        <v>864</v>
      </c>
      <c r="F193" s="633"/>
      <c r="G193" s="664" t="s">
        <v>865</v>
      </c>
      <c r="H193" s="664"/>
      <c r="I193" s="664" t="s">
        <v>628</v>
      </c>
      <c r="J193" s="664"/>
      <c r="K193" s="664"/>
      <c r="L193" s="664"/>
      <c r="M193" s="664"/>
      <c r="O193" s="631"/>
    </row>
    <row r="194" spans="1:16" x14ac:dyDescent="0.2">
      <c r="A194" s="736"/>
      <c r="B194" s="737"/>
      <c r="C194" s="665" t="s">
        <v>1080</v>
      </c>
      <c r="E194" s="661">
        <v>1.3</v>
      </c>
      <c r="F194" s="662" t="s">
        <v>866</v>
      </c>
      <c r="G194" s="631">
        <v>2.5</v>
      </c>
      <c r="H194" s="662" t="s">
        <v>866</v>
      </c>
      <c r="I194" s="631">
        <v>1</v>
      </c>
      <c r="J194" s="631"/>
      <c r="K194" s="631"/>
      <c r="L194" s="631"/>
      <c r="M194" s="631"/>
      <c r="N194" s="666" t="s">
        <v>799</v>
      </c>
      <c r="O194" s="631">
        <f>E194*G194*I194</f>
        <v>3.25</v>
      </c>
      <c r="P194" s="630" t="s">
        <v>4</v>
      </c>
    </row>
    <row r="195" spans="1:16" x14ac:dyDescent="0.2">
      <c r="A195" s="736"/>
      <c r="B195" s="737"/>
      <c r="C195" s="665" t="s">
        <v>894</v>
      </c>
      <c r="E195" s="661">
        <v>11</v>
      </c>
      <c r="F195" s="662" t="s">
        <v>866</v>
      </c>
      <c r="G195" s="631">
        <v>3.2</v>
      </c>
      <c r="H195" s="662" t="s">
        <v>866</v>
      </c>
      <c r="I195" s="631">
        <v>1</v>
      </c>
      <c r="J195" s="631"/>
      <c r="K195" s="631"/>
      <c r="L195" s="631"/>
      <c r="M195" s="631"/>
      <c r="N195" s="666" t="s">
        <v>799</v>
      </c>
      <c r="O195" s="631">
        <f t="shared" ref="O195:O197" si="9">E195*G195*I195</f>
        <v>35.200000000000003</v>
      </c>
      <c r="P195" s="630" t="s">
        <v>4</v>
      </c>
    </row>
    <row r="196" spans="1:16" x14ac:dyDescent="0.2">
      <c r="A196" s="736"/>
      <c r="B196" s="737"/>
      <c r="C196" s="665" t="s">
        <v>1081</v>
      </c>
      <c r="E196" s="661">
        <v>0.8</v>
      </c>
      <c r="F196" s="662" t="s">
        <v>866</v>
      </c>
      <c r="G196" s="631">
        <v>3.2</v>
      </c>
      <c r="H196" s="662" t="s">
        <v>866</v>
      </c>
      <c r="I196" s="631">
        <v>1</v>
      </c>
      <c r="J196" s="631"/>
      <c r="K196" s="631"/>
      <c r="L196" s="631"/>
      <c r="M196" s="631"/>
      <c r="N196" s="666" t="s">
        <v>799</v>
      </c>
      <c r="O196" s="631">
        <f t="shared" si="9"/>
        <v>2.5600000000000005</v>
      </c>
      <c r="P196" s="630" t="s">
        <v>4</v>
      </c>
    </row>
    <row r="197" spans="1:16" ht="13.5" thickBot="1" x14ac:dyDescent="0.25">
      <c r="A197" s="736"/>
      <c r="B197" s="737"/>
      <c r="C197" s="665" t="s">
        <v>1082</v>
      </c>
      <c r="E197" s="661">
        <v>2.1</v>
      </c>
      <c r="F197" s="662" t="s">
        <v>866</v>
      </c>
      <c r="G197" s="631">
        <v>1.8</v>
      </c>
      <c r="H197" s="662" t="s">
        <v>866</v>
      </c>
      <c r="I197" s="631">
        <v>1</v>
      </c>
      <c r="J197" s="631"/>
      <c r="K197" s="631"/>
      <c r="L197" s="631"/>
      <c r="M197" s="631"/>
      <c r="N197" s="666" t="s">
        <v>799</v>
      </c>
      <c r="O197" s="631">
        <f t="shared" si="9"/>
        <v>3.7800000000000002</v>
      </c>
      <c r="P197" s="630" t="s">
        <v>4</v>
      </c>
    </row>
    <row r="198" spans="1:16" ht="13.5" thickBot="1" x14ac:dyDescent="0.25">
      <c r="A198" s="736"/>
      <c r="B198" s="737"/>
      <c r="C198" s="667"/>
      <c r="F198" s="666"/>
      <c r="G198" s="631"/>
      <c r="H198" s="631"/>
      <c r="I198" s="631"/>
      <c r="J198" s="631"/>
      <c r="K198" s="631"/>
      <c r="L198" s="631"/>
      <c r="M198" s="631"/>
      <c r="N198" s="666"/>
      <c r="O198" s="668">
        <f>ROUND((SUM(O194:O197)),2)</f>
        <v>44.79</v>
      </c>
      <c r="P198" s="669" t="s">
        <v>4</v>
      </c>
    </row>
    <row r="199" spans="1:16" ht="45.75" customHeight="1" x14ac:dyDescent="0.2">
      <c r="A199" s="734" t="s">
        <v>0</v>
      </c>
      <c r="B199" s="735" t="s">
        <v>1226</v>
      </c>
      <c r="C199" s="678" t="e">
        <f>#REF!</f>
        <v>#REF!</v>
      </c>
      <c r="D199" s="662" t="s">
        <v>799</v>
      </c>
      <c r="E199" s="663" t="s">
        <v>864</v>
      </c>
      <c r="F199" s="633"/>
      <c r="G199" s="664" t="s">
        <v>865</v>
      </c>
      <c r="H199" s="664"/>
      <c r="I199" s="664" t="s">
        <v>883</v>
      </c>
      <c r="J199" s="664"/>
      <c r="K199" s="664"/>
      <c r="L199" s="664"/>
      <c r="M199" s="664"/>
      <c r="O199" s="631"/>
    </row>
    <row r="200" spans="1:16" ht="13.5" thickBot="1" x14ac:dyDescent="0.25">
      <c r="A200" s="736"/>
      <c r="B200" s="737"/>
      <c r="C200" s="665" t="s">
        <v>894</v>
      </c>
      <c r="E200" s="661">
        <v>17.100000000000001</v>
      </c>
      <c r="F200" s="662" t="s">
        <v>866</v>
      </c>
      <c r="G200" s="631">
        <v>7.2</v>
      </c>
      <c r="H200" s="631" t="s">
        <v>866</v>
      </c>
      <c r="I200" s="631">
        <v>2.65</v>
      </c>
      <c r="J200" s="631"/>
      <c r="K200" s="631"/>
      <c r="L200" s="631"/>
      <c r="M200" s="631"/>
      <c r="N200" s="666" t="s">
        <v>799</v>
      </c>
      <c r="O200" s="631">
        <f>E200*G200*I200</f>
        <v>326.26800000000003</v>
      </c>
      <c r="P200" s="630" t="s">
        <v>12</v>
      </c>
    </row>
    <row r="201" spans="1:16" ht="13.5" thickBot="1" x14ac:dyDescent="0.25">
      <c r="A201" s="736"/>
      <c r="B201" s="737"/>
      <c r="C201" s="667"/>
      <c r="F201" s="666"/>
      <c r="G201" s="631"/>
      <c r="H201" s="631"/>
      <c r="I201" s="631"/>
      <c r="J201" s="631"/>
      <c r="K201" s="631"/>
      <c r="L201" s="631"/>
      <c r="M201" s="631"/>
      <c r="N201" s="666"/>
      <c r="O201" s="668">
        <f>ROUND((SUM(O200:O200)),2)</f>
        <v>326.27</v>
      </c>
      <c r="P201" s="669" t="s">
        <v>12</v>
      </c>
    </row>
    <row r="202" spans="1:16" ht="83.25" customHeight="1" x14ac:dyDescent="0.2">
      <c r="A202" s="734" t="s">
        <v>0</v>
      </c>
      <c r="B202" s="735" t="s">
        <v>1227</v>
      </c>
      <c r="C202" s="678" t="e">
        <f>#REF!</f>
        <v>#REF!</v>
      </c>
      <c r="D202" s="662" t="s">
        <v>799</v>
      </c>
      <c r="E202" s="663" t="s">
        <v>864</v>
      </c>
      <c r="F202" s="633"/>
      <c r="G202" s="664" t="s">
        <v>865</v>
      </c>
      <c r="H202" s="664"/>
      <c r="I202" s="664" t="s">
        <v>883</v>
      </c>
      <c r="J202" s="664"/>
      <c r="K202" s="664" t="s">
        <v>977</v>
      </c>
      <c r="L202" s="664"/>
      <c r="M202" s="664"/>
      <c r="O202" s="631"/>
    </row>
    <row r="203" spans="1:16" ht="13.5" thickBot="1" x14ac:dyDescent="0.25">
      <c r="A203" s="736"/>
      <c r="B203" s="737"/>
      <c r="C203" s="665" t="s">
        <v>894</v>
      </c>
      <c r="E203" s="661">
        <v>17.100000000000001</v>
      </c>
      <c r="F203" s="662" t="s">
        <v>866</v>
      </c>
      <c r="G203" s="631">
        <v>7.2</v>
      </c>
      <c r="H203" s="631" t="s">
        <v>866</v>
      </c>
      <c r="I203" s="631">
        <v>2.65</v>
      </c>
      <c r="J203" s="631"/>
      <c r="K203" s="631">
        <v>5</v>
      </c>
      <c r="L203" s="631"/>
      <c r="M203" s="631"/>
      <c r="N203" s="666" t="s">
        <v>799</v>
      </c>
      <c r="O203" s="631">
        <f>E203*G203*I203*K203</f>
        <v>1631.3400000000001</v>
      </c>
      <c r="P203" s="657" t="s">
        <v>976</v>
      </c>
    </row>
    <row r="204" spans="1:16" ht="13.5" thickBot="1" x14ac:dyDescent="0.25">
      <c r="A204" s="736"/>
      <c r="B204" s="737"/>
      <c r="C204" s="667"/>
      <c r="F204" s="666"/>
      <c r="G204" s="631"/>
      <c r="H204" s="631"/>
      <c r="I204" s="631"/>
      <c r="J204" s="631"/>
      <c r="K204" s="631"/>
      <c r="L204" s="631"/>
      <c r="M204" s="631"/>
      <c r="N204" s="666"/>
      <c r="O204" s="668">
        <f>ROUND((SUM(O203:O203)),2)</f>
        <v>1631.34</v>
      </c>
      <c r="P204" s="669" t="s">
        <v>976</v>
      </c>
    </row>
    <row r="205" spans="1:16" ht="58.5" customHeight="1" x14ac:dyDescent="0.2">
      <c r="A205" s="734" t="s">
        <v>0</v>
      </c>
      <c r="B205" s="735" t="s">
        <v>1228</v>
      </c>
      <c r="C205" s="678" t="e">
        <f>#REF!</f>
        <v>#REF!</v>
      </c>
      <c r="D205" s="662" t="s">
        <v>799</v>
      </c>
      <c r="E205" s="663" t="s">
        <v>864</v>
      </c>
      <c r="F205" s="633"/>
      <c r="G205" s="664" t="s">
        <v>865</v>
      </c>
      <c r="H205" s="664"/>
      <c r="I205" s="664" t="s">
        <v>883</v>
      </c>
      <c r="J205" s="664"/>
      <c r="K205" s="664"/>
      <c r="L205" s="664"/>
      <c r="M205" s="664"/>
      <c r="O205" s="631"/>
    </row>
    <row r="206" spans="1:16" ht="13.5" thickBot="1" x14ac:dyDescent="0.25">
      <c r="A206" s="736"/>
      <c r="B206" s="737"/>
      <c r="C206" s="665" t="s">
        <v>894</v>
      </c>
      <c r="E206" s="661">
        <f>17.1+17.1+3.2+3.2</f>
        <v>40.600000000000009</v>
      </c>
      <c r="F206" s="662" t="s">
        <v>866</v>
      </c>
      <c r="G206" s="631">
        <v>2</v>
      </c>
      <c r="H206" s="631" t="s">
        <v>866</v>
      </c>
      <c r="I206" s="631">
        <v>2.6</v>
      </c>
      <c r="J206" s="631"/>
      <c r="K206" s="631"/>
      <c r="L206" s="631"/>
      <c r="M206" s="631"/>
      <c r="N206" s="666" t="s">
        <v>799</v>
      </c>
      <c r="O206" s="631">
        <f>E206*G206*I206</f>
        <v>211.12000000000006</v>
      </c>
      <c r="P206" s="630" t="s">
        <v>12</v>
      </c>
    </row>
    <row r="207" spans="1:16" ht="13.5" thickBot="1" x14ac:dyDescent="0.25">
      <c r="A207" s="736"/>
      <c r="B207" s="737"/>
      <c r="C207" s="667"/>
      <c r="F207" s="666"/>
      <c r="G207" s="631"/>
      <c r="H207" s="631"/>
      <c r="I207" s="631"/>
      <c r="J207" s="631"/>
      <c r="K207" s="631"/>
      <c r="L207" s="631"/>
      <c r="M207" s="631"/>
      <c r="N207" s="666"/>
      <c r="O207" s="668">
        <f>ROUND((SUM(O206:O206)),2)</f>
        <v>211.12</v>
      </c>
      <c r="P207" s="669" t="s">
        <v>12</v>
      </c>
    </row>
    <row r="208" spans="1:16" ht="51" customHeight="1" x14ac:dyDescent="0.2">
      <c r="A208" s="734" t="s">
        <v>0</v>
      </c>
      <c r="B208" s="735" t="s">
        <v>1229</v>
      </c>
      <c r="C208" s="678" t="e">
        <f>#REF!</f>
        <v>#REF!</v>
      </c>
      <c r="D208" s="662" t="s">
        <v>799</v>
      </c>
      <c r="E208" s="663" t="s">
        <v>864</v>
      </c>
      <c r="F208" s="633"/>
      <c r="G208" s="664" t="s">
        <v>865</v>
      </c>
      <c r="H208" s="664"/>
      <c r="I208" s="664" t="s">
        <v>883</v>
      </c>
      <c r="J208" s="664"/>
      <c r="K208" s="664" t="s">
        <v>628</v>
      </c>
      <c r="L208" s="664"/>
      <c r="M208" s="664"/>
      <c r="O208" s="631"/>
    </row>
    <row r="209" spans="1:16" ht="15.75" customHeight="1" x14ac:dyDescent="0.2">
      <c r="A209" s="736"/>
      <c r="B209" s="737"/>
      <c r="C209" s="665" t="s">
        <v>1080</v>
      </c>
      <c r="E209" s="661">
        <v>1.3</v>
      </c>
      <c r="F209" s="662" t="s">
        <v>866</v>
      </c>
      <c r="G209" s="631">
        <v>2.5</v>
      </c>
      <c r="H209" s="631" t="s">
        <v>866</v>
      </c>
      <c r="I209" s="631">
        <v>0.05</v>
      </c>
      <c r="J209" s="631" t="s">
        <v>866</v>
      </c>
      <c r="K209" s="631">
        <v>1</v>
      </c>
      <c r="L209" s="631"/>
      <c r="M209" s="631"/>
      <c r="N209" s="666" t="s">
        <v>799</v>
      </c>
      <c r="O209" s="631">
        <f>E209*G209*I209*K209</f>
        <v>0.16250000000000001</v>
      </c>
      <c r="P209" s="630" t="s">
        <v>12</v>
      </c>
    </row>
    <row r="210" spans="1:16" ht="15.75" customHeight="1" x14ac:dyDescent="0.2">
      <c r="A210" s="736"/>
      <c r="B210" s="737"/>
      <c r="C210" s="665" t="s">
        <v>894</v>
      </c>
      <c r="E210" s="661">
        <v>11</v>
      </c>
      <c r="F210" s="662" t="s">
        <v>866</v>
      </c>
      <c r="G210" s="631">
        <v>3.2</v>
      </c>
      <c r="H210" s="631" t="s">
        <v>866</v>
      </c>
      <c r="I210" s="631">
        <v>0.05</v>
      </c>
      <c r="J210" s="631" t="s">
        <v>866</v>
      </c>
      <c r="K210" s="631">
        <v>1</v>
      </c>
      <c r="L210" s="631"/>
      <c r="M210" s="631"/>
      <c r="N210" s="666" t="s">
        <v>799</v>
      </c>
      <c r="O210" s="631">
        <f>E210*G210*I210*K210</f>
        <v>1.7600000000000002</v>
      </c>
      <c r="P210" s="630" t="s">
        <v>12</v>
      </c>
    </row>
    <row r="211" spans="1:16" ht="15.75" customHeight="1" x14ac:dyDescent="0.2">
      <c r="A211" s="736"/>
      <c r="B211" s="737"/>
      <c r="C211" s="665" t="s">
        <v>1081</v>
      </c>
      <c r="E211" s="661">
        <v>0.8</v>
      </c>
      <c r="F211" s="662" t="s">
        <v>866</v>
      </c>
      <c r="G211" s="631">
        <v>3.2</v>
      </c>
      <c r="H211" s="631" t="s">
        <v>866</v>
      </c>
      <c r="I211" s="631">
        <v>0.05</v>
      </c>
      <c r="J211" s="631" t="s">
        <v>866</v>
      </c>
      <c r="K211" s="631">
        <v>1</v>
      </c>
      <c r="L211" s="631"/>
      <c r="M211" s="631"/>
      <c r="N211" s="666" t="s">
        <v>799</v>
      </c>
      <c r="O211" s="631">
        <f>E211*G211*I211*K211</f>
        <v>0.12800000000000003</v>
      </c>
      <c r="P211" s="630" t="s">
        <v>12</v>
      </c>
    </row>
    <row r="212" spans="1:16" ht="15.75" customHeight="1" thickBot="1" x14ac:dyDescent="0.25">
      <c r="A212" s="736"/>
      <c r="B212" s="737"/>
      <c r="C212" s="665" t="s">
        <v>1082</v>
      </c>
      <c r="E212" s="661">
        <v>2.1</v>
      </c>
      <c r="F212" s="662" t="s">
        <v>866</v>
      </c>
      <c r="G212" s="631">
        <v>1.8</v>
      </c>
      <c r="H212" s="631" t="s">
        <v>866</v>
      </c>
      <c r="I212" s="631">
        <v>0.05</v>
      </c>
      <c r="J212" s="631" t="s">
        <v>866</v>
      </c>
      <c r="K212" s="631">
        <v>1</v>
      </c>
      <c r="L212" s="631"/>
      <c r="M212" s="631"/>
      <c r="N212" s="666" t="s">
        <v>799</v>
      </c>
      <c r="O212" s="631">
        <f>E212*G212*I212*K212</f>
        <v>0.18900000000000003</v>
      </c>
      <c r="P212" s="630" t="s">
        <v>12</v>
      </c>
    </row>
    <row r="213" spans="1:16" ht="15.75" customHeight="1" thickBot="1" x14ac:dyDescent="0.25">
      <c r="A213" s="736"/>
      <c r="B213" s="737"/>
      <c r="C213" s="667"/>
      <c r="F213" s="666"/>
      <c r="G213" s="631"/>
      <c r="H213" s="631"/>
      <c r="I213" s="631"/>
      <c r="J213" s="631"/>
      <c r="K213" s="631"/>
      <c r="L213" s="631"/>
      <c r="M213" s="631"/>
      <c r="N213" s="666"/>
      <c r="O213" s="668">
        <f>ROUND((SUM(O209:O212)),2)</f>
        <v>2.2400000000000002</v>
      </c>
      <c r="P213" s="669" t="s">
        <v>12</v>
      </c>
    </row>
    <row r="214" spans="1:16" ht="48" customHeight="1" x14ac:dyDescent="0.2">
      <c r="A214" s="734" t="s">
        <v>0</v>
      </c>
      <c r="B214" s="735" t="s">
        <v>1230</v>
      </c>
      <c r="C214" s="678" t="e">
        <f>#REF!</f>
        <v>#REF!</v>
      </c>
      <c r="D214" s="662" t="s">
        <v>799</v>
      </c>
      <c r="E214" s="663" t="s">
        <v>864</v>
      </c>
      <c r="F214" s="633"/>
      <c r="G214" s="664" t="s">
        <v>865</v>
      </c>
      <c r="H214" s="664"/>
      <c r="I214" s="664" t="s">
        <v>883</v>
      </c>
      <c r="J214" s="664"/>
      <c r="K214" s="664" t="s">
        <v>628</v>
      </c>
      <c r="L214" s="664"/>
      <c r="M214" s="664"/>
      <c r="O214" s="631"/>
    </row>
    <row r="215" spans="1:16" ht="15" customHeight="1" x14ac:dyDescent="0.2">
      <c r="A215" s="734"/>
      <c r="B215" s="735"/>
      <c r="C215" s="921" t="s">
        <v>1080</v>
      </c>
      <c r="D215" s="662"/>
      <c r="E215" s="663"/>
      <c r="F215" s="633"/>
      <c r="G215" s="664"/>
      <c r="H215" s="664"/>
      <c r="I215" s="664"/>
      <c r="J215" s="664"/>
      <c r="K215" s="664"/>
      <c r="L215" s="664"/>
      <c r="M215" s="664"/>
      <c r="O215" s="631"/>
    </row>
    <row r="216" spans="1:16" x14ac:dyDescent="0.2">
      <c r="A216" s="736"/>
      <c r="B216" s="737"/>
      <c r="C216" s="665" t="s">
        <v>887</v>
      </c>
      <c r="E216" s="629">
        <v>0.83</v>
      </c>
      <c r="F216" s="662" t="s">
        <v>866</v>
      </c>
      <c r="G216" s="631">
        <v>0.3</v>
      </c>
      <c r="H216" s="631" t="s">
        <v>866</v>
      </c>
      <c r="I216" s="631">
        <v>1.9</v>
      </c>
      <c r="J216" s="658" t="s">
        <v>866</v>
      </c>
      <c r="K216" s="631">
        <v>1</v>
      </c>
      <c r="L216" s="631"/>
      <c r="M216" s="631"/>
      <c r="N216" s="666" t="s">
        <v>799</v>
      </c>
      <c r="O216" s="631">
        <f>E216*G216*I216*K216</f>
        <v>0.47309999999999991</v>
      </c>
      <c r="P216" s="630" t="s">
        <v>12</v>
      </c>
    </row>
    <row r="217" spans="1:16" x14ac:dyDescent="0.2">
      <c r="A217" s="736"/>
      <c r="B217" s="737"/>
      <c r="C217" s="665" t="s">
        <v>886</v>
      </c>
      <c r="E217" s="661">
        <v>0.83</v>
      </c>
      <c r="F217" s="662" t="s">
        <v>866</v>
      </c>
      <c r="G217" s="631">
        <v>0.3</v>
      </c>
      <c r="H217" s="631" t="s">
        <v>866</v>
      </c>
      <c r="I217" s="631">
        <v>1.3</v>
      </c>
      <c r="J217" s="658" t="s">
        <v>866</v>
      </c>
      <c r="K217" s="631">
        <v>2</v>
      </c>
      <c r="L217" s="631"/>
      <c r="M217" s="631"/>
      <c r="N217" s="666" t="s">
        <v>799</v>
      </c>
      <c r="O217" s="631">
        <f t="shared" ref="O217:O233" si="10">E217*G217*I217*K217</f>
        <v>0.64739999999999998</v>
      </c>
      <c r="P217" s="630" t="s">
        <v>12</v>
      </c>
    </row>
    <row r="218" spans="1:16" x14ac:dyDescent="0.2">
      <c r="A218" s="736"/>
      <c r="B218" s="737"/>
      <c r="C218" s="665"/>
      <c r="E218" s="661">
        <v>1</v>
      </c>
      <c r="F218" s="662" t="s">
        <v>866</v>
      </c>
      <c r="G218" s="631">
        <v>0.1</v>
      </c>
      <c r="H218" s="631" t="s">
        <v>866</v>
      </c>
      <c r="I218" s="631">
        <v>0.45</v>
      </c>
      <c r="J218" s="658" t="s">
        <v>866</v>
      </c>
      <c r="K218" s="631">
        <v>1</v>
      </c>
      <c r="L218" s="631"/>
      <c r="M218" s="631"/>
      <c r="N218" s="666" t="s">
        <v>799</v>
      </c>
      <c r="O218" s="631">
        <f t="shared" si="10"/>
        <v>4.5000000000000005E-2</v>
      </c>
      <c r="P218" s="630" t="s">
        <v>12</v>
      </c>
    </row>
    <row r="219" spans="1:16" x14ac:dyDescent="0.2">
      <c r="A219" s="736"/>
      <c r="B219" s="737"/>
      <c r="C219" s="665" t="s">
        <v>885</v>
      </c>
      <c r="E219" s="661">
        <v>1.3</v>
      </c>
      <c r="F219" s="662" t="s">
        <v>866</v>
      </c>
      <c r="G219" s="631">
        <v>0.3</v>
      </c>
      <c r="H219" s="631" t="s">
        <v>866</v>
      </c>
      <c r="I219" s="631">
        <v>2.5</v>
      </c>
      <c r="J219" s="658" t="s">
        <v>866</v>
      </c>
      <c r="K219" s="631">
        <v>1</v>
      </c>
      <c r="L219" s="631"/>
      <c r="M219" s="631"/>
      <c r="N219" s="666" t="s">
        <v>799</v>
      </c>
      <c r="O219" s="631">
        <f t="shared" si="10"/>
        <v>0.97500000000000009</v>
      </c>
      <c r="P219" s="630" t="s">
        <v>12</v>
      </c>
    </row>
    <row r="220" spans="1:16" x14ac:dyDescent="0.2">
      <c r="A220" s="736"/>
      <c r="B220" s="737"/>
      <c r="C220" s="921" t="s">
        <v>894</v>
      </c>
      <c r="F220" s="662"/>
      <c r="G220" s="631"/>
      <c r="H220" s="631"/>
      <c r="I220" s="631"/>
      <c r="J220" s="658"/>
      <c r="K220" s="631"/>
      <c r="L220" s="631"/>
      <c r="M220" s="631"/>
      <c r="N220" s="666"/>
      <c r="O220" s="631"/>
      <c r="P220" s="630"/>
    </row>
    <row r="221" spans="1:16" x14ac:dyDescent="0.2">
      <c r="A221" s="736"/>
      <c r="B221" s="737"/>
      <c r="C221" s="665" t="s">
        <v>1552</v>
      </c>
      <c r="E221" s="661">
        <v>2.83</v>
      </c>
      <c r="F221" s="662" t="s">
        <v>866</v>
      </c>
      <c r="G221" s="631">
        <v>0.3</v>
      </c>
      <c r="H221" s="631" t="s">
        <v>866</v>
      </c>
      <c r="I221" s="631">
        <v>2.6</v>
      </c>
      <c r="J221" s="658" t="s">
        <v>866</v>
      </c>
      <c r="K221" s="631">
        <v>1</v>
      </c>
      <c r="L221" s="631"/>
      <c r="M221" s="631"/>
      <c r="N221" s="666" t="s">
        <v>799</v>
      </c>
      <c r="O221" s="631">
        <f t="shared" si="10"/>
        <v>2.2073999999999998</v>
      </c>
      <c r="P221" s="630" t="s">
        <v>12</v>
      </c>
    </row>
    <row r="222" spans="1:16" x14ac:dyDescent="0.2">
      <c r="A222" s="736"/>
      <c r="B222" s="737"/>
      <c r="C222" s="665"/>
      <c r="E222" s="661">
        <v>2.46</v>
      </c>
      <c r="F222" s="662" t="s">
        <v>866</v>
      </c>
      <c r="G222" s="631">
        <v>0.3</v>
      </c>
      <c r="H222" s="631" t="s">
        <v>866</v>
      </c>
      <c r="I222" s="631">
        <v>2.6</v>
      </c>
      <c r="J222" s="658" t="s">
        <v>866</v>
      </c>
      <c r="K222" s="631">
        <v>1</v>
      </c>
      <c r="L222" s="631"/>
      <c r="M222" s="631"/>
      <c r="N222" s="666" t="s">
        <v>799</v>
      </c>
      <c r="O222" s="631">
        <f t="shared" si="10"/>
        <v>1.9188000000000001</v>
      </c>
      <c r="P222" s="630" t="s">
        <v>12</v>
      </c>
    </row>
    <row r="223" spans="1:16" x14ac:dyDescent="0.2">
      <c r="A223" s="736"/>
      <c r="B223" s="737"/>
      <c r="C223" s="665"/>
      <c r="E223" s="661">
        <v>1.08</v>
      </c>
      <c r="F223" s="662" t="s">
        <v>866</v>
      </c>
      <c r="G223" s="631">
        <v>0.25</v>
      </c>
      <c r="H223" s="631" t="s">
        <v>866</v>
      </c>
      <c r="I223" s="631">
        <v>2.6</v>
      </c>
      <c r="J223" s="658" t="s">
        <v>866</v>
      </c>
      <c r="K223" s="631">
        <v>2</v>
      </c>
      <c r="L223" s="631"/>
      <c r="M223" s="631"/>
      <c r="N223" s="666" t="s">
        <v>799</v>
      </c>
      <c r="O223" s="631">
        <f t="shared" si="10"/>
        <v>1.4040000000000001</v>
      </c>
      <c r="P223" s="630" t="s">
        <v>12</v>
      </c>
    </row>
    <row r="224" spans="1:16" x14ac:dyDescent="0.2">
      <c r="A224" s="736"/>
      <c r="B224" s="737"/>
      <c r="C224" s="665" t="s">
        <v>886</v>
      </c>
      <c r="E224" s="661">
        <v>11</v>
      </c>
      <c r="F224" s="662" t="s">
        <v>866</v>
      </c>
      <c r="G224" s="631">
        <v>0.3</v>
      </c>
      <c r="H224" s="631" t="s">
        <v>866</v>
      </c>
      <c r="I224" s="631">
        <v>2.83</v>
      </c>
      <c r="J224" s="658" t="s">
        <v>866</v>
      </c>
      <c r="K224" s="631">
        <v>2</v>
      </c>
      <c r="L224" s="631"/>
      <c r="M224" s="631"/>
      <c r="N224" s="666" t="s">
        <v>799</v>
      </c>
      <c r="O224" s="631">
        <f t="shared" si="10"/>
        <v>18.678000000000001</v>
      </c>
      <c r="P224" s="630" t="s">
        <v>12</v>
      </c>
    </row>
    <row r="225" spans="1:16" x14ac:dyDescent="0.2">
      <c r="A225" s="736"/>
      <c r="B225" s="737"/>
      <c r="C225" s="665" t="s">
        <v>885</v>
      </c>
      <c r="E225" s="661">
        <v>11</v>
      </c>
      <c r="F225" s="662" t="s">
        <v>866</v>
      </c>
      <c r="G225" s="631">
        <v>0.3</v>
      </c>
      <c r="H225" s="631" t="s">
        <v>866</v>
      </c>
      <c r="I225" s="631">
        <v>3.2</v>
      </c>
      <c r="J225" s="658" t="s">
        <v>866</v>
      </c>
      <c r="K225" s="631">
        <v>1</v>
      </c>
      <c r="L225" s="631"/>
      <c r="M225" s="631"/>
      <c r="N225" s="666" t="s">
        <v>799</v>
      </c>
      <c r="O225" s="631">
        <f t="shared" si="10"/>
        <v>10.56</v>
      </c>
      <c r="P225" s="630" t="s">
        <v>12</v>
      </c>
    </row>
    <row r="226" spans="1:16" x14ac:dyDescent="0.2">
      <c r="A226" s="736"/>
      <c r="B226" s="737"/>
      <c r="C226" s="665" t="s">
        <v>1553</v>
      </c>
      <c r="E226" s="661">
        <v>3.47</v>
      </c>
      <c r="F226" s="662" t="s">
        <v>866</v>
      </c>
      <c r="G226" s="631">
        <v>0.2</v>
      </c>
      <c r="H226" s="631" t="s">
        <v>866</v>
      </c>
      <c r="I226" s="631">
        <v>2.6</v>
      </c>
      <c r="J226" s="658" t="s">
        <v>866</v>
      </c>
      <c r="K226" s="631">
        <v>1</v>
      </c>
      <c r="L226" s="631"/>
      <c r="M226" s="631"/>
      <c r="N226" s="666" t="s">
        <v>799</v>
      </c>
      <c r="O226" s="631">
        <f t="shared" si="10"/>
        <v>1.8044000000000002</v>
      </c>
      <c r="P226" s="630" t="s">
        <v>12</v>
      </c>
    </row>
    <row r="227" spans="1:16" x14ac:dyDescent="0.2">
      <c r="A227" s="736"/>
      <c r="B227" s="737"/>
      <c r="C227" s="665"/>
      <c r="E227" s="661">
        <v>6.93</v>
      </c>
      <c r="F227" s="662" t="s">
        <v>866</v>
      </c>
      <c r="G227" s="631">
        <v>0.2</v>
      </c>
      <c r="H227" s="631" t="s">
        <v>866</v>
      </c>
      <c r="I227" s="631">
        <v>2.6</v>
      </c>
      <c r="J227" s="658" t="s">
        <v>866</v>
      </c>
      <c r="K227" s="631">
        <v>1</v>
      </c>
      <c r="L227" s="631"/>
      <c r="M227" s="631"/>
      <c r="N227" s="666" t="s">
        <v>799</v>
      </c>
      <c r="O227" s="631">
        <f t="shared" si="10"/>
        <v>3.6036000000000006</v>
      </c>
      <c r="P227" s="630" t="s">
        <v>12</v>
      </c>
    </row>
    <row r="228" spans="1:16" x14ac:dyDescent="0.2">
      <c r="A228" s="736"/>
      <c r="B228" s="737"/>
      <c r="C228" s="665"/>
      <c r="E228" s="661">
        <v>10.4</v>
      </c>
      <c r="F228" s="662" t="s">
        <v>866</v>
      </c>
      <c r="G228" s="631">
        <v>0.05</v>
      </c>
      <c r="H228" s="631" t="s">
        <v>866</v>
      </c>
      <c r="I228" s="631">
        <v>2.6</v>
      </c>
      <c r="J228" s="658" t="s">
        <v>866</v>
      </c>
      <c r="K228" s="631">
        <v>1</v>
      </c>
      <c r="L228" s="631"/>
      <c r="M228" s="631"/>
      <c r="N228" s="666" t="s">
        <v>799</v>
      </c>
      <c r="O228" s="631">
        <f t="shared" si="10"/>
        <v>1.3520000000000001</v>
      </c>
      <c r="P228" s="630" t="s">
        <v>12</v>
      </c>
    </row>
    <row r="229" spans="1:16" x14ac:dyDescent="0.2">
      <c r="A229" s="736"/>
      <c r="B229" s="737"/>
      <c r="C229" s="922" t="s">
        <v>1081</v>
      </c>
      <c r="F229" s="662"/>
      <c r="G229" s="631"/>
      <c r="H229" s="631"/>
      <c r="I229" s="631"/>
      <c r="J229" s="658"/>
      <c r="K229" s="631"/>
      <c r="L229" s="631"/>
      <c r="M229" s="631"/>
      <c r="N229" s="666"/>
      <c r="O229" s="631"/>
      <c r="P229" s="630"/>
    </row>
    <row r="230" spans="1:16" x14ac:dyDescent="0.2">
      <c r="A230" s="736"/>
      <c r="B230" s="737"/>
      <c r="C230" s="665" t="s">
        <v>907</v>
      </c>
      <c r="E230" s="661">
        <v>1.95</v>
      </c>
      <c r="F230" s="662" t="s">
        <v>866</v>
      </c>
      <c r="G230" s="631">
        <v>0.1</v>
      </c>
      <c r="H230" s="631" t="s">
        <v>866</v>
      </c>
      <c r="I230" s="631">
        <v>3.2</v>
      </c>
      <c r="J230" s="658" t="s">
        <v>866</v>
      </c>
      <c r="K230" s="631">
        <v>1</v>
      </c>
      <c r="L230" s="631"/>
      <c r="M230" s="631"/>
      <c r="N230" s="666" t="s">
        <v>799</v>
      </c>
      <c r="O230" s="631">
        <f t="shared" si="10"/>
        <v>0.62400000000000011</v>
      </c>
      <c r="P230" s="630" t="s">
        <v>12</v>
      </c>
    </row>
    <row r="231" spans="1:16" x14ac:dyDescent="0.2">
      <c r="A231" s="736"/>
      <c r="B231" s="737"/>
      <c r="C231" s="665" t="s">
        <v>887</v>
      </c>
      <c r="E231" s="661">
        <v>0.85</v>
      </c>
      <c r="F231" s="662" t="s">
        <v>866</v>
      </c>
      <c r="G231" s="631">
        <v>0.3</v>
      </c>
      <c r="H231" s="631" t="s">
        <v>866</v>
      </c>
      <c r="I231" s="631">
        <v>2.6</v>
      </c>
      <c r="J231" s="658" t="s">
        <v>866</v>
      </c>
      <c r="K231" s="631">
        <v>1</v>
      </c>
      <c r="L231" s="631"/>
      <c r="M231" s="631"/>
      <c r="N231" s="666" t="s">
        <v>799</v>
      </c>
      <c r="O231" s="631">
        <f>E231*G231*I231*K231</f>
        <v>0.66300000000000003</v>
      </c>
      <c r="P231" s="630" t="s">
        <v>12</v>
      </c>
    </row>
    <row r="232" spans="1:16" x14ac:dyDescent="0.2">
      <c r="A232" s="736"/>
      <c r="B232" s="737"/>
      <c r="C232" s="665" t="s">
        <v>886</v>
      </c>
      <c r="E232" s="661">
        <v>0.85</v>
      </c>
      <c r="F232" s="662" t="s">
        <v>866</v>
      </c>
      <c r="G232" s="631">
        <v>0.3</v>
      </c>
      <c r="H232" s="631" t="s">
        <v>866</v>
      </c>
      <c r="I232" s="631">
        <v>0.8</v>
      </c>
      <c r="J232" s="658" t="s">
        <v>866</v>
      </c>
      <c r="K232" s="631">
        <v>2</v>
      </c>
      <c r="L232" s="631"/>
      <c r="M232" s="631"/>
      <c r="N232" s="666" t="s">
        <v>799</v>
      </c>
      <c r="O232" s="631">
        <f t="shared" si="10"/>
        <v>0.40800000000000003</v>
      </c>
      <c r="P232" s="630" t="s">
        <v>12</v>
      </c>
    </row>
    <row r="233" spans="1:16" x14ac:dyDescent="0.2">
      <c r="A233" s="736"/>
      <c r="B233" s="737"/>
      <c r="C233" s="665" t="s">
        <v>885</v>
      </c>
      <c r="E233" s="661">
        <v>0.8</v>
      </c>
      <c r="F233" s="662" t="s">
        <v>866</v>
      </c>
      <c r="G233" s="631">
        <v>0.3</v>
      </c>
      <c r="H233" s="631" t="s">
        <v>866</v>
      </c>
      <c r="I233" s="631">
        <v>3.2</v>
      </c>
      <c r="J233" s="658" t="s">
        <v>866</v>
      </c>
      <c r="K233" s="631">
        <v>1</v>
      </c>
      <c r="L233" s="631"/>
      <c r="M233" s="631"/>
      <c r="N233" s="666" t="s">
        <v>799</v>
      </c>
      <c r="O233" s="631">
        <f t="shared" si="10"/>
        <v>0.76800000000000002</v>
      </c>
      <c r="P233" s="630" t="s">
        <v>12</v>
      </c>
    </row>
    <row r="234" spans="1:16" x14ac:dyDescent="0.2">
      <c r="A234" s="736"/>
      <c r="B234" s="737"/>
      <c r="C234" s="922" t="s">
        <v>1082</v>
      </c>
      <c r="F234" s="662"/>
      <c r="G234" s="631"/>
      <c r="H234" s="631"/>
      <c r="I234" s="631"/>
      <c r="J234" s="658"/>
      <c r="K234" s="631"/>
      <c r="L234" s="631"/>
      <c r="M234" s="631"/>
      <c r="N234" s="666"/>
      <c r="O234" s="631"/>
      <c r="P234" s="630"/>
    </row>
    <row r="235" spans="1:16" x14ac:dyDescent="0.2">
      <c r="A235" s="736"/>
      <c r="B235" s="737"/>
      <c r="C235" s="665" t="s">
        <v>907</v>
      </c>
      <c r="E235" s="661">
        <v>2.1</v>
      </c>
      <c r="F235" s="662" t="s">
        <v>866</v>
      </c>
      <c r="G235" s="631">
        <v>0.1</v>
      </c>
      <c r="H235" s="631" t="s">
        <v>866</v>
      </c>
      <c r="I235" s="631">
        <v>1.8</v>
      </c>
      <c r="J235" s="658" t="s">
        <v>866</v>
      </c>
      <c r="K235" s="631">
        <v>1</v>
      </c>
      <c r="L235" s="631"/>
      <c r="M235" s="631"/>
      <c r="N235" s="666" t="s">
        <v>799</v>
      </c>
      <c r="O235" s="631">
        <f t="shared" ref="O235" si="11">E235*G235*I235*K235</f>
        <v>0.37800000000000006</v>
      </c>
      <c r="P235" s="630" t="s">
        <v>12</v>
      </c>
    </row>
    <row r="236" spans="1:16" x14ac:dyDescent="0.2">
      <c r="A236" s="736"/>
      <c r="B236" s="737"/>
      <c r="C236" s="665" t="s">
        <v>887</v>
      </c>
      <c r="E236" s="661">
        <v>1.5</v>
      </c>
      <c r="F236" s="662" t="s">
        <v>866</v>
      </c>
      <c r="G236" s="631">
        <v>0.3</v>
      </c>
      <c r="H236" s="631" t="s">
        <v>866</v>
      </c>
      <c r="I236" s="631">
        <v>2.83</v>
      </c>
      <c r="J236" s="658" t="s">
        <v>866</v>
      </c>
      <c r="K236" s="631">
        <v>2</v>
      </c>
      <c r="L236" s="631"/>
      <c r="M236" s="631"/>
      <c r="N236" s="666" t="s">
        <v>799</v>
      </c>
      <c r="O236" s="631">
        <f>E236*G236*I236*K236</f>
        <v>2.5469999999999997</v>
      </c>
      <c r="P236" s="630" t="s">
        <v>12</v>
      </c>
    </row>
    <row r="237" spans="1:16" x14ac:dyDescent="0.2">
      <c r="A237" s="736"/>
      <c r="B237" s="737"/>
      <c r="C237" s="665" t="s">
        <v>886</v>
      </c>
      <c r="E237" s="661">
        <v>2.1</v>
      </c>
      <c r="F237" s="662" t="s">
        <v>866</v>
      </c>
      <c r="G237" s="631">
        <v>0.3</v>
      </c>
      <c r="H237" s="631" t="s">
        <v>866</v>
      </c>
      <c r="I237" s="631">
        <v>2.83</v>
      </c>
      <c r="J237" s="658" t="s">
        <v>866</v>
      </c>
      <c r="K237" s="631">
        <v>1</v>
      </c>
      <c r="L237" s="631"/>
      <c r="M237" s="631"/>
      <c r="N237" s="666" t="s">
        <v>799</v>
      </c>
      <c r="O237" s="631">
        <f t="shared" ref="O237:O238" si="12">E237*G237*I237*K237</f>
        <v>1.7829000000000002</v>
      </c>
      <c r="P237" s="630" t="s">
        <v>12</v>
      </c>
    </row>
    <row r="238" spans="1:16" ht="13.5" thickBot="1" x14ac:dyDescent="0.25">
      <c r="A238" s="736"/>
      <c r="B238" s="737"/>
      <c r="C238" s="665" t="s">
        <v>885</v>
      </c>
      <c r="E238" s="661">
        <v>2.1</v>
      </c>
      <c r="F238" s="662" t="s">
        <v>866</v>
      </c>
      <c r="G238" s="631">
        <v>0.3</v>
      </c>
      <c r="H238" s="631" t="s">
        <v>866</v>
      </c>
      <c r="I238" s="631">
        <v>1.8</v>
      </c>
      <c r="J238" s="658" t="s">
        <v>866</v>
      </c>
      <c r="K238" s="631">
        <v>1</v>
      </c>
      <c r="L238" s="631"/>
      <c r="M238" s="631"/>
      <c r="N238" s="666" t="s">
        <v>799</v>
      </c>
      <c r="O238" s="631">
        <f t="shared" si="12"/>
        <v>1.1340000000000001</v>
      </c>
      <c r="P238" s="630" t="s">
        <v>12</v>
      </c>
    </row>
    <row r="239" spans="1:16" ht="13.5" thickBot="1" x14ac:dyDescent="0.25">
      <c r="A239" s="736"/>
      <c r="B239" s="737"/>
      <c r="C239" s="667"/>
      <c r="F239" s="666"/>
      <c r="G239" s="631"/>
      <c r="H239" s="631"/>
      <c r="I239" s="631"/>
      <c r="J239" s="631"/>
      <c r="K239" s="631"/>
      <c r="L239" s="631"/>
      <c r="M239" s="631"/>
      <c r="N239" s="666"/>
      <c r="O239" s="668">
        <f>ROUND((SUM(O216:O238)),2)</f>
        <v>51.97</v>
      </c>
      <c r="P239" s="669" t="s">
        <v>12</v>
      </c>
    </row>
    <row r="240" spans="1:16" ht="80.25" customHeight="1" thickBot="1" x14ac:dyDescent="0.25">
      <c r="A240" s="734" t="s">
        <v>0</v>
      </c>
      <c r="B240" s="735" t="s">
        <v>1231</v>
      </c>
      <c r="C240" s="751" t="e">
        <f>#REF!</f>
        <v>#REF!</v>
      </c>
      <c r="D240" s="662" t="s">
        <v>799</v>
      </c>
      <c r="E240" s="663" t="s">
        <v>888</v>
      </c>
      <c r="F240" s="633"/>
      <c r="G240" s="664"/>
      <c r="H240" s="664"/>
      <c r="I240" s="664"/>
      <c r="J240" s="664"/>
      <c r="K240" s="664"/>
      <c r="L240" s="664"/>
      <c r="M240" s="664"/>
      <c r="O240" s="631"/>
    </row>
    <row r="241" spans="1:16" ht="13.5" customHeight="1" thickBot="1" x14ac:dyDescent="0.25">
      <c r="A241" s="736"/>
      <c r="B241" s="737"/>
      <c r="C241" s="665" t="s">
        <v>895</v>
      </c>
      <c r="E241" s="661">
        <v>10194.040000000001</v>
      </c>
      <c r="F241" s="662"/>
      <c r="G241" s="1908" t="s">
        <v>1075</v>
      </c>
      <c r="H241" s="1909"/>
      <c r="I241" s="1909"/>
      <c r="J241" s="1909"/>
      <c r="K241" s="1910"/>
      <c r="L241" s="631"/>
      <c r="M241" s="631"/>
      <c r="N241" s="666" t="s">
        <v>799</v>
      </c>
      <c r="O241" s="631">
        <f>E241</f>
        <v>10194.040000000001</v>
      </c>
      <c r="P241" s="630" t="s">
        <v>7</v>
      </c>
    </row>
    <row r="242" spans="1:16" ht="13.5" thickBot="1" x14ac:dyDescent="0.25">
      <c r="A242" s="736"/>
      <c r="B242" s="737"/>
      <c r="C242" s="667"/>
      <c r="F242" s="666"/>
      <c r="G242" s="631"/>
      <c r="H242" s="631"/>
      <c r="I242" s="631"/>
      <c r="J242" s="631"/>
      <c r="K242" s="631"/>
      <c r="L242" s="631"/>
      <c r="M242" s="631"/>
      <c r="N242" s="666"/>
      <c r="O242" s="668">
        <f>ROUND((SUM(O241:O241)),2)</f>
        <v>10194.040000000001</v>
      </c>
      <c r="P242" s="669" t="s">
        <v>7</v>
      </c>
    </row>
    <row r="243" spans="1:16" ht="30.75" customHeight="1" x14ac:dyDescent="0.2">
      <c r="A243" s="734" t="s">
        <v>0</v>
      </c>
      <c r="B243" s="735" t="s">
        <v>1232</v>
      </c>
      <c r="C243" s="678" t="e">
        <f>#REF!</f>
        <v>#REF!</v>
      </c>
      <c r="D243" s="662" t="s">
        <v>799</v>
      </c>
      <c r="E243" s="663" t="s">
        <v>864</v>
      </c>
      <c r="F243" s="633"/>
      <c r="G243" s="664"/>
      <c r="H243" s="664"/>
      <c r="I243" s="664"/>
      <c r="J243" s="664"/>
      <c r="K243" s="664"/>
      <c r="L243" s="664"/>
      <c r="M243" s="664"/>
      <c r="O243" s="631"/>
    </row>
    <row r="244" spans="1:16" ht="15" customHeight="1" x14ac:dyDescent="0.2">
      <c r="A244" s="734"/>
      <c r="B244" s="735"/>
      <c r="C244" s="665" t="s">
        <v>897</v>
      </c>
      <c r="E244" s="730">
        <v>24</v>
      </c>
      <c r="F244" s="662"/>
      <c r="G244" s="631"/>
      <c r="H244" s="631"/>
      <c r="I244" s="631"/>
      <c r="J244" s="631"/>
      <c r="K244" s="631"/>
      <c r="L244" s="631"/>
      <c r="M244" s="631"/>
      <c r="N244" s="666" t="s">
        <v>799</v>
      </c>
      <c r="O244" s="631">
        <f>E244</f>
        <v>24</v>
      </c>
      <c r="P244" s="630" t="s">
        <v>6</v>
      </c>
    </row>
    <row r="245" spans="1:16" x14ac:dyDescent="0.2">
      <c r="A245" s="736"/>
      <c r="B245" s="737"/>
      <c r="C245" s="665" t="s">
        <v>892</v>
      </c>
      <c r="E245" s="730">
        <v>6</v>
      </c>
      <c r="F245" s="662"/>
      <c r="G245" s="631"/>
      <c r="H245" s="631"/>
      <c r="I245" s="631"/>
      <c r="J245" s="631"/>
      <c r="K245" s="631"/>
      <c r="L245" s="631"/>
      <c r="M245" s="631"/>
      <c r="N245" s="666" t="s">
        <v>799</v>
      </c>
      <c r="O245" s="631">
        <f t="shared" ref="O245:O246" si="13">E245</f>
        <v>6</v>
      </c>
      <c r="P245" s="630" t="s">
        <v>6</v>
      </c>
    </row>
    <row r="246" spans="1:16" ht="13.5" thickBot="1" x14ac:dyDescent="0.25">
      <c r="A246" s="736"/>
      <c r="B246" s="737"/>
      <c r="C246" s="665" t="s">
        <v>896</v>
      </c>
      <c r="E246" s="730">
        <v>50</v>
      </c>
      <c r="F246" s="662"/>
      <c r="G246" s="631"/>
      <c r="H246" s="631"/>
      <c r="I246" s="631"/>
      <c r="J246" s="631"/>
      <c r="K246" s="631"/>
      <c r="L246" s="631"/>
      <c r="M246" s="631"/>
      <c r="N246" s="666" t="s">
        <v>799</v>
      </c>
      <c r="O246" s="631">
        <f t="shared" si="13"/>
        <v>50</v>
      </c>
      <c r="P246" s="630" t="s">
        <v>6</v>
      </c>
    </row>
    <row r="247" spans="1:16" ht="13.5" thickBot="1" x14ac:dyDescent="0.25">
      <c r="A247" s="736"/>
      <c r="B247" s="737"/>
      <c r="C247" s="667"/>
      <c r="F247" s="666"/>
      <c r="G247" s="631"/>
      <c r="H247" s="631"/>
      <c r="I247" s="631"/>
      <c r="J247" s="631"/>
      <c r="K247" s="631"/>
      <c r="L247" s="631"/>
      <c r="M247" s="631"/>
      <c r="N247" s="666"/>
      <c r="O247" s="668">
        <f>ROUND((SUM(O244:O246)),2)</f>
        <v>80</v>
      </c>
      <c r="P247" s="669" t="s">
        <v>6</v>
      </c>
    </row>
    <row r="248" spans="1:16" x14ac:dyDescent="0.2">
      <c r="A248" s="734" t="s">
        <v>0</v>
      </c>
      <c r="B248" s="735" t="s">
        <v>1233</v>
      </c>
      <c r="C248" s="678" t="e">
        <f>#REF!</f>
        <v>#REF!</v>
      </c>
      <c r="D248" s="662" t="s">
        <v>799</v>
      </c>
      <c r="E248" s="663" t="s">
        <v>864</v>
      </c>
      <c r="F248" s="633"/>
      <c r="G248" s="664"/>
      <c r="H248" s="664"/>
      <c r="I248" s="664"/>
      <c r="J248" s="664"/>
      <c r="K248" s="664"/>
      <c r="L248" s="664"/>
      <c r="M248" s="664"/>
      <c r="O248" s="631"/>
    </row>
    <row r="249" spans="1:16" ht="13.5" thickBot="1" x14ac:dyDescent="0.25">
      <c r="A249" s="734"/>
      <c r="B249" s="735"/>
      <c r="C249" s="665" t="s">
        <v>1695</v>
      </c>
      <c r="E249" s="730">
        <v>12</v>
      </c>
      <c r="F249" s="662"/>
      <c r="G249" s="631"/>
      <c r="H249" s="631"/>
      <c r="I249" s="631"/>
      <c r="J249" s="631"/>
      <c r="K249" s="631"/>
      <c r="L249" s="631"/>
      <c r="M249" s="631"/>
      <c r="N249" s="666" t="s">
        <v>799</v>
      </c>
      <c r="O249" s="631">
        <f>E249</f>
        <v>12</v>
      </c>
      <c r="P249" s="630" t="s">
        <v>6</v>
      </c>
    </row>
    <row r="250" spans="1:16" ht="13.5" thickBot="1" x14ac:dyDescent="0.25">
      <c r="A250" s="736"/>
      <c r="B250" s="737"/>
      <c r="C250" s="667"/>
      <c r="F250" s="666"/>
      <c r="G250" s="631"/>
      <c r="H250" s="631"/>
      <c r="I250" s="631"/>
      <c r="J250" s="631"/>
      <c r="K250" s="631"/>
      <c r="L250" s="631"/>
      <c r="M250" s="631"/>
      <c r="N250" s="666"/>
      <c r="O250" s="668">
        <f>ROUND((SUM(O249:O249)),2)</f>
        <v>12</v>
      </c>
      <c r="P250" s="669" t="s">
        <v>6</v>
      </c>
    </row>
    <row r="251" spans="1:16" x14ac:dyDescent="0.2">
      <c r="A251" s="734" t="s">
        <v>0</v>
      </c>
      <c r="B251" s="735" t="s">
        <v>1234</v>
      </c>
      <c r="C251" s="678" t="e">
        <f>#REF!</f>
        <v>#REF!</v>
      </c>
      <c r="D251" s="662" t="s">
        <v>799</v>
      </c>
      <c r="E251" s="663" t="s">
        <v>628</v>
      </c>
      <c r="F251" s="633"/>
      <c r="G251" s="664"/>
      <c r="H251" s="664"/>
      <c r="I251" s="664"/>
      <c r="J251" s="664"/>
      <c r="K251" s="664"/>
      <c r="L251" s="664"/>
      <c r="M251" s="664"/>
      <c r="O251" s="631"/>
    </row>
    <row r="252" spans="1:16" x14ac:dyDescent="0.2">
      <c r="A252" s="736"/>
      <c r="B252" s="737"/>
      <c r="C252" s="665" t="s">
        <v>1584</v>
      </c>
      <c r="E252" s="661">
        <v>1</v>
      </c>
      <c r="F252" s="662"/>
      <c r="G252" s="631"/>
      <c r="H252" s="631"/>
      <c r="I252" s="631"/>
      <c r="J252" s="631"/>
      <c r="K252" s="631"/>
      <c r="L252" s="631"/>
      <c r="M252" s="631"/>
      <c r="N252" s="666" t="s">
        <v>799</v>
      </c>
      <c r="O252" s="631">
        <f>E252</f>
        <v>1</v>
      </c>
      <c r="P252" s="630" t="s">
        <v>2</v>
      </c>
    </row>
    <row r="253" spans="1:16" x14ac:dyDescent="0.2">
      <c r="A253" s="736"/>
      <c r="B253" s="737"/>
      <c r="C253" s="665" t="s">
        <v>892</v>
      </c>
      <c r="E253" s="661">
        <v>1</v>
      </c>
      <c r="F253" s="662"/>
      <c r="G253" s="631"/>
      <c r="H253" s="631"/>
      <c r="I253" s="631"/>
      <c r="J253" s="631"/>
      <c r="K253" s="631"/>
      <c r="L253" s="631"/>
      <c r="M253" s="631"/>
      <c r="N253" s="666" t="s">
        <v>799</v>
      </c>
      <c r="O253" s="631">
        <f t="shared" ref="O253:O254" si="14">E253</f>
        <v>1</v>
      </c>
      <c r="P253" s="630" t="s">
        <v>2</v>
      </c>
    </row>
    <row r="254" spans="1:16" ht="13.5" thickBot="1" x14ac:dyDescent="0.25">
      <c r="A254" s="736"/>
      <c r="B254" s="737"/>
      <c r="C254" s="665" t="s">
        <v>896</v>
      </c>
      <c r="E254" s="661">
        <v>1</v>
      </c>
      <c r="F254" s="662"/>
      <c r="G254" s="631"/>
      <c r="H254" s="631"/>
      <c r="I254" s="631"/>
      <c r="J254" s="631"/>
      <c r="K254" s="631"/>
      <c r="L254" s="631"/>
      <c r="M254" s="631"/>
      <c r="N254" s="666" t="s">
        <v>799</v>
      </c>
      <c r="O254" s="631">
        <f t="shared" si="14"/>
        <v>1</v>
      </c>
      <c r="P254" s="630" t="s">
        <v>2</v>
      </c>
    </row>
    <row r="255" spans="1:16" ht="13.5" thickBot="1" x14ac:dyDescent="0.25">
      <c r="A255" s="736"/>
      <c r="B255" s="737"/>
      <c r="C255" s="667"/>
      <c r="F255" s="666"/>
      <c r="G255" s="631"/>
      <c r="H255" s="631"/>
      <c r="I255" s="631"/>
      <c r="J255" s="631"/>
      <c r="K255" s="631"/>
      <c r="L255" s="631"/>
      <c r="M255" s="631"/>
      <c r="N255" s="666"/>
      <c r="O255" s="668">
        <f>ROUND((SUM(O252:O254)),2)</f>
        <v>3</v>
      </c>
      <c r="P255" s="669" t="s">
        <v>2</v>
      </c>
    </row>
    <row r="256" spans="1:16" x14ac:dyDescent="0.2">
      <c r="A256" s="734" t="s">
        <v>0</v>
      </c>
      <c r="B256" s="735" t="s">
        <v>1235</v>
      </c>
      <c r="C256" s="678" t="e">
        <f>#REF!</f>
        <v>#REF!</v>
      </c>
      <c r="D256" s="662" t="s">
        <v>799</v>
      </c>
      <c r="E256" s="663" t="s">
        <v>628</v>
      </c>
      <c r="F256" s="633"/>
      <c r="G256" s="664"/>
      <c r="H256" s="664"/>
      <c r="I256" s="664"/>
      <c r="J256" s="664"/>
      <c r="K256" s="664"/>
      <c r="L256" s="664"/>
      <c r="M256" s="664"/>
      <c r="O256" s="631"/>
    </row>
    <row r="257" spans="1:16" ht="13.5" thickBot="1" x14ac:dyDescent="0.25">
      <c r="A257" s="736"/>
      <c r="B257" s="737"/>
      <c r="C257" s="665" t="s">
        <v>1583</v>
      </c>
      <c r="E257" s="661">
        <v>1</v>
      </c>
      <c r="F257" s="662"/>
      <c r="G257" s="631"/>
      <c r="H257" s="631"/>
      <c r="I257" s="631"/>
      <c r="J257" s="631"/>
      <c r="K257" s="631"/>
      <c r="L257" s="631"/>
      <c r="M257" s="631"/>
      <c r="N257" s="666" t="s">
        <v>799</v>
      </c>
      <c r="O257" s="631">
        <f>E257</f>
        <v>1</v>
      </c>
      <c r="P257" s="630" t="s">
        <v>2</v>
      </c>
    </row>
    <row r="258" spans="1:16" ht="13.5" thickBot="1" x14ac:dyDescent="0.25">
      <c r="A258" s="736"/>
      <c r="B258" s="737"/>
      <c r="C258" s="667"/>
      <c r="F258" s="666"/>
      <c r="G258" s="631"/>
      <c r="H258" s="631"/>
      <c r="I258" s="631"/>
      <c r="J258" s="631"/>
      <c r="K258" s="631"/>
      <c r="L258" s="631"/>
      <c r="M258" s="631"/>
      <c r="N258" s="666"/>
      <c r="O258" s="668">
        <f>ROUND((SUM(O257:O257)),2)</f>
        <v>1</v>
      </c>
      <c r="P258" s="669" t="s">
        <v>2</v>
      </c>
    </row>
    <row r="259" spans="1:16" ht="39" customHeight="1" x14ac:dyDescent="0.2">
      <c r="A259" s="734" t="s">
        <v>0</v>
      </c>
      <c r="B259" s="735" t="s">
        <v>1236</v>
      </c>
      <c r="C259" s="751" t="e">
        <f>#REF!</f>
        <v>#REF!</v>
      </c>
      <c r="D259" s="662" t="s">
        <v>799</v>
      </c>
      <c r="E259" s="663" t="s">
        <v>628</v>
      </c>
      <c r="F259" s="633"/>
      <c r="G259" s="664"/>
      <c r="H259" s="664"/>
      <c r="I259" s="664"/>
      <c r="J259" s="664"/>
      <c r="K259" s="664"/>
      <c r="L259" s="664"/>
      <c r="M259" s="664"/>
      <c r="O259" s="631"/>
    </row>
    <row r="260" spans="1:16" x14ac:dyDescent="0.2">
      <c r="A260" s="736"/>
      <c r="B260" s="737"/>
      <c r="C260" s="665" t="s">
        <v>897</v>
      </c>
      <c r="E260" s="661">
        <v>1</v>
      </c>
      <c r="F260" s="662"/>
      <c r="G260" s="631"/>
      <c r="H260" s="631"/>
      <c r="I260" s="631"/>
      <c r="J260" s="631"/>
      <c r="K260" s="631"/>
      <c r="L260" s="631"/>
      <c r="M260" s="631"/>
      <c r="N260" s="666" t="s">
        <v>799</v>
      </c>
      <c r="O260" s="631">
        <f>E260</f>
        <v>1</v>
      </c>
      <c r="P260" s="630" t="s">
        <v>2</v>
      </c>
    </row>
    <row r="261" spans="1:16" x14ac:dyDescent="0.2">
      <c r="A261" s="736"/>
      <c r="B261" s="737"/>
      <c r="C261" s="665" t="s">
        <v>1584</v>
      </c>
      <c r="E261" s="661">
        <v>1</v>
      </c>
      <c r="F261" s="662"/>
      <c r="G261" s="631"/>
      <c r="H261" s="631"/>
      <c r="I261" s="631"/>
      <c r="J261" s="631"/>
      <c r="K261" s="631"/>
      <c r="L261" s="631"/>
      <c r="M261" s="631"/>
      <c r="N261" s="666" t="s">
        <v>799</v>
      </c>
      <c r="O261" s="631">
        <f>E261</f>
        <v>1</v>
      </c>
      <c r="P261" s="630" t="s">
        <v>2</v>
      </c>
    </row>
    <row r="262" spans="1:16" ht="13.5" thickBot="1" x14ac:dyDescent="0.25">
      <c r="A262" s="736"/>
      <c r="B262" s="737"/>
      <c r="C262" s="665" t="s">
        <v>896</v>
      </c>
      <c r="E262" s="661">
        <v>1</v>
      </c>
      <c r="F262" s="662"/>
      <c r="G262" s="631"/>
      <c r="H262" s="631"/>
      <c r="I262" s="631"/>
      <c r="J262" s="631"/>
      <c r="K262" s="631"/>
      <c r="L262" s="631"/>
      <c r="M262" s="631"/>
      <c r="N262" s="666" t="s">
        <v>799</v>
      </c>
      <c r="O262" s="631">
        <f t="shared" ref="O262" si="15">E262</f>
        <v>1</v>
      </c>
      <c r="P262" s="630" t="s">
        <v>2</v>
      </c>
    </row>
    <row r="263" spans="1:16" ht="13.5" thickBot="1" x14ac:dyDescent="0.25">
      <c r="A263" s="736"/>
      <c r="B263" s="737"/>
      <c r="C263" s="667"/>
      <c r="F263" s="666"/>
      <c r="G263" s="631"/>
      <c r="H263" s="631"/>
      <c r="I263" s="631"/>
      <c r="J263" s="631"/>
      <c r="K263" s="631"/>
      <c r="L263" s="631"/>
      <c r="M263" s="631"/>
      <c r="N263" s="666"/>
      <c r="O263" s="668">
        <f>ROUND((SUM(O260:O262)),2)</f>
        <v>3</v>
      </c>
      <c r="P263" s="669" t="s">
        <v>2</v>
      </c>
    </row>
    <row r="264" spans="1:16" ht="40.5" customHeight="1" x14ac:dyDescent="0.2">
      <c r="A264" s="734" t="s">
        <v>0</v>
      </c>
      <c r="B264" s="735" t="s">
        <v>1696</v>
      </c>
      <c r="C264" s="751" t="e">
        <f>#REF!</f>
        <v>#REF!</v>
      </c>
      <c r="D264" s="662" t="s">
        <v>799</v>
      </c>
      <c r="E264" s="663" t="s">
        <v>628</v>
      </c>
      <c r="F264" s="633"/>
      <c r="G264" s="664"/>
      <c r="H264" s="664"/>
      <c r="I264" s="664"/>
      <c r="J264" s="664"/>
      <c r="K264" s="664"/>
      <c r="L264" s="664"/>
      <c r="M264" s="664"/>
      <c r="O264" s="631"/>
    </row>
    <row r="265" spans="1:16" x14ac:dyDescent="0.2">
      <c r="A265" s="736"/>
      <c r="B265" s="737"/>
      <c r="C265" s="665" t="s">
        <v>1697</v>
      </c>
      <c r="E265" s="661">
        <v>1</v>
      </c>
      <c r="F265" s="662"/>
      <c r="G265" s="631"/>
      <c r="H265" s="631"/>
      <c r="I265" s="631"/>
      <c r="J265" s="631"/>
      <c r="K265" s="631"/>
      <c r="L265" s="631"/>
      <c r="M265" s="631"/>
      <c r="N265" s="666" t="s">
        <v>799</v>
      </c>
      <c r="O265" s="631">
        <f>E265</f>
        <v>1</v>
      </c>
      <c r="P265" s="630" t="s">
        <v>2</v>
      </c>
    </row>
    <row r="266" spans="1:16" x14ac:dyDescent="0.2">
      <c r="A266" s="736"/>
      <c r="B266" s="737"/>
      <c r="C266" s="665" t="s">
        <v>1698</v>
      </c>
      <c r="E266" s="661">
        <v>1</v>
      </c>
      <c r="F266" s="662"/>
      <c r="G266" s="631"/>
      <c r="H266" s="631"/>
      <c r="I266" s="631"/>
      <c r="J266" s="631"/>
      <c r="K266" s="631"/>
      <c r="L266" s="631"/>
      <c r="M266" s="631"/>
      <c r="N266" s="666" t="s">
        <v>799</v>
      </c>
      <c r="O266" s="631">
        <f t="shared" ref="O266:O267" si="16">E266</f>
        <v>1</v>
      </c>
      <c r="P266" s="630" t="s">
        <v>2</v>
      </c>
    </row>
    <row r="267" spans="1:16" ht="13.5" thickBot="1" x14ac:dyDescent="0.25">
      <c r="A267" s="736"/>
      <c r="B267" s="737"/>
      <c r="C267" s="665" t="s">
        <v>1699</v>
      </c>
      <c r="E267" s="661">
        <v>1</v>
      </c>
      <c r="F267" s="662"/>
      <c r="G267" s="631"/>
      <c r="H267" s="631"/>
      <c r="I267" s="631"/>
      <c r="J267" s="631"/>
      <c r="K267" s="631"/>
      <c r="L267" s="631"/>
      <c r="M267" s="631"/>
      <c r="N267" s="666" t="s">
        <v>799</v>
      </c>
      <c r="O267" s="631">
        <f t="shared" si="16"/>
        <v>1</v>
      </c>
      <c r="P267" s="630" t="s">
        <v>2</v>
      </c>
    </row>
    <row r="268" spans="1:16" ht="13.5" thickBot="1" x14ac:dyDescent="0.25">
      <c r="A268" s="736"/>
      <c r="B268" s="737"/>
      <c r="C268" s="667"/>
      <c r="F268" s="666"/>
      <c r="G268" s="631"/>
      <c r="H268" s="631"/>
      <c r="I268" s="631"/>
      <c r="J268" s="631"/>
      <c r="K268" s="631"/>
      <c r="L268" s="631"/>
      <c r="M268" s="631"/>
      <c r="N268" s="666"/>
      <c r="O268" s="668">
        <f>ROUND((SUM(O265:O267)),2)</f>
        <v>3</v>
      </c>
      <c r="P268" s="669" t="s">
        <v>2</v>
      </c>
    </row>
    <row r="269" spans="1:16" ht="36" customHeight="1" x14ac:dyDescent="0.2">
      <c r="A269" s="734" t="s">
        <v>0</v>
      </c>
      <c r="B269" s="735" t="s">
        <v>1237</v>
      </c>
      <c r="C269" s="751" t="e">
        <f>#REF!</f>
        <v>#REF!</v>
      </c>
      <c r="D269" s="662" t="s">
        <v>799</v>
      </c>
      <c r="E269" s="663" t="s">
        <v>628</v>
      </c>
      <c r="F269" s="633"/>
      <c r="G269" s="664"/>
      <c r="H269" s="664"/>
      <c r="I269" s="664"/>
      <c r="J269" s="664"/>
      <c r="K269" s="664"/>
      <c r="L269" s="664"/>
      <c r="M269" s="664"/>
      <c r="O269" s="631"/>
    </row>
    <row r="270" spans="1:16" x14ac:dyDescent="0.2">
      <c r="A270" s="736"/>
      <c r="B270" s="737"/>
      <c r="C270" s="665" t="s">
        <v>892</v>
      </c>
      <c r="E270" s="661">
        <v>2</v>
      </c>
      <c r="F270" s="662"/>
      <c r="G270" s="631"/>
      <c r="H270" s="631"/>
      <c r="I270" s="631"/>
      <c r="J270" s="631"/>
      <c r="K270" s="631"/>
      <c r="L270" s="631"/>
      <c r="M270" s="631"/>
      <c r="N270" s="666" t="s">
        <v>799</v>
      </c>
      <c r="O270" s="631">
        <f>E270</f>
        <v>2</v>
      </c>
      <c r="P270" s="657" t="s">
        <v>2</v>
      </c>
    </row>
    <row r="271" spans="1:16" ht="13.5" thickBot="1" x14ac:dyDescent="0.25">
      <c r="A271" s="736"/>
      <c r="B271" s="737"/>
      <c r="C271" s="665" t="s">
        <v>898</v>
      </c>
      <c r="E271" s="661">
        <v>2</v>
      </c>
      <c r="F271" s="662"/>
      <c r="G271" s="631"/>
      <c r="H271" s="631"/>
      <c r="I271" s="631"/>
      <c r="J271" s="631"/>
      <c r="K271" s="631"/>
      <c r="L271" s="631"/>
      <c r="M271" s="631"/>
      <c r="N271" s="666" t="s">
        <v>799</v>
      </c>
      <c r="O271" s="631">
        <f>E271</f>
        <v>2</v>
      </c>
      <c r="P271" s="657" t="s">
        <v>2</v>
      </c>
    </row>
    <row r="272" spans="1:16" ht="13.5" thickBot="1" x14ac:dyDescent="0.25">
      <c r="A272" s="736"/>
      <c r="B272" s="737"/>
      <c r="C272" s="667"/>
      <c r="F272" s="666"/>
      <c r="G272" s="631"/>
      <c r="H272" s="631"/>
      <c r="I272" s="631"/>
      <c r="J272" s="631"/>
      <c r="K272" s="631"/>
      <c r="L272" s="631"/>
      <c r="M272" s="631"/>
      <c r="N272" s="666"/>
      <c r="O272" s="668">
        <f>ROUND((SUM(O270:O271)),2)</f>
        <v>4</v>
      </c>
      <c r="P272" s="669" t="s">
        <v>2</v>
      </c>
    </row>
    <row r="273" spans="1:16" ht="31.5" customHeight="1" x14ac:dyDescent="0.2">
      <c r="A273" s="734" t="s">
        <v>0</v>
      </c>
      <c r="B273" s="735" t="s">
        <v>1238</v>
      </c>
      <c r="C273" s="751" t="e">
        <f>#REF!</f>
        <v>#REF!</v>
      </c>
      <c r="D273" s="662" t="s">
        <v>799</v>
      </c>
      <c r="E273" s="663" t="s">
        <v>628</v>
      </c>
      <c r="F273" s="633"/>
      <c r="G273" s="664"/>
      <c r="H273" s="664"/>
      <c r="I273" s="664"/>
      <c r="J273" s="664"/>
      <c r="K273" s="664"/>
      <c r="L273" s="664"/>
      <c r="M273" s="664"/>
      <c r="O273" s="631"/>
    </row>
    <row r="274" spans="1:16" ht="13.5" thickBot="1" x14ac:dyDescent="0.25">
      <c r="A274" s="736"/>
      <c r="B274" s="737"/>
      <c r="C274" s="665" t="s">
        <v>1700</v>
      </c>
      <c r="E274" s="661">
        <v>1</v>
      </c>
      <c r="F274" s="662"/>
      <c r="G274" s="631"/>
      <c r="H274" s="631"/>
      <c r="I274" s="631"/>
      <c r="J274" s="631"/>
      <c r="K274" s="631"/>
      <c r="L274" s="631"/>
      <c r="M274" s="631"/>
      <c r="N274" s="666" t="s">
        <v>799</v>
      </c>
      <c r="O274" s="631">
        <f>E274</f>
        <v>1</v>
      </c>
      <c r="P274" s="657" t="s">
        <v>2</v>
      </c>
    </row>
    <row r="275" spans="1:16" ht="13.5" thickBot="1" x14ac:dyDescent="0.25">
      <c r="A275" s="736"/>
      <c r="B275" s="737"/>
      <c r="C275" s="667"/>
      <c r="F275" s="666"/>
      <c r="G275" s="631"/>
      <c r="H275" s="631"/>
      <c r="I275" s="631"/>
      <c r="J275" s="631"/>
      <c r="K275" s="631"/>
      <c r="L275" s="631"/>
      <c r="M275" s="631"/>
      <c r="N275" s="666"/>
      <c r="O275" s="668">
        <f>ROUND((SUM(O274:O274)),2)</f>
        <v>1</v>
      </c>
      <c r="P275" s="669" t="s">
        <v>2</v>
      </c>
    </row>
    <row r="276" spans="1:16" x14ac:dyDescent="0.2">
      <c r="A276" s="734" t="s">
        <v>0</v>
      </c>
      <c r="B276" s="735" t="s">
        <v>1239</v>
      </c>
      <c r="C276" s="751" t="e">
        <f>#REF!</f>
        <v>#REF!</v>
      </c>
      <c r="D276" s="662" t="s">
        <v>799</v>
      </c>
      <c r="E276" s="663" t="s">
        <v>864</v>
      </c>
      <c r="F276" s="633"/>
      <c r="G276" s="664" t="s">
        <v>628</v>
      </c>
      <c r="H276" s="664"/>
      <c r="I276" s="664" t="s">
        <v>1067</v>
      </c>
      <c r="J276" s="664"/>
      <c r="K276" s="664"/>
      <c r="L276" s="664"/>
      <c r="M276" s="664"/>
      <c r="O276" s="631"/>
    </row>
    <row r="277" spans="1:16" x14ac:dyDescent="0.2">
      <c r="A277" s="736"/>
      <c r="B277" s="737"/>
      <c r="C277" s="665" t="s">
        <v>894</v>
      </c>
      <c r="E277" s="661">
        <v>30</v>
      </c>
      <c r="F277" s="662" t="s">
        <v>866</v>
      </c>
      <c r="G277" s="631">
        <v>2</v>
      </c>
      <c r="H277" s="631"/>
      <c r="I277" s="631"/>
      <c r="J277" s="631"/>
      <c r="K277" s="631"/>
      <c r="L277" s="631"/>
      <c r="M277" s="631"/>
      <c r="N277" s="666" t="s">
        <v>799</v>
      </c>
      <c r="O277" s="631">
        <f>(E277*G277)</f>
        <v>60</v>
      </c>
      <c r="P277" s="657" t="s">
        <v>6</v>
      </c>
    </row>
    <row r="278" spans="1:16" ht="13.5" thickBot="1" x14ac:dyDescent="0.25">
      <c r="A278" s="736"/>
      <c r="B278" s="737"/>
      <c r="C278" s="665"/>
      <c r="E278" s="661">
        <v>24</v>
      </c>
      <c r="F278" s="662" t="s">
        <v>866</v>
      </c>
      <c r="G278" s="631">
        <v>2</v>
      </c>
      <c r="H278" s="658" t="s">
        <v>1701</v>
      </c>
      <c r="I278" s="631">
        <v>3</v>
      </c>
      <c r="J278" s="631"/>
      <c r="K278" s="631"/>
      <c r="L278" s="631"/>
      <c r="M278" s="631"/>
      <c r="N278" s="666" t="s">
        <v>799</v>
      </c>
      <c r="O278" s="631">
        <f>(E278*G278)-I278</f>
        <v>45</v>
      </c>
      <c r="P278" s="657" t="s">
        <v>6</v>
      </c>
    </row>
    <row r="279" spans="1:16" ht="13.5" thickBot="1" x14ac:dyDescent="0.25">
      <c r="A279" s="736"/>
      <c r="B279" s="737"/>
      <c r="C279" s="667"/>
      <c r="F279" s="666"/>
      <c r="G279" s="631"/>
      <c r="H279" s="631"/>
      <c r="I279" s="631"/>
      <c r="J279" s="631"/>
      <c r="K279" s="631"/>
      <c r="L279" s="631"/>
      <c r="M279" s="631"/>
      <c r="N279" s="666"/>
      <c r="O279" s="668">
        <f>ROUND((SUM(O277:O278)),2)</f>
        <v>105</v>
      </c>
      <c r="P279" s="669" t="s">
        <v>6</v>
      </c>
    </row>
    <row r="280" spans="1:16" x14ac:dyDescent="0.2">
      <c r="A280" s="734" t="s">
        <v>0</v>
      </c>
      <c r="B280" s="735" t="s">
        <v>1240</v>
      </c>
      <c r="C280" s="678" t="e">
        <f>#REF!</f>
        <v>#REF!</v>
      </c>
      <c r="D280" s="662" t="s">
        <v>799</v>
      </c>
      <c r="E280" s="663" t="s">
        <v>864</v>
      </c>
      <c r="F280" s="633"/>
      <c r="G280" s="664"/>
      <c r="H280" s="664"/>
      <c r="I280" s="664"/>
      <c r="J280" s="664"/>
      <c r="K280" s="664"/>
      <c r="L280" s="664"/>
      <c r="M280" s="664"/>
      <c r="O280" s="631"/>
    </row>
    <row r="281" spans="1:16" ht="13.5" thickBot="1" x14ac:dyDescent="0.25">
      <c r="A281" s="736"/>
      <c r="B281" s="737"/>
      <c r="C281" s="665" t="s">
        <v>916</v>
      </c>
      <c r="E281" s="661">
        <v>3</v>
      </c>
      <c r="F281" s="662"/>
      <c r="G281" s="631"/>
      <c r="H281" s="631"/>
      <c r="I281" s="631"/>
      <c r="J281" s="631"/>
      <c r="K281" s="631"/>
      <c r="L281" s="631"/>
      <c r="M281" s="631"/>
      <c r="N281" s="666" t="s">
        <v>799</v>
      </c>
      <c r="O281" s="631">
        <f>E281</f>
        <v>3</v>
      </c>
      <c r="P281" s="657" t="s">
        <v>6</v>
      </c>
    </row>
    <row r="282" spans="1:16" ht="13.5" thickBot="1" x14ac:dyDescent="0.25">
      <c r="A282" s="736"/>
      <c r="B282" s="737"/>
      <c r="C282" s="667"/>
      <c r="F282" s="666"/>
      <c r="G282" s="631"/>
      <c r="H282" s="631"/>
      <c r="I282" s="631"/>
      <c r="J282" s="631"/>
      <c r="K282" s="631"/>
      <c r="L282" s="631"/>
      <c r="M282" s="631"/>
      <c r="N282" s="666"/>
      <c r="O282" s="668">
        <f>ROUND((SUM(O281:O281)),2)</f>
        <v>3</v>
      </c>
      <c r="P282" s="669" t="s">
        <v>6</v>
      </c>
    </row>
    <row r="283" spans="1:16" x14ac:dyDescent="0.2">
      <c r="A283" s="734" t="s">
        <v>0</v>
      </c>
      <c r="B283" s="735" t="s">
        <v>1241</v>
      </c>
      <c r="C283" s="678" t="e">
        <f>#REF!</f>
        <v>#REF!</v>
      </c>
      <c r="D283" s="662" t="s">
        <v>799</v>
      </c>
      <c r="E283" s="663" t="s">
        <v>628</v>
      </c>
      <c r="F283" s="633"/>
      <c r="G283" s="664"/>
      <c r="H283" s="664"/>
      <c r="I283" s="664"/>
      <c r="J283" s="664"/>
      <c r="K283" s="664"/>
      <c r="L283" s="664"/>
      <c r="M283" s="664"/>
      <c r="O283" s="631"/>
    </row>
    <row r="284" spans="1:16" ht="13.5" thickBot="1" x14ac:dyDescent="0.25">
      <c r="A284" s="736"/>
      <c r="B284" s="737"/>
      <c r="C284" s="665" t="s">
        <v>1700</v>
      </c>
      <c r="E284" s="661">
        <v>1</v>
      </c>
      <c r="F284" s="662"/>
      <c r="G284" s="631"/>
      <c r="H284" s="631"/>
      <c r="I284" s="631"/>
      <c r="J284" s="631"/>
      <c r="K284" s="631"/>
      <c r="L284" s="631"/>
      <c r="M284" s="631"/>
      <c r="N284" s="666" t="s">
        <v>799</v>
      </c>
      <c r="O284" s="631">
        <f>E284</f>
        <v>1</v>
      </c>
      <c r="P284" s="657" t="s">
        <v>2</v>
      </c>
    </row>
    <row r="285" spans="1:16" ht="13.5" thickBot="1" x14ac:dyDescent="0.25">
      <c r="A285" s="736"/>
      <c r="B285" s="737"/>
      <c r="C285" s="667"/>
      <c r="F285" s="666"/>
      <c r="G285" s="631"/>
      <c r="H285" s="631"/>
      <c r="I285" s="631"/>
      <c r="J285" s="631"/>
      <c r="K285" s="631"/>
      <c r="L285" s="631"/>
      <c r="M285" s="631"/>
      <c r="N285" s="666"/>
      <c r="O285" s="668">
        <f>ROUND((SUM(O284:O284)),2)</f>
        <v>1</v>
      </c>
      <c r="P285" s="669" t="s">
        <v>2</v>
      </c>
    </row>
    <row r="286" spans="1:16" ht="40.5" customHeight="1" x14ac:dyDescent="0.2">
      <c r="A286" s="734" t="s">
        <v>0</v>
      </c>
      <c r="B286" s="735" t="s">
        <v>1242</v>
      </c>
      <c r="C286" s="678" t="e">
        <f>#REF!</f>
        <v>#REF!</v>
      </c>
      <c r="D286" s="662" t="s">
        <v>799</v>
      </c>
      <c r="E286" s="663" t="s">
        <v>628</v>
      </c>
      <c r="F286" s="633"/>
      <c r="G286" s="664"/>
      <c r="H286" s="664"/>
      <c r="I286" s="664"/>
      <c r="J286" s="664"/>
      <c r="K286" s="664"/>
      <c r="L286" s="664"/>
      <c r="M286" s="664"/>
      <c r="O286" s="631"/>
    </row>
    <row r="287" spans="1:16" ht="13.5" thickBot="1" x14ac:dyDescent="0.25">
      <c r="A287" s="736"/>
      <c r="B287" s="737"/>
      <c r="C287" s="665" t="s">
        <v>898</v>
      </c>
      <c r="E287" s="661">
        <v>1</v>
      </c>
      <c r="F287" s="662"/>
      <c r="G287" s="631"/>
      <c r="H287" s="631"/>
      <c r="I287" s="631"/>
      <c r="J287" s="631"/>
      <c r="K287" s="631"/>
      <c r="L287" s="631"/>
      <c r="M287" s="631"/>
      <c r="N287" s="666" t="s">
        <v>799</v>
      </c>
      <c r="O287" s="631">
        <f>E287</f>
        <v>1</v>
      </c>
      <c r="P287" s="657" t="s">
        <v>2</v>
      </c>
    </row>
    <row r="288" spans="1:16" ht="13.5" thickBot="1" x14ac:dyDescent="0.25">
      <c r="A288" s="736"/>
      <c r="B288" s="737"/>
      <c r="C288" s="667"/>
      <c r="F288" s="666"/>
      <c r="G288" s="631"/>
      <c r="H288" s="631"/>
      <c r="I288" s="631"/>
      <c r="J288" s="631"/>
      <c r="K288" s="631"/>
      <c r="L288" s="631"/>
      <c r="M288" s="631"/>
      <c r="N288" s="666"/>
      <c r="O288" s="668">
        <f>ROUND((SUM(O287:O287)),2)</f>
        <v>1</v>
      </c>
      <c r="P288" s="669" t="s">
        <v>2</v>
      </c>
    </row>
    <row r="289" spans="1:16" x14ac:dyDescent="0.2">
      <c r="A289" s="734" t="s">
        <v>0</v>
      </c>
      <c r="B289" s="735" t="s">
        <v>1243</v>
      </c>
      <c r="C289" s="678" t="e">
        <f>#REF!</f>
        <v>#REF!</v>
      </c>
      <c r="D289" s="662" t="s">
        <v>799</v>
      </c>
      <c r="E289" s="663" t="s">
        <v>628</v>
      </c>
      <c r="F289" s="633"/>
      <c r="G289" s="664"/>
      <c r="H289" s="664"/>
      <c r="I289" s="664"/>
      <c r="J289" s="664"/>
      <c r="K289" s="664"/>
      <c r="L289" s="664"/>
      <c r="M289" s="664"/>
      <c r="O289" s="631"/>
    </row>
    <row r="290" spans="1:16" ht="13.5" thickBot="1" x14ac:dyDescent="0.25">
      <c r="A290" s="736"/>
      <c r="B290" s="737"/>
      <c r="C290" s="665" t="s">
        <v>898</v>
      </c>
      <c r="E290" s="661">
        <v>1</v>
      </c>
      <c r="F290" s="662"/>
      <c r="G290" s="631"/>
      <c r="H290" s="631"/>
      <c r="I290" s="631"/>
      <c r="J290" s="631"/>
      <c r="K290" s="631"/>
      <c r="L290" s="631"/>
      <c r="M290" s="631"/>
      <c r="N290" s="666" t="s">
        <v>799</v>
      </c>
      <c r="O290" s="631">
        <f>E290</f>
        <v>1</v>
      </c>
      <c r="P290" s="657" t="s">
        <v>2</v>
      </c>
    </row>
    <row r="291" spans="1:16" ht="13.5" thickBot="1" x14ac:dyDescent="0.25">
      <c r="A291" s="736"/>
      <c r="B291" s="737"/>
      <c r="C291" s="667"/>
      <c r="F291" s="666"/>
      <c r="G291" s="631"/>
      <c r="H291" s="631"/>
      <c r="I291" s="631"/>
      <c r="J291" s="631"/>
      <c r="K291" s="631"/>
      <c r="L291" s="631"/>
      <c r="M291" s="631"/>
      <c r="N291" s="666"/>
      <c r="O291" s="668">
        <f>ROUND((SUM(O290:O290)),2)</f>
        <v>1</v>
      </c>
      <c r="P291" s="669" t="s">
        <v>2</v>
      </c>
    </row>
    <row r="292" spans="1:16" x14ac:dyDescent="0.2">
      <c r="A292" s="734" t="s">
        <v>0</v>
      </c>
      <c r="B292" s="735" t="s">
        <v>1703</v>
      </c>
      <c r="C292" s="751" t="e">
        <f>#REF!</f>
        <v>#REF!</v>
      </c>
      <c r="D292" s="662" t="s">
        <v>799</v>
      </c>
      <c r="E292" s="663" t="s">
        <v>628</v>
      </c>
      <c r="F292" s="633"/>
      <c r="G292" s="664"/>
      <c r="H292" s="664"/>
      <c r="I292" s="664"/>
      <c r="J292" s="664"/>
      <c r="K292" s="664"/>
      <c r="L292" s="664"/>
      <c r="M292" s="664"/>
      <c r="O292" s="631"/>
    </row>
    <row r="293" spans="1:16" ht="12.75" customHeight="1" x14ac:dyDescent="0.2">
      <c r="A293" s="736"/>
      <c r="B293" s="737"/>
      <c r="C293" s="665" t="s">
        <v>898</v>
      </c>
      <c r="E293" s="661">
        <v>2</v>
      </c>
      <c r="F293" s="662"/>
      <c r="G293" s="631"/>
      <c r="H293" s="631"/>
      <c r="I293" s="631"/>
      <c r="J293" s="631"/>
      <c r="K293" s="631"/>
      <c r="L293" s="631"/>
      <c r="M293" s="631"/>
      <c r="N293" s="666" t="s">
        <v>799</v>
      </c>
      <c r="O293" s="631">
        <f>E293</f>
        <v>2</v>
      </c>
      <c r="P293" s="657" t="s">
        <v>2</v>
      </c>
    </row>
    <row r="294" spans="1:16" ht="12.75" customHeight="1" thickBot="1" x14ac:dyDescent="0.25">
      <c r="A294" s="736"/>
      <c r="B294" s="737"/>
      <c r="C294" s="665" t="s">
        <v>1695</v>
      </c>
      <c r="E294" s="661">
        <v>1</v>
      </c>
      <c r="F294" s="662"/>
      <c r="G294" s="631"/>
      <c r="H294" s="631"/>
      <c r="I294" s="631"/>
      <c r="J294" s="631"/>
      <c r="K294" s="631"/>
      <c r="L294" s="631"/>
      <c r="M294" s="631"/>
      <c r="N294" s="666" t="s">
        <v>799</v>
      </c>
      <c r="O294" s="631">
        <f>E294</f>
        <v>1</v>
      </c>
      <c r="P294" s="657" t="s">
        <v>2</v>
      </c>
    </row>
    <row r="295" spans="1:16" ht="13.5" thickBot="1" x14ac:dyDescent="0.25">
      <c r="A295" s="736"/>
      <c r="B295" s="737"/>
      <c r="C295" s="667"/>
      <c r="F295" s="666"/>
      <c r="G295" s="631"/>
      <c r="H295" s="631"/>
      <c r="I295" s="631"/>
      <c r="J295" s="631"/>
      <c r="K295" s="631"/>
      <c r="L295" s="631"/>
      <c r="M295" s="631"/>
      <c r="N295" s="666"/>
      <c r="O295" s="668">
        <f>ROUND((SUM(O293:O294)),2)</f>
        <v>3</v>
      </c>
      <c r="P295" s="669" t="s">
        <v>2</v>
      </c>
    </row>
    <row r="296" spans="1:16" x14ac:dyDescent="0.2">
      <c r="A296" s="736"/>
      <c r="B296" s="737"/>
      <c r="C296" s="667"/>
      <c r="F296" s="666"/>
      <c r="G296" s="631"/>
      <c r="H296" s="631"/>
      <c r="I296" s="631"/>
      <c r="J296" s="631"/>
      <c r="K296" s="631"/>
      <c r="L296" s="631"/>
      <c r="M296" s="631"/>
      <c r="N296" s="666"/>
      <c r="O296" s="632"/>
      <c r="P296" s="633"/>
    </row>
    <row r="297" spans="1:16" ht="15.75" x14ac:dyDescent="0.2">
      <c r="A297" s="736"/>
      <c r="B297" s="737"/>
      <c r="C297" s="788" t="s">
        <v>1160</v>
      </c>
      <c r="F297" s="666"/>
      <c r="G297" s="631"/>
      <c r="H297" s="631"/>
      <c r="I297" s="631"/>
      <c r="J297" s="631"/>
      <c r="K297" s="631"/>
      <c r="L297" s="631"/>
      <c r="M297" s="631"/>
      <c r="N297" s="666"/>
      <c r="O297" s="632"/>
      <c r="P297" s="633"/>
    </row>
    <row r="298" spans="1:16" x14ac:dyDescent="0.2">
      <c r="A298" s="734" t="s">
        <v>0</v>
      </c>
      <c r="B298" s="735" t="s">
        <v>1704</v>
      </c>
      <c r="C298" s="678" t="e">
        <f>#REF!</f>
        <v>#REF!</v>
      </c>
      <c r="D298" s="662" t="s">
        <v>799</v>
      </c>
      <c r="E298" s="663" t="s">
        <v>864</v>
      </c>
      <c r="F298" s="633"/>
      <c r="G298" s="664"/>
      <c r="H298" s="664"/>
      <c r="I298" s="664"/>
      <c r="J298" s="664"/>
      <c r="K298" s="664"/>
      <c r="L298" s="664"/>
      <c r="M298" s="664"/>
      <c r="O298" s="631"/>
    </row>
    <row r="299" spans="1:16" ht="12.75" customHeight="1" x14ac:dyDescent="0.2">
      <c r="A299" s="736"/>
      <c r="B299" s="737"/>
      <c r="C299" s="665" t="s">
        <v>897</v>
      </c>
      <c r="E299" s="730">
        <v>24</v>
      </c>
      <c r="F299" s="662"/>
      <c r="G299" s="631"/>
      <c r="H299" s="631"/>
      <c r="I299" s="631"/>
      <c r="J299" s="631"/>
      <c r="K299" s="631"/>
      <c r="L299" s="631"/>
      <c r="M299" s="631"/>
      <c r="N299" s="666" t="s">
        <v>799</v>
      </c>
      <c r="O299" s="631">
        <f>E299</f>
        <v>24</v>
      </c>
      <c r="P299" s="630" t="s">
        <v>6</v>
      </c>
    </row>
    <row r="300" spans="1:16" x14ac:dyDescent="0.2">
      <c r="A300" s="736"/>
      <c r="B300" s="737"/>
      <c r="C300" s="665" t="s">
        <v>892</v>
      </c>
      <c r="E300" s="730">
        <v>6</v>
      </c>
      <c r="F300" s="662"/>
      <c r="G300" s="631"/>
      <c r="H300" s="631"/>
      <c r="I300" s="631"/>
      <c r="J300" s="631"/>
      <c r="K300" s="631"/>
      <c r="L300" s="631"/>
      <c r="M300" s="631"/>
      <c r="N300" s="666" t="s">
        <v>799</v>
      </c>
      <c r="O300" s="631">
        <f t="shared" ref="O300:O301" si="17">E300</f>
        <v>6</v>
      </c>
      <c r="P300" s="630" t="s">
        <v>6</v>
      </c>
    </row>
    <row r="301" spans="1:16" ht="13.5" thickBot="1" x14ac:dyDescent="0.25">
      <c r="A301" s="736"/>
      <c r="B301" s="737"/>
      <c r="C301" s="665" t="s">
        <v>896</v>
      </c>
      <c r="E301" s="730">
        <v>50</v>
      </c>
      <c r="F301" s="662"/>
      <c r="G301" s="631"/>
      <c r="H301" s="631"/>
      <c r="I301" s="631"/>
      <c r="J301" s="631"/>
      <c r="K301" s="631"/>
      <c r="L301" s="631"/>
      <c r="M301" s="631"/>
      <c r="N301" s="666" t="s">
        <v>799</v>
      </c>
      <c r="O301" s="631">
        <f t="shared" si="17"/>
        <v>50</v>
      </c>
      <c r="P301" s="630" t="s">
        <v>6</v>
      </c>
    </row>
    <row r="302" spans="1:16" ht="13.5" thickBot="1" x14ac:dyDescent="0.25">
      <c r="A302" s="736"/>
      <c r="B302" s="737"/>
      <c r="C302" s="667"/>
      <c r="F302" s="666"/>
      <c r="G302" s="631"/>
      <c r="H302" s="631"/>
      <c r="I302" s="631"/>
      <c r="J302" s="631"/>
      <c r="K302" s="631"/>
      <c r="L302" s="631"/>
      <c r="M302" s="631"/>
      <c r="N302" s="666"/>
      <c r="O302" s="668">
        <f>ROUND((SUM(O299:O301)),2)</f>
        <v>80</v>
      </c>
      <c r="P302" s="669" t="s">
        <v>6</v>
      </c>
    </row>
    <row r="303" spans="1:16" x14ac:dyDescent="0.2">
      <c r="A303" s="734" t="s">
        <v>0</v>
      </c>
      <c r="B303" s="735" t="s">
        <v>1705</v>
      </c>
      <c r="C303" s="678" t="e">
        <f>#REF!</f>
        <v>#REF!</v>
      </c>
      <c r="D303" s="662" t="s">
        <v>799</v>
      </c>
      <c r="E303" s="663" t="s">
        <v>864</v>
      </c>
      <c r="F303" s="633"/>
      <c r="G303" s="664"/>
      <c r="H303" s="664"/>
      <c r="I303" s="664"/>
      <c r="J303" s="664"/>
      <c r="K303" s="664"/>
      <c r="L303" s="664"/>
      <c r="M303" s="664"/>
      <c r="O303" s="631"/>
    </row>
    <row r="304" spans="1:16" ht="13.5" thickBot="1" x14ac:dyDescent="0.25">
      <c r="A304" s="734"/>
      <c r="B304" s="735"/>
      <c r="C304" s="665" t="s">
        <v>1695</v>
      </c>
      <c r="E304" s="730">
        <v>12</v>
      </c>
      <c r="F304" s="662"/>
      <c r="G304" s="631"/>
      <c r="H304" s="631"/>
      <c r="I304" s="631"/>
      <c r="J304" s="631"/>
      <c r="K304" s="631"/>
      <c r="L304" s="631"/>
      <c r="M304" s="631"/>
      <c r="N304" s="666" t="s">
        <v>799</v>
      </c>
      <c r="O304" s="631">
        <f>E304</f>
        <v>12</v>
      </c>
      <c r="P304" s="630" t="s">
        <v>6</v>
      </c>
    </row>
    <row r="305" spans="1:16" ht="13.5" thickBot="1" x14ac:dyDescent="0.25">
      <c r="A305" s="736"/>
      <c r="B305" s="737"/>
      <c r="C305" s="667"/>
      <c r="F305" s="666"/>
      <c r="G305" s="631"/>
      <c r="H305" s="631"/>
      <c r="I305" s="631"/>
      <c r="J305" s="631"/>
      <c r="K305" s="631"/>
      <c r="L305" s="631"/>
      <c r="M305" s="631"/>
      <c r="N305" s="666"/>
      <c r="O305" s="668">
        <f>ROUND((SUM(O304:O304)),2)</f>
        <v>12</v>
      </c>
      <c r="P305" s="669" t="s">
        <v>6</v>
      </c>
    </row>
    <row r="306" spans="1:16" x14ac:dyDescent="0.2">
      <c r="A306" s="736"/>
      <c r="B306" s="737"/>
      <c r="C306" s="667"/>
      <c r="F306" s="666"/>
      <c r="G306" s="631"/>
      <c r="H306" s="631"/>
      <c r="I306" s="631"/>
      <c r="J306" s="631"/>
      <c r="K306" s="631"/>
      <c r="L306" s="631"/>
      <c r="M306" s="631"/>
      <c r="N306" s="666"/>
      <c r="O306" s="632"/>
      <c r="P306" s="633"/>
    </row>
    <row r="307" spans="1:16" x14ac:dyDescent="0.2">
      <c r="A307" s="736"/>
      <c r="B307" s="737"/>
      <c r="C307" s="667"/>
      <c r="F307" s="666"/>
      <c r="G307" s="631"/>
      <c r="H307" s="631"/>
      <c r="I307" s="631"/>
      <c r="J307" s="631"/>
      <c r="K307" s="631"/>
      <c r="L307" s="631"/>
      <c r="M307" s="631"/>
      <c r="N307" s="666"/>
      <c r="O307" s="632"/>
      <c r="P307" s="633"/>
    </row>
    <row r="308" spans="1:16" x14ac:dyDescent="0.2">
      <c r="A308" s="736"/>
      <c r="B308" s="737"/>
      <c r="C308" s="667"/>
      <c r="F308" s="666"/>
      <c r="G308" s="631"/>
      <c r="H308" s="631"/>
      <c r="I308" s="631"/>
      <c r="J308" s="631"/>
      <c r="K308" s="631"/>
      <c r="L308" s="631"/>
      <c r="M308" s="631"/>
      <c r="N308" s="666"/>
      <c r="O308" s="632"/>
      <c r="P308" s="633"/>
    </row>
    <row r="309" spans="1:16" x14ac:dyDescent="0.2">
      <c r="A309" s="736"/>
      <c r="B309" s="737"/>
      <c r="C309" s="667"/>
      <c r="F309" s="666"/>
      <c r="G309" s="631"/>
      <c r="H309" s="631"/>
      <c r="I309" s="631"/>
      <c r="J309" s="631"/>
      <c r="K309" s="631"/>
      <c r="L309" s="631"/>
      <c r="M309" s="631"/>
      <c r="N309" s="666"/>
      <c r="O309" s="632"/>
      <c r="P309" s="633"/>
    </row>
    <row r="310" spans="1:16" x14ac:dyDescent="0.2">
      <c r="A310" s="736"/>
      <c r="B310" s="737"/>
      <c r="C310" s="667"/>
      <c r="F310" s="666"/>
      <c r="G310" s="631"/>
      <c r="H310" s="631"/>
      <c r="I310" s="631"/>
      <c r="J310" s="631"/>
      <c r="K310" s="631"/>
      <c r="L310" s="631"/>
      <c r="M310" s="631"/>
      <c r="N310" s="666"/>
      <c r="O310" s="632"/>
      <c r="P310" s="633"/>
    </row>
    <row r="311" spans="1:16" x14ac:dyDescent="0.2">
      <c r="A311" s="736"/>
      <c r="B311" s="737"/>
      <c r="C311" s="667"/>
      <c r="F311" s="666"/>
      <c r="G311" s="631"/>
      <c r="H311" s="631"/>
      <c r="I311" s="631"/>
      <c r="J311" s="631"/>
      <c r="K311" s="631"/>
      <c r="L311" s="631"/>
      <c r="M311" s="631"/>
      <c r="N311" s="666"/>
      <c r="O311" s="632"/>
      <c r="P311" s="633"/>
    </row>
    <row r="312" spans="1:16" x14ac:dyDescent="0.2">
      <c r="A312" s="736"/>
      <c r="B312" s="737"/>
      <c r="C312" s="667"/>
      <c r="F312" s="666"/>
      <c r="G312" s="631"/>
      <c r="H312" s="631"/>
      <c r="I312" s="631"/>
      <c r="J312" s="631"/>
      <c r="K312" s="631"/>
      <c r="L312" s="631"/>
      <c r="M312" s="631"/>
      <c r="N312" s="666"/>
      <c r="O312" s="632"/>
      <c r="P312" s="633"/>
    </row>
    <row r="313" spans="1:16" x14ac:dyDescent="0.2">
      <c r="A313" s="736"/>
      <c r="B313" s="737"/>
      <c r="C313" s="667"/>
      <c r="F313" s="666"/>
      <c r="G313" s="631"/>
      <c r="H313" s="631"/>
      <c r="I313" s="631"/>
      <c r="J313" s="631"/>
      <c r="K313" s="631"/>
      <c r="L313" s="631"/>
      <c r="M313" s="631"/>
      <c r="N313" s="666"/>
      <c r="O313" s="632"/>
      <c r="P313" s="633"/>
    </row>
    <row r="314" spans="1:16" x14ac:dyDescent="0.2">
      <c r="A314" s="736"/>
      <c r="B314" s="737"/>
      <c r="C314" s="667"/>
      <c r="F314" s="666"/>
      <c r="G314" s="631"/>
      <c r="H314" s="631"/>
      <c r="I314" s="631"/>
      <c r="J314" s="631"/>
      <c r="K314" s="631"/>
      <c r="L314" s="631"/>
      <c r="M314" s="631"/>
      <c r="N314" s="666"/>
      <c r="O314" s="632"/>
      <c r="P314" s="633"/>
    </row>
    <row r="315" spans="1:16" x14ac:dyDescent="0.2">
      <c r="A315" s="736"/>
      <c r="B315" s="737"/>
      <c r="C315" s="667"/>
      <c r="F315" s="666"/>
      <c r="G315" s="631"/>
      <c r="H315" s="631"/>
      <c r="I315" s="631"/>
      <c r="J315" s="631"/>
      <c r="K315" s="631"/>
      <c r="L315" s="631"/>
      <c r="M315" s="631"/>
      <c r="N315" s="666"/>
      <c r="O315" s="632"/>
      <c r="P315" s="633"/>
    </row>
    <row r="316" spans="1:16" x14ac:dyDescent="0.2">
      <c r="A316" s="736"/>
      <c r="B316" s="737"/>
      <c r="C316" s="667"/>
      <c r="F316" s="666"/>
      <c r="G316" s="631"/>
      <c r="H316" s="631"/>
      <c r="I316" s="631"/>
      <c r="J316" s="631"/>
      <c r="K316" s="631"/>
      <c r="L316" s="631"/>
      <c r="M316" s="631"/>
      <c r="N316" s="666"/>
      <c r="O316" s="632"/>
      <c r="P316" s="633"/>
    </row>
    <row r="317" spans="1:16" ht="15.75" x14ac:dyDescent="0.2">
      <c r="A317" s="1911" t="s">
        <v>1588</v>
      </c>
      <c r="B317" s="1912"/>
      <c r="C317" s="1912"/>
      <c r="D317" s="1912"/>
      <c r="E317" s="1912"/>
      <c r="F317" s="1912"/>
      <c r="G317" s="1912"/>
      <c r="H317" s="1912"/>
      <c r="I317" s="1912"/>
      <c r="J317" s="1912"/>
      <c r="K317" s="1912"/>
      <c r="L317" s="1912"/>
      <c r="M317" s="1912"/>
      <c r="N317" s="1912"/>
      <c r="O317" s="1912"/>
      <c r="P317" s="1912"/>
    </row>
    <row r="318" spans="1:16" x14ac:dyDescent="0.2">
      <c r="A318"/>
      <c r="B318" s="793"/>
      <c r="C318" s="793"/>
      <c r="D318"/>
      <c r="E318" s="481"/>
      <c r="F318" s="794"/>
      <c r="G318" s="795"/>
      <c r="H318" s="795"/>
      <c r="I318" s="795"/>
      <c r="J318" s="795"/>
      <c r="K318" s="795"/>
      <c r="L318" s="795"/>
      <c r="M318" s="795"/>
      <c r="N318" s="794"/>
      <c r="O318" s="795"/>
      <c r="P318" s="796"/>
    </row>
    <row r="319" spans="1:16" ht="15.75" x14ac:dyDescent="0.2">
      <c r="A319" s="797"/>
      <c r="B319" s="931" t="s">
        <v>1244</v>
      </c>
      <c r="C319" s="932" t="s">
        <v>1589</v>
      </c>
      <c r="D319" s="799"/>
      <c r="E319" s="800"/>
      <c r="F319" s="801"/>
      <c r="G319" s="802"/>
      <c r="H319" s="802"/>
      <c r="I319" s="802"/>
      <c r="J319" s="802"/>
      <c r="K319" s="802"/>
      <c r="L319" s="802"/>
      <c r="M319" s="802"/>
      <c r="N319" s="801"/>
      <c r="O319" s="802"/>
      <c r="P319" s="803"/>
    </row>
    <row r="320" spans="1:16" ht="15.75" x14ac:dyDescent="0.2">
      <c r="A320" s="797"/>
      <c r="B320" s="798"/>
      <c r="C320" s="788" t="s">
        <v>1159</v>
      </c>
      <c r="D320" s="799"/>
      <c r="E320" s="800"/>
      <c r="F320" s="801"/>
      <c r="G320" s="802"/>
      <c r="H320" s="802"/>
      <c r="I320" s="802"/>
      <c r="J320" s="802"/>
      <c r="K320" s="802"/>
      <c r="L320" s="802"/>
      <c r="M320" s="802"/>
      <c r="N320" s="801"/>
      <c r="O320" s="802"/>
      <c r="P320" s="803"/>
    </row>
    <row r="321" spans="1:16" x14ac:dyDescent="0.2">
      <c r="A321" s="797"/>
      <c r="B321" s="804"/>
      <c r="C321" s="804"/>
      <c r="D321"/>
      <c r="E321" s="481"/>
      <c r="F321" s="794"/>
      <c r="G321" s="795"/>
      <c r="H321" s="795"/>
      <c r="I321" s="795"/>
      <c r="J321" s="795"/>
      <c r="K321" s="795"/>
      <c r="L321" s="795"/>
      <c r="M321" s="795"/>
      <c r="N321" s="794"/>
      <c r="O321" s="795"/>
      <c r="P321" s="796"/>
    </row>
    <row r="322" spans="1:16" ht="48" customHeight="1" x14ac:dyDescent="0.2">
      <c r="A322" s="805" t="s">
        <v>0</v>
      </c>
      <c r="B322" s="806" t="s">
        <v>1245</v>
      </c>
      <c r="C322" s="807" t="e">
        <f>#REF!</f>
        <v>#REF!</v>
      </c>
      <c r="D322" s="808" t="s">
        <v>799</v>
      </c>
      <c r="E322" s="809" t="s">
        <v>864</v>
      </c>
      <c r="F322" s="810"/>
      <c r="G322" s="811" t="s">
        <v>865</v>
      </c>
      <c r="H322" s="811"/>
      <c r="I322" s="811" t="s">
        <v>628</v>
      </c>
      <c r="J322" s="811"/>
      <c r="K322" s="811"/>
      <c r="L322" s="811"/>
      <c r="M322" s="811"/>
      <c r="N322" s="794"/>
      <c r="O322" s="812"/>
      <c r="P322" s="796"/>
    </row>
    <row r="323" spans="1:16" ht="13.5" thickBot="1" x14ac:dyDescent="0.25">
      <c r="A323" s="797"/>
      <c r="B323" s="804"/>
      <c r="C323" s="813" t="s">
        <v>1589</v>
      </c>
      <c r="D323"/>
      <c r="E323" s="481">
        <v>18.3</v>
      </c>
      <c r="F323" s="808" t="s">
        <v>866</v>
      </c>
      <c r="G323" s="812">
        <v>9.3000000000000007</v>
      </c>
      <c r="H323" s="812" t="s">
        <v>866</v>
      </c>
      <c r="I323" s="812">
        <v>1</v>
      </c>
      <c r="J323" s="812"/>
      <c r="K323" s="812"/>
      <c r="L323" s="812"/>
      <c r="M323" s="812"/>
      <c r="N323" s="814" t="s">
        <v>799</v>
      </c>
      <c r="O323" s="812">
        <f>E323*G323*I323</f>
        <v>170.19000000000003</v>
      </c>
      <c r="P323" s="794" t="s">
        <v>4</v>
      </c>
    </row>
    <row r="324" spans="1:16" ht="13.5" thickBot="1" x14ac:dyDescent="0.25">
      <c r="A324" s="797"/>
      <c r="B324" s="804"/>
      <c r="C324" s="815"/>
      <c r="D324"/>
      <c r="E324" s="481"/>
      <c r="F324" s="814"/>
      <c r="G324" s="812"/>
      <c r="H324" s="812"/>
      <c r="I324" s="812"/>
      <c r="J324" s="812"/>
      <c r="K324" s="812"/>
      <c r="L324" s="812"/>
      <c r="M324" s="812"/>
      <c r="N324" s="814"/>
      <c r="O324" s="816">
        <f>ROUND((SUM(O323:O323)),2)</f>
        <v>170.19</v>
      </c>
      <c r="P324" s="817" t="s">
        <v>4</v>
      </c>
    </row>
    <row r="325" spans="1:16" x14ac:dyDescent="0.2">
      <c r="A325" s="734" t="s">
        <v>0</v>
      </c>
      <c r="B325" s="735" t="s">
        <v>1246</v>
      </c>
      <c r="C325" s="678" t="e">
        <f>#REF!</f>
        <v>#REF!</v>
      </c>
      <c r="D325" s="662" t="s">
        <v>799</v>
      </c>
      <c r="E325" s="663" t="s">
        <v>864</v>
      </c>
      <c r="F325" s="633"/>
      <c r="G325" s="664" t="s">
        <v>865</v>
      </c>
      <c r="H325" s="664"/>
      <c r="I325" s="664" t="s">
        <v>883</v>
      </c>
      <c r="J325" s="664"/>
      <c r="K325" s="664" t="s">
        <v>628</v>
      </c>
      <c r="L325" s="664"/>
      <c r="M325" s="664"/>
      <c r="O325" s="631"/>
    </row>
    <row r="326" spans="1:16" x14ac:dyDescent="0.2">
      <c r="A326" s="736"/>
      <c r="B326" s="737"/>
      <c r="C326" s="813" t="s">
        <v>1590</v>
      </c>
      <c r="D326"/>
      <c r="E326" s="481">
        <v>18.3</v>
      </c>
      <c r="F326" s="808" t="s">
        <v>866</v>
      </c>
      <c r="G326" s="818">
        <v>9.3000000000000007</v>
      </c>
      <c r="H326" s="819" t="s">
        <v>866</v>
      </c>
      <c r="I326" s="818">
        <v>0.4</v>
      </c>
      <c r="J326" s="819" t="s">
        <v>866</v>
      </c>
      <c r="K326" s="818">
        <v>1</v>
      </c>
      <c r="L326" s="631"/>
      <c r="M326" s="631"/>
      <c r="N326" s="666" t="s">
        <v>799</v>
      </c>
      <c r="O326" s="631">
        <f t="shared" ref="O326:O332" si="18">E326*G326*I326*K326</f>
        <v>68.076000000000008</v>
      </c>
      <c r="P326" s="630" t="s">
        <v>12</v>
      </c>
    </row>
    <row r="327" spans="1:16" x14ac:dyDescent="0.2">
      <c r="A327" s="736"/>
      <c r="B327" s="737"/>
      <c r="C327" s="813" t="s">
        <v>1591</v>
      </c>
      <c r="D327"/>
      <c r="E327" s="481">
        <v>1.4</v>
      </c>
      <c r="F327" s="808" t="s">
        <v>866</v>
      </c>
      <c r="G327" s="818">
        <v>1.4</v>
      </c>
      <c r="H327" s="819" t="s">
        <v>866</v>
      </c>
      <c r="I327" s="818">
        <v>0.7</v>
      </c>
      <c r="J327" s="819" t="s">
        <v>866</v>
      </c>
      <c r="K327" s="818">
        <v>15</v>
      </c>
      <c r="L327" s="631"/>
      <c r="M327" s="631"/>
      <c r="N327" s="666" t="s">
        <v>799</v>
      </c>
      <c r="O327" s="631">
        <f t="shared" si="18"/>
        <v>20.579999999999995</v>
      </c>
      <c r="P327" s="630" t="s">
        <v>12</v>
      </c>
    </row>
    <row r="328" spans="1:16" x14ac:dyDescent="0.2">
      <c r="A328" s="736"/>
      <c r="B328" s="737"/>
      <c r="C328" s="933" t="s">
        <v>1592</v>
      </c>
      <c r="D328"/>
      <c r="E328" s="481">
        <v>2.5</v>
      </c>
      <c r="F328" s="808" t="s">
        <v>866</v>
      </c>
      <c r="G328" s="818">
        <v>0.7</v>
      </c>
      <c r="H328" s="819" t="s">
        <v>866</v>
      </c>
      <c r="I328" s="818">
        <v>0.35</v>
      </c>
      <c r="J328" s="819" t="s">
        <v>866</v>
      </c>
      <c r="K328" s="818">
        <v>10</v>
      </c>
      <c r="L328" s="631"/>
      <c r="M328" s="631"/>
      <c r="N328" s="666" t="s">
        <v>799</v>
      </c>
      <c r="O328" s="631">
        <f t="shared" si="18"/>
        <v>6.1249999999999991</v>
      </c>
      <c r="P328" s="630" t="s">
        <v>12</v>
      </c>
    </row>
    <row r="329" spans="1:16" x14ac:dyDescent="0.2">
      <c r="A329" s="736"/>
      <c r="B329" s="737"/>
      <c r="C329" s="933"/>
      <c r="D329"/>
      <c r="E329" s="481">
        <v>3.2</v>
      </c>
      <c r="F329" s="808" t="s">
        <v>866</v>
      </c>
      <c r="G329" s="818">
        <v>0.7</v>
      </c>
      <c r="H329" s="819" t="s">
        <v>866</v>
      </c>
      <c r="I329" s="818">
        <v>0.35</v>
      </c>
      <c r="J329" s="819" t="s">
        <v>866</v>
      </c>
      <c r="K329" s="818">
        <v>2</v>
      </c>
      <c r="L329" s="631"/>
      <c r="M329" s="631"/>
      <c r="N329" s="666" t="s">
        <v>799</v>
      </c>
      <c r="O329" s="631">
        <f t="shared" si="18"/>
        <v>1.5679999999999998</v>
      </c>
      <c r="P329" s="630"/>
    </row>
    <row r="330" spans="1:16" x14ac:dyDescent="0.2">
      <c r="A330" s="736"/>
      <c r="B330" s="737"/>
      <c r="C330" s="933" t="s">
        <v>1593</v>
      </c>
      <c r="D330"/>
      <c r="E330" s="481">
        <v>3</v>
      </c>
      <c r="F330" s="808" t="s">
        <v>866</v>
      </c>
      <c r="G330" s="818">
        <v>0.7</v>
      </c>
      <c r="H330" s="819" t="s">
        <v>866</v>
      </c>
      <c r="I330" s="818">
        <v>0.35</v>
      </c>
      <c r="J330" s="819" t="s">
        <v>866</v>
      </c>
      <c r="K330" s="818">
        <v>12</v>
      </c>
      <c r="L330" s="631"/>
      <c r="M330" s="631"/>
      <c r="N330" s="666" t="s">
        <v>799</v>
      </c>
      <c r="O330" s="631">
        <f t="shared" si="18"/>
        <v>8.8199999999999985</v>
      </c>
      <c r="P330" s="630" t="s">
        <v>12</v>
      </c>
    </row>
    <row r="331" spans="1:16" x14ac:dyDescent="0.2">
      <c r="A331" s="736"/>
      <c r="B331" s="737"/>
      <c r="C331" s="933"/>
      <c r="D331"/>
      <c r="E331" s="481">
        <v>3.7</v>
      </c>
      <c r="F331" s="808" t="s">
        <v>866</v>
      </c>
      <c r="G331" s="818">
        <v>0.7</v>
      </c>
      <c r="H331" s="819" t="s">
        <v>866</v>
      </c>
      <c r="I331" s="818">
        <v>0.35</v>
      </c>
      <c r="J331" s="819" t="s">
        <v>866</v>
      </c>
      <c r="K331" s="818">
        <v>1</v>
      </c>
      <c r="L331" s="631"/>
      <c r="M331" s="631"/>
      <c r="N331" s="666" t="s">
        <v>799</v>
      </c>
      <c r="O331" s="631">
        <f t="shared" si="18"/>
        <v>0.90649999999999986</v>
      </c>
      <c r="P331" s="630"/>
    </row>
    <row r="332" spans="1:16" ht="13.5" thickBot="1" x14ac:dyDescent="0.25">
      <c r="A332" s="736"/>
      <c r="B332" s="737"/>
      <c r="C332" s="665" t="s">
        <v>917</v>
      </c>
      <c r="E332" s="661">
        <v>126</v>
      </c>
      <c r="F332" s="662" t="s">
        <v>866</v>
      </c>
      <c r="G332" s="631">
        <v>0.3</v>
      </c>
      <c r="H332" s="631" t="s">
        <v>866</v>
      </c>
      <c r="I332" s="631">
        <v>0.8</v>
      </c>
      <c r="J332" s="631" t="s">
        <v>866</v>
      </c>
      <c r="K332" s="631">
        <v>1</v>
      </c>
      <c r="L332" s="631"/>
      <c r="M332" s="631"/>
      <c r="N332" s="666" t="s">
        <v>799</v>
      </c>
      <c r="O332" s="631">
        <f t="shared" si="18"/>
        <v>30.24</v>
      </c>
      <c r="P332" s="630" t="s">
        <v>12</v>
      </c>
    </row>
    <row r="333" spans="1:16" ht="13.5" thickBot="1" x14ac:dyDescent="0.25">
      <c r="A333" s="736"/>
      <c r="B333" s="737"/>
      <c r="C333" s="667"/>
      <c r="F333" s="666"/>
      <c r="G333" s="631"/>
      <c r="H333" s="631"/>
      <c r="I333" s="631"/>
      <c r="J333" s="631"/>
      <c r="K333" s="631"/>
      <c r="L333" s="631"/>
      <c r="M333" s="631"/>
      <c r="N333" s="666"/>
      <c r="O333" s="668">
        <f>ROUND((SUM(O326:O332)),2)</f>
        <v>136.32</v>
      </c>
      <c r="P333" s="669" t="s">
        <v>12</v>
      </c>
    </row>
    <row r="334" spans="1:16" ht="82.5" customHeight="1" x14ac:dyDescent="0.2">
      <c r="A334" s="734" t="s">
        <v>0</v>
      </c>
      <c r="B334" s="735" t="s">
        <v>1247</v>
      </c>
      <c r="C334" s="678" t="e">
        <f>#REF!</f>
        <v>#REF!</v>
      </c>
      <c r="D334" s="662" t="s">
        <v>799</v>
      </c>
      <c r="E334" s="663" t="s">
        <v>864</v>
      </c>
      <c r="F334" s="633"/>
      <c r="G334" s="664" t="s">
        <v>865</v>
      </c>
      <c r="H334" s="664"/>
      <c r="I334" s="664" t="s">
        <v>883</v>
      </c>
      <c r="J334" s="664"/>
      <c r="K334" s="664" t="s">
        <v>628</v>
      </c>
      <c r="L334" s="664"/>
      <c r="M334" s="664" t="s">
        <v>977</v>
      </c>
      <c r="O334" s="631"/>
    </row>
    <row r="335" spans="1:16" x14ac:dyDescent="0.2">
      <c r="A335" s="736"/>
      <c r="B335" s="737"/>
      <c r="C335" s="813" t="s">
        <v>1590</v>
      </c>
      <c r="D335"/>
      <c r="E335" s="481">
        <v>18.3</v>
      </c>
      <c r="F335" s="808" t="s">
        <v>866</v>
      </c>
      <c r="G335" s="818">
        <v>9.3000000000000007</v>
      </c>
      <c r="H335" s="819" t="s">
        <v>866</v>
      </c>
      <c r="I335" s="818">
        <v>0.4</v>
      </c>
      <c r="J335" s="819" t="s">
        <v>866</v>
      </c>
      <c r="K335" s="818">
        <v>1</v>
      </c>
      <c r="L335" s="631" t="s">
        <v>866</v>
      </c>
      <c r="M335" s="631">
        <v>5</v>
      </c>
      <c r="N335" s="666" t="s">
        <v>799</v>
      </c>
      <c r="O335" s="631">
        <f>E335*G335*I335*K335*M335</f>
        <v>340.38000000000005</v>
      </c>
      <c r="P335" s="630" t="s">
        <v>976</v>
      </c>
    </row>
    <row r="336" spans="1:16" x14ac:dyDescent="0.2">
      <c r="A336" s="736"/>
      <c r="B336" s="737"/>
      <c r="C336" s="813" t="s">
        <v>1591</v>
      </c>
      <c r="D336"/>
      <c r="E336" s="481">
        <v>1.4</v>
      </c>
      <c r="F336" s="808" t="s">
        <v>866</v>
      </c>
      <c r="G336" s="818">
        <v>1.4</v>
      </c>
      <c r="H336" s="819" t="s">
        <v>866</v>
      </c>
      <c r="I336" s="818">
        <v>0.7</v>
      </c>
      <c r="J336" s="819" t="s">
        <v>866</v>
      </c>
      <c r="K336" s="818">
        <v>15</v>
      </c>
      <c r="L336" s="631" t="s">
        <v>866</v>
      </c>
      <c r="M336" s="631">
        <v>5</v>
      </c>
      <c r="N336" s="666" t="s">
        <v>799</v>
      </c>
      <c r="O336" s="631">
        <f>E336*G336*I336*K336*M336</f>
        <v>102.89999999999998</v>
      </c>
      <c r="P336" s="630" t="s">
        <v>976</v>
      </c>
    </row>
    <row r="337" spans="1:16" x14ac:dyDescent="0.2">
      <c r="A337" s="736"/>
      <c r="B337" s="737"/>
      <c r="C337" s="933" t="s">
        <v>1592</v>
      </c>
      <c r="D337"/>
      <c r="E337" s="481">
        <v>2.5</v>
      </c>
      <c r="F337" s="808" t="s">
        <v>866</v>
      </c>
      <c r="G337" s="818">
        <v>0.7</v>
      </c>
      <c r="H337" s="819" t="s">
        <v>866</v>
      </c>
      <c r="I337" s="818">
        <v>0.35</v>
      </c>
      <c r="J337" s="819" t="s">
        <v>866</v>
      </c>
      <c r="K337" s="818">
        <v>10</v>
      </c>
      <c r="L337" s="631" t="s">
        <v>866</v>
      </c>
      <c r="M337" s="631">
        <v>5</v>
      </c>
      <c r="N337" s="666" t="s">
        <v>799</v>
      </c>
      <c r="O337" s="631">
        <f>E337*G337*I337*K337*M337</f>
        <v>30.624999999999996</v>
      </c>
      <c r="P337" s="630" t="s">
        <v>976</v>
      </c>
    </row>
    <row r="338" spans="1:16" x14ac:dyDescent="0.2">
      <c r="A338" s="736"/>
      <c r="B338" s="737"/>
      <c r="C338" s="933"/>
      <c r="D338"/>
      <c r="E338" s="481">
        <v>3.2</v>
      </c>
      <c r="F338" s="808" t="s">
        <v>866</v>
      </c>
      <c r="G338" s="818">
        <v>0.7</v>
      </c>
      <c r="H338" s="819" t="s">
        <v>866</v>
      </c>
      <c r="I338" s="818">
        <v>0.35</v>
      </c>
      <c r="J338" s="819" t="s">
        <v>866</v>
      </c>
      <c r="K338" s="818">
        <v>2</v>
      </c>
      <c r="L338" s="631" t="s">
        <v>866</v>
      </c>
      <c r="M338" s="631">
        <v>5</v>
      </c>
      <c r="N338" s="666" t="s">
        <v>799</v>
      </c>
      <c r="O338" s="631">
        <f>E338*G338*I338*K338*M338</f>
        <v>7.839999999999999</v>
      </c>
      <c r="P338" s="630" t="s">
        <v>976</v>
      </c>
    </row>
    <row r="339" spans="1:16" x14ac:dyDescent="0.2">
      <c r="A339" s="736"/>
      <c r="B339" s="737"/>
      <c r="C339" s="933" t="s">
        <v>1593</v>
      </c>
      <c r="D339"/>
      <c r="E339" s="481">
        <v>3</v>
      </c>
      <c r="F339" s="808" t="s">
        <v>866</v>
      </c>
      <c r="G339" s="818">
        <v>0.7</v>
      </c>
      <c r="H339" s="819" t="s">
        <v>866</v>
      </c>
      <c r="I339" s="818">
        <v>0.35</v>
      </c>
      <c r="J339" s="819" t="s">
        <v>866</v>
      </c>
      <c r="K339" s="818">
        <v>12</v>
      </c>
      <c r="L339" s="631" t="s">
        <v>866</v>
      </c>
      <c r="M339" s="631">
        <v>5</v>
      </c>
      <c r="N339" s="666" t="s">
        <v>799</v>
      </c>
      <c r="O339" s="631">
        <f>E339*G339*I339*K339*M339</f>
        <v>44.099999999999994</v>
      </c>
      <c r="P339" s="630" t="s">
        <v>976</v>
      </c>
    </row>
    <row r="340" spans="1:16" x14ac:dyDescent="0.2">
      <c r="A340" s="736"/>
      <c r="B340" s="737"/>
      <c r="C340" s="933"/>
      <c r="D340"/>
      <c r="E340" s="481">
        <v>3.7</v>
      </c>
      <c r="F340" s="808" t="s">
        <v>866</v>
      </c>
      <c r="G340" s="818">
        <v>0.7</v>
      </c>
      <c r="H340" s="819" t="s">
        <v>866</v>
      </c>
      <c r="I340" s="818">
        <v>0.35</v>
      </c>
      <c r="J340" s="819" t="s">
        <v>866</v>
      </c>
      <c r="K340" s="818">
        <v>1</v>
      </c>
      <c r="L340" s="631" t="s">
        <v>866</v>
      </c>
      <c r="M340" s="631">
        <v>5</v>
      </c>
      <c r="N340" s="666" t="s">
        <v>799</v>
      </c>
      <c r="O340" s="631">
        <f t="shared" ref="O340:O341" si="19">E340*G340*I340*K340*M340</f>
        <v>4.5324999999999989</v>
      </c>
      <c r="P340" s="630"/>
    </row>
    <row r="341" spans="1:16" ht="13.5" thickBot="1" x14ac:dyDescent="0.25">
      <c r="A341" s="736"/>
      <c r="B341" s="737"/>
      <c r="C341" s="665" t="s">
        <v>917</v>
      </c>
      <c r="E341" s="661">
        <v>126</v>
      </c>
      <c r="F341" s="662" t="s">
        <v>866</v>
      </c>
      <c r="G341" s="631">
        <v>0.3</v>
      </c>
      <c r="H341" s="631" t="s">
        <v>866</v>
      </c>
      <c r="I341" s="631">
        <v>0.8</v>
      </c>
      <c r="J341" s="631" t="s">
        <v>866</v>
      </c>
      <c r="K341" s="631">
        <v>1</v>
      </c>
      <c r="L341" s="631" t="s">
        <v>866</v>
      </c>
      <c r="M341" s="631">
        <v>5</v>
      </c>
      <c r="N341" s="666" t="s">
        <v>799</v>
      </c>
      <c r="O341" s="631">
        <f t="shared" si="19"/>
        <v>151.19999999999999</v>
      </c>
      <c r="P341" s="630"/>
    </row>
    <row r="342" spans="1:16" ht="13.5" thickBot="1" x14ac:dyDescent="0.25">
      <c r="A342" s="736"/>
      <c r="B342" s="737"/>
      <c r="C342" s="667"/>
      <c r="F342" s="666"/>
      <c r="G342" s="631"/>
      <c r="H342" s="631"/>
      <c r="I342" s="631"/>
      <c r="J342" s="631"/>
      <c r="K342" s="631"/>
      <c r="L342" s="631"/>
      <c r="M342" s="631"/>
      <c r="N342" s="666"/>
      <c r="O342" s="668">
        <f>ROUND((SUM(O335:O341)),2)</f>
        <v>681.58</v>
      </c>
      <c r="P342" s="669" t="s">
        <v>976</v>
      </c>
    </row>
    <row r="343" spans="1:16" x14ac:dyDescent="0.2">
      <c r="A343" s="734" t="s">
        <v>0</v>
      </c>
      <c r="B343" s="735" t="s">
        <v>1248</v>
      </c>
      <c r="C343" s="678" t="e">
        <f>#REF!</f>
        <v>#REF!</v>
      </c>
      <c r="D343" s="662" t="s">
        <v>799</v>
      </c>
      <c r="E343" s="663" t="s">
        <v>864</v>
      </c>
      <c r="F343" s="633"/>
      <c r="G343" s="664" t="s">
        <v>865</v>
      </c>
      <c r="H343" s="664"/>
      <c r="I343" s="664" t="s">
        <v>883</v>
      </c>
      <c r="J343" s="664"/>
      <c r="K343" s="664" t="s">
        <v>628</v>
      </c>
      <c r="L343" s="664"/>
      <c r="M343" s="664"/>
      <c r="O343" s="631"/>
    </row>
    <row r="344" spans="1:16" x14ac:dyDescent="0.2">
      <c r="A344" s="736"/>
      <c r="B344" s="737"/>
      <c r="C344" s="813" t="s">
        <v>1590</v>
      </c>
      <c r="D344"/>
      <c r="E344" s="481">
        <v>18.3</v>
      </c>
      <c r="F344" s="808" t="s">
        <v>866</v>
      </c>
      <c r="G344" s="818">
        <v>9.3000000000000007</v>
      </c>
      <c r="H344" s="819" t="s">
        <v>866</v>
      </c>
      <c r="I344" s="818">
        <v>0.2</v>
      </c>
      <c r="J344" s="819" t="s">
        <v>866</v>
      </c>
      <c r="K344" s="818">
        <v>1</v>
      </c>
      <c r="L344" s="631"/>
      <c r="M344" s="631"/>
      <c r="N344" s="666" t="s">
        <v>799</v>
      </c>
      <c r="O344" s="631">
        <f>E344*G344*I344*K344</f>
        <v>34.038000000000004</v>
      </c>
      <c r="P344" s="630" t="s">
        <v>12</v>
      </c>
    </row>
    <row r="345" spans="1:16" x14ac:dyDescent="0.2">
      <c r="A345" s="736"/>
      <c r="B345" s="737"/>
      <c r="C345" s="813" t="s">
        <v>1591</v>
      </c>
      <c r="D345"/>
      <c r="E345" s="481">
        <f>1.4+1.4+1+1</f>
        <v>4.8</v>
      </c>
      <c r="F345" s="808" t="s">
        <v>866</v>
      </c>
      <c r="G345" s="818">
        <v>0.2</v>
      </c>
      <c r="H345" s="819" t="s">
        <v>866</v>
      </c>
      <c r="I345" s="818">
        <v>0.65</v>
      </c>
      <c r="J345" s="819" t="s">
        <v>866</v>
      </c>
      <c r="K345" s="818">
        <v>15</v>
      </c>
      <c r="L345" s="631"/>
      <c r="M345" s="631"/>
      <c r="N345" s="666" t="s">
        <v>799</v>
      </c>
      <c r="O345" s="631">
        <f t="shared" ref="O345:O350" si="20">E345*G345*I345*K345</f>
        <v>9.36</v>
      </c>
      <c r="P345" s="630" t="s">
        <v>12</v>
      </c>
    </row>
    <row r="346" spans="1:16" x14ac:dyDescent="0.2">
      <c r="A346" s="736"/>
      <c r="B346" s="737"/>
      <c r="C346" s="933" t="s">
        <v>1592</v>
      </c>
      <c r="D346"/>
      <c r="E346" s="481">
        <v>2.5</v>
      </c>
      <c r="F346" s="808" t="s">
        <v>866</v>
      </c>
      <c r="G346" s="818">
        <f>0.2+0.2</f>
        <v>0.4</v>
      </c>
      <c r="H346" s="819" t="s">
        <v>866</v>
      </c>
      <c r="I346" s="818">
        <v>0.3</v>
      </c>
      <c r="J346" s="819" t="s">
        <v>866</v>
      </c>
      <c r="K346" s="818">
        <v>10</v>
      </c>
      <c r="L346" s="631"/>
      <c r="M346" s="631"/>
      <c r="N346" s="666" t="s">
        <v>799</v>
      </c>
      <c r="O346" s="631">
        <f t="shared" si="20"/>
        <v>3</v>
      </c>
      <c r="P346" s="630" t="s">
        <v>12</v>
      </c>
    </row>
    <row r="347" spans="1:16" x14ac:dyDescent="0.2">
      <c r="A347" s="736"/>
      <c r="B347" s="737"/>
      <c r="C347" s="933"/>
      <c r="D347"/>
      <c r="E347" s="481">
        <v>3.2</v>
      </c>
      <c r="F347" s="808" t="s">
        <v>866</v>
      </c>
      <c r="G347" s="818">
        <f>0.2+0.2</f>
        <v>0.4</v>
      </c>
      <c r="H347" s="819" t="s">
        <v>866</v>
      </c>
      <c r="I347" s="818">
        <v>0.3</v>
      </c>
      <c r="J347" s="819" t="s">
        <v>866</v>
      </c>
      <c r="K347" s="818">
        <v>2</v>
      </c>
      <c r="L347" s="631"/>
      <c r="M347" s="631"/>
      <c r="N347" s="666" t="s">
        <v>799</v>
      </c>
      <c r="O347" s="631">
        <f t="shared" si="20"/>
        <v>0.76800000000000013</v>
      </c>
      <c r="P347" s="630" t="s">
        <v>12</v>
      </c>
    </row>
    <row r="348" spans="1:16" x14ac:dyDescent="0.2">
      <c r="A348" s="736"/>
      <c r="B348" s="737"/>
      <c r="C348" s="933" t="s">
        <v>1593</v>
      </c>
      <c r="D348"/>
      <c r="E348" s="481">
        <v>3</v>
      </c>
      <c r="F348" s="808" t="s">
        <v>866</v>
      </c>
      <c r="G348" s="818">
        <f>0.2+0.2</f>
        <v>0.4</v>
      </c>
      <c r="H348" s="819" t="s">
        <v>866</v>
      </c>
      <c r="I348" s="818">
        <v>0.3</v>
      </c>
      <c r="J348" s="819" t="s">
        <v>866</v>
      </c>
      <c r="K348" s="818">
        <v>12</v>
      </c>
      <c r="L348" s="631"/>
      <c r="M348" s="631"/>
      <c r="N348" s="666" t="s">
        <v>799</v>
      </c>
      <c r="O348" s="631">
        <f t="shared" si="20"/>
        <v>4.32</v>
      </c>
      <c r="P348" s="630" t="s">
        <v>12</v>
      </c>
    </row>
    <row r="349" spans="1:16" x14ac:dyDescent="0.2">
      <c r="A349" s="736"/>
      <c r="B349" s="737"/>
      <c r="C349" s="933"/>
      <c r="D349"/>
      <c r="E349" s="481">
        <v>3.7</v>
      </c>
      <c r="F349" s="808" t="s">
        <v>866</v>
      </c>
      <c r="G349" s="818">
        <f>0.2+0.2</f>
        <v>0.4</v>
      </c>
      <c r="H349" s="819" t="s">
        <v>866</v>
      </c>
      <c r="I349" s="818">
        <v>0.3</v>
      </c>
      <c r="J349" s="819" t="s">
        <v>866</v>
      </c>
      <c r="K349" s="818">
        <v>1</v>
      </c>
      <c r="L349" s="631"/>
      <c r="M349" s="631"/>
      <c r="N349" s="666" t="s">
        <v>799</v>
      </c>
      <c r="O349" s="631">
        <f t="shared" si="20"/>
        <v>0.44400000000000006</v>
      </c>
      <c r="P349" s="630" t="s">
        <v>12</v>
      </c>
    </row>
    <row r="350" spans="1:16" ht="13.5" thickBot="1" x14ac:dyDescent="0.25">
      <c r="A350" s="736"/>
      <c r="B350" s="737"/>
      <c r="C350" s="665" t="s">
        <v>917</v>
      </c>
      <c r="E350" s="661">
        <v>126</v>
      </c>
      <c r="F350" s="662" t="s">
        <v>866</v>
      </c>
      <c r="G350" s="631">
        <v>0.3</v>
      </c>
      <c r="H350" s="631" t="s">
        <v>866</v>
      </c>
      <c r="I350" s="631">
        <v>0.8</v>
      </c>
      <c r="J350" s="631" t="s">
        <v>866</v>
      </c>
      <c r="K350" s="631">
        <v>1</v>
      </c>
      <c r="L350" s="631"/>
      <c r="M350" s="631"/>
      <c r="N350" s="666" t="s">
        <v>799</v>
      </c>
      <c r="O350" s="631">
        <f t="shared" si="20"/>
        <v>30.24</v>
      </c>
      <c r="P350" s="630" t="s">
        <v>12</v>
      </c>
    </row>
    <row r="351" spans="1:16" ht="13.5" thickBot="1" x14ac:dyDescent="0.25">
      <c r="A351" s="736"/>
      <c r="B351" s="737"/>
      <c r="C351" s="667"/>
      <c r="F351" s="666"/>
      <c r="G351" s="631"/>
      <c r="H351" s="631"/>
      <c r="I351" s="631"/>
      <c r="J351" s="631"/>
      <c r="K351" s="631"/>
      <c r="L351" s="631"/>
      <c r="M351" s="631"/>
      <c r="N351" s="666"/>
      <c r="O351" s="668">
        <f>ROUND((SUM(O344:O350)),2)</f>
        <v>82.17</v>
      </c>
      <c r="P351" s="669" t="s">
        <v>12</v>
      </c>
    </row>
    <row r="352" spans="1:16" ht="49.5" customHeight="1" x14ac:dyDescent="0.2">
      <c r="A352" s="734" t="s">
        <v>0</v>
      </c>
      <c r="B352" s="735" t="s">
        <v>1249</v>
      </c>
      <c r="C352" s="678" t="e">
        <f>#REF!</f>
        <v>#REF!</v>
      </c>
      <c r="D352" s="662" t="s">
        <v>799</v>
      </c>
      <c r="E352" s="663" t="s">
        <v>864</v>
      </c>
      <c r="F352" s="633"/>
      <c r="G352" s="664" t="s">
        <v>865</v>
      </c>
      <c r="H352" s="664"/>
      <c r="I352" s="664" t="s">
        <v>883</v>
      </c>
      <c r="J352" s="664"/>
      <c r="K352" s="664" t="s">
        <v>628</v>
      </c>
      <c r="L352" s="664"/>
      <c r="M352" s="664"/>
      <c r="O352" s="631"/>
    </row>
    <row r="353" spans="1:16" x14ac:dyDescent="0.2">
      <c r="A353" s="736"/>
      <c r="B353" s="737"/>
      <c r="C353" s="813" t="s">
        <v>1591</v>
      </c>
      <c r="D353"/>
      <c r="E353" s="481">
        <v>1.4</v>
      </c>
      <c r="F353" s="808" t="s">
        <v>866</v>
      </c>
      <c r="G353" s="818">
        <v>1.4</v>
      </c>
      <c r="H353" s="819" t="s">
        <v>866</v>
      </c>
      <c r="I353" s="818">
        <v>0.05</v>
      </c>
      <c r="J353" s="819" t="s">
        <v>866</v>
      </c>
      <c r="K353" s="818">
        <v>15</v>
      </c>
      <c r="L353" s="631"/>
      <c r="M353" s="631"/>
      <c r="N353" s="666" t="s">
        <v>799</v>
      </c>
      <c r="O353" s="631">
        <f>E353*G353*I353*K353</f>
        <v>1.4699999999999998</v>
      </c>
      <c r="P353" s="630" t="s">
        <v>12</v>
      </c>
    </row>
    <row r="354" spans="1:16" x14ac:dyDescent="0.2">
      <c r="A354" s="736"/>
      <c r="B354" s="737"/>
      <c r="C354" s="933" t="s">
        <v>1592</v>
      </c>
      <c r="D354"/>
      <c r="E354" s="481">
        <v>2.5</v>
      </c>
      <c r="F354" s="808" t="s">
        <v>866</v>
      </c>
      <c r="G354" s="818">
        <v>0.7</v>
      </c>
      <c r="H354" s="819" t="s">
        <v>866</v>
      </c>
      <c r="I354" s="818">
        <v>0.05</v>
      </c>
      <c r="J354" s="819" t="s">
        <v>866</v>
      </c>
      <c r="K354" s="818">
        <v>10</v>
      </c>
      <c r="L354" s="631"/>
      <c r="M354" s="631"/>
      <c r="N354" s="666" t="s">
        <v>799</v>
      </c>
      <c r="O354" s="631">
        <f t="shared" ref="O354:O357" si="21">E354*G354*I354*K354</f>
        <v>0.87500000000000011</v>
      </c>
      <c r="P354" s="630" t="s">
        <v>12</v>
      </c>
    </row>
    <row r="355" spans="1:16" x14ac:dyDescent="0.2">
      <c r="A355" s="736"/>
      <c r="B355" s="737"/>
      <c r="C355" s="933"/>
      <c r="D355"/>
      <c r="E355" s="481">
        <v>3.2</v>
      </c>
      <c r="F355" s="808" t="s">
        <v>866</v>
      </c>
      <c r="G355" s="818">
        <v>0.7</v>
      </c>
      <c r="H355" s="819" t="s">
        <v>866</v>
      </c>
      <c r="I355" s="818">
        <v>0.05</v>
      </c>
      <c r="J355" s="819" t="s">
        <v>866</v>
      </c>
      <c r="K355" s="818">
        <v>2</v>
      </c>
      <c r="L355" s="631"/>
      <c r="M355" s="631"/>
      <c r="N355" s="666" t="s">
        <v>799</v>
      </c>
      <c r="O355" s="631">
        <f t="shared" si="21"/>
        <v>0.22399999999999998</v>
      </c>
      <c r="P355" s="630" t="s">
        <v>12</v>
      </c>
    </row>
    <row r="356" spans="1:16" x14ac:dyDescent="0.2">
      <c r="A356" s="736"/>
      <c r="B356" s="737"/>
      <c r="C356" s="933" t="s">
        <v>1593</v>
      </c>
      <c r="D356"/>
      <c r="E356" s="481">
        <v>3</v>
      </c>
      <c r="F356" s="808" t="s">
        <v>866</v>
      </c>
      <c r="G356" s="818">
        <v>0.7</v>
      </c>
      <c r="H356" s="819" t="s">
        <v>866</v>
      </c>
      <c r="I356" s="818">
        <v>0.05</v>
      </c>
      <c r="J356" s="819" t="s">
        <v>866</v>
      </c>
      <c r="K356" s="818">
        <v>12</v>
      </c>
      <c r="L356" s="631"/>
      <c r="M356" s="631"/>
      <c r="N356" s="666" t="s">
        <v>799</v>
      </c>
      <c r="O356" s="631">
        <f t="shared" si="21"/>
        <v>1.2599999999999998</v>
      </c>
      <c r="P356" s="630" t="s">
        <v>12</v>
      </c>
    </row>
    <row r="357" spans="1:16" ht="13.5" thickBot="1" x14ac:dyDescent="0.25">
      <c r="A357" s="736"/>
      <c r="B357" s="737"/>
      <c r="C357" s="933"/>
      <c r="D357"/>
      <c r="E357" s="481">
        <v>3.7</v>
      </c>
      <c r="F357" s="808" t="s">
        <v>866</v>
      </c>
      <c r="G357" s="818">
        <v>0.7</v>
      </c>
      <c r="H357" s="819" t="s">
        <v>866</v>
      </c>
      <c r="I357" s="818">
        <v>0.05</v>
      </c>
      <c r="J357" s="819" t="s">
        <v>866</v>
      </c>
      <c r="K357" s="818">
        <v>1</v>
      </c>
      <c r="L357" s="631"/>
      <c r="M357" s="631"/>
      <c r="N357" s="666" t="s">
        <v>799</v>
      </c>
      <c r="O357" s="631">
        <f t="shared" si="21"/>
        <v>0.1295</v>
      </c>
      <c r="P357" s="630" t="s">
        <v>12</v>
      </c>
    </row>
    <row r="358" spans="1:16" ht="13.5" thickBot="1" x14ac:dyDescent="0.25">
      <c r="A358" s="736"/>
      <c r="B358" s="737"/>
      <c r="C358" s="667"/>
      <c r="F358" s="666"/>
      <c r="G358" s="631"/>
      <c r="H358" s="631"/>
      <c r="I358" s="631"/>
      <c r="J358" s="631"/>
      <c r="K358" s="631"/>
      <c r="L358" s="631"/>
      <c r="M358" s="631"/>
      <c r="N358" s="666"/>
      <c r="O358" s="668">
        <f>ROUND((SUM(O353:O357)),2)</f>
        <v>3.96</v>
      </c>
      <c r="P358" s="669" t="s">
        <v>12</v>
      </c>
    </row>
    <row r="359" spans="1:16" ht="40.5" customHeight="1" x14ac:dyDescent="0.2">
      <c r="A359" s="734" t="s">
        <v>0</v>
      </c>
      <c r="B359" s="735" t="s">
        <v>1250</v>
      </c>
      <c r="C359" s="678" t="e">
        <f>#REF!</f>
        <v>#REF!</v>
      </c>
      <c r="D359" s="662" t="s">
        <v>799</v>
      </c>
      <c r="E359" s="663" t="s">
        <v>864</v>
      </c>
      <c r="F359" s="633"/>
      <c r="G359" s="664" t="s">
        <v>865</v>
      </c>
      <c r="H359" s="664"/>
      <c r="I359" s="664" t="s">
        <v>883</v>
      </c>
      <c r="J359" s="664"/>
      <c r="K359" s="664" t="s">
        <v>628</v>
      </c>
      <c r="L359" s="664"/>
      <c r="M359" s="664"/>
      <c r="O359" s="631"/>
    </row>
    <row r="360" spans="1:16" ht="13.5" thickBot="1" x14ac:dyDescent="0.25">
      <c r="A360" s="736"/>
      <c r="B360" s="737"/>
      <c r="C360" s="665" t="s">
        <v>1594</v>
      </c>
      <c r="E360" s="661">
        <v>1</v>
      </c>
      <c r="F360" s="662" t="s">
        <v>866</v>
      </c>
      <c r="G360" s="631">
        <v>1</v>
      </c>
      <c r="H360" s="631" t="s">
        <v>866</v>
      </c>
      <c r="I360" s="631">
        <v>0.35</v>
      </c>
      <c r="J360" s="658" t="s">
        <v>866</v>
      </c>
      <c r="K360" s="631">
        <v>15</v>
      </c>
      <c r="L360" s="631"/>
      <c r="M360" s="631"/>
      <c r="N360" s="666" t="s">
        <v>799</v>
      </c>
      <c r="O360" s="631">
        <f>E360*G360*I360*K360</f>
        <v>5.25</v>
      </c>
      <c r="P360" s="630" t="s">
        <v>12</v>
      </c>
    </row>
    <row r="361" spans="1:16" ht="13.5" thickBot="1" x14ac:dyDescent="0.25">
      <c r="A361" s="736"/>
      <c r="B361" s="737"/>
      <c r="C361" s="667"/>
      <c r="F361" s="666"/>
      <c r="G361" s="631"/>
      <c r="H361" s="631"/>
      <c r="I361" s="631"/>
      <c r="J361" s="631"/>
      <c r="K361" s="631"/>
      <c r="L361" s="631"/>
      <c r="M361" s="631"/>
      <c r="N361" s="666"/>
      <c r="O361" s="668">
        <f>ROUND((SUM(O360:O360)),2)</f>
        <v>5.25</v>
      </c>
      <c r="P361" s="669" t="s">
        <v>12</v>
      </c>
    </row>
    <row r="362" spans="1:16" ht="27.75" customHeight="1" x14ac:dyDescent="0.2">
      <c r="A362" s="734" t="s">
        <v>0</v>
      </c>
      <c r="B362" s="735" t="s">
        <v>1251</v>
      </c>
      <c r="C362" s="678" t="e">
        <f>#REF!</f>
        <v>#REF!</v>
      </c>
      <c r="D362" s="662" t="s">
        <v>799</v>
      </c>
      <c r="E362" s="663" t="s">
        <v>864</v>
      </c>
      <c r="F362" s="633"/>
      <c r="G362" s="664" t="s">
        <v>865</v>
      </c>
      <c r="H362" s="664"/>
      <c r="I362" s="664" t="s">
        <v>883</v>
      </c>
      <c r="J362" s="664"/>
      <c r="K362" s="664" t="s">
        <v>628</v>
      </c>
      <c r="L362" s="664"/>
      <c r="M362" s="664"/>
      <c r="O362" s="631"/>
    </row>
    <row r="363" spans="1:16" x14ac:dyDescent="0.2">
      <c r="A363" s="736"/>
      <c r="B363" s="737"/>
      <c r="C363" s="933" t="s">
        <v>1592</v>
      </c>
      <c r="E363" s="661">
        <v>3.2</v>
      </c>
      <c r="F363" s="662" t="s">
        <v>866</v>
      </c>
      <c r="G363" s="631">
        <v>0.3</v>
      </c>
      <c r="H363" s="631" t="s">
        <v>866</v>
      </c>
      <c r="I363" s="631">
        <v>0.3</v>
      </c>
      <c r="J363" s="658" t="s">
        <v>866</v>
      </c>
      <c r="K363" s="631">
        <v>12</v>
      </c>
      <c r="L363" s="631"/>
      <c r="M363" s="631"/>
      <c r="N363" s="666" t="s">
        <v>799</v>
      </c>
      <c r="O363" s="631">
        <f>E363*G363*I363*K363</f>
        <v>3.4559999999999995</v>
      </c>
      <c r="P363" s="630" t="s">
        <v>12</v>
      </c>
    </row>
    <row r="364" spans="1:16" x14ac:dyDescent="0.2">
      <c r="A364" s="736"/>
      <c r="B364" s="737"/>
      <c r="C364" s="933" t="s">
        <v>1593</v>
      </c>
      <c r="E364" s="661">
        <v>16.3</v>
      </c>
      <c r="F364" s="662" t="s">
        <v>866</v>
      </c>
      <c r="G364" s="631">
        <v>0.3</v>
      </c>
      <c r="H364" s="631" t="s">
        <v>866</v>
      </c>
      <c r="I364" s="631">
        <v>0.3</v>
      </c>
      <c r="J364" s="658" t="s">
        <v>866</v>
      </c>
      <c r="K364" s="631">
        <v>3</v>
      </c>
      <c r="L364" s="631"/>
      <c r="M364" s="631"/>
      <c r="N364" s="666" t="s">
        <v>799</v>
      </c>
      <c r="O364" s="631">
        <f>E364*G364*I364*K364</f>
        <v>4.4009999999999998</v>
      </c>
      <c r="P364" s="630" t="s">
        <v>12</v>
      </c>
    </row>
    <row r="365" spans="1:16" ht="13.5" thickBot="1" x14ac:dyDescent="0.25">
      <c r="A365" s="736"/>
      <c r="B365" s="737"/>
      <c r="C365" s="665"/>
      <c r="E365" s="661">
        <v>3.7</v>
      </c>
      <c r="F365" s="662" t="s">
        <v>866</v>
      </c>
      <c r="G365" s="631">
        <v>0.3</v>
      </c>
      <c r="H365" s="631" t="s">
        <v>866</v>
      </c>
      <c r="I365" s="631">
        <v>0.3</v>
      </c>
      <c r="J365" s="658" t="s">
        <v>866</v>
      </c>
      <c r="K365" s="631">
        <v>1</v>
      </c>
      <c r="L365" s="631"/>
      <c r="M365" s="631"/>
      <c r="N365" s="666" t="s">
        <v>799</v>
      </c>
      <c r="O365" s="631">
        <f>E365*G365*I365*K365</f>
        <v>0.33300000000000002</v>
      </c>
      <c r="P365" s="630" t="s">
        <v>905</v>
      </c>
    </row>
    <row r="366" spans="1:16" ht="13.5" thickBot="1" x14ac:dyDescent="0.25">
      <c r="A366" s="736"/>
      <c r="B366" s="737"/>
      <c r="C366" s="667"/>
      <c r="F366" s="666"/>
      <c r="G366" s="631"/>
      <c r="H366" s="631"/>
      <c r="I366" s="631"/>
      <c r="J366" s="631"/>
      <c r="K366" s="631"/>
      <c r="L366" s="631"/>
      <c r="M366" s="631"/>
      <c r="N366" s="666"/>
      <c r="O366" s="668">
        <f>ROUND((SUM(O363:O365)),2)</f>
        <v>8.19</v>
      </c>
      <c r="P366" s="669" t="s">
        <v>12</v>
      </c>
    </row>
    <row r="367" spans="1:16" x14ac:dyDescent="0.2">
      <c r="A367" s="736"/>
      <c r="B367" s="737"/>
      <c r="C367" s="667"/>
      <c r="F367" s="666"/>
      <c r="G367" s="631"/>
      <c r="H367" s="631"/>
      <c r="I367" s="631"/>
      <c r="J367" s="631"/>
      <c r="K367" s="631"/>
      <c r="L367" s="631"/>
      <c r="M367" s="631"/>
      <c r="N367" s="666"/>
      <c r="O367" s="632"/>
      <c r="P367" s="633"/>
    </row>
    <row r="368" spans="1:16" x14ac:dyDescent="0.2">
      <c r="A368" s="736"/>
      <c r="B368" s="737"/>
      <c r="C368" s="667"/>
      <c r="F368" s="666"/>
      <c r="G368" s="631"/>
      <c r="H368" s="631"/>
      <c r="I368" s="631"/>
      <c r="J368" s="631"/>
      <c r="K368" s="631"/>
      <c r="L368" s="631"/>
      <c r="M368" s="631"/>
      <c r="N368" s="666"/>
      <c r="O368" s="632"/>
      <c r="P368" s="633"/>
    </row>
    <row r="369" spans="1:16" x14ac:dyDescent="0.2">
      <c r="A369" s="736"/>
      <c r="B369" s="737"/>
      <c r="C369" s="667"/>
      <c r="F369" s="666"/>
      <c r="G369" s="631"/>
      <c r="H369" s="631"/>
      <c r="I369" s="631"/>
      <c r="J369" s="631"/>
      <c r="K369" s="631"/>
      <c r="L369" s="631"/>
      <c r="M369" s="631"/>
      <c r="N369" s="666"/>
      <c r="O369" s="632"/>
      <c r="P369" s="633"/>
    </row>
    <row r="370" spans="1:16" x14ac:dyDescent="0.2">
      <c r="A370" s="736"/>
      <c r="B370" s="737"/>
      <c r="C370" s="667"/>
      <c r="F370" s="666"/>
      <c r="G370" s="631"/>
      <c r="H370" s="631"/>
      <c r="I370" s="631"/>
      <c r="J370" s="631"/>
      <c r="K370" s="631"/>
      <c r="L370" s="631"/>
      <c r="M370" s="631"/>
      <c r="N370" s="666"/>
      <c r="O370" s="632"/>
      <c r="P370" s="633"/>
    </row>
    <row r="371" spans="1:16" ht="34.5" customHeight="1" x14ac:dyDescent="0.2">
      <c r="A371" s="734" t="s">
        <v>0</v>
      </c>
      <c r="B371" s="735" t="s">
        <v>1252</v>
      </c>
      <c r="C371" s="678" t="e">
        <f>#REF!</f>
        <v>#REF!</v>
      </c>
      <c r="D371" s="662" t="s">
        <v>799</v>
      </c>
      <c r="E371" s="663" t="s">
        <v>864</v>
      </c>
      <c r="F371" s="633"/>
      <c r="G371" s="664" t="s">
        <v>865</v>
      </c>
      <c r="H371" s="664"/>
      <c r="I371" s="664" t="s">
        <v>883</v>
      </c>
      <c r="J371" s="664"/>
      <c r="K371" s="664" t="s">
        <v>628</v>
      </c>
      <c r="L371" s="664"/>
      <c r="M371" s="664"/>
      <c r="O371" s="631"/>
    </row>
    <row r="372" spans="1:16" x14ac:dyDescent="0.2">
      <c r="A372" s="736"/>
      <c r="B372" s="737"/>
      <c r="C372" s="665" t="s">
        <v>1595</v>
      </c>
      <c r="E372" s="661">
        <v>3</v>
      </c>
      <c r="F372" s="662" t="s">
        <v>866</v>
      </c>
      <c r="G372" s="631">
        <v>0.3</v>
      </c>
      <c r="H372" s="631" t="s">
        <v>866</v>
      </c>
      <c r="I372" s="631">
        <v>0.3</v>
      </c>
      <c r="J372" s="631"/>
      <c r="K372" s="631">
        <v>15</v>
      </c>
      <c r="L372" s="631"/>
      <c r="M372" s="631"/>
      <c r="N372" s="666" t="s">
        <v>799</v>
      </c>
      <c r="O372" s="631">
        <f>E372*G372*I372*K372</f>
        <v>4.05</v>
      </c>
      <c r="P372" s="630" t="s">
        <v>12</v>
      </c>
    </row>
    <row r="373" spans="1:16" ht="13.5" thickBot="1" x14ac:dyDescent="0.25">
      <c r="A373" s="736"/>
      <c r="B373" s="737"/>
      <c r="C373" s="665" t="s">
        <v>1596</v>
      </c>
      <c r="E373" s="661">
        <v>3</v>
      </c>
      <c r="F373" s="662" t="s">
        <v>866</v>
      </c>
      <c r="G373" s="631">
        <v>0.3</v>
      </c>
      <c r="H373" s="631" t="s">
        <v>866</v>
      </c>
      <c r="I373" s="631">
        <v>0.15</v>
      </c>
      <c r="J373" s="631"/>
      <c r="K373" s="631">
        <v>10</v>
      </c>
      <c r="L373" s="631"/>
      <c r="M373" s="631"/>
      <c r="N373" s="666" t="s">
        <v>799</v>
      </c>
      <c r="O373" s="631">
        <f>E373*G373*I373*K373</f>
        <v>1.3499999999999999</v>
      </c>
      <c r="P373" s="630"/>
    </row>
    <row r="374" spans="1:16" ht="13.5" thickBot="1" x14ac:dyDescent="0.25">
      <c r="A374" s="736"/>
      <c r="B374" s="737"/>
      <c r="C374" s="667"/>
      <c r="F374" s="666"/>
      <c r="G374" s="631"/>
      <c r="H374" s="631"/>
      <c r="I374" s="631"/>
      <c r="J374" s="631"/>
      <c r="K374" s="631"/>
      <c r="L374" s="631"/>
      <c r="M374" s="631"/>
      <c r="N374" s="666"/>
      <c r="O374" s="668">
        <f>ROUND((SUM(O372:O373)),2)</f>
        <v>5.4</v>
      </c>
      <c r="P374" s="669" t="s">
        <v>12</v>
      </c>
    </row>
    <row r="375" spans="1:16" x14ac:dyDescent="0.2">
      <c r="A375" s="736"/>
      <c r="B375" s="737"/>
      <c r="C375" s="737"/>
      <c r="E375" s="629"/>
      <c r="G375" s="631"/>
      <c r="H375" s="631"/>
      <c r="I375" s="631"/>
      <c r="J375" s="631"/>
      <c r="K375" s="631"/>
      <c r="L375" s="631"/>
      <c r="M375" s="631"/>
      <c r="O375" s="631"/>
    </row>
    <row r="376" spans="1:16" ht="27" customHeight="1" x14ac:dyDescent="0.2">
      <c r="A376" s="734" t="s">
        <v>0</v>
      </c>
      <c r="B376" s="735" t="s">
        <v>1253</v>
      </c>
      <c r="C376" s="678" t="e">
        <f>#REF!</f>
        <v>#REF!</v>
      </c>
      <c r="D376" s="662" t="s">
        <v>799</v>
      </c>
      <c r="E376" s="663" t="s">
        <v>864</v>
      </c>
      <c r="F376" s="633"/>
      <c r="G376" s="664" t="s">
        <v>865</v>
      </c>
      <c r="H376" s="664"/>
      <c r="I376" s="664" t="s">
        <v>883</v>
      </c>
      <c r="J376" s="664"/>
      <c r="K376" s="664" t="s">
        <v>628</v>
      </c>
      <c r="L376" s="664"/>
      <c r="M376" s="664"/>
      <c r="O376" s="631"/>
    </row>
    <row r="377" spans="1:16" x14ac:dyDescent="0.2">
      <c r="A377" s="736"/>
      <c r="B377" s="737"/>
      <c r="C377" s="933" t="s">
        <v>1597</v>
      </c>
      <c r="E377" s="661">
        <v>3.2</v>
      </c>
      <c r="F377" s="662" t="s">
        <v>866</v>
      </c>
      <c r="G377" s="631">
        <v>0.3</v>
      </c>
      <c r="H377" s="631" t="s">
        <v>866</v>
      </c>
      <c r="I377" s="631">
        <v>0.3</v>
      </c>
      <c r="J377" s="658"/>
      <c r="K377" s="631">
        <v>12</v>
      </c>
      <c r="L377" s="631"/>
      <c r="M377" s="631"/>
      <c r="N377" s="666" t="s">
        <v>799</v>
      </c>
      <c r="O377" s="631">
        <f>E377*G377*I377*K377</f>
        <v>3.4559999999999995</v>
      </c>
      <c r="P377" s="630" t="s">
        <v>12</v>
      </c>
    </row>
    <row r="378" spans="1:16" x14ac:dyDescent="0.2">
      <c r="A378" s="736"/>
      <c r="B378" s="737"/>
      <c r="C378" s="933" t="s">
        <v>1598</v>
      </c>
      <c r="E378" s="661">
        <v>16.3</v>
      </c>
      <c r="F378" s="662" t="s">
        <v>866</v>
      </c>
      <c r="G378" s="631">
        <v>0.3</v>
      </c>
      <c r="H378" s="631" t="s">
        <v>866</v>
      </c>
      <c r="I378" s="631">
        <v>0.3</v>
      </c>
      <c r="J378" s="631"/>
      <c r="K378" s="631">
        <v>3</v>
      </c>
      <c r="L378" s="631"/>
      <c r="M378" s="631"/>
      <c r="N378" s="666" t="s">
        <v>799</v>
      </c>
      <c r="O378" s="631">
        <f>E378*G378*I378*K378</f>
        <v>4.4009999999999998</v>
      </c>
      <c r="P378" s="630" t="s">
        <v>12</v>
      </c>
    </row>
    <row r="379" spans="1:16" ht="13.5" thickBot="1" x14ac:dyDescent="0.25">
      <c r="A379" s="736"/>
      <c r="B379" s="737"/>
      <c r="C379" s="665"/>
      <c r="E379" s="661">
        <v>3.7</v>
      </c>
      <c r="F379" s="662" t="s">
        <v>866</v>
      </c>
      <c r="G379" s="631">
        <v>0.3</v>
      </c>
      <c r="H379" s="631" t="s">
        <v>866</v>
      </c>
      <c r="I379" s="631">
        <v>0.3</v>
      </c>
      <c r="J379" s="631"/>
      <c r="K379" s="631">
        <v>1</v>
      </c>
      <c r="L379" s="631"/>
      <c r="M379" s="631"/>
      <c r="N379" s="666" t="s">
        <v>799</v>
      </c>
      <c r="O379" s="631">
        <f>E379*G379*I379*K379</f>
        <v>0.33300000000000002</v>
      </c>
      <c r="P379" s="630" t="s">
        <v>905</v>
      </c>
    </row>
    <row r="380" spans="1:16" ht="13.5" thickBot="1" x14ac:dyDescent="0.25">
      <c r="A380" s="736"/>
      <c r="B380" s="737"/>
      <c r="C380" s="667"/>
      <c r="F380" s="666"/>
      <c r="G380" s="631"/>
      <c r="H380" s="631"/>
      <c r="I380" s="631"/>
      <c r="J380" s="631"/>
      <c r="K380" s="631"/>
      <c r="L380" s="631"/>
      <c r="M380" s="631"/>
      <c r="N380" s="666"/>
      <c r="O380" s="668">
        <f>ROUND((SUM(O377:O379)),2)</f>
        <v>8.19</v>
      </c>
      <c r="P380" s="669" t="s">
        <v>12</v>
      </c>
    </row>
    <row r="381" spans="1:16" ht="98.25" customHeight="1" x14ac:dyDescent="0.2">
      <c r="A381" s="734" t="s">
        <v>0</v>
      </c>
      <c r="B381" s="735" t="s">
        <v>1285</v>
      </c>
      <c r="C381" s="751" t="e">
        <f>#REF!</f>
        <v>#REF!</v>
      </c>
      <c r="D381" s="662" t="s">
        <v>799</v>
      </c>
      <c r="E381" s="663" t="s">
        <v>628</v>
      </c>
      <c r="F381" s="633"/>
      <c r="G381" s="664"/>
      <c r="H381" s="664"/>
      <c r="I381" s="664"/>
      <c r="J381" s="664"/>
      <c r="K381" s="664"/>
      <c r="L381" s="664"/>
      <c r="M381" s="664"/>
      <c r="O381" s="631"/>
    </row>
    <row r="382" spans="1:16" x14ac:dyDescent="0.2">
      <c r="A382" s="736"/>
      <c r="B382" s="737"/>
      <c r="C382" s="665" t="s">
        <v>1599</v>
      </c>
      <c r="E382" s="661">
        <v>1</v>
      </c>
      <c r="F382" s="662"/>
      <c r="G382" s="631"/>
      <c r="H382" s="631"/>
      <c r="I382" s="631"/>
      <c r="J382" s="658"/>
      <c r="K382" s="631"/>
      <c r="L382" s="631"/>
      <c r="M382" s="631"/>
      <c r="N382" s="666" t="s">
        <v>799</v>
      </c>
      <c r="O382" s="631">
        <f>E382</f>
        <v>1</v>
      </c>
      <c r="P382" s="630" t="s">
        <v>2</v>
      </c>
    </row>
    <row r="383" spans="1:16" x14ac:dyDescent="0.2">
      <c r="A383" s="736"/>
      <c r="B383" s="737"/>
      <c r="C383" s="665" t="s">
        <v>1600</v>
      </c>
      <c r="E383" s="661">
        <v>1</v>
      </c>
      <c r="F383" s="662"/>
      <c r="G383" s="631"/>
      <c r="H383" s="631"/>
      <c r="I383" s="631"/>
      <c r="J383" s="658"/>
      <c r="K383" s="631"/>
      <c r="L383" s="631"/>
      <c r="M383" s="631"/>
      <c r="N383" s="666" t="s">
        <v>799</v>
      </c>
      <c r="O383" s="631">
        <f t="shared" ref="O383:O386" si="22">E383</f>
        <v>1</v>
      </c>
      <c r="P383" s="630" t="s">
        <v>2</v>
      </c>
    </row>
    <row r="384" spans="1:16" x14ac:dyDescent="0.2">
      <c r="A384" s="736"/>
      <c r="B384" s="737"/>
      <c r="C384" s="665" t="s">
        <v>1601</v>
      </c>
      <c r="E384" s="661">
        <v>1</v>
      </c>
      <c r="F384" s="662"/>
      <c r="G384" s="631"/>
      <c r="H384" s="631"/>
      <c r="I384" s="631"/>
      <c r="J384" s="658"/>
      <c r="K384" s="631"/>
      <c r="L384" s="631"/>
      <c r="M384" s="631"/>
      <c r="N384" s="666" t="s">
        <v>799</v>
      </c>
      <c r="O384" s="631">
        <f t="shared" si="22"/>
        <v>1</v>
      </c>
      <c r="P384" s="630" t="s">
        <v>2</v>
      </c>
    </row>
    <row r="385" spans="1:16" x14ac:dyDescent="0.2">
      <c r="A385" s="736"/>
      <c r="B385" s="737"/>
      <c r="C385" s="665" t="s">
        <v>1602</v>
      </c>
      <c r="E385" s="661">
        <v>1</v>
      </c>
      <c r="F385" s="662"/>
      <c r="G385" s="631"/>
      <c r="H385" s="631"/>
      <c r="I385" s="631"/>
      <c r="J385" s="658"/>
      <c r="K385" s="631"/>
      <c r="L385" s="631"/>
      <c r="M385" s="631"/>
      <c r="N385" s="666" t="s">
        <v>799</v>
      </c>
      <c r="O385" s="631">
        <f t="shared" si="22"/>
        <v>1</v>
      </c>
      <c r="P385" s="630" t="s">
        <v>2</v>
      </c>
    </row>
    <row r="386" spans="1:16" ht="13.5" thickBot="1" x14ac:dyDescent="0.25">
      <c r="A386" s="736"/>
      <c r="B386" s="737"/>
      <c r="C386" s="665" t="s">
        <v>1603</v>
      </c>
      <c r="E386" s="661">
        <v>1</v>
      </c>
      <c r="F386" s="662"/>
      <c r="G386" s="631"/>
      <c r="H386" s="631"/>
      <c r="I386" s="631"/>
      <c r="J386" s="658"/>
      <c r="K386" s="631"/>
      <c r="L386" s="631"/>
      <c r="M386" s="631"/>
      <c r="N386" s="666" t="s">
        <v>799</v>
      </c>
      <c r="O386" s="631">
        <f t="shared" si="22"/>
        <v>1</v>
      </c>
      <c r="P386" s="630" t="s">
        <v>2</v>
      </c>
    </row>
    <row r="387" spans="1:16" ht="13.5" thickBot="1" x14ac:dyDescent="0.25">
      <c r="A387" s="736"/>
      <c r="B387" s="737"/>
      <c r="C387" s="667"/>
      <c r="F387" s="666"/>
      <c r="G387" s="631"/>
      <c r="H387" s="631"/>
      <c r="I387" s="631"/>
      <c r="J387" s="631"/>
      <c r="K387" s="631"/>
      <c r="L387" s="631"/>
      <c r="M387" s="631"/>
      <c r="N387" s="666"/>
      <c r="O387" s="668">
        <f>ROUND((SUM(O382:O386)),2)</f>
        <v>5</v>
      </c>
      <c r="P387" s="669" t="s">
        <v>2</v>
      </c>
    </row>
    <row r="388" spans="1:16" ht="74.25" customHeight="1" x14ac:dyDescent="0.2">
      <c r="A388" s="734" t="s">
        <v>0</v>
      </c>
      <c r="B388" s="735" t="s">
        <v>1254</v>
      </c>
      <c r="C388" s="678" t="e">
        <f>#REF!</f>
        <v>#REF!</v>
      </c>
      <c r="D388" s="662" t="s">
        <v>799</v>
      </c>
      <c r="E388" s="663" t="s">
        <v>628</v>
      </c>
      <c r="F388" s="633"/>
      <c r="G388" s="664"/>
      <c r="H388" s="664"/>
      <c r="I388" s="664"/>
      <c r="J388" s="664"/>
      <c r="K388" s="664"/>
      <c r="L388" s="664"/>
      <c r="M388" s="664"/>
      <c r="O388" s="631"/>
    </row>
    <row r="389" spans="1:16" x14ac:dyDescent="0.2">
      <c r="A389" s="736"/>
      <c r="B389" s="737"/>
      <c r="C389" s="665" t="s">
        <v>1604</v>
      </c>
      <c r="E389" s="661">
        <v>1</v>
      </c>
      <c r="F389" s="662"/>
      <c r="G389" s="631"/>
      <c r="H389" s="631"/>
      <c r="I389" s="631"/>
      <c r="J389" s="658"/>
      <c r="K389" s="631"/>
      <c r="L389" s="631"/>
      <c r="M389" s="631"/>
      <c r="N389" s="666" t="s">
        <v>799</v>
      </c>
      <c r="O389" s="631">
        <f>E389</f>
        <v>1</v>
      </c>
      <c r="P389" s="630" t="s">
        <v>2</v>
      </c>
    </row>
    <row r="390" spans="1:16" ht="13.5" thickBot="1" x14ac:dyDescent="0.25">
      <c r="A390" s="736"/>
      <c r="B390" s="737"/>
      <c r="C390" s="665" t="s">
        <v>918</v>
      </c>
      <c r="E390" s="661">
        <v>1</v>
      </c>
      <c r="F390" s="662"/>
      <c r="G390" s="631"/>
      <c r="H390" s="631"/>
      <c r="I390" s="631"/>
      <c r="J390" s="658"/>
      <c r="K390" s="631"/>
      <c r="L390" s="631"/>
      <c r="M390" s="631"/>
      <c r="N390" s="666" t="s">
        <v>799</v>
      </c>
      <c r="O390" s="631">
        <f>E390</f>
        <v>1</v>
      </c>
      <c r="P390" s="630" t="s">
        <v>2</v>
      </c>
    </row>
    <row r="391" spans="1:16" ht="13.5" thickBot="1" x14ac:dyDescent="0.25">
      <c r="A391" s="736"/>
      <c r="B391" s="737"/>
      <c r="C391" s="667"/>
      <c r="F391" s="666"/>
      <c r="G391" s="631"/>
      <c r="H391" s="631"/>
      <c r="I391" s="631"/>
      <c r="J391" s="631"/>
      <c r="K391" s="631"/>
      <c r="L391" s="631"/>
      <c r="M391" s="631"/>
      <c r="N391" s="666"/>
      <c r="O391" s="668">
        <f>ROUND((SUM(O389:O390)),2)</f>
        <v>2</v>
      </c>
      <c r="P391" s="669" t="s">
        <v>2</v>
      </c>
    </row>
    <row r="392" spans="1:16" ht="65.25" customHeight="1" x14ac:dyDescent="0.2">
      <c r="A392" s="734" t="s">
        <v>0</v>
      </c>
      <c r="B392" s="735" t="s">
        <v>1255</v>
      </c>
      <c r="C392" s="678" t="e">
        <f>#REF!</f>
        <v>#REF!</v>
      </c>
      <c r="D392" s="662" t="s">
        <v>799</v>
      </c>
      <c r="E392" s="663" t="s">
        <v>864</v>
      </c>
      <c r="F392" s="633"/>
      <c r="G392" s="664" t="s">
        <v>628</v>
      </c>
      <c r="H392" s="664"/>
      <c r="I392" s="664"/>
      <c r="J392" s="664"/>
      <c r="K392" s="664"/>
      <c r="L392" s="664"/>
      <c r="M392" s="664"/>
      <c r="O392" s="631"/>
    </row>
    <row r="393" spans="1:16" ht="12.75" customHeight="1" x14ac:dyDescent="0.2">
      <c r="A393" s="734"/>
      <c r="B393" s="735"/>
      <c r="C393" s="665" t="s">
        <v>1087</v>
      </c>
      <c r="E393" s="661">
        <v>1.8</v>
      </c>
      <c r="F393" s="662" t="s">
        <v>866</v>
      </c>
      <c r="G393" s="631">
        <v>1</v>
      </c>
      <c r="H393" s="631"/>
      <c r="I393" s="631"/>
      <c r="J393" s="658"/>
      <c r="K393" s="631"/>
      <c r="L393" s="631"/>
      <c r="M393" s="631"/>
      <c r="N393" s="666" t="s">
        <v>799</v>
      </c>
      <c r="O393" s="631">
        <f>E393*G393</f>
        <v>1.8</v>
      </c>
      <c r="P393" s="630" t="s">
        <v>6</v>
      </c>
    </row>
    <row r="394" spans="1:16" ht="12.75" customHeight="1" x14ac:dyDescent="0.2">
      <c r="A394" s="734"/>
      <c r="B394" s="735"/>
      <c r="C394" s="678"/>
      <c r="D394" s="662"/>
      <c r="E394" s="661">
        <v>1.45</v>
      </c>
      <c r="F394" s="662" t="s">
        <v>866</v>
      </c>
      <c r="G394" s="631">
        <v>1</v>
      </c>
      <c r="H394" s="631"/>
      <c r="I394" s="631"/>
      <c r="J394" s="658"/>
      <c r="K394" s="631"/>
      <c r="L394" s="631"/>
      <c r="M394" s="631"/>
      <c r="N394" s="666" t="s">
        <v>799</v>
      </c>
      <c r="O394" s="631">
        <f>E394*G394</f>
        <v>1.45</v>
      </c>
      <c r="P394" s="630" t="s">
        <v>6</v>
      </c>
    </row>
    <row r="395" spans="1:16" x14ac:dyDescent="0.2">
      <c r="A395" s="736"/>
      <c r="B395" s="737"/>
      <c r="C395" s="665"/>
      <c r="E395" s="661">
        <v>1.2</v>
      </c>
      <c r="F395" s="662" t="s">
        <v>866</v>
      </c>
      <c r="G395" s="631">
        <v>1</v>
      </c>
      <c r="H395" s="631"/>
      <c r="I395" s="631"/>
      <c r="J395" s="658"/>
      <c r="K395" s="631"/>
      <c r="L395" s="631"/>
      <c r="M395" s="631"/>
      <c r="N395" s="666" t="s">
        <v>799</v>
      </c>
      <c r="O395" s="631">
        <f>E395*G395</f>
        <v>1.2</v>
      </c>
      <c r="P395" s="630" t="s">
        <v>6</v>
      </c>
    </row>
    <row r="396" spans="1:16" x14ac:dyDescent="0.2">
      <c r="A396" s="736"/>
      <c r="B396" s="737"/>
      <c r="C396" s="665"/>
      <c r="E396" s="661">
        <v>0.9</v>
      </c>
      <c r="F396" s="662" t="s">
        <v>866</v>
      </c>
      <c r="G396" s="631">
        <v>3</v>
      </c>
      <c r="H396" s="631"/>
      <c r="I396" s="631"/>
      <c r="J396" s="658"/>
      <c r="K396" s="631"/>
      <c r="L396" s="631"/>
      <c r="M396" s="631"/>
      <c r="N396" s="666" t="s">
        <v>799</v>
      </c>
      <c r="O396" s="631">
        <f t="shared" ref="O396:O397" si="23">E396*G396</f>
        <v>2.7</v>
      </c>
      <c r="P396" s="630" t="s">
        <v>6</v>
      </c>
    </row>
    <row r="397" spans="1:16" x14ac:dyDescent="0.2">
      <c r="A397" s="736"/>
      <c r="B397" s="737"/>
      <c r="C397" s="665"/>
      <c r="E397" s="661">
        <v>0.6</v>
      </c>
      <c r="F397" s="662" t="s">
        <v>866</v>
      </c>
      <c r="G397" s="631">
        <v>5</v>
      </c>
      <c r="H397" s="631"/>
      <c r="I397" s="631"/>
      <c r="J397" s="658"/>
      <c r="K397" s="631"/>
      <c r="L397" s="631"/>
      <c r="M397" s="631"/>
      <c r="N397" s="666" t="s">
        <v>799</v>
      </c>
      <c r="O397" s="631">
        <f t="shared" si="23"/>
        <v>3</v>
      </c>
      <c r="P397" s="630" t="s">
        <v>6</v>
      </c>
    </row>
    <row r="398" spans="1:16" x14ac:dyDescent="0.2">
      <c r="A398" s="736"/>
      <c r="B398" s="737"/>
      <c r="C398" s="665" t="s">
        <v>1088</v>
      </c>
      <c r="E398" s="661">
        <v>2.5</v>
      </c>
      <c r="F398" s="662" t="s">
        <v>866</v>
      </c>
      <c r="G398" s="631">
        <v>2</v>
      </c>
      <c r="H398" s="631"/>
      <c r="I398" s="631"/>
      <c r="J398" s="658"/>
      <c r="K398" s="631"/>
      <c r="L398" s="631"/>
      <c r="M398" s="631"/>
      <c r="N398" s="666" t="s">
        <v>799</v>
      </c>
      <c r="O398" s="631">
        <f>E398*G398</f>
        <v>5</v>
      </c>
      <c r="P398" s="630" t="s">
        <v>6</v>
      </c>
    </row>
    <row r="399" spans="1:16" x14ac:dyDescent="0.2">
      <c r="A399" s="736"/>
      <c r="B399" s="737"/>
      <c r="C399" s="665"/>
      <c r="E399" s="661">
        <v>1.8</v>
      </c>
      <c r="F399" s="662" t="s">
        <v>866</v>
      </c>
      <c r="G399" s="631">
        <v>2</v>
      </c>
      <c r="H399" s="631"/>
      <c r="I399" s="631"/>
      <c r="J399" s="658"/>
      <c r="K399" s="631"/>
      <c r="L399" s="631"/>
      <c r="M399" s="631"/>
      <c r="N399" s="666" t="s">
        <v>799</v>
      </c>
      <c r="O399" s="631">
        <f t="shared" ref="O399:O403" si="24">E399*G399</f>
        <v>3.6</v>
      </c>
      <c r="P399" s="630" t="s">
        <v>6</v>
      </c>
    </row>
    <row r="400" spans="1:16" x14ac:dyDescent="0.2">
      <c r="A400" s="736"/>
      <c r="B400" s="737"/>
      <c r="C400" s="665"/>
      <c r="E400" s="661">
        <v>2</v>
      </c>
      <c r="F400" s="662" t="s">
        <v>866</v>
      </c>
      <c r="G400" s="631">
        <v>1</v>
      </c>
      <c r="H400" s="631"/>
      <c r="I400" s="631"/>
      <c r="J400" s="658"/>
      <c r="K400" s="631"/>
      <c r="L400" s="631"/>
      <c r="M400" s="631"/>
      <c r="N400" s="666" t="s">
        <v>799</v>
      </c>
      <c r="O400" s="631">
        <f t="shared" si="24"/>
        <v>2</v>
      </c>
      <c r="P400" s="630" t="s">
        <v>6</v>
      </c>
    </row>
    <row r="401" spans="1:16" x14ac:dyDescent="0.2">
      <c r="A401" s="736"/>
      <c r="B401" s="737"/>
      <c r="C401" s="665"/>
      <c r="E401" s="661">
        <v>1.2</v>
      </c>
      <c r="F401" s="662" t="s">
        <v>866</v>
      </c>
      <c r="G401" s="631">
        <v>1</v>
      </c>
      <c r="H401" s="631"/>
      <c r="I401" s="631"/>
      <c r="J401" s="658"/>
      <c r="K401" s="631"/>
      <c r="L401" s="631"/>
      <c r="M401" s="631"/>
      <c r="N401" s="666" t="s">
        <v>799</v>
      </c>
      <c r="O401" s="631">
        <f t="shared" si="24"/>
        <v>1.2</v>
      </c>
      <c r="P401" s="630" t="s">
        <v>6</v>
      </c>
    </row>
    <row r="402" spans="1:16" x14ac:dyDescent="0.2">
      <c r="A402" s="736"/>
      <c r="B402" s="737"/>
      <c r="C402" s="665"/>
      <c r="E402" s="661">
        <v>1.3</v>
      </c>
      <c r="F402" s="662" t="s">
        <v>866</v>
      </c>
      <c r="G402" s="631">
        <v>1</v>
      </c>
      <c r="H402" s="631"/>
      <c r="I402" s="631"/>
      <c r="J402" s="658"/>
      <c r="K402" s="631"/>
      <c r="L402" s="631"/>
      <c r="M402" s="631"/>
      <c r="N402" s="666" t="s">
        <v>799</v>
      </c>
      <c r="O402" s="631">
        <f t="shared" si="24"/>
        <v>1.3</v>
      </c>
      <c r="P402" s="630" t="s">
        <v>6</v>
      </c>
    </row>
    <row r="403" spans="1:16" ht="13.5" thickBot="1" x14ac:dyDescent="0.25">
      <c r="A403" s="736"/>
      <c r="B403" s="737"/>
      <c r="C403" s="665" t="s">
        <v>1605</v>
      </c>
      <c r="E403" s="661">
        <v>1.2</v>
      </c>
      <c r="F403" s="662" t="s">
        <v>866</v>
      </c>
      <c r="G403" s="631">
        <v>3</v>
      </c>
      <c r="H403" s="631"/>
      <c r="I403" s="631"/>
      <c r="J403" s="658"/>
      <c r="K403" s="631"/>
      <c r="L403" s="631"/>
      <c r="M403" s="631"/>
      <c r="N403" s="666" t="s">
        <v>799</v>
      </c>
      <c r="O403" s="631">
        <f t="shared" si="24"/>
        <v>3.5999999999999996</v>
      </c>
      <c r="P403" s="630" t="s">
        <v>6</v>
      </c>
    </row>
    <row r="404" spans="1:16" ht="13.5" thickBot="1" x14ac:dyDescent="0.25">
      <c r="A404" s="736"/>
      <c r="B404" s="737"/>
      <c r="C404" s="667"/>
      <c r="F404" s="666"/>
      <c r="G404" s="631"/>
      <c r="H404" s="631"/>
      <c r="I404" s="631"/>
      <c r="J404" s="631"/>
      <c r="K404" s="631"/>
      <c r="L404" s="631"/>
      <c r="M404" s="631"/>
      <c r="N404" s="666"/>
      <c r="O404" s="668">
        <f>ROUND((SUM(O393:O403)),2)</f>
        <v>26.85</v>
      </c>
      <c r="P404" s="669" t="s">
        <v>6</v>
      </c>
    </row>
    <row r="405" spans="1:16" ht="94.5" customHeight="1" thickBot="1" x14ac:dyDescent="0.25">
      <c r="A405" s="734" t="s">
        <v>0</v>
      </c>
      <c r="B405" s="735" t="s">
        <v>1256</v>
      </c>
      <c r="C405" s="678" t="e">
        <f>#REF!</f>
        <v>#REF!</v>
      </c>
      <c r="D405" s="662" t="s">
        <v>799</v>
      </c>
      <c r="E405" s="663" t="s">
        <v>888</v>
      </c>
      <c r="F405" s="633"/>
      <c r="G405" s="664"/>
      <c r="H405" s="664"/>
      <c r="I405" s="664"/>
      <c r="J405" s="664"/>
      <c r="K405" s="664"/>
      <c r="L405" s="664"/>
      <c r="M405" s="664"/>
      <c r="O405" s="631"/>
    </row>
    <row r="406" spans="1:16" ht="13.5" thickBot="1" x14ac:dyDescent="0.25">
      <c r="A406" s="736"/>
      <c r="B406" s="737"/>
      <c r="C406" s="665" t="s">
        <v>882</v>
      </c>
      <c r="E406" s="661">
        <v>3838.14</v>
      </c>
      <c r="F406" s="662"/>
      <c r="G406" s="1908" t="s">
        <v>1075</v>
      </c>
      <c r="H406" s="1909"/>
      <c r="I406" s="1909"/>
      <c r="J406" s="1909"/>
      <c r="K406" s="1910"/>
      <c r="L406" s="631"/>
      <c r="M406" s="631"/>
      <c r="N406" s="666" t="s">
        <v>799</v>
      </c>
      <c r="O406" s="631">
        <f>E406</f>
        <v>3838.14</v>
      </c>
      <c r="P406" s="630" t="s">
        <v>7</v>
      </c>
    </row>
    <row r="407" spans="1:16" ht="13.5" thickBot="1" x14ac:dyDescent="0.25">
      <c r="A407" s="736"/>
      <c r="B407" s="737"/>
      <c r="C407" s="667"/>
      <c r="F407" s="666"/>
      <c r="G407" s="631"/>
      <c r="H407" s="631"/>
      <c r="I407" s="631"/>
      <c r="J407" s="631"/>
      <c r="K407" s="631"/>
      <c r="L407" s="631"/>
      <c r="M407" s="631"/>
      <c r="N407" s="666"/>
      <c r="O407" s="668">
        <f>ROUND((SUM(O406:O406)),2)</f>
        <v>3838.14</v>
      </c>
      <c r="P407" s="669" t="s">
        <v>7</v>
      </c>
    </row>
    <row r="408" spans="1:16" ht="51.75" customHeight="1" x14ac:dyDescent="0.2">
      <c r="A408" s="734" t="s">
        <v>0</v>
      </c>
      <c r="B408" s="735" t="s">
        <v>1257</v>
      </c>
      <c r="C408" s="678" t="e">
        <f>#REF!</f>
        <v>#REF!</v>
      </c>
      <c r="D408" s="662" t="s">
        <v>799</v>
      </c>
      <c r="E408" s="663" t="s">
        <v>864</v>
      </c>
      <c r="F408" s="633"/>
      <c r="G408" s="664" t="s">
        <v>884</v>
      </c>
      <c r="H408" s="664"/>
      <c r="I408" s="664" t="s">
        <v>628</v>
      </c>
      <c r="J408" s="664"/>
      <c r="K408" s="664" t="s">
        <v>1608</v>
      </c>
      <c r="L408" s="664"/>
      <c r="M408" s="664"/>
      <c r="O408" s="631"/>
    </row>
    <row r="409" spans="1:16" x14ac:dyDescent="0.2">
      <c r="A409" s="736"/>
      <c r="B409" s="737"/>
      <c r="C409" s="665" t="s">
        <v>1606</v>
      </c>
      <c r="E409" s="661">
        <v>3.7</v>
      </c>
      <c r="F409" s="662" t="s">
        <v>866</v>
      </c>
      <c r="G409" s="631">
        <v>3</v>
      </c>
      <c r="H409" s="631" t="s">
        <v>866</v>
      </c>
      <c r="I409" s="631">
        <v>12</v>
      </c>
      <c r="J409" s="658"/>
      <c r="K409" s="631"/>
      <c r="L409" s="631"/>
      <c r="M409" s="631"/>
      <c r="N409" s="666" t="s">
        <v>799</v>
      </c>
      <c r="O409" s="658">
        <f>(E409*G409*I409)</f>
        <v>133.20000000000002</v>
      </c>
      <c r="P409" s="657" t="s">
        <v>4</v>
      </c>
    </row>
    <row r="410" spans="1:16" x14ac:dyDescent="0.2">
      <c r="A410" s="736"/>
      <c r="B410" s="737"/>
      <c r="C410" s="665"/>
      <c r="E410" s="661">
        <v>1.95</v>
      </c>
      <c r="F410" s="662" t="s">
        <v>866</v>
      </c>
      <c r="G410" s="631">
        <v>3</v>
      </c>
      <c r="H410" s="631" t="s">
        <v>866</v>
      </c>
      <c r="I410" s="631">
        <v>2</v>
      </c>
      <c r="J410" s="658"/>
      <c r="K410" s="631"/>
      <c r="L410" s="631"/>
      <c r="M410" s="631"/>
      <c r="N410" s="666" t="s">
        <v>799</v>
      </c>
      <c r="O410" s="658">
        <f t="shared" ref="O410:O417" si="25">(E410*G410*I410)</f>
        <v>11.7</v>
      </c>
      <c r="P410" s="657" t="s">
        <v>4</v>
      </c>
    </row>
    <row r="411" spans="1:16" x14ac:dyDescent="0.2">
      <c r="A411" s="736"/>
      <c r="B411" s="737"/>
      <c r="C411" s="665"/>
      <c r="E411" s="661">
        <v>1.2</v>
      </c>
      <c r="F411" s="662" t="s">
        <v>866</v>
      </c>
      <c r="G411" s="631">
        <v>3</v>
      </c>
      <c r="H411" s="631" t="s">
        <v>866</v>
      </c>
      <c r="I411" s="631">
        <v>1</v>
      </c>
      <c r="J411" s="658"/>
      <c r="K411" s="631"/>
      <c r="L411" s="631"/>
      <c r="M411" s="631"/>
      <c r="N411" s="666" t="s">
        <v>799</v>
      </c>
      <c r="O411" s="658">
        <f t="shared" si="25"/>
        <v>3.5999999999999996</v>
      </c>
      <c r="P411" s="657" t="s">
        <v>4</v>
      </c>
    </row>
    <row r="412" spans="1:16" x14ac:dyDescent="0.2">
      <c r="A412" s="736"/>
      <c r="B412" s="737"/>
      <c r="C412" s="665"/>
      <c r="E412" s="661">
        <v>1.05</v>
      </c>
      <c r="F412" s="662" t="s">
        <v>866</v>
      </c>
      <c r="G412" s="631">
        <v>0.6</v>
      </c>
      <c r="H412" s="631" t="s">
        <v>866</v>
      </c>
      <c r="I412" s="631">
        <v>1</v>
      </c>
      <c r="J412" s="658"/>
      <c r="K412" s="631"/>
      <c r="L412" s="631"/>
      <c r="M412" s="631"/>
      <c r="N412" s="666" t="s">
        <v>799</v>
      </c>
      <c r="O412" s="658">
        <f t="shared" si="25"/>
        <v>0.63</v>
      </c>
      <c r="P412" s="657" t="s">
        <v>4</v>
      </c>
    </row>
    <row r="413" spans="1:16" x14ac:dyDescent="0.2">
      <c r="A413" s="736"/>
      <c r="B413" s="737"/>
      <c r="C413" s="665" t="s">
        <v>887</v>
      </c>
      <c r="E413" s="661">
        <v>3.2</v>
      </c>
      <c r="F413" s="662" t="s">
        <v>866</v>
      </c>
      <c r="G413" s="631">
        <v>3</v>
      </c>
      <c r="H413" s="631" t="s">
        <v>866</v>
      </c>
      <c r="I413" s="631">
        <v>7</v>
      </c>
      <c r="J413" s="658"/>
      <c r="K413" s="631"/>
      <c r="L413" s="631"/>
      <c r="M413" s="631"/>
      <c r="N413" s="666" t="s">
        <v>799</v>
      </c>
      <c r="O413" s="658">
        <f t="shared" si="25"/>
        <v>67.200000000000017</v>
      </c>
      <c r="P413" s="657" t="s">
        <v>4</v>
      </c>
    </row>
    <row r="414" spans="1:16" x14ac:dyDescent="0.2">
      <c r="A414" s="736"/>
      <c r="B414" s="737"/>
      <c r="C414" s="665"/>
      <c r="E414" s="661">
        <v>2</v>
      </c>
      <c r="F414" s="662" t="s">
        <v>866</v>
      </c>
      <c r="G414" s="631">
        <v>3</v>
      </c>
      <c r="H414" s="631" t="s">
        <v>866</v>
      </c>
      <c r="I414" s="631">
        <v>2</v>
      </c>
      <c r="J414" s="658"/>
      <c r="K414" s="631"/>
      <c r="L414" s="631"/>
      <c r="M414" s="631"/>
      <c r="N414" s="666" t="s">
        <v>799</v>
      </c>
      <c r="O414" s="658">
        <f t="shared" si="25"/>
        <v>12</v>
      </c>
      <c r="P414" s="657" t="s">
        <v>4</v>
      </c>
    </row>
    <row r="415" spans="1:16" x14ac:dyDescent="0.2">
      <c r="A415" s="736"/>
      <c r="B415" s="737"/>
      <c r="C415" s="665"/>
      <c r="E415" s="661">
        <v>1.25</v>
      </c>
      <c r="F415" s="662" t="s">
        <v>866</v>
      </c>
      <c r="G415" s="631">
        <v>3</v>
      </c>
      <c r="H415" s="631" t="s">
        <v>866</v>
      </c>
      <c r="I415" s="631">
        <v>2</v>
      </c>
      <c r="J415" s="658"/>
      <c r="K415" s="631"/>
      <c r="L415" s="631"/>
      <c r="M415" s="631"/>
      <c r="N415" s="666" t="s">
        <v>799</v>
      </c>
      <c r="O415" s="658">
        <f t="shared" si="25"/>
        <v>7.5</v>
      </c>
      <c r="P415" s="657" t="s">
        <v>4</v>
      </c>
    </row>
    <row r="416" spans="1:16" x14ac:dyDescent="0.2">
      <c r="A416" s="736"/>
      <c r="B416" s="737"/>
      <c r="C416" s="665"/>
      <c r="E416" s="661">
        <v>2.65</v>
      </c>
      <c r="F416" s="662" t="s">
        <v>866</v>
      </c>
      <c r="G416" s="631">
        <v>3</v>
      </c>
      <c r="H416" s="631" t="s">
        <v>866</v>
      </c>
      <c r="I416" s="631">
        <v>1</v>
      </c>
      <c r="J416" s="658"/>
      <c r="K416" s="631"/>
      <c r="L416" s="631"/>
      <c r="M416" s="631"/>
      <c r="N416" s="666" t="s">
        <v>799</v>
      </c>
      <c r="O416" s="658">
        <f t="shared" si="25"/>
        <v>7.9499999999999993</v>
      </c>
      <c r="P416" s="657" t="s">
        <v>4</v>
      </c>
    </row>
    <row r="417" spans="1:16" x14ac:dyDescent="0.2">
      <c r="A417" s="736"/>
      <c r="B417" s="737"/>
      <c r="C417" s="665"/>
      <c r="E417" s="661">
        <v>1.05</v>
      </c>
      <c r="F417" s="662" t="s">
        <v>866</v>
      </c>
      <c r="G417" s="631">
        <v>3</v>
      </c>
      <c r="H417" s="631" t="s">
        <v>866</v>
      </c>
      <c r="I417" s="631">
        <v>1</v>
      </c>
      <c r="J417" s="658"/>
      <c r="K417" s="631"/>
      <c r="L417" s="631"/>
      <c r="M417" s="631"/>
      <c r="N417" s="666" t="s">
        <v>799</v>
      </c>
      <c r="O417" s="658">
        <f t="shared" si="25"/>
        <v>3.1500000000000004</v>
      </c>
      <c r="P417" s="657" t="s">
        <v>4</v>
      </c>
    </row>
    <row r="418" spans="1:16" x14ac:dyDescent="0.2">
      <c r="A418" s="736"/>
      <c r="B418" s="737"/>
      <c r="C418" s="665" t="s">
        <v>1609</v>
      </c>
      <c r="F418" s="662"/>
      <c r="G418" s="631"/>
      <c r="H418" s="631"/>
      <c r="I418" s="631"/>
      <c r="J418" s="658"/>
      <c r="K418" s="631">
        <f>$O$515</f>
        <v>20.3</v>
      </c>
      <c r="L418" s="631"/>
      <c r="M418" s="631"/>
      <c r="N418" s="666" t="s">
        <v>799</v>
      </c>
      <c r="O418" s="658">
        <f>K418*-1</f>
        <v>-20.3</v>
      </c>
      <c r="P418" s="657" t="s">
        <v>4</v>
      </c>
    </row>
    <row r="419" spans="1:16" ht="13.5" thickBot="1" x14ac:dyDescent="0.25">
      <c r="A419" s="736"/>
      <c r="B419" s="737"/>
      <c r="C419" s="790" t="s">
        <v>1614</v>
      </c>
      <c r="F419" s="662"/>
      <c r="G419" s="631"/>
      <c r="H419" s="631"/>
      <c r="I419" s="631"/>
      <c r="J419" s="658"/>
      <c r="K419" s="631">
        <f>$O$525</f>
        <v>34.07</v>
      </c>
      <c r="L419" s="631"/>
      <c r="M419" s="631"/>
      <c r="N419" s="666" t="s">
        <v>799</v>
      </c>
      <c r="O419" s="658">
        <f>K419*-1</f>
        <v>-34.07</v>
      </c>
      <c r="P419" s="657" t="s">
        <v>4</v>
      </c>
    </row>
    <row r="420" spans="1:16" ht="13.5" thickBot="1" x14ac:dyDescent="0.25">
      <c r="A420" s="736"/>
      <c r="B420" s="737"/>
      <c r="C420" s="667"/>
      <c r="F420" s="666"/>
      <c r="G420" s="631"/>
      <c r="H420" s="631"/>
      <c r="I420" s="631"/>
      <c r="J420" s="631"/>
      <c r="K420" s="631"/>
      <c r="L420" s="631"/>
      <c r="M420" s="631"/>
      <c r="N420" s="666"/>
      <c r="O420" s="668">
        <f>ROUND((SUM(O409:O419)),2)</f>
        <v>192.56</v>
      </c>
      <c r="P420" s="669" t="s">
        <v>4</v>
      </c>
    </row>
    <row r="421" spans="1:16" ht="27" customHeight="1" x14ac:dyDescent="0.2">
      <c r="A421" s="734" t="s">
        <v>0</v>
      </c>
      <c r="B421" s="735" t="s">
        <v>1258</v>
      </c>
      <c r="C421" s="678" t="e">
        <f>#REF!</f>
        <v>#REF!</v>
      </c>
      <c r="D421" s="662" t="s">
        <v>799</v>
      </c>
      <c r="E421" s="663" t="s">
        <v>864</v>
      </c>
      <c r="F421" s="633"/>
      <c r="G421" s="664" t="s">
        <v>884</v>
      </c>
      <c r="H421" s="664"/>
      <c r="I421" s="664" t="s">
        <v>1089</v>
      </c>
      <c r="J421" s="664"/>
      <c r="K421" s="664" t="s">
        <v>628</v>
      </c>
      <c r="L421" s="664"/>
      <c r="M421" s="664" t="s">
        <v>1158</v>
      </c>
      <c r="O421" s="631"/>
    </row>
    <row r="422" spans="1:16" x14ac:dyDescent="0.2">
      <c r="A422" s="736"/>
      <c r="B422" s="737"/>
      <c r="C422" s="665" t="s">
        <v>1606</v>
      </c>
      <c r="E422" s="661">
        <v>3.7</v>
      </c>
      <c r="F422" s="662" t="s">
        <v>866</v>
      </c>
      <c r="G422" s="631">
        <v>3</v>
      </c>
      <c r="H422" s="631" t="s">
        <v>866</v>
      </c>
      <c r="I422" s="631">
        <v>2</v>
      </c>
      <c r="J422" s="658" t="s">
        <v>866</v>
      </c>
      <c r="K422" s="631">
        <v>12</v>
      </c>
      <c r="L422" s="631"/>
      <c r="M422" s="631"/>
      <c r="N422" s="666" t="s">
        <v>799</v>
      </c>
      <c r="O422" s="658">
        <f>E422*G422*I422*K422</f>
        <v>266.40000000000003</v>
      </c>
      <c r="P422" s="657" t="s">
        <v>4</v>
      </c>
    </row>
    <row r="423" spans="1:16" x14ac:dyDescent="0.2">
      <c r="A423" s="736"/>
      <c r="B423" s="737"/>
      <c r="C423" s="665"/>
      <c r="E423" s="661">
        <v>1.95</v>
      </c>
      <c r="F423" s="662" t="s">
        <v>866</v>
      </c>
      <c r="G423" s="631">
        <v>3</v>
      </c>
      <c r="H423" s="631" t="s">
        <v>866</v>
      </c>
      <c r="I423" s="631">
        <v>2</v>
      </c>
      <c r="J423" s="658" t="s">
        <v>866</v>
      </c>
      <c r="K423" s="631">
        <v>2</v>
      </c>
      <c r="L423" s="631"/>
      <c r="M423" s="631"/>
      <c r="N423" s="666" t="s">
        <v>799</v>
      </c>
      <c r="O423" s="658">
        <f>E423*G423*I423*K423</f>
        <v>23.4</v>
      </c>
      <c r="P423" s="657" t="s">
        <v>4</v>
      </c>
    </row>
    <row r="424" spans="1:16" x14ac:dyDescent="0.2">
      <c r="A424" s="736"/>
      <c r="B424" s="737"/>
      <c r="C424" s="665"/>
      <c r="E424" s="661">
        <v>1.2</v>
      </c>
      <c r="F424" s="662" t="s">
        <v>866</v>
      </c>
      <c r="G424" s="631">
        <v>3</v>
      </c>
      <c r="H424" s="631" t="s">
        <v>866</v>
      </c>
      <c r="I424" s="631">
        <v>2</v>
      </c>
      <c r="J424" s="658" t="s">
        <v>866</v>
      </c>
      <c r="K424" s="631">
        <v>1</v>
      </c>
      <c r="L424" s="631"/>
      <c r="M424" s="631"/>
      <c r="N424" s="666" t="s">
        <v>799</v>
      </c>
      <c r="O424" s="658">
        <f t="shared" ref="O424:O435" si="26">E424*G424*I424*K424</f>
        <v>7.1999999999999993</v>
      </c>
      <c r="P424" s="657" t="s">
        <v>4</v>
      </c>
    </row>
    <row r="425" spans="1:16" x14ac:dyDescent="0.2">
      <c r="A425" s="736"/>
      <c r="B425" s="737"/>
      <c r="C425" s="665"/>
      <c r="E425" s="661">
        <v>1.05</v>
      </c>
      <c r="F425" s="662" t="s">
        <v>866</v>
      </c>
      <c r="G425" s="631">
        <v>0.6</v>
      </c>
      <c r="H425" s="631" t="s">
        <v>866</v>
      </c>
      <c r="I425" s="631">
        <v>2</v>
      </c>
      <c r="J425" s="658" t="s">
        <v>866</v>
      </c>
      <c r="K425" s="631">
        <v>1</v>
      </c>
      <c r="L425" s="631"/>
      <c r="M425" s="631"/>
      <c r="N425" s="666" t="s">
        <v>799</v>
      </c>
      <c r="O425" s="658">
        <f t="shared" si="26"/>
        <v>1.26</v>
      </c>
      <c r="P425" s="657" t="s">
        <v>4</v>
      </c>
    </row>
    <row r="426" spans="1:16" x14ac:dyDescent="0.2">
      <c r="A426" s="736"/>
      <c r="B426" s="737"/>
      <c r="C426" s="665" t="s">
        <v>887</v>
      </c>
      <c r="E426" s="661">
        <v>3.2</v>
      </c>
      <c r="F426" s="662" t="s">
        <v>866</v>
      </c>
      <c r="G426" s="631">
        <v>3</v>
      </c>
      <c r="H426" s="631" t="s">
        <v>866</v>
      </c>
      <c r="I426" s="631">
        <v>2</v>
      </c>
      <c r="J426" s="658" t="s">
        <v>866</v>
      </c>
      <c r="K426" s="631">
        <v>7</v>
      </c>
      <c r="L426" s="631"/>
      <c r="M426" s="631"/>
      <c r="N426" s="666" t="s">
        <v>799</v>
      </c>
      <c r="O426" s="658">
        <f t="shared" si="26"/>
        <v>134.40000000000003</v>
      </c>
      <c r="P426" s="657" t="s">
        <v>4</v>
      </c>
    </row>
    <row r="427" spans="1:16" x14ac:dyDescent="0.2">
      <c r="A427" s="736"/>
      <c r="B427" s="737"/>
      <c r="C427" s="665"/>
      <c r="E427" s="661">
        <v>2</v>
      </c>
      <c r="F427" s="662" t="s">
        <v>866</v>
      </c>
      <c r="G427" s="631">
        <v>3</v>
      </c>
      <c r="H427" s="631" t="s">
        <v>866</v>
      </c>
      <c r="I427" s="631">
        <v>2</v>
      </c>
      <c r="J427" s="658" t="s">
        <v>866</v>
      </c>
      <c r="K427" s="631">
        <v>2</v>
      </c>
      <c r="L427" s="631"/>
      <c r="M427" s="631"/>
      <c r="N427" s="666" t="s">
        <v>799</v>
      </c>
      <c r="O427" s="658">
        <f t="shared" si="26"/>
        <v>24</v>
      </c>
      <c r="P427" s="657" t="s">
        <v>4</v>
      </c>
    </row>
    <row r="428" spans="1:16" x14ac:dyDescent="0.2">
      <c r="A428" s="736"/>
      <c r="B428" s="737"/>
      <c r="C428" s="665"/>
      <c r="E428" s="661">
        <v>1.25</v>
      </c>
      <c r="F428" s="662" t="s">
        <v>866</v>
      </c>
      <c r="G428" s="631">
        <v>3</v>
      </c>
      <c r="H428" s="631" t="s">
        <v>866</v>
      </c>
      <c r="I428" s="631">
        <v>2</v>
      </c>
      <c r="J428" s="658" t="s">
        <v>866</v>
      </c>
      <c r="K428" s="631">
        <v>2</v>
      </c>
      <c r="L428" s="631"/>
      <c r="M428" s="631"/>
      <c r="N428" s="666" t="s">
        <v>799</v>
      </c>
      <c r="O428" s="658">
        <f t="shared" si="26"/>
        <v>15</v>
      </c>
      <c r="P428" s="657" t="s">
        <v>4</v>
      </c>
    </row>
    <row r="429" spans="1:16" x14ac:dyDescent="0.2">
      <c r="A429" s="736"/>
      <c r="B429" s="737"/>
      <c r="C429" s="665"/>
      <c r="E429" s="661">
        <v>2.65</v>
      </c>
      <c r="F429" s="662" t="s">
        <v>866</v>
      </c>
      <c r="G429" s="631">
        <v>3</v>
      </c>
      <c r="H429" s="631" t="s">
        <v>866</v>
      </c>
      <c r="I429" s="631">
        <v>2</v>
      </c>
      <c r="J429" s="658" t="s">
        <v>866</v>
      </c>
      <c r="K429" s="631">
        <v>1</v>
      </c>
      <c r="L429" s="631"/>
      <c r="M429" s="631"/>
      <c r="N429" s="666" t="s">
        <v>799</v>
      </c>
      <c r="O429" s="658">
        <f t="shared" si="26"/>
        <v>15.899999999999999</v>
      </c>
      <c r="P429" s="657" t="s">
        <v>4</v>
      </c>
    </row>
    <row r="430" spans="1:16" x14ac:dyDescent="0.2">
      <c r="A430" s="736"/>
      <c r="B430" s="737"/>
      <c r="C430" s="665"/>
      <c r="E430" s="661">
        <v>1.05</v>
      </c>
      <c r="F430" s="662" t="s">
        <v>866</v>
      </c>
      <c r="G430" s="631">
        <v>3</v>
      </c>
      <c r="H430" s="631" t="s">
        <v>866</v>
      </c>
      <c r="I430" s="631">
        <v>2</v>
      </c>
      <c r="J430" s="658" t="s">
        <v>866</v>
      </c>
      <c r="K430" s="631">
        <v>1</v>
      </c>
      <c r="L430" s="631"/>
      <c r="M430" s="631"/>
      <c r="N430" s="666" t="s">
        <v>799</v>
      </c>
      <c r="O430" s="658">
        <f t="shared" si="26"/>
        <v>6.3000000000000007</v>
      </c>
      <c r="P430" s="657" t="s">
        <v>4</v>
      </c>
    </row>
    <row r="431" spans="1:16" x14ac:dyDescent="0.2">
      <c r="A431" s="736"/>
      <c r="B431" s="737"/>
      <c r="C431" s="933" t="s">
        <v>1597</v>
      </c>
      <c r="E431" s="661">
        <v>3.2</v>
      </c>
      <c r="F431" s="662" t="s">
        <v>866</v>
      </c>
      <c r="G431" s="631">
        <v>0.3</v>
      </c>
      <c r="H431" s="631" t="s">
        <v>866</v>
      </c>
      <c r="I431" s="631">
        <v>3</v>
      </c>
      <c r="J431" s="658" t="s">
        <v>866</v>
      </c>
      <c r="K431" s="631">
        <v>12</v>
      </c>
      <c r="L431" s="631"/>
      <c r="M431" s="631"/>
      <c r="N431" s="666" t="s">
        <v>799</v>
      </c>
      <c r="O431" s="658">
        <f t="shared" si="26"/>
        <v>34.56</v>
      </c>
      <c r="P431" s="657" t="s">
        <v>4</v>
      </c>
    </row>
    <row r="432" spans="1:16" x14ac:dyDescent="0.2">
      <c r="A432" s="736"/>
      <c r="B432" s="737"/>
      <c r="C432" s="933" t="s">
        <v>1598</v>
      </c>
      <c r="E432" s="661">
        <v>16.3</v>
      </c>
      <c r="F432" s="662" t="s">
        <v>866</v>
      </c>
      <c r="G432" s="631">
        <v>0.3</v>
      </c>
      <c r="H432" s="631" t="s">
        <v>866</v>
      </c>
      <c r="I432" s="631">
        <v>3</v>
      </c>
      <c r="J432" s="658" t="s">
        <v>866</v>
      </c>
      <c r="K432" s="631">
        <v>3</v>
      </c>
      <c r="L432" s="631"/>
      <c r="M432" s="631"/>
      <c r="N432" s="666" t="s">
        <v>799</v>
      </c>
      <c r="O432" s="658">
        <f t="shared" si="26"/>
        <v>44.009999999999991</v>
      </c>
      <c r="P432" s="657" t="s">
        <v>4</v>
      </c>
    </row>
    <row r="433" spans="1:16" x14ac:dyDescent="0.2">
      <c r="A433" s="736"/>
      <c r="B433" s="737"/>
      <c r="C433" s="665"/>
      <c r="E433" s="661">
        <v>3.7</v>
      </c>
      <c r="F433" s="662" t="s">
        <v>866</v>
      </c>
      <c r="G433" s="631">
        <v>0.3</v>
      </c>
      <c r="H433" s="631" t="s">
        <v>866</v>
      </c>
      <c r="I433" s="631">
        <v>3</v>
      </c>
      <c r="J433" s="658" t="s">
        <v>866</v>
      </c>
      <c r="K433" s="631">
        <v>1</v>
      </c>
      <c r="L433" s="631"/>
      <c r="M433" s="631"/>
      <c r="N433" s="666" t="s">
        <v>799</v>
      </c>
      <c r="O433" s="658">
        <f t="shared" si="26"/>
        <v>3.33</v>
      </c>
      <c r="P433" s="657" t="s">
        <v>4</v>
      </c>
    </row>
    <row r="434" spans="1:16" x14ac:dyDescent="0.2">
      <c r="A434" s="736"/>
      <c r="B434" s="737"/>
      <c r="C434" s="665" t="s">
        <v>1595</v>
      </c>
      <c r="E434" s="661">
        <v>3</v>
      </c>
      <c r="F434" s="662" t="s">
        <v>866</v>
      </c>
      <c r="G434" s="631">
        <v>0.3</v>
      </c>
      <c r="H434" s="631" t="s">
        <v>866</v>
      </c>
      <c r="I434" s="631">
        <v>3</v>
      </c>
      <c r="J434" s="658" t="s">
        <v>866</v>
      </c>
      <c r="K434" s="631">
        <v>15</v>
      </c>
      <c r="L434" s="631"/>
      <c r="M434" s="631"/>
      <c r="N434" s="666" t="s">
        <v>799</v>
      </c>
      <c r="O434" s="658">
        <f t="shared" si="26"/>
        <v>40.499999999999993</v>
      </c>
      <c r="P434" s="657" t="s">
        <v>4</v>
      </c>
    </row>
    <row r="435" spans="1:16" x14ac:dyDescent="0.2">
      <c r="A435" s="736"/>
      <c r="B435" s="737"/>
      <c r="C435" s="665" t="s">
        <v>1596</v>
      </c>
      <c r="E435" s="661">
        <v>3</v>
      </c>
      <c r="F435" s="662" t="s">
        <v>866</v>
      </c>
      <c r="G435" s="631">
        <v>0.3</v>
      </c>
      <c r="H435" s="631" t="s">
        <v>866</v>
      </c>
      <c r="I435" s="631">
        <v>3</v>
      </c>
      <c r="J435" s="658" t="s">
        <v>866</v>
      </c>
      <c r="K435" s="631">
        <v>10</v>
      </c>
      <c r="L435" s="631"/>
      <c r="M435" s="631"/>
      <c r="N435" s="666" t="s">
        <v>799</v>
      </c>
      <c r="O435" s="658">
        <f t="shared" si="26"/>
        <v>26.999999999999996</v>
      </c>
      <c r="P435" s="657" t="s">
        <v>4</v>
      </c>
    </row>
    <row r="436" spans="1:16" x14ac:dyDescent="0.2">
      <c r="A436" s="736"/>
      <c r="B436" s="737"/>
      <c r="C436" s="665" t="s">
        <v>1609</v>
      </c>
      <c r="F436" s="662"/>
      <c r="G436" s="631"/>
      <c r="H436" s="631"/>
      <c r="I436" s="631"/>
      <c r="J436" s="658"/>
      <c r="K436" s="631"/>
      <c r="L436" s="631"/>
      <c r="M436" s="631">
        <f>O515*2</f>
        <v>40.6</v>
      </c>
      <c r="N436" s="666" t="s">
        <v>799</v>
      </c>
      <c r="O436" s="658">
        <f>M436*-1</f>
        <v>-40.6</v>
      </c>
      <c r="P436" s="657" t="s">
        <v>4</v>
      </c>
    </row>
    <row r="437" spans="1:16" ht="13.5" thickBot="1" x14ac:dyDescent="0.25">
      <c r="A437" s="736"/>
      <c r="B437" s="737"/>
      <c r="C437" s="665" t="s">
        <v>1607</v>
      </c>
      <c r="F437" s="662"/>
      <c r="G437" s="631"/>
      <c r="H437" s="631"/>
      <c r="I437" s="631"/>
      <c r="J437" s="658"/>
      <c r="K437" s="631"/>
      <c r="L437" s="631"/>
      <c r="M437" s="631">
        <f>O525*2</f>
        <v>68.14</v>
      </c>
      <c r="N437" s="666" t="s">
        <v>799</v>
      </c>
      <c r="O437" s="658">
        <f>M437*-1</f>
        <v>-68.14</v>
      </c>
      <c r="P437" s="657" t="s">
        <v>4</v>
      </c>
    </row>
    <row r="438" spans="1:16" ht="13.5" thickBot="1" x14ac:dyDescent="0.25">
      <c r="A438" s="736"/>
      <c r="B438" s="737"/>
      <c r="C438" s="667"/>
      <c r="F438" s="666"/>
      <c r="G438" s="631"/>
      <c r="H438" s="631"/>
      <c r="I438" s="631"/>
      <c r="J438" s="631"/>
      <c r="K438" s="631"/>
      <c r="L438" s="631"/>
      <c r="M438" s="631"/>
      <c r="N438" s="666"/>
      <c r="O438" s="668">
        <f>ROUND((SUM(O422:O437)),2)</f>
        <v>534.52</v>
      </c>
      <c r="P438" s="669" t="s">
        <v>4</v>
      </c>
    </row>
    <row r="439" spans="1:16" x14ac:dyDescent="0.2">
      <c r="A439" s="736"/>
      <c r="B439" s="737"/>
      <c r="C439" s="667"/>
      <c r="F439" s="666"/>
      <c r="G439" s="631"/>
      <c r="H439" s="631"/>
      <c r="I439" s="631"/>
      <c r="J439" s="631"/>
      <c r="K439" s="631"/>
      <c r="L439" s="631"/>
      <c r="M439" s="631"/>
      <c r="N439" s="666"/>
      <c r="O439" s="632"/>
      <c r="P439" s="633"/>
    </row>
    <row r="440" spans="1:16" ht="26.25" customHeight="1" x14ac:dyDescent="0.2">
      <c r="A440" s="734" t="s">
        <v>0</v>
      </c>
      <c r="B440" s="735" t="s">
        <v>1259</v>
      </c>
      <c r="C440" s="678" t="e">
        <f>#REF!</f>
        <v>#REF!</v>
      </c>
      <c r="D440" s="662" t="s">
        <v>799</v>
      </c>
      <c r="E440" s="663" t="s">
        <v>864</v>
      </c>
      <c r="F440" s="633"/>
      <c r="G440" s="664" t="s">
        <v>865</v>
      </c>
      <c r="H440" s="664"/>
      <c r="I440" s="664" t="s">
        <v>628</v>
      </c>
      <c r="J440" s="664"/>
      <c r="K440" s="664" t="s">
        <v>889</v>
      </c>
      <c r="L440" s="664"/>
      <c r="M440" s="664"/>
      <c r="O440" s="631"/>
    </row>
    <row r="441" spans="1:16" ht="13.5" thickBot="1" x14ac:dyDescent="0.25">
      <c r="A441" s="736"/>
      <c r="B441" s="737"/>
      <c r="C441" s="813" t="s">
        <v>1589</v>
      </c>
      <c r="D441"/>
      <c r="E441" s="481">
        <v>18.3</v>
      </c>
      <c r="F441" s="808" t="s">
        <v>866</v>
      </c>
      <c r="G441" s="812">
        <v>9.3000000000000007</v>
      </c>
      <c r="H441" s="631" t="s">
        <v>866</v>
      </c>
      <c r="I441" s="631">
        <v>1</v>
      </c>
      <c r="J441" s="658" t="s">
        <v>866</v>
      </c>
      <c r="K441" s="631">
        <v>0.9</v>
      </c>
      <c r="L441" s="631"/>
      <c r="M441" s="631"/>
      <c r="N441" s="666" t="s">
        <v>799</v>
      </c>
      <c r="O441" s="658">
        <f>E441*G441*I441*K441</f>
        <v>153.17100000000002</v>
      </c>
      <c r="P441" s="657" t="s">
        <v>4</v>
      </c>
    </row>
    <row r="442" spans="1:16" ht="13.5" thickBot="1" x14ac:dyDescent="0.25">
      <c r="A442" s="736"/>
      <c r="B442" s="737"/>
      <c r="C442" s="667"/>
      <c r="F442" s="666"/>
      <c r="G442" s="631"/>
      <c r="H442" s="631"/>
      <c r="I442" s="631"/>
      <c r="J442" s="631"/>
      <c r="K442" s="631"/>
      <c r="L442" s="631"/>
      <c r="M442" s="631"/>
      <c r="N442" s="666"/>
      <c r="O442" s="668">
        <f>ROUND((SUM(O441:O441)),2)</f>
        <v>153.16999999999999</v>
      </c>
      <c r="P442" s="669" t="s">
        <v>4</v>
      </c>
    </row>
    <row r="443" spans="1:16" ht="30.75" customHeight="1" x14ac:dyDescent="0.2">
      <c r="A443" s="734" t="s">
        <v>0</v>
      </c>
      <c r="B443" s="735" t="s">
        <v>1260</v>
      </c>
      <c r="C443" s="678" t="e">
        <f>#REF!</f>
        <v>#REF!</v>
      </c>
      <c r="D443" s="662" t="s">
        <v>799</v>
      </c>
      <c r="E443" s="663" t="s">
        <v>864</v>
      </c>
      <c r="F443" s="633"/>
      <c r="G443" s="664" t="s">
        <v>865</v>
      </c>
      <c r="H443" s="664"/>
      <c r="I443" s="664" t="s">
        <v>628</v>
      </c>
      <c r="J443" s="664"/>
      <c r="K443" s="664" t="s">
        <v>889</v>
      </c>
      <c r="L443" s="664"/>
      <c r="M443" s="664"/>
      <c r="O443" s="631"/>
    </row>
    <row r="444" spans="1:16" ht="13.5" thickBot="1" x14ac:dyDescent="0.25">
      <c r="A444" s="736"/>
      <c r="B444" s="737"/>
      <c r="C444" s="813" t="s">
        <v>1589</v>
      </c>
      <c r="D444"/>
      <c r="E444" s="481">
        <v>18.3</v>
      </c>
      <c r="F444" s="808" t="s">
        <v>866</v>
      </c>
      <c r="G444" s="812">
        <v>9.3000000000000007</v>
      </c>
      <c r="H444" s="631" t="s">
        <v>866</v>
      </c>
      <c r="I444" s="631">
        <v>1</v>
      </c>
      <c r="J444" s="658" t="s">
        <v>866</v>
      </c>
      <c r="K444" s="631">
        <v>0.85</v>
      </c>
      <c r="L444" s="631"/>
      <c r="M444" s="631"/>
      <c r="N444" s="666" t="s">
        <v>799</v>
      </c>
      <c r="O444" s="658">
        <f>E444*G444*I444*K444</f>
        <v>144.66150000000002</v>
      </c>
      <c r="P444" s="657" t="s">
        <v>4</v>
      </c>
    </row>
    <row r="445" spans="1:16" ht="13.5" thickBot="1" x14ac:dyDescent="0.25">
      <c r="A445" s="736"/>
      <c r="B445" s="737"/>
      <c r="C445" s="667"/>
      <c r="F445" s="666"/>
      <c r="G445" s="631"/>
      <c r="H445" s="631"/>
      <c r="I445" s="631"/>
      <c r="J445" s="631"/>
      <c r="K445" s="631"/>
      <c r="L445" s="631"/>
      <c r="M445" s="631"/>
      <c r="N445" s="666"/>
      <c r="O445" s="668">
        <f>ROUND((SUM(O444:O444)),2)</f>
        <v>144.66</v>
      </c>
      <c r="P445" s="669" t="s">
        <v>4</v>
      </c>
    </row>
    <row r="446" spans="1:16" ht="49.5" customHeight="1" x14ac:dyDescent="0.2">
      <c r="A446" s="734" t="s">
        <v>0</v>
      </c>
      <c r="B446" s="735" t="s">
        <v>1261</v>
      </c>
      <c r="C446" s="678" t="e">
        <f>#REF!</f>
        <v>#REF!</v>
      </c>
      <c r="D446" s="662" t="s">
        <v>799</v>
      </c>
      <c r="E446" s="663" t="s">
        <v>864</v>
      </c>
      <c r="F446" s="633"/>
      <c r="G446" s="664" t="s">
        <v>865</v>
      </c>
      <c r="H446" s="664"/>
      <c r="I446" s="664" t="s">
        <v>628</v>
      </c>
      <c r="J446" s="664"/>
      <c r="K446" s="664" t="s">
        <v>889</v>
      </c>
      <c r="L446" s="664"/>
      <c r="M446" s="664"/>
      <c r="O446" s="631"/>
    </row>
    <row r="447" spans="1:16" ht="13.5" thickBot="1" x14ac:dyDescent="0.25">
      <c r="A447" s="736"/>
      <c r="B447" s="737"/>
      <c r="C447" s="813" t="s">
        <v>1589</v>
      </c>
      <c r="D447"/>
      <c r="E447" s="481">
        <v>18.3</v>
      </c>
      <c r="F447" s="808" t="s">
        <v>866</v>
      </c>
      <c r="G447" s="812">
        <v>9.3000000000000007</v>
      </c>
      <c r="H447" s="631" t="s">
        <v>866</v>
      </c>
      <c r="I447" s="631">
        <v>1</v>
      </c>
      <c r="J447" s="658" t="s">
        <v>866</v>
      </c>
      <c r="K447" s="631">
        <v>0.9</v>
      </c>
      <c r="L447" s="631"/>
      <c r="M447" s="631"/>
      <c r="N447" s="666" t="s">
        <v>799</v>
      </c>
      <c r="O447" s="658">
        <f>E447*G447*I447*K447</f>
        <v>153.17100000000002</v>
      </c>
      <c r="P447" s="657" t="s">
        <v>4</v>
      </c>
    </row>
    <row r="448" spans="1:16" ht="13.5" thickBot="1" x14ac:dyDescent="0.25">
      <c r="A448" s="736"/>
      <c r="B448" s="737"/>
      <c r="C448" s="667"/>
      <c r="F448" s="666"/>
      <c r="G448" s="631"/>
      <c r="H448" s="631"/>
      <c r="I448" s="631"/>
      <c r="J448" s="631"/>
      <c r="K448" s="631"/>
      <c r="L448" s="631"/>
      <c r="M448" s="631"/>
      <c r="N448" s="666"/>
      <c r="O448" s="668">
        <f>ROUND((SUM(O447:O447)),2)</f>
        <v>153.16999999999999</v>
      </c>
      <c r="P448" s="669" t="s">
        <v>4</v>
      </c>
    </row>
    <row r="449" spans="1:16" x14ac:dyDescent="0.2">
      <c r="A449" s="736"/>
      <c r="B449" s="737"/>
      <c r="C449" s="667"/>
      <c r="F449" s="666"/>
      <c r="G449" s="631"/>
      <c r="H449" s="631"/>
      <c r="I449" s="631"/>
      <c r="J449" s="631"/>
      <c r="K449" s="631"/>
      <c r="L449" s="631"/>
      <c r="M449" s="631"/>
      <c r="N449" s="666"/>
      <c r="O449" s="632"/>
      <c r="P449" s="633"/>
    </row>
    <row r="450" spans="1:16" x14ac:dyDescent="0.2">
      <c r="A450" s="736"/>
      <c r="B450" s="737"/>
      <c r="C450" s="667"/>
      <c r="F450" s="666"/>
      <c r="G450" s="631"/>
      <c r="H450" s="631"/>
      <c r="I450" s="631"/>
      <c r="J450" s="631"/>
      <c r="K450" s="631"/>
      <c r="L450" s="631"/>
      <c r="M450" s="631"/>
      <c r="N450" s="666"/>
      <c r="O450" s="632"/>
      <c r="P450" s="633"/>
    </row>
    <row r="451" spans="1:16" ht="40.5" customHeight="1" x14ac:dyDescent="0.2">
      <c r="A451" s="734" t="s">
        <v>0</v>
      </c>
      <c r="B451" s="735" t="s">
        <v>1262</v>
      </c>
      <c r="C451" s="678" t="e">
        <f>#REF!</f>
        <v>#REF!</v>
      </c>
      <c r="D451" s="662" t="s">
        <v>799</v>
      </c>
      <c r="E451" s="663" t="s">
        <v>864</v>
      </c>
      <c r="F451" s="633"/>
      <c r="G451" s="664" t="s">
        <v>865</v>
      </c>
      <c r="H451" s="664"/>
      <c r="I451" s="664" t="s">
        <v>628</v>
      </c>
      <c r="J451" s="664"/>
      <c r="K451" s="664"/>
      <c r="L451" s="664"/>
      <c r="M451" s="664"/>
      <c r="O451" s="631"/>
    </row>
    <row r="452" spans="1:16" ht="13.5" thickBot="1" x14ac:dyDescent="0.25">
      <c r="A452" s="736"/>
      <c r="B452" s="737"/>
      <c r="C452" s="813" t="s">
        <v>1589</v>
      </c>
      <c r="E452" s="481">
        <v>18.3</v>
      </c>
      <c r="F452" s="808" t="s">
        <v>866</v>
      </c>
      <c r="G452" s="812">
        <v>9.3000000000000007</v>
      </c>
      <c r="H452" s="631" t="s">
        <v>866</v>
      </c>
      <c r="I452" s="631">
        <v>1</v>
      </c>
      <c r="J452" s="658"/>
      <c r="K452" s="631">
        <v>0.85</v>
      </c>
      <c r="L452" s="631"/>
      <c r="M452" s="631"/>
      <c r="N452" s="666" t="s">
        <v>799</v>
      </c>
      <c r="O452" s="658">
        <f>E452*G452*I452*K452</f>
        <v>144.66150000000002</v>
      </c>
      <c r="P452" s="657" t="s">
        <v>4</v>
      </c>
    </row>
    <row r="453" spans="1:16" ht="13.5" thickBot="1" x14ac:dyDescent="0.25">
      <c r="A453" s="736"/>
      <c r="B453" s="737"/>
      <c r="C453" s="667"/>
      <c r="F453" s="666"/>
      <c r="G453" s="631"/>
      <c r="H453" s="631"/>
      <c r="I453" s="631"/>
      <c r="J453" s="631"/>
      <c r="K453" s="631"/>
      <c r="L453" s="631"/>
      <c r="M453" s="631"/>
      <c r="N453" s="666"/>
      <c r="O453" s="668">
        <f>ROUND((SUM(O452:O452)),2)</f>
        <v>144.66</v>
      </c>
      <c r="P453" s="669" t="s">
        <v>4</v>
      </c>
    </row>
    <row r="454" spans="1:16" ht="37.5" customHeight="1" x14ac:dyDescent="0.2">
      <c r="A454" s="734" t="s">
        <v>0</v>
      </c>
      <c r="B454" s="735" t="s">
        <v>1263</v>
      </c>
      <c r="C454" s="678" t="e">
        <f>#REF!</f>
        <v>#REF!</v>
      </c>
      <c r="D454" s="662" t="s">
        <v>799</v>
      </c>
      <c r="E454" s="663" t="s">
        <v>864</v>
      </c>
      <c r="F454" s="633"/>
      <c r="G454" s="664" t="s">
        <v>628</v>
      </c>
      <c r="H454" s="664"/>
      <c r="I454" s="664"/>
      <c r="J454" s="664"/>
      <c r="K454" s="664"/>
      <c r="L454" s="664"/>
      <c r="M454" s="664"/>
      <c r="O454" s="631"/>
    </row>
    <row r="455" spans="1:16" ht="13.5" thickBot="1" x14ac:dyDescent="0.25">
      <c r="A455" s="736"/>
      <c r="B455" s="737"/>
      <c r="C455" s="813" t="s">
        <v>1589</v>
      </c>
      <c r="E455" s="661">
        <v>80.25</v>
      </c>
      <c r="F455" s="662"/>
      <c r="G455" s="631">
        <v>2</v>
      </c>
      <c r="H455" s="631"/>
      <c r="I455" s="631"/>
      <c r="J455" s="658"/>
      <c r="K455" s="631"/>
      <c r="L455" s="631"/>
      <c r="M455" s="631"/>
      <c r="N455" s="666" t="s">
        <v>799</v>
      </c>
      <c r="O455" s="658">
        <f>E455*G455</f>
        <v>160.5</v>
      </c>
      <c r="P455" s="657" t="s">
        <v>6</v>
      </c>
    </row>
    <row r="456" spans="1:16" ht="13.5" thickBot="1" x14ac:dyDescent="0.25">
      <c r="A456" s="736"/>
      <c r="B456" s="737"/>
      <c r="C456" s="667"/>
      <c r="F456" s="666"/>
      <c r="G456" s="631"/>
      <c r="H456" s="631"/>
      <c r="I456" s="631"/>
      <c r="J456" s="631"/>
      <c r="K456" s="631"/>
      <c r="L456" s="631"/>
      <c r="M456" s="631"/>
      <c r="N456" s="666"/>
      <c r="O456" s="668">
        <f>ROUND((SUM(O455:O455)),2)</f>
        <v>160.5</v>
      </c>
      <c r="P456" s="669" t="s">
        <v>6</v>
      </c>
    </row>
    <row r="457" spans="1:16" ht="39" customHeight="1" x14ac:dyDescent="0.2">
      <c r="A457" s="734" t="s">
        <v>0</v>
      </c>
      <c r="B457" s="735" t="s">
        <v>1264</v>
      </c>
      <c r="C457" s="678" t="e">
        <f>#REF!</f>
        <v>#REF!</v>
      </c>
      <c r="D457" s="662" t="s">
        <v>799</v>
      </c>
      <c r="E457" s="663" t="s">
        <v>864</v>
      </c>
      <c r="F457" s="633"/>
      <c r="G457" s="664" t="s">
        <v>884</v>
      </c>
      <c r="H457" s="664"/>
      <c r="I457" s="664" t="s">
        <v>628</v>
      </c>
      <c r="J457" s="664"/>
      <c r="K457" s="664"/>
      <c r="L457" s="664"/>
      <c r="M457" s="664"/>
      <c r="O457" s="631"/>
    </row>
    <row r="458" spans="1:16" x14ac:dyDescent="0.2">
      <c r="A458" s="736"/>
      <c r="B458" s="737"/>
      <c r="C458" s="665" t="s">
        <v>1599</v>
      </c>
      <c r="E458" s="661">
        <v>5.35</v>
      </c>
      <c r="F458" s="662" t="s">
        <v>866</v>
      </c>
      <c r="G458" s="631">
        <v>2</v>
      </c>
      <c r="H458" s="631" t="s">
        <v>866</v>
      </c>
      <c r="I458" s="631">
        <v>1</v>
      </c>
      <c r="J458" s="658"/>
      <c r="K458" s="631"/>
      <c r="L458" s="631"/>
      <c r="M458" s="631"/>
      <c r="N458" s="666" t="s">
        <v>799</v>
      </c>
      <c r="O458" s="658">
        <f>E458*G458*I458</f>
        <v>10.7</v>
      </c>
      <c r="P458" s="657" t="s">
        <v>4</v>
      </c>
    </row>
    <row r="459" spans="1:16" x14ac:dyDescent="0.2">
      <c r="A459" s="736"/>
      <c r="B459" s="737"/>
      <c r="C459" s="665" t="s">
        <v>1600</v>
      </c>
      <c r="E459" s="661">
        <v>5.5</v>
      </c>
      <c r="F459" s="662" t="s">
        <v>866</v>
      </c>
      <c r="G459" s="631">
        <v>2</v>
      </c>
      <c r="H459" s="631" t="s">
        <v>866</v>
      </c>
      <c r="I459" s="631">
        <v>1</v>
      </c>
      <c r="J459" s="658"/>
      <c r="K459" s="631"/>
      <c r="L459" s="631"/>
      <c r="M459" s="631"/>
      <c r="N459" s="666" t="s">
        <v>799</v>
      </c>
      <c r="O459" s="658">
        <f t="shared" ref="O459:O464" si="27">E459*G459*I459</f>
        <v>11</v>
      </c>
      <c r="P459" s="657" t="s">
        <v>4</v>
      </c>
    </row>
    <row r="460" spans="1:16" x14ac:dyDescent="0.2">
      <c r="A460" s="736"/>
      <c r="B460" s="737"/>
      <c r="C460" s="665" t="s">
        <v>1601</v>
      </c>
      <c r="E460" s="661">
        <v>6.4</v>
      </c>
      <c r="F460" s="662" t="s">
        <v>866</v>
      </c>
      <c r="G460" s="631">
        <v>2</v>
      </c>
      <c r="H460" s="631" t="s">
        <v>866</v>
      </c>
      <c r="I460" s="631">
        <v>1</v>
      </c>
      <c r="J460" s="658"/>
      <c r="K460" s="631"/>
      <c r="L460" s="631"/>
      <c r="M460" s="631"/>
      <c r="N460" s="666" t="s">
        <v>799</v>
      </c>
      <c r="O460" s="658">
        <f t="shared" si="27"/>
        <v>12.8</v>
      </c>
      <c r="P460" s="657" t="s">
        <v>4</v>
      </c>
    </row>
    <row r="461" spans="1:16" x14ac:dyDescent="0.2">
      <c r="A461" s="736"/>
      <c r="B461" s="737"/>
      <c r="C461" s="665" t="s">
        <v>1602</v>
      </c>
      <c r="E461" s="661">
        <v>6.1</v>
      </c>
      <c r="F461" s="662" t="s">
        <v>866</v>
      </c>
      <c r="G461" s="631">
        <v>2</v>
      </c>
      <c r="H461" s="631" t="s">
        <v>866</v>
      </c>
      <c r="I461" s="631">
        <v>1</v>
      </c>
      <c r="J461" s="658"/>
      <c r="K461" s="631"/>
      <c r="L461" s="631"/>
      <c r="M461" s="631"/>
      <c r="N461" s="666" t="s">
        <v>799</v>
      </c>
      <c r="O461" s="658">
        <f t="shared" si="27"/>
        <v>12.2</v>
      </c>
      <c r="P461" s="657" t="s">
        <v>4</v>
      </c>
    </row>
    <row r="462" spans="1:16" x14ac:dyDescent="0.2">
      <c r="A462" s="736"/>
      <c r="B462" s="737"/>
      <c r="C462" s="665" t="s">
        <v>1603</v>
      </c>
      <c r="E462" s="661">
        <v>6.1</v>
      </c>
      <c r="F462" s="662" t="s">
        <v>866</v>
      </c>
      <c r="G462" s="631">
        <v>2</v>
      </c>
      <c r="H462" s="631" t="s">
        <v>866</v>
      </c>
      <c r="I462" s="631">
        <v>1</v>
      </c>
      <c r="J462" s="658"/>
      <c r="K462" s="631"/>
      <c r="L462" s="631"/>
      <c r="M462" s="631"/>
      <c r="N462" s="666" t="s">
        <v>799</v>
      </c>
      <c r="O462" s="658">
        <f t="shared" si="27"/>
        <v>12.2</v>
      </c>
      <c r="P462" s="657" t="s">
        <v>4</v>
      </c>
    </row>
    <row r="463" spans="1:16" x14ac:dyDescent="0.2">
      <c r="A463" s="736"/>
      <c r="B463" s="737"/>
      <c r="C463" s="665" t="s">
        <v>1610</v>
      </c>
      <c r="E463" s="661">
        <v>3.1</v>
      </c>
      <c r="F463" s="662" t="s">
        <v>866</v>
      </c>
      <c r="G463" s="631">
        <v>1.5</v>
      </c>
      <c r="H463" s="631" t="s">
        <v>866</v>
      </c>
      <c r="I463" s="631">
        <v>1</v>
      </c>
      <c r="J463" s="658"/>
      <c r="K463" s="631"/>
      <c r="L463" s="631"/>
      <c r="M463" s="631"/>
      <c r="N463" s="666" t="s">
        <v>799</v>
      </c>
      <c r="O463" s="658">
        <f t="shared" si="27"/>
        <v>4.6500000000000004</v>
      </c>
      <c r="P463" s="657" t="s">
        <v>4</v>
      </c>
    </row>
    <row r="464" spans="1:16" ht="13.5" thickBot="1" x14ac:dyDescent="0.25">
      <c r="A464" s="736"/>
      <c r="B464" s="737"/>
      <c r="C464" s="665" t="s">
        <v>1611</v>
      </c>
      <c r="E464" s="661">
        <v>3.5</v>
      </c>
      <c r="F464" s="662" t="s">
        <v>866</v>
      </c>
      <c r="G464" s="631">
        <v>1.2</v>
      </c>
      <c r="H464" s="631" t="s">
        <v>866</v>
      </c>
      <c r="I464" s="631">
        <v>1</v>
      </c>
      <c r="J464" s="658"/>
      <c r="K464" s="631"/>
      <c r="L464" s="631"/>
      <c r="M464" s="631"/>
      <c r="N464" s="666" t="s">
        <v>799</v>
      </c>
      <c r="O464" s="658">
        <f t="shared" si="27"/>
        <v>4.2</v>
      </c>
      <c r="P464" s="657" t="s">
        <v>4</v>
      </c>
    </row>
    <row r="465" spans="1:16" ht="13.5" thickBot="1" x14ac:dyDescent="0.25">
      <c r="A465" s="736"/>
      <c r="B465" s="737"/>
      <c r="C465" s="667"/>
      <c r="F465" s="666"/>
      <c r="G465" s="631"/>
      <c r="H465" s="631"/>
      <c r="I465" s="631"/>
      <c r="J465" s="631"/>
      <c r="K465" s="631"/>
      <c r="L465" s="631"/>
      <c r="M465" s="631"/>
      <c r="N465" s="666"/>
      <c r="O465" s="668">
        <f>ROUND((SUM(O458:O464)),2)</f>
        <v>67.75</v>
      </c>
      <c r="P465" s="669" t="s">
        <v>4</v>
      </c>
    </row>
    <row r="466" spans="1:16" x14ac:dyDescent="0.2">
      <c r="A466" s="736"/>
      <c r="B466" s="737"/>
      <c r="C466" s="667"/>
      <c r="F466" s="666"/>
      <c r="G466" s="631"/>
      <c r="H466" s="631"/>
      <c r="I466" s="631"/>
      <c r="J466" s="631"/>
      <c r="K466" s="631"/>
      <c r="L466" s="631"/>
      <c r="M466" s="631"/>
      <c r="N466" s="666"/>
      <c r="O466" s="632"/>
      <c r="P466" s="633"/>
    </row>
    <row r="467" spans="1:16" x14ac:dyDescent="0.2">
      <c r="A467" s="736"/>
      <c r="B467" s="737"/>
      <c r="C467" s="667"/>
      <c r="F467" s="666"/>
      <c r="G467" s="631"/>
      <c r="H467" s="631"/>
      <c r="I467" s="631"/>
      <c r="J467" s="631"/>
      <c r="K467" s="631"/>
      <c r="L467" s="631"/>
      <c r="M467" s="631"/>
      <c r="N467" s="666"/>
      <c r="O467" s="632"/>
      <c r="P467" s="633"/>
    </row>
    <row r="468" spans="1:16" x14ac:dyDescent="0.2">
      <c r="A468" s="736"/>
      <c r="B468" s="737"/>
      <c r="C468" s="667"/>
      <c r="F468" s="666"/>
      <c r="G468" s="631"/>
      <c r="H468" s="631"/>
      <c r="I468" s="631"/>
      <c r="J468" s="631"/>
      <c r="K468" s="631"/>
      <c r="L468" s="631"/>
      <c r="M468" s="631"/>
      <c r="N468" s="666"/>
      <c r="O468" s="632"/>
      <c r="P468" s="633"/>
    </row>
    <row r="469" spans="1:16" x14ac:dyDescent="0.2">
      <c r="A469" s="736"/>
      <c r="B469" s="737"/>
      <c r="C469" s="667"/>
      <c r="F469" s="666"/>
      <c r="G469" s="631"/>
      <c r="H469" s="631"/>
      <c r="I469" s="631"/>
      <c r="J469" s="631"/>
      <c r="K469" s="631"/>
      <c r="L469" s="631"/>
      <c r="M469" s="631"/>
      <c r="N469" s="666"/>
      <c r="O469" s="632"/>
      <c r="P469" s="633"/>
    </row>
    <row r="470" spans="1:16" x14ac:dyDescent="0.2">
      <c r="A470" s="736"/>
      <c r="B470" s="737"/>
      <c r="C470" s="667"/>
      <c r="F470" s="666"/>
      <c r="G470" s="631"/>
      <c r="H470" s="631"/>
      <c r="I470" s="631"/>
      <c r="J470" s="631"/>
      <c r="K470" s="631"/>
      <c r="L470" s="631"/>
      <c r="M470" s="631"/>
      <c r="N470" s="666"/>
      <c r="O470" s="632"/>
      <c r="P470" s="633"/>
    </row>
    <row r="471" spans="1:16" x14ac:dyDescent="0.2">
      <c r="A471" s="736"/>
      <c r="B471" s="737"/>
      <c r="C471" s="667"/>
      <c r="F471" s="666"/>
      <c r="G471" s="631"/>
      <c r="H471" s="631"/>
      <c r="I471" s="631"/>
      <c r="J471" s="631"/>
      <c r="K471" s="631"/>
      <c r="L471" s="631"/>
      <c r="M471" s="631"/>
      <c r="N471" s="666"/>
      <c r="O471" s="632"/>
      <c r="P471" s="633"/>
    </row>
    <row r="472" spans="1:16" ht="66.75" customHeight="1" x14ac:dyDescent="0.2">
      <c r="A472" s="734" t="s">
        <v>0</v>
      </c>
      <c r="B472" s="735" t="s">
        <v>1265</v>
      </c>
      <c r="C472" s="751" t="e">
        <f>#REF!</f>
        <v>#REF!</v>
      </c>
      <c r="D472" s="662" t="s">
        <v>799</v>
      </c>
      <c r="E472" s="663" t="s">
        <v>628</v>
      </c>
      <c r="F472" s="633"/>
      <c r="G472" s="664"/>
      <c r="H472" s="664"/>
      <c r="I472" s="664"/>
      <c r="J472" s="664"/>
      <c r="K472" s="664"/>
      <c r="L472" s="664"/>
      <c r="M472" s="664"/>
      <c r="O472" s="631"/>
    </row>
    <row r="473" spans="1:16" x14ac:dyDescent="0.2">
      <c r="A473" s="736"/>
      <c r="B473" s="737"/>
      <c r="C473" s="665" t="s">
        <v>1599</v>
      </c>
      <c r="E473" s="661">
        <v>1</v>
      </c>
      <c r="F473" s="662"/>
      <c r="G473" s="631"/>
      <c r="H473" s="631"/>
      <c r="I473" s="631"/>
      <c r="J473" s="658"/>
      <c r="K473" s="631"/>
      <c r="L473" s="631"/>
      <c r="M473" s="631"/>
      <c r="N473" s="666" t="s">
        <v>799</v>
      </c>
      <c r="O473" s="658">
        <f>E473</f>
        <v>1</v>
      </c>
      <c r="P473" s="657" t="s">
        <v>2</v>
      </c>
    </row>
    <row r="474" spans="1:16" x14ac:dyDescent="0.2">
      <c r="A474" s="736"/>
      <c r="B474" s="737"/>
      <c r="C474" s="665" t="s">
        <v>1600</v>
      </c>
      <c r="E474" s="661">
        <v>1</v>
      </c>
      <c r="F474" s="662"/>
      <c r="G474" s="631"/>
      <c r="H474" s="631"/>
      <c r="I474" s="631"/>
      <c r="J474" s="658"/>
      <c r="K474" s="631"/>
      <c r="L474" s="631"/>
      <c r="M474" s="631"/>
      <c r="N474" s="666" t="s">
        <v>799</v>
      </c>
      <c r="O474" s="658">
        <f t="shared" ref="O474:O477" si="28">E474</f>
        <v>1</v>
      </c>
      <c r="P474" s="657" t="s">
        <v>2</v>
      </c>
    </row>
    <row r="475" spans="1:16" x14ac:dyDescent="0.2">
      <c r="A475" s="736"/>
      <c r="B475" s="737"/>
      <c r="C475" s="665" t="s">
        <v>1601</v>
      </c>
      <c r="E475" s="661">
        <v>1</v>
      </c>
      <c r="F475" s="662"/>
      <c r="G475" s="631"/>
      <c r="H475" s="631"/>
      <c r="I475" s="631"/>
      <c r="J475" s="658"/>
      <c r="K475" s="631"/>
      <c r="L475" s="631"/>
      <c r="M475" s="631"/>
      <c r="N475" s="666" t="s">
        <v>799</v>
      </c>
      <c r="O475" s="658">
        <f t="shared" si="28"/>
        <v>1</v>
      </c>
      <c r="P475" s="657" t="s">
        <v>2</v>
      </c>
    </row>
    <row r="476" spans="1:16" x14ac:dyDescent="0.2">
      <c r="A476" s="736"/>
      <c r="B476" s="737"/>
      <c r="C476" s="665" t="s">
        <v>1602</v>
      </c>
      <c r="E476" s="661">
        <v>1</v>
      </c>
      <c r="F476" s="662"/>
      <c r="G476" s="631"/>
      <c r="H476" s="631"/>
      <c r="I476" s="631"/>
      <c r="J476" s="658"/>
      <c r="K476" s="631"/>
      <c r="L476" s="631"/>
      <c r="M476" s="631"/>
      <c r="N476" s="666" t="s">
        <v>799</v>
      </c>
      <c r="O476" s="658">
        <f t="shared" si="28"/>
        <v>1</v>
      </c>
      <c r="P476" s="657" t="s">
        <v>2</v>
      </c>
    </row>
    <row r="477" spans="1:16" ht="13.5" thickBot="1" x14ac:dyDescent="0.25">
      <c r="A477" s="736"/>
      <c r="B477" s="737"/>
      <c r="C477" s="665" t="s">
        <v>1603</v>
      </c>
      <c r="E477" s="661">
        <v>1</v>
      </c>
      <c r="F477" s="662"/>
      <c r="G477" s="631"/>
      <c r="H477" s="631"/>
      <c r="I477" s="631"/>
      <c r="J477" s="658"/>
      <c r="K477" s="631"/>
      <c r="L477" s="631"/>
      <c r="M477" s="631"/>
      <c r="N477" s="666" t="s">
        <v>799</v>
      </c>
      <c r="O477" s="658">
        <f t="shared" si="28"/>
        <v>1</v>
      </c>
      <c r="P477" s="657" t="s">
        <v>2</v>
      </c>
    </row>
    <row r="478" spans="1:16" ht="13.5" thickBot="1" x14ac:dyDescent="0.25">
      <c r="A478" s="736"/>
      <c r="B478" s="737"/>
      <c r="C478" s="667"/>
      <c r="F478" s="666"/>
      <c r="G478" s="631"/>
      <c r="H478" s="631"/>
      <c r="I478" s="631"/>
      <c r="J478" s="631"/>
      <c r="K478" s="631"/>
      <c r="L478" s="631"/>
      <c r="M478" s="631"/>
      <c r="N478" s="666"/>
      <c r="O478" s="668">
        <f>ROUND((SUM(O473:O477)),2)</f>
        <v>5</v>
      </c>
      <c r="P478" s="669" t="s">
        <v>2</v>
      </c>
    </row>
    <row r="479" spans="1:16" ht="61.5" customHeight="1" x14ac:dyDescent="0.2">
      <c r="A479" s="734" t="s">
        <v>0</v>
      </c>
      <c r="B479" s="735" t="s">
        <v>1266</v>
      </c>
      <c r="C479" s="751" t="e">
        <f>#REF!</f>
        <v>#REF!</v>
      </c>
      <c r="D479" s="662" t="s">
        <v>799</v>
      </c>
      <c r="E479" s="663" t="s">
        <v>628</v>
      </c>
      <c r="F479" s="633"/>
      <c r="G479" s="664"/>
      <c r="H479" s="664"/>
      <c r="I479" s="664"/>
      <c r="J479" s="664"/>
      <c r="K479" s="664"/>
      <c r="L479" s="664"/>
      <c r="M479" s="664"/>
      <c r="O479" s="631"/>
    </row>
    <row r="480" spans="1:16" x14ac:dyDescent="0.2">
      <c r="A480" s="736"/>
      <c r="B480" s="737"/>
      <c r="C480" s="665" t="s">
        <v>1599</v>
      </c>
      <c r="E480" s="661">
        <v>1</v>
      </c>
      <c r="F480" s="662"/>
      <c r="G480" s="631"/>
      <c r="H480" s="631"/>
      <c r="I480" s="631"/>
      <c r="J480" s="658"/>
      <c r="K480" s="631"/>
      <c r="L480" s="631"/>
      <c r="M480" s="631"/>
      <c r="N480" s="666" t="s">
        <v>799</v>
      </c>
      <c r="O480" s="658">
        <f>E480</f>
        <v>1</v>
      </c>
      <c r="P480" s="657" t="s">
        <v>2</v>
      </c>
    </row>
    <row r="481" spans="1:16" x14ac:dyDescent="0.2">
      <c r="A481" s="736"/>
      <c r="B481" s="737"/>
      <c r="C481" s="665" t="s">
        <v>1600</v>
      </c>
      <c r="E481" s="661">
        <v>1</v>
      </c>
      <c r="F481" s="662"/>
      <c r="G481" s="631"/>
      <c r="H481" s="631"/>
      <c r="I481" s="631"/>
      <c r="J481" s="658"/>
      <c r="K481" s="631"/>
      <c r="L481" s="631"/>
      <c r="M481" s="631"/>
      <c r="N481" s="666" t="s">
        <v>799</v>
      </c>
      <c r="O481" s="658">
        <f t="shared" ref="O481:O484" si="29">E481</f>
        <v>1</v>
      </c>
      <c r="P481" s="657" t="s">
        <v>2</v>
      </c>
    </row>
    <row r="482" spans="1:16" x14ac:dyDescent="0.2">
      <c r="A482" s="736"/>
      <c r="B482" s="737"/>
      <c r="C482" s="665" t="s">
        <v>1601</v>
      </c>
      <c r="E482" s="661">
        <v>1</v>
      </c>
      <c r="F482" s="662"/>
      <c r="G482" s="631"/>
      <c r="H482" s="631"/>
      <c r="I482" s="631"/>
      <c r="J482" s="658"/>
      <c r="K482" s="631"/>
      <c r="L482" s="631"/>
      <c r="M482" s="631"/>
      <c r="N482" s="666" t="s">
        <v>799</v>
      </c>
      <c r="O482" s="658">
        <f t="shared" si="29"/>
        <v>1</v>
      </c>
      <c r="P482" s="657" t="s">
        <v>2</v>
      </c>
    </row>
    <row r="483" spans="1:16" x14ac:dyDescent="0.2">
      <c r="A483" s="736"/>
      <c r="B483" s="737"/>
      <c r="C483" s="665" t="s">
        <v>1602</v>
      </c>
      <c r="E483" s="661">
        <v>1</v>
      </c>
      <c r="F483" s="662"/>
      <c r="G483" s="631"/>
      <c r="H483" s="631"/>
      <c r="I483" s="631"/>
      <c r="J483" s="658"/>
      <c r="K483" s="631"/>
      <c r="L483" s="631"/>
      <c r="M483" s="631"/>
      <c r="N483" s="666" t="s">
        <v>799</v>
      </c>
      <c r="O483" s="658">
        <f t="shared" si="29"/>
        <v>1</v>
      </c>
      <c r="P483" s="657" t="s">
        <v>2</v>
      </c>
    </row>
    <row r="484" spans="1:16" ht="13.5" thickBot="1" x14ac:dyDescent="0.25">
      <c r="A484" s="736"/>
      <c r="B484" s="737"/>
      <c r="C484" s="665" t="s">
        <v>1603</v>
      </c>
      <c r="E484" s="661">
        <v>1</v>
      </c>
      <c r="F484" s="662"/>
      <c r="G484" s="631"/>
      <c r="H484" s="631"/>
      <c r="I484" s="631"/>
      <c r="J484" s="658"/>
      <c r="K484" s="631"/>
      <c r="L484" s="631"/>
      <c r="M484" s="631"/>
      <c r="N484" s="666" t="s">
        <v>799</v>
      </c>
      <c r="O484" s="658">
        <f t="shared" si="29"/>
        <v>1</v>
      </c>
      <c r="P484" s="657" t="s">
        <v>2</v>
      </c>
    </row>
    <row r="485" spans="1:16" ht="13.5" thickBot="1" x14ac:dyDescent="0.25">
      <c r="A485" s="736"/>
      <c r="B485" s="737"/>
      <c r="C485" s="667"/>
      <c r="F485" s="666"/>
      <c r="G485" s="631"/>
      <c r="H485" s="631"/>
      <c r="I485" s="631"/>
      <c r="J485" s="631"/>
      <c r="K485" s="631"/>
      <c r="L485" s="631"/>
      <c r="M485" s="631"/>
      <c r="N485" s="666"/>
      <c r="O485" s="668">
        <f>ROUND((SUM(O480:O484)),2)</f>
        <v>5</v>
      </c>
      <c r="P485" s="669" t="s">
        <v>2</v>
      </c>
    </row>
    <row r="486" spans="1:16" ht="39.75" customHeight="1" x14ac:dyDescent="0.2">
      <c r="A486" s="734" t="s">
        <v>0</v>
      </c>
      <c r="B486" s="735" t="s">
        <v>1267</v>
      </c>
      <c r="C486" s="678" t="e">
        <f>#REF!</f>
        <v>#REF!</v>
      </c>
      <c r="D486" s="662" t="s">
        <v>799</v>
      </c>
      <c r="E486" s="663" t="s">
        <v>628</v>
      </c>
      <c r="F486" s="633"/>
      <c r="G486" s="664"/>
      <c r="H486" s="664"/>
      <c r="I486" s="664"/>
      <c r="J486" s="664"/>
      <c r="K486" s="664"/>
      <c r="L486" s="664"/>
      <c r="M486" s="664"/>
      <c r="O486" s="631"/>
    </row>
    <row r="487" spans="1:16" ht="13.5" thickBot="1" x14ac:dyDescent="0.25">
      <c r="A487" s="736"/>
      <c r="B487" s="737"/>
      <c r="C487" s="665" t="s">
        <v>1600</v>
      </c>
      <c r="E487" s="661">
        <v>1</v>
      </c>
      <c r="F487" s="662"/>
      <c r="G487" s="631"/>
      <c r="H487" s="631"/>
      <c r="I487" s="631"/>
      <c r="J487" s="658"/>
      <c r="K487" s="631"/>
      <c r="L487" s="631"/>
      <c r="M487" s="631"/>
      <c r="N487" s="666" t="s">
        <v>799</v>
      </c>
      <c r="O487" s="658">
        <f>E487</f>
        <v>1</v>
      </c>
      <c r="P487" s="657" t="s">
        <v>2</v>
      </c>
    </row>
    <row r="488" spans="1:16" ht="13.5" thickBot="1" x14ac:dyDescent="0.25">
      <c r="A488" s="736"/>
      <c r="B488" s="737"/>
      <c r="C488" s="667"/>
      <c r="F488" s="666"/>
      <c r="G488" s="631"/>
      <c r="H488" s="631"/>
      <c r="I488" s="631"/>
      <c r="J488" s="631"/>
      <c r="K488" s="631"/>
      <c r="L488" s="631"/>
      <c r="M488" s="631"/>
      <c r="N488" s="666"/>
      <c r="O488" s="668">
        <f>ROUND((SUM(O487:O487)),2)</f>
        <v>1</v>
      </c>
      <c r="P488" s="669" t="s">
        <v>2</v>
      </c>
    </row>
    <row r="489" spans="1:16" x14ac:dyDescent="0.2">
      <c r="A489" s="734" t="s">
        <v>0</v>
      </c>
      <c r="B489" s="735" t="s">
        <v>1612</v>
      </c>
      <c r="C489" s="678" t="e">
        <f>#REF!</f>
        <v>#REF!</v>
      </c>
      <c r="D489" s="662" t="s">
        <v>799</v>
      </c>
      <c r="E489" s="663" t="s">
        <v>628</v>
      </c>
      <c r="F489" s="633"/>
      <c r="G489" s="664"/>
      <c r="H489" s="664"/>
      <c r="I489" s="664"/>
      <c r="J489" s="664"/>
      <c r="K489" s="664"/>
      <c r="L489" s="664"/>
      <c r="M489" s="664"/>
      <c r="O489" s="631"/>
    </row>
    <row r="490" spans="1:16" x14ac:dyDescent="0.2">
      <c r="A490" s="736"/>
      <c r="B490" s="737"/>
      <c r="C490" s="665" t="s">
        <v>1599</v>
      </c>
      <c r="E490" s="661">
        <v>1</v>
      </c>
      <c r="F490" s="662"/>
      <c r="G490" s="631"/>
      <c r="H490" s="631"/>
      <c r="I490" s="631"/>
      <c r="J490" s="658"/>
      <c r="K490" s="631"/>
      <c r="L490" s="631"/>
      <c r="M490" s="631"/>
      <c r="N490" s="666" t="s">
        <v>799</v>
      </c>
      <c r="O490" s="658">
        <f>E490</f>
        <v>1</v>
      </c>
      <c r="P490" s="657" t="s">
        <v>2</v>
      </c>
    </row>
    <row r="491" spans="1:16" x14ac:dyDescent="0.2">
      <c r="A491" s="736"/>
      <c r="B491" s="737"/>
      <c r="C491" s="665" t="s">
        <v>1600</v>
      </c>
      <c r="E491" s="661">
        <v>1</v>
      </c>
      <c r="F491" s="662"/>
      <c r="G491" s="631"/>
      <c r="H491" s="631"/>
      <c r="I491" s="631"/>
      <c r="J491" s="658"/>
      <c r="K491" s="631"/>
      <c r="L491" s="631"/>
      <c r="M491" s="631"/>
      <c r="N491" s="666" t="s">
        <v>799</v>
      </c>
      <c r="O491" s="658">
        <f t="shared" ref="O491:O494" si="30">E491</f>
        <v>1</v>
      </c>
      <c r="P491" s="657" t="s">
        <v>2</v>
      </c>
    </row>
    <row r="492" spans="1:16" x14ac:dyDescent="0.2">
      <c r="A492" s="736"/>
      <c r="B492" s="737"/>
      <c r="C492" s="665" t="s">
        <v>1601</v>
      </c>
      <c r="E492" s="661">
        <v>1</v>
      </c>
      <c r="F492" s="662"/>
      <c r="G492" s="631"/>
      <c r="H492" s="631"/>
      <c r="I492" s="631"/>
      <c r="J492" s="658"/>
      <c r="K492" s="631"/>
      <c r="L492" s="631"/>
      <c r="M492" s="631"/>
      <c r="N492" s="666" t="s">
        <v>799</v>
      </c>
      <c r="O492" s="658">
        <f t="shared" si="30"/>
        <v>1</v>
      </c>
      <c r="P492" s="657" t="s">
        <v>2</v>
      </c>
    </row>
    <row r="493" spans="1:16" x14ac:dyDescent="0.2">
      <c r="A493" s="736"/>
      <c r="B493" s="737"/>
      <c r="C493" s="665" t="s">
        <v>1602</v>
      </c>
      <c r="E493" s="661">
        <v>1</v>
      </c>
      <c r="F493" s="662"/>
      <c r="G493" s="631"/>
      <c r="H493" s="631"/>
      <c r="I493" s="631"/>
      <c r="J493" s="658"/>
      <c r="K493" s="631"/>
      <c r="L493" s="631"/>
      <c r="M493" s="631"/>
      <c r="N493" s="666" t="s">
        <v>799</v>
      </c>
      <c r="O493" s="658">
        <f t="shared" si="30"/>
        <v>1</v>
      </c>
      <c r="P493" s="657" t="s">
        <v>2</v>
      </c>
    </row>
    <row r="494" spans="1:16" ht="13.5" thickBot="1" x14ac:dyDescent="0.25">
      <c r="A494" s="736"/>
      <c r="B494" s="737"/>
      <c r="C494" s="665" t="s">
        <v>1603</v>
      </c>
      <c r="E494" s="661">
        <v>1</v>
      </c>
      <c r="F494" s="662"/>
      <c r="G494" s="631"/>
      <c r="H494" s="631"/>
      <c r="I494" s="631"/>
      <c r="J494" s="658"/>
      <c r="K494" s="631"/>
      <c r="L494" s="631"/>
      <c r="M494" s="631"/>
      <c r="N494" s="666" t="s">
        <v>799</v>
      </c>
      <c r="O494" s="658">
        <f t="shared" si="30"/>
        <v>1</v>
      </c>
      <c r="P494" s="657" t="s">
        <v>2</v>
      </c>
    </row>
    <row r="495" spans="1:16" ht="13.5" thickBot="1" x14ac:dyDescent="0.25">
      <c r="A495" s="736"/>
      <c r="B495" s="737"/>
      <c r="C495" s="667"/>
      <c r="F495" s="666"/>
      <c r="G495" s="631"/>
      <c r="H495" s="631"/>
      <c r="I495" s="631"/>
      <c r="J495" s="631"/>
      <c r="K495" s="631"/>
      <c r="L495" s="631"/>
      <c r="M495" s="631"/>
      <c r="N495" s="666"/>
      <c r="O495" s="668">
        <f>ROUND((SUM(O490:O490)),2)</f>
        <v>1</v>
      </c>
      <c r="P495" s="669" t="s">
        <v>2</v>
      </c>
    </row>
    <row r="496" spans="1:16" ht="40.5" customHeight="1" x14ac:dyDescent="0.2">
      <c r="A496" s="734" t="s">
        <v>0</v>
      </c>
      <c r="B496" s="735" t="s">
        <v>1268</v>
      </c>
      <c r="C496" s="678" t="e">
        <f>#REF!</f>
        <v>#REF!</v>
      </c>
      <c r="D496" s="662" t="s">
        <v>799</v>
      </c>
      <c r="E496" s="663" t="s">
        <v>628</v>
      </c>
      <c r="F496" s="633"/>
      <c r="G496" s="664"/>
      <c r="H496" s="664"/>
      <c r="I496" s="664"/>
      <c r="J496" s="664"/>
      <c r="K496" s="664"/>
      <c r="L496" s="664"/>
      <c r="M496" s="664"/>
      <c r="O496" s="631"/>
    </row>
    <row r="497" spans="1:16" x14ac:dyDescent="0.2">
      <c r="A497" s="736"/>
      <c r="B497" s="737"/>
      <c r="C497" s="665" t="s">
        <v>1599</v>
      </c>
      <c r="E497" s="661">
        <v>1</v>
      </c>
      <c r="F497" s="662"/>
      <c r="G497" s="631"/>
      <c r="H497" s="631"/>
      <c r="I497" s="631"/>
      <c r="J497" s="658"/>
      <c r="K497" s="631"/>
      <c r="L497" s="631"/>
      <c r="M497" s="631"/>
      <c r="N497" s="666" t="s">
        <v>799</v>
      </c>
      <c r="O497" s="658">
        <f>E497</f>
        <v>1</v>
      </c>
      <c r="P497" s="657" t="s">
        <v>2</v>
      </c>
    </row>
    <row r="498" spans="1:16" x14ac:dyDescent="0.2">
      <c r="A498" s="736"/>
      <c r="B498" s="737"/>
      <c r="C498" s="665" t="s">
        <v>1600</v>
      </c>
      <c r="E498" s="661">
        <v>2</v>
      </c>
      <c r="F498" s="662"/>
      <c r="G498" s="631"/>
      <c r="H498" s="631"/>
      <c r="I498" s="631"/>
      <c r="J498" s="658"/>
      <c r="K498" s="631"/>
      <c r="L498" s="631"/>
      <c r="M498" s="631"/>
      <c r="N498" s="666" t="s">
        <v>799</v>
      </c>
      <c r="O498" s="658">
        <f t="shared" ref="O498:O503" si="31">E498</f>
        <v>2</v>
      </c>
      <c r="P498" s="657" t="s">
        <v>2</v>
      </c>
    </row>
    <row r="499" spans="1:16" x14ac:dyDescent="0.2">
      <c r="A499" s="736"/>
      <c r="B499" s="737"/>
      <c r="C499" s="665" t="s">
        <v>1601</v>
      </c>
      <c r="E499" s="661">
        <v>1</v>
      </c>
      <c r="F499" s="662"/>
      <c r="G499" s="631"/>
      <c r="H499" s="631"/>
      <c r="I499" s="631"/>
      <c r="J499" s="658"/>
      <c r="K499" s="631"/>
      <c r="L499" s="631"/>
      <c r="M499" s="631"/>
      <c r="N499" s="666" t="s">
        <v>799</v>
      </c>
      <c r="O499" s="658">
        <f t="shared" si="31"/>
        <v>1</v>
      </c>
      <c r="P499" s="657" t="s">
        <v>2</v>
      </c>
    </row>
    <row r="500" spans="1:16" x14ac:dyDescent="0.2">
      <c r="A500" s="736"/>
      <c r="B500" s="737"/>
      <c r="C500" s="665" t="s">
        <v>1602</v>
      </c>
      <c r="E500" s="661">
        <v>1</v>
      </c>
      <c r="F500" s="662"/>
      <c r="G500" s="631"/>
      <c r="H500" s="631"/>
      <c r="I500" s="631"/>
      <c r="J500" s="658"/>
      <c r="K500" s="631"/>
      <c r="L500" s="631"/>
      <c r="M500" s="631"/>
      <c r="N500" s="666" t="s">
        <v>799</v>
      </c>
      <c r="O500" s="658">
        <f t="shared" si="31"/>
        <v>1</v>
      </c>
      <c r="P500" s="657" t="s">
        <v>2</v>
      </c>
    </row>
    <row r="501" spans="1:16" x14ac:dyDescent="0.2">
      <c r="A501" s="736"/>
      <c r="B501" s="737"/>
      <c r="C501" s="665" t="s">
        <v>1603</v>
      </c>
      <c r="E501" s="661">
        <v>1</v>
      </c>
      <c r="F501" s="662"/>
      <c r="G501" s="631"/>
      <c r="H501" s="631"/>
      <c r="I501" s="631"/>
      <c r="J501" s="658"/>
      <c r="K501" s="631"/>
      <c r="L501" s="631"/>
      <c r="M501" s="631"/>
      <c r="N501" s="666" t="s">
        <v>799</v>
      </c>
      <c r="O501" s="658">
        <f t="shared" si="31"/>
        <v>1</v>
      </c>
      <c r="P501" s="657" t="s">
        <v>2</v>
      </c>
    </row>
    <row r="502" spans="1:16" x14ac:dyDescent="0.2">
      <c r="A502" s="736"/>
      <c r="B502" s="737"/>
      <c r="C502" s="665" t="s">
        <v>899</v>
      </c>
      <c r="E502" s="661">
        <v>1</v>
      </c>
      <c r="F502" s="662"/>
      <c r="G502" s="631"/>
      <c r="H502" s="631"/>
      <c r="I502" s="631"/>
      <c r="J502" s="658"/>
      <c r="K502" s="631"/>
      <c r="L502" s="631"/>
      <c r="M502" s="631"/>
      <c r="N502" s="666" t="s">
        <v>799</v>
      </c>
      <c r="O502" s="658">
        <f t="shared" si="31"/>
        <v>1</v>
      </c>
      <c r="P502" s="657" t="s">
        <v>2</v>
      </c>
    </row>
    <row r="503" spans="1:16" ht="13.5" thickBot="1" x14ac:dyDescent="0.25">
      <c r="A503" s="736"/>
      <c r="B503" s="737"/>
      <c r="C503" s="665" t="s">
        <v>1611</v>
      </c>
      <c r="E503" s="661">
        <v>1</v>
      </c>
      <c r="F503" s="662"/>
      <c r="G503" s="631"/>
      <c r="H503" s="631"/>
      <c r="I503" s="631"/>
      <c r="J503" s="658"/>
      <c r="K503" s="631"/>
      <c r="L503" s="631"/>
      <c r="M503" s="631"/>
      <c r="N503" s="666" t="s">
        <v>799</v>
      </c>
      <c r="O503" s="658">
        <f t="shared" si="31"/>
        <v>1</v>
      </c>
      <c r="P503" s="657" t="s">
        <v>2</v>
      </c>
    </row>
    <row r="504" spans="1:16" ht="13.5" thickBot="1" x14ac:dyDescent="0.25">
      <c r="A504" s="736"/>
      <c r="B504" s="737"/>
      <c r="C504" s="667"/>
      <c r="F504" s="666"/>
      <c r="G504" s="631"/>
      <c r="H504" s="631"/>
      <c r="I504" s="631"/>
      <c r="J504" s="631"/>
      <c r="K504" s="631"/>
      <c r="L504" s="631"/>
      <c r="M504" s="631"/>
      <c r="N504" s="666"/>
      <c r="O504" s="668">
        <f>ROUND((SUM(O497:O503)),2)</f>
        <v>8</v>
      </c>
      <c r="P504" s="669" t="s">
        <v>2</v>
      </c>
    </row>
    <row r="505" spans="1:16" ht="81" customHeight="1" x14ac:dyDescent="0.2">
      <c r="A505" s="734" t="s">
        <v>0</v>
      </c>
      <c r="B505" s="735" t="s">
        <v>1269</v>
      </c>
      <c r="C505" s="751" t="e">
        <f>#REF!</f>
        <v>#REF!</v>
      </c>
      <c r="D505" s="662" t="s">
        <v>799</v>
      </c>
      <c r="E505" s="663" t="s">
        <v>628</v>
      </c>
      <c r="F505" s="633"/>
      <c r="G505" s="664"/>
      <c r="H505" s="664"/>
      <c r="I505" s="664"/>
      <c r="J505" s="664"/>
      <c r="K505" s="664"/>
      <c r="L505" s="664"/>
      <c r="M505" s="664"/>
      <c r="O505" s="631"/>
    </row>
    <row r="506" spans="1:16" ht="13.5" customHeight="1" x14ac:dyDescent="0.2">
      <c r="A506" s="734"/>
      <c r="B506" s="735"/>
      <c r="C506" s="665" t="s">
        <v>1610</v>
      </c>
      <c r="E506" s="661">
        <v>1</v>
      </c>
      <c r="F506" s="662"/>
      <c r="G506" s="631"/>
      <c r="H506" s="631"/>
      <c r="I506" s="631"/>
      <c r="J506" s="658"/>
      <c r="K506" s="631"/>
      <c r="L506" s="631"/>
      <c r="M506" s="631"/>
      <c r="N506" s="666" t="s">
        <v>799</v>
      </c>
      <c r="O506" s="658">
        <f>E506</f>
        <v>1</v>
      </c>
      <c r="P506" s="657" t="s">
        <v>2</v>
      </c>
    </row>
    <row r="507" spans="1:16" ht="13.5" thickBot="1" x14ac:dyDescent="0.25">
      <c r="A507" s="736"/>
      <c r="B507" s="737"/>
      <c r="C507" s="665" t="s">
        <v>899</v>
      </c>
      <c r="E507" s="661">
        <v>1</v>
      </c>
      <c r="F507" s="662"/>
      <c r="G507" s="631"/>
      <c r="H507" s="631"/>
      <c r="I507" s="631"/>
      <c r="J507" s="658"/>
      <c r="K507" s="631"/>
      <c r="L507" s="631"/>
      <c r="M507" s="631"/>
      <c r="N507" s="666" t="s">
        <v>799</v>
      </c>
      <c r="O507" s="658">
        <f>E507</f>
        <v>1</v>
      </c>
      <c r="P507" s="657" t="s">
        <v>2</v>
      </c>
    </row>
    <row r="508" spans="1:16" ht="13.5" thickBot="1" x14ac:dyDescent="0.25">
      <c r="A508" s="736"/>
      <c r="B508" s="737"/>
      <c r="C508" s="667"/>
      <c r="F508" s="666"/>
      <c r="G508" s="631"/>
      <c r="H508" s="631"/>
      <c r="I508" s="631"/>
      <c r="J508" s="631"/>
      <c r="K508" s="631"/>
      <c r="L508" s="631"/>
      <c r="M508" s="631"/>
      <c r="N508" s="666"/>
      <c r="O508" s="668">
        <f>ROUND((SUM(O506:O507)),2)</f>
        <v>2</v>
      </c>
      <c r="P508" s="669" t="s">
        <v>2</v>
      </c>
    </row>
    <row r="509" spans="1:16" ht="63" customHeight="1" x14ac:dyDescent="0.2">
      <c r="A509" s="734" t="s">
        <v>0</v>
      </c>
      <c r="B509" s="735" t="s">
        <v>1270</v>
      </c>
      <c r="C509" s="678" t="e">
        <f>#REF!</f>
        <v>#REF!</v>
      </c>
      <c r="D509" s="662" t="s">
        <v>799</v>
      </c>
      <c r="E509" s="663" t="s">
        <v>865</v>
      </c>
      <c r="F509" s="633"/>
      <c r="G509" s="664" t="s">
        <v>884</v>
      </c>
      <c r="H509" s="664"/>
      <c r="I509" s="664" t="s">
        <v>628</v>
      </c>
      <c r="J509" s="664"/>
      <c r="K509" s="664"/>
      <c r="L509" s="664"/>
      <c r="M509" s="664"/>
      <c r="O509" s="631"/>
    </row>
    <row r="510" spans="1:16" x14ac:dyDescent="0.2">
      <c r="A510" s="736"/>
      <c r="B510" s="737"/>
      <c r="C510" s="665" t="s">
        <v>1087</v>
      </c>
      <c r="E510" s="661">
        <v>1.8</v>
      </c>
      <c r="F510" s="662" t="s">
        <v>866</v>
      </c>
      <c r="G510" s="631">
        <v>2</v>
      </c>
      <c r="H510" s="631" t="s">
        <v>866</v>
      </c>
      <c r="I510" s="631">
        <v>1</v>
      </c>
      <c r="J510" s="658"/>
      <c r="K510" s="631"/>
      <c r="L510" s="631"/>
      <c r="M510" s="631"/>
      <c r="N510" s="666" t="s">
        <v>799</v>
      </c>
      <c r="O510" s="658">
        <f>E510*G510*I510</f>
        <v>3.6</v>
      </c>
      <c r="P510" s="657" t="s">
        <v>4</v>
      </c>
    </row>
    <row r="511" spans="1:16" x14ac:dyDescent="0.2">
      <c r="A511" s="736"/>
      <c r="B511" s="737"/>
      <c r="C511" s="678"/>
      <c r="D511" s="662"/>
      <c r="E511" s="661">
        <v>1.45</v>
      </c>
      <c r="F511" s="662" t="s">
        <v>866</v>
      </c>
      <c r="G511" s="631">
        <v>2</v>
      </c>
      <c r="H511" s="631" t="s">
        <v>866</v>
      </c>
      <c r="I511" s="631">
        <v>1</v>
      </c>
      <c r="J511" s="658"/>
      <c r="K511" s="631"/>
      <c r="L511" s="631"/>
      <c r="M511" s="631"/>
      <c r="N511" s="666" t="s">
        <v>799</v>
      </c>
      <c r="O511" s="658">
        <f>E511*G511*I511</f>
        <v>2.9</v>
      </c>
      <c r="P511" s="657" t="s">
        <v>4</v>
      </c>
    </row>
    <row r="512" spans="1:16" x14ac:dyDescent="0.2">
      <c r="A512" s="736"/>
      <c r="B512" s="737"/>
      <c r="C512" s="665"/>
      <c r="E512" s="661">
        <v>1.2</v>
      </c>
      <c r="F512" s="662" t="s">
        <v>866</v>
      </c>
      <c r="G512" s="631">
        <v>2</v>
      </c>
      <c r="H512" s="631" t="s">
        <v>866</v>
      </c>
      <c r="I512" s="631">
        <v>1</v>
      </c>
      <c r="J512" s="658"/>
      <c r="K512" s="631"/>
      <c r="L512" s="631"/>
      <c r="M512" s="631"/>
      <c r="N512" s="666" t="s">
        <v>799</v>
      </c>
      <c r="O512" s="658">
        <f>E512*G512*I512</f>
        <v>2.4</v>
      </c>
      <c r="P512" s="657" t="s">
        <v>4</v>
      </c>
    </row>
    <row r="513" spans="1:16" x14ac:dyDescent="0.2">
      <c r="A513" s="736"/>
      <c r="B513" s="737"/>
      <c r="C513" s="665"/>
      <c r="E513" s="661">
        <v>0.9</v>
      </c>
      <c r="F513" s="662" t="s">
        <v>866</v>
      </c>
      <c r="G513" s="631">
        <v>2</v>
      </c>
      <c r="H513" s="631" t="s">
        <v>866</v>
      </c>
      <c r="I513" s="631">
        <v>3</v>
      </c>
      <c r="J513" s="658"/>
      <c r="K513" s="631"/>
      <c r="L513" s="631"/>
      <c r="M513" s="631"/>
      <c r="N513" s="666" t="s">
        <v>799</v>
      </c>
      <c r="O513" s="658">
        <f t="shared" ref="O513:O514" si="32">E513*G513*I513</f>
        <v>5.4</v>
      </c>
      <c r="P513" s="657" t="s">
        <v>4</v>
      </c>
    </row>
    <row r="514" spans="1:16" ht="13.5" thickBot="1" x14ac:dyDescent="0.25">
      <c r="A514" s="736"/>
      <c r="B514" s="737"/>
      <c r="C514" s="665"/>
      <c r="E514" s="661">
        <v>0.6</v>
      </c>
      <c r="F514" s="662" t="s">
        <v>866</v>
      </c>
      <c r="G514" s="631">
        <v>2</v>
      </c>
      <c r="H514" s="631" t="s">
        <v>866</v>
      </c>
      <c r="I514" s="631">
        <v>5</v>
      </c>
      <c r="J514" s="658"/>
      <c r="K514" s="631"/>
      <c r="L514" s="631"/>
      <c r="M514" s="631"/>
      <c r="N514" s="666" t="s">
        <v>799</v>
      </c>
      <c r="O514" s="658">
        <f t="shared" si="32"/>
        <v>6</v>
      </c>
      <c r="P514" s="657" t="s">
        <v>4</v>
      </c>
    </row>
    <row r="515" spans="1:16" ht="13.5" thickBot="1" x14ac:dyDescent="0.25">
      <c r="A515" s="736"/>
      <c r="B515" s="737"/>
      <c r="C515" s="667"/>
      <c r="F515" s="666"/>
      <c r="G515" s="631"/>
      <c r="H515" s="631"/>
      <c r="I515" s="631"/>
      <c r="J515" s="631"/>
      <c r="K515" s="631"/>
      <c r="L515" s="631"/>
      <c r="M515" s="631"/>
      <c r="N515" s="666"/>
      <c r="O515" s="668">
        <f>ROUND((SUM(O510:O514)),2)</f>
        <v>20.3</v>
      </c>
      <c r="P515" s="669" t="s">
        <v>4</v>
      </c>
    </row>
    <row r="516" spans="1:16" ht="48.75" customHeight="1" x14ac:dyDescent="0.2">
      <c r="A516" s="734" t="s">
        <v>0</v>
      </c>
      <c r="B516" s="735" t="s">
        <v>1271</v>
      </c>
      <c r="C516" s="751" t="e">
        <f>#REF!</f>
        <v>#REF!</v>
      </c>
      <c r="D516" s="662" t="s">
        <v>799</v>
      </c>
      <c r="E516" s="663" t="s">
        <v>865</v>
      </c>
      <c r="F516" s="633"/>
      <c r="G516" s="664" t="s">
        <v>884</v>
      </c>
      <c r="H516" s="664"/>
      <c r="I516" s="664" t="s">
        <v>628</v>
      </c>
      <c r="J516" s="664"/>
      <c r="K516" s="664"/>
      <c r="L516" s="664"/>
      <c r="M516" s="664"/>
      <c r="O516" s="631"/>
    </row>
    <row r="517" spans="1:16" x14ac:dyDescent="0.2">
      <c r="A517" s="736"/>
      <c r="B517" s="737"/>
      <c r="C517" s="665" t="s">
        <v>1088</v>
      </c>
      <c r="E517" s="661">
        <v>2.5</v>
      </c>
      <c r="F517" s="662" t="s">
        <v>866</v>
      </c>
      <c r="G517" s="631">
        <v>1.35</v>
      </c>
      <c r="H517" s="631" t="s">
        <v>866</v>
      </c>
      <c r="I517" s="631">
        <v>2</v>
      </c>
      <c r="J517" s="658"/>
      <c r="K517" s="631"/>
      <c r="L517" s="631"/>
      <c r="M517" s="631"/>
      <c r="N517" s="666" t="s">
        <v>799</v>
      </c>
      <c r="O517" s="658">
        <f>E517*G517*I517</f>
        <v>6.75</v>
      </c>
      <c r="P517" s="657" t="s">
        <v>4</v>
      </c>
    </row>
    <row r="518" spans="1:16" x14ac:dyDescent="0.2">
      <c r="A518" s="736"/>
      <c r="B518" s="737"/>
      <c r="C518" s="665"/>
      <c r="E518" s="661">
        <v>1.8</v>
      </c>
      <c r="F518" s="662" t="s">
        <v>866</v>
      </c>
      <c r="G518" s="631">
        <v>1.35</v>
      </c>
      <c r="H518" s="631" t="s">
        <v>866</v>
      </c>
      <c r="I518" s="631">
        <v>2</v>
      </c>
      <c r="J518" s="658"/>
      <c r="K518" s="631"/>
      <c r="L518" s="631"/>
      <c r="M518" s="631"/>
      <c r="N518" s="666" t="s">
        <v>799</v>
      </c>
      <c r="O518" s="658">
        <f t="shared" ref="O518:O524" si="33">E518*G518*I518</f>
        <v>4.8600000000000003</v>
      </c>
      <c r="P518" s="657" t="s">
        <v>4</v>
      </c>
    </row>
    <row r="519" spans="1:16" x14ac:dyDescent="0.2">
      <c r="A519" s="736"/>
      <c r="B519" s="737"/>
      <c r="C519" s="665"/>
      <c r="E519" s="661">
        <v>2</v>
      </c>
      <c r="F519" s="662" t="s">
        <v>866</v>
      </c>
      <c r="G519" s="631">
        <v>1.35</v>
      </c>
      <c r="H519" s="631" t="s">
        <v>866</v>
      </c>
      <c r="I519" s="631">
        <v>1</v>
      </c>
      <c r="J519" s="658"/>
      <c r="K519" s="631"/>
      <c r="L519" s="631"/>
      <c r="M519" s="631"/>
      <c r="N519" s="666" t="s">
        <v>799</v>
      </c>
      <c r="O519" s="658">
        <f t="shared" si="33"/>
        <v>2.7</v>
      </c>
      <c r="P519" s="657" t="s">
        <v>4</v>
      </c>
    </row>
    <row r="520" spans="1:16" x14ac:dyDescent="0.2">
      <c r="A520" s="736"/>
      <c r="B520" s="737"/>
      <c r="C520" s="665"/>
      <c r="E520" s="661">
        <v>1.2</v>
      </c>
      <c r="F520" s="662" t="s">
        <v>866</v>
      </c>
      <c r="G520" s="631">
        <v>1.35</v>
      </c>
      <c r="H520" s="631" t="s">
        <v>866</v>
      </c>
      <c r="I520" s="631">
        <v>1</v>
      </c>
      <c r="J520" s="658"/>
      <c r="K520" s="631"/>
      <c r="L520" s="631"/>
      <c r="M520" s="631"/>
      <c r="N520" s="666" t="s">
        <v>799</v>
      </c>
      <c r="O520" s="658">
        <f t="shared" si="33"/>
        <v>1.62</v>
      </c>
      <c r="P520" s="657" t="s">
        <v>4</v>
      </c>
    </row>
    <row r="521" spans="1:16" x14ac:dyDescent="0.2">
      <c r="A521" s="736"/>
      <c r="B521" s="737"/>
      <c r="C521" s="665"/>
      <c r="E521" s="661">
        <v>1.3</v>
      </c>
      <c r="F521" s="662" t="s">
        <v>866</v>
      </c>
      <c r="G521" s="631">
        <v>1.35</v>
      </c>
      <c r="H521" s="631" t="s">
        <v>866</v>
      </c>
      <c r="I521" s="631">
        <v>1</v>
      </c>
      <c r="J521" s="658"/>
      <c r="K521" s="631"/>
      <c r="L521" s="631"/>
      <c r="M521" s="631"/>
      <c r="N521" s="666" t="s">
        <v>799</v>
      </c>
      <c r="O521" s="658">
        <f t="shared" si="33"/>
        <v>1.7550000000000001</v>
      </c>
      <c r="P521" s="657" t="s">
        <v>4</v>
      </c>
    </row>
    <row r="522" spans="1:16" x14ac:dyDescent="0.2">
      <c r="A522" s="736"/>
      <c r="B522" s="737"/>
      <c r="C522" s="665" t="s">
        <v>1605</v>
      </c>
      <c r="E522" s="661">
        <v>1.2</v>
      </c>
      <c r="F522" s="662" t="s">
        <v>866</v>
      </c>
      <c r="G522" s="631">
        <v>0.3</v>
      </c>
      <c r="H522" s="631" t="s">
        <v>866</v>
      </c>
      <c r="I522" s="631">
        <v>3</v>
      </c>
      <c r="J522" s="658"/>
      <c r="K522" s="631"/>
      <c r="L522" s="631"/>
      <c r="M522" s="631"/>
      <c r="N522" s="666" t="s">
        <v>799</v>
      </c>
      <c r="O522" s="658">
        <f t="shared" si="33"/>
        <v>1.08</v>
      </c>
      <c r="P522" s="657" t="s">
        <v>4</v>
      </c>
    </row>
    <row r="523" spans="1:16" x14ac:dyDescent="0.2">
      <c r="A523" s="736"/>
      <c r="B523" s="737"/>
      <c r="C523" s="665" t="s">
        <v>1613</v>
      </c>
      <c r="E523" s="661">
        <v>3.2</v>
      </c>
      <c r="F523" s="662" t="s">
        <v>866</v>
      </c>
      <c r="G523" s="631">
        <v>3</v>
      </c>
      <c r="H523" s="631" t="s">
        <v>866</v>
      </c>
      <c r="I523" s="631">
        <v>1</v>
      </c>
      <c r="J523" s="658"/>
      <c r="K523" s="631"/>
      <c r="L523" s="631"/>
      <c r="M523" s="631"/>
      <c r="N523" s="666" t="s">
        <v>799</v>
      </c>
      <c r="O523" s="658">
        <f t="shared" si="33"/>
        <v>9.6000000000000014</v>
      </c>
      <c r="P523" s="657" t="s">
        <v>4</v>
      </c>
    </row>
    <row r="524" spans="1:16" ht="13.5" thickBot="1" x14ac:dyDescent="0.25">
      <c r="A524" s="736"/>
      <c r="B524" s="737"/>
      <c r="C524" s="665"/>
      <c r="E524" s="661">
        <v>0.95</v>
      </c>
      <c r="F524" s="662" t="s">
        <v>866</v>
      </c>
      <c r="G524" s="631">
        <v>3</v>
      </c>
      <c r="H524" s="631" t="s">
        <v>866</v>
      </c>
      <c r="I524" s="631">
        <v>2</v>
      </c>
      <c r="J524" s="658"/>
      <c r="K524" s="631"/>
      <c r="L524" s="631"/>
      <c r="M524" s="631"/>
      <c r="N524" s="666" t="s">
        <v>799</v>
      </c>
      <c r="O524" s="658">
        <f t="shared" si="33"/>
        <v>5.6999999999999993</v>
      </c>
      <c r="P524" s="657" t="s">
        <v>4</v>
      </c>
    </row>
    <row r="525" spans="1:16" ht="13.5" thickBot="1" x14ac:dyDescent="0.25">
      <c r="A525" s="736"/>
      <c r="B525" s="737"/>
      <c r="C525" s="667"/>
      <c r="F525" s="666"/>
      <c r="G525" s="631"/>
      <c r="H525" s="631"/>
      <c r="I525" s="631"/>
      <c r="J525" s="631"/>
      <c r="K525" s="631"/>
      <c r="L525" s="631"/>
      <c r="M525" s="631"/>
      <c r="N525" s="666"/>
      <c r="O525" s="668">
        <f>ROUND((SUM(O517:O524)),2)</f>
        <v>34.07</v>
      </c>
      <c r="P525" s="669" t="s">
        <v>4</v>
      </c>
    </row>
    <row r="526" spans="1:16" ht="21" customHeight="1" x14ac:dyDescent="0.2">
      <c r="A526" s="734" t="s">
        <v>0</v>
      </c>
      <c r="B526" s="735" t="s">
        <v>1286</v>
      </c>
      <c r="C526" s="678" t="e">
        <f>#REF!</f>
        <v>#REF!</v>
      </c>
      <c r="D526" s="662" t="s">
        <v>799</v>
      </c>
      <c r="E526" s="663" t="s">
        <v>864</v>
      </c>
      <c r="F526" s="633"/>
      <c r="G526" s="664" t="s">
        <v>884</v>
      </c>
      <c r="H526" s="664"/>
      <c r="I526" s="664" t="s">
        <v>1089</v>
      </c>
      <c r="J526" s="664"/>
      <c r="K526" s="664" t="s">
        <v>628</v>
      </c>
      <c r="L526" s="664"/>
      <c r="M526" s="664"/>
      <c r="O526" s="631"/>
    </row>
    <row r="527" spans="1:16" x14ac:dyDescent="0.2">
      <c r="A527" s="736"/>
      <c r="B527" s="737"/>
      <c r="C527" s="665" t="s">
        <v>1606</v>
      </c>
      <c r="E527" s="661">
        <v>3.7</v>
      </c>
      <c r="F527" s="662" t="s">
        <v>866</v>
      </c>
      <c r="G527" s="631">
        <v>3</v>
      </c>
      <c r="H527" s="631" t="s">
        <v>866</v>
      </c>
      <c r="I527" s="631">
        <v>1</v>
      </c>
      <c r="J527" s="658" t="s">
        <v>866</v>
      </c>
      <c r="K527" s="631">
        <v>12</v>
      </c>
      <c r="L527" s="631"/>
      <c r="M527" s="631"/>
      <c r="N527" s="666" t="s">
        <v>799</v>
      </c>
      <c r="O527" s="658">
        <f t="shared" ref="O527:O539" si="34">E527*G527*I527*K527</f>
        <v>133.20000000000002</v>
      </c>
      <c r="P527" s="657" t="s">
        <v>4</v>
      </c>
    </row>
    <row r="528" spans="1:16" x14ac:dyDescent="0.2">
      <c r="A528" s="736"/>
      <c r="B528" s="737"/>
      <c r="C528" s="665"/>
      <c r="E528" s="661">
        <v>1.95</v>
      </c>
      <c r="F528" s="662" t="s">
        <v>866</v>
      </c>
      <c r="G528" s="631">
        <v>3</v>
      </c>
      <c r="H528" s="631" t="s">
        <v>866</v>
      </c>
      <c r="I528" s="631">
        <v>1</v>
      </c>
      <c r="J528" s="658" t="s">
        <v>866</v>
      </c>
      <c r="K528" s="631">
        <v>2</v>
      </c>
      <c r="L528" s="631"/>
      <c r="M528" s="631"/>
      <c r="N528" s="666" t="s">
        <v>799</v>
      </c>
      <c r="O528" s="658">
        <f t="shared" si="34"/>
        <v>11.7</v>
      </c>
      <c r="P528" s="657" t="s">
        <v>4</v>
      </c>
    </row>
    <row r="529" spans="1:16" x14ac:dyDescent="0.2">
      <c r="A529" s="736"/>
      <c r="B529" s="737"/>
      <c r="C529" s="665"/>
      <c r="E529" s="661">
        <v>1.2</v>
      </c>
      <c r="F529" s="662" t="s">
        <v>866</v>
      </c>
      <c r="G529" s="631">
        <v>3</v>
      </c>
      <c r="H529" s="631" t="s">
        <v>866</v>
      </c>
      <c r="I529" s="631">
        <v>1</v>
      </c>
      <c r="J529" s="658" t="s">
        <v>866</v>
      </c>
      <c r="K529" s="631">
        <v>1</v>
      </c>
      <c r="L529" s="631"/>
      <c r="M529" s="631"/>
      <c r="N529" s="666" t="s">
        <v>799</v>
      </c>
      <c r="O529" s="658">
        <f t="shared" si="34"/>
        <v>3.5999999999999996</v>
      </c>
      <c r="P529" s="657" t="s">
        <v>4</v>
      </c>
    </row>
    <row r="530" spans="1:16" x14ac:dyDescent="0.2">
      <c r="A530" s="736"/>
      <c r="B530" s="737"/>
      <c r="C530" s="665"/>
      <c r="E530" s="661">
        <v>1.05</v>
      </c>
      <c r="F530" s="662" t="s">
        <v>866</v>
      </c>
      <c r="G530" s="631">
        <v>0.6</v>
      </c>
      <c r="H530" s="631" t="s">
        <v>866</v>
      </c>
      <c r="I530" s="631">
        <v>1</v>
      </c>
      <c r="J530" s="658" t="s">
        <v>866</v>
      </c>
      <c r="K530" s="631">
        <v>1</v>
      </c>
      <c r="L530" s="631"/>
      <c r="M530" s="631"/>
      <c r="N530" s="666" t="s">
        <v>799</v>
      </c>
      <c r="O530" s="658">
        <f t="shared" si="34"/>
        <v>0.63</v>
      </c>
      <c r="P530" s="657" t="s">
        <v>4</v>
      </c>
    </row>
    <row r="531" spans="1:16" x14ac:dyDescent="0.2">
      <c r="A531" s="736"/>
      <c r="B531" s="737"/>
      <c r="C531" s="665" t="s">
        <v>887</v>
      </c>
      <c r="E531" s="661">
        <v>3.2</v>
      </c>
      <c r="F531" s="662" t="s">
        <v>866</v>
      </c>
      <c r="G531" s="631">
        <v>3</v>
      </c>
      <c r="H531" s="631" t="s">
        <v>866</v>
      </c>
      <c r="I531" s="631">
        <v>1</v>
      </c>
      <c r="J531" s="658" t="s">
        <v>866</v>
      </c>
      <c r="K531" s="631">
        <v>7</v>
      </c>
      <c r="L531" s="631"/>
      <c r="M531" s="631"/>
      <c r="N531" s="666" t="s">
        <v>799</v>
      </c>
      <c r="O531" s="658">
        <f t="shared" si="34"/>
        <v>67.200000000000017</v>
      </c>
      <c r="P531" s="657" t="s">
        <v>4</v>
      </c>
    </row>
    <row r="532" spans="1:16" x14ac:dyDescent="0.2">
      <c r="A532" s="736"/>
      <c r="B532" s="737"/>
      <c r="C532" s="665"/>
      <c r="E532" s="661">
        <v>2</v>
      </c>
      <c r="F532" s="662" t="s">
        <v>866</v>
      </c>
      <c r="G532" s="631">
        <v>3</v>
      </c>
      <c r="H532" s="631" t="s">
        <v>866</v>
      </c>
      <c r="I532" s="631">
        <v>1</v>
      </c>
      <c r="J532" s="658" t="s">
        <v>866</v>
      </c>
      <c r="K532" s="631">
        <v>2</v>
      </c>
      <c r="L532" s="631"/>
      <c r="M532" s="631"/>
      <c r="N532" s="666" t="s">
        <v>799</v>
      </c>
      <c r="O532" s="658">
        <f t="shared" si="34"/>
        <v>12</v>
      </c>
      <c r="P532" s="657" t="s">
        <v>4</v>
      </c>
    </row>
    <row r="533" spans="1:16" x14ac:dyDescent="0.2">
      <c r="A533" s="736"/>
      <c r="B533" s="737"/>
      <c r="C533" s="665"/>
      <c r="E533" s="661">
        <v>1.25</v>
      </c>
      <c r="F533" s="662" t="s">
        <v>866</v>
      </c>
      <c r="G533" s="631">
        <v>3</v>
      </c>
      <c r="H533" s="631" t="s">
        <v>866</v>
      </c>
      <c r="I533" s="631">
        <v>1</v>
      </c>
      <c r="J533" s="658" t="s">
        <v>866</v>
      </c>
      <c r="K533" s="631">
        <v>2</v>
      </c>
      <c r="L533" s="631"/>
      <c r="M533" s="631"/>
      <c r="N533" s="666" t="s">
        <v>799</v>
      </c>
      <c r="O533" s="658">
        <f t="shared" si="34"/>
        <v>7.5</v>
      </c>
      <c r="P533" s="657" t="s">
        <v>4</v>
      </c>
    </row>
    <row r="534" spans="1:16" x14ac:dyDescent="0.2">
      <c r="A534" s="736"/>
      <c r="B534" s="737"/>
      <c r="C534" s="665"/>
      <c r="E534" s="661">
        <v>2.65</v>
      </c>
      <c r="F534" s="662" t="s">
        <v>866</v>
      </c>
      <c r="G534" s="631">
        <v>3</v>
      </c>
      <c r="H534" s="631" t="s">
        <v>866</v>
      </c>
      <c r="I534" s="631">
        <v>1</v>
      </c>
      <c r="J534" s="658" t="s">
        <v>866</v>
      </c>
      <c r="K534" s="631">
        <v>1</v>
      </c>
      <c r="L534" s="631"/>
      <c r="M534" s="631"/>
      <c r="N534" s="666" t="s">
        <v>799</v>
      </c>
      <c r="O534" s="658">
        <f t="shared" si="34"/>
        <v>7.9499999999999993</v>
      </c>
      <c r="P534" s="657" t="s">
        <v>4</v>
      </c>
    </row>
    <row r="535" spans="1:16" x14ac:dyDescent="0.2">
      <c r="A535" s="736"/>
      <c r="B535" s="737"/>
      <c r="C535" s="665"/>
      <c r="E535" s="661">
        <v>1.05</v>
      </c>
      <c r="F535" s="662" t="s">
        <v>866</v>
      </c>
      <c r="G535" s="631">
        <v>3</v>
      </c>
      <c r="H535" s="631" t="s">
        <v>866</v>
      </c>
      <c r="I535" s="631">
        <v>1</v>
      </c>
      <c r="J535" s="658" t="s">
        <v>866</v>
      </c>
      <c r="K535" s="631">
        <v>1</v>
      </c>
      <c r="L535" s="631"/>
      <c r="M535" s="631"/>
      <c r="N535" s="666" t="s">
        <v>799</v>
      </c>
      <c r="O535" s="658">
        <f t="shared" si="34"/>
        <v>3.1500000000000004</v>
      </c>
      <c r="P535" s="657" t="s">
        <v>4</v>
      </c>
    </row>
    <row r="536" spans="1:16" x14ac:dyDescent="0.2">
      <c r="A536" s="736"/>
      <c r="B536" s="737"/>
      <c r="C536" s="933" t="s">
        <v>1597</v>
      </c>
      <c r="E536" s="661">
        <v>3.2</v>
      </c>
      <c r="F536" s="662" t="s">
        <v>866</v>
      </c>
      <c r="G536" s="631">
        <v>0.3</v>
      </c>
      <c r="H536" s="631" t="s">
        <v>866</v>
      </c>
      <c r="I536" s="631">
        <v>1</v>
      </c>
      <c r="J536" s="658" t="s">
        <v>866</v>
      </c>
      <c r="K536" s="631">
        <v>12</v>
      </c>
      <c r="L536" s="631"/>
      <c r="M536" s="631"/>
      <c r="N536" s="666" t="s">
        <v>799</v>
      </c>
      <c r="O536" s="658">
        <f t="shared" si="34"/>
        <v>11.52</v>
      </c>
      <c r="P536" s="657" t="s">
        <v>4</v>
      </c>
    </row>
    <row r="537" spans="1:16" x14ac:dyDescent="0.2">
      <c r="A537" s="736"/>
      <c r="B537" s="737"/>
      <c r="C537" s="933" t="s">
        <v>1598</v>
      </c>
      <c r="E537" s="661">
        <v>16.3</v>
      </c>
      <c r="F537" s="662" t="s">
        <v>866</v>
      </c>
      <c r="G537" s="631">
        <v>0.3</v>
      </c>
      <c r="H537" s="631" t="s">
        <v>866</v>
      </c>
      <c r="I537" s="631">
        <v>1</v>
      </c>
      <c r="J537" s="658" t="s">
        <v>866</v>
      </c>
      <c r="K537" s="631">
        <v>3</v>
      </c>
      <c r="L537" s="631"/>
      <c r="M537" s="631"/>
      <c r="N537" s="666" t="s">
        <v>799</v>
      </c>
      <c r="O537" s="658">
        <f t="shared" si="34"/>
        <v>14.669999999999998</v>
      </c>
      <c r="P537" s="657" t="s">
        <v>4</v>
      </c>
    </row>
    <row r="538" spans="1:16" x14ac:dyDescent="0.2">
      <c r="A538" s="736"/>
      <c r="B538" s="737"/>
      <c r="C538" s="665"/>
      <c r="E538" s="661">
        <v>3.7</v>
      </c>
      <c r="F538" s="662" t="s">
        <v>866</v>
      </c>
      <c r="G538" s="631">
        <v>0.3</v>
      </c>
      <c r="H538" s="631" t="s">
        <v>866</v>
      </c>
      <c r="I538" s="631">
        <v>1</v>
      </c>
      <c r="J538" s="658" t="s">
        <v>866</v>
      </c>
      <c r="K538" s="631">
        <v>1</v>
      </c>
      <c r="L538" s="631"/>
      <c r="M538" s="631"/>
      <c r="N538" s="666" t="s">
        <v>799</v>
      </c>
      <c r="O538" s="658">
        <f t="shared" si="34"/>
        <v>1.1100000000000001</v>
      </c>
      <c r="P538" s="657" t="s">
        <v>4</v>
      </c>
    </row>
    <row r="539" spans="1:16" x14ac:dyDescent="0.2">
      <c r="A539" s="736"/>
      <c r="B539" s="737"/>
      <c r="C539" s="665" t="s">
        <v>1595</v>
      </c>
      <c r="E539" s="661">
        <v>3</v>
      </c>
      <c r="F539" s="662" t="s">
        <v>866</v>
      </c>
      <c r="G539" s="631">
        <v>0.3</v>
      </c>
      <c r="H539" s="631" t="s">
        <v>866</v>
      </c>
      <c r="I539" s="631">
        <v>1</v>
      </c>
      <c r="J539" s="658" t="s">
        <v>866</v>
      </c>
      <c r="K539" s="631">
        <v>15</v>
      </c>
      <c r="L539" s="631"/>
      <c r="M539" s="631"/>
      <c r="N539" s="666" t="s">
        <v>799</v>
      </c>
      <c r="O539" s="658">
        <f t="shared" si="34"/>
        <v>13.499999999999998</v>
      </c>
      <c r="P539" s="657" t="s">
        <v>4</v>
      </c>
    </row>
    <row r="540" spans="1:16" x14ac:dyDescent="0.2">
      <c r="A540" s="736"/>
      <c r="B540" s="737"/>
      <c r="C540" s="665" t="s">
        <v>1596</v>
      </c>
      <c r="E540" s="661">
        <v>3</v>
      </c>
      <c r="F540" s="662" t="s">
        <v>866</v>
      </c>
      <c r="G540" s="631">
        <v>0.3</v>
      </c>
      <c r="H540" s="631" t="s">
        <v>866</v>
      </c>
      <c r="I540" s="631">
        <v>1</v>
      </c>
      <c r="J540" s="658" t="s">
        <v>866</v>
      </c>
      <c r="K540" s="631">
        <v>10</v>
      </c>
      <c r="L540" s="631"/>
      <c r="M540" s="631"/>
      <c r="N540" s="666" t="s">
        <v>799</v>
      </c>
      <c r="O540" s="658">
        <f>E540*G540*I540*K540</f>
        <v>9</v>
      </c>
      <c r="P540" s="657" t="s">
        <v>4</v>
      </c>
    </row>
    <row r="541" spans="1:16" x14ac:dyDescent="0.2">
      <c r="A541" s="736"/>
      <c r="B541" s="737"/>
      <c r="C541" s="665" t="s">
        <v>1609</v>
      </c>
      <c r="F541" s="662"/>
      <c r="G541" s="631"/>
      <c r="H541" s="631"/>
      <c r="I541" s="631"/>
      <c r="J541" s="658"/>
      <c r="K541" s="631"/>
      <c r="L541" s="631"/>
      <c r="M541" s="631">
        <f>$O$515</f>
        <v>20.3</v>
      </c>
      <c r="N541" s="666" t="s">
        <v>799</v>
      </c>
      <c r="O541" s="658">
        <f>M541*-1</f>
        <v>-20.3</v>
      </c>
      <c r="P541" s="657" t="s">
        <v>4</v>
      </c>
    </row>
    <row r="542" spans="1:16" x14ac:dyDescent="0.2">
      <c r="A542" s="736"/>
      <c r="B542" s="737"/>
      <c r="C542" s="665" t="s">
        <v>1607</v>
      </c>
      <c r="F542" s="662"/>
      <c r="G542" s="631"/>
      <c r="H542" s="631"/>
      <c r="I542" s="631"/>
      <c r="J542" s="658"/>
      <c r="K542" s="631"/>
      <c r="L542" s="631"/>
      <c r="M542" s="631">
        <f>$O$525</f>
        <v>34.07</v>
      </c>
      <c r="N542" s="666" t="s">
        <v>799</v>
      </c>
      <c r="O542" s="658">
        <f>M542*-1</f>
        <v>-34.07</v>
      </c>
      <c r="P542" s="657" t="s">
        <v>4</v>
      </c>
    </row>
    <row r="543" spans="1:16" ht="13.5" thickBot="1" x14ac:dyDescent="0.25">
      <c r="A543" s="736"/>
      <c r="B543" s="737"/>
      <c r="C543" s="665" t="s">
        <v>1615</v>
      </c>
      <c r="F543" s="662"/>
      <c r="G543" s="631"/>
      <c r="H543" s="631"/>
      <c r="I543" s="631"/>
      <c r="J543" s="658"/>
      <c r="K543" s="631"/>
      <c r="L543" s="631"/>
      <c r="M543" s="631">
        <f>$O$465</f>
        <v>67.75</v>
      </c>
      <c r="N543" s="666" t="s">
        <v>799</v>
      </c>
      <c r="O543" s="658">
        <f>M543*-1</f>
        <v>-67.75</v>
      </c>
      <c r="P543" s="657" t="s">
        <v>4</v>
      </c>
    </row>
    <row r="544" spans="1:16" ht="13.5" thickBot="1" x14ac:dyDescent="0.25">
      <c r="A544" s="736"/>
      <c r="B544" s="737"/>
      <c r="C544" s="667"/>
      <c r="F544" s="666"/>
      <c r="G544" s="631"/>
      <c r="H544" s="631"/>
      <c r="I544" s="631"/>
      <c r="J544" s="631"/>
      <c r="K544" s="631"/>
      <c r="L544" s="631"/>
      <c r="M544" s="631"/>
      <c r="N544" s="666"/>
      <c r="O544" s="668">
        <f>ROUND((SUM(O527:O543)),2)</f>
        <v>174.61</v>
      </c>
      <c r="P544" s="669" t="s">
        <v>4</v>
      </c>
    </row>
    <row r="545" spans="1:16" ht="29.25" customHeight="1" x14ac:dyDescent="0.2">
      <c r="A545" s="734" t="s">
        <v>0</v>
      </c>
      <c r="B545" s="735" t="s">
        <v>1272</v>
      </c>
      <c r="C545" s="678" t="e">
        <f>#REF!</f>
        <v>#REF!</v>
      </c>
      <c r="D545" s="662" t="s">
        <v>799</v>
      </c>
      <c r="E545" s="663" t="s">
        <v>864</v>
      </c>
      <c r="F545" s="633"/>
      <c r="G545" s="664" t="s">
        <v>884</v>
      </c>
      <c r="H545" s="664"/>
      <c r="I545" s="664" t="s">
        <v>1089</v>
      </c>
      <c r="J545" s="664"/>
      <c r="K545" s="664" t="s">
        <v>628</v>
      </c>
      <c r="L545" s="664"/>
      <c r="M545" s="664"/>
      <c r="O545" s="631"/>
    </row>
    <row r="546" spans="1:16" x14ac:dyDescent="0.2">
      <c r="A546" s="736"/>
      <c r="B546" s="737"/>
      <c r="C546" s="665" t="s">
        <v>1606</v>
      </c>
      <c r="E546" s="661">
        <v>3.7</v>
      </c>
      <c r="F546" s="662" t="s">
        <v>866</v>
      </c>
      <c r="G546" s="631">
        <v>3</v>
      </c>
      <c r="H546" s="631" t="s">
        <v>866</v>
      </c>
      <c r="I546" s="631">
        <v>1</v>
      </c>
      <c r="J546" s="658" t="s">
        <v>866</v>
      </c>
      <c r="K546" s="631">
        <v>12</v>
      </c>
      <c r="L546" s="631"/>
      <c r="M546" s="631"/>
      <c r="N546" s="666" t="s">
        <v>799</v>
      </c>
      <c r="O546" s="658">
        <f t="shared" ref="O546:O558" si="35">E546*G546*I546*K546</f>
        <v>133.20000000000002</v>
      </c>
      <c r="P546" s="657" t="s">
        <v>4</v>
      </c>
    </row>
    <row r="547" spans="1:16" x14ac:dyDescent="0.2">
      <c r="A547" s="736"/>
      <c r="B547" s="737"/>
      <c r="C547" s="665"/>
      <c r="E547" s="661">
        <v>1.95</v>
      </c>
      <c r="F547" s="662" t="s">
        <v>866</v>
      </c>
      <c r="G547" s="631">
        <v>3</v>
      </c>
      <c r="H547" s="631" t="s">
        <v>866</v>
      </c>
      <c r="I547" s="631">
        <v>1</v>
      </c>
      <c r="J547" s="658" t="s">
        <v>866</v>
      </c>
      <c r="K547" s="631">
        <v>2</v>
      </c>
      <c r="L547" s="631"/>
      <c r="M547" s="631"/>
      <c r="N547" s="666" t="s">
        <v>799</v>
      </c>
      <c r="O547" s="658">
        <f t="shared" si="35"/>
        <v>11.7</v>
      </c>
      <c r="P547" s="657" t="s">
        <v>4</v>
      </c>
    </row>
    <row r="548" spans="1:16" x14ac:dyDescent="0.2">
      <c r="A548" s="736"/>
      <c r="B548" s="737"/>
      <c r="C548" s="665"/>
      <c r="E548" s="661">
        <v>1.2</v>
      </c>
      <c r="F548" s="662" t="s">
        <v>866</v>
      </c>
      <c r="G548" s="631">
        <v>3</v>
      </c>
      <c r="H548" s="631" t="s">
        <v>866</v>
      </c>
      <c r="I548" s="631">
        <v>1</v>
      </c>
      <c r="J548" s="658" t="s">
        <v>866</v>
      </c>
      <c r="K548" s="631">
        <v>1</v>
      </c>
      <c r="L548" s="631"/>
      <c r="M548" s="631"/>
      <c r="N548" s="666" t="s">
        <v>799</v>
      </c>
      <c r="O548" s="658">
        <f t="shared" si="35"/>
        <v>3.5999999999999996</v>
      </c>
      <c r="P548" s="657" t="s">
        <v>4</v>
      </c>
    </row>
    <row r="549" spans="1:16" x14ac:dyDescent="0.2">
      <c r="A549" s="736"/>
      <c r="B549" s="737"/>
      <c r="C549" s="665"/>
      <c r="E549" s="661">
        <v>1.05</v>
      </c>
      <c r="F549" s="662" t="s">
        <v>866</v>
      </c>
      <c r="G549" s="631">
        <v>0.6</v>
      </c>
      <c r="H549" s="631" t="s">
        <v>866</v>
      </c>
      <c r="I549" s="631">
        <v>1</v>
      </c>
      <c r="J549" s="658" t="s">
        <v>866</v>
      </c>
      <c r="K549" s="631">
        <v>1</v>
      </c>
      <c r="L549" s="631"/>
      <c r="M549" s="631"/>
      <c r="N549" s="666" t="s">
        <v>799</v>
      </c>
      <c r="O549" s="658">
        <f t="shared" si="35"/>
        <v>0.63</v>
      </c>
      <c r="P549" s="657" t="s">
        <v>4</v>
      </c>
    </row>
    <row r="550" spans="1:16" x14ac:dyDescent="0.2">
      <c r="A550" s="736"/>
      <c r="B550" s="737"/>
      <c r="C550" s="665" t="s">
        <v>887</v>
      </c>
      <c r="E550" s="661">
        <v>3.2</v>
      </c>
      <c r="F550" s="662" t="s">
        <v>866</v>
      </c>
      <c r="G550" s="631">
        <v>3</v>
      </c>
      <c r="H550" s="631" t="s">
        <v>866</v>
      </c>
      <c r="I550" s="631">
        <v>1</v>
      </c>
      <c r="J550" s="658" t="s">
        <v>866</v>
      </c>
      <c r="K550" s="631">
        <v>7</v>
      </c>
      <c r="L550" s="631"/>
      <c r="M550" s="631"/>
      <c r="N550" s="666" t="s">
        <v>799</v>
      </c>
      <c r="O550" s="658">
        <f t="shared" si="35"/>
        <v>67.200000000000017</v>
      </c>
      <c r="P550" s="657" t="s">
        <v>4</v>
      </c>
    </row>
    <row r="551" spans="1:16" x14ac:dyDescent="0.2">
      <c r="A551" s="736"/>
      <c r="B551" s="737"/>
      <c r="C551" s="665"/>
      <c r="E551" s="661">
        <v>2</v>
      </c>
      <c r="F551" s="662" t="s">
        <v>866</v>
      </c>
      <c r="G551" s="631">
        <v>3</v>
      </c>
      <c r="H551" s="631" t="s">
        <v>866</v>
      </c>
      <c r="I551" s="631">
        <v>1</v>
      </c>
      <c r="J551" s="658" t="s">
        <v>866</v>
      </c>
      <c r="K551" s="631">
        <v>2</v>
      </c>
      <c r="L551" s="631"/>
      <c r="M551" s="631"/>
      <c r="N551" s="666" t="s">
        <v>799</v>
      </c>
      <c r="O551" s="658">
        <f t="shared" si="35"/>
        <v>12</v>
      </c>
      <c r="P551" s="657" t="s">
        <v>4</v>
      </c>
    </row>
    <row r="552" spans="1:16" x14ac:dyDescent="0.2">
      <c r="A552" s="736"/>
      <c r="B552" s="737"/>
      <c r="C552" s="665"/>
      <c r="E552" s="661">
        <v>1.25</v>
      </c>
      <c r="F552" s="662" t="s">
        <v>866</v>
      </c>
      <c r="G552" s="631">
        <v>3</v>
      </c>
      <c r="H552" s="631" t="s">
        <v>866</v>
      </c>
      <c r="I552" s="631">
        <v>1</v>
      </c>
      <c r="J552" s="658" t="s">
        <v>866</v>
      </c>
      <c r="K552" s="631">
        <v>2</v>
      </c>
      <c r="L552" s="631"/>
      <c r="M552" s="631"/>
      <c r="N552" s="666" t="s">
        <v>799</v>
      </c>
      <c r="O552" s="658">
        <f t="shared" si="35"/>
        <v>7.5</v>
      </c>
      <c r="P552" s="657" t="s">
        <v>4</v>
      </c>
    </row>
    <row r="553" spans="1:16" x14ac:dyDescent="0.2">
      <c r="A553" s="736"/>
      <c r="B553" s="737"/>
      <c r="C553" s="665"/>
      <c r="E553" s="661">
        <v>2.65</v>
      </c>
      <c r="F553" s="662" t="s">
        <v>866</v>
      </c>
      <c r="G553" s="631">
        <v>3</v>
      </c>
      <c r="H553" s="631" t="s">
        <v>866</v>
      </c>
      <c r="I553" s="631">
        <v>1</v>
      </c>
      <c r="J553" s="658" t="s">
        <v>866</v>
      </c>
      <c r="K553" s="631">
        <v>1</v>
      </c>
      <c r="L553" s="631"/>
      <c r="M553" s="631"/>
      <c r="N553" s="666" t="s">
        <v>799</v>
      </c>
      <c r="O553" s="658">
        <f t="shared" si="35"/>
        <v>7.9499999999999993</v>
      </c>
      <c r="P553" s="657" t="s">
        <v>4</v>
      </c>
    </row>
    <row r="554" spans="1:16" x14ac:dyDescent="0.2">
      <c r="A554" s="736"/>
      <c r="B554" s="737"/>
      <c r="C554" s="665"/>
      <c r="E554" s="661">
        <v>1.05</v>
      </c>
      <c r="F554" s="662" t="s">
        <v>866</v>
      </c>
      <c r="G554" s="631">
        <v>3</v>
      </c>
      <c r="H554" s="631" t="s">
        <v>866</v>
      </c>
      <c r="I554" s="631">
        <v>1</v>
      </c>
      <c r="J554" s="658" t="s">
        <v>866</v>
      </c>
      <c r="K554" s="631">
        <v>1</v>
      </c>
      <c r="L554" s="631"/>
      <c r="M554" s="631"/>
      <c r="N554" s="666" t="s">
        <v>799</v>
      </c>
      <c r="O554" s="658">
        <f t="shared" si="35"/>
        <v>3.1500000000000004</v>
      </c>
      <c r="P554" s="657" t="s">
        <v>4</v>
      </c>
    </row>
    <row r="555" spans="1:16" x14ac:dyDescent="0.2">
      <c r="A555" s="736"/>
      <c r="B555" s="737"/>
      <c r="C555" s="933" t="s">
        <v>1597</v>
      </c>
      <c r="E555" s="661">
        <v>3.2</v>
      </c>
      <c r="F555" s="662" t="s">
        <v>866</v>
      </c>
      <c r="G555" s="631">
        <v>0.3</v>
      </c>
      <c r="H555" s="631" t="s">
        <v>866</v>
      </c>
      <c r="I555" s="631">
        <v>1</v>
      </c>
      <c r="J555" s="658" t="s">
        <v>866</v>
      </c>
      <c r="K555" s="631">
        <v>12</v>
      </c>
      <c r="L555" s="631"/>
      <c r="M555" s="631"/>
      <c r="N555" s="666" t="s">
        <v>799</v>
      </c>
      <c r="O555" s="658">
        <f t="shared" si="35"/>
        <v>11.52</v>
      </c>
      <c r="P555" s="657" t="s">
        <v>4</v>
      </c>
    </row>
    <row r="556" spans="1:16" x14ac:dyDescent="0.2">
      <c r="A556" s="736"/>
      <c r="B556" s="737"/>
      <c r="C556" s="933" t="s">
        <v>1598</v>
      </c>
      <c r="E556" s="661">
        <v>16.3</v>
      </c>
      <c r="F556" s="662" t="s">
        <v>866</v>
      </c>
      <c r="G556" s="631">
        <v>0.3</v>
      </c>
      <c r="H556" s="631" t="s">
        <v>866</v>
      </c>
      <c r="I556" s="631">
        <v>1</v>
      </c>
      <c r="J556" s="658" t="s">
        <v>866</v>
      </c>
      <c r="K556" s="631">
        <v>3</v>
      </c>
      <c r="L556" s="631"/>
      <c r="M556" s="631"/>
      <c r="N556" s="666" t="s">
        <v>799</v>
      </c>
      <c r="O556" s="658">
        <f t="shared" si="35"/>
        <v>14.669999999999998</v>
      </c>
      <c r="P556" s="657" t="s">
        <v>4</v>
      </c>
    </row>
    <row r="557" spans="1:16" x14ac:dyDescent="0.2">
      <c r="A557" s="736"/>
      <c r="B557" s="737"/>
      <c r="C557" s="665"/>
      <c r="E557" s="661">
        <v>3.7</v>
      </c>
      <c r="F557" s="662" t="s">
        <v>866</v>
      </c>
      <c r="G557" s="631">
        <v>0.3</v>
      </c>
      <c r="H557" s="631" t="s">
        <v>866</v>
      </c>
      <c r="I557" s="631">
        <v>1</v>
      </c>
      <c r="J557" s="658" t="s">
        <v>866</v>
      </c>
      <c r="K557" s="631">
        <v>1</v>
      </c>
      <c r="L557" s="631"/>
      <c r="M557" s="631"/>
      <c r="N557" s="666" t="s">
        <v>799</v>
      </c>
      <c r="O557" s="658">
        <f t="shared" si="35"/>
        <v>1.1100000000000001</v>
      </c>
      <c r="P557" s="657" t="s">
        <v>4</v>
      </c>
    </row>
    <row r="558" spans="1:16" x14ac:dyDescent="0.2">
      <c r="A558" s="736"/>
      <c r="B558" s="737"/>
      <c r="C558" s="665" t="s">
        <v>1595</v>
      </c>
      <c r="E558" s="661">
        <v>3</v>
      </c>
      <c r="F558" s="662" t="s">
        <v>866</v>
      </c>
      <c r="G558" s="631">
        <v>0.3</v>
      </c>
      <c r="H558" s="631" t="s">
        <v>866</v>
      </c>
      <c r="I558" s="631">
        <v>1</v>
      </c>
      <c r="J558" s="658" t="s">
        <v>866</v>
      </c>
      <c r="K558" s="631">
        <v>15</v>
      </c>
      <c r="L558" s="631"/>
      <c r="M558" s="631"/>
      <c r="N558" s="666" t="s">
        <v>799</v>
      </c>
      <c r="O558" s="658">
        <f t="shared" si="35"/>
        <v>13.499999999999998</v>
      </c>
      <c r="P558" s="657" t="s">
        <v>4</v>
      </c>
    </row>
    <row r="559" spans="1:16" x14ac:dyDescent="0.2">
      <c r="A559" s="736"/>
      <c r="B559" s="737"/>
      <c r="C559" s="665" t="s">
        <v>1596</v>
      </c>
      <c r="E559" s="661">
        <v>3</v>
      </c>
      <c r="F559" s="662" t="s">
        <v>866</v>
      </c>
      <c r="G559" s="631">
        <v>0.3</v>
      </c>
      <c r="H559" s="631" t="s">
        <v>866</v>
      </c>
      <c r="I559" s="631">
        <v>1</v>
      </c>
      <c r="J559" s="658" t="s">
        <v>866</v>
      </c>
      <c r="K559" s="631">
        <v>10</v>
      </c>
      <c r="L559" s="631"/>
      <c r="M559" s="631"/>
      <c r="N559" s="666" t="s">
        <v>799</v>
      </c>
      <c r="O559" s="658">
        <f>E559*G559*I559*K559</f>
        <v>9</v>
      </c>
      <c r="P559" s="657" t="s">
        <v>4</v>
      </c>
    </row>
    <row r="560" spans="1:16" x14ac:dyDescent="0.2">
      <c r="A560" s="736"/>
      <c r="B560" s="737"/>
      <c r="C560" s="665" t="s">
        <v>1609</v>
      </c>
      <c r="F560" s="662"/>
      <c r="G560" s="631"/>
      <c r="H560" s="631"/>
      <c r="I560" s="631"/>
      <c r="J560" s="658"/>
      <c r="K560" s="631"/>
      <c r="L560" s="631"/>
      <c r="M560" s="631">
        <f>$O$515</f>
        <v>20.3</v>
      </c>
      <c r="N560" s="666" t="s">
        <v>799</v>
      </c>
      <c r="O560" s="658">
        <f>M560*-1</f>
        <v>-20.3</v>
      </c>
      <c r="P560" s="657" t="s">
        <v>4</v>
      </c>
    </row>
    <row r="561" spans="1:16" x14ac:dyDescent="0.2">
      <c r="A561" s="736"/>
      <c r="B561" s="737"/>
      <c r="C561" s="665" t="s">
        <v>1607</v>
      </c>
      <c r="F561" s="662"/>
      <c r="G561" s="631"/>
      <c r="H561" s="631"/>
      <c r="I561" s="631"/>
      <c r="J561" s="658"/>
      <c r="K561" s="631"/>
      <c r="L561" s="631"/>
      <c r="M561" s="631">
        <f>$O$525</f>
        <v>34.07</v>
      </c>
      <c r="N561" s="666" t="s">
        <v>799</v>
      </c>
      <c r="O561" s="658">
        <f>M561*-1</f>
        <v>-34.07</v>
      </c>
      <c r="P561" s="657" t="s">
        <v>4</v>
      </c>
    </row>
    <row r="562" spans="1:16" ht="13.5" thickBot="1" x14ac:dyDescent="0.25">
      <c r="A562" s="736"/>
      <c r="B562" s="737"/>
      <c r="C562" s="665" t="s">
        <v>1615</v>
      </c>
      <c r="F562" s="662"/>
      <c r="G562" s="631"/>
      <c r="H562" s="631"/>
      <c r="I562" s="631"/>
      <c r="J562" s="658"/>
      <c r="K562" s="631"/>
      <c r="L562" s="631"/>
      <c r="M562" s="631">
        <f>$O$465</f>
        <v>67.75</v>
      </c>
      <c r="N562" s="666" t="s">
        <v>799</v>
      </c>
      <c r="O562" s="658">
        <f>M562*-1</f>
        <v>-67.75</v>
      </c>
      <c r="P562" s="657" t="s">
        <v>4</v>
      </c>
    </row>
    <row r="563" spans="1:16" ht="13.5" thickBot="1" x14ac:dyDescent="0.25">
      <c r="A563" s="736"/>
      <c r="B563" s="737"/>
      <c r="C563" s="667"/>
      <c r="F563" s="666"/>
      <c r="G563" s="631"/>
      <c r="H563" s="631"/>
      <c r="I563" s="631"/>
      <c r="J563" s="631"/>
      <c r="K563" s="631"/>
      <c r="L563" s="631"/>
      <c r="M563" s="631"/>
      <c r="N563" s="666"/>
      <c r="O563" s="668">
        <f>ROUND((SUM(O546:O562)),2)</f>
        <v>174.61</v>
      </c>
      <c r="P563" s="669" t="s">
        <v>4</v>
      </c>
    </row>
    <row r="564" spans="1:16" x14ac:dyDescent="0.2">
      <c r="A564" s="734" t="s">
        <v>0</v>
      </c>
      <c r="B564" s="735" t="s">
        <v>1273</v>
      </c>
      <c r="C564" s="678" t="e">
        <f>#REF!</f>
        <v>#REF!</v>
      </c>
      <c r="D564" s="662" t="s">
        <v>799</v>
      </c>
      <c r="E564" s="663" t="s">
        <v>865</v>
      </c>
      <c r="F564" s="633"/>
      <c r="G564" s="664" t="s">
        <v>884</v>
      </c>
      <c r="H564" s="664"/>
      <c r="I564" s="664" t="s">
        <v>1089</v>
      </c>
      <c r="J564" s="664"/>
      <c r="K564" s="664" t="s">
        <v>628</v>
      </c>
      <c r="L564" s="664"/>
      <c r="M564" s="664"/>
      <c r="O564" s="631"/>
    </row>
    <row r="565" spans="1:16" x14ac:dyDescent="0.2">
      <c r="A565" s="736"/>
      <c r="B565" s="737"/>
      <c r="C565" s="665" t="s">
        <v>1606</v>
      </c>
      <c r="E565" s="661">
        <v>3.7</v>
      </c>
      <c r="F565" s="662" t="s">
        <v>866</v>
      </c>
      <c r="G565" s="631">
        <v>3</v>
      </c>
      <c r="H565" s="631" t="s">
        <v>866</v>
      </c>
      <c r="I565" s="631">
        <v>1</v>
      </c>
      <c r="J565" s="658" t="s">
        <v>866</v>
      </c>
      <c r="K565" s="631">
        <v>12</v>
      </c>
      <c r="L565" s="631"/>
      <c r="M565" s="631"/>
      <c r="N565" s="666" t="s">
        <v>799</v>
      </c>
      <c r="O565" s="658">
        <f t="shared" ref="O565:O577" si="36">E565*G565*I565*K565</f>
        <v>133.20000000000002</v>
      </c>
      <c r="P565" s="657" t="s">
        <v>4</v>
      </c>
    </row>
    <row r="566" spans="1:16" x14ac:dyDescent="0.2">
      <c r="A566" s="736"/>
      <c r="B566" s="737"/>
      <c r="C566" s="665"/>
      <c r="E566" s="661">
        <v>1.95</v>
      </c>
      <c r="F566" s="662" t="s">
        <v>866</v>
      </c>
      <c r="G566" s="631">
        <v>3</v>
      </c>
      <c r="H566" s="631" t="s">
        <v>866</v>
      </c>
      <c r="I566" s="631">
        <v>1</v>
      </c>
      <c r="J566" s="658" t="s">
        <v>866</v>
      </c>
      <c r="K566" s="631">
        <v>2</v>
      </c>
      <c r="L566" s="631"/>
      <c r="M566" s="631"/>
      <c r="N566" s="666" t="s">
        <v>799</v>
      </c>
      <c r="O566" s="658">
        <f t="shared" si="36"/>
        <v>11.7</v>
      </c>
      <c r="P566" s="657" t="s">
        <v>4</v>
      </c>
    </row>
    <row r="567" spans="1:16" x14ac:dyDescent="0.2">
      <c r="A567" s="736"/>
      <c r="B567" s="737"/>
      <c r="C567" s="665"/>
      <c r="E567" s="661">
        <v>1.2</v>
      </c>
      <c r="F567" s="662" t="s">
        <v>866</v>
      </c>
      <c r="G567" s="631">
        <v>3</v>
      </c>
      <c r="H567" s="631" t="s">
        <v>866</v>
      </c>
      <c r="I567" s="631">
        <v>1</v>
      </c>
      <c r="J567" s="658" t="s">
        <v>866</v>
      </c>
      <c r="K567" s="631">
        <v>1</v>
      </c>
      <c r="L567" s="631"/>
      <c r="M567" s="631"/>
      <c r="N567" s="666" t="s">
        <v>799</v>
      </c>
      <c r="O567" s="658">
        <f t="shared" si="36"/>
        <v>3.5999999999999996</v>
      </c>
      <c r="P567" s="657" t="s">
        <v>4</v>
      </c>
    </row>
    <row r="568" spans="1:16" x14ac:dyDescent="0.2">
      <c r="A568" s="736"/>
      <c r="B568" s="737"/>
      <c r="C568" s="665"/>
      <c r="E568" s="661">
        <v>1.05</v>
      </c>
      <c r="F568" s="662" t="s">
        <v>866</v>
      </c>
      <c r="G568" s="631">
        <v>0.6</v>
      </c>
      <c r="H568" s="631" t="s">
        <v>866</v>
      </c>
      <c r="I568" s="631">
        <v>1</v>
      </c>
      <c r="J568" s="658" t="s">
        <v>866</v>
      </c>
      <c r="K568" s="631">
        <v>1</v>
      </c>
      <c r="L568" s="631"/>
      <c r="M568" s="631"/>
      <c r="N568" s="666" t="s">
        <v>799</v>
      </c>
      <c r="O568" s="658">
        <f t="shared" si="36"/>
        <v>0.63</v>
      </c>
      <c r="P568" s="657" t="s">
        <v>4</v>
      </c>
    </row>
    <row r="569" spans="1:16" x14ac:dyDescent="0.2">
      <c r="A569" s="736"/>
      <c r="B569" s="737"/>
      <c r="C569" s="665" t="s">
        <v>887</v>
      </c>
      <c r="E569" s="661">
        <v>3.2</v>
      </c>
      <c r="F569" s="662" t="s">
        <v>866</v>
      </c>
      <c r="G569" s="631">
        <v>3</v>
      </c>
      <c r="H569" s="631" t="s">
        <v>866</v>
      </c>
      <c r="I569" s="631">
        <v>1</v>
      </c>
      <c r="J569" s="658" t="s">
        <v>866</v>
      </c>
      <c r="K569" s="631">
        <v>7</v>
      </c>
      <c r="L569" s="631"/>
      <c r="M569" s="631"/>
      <c r="N569" s="666" t="s">
        <v>799</v>
      </c>
      <c r="O569" s="658">
        <f t="shared" si="36"/>
        <v>67.200000000000017</v>
      </c>
      <c r="P569" s="657" t="s">
        <v>4</v>
      </c>
    </row>
    <row r="570" spans="1:16" x14ac:dyDescent="0.2">
      <c r="A570" s="736"/>
      <c r="B570" s="737"/>
      <c r="C570" s="665"/>
      <c r="E570" s="661">
        <v>2</v>
      </c>
      <c r="F570" s="662" t="s">
        <v>866</v>
      </c>
      <c r="G570" s="631">
        <v>3</v>
      </c>
      <c r="H570" s="631" t="s">
        <v>866</v>
      </c>
      <c r="I570" s="631">
        <v>1</v>
      </c>
      <c r="J570" s="658" t="s">
        <v>866</v>
      </c>
      <c r="K570" s="631">
        <v>2</v>
      </c>
      <c r="L570" s="631"/>
      <c r="M570" s="631"/>
      <c r="N570" s="666" t="s">
        <v>799</v>
      </c>
      <c r="O570" s="658">
        <f t="shared" si="36"/>
        <v>12</v>
      </c>
      <c r="P570" s="657" t="s">
        <v>4</v>
      </c>
    </row>
    <row r="571" spans="1:16" x14ac:dyDescent="0.2">
      <c r="A571" s="736"/>
      <c r="B571" s="737"/>
      <c r="C571" s="665"/>
      <c r="E571" s="661">
        <v>1.25</v>
      </c>
      <c r="F571" s="662" t="s">
        <v>866</v>
      </c>
      <c r="G571" s="631">
        <v>3</v>
      </c>
      <c r="H571" s="631" t="s">
        <v>866</v>
      </c>
      <c r="I571" s="631">
        <v>1</v>
      </c>
      <c r="J571" s="658" t="s">
        <v>866</v>
      </c>
      <c r="K571" s="631">
        <v>2</v>
      </c>
      <c r="L571" s="631"/>
      <c r="M571" s="631"/>
      <c r="N571" s="666" t="s">
        <v>799</v>
      </c>
      <c r="O571" s="658">
        <f t="shared" si="36"/>
        <v>7.5</v>
      </c>
      <c r="P571" s="657" t="s">
        <v>4</v>
      </c>
    </row>
    <row r="572" spans="1:16" x14ac:dyDescent="0.2">
      <c r="A572" s="736"/>
      <c r="B572" s="737"/>
      <c r="C572" s="665"/>
      <c r="E572" s="661">
        <v>2.65</v>
      </c>
      <c r="F572" s="662" t="s">
        <v>866</v>
      </c>
      <c r="G572" s="631">
        <v>3</v>
      </c>
      <c r="H572" s="631" t="s">
        <v>866</v>
      </c>
      <c r="I572" s="631">
        <v>1</v>
      </c>
      <c r="J572" s="658" t="s">
        <v>866</v>
      </c>
      <c r="K572" s="631">
        <v>1</v>
      </c>
      <c r="L572" s="631"/>
      <c r="M572" s="631"/>
      <c r="N572" s="666" t="s">
        <v>799</v>
      </c>
      <c r="O572" s="658">
        <f t="shared" si="36"/>
        <v>7.9499999999999993</v>
      </c>
      <c r="P572" s="657" t="s">
        <v>4</v>
      </c>
    </row>
    <row r="573" spans="1:16" x14ac:dyDescent="0.2">
      <c r="A573" s="736"/>
      <c r="B573" s="737"/>
      <c r="C573" s="665"/>
      <c r="E573" s="661">
        <v>1.05</v>
      </c>
      <c r="F573" s="662" t="s">
        <v>866</v>
      </c>
      <c r="G573" s="631">
        <v>3</v>
      </c>
      <c r="H573" s="631" t="s">
        <v>866</v>
      </c>
      <c r="I573" s="631">
        <v>1</v>
      </c>
      <c r="J573" s="658" t="s">
        <v>866</v>
      </c>
      <c r="K573" s="631">
        <v>1</v>
      </c>
      <c r="L573" s="631"/>
      <c r="M573" s="631"/>
      <c r="N573" s="666" t="s">
        <v>799</v>
      </c>
      <c r="O573" s="658">
        <f t="shared" si="36"/>
        <v>3.1500000000000004</v>
      </c>
      <c r="P573" s="657" t="s">
        <v>4</v>
      </c>
    </row>
    <row r="574" spans="1:16" x14ac:dyDescent="0.2">
      <c r="A574" s="736"/>
      <c r="B574" s="737"/>
      <c r="C574" s="933" t="s">
        <v>1597</v>
      </c>
      <c r="E574" s="661">
        <v>3.2</v>
      </c>
      <c r="F574" s="662" t="s">
        <v>866</v>
      </c>
      <c r="G574" s="631">
        <v>0.3</v>
      </c>
      <c r="H574" s="631" t="s">
        <v>866</v>
      </c>
      <c r="I574" s="631">
        <v>2</v>
      </c>
      <c r="J574" s="658" t="s">
        <v>866</v>
      </c>
      <c r="K574" s="631">
        <v>12</v>
      </c>
      <c r="L574" s="631"/>
      <c r="M574" s="631"/>
      <c r="N574" s="666" t="s">
        <v>799</v>
      </c>
      <c r="O574" s="658">
        <f t="shared" si="36"/>
        <v>23.04</v>
      </c>
      <c r="P574" s="657" t="s">
        <v>4</v>
      </c>
    </row>
    <row r="575" spans="1:16" x14ac:dyDescent="0.2">
      <c r="A575" s="736"/>
      <c r="B575" s="737"/>
      <c r="C575" s="933" t="s">
        <v>1598</v>
      </c>
      <c r="E575" s="661">
        <v>16.3</v>
      </c>
      <c r="F575" s="662" t="s">
        <v>866</v>
      </c>
      <c r="G575" s="631">
        <v>0.3</v>
      </c>
      <c r="H575" s="631" t="s">
        <v>866</v>
      </c>
      <c r="I575" s="631">
        <v>2</v>
      </c>
      <c r="J575" s="658" t="s">
        <v>866</v>
      </c>
      <c r="K575" s="631">
        <v>3</v>
      </c>
      <c r="L575" s="631"/>
      <c r="M575" s="631"/>
      <c r="N575" s="666" t="s">
        <v>799</v>
      </c>
      <c r="O575" s="658">
        <f t="shared" si="36"/>
        <v>29.339999999999996</v>
      </c>
      <c r="P575" s="657" t="s">
        <v>4</v>
      </c>
    </row>
    <row r="576" spans="1:16" x14ac:dyDescent="0.2">
      <c r="A576" s="736"/>
      <c r="B576" s="737"/>
      <c r="C576" s="665"/>
      <c r="E576" s="661">
        <v>3.7</v>
      </c>
      <c r="F576" s="662" t="s">
        <v>866</v>
      </c>
      <c r="G576" s="631">
        <v>0.3</v>
      </c>
      <c r="H576" s="631" t="s">
        <v>866</v>
      </c>
      <c r="I576" s="631">
        <v>2</v>
      </c>
      <c r="J576" s="658" t="s">
        <v>866</v>
      </c>
      <c r="K576" s="631">
        <v>1</v>
      </c>
      <c r="L576" s="631"/>
      <c r="M576" s="631"/>
      <c r="N576" s="666" t="s">
        <v>799</v>
      </c>
      <c r="O576" s="658">
        <f t="shared" si="36"/>
        <v>2.2200000000000002</v>
      </c>
      <c r="P576" s="657" t="s">
        <v>4</v>
      </c>
    </row>
    <row r="577" spans="1:16" x14ac:dyDescent="0.2">
      <c r="A577" s="736"/>
      <c r="B577" s="737"/>
      <c r="C577" s="665" t="s">
        <v>1595</v>
      </c>
      <c r="E577" s="661">
        <v>3</v>
      </c>
      <c r="F577" s="662" t="s">
        <v>866</v>
      </c>
      <c r="G577" s="631">
        <v>0.3</v>
      </c>
      <c r="H577" s="631" t="s">
        <v>866</v>
      </c>
      <c r="I577" s="631">
        <v>2</v>
      </c>
      <c r="J577" s="658" t="s">
        <v>866</v>
      </c>
      <c r="K577" s="631">
        <v>15</v>
      </c>
      <c r="L577" s="631"/>
      <c r="M577" s="631"/>
      <c r="N577" s="666" t="s">
        <v>799</v>
      </c>
      <c r="O577" s="658">
        <f t="shared" si="36"/>
        <v>26.999999999999996</v>
      </c>
      <c r="P577" s="657" t="s">
        <v>4</v>
      </c>
    </row>
    <row r="578" spans="1:16" x14ac:dyDescent="0.2">
      <c r="A578" s="736"/>
      <c r="B578" s="737"/>
      <c r="C578" s="665" t="s">
        <v>1596</v>
      </c>
      <c r="E578" s="661">
        <v>3</v>
      </c>
      <c r="F578" s="662" t="s">
        <v>866</v>
      </c>
      <c r="G578" s="631">
        <v>0.3</v>
      </c>
      <c r="H578" s="631" t="s">
        <v>866</v>
      </c>
      <c r="I578" s="631">
        <v>2</v>
      </c>
      <c r="J578" s="658" t="s">
        <v>866</v>
      </c>
      <c r="K578" s="631">
        <v>10</v>
      </c>
      <c r="L578" s="631"/>
      <c r="M578" s="631"/>
      <c r="N578" s="666" t="s">
        <v>799</v>
      </c>
      <c r="O578" s="658">
        <f>E578*G578*I578*K578</f>
        <v>18</v>
      </c>
      <c r="P578" s="657" t="s">
        <v>4</v>
      </c>
    </row>
    <row r="579" spans="1:16" x14ac:dyDescent="0.2">
      <c r="A579" s="736"/>
      <c r="B579" s="737"/>
      <c r="C579" s="665" t="s">
        <v>1609</v>
      </c>
      <c r="F579" s="662"/>
      <c r="G579" s="631"/>
      <c r="H579" s="631"/>
      <c r="I579" s="631"/>
      <c r="J579" s="658"/>
      <c r="K579" s="631"/>
      <c r="L579" s="631"/>
      <c r="M579" s="631">
        <f>$O$515</f>
        <v>20.3</v>
      </c>
      <c r="N579" s="666" t="s">
        <v>799</v>
      </c>
      <c r="O579" s="658">
        <f>M579*-1</f>
        <v>-20.3</v>
      </c>
      <c r="P579" s="657" t="s">
        <v>4</v>
      </c>
    </row>
    <row r="580" spans="1:16" x14ac:dyDescent="0.2">
      <c r="A580" s="736"/>
      <c r="B580" s="737"/>
      <c r="C580" s="665" t="s">
        <v>1607</v>
      </c>
      <c r="F580" s="662"/>
      <c r="G580" s="631"/>
      <c r="H580" s="631"/>
      <c r="I580" s="631"/>
      <c r="J580" s="658"/>
      <c r="K580" s="631"/>
      <c r="L580" s="631"/>
      <c r="M580" s="631">
        <f>$O$525</f>
        <v>34.07</v>
      </c>
      <c r="N580" s="666" t="s">
        <v>799</v>
      </c>
      <c r="O580" s="658">
        <f>M580*-1</f>
        <v>-34.07</v>
      </c>
      <c r="P580" s="657" t="s">
        <v>4</v>
      </c>
    </row>
    <row r="581" spans="1:16" ht="13.5" thickBot="1" x14ac:dyDescent="0.25">
      <c r="A581" s="736"/>
      <c r="B581" s="737"/>
      <c r="C581" s="665" t="s">
        <v>1615</v>
      </c>
      <c r="F581" s="662"/>
      <c r="G581" s="631"/>
      <c r="H581" s="631"/>
      <c r="I581" s="631"/>
      <c r="J581" s="658"/>
      <c r="K581" s="631"/>
      <c r="L581" s="631"/>
      <c r="M581" s="631">
        <f>$O$465</f>
        <v>67.75</v>
      </c>
      <c r="N581" s="666" t="s">
        <v>799</v>
      </c>
      <c r="O581" s="658">
        <f>M581*-1</f>
        <v>-67.75</v>
      </c>
      <c r="P581" s="657" t="s">
        <v>4</v>
      </c>
    </row>
    <row r="582" spans="1:16" ht="13.5" thickBot="1" x14ac:dyDescent="0.25">
      <c r="A582" s="736"/>
      <c r="B582" s="737"/>
      <c r="C582" s="667"/>
      <c r="F582" s="666"/>
      <c r="G582" s="631"/>
      <c r="H582" s="631"/>
      <c r="I582" s="631"/>
      <c r="J582" s="631"/>
      <c r="K582" s="631"/>
      <c r="L582" s="631"/>
      <c r="M582" s="631"/>
      <c r="N582" s="666"/>
      <c r="O582" s="668">
        <f>ROUND((SUM(O565:O581)),2)</f>
        <v>224.41</v>
      </c>
      <c r="P582" s="669" t="s">
        <v>4</v>
      </c>
    </row>
    <row r="583" spans="1:16" ht="40.5" customHeight="1" x14ac:dyDescent="0.2">
      <c r="A583" s="734" t="s">
        <v>0</v>
      </c>
      <c r="B583" s="735" t="s">
        <v>1274</v>
      </c>
      <c r="C583" s="751" t="e">
        <f>#REF!</f>
        <v>#REF!</v>
      </c>
      <c r="D583" s="662" t="s">
        <v>799</v>
      </c>
      <c r="E583" s="663" t="s">
        <v>628</v>
      </c>
      <c r="F583" s="633"/>
      <c r="G583" s="664"/>
      <c r="H583" s="664"/>
      <c r="I583" s="664"/>
      <c r="J583" s="664"/>
      <c r="K583" s="664"/>
      <c r="L583" s="664"/>
      <c r="M583" s="664"/>
      <c r="O583" s="631"/>
    </row>
    <row r="584" spans="1:16" x14ac:dyDescent="0.2">
      <c r="A584" s="736"/>
      <c r="B584" s="737"/>
      <c r="C584" s="665" t="s">
        <v>1599</v>
      </c>
      <c r="E584" s="661">
        <v>2</v>
      </c>
      <c r="F584" s="662"/>
      <c r="G584" s="631"/>
      <c r="H584" s="631"/>
      <c r="I584" s="631"/>
      <c r="J584" s="658"/>
      <c r="K584" s="631"/>
      <c r="L584" s="631"/>
      <c r="M584" s="631"/>
      <c r="N584" s="666" t="s">
        <v>799</v>
      </c>
      <c r="O584" s="658">
        <f>E584</f>
        <v>2</v>
      </c>
      <c r="P584" s="657" t="s">
        <v>2</v>
      </c>
    </row>
    <row r="585" spans="1:16" x14ac:dyDescent="0.2">
      <c r="A585" s="736"/>
      <c r="B585" s="737"/>
      <c r="C585" s="665" t="s">
        <v>1600</v>
      </c>
      <c r="E585" s="661">
        <v>3</v>
      </c>
      <c r="F585" s="662"/>
      <c r="G585" s="631"/>
      <c r="H585" s="631"/>
      <c r="I585" s="631"/>
      <c r="J585" s="658"/>
      <c r="K585" s="631"/>
      <c r="L585" s="631"/>
      <c r="M585" s="631"/>
      <c r="N585" s="666" t="s">
        <v>799</v>
      </c>
      <c r="O585" s="658">
        <f t="shared" ref="O585:O591" si="37">E585</f>
        <v>3</v>
      </c>
      <c r="P585" s="657" t="s">
        <v>2</v>
      </c>
    </row>
    <row r="586" spans="1:16" x14ac:dyDescent="0.2">
      <c r="A586" s="736"/>
      <c r="B586" s="737"/>
      <c r="C586" s="665" t="s">
        <v>1601</v>
      </c>
      <c r="E586" s="661">
        <v>2</v>
      </c>
      <c r="F586" s="662"/>
      <c r="G586" s="631"/>
      <c r="H586" s="631"/>
      <c r="I586" s="631"/>
      <c r="J586" s="658"/>
      <c r="K586" s="631"/>
      <c r="L586" s="631"/>
      <c r="M586" s="631"/>
      <c r="N586" s="666" t="s">
        <v>799</v>
      </c>
      <c r="O586" s="658">
        <f t="shared" si="37"/>
        <v>2</v>
      </c>
      <c r="P586" s="657" t="s">
        <v>2</v>
      </c>
    </row>
    <row r="587" spans="1:16" x14ac:dyDescent="0.2">
      <c r="A587" s="736"/>
      <c r="B587" s="737"/>
      <c r="C587" s="665" t="s">
        <v>1602</v>
      </c>
      <c r="E587" s="661">
        <v>2</v>
      </c>
      <c r="F587" s="662"/>
      <c r="G587" s="631"/>
      <c r="H587" s="631"/>
      <c r="I587" s="631"/>
      <c r="J587" s="658"/>
      <c r="K587" s="631"/>
      <c r="L587" s="631"/>
      <c r="M587" s="631"/>
      <c r="N587" s="666" t="s">
        <v>799</v>
      </c>
      <c r="O587" s="658">
        <f t="shared" si="37"/>
        <v>2</v>
      </c>
      <c r="P587" s="657" t="s">
        <v>2</v>
      </c>
    </row>
    <row r="588" spans="1:16" x14ac:dyDescent="0.2">
      <c r="A588" s="736"/>
      <c r="B588" s="737"/>
      <c r="C588" s="665" t="s">
        <v>1603</v>
      </c>
      <c r="E588" s="661">
        <v>2</v>
      </c>
      <c r="F588" s="662"/>
      <c r="G588" s="631"/>
      <c r="H588" s="631"/>
      <c r="I588" s="631"/>
      <c r="J588" s="658"/>
      <c r="K588" s="631"/>
      <c r="L588" s="631"/>
      <c r="M588" s="631"/>
      <c r="N588" s="666" t="s">
        <v>799</v>
      </c>
      <c r="O588" s="658">
        <f t="shared" si="37"/>
        <v>2</v>
      </c>
      <c r="P588" s="657" t="s">
        <v>2</v>
      </c>
    </row>
    <row r="589" spans="1:16" x14ac:dyDescent="0.2">
      <c r="A589" s="736"/>
      <c r="B589" s="737"/>
      <c r="C589" s="665" t="s">
        <v>1610</v>
      </c>
      <c r="E589" s="661">
        <v>1</v>
      </c>
      <c r="F589" s="662"/>
      <c r="G589" s="631"/>
      <c r="H589" s="631"/>
      <c r="I589" s="631"/>
      <c r="J589" s="658"/>
      <c r="K589" s="631"/>
      <c r="L589" s="631"/>
      <c r="M589" s="631"/>
      <c r="N589" s="666" t="s">
        <v>799</v>
      </c>
      <c r="O589" s="658">
        <f t="shared" si="37"/>
        <v>1</v>
      </c>
      <c r="P589" s="657" t="s">
        <v>2</v>
      </c>
    </row>
    <row r="590" spans="1:16" x14ac:dyDescent="0.2">
      <c r="A590" s="736"/>
      <c r="B590" s="737"/>
      <c r="C590" s="665" t="s">
        <v>899</v>
      </c>
      <c r="E590" s="661">
        <v>2</v>
      </c>
      <c r="F590" s="662"/>
      <c r="G590" s="631"/>
      <c r="H590" s="631"/>
      <c r="I590" s="631"/>
      <c r="J590" s="658"/>
      <c r="K590" s="631"/>
      <c r="L590" s="631"/>
      <c r="M590" s="631"/>
      <c r="N590" s="666" t="s">
        <v>799</v>
      </c>
      <c r="O590" s="658">
        <f t="shared" si="37"/>
        <v>2</v>
      </c>
      <c r="P590" s="657" t="s">
        <v>2</v>
      </c>
    </row>
    <row r="591" spans="1:16" ht="13.5" thickBot="1" x14ac:dyDescent="0.25">
      <c r="A591" s="736"/>
      <c r="B591" s="737"/>
      <c r="C591" s="665" t="s">
        <v>1611</v>
      </c>
      <c r="E591" s="661">
        <v>1</v>
      </c>
      <c r="F591" s="662"/>
      <c r="G591" s="631"/>
      <c r="H591" s="631"/>
      <c r="I591" s="631"/>
      <c r="J591" s="658"/>
      <c r="K591" s="631"/>
      <c r="L591" s="631"/>
      <c r="M591" s="631"/>
      <c r="N591" s="666" t="s">
        <v>799</v>
      </c>
      <c r="O591" s="658">
        <f t="shared" si="37"/>
        <v>1</v>
      </c>
      <c r="P591" s="657" t="s">
        <v>2</v>
      </c>
    </row>
    <row r="592" spans="1:16" ht="13.5" thickBot="1" x14ac:dyDescent="0.25">
      <c r="A592" s="736"/>
      <c r="B592" s="737"/>
      <c r="C592" s="667"/>
      <c r="F592" s="666"/>
      <c r="G592" s="631"/>
      <c r="H592" s="631"/>
      <c r="I592" s="631"/>
      <c r="J592" s="631"/>
      <c r="K592" s="631"/>
      <c r="L592" s="631"/>
      <c r="M592" s="631"/>
      <c r="N592" s="666"/>
      <c r="O592" s="668">
        <f>ROUND((SUM(O584:O591)),2)</f>
        <v>15</v>
      </c>
      <c r="P592" s="669" t="s">
        <v>2</v>
      </c>
    </row>
    <row r="593" spans="1:16" ht="30" customHeight="1" x14ac:dyDescent="0.2">
      <c r="A593" s="734" t="s">
        <v>0</v>
      </c>
      <c r="B593" s="735" t="s">
        <v>1275</v>
      </c>
      <c r="C593" s="678" t="e">
        <f>#REF!</f>
        <v>#REF!</v>
      </c>
      <c r="D593" s="662" t="s">
        <v>799</v>
      </c>
      <c r="E593" s="663" t="s">
        <v>628</v>
      </c>
      <c r="F593" s="633"/>
      <c r="G593" s="664"/>
      <c r="H593" s="664"/>
      <c r="I593" s="664"/>
      <c r="J593" s="664"/>
      <c r="K593" s="664"/>
      <c r="L593" s="664"/>
      <c r="M593" s="664"/>
      <c r="O593" s="631"/>
    </row>
    <row r="594" spans="1:16" ht="13.5" thickBot="1" x14ac:dyDescent="0.25">
      <c r="A594" s="736"/>
      <c r="B594" s="737"/>
      <c r="C594" s="665" t="s">
        <v>1616</v>
      </c>
      <c r="E594" s="661">
        <v>48</v>
      </c>
      <c r="F594" s="662"/>
      <c r="G594" s="631"/>
      <c r="H594" s="631"/>
      <c r="I594" s="631"/>
      <c r="J594" s="658"/>
      <c r="K594" s="631"/>
      <c r="L594" s="631"/>
      <c r="M594" s="631"/>
      <c r="N594" s="666" t="s">
        <v>799</v>
      </c>
      <c r="O594" s="658">
        <f>E594</f>
        <v>48</v>
      </c>
      <c r="P594" s="657" t="s">
        <v>6</v>
      </c>
    </row>
    <row r="595" spans="1:16" ht="13.5" thickBot="1" x14ac:dyDescent="0.25">
      <c r="A595" s="736"/>
      <c r="B595" s="737"/>
      <c r="C595" s="667"/>
      <c r="F595" s="666"/>
      <c r="G595" s="631"/>
      <c r="H595" s="631"/>
      <c r="I595" s="631"/>
      <c r="J595" s="631"/>
      <c r="K595" s="631"/>
      <c r="L595" s="631"/>
      <c r="M595" s="631"/>
      <c r="N595" s="666"/>
      <c r="O595" s="668">
        <f>ROUND((SUM(O594:O594)),2)</f>
        <v>48</v>
      </c>
      <c r="P595" s="669" t="s">
        <v>6</v>
      </c>
    </row>
    <row r="596" spans="1:16" ht="30" customHeight="1" x14ac:dyDescent="0.2">
      <c r="A596" s="734" t="s">
        <v>0</v>
      </c>
      <c r="B596" s="735" t="s">
        <v>1276</v>
      </c>
      <c r="C596" s="678" t="e">
        <f>#REF!</f>
        <v>#REF!</v>
      </c>
      <c r="D596" s="662" t="s">
        <v>799</v>
      </c>
      <c r="E596" s="663" t="s">
        <v>628</v>
      </c>
      <c r="F596" s="633"/>
      <c r="G596" s="664"/>
      <c r="H596" s="664"/>
      <c r="I596" s="664"/>
      <c r="J596" s="664"/>
      <c r="K596" s="664"/>
      <c r="L596" s="664"/>
      <c r="M596" s="664"/>
      <c r="O596" s="631"/>
    </row>
    <row r="597" spans="1:16" x14ac:dyDescent="0.2">
      <c r="A597" s="736"/>
      <c r="B597" s="737"/>
      <c r="C597" s="665" t="s">
        <v>1600</v>
      </c>
      <c r="E597" s="661">
        <v>2</v>
      </c>
      <c r="F597" s="662"/>
      <c r="G597" s="631"/>
      <c r="H597" s="631"/>
      <c r="I597" s="631"/>
      <c r="J597" s="658"/>
      <c r="K597" s="631"/>
      <c r="L597" s="631"/>
      <c r="M597" s="631"/>
      <c r="N597" s="666" t="s">
        <v>799</v>
      </c>
      <c r="O597" s="658">
        <f>E597</f>
        <v>2</v>
      </c>
      <c r="P597" s="657" t="s">
        <v>2</v>
      </c>
    </row>
    <row r="598" spans="1:16" x14ac:dyDescent="0.2">
      <c r="A598" s="736"/>
      <c r="B598" s="737"/>
      <c r="C598" s="665" t="s">
        <v>1611</v>
      </c>
      <c r="E598" s="661">
        <v>1</v>
      </c>
      <c r="F598" s="662"/>
      <c r="G598" s="631"/>
      <c r="H598" s="631"/>
      <c r="I598" s="631"/>
      <c r="J598" s="658"/>
      <c r="K598" s="631"/>
      <c r="L598" s="631"/>
      <c r="M598" s="631"/>
      <c r="N598" s="666" t="s">
        <v>799</v>
      </c>
      <c r="O598" s="658">
        <f t="shared" ref="O598:O600" si="38">E598</f>
        <v>1</v>
      </c>
      <c r="P598" s="657" t="s">
        <v>2</v>
      </c>
    </row>
    <row r="599" spans="1:16" x14ac:dyDescent="0.2">
      <c r="A599" s="736"/>
      <c r="B599" s="737"/>
      <c r="C599" s="665" t="s">
        <v>1603</v>
      </c>
      <c r="E599" s="661">
        <v>1</v>
      </c>
      <c r="F599" s="662"/>
      <c r="G599" s="631"/>
      <c r="H599" s="631"/>
      <c r="I599" s="631"/>
      <c r="J599" s="658"/>
      <c r="K599" s="631"/>
      <c r="L599" s="631"/>
      <c r="M599" s="631"/>
      <c r="N599" s="666" t="s">
        <v>799</v>
      </c>
      <c r="O599" s="658">
        <f t="shared" si="38"/>
        <v>1</v>
      </c>
      <c r="P599" s="657" t="s">
        <v>2</v>
      </c>
    </row>
    <row r="600" spans="1:16" ht="13.5" thickBot="1" x14ac:dyDescent="0.25">
      <c r="A600" s="736"/>
      <c r="B600" s="737"/>
      <c r="C600" s="665" t="s">
        <v>1602</v>
      </c>
      <c r="E600" s="661">
        <v>1</v>
      </c>
      <c r="F600" s="662"/>
      <c r="G600" s="631"/>
      <c r="H600" s="631"/>
      <c r="I600" s="631"/>
      <c r="J600" s="658"/>
      <c r="K600" s="631"/>
      <c r="L600" s="631"/>
      <c r="M600" s="631"/>
      <c r="N600" s="666" t="s">
        <v>799</v>
      </c>
      <c r="O600" s="658">
        <f t="shared" si="38"/>
        <v>1</v>
      </c>
      <c r="P600" s="657" t="s">
        <v>2</v>
      </c>
    </row>
    <row r="601" spans="1:16" ht="13.5" thickBot="1" x14ac:dyDescent="0.25">
      <c r="A601" s="736"/>
      <c r="B601" s="737"/>
      <c r="C601" s="667"/>
      <c r="F601" s="666"/>
      <c r="G601" s="631"/>
      <c r="H601" s="631"/>
      <c r="I601" s="631"/>
      <c r="J601" s="631"/>
      <c r="K601" s="631"/>
      <c r="L601" s="631"/>
      <c r="M601" s="631"/>
      <c r="N601" s="666"/>
      <c r="O601" s="668">
        <f>ROUND((SUM(O597:O600)),2)</f>
        <v>5</v>
      </c>
      <c r="P601" s="669" t="s">
        <v>2</v>
      </c>
    </row>
    <row r="602" spans="1:16" x14ac:dyDescent="0.2">
      <c r="A602" s="734" t="s">
        <v>0</v>
      </c>
      <c r="B602" s="735" t="s">
        <v>1277</v>
      </c>
      <c r="C602" s="678" t="e">
        <f>#REF!</f>
        <v>#REF!</v>
      </c>
      <c r="D602" s="662" t="s">
        <v>799</v>
      </c>
      <c r="E602" s="663" t="s">
        <v>628</v>
      </c>
      <c r="F602" s="633"/>
      <c r="G602" s="664"/>
      <c r="H602" s="664"/>
      <c r="I602" s="664"/>
      <c r="J602" s="664"/>
      <c r="K602" s="664"/>
      <c r="L602" s="664"/>
      <c r="M602" s="664"/>
      <c r="O602" s="631"/>
    </row>
    <row r="603" spans="1:16" ht="13.5" thickBot="1" x14ac:dyDescent="0.25">
      <c r="A603" s="736"/>
      <c r="B603" s="737"/>
      <c r="C603" s="665" t="s">
        <v>1611</v>
      </c>
      <c r="E603" s="661">
        <v>1</v>
      </c>
      <c r="F603" s="662"/>
      <c r="G603" s="631"/>
      <c r="H603" s="631"/>
      <c r="I603" s="631"/>
      <c r="J603" s="658"/>
      <c r="K603" s="631"/>
      <c r="L603" s="631"/>
      <c r="M603" s="631"/>
      <c r="N603" s="666" t="s">
        <v>799</v>
      </c>
      <c r="O603" s="658">
        <f>E603</f>
        <v>1</v>
      </c>
      <c r="P603" s="657" t="s">
        <v>2</v>
      </c>
    </row>
    <row r="604" spans="1:16" ht="13.5" thickBot="1" x14ac:dyDescent="0.25">
      <c r="A604" s="736"/>
      <c r="B604" s="737"/>
      <c r="C604" s="667"/>
      <c r="F604" s="666"/>
      <c r="G604" s="631"/>
      <c r="H604" s="631"/>
      <c r="I604" s="631"/>
      <c r="J604" s="631"/>
      <c r="K604" s="631"/>
      <c r="L604" s="631"/>
      <c r="M604" s="631"/>
      <c r="N604" s="666"/>
      <c r="O604" s="668">
        <f>ROUND((SUM(O603:O603)),2)</f>
        <v>1</v>
      </c>
      <c r="P604" s="669" t="s">
        <v>2</v>
      </c>
    </row>
    <row r="605" spans="1:16" ht="37.5" customHeight="1" x14ac:dyDescent="0.2">
      <c r="A605" s="734" t="s">
        <v>0</v>
      </c>
      <c r="B605" s="735" t="s">
        <v>1278</v>
      </c>
      <c r="C605" s="678" t="e">
        <f>#REF!</f>
        <v>#REF!</v>
      </c>
      <c r="D605" s="662" t="s">
        <v>799</v>
      </c>
      <c r="E605" s="663" t="s">
        <v>628</v>
      </c>
      <c r="F605" s="633"/>
      <c r="G605" s="664"/>
      <c r="H605" s="664"/>
      <c r="I605" s="664"/>
      <c r="J605" s="664"/>
      <c r="K605" s="664"/>
      <c r="L605" s="664"/>
      <c r="M605" s="664"/>
      <c r="O605" s="631"/>
    </row>
    <row r="606" spans="1:16" x14ac:dyDescent="0.2">
      <c r="A606" s="736"/>
      <c r="B606" s="737"/>
      <c r="C606" s="665" t="s">
        <v>1599</v>
      </c>
      <c r="E606" s="661">
        <v>1</v>
      </c>
      <c r="F606" s="662"/>
      <c r="G606" s="631"/>
      <c r="H606" s="631"/>
      <c r="I606" s="631"/>
      <c r="J606" s="658"/>
      <c r="K606" s="631"/>
      <c r="L606" s="631"/>
      <c r="M606" s="631"/>
      <c r="N606" s="666" t="s">
        <v>799</v>
      </c>
      <c r="O606" s="658">
        <f>E606</f>
        <v>1</v>
      </c>
      <c r="P606" s="657" t="s">
        <v>2</v>
      </c>
    </row>
    <row r="607" spans="1:16" x14ac:dyDescent="0.2">
      <c r="A607" s="736"/>
      <c r="B607" s="737"/>
      <c r="C607" s="665" t="s">
        <v>1600</v>
      </c>
      <c r="E607" s="661">
        <v>1</v>
      </c>
      <c r="F607" s="662"/>
      <c r="G607" s="631"/>
      <c r="H607" s="631"/>
      <c r="I607" s="631"/>
      <c r="J607" s="658"/>
      <c r="K607" s="631"/>
      <c r="L607" s="631"/>
      <c r="M607" s="631"/>
      <c r="N607" s="666" t="s">
        <v>799</v>
      </c>
      <c r="O607" s="658">
        <f t="shared" ref="O607:O612" si="39">E607</f>
        <v>1</v>
      </c>
      <c r="P607" s="657" t="s">
        <v>2</v>
      </c>
    </row>
    <row r="608" spans="1:16" x14ac:dyDescent="0.2">
      <c r="A608" s="736"/>
      <c r="B608" s="737"/>
      <c r="C608" s="665" t="s">
        <v>1601</v>
      </c>
      <c r="E608" s="661">
        <v>1</v>
      </c>
      <c r="F608" s="662"/>
      <c r="G608" s="631"/>
      <c r="H608" s="631"/>
      <c r="I608" s="631"/>
      <c r="J608" s="658"/>
      <c r="K608" s="631"/>
      <c r="L608" s="631"/>
      <c r="M608" s="631"/>
      <c r="N608" s="666" t="s">
        <v>799</v>
      </c>
      <c r="O608" s="658">
        <f t="shared" si="39"/>
        <v>1</v>
      </c>
      <c r="P608" s="657" t="s">
        <v>2</v>
      </c>
    </row>
    <row r="609" spans="1:16" x14ac:dyDescent="0.2">
      <c r="A609" s="736"/>
      <c r="B609" s="737"/>
      <c r="C609" s="665" t="s">
        <v>1602</v>
      </c>
      <c r="E609" s="661">
        <v>1</v>
      </c>
      <c r="F609" s="662"/>
      <c r="G609" s="631"/>
      <c r="H609" s="631"/>
      <c r="I609" s="631"/>
      <c r="J609" s="658"/>
      <c r="K609" s="631"/>
      <c r="L609" s="631"/>
      <c r="M609" s="631"/>
      <c r="N609" s="666" t="s">
        <v>799</v>
      </c>
      <c r="O609" s="658">
        <f t="shared" si="39"/>
        <v>1</v>
      </c>
      <c r="P609" s="657" t="s">
        <v>2</v>
      </c>
    </row>
    <row r="610" spans="1:16" x14ac:dyDescent="0.2">
      <c r="A610" s="736"/>
      <c r="B610" s="737"/>
      <c r="C610" s="665" t="s">
        <v>1603</v>
      </c>
      <c r="E610" s="661">
        <v>1</v>
      </c>
      <c r="F610" s="662"/>
      <c r="G610" s="631"/>
      <c r="H610" s="631"/>
      <c r="I610" s="631"/>
      <c r="J610" s="658"/>
      <c r="K610" s="631"/>
      <c r="L610" s="631"/>
      <c r="M610" s="631"/>
      <c r="N610" s="666" t="s">
        <v>799</v>
      </c>
      <c r="O610" s="658">
        <f t="shared" si="39"/>
        <v>1</v>
      </c>
      <c r="P610" s="657" t="s">
        <v>2</v>
      </c>
    </row>
    <row r="611" spans="1:16" x14ac:dyDescent="0.2">
      <c r="A611" s="736"/>
      <c r="B611" s="737"/>
      <c r="C611" s="665" t="s">
        <v>1610</v>
      </c>
      <c r="E611" s="661">
        <v>1</v>
      </c>
      <c r="F611" s="662"/>
      <c r="G611" s="631"/>
      <c r="H611" s="631"/>
      <c r="I611" s="631"/>
      <c r="J611" s="658"/>
      <c r="K611" s="631"/>
      <c r="L611" s="631"/>
      <c r="M611" s="631"/>
      <c r="N611" s="666" t="s">
        <v>799</v>
      </c>
      <c r="O611" s="658">
        <f t="shared" si="39"/>
        <v>1</v>
      </c>
      <c r="P611" s="657" t="s">
        <v>2</v>
      </c>
    </row>
    <row r="612" spans="1:16" ht="13.5" thickBot="1" x14ac:dyDescent="0.25">
      <c r="A612" s="736"/>
      <c r="B612" s="737"/>
      <c r="C612" s="665" t="s">
        <v>899</v>
      </c>
      <c r="E612" s="661">
        <v>2</v>
      </c>
      <c r="F612" s="662"/>
      <c r="G612" s="631"/>
      <c r="H612" s="631"/>
      <c r="I612" s="631"/>
      <c r="J612" s="658"/>
      <c r="K612" s="631"/>
      <c r="L612" s="631"/>
      <c r="M612" s="631"/>
      <c r="N612" s="666" t="s">
        <v>799</v>
      </c>
      <c r="O612" s="658">
        <f t="shared" si="39"/>
        <v>2</v>
      </c>
      <c r="P612" s="657" t="s">
        <v>2</v>
      </c>
    </row>
    <row r="613" spans="1:16" ht="13.5" thickBot="1" x14ac:dyDescent="0.25">
      <c r="A613" s="736"/>
      <c r="B613" s="737"/>
      <c r="C613" s="667"/>
      <c r="F613" s="666"/>
      <c r="G613" s="631"/>
      <c r="H613" s="631"/>
      <c r="I613" s="631"/>
      <c r="J613" s="631"/>
      <c r="K613" s="631"/>
      <c r="L613" s="631"/>
      <c r="M613" s="631"/>
      <c r="N613" s="666"/>
      <c r="O613" s="668">
        <f>ROUND((SUM(O606:O612)),2)</f>
        <v>8</v>
      </c>
      <c r="P613" s="669" t="s">
        <v>2</v>
      </c>
    </row>
    <row r="614" spans="1:16" ht="37.5" customHeight="1" x14ac:dyDescent="0.2">
      <c r="A614" s="734" t="s">
        <v>0</v>
      </c>
      <c r="B614" s="735" t="s">
        <v>1279</v>
      </c>
      <c r="C614" s="678" t="e">
        <f>#REF!</f>
        <v>#REF!</v>
      </c>
      <c r="D614" s="662" t="s">
        <v>799</v>
      </c>
      <c r="E614" s="663" t="s">
        <v>628</v>
      </c>
      <c r="F614" s="633"/>
      <c r="G614" s="664"/>
      <c r="H614" s="664"/>
      <c r="I614" s="664"/>
      <c r="J614" s="664"/>
      <c r="K614" s="664"/>
      <c r="L614" s="664"/>
      <c r="M614" s="664"/>
      <c r="O614" s="631"/>
    </row>
    <row r="615" spans="1:16" x14ac:dyDescent="0.2">
      <c r="A615" s="736"/>
      <c r="B615" s="737"/>
      <c r="C615" s="665" t="s">
        <v>1599</v>
      </c>
      <c r="E615" s="661">
        <v>1</v>
      </c>
      <c r="F615" s="662"/>
      <c r="G615" s="631"/>
      <c r="H615" s="631"/>
      <c r="I615" s="631"/>
      <c r="J615" s="658"/>
      <c r="K615" s="631"/>
      <c r="L615" s="631"/>
      <c r="M615" s="631"/>
      <c r="N615" s="666" t="s">
        <v>799</v>
      </c>
      <c r="O615" s="658">
        <f>E615</f>
        <v>1</v>
      </c>
      <c r="P615" s="657" t="s">
        <v>2</v>
      </c>
    </row>
    <row r="616" spans="1:16" x14ac:dyDescent="0.2">
      <c r="A616" s="736"/>
      <c r="B616" s="737"/>
      <c r="C616" s="665" t="s">
        <v>1600</v>
      </c>
      <c r="E616" s="661">
        <v>2</v>
      </c>
      <c r="F616" s="662"/>
      <c r="G616" s="631"/>
      <c r="H616" s="631"/>
      <c r="I616" s="631"/>
      <c r="J616" s="658"/>
      <c r="K616" s="631"/>
      <c r="L616" s="631"/>
      <c r="M616" s="631"/>
      <c r="N616" s="666" t="s">
        <v>799</v>
      </c>
      <c r="O616" s="658">
        <f t="shared" ref="O616:O621" si="40">E616</f>
        <v>2</v>
      </c>
      <c r="P616" s="657" t="s">
        <v>2</v>
      </c>
    </row>
    <row r="617" spans="1:16" x14ac:dyDescent="0.2">
      <c r="A617" s="736"/>
      <c r="B617" s="737"/>
      <c r="C617" s="665" t="s">
        <v>1601</v>
      </c>
      <c r="E617" s="661">
        <v>1</v>
      </c>
      <c r="F617" s="662"/>
      <c r="G617" s="631"/>
      <c r="H617" s="631"/>
      <c r="I617" s="631"/>
      <c r="J617" s="658"/>
      <c r="K617" s="631"/>
      <c r="L617" s="631"/>
      <c r="M617" s="631"/>
      <c r="N617" s="666" t="s">
        <v>799</v>
      </c>
      <c r="O617" s="658">
        <f t="shared" si="40"/>
        <v>1</v>
      </c>
      <c r="P617" s="657" t="s">
        <v>2</v>
      </c>
    </row>
    <row r="618" spans="1:16" x14ac:dyDescent="0.2">
      <c r="A618" s="736"/>
      <c r="B618" s="737"/>
      <c r="C618" s="665" t="s">
        <v>1602</v>
      </c>
      <c r="E618" s="661">
        <v>1</v>
      </c>
      <c r="F618" s="662"/>
      <c r="G618" s="631"/>
      <c r="H618" s="631"/>
      <c r="I618" s="631"/>
      <c r="J618" s="658"/>
      <c r="K618" s="631"/>
      <c r="L618" s="631"/>
      <c r="M618" s="631"/>
      <c r="N618" s="666" t="s">
        <v>799</v>
      </c>
      <c r="O618" s="658">
        <f t="shared" si="40"/>
        <v>1</v>
      </c>
      <c r="P618" s="657" t="s">
        <v>2</v>
      </c>
    </row>
    <row r="619" spans="1:16" x14ac:dyDescent="0.2">
      <c r="A619" s="736"/>
      <c r="B619" s="737"/>
      <c r="C619" s="665" t="s">
        <v>1603</v>
      </c>
      <c r="E619" s="661">
        <v>1</v>
      </c>
      <c r="F619" s="662"/>
      <c r="G619" s="631"/>
      <c r="H619" s="631"/>
      <c r="I619" s="631"/>
      <c r="J619" s="658"/>
      <c r="K619" s="631"/>
      <c r="L619" s="631"/>
      <c r="M619" s="631"/>
      <c r="N619" s="666" t="s">
        <v>799</v>
      </c>
      <c r="O619" s="658">
        <f t="shared" si="40"/>
        <v>1</v>
      </c>
      <c r="P619" s="657" t="s">
        <v>2</v>
      </c>
    </row>
    <row r="620" spans="1:16" x14ac:dyDescent="0.2">
      <c r="A620" s="736"/>
      <c r="B620" s="737"/>
      <c r="C620" s="665" t="s">
        <v>899</v>
      </c>
      <c r="E620" s="661">
        <v>1</v>
      </c>
      <c r="F620" s="662"/>
      <c r="G620" s="631"/>
      <c r="H620" s="631"/>
      <c r="I620" s="631"/>
      <c r="J620" s="658"/>
      <c r="K620" s="631"/>
      <c r="L620" s="631"/>
      <c r="M620" s="631"/>
      <c r="N620" s="666" t="s">
        <v>799</v>
      </c>
      <c r="O620" s="658">
        <f t="shared" si="40"/>
        <v>1</v>
      </c>
      <c r="P620" s="657" t="s">
        <v>2</v>
      </c>
    </row>
    <row r="621" spans="1:16" ht="13.5" thickBot="1" x14ac:dyDescent="0.25">
      <c r="A621" s="736"/>
      <c r="B621" s="737"/>
      <c r="C621" s="665" t="s">
        <v>1611</v>
      </c>
      <c r="E621" s="661">
        <v>1</v>
      </c>
      <c r="F621" s="662"/>
      <c r="G621" s="631"/>
      <c r="H621" s="631"/>
      <c r="I621" s="631"/>
      <c r="J621" s="658"/>
      <c r="K621" s="631"/>
      <c r="L621" s="631"/>
      <c r="M621" s="631"/>
      <c r="N621" s="666" t="s">
        <v>799</v>
      </c>
      <c r="O621" s="658">
        <f t="shared" si="40"/>
        <v>1</v>
      </c>
      <c r="P621" s="657" t="s">
        <v>2</v>
      </c>
    </row>
    <row r="622" spans="1:16" ht="13.5" thickBot="1" x14ac:dyDescent="0.25">
      <c r="A622" s="736"/>
      <c r="B622" s="737"/>
      <c r="C622" s="667"/>
      <c r="F622" s="666"/>
      <c r="G622" s="631"/>
      <c r="H622" s="631"/>
      <c r="I622" s="631"/>
      <c r="J622" s="631"/>
      <c r="K622" s="631"/>
      <c r="L622" s="631"/>
      <c r="M622" s="631"/>
      <c r="N622" s="666"/>
      <c r="O622" s="668">
        <f>ROUND((SUM(O615:O621)),2)</f>
        <v>8</v>
      </c>
      <c r="P622" s="669" t="s">
        <v>2</v>
      </c>
    </row>
    <row r="623" spans="1:16" ht="32.25" customHeight="1" x14ac:dyDescent="0.2">
      <c r="A623" s="734" t="s">
        <v>0</v>
      </c>
      <c r="B623" s="735" t="s">
        <v>1280</v>
      </c>
      <c r="C623" s="678" t="e">
        <f>#REF!</f>
        <v>#REF!</v>
      </c>
      <c r="D623" s="662" t="s">
        <v>799</v>
      </c>
      <c r="E623" s="663" t="s">
        <v>628</v>
      </c>
      <c r="F623" s="633"/>
      <c r="G623" s="664"/>
      <c r="H623" s="664"/>
      <c r="I623" s="664"/>
      <c r="J623" s="664"/>
      <c r="K623" s="664"/>
      <c r="L623" s="664"/>
      <c r="M623" s="664"/>
      <c r="O623" s="631"/>
    </row>
    <row r="624" spans="1:16" x14ac:dyDescent="0.2">
      <c r="A624" s="736"/>
      <c r="B624" s="737"/>
      <c r="C624" s="665" t="s">
        <v>1599</v>
      </c>
      <c r="E624" s="661">
        <v>1</v>
      </c>
      <c r="F624" s="662"/>
      <c r="G624" s="631"/>
      <c r="H624" s="631"/>
      <c r="I624" s="631"/>
      <c r="J624" s="658"/>
      <c r="K624" s="631"/>
      <c r="L624" s="631"/>
      <c r="M624" s="631"/>
      <c r="N624" s="666" t="s">
        <v>799</v>
      </c>
      <c r="O624" s="658">
        <f>E624</f>
        <v>1</v>
      </c>
      <c r="P624" s="657" t="s">
        <v>2</v>
      </c>
    </row>
    <row r="625" spans="1:16" x14ac:dyDescent="0.2">
      <c r="A625" s="736"/>
      <c r="B625" s="737"/>
      <c r="C625" s="665" t="s">
        <v>1600</v>
      </c>
      <c r="E625" s="661">
        <v>1</v>
      </c>
      <c r="F625" s="662"/>
      <c r="G625" s="631"/>
      <c r="H625" s="631"/>
      <c r="I625" s="631"/>
      <c r="J625" s="658"/>
      <c r="K625" s="631"/>
      <c r="L625" s="631"/>
      <c r="M625" s="631"/>
      <c r="N625" s="666" t="s">
        <v>799</v>
      </c>
      <c r="O625" s="658">
        <f t="shared" ref="O625:O628" si="41">E625</f>
        <v>1</v>
      </c>
      <c r="P625" s="657" t="s">
        <v>2</v>
      </c>
    </row>
    <row r="626" spans="1:16" x14ac:dyDescent="0.2">
      <c r="A626" s="736"/>
      <c r="B626" s="737"/>
      <c r="C626" s="665" t="s">
        <v>1601</v>
      </c>
      <c r="E626" s="661">
        <v>1</v>
      </c>
      <c r="F626" s="662"/>
      <c r="G626" s="631"/>
      <c r="H626" s="631"/>
      <c r="I626" s="631"/>
      <c r="J626" s="658"/>
      <c r="K626" s="631"/>
      <c r="L626" s="631"/>
      <c r="M626" s="631"/>
      <c r="N626" s="666" t="s">
        <v>799</v>
      </c>
      <c r="O626" s="658">
        <f t="shared" si="41"/>
        <v>1</v>
      </c>
      <c r="P626" s="657" t="s">
        <v>2</v>
      </c>
    </row>
    <row r="627" spans="1:16" x14ac:dyDescent="0.2">
      <c r="A627" s="736"/>
      <c r="B627" s="737"/>
      <c r="C627" s="665" t="s">
        <v>1602</v>
      </c>
      <c r="E627" s="661">
        <v>1</v>
      </c>
      <c r="F627" s="662"/>
      <c r="G627" s="631"/>
      <c r="H627" s="631"/>
      <c r="I627" s="631"/>
      <c r="J627" s="658"/>
      <c r="K627" s="631"/>
      <c r="L627" s="631"/>
      <c r="M627" s="631"/>
      <c r="N627" s="666" t="s">
        <v>799</v>
      </c>
      <c r="O627" s="658">
        <f t="shared" si="41"/>
        <v>1</v>
      </c>
      <c r="P627" s="657" t="s">
        <v>2</v>
      </c>
    </row>
    <row r="628" spans="1:16" ht="13.5" thickBot="1" x14ac:dyDescent="0.25">
      <c r="A628" s="736"/>
      <c r="B628" s="737"/>
      <c r="C628" s="665" t="s">
        <v>1603</v>
      </c>
      <c r="E628" s="661">
        <v>1</v>
      </c>
      <c r="F628" s="662"/>
      <c r="G628" s="631"/>
      <c r="H628" s="631"/>
      <c r="I628" s="631"/>
      <c r="J628" s="658"/>
      <c r="K628" s="631"/>
      <c r="L628" s="631"/>
      <c r="M628" s="631"/>
      <c r="N628" s="666" t="s">
        <v>799</v>
      </c>
      <c r="O628" s="658">
        <f t="shared" si="41"/>
        <v>1</v>
      </c>
      <c r="P628" s="657" t="s">
        <v>2</v>
      </c>
    </row>
    <row r="629" spans="1:16" ht="13.5" thickBot="1" x14ac:dyDescent="0.25">
      <c r="A629" s="736"/>
      <c r="B629" s="737"/>
      <c r="C629" s="667"/>
      <c r="F629" s="666"/>
      <c r="G629" s="631"/>
      <c r="H629" s="631"/>
      <c r="I629" s="631"/>
      <c r="J629" s="631"/>
      <c r="K629" s="631"/>
      <c r="L629" s="631"/>
      <c r="M629" s="631"/>
      <c r="N629" s="666"/>
      <c r="O629" s="668">
        <f>ROUND((SUM(O624:O628)),2)</f>
        <v>5</v>
      </c>
      <c r="P629" s="669" t="s">
        <v>2</v>
      </c>
    </row>
    <row r="630" spans="1:16" ht="33" customHeight="1" x14ac:dyDescent="0.2">
      <c r="A630" s="734" t="s">
        <v>0</v>
      </c>
      <c r="B630" s="735" t="s">
        <v>1281</v>
      </c>
      <c r="C630" s="678" t="e">
        <f>#REF!</f>
        <v>#REF!</v>
      </c>
      <c r="D630" s="662" t="s">
        <v>799</v>
      </c>
      <c r="E630" s="663" t="s">
        <v>628</v>
      </c>
      <c r="F630" s="633"/>
      <c r="G630" s="664"/>
      <c r="H630" s="664"/>
      <c r="I630" s="664"/>
      <c r="J630" s="664"/>
      <c r="K630" s="664"/>
      <c r="L630" s="664"/>
      <c r="M630" s="664"/>
      <c r="O630" s="631"/>
    </row>
    <row r="631" spans="1:16" ht="13.5" thickBot="1" x14ac:dyDescent="0.25">
      <c r="A631" s="736"/>
      <c r="B631" s="737"/>
      <c r="C631" s="665" t="s">
        <v>1616</v>
      </c>
      <c r="E631" s="661">
        <v>18</v>
      </c>
      <c r="F631" s="662"/>
      <c r="G631" s="631"/>
      <c r="H631" s="631"/>
      <c r="I631" s="631"/>
      <c r="J631" s="658"/>
      <c r="K631" s="631"/>
      <c r="L631" s="631"/>
      <c r="M631" s="631"/>
      <c r="N631" s="666" t="s">
        <v>799</v>
      </c>
      <c r="O631" s="658">
        <f>E631</f>
        <v>18</v>
      </c>
      <c r="P631" s="657" t="s">
        <v>6</v>
      </c>
    </row>
    <row r="632" spans="1:16" ht="13.5" thickBot="1" x14ac:dyDescent="0.25">
      <c r="A632" s="736"/>
      <c r="B632" s="737"/>
      <c r="C632" s="667"/>
      <c r="F632" s="666"/>
      <c r="G632" s="631"/>
      <c r="H632" s="631"/>
      <c r="I632" s="631"/>
      <c r="J632" s="631"/>
      <c r="K632" s="631"/>
      <c r="L632" s="631"/>
      <c r="M632" s="631"/>
      <c r="N632" s="666"/>
      <c r="O632" s="668">
        <f>ROUND((SUM(O631:O631)),2)</f>
        <v>18</v>
      </c>
      <c r="P632" s="669" t="s">
        <v>6</v>
      </c>
    </row>
    <row r="633" spans="1:16" x14ac:dyDescent="0.2">
      <c r="A633" s="736"/>
      <c r="B633" s="737"/>
      <c r="C633" s="667"/>
      <c r="F633" s="666"/>
      <c r="G633" s="631"/>
      <c r="H633" s="631"/>
      <c r="I633" s="631"/>
      <c r="J633" s="631"/>
      <c r="K633" s="631"/>
      <c r="L633" s="631"/>
      <c r="M633" s="631"/>
      <c r="N633" s="666"/>
      <c r="O633" s="632"/>
      <c r="P633" s="633"/>
    </row>
    <row r="634" spans="1:16" ht="39" customHeight="1" x14ac:dyDescent="0.2">
      <c r="A634" s="734" t="s">
        <v>0</v>
      </c>
      <c r="B634" s="735" t="s">
        <v>1282</v>
      </c>
      <c r="C634" s="678" t="e">
        <f>#REF!</f>
        <v>#REF!</v>
      </c>
      <c r="D634" s="662" t="s">
        <v>799</v>
      </c>
      <c r="E634" s="663" t="s">
        <v>628</v>
      </c>
      <c r="F634" s="633"/>
      <c r="G634" s="664"/>
      <c r="H634" s="664"/>
      <c r="I634" s="664"/>
      <c r="J634" s="664"/>
      <c r="K634" s="664"/>
      <c r="L634" s="664"/>
      <c r="M634" s="664"/>
      <c r="O634" s="631"/>
    </row>
    <row r="635" spans="1:16" ht="13.5" thickBot="1" x14ac:dyDescent="0.25">
      <c r="A635" s="736"/>
      <c r="B635" s="737"/>
      <c r="C635" s="665" t="s">
        <v>1617</v>
      </c>
      <c r="E635" s="661">
        <v>60</v>
      </c>
      <c r="F635" s="662"/>
      <c r="G635" s="631"/>
      <c r="H635" s="631"/>
      <c r="I635" s="631"/>
      <c r="J635" s="658"/>
      <c r="K635" s="631"/>
      <c r="L635" s="631"/>
      <c r="M635" s="631"/>
      <c r="N635" s="666" t="s">
        <v>799</v>
      </c>
      <c r="O635" s="658">
        <f>E635</f>
        <v>60</v>
      </c>
      <c r="P635" s="657" t="s">
        <v>6</v>
      </c>
    </row>
    <row r="636" spans="1:16" ht="13.5" thickBot="1" x14ac:dyDescent="0.25">
      <c r="A636" s="736"/>
      <c r="B636" s="737"/>
      <c r="C636" s="667"/>
      <c r="F636" s="666"/>
      <c r="G636" s="631"/>
      <c r="H636" s="631"/>
      <c r="I636" s="631"/>
      <c r="J636" s="631"/>
      <c r="K636" s="631"/>
      <c r="L636" s="631"/>
      <c r="M636" s="631"/>
      <c r="N636" s="666"/>
      <c r="O636" s="668">
        <f>ROUND((SUM(O635:O635)),2)</f>
        <v>60</v>
      </c>
      <c r="P636" s="669" t="s">
        <v>6</v>
      </c>
    </row>
    <row r="637" spans="1:16" x14ac:dyDescent="0.2">
      <c r="A637" s="736"/>
      <c r="B637" s="737"/>
      <c r="C637" s="667"/>
      <c r="F637" s="666"/>
      <c r="G637" s="631"/>
      <c r="H637" s="631"/>
      <c r="I637" s="631"/>
      <c r="J637" s="631"/>
      <c r="K637" s="631"/>
      <c r="L637" s="631"/>
      <c r="M637" s="631"/>
      <c r="N637" s="666"/>
      <c r="O637" s="632"/>
      <c r="P637" s="633"/>
    </row>
    <row r="638" spans="1:16" x14ac:dyDescent="0.2">
      <c r="A638" s="734" t="s">
        <v>0</v>
      </c>
      <c r="B638" s="735" t="s">
        <v>1283</v>
      </c>
      <c r="C638" s="678" t="e">
        <f>#REF!</f>
        <v>#REF!</v>
      </c>
      <c r="D638" s="662" t="s">
        <v>799</v>
      </c>
      <c r="E638" s="663" t="s">
        <v>864</v>
      </c>
      <c r="F638" s="633"/>
      <c r="G638" s="664" t="s">
        <v>978</v>
      </c>
      <c r="H638" s="664"/>
      <c r="I638" s="664" t="s">
        <v>628</v>
      </c>
      <c r="J638" s="664"/>
      <c r="K638" s="664" t="s">
        <v>979</v>
      </c>
      <c r="L638" s="664"/>
      <c r="M638" s="664"/>
      <c r="O638" s="631"/>
    </row>
    <row r="639" spans="1:16" ht="12.75" customHeight="1" x14ac:dyDescent="0.2">
      <c r="A639" s="736"/>
      <c r="B639" s="737"/>
      <c r="C639" s="665" t="s">
        <v>1663</v>
      </c>
      <c r="E639" s="661">
        <v>4.8499999999999996</v>
      </c>
      <c r="F639" s="662" t="s">
        <v>866</v>
      </c>
      <c r="G639" s="631">
        <v>5.5</v>
      </c>
      <c r="H639" s="658" t="s">
        <v>866</v>
      </c>
      <c r="I639" s="631">
        <v>12</v>
      </c>
      <c r="J639" s="631"/>
      <c r="K639" s="1907" t="s">
        <v>1664</v>
      </c>
      <c r="L639" s="631"/>
      <c r="M639" s="631"/>
      <c r="N639" s="666" t="s">
        <v>799</v>
      </c>
      <c r="O639" s="631">
        <f>E639*G639*I639</f>
        <v>320.09999999999997</v>
      </c>
      <c r="P639" s="657" t="s">
        <v>7</v>
      </c>
    </row>
    <row r="640" spans="1:16" x14ac:dyDescent="0.2">
      <c r="A640" s="736"/>
      <c r="B640" s="737"/>
      <c r="C640" s="665"/>
      <c r="E640" s="661">
        <v>0.44</v>
      </c>
      <c r="F640" s="662" t="s">
        <v>866</v>
      </c>
      <c r="G640" s="631">
        <v>5.5</v>
      </c>
      <c r="H640" s="658" t="s">
        <v>866</v>
      </c>
      <c r="I640" s="631">
        <v>4</v>
      </c>
      <c r="J640" s="631"/>
      <c r="K640" s="1907"/>
      <c r="L640" s="631"/>
      <c r="M640" s="631"/>
      <c r="N640" s="666" t="s">
        <v>799</v>
      </c>
      <c r="O640" s="631">
        <f t="shared" ref="O640:O650" si="42">E640*G640*I640</f>
        <v>9.68</v>
      </c>
      <c r="P640" s="657" t="s">
        <v>7</v>
      </c>
    </row>
    <row r="641" spans="1:16" x14ac:dyDescent="0.2">
      <c r="A641" s="736"/>
      <c r="B641" s="737"/>
      <c r="C641" s="665"/>
      <c r="E641" s="661">
        <v>3.88</v>
      </c>
      <c r="F641" s="662" t="s">
        <v>866</v>
      </c>
      <c r="G641" s="631">
        <v>5.5</v>
      </c>
      <c r="H641" s="658" t="s">
        <v>866</v>
      </c>
      <c r="I641" s="631">
        <v>4</v>
      </c>
      <c r="J641" s="631"/>
      <c r="K641" s="1907"/>
      <c r="L641" s="631"/>
      <c r="M641" s="631"/>
      <c r="N641" s="666" t="s">
        <v>799</v>
      </c>
      <c r="O641" s="631">
        <f t="shared" si="42"/>
        <v>85.36</v>
      </c>
      <c r="P641" s="657" t="s">
        <v>7</v>
      </c>
    </row>
    <row r="642" spans="1:16" x14ac:dyDescent="0.2">
      <c r="A642" s="736"/>
      <c r="B642" s="737"/>
      <c r="C642" s="665"/>
      <c r="E642" s="661">
        <v>6.54</v>
      </c>
      <c r="F642" s="662" t="s">
        <v>866</v>
      </c>
      <c r="G642" s="631">
        <v>5.5</v>
      </c>
      <c r="H642" s="658" t="s">
        <v>866</v>
      </c>
      <c r="I642" s="631">
        <v>8</v>
      </c>
      <c r="J642" s="631"/>
      <c r="K642" s="1907"/>
      <c r="L642" s="631"/>
      <c r="M642" s="631"/>
      <c r="N642" s="666" t="s">
        <v>799</v>
      </c>
      <c r="O642" s="631">
        <f t="shared" si="42"/>
        <v>287.76</v>
      </c>
      <c r="P642" s="657" t="s">
        <v>7</v>
      </c>
    </row>
    <row r="643" spans="1:16" ht="13.5" customHeight="1" x14ac:dyDescent="0.2">
      <c r="A643" s="736"/>
      <c r="B643" s="737"/>
      <c r="C643" s="827" t="s">
        <v>1144</v>
      </c>
      <c r="D643" s="655"/>
      <c r="E643" s="730">
        <v>4.8600000000000003</v>
      </c>
      <c r="F643" s="662" t="s">
        <v>866</v>
      </c>
      <c r="G643" s="631">
        <v>3.96</v>
      </c>
      <c r="H643" s="658" t="s">
        <v>866</v>
      </c>
      <c r="I643" s="631">
        <v>16</v>
      </c>
      <c r="J643" s="631"/>
      <c r="K643" s="1907" t="s">
        <v>1665</v>
      </c>
      <c r="L643" s="631"/>
      <c r="M643" s="631"/>
      <c r="N643" s="666" t="s">
        <v>799</v>
      </c>
      <c r="O643" s="631">
        <f t="shared" si="42"/>
        <v>307.92959999999999</v>
      </c>
      <c r="P643" s="657" t="s">
        <v>7</v>
      </c>
    </row>
    <row r="644" spans="1:16" ht="12.75" customHeight="1" x14ac:dyDescent="0.2">
      <c r="A644" s="736"/>
      <c r="B644" s="737"/>
      <c r="C644" s="827"/>
      <c r="D644" s="655"/>
      <c r="E644" s="661">
        <v>3.78</v>
      </c>
      <c r="F644" s="662" t="s">
        <v>866</v>
      </c>
      <c r="G644" s="631">
        <v>3.96</v>
      </c>
      <c r="H644" s="658" t="s">
        <v>866</v>
      </c>
      <c r="I644" s="631">
        <v>16</v>
      </c>
      <c r="J644" s="631"/>
      <c r="K644" s="1907"/>
      <c r="L644" s="631"/>
      <c r="M644" s="631"/>
      <c r="N644" s="666"/>
      <c r="O644" s="631">
        <f t="shared" si="42"/>
        <v>239.5008</v>
      </c>
      <c r="P644" s="657" t="s">
        <v>7</v>
      </c>
    </row>
    <row r="645" spans="1:16" ht="12.75" customHeight="1" x14ac:dyDescent="0.2">
      <c r="A645" s="736"/>
      <c r="B645" s="737"/>
      <c r="C645" s="827"/>
      <c r="D645" s="655"/>
      <c r="E645" s="661">
        <v>2.71</v>
      </c>
      <c r="F645" s="662" t="s">
        <v>866</v>
      </c>
      <c r="G645" s="631">
        <v>3.96</v>
      </c>
      <c r="H645" s="658" t="s">
        <v>866</v>
      </c>
      <c r="I645" s="631">
        <v>16</v>
      </c>
      <c r="J645" s="631"/>
      <c r="K645" s="1907"/>
      <c r="L645" s="631"/>
      <c r="M645" s="631"/>
      <c r="N645" s="666"/>
      <c r="O645" s="631">
        <f t="shared" si="42"/>
        <v>171.7056</v>
      </c>
      <c r="P645" s="657" t="s">
        <v>7</v>
      </c>
    </row>
    <row r="646" spans="1:16" ht="12.75" customHeight="1" x14ac:dyDescent="0.2">
      <c r="A646" s="736"/>
      <c r="B646" s="737"/>
      <c r="C646" s="827"/>
      <c r="D646" s="655"/>
      <c r="E646" s="661">
        <v>1.64</v>
      </c>
      <c r="F646" s="662" t="s">
        <v>866</v>
      </c>
      <c r="G646" s="631">
        <v>3.96</v>
      </c>
      <c r="H646" s="658" t="s">
        <v>866</v>
      </c>
      <c r="I646" s="631">
        <v>16</v>
      </c>
      <c r="J646" s="631"/>
      <c r="K646" s="1907"/>
      <c r="L646" s="631"/>
      <c r="M646" s="631"/>
      <c r="N646" s="666"/>
      <c r="O646" s="631">
        <f t="shared" si="42"/>
        <v>103.9104</v>
      </c>
      <c r="P646" s="657" t="s">
        <v>7</v>
      </c>
    </row>
    <row r="647" spans="1:16" ht="12.75" customHeight="1" x14ac:dyDescent="0.2">
      <c r="A647" s="736"/>
      <c r="B647" s="737"/>
      <c r="C647" s="827"/>
      <c r="D647" s="655"/>
      <c r="E647" s="661">
        <v>3.88</v>
      </c>
      <c r="F647" s="662" t="s">
        <v>866</v>
      </c>
      <c r="G647" s="631">
        <v>3.96</v>
      </c>
      <c r="H647" s="658" t="s">
        <v>866</v>
      </c>
      <c r="I647" s="631">
        <v>32</v>
      </c>
      <c r="J647" s="631"/>
      <c r="K647" s="1907"/>
      <c r="L647" s="631"/>
      <c r="M647" s="631"/>
      <c r="N647" s="666"/>
      <c r="O647" s="631">
        <f t="shared" si="42"/>
        <v>491.67359999999996</v>
      </c>
      <c r="P647" s="657" t="s">
        <v>7</v>
      </c>
    </row>
    <row r="648" spans="1:16" ht="12.75" customHeight="1" x14ac:dyDescent="0.2">
      <c r="A648" s="736"/>
      <c r="B648" s="737"/>
      <c r="C648" s="827"/>
      <c r="D648" s="655"/>
      <c r="E648" s="661">
        <v>1.24</v>
      </c>
      <c r="F648" s="662" t="s">
        <v>866</v>
      </c>
      <c r="G648" s="631">
        <v>3.96</v>
      </c>
      <c r="H648" s="658" t="s">
        <v>866</v>
      </c>
      <c r="I648" s="631">
        <v>32</v>
      </c>
      <c r="J648" s="631"/>
      <c r="K648" s="1907"/>
      <c r="L648" s="631"/>
      <c r="M648" s="631"/>
      <c r="N648" s="666"/>
      <c r="O648" s="631">
        <f t="shared" si="42"/>
        <v>157.1328</v>
      </c>
      <c r="P648" s="657" t="s">
        <v>7</v>
      </c>
    </row>
    <row r="649" spans="1:16" ht="12.75" customHeight="1" x14ac:dyDescent="0.2">
      <c r="A649" s="736"/>
      <c r="B649" s="737"/>
      <c r="C649" s="827"/>
      <c r="D649" s="655"/>
      <c r="E649" s="661">
        <v>0.54</v>
      </c>
      <c r="F649" s="662" t="s">
        <v>866</v>
      </c>
      <c r="G649" s="631">
        <v>3.96</v>
      </c>
      <c r="H649" s="658" t="s">
        <v>866</v>
      </c>
      <c r="I649" s="631">
        <v>4</v>
      </c>
      <c r="J649" s="631"/>
      <c r="K649" s="1907"/>
      <c r="L649" s="631"/>
      <c r="M649" s="631"/>
      <c r="N649" s="666"/>
      <c r="O649" s="631">
        <f t="shared" si="42"/>
        <v>8.5536000000000012</v>
      </c>
      <c r="P649" s="657" t="s">
        <v>7</v>
      </c>
    </row>
    <row r="650" spans="1:16" ht="12.75" customHeight="1" thickBot="1" x14ac:dyDescent="0.25">
      <c r="A650" s="736"/>
      <c r="B650" s="737"/>
      <c r="C650" s="827"/>
      <c r="D650" s="655"/>
      <c r="E650" s="661">
        <v>3.88</v>
      </c>
      <c r="F650" s="662" t="s">
        <v>866</v>
      </c>
      <c r="G650" s="631">
        <v>3.96</v>
      </c>
      <c r="H650" s="658" t="s">
        <v>866</v>
      </c>
      <c r="I650" s="631">
        <v>4</v>
      </c>
      <c r="J650" s="631"/>
      <c r="K650" s="1907"/>
      <c r="L650" s="631"/>
      <c r="M650" s="631"/>
      <c r="N650" s="666"/>
      <c r="O650" s="631">
        <f t="shared" si="42"/>
        <v>61.459199999999996</v>
      </c>
      <c r="P650" s="657" t="s">
        <v>7</v>
      </c>
    </row>
    <row r="651" spans="1:16" ht="13.5" thickBot="1" x14ac:dyDescent="0.25">
      <c r="A651" s="736"/>
      <c r="B651" s="737"/>
      <c r="C651" s="667"/>
      <c r="F651" s="666"/>
      <c r="G651" s="631"/>
      <c r="H651" s="631"/>
      <c r="I651" s="631"/>
      <c r="J651" s="631"/>
      <c r="K651" s="631"/>
      <c r="L651" s="631"/>
      <c r="M651" s="631"/>
      <c r="N651" s="666"/>
      <c r="O651" s="668">
        <f>ROUND((SUM(O639:O650)),2)</f>
        <v>2244.77</v>
      </c>
      <c r="P651" s="669" t="s">
        <v>7</v>
      </c>
    </row>
    <row r="652" spans="1:16" x14ac:dyDescent="0.2">
      <c r="A652" s="734" t="s">
        <v>0</v>
      </c>
      <c r="B652" s="735" t="s">
        <v>1284</v>
      </c>
      <c r="C652" s="807" t="e">
        <f>#REF!</f>
        <v>#REF!</v>
      </c>
      <c r="D652" s="808" t="s">
        <v>799</v>
      </c>
      <c r="E652" s="809" t="s">
        <v>864</v>
      </c>
      <c r="F652" s="810"/>
      <c r="G652" s="811" t="s">
        <v>865</v>
      </c>
      <c r="H652" s="811"/>
      <c r="I652" s="811" t="s">
        <v>628</v>
      </c>
      <c r="J652" s="811"/>
      <c r="K652" s="811"/>
      <c r="L652" s="811"/>
      <c r="M652" s="811"/>
      <c r="N652" s="794"/>
      <c r="O652" s="812"/>
      <c r="P652" s="796"/>
    </row>
    <row r="653" spans="1:16" x14ac:dyDescent="0.2">
      <c r="A653" s="736"/>
      <c r="B653" s="737"/>
      <c r="C653" s="813" t="s">
        <v>1589</v>
      </c>
      <c r="D653"/>
      <c r="E653" s="481">
        <v>9.3000000000000007</v>
      </c>
      <c r="F653" s="808" t="s">
        <v>866</v>
      </c>
      <c r="G653" s="812">
        <f>5.03/2</f>
        <v>2.5150000000000001</v>
      </c>
      <c r="H653" s="808" t="s">
        <v>866</v>
      </c>
      <c r="I653" s="812">
        <v>2</v>
      </c>
      <c r="J653" s="808"/>
      <c r="K653" s="812"/>
      <c r="L653" s="812"/>
      <c r="M653" s="812"/>
      <c r="N653" s="814" t="s">
        <v>799</v>
      </c>
      <c r="O653" s="812">
        <f>E653*G653*I653</f>
        <v>46.779000000000003</v>
      </c>
      <c r="P653" s="801" t="s">
        <v>4</v>
      </c>
    </row>
    <row r="654" spans="1:16" ht="13.5" thickBot="1" x14ac:dyDescent="0.25">
      <c r="A654" s="736"/>
      <c r="B654" s="737"/>
      <c r="C654" s="813"/>
      <c r="D654"/>
      <c r="E654" s="481">
        <f>(18.4+9)/2</f>
        <v>13.7</v>
      </c>
      <c r="F654" s="808" t="s">
        <v>866</v>
      </c>
      <c r="G654" s="812">
        <f>5.03</f>
        <v>5.03</v>
      </c>
      <c r="H654" s="808" t="s">
        <v>866</v>
      </c>
      <c r="I654" s="812">
        <v>2</v>
      </c>
      <c r="J654" s="808"/>
      <c r="K654" s="812"/>
      <c r="L654" s="812"/>
      <c r="M654" s="812"/>
      <c r="N654" s="814" t="s">
        <v>799</v>
      </c>
      <c r="O654" s="812">
        <f>E654*G654*I654</f>
        <v>137.822</v>
      </c>
      <c r="P654" s="801" t="s">
        <v>4</v>
      </c>
    </row>
    <row r="655" spans="1:16" ht="13.5" thickBot="1" x14ac:dyDescent="0.25">
      <c r="A655" s="736"/>
      <c r="B655" s="737"/>
      <c r="C655" s="815"/>
      <c r="D655"/>
      <c r="E655" s="481"/>
      <c r="F655" s="814"/>
      <c r="G655" s="812"/>
      <c r="H655" s="812"/>
      <c r="I655" s="812"/>
      <c r="J655" s="812"/>
      <c r="K655" s="812"/>
      <c r="L655" s="812"/>
      <c r="M655" s="812"/>
      <c r="N655" s="814"/>
      <c r="O655" s="816">
        <f>ROUND((SUM(O653:O654)),2)</f>
        <v>184.6</v>
      </c>
      <c r="P655" s="817" t="s">
        <v>4</v>
      </c>
    </row>
    <row r="656" spans="1:16" ht="71.25" customHeight="1" x14ac:dyDescent="0.2">
      <c r="A656" s="734" t="s">
        <v>0</v>
      </c>
      <c r="B656" s="735" t="s">
        <v>1618</v>
      </c>
      <c r="C656" s="678" t="e">
        <f>#REF!</f>
        <v>#REF!</v>
      </c>
      <c r="D656" s="662" t="s">
        <v>799</v>
      </c>
      <c r="E656" s="663" t="s">
        <v>628</v>
      </c>
      <c r="F656" s="633"/>
      <c r="G656" s="664"/>
      <c r="H656" s="664"/>
      <c r="I656" s="664"/>
      <c r="J656" s="664"/>
      <c r="K656" s="664"/>
      <c r="L656" s="664"/>
      <c r="M656" s="664"/>
      <c r="O656" s="631"/>
    </row>
    <row r="657" spans="1:16" ht="13.5" thickBot="1" x14ac:dyDescent="0.25">
      <c r="A657" s="736"/>
      <c r="B657" s="737"/>
      <c r="C657" s="813" t="s">
        <v>1589</v>
      </c>
      <c r="E657" s="661">
        <v>12</v>
      </c>
      <c r="F657" s="662"/>
      <c r="G657" s="631"/>
      <c r="H657" s="658"/>
      <c r="I657" s="631"/>
      <c r="J657" s="631"/>
      <c r="K657" s="631"/>
      <c r="L657" s="631"/>
      <c r="M657" s="631"/>
      <c r="N657" s="666" t="s">
        <v>799</v>
      </c>
      <c r="O657" s="631">
        <f>E657</f>
        <v>12</v>
      </c>
      <c r="P657" s="657" t="s">
        <v>2</v>
      </c>
    </row>
    <row r="658" spans="1:16" ht="13.5" thickBot="1" x14ac:dyDescent="0.25">
      <c r="A658" s="736"/>
      <c r="B658" s="737"/>
      <c r="C658" s="667"/>
      <c r="F658" s="666"/>
      <c r="G658" s="631"/>
      <c r="H658" s="631"/>
      <c r="I658" s="631"/>
      <c r="J658" s="631"/>
      <c r="K658" s="631"/>
      <c r="L658" s="631"/>
      <c r="M658" s="631"/>
      <c r="N658" s="666"/>
      <c r="O658" s="668">
        <f>ROUND((SUM(O657:O657)),2)</f>
        <v>12</v>
      </c>
      <c r="P658" s="669" t="s">
        <v>2</v>
      </c>
    </row>
    <row r="659" spans="1:16" x14ac:dyDescent="0.2">
      <c r="A659" s="736"/>
      <c r="B659" s="737"/>
      <c r="C659" s="667"/>
      <c r="F659" s="666"/>
      <c r="G659" s="631"/>
      <c r="H659" s="631"/>
      <c r="I659" s="631"/>
      <c r="J659" s="631"/>
      <c r="K659" s="631"/>
      <c r="L659" s="631"/>
      <c r="M659" s="631"/>
      <c r="N659" s="666"/>
      <c r="O659" s="632"/>
      <c r="P659" s="633"/>
    </row>
    <row r="660" spans="1:16" ht="15.75" x14ac:dyDescent="0.2">
      <c r="A660" s="736"/>
      <c r="B660" s="737"/>
      <c r="C660" s="788" t="s">
        <v>1160</v>
      </c>
      <c r="F660" s="666"/>
      <c r="G660" s="631"/>
      <c r="H660" s="631"/>
      <c r="I660" s="631"/>
      <c r="J660" s="631"/>
      <c r="K660" s="631"/>
      <c r="L660" s="631"/>
      <c r="M660" s="631"/>
      <c r="N660" s="666"/>
      <c r="O660" s="632"/>
      <c r="P660" s="633"/>
    </row>
    <row r="661" spans="1:16" x14ac:dyDescent="0.2">
      <c r="A661" s="734" t="s">
        <v>0</v>
      </c>
      <c r="B661" s="735" t="s">
        <v>1666</v>
      </c>
      <c r="C661" s="678" t="e">
        <f>#REF!</f>
        <v>#REF!</v>
      </c>
      <c r="D661" s="662" t="s">
        <v>799</v>
      </c>
      <c r="E661" s="663" t="s">
        <v>628</v>
      </c>
      <c r="F661" s="633"/>
      <c r="G661" s="664"/>
      <c r="H661" s="664"/>
      <c r="I661" s="664"/>
      <c r="J661" s="664"/>
      <c r="K661" s="664"/>
      <c r="L661" s="664"/>
      <c r="M661" s="664"/>
      <c r="O661" s="631"/>
    </row>
    <row r="662" spans="1:16" ht="13.5" thickBot="1" x14ac:dyDescent="0.25">
      <c r="A662" s="736"/>
      <c r="B662" s="737"/>
      <c r="C662" s="665" t="s">
        <v>1616</v>
      </c>
      <c r="E662" s="661">
        <v>48</v>
      </c>
      <c r="F662" s="662"/>
      <c r="G662" s="631"/>
      <c r="H662" s="631"/>
      <c r="I662" s="631"/>
      <c r="J662" s="658"/>
      <c r="K662" s="631"/>
      <c r="L662" s="631"/>
      <c r="M662" s="631"/>
      <c r="N662" s="666" t="s">
        <v>799</v>
      </c>
      <c r="O662" s="658">
        <f>E662</f>
        <v>48</v>
      </c>
      <c r="P662" s="657" t="s">
        <v>6</v>
      </c>
    </row>
    <row r="663" spans="1:16" ht="13.5" thickBot="1" x14ac:dyDescent="0.25">
      <c r="A663" s="736"/>
      <c r="B663" s="737"/>
      <c r="C663" s="667"/>
      <c r="F663" s="666"/>
      <c r="G663" s="631"/>
      <c r="H663" s="631"/>
      <c r="I663" s="631"/>
      <c r="J663" s="631"/>
      <c r="K663" s="631"/>
      <c r="L663" s="631"/>
      <c r="M663" s="631"/>
      <c r="N663" s="666"/>
      <c r="O663" s="668">
        <f>ROUND((SUM(O662:O662)),2)</f>
        <v>48</v>
      </c>
      <c r="P663" s="669" t="s">
        <v>6</v>
      </c>
    </row>
    <row r="664" spans="1:16" x14ac:dyDescent="0.2">
      <c r="A664" s="734" t="s">
        <v>0</v>
      </c>
      <c r="B664" s="735" t="s">
        <v>1667</v>
      </c>
      <c r="C664" s="678" t="e">
        <f>#REF!</f>
        <v>#REF!</v>
      </c>
      <c r="D664" s="662" t="s">
        <v>799</v>
      </c>
      <c r="E664" s="663" t="s">
        <v>628</v>
      </c>
      <c r="F664" s="633"/>
      <c r="G664" s="664"/>
      <c r="H664" s="664"/>
      <c r="I664" s="664"/>
      <c r="J664" s="664"/>
      <c r="K664" s="664"/>
      <c r="L664" s="664"/>
      <c r="M664" s="664"/>
      <c r="O664" s="631"/>
    </row>
    <row r="665" spans="1:16" ht="13.5" thickBot="1" x14ac:dyDescent="0.25">
      <c r="A665" s="736"/>
      <c r="B665" s="737"/>
      <c r="C665" s="665" t="s">
        <v>1616</v>
      </c>
      <c r="E665" s="661">
        <v>18</v>
      </c>
      <c r="F665" s="662"/>
      <c r="G665" s="631"/>
      <c r="H665" s="631"/>
      <c r="I665" s="631"/>
      <c r="J665" s="658"/>
      <c r="K665" s="631"/>
      <c r="L665" s="631"/>
      <c r="M665" s="631"/>
      <c r="N665" s="666" t="s">
        <v>799</v>
      </c>
      <c r="O665" s="658">
        <f>E665</f>
        <v>18</v>
      </c>
      <c r="P665" s="657" t="s">
        <v>6</v>
      </c>
    </row>
    <row r="666" spans="1:16" ht="13.5" thickBot="1" x14ac:dyDescent="0.25">
      <c r="A666" s="736"/>
      <c r="B666" s="737"/>
      <c r="C666" s="667"/>
      <c r="F666" s="666"/>
      <c r="G666" s="631"/>
      <c r="H666" s="631"/>
      <c r="I666" s="631"/>
      <c r="J666" s="631"/>
      <c r="K666" s="631"/>
      <c r="L666" s="631"/>
      <c r="M666" s="631"/>
      <c r="N666" s="666"/>
      <c r="O666" s="668">
        <f>ROUND((SUM(O665:O665)),2)</f>
        <v>18</v>
      </c>
      <c r="P666" s="669" t="s">
        <v>6</v>
      </c>
    </row>
    <row r="667" spans="1:16" ht="51" customHeight="1" x14ac:dyDescent="0.2">
      <c r="A667" s="734" t="s">
        <v>0</v>
      </c>
      <c r="B667" s="735" t="s">
        <v>1668</v>
      </c>
      <c r="C667" s="678" t="e">
        <f>#REF!</f>
        <v>#REF!</v>
      </c>
      <c r="D667" s="662" t="s">
        <v>799</v>
      </c>
      <c r="E667" s="663" t="s">
        <v>628</v>
      </c>
      <c r="F667" s="633"/>
      <c r="G667" s="664"/>
      <c r="H667" s="664"/>
      <c r="I667" s="664"/>
      <c r="J667" s="664"/>
      <c r="K667" s="664"/>
      <c r="L667" s="664"/>
      <c r="M667" s="664"/>
      <c r="O667" s="631"/>
    </row>
    <row r="668" spans="1:16" ht="13.5" thickBot="1" x14ac:dyDescent="0.25">
      <c r="A668" s="736"/>
      <c r="B668" s="737"/>
      <c r="C668" s="665" t="s">
        <v>1617</v>
      </c>
      <c r="E668" s="661">
        <v>60</v>
      </c>
      <c r="F668" s="662"/>
      <c r="G668" s="631"/>
      <c r="H668" s="631"/>
      <c r="I668" s="631"/>
      <c r="J668" s="658"/>
      <c r="K668" s="631"/>
      <c r="L668" s="631"/>
      <c r="M668" s="631"/>
      <c r="N668" s="666" t="s">
        <v>799</v>
      </c>
      <c r="O668" s="658">
        <f>E668</f>
        <v>60</v>
      </c>
      <c r="P668" s="657" t="s">
        <v>6</v>
      </c>
    </row>
    <row r="669" spans="1:16" ht="13.5" thickBot="1" x14ac:dyDescent="0.25">
      <c r="A669" s="736"/>
      <c r="B669" s="737"/>
      <c r="C669" s="667"/>
      <c r="F669" s="666"/>
      <c r="G669" s="631"/>
      <c r="H669" s="631"/>
      <c r="I669" s="631"/>
      <c r="J669" s="631"/>
      <c r="K669" s="631"/>
      <c r="L669" s="631"/>
      <c r="M669" s="631"/>
      <c r="N669" s="666"/>
      <c r="O669" s="668">
        <f>ROUND((SUM(O668:O668)),2)</f>
        <v>60</v>
      </c>
      <c r="P669" s="669" t="s">
        <v>6</v>
      </c>
    </row>
    <row r="670" spans="1:16" x14ac:dyDescent="0.2">
      <c r="A670" s="736"/>
      <c r="B670" s="737"/>
      <c r="C670" s="667"/>
      <c r="F670" s="666"/>
      <c r="G670" s="631"/>
      <c r="H670" s="631"/>
      <c r="I670" s="631"/>
      <c r="J670" s="631"/>
      <c r="K670" s="631"/>
      <c r="L670" s="631"/>
      <c r="M670" s="631"/>
      <c r="N670" s="666"/>
      <c r="O670" s="632"/>
      <c r="P670" s="633"/>
    </row>
    <row r="671" spans="1:16" x14ac:dyDescent="0.2">
      <c r="A671" s="736"/>
      <c r="B671" s="737"/>
      <c r="C671" s="667"/>
      <c r="F671" s="666"/>
      <c r="G671" s="631"/>
      <c r="H671" s="631"/>
      <c r="I671" s="631"/>
      <c r="J671" s="631"/>
      <c r="K671" s="631"/>
      <c r="L671" s="631"/>
      <c r="M671" s="631"/>
      <c r="N671" s="666"/>
      <c r="O671" s="632"/>
      <c r="P671" s="633"/>
    </row>
    <row r="672" spans="1:16" ht="15.75" x14ac:dyDescent="0.2">
      <c r="A672" s="736"/>
      <c r="B672" s="925" t="s">
        <v>1287</v>
      </c>
      <c r="C672" s="926" t="s">
        <v>900</v>
      </c>
      <c r="D672" s="927"/>
      <c r="E672" s="928"/>
      <c r="F672" s="657"/>
      <c r="G672" s="658"/>
      <c r="H672" s="658"/>
      <c r="I672" s="658"/>
      <c r="J672" s="658"/>
      <c r="K672" s="658"/>
      <c r="L672" s="658"/>
      <c r="M672" s="658"/>
      <c r="N672" s="657"/>
      <c r="O672" s="658"/>
      <c r="P672" s="659"/>
    </row>
    <row r="673" spans="1:16" ht="15.75" x14ac:dyDescent="0.2">
      <c r="A673" s="736"/>
      <c r="B673" s="749"/>
      <c r="C673" s="788" t="s">
        <v>1159</v>
      </c>
      <c r="D673" s="656"/>
      <c r="E673" s="629"/>
      <c r="F673" s="657"/>
      <c r="G673" s="658"/>
      <c r="H673" s="658"/>
      <c r="I673" s="658"/>
      <c r="J673" s="658"/>
      <c r="K673" s="658"/>
      <c r="L673" s="658"/>
      <c r="M673" s="658"/>
      <c r="N673" s="657"/>
      <c r="O673" s="658"/>
      <c r="P673" s="659"/>
    </row>
    <row r="674" spans="1:16" x14ac:dyDescent="0.2">
      <c r="A674" s="736"/>
      <c r="B674" s="737"/>
      <c r="C674" s="737"/>
      <c r="E674" s="629"/>
      <c r="G674" s="631"/>
      <c r="H674" s="631"/>
      <c r="I674" s="631"/>
      <c r="J674" s="631"/>
      <c r="K674" s="631"/>
      <c r="L674" s="631"/>
      <c r="M674" s="631"/>
      <c r="O674" s="631"/>
    </row>
    <row r="675" spans="1:16" ht="48" customHeight="1" x14ac:dyDescent="0.2">
      <c r="A675" s="734" t="s">
        <v>0</v>
      </c>
      <c r="B675" s="735" t="s">
        <v>1288</v>
      </c>
      <c r="C675" s="678" t="e">
        <f>#REF!</f>
        <v>#REF!</v>
      </c>
      <c r="D675" s="662" t="s">
        <v>799</v>
      </c>
      <c r="E675" s="663" t="s">
        <v>864</v>
      </c>
      <c r="F675" s="633"/>
      <c r="G675" s="664" t="s">
        <v>865</v>
      </c>
      <c r="H675" s="664"/>
      <c r="I675" s="664"/>
      <c r="J675" s="664"/>
      <c r="K675" s="664"/>
      <c r="L675" s="664"/>
      <c r="M675" s="664"/>
      <c r="O675" s="631"/>
    </row>
    <row r="676" spans="1:16" x14ac:dyDescent="0.2">
      <c r="A676" s="736"/>
      <c r="B676" s="737"/>
      <c r="C676" s="665" t="s">
        <v>1095</v>
      </c>
      <c r="E676" s="661">
        <v>1</v>
      </c>
      <c r="F676" s="662" t="s">
        <v>866</v>
      </c>
      <c r="G676" s="631">
        <v>1</v>
      </c>
      <c r="H676" s="631"/>
      <c r="I676" s="631"/>
      <c r="J676" s="631"/>
      <c r="K676" s="631"/>
      <c r="L676" s="631"/>
      <c r="M676" s="631"/>
      <c r="N676" s="666" t="s">
        <v>799</v>
      </c>
      <c r="O676" s="631">
        <f>E676*G676</f>
        <v>1</v>
      </c>
      <c r="P676" s="630" t="s">
        <v>4</v>
      </c>
    </row>
    <row r="677" spans="1:16" x14ac:dyDescent="0.2">
      <c r="A677" s="736"/>
      <c r="B677" s="737"/>
      <c r="C677" s="665" t="s">
        <v>1621</v>
      </c>
      <c r="E677" s="661">
        <v>1.4</v>
      </c>
      <c r="F677" s="662" t="s">
        <v>866</v>
      </c>
      <c r="G677" s="631">
        <v>1.2</v>
      </c>
      <c r="H677" s="631"/>
      <c r="I677" s="631"/>
      <c r="J677" s="631"/>
      <c r="K677" s="631"/>
      <c r="L677" s="631"/>
      <c r="M677" s="631"/>
      <c r="N677" s="666" t="s">
        <v>799</v>
      </c>
      <c r="O677" s="631">
        <f>E677*G677</f>
        <v>1.68</v>
      </c>
      <c r="P677" s="630" t="s">
        <v>4</v>
      </c>
    </row>
    <row r="678" spans="1:16" x14ac:dyDescent="0.2">
      <c r="A678" s="736"/>
      <c r="B678" s="737"/>
      <c r="C678" s="665" t="s">
        <v>1096</v>
      </c>
      <c r="E678" s="661">
        <v>1.2</v>
      </c>
      <c r="F678" s="662" t="s">
        <v>866</v>
      </c>
      <c r="G678" s="631">
        <v>3</v>
      </c>
      <c r="H678" s="631"/>
      <c r="I678" s="631"/>
      <c r="J678" s="631"/>
      <c r="K678" s="631"/>
      <c r="L678" s="631"/>
      <c r="M678" s="631"/>
      <c r="N678" s="666" t="s">
        <v>799</v>
      </c>
      <c r="O678" s="631">
        <f>E678*G678</f>
        <v>3.5999999999999996</v>
      </c>
      <c r="P678" s="630" t="s">
        <v>4</v>
      </c>
    </row>
    <row r="679" spans="1:16" x14ac:dyDescent="0.2">
      <c r="A679" s="736"/>
      <c r="B679" s="737"/>
      <c r="C679" s="665" t="s">
        <v>1097</v>
      </c>
      <c r="E679" s="661">
        <v>9.6</v>
      </c>
      <c r="F679" s="662" t="s">
        <v>866</v>
      </c>
      <c r="G679" s="631">
        <v>1.8</v>
      </c>
      <c r="H679" s="631"/>
      <c r="I679" s="631"/>
      <c r="J679" s="631"/>
      <c r="K679" s="631"/>
      <c r="L679" s="631"/>
      <c r="M679" s="631"/>
      <c r="N679" s="666" t="s">
        <v>799</v>
      </c>
      <c r="O679" s="631">
        <f>E679*G679</f>
        <v>17.28</v>
      </c>
      <c r="P679" s="630" t="s">
        <v>4</v>
      </c>
    </row>
    <row r="680" spans="1:16" ht="13.5" thickBot="1" x14ac:dyDescent="0.25">
      <c r="A680" s="736"/>
      <c r="B680" s="737"/>
      <c r="C680" s="790" t="s">
        <v>1098</v>
      </c>
      <c r="E680" s="661">
        <v>1.55</v>
      </c>
      <c r="F680" s="662" t="s">
        <v>866</v>
      </c>
      <c r="G680" s="631">
        <v>4.0999999999999996</v>
      </c>
      <c r="H680" s="631"/>
      <c r="I680" s="631"/>
      <c r="J680" s="631"/>
      <c r="K680" s="631"/>
      <c r="L680" s="631"/>
      <c r="M680" s="631"/>
      <c r="N680" s="666" t="s">
        <v>799</v>
      </c>
      <c r="O680" s="631">
        <f>E680*G680</f>
        <v>6.3549999999999995</v>
      </c>
      <c r="P680" s="630" t="s">
        <v>4</v>
      </c>
    </row>
    <row r="681" spans="1:16" ht="13.5" thickBot="1" x14ac:dyDescent="0.25">
      <c r="A681" s="736"/>
      <c r="B681" s="737"/>
      <c r="C681" s="667"/>
      <c r="F681" s="666"/>
      <c r="G681" s="631"/>
      <c r="H681" s="631"/>
      <c r="I681" s="631"/>
      <c r="J681" s="631"/>
      <c r="K681" s="631"/>
      <c r="L681" s="631"/>
      <c r="M681" s="631"/>
      <c r="N681" s="666"/>
      <c r="O681" s="668">
        <f>ROUND((SUM(O676:O680)),2)</f>
        <v>29.92</v>
      </c>
      <c r="P681" s="669" t="s">
        <v>4</v>
      </c>
    </row>
    <row r="682" spans="1:16" x14ac:dyDescent="0.2">
      <c r="A682" s="734" t="s">
        <v>0</v>
      </c>
      <c r="B682" s="735" t="s">
        <v>1289</v>
      </c>
      <c r="C682" s="678" t="e">
        <f>#REF!</f>
        <v>#REF!</v>
      </c>
      <c r="D682" s="662" t="s">
        <v>799</v>
      </c>
      <c r="E682" s="663" t="s">
        <v>864</v>
      </c>
      <c r="F682" s="633"/>
      <c r="G682" s="664" t="s">
        <v>865</v>
      </c>
      <c r="H682" s="664"/>
      <c r="I682" s="664" t="s">
        <v>883</v>
      </c>
      <c r="J682" s="664"/>
      <c r="K682" s="664" t="s">
        <v>628</v>
      </c>
      <c r="L682" s="664"/>
      <c r="M682" s="664"/>
      <c r="O682" s="631"/>
    </row>
    <row r="683" spans="1:16" x14ac:dyDescent="0.2">
      <c r="A683" s="736"/>
      <c r="B683" s="737"/>
      <c r="C683" s="665" t="s">
        <v>1095</v>
      </c>
      <c r="E683" s="661">
        <v>2</v>
      </c>
      <c r="F683" s="662" t="s">
        <v>866</v>
      </c>
      <c r="G683" s="631">
        <v>2</v>
      </c>
      <c r="H683" s="631" t="s">
        <v>866</v>
      </c>
      <c r="I683" s="631">
        <v>0.95</v>
      </c>
      <c r="J683" s="658" t="s">
        <v>866</v>
      </c>
      <c r="K683" s="631">
        <v>1</v>
      </c>
      <c r="L683" s="631"/>
      <c r="M683" s="631"/>
      <c r="N683" s="666" t="s">
        <v>799</v>
      </c>
      <c r="O683" s="631">
        <f t="shared" ref="O683:O689" si="43">E683*G683*I683*K683</f>
        <v>3.8</v>
      </c>
      <c r="P683" s="630" t="s">
        <v>12</v>
      </c>
    </row>
    <row r="684" spans="1:16" x14ac:dyDescent="0.2">
      <c r="A684" s="736"/>
      <c r="B684" s="737"/>
      <c r="C684" s="665" t="s">
        <v>1621</v>
      </c>
      <c r="E684" s="661">
        <v>2.2000000000000002</v>
      </c>
      <c r="F684" s="662" t="s">
        <v>866</v>
      </c>
      <c r="G684" s="631">
        <v>1.9</v>
      </c>
      <c r="H684" s="631" t="s">
        <v>866</v>
      </c>
      <c r="I684" s="631">
        <v>1.05</v>
      </c>
      <c r="J684" s="658" t="s">
        <v>866</v>
      </c>
      <c r="K684" s="631">
        <v>1</v>
      </c>
      <c r="L684" s="631"/>
      <c r="M684" s="631"/>
      <c r="N684" s="666" t="s">
        <v>799</v>
      </c>
      <c r="O684" s="631">
        <f t="shared" si="43"/>
        <v>4.3890000000000002</v>
      </c>
      <c r="P684" s="630" t="s">
        <v>12</v>
      </c>
    </row>
    <row r="685" spans="1:16" x14ac:dyDescent="0.2">
      <c r="A685" s="736"/>
      <c r="B685" s="737"/>
      <c r="C685" s="665" t="s">
        <v>1096</v>
      </c>
      <c r="E685" s="661">
        <v>5</v>
      </c>
      <c r="F685" s="662" t="s">
        <v>866</v>
      </c>
      <c r="G685" s="631">
        <v>3.2</v>
      </c>
      <c r="H685" s="631" t="s">
        <v>866</v>
      </c>
      <c r="I685" s="631">
        <v>2.25</v>
      </c>
      <c r="J685" s="658" t="s">
        <v>866</v>
      </c>
      <c r="K685" s="631">
        <v>1</v>
      </c>
      <c r="L685" s="631"/>
      <c r="M685" s="631"/>
      <c r="N685" s="666" t="s">
        <v>799</v>
      </c>
      <c r="O685" s="631">
        <f t="shared" si="43"/>
        <v>36</v>
      </c>
      <c r="P685" s="630" t="s">
        <v>12</v>
      </c>
    </row>
    <row r="686" spans="1:16" x14ac:dyDescent="0.2">
      <c r="A686" s="736"/>
      <c r="B686" s="737"/>
      <c r="C686" s="665" t="s">
        <v>1097</v>
      </c>
      <c r="E686" s="661">
        <v>9.6</v>
      </c>
      <c r="F686" s="662" t="s">
        <v>866</v>
      </c>
      <c r="G686" s="631">
        <v>2.8</v>
      </c>
      <c r="H686" s="631" t="s">
        <v>866</v>
      </c>
      <c r="I686" s="631">
        <v>1.25</v>
      </c>
      <c r="J686" s="658" t="s">
        <v>866</v>
      </c>
      <c r="K686" s="631">
        <v>1</v>
      </c>
      <c r="L686" s="631"/>
      <c r="M686" s="631"/>
      <c r="N686" s="666" t="s">
        <v>799</v>
      </c>
      <c r="O686" s="631">
        <f t="shared" si="43"/>
        <v>33.6</v>
      </c>
      <c r="P686" s="630" t="s">
        <v>12</v>
      </c>
    </row>
    <row r="687" spans="1:16" x14ac:dyDescent="0.2">
      <c r="A687" s="736"/>
      <c r="B687" s="737"/>
      <c r="C687" s="790" t="s">
        <v>1098</v>
      </c>
      <c r="E687" s="661">
        <v>6.1</v>
      </c>
      <c r="F687" s="662" t="s">
        <v>866</v>
      </c>
      <c r="G687" s="631">
        <v>3.55</v>
      </c>
      <c r="H687" s="631" t="s">
        <v>866</v>
      </c>
      <c r="I687" s="631">
        <v>2.5</v>
      </c>
      <c r="J687" s="658" t="s">
        <v>866</v>
      </c>
      <c r="K687" s="631">
        <v>1</v>
      </c>
      <c r="L687" s="631"/>
      <c r="M687" s="631"/>
      <c r="N687" s="666" t="s">
        <v>799</v>
      </c>
      <c r="O687" s="631">
        <f t="shared" si="43"/>
        <v>54.137499999999996</v>
      </c>
      <c r="P687" s="630" t="s">
        <v>12</v>
      </c>
    </row>
    <row r="688" spans="1:16" x14ac:dyDescent="0.2">
      <c r="A688" s="736"/>
      <c r="B688" s="737"/>
      <c r="C688" s="790" t="s">
        <v>1622</v>
      </c>
      <c r="E688" s="661">
        <v>12</v>
      </c>
      <c r="F688" s="662" t="s">
        <v>866</v>
      </c>
      <c r="G688" s="631">
        <v>1</v>
      </c>
      <c r="H688" s="631" t="s">
        <v>866</v>
      </c>
      <c r="I688" s="631">
        <v>1.95</v>
      </c>
      <c r="J688" s="658" t="s">
        <v>866</v>
      </c>
      <c r="K688" s="631">
        <v>1</v>
      </c>
      <c r="L688" s="631"/>
      <c r="M688" s="631"/>
      <c r="N688" s="666" t="s">
        <v>799</v>
      </c>
      <c r="O688" s="631">
        <f t="shared" si="43"/>
        <v>23.4</v>
      </c>
      <c r="P688" s="630" t="s">
        <v>12</v>
      </c>
    </row>
    <row r="689" spans="1:16" ht="13.5" thickBot="1" x14ac:dyDescent="0.25">
      <c r="A689" s="736"/>
      <c r="B689" s="737"/>
      <c r="C689" s="790" t="s">
        <v>1623</v>
      </c>
      <c r="E689" s="661">
        <v>12</v>
      </c>
      <c r="F689" s="662" t="s">
        <v>866</v>
      </c>
      <c r="G689" s="631">
        <v>1</v>
      </c>
      <c r="H689" s="631" t="s">
        <v>866</v>
      </c>
      <c r="I689" s="631">
        <v>4.1500000000000004</v>
      </c>
      <c r="J689" s="658" t="s">
        <v>866</v>
      </c>
      <c r="K689" s="631">
        <v>1</v>
      </c>
      <c r="L689" s="631"/>
      <c r="M689" s="631"/>
      <c r="N689" s="666" t="s">
        <v>799</v>
      </c>
      <c r="O689" s="631">
        <f t="shared" si="43"/>
        <v>49.800000000000004</v>
      </c>
      <c r="P689" s="630" t="s">
        <v>12</v>
      </c>
    </row>
    <row r="690" spans="1:16" ht="13.5" thickBot="1" x14ac:dyDescent="0.25">
      <c r="A690" s="736"/>
      <c r="B690" s="737"/>
      <c r="C690" s="667"/>
      <c r="F690" s="666"/>
      <c r="G690" s="631"/>
      <c r="H690" s="631"/>
      <c r="I690" s="631"/>
      <c r="J690" s="631"/>
      <c r="K690" s="631"/>
      <c r="L690" s="631"/>
      <c r="M690" s="631"/>
      <c r="N690" s="666"/>
      <c r="O690" s="668">
        <f>ROUND((SUM(O683:O689)),2)</f>
        <v>205.13</v>
      </c>
      <c r="P690" s="669" t="s">
        <v>12</v>
      </c>
    </row>
    <row r="691" spans="1:16" ht="40.5" customHeight="1" x14ac:dyDescent="0.2">
      <c r="A691" s="734" t="s">
        <v>0</v>
      </c>
      <c r="B691" s="735" t="s">
        <v>1290</v>
      </c>
      <c r="C691" s="751" t="e">
        <f>#REF!</f>
        <v>#REF!</v>
      </c>
      <c r="D691" s="662" t="s">
        <v>799</v>
      </c>
      <c r="E691" s="663" t="s">
        <v>864</v>
      </c>
      <c r="F691" s="633"/>
      <c r="G691" s="664" t="s">
        <v>865</v>
      </c>
      <c r="H691" s="664"/>
      <c r="I691" s="664" t="s">
        <v>883</v>
      </c>
      <c r="J691" s="664"/>
      <c r="K691" s="664" t="s">
        <v>1067</v>
      </c>
      <c r="L691" s="664"/>
      <c r="M691" s="664"/>
      <c r="O691" s="631"/>
    </row>
    <row r="692" spans="1:16" x14ac:dyDescent="0.2">
      <c r="A692" s="736"/>
      <c r="B692" s="737"/>
      <c r="C692" s="790" t="s">
        <v>1622</v>
      </c>
      <c r="E692" s="661">
        <v>12</v>
      </c>
      <c r="F692" s="662" t="s">
        <v>866</v>
      </c>
      <c r="G692" s="631">
        <v>1</v>
      </c>
      <c r="H692" s="631" t="s">
        <v>866</v>
      </c>
      <c r="I692" s="631">
        <f>0.1+0.2+0.15</f>
        <v>0.45000000000000007</v>
      </c>
      <c r="J692" s="631" t="s">
        <v>866</v>
      </c>
      <c r="K692" s="631">
        <f>((PI()*(POWER(0.2,2)))/4)*E692</f>
        <v>0.37699111843077521</v>
      </c>
      <c r="L692" s="631"/>
      <c r="M692" s="631"/>
      <c r="N692" s="662" t="s">
        <v>799</v>
      </c>
      <c r="O692" s="631">
        <f>(E692*G692*I692)-K692</f>
        <v>5.0230088815692255</v>
      </c>
      <c r="P692" s="630" t="s">
        <v>12</v>
      </c>
    </row>
    <row r="693" spans="1:16" ht="13.5" thickBot="1" x14ac:dyDescent="0.25">
      <c r="A693" s="736"/>
      <c r="B693" s="737"/>
      <c r="C693" s="790" t="s">
        <v>1623</v>
      </c>
      <c r="E693" s="661">
        <v>12</v>
      </c>
      <c r="F693" s="662" t="s">
        <v>866</v>
      </c>
      <c r="G693" s="631">
        <v>1</v>
      </c>
      <c r="H693" s="631" t="s">
        <v>866</v>
      </c>
      <c r="I693" s="631">
        <f>0.1+0.2+0.15</f>
        <v>0.45000000000000007</v>
      </c>
      <c r="J693" s="631" t="s">
        <v>866</v>
      </c>
      <c r="K693" s="631">
        <f>((PI()*(POWER(0.2,2)))/4)*E693</f>
        <v>0.37699111843077521</v>
      </c>
      <c r="L693" s="631"/>
      <c r="M693" s="631"/>
      <c r="N693" s="662" t="s">
        <v>799</v>
      </c>
      <c r="O693" s="631">
        <f>(E693*G693*I693)-K693</f>
        <v>5.0230088815692255</v>
      </c>
      <c r="P693" s="630" t="s">
        <v>12</v>
      </c>
    </row>
    <row r="694" spans="1:16" ht="13.5" thickBot="1" x14ac:dyDescent="0.25">
      <c r="A694" s="736"/>
      <c r="B694" s="737"/>
      <c r="C694" s="737"/>
      <c r="F694" s="666"/>
      <c r="G694" s="631"/>
      <c r="H694" s="631"/>
      <c r="I694" s="631"/>
      <c r="J694" s="631"/>
      <c r="K694" s="631"/>
      <c r="L694" s="631"/>
      <c r="M694" s="631"/>
      <c r="N694" s="666"/>
      <c r="O694" s="668">
        <f>ROUND((SUM(O692:O693)),2)</f>
        <v>10.050000000000001</v>
      </c>
      <c r="P694" s="669" t="s">
        <v>12</v>
      </c>
    </row>
    <row r="695" spans="1:16" ht="59.25" customHeight="1" x14ac:dyDescent="0.2">
      <c r="A695" s="734" t="s">
        <v>0</v>
      </c>
      <c r="B695" s="735" t="s">
        <v>1291</v>
      </c>
      <c r="C695" s="751" t="e">
        <f>#REF!</f>
        <v>#REF!</v>
      </c>
      <c r="D695" s="662" t="s">
        <v>799</v>
      </c>
      <c r="E695" s="663" t="s">
        <v>864</v>
      </c>
      <c r="F695" s="633"/>
      <c r="G695" s="664" t="s">
        <v>865</v>
      </c>
      <c r="H695" s="664"/>
      <c r="I695" s="664" t="s">
        <v>883</v>
      </c>
      <c r="J695" s="664"/>
      <c r="K695" s="664" t="s">
        <v>628</v>
      </c>
      <c r="L695" s="664"/>
      <c r="M695" s="664" t="s">
        <v>977</v>
      </c>
      <c r="O695" s="631"/>
    </row>
    <row r="696" spans="1:16" x14ac:dyDescent="0.2">
      <c r="A696" s="736"/>
      <c r="B696" s="737"/>
      <c r="C696" s="665" t="s">
        <v>1095</v>
      </c>
      <c r="E696" s="661">
        <v>2</v>
      </c>
      <c r="F696" s="662" t="s">
        <v>866</v>
      </c>
      <c r="G696" s="631">
        <v>2</v>
      </c>
      <c r="H696" s="631" t="s">
        <v>866</v>
      </c>
      <c r="I696" s="631">
        <v>0.95</v>
      </c>
      <c r="J696" s="658" t="s">
        <v>866</v>
      </c>
      <c r="K696" s="631">
        <v>1</v>
      </c>
      <c r="L696" s="631" t="s">
        <v>866</v>
      </c>
      <c r="M696" s="631">
        <v>5</v>
      </c>
      <c r="N696" s="666" t="s">
        <v>799</v>
      </c>
      <c r="O696" s="631">
        <f t="shared" ref="O696:O702" si="44">E696*G696*I696*K696*M696</f>
        <v>19</v>
      </c>
      <c r="P696" s="630" t="s">
        <v>976</v>
      </c>
    </row>
    <row r="697" spans="1:16" x14ac:dyDescent="0.2">
      <c r="A697" s="736"/>
      <c r="B697" s="737"/>
      <c r="C697" s="665" t="s">
        <v>1621</v>
      </c>
      <c r="E697" s="661">
        <v>2.2000000000000002</v>
      </c>
      <c r="F697" s="662" t="s">
        <v>866</v>
      </c>
      <c r="G697" s="631">
        <v>1.9</v>
      </c>
      <c r="H697" s="631" t="s">
        <v>866</v>
      </c>
      <c r="I697" s="631">
        <v>1.05</v>
      </c>
      <c r="J697" s="658" t="s">
        <v>866</v>
      </c>
      <c r="K697" s="631">
        <v>1</v>
      </c>
      <c r="L697" s="631" t="s">
        <v>866</v>
      </c>
      <c r="M697" s="631">
        <v>5</v>
      </c>
      <c r="N697" s="666" t="s">
        <v>799</v>
      </c>
      <c r="O697" s="631">
        <f t="shared" si="44"/>
        <v>21.945</v>
      </c>
      <c r="P697" s="630" t="s">
        <v>976</v>
      </c>
    </row>
    <row r="698" spans="1:16" x14ac:dyDescent="0.2">
      <c r="A698" s="736"/>
      <c r="B698" s="737"/>
      <c r="C698" s="665" t="s">
        <v>1096</v>
      </c>
      <c r="E698" s="661">
        <v>5</v>
      </c>
      <c r="F698" s="662" t="s">
        <v>866</v>
      </c>
      <c r="G698" s="631">
        <v>3.2</v>
      </c>
      <c r="H698" s="631" t="s">
        <v>866</v>
      </c>
      <c r="I698" s="631">
        <v>2.25</v>
      </c>
      <c r="J698" s="658" t="s">
        <v>866</v>
      </c>
      <c r="K698" s="631">
        <v>1</v>
      </c>
      <c r="L698" s="631" t="s">
        <v>866</v>
      </c>
      <c r="M698" s="631">
        <v>5</v>
      </c>
      <c r="N698" s="666" t="s">
        <v>799</v>
      </c>
      <c r="O698" s="631">
        <f t="shared" si="44"/>
        <v>180</v>
      </c>
      <c r="P698" s="630" t="s">
        <v>976</v>
      </c>
    </row>
    <row r="699" spans="1:16" x14ac:dyDescent="0.2">
      <c r="A699" s="736"/>
      <c r="B699" s="737"/>
      <c r="C699" s="665" t="s">
        <v>1097</v>
      </c>
      <c r="E699" s="661">
        <v>9.6</v>
      </c>
      <c r="F699" s="662" t="s">
        <v>866</v>
      </c>
      <c r="G699" s="631">
        <v>2.8</v>
      </c>
      <c r="H699" s="631" t="s">
        <v>866</v>
      </c>
      <c r="I699" s="631">
        <v>1.25</v>
      </c>
      <c r="J699" s="658" t="s">
        <v>866</v>
      </c>
      <c r="K699" s="631">
        <v>1</v>
      </c>
      <c r="L699" s="631" t="s">
        <v>866</v>
      </c>
      <c r="M699" s="631">
        <v>5</v>
      </c>
      <c r="N699" s="666" t="s">
        <v>799</v>
      </c>
      <c r="O699" s="631">
        <f t="shared" si="44"/>
        <v>168</v>
      </c>
      <c r="P699" s="630" t="s">
        <v>976</v>
      </c>
    </row>
    <row r="700" spans="1:16" x14ac:dyDescent="0.2">
      <c r="A700" s="736"/>
      <c r="B700" s="737"/>
      <c r="C700" s="790" t="s">
        <v>1098</v>
      </c>
      <c r="E700" s="661">
        <v>6.1</v>
      </c>
      <c r="F700" s="662" t="s">
        <v>866</v>
      </c>
      <c r="G700" s="631">
        <v>3.55</v>
      </c>
      <c r="H700" s="631" t="s">
        <v>866</v>
      </c>
      <c r="I700" s="631">
        <v>2.5</v>
      </c>
      <c r="J700" s="658" t="s">
        <v>866</v>
      </c>
      <c r="K700" s="631">
        <v>1</v>
      </c>
      <c r="L700" s="631" t="s">
        <v>866</v>
      </c>
      <c r="M700" s="631">
        <v>5</v>
      </c>
      <c r="N700" s="666" t="s">
        <v>799</v>
      </c>
      <c r="O700" s="631">
        <f t="shared" si="44"/>
        <v>270.6875</v>
      </c>
      <c r="P700" s="630" t="s">
        <v>976</v>
      </c>
    </row>
    <row r="701" spans="1:16" x14ac:dyDescent="0.2">
      <c r="A701" s="736"/>
      <c r="B701" s="737"/>
      <c r="C701" s="790" t="s">
        <v>1622</v>
      </c>
      <c r="E701" s="661">
        <v>12</v>
      </c>
      <c r="F701" s="662" t="s">
        <v>866</v>
      </c>
      <c r="G701" s="631">
        <v>1</v>
      </c>
      <c r="H701" s="631" t="s">
        <v>866</v>
      </c>
      <c r="I701" s="631">
        <v>1.95</v>
      </c>
      <c r="J701" s="658" t="s">
        <v>866</v>
      </c>
      <c r="K701" s="631">
        <v>1</v>
      </c>
      <c r="L701" s="631" t="s">
        <v>866</v>
      </c>
      <c r="M701" s="631">
        <v>5</v>
      </c>
      <c r="N701" s="666" t="s">
        <v>799</v>
      </c>
      <c r="O701" s="631">
        <f t="shared" si="44"/>
        <v>117</v>
      </c>
      <c r="P701" s="630" t="s">
        <v>976</v>
      </c>
    </row>
    <row r="702" spans="1:16" ht="13.5" thickBot="1" x14ac:dyDescent="0.25">
      <c r="A702" s="736"/>
      <c r="B702" s="737"/>
      <c r="C702" s="790" t="s">
        <v>1623</v>
      </c>
      <c r="E702" s="661">
        <v>12</v>
      </c>
      <c r="F702" s="662" t="s">
        <v>866</v>
      </c>
      <c r="G702" s="631">
        <v>1</v>
      </c>
      <c r="H702" s="631" t="s">
        <v>866</v>
      </c>
      <c r="I702" s="631">
        <v>4.1500000000000004</v>
      </c>
      <c r="J702" s="658" t="s">
        <v>866</v>
      </c>
      <c r="K702" s="631">
        <v>1</v>
      </c>
      <c r="L702" s="631" t="s">
        <v>866</v>
      </c>
      <c r="M702" s="631">
        <v>5</v>
      </c>
      <c r="N702" s="666" t="s">
        <v>799</v>
      </c>
      <c r="O702" s="631">
        <f t="shared" si="44"/>
        <v>249.00000000000003</v>
      </c>
      <c r="P702" s="630" t="s">
        <v>976</v>
      </c>
    </row>
    <row r="703" spans="1:16" ht="13.5" thickBot="1" x14ac:dyDescent="0.25">
      <c r="A703" s="736"/>
      <c r="B703" s="737"/>
      <c r="C703" s="667"/>
      <c r="F703" s="666"/>
      <c r="G703" s="631"/>
      <c r="H703" s="631"/>
      <c r="I703" s="631"/>
      <c r="J703" s="631"/>
      <c r="K703" s="631"/>
      <c r="L703" s="631"/>
      <c r="M703" s="631"/>
      <c r="N703" s="666"/>
      <c r="O703" s="668">
        <f>ROUND((SUM(O696:O702)),2)</f>
        <v>1025.6300000000001</v>
      </c>
      <c r="P703" s="669" t="s">
        <v>976</v>
      </c>
    </row>
    <row r="704" spans="1:16" ht="32.25" customHeight="1" x14ac:dyDescent="0.2">
      <c r="A704" s="734" t="s">
        <v>0</v>
      </c>
      <c r="B704" s="735" t="s">
        <v>1292</v>
      </c>
      <c r="C704" s="751" t="e">
        <f>#REF!</f>
        <v>#REF!</v>
      </c>
      <c r="D704" s="662" t="s">
        <v>799</v>
      </c>
      <c r="E704" s="663" t="s">
        <v>864</v>
      </c>
      <c r="F704" s="633"/>
      <c r="G704" s="664" t="s">
        <v>865</v>
      </c>
      <c r="H704" s="664"/>
      <c r="I704" s="664" t="s">
        <v>883</v>
      </c>
      <c r="J704" s="664"/>
      <c r="K704" s="664" t="s">
        <v>628</v>
      </c>
      <c r="L704" s="664"/>
      <c r="M704" s="664"/>
      <c r="O704" s="631"/>
    </row>
    <row r="705" spans="1:16" x14ac:dyDescent="0.2">
      <c r="A705" s="736"/>
      <c r="B705" s="737"/>
      <c r="C705" s="665" t="s">
        <v>1095</v>
      </c>
      <c r="E705" s="661">
        <f>2+2+1+1</f>
        <v>6</v>
      </c>
      <c r="F705" s="662" t="s">
        <v>866</v>
      </c>
      <c r="G705" s="631">
        <v>0.5</v>
      </c>
      <c r="H705" s="631" t="s">
        <v>866</v>
      </c>
      <c r="I705" s="631">
        <v>0.9</v>
      </c>
      <c r="J705" s="658" t="s">
        <v>866</v>
      </c>
      <c r="K705" s="631">
        <v>1</v>
      </c>
      <c r="L705" s="631"/>
      <c r="M705" s="631"/>
      <c r="N705" s="666" t="s">
        <v>799</v>
      </c>
      <c r="O705" s="631">
        <f t="shared" ref="O705:O711" si="45">E705*G705*I705*K705</f>
        <v>2.7</v>
      </c>
      <c r="P705" s="630" t="s">
        <v>12</v>
      </c>
    </row>
    <row r="706" spans="1:16" x14ac:dyDescent="0.2">
      <c r="A706" s="736"/>
      <c r="B706" s="737"/>
      <c r="C706" s="665" t="s">
        <v>1621</v>
      </c>
      <c r="E706" s="661">
        <f>1.9+1.9+1.2</f>
        <v>5</v>
      </c>
      <c r="F706" s="662" t="s">
        <v>866</v>
      </c>
      <c r="G706" s="631">
        <v>0.5</v>
      </c>
      <c r="H706" s="631" t="s">
        <v>866</v>
      </c>
      <c r="I706" s="631">
        <v>1</v>
      </c>
      <c r="J706" s="658" t="s">
        <v>866</v>
      </c>
      <c r="K706" s="631">
        <v>1</v>
      </c>
      <c r="L706" s="631"/>
      <c r="M706" s="631"/>
      <c r="N706" s="666" t="s">
        <v>799</v>
      </c>
      <c r="O706" s="631">
        <f t="shared" si="45"/>
        <v>2.5</v>
      </c>
      <c r="P706" s="630" t="s">
        <v>12</v>
      </c>
    </row>
    <row r="707" spans="1:16" x14ac:dyDescent="0.2">
      <c r="A707" s="736"/>
      <c r="B707" s="737"/>
      <c r="C707" s="665" t="s">
        <v>1096</v>
      </c>
      <c r="E707" s="661">
        <f>3.2+3.2+3+3</f>
        <v>12.4</v>
      </c>
      <c r="F707" s="662" t="s">
        <v>866</v>
      </c>
      <c r="G707" s="631">
        <v>1</v>
      </c>
      <c r="H707" s="631" t="s">
        <v>866</v>
      </c>
      <c r="I707" s="631">
        <v>2.2000000000000002</v>
      </c>
      <c r="J707" s="658" t="s">
        <v>866</v>
      </c>
      <c r="K707" s="631">
        <v>1</v>
      </c>
      <c r="L707" s="631"/>
      <c r="M707" s="631"/>
      <c r="N707" s="666" t="s">
        <v>799</v>
      </c>
      <c r="O707" s="631">
        <f t="shared" si="45"/>
        <v>27.280000000000005</v>
      </c>
      <c r="P707" s="630" t="s">
        <v>12</v>
      </c>
    </row>
    <row r="708" spans="1:16" x14ac:dyDescent="0.2">
      <c r="A708" s="736"/>
      <c r="B708" s="737"/>
      <c r="C708" s="665" t="s">
        <v>1097</v>
      </c>
      <c r="E708" s="661">
        <f>9.6+9.6</f>
        <v>19.2</v>
      </c>
      <c r="F708" s="662" t="s">
        <v>866</v>
      </c>
      <c r="G708" s="631">
        <v>0.5</v>
      </c>
      <c r="H708" s="631" t="s">
        <v>866</v>
      </c>
      <c r="I708" s="631">
        <v>1.2</v>
      </c>
      <c r="J708" s="658" t="s">
        <v>866</v>
      </c>
      <c r="K708" s="631">
        <v>1</v>
      </c>
      <c r="L708" s="631"/>
      <c r="M708" s="631"/>
      <c r="N708" s="666" t="s">
        <v>799</v>
      </c>
      <c r="O708" s="631">
        <f t="shared" si="45"/>
        <v>11.52</v>
      </c>
      <c r="P708" s="630" t="s">
        <v>12</v>
      </c>
    </row>
    <row r="709" spans="1:16" x14ac:dyDescent="0.2">
      <c r="A709" s="736"/>
      <c r="B709" s="737"/>
      <c r="C709" s="790" t="s">
        <v>1098</v>
      </c>
      <c r="E709" s="661">
        <f>6.1+6.1+1.55+1.55</f>
        <v>15.3</v>
      </c>
      <c r="F709" s="662" t="s">
        <v>866</v>
      </c>
      <c r="G709" s="631">
        <v>1</v>
      </c>
      <c r="H709" s="631" t="s">
        <v>866</v>
      </c>
      <c r="I709" s="631">
        <v>2.4500000000000002</v>
      </c>
      <c r="J709" s="658" t="s">
        <v>866</v>
      </c>
      <c r="K709" s="631">
        <v>1</v>
      </c>
      <c r="L709" s="631"/>
      <c r="M709" s="631"/>
      <c r="N709" s="666" t="s">
        <v>799</v>
      </c>
      <c r="O709" s="631">
        <f t="shared" si="45"/>
        <v>37.485000000000007</v>
      </c>
      <c r="P709" s="630" t="s">
        <v>12</v>
      </c>
    </row>
    <row r="710" spans="1:16" x14ac:dyDescent="0.2">
      <c r="A710" s="736"/>
      <c r="B710" s="737"/>
      <c r="C710" s="790" t="s">
        <v>1622</v>
      </c>
      <c r="E710" s="661">
        <v>12</v>
      </c>
      <c r="F710" s="662" t="s">
        <v>866</v>
      </c>
      <c r="G710" s="631">
        <v>1</v>
      </c>
      <c r="H710" s="631" t="s">
        <v>866</v>
      </c>
      <c r="I710" s="631">
        <f>1.95-I692</f>
        <v>1.5</v>
      </c>
      <c r="J710" s="658" t="s">
        <v>866</v>
      </c>
      <c r="K710" s="631">
        <v>1</v>
      </c>
      <c r="L710" s="631"/>
      <c r="M710" s="631"/>
      <c r="N710" s="666" t="s">
        <v>799</v>
      </c>
      <c r="O710" s="631">
        <f t="shared" si="45"/>
        <v>18</v>
      </c>
      <c r="P710" s="630" t="s">
        <v>12</v>
      </c>
    </row>
    <row r="711" spans="1:16" ht="13.5" thickBot="1" x14ac:dyDescent="0.25">
      <c r="A711" s="736"/>
      <c r="B711" s="737"/>
      <c r="C711" s="790" t="s">
        <v>1623</v>
      </c>
      <c r="E711" s="661">
        <v>12</v>
      </c>
      <c r="F711" s="662" t="s">
        <v>866</v>
      </c>
      <c r="G711" s="631">
        <v>1</v>
      </c>
      <c r="H711" s="631" t="s">
        <v>866</v>
      </c>
      <c r="I711" s="631">
        <f>4.15-I693</f>
        <v>3.7</v>
      </c>
      <c r="J711" s="658" t="s">
        <v>866</v>
      </c>
      <c r="K711" s="631">
        <v>1</v>
      </c>
      <c r="L711" s="631"/>
      <c r="M711" s="631"/>
      <c r="N711" s="666" t="s">
        <v>799</v>
      </c>
      <c r="O711" s="631">
        <f t="shared" si="45"/>
        <v>44.400000000000006</v>
      </c>
      <c r="P711" s="630" t="s">
        <v>12</v>
      </c>
    </row>
    <row r="712" spans="1:16" ht="13.5" thickBot="1" x14ac:dyDescent="0.25">
      <c r="A712" s="736"/>
      <c r="B712" s="737"/>
      <c r="C712" s="667"/>
      <c r="F712" s="666"/>
      <c r="G712" s="631"/>
      <c r="H712" s="631"/>
      <c r="I712" s="631"/>
      <c r="J712" s="631"/>
      <c r="K712" s="631"/>
      <c r="L712" s="631"/>
      <c r="M712" s="631"/>
      <c r="N712" s="666"/>
      <c r="O712" s="668">
        <f>ROUND((SUM(O705:O711)),2)</f>
        <v>143.88999999999999</v>
      </c>
      <c r="P712" s="669" t="s">
        <v>12</v>
      </c>
    </row>
    <row r="713" spans="1:16" ht="33.75" customHeight="1" x14ac:dyDescent="0.2">
      <c r="A713" s="734" t="s">
        <v>0</v>
      </c>
      <c r="B713" s="735" t="s">
        <v>1293</v>
      </c>
      <c r="C713" s="751" t="e">
        <f>#REF!</f>
        <v>#REF!</v>
      </c>
      <c r="D713" s="662" t="s">
        <v>799</v>
      </c>
      <c r="E713" s="663" t="s">
        <v>864</v>
      </c>
      <c r="F713" s="633"/>
      <c r="G713" s="664" t="s">
        <v>865</v>
      </c>
      <c r="H713" s="664"/>
      <c r="I713" s="664" t="s">
        <v>883</v>
      </c>
      <c r="J713" s="664"/>
      <c r="K713" s="664" t="s">
        <v>628</v>
      </c>
      <c r="L713" s="664"/>
      <c r="M713" s="664"/>
      <c r="O713" s="631"/>
    </row>
    <row r="714" spans="1:16" x14ac:dyDescent="0.2">
      <c r="A714" s="736"/>
      <c r="B714" s="737"/>
      <c r="C714" s="665" t="s">
        <v>1095</v>
      </c>
      <c r="E714" s="661">
        <v>1</v>
      </c>
      <c r="F714" s="662" t="s">
        <v>866</v>
      </c>
      <c r="G714" s="631">
        <v>1</v>
      </c>
      <c r="H714" s="821" t="s">
        <v>866</v>
      </c>
      <c r="I714" s="820">
        <v>0.05</v>
      </c>
      <c r="J714" s="821" t="s">
        <v>866</v>
      </c>
      <c r="K714" s="820">
        <v>1</v>
      </c>
      <c r="L714" s="631"/>
      <c r="M714" s="631"/>
      <c r="N714" s="666" t="s">
        <v>799</v>
      </c>
      <c r="O714" s="631">
        <f>E714*G714*I714*K714</f>
        <v>0.05</v>
      </c>
      <c r="P714" s="630" t="s">
        <v>12</v>
      </c>
    </row>
    <row r="715" spans="1:16" x14ac:dyDescent="0.2">
      <c r="A715" s="736"/>
      <c r="B715" s="737"/>
      <c r="C715" s="665" t="s">
        <v>1621</v>
      </c>
      <c r="E715" s="661">
        <v>1.4</v>
      </c>
      <c r="F715" s="662" t="s">
        <v>866</v>
      </c>
      <c r="G715" s="631">
        <v>1.2</v>
      </c>
      <c r="H715" s="631" t="s">
        <v>866</v>
      </c>
      <c r="I715" s="631">
        <v>0.05</v>
      </c>
      <c r="J715" s="658" t="s">
        <v>866</v>
      </c>
      <c r="K715" s="631">
        <v>1</v>
      </c>
      <c r="L715" s="631"/>
      <c r="M715" s="631"/>
      <c r="N715" s="666" t="s">
        <v>799</v>
      </c>
      <c r="O715" s="631">
        <f t="shared" ref="O715" si="46">E715*G715*I715*K715</f>
        <v>8.4000000000000005E-2</v>
      </c>
      <c r="P715" s="630" t="s">
        <v>12</v>
      </c>
    </row>
    <row r="716" spans="1:16" x14ac:dyDescent="0.2">
      <c r="A716" s="736"/>
      <c r="B716" s="737"/>
      <c r="C716" s="665" t="s">
        <v>1096</v>
      </c>
      <c r="E716" s="661">
        <v>3</v>
      </c>
      <c r="F716" s="662" t="s">
        <v>866</v>
      </c>
      <c r="G716" s="631">
        <v>1.2</v>
      </c>
      <c r="H716" s="821" t="s">
        <v>866</v>
      </c>
      <c r="I716" s="820">
        <v>0.05</v>
      </c>
      <c r="J716" s="821" t="s">
        <v>866</v>
      </c>
      <c r="K716" s="820">
        <v>1</v>
      </c>
      <c r="L716" s="631"/>
      <c r="M716" s="631"/>
      <c r="N716" s="666" t="s">
        <v>799</v>
      </c>
      <c r="O716" s="631">
        <f>E716*G716*I716*K716</f>
        <v>0.18</v>
      </c>
      <c r="P716" s="630" t="s">
        <v>12</v>
      </c>
    </row>
    <row r="717" spans="1:16" x14ac:dyDescent="0.2">
      <c r="A717" s="736"/>
      <c r="B717" s="737"/>
      <c r="C717" s="665" t="s">
        <v>1097</v>
      </c>
      <c r="E717" s="661">
        <v>9.8000000000000007</v>
      </c>
      <c r="F717" s="662" t="s">
        <v>866</v>
      </c>
      <c r="G717" s="631">
        <v>1.8</v>
      </c>
      <c r="H717" s="821" t="s">
        <v>866</v>
      </c>
      <c r="I717" s="820">
        <v>0.05</v>
      </c>
      <c r="J717" s="821" t="s">
        <v>866</v>
      </c>
      <c r="K717" s="820">
        <v>1</v>
      </c>
      <c r="L717" s="631"/>
      <c r="M717" s="631"/>
      <c r="N717" s="666" t="s">
        <v>799</v>
      </c>
      <c r="O717" s="631">
        <f>E717*G717*I717*K717</f>
        <v>0.88200000000000012</v>
      </c>
      <c r="P717" s="630" t="s">
        <v>12</v>
      </c>
    </row>
    <row r="718" spans="1:16" ht="13.5" thickBot="1" x14ac:dyDescent="0.25">
      <c r="A718" s="736"/>
      <c r="B718" s="737"/>
      <c r="C718" s="790" t="s">
        <v>1098</v>
      </c>
      <c r="E718" s="661">
        <v>4.0999999999999996</v>
      </c>
      <c r="F718" s="662" t="s">
        <v>866</v>
      </c>
      <c r="G718" s="631">
        <v>1.55</v>
      </c>
      <c r="H718" s="821" t="s">
        <v>866</v>
      </c>
      <c r="I718" s="820">
        <v>0.05</v>
      </c>
      <c r="J718" s="821" t="s">
        <v>866</v>
      </c>
      <c r="K718" s="820">
        <v>1</v>
      </c>
      <c r="L718" s="631"/>
      <c r="M718" s="631"/>
      <c r="N718" s="666" t="s">
        <v>799</v>
      </c>
      <c r="O718" s="631">
        <f>E718*G718*I718*K718</f>
        <v>0.31774999999999998</v>
      </c>
      <c r="P718" s="630" t="s">
        <v>12</v>
      </c>
    </row>
    <row r="719" spans="1:16" ht="13.5" thickBot="1" x14ac:dyDescent="0.25">
      <c r="A719" s="736"/>
      <c r="B719" s="737"/>
      <c r="C719" s="667"/>
      <c r="F719" s="666"/>
      <c r="G719" s="631"/>
      <c r="H719" s="631"/>
      <c r="I719" s="631"/>
      <c r="J719" s="631"/>
      <c r="K719" s="631"/>
      <c r="L719" s="631"/>
      <c r="M719" s="631"/>
      <c r="N719" s="666"/>
      <c r="O719" s="668">
        <f>ROUND((SUM(O714:O718)),2)</f>
        <v>1.51</v>
      </c>
      <c r="P719" s="669" t="s">
        <v>12</v>
      </c>
    </row>
    <row r="720" spans="1:16" ht="35.25" customHeight="1" x14ac:dyDescent="0.2">
      <c r="A720" s="734" t="s">
        <v>0</v>
      </c>
      <c r="B720" s="735" t="s">
        <v>1294</v>
      </c>
      <c r="C720" s="751" t="e">
        <f>#REF!</f>
        <v>#REF!</v>
      </c>
      <c r="D720" s="662" t="s">
        <v>799</v>
      </c>
      <c r="E720" s="663" t="s">
        <v>864</v>
      </c>
      <c r="F720" s="633"/>
      <c r="G720" s="664" t="s">
        <v>865</v>
      </c>
      <c r="H720" s="664"/>
      <c r="I720" s="664" t="s">
        <v>883</v>
      </c>
      <c r="J720" s="664"/>
      <c r="K720" s="664" t="s">
        <v>628</v>
      </c>
      <c r="L720" s="664"/>
      <c r="M720" s="664"/>
      <c r="O720" s="631"/>
    </row>
    <row r="721" spans="1:16" x14ac:dyDescent="0.2">
      <c r="A721" s="736"/>
      <c r="B721" s="737"/>
      <c r="C721" s="665" t="s">
        <v>1095</v>
      </c>
      <c r="E721" s="661">
        <v>1</v>
      </c>
      <c r="F721" s="662" t="s">
        <v>866</v>
      </c>
      <c r="G721" s="631">
        <v>1</v>
      </c>
      <c r="H721" s="631" t="s">
        <v>866</v>
      </c>
      <c r="I721" s="631">
        <v>0.1</v>
      </c>
      <c r="J721" s="658" t="s">
        <v>866</v>
      </c>
      <c r="K721" s="631">
        <v>2</v>
      </c>
      <c r="L721" s="631"/>
      <c r="M721" s="631"/>
      <c r="N721" s="666" t="s">
        <v>799</v>
      </c>
      <c r="O721" s="631">
        <f>E721*G721*I721*K721</f>
        <v>0.2</v>
      </c>
      <c r="P721" s="630" t="s">
        <v>12</v>
      </c>
    </row>
    <row r="722" spans="1:16" x14ac:dyDescent="0.2">
      <c r="A722" s="736"/>
      <c r="B722" s="737"/>
      <c r="C722" s="665"/>
      <c r="E722" s="661">
        <v>0.8</v>
      </c>
      <c r="F722" s="662" t="s">
        <v>866</v>
      </c>
      <c r="G722" s="631">
        <v>0.8</v>
      </c>
      <c r="H722" s="631" t="s">
        <v>866</v>
      </c>
      <c r="I722" s="631">
        <v>0.1</v>
      </c>
      <c r="J722" s="658" t="s">
        <v>866</v>
      </c>
      <c r="K722" s="631">
        <v>2</v>
      </c>
      <c r="L722" s="631"/>
      <c r="M722" s="631"/>
      <c r="N722" s="666" t="s">
        <v>799</v>
      </c>
      <c r="O722" s="631">
        <f>E722*G722*I722*K722</f>
        <v>0.12800000000000003</v>
      </c>
      <c r="P722" s="630" t="s">
        <v>12</v>
      </c>
    </row>
    <row r="723" spans="1:16" x14ac:dyDescent="0.2">
      <c r="A723" s="736"/>
      <c r="B723" s="737"/>
      <c r="C723" s="665"/>
      <c r="E723" s="661">
        <v>1</v>
      </c>
      <c r="F723" s="662" t="s">
        <v>866</v>
      </c>
      <c r="G723" s="631">
        <v>0.8</v>
      </c>
      <c r="H723" s="631" t="s">
        <v>866</v>
      </c>
      <c r="I723" s="631">
        <v>0.1</v>
      </c>
      <c r="J723" s="658" t="s">
        <v>866</v>
      </c>
      <c r="K723" s="631">
        <v>2</v>
      </c>
      <c r="L723" s="631"/>
      <c r="M723" s="631"/>
      <c r="N723" s="666" t="s">
        <v>799</v>
      </c>
      <c r="O723" s="631">
        <f t="shared" ref="O723:O743" si="47">E723*G723*I723*K723</f>
        <v>0.16000000000000003</v>
      </c>
      <c r="P723" s="630" t="s">
        <v>12</v>
      </c>
    </row>
    <row r="724" spans="1:16" x14ac:dyDescent="0.2">
      <c r="A724" s="736"/>
      <c r="B724" s="737"/>
      <c r="C724" s="665" t="s">
        <v>1621</v>
      </c>
      <c r="E724" s="661">
        <v>1.4</v>
      </c>
      <c r="F724" s="662" t="s">
        <v>866</v>
      </c>
      <c r="G724" s="631">
        <v>1.2</v>
      </c>
      <c r="H724" s="631" t="s">
        <v>866</v>
      </c>
      <c r="I724" s="631">
        <v>0.2</v>
      </c>
      <c r="J724" s="658" t="s">
        <v>866</v>
      </c>
      <c r="K724" s="631">
        <v>1</v>
      </c>
      <c r="L724" s="631"/>
      <c r="M724" s="631"/>
      <c r="N724" s="666" t="s">
        <v>799</v>
      </c>
      <c r="O724" s="631">
        <f>E724*G724*I724*K724</f>
        <v>0.33600000000000002</v>
      </c>
      <c r="P724" s="630" t="s">
        <v>12</v>
      </c>
    </row>
    <row r="725" spans="1:16" x14ac:dyDescent="0.2">
      <c r="A725" s="736"/>
      <c r="B725" s="737"/>
      <c r="C725" s="665"/>
      <c r="E725" s="661">
        <v>1.4</v>
      </c>
      <c r="F725" s="662" t="s">
        <v>866</v>
      </c>
      <c r="G725" s="631">
        <v>0.8</v>
      </c>
      <c r="H725" s="631" t="s">
        <v>866</v>
      </c>
      <c r="I725" s="631">
        <v>0.2</v>
      </c>
      <c r="J725" s="658" t="s">
        <v>866</v>
      </c>
      <c r="K725" s="631">
        <v>2</v>
      </c>
      <c r="L725" s="631"/>
      <c r="M725" s="631"/>
      <c r="N725" s="666" t="s">
        <v>799</v>
      </c>
      <c r="O725" s="631">
        <f>E725*G725*I725*K725</f>
        <v>0.44799999999999995</v>
      </c>
      <c r="P725" s="630" t="s">
        <v>12</v>
      </c>
    </row>
    <row r="726" spans="1:16" x14ac:dyDescent="0.2">
      <c r="A726" s="736"/>
      <c r="B726" s="737"/>
      <c r="C726" s="665"/>
      <c r="E726" s="661">
        <v>0.8</v>
      </c>
      <c r="F726" s="662" t="s">
        <v>866</v>
      </c>
      <c r="G726" s="631">
        <v>0.8</v>
      </c>
      <c r="H726" s="631" t="s">
        <v>866</v>
      </c>
      <c r="I726" s="631">
        <v>0.2</v>
      </c>
      <c r="J726" s="658" t="s">
        <v>866</v>
      </c>
      <c r="K726" s="631">
        <v>1</v>
      </c>
      <c r="L726" s="631"/>
      <c r="M726" s="631"/>
      <c r="N726" s="666" t="s">
        <v>799</v>
      </c>
      <c r="O726" s="631">
        <f t="shared" ref="O726" si="48">E726*G726*I726*K726</f>
        <v>0.12800000000000003</v>
      </c>
      <c r="P726" s="630" t="s">
        <v>12</v>
      </c>
    </row>
    <row r="727" spans="1:16" x14ac:dyDescent="0.2">
      <c r="A727" s="736"/>
      <c r="B727" s="737"/>
      <c r="C727" s="665" t="s">
        <v>1096</v>
      </c>
      <c r="E727" s="661">
        <v>3</v>
      </c>
      <c r="F727" s="662" t="s">
        <v>866</v>
      </c>
      <c r="G727" s="631">
        <v>1.2</v>
      </c>
      <c r="H727" s="631" t="s">
        <v>866</v>
      </c>
      <c r="I727" s="631">
        <v>0.15</v>
      </c>
      <c r="J727" s="658" t="s">
        <v>866</v>
      </c>
      <c r="K727" s="631">
        <v>1</v>
      </c>
      <c r="L727" s="631"/>
      <c r="M727" s="631"/>
      <c r="N727" s="666" t="s">
        <v>799</v>
      </c>
      <c r="O727" s="631">
        <f t="shared" si="47"/>
        <v>0.53999999999999992</v>
      </c>
      <c r="P727" s="630" t="s">
        <v>12</v>
      </c>
    </row>
    <row r="728" spans="1:16" x14ac:dyDescent="0.2">
      <c r="A728" s="736"/>
      <c r="B728" s="737"/>
      <c r="C728" s="665"/>
      <c r="E728" s="661">
        <v>1.7</v>
      </c>
      <c r="F728" s="662" t="s">
        <v>866</v>
      </c>
      <c r="G728" s="631">
        <v>0.8</v>
      </c>
      <c r="H728" s="631" t="s">
        <v>866</v>
      </c>
      <c r="I728" s="631">
        <v>0.2</v>
      </c>
      <c r="J728" s="658" t="s">
        <v>866</v>
      </c>
      <c r="K728" s="631">
        <v>1</v>
      </c>
      <c r="L728" s="631"/>
      <c r="M728" s="631"/>
      <c r="N728" s="666" t="s">
        <v>799</v>
      </c>
      <c r="O728" s="631">
        <f t="shared" si="47"/>
        <v>0.27200000000000002</v>
      </c>
      <c r="P728" s="630" t="s">
        <v>12</v>
      </c>
    </row>
    <row r="729" spans="1:16" x14ac:dyDescent="0.2">
      <c r="A729" s="736"/>
      <c r="B729" s="737"/>
      <c r="C729" s="665"/>
      <c r="E729" s="661">
        <v>2</v>
      </c>
      <c r="F729" s="662" t="s">
        <v>866</v>
      </c>
      <c r="G729" s="631">
        <v>0.8</v>
      </c>
      <c r="H729" s="631" t="s">
        <v>866</v>
      </c>
      <c r="I729" s="631">
        <v>0.2</v>
      </c>
      <c r="J729" s="658" t="s">
        <v>866</v>
      </c>
      <c r="K729" s="631">
        <v>2</v>
      </c>
      <c r="L729" s="631"/>
      <c r="M729" s="631"/>
      <c r="N729" s="666" t="s">
        <v>799</v>
      </c>
      <c r="O729" s="631">
        <f t="shared" si="47"/>
        <v>0.64000000000000012</v>
      </c>
      <c r="P729" s="630" t="s">
        <v>12</v>
      </c>
    </row>
    <row r="730" spans="1:16" x14ac:dyDescent="0.2">
      <c r="A730" s="736"/>
      <c r="B730" s="737"/>
      <c r="C730" s="665"/>
      <c r="E730" s="661">
        <v>1.7</v>
      </c>
      <c r="F730" s="662" t="s">
        <v>866</v>
      </c>
      <c r="G730" s="631">
        <v>1.6</v>
      </c>
      <c r="H730" s="631" t="s">
        <v>866</v>
      </c>
      <c r="I730" s="631">
        <v>0.2</v>
      </c>
      <c r="J730" s="658" t="s">
        <v>866</v>
      </c>
      <c r="K730" s="631">
        <v>2</v>
      </c>
      <c r="L730" s="631"/>
      <c r="M730" s="631"/>
      <c r="N730" s="666" t="s">
        <v>799</v>
      </c>
      <c r="O730" s="631">
        <f t="shared" si="47"/>
        <v>1.0880000000000001</v>
      </c>
      <c r="P730" s="630" t="s">
        <v>12</v>
      </c>
    </row>
    <row r="731" spans="1:16" x14ac:dyDescent="0.2">
      <c r="A731" s="736"/>
      <c r="B731" s="737"/>
      <c r="C731" s="665"/>
      <c r="E731" s="661">
        <v>2</v>
      </c>
      <c r="F731" s="662" t="s">
        <v>866</v>
      </c>
      <c r="G731" s="631">
        <v>1.4</v>
      </c>
      <c r="H731" s="631" t="s">
        <v>866</v>
      </c>
      <c r="I731" s="631">
        <v>0.2</v>
      </c>
      <c r="J731" s="658" t="s">
        <v>866</v>
      </c>
      <c r="K731" s="631">
        <v>2</v>
      </c>
      <c r="L731" s="631"/>
      <c r="M731" s="631"/>
      <c r="N731" s="666" t="s">
        <v>799</v>
      </c>
      <c r="O731" s="631">
        <f t="shared" si="47"/>
        <v>1.1199999999999999</v>
      </c>
      <c r="P731" s="630" t="s">
        <v>12</v>
      </c>
    </row>
    <row r="732" spans="1:16" x14ac:dyDescent="0.2">
      <c r="A732" s="736"/>
      <c r="B732" s="737"/>
      <c r="C732" s="665"/>
      <c r="E732" s="661">
        <v>1.6</v>
      </c>
      <c r="F732" s="662" t="s">
        <v>866</v>
      </c>
      <c r="G732" s="631">
        <v>1.2</v>
      </c>
      <c r="H732" s="631" t="s">
        <v>866</v>
      </c>
      <c r="I732" s="631">
        <v>0.2</v>
      </c>
      <c r="J732" s="658" t="s">
        <v>866</v>
      </c>
      <c r="K732" s="631">
        <v>1</v>
      </c>
      <c r="L732" s="631"/>
      <c r="M732" s="631"/>
      <c r="N732" s="666" t="s">
        <v>799</v>
      </c>
      <c r="O732" s="631">
        <f t="shared" si="47"/>
        <v>0.38400000000000001</v>
      </c>
      <c r="P732" s="630" t="s">
        <v>12</v>
      </c>
    </row>
    <row r="733" spans="1:16" x14ac:dyDescent="0.2">
      <c r="A733" s="736"/>
      <c r="B733" s="737"/>
      <c r="C733" s="665"/>
      <c r="E733" s="661">
        <v>1.4</v>
      </c>
      <c r="F733" s="662" t="s">
        <v>866</v>
      </c>
      <c r="G733" s="631">
        <v>1.2</v>
      </c>
      <c r="H733" s="631" t="s">
        <v>866</v>
      </c>
      <c r="I733" s="631">
        <v>0.2</v>
      </c>
      <c r="J733" s="658" t="s">
        <v>866</v>
      </c>
      <c r="K733" s="631">
        <v>1</v>
      </c>
      <c r="L733" s="631"/>
      <c r="M733" s="631"/>
      <c r="N733" s="666" t="s">
        <v>799</v>
      </c>
      <c r="O733" s="631">
        <f t="shared" si="47"/>
        <v>0.33600000000000002</v>
      </c>
      <c r="P733" s="630" t="s">
        <v>12</v>
      </c>
    </row>
    <row r="734" spans="1:16" x14ac:dyDescent="0.2">
      <c r="A734" s="736"/>
      <c r="B734" s="737"/>
      <c r="C734" s="665" t="s">
        <v>1097</v>
      </c>
      <c r="E734" s="661">
        <v>9.6</v>
      </c>
      <c r="F734" s="662" t="s">
        <v>866</v>
      </c>
      <c r="G734" s="631">
        <v>1.8</v>
      </c>
      <c r="H734" s="631" t="s">
        <v>866</v>
      </c>
      <c r="I734" s="631">
        <v>0.2</v>
      </c>
      <c r="J734" s="658" t="s">
        <v>866</v>
      </c>
      <c r="K734" s="631">
        <v>1</v>
      </c>
      <c r="L734" s="631"/>
      <c r="M734" s="631"/>
      <c r="N734" s="666" t="s">
        <v>799</v>
      </c>
      <c r="O734" s="631">
        <f t="shared" si="47"/>
        <v>3.4560000000000004</v>
      </c>
      <c r="P734" s="630" t="s">
        <v>12</v>
      </c>
    </row>
    <row r="735" spans="1:16" x14ac:dyDescent="0.2">
      <c r="A735" s="736"/>
      <c r="B735" s="737"/>
      <c r="C735" s="665"/>
      <c r="E735" s="661">
        <v>9.6</v>
      </c>
      <c r="F735" s="662" t="s">
        <v>866</v>
      </c>
      <c r="G735" s="631">
        <v>1</v>
      </c>
      <c r="H735" s="631" t="s">
        <v>866</v>
      </c>
      <c r="I735" s="631">
        <v>0.2</v>
      </c>
      <c r="J735" s="658" t="s">
        <v>866</v>
      </c>
      <c r="K735" s="631">
        <v>3</v>
      </c>
      <c r="L735" s="631"/>
      <c r="M735" s="631"/>
      <c r="N735" s="666" t="s">
        <v>799</v>
      </c>
      <c r="O735" s="631">
        <f t="shared" si="47"/>
        <v>5.76</v>
      </c>
      <c r="P735" s="630" t="s">
        <v>12</v>
      </c>
    </row>
    <row r="736" spans="1:16" x14ac:dyDescent="0.2">
      <c r="A736" s="736"/>
      <c r="B736" s="737"/>
      <c r="C736" s="665"/>
      <c r="E736" s="661">
        <v>0.8</v>
      </c>
      <c r="F736" s="662" t="s">
        <v>866</v>
      </c>
      <c r="G736" s="631">
        <v>0.6</v>
      </c>
      <c r="H736" s="631" t="s">
        <v>866</v>
      </c>
      <c r="I736" s="631">
        <v>0.1</v>
      </c>
      <c r="J736" s="658" t="s">
        <v>866</v>
      </c>
      <c r="K736" s="631">
        <v>2</v>
      </c>
      <c r="L736" s="631"/>
      <c r="M736" s="631"/>
      <c r="N736" s="666" t="s">
        <v>799</v>
      </c>
      <c r="O736" s="631">
        <f t="shared" si="47"/>
        <v>9.6000000000000002E-2</v>
      </c>
      <c r="P736" s="630" t="s">
        <v>12</v>
      </c>
    </row>
    <row r="737" spans="1:16" x14ac:dyDescent="0.2">
      <c r="A737" s="736"/>
      <c r="B737" s="737"/>
      <c r="C737" s="665"/>
      <c r="E737" s="661">
        <v>0.6</v>
      </c>
      <c r="F737" s="662" t="s">
        <v>866</v>
      </c>
      <c r="G737" s="631">
        <v>0.3</v>
      </c>
      <c r="H737" s="631" t="s">
        <v>866</v>
      </c>
      <c r="I737" s="631">
        <v>0.2</v>
      </c>
      <c r="J737" s="658" t="s">
        <v>866</v>
      </c>
      <c r="K737" s="631">
        <v>2</v>
      </c>
      <c r="L737" s="631"/>
      <c r="M737" s="631"/>
      <c r="N737" s="666" t="s">
        <v>799</v>
      </c>
      <c r="O737" s="631">
        <f t="shared" si="47"/>
        <v>7.1999999999999995E-2</v>
      </c>
      <c r="P737" s="630" t="s">
        <v>12</v>
      </c>
    </row>
    <row r="738" spans="1:16" x14ac:dyDescent="0.2">
      <c r="A738" s="736"/>
      <c r="B738" s="737"/>
      <c r="C738" s="790" t="s">
        <v>1098</v>
      </c>
      <c r="E738" s="661">
        <v>4.0999999999999996</v>
      </c>
      <c r="F738" s="662" t="s">
        <v>866</v>
      </c>
      <c r="G738" s="631">
        <v>1.55</v>
      </c>
      <c r="H738" s="631" t="s">
        <v>866</v>
      </c>
      <c r="I738" s="631">
        <v>0.15</v>
      </c>
      <c r="J738" s="658" t="s">
        <v>866</v>
      </c>
      <c r="K738" s="631">
        <v>1</v>
      </c>
      <c r="L738" s="631"/>
      <c r="M738" s="631"/>
      <c r="N738" s="666" t="s">
        <v>799</v>
      </c>
      <c r="O738" s="631">
        <f t="shared" si="47"/>
        <v>0.95324999999999993</v>
      </c>
      <c r="P738" s="630" t="s">
        <v>12</v>
      </c>
    </row>
    <row r="739" spans="1:16" x14ac:dyDescent="0.2">
      <c r="A739" s="736"/>
      <c r="B739" s="737"/>
      <c r="C739" s="790"/>
      <c r="E739" s="661">
        <v>4.0999999999999996</v>
      </c>
      <c r="F739" s="662" t="s">
        <v>866</v>
      </c>
      <c r="G739" s="631">
        <v>1.55</v>
      </c>
      <c r="H739" s="631" t="s">
        <v>866</v>
      </c>
      <c r="I739" s="631">
        <v>0.2</v>
      </c>
      <c r="J739" s="658" t="s">
        <v>866</v>
      </c>
      <c r="K739" s="631">
        <v>1</v>
      </c>
      <c r="L739" s="631"/>
      <c r="M739" s="631"/>
      <c r="N739" s="666" t="s">
        <v>799</v>
      </c>
      <c r="O739" s="631">
        <f t="shared" si="47"/>
        <v>1.2709999999999999</v>
      </c>
      <c r="P739" s="630" t="s">
        <v>12</v>
      </c>
    </row>
    <row r="740" spans="1:16" x14ac:dyDescent="0.2">
      <c r="A740" s="736"/>
      <c r="B740" s="737"/>
      <c r="C740" s="790"/>
      <c r="E740" s="661">
        <v>1.95</v>
      </c>
      <c r="F740" s="662" t="s">
        <v>866</v>
      </c>
      <c r="G740" s="631">
        <v>1.1499999999999999</v>
      </c>
      <c r="H740" s="631" t="s">
        <v>866</v>
      </c>
      <c r="I740" s="631">
        <v>0.2</v>
      </c>
      <c r="J740" s="658" t="s">
        <v>866</v>
      </c>
      <c r="K740" s="631">
        <v>2</v>
      </c>
      <c r="L740" s="631"/>
      <c r="M740" s="631"/>
      <c r="N740" s="666" t="s">
        <v>799</v>
      </c>
      <c r="O740" s="631">
        <f t="shared" si="47"/>
        <v>0.89699999999999991</v>
      </c>
      <c r="P740" s="630" t="s">
        <v>12</v>
      </c>
    </row>
    <row r="741" spans="1:16" x14ac:dyDescent="0.2">
      <c r="A741" s="736"/>
      <c r="B741" s="737"/>
      <c r="C741" s="790"/>
      <c r="E741" s="661">
        <v>2.25</v>
      </c>
      <c r="F741" s="662" t="s">
        <v>866</v>
      </c>
      <c r="G741" s="631">
        <v>1.1499999999999999</v>
      </c>
      <c r="H741" s="631" t="s">
        <v>866</v>
      </c>
      <c r="I741" s="631">
        <v>0.2</v>
      </c>
      <c r="J741" s="658" t="s">
        <v>866</v>
      </c>
      <c r="K741" s="631">
        <v>2</v>
      </c>
      <c r="L741" s="631"/>
      <c r="M741" s="631"/>
      <c r="N741" s="666" t="s">
        <v>799</v>
      </c>
      <c r="O741" s="631">
        <f t="shared" si="47"/>
        <v>1.0349999999999999</v>
      </c>
      <c r="P741" s="630" t="s">
        <v>12</v>
      </c>
    </row>
    <row r="742" spans="1:16" x14ac:dyDescent="0.2">
      <c r="A742" s="736"/>
      <c r="B742" s="737"/>
      <c r="C742" s="790"/>
      <c r="E742" s="661">
        <v>2.7</v>
      </c>
      <c r="F742" s="662" t="s">
        <v>866</v>
      </c>
      <c r="G742" s="631">
        <v>1.95</v>
      </c>
      <c r="H742" s="631" t="s">
        <v>866</v>
      </c>
      <c r="I742" s="631">
        <v>0.2</v>
      </c>
      <c r="J742" s="658" t="s">
        <v>866</v>
      </c>
      <c r="K742" s="631">
        <v>2</v>
      </c>
      <c r="L742" s="631"/>
      <c r="M742" s="631"/>
      <c r="N742" s="666" t="s">
        <v>799</v>
      </c>
      <c r="O742" s="631">
        <f t="shared" si="47"/>
        <v>2.1060000000000003</v>
      </c>
      <c r="P742" s="630" t="s">
        <v>12</v>
      </c>
    </row>
    <row r="743" spans="1:16" ht="13.5" thickBot="1" x14ac:dyDescent="0.25">
      <c r="A743" s="736"/>
      <c r="B743" s="737"/>
      <c r="C743" s="790"/>
      <c r="E743" s="661">
        <v>2.25</v>
      </c>
      <c r="F743" s="662" t="s">
        <v>866</v>
      </c>
      <c r="G743" s="631">
        <v>1.4</v>
      </c>
      <c r="H743" s="631" t="s">
        <v>866</v>
      </c>
      <c r="I743" s="631">
        <v>0.2</v>
      </c>
      <c r="J743" s="658" t="s">
        <v>866</v>
      </c>
      <c r="K743" s="631">
        <v>2</v>
      </c>
      <c r="L743" s="631"/>
      <c r="M743" s="631"/>
      <c r="N743" s="666" t="s">
        <v>799</v>
      </c>
      <c r="O743" s="631">
        <f t="shared" si="47"/>
        <v>1.26</v>
      </c>
      <c r="P743" s="630" t="s">
        <v>12</v>
      </c>
    </row>
    <row r="744" spans="1:16" ht="13.5" thickBot="1" x14ac:dyDescent="0.25">
      <c r="A744" s="736"/>
      <c r="B744" s="737"/>
      <c r="C744" s="667"/>
      <c r="F744" s="666"/>
      <c r="G744" s="631"/>
      <c r="H744" s="631"/>
      <c r="I744" s="631"/>
      <c r="J744" s="631"/>
      <c r="K744" s="631"/>
      <c r="L744" s="631"/>
      <c r="M744" s="631"/>
      <c r="N744" s="666"/>
      <c r="O744" s="668">
        <f>ROUND((SUM(O721:O743)),2)</f>
        <v>22.69</v>
      </c>
      <c r="P744" s="669" t="s">
        <v>12</v>
      </c>
    </row>
    <row r="745" spans="1:16" ht="78.75" customHeight="1" thickBot="1" x14ac:dyDescent="0.25">
      <c r="A745" s="734" t="s">
        <v>0</v>
      </c>
      <c r="B745" s="735" t="s">
        <v>1295</v>
      </c>
      <c r="C745" s="751" t="e">
        <f>#REF!</f>
        <v>#REF!</v>
      </c>
      <c r="D745" s="662" t="s">
        <v>799</v>
      </c>
      <c r="E745" s="663" t="s">
        <v>888</v>
      </c>
      <c r="F745" s="633"/>
      <c r="G745" s="664"/>
      <c r="H745" s="664"/>
      <c r="I745" s="664"/>
      <c r="J745" s="664"/>
      <c r="K745" s="664"/>
      <c r="L745" s="664"/>
      <c r="M745" s="664"/>
      <c r="O745" s="631"/>
    </row>
    <row r="746" spans="1:16" ht="13.5" thickBot="1" x14ac:dyDescent="0.25">
      <c r="A746" s="736"/>
      <c r="B746" s="737"/>
      <c r="C746" s="665" t="s">
        <v>895</v>
      </c>
      <c r="E746" s="629">
        <v>3242.37</v>
      </c>
      <c r="F746" s="662"/>
      <c r="G746" s="1908" t="s">
        <v>1075</v>
      </c>
      <c r="H746" s="1909"/>
      <c r="I746" s="1909"/>
      <c r="J746" s="1909"/>
      <c r="K746" s="1910"/>
      <c r="L746" s="631"/>
      <c r="M746" s="631"/>
      <c r="N746" s="666" t="s">
        <v>799</v>
      </c>
      <c r="O746" s="631">
        <f>E746</f>
        <v>3242.37</v>
      </c>
      <c r="P746" s="630" t="s">
        <v>7</v>
      </c>
    </row>
    <row r="747" spans="1:16" ht="13.5" thickBot="1" x14ac:dyDescent="0.25">
      <c r="A747" s="736"/>
      <c r="B747" s="737"/>
      <c r="C747" s="667"/>
      <c r="F747" s="666"/>
      <c r="G747" s="631"/>
      <c r="H747" s="631"/>
      <c r="I747" s="631"/>
      <c r="J747" s="631"/>
      <c r="K747" s="631"/>
      <c r="L747" s="631"/>
      <c r="M747" s="631"/>
      <c r="N747" s="666"/>
      <c r="O747" s="668">
        <f>ROUND((SUM(O746:O746)),2)</f>
        <v>3242.37</v>
      </c>
      <c r="P747" s="669" t="s">
        <v>7</v>
      </c>
    </row>
    <row r="748" spans="1:16" x14ac:dyDescent="0.2">
      <c r="A748" s="734" t="s">
        <v>0</v>
      </c>
      <c r="B748" s="735" t="s">
        <v>1296</v>
      </c>
      <c r="C748" s="678" t="e">
        <f>#REF!</f>
        <v>#REF!</v>
      </c>
      <c r="D748" s="662" t="s">
        <v>799</v>
      </c>
      <c r="E748" s="663" t="s">
        <v>864</v>
      </c>
      <c r="F748" s="633"/>
      <c r="G748" s="664"/>
      <c r="H748" s="664"/>
      <c r="I748" s="664"/>
      <c r="J748" s="664"/>
      <c r="K748" s="664"/>
      <c r="L748" s="664"/>
      <c r="M748" s="664"/>
      <c r="O748" s="631"/>
    </row>
    <row r="749" spans="1:16" x14ac:dyDescent="0.2">
      <c r="A749" s="736"/>
      <c r="B749" s="737"/>
      <c r="C749" s="665" t="s">
        <v>1095</v>
      </c>
      <c r="E749" s="661">
        <f>1*4</f>
        <v>4</v>
      </c>
      <c r="F749" s="662"/>
      <c r="G749" s="631"/>
      <c r="H749" s="631"/>
      <c r="I749" s="631"/>
      <c r="J749" s="658"/>
      <c r="K749" s="631"/>
      <c r="L749" s="631"/>
      <c r="M749" s="631"/>
      <c r="N749" s="666" t="s">
        <v>799</v>
      </c>
      <c r="O749" s="631">
        <f>E749</f>
        <v>4</v>
      </c>
      <c r="P749" s="657" t="s">
        <v>6</v>
      </c>
    </row>
    <row r="750" spans="1:16" x14ac:dyDescent="0.2">
      <c r="A750" s="736"/>
      <c r="B750" s="737"/>
      <c r="C750" s="665" t="s">
        <v>1621</v>
      </c>
      <c r="E750" s="661">
        <f>1.4+1.2+1.4+1.2</f>
        <v>5.1999999999999993</v>
      </c>
      <c r="F750" s="662"/>
      <c r="G750" s="631"/>
      <c r="H750" s="631"/>
      <c r="I750" s="631"/>
      <c r="J750" s="658"/>
      <c r="K750" s="631"/>
      <c r="L750" s="631"/>
      <c r="M750" s="631"/>
      <c r="N750" s="666" t="s">
        <v>799</v>
      </c>
      <c r="O750" s="631">
        <f>E750</f>
        <v>5.1999999999999993</v>
      </c>
      <c r="P750" s="657" t="s">
        <v>6</v>
      </c>
    </row>
    <row r="751" spans="1:16" x14ac:dyDescent="0.2">
      <c r="A751" s="736"/>
      <c r="B751" s="737"/>
      <c r="C751" s="665" t="s">
        <v>1096</v>
      </c>
      <c r="E751" s="661">
        <f>3+3+1.2+1.2</f>
        <v>8.4</v>
      </c>
      <c r="F751" s="662"/>
      <c r="G751" s="631"/>
      <c r="H751" s="631"/>
      <c r="I751" s="631"/>
      <c r="J751" s="658"/>
      <c r="K751" s="631"/>
      <c r="L751" s="631"/>
      <c r="M751" s="631"/>
      <c r="N751" s="666" t="s">
        <v>799</v>
      </c>
      <c r="O751" s="631">
        <f>E751</f>
        <v>8.4</v>
      </c>
      <c r="P751" s="657" t="s">
        <v>6</v>
      </c>
    </row>
    <row r="752" spans="1:16" x14ac:dyDescent="0.2">
      <c r="A752" s="736"/>
      <c r="B752" s="737"/>
      <c r="C752" s="665" t="s">
        <v>1097</v>
      </c>
      <c r="E752" s="661">
        <f>9.6+9.6+9.6</f>
        <v>28.799999999999997</v>
      </c>
      <c r="F752" s="662"/>
      <c r="G752" s="631"/>
      <c r="H752" s="631"/>
      <c r="I752" s="631"/>
      <c r="J752" s="658"/>
      <c r="K752" s="631"/>
      <c r="L752" s="631"/>
      <c r="M752" s="631"/>
      <c r="N752" s="666" t="s">
        <v>799</v>
      </c>
      <c r="O752" s="631">
        <f>E752</f>
        <v>28.799999999999997</v>
      </c>
      <c r="P752" s="657" t="s">
        <v>6</v>
      </c>
    </row>
    <row r="753" spans="1:16" ht="13.5" thickBot="1" x14ac:dyDescent="0.25">
      <c r="A753" s="736"/>
      <c r="B753" s="737"/>
      <c r="C753" s="790" t="s">
        <v>1098</v>
      </c>
      <c r="E753" s="661">
        <f>4.1+4.1+1.55+1.55</f>
        <v>11.3</v>
      </c>
      <c r="F753" s="662"/>
      <c r="G753" s="631"/>
      <c r="H753" s="631"/>
      <c r="I753" s="631"/>
      <c r="J753" s="658"/>
      <c r="K753" s="631"/>
      <c r="L753" s="631"/>
      <c r="M753" s="631"/>
      <c r="N753" s="666" t="s">
        <v>799</v>
      </c>
      <c r="O753" s="631">
        <f>E753</f>
        <v>11.3</v>
      </c>
      <c r="P753" s="657" t="s">
        <v>6</v>
      </c>
    </row>
    <row r="754" spans="1:16" ht="13.5" thickBot="1" x14ac:dyDescent="0.25">
      <c r="A754" s="736"/>
      <c r="B754" s="737"/>
      <c r="C754" s="667"/>
      <c r="F754" s="666"/>
      <c r="G754" s="631"/>
      <c r="H754" s="631"/>
      <c r="I754" s="631"/>
      <c r="J754" s="631"/>
      <c r="K754" s="631"/>
      <c r="L754" s="631"/>
      <c r="M754" s="631"/>
      <c r="N754" s="666"/>
      <c r="O754" s="668">
        <f>ROUND((SUM(O749:O753)),2)</f>
        <v>57.7</v>
      </c>
      <c r="P754" s="669" t="s">
        <v>6</v>
      </c>
    </row>
    <row r="755" spans="1:16" x14ac:dyDescent="0.2">
      <c r="A755" s="736"/>
      <c r="B755" s="737"/>
      <c r="C755" s="667"/>
      <c r="F755" s="666"/>
      <c r="G755" s="631"/>
      <c r="H755" s="631"/>
      <c r="I755" s="631"/>
      <c r="J755" s="631"/>
      <c r="K755" s="631"/>
      <c r="L755" s="631"/>
      <c r="M755" s="631"/>
      <c r="N755" s="666"/>
      <c r="O755" s="632"/>
      <c r="P755" s="633"/>
    </row>
    <row r="756" spans="1:16" x14ac:dyDescent="0.2">
      <c r="A756" s="736"/>
      <c r="B756" s="737"/>
      <c r="C756" s="667"/>
      <c r="F756" s="666"/>
      <c r="G756" s="631"/>
      <c r="H756" s="631"/>
      <c r="I756" s="631"/>
      <c r="J756" s="631"/>
      <c r="K756" s="631"/>
      <c r="L756" s="631"/>
      <c r="M756" s="631"/>
      <c r="N756" s="666"/>
      <c r="O756" s="632"/>
      <c r="P756" s="633"/>
    </row>
    <row r="757" spans="1:16" x14ac:dyDescent="0.2">
      <c r="A757" s="736"/>
      <c r="B757" s="737"/>
      <c r="C757" s="667"/>
      <c r="F757" s="666"/>
      <c r="G757" s="631"/>
      <c r="H757" s="631"/>
      <c r="I757" s="631"/>
      <c r="J757" s="631"/>
      <c r="K757" s="631"/>
      <c r="L757" s="631"/>
      <c r="M757" s="631"/>
      <c r="N757" s="666"/>
      <c r="O757" s="632"/>
      <c r="P757" s="633"/>
    </row>
    <row r="758" spans="1:16" x14ac:dyDescent="0.2">
      <c r="A758" s="736"/>
      <c r="B758" s="737"/>
      <c r="C758" s="667"/>
      <c r="F758" s="666"/>
      <c r="G758" s="631"/>
      <c r="H758" s="631"/>
      <c r="I758" s="631"/>
      <c r="J758" s="631"/>
      <c r="K758" s="631"/>
      <c r="L758" s="631"/>
      <c r="M758" s="631"/>
      <c r="N758" s="666"/>
      <c r="O758" s="632"/>
      <c r="P758" s="633"/>
    </row>
    <row r="759" spans="1:16" x14ac:dyDescent="0.2">
      <c r="A759" s="734" t="s">
        <v>0</v>
      </c>
      <c r="B759" s="735" t="s">
        <v>1297</v>
      </c>
      <c r="C759" s="678" t="e">
        <f>#REF!</f>
        <v>#REF!</v>
      </c>
      <c r="D759" s="662" t="s">
        <v>799</v>
      </c>
      <c r="E759" s="663" t="s">
        <v>864</v>
      </c>
      <c r="F759" s="633"/>
      <c r="G759" s="664" t="s">
        <v>628</v>
      </c>
      <c r="H759" s="664"/>
      <c r="I759" s="664"/>
      <c r="J759" s="664"/>
      <c r="K759" s="664"/>
      <c r="L759" s="664"/>
      <c r="M759" s="664"/>
      <c r="O759" s="631"/>
    </row>
    <row r="760" spans="1:16" x14ac:dyDescent="0.2">
      <c r="A760" s="736"/>
      <c r="B760" s="737"/>
      <c r="C760" s="790" t="s">
        <v>1622</v>
      </c>
      <c r="E760" s="661">
        <v>12</v>
      </c>
      <c r="F760" s="662" t="s">
        <v>866</v>
      </c>
      <c r="G760" s="631">
        <v>1</v>
      </c>
      <c r="H760" s="631"/>
      <c r="I760" s="631"/>
      <c r="J760" s="631"/>
      <c r="K760" s="631"/>
      <c r="L760" s="631"/>
      <c r="M760" s="631"/>
      <c r="N760" s="666" t="s">
        <v>799</v>
      </c>
      <c r="O760" s="631">
        <f>E760*G760</f>
        <v>12</v>
      </c>
      <c r="P760" s="630" t="s">
        <v>6</v>
      </c>
    </row>
    <row r="761" spans="1:16" ht="13.5" thickBot="1" x14ac:dyDescent="0.25">
      <c r="A761" s="736"/>
      <c r="B761" s="737"/>
      <c r="C761" s="790" t="s">
        <v>1623</v>
      </c>
      <c r="E761" s="661">
        <v>12</v>
      </c>
      <c r="F761" s="662" t="s">
        <v>866</v>
      </c>
      <c r="G761" s="631">
        <v>1</v>
      </c>
      <c r="H761" s="631"/>
      <c r="I761" s="631"/>
      <c r="J761" s="631"/>
      <c r="K761" s="631"/>
      <c r="L761" s="631"/>
      <c r="M761" s="631"/>
      <c r="N761" s="666" t="s">
        <v>799</v>
      </c>
      <c r="O761" s="631">
        <f>E761*G761</f>
        <v>12</v>
      </c>
      <c r="P761" s="630" t="s">
        <v>6</v>
      </c>
    </row>
    <row r="762" spans="1:16" ht="13.5" thickBot="1" x14ac:dyDescent="0.25">
      <c r="A762" s="736"/>
      <c r="B762" s="737"/>
      <c r="C762" s="667"/>
      <c r="F762" s="666"/>
      <c r="G762" s="631"/>
      <c r="H762" s="631"/>
      <c r="I762" s="631"/>
      <c r="J762" s="631"/>
      <c r="K762" s="631"/>
      <c r="L762" s="631"/>
      <c r="M762" s="631"/>
      <c r="N762" s="666"/>
      <c r="O762" s="668">
        <f>ROUND((SUM(O760:O761)),2)</f>
        <v>24</v>
      </c>
      <c r="P762" s="669" t="s">
        <v>6</v>
      </c>
    </row>
    <row r="763" spans="1:16" ht="30" customHeight="1" x14ac:dyDescent="0.2">
      <c r="A763" s="734" t="s">
        <v>0</v>
      </c>
      <c r="B763" s="735" t="s">
        <v>1298</v>
      </c>
      <c r="C763" s="678" t="e">
        <f>#REF!</f>
        <v>#REF!</v>
      </c>
      <c r="D763" s="662" t="s">
        <v>799</v>
      </c>
      <c r="E763" s="663" t="s">
        <v>628</v>
      </c>
      <c r="F763" s="633"/>
      <c r="G763" s="664"/>
      <c r="H763" s="664"/>
      <c r="I763" s="664"/>
      <c r="J763" s="664"/>
      <c r="K763" s="664"/>
      <c r="L763" s="664"/>
      <c r="M763" s="664"/>
      <c r="O763" s="631"/>
    </row>
    <row r="764" spans="1:16" x14ac:dyDescent="0.2">
      <c r="A764" s="736"/>
      <c r="B764" s="737"/>
      <c r="C764" s="665" t="s">
        <v>1095</v>
      </c>
      <c r="E764" s="661">
        <v>2</v>
      </c>
      <c r="F764" s="662"/>
      <c r="G764" s="631"/>
      <c r="H764" s="631"/>
      <c r="I764" s="631"/>
      <c r="J764" s="631"/>
      <c r="K764" s="631"/>
      <c r="L764" s="631"/>
      <c r="M764" s="631"/>
      <c r="N764" s="666" t="s">
        <v>799</v>
      </c>
      <c r="O764" s="631">
        <f>E764</f>
        <v>2</v>
      </c>
      <c r="P764" s="630" t="s">
        <v>2</v>
      </c>
    </row>
    <row r="765" spans="1:16" ht="13.5" thickBot="1" x14ac:dyDescent="0.25">
      <c r="A765" s="736"/>
      <c r="B765" s="737"/>
      <c r="C765" s="665" t="s">
        <v>1097</v>
      </c>
      <c r="E765" s="661">
        <v>2</v>
      </c>
      <c r="F765" s="662"/>
      <c r="G765" s="631"/>
      <c r="H765" s="631"/>
      <c r="I765" s="631"/>
      <c r="J765" s="631"/>
      <c r="K765" s="631"/>
      <c r="L765" s="631"/>
      <c r="M765" s="631"/>
      <c r="N765" s="666" t="s">
        <v>799</v>
      </c>
      <c r="O765" s="631">
        <f>E765</f>
        <v>2</v>
      </c>
      <c r="P765" s="630" t="s">
        <v>2</v>
      </c>
    </row>
    <row r="766" spans="1:16" ht="13.5" thickBot="1" x14ac:dyDescent="0.25">
      <c r="A766" s="736"/>
      <c r="B766" s="737"/>
      <c r="C766" s="667"/>
      <c r="F766" s="666"/>
      <c r="G766" s="631"/>
      <c r="H766" s="631"/>
      <c r="I766" s="631"/>
      <c r="J766" s="631"/>
      <c r="K766" s="631"/>
      <c r="L766" s="631"/>
      <c r="M766" s="631"/>
      <c r="N766" s="666"/>
      <c r="O766" s="668">
        <f>ROUND((SUM(O764:O765)),2)</f>
        <v>4</v>
      </c>
      <c r="P766" s="669" t="s">
        <v>2</v>
      </c>
    </row>
    <row r="767" spans="1:16" x14ac:dyDescent="0.2">
      <c r="A767" s="734" t="s">
        <v>0</v>
      </c>
      <c r="B767" s="735" t="s">
        <v>1299</v>
      </c>
      <c r="C767" s="678" t="e">
        <f>#REF!</f>
        <v>#REF!</v>
      </c>
      <c r="D767" s="662" t="s">
        <v>799</v>
      </c>
      <c r="E767" s="663" t="s">
        <v>628</v>
      </c>
      <c r="F767" s="633"/>
      <c r="G767" s="664"/>
      <c r="H767" s="664"/>
      <c r="I767" s="664"/>
      <c r="J767" s="664"/>
      <c r="K767" s="664"/>
      <c r="L767" s="664"/>
      <c r="M767" s="664"/>
      <c r="O767" s="631"/>
    </row>
    <row r="768" spans="1:16" x14ac:dyDescent="0.2">
      <c r="A768" s="736"/>
      <c r="B768" s="737"/>
      <c r="C768" s="665" t="s">
        <v>1096</v>
      </c>
      <c r="E768" s="661">
        <v>2</v>
      </c>
      <c r="F768" s="662"/>
      <c r="G768" s="631"/>
      <c r="H768" s="631"/>
      <c r="I768" s="631"/>
      <c r="J768" s="631"/>
      <c r="K768" s="631"/>
      <c r="L768" s="631"/>
      <c r="M768" s="631"/>
      <c r="N768" s="666" t="s">
        <v>799</v>
      </c>
      <c r="O768" s="631">
        <f>E768</f>
        <v>2</v>
      </c>
      <c r="P768" s="630" t="s">
        <v>2</v>
      </c>
    </row>
    <row r="769" spans="1:16" ht="13.5" thickBot="1" x14ac:dyDescent="0.25">
      <c r="A769" s="736"/>
      <c r="B769" s="737"/>
      <c r="C769" s="790" t="s">
        <v>1098</v>
      </c>
      <c r="E769" s="661">
        <v>5</v>
      </c>
      <c r="F769" s="662"/>
      <c r="G769" s="631"/>
      <c r="H769" s="631"/>
      <c r="I769" s="631"/>
      <c r="J769" s="631"/>
      <c r="K769" s="631"/>
      <c r="L769" s="631"/>
      <c r="M769" s="631"/>
      <c r="N769" s="666" t="s">
        <v>799</v>
      </c>
      <c r="O769" s="631">
        <f>E769</f>
        <v>5</v>
      </c>
      <c r="P769" s="630" t="s">
        <v>2</v>
      </c>
    </row>
    <row r="770" spans="1:16" ht="13.5" thickBot="1" x14ac:dyDescent="0.25">
      <c r="A770" s="736"/>
      <c r="B770" s="737"/>
      <c r="C770" s="667"/>
      <c r="F770" s="666"/>
      <c r="G770" s="631"/>
      <c r="H770" s="631"/>
      <c r="I770" s="631"/>
      <c r="J770" s="631"/>
      <c r="K770" s="631"/>
      <c r="L770" s="631"/>
      <c r="M770" s="631"/>
      <c r="N770" s="666"/>
      <c r="O770" s="668">
        <f>ROUND((SUM(O768:O769)),2)</f>
        <v>7</v>
      </c>
      <c r="P770" s="669" t="s">
        <v>2</v>
      </c>
    </row>
    <row r="771" spans="1:16" ht="48" customHeight="1" x14ac:dyDescent="0.2">
      <c r="A771" s="734" t="s">
        <v>0</v>
      </c>
      <c r="B771" s="735" t="s">
        <v>1300</v>
      </c>
      <c r="C771" s="678" t="e">
        <f>#REF!</f>
        <v>#REF!</v>
      </c>
      <c r="D771" s="662" t="s">
        <v>799</v>
      </c>
      <c r="E771" s="663" t="s">
        <v>628</v>
      </c>
      <c r="F771" s="633"/>
      <c r="G771" s="664"/>
      <c r="H771" s="664"/>
      <c r="I771" s="664"/>
      <c r="J771" s="664"/>
      <c r="K771" s="664"/>
      <c r="L771" s="664"/>
      <c r="M771" s="664"/>
      <c r="O771" s="631"/>
    </row>
    <row r="772" spans="1:16" ht="13.5" thickBot="1" x14ac:dyDescent="0.25">
      <c r="A772" s="736"/>
      <c r="B772" s="737"/>
      <c r="C772" s="665" t="s">
        <v>1095</v>
      </c>
      <c r="E772" s="661">
        <v>1</v>
      </c>
      <c r="F772" s="662"/>
      <c r="G772" s="631"/>
      <c r="H772" s="631"/>
      <c r="I772" s="631"/>
      <c r="J772" s="631"/>
      <c r="K772" s="631"/>
      <c r="L772" s="631"/>
      <c r="M772" s="631"/>
      <c r="N772" s="666" t="s">
        <v>799</v>
      </c>
      <c r="O772" s="631">
        <f>E772</f>
        <v>1</v>
      </c>
      <c r="P772" s="630" t="s">
        <v>2</v>
      </c>
    </row>
    <row r="773" spans="1:16" ht="13.5" thickBot="1" x14ac:dyDescent="0.25">
      <c r="A773" s="736"/>
      <c r="B773" s="737"/>
      <c r="C773" s="667"/>
      <c r="F773" s="666"/>
      <c r="G773" s="631"/>
      <c r="H773" s="631"/>
      <c r="I773" s="631"/>
      <c r="J773" s="631"/>
      <c r="K773" s="631"/>
      <c r="L773" s="631"/>
      <c r="M773" s="631"/>
      <c r="N773" s="666"/>
      <c r="O773" s="668">
        <f>ROUND((SUM(O772:O772)),2)</f>
        <v>1</v>
      </c>
      <c r="P773" s="669" t="s">
        <v>2</v>
      </c>
    </row>
    <row r="774" spans="1:16" x14ac:dyDescent="0.2">
      <c r="A774" s="734" t="s">
        <v>0</v>
      </c>
      <c r="B774" s="735" t="s">
        <v>1301</v>
      </c>
      <c r="C774" s="678" t="e">
        <f>#REF!</f>
        <v>#REF!</v>
      </c>
      <c r="D774" s="662" t="s">
        <v>799</v>
      </c>
      <c r="E774" s="663" t="s">
        <v>628</v>
      </c>
      <c r="F774" s="633"/>
      <c r="G774" s="664"/>
      <c r="H774" s="664"/>
      <c r="I774" s="664"/>
      <c r="J774" s="664"/>
      <c r="K774" s="664"/>
      <c r="L774" s="664"/>
      <c r="M774" s="664"/>
      <c r="O774" s="631"/>
    </row>
    <row r="775" spans="1:16" x14ac:dyDescent="0.2">
      <c r="A775" s="736"/>
      <c r="B775" s="737"/>
      <c r="C775" s="665" t="s">
        <v>1096</v>
      </c>
      <c r="E775" s="661">
        <v>1</v>
      </c>
      <c r="F775" s="662"/>
      <c r="G775" s="631"/>
      <c r="H775" s="631"/>
      <c r="I775" s="631"/>
      <c r="J775" s="631"/>
      <c r="K775" s="631"/>
      <c r="L775" s="631"/>
      <c r="M775" s="631"/>
      <c r="N775" s="666" t="s">
        <v>799</v>
      </c>
      <c r="O775" s="631">
        <f>E775</f>
        <v>1</v>
      </c>
      <c r="P775" s="630" t="s">
        <v>2</v>
      </c>
    </row>
    <row r="776" spans="1:16" ht="13.5" thickBot="1" x14ac:dyDescent="0.25">
      <c r="A776" s="736"/>
      <c r="B776" s="737"/>
      <c r="C776" s="790" t="s">
        <v>1098</v>
      </c>
      <c r="E776" s="661">
        <v>1</v>
      </c>
      <c r="F776" s="662"/>
      <c r="G776" s="631"/>
      <c r="H776" s="631"/>
      <c r="I776" s="631"/>
      <c r="J776" s="631"/>
      <c r="K776" s="631"/>
      <c r="L776" s="631"/>
      <c r="M776" s="631"/>
      <c r="N776" s="666" t="s">
        <v>799</v>
      </c>
      <c r="O776" s="631">
        <f>E776</f>
        <v>1</v>
      </c>
      <c r="P776" s="630" t="s">
        <v>2</v>
      </c>
    </row>
    <row r="777" spans="1:16" ht="13.5" thickBot="1" x14ac:dyDescent="0.25">
      <c r="A777" s="736"/>
      <c r="B777" s="737"/>
      <c r="C777" s="667"/>
      <c r="F777" s="666"/>
      <c r="G777" s="631"/>
      <c r="H777" s="631"/>
      <c r="I777" s="631"/>
      <c r="J777" s="631"/>
      <c r="K777" s="631"/>
      <c r="L777" s="631"/>
      <c r="M777" s="631"/>
      <c r="N777" s="666"/>
      <c r="O777" s="668">
        <f>ROUND((SUM(O775:O776)),2)</f>
        <v>2</v>
      </c>
      <c r="P777" s="669" t="s">
        <v>2</v>
      </c>
    </row>
    <row r="778" spans="1:16" x14ac:dyDescent="0.2">
      <c r="A778" s="734" t="s">
        <v>0</v>
      </c>
      <c r="B778" s="735" t="s">
        <v>1302</v>
      </c>
      <c r="C778" s="678" t="e">
        <f>#REF!</f>
        <v>#REF!</v>
      </c>
      <c r="D778" s="662" t="s">
        <v>799</v>
      </c>
      <c r="E778" s="663" t="s">
        <v>628</v>
      </c>
      <c r="F778" s="633"/>
      <c r="G778" s="664"/>
      <c r="H778" s="664"/>
      <c r="I778" s="664"/>
      <c r="J778" s="664"/>
      <c r="K778" s="664"/>
      <c r="L778" s="664"/>
      <c r="M778" s="664"/>
      <c r="O778" s="631"/>
    </row>
    <row r="779" spans="1:16" ht="13.5" thickBot="1" x14ac:dyDescent="0.25">
      <c r="A779" s="736"/>
      <c r="B779" s="737"/>
      <c r="C779" s="665" t="s">
        <v>1097</v>
      </c>
      <c r="E779" s="661">
        <v>2</v>
      </c>
      <c r="F779" s="662"/>
      <c r="G779" s="631"/>
      <c r="H779" s="631"/>
      <c r="I779" s="631"/>
      <c r="J779" s="631"/>
      <c r="K779" s="631"/>
      <c r="L779" s="631"/>
      <c r="M779" s="631"/>
      <c r="N779" s="666" t="s">
        <v>799</v>
      </c>
      <c r="O779" s="631">
        <f>E779</f>
        <v>2</v>
      </c>
      <c r="P779" s="630" t="s">
        <v>2</v>
      </c>
    </row>
    <row r="780" spans="1:16" ht="13.5" thickBot="1" x14ac:dyDescent="0.25">
      <c r="A780" s="736"/>
      <c r="B780" s="737"/>
      <c r="C780" s="667"/>
      <c r="F780" s="666"/>
      <c r="G780" s="631"/>
      <c r="H780" s="631"/>
      <c r="I780" s="631"/>
      <c r="J780" s="631"/>
      <c r="K780" s="631"/>
      <c r="L780" s="631"/>
      <c r="M780" s="631"/>
      <c r="N780" s="666"/>
      <c r="O780" s="668">
        <f>ROUND((SUM(O779:O779)),2)</f>
        <v>2</v>
      </c>
      <c r="P780" s="669" t="s">
        <v>2</v>
      </c>
    </row>
    <row r="781" spans="1:16" x14ac:dyDescent="0.2">
      <c r="A781" s="734" t="s">
        <v>0</v>
      </c>
      <c r="B781" s="735" t="s">
        <v>1303</v>
      </c>
      <c r="C781" s="678" t="e">
        <f>#REF!</f>
        <v>#REF!</v>
      </c>
      <c r="D781" s="662" t="s">
        <v>799</v>
      </c>
      <c r="E781" s="663" t="s">
        <v>628</v>
      </c>
      <c r="F781" s="633"/>
      <c r="G781" s="664"/>
      <c r="H781" s="664"/>
      <c r="I781" s="664"/>
      <c r="J781" s="664"/>
      <c r="K781" s="664"/>
      <c r="L781" s="664"/>
      <c r="M781" s="664"/>
      <c r="O781" s="631"/>
    </row>
    <row r="782" spans="1:16" ht="13.5" thickBot="1" x14ac:dyDescent="0.25">
      <c r="A782" s="736"/>
      <c r="B782" s="737"/>
      <c r="C782" s="790" t="s">
        <v>1098</v>
      </c>
      <c r="E782" s="661">
        <v>3</v>
      </c>
      <c r="F782" s="662"/>
      <c r="G782" s="631"/>
      <c r="H782" s="631"/>
      <c r="I782" s="631"/>
      <c r="J782" s="631"/>
      <c r="K782" s="631"/>
      <c r="L782" s="631"/>
      <c r="M782" s="631"/>
      <c r="N782" s="666" t="s">
        <v>799</v>
      </c>
      <c r="O782" s="631">
        <f>E782</f>
        <v>3</v>
      </c>
      <c r="P782" s="630" t="s">
        <v>2</v>
      </c>
    </row>
    <row r="783" spans="1:16" ht="13.5" thickBot="1" x14ac:dyDescent="0.25">
      <c r="A783" s="736"/>
      <c r="B783" s="737"/>
      <c r="C783" s="667"/>
      <c r="F783" s="666"/>
      <c r="G783" s="631"/>
      <c r="H783" s="631"/>
      <c r="I783" s="631"/>
      <c r="J783" s="631"/>
      <c r="K783" s="631"/>
      <c r="L783" s="631"/>
      <c r="M783" s="631"/>
      <c r="N783" s="666"/>
      <c r="O783" s="668">
        <f>ROUND((SUM(O782:O782)),2)</f>
        <v>3</v>
      </c>
      <c r="P783" s="669" t="s">
        <v>2</v>
      </c>
    </row>
    <row r="784" spans="1:16" ht="38.25" customHeight="1" x14ac:dyDescent="0.2">
      <c r="A784" s="734" t="s">
        <v>0</v>
      </c>
      <c r="B784" s="735" t="s">
        <v>1304</v>
      </c>
      <c r="C784" s="678" t="e">
        <f>#REF!</f>
        <v>#REF!</v>
      </c>
      <c r="D784" s="662" t="s">
        <v>799</v>
      </c>
      <c r="E784" s="663" t="s">
        <v>628</v>
      </c>
      <c r="F784" s="633"/>
      <c r="G784" s="664"/>
      <c r="H784" s="664"/>
      <c r="I784" s="664"/>
      <c r="J784" s="664"/>
      <c r="K784" s="664"/>
      <c r="L784" s="664"/>
      <c r="M784" s="664"/>
      <c r="O784" s="631"/>
    </row>
    <row r="785" spans="1:16" ht="13.5" thickBot="1" x14ac:dyDescent="0.25">
      <c r="A785" s="736"/>
      <c r="B785" s="737"/>
      <c r="C785" s="665" t="s">
        <v>1096</v>
      </c>
      <c r="E785" s="661">
        <v>1</v>
      </c>
      <c r="F785" s="662"/>
      <c r="G785" s="631"/>
      <c r="H785" s="631"/>
      <c r="I785" s="631"/>
      <c r="J785" s="631"/>
      <c r="K785" s="631"/>
      <c r="L785" s="631"/>
      <c r="M785" s="631"/>
      <c r="N785" s="666" t="s">
        <v>799</v>
      </c>
      <c r="O785" s="631">
        <f>E785</f>
        <v>1</v>
      </c>
      <c r="P785" s="630" t="s">
        <v>2</v>
      </c>
    </row>
    <row r="786" spans="1:16" ht="13.5" thickBot="1" x14ac:dyDescent="0.25">
      <c r="A786" s="736"/>
      <c r="B786" s="737"/>
      <c r="C786" s="667"/>
      <c r="F786" s="666"/>
      <c r="G786" s="631"/>
      <c r="H786" s="631"/>
      <c r="I786" s="631"/>
      <c r="J786" s="631"/>
      <c r="K786" s="631"/>
      <c r="L786" s="631"/>
      <c r="M786" s="631"/>
      <c r="N786" s="666"/>
      <c r="O786" s="668">
        <f>ROUND((SUM(O785:O785)),2)</f>
        <v>1</v>
      </c>
      <c r="P786" s="669" t="s">
        <v>2</v>
      </c>
    </row>
    <row r="787" spans="1:16" ht="38.25" customHeight="1" x14ac:dyDescent="0.2">
      <c r="A787" s="734" t="s">
        <v>0</v>
      </c>
      <c r="B787" s="735" t="s">
        <v>1305</v>
      </c>
      <c r="C787" s="678" t="e">
        <f>#REF!</f>
        <v>#REF!</v>
      </c>
      <c r="D787" s="662" t="s">
        <v>799</v>
      </c>
      <c r="E787" s="663" t="s">
        <v>628</v>
      </c>
      <c r="F787" s="633"/>
      <c r="G787" s="664"/>
      <c r="H787" s="664"/>
      <c r="I787" s="664"/>
      <c r="J787" s="664"/>
      <c r="K787" s="664"/>
      <c r="L787" s="664"/>
      <c r="M787" s="664"/>
      <c r="O787" s="631"/>
    </row>
    <row r="788" spans="1:16" ht="13.5" thickBot="1" x14ac:dyDescent="0.25">
      <c r="A788" s="736"/>
      <c r="B788" s="737"/>
      <c r="C788" s="790" t="s">
        <v>1098</v>
      </c>
      <c r="E788" s="661">
        <v>2</v>
      </c>
      <c r="F788" s="662"/>
      <c r="G788" s="631"/>
      <c r="H788" s="631"/>
      <c r="I788" s="631"/>
      <c r="J788" s="631"/>
      <c r="K788" s="631"/>
      <c r="L788" s="631"/>
      <c r="M788" s="631"/>
      <c r="N788" s="666" t="s">
        <v>799</v>
      </c>
      <c r="O788" s="631">
        <f>E788</f>
        <v>2</v>
      </c>
      <c r="P788" s="630" t="s">
        <v>2</v>
      </c>
    </row>
    <row r="789" spans="1:16" ht="13.5" thickBot="1" x14ac:dyDescent="0.25">
      <c r="A789" s="736"/>
      <c r="B789" s="737"/>
      <c r="C789" s="667"/>
      <c r="F789" s="666"/>
      <c r="G789" s="631"/>
      <c r="H789" s="631"/>
      <c r="I789" s="631"/>
      <c r="J789" s="631"/>
      <c r="K789" s="631"/>
      <c r="L789" s="631"/>
      <c r="M789" s="631"/>
      <c r="N789" s="666"/>
      <c r="O789" s="668">
        <f>ROUND((SUM(O788:O788)),2)</f>
        <v>2</v>
      </c>
      <c r="P789" s="669" t="s">
        <v>2</v>
      </c>
    </row>
    <row r="790" spans="1:16" x14ac:dyDescent="0.2">
      <c r="A790" s="736"/>
      <c r="B790" s="737"/>
      <c r="C790" s="667"/>
      <c r="F790" s="666"/>
      <c r="G790" s="631"/>
      <c r="H790" s="631"/>
      <c r="I790" s="631"/>
      <c r="J790" s="631"/>
      <c r="K790" s="631"/>
      <c r="L790" s="631"/>
      <c r="M790" s="631"/>
      <c r="N790" s="666"/>
      <c r="O790" s="632"/>
      <c r="P790" s="633"/>
    </row>
    <row r="791" spans="1:16" ht="15.75" x14ac:dyDescent="0.2">
      <c r="A791" s="736"/>
      <c r="B791" s="737"/>
      <c r="C791" s="788" t="s">
        <v>1160</v>
      </c>
      <c r="F791" s="666"/>
      <c r="G791" s="631"/>
      <c r="H791" s="631"/>
      <c r="I791" s="631"/>
      <c r="J791" s="631"/>
      <c r="K791" s="631"/>
      <c r="L791" s="631"/>
      <c r="M791" s="631"/>
      <c r="N791" s="666"/>
      <c r="O791" s="632"/>
      <c r="P791" s="633"/>
    </row>
    <row r="792" spans="1:16" x14ac:dyDescent="0.2">
      <c r="A792" s="734" t="s">
        <v>0</v>
      </c>
      <c r="B792" s="735" t="s">
        <v>1306</v>
      </c>
      <c r="C792" s="678" t="e">
        <f>#REF!</f>
        <v>#REF!</v>
      </c>
      <c r="D792" s="662" t="s">
        <v>799</v>
      </c>
      <c r="E792" s="663" t="s">
        <v>864</v>
      </c>
      <c r="F792" s="633"/>
      <c r="G792" s="664" t="s">
        <v>628</v>
      </c>
      <c r="H792" s="664"/>
      <c r="I792" s="664"/>
      <c r="J792" s="664"/>
      <c r="K792" s="664"/>
      <c r="L792" s="664"/>
      <c r="M792" s="664"/>
      <c r="O792" s="631"/>
    </row>
    <row r="793" spans="1:16" x14ac:dyDescent="0.2">
      <c r="A793" s="736"/>
      <c r="B793" s="737"/>
      <c r="C793" s="790" t="s">
        <v>1622</v>
      </c>
      <c r="E793" s="661">
        <v>12</v>
      </c>
      <c r="F793" s="662" t="s">
        <v>866</v>
      </c>
      <c r="G793" s="631">
        <v>1</v>
      </c>
      <c r="H793" s="631"/>
      <c r="I793" s="631"/>
      <c r="J793" s="631"/>
      <c r="K793" s="631"/>
      <c r="L793" s="631"/>
      <c r="M793" s="631"/>
      <c r="N793" s="666" t="s">
        <v>799</v>
      </c>
      <c r="O793" s="631">
        <f>E793*G793</f>
        <v>12</v>
      </c>
      <c r="P793" s="630" t="s">
        <v>6</v>
      </c>
    </row>
    <row r="794" spans="1:16" ht="13.5" thickBot="1" x14ac:dyDescent="0.25">
      <c r="A794" s="736"/>
      <c r="B794" s="737"/>
      <c r="C794" s="790" t="s">
        <v>1623</v>
      </c>
      <c r="E794" s="661">
        <v>12</v>
      </c>
      <c r="F794" s="662" t="s">
        <v>866</v>
      </c>
      <c r="G794" s="631">
        <v>1</v>
      </c>
      <c r="H794" s="631"/>
      <c r="I794" s="631"/>
      <c r="J794" s="631"/>
      <c r="K794" s="631"/>
      <c r="L794" s="631"/>
      <c r="M794" s="631"/>
      <c r="N794" s="666" t="s">
        <v>799</v>
      </c>
      <c r="O794" s="631">
        <f>E794*G794</f>
        <v>12</v>
      </c>
      <c r="P794" s="630" t="s">
        <v>6</v>
      </c>
    </row>
    <row r="795" spans="1:16" ht="13.5" thickBot="1" x14ac:dyDescent="0.25">
      <c r="A795" s="736"/>
      <c r="B795" s="737"/>
      <c r="C795" s="667"/>
      <c r="F795" s="666"/>
      <c r="G795" s="631"/>
      <c r="H795" s="631"/>
      <c r="I795" s="631"/>
      <c r="J795" s="631"/>
      <c r="K795" s="631"/>
      <c r="L795" s="631"/>
      <c r="M795" s="631"/>
      <c r="N795" s="666"/>
      <c r="O795" s="668">
        <f>ROUND((SUM(O793:O794)),2)</f>
        <v>24</v>
      </c>
      <c r="P795" s="669" t="s">
        <v>6</v>
      </c>
    </row>
    <row r="796" spans="1:16" x14ac:dyDescent="0.2">
      <c r="A796" s="736"/>
      <c r="B796" s="737"/>
      <c r="C796" s="667"/>
      <c r="F796" s="666"/>
      <c r="G796" s="631"/>
      <c r="H796" s="631"/>
      <c r="I796" s="631"/>
      <c r="J796" s="631"/>
      <c r="K796" s="631"/>
      <c r="L796" s="631"/>
      <c r="M796" s="631"/>
      <c r="N796" s="666"/>
      <c r="O796" s="632"/>
      <c r="P796" s="633"/>
    </row>
    <row r="797" spans="1:16" ht="33.75" customHeight="1" x14ac:dyDescent="0.2">
      <c r="A797" s="736"/>
      <c r="B797" s="925" t="s">
        <v>1307</v>
      </c>
      <c r="C797" s="1913" t="s">
        <v>1624</v>
      </c>
      <c r="D797" s="1913"/>
      <c r="E797" s="1913"/>
      <c r="F797" s="1913"/>
      <c r="G797" s="1913"/>
      <c r="H797" s="1913"/>
      <c r="I797" s="1913"/>
      <c r="J797" s="1913"/>
      <c r="K797" s="1913"/>
      <c r="L797" s="1913"/>
      <c r="M797" s="1913"/>
      <c r="N797" s="1913"/>
      <c r="O797" s="1913"/>
      <c r="P797" s="1913"/>
    </row>
    <row r="798" spans="1:16" ht="15" customHeight="1" x14ac:dyDescent="0.2">
      <c r="A798" s="736"/>
      <c r="B798" s="749"/>
      <c r="C798" s="788" t="s">
        <v>1159</v>
      </c>
      <c r="D798" s="656"/>
      <c r="E798" s="629"/>
      <c r="F798" s="657"/>
      <c r="G798" s="658"/>
      <c r="H798" s="658"/>
      <c r="I798" s="658"/>
      <c r="J798" s="658"/>
      <c r="K798" s="658"/>
      <c r="L798" s="658"/>
      <c r="M798" s="658"/>
      <c r="N798" s="657"/>
      <c r="O798" s="609"/>
      <c r="P798" s="609"/>
    </row>
    <row r="799" spans="1:16" x14ac:dyDescent="0.2">
      <c r="A799" s="736"/>
      <c r="B799" s="737"/>
      <c r="C799" s="737"/>
      <c r="E799" s="629"/>
      <c r="G799" s="631"/>
      <c r="H799" s="631"/>
      <c r="I799" s="631"/>
      <c r="J799" s="631"/>
      <c r="K799" s="631"/>
      <c r="L799" s="631"/>
      <c r="M799" s="631"/>
      <c r="O799" s="631"/>
    </row>
    <row r="800" spans="1:16" ht="47.25" customHeight="1" x14ac:dyDescent="0.2">
      <c r="A800" s="734" t="s">
        <v>0</v>
      </c>
      <c r="B800" s="735" t="s">
        <v>1308</v>
      </c>
      <c r="C800" s="678" t="e">
        <f>#REF!</f>
        <v>#REF!</v>
      </c>
      <c r="D800" s="662" t="s">
        <v>799</v>
      </c>
      <c r="E800" s="663" t="s">
        <v>864</v>
      </c>
      <c r="F800" s="633"/>
      <c r="G800" s="664" t="s">
        <v>865</v>
      </c>
      <c r="H800" s="664"/>
      <c r="I800" s="664"/>
      <c r="J800" s="664"/>
      <c r="K800" s="664"/>
      <c r="L800" s="664"/>
      <c r="M800" s="664"/>
      <c r="O800" s="631"/>
    </row>
    <row r="801" spans="1:16" x14ac:dyDescent="0.2">
      <c r="A801" s="736"/>
      <c r="B801" s="737"/>
      <c r="C801" s="665" t="s">
        <v>1625</v>
      </c>
      <c r="E801" s="661">
        <v>5.05</v>
      </c>
      <c r="F801" s="662" t="s">
        <v>866</v>
      </c>
      <c r="G801" s="631">
        <v>5.55</v>
      </c>
      <c r="H801" s="631"/>
      <c r="I801" s="631"/>
      <c r="J801" s="631"/>
      <c r="K801" s="631"/>
      <c r="L801" s="631"/>
      <c r="M801" s="631"/>
      <c r="N801" s="666" t="s">
        <v>799</v>
      </c>
      <c r="O801" s="631">
        <f>E801*G801</f>
        <v>28.0275</v>
      </c>
      <c r="P801" s="630" t="s">
        <v>4</v>
      </c>
    </row>
    <row r="802" spans="1:16" x14ac:dyDescent="0.2">
      <c r="A802" s="736"/>
      <c r="B802" s="737"/>
      <c r="C802" s="665" t="s">
        <v>1626</v>
      </c>
      <c r="E802" s="661">
        <v>5.55</v>
      </c>
      <c r="F802" s="662" t="s">
        <v>866</v>
      </c>
      <c r="G802" s="631">
        <v>4</v>
      </c>
      <c r="H802" s="631"/>
      <c r="I802" s="631"/>
      <c r="J802" s="631"/>
      <c r="K802" s="631"/>
      <c r="L802" s="631"/>
      <c r="M802" s="631"/>
      <c r="N802" s="666" t="s">
        <v>799</v>
      </c>
      <c r="O802" s="631">
        <f t="shared" ref="O802:O803" si="49">E802*G802</f>
        <v>22.2</v>
      </c>
      <c r="P802" s="630" t="s">
        <v>4</v>
      </c>
    </row>
    <row r="803" spans="1:16" ht="13.5" thickBot="1" x14ac:dyDescent="0.25">
      <c r="A803" s="736"/>
      <c r="B803" s="737"/>
      <c r="C803" s="665" t="s">
        <v>1114</v>
      </c>
      <c r="E803" s="661">
        <v>5.55</v>
      </c>
      <c r="F803" s="662" t="s">
        <v>866</v>
      </c>
      <c r="G803" s="631">
        <v>1.32</v>
      </c>
      <c r="H803" s="631"/>
      <c r="I803" s="631"/>
      <c r="J803" s="631"/>
      <c r="K803" s="631"/>
      <c r="L803" s="631"/>
      <c r="M803" s="631"/>
      <c r="N803" s="666" t="s">
        <v>799</v>
      </c>
      <c r="O803" s="631">
        <f t="shared" si="49"/>
        <v>7.3260000000000005</v>
      </c>
      <c r="P803" s="630" t="s">
        <v>4</v>
      </c>
    </row>
    <row r="804" spans="1:16" ht="13.5" thickBot="1" x14ac:dyDescent="0.25">
      <c r="A804" s="736"/>
      <c r="B804" s="737"/>
      <c r="C804" s="667"/>
      <c r="F804" s="666"/>
      <c r="G804" s="631"/>
      <c r="H804" s="631"/>
      <c r="I804" s="631"/>
      <c r="J804" s="631"/>
      <c r="K804" s="631"/>
      <c r="L804" s="631"/>
      <c r="M804" s="631"/>
      <c r="N804" s="666"/>
      <c r="O804" s="668">
        <f>ROUND((SUM(O801:O803)),2)</f>
        <v>57.55</v>
      </c>
      <c r="P804" s="669" t="s">
        <v>4</v>
      </c>
    </row>
    <row r="805" spans="1:16" x14ac:dyDescent="0.2">
      <c r="A805" s="734" t="s">
        <v>0</v>
      </c>
      <c r="B805" s="735" t="s">
        <v>1309</v>
      </c>
      <c r="C805" s="678" t="e">
        <f>#REF!</f>
        <v>#REF!</v>
      </c>
      <c r="D805" s="662" t="s">
        <v>799</v>
      </c>
      <c r="E805" s="663" t="s">
        <v>864</v>
      </c>
      <c r="F805" s="633"/>
      <c r="G805" s="664" t="s">
        <v>865</v>
      </c>
      <c r="H805" s="664"/>
      <c r="I805" s="664" t="s">
        <v>883</v>
      </c>
      <c r="J805" s="664"/>
      <c r="K805" s="664" t="s">
        <v>628</v>
      </c>
      <c r="L805" s="664"/>
      <c r="M805" s="664"/>
      <c r="O805" s="631"/>
    </row>
    <row r="806" spans="1:16" x14ac:dyDescent="0.2">
      <c r="A806" s="736"/>
      <c r="B806" s="737"/>
      <c r="C806" s="665" t="s">
        <v>1625</v>
      </c>
      <c r="E806" s="661">
        <v>7.55</v>
      </c>
      <c r="F806" s="662" t="s">
        <v>866</v>
      </c>
      <c r="G806" s="631">
        <v>7.05</v>
      </c>
      <c r="H806" s="631" t="s">
        <v>866</v>
      </c>
      <c r="I806" s="631">
        <v>2.0499999999999998</v>
      </c>
      <c r="J806" s="658" t="s">
        <v>866</v>
      </c>
      <c r="K806" s="631">
        <v>1</v>
      </c>
      <c r="L806" s="631"/>
      <c r="M806" s="631"/>
      <c r="N806" s="666" t="s">
        <v>799</v>
      </c>
      <c r="O806" s="631">
        <f>E806*G806*I806*K806</f>
        <v>109.11637499999999</v>
      </c>
      <c r="P806" s="630" t="s">
        <v>12</v>
      </c>
    </row>
    <row r="807" spans="1:16" x14ac:dyDescent="0.2">
      <c r="A807" s="736"/>
      <c r="B807" s="737"/>
      <c r="C807" s="665" t="s">
        <v>1626</v>
      </c>
      <c r="E807" s="661">
        <v>7.55</v>
      </c>
      <c r="F807" s="662" t="s">
        <v>866</v>
      </c>
      <c r="G807" s="631">
        <v>4</v>
      </c>
      <c r="H807" s="631" t="s">
        <v>866</v>
      </c>
      <c r="I807" s="631">
        <v>4.1500000000000004</v>
      </c>
      <c r="J807" s="658" t="s">
        <v>866</v>
      </c>
      <c r="K807" s="631">
        <v>1</v>
      </c>
      <c r="L807" s="631"/>
      <c r="M807" s="631"/>
      <c r="N807" s="666" t="s">
        <v>799</v>
      </c>
      <c r="O807" s="631">
        <f t="shared" ref="O807:O808" si="50">E807*G807*I807*K807</f>
        <v>125.33000000000001</v>
      </c>
      <c r="P807" s="630" t="s">
        <v>12</v>
      </c>
    </row>
    <row r="808" spans="1:16" x14ac:dyDescent="0.2">
      <c r="A808" s="736"/>
      <c r="B808" s="737"/>
      <c r="C808" s="665" t="s">
        <v>1114</v>
      </c>
      <c r="E808" s="661">
        <v>7.55</v>
      </c>
      <c r="F808" s="662" t="s">
        <v>866</v>
      </c>
      <c r="G808" s="631">
        <v>3.32</v>
      </c>
      <c r="H808" s="631" t="s">
        <v>866</v>
      </c>
      <c r="I808" s="631">
        <v>5.15</v>
      </c>
      <c r="J808" s="658" t="s">
        <v>866</v>
      </c>
      <c r="K808" s="631">
        <v>1</v>
      </c>
      <c r="L808" s="631"/>
      <c r="M808" s="631"/>
      <c r="N808" s="666" t="s">
        <v>799</v>
      </c>
      <c r="O808" s="631">
        <f t="shared" si="50"/>
        <v>129.0899</v>
      </c>
      <c r="P808" s="630" t="s">
        <v>12</v>
      </c>
    </row>
    <row r="809" spans="1:16" ht="21" customHeight="1" x14ac:dyDescent="0.2">
      <c r="A809" s="736"/>
      <c r="B809" s="737"/>
      <c r="C809" s="911" t="s">
        <v>1507</v>
      </c>
      <c r="D809" s="655"/>
      <c r="E809" s="730">
        <v>19.5</v>
      </c>
      <c r="F809" s="662" t="s">
        <v>866</v>
      </c>
      <c r="G809" s="631">
        <v>1</v>
      </c>
      <c r="H809" s="631" t="s">
        <v>866</v>
      </c>
      <c r="I809" s="631">
        <v>4.6500000000000004</v>
      </c>
      <c r="J809" s="658" t="s">
        <v>866</v>
      </c>
      <c r="K809" s="631">
        <v>1</v>
      </c>
      <c r="L809" s="631"/>
      <c r="M809" s="631"/>
      <c r="N809" s="666" t="s">
        <v>799</v>
      </c>
      <c r="O809" s="631">
        <f>E809*G809*I809*K809</f>
        <v>90.675000000000011</v>
      </c>
      <c r="P809" s="630" t="s">
        <v>12</v>
      </c>
    </row>
    <row r="810" spans="1:16" ht="21" customHeight="1" x14ac:dyDescent="0.2">
      <c r="A810" s="736"/>
      <c r="B810" s="737"/>
      <c r="C810" s="910" t="s">
        <v>1508</v>
      </c>
      <c r="E810" s="661">
        <v>11</v>
      </c>
      <c r="F810" s="662" t="s">
        <v>866</v>
      </c>
      <c r="G810" s="631">
        <v>1</v>
      </c>
      <c r="H810" s="631" t="s">
        <v>866</v>
      </c>
      <c r="I810" s="631">
        <v>4.6500000000000004</v>
      </c>
      <c r="J810" s="658" t="s">
        <v>866</v>
      </c>
      <c r="K810" s="631">
        <v>1</v>
      </c>
      <c r="L810" s="631"/>
      <c r="M810" s="631"/>
      <c r="N810" s="666" t="s">
        <v>799</v>
      </c>
      <c r="O810" s="631">
        <f>E810*G810*I810*K810</f>
        <v>51.150000000000006</v>
      </c>
      <c r="P810" s="630" t="s">
        <v>12</v>
      </c>
    </row>
    <row r="811" spans="1:16" ht="21" customHeight="1" thickBot="1" x14ac:dyDescent="0.25">
      <c r="A811" s="736"/>
      <c r="B811" s="737"/>
      <c r="C811" s="911" t="s">
        <v>1535</v>
      </c>
      <c r="D811" s="655"/>
      <c r="E811" s="730">
        <v>12</v>
      </c>
      <c r="F811" s="662" t="s">
        <v>866</v>
      </c>
      <c r="G811" s="631">
        <v>1</v>
      </c>
      <c r="H811" s="631" t="s">
        <v>866</v>
      </c>
      <c r="I811" s="631">
        <v>6.2</v>
      </c>
      <c r="J811" s="658" t="s">
        <v>866</v>
      </c>
      <c r="K811" s="631">
        <v>1</v>
      </c>
      <c r="L811" s="631"/>
      <c r="M811" s="631"/>
      <c r="N811" s="666" t="s">
        <v>799</v>
      </c>
      <c r="O811" s="631">
        <f>E811*G811*I811*K811</f>
        <v>74.400000000000006</v>
      </c>
      <c r="P811" s="630" t="s">
        <v>12</v>
      </c>
    </row>
    <row r="812" spans="1:16" ht="13.5" thickBot="1" x14ac:dyDescent="0.25">
      <c r="A812" s="736"/>
      <c r="B812" s="737"/>
      <c r="C812" s="667"/>
      <c r="F812" s="666"/>
      <c r="G812" s="631"/>
      <c r="H812" s="631"/>
      <c r="I812" s="631"/>
      <c r="J812" s="631"/>
      <c r="K812" s="631"/>
      <c r="L812" s="631"/>
      <c r="M812" s="631"/>
      <c r="N812" s="666"/>
      <c r="O812" s="668">
        <f>ROUND((SUM(O806:O811)),2)</f>
        <v>579.76</v>
      </c>
      <c r="P812" s="669" t="s">
        <v>12</v>
      </c>
    </row>
    <row r="813" spans="1:16" x14ac:dyDescent="0.2">
      <c r="A813" s="734" t="s">
        <v>0</v>
      </c>
      <c r="B813" s="735" t="s">
        <v>1310</v>
      </c>
      <c r="C813" s="678" t="e">
        <f>#REF!</f>
        <v>#REF!</v>
      </c>
      <c r="D813" s="662" t="s">
        <v>799</v>
      </c>
      <c r="E813" s="663" t="s">
        <v>864</v>
      </c>
      <c r="F813" s="633"/>
      <c r="G813" s="664" t="s">
        <v>865</v>
      </c>
      <c r="H813" s="664"/>
      <c r="I813" s="664" t="s">
        <v>883</v>
      </c>
      <c r="J813" s="664"/>
      <c r="K813" s="664" t="s">
        <v>1067</v>
      </c>
      <c r="L813" s="664"/>
      <c r="M813" s="664"/>
      <c r="O813" s="631"/>
    </row>
    <row r="814" spans="1:16" ht="24.75" customHeight="1" x14ac:dyDescent="0.2">
      <c r="A814" s="736"/>
      <c r="B814" s="737"/>
      <c r="C814" s="911" t="s">
        <v>1509</v>
      </c>
      <c r="D814" s="655"/>
      <c r="E814" s="730">
        <v>19.5</v>
      </c>
      <c r="F814" s="662" t="s">
        <v>866</v>
      </c>
      <c r="G814" s="631">
        <v>1</v>
      </c>
      <c r="H814" s="631" t="s">
        <v>866</v>
      </c>
      <c r="I814" s="631">
        <f>0.1+0.15+0.15</f>
        <v>0.4</v>
      </c>
      <c r="J814" s="631" t="s">
        <v>866</v>
      </c>
      <c r="K814" s="631">
        <f>((PI()*(POWER(0.15,2)))/4)*E814</f>
        <v>0.34459344419063043</v>
      </c>
      <c r="L814" s="631"/>
      <c r="M814" s="631"/>
      <c r="N814" s="662" t="s">
        <v>799</v>
      </c>
      <c r="O814" s="631">
        <f>(E814*G814*I814)-K814</f>
        <v>7.4554065558093701</v>
      </c>
      <c r="P814" s="630" t="s">
        <v>12</v>
      </c>
    </row>
    <row r="815" spans="1:16" ht="21.75" customHeight="1" x14ac:dyDescent="0.2">
      <c r="A815" s="736"/>
      <c r="B815" s="737"/>
      <c r="C815" s="911" t="s">
        <v>1508</v>
      </c>
      <c r="D815" s="655"/>
      <c r="E815" s="730">
        <v>11</v>
      </c>
      <c r="F815" s="662" t="s">
        <v>866</v>
      </c>
      <c r="G815" s="631">
        <v>1</v>
      </c>
      <c r="H815" s="631" t="s">
        <v>866</v>
      </c>
      <c r="I815" s="631">
        <f>0.1+0.15+0.15</f>
        <v>0.4</v>
      </c>
      <c r="J815" s="631" t="s">
        <v>866</v>
      </c>
      <c r="K815" s="631">
        <f>((PI()*(POWER(0.15,2)))/4)*E815</f>
        <v>0.19438604544086846</v>
      </c>
      <c r="L815" s="631"/>
      <c r="M815" s="631"/>
      <c r="N815" s="662" t="s">
        <v>799</v>
      </c>
      <c r="O815" s="631">
        <f>(E815*G815*I815)-K815</f>
        <v>4.2056139545591318</v>
      </c>
      <c r="P815" s="630" t="s">
        <v>12</v>
      </c>
    </row>
    <row r="816" spans="1:16" ht="21.75" customHeight="1" thickBot="1" x14ac:dyDescent="0.25">
      <c r="A816" s="736"/>
      <c r="B816" s="737"/>
      <c r="C816" s="911" t="s">
        <v>1535</v>
      </c>
      <c r="D816" s="655"/>
      <c r="E816" s="730">
        <v>12</v>
      </c>
      <c r="F816" s="662" t="s">
        <v>866</v>
      </c>
      <c r="G816" s="631">
        <v>1</v>
      </c>
      <c r="H816" s="631" t="s">
        <v>866</v>
      </c>
      <c r="I816" s="631">
        <f>0.1+0.2+0.15</f>
        <v>0.45000000000000007</v>
      </c>
      <c r="J816" s="631" t="s">
        <v>866</v>
      </c>
      <c r="K816" s="631">
        <f>((PI()*(POWER(0.2,2)))/4)*E816</f>
        <v>0.37699111843077521</v>
      </c>
      <c r="L816" s="631"/>
      <c r="M816" s="631"/>
      <c r="N816" s="662" t="s">
        <v>799</v>
      </c>
      <c r="O816" s="631">
        <f>(E816*G816*I816)-K816</f>
        <v>5.0230088815692255</v>
      </c>
      <c r="P816" s="630" t="s">
        <v>12</v>
      </c>
    </row>
    <row r="817" spans="1:16" ht="13.5" thickBot="1" x14ac:dyDescent="0.25">
      <c r="A817" s="736"/>
      <c r="B817" s="737"/>
      <c r="C817" s="737"/>
      <c r="F817" s="666"/>
      <c r="G817" s="631"/>
      <c r="H817" s="631"/>
      <c r="I817" s="631"/>
      <c r="J817" s="631"/>
      <c r="K817" s="631"/>
      <c r="L817" s="631"/>
      <c r="M817" s="631"/>
      <c r="N817" s="666"/>
      <c r="O817" s="668">
        <f>ROUND((SUM(O814:O816)),2)</f>
        <v>16.68</v>
      </c>
      <c r="P817" s="669" t="s">
        <v>12</v>
      </c>
    </row>
    <row r="818" spans="1:16" x14ac:dyDescent="0.2">
      <c r="A818" s="734" t="s">
        <v>0</v>
      </c>
      <c r="B818" s="735" t="s">
        <v>1311</v>
      </c>
      <c r="C818" s="678" t="e">
        <f>#REF!</f>
        <v>#REF!</v>
      </c>
      <c r="D818" s="662" t="s">
        <v>799</v>
      </c>
      <c r="E818" s="663" t="s">
        <v>864</v>
      </c>
      <c r="F818" s="633"/>
      <c r="G818" s="664" t="s">
        <v>865</v>
      </c>
      <c r="H818" s="664"/>
      <c r="I818" s="664" t="s">
        <v>883</v>
      </c>
      <c r="J818" s="664"/>
      <c r="K818" s="664" t="s">
        <v>628</v>
      </c>
      <c r="L818" s="664"/>
      <c r="M818" s="664" t="s">
        <v>977</v>
      </c>
      <c r="O818" s="631"/>
    </row>
    <row r="819" spans="1:16" x14ac:dyDescent="0.2">
      <c r="A819" s="736"/>
      <c r="B819" s="737"/>
      <c r="C819" s="665" t="s">
        <v>1625</v>
      </c>
      <c r="E819" s="661">
        <v>7.55</v>
      </c>
      <c r="F819" s="662" t="s">
        <v>866</v>
      </c>
      <c r="G819" s="631">
        <v>7.05</v>
      </c>
      <c r="H819" s="631" t="s">
        <v>866</v>
      </c>
      <c r="I819" s="631">
        <v>2.0499999999999998</v>
      </c>
      <c r="J819" s="658" t="s">
        <v>866</v>
      </c>
      <c r="K819" s="631">
        <v>1</v>
      </c>
      <c r="L819" s="631" t="s">
        <v>866</v>
      </c>
      <c r="M819" s="631">
        <v>5</v>
      </c>
      <c r="N819" s="666" t="s">
        <v>799</v>
      </c>
      <c r="O819" s="631">
        <f>E819*G819*I819*K819*M819</f>
        <v>545.58187499999997</v>
      </c>
      <c r="P819" s="630" t="s">
        <v>976</v>
      </c>
    </row>
    <row r="820" spans="1:16" x14ac:dyDescent="0.2">
      <c r="A820" s="736"/>
      <c r="B820" s="737"/>
      <c r="C820" s="665" t="s">
        <v>1626</v>
      </c>
      <c r="E820" s="661">
        <v>7.55</v>
      </c>
      <c r="F820" s="662" t="s">
        <v>866</v>
      </c>
      <c r="G820" s="631">
        <v>4</v>
      </c>
      <c r="H820" s="631" t="s">
        <v>866</v>
      </c>
      <c r="I820" s="631">
        <v>4.1500000000000004</v>
      </c>
      <c r="J820" s="658" t="s">
        <v>866</v>
      </c>
      <c r="K820" s="631">
        <v>1</v>
      </c>
      <c r="L820" s="631" t="s">
        <v>866</v>
      </c>
      <c r="M820" s="631">
        <v>5</v>
      </c>
      <c r="N820" s="666" t="s">
        <v>799</v>
      </c>
      <c r="O820" s="631">
        <f t="shared" ref="O820:O824" si="51">E820*G820*I820*K820*M820</f>
        <v>626.65000000000009</v>
      </c>
      <c r="P820" s="630" t="s">
        <v>976</v>
      </c>
    </row>
    <row r="821" spans="1:16" x14ac:dyDescent="0.2">
      <c r="A821" s="736"/>
      <c r="B821" s="737"/>
      <c r="C821" s="665" t="s">
        <v>1114</v>
      </c>
      <c r="E821" s="661">
        <v>7.55</v>
      </c>
      <c r="F821" s="662" t="s">
        <v>866</v>
      </c>
      <c r="G821" s="631">
        <v>3.32</v>
      </c>
      <c r="H821" s="631" t="s">
        <v>866</v>
      </c>
      <c r="I821" s="631">
        <v>5.15</v>
      </c>
      <c r="J821" s="658" t="s">
        <v>866</v>
      </c>
      <c r="K821" s="631">
        <v>1</v>
      </c>
      <c r="L821" s="631" t="s">
        <v>866</v>
      </c>
      <c r="M821" s="631">
        <v>5</v>
      </c>
      <c r="N821" s="666" t="s">
        <v>799</v>
      </c>
      <c r="O821" s="631">
        <f t="shared" si="51"/>
        <v>645.44949999999994</v>
      </c>
      <c r="P821" s="630" t="s">
        <v>976</v>
      </c>
    </row>
    <row r="822" spans="1:16" ht="18" x14ac:dyDescent="0.2">
      <c r="A822" s="736"/>
      <c r="B822" s="737"/>
      <c r="C822" s="911" t="s">
        <v>1507</v>
      </c>
      <c r="D822" s="655"/>
      <c r="E822" s="730">
        <v>19.5</v>
      </c>
      <c r="F822" s="662" t="s">
        <v>866</v>
      </c>
      <c r="G822" s="631">
        <v>1</v>
      </c>
      <c r="H822" s="631" t="s">
        <v>866</v>
      </c>
      <c r="I822" s="631">
        <v>4.6500000000000004</v>
      </c>
      <c r="J822" s="658" t="s">
        <v>866</v>
      </c>
      <c r="K822" s="631">
        <v>1</v>
      </c>
      <c r="L822" s="631" t="s">
        <v>866</v>
      </c>
      <c r="M822" s="631">
        <v>5</v>
      </c>
      <c r="N822" s="666" t="s">
        <v>799</v>
      </c>
      <c r="O822" s="631">
        <f t="shared" si="51"/>
        <v>453.37500000000006</v>
      </c>
      <c r="P822" s="630" t="s">
        <v>976</v>
      </c>
    </row>
    <row r="823" spans="1:16" ht="18.75" x14ac:dyDescent="0.2">
      <c r="A823" s="736"/>
      <c r="B823" s="737"/>
      <c r="C823" s="910" t="s">
        <v>1508</v>
      </c>
      <c r="E823" s="661">
        <v>11</v>
      </c>
      <c r="F823" s="662" t="s">
        <v>866</v>
      </c>
      <c r="G823" s="631">
        <v>1</v>
      </c>
      <c r="H823" s="631" t="s">
        <v>866</v>
      </c>
      <c r="I823" s="631">
        <v>4.6500000000000004</v>
      </c>
      <c r="J823" s="658" t="s">
        <v>866</v>
      </c>
      <c r="K823" s="631">
        <v>1</v>
      </c>
      <c r="L823" s="631" t="s">
        <v>866</v>
      </c>
      <c r="M823" s="631">
        <v>5</v>
      </c>
      <c r="N823" s="666" t="s">
        <v>799</v>
      </c>
      <c r="O823" s="631">
        <f t="shared" si="51"/>
        <v>255.75000000000003</v>
      </c>
      <c r="P823" s="630" t="s">
        <v>976</v>
      </c>
    </row>
    <row r="824" spans="1:16" ht="18.75" thickBot="1" x14ac:dyDescent="0.25">
      <c r="A824" s="736"/>
      <c r="B824" s="737"/>
      <c r="C824" s="911" t="s">
        <v>1535</v>
      </c>
      <c r="D824" s="655"/>
      <c r="E824" s="730">
        <v>12</v>
      </c>
      <c r="F824" s="662" t="s">
        <v>866</v>
      </c>
      <c r="G824" s="631">
        <v>1</v>
      </c>
      <c r="H824" s="631" t="s">
        <v>866</v>
      </c>
      <c r="I824" s="631">
        <v>6.2</v>
      </c>
      <c r="J824" s="658" t="s">
        <v>866</v>
      </c>
      <c r="K824" s="631">
        <v>1</v>
      </c>
      <c r="L824" s="631" t="s">
        <v>866</v>
      </c>
      <c r="M824" s="631">
        <v>5</v>
      </c>
      <c r="N824" s="666" t="s">
        <v>799</v>
      </c>
      <c r="O824" s="631">
        <f t="shared" si="51"/>
        <v>372</v>
      </c>
      <c r="P824" s="630" t="s">
        <v>976</v>
      </c>
    </row>
    <row r="825" spans="1:16" ht="13.5" thickBot="1" x14ac:dyDescent="0.25">
      <c r="A825" s="736"/>
      <c r="B825" s="737"/>
      <c r="C825" s="667"/>
      <c r="F825" s="666"/>
      <c r="G825" s="631"/>
      <c r="H825" s="631"/>
      <c r="I825" s="631"/>
      <c r="J825" s="631"/>
      <c r="K825" s="631"/>
      <c r="L825" s="631"/>
      <c r="M825" s="631"/>
      <c r="N825" s="666"/>
      <c r="O825" s="668">
        <f>ROUND((SUM(O819:O824)),2)</f>
        <v>2898.81</v>
      </c>
      <c r="P825" s="669" t="s">
        <v>976</v>
      </c>
    </row>
    <row r="826" spans="1:16" x14ac:dyDescent="0.2">
      <c r="A826" s="736"/>
      <c r="B826" s="737"/>
      <c r="C826" s="667"/>
      <c r="F826" s="666"/>
      <c r="G826" s="631"/>
      <c r="H826" s="631"/>
      <c r="I826" s="631"/>
      <c r="J826" s="631"/>
      <c r="K826" s="631"/>
      <c r="L826" s="631"/>
      <c r="M826" s="631"/>
      <c r="N826" s="666"/>
      <c r="O826" s="632"/>
      <c r="P826" s="633"/>
    </row>
    <row r="827" spans="1:16" x14ac:dyDescent="0.2">
      <c r="A827" s="734" t="s">
        <v>0</v>
      </c>
      <c r="B827" s="735" t="s">
        <v>1312</v>
      </c>
      <c r="C827" s="678" t="e">
        <f>#REF!</f>
        <v>#REF!</v>
      </c>
      <c r="D827" s="662" t="s">
        <v>799</v>
      </c>
      <c r="E827" s="663" t="s">
        <v>864</v>
      </c>
      <c r="F827" s="633"/>
      <c r="G827" s="664" t="s">
        <v>865</v>
      </c>
      <c r="H827" s="664"/>
      <c r="I827" s="664" t="s">
        <v>883</v>
      </c>
      <c r="J827" s="664"/>
      <c r="K827" s="664" t="s">
        <v>628</v>
      </c>
      <c r="L827" s="664"/>
      <c r="M827" s="664"/>
      <c r="O827" s="631"/>
    </row>
    <row r="828" spans="1:16" x14ac:dyDescent="0.2">
      <c r="A828" s="736"/>
      <c r="B828" s="737"/>
      <c r="C828" s="665" t="s">
        <v>1625</v>
      </c>
      <c r="E828" s="661">
        <f>7.05+5.55</f>
        <v>12.6</v>
      </c>
      <c r="F828" s="662" t="s">
        <v>866</v>
      </c>
      <c r="G828" s="631">
        <v>2</v>
      </c>
      <c r="H828" s="631" t="s">
        <v>866</v>
      </c>
      <c r="I828" s="631">
        <v>2</v>
      </c>
      <c r="J828" s="658" t="s">
        <v>866</v>
      </c>
      <c r="K828" s="631">
        <v>1</v>
      </c>
      <c r="L828" s="631"/>
      <c r="M828" s="631"/>
      <c r="N828" s="666" t="s">
        <v>799</v>
      </c>
      <c r="O828" s="631">
        <f>E828*G828*I828*K828</f>
        <v>50.4</v>
      </c>
      <c r="P828" s="630" t="s">
        <v>12</v>
      </c>
    </row>
    <row r="829" spans="1:16" x14ac:dyDescent="0.2">
      <c r="A829" s="736"/>
      <c r="B829" s="737"/>
      <c r="C829" s="665" t="s">
        <v>1626</v>
      </c>
      <c r="E829" s="661">
        <v>4</v>
      </c>
      <c r="F829" s="662" t="s">
        <v>866</v>
      </c>
      <c r="G829" s="631">
        <v>2</v>
      </c>
      <c r="H829" s="631" t="s">
        <v>866</v>
      </c>
      <c r="I829" s="631">
        <v>4.0999999999999996</v>
      </c>
      <c r="J829" s="658" t="s">
        <v>866</v>
      </c>
      <c r="K829" s="631">
        <v>1</v>
      </c>
      <c r="L829" s="631"/>
      <c r="M829" s="631"/>
      <c r="N829" s="666" t="s">
        <v>799</v>
      </c>
      <c r="O829" s="631">
        <f t="shared" ref="O829:O830" si="52">E829*G829*I829*K829</f>
        <v>32.799999999999997</v>
      </c>
      <c r="P829" s="630" t="s">
        <v>12</v>
      </c>
    </row>
    <row r="830" spans="1:16" x14ac:dyDescent="0.2">
      <c r="A830" s="736"/>
      <c r="B830" s="737"/>
      <c r="C830" s="665" t="s">
        <v>1114</v>
      </c>
      <c r="E830" s="661">
        <f>3.32+5.55</f>
        <v>8.8699999999999992</v>
      </c>
      <c r="F830" s="662" t="s">
        <v>866</v>
      </c>
      <c r="G830" s="631">
        <v>2</v>
      </c>
      <c r="H830" s="631" t="s">
        <v>866</v>
      </c>
      <c r="I830" s="631">
        <v>5.0999999999999996</v>
      </c>
      <c r="J830" s="658" t="s">
        <v>866</v>
      </c>
      <c r="K830" s="631">
        <v>1</v>
      </c>
      <c r="L830" s="631"/>
      <c r="M830" s="631"/>
      <c r="N830" s="666" t="s">
        <v>799</v>
      </c>
      <c r="O830" s="631">
        <f t="shared" si="52"/>
        <v>90.47399999999999</v>
      </c>
      <c r="P830" s="630" t="s">
        <v>12</v>
      </c>
    </row>
    <row r="831" spans="1:16" ht="18" x14ac:dyDescent="0.2">
      <c r="A831" s="736"/>
      <c r="B831" s="737"/>
      <c r="C831" s="911" t="s">
        <v>1510</v>
      </c>
      <c r="D831" s="655"/>
      <c r="E831" s="730">
        <v>19.5</v>
      </c>
      <c r="F831" s="662" t="s">
        <v>866</v>
      </c>
      <c r="G831" s="631">
        <v>1</v>
      </c>
      <c r="H831" s="631" t="s">
        <v>866</v>
      </c>
      <c r="I831" s="631">
        <f>I809-I814</f>
        <v>4.25</v>
      </c>
      <c r="J831" s="658" t="s">
        <v>866</v>
      </c>
      <c r="K831" s="631">
        <v>1</v>
      </c>
      <c r="L831" s="631"/>
      <c r="M831" s="631"/>
      <c r="N831" s="666" t="s">
        <v>799</v>
      </c>
      <c r="O831" s="631">
        <f>E831*G831*I831*K831</f>
        <v>82.875</v>
      </c>
      <c r="P831" s="630" t="s">
        <v>12</v>
      </c>
    </row>
    <row r="832" spans="1:16" ht="24" customHeight="1" x14ac:dyDescent="0.2">
      <c r="A832" s="736"/>
      <c r="B832" s="737"/>
      <c r="C832" s="911" t="s">
        <v>1508</v>
      </c>
      <c r="D832" s="655"/>
      <c r="E832" s="730">
        <v>11</v>
      </c>
      <c r="F832" s="662" t="s">
        <v>866</v>
      </c>
      <c r="G832" s="631">
        <v>1</v>
      </c>
      <c r="H832" s="631" t="s">
        <v>866</v>
      </c>
      <c r="I832" s="631">
        <f t="shared" ref="I832" si="53">I810-I815</f>
        <v>4.25</v>
      </c>
      <c r="J832" s="658" t="s">
        <v>866</v>
      </c>
      <c r="K832" s="631">
        <v>1</v>
      </c>
      <c r="L832" s="631"/>
      <c r="M832" s="631"/>
      <c r="N832" s="666" t="s">
        <v>799</v>
      </c>
      <c r="O832" s="631">
        <f>E832*G832*I832*K832</f>
        <v>46.75</v>
      </c>
      <c r="P832" s="630" t="s">
        <v>12</v>
      </c>
    </row>
    <row r="833" spans="1:16" ht="23.25" customHeight="1" thickBot="1" x14ac:dyDescent="0.25">
      <c r="A833" s="736"/>
      <c r="B833" s="737"/>
      <c r="C833" s="911" t="s">
        <v>1535</v>
      </c>
      <c r="D833" s="655"/>
      <c r="E833" s="730">
        <v>12</v>
      </c>
      <c r="F833" s="662" t="s">
        <v>866</v>
      </c>
      <c r="G833" s="631">
        <v>1</v>
      </c>
      <c r="H833" s="631" t="s">
        <v>866</v>
      </c>
      <c r="I833" s="631">
        <f>I811-I816</f>
        <v>5.75</v>
      </c>
      <c r="J833" s="631" t="s">
        <v>866</v>
      </c>
      <c r="K833" s="631">
        <v>1</v>
      </c>
      <c r="L833" s="631"/>
      <c r="M833" s="631"/>
      <c r="N833" s="666" t="s">
        <v>799</v>
      </c>
      <c r="O833" s="631">
        <f>E833*G833*I833*K833</f>
        <v>69</v>
      </c>
      <c r="P833" s="630" t="s">
        <v>12</v>
      </c>
    </row>
    <row r="834" spans="1:16" ht="13.5" thickBot="1" x14ac:dyDescent="0.25">
      <c r="A834" s="736"/>
      <c r="B834" s="737"/>
      <c r="C834" s="667"/>
      <c r="F834" s="666"/>
      <c r="G834" s="631"/>
      <c r="H834" s="631"/>
      <c r="I834" s="631"/>
      <c r="J834" s="631"/>
      <c r="K834" s="631"/>
      <c r="L834" s="631"/>
      <c r="M834" s="631"/>
      <c r="N834" s="666"/>
      <c r="O834" s="668">
        <f>ROUND((SUM(O828:O833)),2)</f>
        <v>372.3</v>
      </c>
      <c r="P834" s="669" t="s">
        <v>12</v>
      </c>
    </row>
    <row r="835" spans="1:16" x14ac:dyDescent="0.2">
      <c r="A835" s="734" t="s">
        <v>0</v>
      </c>
      <c r="B835" s="735" t="s">
        <v>1313</v>
      </c>
      <c r="C835" s="678" t="e">
        <f>#REF!</f>
        <v>#REF!</v>
      </c>
      <c r="D835" s="662" t="s">
        <v>799</v>
      </c>
      <c r="E835" s="663" t="s">
        <v>864</v>
      </c>
      <c r="F835" s="633"/>
      <c r="G835" s="664" t="s">
        <v>865</v>
      </c>
      <c r="H835" s="664"/>
      <c r="I835" s="664" t="s">
        <v>883</v>
      </c>
      <c r="J835" s="664"/>
      <c r="K835" s="664" t="s">
        <v>628</v>
      </c>
      <c r="L835" s="664"/>
      <c r="M835" s="664"/>
      <c r="O835" s="631"/>
    </row>
    <row r="836" spans="1:16" x14ac:dyDescent="0.2">
      <c r="A836" s="736"/>
      <c r="B836" s="737"/>
      <c r="C836" s="665" t="s">
        <v>1625</v>
      </c>
      <c r="E836" s="661">
        <v>5.05</v>
      </c>
      <c r="F836" s="662" t="s">
        <v>866</v>
      </c>
      <c r="G836" s="631">
        <v>5.55</v>
      </c>
      <c r="H836" s="821" t="s">
        <v>866</v>
      </c>
      <c r="I836" s="820">
        <v>0.05</v>
      </c>
      <c r="J836" s="821" t="s">
        <v>866</v>
      </c>
      <c r="K836" s="820">
        <v>1</v>
      </c>
      <c r="L836" s="631"/>
      <c r="M836" s="631"/>
      <c r="N836" s="666" t="s">
        <v>799</v>
      </c>
      <c r="O836" s="631">
        <f>E836*G836*I836*K836</f>
        <v>1.401375</v>
      </c>
      <c r="P836" s="630" t="s">
        <v>12</v>
      </c>
    </row>
    <row r="837" spans="1:16" x14ac:dyDescent="0.2">
      <c r="A837" s="736"/>
      <c r="B837" s="737"/>
      <c r="C837" s="665" t="s">
        <v>1626</v>
      </c>
      <c r="E837" s="661">
        <v>4</v>
      </c>
      <c r="F837" s="662" t="s">
        <v>866</v>
      </c>
      <c r="G837" s="631">
        <v>5.55</v>
      </c>
      <c r="H837" s="821" t="s">
        <v>866</v>
      </c>
      <c r="I837" s="820">
        <v>0.05</v>
      </c>
      <c r="J837" s="821" t="s">
        <v>866</v>
      </c>
      <c r="K837" s="820">
        <v>1</v>
      </c>
      <c r="L837" s="631"/>
      <c r="M837" s="631"/>
      <c r="N837" s="666" t="s">
        <v>799</v>
      </c>
      <c r="O837" s="631">
        <f t="shared" ref="O837:O838" si="54">E837*G837*I837*K837</f>
        <v>1.1100000000000001</v>
      </c>
      <c r="P837" s="630" t="s">
        <v>12</v>
      </c>
    </row>
    <row r="838" spans="1:16" ht="13.5" thickBot="1" x14ac:dyDescent="0.25">
      <c r="A838" s="736"/>
      <c r="B838" s="737"/>
      <c r="C838" s="665" t="s">
        <v>1114</v>
      </c>
      <c r="E838" s="661">
        <v>1.32</v>
      </c>
      <c r="F838" s="662" t="s">
        <v>866</v>
      </c>
      <c r="G838" s="631">
        <v>5.55</v>
      </c>
      <c r="H838" s="821" t="s">
        <v>866</v>
      </c>
      <c r="I838" s="820">
        <v>0.05</v>
      </c>
      <c r="J838" s="821" t="s">
        <v>866</v>
      </c>
      <c r="K838" s="820">
        <v>1</v>
      </c>
      <c r="L838" s="631"/>
      <c r="M838" s="631"/>
      <c r="N838" s="666" t="s">
        <v>799</v>
      </c>
      <c r="O838" s="631">
        <f t="shared" si="54"/>
        <v>0.36630000000000007</v>
      </c>
      <c r="P838" s="630" t="s">
        <v>12</v>
      </c>
    </row>
    <row r="839" spans="1:16" ht="13.5" thickBot="1" x14ac:dyDescent="0.25">
      <c r="A839" s="736"/>
      <c r="B839" s="737"/>
      <c r="C839" s="667"/>
      <c r="F839" s="666"/>
      <c r="G839" s="631"/>
      <c r="H839" s="631"/>
      <c r="I839" s="631"/>
      <c r="J839" s="631"/>
      <c r="K839" s="631"/>
      <c r="L839" s="631"/>
      <c r="M839" s="631"/>
      <c r="N839" s="666"/>
      <c r="O839" s="668">
        <f>ROUND((SUM(O836:O838)),2)</f>
        <v>2.88</v>
      </c>
      <c r="P839" s="669" t="s">
        <v>12</v>
      </c>
    </row>
    <row r="840" spans="1:16" ht="43.5" customHeight="1" x14ac:dyDescent="0.2">
      <c r="A840" s="734" t="s">
        <v>0</v>
      </c>
      <c r="B840" s="735" t="s">
        <v>1314</v>
      </c>
      <c r="C840" s="678" t="e">
        <f>#REF!</f>
        <v>#REF!</v>
      </c>
      <c r="D840" s="662" t="s">
        <v>799</v>
      </c>
      <c r="E840" s="663" t="s">
        <v>864</v>
      </c>
      <c r="F840" s="633"/>
      <c r="G840" s="664" t="s">
        <v>980</v>
      </c>
      <c r="H840" s="664"/>
      <c r="I840" s="664" t="s">
        <v>883</v>
      </c>
      <c r="J840" s="664"/>
      <c r="K840" s="664" t="s">
        <v>628</v>
      </c>
      <c r="L840" s="664"/>
      <c r="M840" s="664" t="s">
        <v>1067</v>
      </c>
      <c r="O840" s="631"/>
    </row>
    <row r="841" spans="1:16" ht="27" customHeight="1" x14ac:dyDescent="0.2">
      <c r="A841" s="734"/>
      <c r="B841" s="735"/>
      <c r="C841" s="909" t="s">
        <v>1504</v>
      </c>
      <c r="D841" s="662"/>
      <c r="E841" s="663"/>
      <c r="F841" s="633"/>
      <c r="G841" s="664"/>
      <c r="H841" s="664"/>
      <c r="I841" s="664"/>
      <c r="J841" s="664"/>
      <c r="K841" s="664"/>
      <c r="L841" s="664"/>
      <c r="M841" s="664"/>
      <c r="O841" s="631"/>
    </row>
    <row r="842" spans="1:16" ht="13.5" customHeight="1" x14ac:dyDescent="0.2">
      <c r="A842" s="734"/>
      <c r="B842" s="735"/>
      <c r="C842" s="665" t="s">
        <v>1625</v>
      </c>
      <c r="E842" s="661">
        <v>0.5</v>
      </c>
      <c r="F842" s="662" t="s">
        <v>866</v>
      </c>
      <c r="G842" s="631">
        <v>0.15</v>
      </c>
      <c r="H842" s="631" t="s">
        <v>866</v>
      </c>
      <c r="I842" s="631">
        <v>0.9</v>
      </c>
      <c r="J842" s="658" t="s">
        <v>866</v>
      </c>
      <c r="K842" s="631">
        <v>1</v>
      </c>
      <c r="L842" s="631"/>
      <c r="M842" s="631"/>
      <c r="N842" s="666" t="s">
        <v>799</v>
      </c>
      <c r="O842" s="631">
        <f t="shared" ref="O842:O847" si="55">E842*G842*I842*K842</f>
        <v>6.7500000000000004E-2</v>
      </c>
      <c r="P842" s="630" t="s">
        <v>12</v>
      </c>
    </row>
    <row r="843" spans="1:16" ht="13.5" customHeight="1" x14ac:dyDescent="0.2">
      <c r="A843" s="734"/>
      <c r="B843" s="735"/>
      <c r="C843" s="665"/>
      <c r="E843" s="661">
        <v>5.45</v>
      </c>
      <c r="F843" s="662" t="s">
        <v>866</v>
      </c>
      <c r="G843" s="631">
        <v>0.1</v>
      </c>
      <c r="H843" s="631" t="s">
        <v>866</v>
      </c>
      <c r="I843" s="631">
        <v>0.9</v>
      </c>
      <c r="J843" s="658" t="s">
        <v>866</v>
      </c>
      <c r="K843" s="631">
        <v>1</v>
      </c>
      <c r="L843" s="631"/>
      <c r="M843" s="631"/>
      <c r="N843" s="666" t="s">
        <v>799</v>
      </c>
      <c r="O843" s="631">
        <f t="shared" si="55"/>
        <v>0.49050000000000005</v>
      </c>
      <c r="P843" s="630" t="s">
        <v>12</v>
      </c>
    </row>
    <row r="844" spans="1:16" ht="12.75" customHeight="1" x14ac:dyDescent="0.2">
      <c r="A844" s="734"/>
      <c r="B844" s="735"/>
      <c r="C844" s="665" t="s">
        <v>1626</v>
      </c>
      <c r="E844" s="661">
        <v>0.5</v>
      </c>
      <c r="F844" s="662" t="s">
        <v>866</v>
      </c>
      <c r="G844" s="631">
        <v>0.1</v>
      </c>
      <c r="H844" s="631" t="s">
        <v>866</v>
      </c>
      <c r="I844" s="631">
        <v>0.9</v>
      </c>
      <c r="J844" s="658" t="s">
        <v>866</v>
      </c>
      <c r="K844" s="631">
        <v>1</v>
      </c>
      <c r="L844" s="631"/>
      <c r="M844" s="631"/>
      <c r="N844" s="666" t="s">
        <v>799</v>
      </c>
      <c r="O844" s="631">
        <f t="shared" si="55"/>
        <v>4.5000000000000005E-2</v>
      </c>
      <c r="P844" s="630" t="s">
        <v>12</v>
      </c>
    </row>
    <row r="845" spans="1:16" ht="12.75" customHeight="1" x14ac:dyDescent="0.2">
      <c r="A845" s="734"/>
      <c r="B845" s="735"/>
      <c r="C845" s="665"/>
      <c r="E845" s="661">
        <v>4</v>
      </c>
      <c r="F845" s="662" t="s">
        <v>866</v>
      </c>
      <c r="G845" s="631">
        <v>0.1</v>
      </c>
      <c r="H845" s="631" t="s">
        <v>866</v>
      </c>
      <c r="I845" s="631">
        <v>0.9</v>
      </c>
      <c r="J845" s="658" t="s">
        <v>866</v>
      </c>
      <c r="K845" s="631">
        <v>1</v>
      </c>
      <c r="L845" s="631"/>
      <c r="M845" s="631"/>
      <c r="N845" s="666" t="s">
        <v>799</v>
      </c>
      <c r="O845" s="631">
        <f t="shared" si="55"/>
        <v>0.36000000000000004</v>
      </c>
      <c r="P845" s="630" t="s">
        <v>12</v>
      </c>
    </row>
    <row r="846" spans="1:16" ht="12.75" customHeight="1" x14ac:dyDescent="0.2">
      <c r="A846" s="734"/>
      <c r="B846" s="735"/>
      <c r="C846" s="665" t="s">
        <v>1114</v>
      </c>
      <c r="E846" s="661">
        <v>0.92</v>
      </c>
      <c r="F846" s="662" t="s">
        <v>866</v>
      </c>
      <c r="G846" s="631">
        <v>0.1</v>
      </c>
      <c r="H846" s="631" t="s">
        <v>866</v>
      </c>
      <c r="I846" s="631">
        <v>5.55</v>
      </c>
      <c r="J846" s="658" t="s">
        <v>866</v>
      </c>
      <c r="K846" s="631">
        <v>1</v>
      </c>
      <c r="L846" s="631"/>
      <c r="M846" s="631"/>
      <c r="N846" s="666" t="s">
        <v>799</v>
      </c>
      <c r="O846" s="631">
        <f t="shared" si="55"/>
        <v>0.51060000000000005</v>
      </c>
      <c r="P846" s="630" t="s">
        <v>12</v>
      </c>
    </row>
    <row r="847" spans="1:16" ht="16.5" customHeight="1" x14ac:dyDescent="0.2">
      <c r="A847" s="734"/>
      <c r="B847" s="735"/>
      <c r="C847" s="782" t="s">
        <v>1627</v>
      </c>
      <c r="D847" s="655"/>
      <c r="E847" s="730">
        <v>1.82</v>
      </c>
      <c r="F847" s="662" t="s">
        <v>866</v>
      </c>
      <c r="G847" s="631">
        <v>0.1</v>
      </c>
      <c r="H847" s="631" t="s">
        <v>866</v>
      </c>
      <c r="I847" s="631">
        <v>6.17</v>
      </c>
      <c r="J847" s="658" t="s">
        <v>866</v>
      </c>
      <c r="K847" s="631">
        <v>1</v>
      </c>
      <c r="L847" s="631"/>
      <c r="M847" s="631"/>
      <c r="N847" s="666" t="s">
        <v>799</v>
      </c>
      <c r="O847" s="631">
        <f t="shared" si="55"/>
        <v>1.12294</v>
      </c>
      <c r="P847" s="630" t="s">
        <v>12</v>
      </c>
    </row>
    <row r="848" spans="1:16" ht="15" customHeight="1" x14ac:dyDescent="0.2">
      <c r="A848" s="734"/>
      <c r="B848" s="735"/>
      <c r="C848" s="909" t="s">
        <v>1505</v>
      </c>
      <c r="D848" s="662"/>
      <c r="E848" s="663"/>
      <c r="F848" s="633"/>
      <c r="G848" s="664"/>
      <c r="H848" s="664"/>
      <c r="I848" s="664"/>
      <c r="J848" s="664"/>
      <c r="K848" s="664"/>
      <c r="L848" s="664"/>
      <c r="M848" s="664"/>
      <c r="O848" s="631"/>
    </row>
    <row r="849" spans="1:16" ht="12.75" customHeight="1" x14ac:dyDescent="0.2">
      <c r="A849" s="734"/>
      <c r="B849" s="735"/>
      <c r="C849" s="665" t="s">
        <v>1628</v>
      </c>
      <c r="E849" s="661">
        <v>0.8</v>
      </c>
      <c r="F849" s="662" t="s">
        <v>866</v>
      </c>
      <c r="G849" s="631">
        <v>0.15</v>
      </c>
      <c r="H849" s="631" t="s">
        <v>866</v>
      </c>
      <c r="I849" s="631">
        <v>10.35</v>
      </c>
      <c r="J849" s="658" t="s">
        <v>866</v>
      </c>
      <c r="K849" s="631">
        <v>1</v>
      </c>
      <c r="L849" s="631"/>
      <c r="M849" s="631"/>
      <c r="N849" s="666" t="s">
        <v>799</v>
      </c>
      <c r="O849" s="631">
        <f t="shared" ref="O849:O851" si="56">E849*G849*I849*K849</f>
        <v>1.242</v>
      </c>
      <c r="P849" s="630" t="s">
        <v>12</v>
      </c>
    </row>
    <row r="850" spans="1:16" ht="12.75" customHeight="1" x14ac:dyDescent="0.2">
      <c r="A850" s="734"/>
      <c r="B850" s="735"/>
      <c r="C850" s="665" t="s">
        <v>1114</v>
      </c>
      <c r="E850" s="661">
        <v>0.62</v>
      </c>
      <c r="F850" s="662" t="s">
        <v>866</v>
      </c>
      <c r="G850" s="631">
        <v>0.25</v>
      </c>
      <c r="H850" s="631" t="s">
        <v>866</v>
      </c>
      <c r="I850" s="631">
        <v>5.15</v>
      </c>
      <c r="J850" s="658" t="s">
        <v>866</v>
      </c>
      <c r="K850" s="631">
        <v>1</v>
      </c>
      <c r="L850" s="631"/>
      <c r="M850" s="631"/>
      <c r="N850" s="666" t="s">
        <v>799</v>
      </c>
      <c r="O850" s="631">
        <f t="shared" si="56"/>
        <v>0.79825000000000002</v>
      </c>
      <c r="P850" s="630" t="s">
        <v>12</v>
      </c>
    </row>
    <row r="851" spans="1:16" ht="12.75" customHeight="1" x14ac:dyDescent="0.2">
      <c r="A851" s="734"/>
      <c r="B851" s="735"/>
      <c r="C851" s="665" t="s">
        <v>1631</v>
      </c>
      <c r="E851" s="661">
        <v>1.67</v>
      </c>
      <c r="F851" s="662" t="s">
        <v>866</v>
      </c>
      <c r="G851" s="631">
        <v>0.05</v>
      </c>
      <c r="H851" s="631" t="s">
        <v>866</v>
      </c>
      <c r="I851" s="631">
        <v>0.35</v>
      </c>
      <c r="J851" s="658" t="s">
        <v>866</v>
      </c>
      <c r="K851" s="631">
        <v>4</v>
      </c>
      <c r="L851" s="631"/>
      <c r="M851" s="631"/>
      <c r="N851" s="666" t="s">
        <v>799</v>
      </c>
      <c r="O851" s="631">
        <f t="shared" si="56"/>
        <v>0.1169</v>
      </c>
      <c r="P851" s="630" t="s">
        <v>12</v>
      </c>
    </row>
    <row r="852" spans="1:16" ht="12.75" customHeight="1" x14ac:dyDescent="0.2">
      <c r="A852" s="734"/>
      <c r="B852" s="735"/>
      <c r="C852" s="909" t="s">
        <v>1506</v>
      </c>
      <c r="D852" s="662"/>
      <c r="E852" s="663"/>
      <c r="F852" s="633"/>
      <c r="G852" s="664"/>
      <c r="H852" s="664"/>
      <c r="I852" s="664"/>
      <c r="J852" s="664"/>
      <c r="K852" s="664"/>
      <c r="L852" s="664"/>
      <c r="M852" s="664"/>
      <c r="O852" s="631"/>
    </row>
    <row r="853" spans="1:16" ht="12.75" customHeight="1" x14ac:dyDescent="0.2">
      <c r="A853" s="734"/>
      <c r="B853" s="735"/>
      <c r="C853" s="665" t="s">
        <v>1625</v>
      </c>
      <c r="E853" s="661">
        <v>5.05</v>
      </c>
      <c r="F853" s="662" t="s">
        <v>866</v>
      </c>
      <c r="G853" s="631">
        <v>0.4</v>
      </c>
      <c r="H853" s="631" t="s">
        <v>866</v>
      </c>
      <c r="I853" s="631">
        <v>5.55</v>
      </c>
      <c r="J853" s="658" t="s">
        <v>866</v>
      </c>
      <c r="K853" s="631">
        <v>1</v>
      </c>
      <c r="L853" s="631"/>
      <c r="M853" s="631"/>
      <c r="N853" s="666" t="s">
        <v>799</v>
      </c>
      <c r="O853" s="631">
        <f t="shared" ref="O853:O858" si="57">E853*G853*I853*K853</f>
        <v>11.211</v>
      </c>
      <c r="P853" s="630" t="s">
        <v>12</v>
      </c>
    </row>
    <row r="854" spans="1:16" ht="12.75" customHeight="1" x14ac:dyDescent="0.2">
      <c r="A854" s="734"/>
      <c r="B854" s="735"/>
      <c r="C854" s="665" t="s">
        <v>1626</v>
      </c>
      <c r="E854" s="661">
        <v>4</v>
      </c>
      <c r="F854" s="662" t="s">
        <v>866</v>
      </c>
      <c r="G854" s="631">
        <v>0.4</v>
      </c>
      <c r="H854" s="631" t="s">
        <v>866</v>
      </c>
      <c r="I854" s="631">
        <v>5.55</v>
      </c>
      <c r="J854" s="658" t="s">
        <v>866</v>
      </c>
      <c r="K854" s="631">
        <v>1</v>
      </c>
      <c r="L854" s="631"/>
      <c r="M854" s="631"/>
      <c r="N854" s="666" t="s">
        <v>799</v>
      </c>
      <c r="O854" s="631">
        <f t="shared" si="57"/>
        <v>8.8800000000000008</v>
      </c>
      <c r="P854" s="630" t="s">
        <v>12</v>
      </c>
    </row>
    <row r="855" spans="1:16" ht="25.5" customHeight="1" x14ac:dyDescent="0.2">
      <c r="A855" s="734"/>
      <c r="B855" s="735"/>
      <c r="C855" s="782" t="s">
        <v>1629</v>
      </c>
      <c r="D855" s="655"/>
      <c r="E855" s="730">
        <v>1.05</v>
      </c>
      <c r="F855" s="662" t="s">
        <v>866</v>
      </c>
      <c r="G855" s="631">
        <v>0.8</v>
      </c>
      <c r="H855" s="631" t="s">
        <v>866</v>
      </c>
      <c r="I855" s="631">
        <v>4.75</v>
      </c>
      <c r="J855" s="658" t="s">
        <v>866</v>
      </c>
      <c r="K855" s="631">
        <v>2</v>
      </c>
      <c r="L855" s="631"/>
      <c r="M855" s="631"/>
      <c r="N855" s="666" t="s">
        <v>799</v>
      </c>
      <c r="O855" s="631">
        <f t="shared" si="57"/>
        <v>7.98</v>
      </c>
      <c r="P855" s="630" t="s">
        <v>12</v>
      </c>
    </row>
    <row r="856" spans="1:16" ht="12.75" customHeight="1" x14ac:dyDescent="0.2">
      <c r="A856" s="734"/>
      <c r="B856" s="735"/>
      <c r="C856" s="665"/>
      <c r="E856" s="661">
        <v>0.8</v>
      </c>
      <c r="F856" s="662" t="s">
        <v>866</v>
      </c>
      <c r="G856" s="631">
        <v>0.8</v>
      </c>
      <c r="H856" s="631" t="s">
        <v>866</v>
      </c>
      <c r="I856" s="631">
        <v>4.75</v>
      </c>
      <c r="J856" s="658" t="s">
        <v>866</v>
      </c>
      <c r="K856" s="631">
        <v>2</v>
      </c>
      <c r="L856" s="631"/>
      <c r="M856" s="631"/>
      <c r="N856" s="666" t="s">
        <v>799</v>
      </c>
      <c r="O856" s="631">
        <f t="shared" si="57"/>
        <v>6.080000000000001</v>
      </c>
      <c r="P856" s="630" t="s">
        <v>12</v>
      </c>
    </row>
    <row r="857" spans="1:16" ht="12.75" customHeight="1" x14ac:dyDescent="0.2">
      <c r="A857" s="734"/>
      <c r="B857" s="735"/>
      <c r="C857" s="665"/>
      <c r="E857" s="661">
        <v>0.8</v>
      </c>
      <c r="F857" s="662" t="s">
        <v>866</v>
      </c>
      <c r="G857" s="631">
        <v>0.8</v>
      </c>
      <c r="H857" s="631" t="s">
        <v>866</v>
      </c>
      <c r="I857" s="631">
        <v>2.5499999999999998</v>
      </c>
      <c r="J857" s="658" t="s">
        <v>866</v>
      </c>
      <c r="K857" s="631">
        <v>2</v>
      </c>
      <c r="L857" s="631"/>
      <c r="M857" s="631"/>
      <c r="N857" s="666" t="s">
        <v>799</v>
      </c>
      <c r="O857" s="631">
        <f t="shared" si="57"/>
        <v>3.2640000000000002</v>
      </c>
      <c r="P857" s="630" t="s">
        <v>12</v>
      </c>
    </row>
    <row r="858" spans="1:16" ht="12.75" customHeight="1" x14ac:dyDescent="0.2">
      <c r="A858" s="734"/>
      <c r="B858" s="735"/>
      <c r="C858" s="665" t="s">
        <v>1114</v>
      </c>
      <c r="E858" s="661">
        <v>1.32</v>
      </c>
      <c r="F858" s="662" t="s">
        <v>866</v>
      </c>
      <c r="G858" s="631">
        <v>0.3</v>
      </c>
      <c r="H858" s="631" t="s">
        <v>866</v>
      </c>
      <c r="I858" s="631">
        <v>5.55</v>
      </c>
      <c r="J858" s="658" t="s">
        <v>866</v>
      </c>
      <c r="K858" s="631">
        <v>1</v>
      </c>
      <c r="L858" s="631"/>
      <c r="M858" s="631"/>
      <c r="N858" s="666" t="s">
        <v>799</v>
      </c>
      <c r="O858" s="631">
        <f t="shared" si="57"/>
        <v>2.1978</v>
      </c>
      <c r="P858" s="630" t="s">
        <v>12</v>
      </c>
    </row>
    <row r="859" spans="1:16" ht="12.75" customHeight="1" x14ac:dyDescent="0.2">
      <c r="A859" s="734"/>
      <c r="B859" s="735"/>
      <c r="C859" s="909" t="s">
        <v>887</v>
      </c>
      <c r="D859" s="662"/>
      <c r="E859" s="663"/>
      <c r="F859" s="633"/>
      <c r="G859" s="664"/>
      <c r="H859" s="664"/>
      <c r="I859" s="664"/>
      <c r="J859" s="664"/>
      <c r="K859" s="664"/>
      <c r="L859" s="664"/>
      <c r="M859" s="664"/>
      <c r="O859" s="631"/>
    </row>
    <row r="860" spans="1:16" ht="12.75" customHeight="1" x14ac:dyDescent="0.2">
      <c r="A860" s="734"/>
      <c r="B860" s="735"/>
      <c r="C860" s="665" t="s">
        <v>1625</v>
      </c>
      <c r="E860" s="661">
        <v>4.75</v>
      </c>
      <c r="F860" s="662" t="s">
        <v>866</v>
      </c>
      <c r="G860" s="631">
        <v>0.3</v>
      </c>
      <c r="H860" s="631" t="s">
        <v>866</v>
      </c>
      <c r="I860" s="631">
        <v>1.7</v>
      </c>
      <c r="J860" s="658" t="s">
        <v>866</v>
      </c>
      <c r="K860" s="631">
        <v>1</v>
      </c>
      <c r="L860" s="631"/>
      <c r="M860" s="631"/>
      <c r="N860" s="666" t="s">
        <v>799</v>
      </c>
      <c r="O860" s="631">
        <f t="shared" ref="O860:O868" si="58">E860*G860*I860*K860</f>
        <v>2.4224999999999999</v>
      </c>
      <c r="P860" s="630" t="s">
        <v>12</v>
      </c>
    </row>
    <row r="861" spans="1:16" ht="12.75" customHeight="1" x14ac:dyDescent="0.2">
      <c r="A861" s="734"/>
      <c r="B861" s="735"/>
      <c r="C861" s="665"/>
      <c r="E861" s="661">
        <v>4.75</v>
      </c>
      <c r="F861" s="662" t="s">
        <v>866</v>
      </c>
      <c r="G861" s="631">
        <v>0.3</v>
      </c>
      <c r="H861" s="631" t="s">
        <v>866</v>
      </c>
      <c r="I861" s="631">
        <v>0.1</v>
      </c>
      <c r="J861" s="658" t="s">
        <v>866</v>
      </c>
      <c r="K861" s="631">
        <v>1</v>
      </c>
      <c r="L861" s="631"/>
      <c r="M861" s="631"/>
      <c r="N861" s="666" t="s">
        <v>799</v>
      </c>
      <c r="O861" s="631">
        <f t="shared" si="58"/>
        <v>0.14250000000000002</v>
      </c>
      <c r="P861" s="630" t="s">
        <v>12</v>
      </c>
    </row>
    <row r="862" spans="1:16" ht="12.75" customHeight="1" x14ac:dyDescent="0.2">
      <c r="A862" s="734"/>
      <c r="B862" s="735"/>
      <c r="C862" s="665"/>
      <c r="E862" s="661">
        <v>0.6</v>
      </c>
      <c r="F862" s="662" t="s">
        <v>866</v>
      </c>
      <c r="G862" s="631">
        <v>0.05</v>
      </c>
      <c r="H862" s="631" t="s">
        <v>866</v>
      </c>
      <c r="I862" s="631">
        <v>0.3</v>
      </c>
      <c r="J862" s="658" t="s">
        <v>866</v>
      </c>
      <c r="K862" s="631">
        <v>8</v>
      </c>
      <c r="L862" s="631"/>
      <c r="M862" s="631"/>
      <c r="N862" s="666" t="s">
        <v>799</v>
      </c>
      <c r="O862" s="631">
        <f t="shared" si="58"/>
        <v>7.1999999999999995E-2</v>
      </c>
      <c r="P862" s="630" t="s">
        <v>12</v>
      </c>
    </row>
    <row r="863" spans="1:16" ht="12.75" customHeight="1" x14ac:dyDescent="0.2">
      <c r="A863" s="734"/>
      <c r="B863" s="735"/>
      <c r="C863" s="665"/>
      <c r="E863" s="661">
        <v>0.7</v>
      </c>
      <c r="F863" s="662" t="s">
        <v>866</v>
      </c>
      <c r="G863" s="631">
        <v>0.1</v>
      </c>
      <c r="H863" s="631" t="s">
        <v>866</v>
      </c>
      <c r="I863" s="631">
        <v>10.35</v>
      </c>
      <c r="J863" s="658" t="s">
        <v>866</v>
      </c>
      <c r="K863" s="631">
        <v>1</v>
      </c>
      <c r="L863" s="631"/>
      <c r="M863" s="631"/>
      <c r="N863" s="666" t="s">
        <v>799</v>
      </c>
      <c r="O863" s="631">
        <f t="shared" si="58"/>
        <v>0.72449999999999992</v>
      </c>
      <c r="P863" s="630" t="s">
        <v>12</v>
      </c>
    </row>
    <row r="864" spans="1:16" ht="12.75" customHeight="1" x14ac:dyDescent="0.2">
      <c r="A864" s="734"/>
      <c r="B864" s="735"/>
      <c r="C864" s="665" t="s">
        <v>1626</v>
      </c>
      <c r="E864" s="661">
        <v>3.96</v>
      </c>
      <c r="F864" s="662" t="s">
        <v>866</v>
      </c>
      <c r="G864" s="631">
        <v>0.4</v>
      </c>
      <c r="H864" s="631" t="s">
        <v>866</v>
      </c>
      <c r="I864" s="631">
        <v>4.75</v>
      </c>
      <c r="J864" s="658" t="s">
        <v>866</v>
      </c>
      <c r="K864" s="631">
        <v>1</v>
      </c>
      <c r="L864" s="631"/>
      <c r="M864" s="631"/>
      <c r="N864" s="666" t="s">
        <v>799</v>
      </c>
      <c r="O864" s="631">
        <f t="shared" si="58"/>
        <v>7.524</v>
      </c>
      <c r="P864" s="630" t="s">
        <v>12</v>
      </c>
    </row>
    <row r="865" spans="1:16" ht="12.75" customHeight="1" x14ac:dyDescent="0.2">
      <c r="A865" s="734"/>
      <c r="B865" s="735"/>
      <c r="C865" s="665"/>
      <c r="E865" s="661">
        <v>1.95</v>
      </c>
      <c r="F865" s="662" t="s">
        <v>866</v>
      </c>
      <c r="G865" s="631">
        <v>0.25</v>
      </c>
      <c r="H865" s="631" t="s">
        <v>866</v>
      </c>
      <c r="I865" s="631">
        <v>4.75</v>
      </c>
      <c r="J865" s="658" t="s">
        <v>866</v>
      </c>
      <c r="K865" s="631">
        <v>1</v>
      </c>
      <c r="L865" s="631"/>
      <c r="M865" s="631"/>
      <c r="N865" s="666" t="s">
        <v>799</v>
      </c>
      <c r="O865" s="631">
        <f t="shared" si="58"/>
        <v>2.3156249999999998</v>
      </c>
      <c r="P865" s="630" t="s">
        <v>12</v>
      </c>
    </row>
    <row r="866" spans="1:16" ht="12.75" customHeight="1" x14ac:dyDescent="0.2">
      <c r="A866" s="734"/>
      <c r="B866" s="735"/>
      <c r="C866" s="665" t="s">
        <v>1114</v>
      </c>
      <c r="E866" s="661">
        <v>4.8</v>
      </c>
      <c r="F866" s="662" t="s">
        <v>866</v>
      </c>
      <c r="G866" s="631">
        <v>0.4</v>
      </c>
      <c r="H866" s="631" t="s">
        <v>866</v>
      </c>
      <c r="I866" s="631">
        <v>4.75</v>
      </c>
      <c r="J866" s="658" t="s">
        <v>866</v>
      </c>
      <c r="K866" s="631">
        <v>1</v>
      </c>
      <c r="L866" s="631"/>
      <c r="M866" s="631"/>
      <c r="N866" s="666" t="s">
        <v>799</v>
      </c>
      <c r="O866" s="631">
        <f t="shared" si="58"/>
        <v>9.1199999999999992</v>
      </c>
      <c r="P866" s="630" t="s">
        <v>12</v>
      </c>
    </row>
    <row r="867" spans="1:16" ht="12.75" customHeight="1" x14ac:dyDescent="0.2">
      <c r="A867" s="734"/>
      <c r="B867" s="735"/>
      <c r="C867" s="665"/>
      <c r="E867" s="661">
        <v>4.8</v>
      </c>
      <c r="F867" s="662" t="s">
        <v>866</v>
      </c>
      <c r="G867" s="631">
        <v>0.4</v>
      </c>
      <c r="H867" s="631" t="s">
        <v>866</v>
      </c>
      <c r="I867" s="631">
        <v>5.15</v>
      </c>
      <c r="J867" s="658" t="s">
        <v>866</v>
      </c>
      <c r="K867" s="631">
        <v>1</v>
      </c>
      <c r="L867" s="631"/>
      <c r="M867" s="631"/>
      <c r="N867" s="666" t="s">
        <v>799</v>
      </c>
      <c r="O867" s="631">
        <f t="shared" si="58"/>
        <v>9.8879999999999999</v>
      </c>
      <c r="P867" s="630" t="s">
        <v>12</v>
      </c>
    </row>
    <row r="868" spans="1:16" ht="15.75" customHeight="1" x14ac:dyDescent="0.2">
      <c r="A868" s="734"/>
      <c r="B868" s="735"/>
      <c r="C868" s="782" t="s">
        <v>1630</v>
      </c>
      <c r="D868" s="655"/>
      <c r="E868" s="730">
        <v>0.27</v>
      </c>
      <c r="F868" s="662" t="s">
        <v>866</v>
      </c>
      <c r="G868" s="631">
        <v>0.15</v>
      </c>
      <c r="H868" s="631" t="s">
        <v>866</v>
      </c>
      <c r="I868" s="631">
        <v>6.17</v>
      </c>
      <c r="J868" s="658" t="s">
        <v>866</v>
      </c>
      <c r="K868" s="631">
        <v>2</v>
      </c>
      <c r="L868" s="631"/>
      <c r="M868" s="631"/>
      <c r="N868" s="666" t="s">
        <v>799</v>
      </c>
      <c r="O868" s="631">
        <f t="shared" si="58"/>
        <v>0.49976999999999999</v>
      </c>
      <c r="P868" s="630" t="s">
        <v>12</v>
      </c>
    </row>
    <row r="869" spans="1:16" ht="12.75" customHeight="1" x14ac:dyDescent="0.2">
      <c r="A869" s="734"/>
      <c r="B869" s="735"/>
      <c r="C869" s="909" t="s">
        <v>886</v>
      </c>
      <c r="D869" s="662"/>
      <c r="E869" s="663"/>
      <c r="F869" s="633"/>
      <c r="G869" s="664"/>
      <c r="H869" s="664"/>
      <c r="I869" s="664"/>
      <c r="J869" s="664"/>
      <c r="K869" s="664"/>
      <c r="L869" s="664"/>
      <c r="M869" s="664"/>
      <c r="O869" s="631"/>
    </row>
    <row r="870" spans="1:16" ht="12.75" customHeight="1" x14ac:dyDescent="0.2">
      <c r="A870" s="734"/>
      <c r="B870" s="735"/>
      <c r="C870" s="665" t="s">
        <v>1625</v>
      </c>
      <c r="E870" s="661">
        <v>5.05</v>
      </c>
      <c r="F870" s="662" t="s">
        <v>866</v>
      </c>
      <c r="G870" s="631">
        <v>0.4</v>
      </c>
      <c r="H870" s="631" t="s">
        <v>866</v>
      </c>
      <c r="I870" s="631">
        <v>1.7</v>
      </c>
      <c r="J870" s="658" t="s">
        <v>866</v>
      </c>
      <c r="K870" s="631">
        <v>2</v>
      </c>
      <c r="L870" s="631"/>
      <c r="M870" s="631"/>
      <c r="N870" s="666" t="s">
        <v>799</v>
      </c>
      <c r="O870" s="631">
        <f t="shared" ref="O870:O876" si="59">E870*G870*I870*K870</f>
        <v>6.8679999999999994</v>
      </c>
      <c r="P870" s="630" t="s">
        <v>12</v>
      </c>
    </row>
    <row r="871" spans="1:16" ht="12.75" customHeight="1" x14ac:dyDescent="0.2">
      <c r="A871" s="734"/>
      <c r="B871" s="735"/>
      <c r="C871" s="665"/>
      <c r="E871" s="661">
        <v>0.25</v>
      </c>
      <c r="F871" s="662" t="s">
        <v>866</v>
      </c>
      <c r="G871" s="631">
        <v>0.05</v>
      </c>
      <c r="H871" s="631" t="s">
        <v>866</v>
      </c>
      <c r="I871" s="631">
        <v>0.6</v>
      </c>
      <c r="J871" s="658" t="s">
        <v>866</v>
      </c>
      <c r="K871" s="631">
        <v>8</v>
      </c>
      <c r="L871" s="631"/>
      <c r="M871" s="631"/>
      <c r="N871" s="666" t="s">
        <v>799</v>
      </c>
      <c r="O871" s="631">
        <f t="shared" si="59"/>
        <v>0.06</v>
      </c>
      <c r="P871" s="630" t="s">
        <v>12</v>
      </c>
    </row>
    <row r="872" spans="1:16" ht="12.75" customHeight="1" x14ac:dyDescent="0.2">
      <c r="A872" s="734"/>
      <c r="B872" s="735"/>
      <c r="C872" s="665"/>
      <c r="E872" s="629">
        <v>1.52</v>
      </c>
      <c r="F872" s="662" t="s">
        <v>866</v>
      </c>
      <c r="G872" s="631">
        <v>0.1</v>
      </c>
      <c r="H872" s="658" t="s">
        <v>866</v>
      </c>
      <c r="I872" s="631">
        <v>1.7</v>
      </c>
      <c r="J872" s="658" t="s">
        <v>866</v>
      </c>
      <c r="K872" s="631">
        <v>6</v>
      </c>
      <c r="L872" s="631"/>
      <c r="M872" s="631"/>
      <c r="N872" s="666" t="s">
        <v>799</v>
      </c>
      <c r="O872" s="631">
        <f t="shared" si="59"/>
        <v>1.5504000000000002</v>
      </c>
      <c r="P872" s="630" t="s">
        <v>12</v>
      </c>
    </row>
    <row r="873" spans="1:16" ht="12.75" customHeight="1" x14ac:dyDescent="0.2">
      <c r="A873" s="734"/>
      <c r="B873" s="735"/>
      <c r="C873" s="665" t="s">
        <v>1626</v>
      </c>
      <c r="E873" s="661">
        <v>4</v>
      </c>
      <c r="F873" s="662" t="s">
        <v>866</v>
      </c>
      <c r="G873" s="631">
        <v>0.4</v>
      </c>
      <c r="H873" s="631" t="s">
        <v>866</v>
      </c>
      <c r="I873" s="631">
        <v>3.71</v>
      </c>
      <c r="J873" s="658" t="s">
        <v>866</v>
      </c>
      <c r="K873" s="631">
        <v>2</v>
      </c>
      <c r="L873" s="631"/>
      <c r="M873" s="631"/>
      <c r="N873" s="666" t="s">
        <v>799</v>
      </c>
      <c r="O873" s="631">
        <f t="shared" si="59"/>
        <v>11.872</v>
      </c>
      <c r="P873" s="630" t="s">
        <v>12</v>
      </c>
    </row>
    <row r="874" spans="1:16" ht="12.75" customHeight="1" x14ac:dyDescent="0.2">
      <c r="A874" s="734"/>
      <c r="B874" s="735"/>
      <c r="C874" s="665" t="s">
        <v>1114</v>
      </c>
      <c r="E874" s="661">
        <v>1.32</v>
      </c>
      <c r="F874" s="662" t="s">
        <v>866</v>
      </c>
      <c r="G874" s="631">
        <v>0.4</v>
      </c>
      <c r="H874" s="631" t="s">
        <v>866</v>
      </c>
      <c r="I874" s="631">
        <v>4.8</v>
      </c>
      <c r="J874" s="658" t="s">
        <v>866</v>
      </c>
      <c r="K874" s="631">
        <v>2</v>
      </c>
      <c r="L874" s="631"/>
      <c r="M874" s="631"/>
      <c r="N874" s="666" t="s">
        <v>799</v>
      </c>
      <c r="O874" s="631">
        <f t="shared" si="59"/>
        <v>5.0688000000000004</v>
      </c>
      <c r="P874" s="630" t="s">
        <v>12</v>
      </c>
    </row>
    <row r="875" spans="1:16" ht="12.75" customHeight="1" x14ac:dyDescent="0.2">
      <c r="A875" s="734"/>
      <c r="B875" s="735"/>
      <c r="C875" s="782" t="s">
        <v>1630</v>
      </c>
      <c r="D875" s="655"/>
      <c r="E875" s="730">
        <v>0.27</v>
      </c>
      <c r="F875" s="662" t="s">
        <v>866</v>
      </c>
      <c r="G875" s="631">
        <v>0.2</v>
      </c>
      <c r="H875" s="631" t="s">
        <v>866</v>
      </c>
      <c r="I875" s="631">
        <v>1.67</v>
      </c>
      <c r="J875" s="658" t="s">
        <v>866</v>
      </c>
      <c r="K875" s="631">
        <v>5</v>
      </c>
      <c r="L875" s="631"/>
      <c r="M875" s="631"/>
      <c r="N875" s="666" t="s">
        <v>799</v>
      </c>
      <c r="O875" s="631">
        <f t="shared" si="59"/>
        <v>0.45090000000000008</v>
      </c>
      <c r="P875" s="630" t="s">
        <v>12</v>
      </c>
    </row>
    <row r="876" spans="1:16" ht="12.75" customHeight="1" thickBot="1" x14ac:dyDescent="0.25">
      <c r="A876" s="734"/>
      <c r="B876" s="735"/>
      <c r="C876" s="782"/>
      <c r="D876" s="655"/>
      <c r="E876" s="730">
        <v>0.3</v>
      </c>
      <c r="F876" s="662" t="s">
        <v>866</v>
      </c>
      <c r="G876" s="631">
        <v>0.05</v>
      </c>
      <c r="H876" s="631" t="s">
        <v>866</v>
      </c>
      <c r="I876" s="631">
        <v>1.67</v>
      </c>
      <c r="J876" s="658" t="s">
        <v>866</v>
      </c>
      <c r="K876" s="631">
        <v>10</v>
      </c>
      <c r="L876" s="631"/>
      <c r="M876" s="631"/>
      <c r="N876" s="666" t="s">
        <v>799</v>
      </c>
      <c r="O876" s="631">
        <f t="shared" si="59"/>
        <v>0.2505</v>
      </c>
      <c r="P876" s="630" t="s">
        <v>12</v>
      </c>
    </row>
    <row r="877" spans="1:16" ht="13.5" thickBot="1" x14ac:dyDescent="0.25">
      <c r="A877" s="736"/>
      <c r="B877" s="737"/>
      <c r="C877" s="667"/>
      <c r="F877" s="666"/>
      <c r="G877" s="631"/>
      <c r="H877" s="631"/>
      <c r="I877" s="631"/>
      <c r="J877" s="631"/>
      <c r="K877" s="631"/>
      <c r="L877" s="631"/>
      <c r="M877" s="631"/>
      <c r="N877" s="666"/>
      <c r="O877" s="668">
        <f>ROUND((SUM(O842:O876)),2)</f>
        <v>103.2</v>
      </c>
      <c r="P877" s="669" t="s">
        <v>12</v>
      </c>
    </row>
    <row r="878" spans="1:16" ht="78.75" customHeight="1" thickBot="1" x14ac:dyDescent="0.25">
      <c r="A878" s="734" t="s">
        <v>0</v>
      </c>
      <c r="B878" s="735" t="s">
        <v>1315</v>
      </c>
      <c r="C878" s="751" t="e">
        <f>#REF!</f>
        <v>#REF!</v>
      </c>
      <c r="D878" s="662" t="s">
        <v>799</v>
      </c>
      <c r="E878" s="663" t="s">
        <v>888</v>
      </c>
      <c r="F878" s="633"/>
      <c r="G878" s="664"/>
      <c r="H878" s="664"/>
      <c r="I878" s="664"/>
      <c r="J878" s="664"/>
      <c r="K878" s="664"/>
      <c r="L878" s="664"/>
      <c r="M878" s="664"/>
      <c r="O878" s="631"/>
    </row>
    <row r="879" spans="1:16" ht="13.5" thickBot="1" x14ac:dyDescent="0.25">
      <c r="A879" s="736"/>
      <c r="B879" s="737"/>
      <c r="C879" s="665" t="s">
        <v>895</v>
      </c>
      <c r="E879" s="629">
        <v>15483.8</v>
      </c>
      <c r="F879" s="662"/>
      <c r="G879" s="1908" t="s">
        <v>1075</v>
      </c>
      <c r="H879" s="1909"/>
      <c r="I879" s="1909"/>
      <c r="J879" s="1909"/>
      <c r="K879" s="1910"/>
      <c r="L879" s="631"/>
      <c r="M879" s="631"/>
      <c r="N879" s="666" t="s">
        <v>799</v>
      </c>
      <c r="O879" s="631">
        <f>E879</f>
        <v>15483.8</v>
      </c>
      <c r="P879" s="630" t="s">
        <v>7</v>
      </c>
    </row>
    <row r="880" spans="1:16" ht="13.5" thickBot="1" x14ac:dyDescent="0.25">
      <c r="A880" s="736"/>
      <c r="B880" s="737"/>
      <c r="C880" s="665" t="s">
        <v>1632</v>
      </c>
      <c r="E880" s="629">
        <f>(O851+O868+O875+O876)*150</f>
        <v>197.71050000000002</v>
      </c>
      <c r="F880" s="662"/>
      <c r="G880" s="935"/>
      <c r="H880" s="935"/>
      <c r="I880" s="935"/>
      <c r="J880" s="935"/>
      <c r="K880" s="935"/>
      <c r="L880" s="631"/>
      <c r="M880" s="631"/>
      <c r="N880" s="666" t="s">
        <v>799</v>
      </c>
      <c r="O880" s="631">
        <f>E880</f>
        <v>197.71050000000002</v>
      </c>
      <c r="P880" s="630" t="s">
        <v>7</v>
      </c>
    </row>
    <row r="881" spans="1:16" ht="13.5" thickBot="1" x14ac:dyDescent="0.25">
      <c r="A881" s="736"/>
      <c r="B881" s="737"/>
      <c r="C881" s="667"/>
      <c r="F881" s="666"/>
      <c r="G881" s="631"/>
      <c r="H881" s="631"/>
      <c r="I881" s="631"/>
      <c r="J881" s="631"/>
      <c r="K881" s="631"/>
      <c r="L881" s="631"/>
      <c r="M881" s="631"/>
      <c r="N881" s="666"/>
      <c r="O881" s="668">
        <f>ROUND((SUM(O879:O880)),2)</f>
        <v>15681.51</v>
      </c>
      <c r="P881" s="669" t="s">
        <v>7</v>
      </c>
    </row>
    <row r="882" spans="1:16" x14ac:dyDescent="0.2">
      <c r="A882" s="736"/>
      <c r="B882" s="737"/>
      <c r="C882" s="667"/>
      <c r="F882" s="666"/>
      <c r="G882" s="631"/>
      <c r="H882" s="631"/>
      <c r="I882" s="631"/>
      <c r="J882" s="631"/>
      <c r="K882" s="631"/>
      <c r="L882" s="631"/>
      <c r="M882" s="631"/>
      <c r="N882" s="666"/>
      <c r="O882" s="632"/>
      <c r="P882" s="633"/>
    </row>
    <row r="883" spans="1:16" x14ac:dyDescent="0.2">
      <c r="A883" s="736"/>
      <c r="B883" s="737"/>
      <c r="C883" s="667"/>
      <c r="F883" s="666"/>
      <c r="G883" s="631"/>
      <c r="H883" s="631"/>
      <c r="I883" s="631"/>
      <c r="J883" s="631"/>
      <c r="K883" s="631"/>
      <c r="L883" s="631"/>
      <c r="M883" s="631"/>
      <c r="N883" s="666"/>
      <c r="O883" s="632"/>
      <c r="P883" s="633"/>
    </row>
    <row r="884" spans="1:16" x14ac:dyDescent="0.2">
      <c r="A884" s="734" t="s">
        <v>0</v>
      </c>
      <c r="B884" s="735" t="s">
        <v>1316</v>
      </c>
      <c r="C884" s="678" t="e">
        <f>#REF!</f>
        <v>#REF!</v>
      </c>
      <c r="D884" s="662" t="s">
        <v>799</v>
      </c>
      <c r="E884" s="663" t="s">
        <v>864</v>
      </c>
      <c r="F884" s="633"/>
      <c r="G884" s="664" t="s">
        <v>628</v>
      </c>
      <c r="H884" s="664"/>
      <c r="I884" s="664"/>
      <c r="J884" s="664"/>
      <c r="K884" s="664"/>
      <c r="L884" s="664"/>
      <c r="M884" s="664"/>
      <c r="O884" s="631"/>
    </row>
    <row r="885" spans="1:16" x14ac:dyDescent="0.2">
      <c r="A885" s="736"/>
      <c r="B885" s="737"/>
      <c r="C885" s="665" t="s">
        <v>1625</v>
      </c>
      <c r="E885" s="661">
        <f>5.05+5.05+5.55</f>
        <v>15.649999999999999</v>
      </c>
      <c r="F885" s="662" t="s">
        <v>866</v>
      </c>
      <c r="G885" s="631">
        <v>1</v>
      </c>
      <c r="H885" s="631"/>
      <c r="I885" s="631"/>
      <c r="J885" s="658"/>
      <c r="K885" s="631"/>
      <c r="L885" s="631"/>
      <c r="M885" s="631"/>
      <c r="N885" s="666" t="s">
        <v>799</v>
      </c>
      <c r="O885" s="631">
        <f>E885*6</f>
        <v>93.899999999999991</v>
      </c>
      <c r="P885" s="657" t="s">
        <v>6</v>
      </c>
    </row>
    <row r="886" spans="1:16" x14ac:dyDescent="0.2">
      <c r="A886" s="736"/>
      <c r="B886" s="737"/>
      <c r="C886" s="665" t="s">
        <v>1626</v>
      </c>
      <c r="E886" s="661">
        <f>4+4+5.55</f>
        <v>13.55</v>
      </c>
      <c r="F886" s="662" t="s">
        <v>866</v>
      </c>
      <c r="G886" s="631">
        <v>1</v>
      </c>
      <c r="H886" s="631"/>
      <c r="I886" s="631"/>
      <c r="J886" s="658"/>
      <c r="K886" s="631"/>
      <c r="L886" s="631"/>
      <c r="M886" s="631"/>
      <c r="N886" s="666" t="s">
        <v>799</v>
      </c>
      <c r="O886" s="631">
        <f t="shared" ref="O886:O887" si="60">E886*6</f>
        <v>81.300000000000011</v>
      </c>
      <c r="P886" s="657" t="s">
        <v>6</v>
      </c>
    </row>
    <row r="887" spans="1:16" ht="13.5" thickBot="1" x14ac:dyDescent="0.25">
      <c r="A887" s="736"/>
      <c r="B887" s="737"/>
      <c r="C887" s="665" t="s">
        <v>1114</v>
      </c>
      <c r="E887" s="661">
        <f>1.32+1.32+5.55+5.55</f>
        <v>13.739999999999998</v>
      </c>
      <c r="F887" s="662" t="s">
        <v>866</v>
      </c>
      <c r="G887" s="631">
        <v>1</v>
      </c>
      <c r="H887" s="631"/>
      <c r="I887" s="631"/>
      <c r="J887" s="658"/>
      <c r="K887" s="631"/>
      <c r="L887" s="631"/>
      <c r="M887" s="631"/>
      <c r="N887" s="666" t="s">
        <v>799</v>
      </c>
      <c r="O887" s="631">
        <f t="shared" si="60"/>
        <v>82.44</v>
      </c>
      <c r="P887" s="657" t="s">
        <v>6</v>
      </c>
    </row>
    <row r="888" spans="1:16" ht="13.5" thickBot="1" x14ac:dyDescent="0.25">
      <c r="A888" s="736"/>
      <c r="B888" s="737"/>
      <c r="C888" s="667"/>
      <c r="F888" s="666"/>
      <c r="G888" s="631"/>
      <c r="H888" s="631"/>
      <c r="I888" s="631"/>
      <c r="J888" s="631"/>
      <c r="K888" s="631"/>
      <c r="L888" s="631"/>
      <c r="M888" s="631"/>
      <c r="N888" s="666"/>
      <c r="O888" s="668">
        <f>ROUND((SUM(O885:O887)),2)</f>
        <v>257.64</v>
      </c>
      <c r="P888" s="669" t="s">
        <v>6</v>
      </c>
    </row>
    <row r="889" spans="1:16" x14ac:dyDescent="0.2">
      <c r="A889" s="734" t="s">
        <v>0</v>
      </c>
      <c r="B889" s="735" t="s">
        <v>1317</v>
      </c>
      <c r="C889" s="678" t="e">
        <f>#REF!</f>
        <v>#REF!</v>
      </c>
      <c r="D889" s="662" t="s">
        <v>799</v>
      </c>
      <c r="E889" s="663" t="s">
        <v>864</v>
      </c>
      <c r="F889" s="633"/>
      <c r="G889" s="664" t="s">
        <v>628</v>
      </c>
      <c r="H889" s="664"/>
      <c r="I889" s="664"/>
      <c r="J889" s="664"/>
      <c r="K889" s="664"/>
      <c r="L889" s="664"/>
      <c r="M889" s="664"/>
      <c r="O889" s="631"/>
    </row>
    <row r="890" spans="1:16" x14ac:dyDescent="0.2">
      <c r="A890" s="736"/>
      <c r="B890" s="737"/>
      <c r="C890" s="665" t="s">
        <v>1511</v>
      </c>
      <c r="E890" s="661">
        <v>2.75</v>
      </c>
      <c r="F890" s="662" t="s">
        <v>866</v>
      </c>
      <c r="G890" s="631">
        <v>4</v>
      </c>
      <c r="H890" s="631"/>
      <c r="I890" s="631"/>
      <c r="J890" s="631"/>
      <c r="K890" s="631"/>
      <c r="L890" s="631"/>
      <c r="M890" s="631"/>
      <c r="N890" s="666" t="s">
        <v>799</v>
      </c>
      <c r="O890" s="631">
        <f>E890*G890</f>
        <v>11</v>
      </c>
      <c r="P890" s="630" t="s">
        <v>6</v>
      </c>
    </row>
    <row r="891" spans="1:16" ht="13.5" thickBot="1" x14ac:dyDescent="0.25">
      <c r="A891" s="736"/>
      <c r="B891" s="737"/>
      <c r="C891" s="665" t="s">
        <v>1512</v>
      </c>
      <c r="E891" s="661">
        <v>2.75</v>
      </c>
      <c r="F891" s="662" t="s">
        <v>866</v>
      </c>
      <c r="G891" s="631">
        <v>4</v>
      </c>
      <c r="H891" s="631"/>
      <c r="I891" s="631"/>
      <c r="J891" s="631"/>
      <c r="K891" s="631"/>
      <c r="L891" s="631"/>
      <c r="M891" s="631"/>
      <c r="N891" s="666" t="s">
        <v>799</v>
      </c>
      <c r="O891" s="631">
        <f>E891*G891</f>
        <v>11</v>
      </c>
      <c r="P891" s="630" t="s">
        <v>6</v>
      </c>
    </row>
    <row r="892" spans="1:16" ht="13.5" thickBot="1" x14ac:dyDescent="0.25">
      <c r="A892" s="736"/>
      <c r="B892" s="737"/>
      <c r="C892" s="667"/>
      <c r="F892" s="666"/>
      <c r="G892" s="631"/>
      <c r="H892" s="631"/>
      <c r="I892" s="631"/>
      <c r="J892" s="631"/>
      <c r="K892" s="631"/>
      <c r="L892" s="631"/>
      <c r="M892" s="631"/>
      <c r="N892" s="666"/>
      <c r="O892" s="668">
        <f>ROUND((SUM(O890:O891)),2)</f>
        <v>22</v>
      </c>
      <c r="P892" s="669" t="s">
        <v>6</v>
      </c>
    </row>
    <row r="893" spans="1:16" x14ac:dyDescent="0.2">
      <c r="A893" s="734" t="s">
        <v>0</v>
      </c>
      <c r="B893" s="735" t="s">
        <v>1318</v>
      </c>
      <c r="C893" s="678" t="e">
        <f>#REF!</f>
        <v>#REF!</v>
      </c>
      <c r="D893" s="662" t="s">
        <v>799</v>
      </c>
      <c r="E893" s="663" t="s">
        <v>864</v>
      </c>
      <c r="F893" s="633"/>
      <c r="G893" s="664"/>
      <c r="H893" s="664"/>
      <c r="I893" s="664"/>
      <c r="J893" s="664"/>
      <c r="K893" s="664"/>
      <c r="L893" s="664"/>
      <c r="M893" s="664"/>
      <c r="O893" s="631"/>
    </row>
    <row r="894" spans="1:16" x14ac:dyDescent="0.2">
      <c r="A894" s="736"/>
      <c r="B894" s="737"/>
      <c r="C894" s="790" t="s">
        <v>1107</v>
      </c>
      <c r="E894" s="661">
        <v>19.5</v>
      </c>
      <c r="F894" s="662"/>
      <c r="G894" s="631"/>
      <c r="H894" s="631"/>
      <c r="I894" s="631"/>
      <c r="J894" s="631"/>
      <c r="K894" s="631"/>
      <c r="L894" s="631"/>
      <c r="M894" s="631"/>
      <c r="N894" s="666" t="s">
        <v>799</v>
      </c>
      <c r="O894" s="631">
        <f>E894</f>
        <v>19.5</v>
      </c>
      <c r="P894" s="630" t="s">
        <v>6</v>
      </c>
    </row>
    <row r="895" spans="1:16" ht="13.5" thickBot="1" x14ac:dyDescent="0.25">
      <c r="A895" s="736"/>
      <c r="B895" s="737"/>
      <c r="C895" s="790" t="s">
        <v>1108</v>
      </c>
      <c r="E895" s="661">
        <v>11</v>
      </c>
      <c r="F895" s="662"/>
      <c r="G895" s="631"/>
      <c r="H895" s="631"/>
      <c r="I895" s="631"/>
      <c r="J895" s="631"/>
      <c r="K895" s="631"/>
      <c r="L895" s="631"/>
      <c r="M895" s="631"/>
      <c r="N895" s="666" t="s">
        <v>799</v>
      </c>
      <c r="O895" s="631">
        <f>E895</f>
        <v>11</v>
      </c>
      <c r="P895" s="630" t="s">
        <v>6</v>
      </c>
    </row>
    <row r="896" spans="1:16" ht="13.5" thickBot="1" x14ac:dyDescent="0.25">
      <c r="A896" s="736"/>
      <c r="B896" s="737"/>
      <c r="C896" s="667"/>
      <c r="F896" s="666"/>
      <c r="G896" s="631"/>
      <c r="H896" s="631"/>
      <c r="I896" s="631"/>
      <c r="J896" s="631"/>
      <c r="K896" s="631"/>
      <c r="L896" s="631"/>
      <c r="M896" s="631"/>
      <c r="N896" s="666"/>
      <c r="O896" s="668">
        <f>ROUND((SUM(O894:O895)),2)</f>
        <v>30.5</v>
      </c>
      <c r="P896" s="669" t="s">
        <v>6</v>
      </c>
    </row>
    <row r="897" spans="1:16" x14ac:dyDescent="0.2">
      <c r="A897" s="734" t="s">
        <v>0</v>
      </c>
      <c r="B897" s="735" t="s">
        <v>1319</v>
      </c>
      <c r="C897" s="678" t="e">
        <f>#REF!</f>
        <v>#REF!</v>
      </c>
      <c r="D897" s="662" t="s">
        <v>799</v>
      </c>
      <c r="E897" s="663" t="s">
        <v>864</v>
      </c>
      <c r="F897" s="633"/>
      <c r="G897" s="664" t="s">
        <v>628</v>
      </c>
      <c r="H897" s="664"/>
      <c r="I897" s="664"/>
      <c r="J897" s="664"/>
      <c r="K897" s="664"/>
      <c r="L897" s="664"/>
      <c r="M897" s="664"/>
      <c r="O897" s="631"/>
    </row>
    <row r="898" spans="1:16" x14ac:dyDescent="0.2">
      <c r="A898" s="736"/>
      <c r="B898" s="737"/>
      <c r="C898" s="665" t="s">
        <v>1522</v>
      </c>
      <c r="E898" s="661">
        <v>3</v>
      </c>
      <c r="F898" s="662" t="s">
        <v>866</v>
      </c>
      <c r="G898" s="631">
        <v>1</v>
      </c>
      <c r="H898" s="631"/>
      <c r="I898" s="631"/>
      <c r="J898" s="631"/>
      <c r="K898" s="631"/>
      <c r="L898" s="631"/>
      <c r="M898" s="631"/>
      <c r="N898" s="666" t="s">
        <v>799</v>
      </c>
      <c r="O898" s="631">
        <f>E898*G898</f>
        <v>3</v>
      </c>
      <c r="P898" s="630" t="s">
        <v>6</v>
      </c>
    </row>
    <row r="899" spans="1:16" x14ac:dyDescent="0.2">
      <c r="A899" s="736"/>
      <c r="B899" s="737"/>
      <c r="C899" s="665" t="s">
        <v>1513</v>
      </c>
      <c r="E899" s="661">
        <v>3</v>
      </c>
      <c r="F899" s="662" t="s">
        <v>866</v>
      </c>
      <c r="G899" s="631">
        <v>1</v>
      </c>
      <c r="H899" s="631"/>
      <c r="I899" s="631"/>
      <c r="J899" s="631"/>
      <c r="K899" s="631"/>
      <c r="L899" s="631"/>
      <c r="M899" s="631"/>
      <c r="N899" s="666" t="s">
        <v>799</v>
      </c>
      <c r="O899" s="631">
        <f>E899*G899</f>
        <v>3</v>
      </c>
      <c r="P899" s="630" t="s">
        <v>6</v>
      </c>
    </row>
    <row r="900" spans="1:16" ht="18.75" thickBot="1" x14ac:dyDescent="0.25">
      <c r="A900" s="736"/>
      <c r="B900" s="737"/>
      <c r="C900" s="911" t="s">
        <v>1535</v>
      </c>
      <c r="D900" s="655"/>
      <c r="E900" s="730">
        <v>12</v>
      </c>
      <c r="F900" s="662" t="s">
        <v>866</v>
      </c>
      <c r="G900" s="631">
        <v>1</v>
      </c>
      <c r="H900" s="631"/>
      <c r="I900" s="631"/>
      <c r="J900" s="631"/>
      <c r="K900" s="631"/>
      <c r="L900" s="631"/>
      <c r="M900" s="631"/>
      <c r="N900" s="666" t="s">
        <v>799</v>
      </c>
      <c r="O900" s="631">
        <f>E900*G900</f>
        <v>12</v>
      </c>
      <c r="P900" s="630" t="s">
        <v>6</v>
      </c>
    </row>
    <row r="901" spans="1:16" ht="13.5" thickBot="1" x14ac:dyDescent="0.25">
      <c r="A901" s="736"/>
      <c r="B901" s="737"/>
      <c r="C901" s="667"/>
      <c r="F901" s="666"/>
      <c r="G901" s="631"/>
      <c r="H901" s="631"/>
      <c r="I901" s="631"/>
      <c r="J901" s="631"/>
      <c r="K901" s="631"/>
      <c r="L901" s="631"/>
      <c r="M901" s="631"/>
      <c r="N901" s="666"/>
      <c r="O901" s="668">
        <f>ROUND((SUM(O898:O900)),2)</f>
        <v>18</v>
      </c>
      <c r="P901" s="669" t="s">
        <v>6</v>
      </c>
    </row>
    <row r="902" spans="1:16" ht="25.5" customHeight="1" x14ac:dyDescent="0.2">
      <c r="A902" s="734" t="s">
        <v>0</v>
      </c>
      <c r="B902" s="735" t="s">
        <v>1320</v>
      </c>
      <c r="C902" s="678" t="e">
        <f>#REF!</f>
        <v>#REF!</v>
      </c>
      <c r="D902" s="662" t="s">
        <v>799</v>
      </c>
      <c r="E902" s="663" t="s">
        <v>628</v>
      </c>
      <c r="F902" s="633"/>
      <c r="G902" s="664"/>
      <c r="H902" s="664"/>
      <c r="I902" s="664"/>
      <c r="J902" s="664"/>
      <c r="K902" s="664"/>
      <c r="L902" s="664"/>
      <c r="M902" s="664"/>
      <c r="O902" s="631"/>
    </row>
    <row r="903" spans="1:16" ht="13.5" thickBot="1" x14ac:dyDescent="0.25">
      <c r="A903" s="736"/>
      <c r="B903" s="737"/>
      <c r="C903" s="665" t="s">
        <v>1122</v>
      </c>
      <c r="E903" s="661">
        <v>4</v>
      </c>
      <c r="F903" s="662"/>
      <c r="G903" s="631"/>
      <c r="H903" s="631"/>
      <c r="I903" s="631"/>
      <c r="J903" s="631"/>
      <c r="K903" s="631"/>
      <c r="L903" s="631"/>
      <c r="M903" s="631"/>
      <c r="N903" s="666" t="s">
        <v>799</v>
      </c>
      <c r="O903" s="631">
        <f>E903</f>
        <v>4</v>
      </c>
      <c r="P903" s="630" t="s">
        <v>2</v>
      </c>
    </row>
    <row r="904" spans="1:16" ht="13.5" thickBot="1" x14ac:dyDescent="0.25">
      <c r="A904" s="736"/>
      <c r="B904" s="737"/>
      <c r="C904" s="667"/>
      <c r="F904" s="666"/>
      <c r="G904" s="631"/>
      <c r="H904" s="631"/>
      <c r="I904" s="631"/>
      <c r="J904" s="631"/>
      <c r="K904" s="631"/>
      <c r="L904" s="631"/>
      <c r="M904" s="631"/>
      <c r="N904" s="666"/>
      <c r="O904" s="668">
        <f>ROUND((SUM(O903:O903)),2)</f>
        <v>4</v>
      </c>
      <c r="P904" s="669" t="s">
        <v>2</v>
      </c>
    </row>
    <row r="905" spans="1:16" x14ac:dyDescent="0.2">
      <c r="A905" s="734" t="s">
        <v>0</v>
      </c>
      <c r="B905" s="735" t="s">
        <v>1321</v>
      </c>
      <c r="C905" s="678" t="e">
        <f>#REF!</f>
        <v>#REF!</v>
      </c>
      <c r="D905" s="662" t="s">
        <v>799</v>
      </c>
      <c r="E905" s="663" t="s">
        <v>628</v>
      </c>
      <c r="F905" s="633"/>
      <c r="G905" s="664"/>
      <c r="H905" s="664"/>
      <c r="I905" s="664"/>
      <c r="J905" s="664"/>
      <c r="K905" s="664"/>
      <c r="L905" s="664"/>
      <c r="M905" s="664"/>
      <c r="O905" s="631"/>
    </row>
    <row r="906" spans="1:16" x14ac:dyDescent="0.2">
      <c r="A906" s="736"/>
      <c r="B906" s="737"/>
      <c r="C906" s="665" t="s">
        <v>1109</v>
      </c>
      <c r="E906" s="661">
        <v>2</v>
      </c>
      <c r="F906" s="662"/>
      <c r="G906" s="631"/>
      <c r="H906" s="631"/>
      <c r="I906" s="631"/>
      <c r="J906" s="631"/>
      <c r="K906" s="631"/>
      <c r="L906" s="631"/>
      <c r="M906" s="631"/>
      <c r="N906" s="666" t="s">
        <v>799</v>
      </c>
      <c r="O906" s="631">
        <f>E906</f>
        <v>2</v>
      </c>
      <c r="P906" s="630" t="s">
        <v>2</v>
      </c>
    </row>
    <row r="907" spans="1:16" ht="13.5" thickBot="1" x14ac:dyDescent="0.25">
      <c r="A907" s="736"/>
      <c r="B907" s="737"/>
      <c r="C907" s="665" t="s">
        <v>1110</v>
      </c>
      <c r="E907" s="661">
        <v>2</v>
      </c>
      <c r="F907" s="662"/>
      <c r="G907" s="631"/>
      <c r="H907" s="631"/>
      <c r="I907" s="631"/>
      <c r="J907" s="631"/>
      <c r="K907" s="631"/>
      <c r="L907" s="631"/>
      <c r="M907" s="631"/>
      <c r="N907" s="666" t="s">
        <v>799</v>
      </c>
      <c r="O907" s="631">
        <f>E907</f>
        <v>2</v>
      </c>
      <c r="P907" s="630" t="s">
        <v>2</v>
      </c>
    </row>
    <row r="908" spans="1:16" ht="13.5" thickBot="1" x14ac:dyDescent="0.25">
      <c r="A908" s="736"/>
      <c r="B908" s="737"/>
      <c r="C908" s="667"/>
      <c r="F908" s="666"/>
      <c r="G908" s="631"/>
      <c r="H908" s="631"/>
      <c r="I908" s="631"/>
      <c r="J908" s="631"/>
      <c r="K908" s="631"/>
      <c r="L908" s="631"/>
      <c r="M908" s="631"/>
      <c r="N908" s="666"/>
      <c r="O908" s="668">
        <f>ROUND((SUM(O906:O907)),2)</f>
        <v>4</v>
      </c>
      <c r="P908" s="669" t="s">
        <v>2</v>
      </c>
    </row>
    <row r="909" spans="1:16" x14ac:dyDescent="0.2">
      <c r="A909" s="734" t="s">
        <v>0</v>
      </c>
      <c r="B909" s="735" t="s">
        <v>1322</v>
      </c>
      <c r="C909" s="678" t="e">
        <f>#REF!</f>
        <v>#REF!</v>
      </c>
      <c r="D909" s="662" t="s">
        <v>799</v>
      </c>
      <c r="E909" s="663" t="s">
        <v>628</v>
      </c>
      <c r="F909" s="633"/>
      <c r="G909" s="664"/>
      <c r="H909" s="664"/>
      <c r="I909" s="664"/>
      <c r="J909" s="664"/>
      <c r="K909" s="664"/>
      <c r="L909" s="664"/>
      <c r="M909" s="664"/>
      <c r="O909" s="631"/>
    </row>
    <row r="910" spans="1:16" x14ac:dyDescent="0.2">
      <c r="A910" s="736"/>
      <c r="B910" s="737"/>
      <c r="C910" s="665" t="s">
        <v>1522</v>
      </c>
      <c r="E910" s="661">
        <v>1</v>
      </c>
      <c r="F910" s="662"/>
      <c r="G910" s="631"/>
      <c r="H910" s="631"/>
      <c r="I910" s="631"/>
      <c r="J910" s="631"/>
      <c r="K910" s="631"/>
      <c r="L910" s="631"/>
      <c r="M910" s="631"/>
      <c r="N910" s="666" t="s">
        <v>799</v>
      </c>
      <c r="O910" s="631">
        <f t="shared" ref="O910:O916" si="61">E910</f>
        <v>1</v>
      </c>
      <c r="P910" s="630" t="s">
        <v>2</v>
      </c>
    </row>
    <row r="911" spans="1:16" x14ac:dyDescent="0.2">
      <c r="A911" s="736"/>
      <c r="B911" s="737"/>
      <c r="C911" s="665" t="s">
        <v>1513</v>
      </c>
      <c r="E911" s="661">
        <v>1</v>
      </c>
      <c r="F911" s="662"/>
      <c r="G911" s="631"/>
      <c r="H911" s="631"/>
      <c r="I911" s="631"/>
      <c r="J911" s="631"/>
      <c r="K911" s="631"/>
      <c r="L911" s="631"/>
      <c r="M911" s="631"/>
      <c r="N911" s="666" t="s">
        <v>799</v>
      </c>
      <c r="O911" s="631">
        <f t="shared" si="61"/>
        <v>1</v>
      </c>
      <c r="P911" s="630" t="s">
        <v>2</v>
      </c>
    </row>
    <row r="912" spans="1:16" ht="18" x14ac:dyDescent="0.2">
      <c r="A912" s="736"/>
      <c r="B912" s="737"/>
      <c r="C912" s="911" t="s">
        <v>1523</v>
      </c>
      <c r="D912" s="655"/>
      <c r="E912" s="730">
        <v>1</v>
      </c>
      <c r="F912" s="662"/>
      <c r="G912" s="631"/>
      <c r="H912" s="631"/>
      <c r="I912" s="631"/>
      <c r="J912" s="631"/>
      <c r="K912" s="631"/>
      <c r="L912" s="631"/>
      <c r="M912" s="631"/>
      <c r="N912" s="666" t="s">
        <v>799</v>
      </c>
      <c r="O912" s="631">
        <f t="shared" si="61"/>
        <v>1</v>
      </c>
      <c r="P912" s="630" t="s">
        <v>2</v>
      </c>
    </row>
    <row r="913" spans="1:16" x14ac:dyDescent="0.2">
      <c r="A913" s="736"/>
      <c r="B913" s="737"/>
      <c r="C913" s="665" t="s">
        <v>1524</v>
      </c>
      <c r="E913" s="661">
        <v>4</v>
      </c>
      <c r="F913" s="662"/>
      <c r="G913" s="631"/>
      <c r="H913" s="631"/>
      <c r="I913" s="631"/>
      <c r="J913" s="631"/>
      <c r="K913" s="631"/>
      <c r="L913" s="631"/>
      <c r="M913" s="631"/>
      <c r="N913" s="666" t="s">
        <v>799</v>
      </c>
      <c r="O913" s="631">
        <f t="shared" si="61"/>
        <v>4</v>
      </c>
      <c r="P913" s="630" t="s">
        <v>2</v>
      </c>
    </row>
    <row r="914" spans="1:16" x14ac:dyDescent="0.2">
      <c r="A914" s="736"/>
      <c r="B914" s="737"/>
      <c r="C914" s="665" t="s">
        <v>1122</v>
      </c>
      <c r="E914" s="661">
        <v>4</v>
      </c>
      <c r="F914" s="662"/>
      <c r="G914" s="631"/>
      <c r="H914" s="631"/>
      <c r="I914" s="631"/>
      <c r="J914" s="631"/>
      <c r="K914" s="631"/>
      <c r="L914" s="631"/>
      <c r="M914" s="631"/>
      <c r="N914" s="666" t="s">
        <v>799</v>
      </c>
      <c r="O914" s="631">
        <f t="shared" si="61"/>
        <v>4</v>
      </c>
      <c r="P914" s="630" t="s">
        <v>2</v>
      </c>
    </row>
    <row r="915" spans="1:16" x14ac:dyDescent="0.2">
      <c r="A915" s="736"/>
      <c r="B915" s="737"/>
      <c r="C915" s="790" t="s">
        <v>1536</v>
      </c>
      <c r="E915" s="661">
        <v>4</v>
      </c>
      <c r="F915" s="662"/>
      <c r="G915" s="631"/>
      <c r="H915" s="631"/>
      <c r="I915" s="631"/>
      <c r="J915" s="631"/>
      <c r="K915" s="631"/>
      <c r="L915" s="631"/>
      <c r="M915" s="631"/>
      <c r="N915" s="666" t="s">
        <v>799</v>
      </c>
      <c r="O915" s="631">
        <f t="shared" si="61"/>
        <v>4</v>
      </c>
      <c r="P915" s="630" t="s">
        <v>2</v>
      </c>
    </row>
    <row r="916" spans="1:16" ht="13.5" thickBot="1" x14ac:dyDescent="0.25">
      <c r="A916" s="736"/>
      <c r="B916" s="737"/>
      <c r="C916" s="825" t="s">
        <v>1124</v>
      </c>
      <c r="E916" s="661">
        <v>1</v>
      </c>
      <c r="F916" s="662"/>
      <c r="G916" s="631"/>
      <c r="H916" s="631"/>
      <c r="I916" s="631"/>
      <c r="J916" s="631"/>
      <c r="K916" s="631"/>
      <c r="L916" s="631"/>
      <c r="M916" s="631"/>
      <c r="N916" s="666" t="s">
        <v>799</v>
      </c>
      <c r="O916" s="631">
        <f t="shared" si="61"/>
        <v>1</v>
      </c>
      <c r="P916" s="630" t="s">
        <v>2</v>
      </c>
    </row>
    <row r="917" spans="1:16" ht="13.5" thickBot="1" x14ac:dyDescent="0.25">
      <c r="A917" s="736"/>
      <c r="B917" s="737"/>
      <c r="C917" s="667"/>
      <c r="F917" s="666"/>
      <c r="G917" s="631"/>
      <c r="H917" s="631"/>
      <c r="I917" s="631"/>
      <c r="J917" s="631"/>
      <c r="K917" s="631"/>
      <c r="L917" s="631"/>
      <c r="M917" s="631"/>
      <c r="N917" s="666"/>
      <c r="O917" s="668">
        <f>ROUND((SUM(O910:O916)),2)</f>
        <v>16</v>
      </c>
      <c r="P917" s="669" t="s">
        <v>2</v>
      </c>
    </row>
    <row r="918" spans="1:16" x14ac:dyDescent="0.2">
      <c r="A918" s="734" t="s">
        <v>0</v>
      </c>
      <c r="B918" s="735" t="s">
        <v>1323</v>
      </c>
      <c r="C918" s="678" t="e">
        <f>#REF!</f>
        <v>#REF!</v>
      </c>
      <c r="D918" s="662" t="s">
        <v>799</v>
      </c>
      <c r="E918" s="663" t="s">
        <v>628</v>
      </c>
      <c r="F918" s="633"/>
      <c r="G918" s="664"/>
      <c r="H918" s="664"/>
      <c r="I918" s="664"/>
      <c r="J918" s="664"/>
      <c r="K918" s="664"/>
      <c r="L918" s="664"/>
      <c r="M918" s="664"/>
      <c r="O918" s="631"/>
    </row>
    <row r="919" spans="1:16" ht="13.5" thickBot="1" x14ac:dyDescent="0.25">
      <c r="A919" s="736"/>
      <c r="B919" s="737"/>
      <c r="C919" s="665" t="s">
        <v>1122</v>
      </c>
      <c r="E919" s="661">
        <v>4</v>
      </c>
      <c r="F919" s="662"/>
      <c r="G919" s="631"/>
      <c r="H919" s="631"/>
      <c r="I919" s="631"/>
      <c r="J919" s="631"/>
      <c r="K919" s="631"/>
      <c r="L919" s="631"/>
      <c r="M919" s="631"/>
      <c r="N919" s="666" t="s">
        <v>799</v>
      </c>
      <c r="O919" s="631">
        <f>E919</f>
        <v>4</v>
      </c>
      <c r="P919" s="630" t="s">
        <v>2</v>
      </c>
    </row>
    <row r="920" spans="1:16" ht="13.5" thickBot="1" x14ac:dyDescent="0.25">
      <c r="A920" s="736"/>
      <c r="B920" s="737"/>
      <c r="C920" s="667"/>
      <c r="F920" s="666"/>
      <c r="G920" s="631"/>
      <c r="H920" s="631"/>
      <c r="I920" s="631"/>
      <c r="J920" s="631"/>
      <c r="K920" s="631"/>
      <c r="L920" s="631"/>
      <c r="M920" s="631"/>
      <c r="N920" s="666"/>
      <c r="O920" s="668">
        <f>ROUND((SUM(O919:O919)),2)</f>
        <v>4</v>
      </c>
      <c r="P920" s="669" t="s">
        <v>2</v>
      </c>
    </row>
    <row r="921" spans="1:16" x14ac:dyDescent="0.2">
      <c r="A921" s="734" t="s">
        <v>0</v>
      </c>
      <c r="B921" s="735" t="s">
        <v>1324</v>
      </c>
      <c r="C921" s="678" t="e">
        <f>#REF!</f>
        <v>#REF!</v>
      </c>
      <c r="D921" s="662" t="s">
        <v>799</v>
      </c>
      <c r="E921" s="663" t="s">
        <v>628</v>
      </c>
      <c r="F921" s="633"/>
      <c r="G921" s="664"/>
      <c r="H921" s="664"/>
      <c r="I921" s="664"/>
      <c r="J921" s="664"/>
      <c r="K921" s="664"/>
      <c r="L921" s="664"/>
      <c r="M921" s="664"/>
      <c r="O921" s="631"/>
    </row>
    <row r="922" spans="1:16" ht="13.5" thickBot="1" x14ac:dyDescent="0.25">
      <c r="A922" s="736"/>
      <c r="B922" s="737"/>
      <c r="C922" s="665" t="s">
        <v>1110</v>
      </c>
      <c r="E922" s="661">
        <v>2</v>
      </c>
      <c r="F922" s="662"/>
      <c r="G922" s="631"/>
      <c r="H922" s="631"/>
      <c r="I922" s="631"/>
      <c r="J922" s="631"/>
      <c r="K922" s="631"/>
      <c r="L922" s="631"/>
      <c r="M922" s="631"/>
      <c r="N922" s="666" t="s">
        <v>799</v>
      </c>
      <c r="O922" s="631">
        <f>E922</f>
        <v>2</v>
      </c>
      <c r="P922" s="630" t="s">
        <v>2</v>
      </c>
    </row>
    <row r="923" spans="1:16" ht="13.5" thickBot="1" x14ac:dyDescent="0.25">
      <c r="A923" s="736"/>
      <c r="B923" s="737"/>
      <c r="C923" s="667"/>
      <c r="F923" s="666"/>
      <c r="G923" s="631"/>
      <c r="H923" s="631"/>
      <c r="I923" s="631"/>
      <c r="J923" s="631"/>
      <c r="K923" s="631"/>
      <c r="L923" s="631"/>
      <c r="M923" s="631"/>
      <c r="N923" s="666"/>
      <c r="O923" s="668">
        <f>ROUND((SUM(O922:O922)),2)</f>
        <v>2</v>
      </c>
      <c r="P923" s="669" t="s">
        <v>2</v>
      </c>
    </row>
    <row r="924" spans="1:16" x14ac:dyDescent="0.2">
      <c r="A924" s="734" t="s">
        <v>0</v>
      </c>
      <c r="B924" s="735" t="s">
        <v>1514</v>
      </c>
      <c r="C924" s="678" t="e">
        <f>#REF!</f>
        <v>#REF!</v>
      </c>
      <c r="D924" s="662" t="s">
        <v>799</v>
      </c>
      <c r="E924" s="663" t="s">
        <v>628</v>
      </c>
      <c r="F924" s="633"/>
      <c r="G924" s="664"/>
      <c r="H924" s="664"/>
      <c r="I924" s="664"/>
      <c r="J924" s="664"/>
      <c r="K924" s="664"/>
      <c r="L924" s="664"/>
      <c r="M924" s="664"/>
      <c r="O924" s="631"/>
    </row>
    <row r="925" spans="1:16" x14ac:dyDescent="0.2">
      <c r="A925" s="736"/>
      <c r="B925" s="737"/>
      <c r="C925" s="665" t="s">
        <v>1522</v>
      </c>
      <c r="E925" s="661">
        <v>1</v>
      </c>
      <c r="F925" s="662"/>
      <c r="G925" s="631"/>
      <c r="H925" s="631"/>
      <c r="I925" s="631"/>
      <c r="J925" s="631"/>
      <c r="K925" s="631"/>
      <c r="L925" s="631"/>
      <c r="M925" s="631"/>
      <c r="N925" s="666" t="s">
        <v>799</v>
      </c>
      <c r="O925" s="631">
        <f>E925</f>
        <v>1</v>
      </c>
      <c r="P925" s="630" t="s">
        <v>2</v>
      </c>
    </row>
    <row r="926" spans="1:16" x14ac:dyDescent="0.2">
      <c r="A926" s="736"/>
      <c r="B926" s="737"/>
      <c r="C926" s="665" t="s">
        <v>1513</v>
      </c>
      <c r="E926" s="661">
        <v>1</v>
      </c>
      <c r="F926" s="662"/>
      <c r="G926" s="631"/>
      <c r="H926" s="631"/>
      <c r="I926" s="631"/>
      <c r="J926" s="631"/>
      <c r="K926" s="631"/>
      <c r="L926" s="631"/>
      <c r="M926" s="631"/>
      <c r="N926" s="666" t="s">
        <v>799</v>
      </c>
      <c r="O926" s="631">
        <f>E926</f>
        <v>1</v>
      </c>
      <c r="P926" s="630" t="s">
        <v>2</v>
      </c>
    </row>
    <row r="927" spans="1:16" ht="13.5" thickBot="1" x14ac:dyDescent="0.25">
      <c r="A927" s="736"/>
      <c r="B927" s="737"/>
      <c r="C927" s="825" t="s">
        <v>1124</v>
      </c>
      <c r="E927" s="661">
        <v>1</v>
      </c>
      <c r="F927" s="662"/>
      <c r="G927" s="631"/>
      <c r="H927" s="631"/>
      <c r="I927" s="631"/>
      <c r="J927" s="631"/>
      <c r="K927" s="631"/>
      <c r="L927" s="631"/>
      <c r="M927" s="631"/>
      <c r="N927" s="666" t="s">
        <v>799</v>
      </c>
      <c r="O927" s="631">
        <f>E927</f>
        <v>1</v>
      </c>
      <c r="P927" s="630" t="s">
        <v>2</v>
      </c>
    </row>
    <row r="928" spans="1:16" ht="13.5" thickBot="1" x14ac:dyDescent="0.25">
      <c r="A928" s="736"/>
      <c r="B928" s="737"/>
      <c r="C928" s="667"/>
      <c r="F928" s="666"/>
      <c r="G928" s="631"/>
      <c r="H928" s="631"/>
      <c r="I928" s="631"/>
      <c r="J928" s="631"/>
      <c r="K928" s="631"/>
      <c r="L928" s="631"/>
      <c r="M928" s="631"/>
      <c r="N928" s="666"/>
      <c r="O928" s="668">
        <f>ROUND((SUM(O925:O927)),2)</f>
        <v>3</v>
      </c>
      <c r="P928" s="669" t="s">
        <v>2</v>
      </c>
    </row>
    <row r="929" spans="1:16" x14ac:dyDescent="0.2">
      <c r="A929" s="734" t="s">
        <v>0</v>
      </c>
      <c r="B929" s="735" t="s">
        <v>1515</v>
      </c>
      <c r="C929" s="678" t="e">
        <f>#REF!</f>
        <v>#REF!</v>
      </c>
      <c r="D929" s="662" t="s">
        <v>799</v>
      </c>
      <c r="E929" s="663" t="s">
        <v>628</v>
      </c>
      <c r="F929" s="633"/>
      <c r="G929" s="664"/>
      <c r="H929" s="664"/>
      <c r="I929" s="664"/>
      <c r="J929" s="664"/>
      <c r="K929" s="664"/>
      <c r="L929" s="664"/>
      <c r="M929" s="664"/>
      <c r="O929" s="631"/>
    </row>
    <row r="930" spans="1:16" x14ac:dyDescent="0.2">
      <c r="A930" s="736"/>
      <c r="B930" s="737"/>
      <c r="C930" s="665" t="s">
        <v>1524</v>
      </c>
      <c r="E930" s="661">
        <v>4</v>
      </c>
      <c r="F930" s="662"/>
      <c r="G930" s="631"/>
      <c r="H930" s="631"/>
      <c r="I930" s="631"/>
      <c r="J930" s="631"/>
      <c r="K930" s="631"/>
      <c r="L930" s="631"/>
      <c r="M930" s="631"/>
      <c r="N930" s="666" t="s">
        <v>799</v>
      </c>
      <c r="O930" s="631">
        <f>E930</f>
        <v>4</v>
      </c>
      <c r="P930" s="630" t="s">
        <v>2</v>
      </c>
    </row>
    <row r="931" spans="1:16" x14ac:dyDescent="0.2">
      <c r="A931" s="736"/>
      <c r="B931" s="737"/>
      <c r="C931" s="665" t="s">
        <v>1122</v>
      </c>
      <c r="E931" s="661">
        <v>4</v>
      </c>
      <c r="F931" s="662"/>
      <c r="G931" s="631"/>
      <c r="H931" s="631"/>
      <c r="I931" s="631"/>
      <c r="J931" s="631"/>
      <c r="K931" s="631"/>
      <c r="L931" s="631"/>
      <c r="M931" s="631"/>
      <c r="N931" s="666" t="s">
        <v>799</v>
      </c>
      <c r="O931" s="631">
        <f>E931</f>
        <v>4</v>
      </c>
      <c r="P931" s="630" t="s">
        <v>2</v>
      </c>
    </row>
    <row r="932" spans="1:16" ht="13.5" thickBot="1" x14ac:dyDescent="0.25">
      <c r="A932" s="736"/>
      <c r="B932" s="737"/>
      <c r="C932" s="790" t="s">
        <v>1536</v>
      </c>
      <c r="E932" s="661">
        <v>4</v>
      </c>
      <c r="F932" s="662"/>
      <c r="G932" s="631"/>
      <c r="H932" s="631"/>
      <c r="I932" s="631"/>
      <c r="J932" s="631"/>
      <c r="K932" s="631"/>
      <c r="L932" s="631"/>
      <c r="M932" s="631"/>
      <c r="N932" s="666" t="s">
        <v>799</v>
      </c>
      <c r="O932" s="631">
        <f>E932</f>
        <v>4</v>
      </c>
      <c r="P932" s="630" t="s">
        <v>2</v>
      </c>
    </row>
    <row r="933" spans="1:16" ht="13.5" thickBot="1" x14ac:dyDescent="0.25">
      <c r="A933" s="736"/>
      <c r="B933" s="737"/>
      <c r="C933" s="667"/>
      <c r="F933" s="666"/>
      <c r="G933" s="631"/>
      <c r="H933" s="631"/>
      <c r="I933" s="631"/>
      <c r="J933" s="631"/>
      <c r="K933" s="631"/>
      <c r="L933" s="631"/>
      <c r="M933" s="631"/>
      <c r="N933" s="666"/>
      <c r="O933" s="668">
        <f>ROUND((SUM(O930:O932)),2)</f>
        <v>12</v>
      </c>
      <c r="P933" s="669" t="s">
        <v>2</v>
      </c>
    </row>
    <row r="934" spans="1:16" ht="78" customHeight="1" x14ac:dyDescent="0.2">
      <c r="A934" s="734" t="s">
        <v>0</v>
      </c>
      <c r="B934" s="735" t="s">
        <v>1516</v>
      </c>
      <c r="C934" s="678" t="e">
        <f>#REF!</f>
        <v>#REF!</v>
      </c>
      <c r="D934" s="662" t="s">
        <v>799</v>
      </c>
      <c r="E934" s="663" t="s">
        <v>15</v>
      </c>
      <c r="F934" s="633"/>
      <c r="G934" s="664"/>
      <c r="H934" s="664"/>
      <c r="I934" s="664"/>
      <c r="J934" s="664"/>
      <c r="K934" s="664"/>
      <c r="L934" s="664"/>
      <c r="M934" s="664"/>
      <c r="O934" s="631"/>
    </row>
    <row r="935" spans="1:16" ht="22.5" x14ac:dyDescent="0.2">
      <c r="A935" s="736"/>
      <c r="B935" s="737"/>
      <c r="C935" s="782" t="s">
        <v>1517</v>
      </c>
      <c r="E935" s="661">
        <v>1</v>
      </c>
      <c r="F935" s="662"/>
      <c r="G935" s="631"/>
      <c r="H935" s="631"/>
      <c r="I935" s="631"/>
      <c r="J935" s="631"/>
      <c r="K935" s="631"/>
      <c r="L935" s="631"/>
      <c r="M935" s="631"/>
      <c r="N935" s="666" t="s">
        <v>799</v>
      </c>
      <c r="O935" s="631">
        <f>E935</f>
        <v>1</v>
      </c>
      <c r="P935" s="657" t="s">
        <v>2</v>
      </c>
    </row>
    <row r="936" spans="1:16" ht="23.25" thickBot="1" x14ac:dyDescent="0.25">
      <c r="A936" s="736"/>
      <c r="B936" s="737"/>
      <c r="C936" s="710" t="s">
        <v>1518</v>
      </c>
      <c r="E936" s="661">
        <v>1</v>
      </c>
      <c r="F936" s="662"/>
      <c r="G936" s="631"/>
      <c r="H936" s="631"/>
      <c r="I936" s="631"/>
      <c r="J936" s="631"/>
      <c r="K936" s="631"/>
      <c r="L936" s="631"/>
      <c r="M936" s="631"/>
      <c r="N936" s="666" t="s">
        <v>799</v>
      </c>
      <c r="O936" s="631">
        <f>E936</f>
        <v>1</v>
      </c>
      <c r="P936" s="657" t="s">
        <v>2</v>
      </c>
    </row>
    <row r="937" spans="1:16" ht="12.75" customHeight="1" thickBot="1" x14ac:dyDescent="0.25">
      <c r="A937" s="736"/>
      <c r="B937" s="737"/>
      <c r="C937" s="667"/>
      <c r="F937" s="666"/>
      <c r="G937" s="631"/>
      <c r="H937" s="631"/>
      <c r="I937" s="631"/>
      <c r="J937" s="631"/>
      <c r="K937" s="631"/>
      <c r="L937" s="631"/>
      <c r="M937" s="631"/>
      <c r="N937" s="666"/>
      <c r="O937" s="668">
        <f>ROUND((SUM(O935:O936)),2)</f>
        <v>2</v>
      </c>
      <c r="P937" s="669" t="s">
        <v>2</v>
      </c>
    </row>
    <row r="938" spans="1:16" x14ac:dyDescent="0.2">
      <c r="A938" s="734" t="s">
        <v>0</v>
      </c>
      <c r="B938" s="735" t="s">
        <v>1525</v>
      </c>
      <c r="C938" s="751" t="e">
        <f>#REF!</f>
        <v>#REF!</v>
      </c>
      <c r="D938" s="662" t="s">
        <v>799</v>
      </c>
      <c r="E938" s="663" t="s">
        <v>628</v>
      </c>
      <c r="F938" s="633"/>
      <c r="G938" s="664"/>
      <c r="H938" s="664"/>
      <c r="I938" s="664"/>
      <c r="J938" s="664"/>
      <c r="K938" s="664"/>
      <c r="L938" s="664"/>
      <c r="M938" s="664"/>
      <c r="O938" s="631"/>
    </row>
    <row r="939" spans="1:16" ht="12.75" customHeight="1" x14ac:dyDescent="0.2">
      <c r="A939" s="736"/>
      <c r="B939" s="737"/>
      <c r="C939" s="665" t="s">
        <v>1530</v>
      </c>
      <c r="E939" s="661">
        <v>3</v>
      </c>
      <c r="F939" s="662"/>
      <c r="G939" s="631"/>
      <c r="H939" s="631"/>
      <c r="I939" s="631"/>
      <c r="J939" s="631"/>
      <c r="K939" s="631"/>
      <c r="L939" s="631"/>
      <c r="M939" s="631"/>
      <c r="N939" s="666" t="s">
        <v>799</v>
      </c>
      <c r="O939" s="631">
        <f>E939</f>
        <v>3</v>
      </c>
      <c r="P939" s="630" t="s">
        <v>2</v>
      </c>
    </row>
    <row r="940" spans="1:16" ht="13.5" thickBot="1" x14ac:dyDescent="0.25">
      <c r="A940" s="736"/>
      <c r="B940" s="737"/>
      <c r="C940" s="665" t="s">
        <v>1528</v>
      </c>
      <c r="E940" s="661">
        <v>3</v>
      </c>
      <c r="F940" s="662"/>
      <c r="G940" s="631"/>
      <c r="H940" s="631"/>
      <c r="I940" s="631"/>
      <c r="J940" s="631"/>
      <c r="K940" s="631"/>
      <c r="L940" s="631"/>
      <c r="M940" s="631"/>
      <c r="N940" s="666" t="s">
        <v>799</v>
      </c>
      <c r="O940" s="631">
        <f>E940</f>
        <v>3</v>
      </c>
      <c r="P940" s="630" t="s">
        <v>2</v>
      </c>
    </row>
    <row r="941" spans="1:16" ht="13.5" thickBot="1" x14ac:dyDescent="0.25">
      <c r="A941" s="736"/>
      <c r="B941" s="737"/>
      <c r="C941" s="667"/>
      <c r="F941" s="666"/>
      <c r="G941" s="631"/>
      <c r="H941" s="631"/>
      <c r="I941" s="631"/>
      <c r="J941" s="631"/>
      <c r="K941" s="631"/>
      <c r="L941" s="631"/>
      <c r="M941" s="631"/>
      <c r="N941" s="666"/>
      <c r="O941" s="668">
        <f>ROUND((SUM(O939:O940)),2)</f>
        <v>6</v>
      </c>
      <c r="P941" s="669" t="s">
        <v>2</v>
      </c>
    </row>
    <row r="942" spans="1:16" ht="75" customHeight="1" x14ac:dyDescent="0.2">
      <c r="A942" s="734" t="s">
        <v>0</v>
      </c>
      <c r="B942" s="735" t="s">
        <v>1526</v>
      </c>
      <c r="C942" s="751" t="e">
        <f>#REF!</f>
        <v>#REF!</v>
      </c>
      <c r="D942" s="662" t="s">
        <v>799</v>
      </c>
      <c r="E942" s="663" t="s">
        <v>628</v>
      </c>
      <c r="F942" s="633"/>
      <c r="G942" s="664"/>
      <c r="H942" s="664"/>
      <c r="I942" s="664"/>
      <c r="J942" s="664"/>
      <c r="K942" s="664"/>
      <c r="L942" s="664"/>
      <c r="M942" s="664"/>
      <c r="O942" s="631"/>
    </row>
    <row r="943" spans="1:16" x14ac:dyDescent="0.2">
      <c r="A943" s="736"/>
      <c r="B943" s="737"/>
      <c r="C943" s="665" t="s">
        <v>1530</v>
      </c>
      <c r="E943" s="661">
        <v>3</v>
      </c>
      <c r="F943" s="662"/>
      <c r="G943" s="631"/>
      <c r="H943" s="631"/>
      <c r="I943" s="631"/>
      <c r="J943" s="631"/>
      <c r="K943" s="631"/>
      <c r="L943" s="631"/>
      <c r="M943" s="631"/>
      <c r="N943" s="666" t="s">
        <v>799</v>
      </c>
      <c r="O943" s="631">
        <f>E943</f>
        <v>3</v>
      </c>
      <c r="P943" s="630" t="s">
        <v>2</v>
      </c>
    </row>
    <row r="944" spans="1:16" ht="13.5" thickBot="1" x14ac:dyDescent="0.25">
      <c r="A944" s="736"/>
      <c r="B944" s="737"/>
      <c r="C944" s="665" t="s">
        <v>1528</v>
      </c>
      <c r="E944" s="661">
        <v>3</v>
      </c>
      <c r="F944" s="662"/>
      <c r="G944" s="631"/>
      <c r="H944" s="631"/>
      <c r="I944" s="631"/>
      <c r="J944" s="631"/>
      <c r="K944" s="631"/>
      <c r="L944" s="631"/>
      <c r="M944" s="631"/>
      <c r="N944" s="666" t="s">
        <v>799</v>
      </c>
      <c r="O944" s="631">
        <f>E944</f>
        <v>3</v>
      </c>
      <c r="P944" s="630" t="s">
        <v>2</v>
      </c>
    </row>
    <row r="945" spans="1:16" ht="13.5" thickBot="1" x14ac:dyDescent="0.25">
      <c r="A945" s="736"/>
      <c r="B945" s="737"/>
      <c r="C945" s="667"/>
      <c r="F945" s="666"/>
      <c r="G945" s="631"/>
      <c r="H945" s="631"/>
      <c r="I945" s="631"/>
      <c r="J945" s="631"/>
      <c r="K945" s="631"/>
      <c r="L945" s="631"/>
      <c r="M945" s="631"/>
      <c r="N945" s="666"/>
      <c r="O945" s="668">
        <f>ROUND((SUM(O943:O944)),2)</f>
        <v>6</v>
      </c>
      <c r="P945" s="669" t="s">
        <v>2</v>
      </c>
    </row>
    <row r="946" spans="1:16" ht="30.75" customHeight="1" x14ac:dyDescent="0.2">
      <c r="A946" s="734" t="s">
        <v>0</v>
      </c>
      <c r="B946" s="752" t="s">
        <v>1527</v>
      </c>
      <c r="C946" s="751" t="e">
        <f>#REF!</f>
        <v>#REF!</v>
      </c>
      <c r="D946" s="662" t="s">
        <v>799</v>
      </c>
      <c r="E946" s="663" t="s">
        <v>864</v>
      </c>
      <c r="F946" s="633"/>
      <c r="G946" s="664" t="s">
        <v>865</v>
      </c>
      <c r="H946" s="664"/>
      <c r="I946" s="664" t="s">
        <v>628</v>
      </c>
      <c r="J946" s="664"/>
      <c r="K946" s="664"/>
      <c r="L946" s="609"/>
      <c r="M946" s="609"/>
      <c r="O946" s="631"/>
    </row>
    <row r="947" spans="1:16" ht="13.5" thickBot="1" x14ac:dyDescent="0.25">
      <c r="A947" s="736"/>
      <c r="B947" s="737"/>
      <c r="C947" s="665" t="s">
        <v>1503</v>
      </c>
      <c r="E947" s="661">
        <v>4.75</v>
      </c>
      <c r="F947" s="662" t="s">
        <v>866</v>
      </c>
      <c r="G947" s="631">
        <v>2.5499999999999998</v>
      </c>
      <c r="H947" s="671" t="s">
        <v>866</v>
      </c>
      <c r="I947" s="631">
        <v>2</v>
      </c>
      <c r="J947" s="631"/>
      <c r="K947" s="631"/>
      <c r="L947" s="609"/>
      <c r="M947" s="609"/>
      <c r="N947" s="666" t="s">
        <v>799</v>
      </c>
      <c r="O947" s="631">
        <f>E947*G947*I947</f>
        <v>24.224999999999998</v>
      </c>
      <c r="P947" s="630" t="s">
        <v>4</v>
      </c>
    </row>
    <row r="948" spans="1:16" ht="13.5" thickBot="1" x14ac:dyDescent="0.25">
      <c r="A948" s="736"/>
      <c r="B948" s="737"/>
      <c r="C948" s="737"/>
      <c r="F948" s="666"/>
      <c r="G948" s="631"/>
      <c r="H948" s="631"/>
      <c r="I948" s="631"/>
      <c r="J948" s="631"/>
      <c r="K948" s="631"/>
      <c r="L948" s="609"/>
      <c r="M948" s="609"/>
      <c r="N948" s="666"/>
      <c r="O948" s="668">
        <f>ROUND((SUM(O947:O947)),2)</f>
        <v>24.23</v>
      </c>
      <c r="P948" s="669" t="s">
        <v>4</v>
      </c>
    </row>
    <row r="949" spans="1:16" ht="60.75" customHeight="1" x14ac:dyDescent="0.2">
      <c r="A949" s="734" t="s">
        <v>0</v>
      </c>
      <c r="B949" s="752" t="s">
        <v>1529</v>
      </c>
      <c r="C949" s="751" t="e">
        <f>#REF!</f>
        <v>#REF!</v>
      </c>
      <c r="D949" s="662" t="s">
        <v>799</v>
      </c>
      <c r="E949" s="663" t="s">
        <v>864</v>
      </c>
      <c r="F949" s="633"/>
      <c r="G949" s="664" t="s">
        <v>865</v>
      </c>
      <c r="H949" s="664"/>
      <c r="I949" s="664" t="s">
        <v>628</v>
      </c>
      <c r="J949" s="664"/>
      <c r="K949" s="664"/>
      <c r="L949" s="609"/>
      <c r="M949" s="609"/>
      <c r="O949" s="631"/>
    </row>
    <row r="950" spans="1:16" ht="13.5" thickBot="1" x14ac:dyDescent="0.25">
      <c r="A950" s="736"/>
      <c r="B950" s="737"/>
      <c r="C950" s="665" t="s">
        <v>1503</v>
      </c>
      <c r="E950" s="661">
        <v>4.75</v>
      </c>
      <c r="F950" s="662" t="s">
        <v>866</v>
      </c>
      <c r="G950" s="631">
        <v>2.5499999999999998</v>
      </c>
      <c r="H950" s="671" t="s">
        <v>866</v>
      </c>
      <c r="I950" s="631">
        <v>2</v>
      </c>
      <c r="J950" s="631"/>
      <c r="K950" s="631"/>
      <c r="L950" s="609"/>
      <c r="M950" s="609"/>
      <c r="N950" s="666" t="s">
        <v>799</v>
      </c>
      <c r="O950" s="631">
        <f>E950*G950*I950</f>
        <v>24.224999999999998</v>
      </c>
      <c r="P950" s="630" t="s">
        <v>4</v>
      </c>
    </row>
    <row r="951" spans="1:16" ht="12.75" customHeight="1" thickBot="1" x14ac:dyDescent="0.25">
      <c r="A951" s="736"/>
      <c r="B951" s="737"/>
      <c r="C951" s="737"/>
      <c r="F951" s="666"/>
      <c r="G951" s="631"/>
      <c r="H951" s="631"/>
      <c r="I951" s="631"/>
      <c r="J951" s="631"/>
      <c r="K951" s="631"/>
      <c r="L951" s="609"/>
      <c r="M951" s="609"/>
      <c r="N951" s="666"/>
      <c r="O951" s="668">
        <f>ROUND((SUM(O950:O950)),2)</f>
        <v>24.23</v>
      </c>
      <c r="P951" s="669" t="s">
        <v>4</v>
      </c>
    </row>
    <row r="952" spans="1:16" ht="20.25" customHeight="1" x14ac:dyDescent="0.2">
      <c r="A952" s="734" t="s">
        <v>0</v>
      </c>
      <c r="B952" s="735" t="s">
        <v>1531</v>
      </c>
      <c r="C952" s="678" t="e">
        <f>#REF!</f>
        <v>#REF!</v>
      </c>
      <c r="D952" s="662" t="s">
        <v>799</v>
      </c>
      <c r="E952" s="663" t="s">
        <v>864</v>
      </c>
      <c r="F952" s="633"/>
      <c r="G952" s="664" t="s">
        <v>865</v>
      </c>
      <c r="H952" s="664"/>
      <c r="I952" s="664" t="s">
        <v>883</v>
      </c>
      <c r="J952" s="664"/>
      <c r="K952" s="664" t="s">
        <v>628</v>
      </c>
      <c r="L952" s="664"/>
      <c r="M952" s="664"/>
      <c r="O952" s="631"/>
    </row>
    <row r="953" spans="1:16" ht="13.5" thickBot="1" x14ac:dyDescent="0.25">
      <c r="A953" s="736"/>
      <c r="B953" s="737"/>
      <c r="C953" s="665" t="s">
        <v>901</v>
      </c>
      <c r="E953" s="661">
        <v>1.67</v>
      </c>
      <c r="F953" s="662" t="s">
        <v>866</v>
      </c>
      <c r="G953" s="631">
        <v>1.3</v>
      </c>
      <c r="H953" s="631" t="s">
        <v>866</v>
      </c>
      <c r="I953" s="631">
        <v>0.45</v>
      </c>
      <c r="J953" s="658" t="s">
        <v>866</v>
      </c>
      <c r="K953" s="631">
        <v>4</v>
      </c>
      <c r="L953" s="631"/>
      <c r="M953" s="631"/>
      <c r="N953" s="666" t="s">
        <v>799</v>
      </c>
      <c r="O953" s="631">
        <f>E953*G953*I953*K953</f>
        <v>3.9077999999999999</v>
      </c>
      <c r="P953" s="630" t="s">
        <v>12</v>
      </c>
    </row>
    <row r="954" spans="1:16" ht="13.5" thickBot="1" x14ac:dyDescent="0.25">
      <c r="A954" s="736"/>
      <c r="B954" s="737"/>
      <c r="C954" s="667"/>
      <c r="F954" s="666"/>
      <c r="G954" s="631"/>
      <c r="H954" s="631"/>
      <c r="I954" s="631"/>
      <c r="J954" s="631"/>
      <c r="K954" s="631"/>
      <c r="L954" s="631"/>
      <c r="M954" s="631"/>
      <c r="N954" s="666"/>
      <c r="O954" s="668">
        <f>ROUND((SUM(O953:O953)),2)</f>
        <v>3.91</v>
      </c>
      <c r="P954" s="669" t="s">
        <v>12</v>
      </c>
    </row>
    <row r="955" spans="1:16" ht="23.25" customHeight="1" x14ac:dyDescent="0.2">
      <c r="A955" s="734" t="s">
        <v>0</v>
      </c>
      <c r="B955" s="735" t="s">
        <v>1532</v>
      </c>
      <c r="C955" s="678" t="e">
        <f>#REF!</f>
        <v>#REF!</v>
      </c>
      <c r="D955" s="662" t="s">
        <v>799</v>
      </c>
      <c r="E955" s="663" t="s">
        <v>864</v>
      </c>
      <c r="F955" s="633"/>
      <c r="G955" s="664" t="s">
        <v>865</v>
      </c>
      <c r="H955" s="664"/>
      <c r="I955" s="664" t="s">
        <v>883</v>
      </c>
      <c r="J955" s="664"/>
      <c r="K955" s="664" t="s">
        <v>628</v>
      </c>
      <c r="L955" s="664"/>
      <c r="M955" s="664"/>
      <c r="O955" s="631"/>
    </row>
    <row r="956" spans="1:16" ht="13.5" thickBot="1" x14ac:dyDescent="0.25">
      <c r="A956" s="736"/>
      <c r="B956" s="737"/>
      <c r="C956" s="665" t="s">
        <v>901</v>
      </c>
      <c r="E956" s="661">
        <v>1.67</v>
      </c>
      <c r="F956" s="662" t="s">
        <v>866</v>
      </c>
      <c r="G956" s="631">
        <v>1.3</v>
      </c>
      <c r="H956" s="631" t="s">
        <v>866</v>
      </c>
      <c r="I956" s="631">
        <v>0.2</v>
      </c>
      <c r="J956" s="658" t="s">
        <v>866</v>
      </c>
      <c r="K956" s="631">
        <v>4</v>
      </c>
      <c r="L956" s="631"/>
      <c r="M956" s="631"/>
      <c r="N956" s="666" t="s">
        <v>799</v>
      </c>
      <c r="O956" s="631">
        <f>E956*G956*I956*K956</f>
        <v>1.7367999999999999</v>
      </c>
      <c r="P956" s="630" t="s">
        <v>12</v>
      </c>
    </row>
    <row r="957" spans="1:16" ht="13.5" thickBot="1" x14ac:dyDescent="0.25">
      <c r="A957" s="736"/>
      <c r="B957" s="737"/>
      <c r="C957" s="667"/>
      <c r="F957" s="666"/>
      <c r="G957" s="631"/>
      <c r="H957" s="631"/>
      <c r="I957" s="631"/>
      <c r="J957" s="631"/>
      <c r="K957" s="631"/>
      <c r="L957" s="631"/>
      <c r="M957" s="631"/>
      <c r="N957" s="666"/>
      <c r="O957" s="668">
        <f>ROUND((SUM(O956:O956)),2)</f>
        <v>1.74</v>
      </c>
      <c r="P957" s="669" t="s">
        <v>12</v>
      </c>
    </row>
    <row r="958" spans="1:16" x14ac:dyDescent="0.2">
      <c r="A958" s="736"/>
      <c r="B958" s="737"/>
      <c r="C958" s="667"/>
      <c r="F958" s="666"/>
      <c r="G958" s="631"/>
      <c r="H958" s="631"/>
      <c r="I958" s="631"/>
      <c r="J958" s="631"/>
      <c r="K958" s="631"/>
      <c r="L958" s="631"/>
      <c r="M958" s="631"/>
      <c r="N958" s="666"/>
      <c r="O958" s="632"/>
      <c r="P958" s="633"/>
    </row>
    <row r="959" spans="1:16" ht="24.75" customHeight="1" x14ac:dyDescent="0.2">
      <c r="A959" s="734" t="s">
        <v>0</v>
      </c>
      <c r="B959" s="735" t="s">
        <v>1533</v>
      </c>
      <c r="C959" s="678" t="e">
        <f>#REF!</f>
        <v>#REF!</v>
      </c>
      <c r="D959" s="662" t="s">
        <v>799</v>
      </c>
      <c r="E959" s="663" t="s">
        <v>864</v>
      </c>
      <c r="F959" s="633"/>
      <c r="G959" s="664" t="s">
        <v>865</v>
      </c>
      <c r="H959" s="664"/>
      <c r="I959" s="664" t="s">
        <v>883</v>
      </c>
      <c r="J959" s="664"/>
      <c r="K959" s="664" t="s">
        <v>628</v>
      </c>
      <c r="L959" s="664"/>
      <c r="M959" s="664"/>
      <c r="O959" s="631"/>
    </row>
    <row r="960" spans="1:16" ht="13.5" thickBot="1" x14ac:dyDescent="0.25">
      <c r="A960" s="736"/>
      <c r="B960" s="737"/>
      <c r="C960" s="665" t="s">
        <v>901</v>
      </c>
      <c r="E960" s="661">
        <v>1.67</v>
      </c>
      <c r="F960" s="662" t="s">
        <v>866</v>
      </c>
      <c r="G960" s="631">
        <v>1.3</v>
      </c>
      <c r="H960" s="631" t="s">
        <v>866</v>
      </c>
      <c r="I960" s="631">
        <v>0.2</v>
      </c>
      <c r="J960" s="658" t="s">
        <v>866</v>
      </c>
      <c r="K960" s="631">
        <v>4</v>
      </c>
      <c r="L960" s="631"/>
      <c r="M960" s="631"/>
      <c r="N960" s="666" t="s">
        <v>799</v>
      </c>
      <c r="O960" s="631">
        <f>E960*G960*I960*K960</f>
        <v>1.7367999999999999</v>
      </c>
      <c r="P960" s="630" t="s">
        <v>12</v>
      </c>
    </row>
    <row r="961" spans="1:16" ht="13.5" thickBot="1" x14ac:dyDescent="0.25">
      <c r="A961" s="736"/>
      <c r="B961" s="737"/>
      <c r="C961" s="667"/>
      <c r="F961" s="666"/>
      <c r="G961" s="631"/>
      <c r="H961" s="631"/>
      <c r="I961" s="631"/>
      <c r="J961" s="631"/>
      <c r="K961" s="631"/>
      <c r="L961" s="631"/>
      <c r="M961" s="631"/>
      <c r="N961" s="666"/>
      <c r="O961" s="668">
        <f>ROUND((SUM(O960:O960)),2)</f>
        <v>1.74</v>
      </c>
      <c r="P961" s="669" t="s">
        <v>12</v>
      </c>
    </row>
    <row r="962" spans="1:16" x14ac:dyDescent="0.2">
      <c r="E962" s="609"/>
      <c r="F962" s="609"/>
      <c r="G962" s="609"/>
      <c r="H962" s="609"/>
      <c r="I962" s="609"/>
      <c r="J962" s="609"/>
      <c r="K962" s="609"/>
      <c r="L962" s="609"/>
      <c r="M962" s="609"/>
      <c r="N962" s="609"/>
      <c r="O962" s="609"/>
      <c r="P962" s="609"/>
    </row>
    <row r="963" spans="1:16" x14ac:dyDescent="0.2">
      <c r="E963" s="609"/>
      <c r="F963" s="609"/>
      <c r="G963" s="609"/>
      <c r="H963" s="609"/>
      <c r="I963" s="609"/>
      <c r="J963" s="609"/>
      <c r="K963" s="609"/>
      <c r="L963" s="609"/>
      <c r="M963" s="609"/>
      <c r="N963" s="609"/>
      <c r="O963" s="609"/>
      <c r="P963" s="609"/>
    </row>
    <row r="964" spans="1:16" ht="18" customHeight="1" x14ac:dyDescent="0.2">
      <c r="C964" s="788" t="s">
        <v>1160</v>
      </c>
      <c r="E964" s="609"/>
      <c r="F964" s="609"/>
      <c r="G964" s="609"/>
      <c r="H964" s="609"/>
      <c r="I964" s="609"/>
      <c r="J964" s="609"/>
      <c r="K964" s="609"/>
      <c r="L964" s="609"/>
      <c r="M964" s="609"/>
      <c r="N964" s="609"/>
      <c r="O964" s="609"/>
      <c r="P964" s="609"/>
    </row>
    <row r="965" spans="1:16" x14ac:dyDescent="0.2">
      <c r="A965" s="734" t="s">
        <v>0</v>
      </c>
      <c r="B965" s="735" t="s">
        <v>1554</v>
      </c>
      <c r="C965" s="678" t="e">
        <f>#REF!</f>
        <v>#REF!</v>
      </c>
      <c r="D965" s="662" t="s">
        <v>799</v>
      </c>
      <c r="E965" s="663" t="s">
        <v>864</v>
      </c>
      <c r="F965" s="633"/>
      <c r="G965" s="664" t="s">
        <v>628</v>
      </c>
      <c r="H965" s="664"/>
      <c r="I965" s="664"/>
      <c r="J965" s="664"/>
      <c r="K965" s="664"/>
      <c r="L965" s="664"/>
      <c r="M965" s="664"/>
      <c r="O965" s="631"/>
    </row>
    <row r="966" spans="1:16" x14ac:dyDescent="0.2">
      <c r="A966" s="736"/>
      <c r="B966" s="737"/>
      <c r="C966" s="665" t="s">
        <v>1519</v>
      </c>
      <c r="E966" s="661">
        <v>2.75</v>
      </c>
      <c r="F966" s="662" t="s">
        <v>866</v>
      </c>
      <c r="G966" s="631">
        <v>4</v>
      </c>
      <c r="H966" s="631"/>
      <c r="I966" s="631"/>
      <c r="J966" s="631"/>
      <c r="K966" s="631"/>
      <c r="L966" s="631"/>
      <c r="M966" s="631"/>
      <c r="N966" s="666" t="s">
        <v>799</v>
      </c>
      <c r="O966" s="631">
        <f>E966*G966</f>
        <v>11</v>
      </c>
      <c r="P966" s="630" t="s">
        <v>6</v>
      </c>
    </row>
    <row r="967" spans="1:16" ht="13.5" thickBot="1" x14ac:dyDescent="0.25">
      <c r="A967" s="736"/>
      <c r="B967" s="737"/>
      <c r="C967" s="665" t="s">
        <v>1512</v>
      </c>
      <c r="E967" s="661">
        <v>2.75</v>
      </c>
      <c r="F967" s="662" t="s">
        <v>866</v>
      </c>
      <c r="G967" s="631">
        <v>4</v>
      </c>
      <c r="H967" s="631"/>
      <c r="I967" s="631"/>
      <c r="J967" s="631"/>
      <c r="K967" s="631"/>
      <c r="L967" s="631"/>
      <c r="M967" s="631"/>
      <c r="N967" s="666" t="s">
        <v>799</v>
      </c>
      <c r="O967" s="631">
        <f>E967*G967</f>
        <v>11</v>
      </c>
      <c r="P967" s="630" t="s">
        <v>6</v>
      </c>
    </row>
    <row r="968" spans="1:16" ht="13.5" thickBot="1" x14ac:dyDescent="0.25">
      <c r="A968" s="736"/>
      <c r="B968" s="737"/>
      <c r="C968" s="667"/>
      <c r="F968" s="666"/>
      <c r="G968" s="631"/>
      <c r="H968" s="631"/>
      <c r="I968" s="631"/>
      <c r="J968" s="631"/>
      <c r="K968" s="631"/>
      <c r="L968" s="631"/>
      <c r="M968" s="631"/>
      <c r="N968" s="666"/>
      <c r="O968" s="668">
        <f>ROUND((SUM(O966:O967)),2)</f>
        <v>22</v>
      </c>
      <c r="P968" s="669" t="s">
        <v>6</v>
      </c>
    </row>
    <row r="969" spans="1:16" x14ac:dyDescent="0.2">
      <c r="A969" s="734" t="s">
        <v>0</v>
      </c>
      <c r="B969" s="735" t="s">
        <v>1537</v>
      </c>
      <c r="C969" s="678" t="e">
        <f>#REF!</f>
        <v>#REF!</v>
      </c>
      <c r="D969" s="662" t="s">
        <v>799</v>
      </c>
      <c r="E969" s="663" t="s">
        <v>864</v>
      </c>
      <c r="F969" s="633"/>
      <c r="G969" s="664"/>
      <c r="H969" s="664"/>
      <c r="I969" s="664"/>
      <c r="J969" s="664"/>
      <c r="K969" s="664"/>
      <c r="L969" s="664"/>
      <c r="M969" s="664"/>
      <c r="O969" s="631"/>
    </row>
    <row r="970" spans="1:16" ht="18" x14ac:dyDescent="0.2">
      <c r="A970" s="736"/>
      <c r="B970" s="737"/>
      <c r="C970" s="911" t="s">
        <v>1520</v>
      </c>
      <c r="E970" s="661">
        <v>19.5</v>
      </c>
      <c r="F970" s="662"/>
      <c r="G970" s="631"/>
      <c r="H970" s="631"/>
      <c r="I970" s="631"/>
      <c r="J970" s="631"/>
      <c r="K970" s="631"/>
      <c r="L970" s="631"/>
      <c r="M970" s="631"/>
      <c r="N970" s="666" t="s">
        <v>799</v>
      </c>
      <c r="O970" s="631">
        <f>E970</f>
        <v>19.5</v>
      </c>
      <c r="P970" s="630" t="s">
        <v>6</v>
      </c>
    </row>
    <row r="971" spans="1:16" ht="18.75" thickBot="1" x14ac:dyDescent="0.25">
      <c r="A971" s="736"/>
      <c r="B971" s="737"/>
      <c r="C971" s="911" t="s">
        <v>1521</v>
      </c>
      <c r="E971" s="661">
        <v>11</v>
      </c>
      <c r="F971" s="662"/>
      <c r="G971" s="631"/>
      <c r="H971" s="631"/>
      <c r="I971" s="631"/>
      <c r="J971" s="631"/>
      <c r="K971" s="631"/>
      <c r="L971" s="631"/>
      <c r="M971" s="631"/>
      <c r="N971" s="666" t="s">
        <v>799</v>
      </c>
      <c r="O971" s="631">
        <f>E971</f>
        <v>11</v>
      </c>
      <c r="P971" s="630" t="s">
        <v>6</v>
      </c>
    </row>
    <row r="972" spans="1:16" ht="13.5" thickBot="1" x14ac:dyDescent="0.25">
      <c r="A972" s="736"/>
      <c r="B972" s="737"/>
      <c r="C972" s="667"/>
      <c r="F972" s="666"/>
      <c r="G972" s="631"/>
      <c r="H972" s="631"/>
      <c r="I972" s="631"/>
      <c r="J972" s="631"/>
      <c r="K972" s="631"/>
      <c r="L972" s="631"/>
      <c r="M972" s="631"/>
      <c r="N972" s="666"/>
      <c r="O972" s="668">
        <f>ROUND((SUM(O970:O971)),2)</f>
        <v>30.5</v>
      </c>
      <c r="P972" s="669" t="s">
        <v>6</v>
      </c>
    </row>
    <row r="973" spans="1:16" x14ac:dyDescent="0.2">
      <c r="A973" s="734" t="s">
        <v>0</v>
      </c>
      <c r="B973" s="735" t="s">
        <v>1538</v>
      </c>
      <c r="C973" s="678" t="e">
        <f>#REF!</f>
        <v>#REF!</v>
      </c>
      <c r="D973" s="662" t="s">
        <v>799</v>
      </c>
      <c r="E973" s="663" t="s">
        <v>864</v>
      </c>
      <c r="F973" s="633"/>
      <c r="G973" s="664" t="s">
        <v>628</v>
      </c>
      <c r="H973" s="664"/>
      <c r="I973" s="664"/>
      <c r="J973" s="664"/>
      <c r="K973" s="664"/>
      <c r="L973" s="664"/>
      <c r="M973" s="664"/>
      <c r="O973" s="631"/>
    </row>
    <row r="974" spans="1:16" x14ac:dyDescent="0.2">
      <c r="A974" s="736"/>
      <c r="B974" s="737"/>
      <c r="C974" s="665" t="s">
        <v>1522</v>
      </c>
      <c r="E974" s="661">
        <v>3</v>
      </c>
      <c r="F974" s="662" t="s">
        <v>866</v>
      </c>
      <c r="G974" s="631">
        <v>1</v>
      </c>
      <c r="H974" s="631"/>
      <c r="I974" s="631"/>
      <c r="J974" s="631"/>
      <c r="K974" s="631"/>
      <c r="L974" s="631"/>
      <c r="M974" s="631"/>
      <c r="N974" s="666" t="s">
        <v>799</v>
      </c>
      <c r="O974" s="631">
        <f>E974*G974</f>
        <v>3</v>
      </c>
      <c r="P974" s="630" t="s">
        <v>6</v>
      </c>
    </row>
    <row r="975" spans="1:16" x14ac:dyDescent="0.2">
      <c r="A975" s="736"/>
      <c r="B975" s="737"/>
      <c r="C975" s="665" t="s">
        <v>1513</v>
      </c>
      <c r="E975" s="661">
        <v>3</v>
      </c>
      <c r="F975" s="662" t="s">
        <v>866</v>
      </c>
      <c r="G975" s="631">
        <v>1</v>
      </c>
      <c r="H975" s="631"/>
      <c r="I975" s="631"/>
      <c r="J975" s="631"/>
      <c r="K975" s="631"/>
      <c r="L975" s="631"/>
      <c r="M975" s="631"/>
      <c r="N975" s="666" t="s">
        <v>799</v>
      </c>
      <c r="O975" s="631">
        <f>E975*G975</f>
        <v>3</v>
      </c>
      <c r="P975" s="630" t="s">
        <v>6</v>
      </c>
    </row>
    <row r="976" spans="1:16" ht="13.5" thickBot="1" x14ac:dyDescent="0.25">
      <c r="A976" s="736"/>
      <c r="B976" s="737"/>
      <c r="C976" s="790" t="s">
        <v>1534</v>
      </c>
      <c r="E976" s="661">
        <v>12</v>
      </c>
      <c r="F976" s="662" t="s">
        <v>866</v>
      </c>
      <c r="G976" s="631">
        <v>1</v>
      </c>
      <c r="H976" s="631"/>
      <c r="I976" s="631"/>
      <c r="J976" s="631"/>
      <c r="K976" s="631"/>
      <c r="L976" s="631"/>
      <c r="M976" s="631"/>
      <c r="N976" s="666" t="s">
        <v>799</v>
      </c>
      <c r="O976" s="631">
        <f>E976*G976</f>
        <v>12</v>
      </c>
      <c r="P976" s="630" t="s">
        <v>6</v>
      </c>
    </row>
    <row r="977" spans="1:16" ht="13.5" thickBot="1" x14ac:dyDescent="0.25">
      <c r="A977" s="736"/>
      <c r="B977" s="737"/>
      <c r="C977" s="667"/>
      <c r="F977" s="666"/>
      <c r="G977" s="631"/>
      <c r="H977" s="631"/>
      <c r="I977" s="631"/>
      <c r="J977" s="631"/>
      <c r="K977" s="631"/>
      <c r="L977" s="631"/>
      <c r="M977" s="631"/>
      <c r="N977" s="666"/>
      <c r="O977" s="668">
        <f>ROUND((SUM(O974:O976)),2)</f>
        <v>18</v>
      </c>
      <c r="P977" s="669" t="s">
        <v>6</v>
      </c>
    </row>
    <row r="978" spans="1:16" x14ac:dyDescent="0.2">
      <c r="E978" s="609"/>
      <c r="F978" s="609"/>
      <c r="G978" s="609"/>
      <c r="H978" s="609"/>
      <c r="I978" s="609"/>
      <c r="J978" s="609"/>
      <c r="K978" s="609"/>
      <c r="L978" s="609"/>
      <c r="M978" s="609"/>
      <c r="N978" s="609"/>
      <c r="O978" s="609"/>
      <c r="P978" s="609"/>
    </row>
    <row r="979" spans="1:16" x14ac:dyDescent="0.2">
      <c r="E979" s="609"/>
      <c r="F979" s="609"/>
      <c r="G979" s="609"/>
      <c r="H979" s="609"/>
      <c r="I979" s="609"/>
      <c r="J979" s="609"/>
      <c r="K979" s="609"/>
      <c r="L979" s="609"/>
      <c r="M979" s="609"/>
      <c r="N979" s="609"/>
      <c r="O979" s="609"/>
      <c r="P979" s="609"/>
    </row>
    <row r="980" spans="1:16" x14ac:dyDescent="0.2">
      <c r="E980" s="609"/>
      <c r="F980" s="609"/>
      <c r="G980" s="609"/>
      <c r="H980" s="609"/>
      <c r="I980" s="609"/>
      <c r="J980" s="609"/>
      <c r="K980" s="609"/>
      <c r="L980" s="609"/>
      <c r="M980" s="609"/>
      <c r="N980" s="609"/>
      <c r="O980" s="609"/>
      <c r="P980" s="609"/>
    </row>
    <row r="981" spans="1:16" ht="15.75" x14ac:dyDescent="0.2">
      <c r="A981" s="736"/>
      <c r="B981" s="931" t="s">
        <v>1325</v>
      </c>
      <c r="C981" s="932" t="s">
        <v>1636</v>
      </c>
      <c r="D981" s="936"/>
      <c r="E981" s="937"/>
      <c r="F981" s="938"/>
      <c r="G981" s="939"/>
      <c r="H981" s="939"/>
      <c r="I981" s="939"/>
      <c r="J981" s="939"/>
      <c r="K981" s="939"/>
      <c r="L981" s="939"/>
      <c r="M981" s="939"/>
      <c r="N981" s="938"/>
      <c r="O981" s="939"/>
      <c r="P981" s="940"/>
    </row>
    <row r="982" spans="1:16" ht="15.75" x14ac:dyDescent="0.2">
      <c r="A982" s="736"/>
      <c r="B982" s="798"/>
      <c r="C982" s="788" t="s">
        <v>1159</v>
      </c>
      <c r="D982"/>
      <c r="E982" s="800"/>
      <c r="F982" s="794"/>
      <c r="G982" s="812"/>
      <c r="H982" s="812"/>
      <c r="I982" s="812"/>
      <c r="J982" s="812"/>
      <c r="K982" s="812"/>
      <c r="L982" s="812"/>
      <c r="M982" s="812"/>
      <c r="N982" s="794"/>
      <c r="O982" s="812"/>
      <c r="P982" s="796"/>
    </row>
    <row r="983" spans="1:16" x14ac:dyDescent="0.2">
      <c r="A983" s="736"/>
      <c r="B983" s="804"/>
      <c r="C983" s="804"/>
      <c r="D983"/>
      <c r="E983" s="800"/>
      <c r="F983" s="794"/>
      <c r="G983" s="812"/>
      <c r="H983" s="812"/>
      <c r="I983" s="812"/>
      <c r="J983" s="812"/>
      <c r="K983" s="812"/>
      <c r="L983" s="812"/>
      <c r="M983" s="812"/>
      <c r="N983" s="794"/>
      <c r="O983" s="812"/>
      <c r="P983" s="796"/>
    </row>
    <row r="984" spans="1:16" x14ac:dyDescent="0.2">
      <c r="A984" s="734" t="s">
        <v>0</v>
      </c>
      <c r="B984" s="806" t="s">
        <v>1326</v>
      </c>
      <c r="C984" s="807" t="e">
        <f>#REF!</f>
        <v>#REF!</v>
      </c>
      <c r="D984" s="808" t="s">
        <v>799</v>
      </c>
      <c r="E984" s="809" t="s">
        <v>864</v>
      </c>
      <c r="F984" s="810"/>
      <c r="G984" s="811" t="s">
        <v>865</v>
      </c>
      <c r="H984" s="811"/>
      <c r="I984" s="811"/>
      <c r="J984" s="811"/>
      <c r="K984" s="811"/>
      <c r="L984" s="811"/>
      <c r="M984" s="811"/>
      <c r="N984" s="794"/>
      <c r="O984" s="812"/>
      <c r="P984" s="796"/>
    </row>
    <row r="985" spans="1:16" x14ac:dyDescent="0.2">
      <c r="A985" s="736"/>
      <c r="B985" s="737"/>
      <c r="C985" s="665" t="s">
        <v>1637</v>
      </c>
      <c r="E985" s="661">
        <v>5.85</v>
      </c>
      <c r="F985" s="662" t="s">
        <v>866</v>
      </c>
      <c r="G985" s="631">
        <v>6.2</v>
      </c>
      <c r="H985" s="631"/>
      <c r="I985" s="631"/>
      <c r="J985" s="631"/>
      <c r="K985" s="631"/>
      <c r="L985" s="631"/>
      <c r="M985" s="631"/>
      <c r="N985" s="666" t="s">
        <v>799</v>
      </c>
      <c r="O985" s="631">
        <f>E985*G985</f>
        <v>36.269999999999996</v>
      </c>
      <c r="P985" s="630" t="s">
        <v>4</v>
      </c>
    </row>
    <row r="986" spans="1:16" ht="13.5" thickBot="1" x14ac:dyDescent="0.25">
      <c r="A986" s="736"/>
      <c r="B986" s="737"/>
      <c r="C986" s="665" t="s">
        <v>1638</v>
      </c>
      <c r="E986" s="661">
        <v>1.8</v>
      </c>
      <c r="F986" s="662" t="s">
        <v>866</v>
      </c>
      <c r="G986" s="631">
        <v>1.8</v>
      </c>
      <c r="H986" s="631"/>
      <c r="I986" s="631"/>
      <c r="J986" s="631"/>
      <c r="K986" s="631"/>
      <c r="L986" s="631"/>
      <c r="M986" s="631"/>
      <c r="N986" s="666" t="s">
        <v>799</v>
      </c>
      <c r="O986" s="631">
        <f>E986*G986</f>
        <v>3.24</v>
      </c>
      <c r="P986" s="630" t="s">
        <v>4</v>
      </c>
    </row>
    <row r="987" spans="1:16" ht="13.5" thickBot="1" x14ac:dyDescent="0.25">
      <c r="A987" s="736"/>
      <c r="B987" s="737"/>
      <c r="C987" s="667"/>
      <c r="F987" s="666"/>
      <c r="G987" s="631"/>
      <c r="H987" s="631"/>
      <c r="I987" s="631"/>
      <c r="J987" s="631"/>
      <c r="K987" s="631"/>
      <c r="L987" s="631"/>
      <c r="M987" s="631"/>
      <c r="N987" s="666"/>
      <c r="O987" s="668">
        <f>ROUND((SUM(O985:O986)),2)</f>
        <v>39.51</v>
      </c>
      <c r="P987" s="669" t="s">
        <v>4</v>
      </c>
    </row>
    <row r="988" spans="1:16" x14ac:dyDescent="0.2">
      <c r="A988" s="736"/>
      <c r="B988" s="737"/>
      <c r="C988" s="667"/>
      <c r="F988" s="666"/>
      <c r="G988" s="631"/>
      <c r="H988" s="631"/>
      <c r="I988" s="631"/>
      <c r="J988" s="631"/>
      <c r="K988" s="631"/>
      <c r="L988" s="631"/>
      <c r="M988" s="631"/>
      <c r="N988" s="666"/>
      <c r="O988" s="632"/>
      <c r="P988" s="633"/>
    </row>
    <row r="989" spans="1:16" x14ac:dyDescent="0.2">
      <c r="A989" s="734" t="s">
        <v>0</v>
      </c>
      <c r="B989" s="735" t="s">
        <v>1327</v>
      </c>
      <c r="C989" s="678" t="e">
        <f>#REF!</f>
        <v>#REF!</v>
      </c>
      <c r="D989" s="662" t="s">
        <v>799</v>
      </c>
      <c r="E989" s="663" t="s">
        <v>864</v>
      </c>
      <c r="F989" s="633"/>
      <c r="G989" s="664" t="s">
        <v>865</v>
      </c>
      <c r="H989" s="664"/>
      <c r="I989" s="664" t="s">
        <v>883</v>
      </c>
      <c r="J989" s="664"/>
      <c r="K989" s="664" t="s">
        <v>628</v>
      </c>
      <c r="L989" s="664"/>
      <c r="M989" s="664"/>
      <c r="O989" s="631"/>
    </row>
    <row r="990" spans="1:16" x14ac:dyDescent="0.2">
      <c r="A990" s="736"/>
      <c r="B990" s="737"/>
      <c r="C990" s="665" t="s">
        <v>1637</v>
      </c>
      <c r="E990" s="661">
        <v>7.85</v>
      </c>
      <c r="F990" s="662" t="s">
        <v>866</v>
      </c>
      <c r="G990" s="631">
        <v>8.1999999999999993</v>
      </c>
      <c r="H990" s="631" t="s">
        <v>866</v>
      </c>
      <c r="I990" s="631">
        <v>2.35</v>
      </c>
      <c r="J990" s="658" t="s">
        <v>866</v>
      </c>
      <c r="K990" s="631">
        <v>1</v>
      </c>
      <c r="L990" s="631"/>
      <c r="M990" s="631"/>
      <c r="N990" s="666" t="s">
        <v>799</v>
      </c>
      <c r="O990" s="631">
        <f t="shared" ref="O990:O992" si="62">E990*G990*I990*K990</f>
        <v>151.26949999999999</v>
      </c>
      <c r="P990" s="630" t="s">
        <v>12</v>
      </c>
    </row>
    <row r="991" spans="1:16" x14ac:dyDescent="0.2">
      <c r="A991" s="736"/>
      <c r="B991" s="737"/>
      <c r="C991" s="665" t="s">
        <v>1638</v>
      </c>
      <c r="E991" s="661">
        <v>2.8</v>
      </c>
      <c r="F991" s="662" t="s">
        <v>866</v>
      </c>
      <c r="G991" s="631">
        <v>2.2999999999999998</v>
      </c>
      <c r="H991" s="631" t="s">
        <v>866</v>
      </c>
      <c r="I991" s="631">
        <v>1.1499999999999999</v>
      </c>
      <c r="J991" s="658" t="s">
        <v>866</v>
      </c>
      <c r="K991" s="631">
        <v>1</v>
      </c>
      <c r="L991" s="631"/>
      <c r="M991" s="631"/>
      <c r="N991" s="666" t="s">
        <v>799</v>
      </c>
      <c r="O991" s="631">
        <f t="shared" si="62"/>
        <v>7.4059999999999988</v>
      </c>
      <c r="P991" s="630" t="s">
        <v>12</v>
      </c>
    </row>
    <row r="992" spans="1:16" ht="13.5" thickBot="1" x14ac:dyDescent="0.25">
      <c r="A992" s="736"/>
      <c r="B992" s="737"/>
      <c r="C992" s="665" t="s">
        <v>1130</v>
      </c>
      <c r="E992" s="661">
        <v>6</v>
      </c>
      <c r="F992" s="662" t="s">
        <v>866</v>
      </c>
      <c r="G992" s="631">
        <v>0.6</v>
      </c>
      <c r="H992" s="631" t="s">
        <v>866</v>
      </c>
      <c r="I992" s="631">
        <v>1.3</v>
      </c>
      <c r="J992" s="658" t="s">
        <v>866</v>
      </c>
      <c r="K992" s="631">
        <v>1</v>
      </c>
      <c r="L992" s="631"/>
      <c r="M992" s="631"/>
      <c r="N992" s="666" t="s">
        <v>799</v>
      </c>
      <c r="O992" s="631">
        <f t="shared" si="62"/>
        <v>4.68</v>
      </c>
      <c r="P992" s="630" t="s">
        <v>12</v>
      </c>
    </row>
    <row r="993" spans="1:16" ht="13.5" thickBot="1" x14ac:dyDescent="0.25">
      <c r="A993" s="736"/>
      <c r="B993" s="737"/>
      <c r="C993" s="667"/>
      <c r="F993" s="666"/>
      <c r="G993" s="631"/>
      <c r="H993" s="631"/>
      <c r="I993" s="631"/>
      <c r="J993" s="631"/>
      <c r="K993" s="631"/>
      <c r="L993" s="631"/>
      <c r="M993" s="631"/>
      <c r="N993" s="666"/>
      <c r="O993" s="668">
        <f>ROUND((SUM(O990:O992)),2)</f>
        <v>163.36000000000001</v>
      </c>
      <c r="P993" s="669" t="s">
        <v>12</v>
      </c>
    </row>
    <row r="994" spans="1:16" x14ac:dyDescent="0.2">
      <c r="A994" s="734" t="s">
        <v>0</v>
      </c>
      <c r="B994" s="735" t="s">
        <v>1328</v>
      </c>
      <c r="C994" s="751" t="e">
        <f>#REF!</f>
        <v>#REF!</v>
      </c>
      <c r="D994" s="662" t="s">
        <v>799</v>
      </c>
      <c r="E994" s="663" t="s">
        <v>864</v>
      </c>
      <c r="F994" s="633"/>
      <c r="G994" s="664" t="s">
        <v>865</v>
      </c>
      <c r="H994" s="664"/>
      <c r="I994" s="664" t="s">
        <v>883</v>
      </c>
      <c r="J994" s="664"/>
      <c r="K994" s="664" t="s">
        <v>1067</v>
      </c>
      <c r="L994" s="664"/>
      <c r="M994" s="664"/>
      <c r="O994" s="631"/>
    </row>
    <row r="995" spans="1:16" ht="13.5" thickBot="1" x14ac:dyDescent="0.25">
      <c r="A995" s="736"/>
      <c r="B995" s="737"/>
      <c r="C995" s="665" t="s">
        <v>1130</v>
      </c>
      <c r="E995" s="661">
        <v>6</v>
      </c>
      <c r="F995" s="662" t="s">
        <v>866</v>
      </c>
      <c r="G995" s="631">
        <v>1</v>
      </c>
      <c r="H995" s="631" t="s">
        <v>866</v>
      </c>
      <c r="I995" s="631">
        <f>0.1+0.2+0.15</f>
        <v>0.45000000000000007</v>
      </c>
      <c r="J995" s="631" t="s">
        <v>866</v>
      </c>
      <c r="K995" s="631">
        <f>((PI()*(POWER(0.2,2)))/4)*E995</f>
        <v>0.1884955592153876</v>
      </c>
      <c r="L995" s="631"/>
      <c r="M995" s="631"/>
      <c r="N995" s="662" t="s">
        <v>799</v>
      </c>
      <c r="O995" s="631">
        <f>(E995*G995*I995)-K995</f>
        <v>2.5115044407846128</v>
      </c>
      <c r="P995" s="630" t="s">
        <v>12</v>
      </c>
    </row>
    <row r="996" spans="1:16" ht="13.5" thickBot="1" x14ac:dyDescent="0.25">
      <c r="A996" s="736"/>
      <c r="B996" s="737"/>
      <c r="C996" s="737"/>
      <c r="F996" s="666"/>
      <c r="G996" s="631"/>
      <c r="H996" s="631"/>
      <c r="I996" s="631"/>
      <c r="J996" s="631"/>
      <c r="K996" s="631"/>
      <c r="L996" s="631"/>
      <c r="M996" s="631"/>
      <c r="N996" s="666"/>
      <c r="O996" s="668">
        <f>ROUND((SUM(O995:O995)),2)</f>
        <v>2.5099999999999998</v>
      </c>
      <c r="P996" s="669" t="s">
        <v>12</v>
      </c>
    </row>
    <row r="997" spans="1:16" x14ac:dyDescent="0.2">
      <c r="A997" s="734" t="s">
        <v>0</v>
      </c>
      <c r="B997" s="735" t="s">
        <v>1329</v>
      </c>
      <c r="C997" s="751" t="e">
        <f>#REF!</f>
        <v>#REF!</v>
      </c>
      <c r="D997" s="662" t="s">
        <v>799</v>
      </c>
      <c r="E997" s="663" t="s">
        <v>864</v>
      </c>
      <c r="F997" s="633"/>
      <c r="G997" s="664" t="s">
        <v>865</v>
      </c>
      <c r="H997" s="664"/>
      <c r="I997" s="664" t="s">
        <v>883</v>
      </c>
      <c r="J997" s="664"/>
      <c r="K997" s="664" t="s">
        <v>628</v>
      </c>
      <c r="L997" s="664"/>
      <c r="M997" s="664" t="s">
        <v>977</v>
      </c>
      <c r="O997" s="631"/>
    </row>
    <row r="998" spans="1:16" x14ac:dyDescent="0.2">
      <c r="A998" s="736"/>
      <c r="B998" s="737"/>
      <c r="C998" s="665" t="s">
        <v>1637</v>
      </c>
      <c r="E998" s="661">
        <v>7.85</v>
      </c>
      <c r="F998" s="662" t="s">
        <v>866</v>
      </c>
      <c r="G998" s="631">
        <v>8.1999999999999993</v>
      </c>
      <c r="H998" s="631" t="s">
        <v>866</v>
      </c>
      <c r="I998" s="631">
        <v>2.35</v>
      </c>
      <c r="J998" s="658" t="s">
        <v>866</v>
      </c>
      <c r="K998" s="631">
        <v>1</v>
      </c>
      <c r="L998" s="658" t="s">
        <v>866</v>
      </c>
      <c r="M998" s="631">
        <v>5</v>
      </c>
      <c r="N998" s="666" t="s">
        <v>799</v>
      </c>
      <c r="O998" s="631">
        <f t="shared" ref="O998:O1000" si="63">E998*G998*I998*K998*M998</f>
        <v>756.34749999999997</v>
      </c>
      <c r="P998" s="657" t="s">
        <v>976</v>
      </c>
    </row>
    <row r="999" spans="1:16" x14ac:dyDescent="0.2">
      <c r="A999" s="736"/>
      <c r="B999" s="737"/>
      <c r="C999" s="665" t="s">
        <v>1638</v>
      </c>
      <c r="E999" s="661">
        <v>2.8</v>
      </c>
      <c r="F999" s="662" t="s">
        <v>866</v>
      </c>
      <c r="G999" s="631">
        <v>2.2999999999999998</v>
      </c>
      <c r="H999" s="631" t="s">
        <v>866</v>
      </c>
      <c r="I999" s="631">
        <v>1.1499999999999999</v>
      </c>
      <c r="J999" s="658" t="s">
        <v>866</v>
      </c>
      <c r="K999" s="631">
        <v>1</v>
      </c>
      <c r="L999" s="658" t="s">
        <v>866</v>
      </c>
      <c r="M999" s="631">
        <v>5</v>
      </c>
      <c r="N999" s="666" t="s">
        <v>799</v>
      </c>
      <c r="O999" s="631">
        <f t="shared" si="63"/>
        <v>37.029999999999994</v>
      </c>
      <c r="P999" s="657" t="s">
        <v>976</v>
      </c>
    </row>
    <row r="1000" spans="1:16" ht="13.5" thickBot="1" x14ac:dyDescent="0.25">
      <c r="A1000" s="736"/>
      <c r="B1000" s="737"/>
      <c r="C1000" s="665" t="s">
        <v>1130</v>
      </c>
      <c r="E1000" s="661">
        <v>6</v>
      </c>
      <c r="F1000" s="662" t="s">
        <v>866</v>
      </c>
      <c r="G1000" s="631">
        <v>0.6</v>
      </c>
      <c r="H1000" s="631" t="s">
        <v>866</v>
      </c>
      <c r="I1000" s="631">
        <v>1.3</v>
      </c>
      <c r="J1000" s="658" t="s">
        <v>866</v>
      </c>
      <c r="K1000" s="631">
        <v>1</v>
      </c>
      <c r="L1000" s="658" t="s">
        <v>866</v>
      </c>
      <c r="M1000" s="631">
        <v>5</v>
      </c>
      <c r="N1000" s="666" t="s">
        <v>799</v>
      </c>
      <c r="O1000" s="631">
        <f t="shared" si="63"/>
        <v>23.4</v>
      </c>
      <c r="P1000" s="657" t="s">
        <v>976</v>
      </c>
    </row>
    <row r="1001" spans="1:16" ht="13.5" thickBot="1" x14ac:dyDescent="0.25">
      <c r="A1001" s="736"/>
      <c r="B1001" s="737"/>
      <c r="C1001" s="667"/>
      <c r="F1001" s="666"/>
      <c r="G1001" s="631"/>
      <c r="H1001" s="631"/>
      <c r="I1001" s="631"/>
      <c r="J1001" s="631"/>
      <c r="K1001" s="631"/>
      <c r="L1001" s="631"/>
      <c r="M1001" s="631"/>
      <c r="N1001" s="666"/>
      <c r="O1001" s="668">
        <f>ROUND((SUM(O998:O1000)),2)</f>
        <v>816.78</v>
      </c>
      <c r="P1001" s="669" t="s">
        <v>976</v>
      </c>
    </row>
    <row r="1002" spans="1:16" x14ac:dyDescent="0.2">
      <c r="A1002" s="736"/>
      <c r="B1002" s="737"/>
      <c r="C1002" s="667"/>
      <c r="F1002" s="666"/>
      <c r="G1002" s="631"/>
      <c r="H1002" s="631"/>
      <c r="I1002" s="631"/>
      <c r="J1002" s="631"/>
      <c r="K1002" s="631"/>
      <c r="L1002" s="631"/>
      <c r="M1002" s="631"/>
      <c r="N1002" s="666"/>
      <c r="O1002" s="632"/>
      <c r="P1002" s="633"/>
    </row>
    <row r="1003" spans="1:16" x14ac:dyDescent="0.2">
      <c r="A1003" s="734" t="s">
        <v>0</v>
      </c>
      <c r="B1003" s="735" t="s">
        <v>1330</v>
      </c>
      <c r="C1003" s="678" t="e">
        <f>#REF!</f>
        <v>#REF!</v>
      </c>
      <c r="D1003" s="662" t="s">
        <v>799</v>
      </c>
      <c r="E1003" s="663" t="s">
        <v>864</v>
      </c>
      <c r="F1003" s="633"/>
      <c r="G1003" s="664" t="s">
        <v>865</v>
      </c>
      <c r="H1003" s="664"/>
      <c r="I1003" s="664" t="s">
        <v>883</v>
      </c>
      <c r="J1003" s="664"/>
      <c r="K1003" s="664" t="s">
        <v>628</v>
      </c>
      <c r="L1003" s="664"/>
      <c r="M1003" s="664"/>
      <c r="O1003" s="631"/>
    </row>
    <row r="1004" spans="1:16" x14ac:dyDescent="0.2">
      <c r="A1004" s="736"/>
      <c r="B1004" s="737"/>
      <c r="C1004" s="665" t="s">
        <v>1637</v>
      </c>
      <c r="E1004" s="661">
        <f>5.85+5.85+8.2+8.2</f>
        <v>28.099999999999998</v>
      </c>
      <c r="F1004" s="662" t="s">
        <v>866</v>
      </c>
      <c r="G1004" s="631">
        <v>1</v>
      </c>
      <c r="H1004" s="631" t="s">
        <v>866</v>
      </c>
      <c r="I1004" s="631">
        <v>2.2999999999999998</v>
      </c>
      <c r="J1004" s="658" t="s">
        <v>866</v>
      </c>
      <c r="K1004" s="631">
        <v>1</v>
      </c>
      <c r="L1004" s="631"/>
      <c r="M1004" s="631"/>
      <c r="N1004" s="666" t="s">
        <v>799</v>
      </c>
      <c r="O1004" s="631">
        <f t="shared" ref="O1004:O1006" si="64">E1004*G1004*I1004*K1004</f>
        <v>64.63</v>
      </c>
      <c r="P1004" s="630" t="s">
        <v>12</v>
      </c>
    </row>
    <row r="1005" spans="1:16" x14ac:dyDescent="0.2">
      <c r="A1005" s="736"/>
      <c r="B1005" s="737"/>
      <c r="C1005" s="665" t="s">
        <v>1638</v>
      </c>
      <c r="E1005" s="661">
        <f>2.3+2.3+1.8</f>
        <v>6.3999999999999995</v>
      </c>
      <c r="F1005" s="662" t="s">
        <v>866</v>
      </c>
      <c r="G1005" s="631">
        <v>0.5</v>
      </c>
      <c r="H1005" s="631" t="s">
        <v>866</v>
      </c>
      <c r="I1005" s="631">
        <v>1.1000000000000001</v>
      </c>
      <c r="J1005" s="658" t="s">
        <v>866</v>
      </c>
      <c r="K1005" s="631">
        <v>1</v>
      </c>
      <c r="L1005" s="631"/>
      <c r="M1005" s="631"/>
      <c r="N1005" s="666" t="s">
        <v>799</v>
      </c>
      <c r="O1005" s="631">
        <f t="shared" si="64"/>
        <v>3.52</v>
      </c>
      <c r="P1005" s="630" t="s">
        <v>12</v>
      </c>
    </row>
    <row r="1006" spans="1:16" ht="13.5" thickBot="1" x14ac:dyDescent="0.25">
      <c r="A1006" s="736"/>
      <c r="B1006" s="737"/>
      <c r="C1006" s="665" t="s">
        <v>1130</v>
      </c>
      <c r="E1006" s="661">
        <v>6</v>
      </c>
      <c r="F1006" s="662" t="s">
        <v>866</v>
      </c>
      <c r="G1006" s="631">
        <v>0.6</v>
      </c>
      <c r="H1006" s="631" t="s">
        <v>866</v>
      </c>
      <c r="I1006" s="631">
        <f>I992-I995</f>
        <v>0.85</v>
      </c>
      <c r="J1006" s="658" t="s">
        <v>866</v>
      </c>
      <c r="K1006" s="631">
        <v>1</v>
      </c>
      <c r="L1006" s="631"/>
      <c r="M1006" s="631"/>
      <c r="N1006" s="666" t="s">
        <v>799</v>
      </c>
      <c r="O1006" s="631">
        <f t="shared" si="64"/>
        <v>3.0599999999999996</v>
      </c>
      <c r="P1006" s="630" t="s">
        <v>12</v>
      </c>
    </row>
    <row r="1007" spans="1:16" ht="13.5" thickBot="1" x14ac:dyDescent="0.25">
      <c r="A1007" s="736"/>
      <c r="B1007" s="737"/>
      <c r="C1007" s="667"/>
      <c r="F1007" s="666"/>
      <c r="G1007" s="631"/>
      <c r="H1007" s="631"/>
      <c r="I1007" s="631"/>
      <c r="J1007" s="631"/>
      <c r="K1007" s="631"/>
      <c r="L1007" s="631"/>
      <c r="M1007" s="631"/>
      <c r="N1007" s="666"/>
      <c r="O1007" s="668">
        <f>ROUND((SUM(O1004:O1006)),2)</f>
        <v>71.209999999999994</v>
      </c>
      <c r="P1007" s="669" t="s">
        <v>12</v>
      </c>
    </row>
    <row r="1008" spans="1:16" x14ac:dyDescent="0.2">
      <c r="A1008" s="736"/>
      <c r="B1008" s="737"/>
      <c r="C1008" s="667"/>
      <c r="F1008" s="666"/>
      <c r="G1008" s="631"/>
      <c r="H1008" s="631"/>
      <c r="I1008" s="631"/>
      <c r="J1008" s="631"/>
      <c r="K1008" s="631"/>
      <c r="L1008" s="631"/>
      <c r="M1008" s="631"/>
      <c r="N1008" s="666"/>
      <c r="O1008" s="632"/>
      <c r="P1008" s="633"/>
    </row>
    <row r="1009" spans="1:16" x14ac:dyDescent="0.2">
      <c r="A1009" s="736"/>
      <c r="B1009" s="737"/>
      <c r="C1009" s="667"/>
      <c r="F1009" s="666"/>
      <c r="G1009" s="631"/>
      <c r="H1009" s="631"/>
      <c r="I1009" s="631"/>
      <c r="J1009" s="631"/>
      <c r="K1009" s="631"/>
      <c r="L1009" s="631"/>
      <c r="M1009" s="631"/>
      <c r="N1009" s="666"/>
      <c r="O1009" s="632"/>
      <c r="P1009" s="633"/>
    </row>
    <row r="1010" spans="1:16" x14ac:dyDescent="0.2">
      <c r="A1010" s="736"/>
      <c r="B1010" s="737"/>
      <c r="C1010" s="667"/>
      <c r="F1010" s="666"/>
      <c r="G1010" s="631"/>
      <c r="H1010" s="631"/>
      <c r="I1010" s="631"/>
      <c r="J1010" s="631"/>
      <c r="K1010" s="631"/>
      <c r="L1010" s="631"/>
      <c r="M1010" s="631"/>
      <c r="N1010" s="666"/>
      <c r="O1010" s="632"/>
      <c r="P1010" s="633"/>
    </row>
    <row r="1011" spans="1:16" x14ac:dyDescent="0.2">
      <c r="A1011" s="734" t="s">
        <v>0</v>
      </c>
      <c r="B1011" s="735" t="s">
        <v>1331</v>
      </c>
      <c r="C1011" s="678" t="e">
        <f>#REF!</f>
        <v>#REF!</v>
      </c>
      <c r="D1011" s="662" t="s">
        <v>799</v>
      </c>
      <c r="E1011" s="663" t="s">
        <v>864</v>
      </c>
      <c r="F1011" s="633"/>
      <c r="G1011" s="664" t="s">
        <v>865</v>
      </c>
      <c r="H1011" s="664"/>
      <c r="I1011" s="664" t="s">
        <v>883</v>
      </c>
      <c r="J1011" s="664"/>
      <c r="K1011" s="664" t="s">
        <v>628</v>
      </c>
      <c r="L1011" s="664"/>
      <c r="M1011" s="664"/>
      <c r="O1011" s="631"/>
    </row>
    <row r="1012" spans="1:16" x14ac:dyDescent="0.2">
      <c r="A1012" s="736"/>
      <c r="B1012" s="737"/>
      <c r="C1012" s="665" t="s">
        <v>1637</v>
      </c>
      <c r="E1012" s="661">
        <v>5.85</v>
      </c>
      <c r="F1012" s="662" t="s">
        <v>866</v>
      </c>
      <c r="G1012" s="631">
        <v>6.2</v>
      </c>
      <c r="H1012" s="631" t="s">
        <v>866</v>
      </c>
      <c r="I1012" s="631">
        <v>0.05</v>
      </c>
      <c r="J1012" s="658" t="s">
        <v>866</v>
      </c>
      <c r="K1012" s="631">
        <v>1</v>
      </c>
      <c r="L1012" s="631"/>
      <c r="M1012" s="631"/>
      <c r="N1012" s="666" t="s">
        <v>799</v>
      </c>
      <c r="O1012" s="631">
        <f>E1012*G1012*I1012*K1012</f>
        <v>1.8134999999999999</v>
      </c>
      <c r="P1012" s="630" t="s">
        <v>12</v>
      </c>
    </row>
    <row r="1013" spans="1:16" ht="13.5" thickBot="1" x14ac:dyDescent="0.25">
      <c r="A1013" s="736"/>
      <c r="B1013" s="737"/>
      <c r="C1013" s="665" t="s">
        <v>1638</v>
      </c>
      <c r="E1013" s="661">
        <v>1.8</v>
      </c>
      <c r="F1013" s="662" t="s">
        <v>866</v>
      </c>
      <c r="G1013" s="631">
        <v>1.8</v>
      </c>
      <c r="H1013" s="631" t="s">
        <v>866</v>
      </c>
      <c r="I1013" s="631">
        <v>0.05</v>
      </c>
      <c r="J1013" s="658" t="s">
        <v>866</v>
      </c>
      <c r="K1013" s="631">
        <v>1</v>
      </c>
      <c r="L1013" s="631"/>
      <c r="M1013" s="631"/>
      <c r="N1013" s="666" t="s">
        <v>799</v>
      </c>
      <c r="O1013" s="631">
        <f>E1013*G1013*I1013*K1013</f>
        <v>0.16200000000000003</v>
      </c>
      <c r="P1013" s="630" t="s">
        <v>12</v>
      </c>
    </row>
    <row r="1014" spans="1:16" ht="13.5" thickBot="1" x14ac:dyDescent="0.25">
      <c r="A1014" s="736"/>
      <c r="B1014" s="737"/>
      <c r="C1014" s="667"/>
      <c r="F1014" s="666"/>
      <c r="G1014" s="631"/>
      <c r="H1014" s="631"/>
      <c r="I1014" s="631"/>
      <c r="J1014" s="631"/>
      <c r="K1014" s="631"/>
      <c r="L1014" s="631"/>
      <c r="M1014" s="631"/>
      <c r="N1014" s="666"/>
      <c r="O1014" s="668">
        <f>ROUND((SUM(O1012:O1013)),2)</f>
        <v>1.98</v>
      </c>
      <c r="P1014" s="669" t="s">
        <v>12</v>
      </c>
    </row>
    <row r="1015" spans="1:16" x14ac:dyDescent="0.2">
      <c r="A1015" s="734" t="s">
        <v>0</v>
      </c>
      <c r="B1015" s="735" t="s">
        <v>1332</v>
      </c>
      <c r="C1015" s="678" t="e">
        <f>#REF!</f>
        <v>#REF!</v>
      </c>
      <c r="D1015" s="662" t="s">
        <v>799</v>
      </c>
      <c r="E1015" s="663" t="s">
        <v>864</v>
      </c>
      <c r="F1015" s="633"/>
      <c r="G1015" s="664" t="s">
        <v>865</v>
      </c>
      <c r="H1015" s="664"/>
      <c r="I1015" s="664" t="s">
        <v>883</v>
      </c>
      <c r="J1015" s="664"/>
      <c r="K1015" s="664" t="s">
        <v>628</v>
      </c>
      <c r="L1015" s="664"/>
      <c r="M1015" s="664"/>
      <c r="O1015" s="631"/>
    </row>
    <row r="1016" spans="1:16" x14ac:dyDescent="0.2">
      <c r="A1016" s="734"/>
      <c r="B1016" s="735"/>
      <c r="C1016" s="824" t="s">
        <v>1637</v>
      </c>
      <c r="D1016" s="662"/>
      <c r="E1016" s="663"/>
      <c r="F1016" s="633"/>
      <c r="G1016" s="664"/>
      <c r="H1016" s="664"/>
      <c r="I1016" s="664"/>
      <c r="J1016" s="664"/>
      <c r="K1016" s="664"/>
      <c r="L1016" s="664"/>
      <c r="M1016" s="664"/>
      <c r="O1016" s="631"/>
    </row>
    <row r="1017" spans="1:16" x14ac:dyDescent="0.2">
      <c r="A1017" s="736"/>
      <c r="B1017" s="737"/>
      <c r="C1017" s="665" t="s">
        <v>907</v>
      </c>
      <c r="E1017" s="661">
        <v>5.85</v>
      </c>
      <c r="F1017" s="662" t="s">
        <v>866</v>
      </c>
      <c r="G1017" s="631">
        <v>0.15</v>
      </c>
      <c r="H1017" s="631" t="s">
        <v>866</v>
      </c>
      <c r="I1017" s="631">
        <v>6.2</v>
      </c>
      <c r="J1017" s="658" t="s">
        <v>866</v>
      </c>
      <c r="K1017" s="631">
        <v>1</v>
      </c>
      <c r="L1017" s="631"/>
      <c r="M1017" s="631"/>
      <c r="N1017" s="666" t="s">
        <v>799</v>
      </c>
      <c r="O1017" s="631">
        <f>E1017*G1017*I1017*K1017</f>
        <v>5.4405000000000001</v>
      </c>
      <c r="P1017" s="630" t="s">
        <v>12</v>
      </c>
    </row>
    <row r="1018" spans="1:16" x14ac:dyDescent="0.2">
      <c r="A1018" s="736"/>
      <c r="B1018" s="737"/>
      <c r="C1018" s="665" t="s">
        <v>885</v>
      </c>
      <c r="E1018" s="661">
        <v>5.85</v>
      </c>
      <c r="F1018" s="662" t="s">
        <v>866</v>
      </c>
      <c r="G1018" s="631">
        <v>0.3</v>
      </c>
      <c r="H1018" s="631" t="s">
        <v>866</v>
      </c>
      <c r="I1018" s="631">
        <v>6.2</v>
      </c>
      <c r="J1018" s="658" t="s">
        <v>866</v>
      </c>
      <c r="K1018" s="631">
        <v>1</v>
      </c>
      <c r="L1018" s="631"/>
      <c r="M1018" s="631"/>
      <c r="N1018" s="666" t="s">
        <v>799</v>
      </c>
      <c r="O1018" s="631">
        <f>E1018*G1018*I1018*K1018</f>
        <v>10.881</v>
      </c>
      <c r="P1018" s="630" t="s">
        <v>12</v>
      </c>
    </row>
    <row r="1019" spans="1:16" x14ac:dyDescent="0.2">
      <c r="A1019" s="736"/>
      <c r="B1019" s="737"/>
      <c r="C1019" s="665" t="s">
        <v>887</v>
      </c>
      <c r="E1019" s="661">
        <v>5.25</v>
      </c>
      <c r="F1019" s="662" t="s">
        <v>866</v>
      </c>
      <c r="G1019" s="631">
        <v>0.3</v>
      </c>
      <c r="H1019" s="631" t="s">
        <v>866</v>
      </c>
      <c r="I1019" s="631">
        <v>2</v>
      </c>
      <c r="J1019" s="658" t="s">
        <v>866</v>
      </c>
      <c r="K1019" s="631">
        <v>2</v>
      </c>
      <c r="L1019" s="631"/>
      <c r="M1019" s="631"/>
      <c r="N1019" s="666" t="s">
        <v>799</v>
      </c>
      <c r="O1019" s="631">
        <f>E1019*G1019*I1019*K1019</f>
        <v>6.3</v>
      </c>
      <c r="P1019" s="630" t="s">
        <v>12</v>
      </c>
    </row>
    <row r="1020" spans="1:16" x14ac:dyDescent="0.2">
      <c r="A1020" s="736"/>
      <c r="B1020" s="737"/>
      <c r="C1020" s="665" t="s">
        <v>886</v>
      </c>
      <c r="E1020" s="661">
        <v>6.2</v>
      </c>
      <c r="F1020" s="662" t="s">
        <v>866</v>
      </c>
      <c r="G1020" s="631">
        <v>0.3</v>
      </c>
      <c r="H1020" s="631" t="s">
        <v>866</v>
      </c>
      <c r="I1020" s="631">
        <v>2</v>
      </c>
      <c r="J1020" s="658" t="s">
        <v>866</v>
      </c>
      <c r="K1020" s="631">
        <v>2</v>
      </c>
      <c r="L1020" s="631"/>
      <c r="M1020" s="631"/>
      <c r="N1020" s="666" t="s">
        <v>799</v>
      </c>
      <c r="O1020" s="631">
        <f>E1020*G1020*I1020*K1020</f>
        <v>7.4399999999999995</v>
      </c>
      <c r="P1020" s="630" t="s">
        <v>12</v>
      </c>
    </row>
    <row r="1021" spans="1:16" x14ac:dyDescent="0.2">
      <c r="A1021" s="736"/>
      <c r="B1021" s="737"/>
      <c r="C1021" s="665" t="s">
        <v>1639</v>
      </c>
      <c r="E1021" s="661">
        <v>5</v>
      </c>
      <c r="F1021" s="662" t="s">
        <v>866</v>
      </c>
      <c r="G1021" s="631">
        <v>0.15</v>
      </c>
      <c r="H1021" s="631" t="s">
        <v>866</v>
      </c>
      <c r="I1021" s="631">
        <v>2</v>
      </c>
      <c r="J1021" s="658" t="s">
        <v>866</v>
      </c>
      <c r="K1021" s="631">
        <v>4</v>
      </c>
      <c r="L1021" s="631"/>
      <c r="M1021" s="631"/>
      <c r="N1021" s="666" t="s">
        <v>799</v>
      </c>
      <c r="O1021" s="631">
        <f>E1021*G1021*I1021*K1021</f>
        <v>6</v>
      </c>
      <c r="P1021" s="630" t="s">
        <v>12</v>
      </c>
    </row>
    <row r="1022" spans="1:16" x14ac:dyDescent="0.2">
      <c r="A1022" s="736"/>
      <c r="B1022" s="737"/>
      <c r="C1022" s="823" t="s">
        <v>1638</v>
      </c>
      <c r="D1022" s="662"/>
      <c r="E1022" s="663"/>
      <c r="F1022" s="633"/>
      <c r="G1022" s="664"/>
      <c r="H1022" s="664"/>
      <c r="I1022" s="664"/>
      <c r="J1022" s="664"/>
      <c r="K1022" s="664"/>
      <c r="L1022" s="664"/>
      <c r="M1022" s="664"/>
      <c r="O1022" s="631"/>
    </row>
    <row r="1023" spans="1:16" x14ac:dyDescent="0.2">
      <c r="A1023" s="736"/>
      <c r="B1023" s="737"/>
      <c r="C1023" s="665" t="s">
        <v>907</v>
      </c>
      <c r="E1023" s="661">
        <v>1.8</v>
      </c>
      <c r="F1023" s="662" t="s">
        <v>866</v>
      </c>
      <c r="G1023" s="631">
        <v>0.1</v>
      </c>
      <c r="H1023" s="631" t="s">
        <v>866</v>
      </c>
      <c r="I1023" s="631">
        <v>1.8</v>
      </c>
      <c r="J1023" s="658" t="s">
        <v>866</v>
      </c>
      <c r="K1023" s="631">
        <v>1</v>
      </c>
      <c r="L1023" s="631"/>
      <c r="M1023" s="631"/>
      <c r="N1023" s="666" t="s">
        <v>799</v>
      </c>
      <c r="O1023" s="631">
        <f>E1023*G1023*I1023*K1023</f>
        <v>0.32400000000000007</v>
      </c>
      <c r="P1023" s="630" t="s">
        <v>12</v>
      </c>
    </row>
    <row r="1024" spans="1:16" x14ac:dyDescent="0.2">
      <c r="A1024" s="736"/>
      <c r="B1024" s="737"/>
      <c r="C1024" s="665" t="s">
        <v>885</v>
      </c>
      <c r="E1024" s="661">
        <v>1.8</v>
      </c>
      <c r="F1024" s="662" t="s">
        <v>866</v>
      </c>
      <c r="G1024" s="631">
        <v>0.15</v>
      </c>
      <c r="H1024" s="631" t="s">
        <v>866</v>
      </c>
      <c r="I1024" s="631">
        <v>1.8</v>
      </c>
      <c r="J1024" s="658" t="s">
        <v>866</v>
      </c>
      <c r="K1024" s="631">
        <v>1</v>
      </c>
      <c r="L1024" s="631"/>
      <c r="M1024" s="631"/>
      <c r="N1024" s="666" t="s">
        <v>799</v>
      </c>
      <c r="O1024" s="631">
        <f>E1024*G1024*I1024*K1024</f>
        <v>0.48600000000000004</v>
      </c>
      <c r="P1024" s="630" t="s">
        <v>12</v>
      </c>
    </row>
    <row r="1025" spans="1:16" x14ac:dyDescent="0.2">
      <c r="A1025" s="736"/>
      <c r="B1025" s="737"/>
      <c r="C1025" s="665" t="s">
        <v>887</v>
      </c>
      <c r="E1025" s="661">
        <v>1.5</v>
      </c>
      <c r="F1025" s="662" t="s">
        <v>866</v>
      </c>
      <c r="G1025" s="631">
        <v>0.15</v>
      </c>
      <c r="H1025" s="631" t="s">
        <v>866</v>
      </c>
      <c r="I1025" s="631">
        <v>1.2</v>
      </c>
      <c r="J1025" s="658" t="s">
        <v>866</v>
      </c>
      <c r="K1025" s="631">
        <v>2</v>
      </c>
      <c r="L1025" s="631"/>
      <c r="M1025" s="631"/>
      <c r="N1025" s="666" t="s">
        <v>799</v>
      </c>
      <c r="O1025" s="631">
        <f>E1025*G1025*I1025*K1025</f>
        <v>0.53999999999999992</v>
      </c>
      <c r="P1025" s="630" t="s">
        <v>12</v>
      </c>
    </row>
    <row r="1026" spans="1:16" ht="13.5" thickBot="1" x14ac:dyDescent="0.25">
      <c r="A1026" s="736"/>
      <c r="B1026" s="737"/>
      <c r="C1026" s="665" t="s">
        <v>886</v>
      </c>
      <c r="E1026" s="661">
        <v>1.8</v>
      </c>
      <c r="F1026" s="662" t="s">
        <v>866</v>
      </c>
      <c r="G1026" s="631">
        <v>0.15</v>
      </c>
      <c r="H1026" s="631" t="s">
        <v>866</v>
      </c>
      <c r="I1026" s="631">
        <v>1.2</v>
      </c>
      <c r="J1026" s="658" t="s">
        <v>866</v>
      </c>
      <c r="K1026" s="631">
        <v>2</v>
      </c>
      <c r="L1026" s="631"/>
      <c r="M1026" s="631"/>
      <c r="N1026" s="666" t="s">
        <v>799</v>
      </c>
      <c r="O1026" s="631">
        <f>E1026*G1026*I1026*K1026</f>
        <v>0.64800000000000002</v>
      </c>
      <c r="P1026" s="630" t="s">
        <v>12</v>
      </c>
    </row>
    <row r="1027" spans="1:16" ht="13.5" thickBot="1" x14ac:dyDescent="0.25">
      <c r="A1027" s="736"/>
      <c r="B1027" s="737"/>
      <c r="C1027" s="667"/>
      <c r="F1027" s="666"/>
      <c r="G1027" s="631"/>
      <c r="H1027" s="631"/>
      <c r="I1027" s="631"/>
      <c r="J1027" s="631"/>
      <c r="K1027" s="631"/>
      <c r="L1027" s="631"/>
      <c r="M1027" s="631"/>
      <c r="N1027" s="666"/>
      <c r="O1027" s="668">
        <f>ROUND((SUM(O1017:O1026)),2)</f>
        <v>38.06</v>
      </c>
      <c r="P1027" s="669" t="s">
        <v>12</v>
      </c>
    </row>
    <row r="1028" spans="1:16" ht="13.5" thickBot="1" x14ac:dyDescent="0.25">
      <c r="A1028" s="734" t="s">
        <v>0</v>
      </c>
      <c r="B1028" s="735" t="s">
        <v>1333</v>
      </c>
      <c r="C1028" s="751" t="e">
        <f>#REF!</f>
        <v>#REF!</v>
      </c>
      <c r="D1028" s="662" t="s">
        <v>799</v>
      </c>
      <c r="E1028" s="663" t="s">
        <v>888</v>
      </c>
      <c r="F1028" s="633"/>
      <c r="G1028" s="664"/>
      <c r="H1028" s="664"/>
      <c r="I1028" s="664"/>
      <c r="J1028" s="664"/>
      <c r="K1028" s="664"/>
      <c r="L1028" s="664"/>
      <c r="M1028" s="664"/>
      <c r="O1028" s="631"/>
    </row>
    <row r="1029" spans="1:16" ht="13.5" thickBot="1" x14ac:dyDescent="0.25">
      <c r="A1029" s="736"/>
      <c r="B1029" s="737"/>
      <c r="C1029" s="665" t="s">
        <v>895</v>
      </c>
      <c r="E1029" s="629">
        <v>6319.76</v>
      </c>
      <c r="F1029" s="662"/>
      <c r="G1029" s="1908" t="s">
        <v>1075</v>
      </c>
      <c r="H1029" s="1909"/>
      <c r="I1029" s="1909"/>
      <c r="J1029" s="1909"/>
      <c r="K1029" s="1910"/>
      <c r="L1029" s="631"/>
      <c r="M1029" s="631"/>
      <c r="N1029" s="666" t="s">
        <v>799</v>
      </c>
      <c r="O1029" s="631">
        <f>E1029</f>
        <v>6319.76</v>
      </c>
      <c r="P1029" s="630" t="s">
        <v>7</v>
      </c>
    </row>
    <row r="1030" spans="1:16" ht="13.5" thickBot="1" x14ac:dyDescent="0.25">
      <c r="A1030" s="736"/>
      <c r="B1030" s="737"/>
      <c r="C1030" s="667"/>
      <c r="F1030" s="666"/>
      <c r="G1030" s="631"/>
      <c r="H1030" s="631"/>
      <c r="I1030" s="631"/>
      <c r="J1030" s="631"/>
      <c r="K1030" s="631"/>
      <c r="L1030" s="631"/>
      <c r="M1030" s="631"/>
      <c r="N1030" s="666"/>
      <c r="O1030" s="668">
        <f>ROUND((SUM(O1029:O1029)),2)</f>
        <v>6319.76</v>
      </c>
      <c r="P1030" s="669" t="s">
        <v>7</v>
      </c>
    </row>
    <row r="1031" spans="1:16" x14ac:dyDescent="0.2">
      <c r="A1031" s="734" t="s">
        <v>0</v>
      </c>
      <c r="B1031" s="735" t="s">
        <v>1334</v>
      </c>
      <c r="C1031" s="678" t="e">
        <f>#REF!</f>
        <v>#REF!</v>
      </c>
      <c r="D1031" s="662" t="s">
        <v>799</v>
      </c>
      <c r="E1031" s="663" t="s">
        <v>864</v>
      </c>
      <c r="F1031" s="633"/>
      <c r="G1031" s="664"/>
      <c r="H1031" s="664"/>
      <c r="I1031" s="664"/>
      <c r="J1031" s="664"/>
      <c r="K1031" s="664"/>
      <c r="L1031" s="664"/>
      <c r="M1031" s="664"/>
      <c r="O1031" s="631"/>
    </row>
    <row r="1032" spans="1:16" ht="13.5" thickBot="1" x14ac:dyDescent="0.25">
      <c r="A1032" s="736"/>
      <c r="B1032" s="737"/>
      <c r="C1032" s="665" t="s">
        <v>1637</v>
      </c>
      <c r="E1032" s="661">
        <f>5.85+5.85+6.2+6.2</f>
        <v>24.099999999999998</v>
      </c>
      <c r="F1032" s="662"/>
      <c r="G1032" s="631"/>
      <c r="H1032" s="631"/>
      <c r="I1032" s="631"/>
      <c r="J1032" s="658"/>
      <c r="K1032" s="631"/>
      <c r="L1032" s="631"/>
      <c r="M1032" s="631"/>
      <c r="N1032" s="666" t="s">
        <v>799</v>
      </c>
      <c r="O1032" s="631">
        <f>E1032</f>
        <v>24.099999999999998</v>
      </c>
      <c r="P1032" s="657" t="s">
        <v>6</v>
      </c>
    </row>
    <row r="1033" spans="1:16" ht="13.5" thickBot="1" x14ac:dyDescent="0.25">
      <c r="A1033" s="736"/>
      <c r="B1033" s="737"/>
      <c r="C1033" s="667"/>
      <c r="F1033" s="666"/>
      <c r="G1033" s="631"/>
      <c r="H1033" s="631"/>
      <c r="I1033" s="631"/>
      <c r="J1033" s="631"/>
      <c r="K1033" s="631"/>
      <c r="L1033" s="631"/>
      <c r="M1033" s="631"/>
      <c r="N1033" s="666"/>
      <c r="O1033" s="668">
        <f>ROUND((SUM(O1032:O1032)),2)</f>
        <v>24.1</v>
      </c>
      <c r="P1033" s="669" t="s">
        <v>6</v>
      </c>
    </row>
    <row r="1034" spans="1:16" x14ac:dyDescent="0.2">
      <c r="A1034" s="734" t="s">
        <v>0</v>
      </c>
      <c r="B1034" s="735" t="s">
        <v>1335</v>
      </c>
      <c r="C1034" s="678" t="e">
        <f>#REF!</f>
        <v>#REF!</v>
      </c>
      <c r="D1034" s="662" t="s">
        <v>799</v>
      </c>
      <c r="E1034" s="663" t="s">
        <v>864</v>
      </c>
      <c r="F1034" s="633"/>
      <c r="G1034" s="664"/>
      <c r="H1034" s="664"/>
      <c r="I1034" s="664"/>
      <c r="J1034" s="664"/>
      <c r="K1034" s="664"/>
      <c r="L1034" s="664"/>
      <c r="M1034" s="664"/>
      <c r="O1034" s="631"/>
    </row>
    <row r="1035" spans="1:16" ht="13.5" thickBot="1" x14ac:dyDescent="0.25">
      <c r="A1035" s="736"/>
      <c r="B1035" s="737"/>
      <c r="C1035" s="665" t="s">
        <v>1640</v>
      </c>
      <c r="E1035" s="661">
        <v>6</v>
      </c>
      <c r="F1035" s="662"/>
      <c r="G1035" s="631"/>
      <c r="H1035" s="631"/>
      <c r="I1035" s="631"/>
      <c r="J1035" s="631"/>
      <c r="K1035" s="631"/>
      <c r="L1035" s="631"/>
      <c r="M1035" s="631"/>
      <c r="N1035" s="666" t="s">
        <v>799</v>
      </c>
      <c r="O1035" s="631">
        <f>E1035</f>
        <v>6</v>
      </c>
      <c r="P1035" s="630" t="s">
        <v>6</v>
      </c>
    </row>
    <row r="1036" spans="1:16" ht="13.5" thickBot="1" x14ac:dyDescent="0.25">
      <c r="A1036" s="736"/>
      <c r="B1036" s="737"/>
      <c r="C1036" s="667"/>
      <c r="F1036" s="666"/>
      <c r="G1036" s="631"/>
      <c r="H1036" s="631"/>
      <c r="I1036" s="631"/>
      <c r="J1036" s="631"/>
      <c r="K1036" s="631"/>
      <c r="L1036" s="631"/>
      <c r="M1036" s="631"/>
      <c r="N1036" s="666"/>
      <c r="O1036" s="668">
        <f>ROUND((SUM(O1035:O1035)),2)</f>
        <v>6</v>
      </c>
      <c r="P1036" s="669" t="s">
        <v>6</v>
      </c>
    </row>
    <row r="1037" spans="1:16" x14ac:dyDescent="0.2">
      <c r="A1037" s="734" t="s">
        <v>0</v>
      </c>
      <c r="B1037" s="735" t="s">
        <v>1336</v>
      </c>
      <c r="C1037" s="678" t="e">
        <f>#REF!</f>
        <v>#REF!</v>
      </c>
      <c r="D1037" s="662" t="s">
        <v>799</v>
      </c>
      <c r="E1037" s="663" t="s">
        <v>628</v>
      </c>
      <c r="F1037" s="633"/>
      <c r="G1037" s="664"/>
      <c r="H1037" s="664"/>
      <c r="I1037" s="664"/>
      <c r="J1037" s="664"/>
      <c r="K1037" s="664"/>
      <c r="L1037" s="664"/>
      <c r="M1037" s="664"/>
      <c r="O1037" s="631"/>
    </row>
    <row r="1038" spans="1:16" ht="13.5" thickBot="1" x14ac:dyDescent="0.25">
      <c r="A1038" s="736"/>
      <c r="B1038" s="737"/>
      <c r="C1038" s="665" t="s">
        <v>1641</v>
      </c>
      <c r="E1038" s="661">
        <v>1</v>
      </c>
      <c r="F1038" s="662"/>
      <c r="G1038" s="631"/>
      <c r="H1038" s="631"/>
      <c r="I1038" s="631"/>
      <c r="J1038" s="631"/>
      <c r="K1038" s="631"/>
      <c r="L1038" s="631"/>
      <c r="M1038" s="631"/>
      <c r="N1038" s="666" t="s">
        <v>799</v>
      </c>
      <c r="O1038" s="631">
        <f>E1038</f>
        <v>1</v>
      </c>
      <c r="P1038" s="630" t="s">
        <v>2</v>
      </c>
    </row>
    <row r="1039" spans="1:16" ht="13.5" thickBot="1" x14ac:dyDescent="0.25">
      <c r="A1039" s="736"/>
      <c r="B1039" s="737"/>
      <c r="C1039" s="667"/>
      <c r="F1039" s="666"/>
      <c r="G1039" s="631"/>
      <c r="H1039" s="631"/>
      <c r="I1039" s="631"/>
      <c r="J1039" s="631"/>
      <c r="K1039" s="631"/>
      <c r="L1039" s="631"/>
      <c r="M1039" s="631"/>
      <c r="N1039" s="666"/>
      <c r="O1039" s="668">
        <f>ROUND((SUM(O1038:O1038)),2)</f>
        <v>1</v>
      </c>
      <c r="P1039" s="669" t="s">
        <v>2</v>
      </c>
    </row>
    <row r="1040" spans="1:16" x14ac:dyDescent="0.2">
      <c r="A1040" s="734" t="s">
        <v>0</v>
      </c>
      <c r="B1040" s="735" t="s">
        <v>1337</v>
      </c>
      <c r="C1040" s="678" t="e">
        <f>#REF!</f>
        <v>#REF!</v>
      </c>
      <c r="D1040" s="662" t="s">
        <v>799</v>
      </c>
      <c r="E1040" s="663" t="s">
        <v>628</v>
      </c>
      <c r="F1040" s="633"/>
      <c r="G1040" s="664"/>
      <c r="H1040" s="664"/>
      <c r="I1040" s="664"/>
      <c r="J1040" s="664"/>
      <c r="K1040" s="664"/>
      <c r="L1040" s="664"/>
      <c r="M1040" s="664"/>
      <c r="O1040" s="631"/>
    </row>
    <row r="1041" spans="1:16" ht="13.5" thickBot="1" x14ac:dyDescent="0.25">
      <c r="A1041" s="736"/>
      <c r="B1041" s="737"/>
      <c r="C1041" s="665" t="s">
        <v>1638</v>
      </c>
      <c r="E1041" s="661">
        <v>1</v>
      </c>
      <c r="F1041" s="662"/>
      <c r="G1041" s="631"/>
      <c r="H1041" s="631"/>
      <c r="I1041" s="631"/>
      <c r="J1041" s="631"/>
      <c r="K1041" s="631"/>
      <c r="L1041" s="631"/>
      <c r="M1041" s="631"/>
      <c r="N1041" s="666" t="s">
        <v>799</v>
      </c>
      <c r="O1041" s="631">
        <f>E1041</f>
        <v>1</v>
      </c>
      <c r="P1041" s="630" t="s">
        <v>2</v>
      </c>
    </row>
    <row r="1042" spans="1:16" ht="13.5" thickBot="1" x14ac:dyDescent="0.25">
      <c r="A1042" s="736"/>
      <c r="B1042" s="737"/>
      <c r="C1042" s="667"/>
      <c r="F1042" s="666"/>
      <c r="G1042" s="631"/>
      <c r="H1042" s="631"/>
      <c r="I1042" s="631"/>
      <c r="J1042" s="631"/>
      <c r="K1042" s="631"/>
      <c r="L1042" s="631"/>
      <c r="M1042" s="631"/>
      <c r="N1042" s="666"/>
      <c r="O1042" s="668">
        <f>ROUND((SUM(O1041:O1041)),2)</f>
        <v>1</v>
      </c>
      <c r="P1042" s="669" t="s">
        <v>2</v>
      </c>
    </row>
    <row r="1043" spans="1:16" x14ac:dyDescent="0.2">
      <c r="A1043" s="736"/>
      <c r="B1043" s="737"/>
      <c r="C1043" s="667"/>
      <c r="F1043" s="666"/>
      <c r="G1043" s="631"/>
      <c r="H1043" s="631"/>
      <c r="I1043" s="631"/>
      <c r="J1043" s="631"/>
      <c r="K1043" s="631"/>
      <c r="L1043" s="631"/>
      <c r="M1043" s="631"/>
      <c r="N1043" s="666"/>
      <c r="O1043" s="632"/>
      <c r="P1043" s="633"/>
    </row>
    <row r="1044" spans="1:16" ht="15.75" x14ac:dyDescent="0.2">
      <c r="A1044" s="736"/>
      <c r="B1044" s="737"/>
      <c r="C1044" s="788" t="s">
        <v>1160</v>
      </c>
      <c r="F1044" s="666"/>
      <c r="G1044" s="631"/>
      <c r="H1044" s="631"/>
      <c r="I1044" s="631"/>
      <c r="J1044" s="631"/>
      <c r="K1044" s="631"/>
      <c r="L1044" s="631"/>
      <c r="M1044" s="631"/>
      <c r="N1044" s="666"/>
      <c r="O1044" s="632"/>
      <c r="P1044" s="633"/>
    </row>
    <row r="1045" spans="1:16" x14ac:dyDescent="0.2">
      <c r="A1045" s="734" t="s">
        <v>0</v>
      </c>
      <c r="B1045" s="735" t="s">
        <v>1338</v>
      </c>
      <c r="C1045" s="678" t="e">
        <f>#REF!</f>
        <v>#REF!</v>
      </c>
      <c r="D1045" s="662" t="s">
        <v>799</v>
      </c>
      <c r="E1045" s="663" t="s">
        <v>864</v>
      </c>
      <c r="F1045" s="633"/>
      <c r="G1045" s="664"/>
      <c r="H1045" s="664"/>
      <c r="I1045" s="664"/>
      <c r="J1045" s="664"/>
      <c r="K1045" s="664"/>
      <c r="L1045" s="664"/>
      <c r="M1045" s="664"/>
      <c r="O1045" s="631"/>
    </row>
    <row r="1046" spans="1:16" ht="13.5" thickBot="1" x14ac:dyDescent="0.25">
      <c r="A1046" s="736"/>
      <c r="B1046" s="737"/>
      <c r="C1046" s="665" t="s">
        <v>1640</v>
      </c>
      <c r="E1046" s="661">
        <v>6</v>
      </c>
      <c r="F1046" s="662"/>
      <c r="G1046" s="631"/>
      <c r="H1046" s="631"/>
      <c r="I1046" s="631"/>
      <c r="J1046" s="631"/>
      <c r="K1046" s="631"/>
      <c r="L1046" s="631"/>
      <c r="M1046" s="631"/>
      <c r="N1046" s="666" t="s">
        <v>799</v>
      </c>
      <c r="O1046" s="631">
        <f>E1046</f>
        <v>6</v>
      </c>
      <c r="P1046" s="630" t="s">
        <v>6</v>
      </c>
    </row>
    <row r="1047" spans="1:16" ht="13.5" thickBot="1" x14ac:dyDescent="0.25">
      <c r="A1047" s="736"/>
      <c r="B1047" s="737"/>
      <c r="C1047" s="667"/>
      <c r="F1047" s="666"/>
      <c r="G1047" s="631"/>
      <c r="H1047" s="631"/>
      <c r="I1047" s="631"/>
      <c r="J1047" s="631"/>
      <c r="K1047" s="631"/>
      <c r="L1047" s="631"/>
      <c r="M1047" s="631"/>
      <c r="N1047" s="666"/>
      <c r="O1047" s="668">
        <f>ROUND((SUM(O1046:O1046)),2)</f>
        <v>6</v>
      </c>
      <c r="P1047" s="669" t="s">
        <v>6</v>
      </c>
    </row>
    <row r="1048" spans="1:16" x14ac:dyDescent="0.2">
      <c r="E1048" s="609"/>
      <c r="F1048" s="609"/>
      <c r="G1048" s="609"/>
      <c r="H1048" s="609"/>
      <c r="I1048" s="609"/>
      <c r="J1048" s="609"/>
      <c r="K1048" s="609"/>
      <c r="L1048" s="609"/>
      <c r="M1048" s="609"/>
      <c r="N1048" s="609"/>
      <c r="O1048" s="609"/>
      <c r="P1048" s="609"/>
    </row>
    <row r="1049" spans="1:16" x14ac:dyDescent="0.2">
      <c r="E1049" s="609"/>
      <c r="F1049" s="609"/>
      <c r="G1049" s="609"/>
      <c r="H1049" s="609"/>
      <c r="I1049" s="609"/>
      <c r="J1049" s="609"/>
      <c r="K1049" s="609"/>
      <c r="L1049" s="609"/>
      <c r="M1049" s="609"/>
      <c r="N1049" s="609"/>
      <c r="O1049" s="609"/>
      <c r="P1049" s="609"/>
    </row>
    <row r="1050" spans="1:16" x14ac:dyDescent="0.2">
      <c r="E1050" s="609"/>
      <c r="F1050" s="609"/>
      <c r="G1050" s="609"/>
      <c r="H1050" s="609"/>
      <c r="I1050" s="609"/>
      <c r="J1050" s="609"/>
      <c r="K1050" s="609"/>
      <c r="L1050" s="609"/>
      <c r="M1050" s="609"/>
      <c r="N1050" s="609"/>
      <c r="O1050" s="609"/>
      <c r="P1050" s="609"/>
    </row>
    <row r="1051" spans="1:16" x14ac:dyDescent="0.2">
      <c r="E1051" s="609"/>
      <c r="F1051" s="609"/>
      <c r="G1051" s="609"/>
      <c r="H1051" s="609"/>
      <c r="I1051" s="609"/>
      <c r="J1051" s="609"/>
      <c r="K1051" s="609"/>
      <c r="L1051" s="609"/>
      <c r="M1051" s="609"/>
      <c r="N1051" s="609"/>
      <c r="O1051" s="609"/>
      <c r="P1051" s="609"/>
    </row>
    <row r="1052" spans="1:16" x14ac:dyDescent="0.2">
      <c r="E1052" s="609"/>
      <c r="F1052" s="609"/>
      <c r="G1052" s="609"/>
      <c r="H1052" s="609"/>
      <c r="I1052" s="609"/>
      <c r="J1052" s="609"/>
      <c r="K1052" s="609"/>
      <c r="L1052" s="609"/>
      <c r="M1052" s="609"/>
      <c r="N1052" s="609"/>
      <c r="O1052" s="609"/>
      <c r="P1052" s="609"/>
    </row>
    <row r="1053" spans="1:16" x14ac:dyDescent="0.2">
      <c r="E1053" s="609"/>
      <c r="F1053" s="609"/>
      <c r="G1053" s="609"/>
      <c r="H1053" s="609"/>
      <c r="I1053" s="609"/>
      <c r="J1053" s="609"/>
      <c r="K1053" s="609"/>
      <c r="L1053" s="609"/>
      <c r="M1053" s="609"/>
      <c r="N1053" s="609"/>
      <c r="O1053" s="609"/>
      <c r="P1053" s="609"/>
    </row>
    <row r="1054" spans="1:16" ht="15.75" x14ac:dyDescent="0.2">
      <c r="A1054" s="736"/>
      <c r="B1054" s="931" t="s">
        <v>1339</v>
      </c>
      <c r="C1054" s="932" t="s">
        <v>1125</v>
      </c>
      <c r="D1054" s="936"/>
      <c r="E1054" s="937"/>
      <c r="F1054" s="938"/>
      <c r="G1054" s="939"/>
      <c r="H1054" s="939"/>
      <c r="I1054" s="939"/>
      <c r="J1054" s="939"/>
      <c r="K1054" s="939"/>
      <c r="L1054" s="939"/>
      <c r="M1054" s="939"/>
      <c r="N1054" s="938"/>
      <c r="O1054" s="939"/>
      <c r="P1054" s="940"/>
    </row>
    <row r="1055" spans="1:16" ht="15.75" x14ac:dyDescent="0.2">
      <c r="A1055" s="736"/>
      <c r="B1055" s="798"/>
      <c r="C1055" s="788" t="s">
        <v>1159</v>
      </c>
      <c r="D1055"/>
      <c r="E1055" s="800"/>
      <c r="F1055" s="794"/>
      <c r="G1055" s="812"/>
      <c r="H1055" s="812"/>
      <c r="I1055" s="812"/>
      <c r="J1055" s="812"/>
      <c r="K1055" s="812"/>
      <c r="L1055" s="812"/>
      <c r="M1055" s="812"/>
      <c r="N1055" s="794"/>
      <c r="O1055" s="812"/>
      <c r="P1055" s="796"/>
    </row>
    <row r="1056" spans="1:16" x14ac:dyDescent="0.2">
      <c r="A1056" s="736"/>
      <c r="B1056" s="804"/>
      <c r="C1056" s="804"/>
      <c r="D1056"/>
      <c r="E1056" s="800"/>
      <c r="F1056" s="794"/>
      <c r="G1056" s="812"/>
      <c r="H1056" s="812"/>
      <c r="I1056" s="812"/>
      <c r="J1056" s="812"/>
      <c r="K1056" s="812"/>
      <c r="L1056" s="812"/>
      <c r="M1056" s="812"/>
      <c r="N1056" s="794"/>
      <c r="O1056" s="812"/>
      <c r="P1056" s="796"/>
    </row>
    <row r="1057" spans="1:16" x14ac:dyDescent="0.2">
      <c r="A1057" s="734" t="s">
        <v>0</v>
      </c>
      <c r="B1057" s="806" t="s">
        <v>1340</v>
      </c>
      <c r="C1057" s="807" t="e">
        <f>#REF!</f>
        <v>#REF!</v>
      </c>
      <c r="D1057" s="808" t="s">
        <v>799</v>
      </c>
      <c r="E1057" s="809" t="s">
        <v>864</v>
      </c>
      <c r="F1057" s="810"/>
      <c r="G1057" s="811" t="s">
        <v>865</v>
      </c>
      <c r="H1057" s="811"/>
      <c r="I1057" s="811"/>
      <c r="J1057" s="811"/>
      <c r="K1057" s="811"/>
      <c r="L1057" s="811"/>
      <c r="M1057" s="811"/>
      <c r="N1057" s="794"/>
      <c r="O1057" s="812"/>
      <c r="P1057" s="796"/>
    </row>
    <row r="1058" spans="1:16" x14ac:dyDescent="0.2">
      <c r="A1058" s="736"/>
      <c r="B1058" s="737"/>
      <c r="C1058" s="665" t="s">
        <v>1547</v>
      </c>
      <c r="E1058" s="661">
        <v>1.4</v>
      </c>
      <c r="F1058" s="662" t="s">
        <v>866</v>
      </c>
      <c r="G1058" s="631">
        <v>1.2</v>
      </c>
      <c r="H1058" s="631"/>
      <c r="I1058" s="631"/>
      <c r="J1058" s="631"/>
      <c r="K1058" s="631"/>
      <c r="L1058" s="631"/>
      <c r="M1058" s="631"/>
      <c r="N1058" s="666" t="s">
        <v>799</v>
      </c>
      <c r="O1058" s="631">
        <f>E1058*G1058</f>
        <v>1.68</v>
      </c>
      <c r="P1058" s="630" t="s">
        <v>4</v>
      </c>
    </row>
    <row r="1059" spans="1:16" x14ac:dyDescent="0.2">
      <c r="A1059" s="736"/>
      <c r="B1059" s="737"/>
      <c r="C1059" s="665" t="s">
        <v>1126</v>
      </c>
      <c r="E1059" s="661">
        <v>4.8</v>
      </c>
      <c r="F1059" s="662" t="s">
        <v>866</v>
      </c>
      <c r="G1059" s="631">
        <v>4.8</v>
      </c>
      <c r="H1059" s="631"/>
      <c r="I1059" s="631"/>
      <c r="J1059" s="631"/>
      <c r="K1059" s="631"/>
      <c r="L1059" s="631"/>
      <c r="M1059" s="631"/>
      <c r="N1059" s="666" t="s">
        <v>799</v>
      </c>
      <c r="O1059" s="631">
        <f>E1059*G1059</f>
        <v>23.04</v>
      </c>
      <c r="P1059" s="630" t="s">
        <v>4</v>
      </c>
    </row>
    <row r="1060" spans="1:16" ht="13.5" thickBot="1" x14ac:dyDescent="0.25">
      <c r="A1060" s="736"/>
      <c r="B1060" s="737"/>
      <c r="C1060" s="665" t="s">
        <v>1548</v>
      </c>
      <c r="E1060" s="661">
        <v>1.4</v>
      </c>
      <c r="F1060" s="662" t="s">
        <v>866</v>
      </c>
      <c r="G1060" s="631">
        <v>1.2</v>
      </c>
      <c r="H1060" s="631"/>
      <c r="I1060" s="631"/>
      <c r="J1060" s="631"/>
      <c r="K1060" s="631"/>
      <c r="L1060" s="631"/>
      <c r="M1060" s="631"/>
      <c r="N1060" s="666" t="s">
        <v>799</v>
      </c>
      <c r="O1060" s="631">
        <f>E1060*G1060</f>
        <v>1.68</v>
      </c>
      <c r="P1060" s="630" t="s">
        <v>4</v>
      </c>
    </row>
    <row r="1061" spans="1:16" ht="13.5" thickBot="1" x14ac:dyDescent="0.25">
      <c r="A1061" s="736"/>
      <c r="B1061" s="737"/>
      <c r="C1061" s="667"/>
      <c r="F1061" s="666"/>
      <c r="G1061" s="631"/>
      <c r="H1061" s="631"/>
      <c r="I1061" s="631"/>
      <c r="J1061" s="631"/>
      <c r="K1061" s="631"/>
      <c r="L1061" s="631"/>
      <c r="M1061" s="631"/>
      <c r="N1061" s="666"/>
      <c r="O1061" s="668">
        <f>ROUND((SUM(O1058:O1060)),2)</f>
        <v>26.4</v>
      </c>
      <c r="P1061" s="669" t="s">
        <v>4</v>
      </c>
    </row>
    <row r="1062" spans="1:16" x14ac:dyDescent="0.2">
      <c r="A1062" s="736"/>
      <c r="B1062" s="737"/>
      <c r="C1062" s="667"/>
      <c r="F1062" s="666"/>
      <c r="G1062" s="631"/>
      <c r="H1062" s="631"/>
      <c r="I1062" s="631"/>
      <c r="J1062" s="631"/>
      <c r="K1062" s="631"/>
      <c r="L1062" s="631"/>
      <c r="M1062" s="631"/>
      <c r="N1062" s="666"/>
      <c r="O1062" s="632"/>
      <c r="P1062" s="633"/>
    </row>
    <row r="1063" spans="1:16" x14ac:dyDescent="0.2">
      <c r="A1063" s="734" t="s">
        <v>0</v>
      </c>
      <c r="B1063" s="735" t="s">
        <v>1341</v>
      </c>
      <c r="C1063" s="678" t="e">
        <f>#REF!</f>
        <v>#REF!</v>
      </c>
      <c r="D1063" s="662" t="s">
        <v>799</v>
      </c>
      <c r="E1063" s="663" t="s">
        <v>864</v>
      </c>
      <c r="F1063" s="633"/>
      <c r="G1063" s="664" t="s">
        <v>865</v>
      </c>
      <c r="H1063" s="664"/>
      <c r="I1063" s="664" t="s">
        <v>883</v>
      </c>
      <c r="J1063" s="664"/>
      <c r="K1063" s="664" t="s">
        <v>628</v>
      </c>
      <c r="L1063" s="664"/>
      <c r="M1063" s="664"/>
      <c r="O1063" s="631"/>
    </row>
    <row r="1064" spans="1:16" x14ac:dyDescent="0.2">
      <c r="A1064" s="736"/>
      <c r="B1064" s="737"/>
      <c r="C1064" s="665" t="s">
        <v>1547</v>
      </c>
      <c r="E1064" s="661">
        <v>3.4</v>
      </c>
      <c r="F1064" s="662" t="s">
        <v>866</v>
      </c>
      <c r="G1064" s="631">
        <v>2.2000000000000002</v>
      </c>
      <c r="H1064" s="631" t="s">
        <v>866</v>
      </c>
      <c r="I1064" s="631">
        <v>3.4</v>
      </c>
      <c r="J1064" s="658" t="s">
        <v>866</v>
      </c>
      <c r="K1064" s="631">
        <v>1</v>
      </c>
      <c r="L1064" s="631"/>
      <c r="M1064" s="631"/>
      <c r="N1064" s="666" t="s">
        <v>799</v>
      </c>
      <c r="O1064" s="631">
        <f t="shared" ref="O1064:O1069" si="65">E1064*G1064*I1064*K1064</f>
        <v>25.432000000000002</v>
      </c>
      <c r="P1064" s="630" t="s">
        <v>12</v>
      </c>
    </row>
    <row r="1065" spans="1:16" x14ac:dyDescent="0.2">
      <c r="A1065" s="736"/>
      <c r="B1065" s="737"/>
      <c r="C1065" s="665" t="s">
        <v>1126</v>
      </c>
      <c r="E1065" s="661">
        <v>6.8</v>
      </c>
      <c r="F1065" s="662" t="s">
        <v>866</v>
      </c>
      <c r="G1065" s="631">
        <v>6.8</v>
      </c>
      <c r="H1065" s="631" t="s">
        <v>866</v>
      </c>
      <c r="I1065" s="631">
        <v>3.4</v>
      </c>
      <c r="J1065" s="658" t="s">
        <v>866</v>
      </c>
      <c r="K1065" s="631">
        <v>1</v>
      </c>
      <c r="L1065" s="631"/>
      <c r="M1065" s="631"/>
      <c r="N1065" s="666" t="s">
        <v>799</v>
      </c>
      <c r="O1065" s="631">
        <f t="shared" si="65"/>
        <v>157.21599999999998</v>
      </c>
      <c r="P1065" s="630" t="s">
        <v>12</v>
      </c>
    </row>
    <row r="1066" spans="1:16" x14ac:dyDescent="0.2">
      <c r="A1066" s="736"/>
      <c r="B1066" s="737"/>
      <c r="C1066" s="665" t="s">
        <v>1548</v>
      </c>
      <c r="E1066" s="661">
        <v>3.4</v>
      </c>
      <c r="F1066" s="662" t="s">
        <v>866</v>
      </c>
      <c r="G1066" s="631">
        <v>2.2000000000000002</v>
      </c>
      <c r="H1066" s="631" t="s">
        <v>866</v>
      </c>
      <c r="I1066" s="631">
        <v>1.4</v>
      </c>
      <c r="J1066" s="658" t="s">
        <v>866</v>
      </c>
      <c r="K1066" s="631">
        <v>1</v>
      </c>
      <c r="L1066" s="631"/>
      <c r="M1066" s="631"/>
      <c r="N1066" s="666" t="s">
        <v>799</v>
      </c>
      <c r="O1066" s="631">
        <f t="shared" si="65"/>
        <v>10.472</v>
      </c>
      <c r="P1066" s="630" t="s">
        <v>12</v>
      </c>
    </row>
    <row r="1067" spans="1:16" x14ac:dyDescent="0.2">
      <c r="A1067" s="736"/>
      <c r="B1067" s="737"/>
      <c r="C1067" s="665" t="s">
        <v>1128</v>
      </c>
      <c r="E1067" s="661">
        <v>12</v>
      </c>
      <c r="F1067" s="662" t="s">
        <v>866</v>
      </c>
      <c r="G1067" s="631">
        <v>1</v>
      </c>
      <c r="H1067" s="631" t="s">
        <v>866</v>
      </c>
      <c r="I1067" s="631">
        <v>4.9000000000000004</v>
      </c>
      <c r="J1067" s="658" t="s">
        <v>866</v>
      </c>
      <c r="K1067" s="631">
        <v>1</v>
      </c>
      <c r="L1067" s="631"/>
      <c r="M1067" s="631"/>
      <c r="N1067" s="666" t="s">
        <v>799</v>
      </c>
      <c r="O1067" s="631">
        <f t="shared" si="65"/>
        <v>58.800000000000004</v>
      </c>
      <c r="P1067" s="630" t="s">
        <v>12</v>
      </c>
    </row>
    <row r="1068" spans="1:16" x14ac:dyDescent="0.2">
      <c r="A1068" s="736"/>
      <c r="B1068" s="737"/>
      <c r="C1068" s="665" t="s">
        <v>1129</v>
      </c>
      <c r="E1068" s="661">
        <v>66</v>
      </c>
      <c r="F1068" s="662" t="s">
        <v>866</v>
      </c>
      <c r="G1068" s="631">
        <v>1</v>
      </c>
      <c r="H1068" s="631" t="s">
        <v>866</v>
      </c>
      <c r="I1068" s="631">
        <v>2.9</v>
      </c>
      <c r="J1068" s="658" t="s">
        <v>866</v>
      </c>
      <c r="K1068" s="631">
        <v>1</v>
      </c>
      <c r="L1068" s="631"/>
      <c r="M1068" s="631"/>
      <c r="N1068" s="666" t="s">
        <v>799</v>
      </c>
      <c r="O1068" s="631">
        <f t="shared" si="65"/>
        <v>191.4</v>
      </c>
      <c r="P1068" s="630" t="s">
        <v>12</v>
      </c>
    </row>
    <row r="1069" spans="1:16" ht="13.5" thickBot="1" x14ac:dyDescent="0.25">
      <c r="A1069" s="736"/>
      <c r="B1069" s="737"/>
      <c r="C1069" s="665" t="s">
        <v>1130</v>
      </c>
      <c r="E1069" s="661">
        <v>36</v>
      </c>
      <c r="F1069" s="662" t="s">
        <v>866</v>
      </c>
      <c r="G1069" s="631">
        <v>0.6</v>
      </c>
      <c r="H1069" s="631" t="s">
        <v>866</v>
      </c>
      <c r="I1069" s="631">
        <v>1.3</v>
      </c>
      <c r="J1069" s="658" t="s">
        <v>866</v>
      </c>
      <c r="K1069" s="631">
        <v>1</v>
      </c>
      <c r="L1069" s="631"/>
      <c r="M1069" s="631"/>
      <c r="N1069" s="666" t="s">
        <v>799</v>
      </c>
      <c r="O1069" s="631">
        <f t="shared" si="65"/>
        <v>28.08</v>
      </c>
      <c r="P1069" s="630" t="s">
        <v>12</v>
      </c>
    </row>
    <row r="1070" spans="1:16" ht="13.5" thickBot="1" x14ac:dyDescent="0.25">
      <c r="A1070" s="736"/>
      <c r="B1070" s="737"/>
      <c r="C1070" s="667"/>
      <c r="F1070" s="666"/>
      <c r="G1070" s="631"/>
      <c r="H1070" s="631"/>
      <c r="I1070" s="631"/>
      <c r="J1070" s="631"/>
      <c r="K1070" s="631"/>
      <c r="L1070" s="631"/>
      <c r="M1070" s="631"/>
      <c r="N1070" s="666"/>
      <c r="O1070" s="668">
        <f>ROUND((SUM(O1064:O1069)),2)</f>
        <v>471.4</v>
      </c>
      <c r="P1070" s="669" t="s">
        <v>12</v>
      </c>
    </row>
    <row r="1071" spans="1:16" ht="42.75" customHeight="1" x14ac:dyDescent="0.2">
      <c r="A1071" s="734" t="s">
        <v>0</v>
      </c>
      <c r="B1071" s="735" t="s">
        <v>1342</v>
      </c>
      <c r="C1071" s="751" t="e">
        <f>#REF!</f>
        <v>#REF!</v>
      </c>
      <c r="D1071" s="662" t="s">
        <v>799</v>
      </c>
      <c r="E1071" s="663" t="s">
        <v>864</v>
      </c>
      <c r="F1071" s="633"/>
      <c r="G1071" s="664" t="s">
        <v>865</v>
      </c>
      <c r="H1071" s="664"/>
      <c r="I1071" s="664" t="s">
        <v>883</v>
      </c>
      <c r="J1071" s="664"/>
      <c r="K1071" s="664" t="s">
        <v>1067</v>
      </c>
      <c r="L1071" s="664"/>
      <c r="M1071" s="664"/>
      <c r="O1071" s="631"/>
    </row>
    <row r="1072" spans="1:16" x14ac:dyDescent="0.2">
      <c r="A1072" s="736"/>
      <c r="B1072" s="737"/>
      <c r="C1072" s="665" t="s">
        <v>1128</v>
      </c>
      <c r="E1072" s="661">
        <v>12</v>
      </c>
      <c r="F1072" s="662" t="s">
        <v>866</v>
      </c>
      <c r="G1072" s="631">
        <v>1</v>
      </c>
      <c r="H1072" s="631" t="s">
        <v>866</v>
      </c>
      <c r="I1072" s="631">
        <f>0.1+0.1+0.15</f>
        <v>0.35</v>
      </c>
      <c r="J1072" s="631" t="s">
        <v>866</v>
      </c>
      <c r="K1072" s="631">
        <f>((PI()*(POWER(0.1,2)))/4)*E1072</f>
        <v>9.4247779607693802E-2</v>
      </c>
      <c r="L1072" s="631"/>
      <c r="M1072" s="631"/>
      <c r="N1072" s="662" t="s">
        <v>799</v>
      </c>
      <c r="O1072" s="631">
        <f>(E1072*G1072*I1072)-K1072</f>
        <v>4.1057522203923051</v>
      </c>
      <c r="P1072" s="630" t="s">
        <v>12</v>
      </c>
    </row>
    <row r="1073" spans="1:16" x14ac:dyDescent="0.2">
      <c r="A1073" s="736"/>
      <c r="B1073" s="737"/>
      <c r="C1073" s="665" t="s">
        <v>1129</v>
      </c>
      <c r="E1073" s="661">
        <v>66</v>
      </c>
      <c r="F1073" s="662" t="s">
        <v>866</v>
      </c>
      <c r="G1073" s="631">
        <v>1</v>
      </c>
      <c r="H1073" s="631" t="s">
        <v>866</v>
      </c>
      <c r="I1073" s="631">
        <f>0.1+0.15+0.15</f>
        <v>0.4</v>
      </c>
      <c r="J1073" s="631" t="s">
        <v>866</v>
      </c>
      <c r="K1073" s="631">
        <f>((PI()*(POWER(0.15,2)))/4)*E1073</f>
        <v>1.1663162726452108</v>
      </c>
      <c r="L1073" s="631"/>
      <c r="M1073" s="631"/>
      <c r="N1073" s="662" t="s">
        <v>799</v>
      </c>
      <c r="O1073" s="631">
        <f>(E1073*G1073*I1073)-K1073</f>
        <v>25.233683727354791</v>
      </c>
      <c r="P1073" s="630" t="s">
        <v>12</v>
      </c>
    </row>
    <row r="1074" spans="1:16" ht="13.5" thickBot="1" x14ac:dyDescent="0.25">
      <c r="A1074" s="736"/>
      <c r="B1074" s="737"/>
      <c r="C1074" s="665" t="s">
        <v>1130</v>
      </c>
      <c r="E1074" s="661">
        <v>36</v>
      </c>
      <c r="F1074" s="662" t="s">
        <v>866</v>
      </c>
      <c r="G1074" s="631">
        <v>1</v>
      </c>
      <c r="H1074" s="631" t="s">
        <v>866</v>
      </c>
      <c r="I1074" s="631">
        <f>0.1+0.2+0.15</f>
        <v>0.45000000000000007</v>
      </c>
      <c r="J1074" s="631" t="s">
        <v>866</v>
      </c>
      <c r="K1074" s="631">
        <f>((PI()*(POWER(0.2,2)))/4)*E1074</f>
        <v>1.1309733552923256</v>
      </c>
      <c r="L1074" s="631"/>
      <c r="M1074" s="631"/>
      <c r="N1074" s="662" t="s">
        <v>799</v>
      </c>
      <c r="O1074" s="631">
        <f>(E1074*G1074*I1074)-K1074</f>
        <v>15.069026644707677</v>
      </c>
      <c r="P1074" s="630" t="s">
        <v>12</v>
      </c>
    </row>
    <row r="1075" spans="1:16" ht="13.5" thickBot="1" x14ac:dyDescent="0.25">
      <c r="A1075" s="736"/>
      <c r="B1075" s="737"/>
      <c r="C1075" s="737"/>
      <c r="F1075" s="666"/>
      <c r="G1075" s="631"/>
      <c r="H1075" s="631"/>
      <c r="I1075" s="631"/>
      <c r="J1075" s="631"/>
      <c r="K1075" s="631"/>
      <c r="L1075" s="631"/>
      <c r="M1075" s="631"/>
      <c r="N1075" s="666"/>
      <c r="O1075" s="668">
        <f>ROUND((SUM(O1072:O1074)),2)</f>
        <v>44.41</v>
      </c>
      <c r="P1075" s="669" t="s">
        <v>12</v>
      </c>
    </row>
    <row r="1076" spans="1:16" ht="61.5" customHeight="1" x14ac:dyDescent="0.2">
      <c r="A1076" s="734" t="s">
        <v>0</v>
      </c>
      <c r="B1076" s="735" t="s">
        <v>1343</v>
      </c>
      <c r="C1076" s="751" t="e">
        <f>#REF!</f>
        <v>#REF!</v>
      </c>
      <c r="D1076" s="662" t="s">
        <v>799</v>
      </c>
      <c r="E1076" s="663" t="s">
        <v>864</v>
      </c>
      <c r="F1076" s="633"/>
      <c r="G1076" s="664" t="s">
        <v>865</v>
      </c>
      <c r="H1076" s="664"/>
      <c r="I1076" s="664" t="s">
        <v>883</v>
      </c>
      <c r="J1076" s="664"/>
      <c r="K1076" s="664" t="s">
        <v>628</v>
      </c>
      <c r="L1076" s="664"/>
      <c r="M1076" s="664" t="s">
        <v>977</v>
      </c>
      <c r="O1076" s="631"/>
    </row>
    <row r="1077" spans="1:16" x14ac:dyDescent="0.2">
      <c r="A1077" s="736"/>
      <c r="B1077" s="737"/>
      <c r="C1077" s="665" t="s">
        <v>1547</v>
      </c>
      <c r="E1077" s="661">
        <v>3.4</v>
      </c>
      <c r="F1077" s="662" t="s">
        <v>866</v>
      </c>
      <c r="G1077" s="631">
        <v>2.2000000000000002</v>
      </c>
      <c r="H1077" s="631" t="s">
        <v>866</v>
      </c>
      <c r="I1077" s="631">
        <v>3.4</v>
      </c>
      <c r="J1077" s="658" t="s">
        <v>866</v>
      </c>
      <c r="K1077" s="631">
        <v>1</v>
      </c>
      <c r="L1077" s="658" t="s">
        <v>866</v>
      </c>
      <c r="M1077" s="631">
        <v>5</v>
      </c>
      <c r="N1077" s="666" t="s">
        <v>799</v>
      </c>
      <c r="O1077" s="631">
        <f t="shared" ref="O1077:O1082" si="66">E1077*G1077*I1077*K1077*M1077</f>
        <v>127.16000000000001</v>
      </c>
      <c r="P1077" s="657" t="s">
        <v>976</v>
      </c>
    </row>
    <row r="1078" spans="1:16" x14ac:dyDescent="0.2">
      <c r="A1078" s="736"/>
      <c r="B1078" s="737"/>
      <c r="C1078" s="665" t="s">
        <v>1126</v>
      </c>
      <c r="E1078" s="661">
        <v>6.8</v>
      </c>
      <c r="F1078" s="662" t="s">
        <v>866</v>
      </c>
      <c r="G1078" s="631">
        <v>6.8</v>
      </c>
      <c r="H1078" s="631" t="s">
        <v>866</v>
      </c>
      <c r="I1078" s="631">
        <v>3.4</v>
      </c>
      <c r="J1078" s="658" t="s">
        <v>866</v>
      </c>
      <c r="K1078" s="631">
        <v>1</v>
      </c>
      <c r="L1078" s="658" t="s">
        <v>866</v>
      </c>
      <c r="M1078" s="631">
        <v>5</v>
      </c>
      <c r="N1078" s="666" t="s">
        <v>799</v>
      </c>
      <c r="O1078" s="631">
        <f t="shared" si="66"/>
        <v>786.07999999999993</v>
      </c>
      <c r="P1078" s="657" t="s">
        <v>976</v>
      </c>
    </row>
    <row r="1079" spans="1:16" x14ac:dyDescent="0.2">
      <c r="A1079" s="736"/>
      <c r="B1079" s="737"/>
      <c r="C1079" s="665" t="s">
        <v>1548</v>
      </c>
      <c r="E1079" s="661">
        <v>3.4</v>
      </c>
      <c r="F1079" s="662" t="s">
        <v>866</v>
      </c>
      <c r="G1079" s="631">
        <v>2.2000000000000002</v>
      </c>
      <c r="H1079" s="631" t="s">
        <v>866</v>
      </c>
      <c r="I1079" s="631">
        <v>1.4</v>
      </c>
      <c r="J1079" s="658" t="s">
        <v>866</v>
      </c>
      <c r="K1079" s="631">
        <v>1</v>
      </c>
      <c r="L1079" s="658" t="s">
        <v>866</v>
      </c>
      <c r="M1079" s="631">
        <v>5</v>
      </c>
      <c r="N1079" s="666" t="s">
        <v>799</v>
      </c>
      <c r="O1079" s="631">
        <f t="shared" si="66"/>
        <v>52.36</v>
      </c>
      <c r="P1079" s="657" t="s">
        <v>976</v>
      </c>
    </row>
    <row r="1080" spans="1:16" x14ac:dyDescent="0.2">
      <c r="A1080" s="736"/>
      <c r="B1080" s="737"/>
      <c r="C1080" s="665" t="s">
        <v>1128</v>
      </c>
      <c r="E1080" s="661">
        <v>12</v>
      </c>
      <c r="F1080" s="662" t="s">
        <v>866</v>
      </c>
      <c r="G1080" s="631">
        <v>1</v>
      </c>
      <c r="H1080" s="631" t="s">
        <v>866</v>
      </c>
      <c r="I1080" s="631">
        <v>4.9000000000000004</v>
      </c>
      <c r="J1080" s="658" t="s">
        <v>866</v>
      </c>
      <c r="K1080" s="631">
        <v>1</v>
      </c>
      <c r="L1080" s="658" t="s">
        <v>866</v>
      </c>
      <c r="M1080" s="631">
        <v>5</v>
      </c>
      <c r="N1080" s="666" t="s">
        <v>799</v>
      </c>
      <c r="O1080" s="631">
        <f t="shared" si="66"/>
        <v>294</v>
      </c>
      <c r="P1080" s="657" t="s">
        <v>976</v>
      </c>
    </row>
    <row r="1081" spans="1:16" x14ac:dyDescent="0.2">
      <c r="A1081" s="736"/>
      <c r="B1081" s="737"/>
      <c r="C1081" s="665" t="s">
        <v>1129</v>
      </c>
      <c r="E1081" s="661">
        <v>66</v>
      </c>
      <c r="F1081" s="662" t="s">
        <v>866</v>
      </c>
      <c r="G1081" s="631">
        <v>1</v>
      </c>
      <c r="H1081" s="631" t="s">
        <v>866</v>
      </c>
      <c r="I1081" s="631">
        <v>2.9</v>
      </c>
      <c r="J1081" s="658" t="s">
        <v>866</v>
      </c>
      <c r="K1081" s="631">
        <v>1</v>
      </c>
      <c r="L1081" s="658" t="s">
        <v>866</v>
      </c>
      <c r="M1081" s="631">
        <v>5</v>
      </c>
      <c r="N1081" s="666" t="s">
        <v>799</v>
      </c>
      <c r="O1081" s="631">
        <f t="shared" si="66"/>
        <v>957</v>
      </c>
      <c r="P1081" s="657" t="s">
        <v>976</v>
      </c>
    </row>
    <row r="1082" spans="1:16" ht="13.5" thickBot="1" x14ac:dyDescent="0.25">
      <c r="A1082" s="736"/>
      <c r="B1082" s="737"/>
      <c r="C1082" s="665" t="s">
        <v>1130</v>
      </c>
      <c r="E1082" s="661">
        <v>36</v>
      </c>
      <c r="F1082" s="662" t="s">
        <v>866</v>
      </c>
      <c r="G1082" s="631">
        <v>0.6</v>
      </c>
      <c r="H1082" s="631" t="s">
        <v>866</v>
      </c>
      <c r="I1082" s="631">
        <v>1.3</v>
      </c>
      <c r="J1082" s="658" t="s">
        <v>866</v>
      </c>
      <c r="K1082" s="631">
        <v>1</v>
      </c>
      <c r="L1082" s="658" t="s">
        <v>866</v>
      </c>
      <c r="M1082" s="631">
        <v>5</v>
      </c>
      <c r="N1082" s="666" t="s">
        <v>799</v>
      </c>
      <c r="O1082" s="631">
        <f t="shared" si="66"/>
        <v>140.39999999999998</v>
      </c>
      <c r="P1082" s="657" t="s">
        <v>976</v>
      </c>
    </row>
    <row r="1083" spans="1:16" ht="13.5" thickBot="1" x14ac:dyDescent="0.25">
      <c r="A1083" s="736"/>
      <c r="B1083" s="737"/>
      <c r="C1083" s="667"/>
      <c r="F1083" s="666"/>
      <c r="G1083" s="631"/>
      <c r="H1083" s="631"/>
      <c r="I1083" s="631"/>
      <c r="J1083" s="631"/>
      <c r="K1083" s="631"/>
      <c r="L1083" s="631"/>
      <c r="M1083" s="631"/>
      <c r="N1083" s="666"/>
      <c r="O1083" s="668">
        <f>ROUND((SUM(O1077:O1082)),2)</f>
        <v>2357</v>
      </c>
      <c r="P1083" s="669" t="s">
        <v>976</v>
      </c>
    </row>
    <row r="1084" spans="1:16" x14ac:dyDescent="0.2">
      <c r="A1084" s="736"/>
      <c r="B1084" s="737"/>
      <c r="C1084" s="667"/>
      <c r="F1084" s="666"/>
      <c r="G1084" s="631"/>
      <c r="H1084" s="631"/>
      <c r="I1084" s="631"/>
      <c r="J1084" s="631"/>
      <c r="K1084" s="631"/>
      <c r="L1084" s="631"/>
      <c r="M1084" s="631"/>
      <c r="N1084" s="666"/>
      <c r="O1084" s="632"/>
      <c r="P1084" s="633"/>
    </row>
    <row r="1085" spans="1:16" x14ac:dyDescent="0.2">
      <c r="A1085" s="734" t="s">
        <v>0</v>
      </c>
      <c r="B1085" s="735" t="s">
        <v>1344</v>
      </c>
      <c r="C1085" s="678" t="e">
        <f>#REF!</f>
        <v>#REF!</v>
      </c>
      <c r="D1085" s="662" t="s">
        <v>799</v>
      </c>
      <c r="E1085" s="663" t="s">
        <v>864</v>
      </c>
      <c r="F1085" s="633"/>
      <c r="G1085" s="664" t="s">
        <v>865</v>
      </c>
      <c r="H1085" s="664"/>
      <c r="I1085" s="664" t="s">
        <v>883</v>
      </c>
      <c r="J1085" s="664"/>
      <c r="K1085" s="664" t="s">
        <v>628</v>
      </c>
      <c r="L1085" s="664"/>
      <c r="M1085" s="664"/>
      <c r="O1085" s="631"/>
    </row>
    <row r="1086" spans="1:16" x14ac:dyDescent="0.2">
      <c r="A1086" s="736"/>
      <c r="B1086" s="737"/>
      <c r="C1086" s="665" t="s">
        <v>1547</v>
      </c>
      <c r="E1086" s="661">
        <f>3.4+1.2+1.2</f>
        <v>5.8</v>
      </c>
      <c r="F1086" s="662" t="s">
        <v>866</v>
      </c>
      <c r="G1086" s="631">
        <v>1</v>
      </c>
      <c r="H1086" s="631" t="s">
        <v>866</v>
      </c>
      <c r="I1086" s="631">
        <v>3.35</v>
      </c>
      <c r="J1086" s="658" t="s">
        <v>866</v>
      </c>
      <c r="K1086" s="631">
        <v>1</v>
      </c>
      <c r="L1086" s="631"/>
      <c r="M1086" s="631"/>
      <c r="N1086" s="666" t="s">
        <v>799</v>
      </c>
      <c r="O1086" s="631">
        <f t="shared" ref="O1086:O1091" si="67">E1086*G1086*I1086*K1086</f>
        <v>19.43</v>
      </c>
      <c r="P1086" s="630" t="s">
        <v>12</v>
      </c>
    </row>
    <row r="1087" spans="1:16" x14ac:dyDescent="0.2">
      <c r="A1087" s="736"/>
      <c r="B1087" s="737"/>
      <c r="C1087" s="665" t="s">
        <v>1126</v>
      </c>
      <c r="E1087" s="661">
        <f>6.8+6.8+4.8+4.8</f>
        <v>23.2</v>
      </c>
      <c r="F1087" s="662" t="s">
        <v>866</v>
      </c>
      <c r="G1087" s="631">
        <v>1</v>
      </c>
      <c r="H1087" s="631" t="s">
        <v>866</v>
      </c>
      <c r="I1087" s="631">
        <v>3.35</v>
      </c>
      <c r="J1087" s="658" t="s">
        <v>866</v>
      </c>
      <c r="K1087" s="631">
        <v>1</v>
      </c>
      <c r="L1087" s="631"/>
      <c r="M1087" s="631"/>
      <c r="N1087" s="666" t="s">
        <v>799</v>
      </c>
      <c r="O1087" s="631">
        <f t="shared" si="67"/>
        <v>77.72</v>
      </c>
      <c r="P1087" s="630" t="s">
        <v>12</v>
      </c>
    </row>
    <row r="1088" spans="1:16" x14ac:dyDescent="0.2">
      <c r="A1088" s="736"/>
      <c r="B1088" s="737"/>
      <c r="C1088" s="665" t="s">
        <v>1548</v>
      </c>
      <c r="E1088" s="661">
        <f>3.4+1.2+1.2</f>
        <v>5.8</v>
      </c>
      <c r="F1088" s="662" t="s">
        <v>866</v>
      </c>
      <c r="G1088" s="631">
        <v>1</v>
      </c>
      <c r="H1088" s="631" t="s">
        <v>866</v>
      </c>
      <c r="I1088" s="631">
        <v>1.35</v>
      </c>
      <c r="J1088" s="658" t="s">
        <v>866</v>
      </c>
      <c r="K1088" s="631">
        <v>1</v>
      </c>
      <c r="L1088" s="631"/>
      <c r="M1088" s="631"/>
      <c r="N1088" s="666" t="s">
        <v>799</v>
      </c>
      <c r="O1088" s="631">
        <f t="shared" si="67"/>
        <v>7.83</v>
      </c>
      <c r="P1088" s="630" t="s">
        <v>12</v>
      </c>
    </row>
    <row r="1089" spans="1:16" x14ac:dyDescent="0.2">
      <c r="A1089" s="736"/>
      <c r="B1089" s="737"/>
      <c r="C1089" s="665" t="s">
        <v>1128</v>
      </c>
      <c r="E1089" s="661">
        <v>12</v>
      </c>
      <c r="F1089" s="662" t="s">
        <v>866</v>
      </c>
      <c r="G1089" s="631">
        <v>1</v>
      </c>
      <c r="H1089" s="631" t="s">
        <v>866</v>
      </c>
      <c r="I1089" s="631">
        <f>I1067-I1072</f>
        <v>4.5500000000000007</v>
      </c>
      <c r="J1089" s="658" t="s">
        <v>866</v>
      </c>
      <c r="K1089" s="631">
        <v>1</v>
      </c>
      <c r="L1089" s="631"/>
      <c r="M1089" s="631"/>
      <c r="N1089" s="666" t="s">
        <v>799</v>
      </c>
      <c r="O1089" s="631">
        <f t="shared" si="67"/>
        <v>54.600000000000009</v>
      </c>
      <c r="P1089" s="630" t="s">
        <v>12</v>
      </c>
    </row>
    <row r="1090" spans="1:16" x14ac:dyDescent="0.2">
      <c r="A1090" s="736"/>
      <c r="B1090" s="737"/>
      <c r="C1090" s="665" t="s">
        <v>1129</v>
      </c>
      <c r="E1090" s="661">
        <v>66</v>
      </c>
      <c r="F1090" s="662" t="s">
        <v>866</v>
      </c>
      <c r="G1090" s="631">
        <v>1</v>
      </c>
      <c r="H1090" s="631" t="s">
        <v>866</v>
      </c>
      <c r="I1090" s="631">
        <f>I1068-I1073</f>
        <v>2.5</v>
      </c>
      <c r="J1090" s="658" t="s">
        <v>866</v>
      </c>
      <c r="K1090" s="631">
        <v>1</v>
      </c>
      <c r="L1090" s="631"/>
      <c r="M1090" s="631"/>
      <c r="N1090" s="666" t="s">
        <v>799</v>
      </c>
      <c r="O1090" s="631">
        <f t="shared" si="67"/>
        <v>165</v>
      </c>
      <c r="P1090" s="630" t="s">
        <v>12</v>
      </c>
    </row>
    <row r="1091" spans="1:16" ht="13.5" thickBot="1" x14ac:dyDescent="0.25">
      <c r="A1091" s="736"/>
      <c r="B1091" s="737"/>
      <c r="C1091" s="665" t="s">
        <v>1130</v>
      </c>
      <c r="E1091" s="661">
        <v>36</v>
      </c>
      <c r="F1091" s="662" t="s">
        <v>866</v>
      </c>
      <c r="G1091" s="631">
        <v>0.6</v>
      </c>
      <c r="H1091" s="631" t="s">
        <v>866</v>
      </c>
      <c r="I1091" s="631">
        <f>I1069-I1074</f>
        <v>0.85</v>
      </c>
      <c r="J1091" s="658" t="s">
        <v>866</v>
      </c>
      <c r="K1091" s="631">
        <v>1</v>
      </c>
      <c r="L1091" s="631"/>
      <c r="M1091" s="631"/>
      <c r="N1091" s="666" t="s">
        <v>799</v>
      </c>
      <c r="O1091" s="631">
        <f t="shared" si="67"/>
        <v>18.36</v>
      </c>
      <c r="P1091" s="630" t="s">
        <v>12</v>
      </c>
    </row>
    <row r="1092" spans="1:16" ht="13.5" thickBot="1" x14ac:dyDescent="0.25">
      <c r="A1092" s="736"/>
      <c r="B1092" s="737"/>
      <c r="C1092" s="667"/>
      <c r="F1092" s="666"/>
      <c r="G1092" s="631"/>
      <c r="H1092" s="631"/>
      <c r="I1092" s="631"/>
      <c r="J1092" s="631"/>
      <c r="K1092" s="631"/>
      <c r="L1092" s="631"/>
      <c r="M1092" s="631"/>
      <c r="N1092" s="666"/>
      <c r="O1092" s="668">
        <f>ROUND((SUM(O1086:O1091)),2)</f>
        <v>342.94</v>
      </c>
      <c r="P1092" s="669" t="s">
        <v>12</v>
      </c>
    </row>
    <row r="1093" spans="1:16" x14ac:dyDescent="0.2">
      <c r="A1093" s="734" t="s">
        <v>0</v>
      </c>
      <c r="B1093" s="735" t="s">
        <v>1345</v>
      </c>
      <c r="C1093" s="678" t="e">
        <f>#REF!</f>
        <v>#REF!</v>
      </c>
      <c r="D1093" s="662" t="s">
        <v>799</v>
      </c>
      <c r="E1093" s="663" t="s">
        <v>864</v>
      </c>
      <c r="F1093" s="633"/>
      <c r="G1093" s="664" t="s">
        <v>865</v>
      </c>
      <c r="H1093" s="664"/>
      <c r="I1093" s="664" t="s">
        <v>883</v>
      </c>
      <c r="J1093" s="664"/>
      <c r="K1093" s="664" t="s">
        <v>628</v>
      </c>
      <c r="L1093" s="664"/>
      <c r="M1093" s="664"/>
      <c r="O1093" s="631"/>
    </row>
    <row r="1094" spans="1:16" x14ac:dyDescent="0.2">
      <c r="A1094" s="736"/>
      <c r="B1094" s="737"/>
      <c r="C1094" s="665" t="s">
        <v>1547</v>
      </c>
      <c r="E1094" s="661">
        <v>1.4</v>
      </c>
      <c r="F1094" s="662" t="s">
        <v>866</v>
      </c>
      <c r="G1094" s="631">
        <v>1.2</v>
      </c>
      <c r="H1094" s="631" t="s">
        <v>866</v>
      </c>
      <c r="I1094" s="631">
        <v>0.05</v>
      </c>
      <c r="J1094" s="658" t="s">
        <v>866</v>
      </c>
      <c r="K1094" s="631">
        <v>1</v>
      </c>
      <c r="L1094" s="631"/>
      <c r="M1094" s="631"/>
      <c r="N1094" s="666" t="s">
        <v>799</v>
      </c>
      <c r="O1094" s="631">
        <f>E1094*G1094*I1094*K1094</f>
        <v>8.4000000000000005E-2</v>
      </c>
      <c r="P1094" s="630" t="s">
        <v>12</v>
      </c>
    </row>
    <row r="1095" spans="1:16" x14ac:dyDescent="0.2">
      <c r="A1095" s="736"/>
      <c r="B1095" s="737"/>
      <c r="C1095" s="665" t="s">
        <v>1126</v>
      </c>
      <c r="E1095" s="661">
        <v>4.8</v>
      </c>
      <c r="F1095" s="662" t="s">
        <v>866</v>
      </c>
      <c r="G1095" s="631">
        <v>4.8</v>
      </c>
      <c r="H1095" s="631" t="s">
        <v>866</v>
      </c>
      <c r="I1095" s="631">
        <v>0.05</v>
      </c>
      <c r="J1095" s="658" t="s">
        <v>866</v>
      </c>
      <c r="K1095" s="631">
        <v>1</v>
      </c>
      <c r="L1095" s="631"/>
      <c r="M1095" s="631"/>
      <c r="N1095" s="666" t="s">
        <v>799</v>
      </c>
      <c r="O1095" s="631">
        <f>E1095*G1095*I1095*K1095</f>
        <v>1.1519999999999999</v>
      </c>
      <c r="P1095" s="630" t="s">
        <v>12</v>
      </c>
    </row>
    <row r="1096" spans="1:16" ht="13.5" thickBot="1" x14ac:dyDescent="0.25">
      <c r="A1096" s="736"/>
      <c r="B1096" s="737"/>
      <c r="C1096" s="665" t="s">
        <v>1548</v>
      </c>
      <c r="E1096" s="661">
        <v>1.4</v>
      </c>
      <c r="F1096" s="662" t="s">
        <v>866</v>
      </c>
      <c r="G1096" s="631">
        <v>1.2</v>
      </c>
      <c r="H1096" s="631" t="s">
        <v>866</v>
      </c>
      <c r="I1096" s="631">
        <v>0.05</v>
      </c>
      <c r="J1096" s="658" t="s">
        <v>866</v>
      </c>
      <c r="K1096" s="631">
        <v>1</v>
      </c>
      <c r="L1096" s="631"/>
      <c r="M1096" s="631"/>
      <c r="N1096" s="666" t="s">
        <v>799</v>
      </c>
      <c r="O1096" s="631">
        <f>E1096*G1096*I1096*K1096</f>
        <v>8.4000000000000005E-2</v>
      </c>
      <c r="P1096" s="630" t="s">
        <v>12</v>
      </c>
    </row>
    <row r="1097" spans="1:16" ht="13.5" thickBot="1" x14ac:dyDescent="0.25">
      <c r="A1097" s="736"/>
      <c r="B1097" s="737"/>
      <c r="C1097" s="667"/>
      <c r="F1097" s="666"/>
      <c r="G1097" s="631"/>
      <c r="H1097" s="631"/>
      <c r="I1097" s="631"/>
      <c r="J1097" s="631"/>
      <c r="K1097" s="631"/>
      <c r="L1097" s="631"/>
      <c r="M1097" s="631"/>
      <c r="N1097" s="666"/>
      <c r="O1097" s="668">
        <f>ROUND((SUM(O1094:O1096)),2)</f>
        <v>1.32</v>
      </c>
      <c r="P1097" s="669" t="s">
        <v>12</v>
      </c>
    </row>
    <row r="1098" spans="1:16" x14ac:dyDescent="0.2">
      <c r="A1098" s="736"/>
      <c r="B1098" s="737"/>
      <c r="C1098" s="667"/>
      <c r="F1098" s="666"/>
      <c r="G1098" s="631"/>
      <c r="H1098" s="631"/>
      <c r="I1098" s="631"/>
      <c r="J1098" s="631"/>
      <c r="K1098" s="631"/>
      <c r="L1098" s="631"/>
      <c r="M1098" s="631"/>
      <c r="N1098" s="666"/>
      <c r="O1098" s="632"/>
      <c r="P1098" s="633"/>
    </row>
    <row r="1099" spans="1:16" x14ac:dyDescent="0.2">
      <c r="A1099" s="736"/>
      <c r="B1099" s="737"/>
      <c r="C1099" s="667"/>
      <c r="F1099" s="666"/>
      <c r="G1099" s="631"/>
      <c r="H1099" s="631"/>
      <c r="I1099" s="631"/>
      <c r="J1099" s="631"/>
      <c r="K1099" s="631"/>
      <c r="L1099" s="631"/>
      <c r="M1099" s="631"/>
      <c r="N1099" s="666"/>
      <c r="O1099" s="632"/>
      <c r="P1099" s="633"/>
    </row>
    <row r="1100" spans="1:16" x14ac:dyDescent="0.2">
      <c r="A1100" s="734" t="s">
        <v>0</v>
      </c>
      <c r="B1100" s="735" t="s">
        <v>1346</v>
      </c>
      <c r="C1100" s="678" t="e">
        <f>#REF!</f>
        <v>#REF!</v>
      </c>
      <c r="D1100" s="662" t="s">
        <v>799</v>
      </c>
      <c r="E1100" s="663" t="s">
        <v>864</v>
      </c>
      <c r="F1100" s="633"/>
      <c r="G1100" s="664" t="s">
        <v>865</v>
      </c>
      <c r="H1100" s="664"/>
      <c r="I1100" s="664" t="s">
        <v>883</v>
      </c>
      <c r="J1100" s="664"/>
      <c r="K1100" s="664" t="s">
        <v>628</v>
      </c>
      <c r="L1100" s="664"/>
      <c r="M1100" s="664"/>
      <c r="O1100" s="631"/>
    </row>
    <row r="1101" spans="1:16" x14ac:dyDescent="0.2">
      <c r="A1101" s="734"/>
      <c r="B1101" s="735"/>
      <c r="C1101" s="823" t="s">
        <v>1549</v>
      </c>
      <c r="D1101" s="662"/>
      <c r="E1101" s="663"/>
      <c r="F1101" s="633"/>
      <c r="G1101" s="664"/>
      <c r="H1101" s="664"/>
      <c r="I1101" s="664"/>
      <c r="J1101" s="664"/>
      <c r="K1101" s="664"/>
      <c r="L1101" s="664"/>
      <c r="M1101" s="664"/>
      <c r="O1101" s="631"/>
    </row>
    <row r="1102" spans="1:16" x14ac:dyDescent="0.2">
      <c r="A1102" s="736"/>
      <c r="B1102" s="737"/>
      <c r="C1102" s="665" t="s">
        <v>907</v>
      </c>
      <c r="E1102" s="661">
        <v>1.4</v>
      </c>
      <c r="F1102" s="662" t="s">
        <v>866</v>
      </c>
      <c r="G1102" s="631">
        <v>0.1</v>
      </c>
      <c r="H1102" s="631" t="s">
        <v>866</v>
      </c>
      <c r="I1102" s="631">
        <v>1.2</v>
      </c>
      <c r="J1102" s="658" t="s">
        <v>866</v>
      </c>
      <c r="K1102" s="631">
        <v>1</v>
      </c>
      <c r="L1102" s="631"/>
      <c r="M1102" s="631"/>
      <c r="N1102" s="666" t="s">
        <v>799</v>
      </c>
      <c r="O1102" s="631">
        <f>E1102*G1102*I1102*K1102</f>
        <v>0.16799999999999998</v>
      </c>
      <c r="P1102" s="630" t="s">
        <v>12</v>
      </c>
    </row>
    <row r="1103" spans="1:16" x14ac:dyDescent="0.2">
      <c r="A1103" s="736"/>
      <c r="B1103" s="737"/>
      <c r="C1103" s="665" t="s">
        <v>885</v>
      </c>
      <c r="E1103" s="661">
        <v>1.4</v>
      </c>
      <c r="F1103" s="662" t="s">
        <v>866</v>
      </c>
      <c r="G1103" s="631">
        <v>0.2</v>
      </c>
      <c r="H1103" s="631" t="s">
        <v>866</v>
      </c>
      <c r="I1103" s="631">
        <v>1.2</v>
      </c>
      <c r="J1103" s="658" t="s">
        <v>866</v>
      </c>
      <c r="K1103" s="631">
        <v>1</v>
      </c>
      <c r="L1103" s="631"/>
      <c r="M1103" s="631"/>
      <c r="N1103" s="666" t="s">
        <v>799</v>
      </c>
      <c r="O1103" s="631">
        <f>E1103*G1103*I1103*K1103</f>
        <v>0.33599999999999997</v>
      </c>
      <c r="P1103" s="630" t="s">
        <v>12</v>
      </c>
    </row>
    <row r="1104" spans="1:16" x14ac:dyDescent="0.2">
      <c r="A1104" s="736"/>
      <c r="B1104" s="737"/>
      <c r="C1104" s="665" t="s">
        <v>887</v>
      </c>
      <c r="E1104" s="661">
        <v>1</v>
      </c>
      <c r="F1104" s="662" t="s">
        <v>866</v>
      </c>
      <c r="G1104" s="631">
        <v>0.2</v>
      </c>
      <c r="H1104" s="631" t="s">
        <v>866</v>
      </c>
      <c r="I1104" s="631">
        <v>3.15</v>
      </c>
      <c r="J1104" s="658" t="s">
        <v>866</v>
      </c>
      <c r="K1104" s="631">
        <v>1</v>
      </c>
      <c r="L1104" s="631"/>
      <c r="M1104" s="631"/>
      <c r="N1104" s="666" t="s">
        <v>799</v>
      </c>
      <c r="O1104" s="631">
        <f>E1104*G1104*I1104*K1104</f>
        <v>0.63</v>
      </c>
      <c r="P1104" s="630" t="s">
        <v>12</v>
      </c>
    </row>
    <row r="1105" spans="1:16" x14ac:dyDescent="0.2">
      <c r="A1105" s="736"/>
      <c r="B1105" s="737"/>
      <c r="C1105" s="665" t="s">
        <v>886</v>
      </c>
      <c r="E1105" s="661">
        <v>1.2</v>
      </c>
      <c r="F1105" s="662" t="s">
        <v>866</v>
      </c>
      <c r="G1105" s="631">
        <v>0.2</v>
      </c>
      <c r="H1105" s="631" t="s">
        <v>866</v>
      </c>
      <c r="I1105" s="631">
        <v>3.15</v>
      </c>
      <c r="J1105" s="658" t="s">
        <v>866</v>
      </c>
      <c r="K1105" s="631">
        <v>2</v>
      </c>
      <c r="L1105" s="631"/>
      <c r="M1105" s="631"/>
      <c r="N1105" s="666" t="s">
        <v>799</v>
      </c>
      <c r="O1105" s="631">
        <f>E1105*G1105*I1105*K1105</f>
        <v>1.512</v>
      </c>
      <c r="P1105" s="630" t="s">
        <v>12</v>
      </c>
    </row>
    <row r="1106" spans="1:16" x14ac:dyDescent="0.2">
      <c r="A1106" s="736"/>
      <c r="B1106" s="737"/>
      <c r="C1106" s="823" t="s">
        <v>1126</v>
      </c>
      <c r="D1106" s="662"/>
      <c r="E1106" s="663"/>
      <c r="F1106" s="633"/>
      <c r="G1106" s="664"/>
      <c r="H1106" s="664"/>
      <c r="I1106" s="664"/>
      <c r="J1106" s="664"/>
      <c r="K1106" s="664"/>
      <c r="L1106" s="664"/>
      <c r="M1106" s="664"/>
      <c r="O1106" s="631"/>
    </row>
    <row r="1107" spans="1:16" x14ac:dyDescent="0.2">
      <c r="A1107" s="736"/>
      <c r="B1107" s="737"/>
      <c r="C1107" s="665" t="s">
        <v>885</v>
      </c>
      <c r="E1107" s="661">
        <v>4.8</v>
      </c>
      <c r="F1107" s="662" t="s">
        <v>866</v>
      </c>
      <c r="G1107" s="631">
        <v>0.4</v>
      </c>
      <c r="H1107" s="631" t="s">
        <v>866</v>
      </c>
      <c r="I1107" s="631">
        <v>4.8</v>
      </c>
      <c r="J1107" s="658" t="s">
        <v>866</v>
      </c>
      <c r="K1107" s="631">
        <v>1</v>
      </c>
      <c r="L1107" s="631"/>
      <c r="M1107" s="631"/>
      <c r="N1107" s="666" t="s">
        <v>799</v>
      </c>
      <c r="O1107" s="631">
        <f>E1107*G1107*I1107*K1107</f>
        <v>9.2159999999999993</v>
      </c>
      <c r="P1107" s="630" t="s">
        <v>12</v>
      </c>
    </row>
    <row r="1108" spans="1:16" x14ac:dyDescent="0.2">
      <c r="A1108" s="736"/>
      <c r="B1108" s="737"/>
      <c r="C1108" s="665" t="s">
        <v>887</v>
      </c>
      <c r="E1108" s="661">
        <v>4</v>
      </c>
      <c r="F1108" s="662" t="s">
        <v>866</v>
      </c>
      <c r="G1108" s="631">
        <v>0.4</v>
      </c>
      <c r="H1108" s="631" t="s">
        <v>866</v>
      </c>
      <c r="I1108" s="631">
        <v>3.4</v>
      </c>
      <c r="J1108" s="658" t="s">
        <v>866</v>
      </c>
      <c r="K1108" s="631">
        <v>2</v>
      </c>
      <c r="L1108" s="631"/>
      <c r="M1108" s="631"/>
      <c r="N1108" s="666" t="s">
        <v>799</v>
      </c>
      <c r="O1108" s="631">
        <f>E1108*G1108*I1108*K1108</f>
        <v>10.88</v>
      </c>
      <c r="P1108" s="630" t="s">
        <v>12</v>
      </c>
    </row>
    <row r="1109" spans="1:16" x14ac:dyDescent="0.2">
      <c r="A1109" s="736"/>
      <c r="B1109" s="737"/>
      <c r="C1109" s="665" t="s">
        <v>886</v>
      </c>
      <c r="E1109" s="661">
        <v>4.8</v>
      </c>
      <c r="F1109" s="662" t="s">
        <v>866</v>
      </c>
      <c r="G1109" s="631">
        <v>0.4</v>
      </c>
      <c r="H1109" s="631" t="s">
        <v>866</v>
      </c>
      <c r="I1109" s="631">
        <v>3.4</v>
      </c>
      <c r="J1109" s="658" t="s">
        <v>866</v>
      </c>
      <c r="K1109" s="631">
        <v>2</v>
      </c>
      <c r="L1109" s="631"/>
      <c r="M1109" s="631"/>
      <c r="N1109" s="666" t="s">
        <v>799</v>
      </c>
      <c r="O1109" s="631">
        <f>E1109*G1109*I1109*K1109</f>
        <v>13.055999999999999</v>
      </c>
      <c r="P1109" s="630" t="s">
        <v>12</v>
      </c>
    </row>
    <row r="1110" spans="1:16" x14ac:dyDescent="0.2">
      <c r="A1110" s="736"/>
      <c r="B1110" s="737"/>
      <c r="C1110" s="665" t="s">
        <v>1131</v>
      </c>
      <c r="E1110" s="661">
        <f>(2.27*2)/2</f>
        <v>2.27</v>
      </c>
      <c r="F1110" s="662" t="s">
        <v>866</v>
      </c>
      <c r="G1110" s="631">
        <f>(4+0.8)/2</f>
        <v>2.4</v>
      </c>
      <c r="H1110" s="631" t="s">
        <v>866</v>
      </c>
      <c r="I1110" s="631">
        <v>1</v>
      </c>
      <c r="J1110" s="658" t="s">
        <v>866</v>
      </c>
      <c r="K1110" s="631">
        <v>4</v>
      </c>
      <c r="L1110" s="631"/>
      <c r="M1110" s="631"/>
      <c r="N1110" s="666" t="s">
        <v>799</v>
      </c>
      <c r="O1110" s="631">
        <f>E1110*G1110*I1110*K1110</f>
        <v>21.791999999999998</v>
      </c>
      <c r="P1110" s="630" t="s">
        <v>12</v>
      </c>
    </row>
    <row r="1111" spans="1:16" ht="21" customHeight="1" x14ac:dyDescent="0.2">
      <c r="A1111" s="736"/>
      <c r="B1111" s="737"/>
      <c r="C1111" s="826" t="s">
        <v>1548</v>
      </c>
      <c r="D1111" s="662"/>
      <c r="E1111" s="663"/>
      <c r="F1111" s="633"/>
      <c r="G1111" s="664"/>
      <c r="H1111" s="664"/>
      <c r="I1111" s="664"/>
      <c r="J1111" s="664"/>
      <c r="K1111" s="664"/>
      <c r="L1111" s="664"/>
      <c r="M1111" s="664"/>
      <c r="O1111" s="631"/>
    </row>
    <row r="1112" spans="1:16" x14ac:dyDescent="0.2">
      <c r="A1112" s="736"/>
      <c r="B1112" s="737"/>
      <c r="C1112" s="665" t="s">
        <v>907</v>
      </c>
      <c r="E1112" s="661">
        <v>1.4</v>
      </c>
      <c r="F1112" s="662" t="s">
        <v>866</v>
      </c>
      <c r="G1112" s="631">
        <v>0.1</v>
      </c>
      <c r="H1112" s="631" t="s">
        <v>866</v>
      </c>
      <c r="I1112" s="631">
        <v>1.2</v>
      </c>
      <c r="J1112" s="658" t="s">
        <v>866</v>
      </c>
      <c r="K1112" s="631">
        <v>1</v>
      </c>
      <c r="L1112" s="631"/>
      <c r="M1112" s="631"/>
      <c r="N1112" s="666" t="s">
        <v>799</v>
      </c>
      <c r="O1112" s="631">
        <f>E1112*G1112*I1112*K1112</f>
        <v>0.16799999999999998</v>
      </c>
      <c r="P1112" s="630" t="s">
        <v>12</v>
      </c>
    </row>
    <row r="1113" spans="1:16" x14ac:dyDescent="0.2">
      <c r="A1113" s="736"/>
      <c r="B1113" s="737"/>
      <c r="C1113" s="665" t="s">
        <v>885</v>
      </c>
      <c r="E1113" s="661">
        <v>1.4</v>
      </c>
      <c r="F1113" s="662" t="s">
        <v>866</v>
      </c>
      <c r="G1113" s="631">
        <v>0.2</v>
      </c>
      <c r="H1113" s="631" t="s">
        <v>866</v>
      </c>
      <c r="I1113" s="631">
        <v>1.2</v>
      </c>
      <c r="J1113" s="658" t="s">
        <v>866</v>
      </c>
      <c r="K1113" s="631">
        <v>1</v>
      </c>
      <c r="L1113" s="631"/>
      <c r="M1113" s="631"/>
      <c r="N1113" s="666" t="s">
        <v>799</v>
      </c>
      <c r="O1113" s="631">
        <f>E1113*G1113*I1113*K1113</f>
        <v>0.33599999999999997</v>
      </c>
      <c r="P1113" s="630" t="s">
        <v>12</v>
      </c>
    </row>
    <row r="1114" spans="1:16" x14ac:dyDescent="0.2">
      <c r="A1114" s="736"/>
      <c r="B1114" s="737"/>
      <c r="C1114" s="665" t="s">
        <v>887</v>
      </c>
      <c r="E1114" s="661">
        <v>1</v>
      </c>
      <c r="F1114" s="662" t="s">
        <v>866</v>
      </c>
      <c r="G1114" s="631">
        <v>0.2</v>
      </c>
      <c r="H1114" s="631" t="s">
        <v>866</v>
      </c>
      <c r="I1114" s="631">
        <v>1.1499999999999999</v>
      </c>
      <c r="J1114" s="658" t="s">
        <v>866</v>
      </c>
      <c r="K1114" s="631">
        <v>1</v>
      </c>
      <c r="L1114" s="631"/>
      <c r="M1114" s="631"/>
      <c r="N1114" s="666" t="s">
        <v>799</v>
      </c>
      <c r="O1114" s="631">
        <f>E1114*G1114*I1114*K1114</f>
        <v>0.22999999999999998</v>
      </c>
      <c r="P1114" s="630" t="s">
        <v>12</v>
      </c>
    </row>
    <row r="1115" spans="1:16" ht="13.5" thickBot="1" x14ac:dyDescent="0.25">
      <c r="A1115" s="736"/>
      <c r="B1115" s="737"/>
      <c r="C1115" s="665" t="s">
        <v>886</v>
      </c>
      <c r="E1115" s="661">
        <v>1.2</v>
      </c>
      <c r="F1115" s="662" t="s">
        <v>866</v>
      </c>
      <c r="G1115" s="631">
        <v>0.2</v>
      </c>
      <c r="H1115" s="631" t="s">
        <v>866</v>
      </c>
      <c r="I1115" s="631">
        <v>1.1499999999999999</v>
      </c>
      <c r="J1115" s="658" t="s">
        <v>866</v>
      </c>
      <c r="K1115" s="631">
        <v>2</v>
      </c>
      <c r="L1115" s="631"/>
      <c r="M1115" s="631"/>
      <c r="N1115" s="666" t="s">
        <v>799</v>
      </c>
      <c r="O1115" s="631">
        <f>E1115*G1115*I1115*K1115</f>
        <v>0.55199999999999994</v>
      </c>
      <c r="P1115" s="630" t="s">
        <v>12</v>
      </c>
    </row>
    <row r="1116" spans="1:16" ht="13.5" thickBot="1" x14ac:dyDescent="0.25">
      <c r="A1116" s="736"/>
      <c r="B1116" s="737"/>
      <c r="C1116" s="667"/>
      <c r="F1116" s="666"/>
      <c r="G1116" s="631"/>
      <c r="H1116" s="631"/>
      <c r="I1116" s="631"/>
      <c r="J1116" s="631"/>
      <c r="K1116" s="631"/>
      <c r="L1116" s="631"/>
      <c r="M1116" s="631"/>
      <c r="N1116" s="666"/>
      <c r="O1116" s="668">
        <f>ROUND((SUM(O1102:O1115)),2)</f>
        <v>58.88</v>
      </c>
      <c r="P1116" s="669" t="s">
        <v>12</v>
      </c>
    </row>
    <row r="1117" spans="1:16" ht="13.5" thickBot="1" x14ac:dyDescent="0.25">
      <c r="A1117" s="734" t="s">
        <v>0</v>
      </c>
      <c r="B1117" s="735" t="s">
        <v>1347</v>
      </c>
      <c r="C1117" s="751" t="e">
        <f>#REF!</f>
        <v>#REF!</v>
      </c>
      <c r="D1117" s="662" t="s">
        <v>799</v>
      </c>
      <c r="E1117" s="663" t="s">
        <v>888</v>
      </c>
      <c r="F1117" s="633"/>
      <c r="G1117" s="664"/>
      <c r="H1117" s="664"/>
      <c r="I1117" s="664"/>
      <c r="J1117" s="664"/>
      <c r="K1117" s="664"/>
      <c r="L1117" s="664"/>
      <c r="M1117" s="664"/>
      <c r="O1117" s="631"/>
    </row>
    <row r="1118" spans="1:16" ht="13.5" thickBot="1" x14ac:dyDescent="0.25">
      <c r="A1118" s="736"/>
      <c r="B1118" s="737"/>
      <c r="C1118" s="665" t="s">
        <v>895</v>
      </c>
      <c r="E1118" s="629">
        <v>7814.67</v>
      </c>
      <c r="F1118" s="662"/>
      <c r="G1118" s="1908" t="s">
        <v>1075</v>
      </c>
      <c r="H1118" s="1909"/>
      <c r="I1118" s="1909"/>
      <c r="J1118" s="1909"/>
      <c r="K1118" s="1910"/>
      <c r="L1118" s="631"/>
      <c r="M1118" s="631"/>
      <c r="N1118" s="666" t="s">
        <v>799</v>
      </c>
      <c r="O1118" s="631">
        <f>E1118</f>
        <v>7814.67</v>
      </c>
      <c r="P1118" s="630" t="s">
        <v>7</v>
      </c>
    </row>
    <row r="1119" spans="1:16" ht="13.5" thickBot="1" x14ac:dyDescent="0.25">
      <c r="A1119" s="736"/>
      <c r="B1119" s="737"/>
      <c r="C1119" s="667"/>
      <c r="F1119" s="666"/>
      <c r="G1119" s="631"/>
      <c r="H1119" s="631"/>
      <c r="I1119" s="631"/>
      <c r="J1119" s="631"/>
      <c r="K1119" s="631"/>
      <c r="L1119" s="631"/>
      <c r="M1119" s="631"/>
      <c r="N1119" s="666"/>
      <c r="O1119" s="668">
        <f>ROUND((SUM(O1118:O1118)),2)</f>
        <v>7814.67</v>
      </c>
      <c r="P1119" s="669" t="s">
        <v>7</v>
      </c>
    </row>
    <row r="1120" spans="1:16" x14ac:dyDescent="0.2">
      <c r="A1120" s="734" t="s">
        <v>0</v>
      </c>
      <c r="B1120" s="735" t="s">
        <v>1711</v>
      </c>
      <c r="C1120" s="678" t="e">
        <f>#REF!</f>
        <v>#REF!</v>
      </c>
      <c r="D1120" s="662" t="s">
        <v>799</v>
      </c>
      <c r="E1120" s="663" t="s">
        <v>864</v>
      </c>
      <c r="F1120" s="633"/>
      <c r="G1120" s="664"/>
      <c r="H1120" s="664"/>
      <c r="I1120" s="664"/>
      <c r="J1120" s="664"/>
      <c r="K1120" s="664"/>
      <c r="L1120" s="664"/>
      <c r="M1120" s="664"/>
      <c r="O1120" s="631"/>
    </row>
    <row r="1121" spans="1:16" x14ac:dyDescent="0.2">
      <c r="A1121" s="736"/>
      <c r="B1121" s="737"/>
      <c r="C1121" s="665" t="s">
        <v>1547</v>
      </c>
      <c r="E1121" s="661">
        <f>1.4+1.4+1.2+1.2</f>
        <v>5.2</v>
      </c>
      <c r="F1121" s="662"/>
      <c r="G1121" s="631"/>
      <c r="H1121" s="631"/>
      <c r="I1121" s="631"/>
      <c r="J1121" s="658"/>
      <c r="K1121" s="631"/>
      <c r="L1121" s="631"/>
      <c r="M1121" s="631"/>
      <c r="N1121" s="666" t="s">
        <v>799</v>
      </c>
      <c r="O1121" s="631">
        <f>E1121</f>
        <v>5.2</v>
      </c>
      <c r="P1121" s="657" t="s">
        <v>6</v>
      </c>
    </row>
    <row r="1122" spans="1:16" x14ac:dyDescent="0.2">
      <c r="A1122" s="736"/>
      <c r="B1122" s="737"/>
      <c r="C1122" s="665" t="s">
        <v>1126</v>
      </c>
      <c r="E1122" s="661">
        <f>4.8*4</f>
        <v>19.2</v>
      </c>
      <c r="F1122" s="662"/>
      <c r="G1122" s="631"/>
      <c r="H1122" s="631"/>
      <c r="I1122" s="631"/>
      <c r="J1122" s="658"/>
      <c r="K1122" s="631"/>
      <c r="L1122" s="631"/>
      <c r="M1122" s="631"/>
      <c r="N1122" s="666" t="s">
        <v>799</v>
      </c>
      <c r="O1122" s="631">
        <f>E1122</f>
        <v>19.2</v>
      </c>
      <c r="P1122" s="657" t="s">
        <v>6</v>
      </c>
    </row>
    <row r="1123" spans="1:16" ht="13.5" thickBot="1" x14ac:dyDescent="0.25">
      <c r="A1123" s="736"/>
      <c r="B1123" s="737"/>
      <c r="C1123" s="665" t="s">
        <v>1548</v>
      </c>
      <c r="E1123" s="661">
        <f>1.4+1.4+1.2+1.2</f>
        <v>5.2</v>
      </c>
      <c r="F1123" s="662"/>
      <c r="G1123" s="631"/>
      <c r="H1123" s="631"/>
      <c r="I1123" s="631"/>
      <c r="J1123" s="658"/>
      <c r="K1123" s="631"/>
      <c r="L1123" s="631"/>
      <c r="M1123" s="631"/>
      <c r="N1123" s="666" t="s">
        <v>799</v>
      </c>
      <c r="O1123" s="631">
        <f>E1123</f>
        <v>5.2</v>
      </c>
      <c r="P1123" s="657" t="s">
        <v>6</v>
      </c>
    </row>
    <row r="1124" spans="1:16" ht="13.5" thickBot="1" x14ac:dyDescent="0.25">
      <c r="A1124" s="736"/>
      <c r="B1124" s="737"/>
      <c r="C1124" s="667"/>
      <c r="F1124" s="666"/>
      <c r="G1124" s="631"/>
      <c r="H1124" s="631"/>
      <c r="I1124" s="631"/>
      <c r="J1124" s="631"/>
      <c r="K1124" s="631"/>
      <c r="L1124" s="631"/>
      <c r="M1124" s="631"/>
      <c r="N1124" s="666"/>
      <c r="O1124" s="668">
        <f>ROUND((SUM(O1121:O1123)),2)</f>
        <v>29.6</v>
      </c>
      <c r="P1124" s="669" t="s">
        <v>6</v>
      </c>
    </row>
    <row r="1125" spans="1:16" x14ac:dyDescent="0.2">
      <c r="A1125" s="734" t="s">
        <v>0</v>
      </c>
      <c r="B1125" s="735" t="s">
        <v>1348</v>
      </c>
      <c r="C1125" s="678" t="e">
        <f>#REF!</f>
        <v>#REF!</v>
      </c>
      <c r="D1125" s="662" t="s">
        <v>799</v>
      </c>
      <c r="E1125" s="663" t="s">
        <v>864</v>
      </c>
      <c r="F1125" s="633"/>
      <c r="G1125" s="664"/>
      <c r="H1125" s="664"/>
      <c r="I1125" s="664"/>
      <c r="J1125" s="664"/>
      <c r="K1125" s="664"/>
      <c r="L1125" s="664"/>
      <c r="M1125" s="664"/>
      <c r="O1125" s="631"/>
    </row>
    <row r="1126" spans="1:16" ht="13.5" thickBot="1" x14ac:dyDescent="0.25">
      <c r="A1126" s="736"/>
      <c r="B1126" s="737"/>
      <c r="C1126" s="665" t="s">
        <v>1132</v>
      </c>
      <c r="E1126" s="661">
        <v>12</v>
      </c>
      <c r="F1126" s="662"/>
      <c r="G1126" s="631"/>
      <c r="H1126" s="631"/>
      <c r="I1126" s="631"/>
      <c r="J1126" s="631"/>
      <c r="K1126" s="631"/>
      <c r="L1126" s="631"/>
      <c r="M1126" s="631"/>
      <c r="N1126" s="666" t="s">
        <v>799</v>
      </c>
      <c r="O1126" s="631">
        <f>E1126</f>
        <v>12</v>
      </c>
      <c r="P1126" s="630" t="s">
        <v>6</v>
      </c>
    </row>
    <row r="1127" spans="1:16" ht="13.5" thickBot="1" x14ac:dyDescent="0.25">
      <c r="A1127" s="736"/>
      <c r="B1127" s="737"/>
      <c r="C1127" s="667"/>
      <c r="F1127" s="666"/>
      <c r="G1127" s="631"/>
      <c r="H1127" s="631"/>
      <c r="I1127" s="631"/>
      <c r="J1127" s="631"/>
      <c r="K1127" s="631"/>
      <c r="L1127" s="631"/>
      <c r="M1127" s="631"/>
      <c r="N1127" s="666"/>
      <c r="O1127" s="668">
        <f>ROUND((SUM(O1126:O1126)),2)</f>
        <v>12</v>
      </c>
      <c r="P1127" s="669" t="s">
        <v>6</v>
      </c>
    </row>
    <row r="1128" spans="1:16" x14ac:dyDescent="0.2">
      <c r="A1128" s="734" t="s">
        <v>0</v>
      </c>
      <c r="B1128" s="735" t="s">
        <v>1349</v>
      </c>
      <c r="C1128" s="678" t="e">
        <f>#REF!</f>
        <v>#REF!</v>
      </c>
      <c r="D1128" s="662" t="s">
        <v>799</v>
      </c>
      <c r="E1128" s="663" t="s">
        <v>864</v>
      </c>
      <c r="F1128" s="633"/>
      <c r="G1128" s="664"/>
      <c r="H1128" s="664"/>
      <c r="I1128" s="664"/>
      <c r="J1128" s="664"/>
      <c r="K1128" s="664"/>
      <c r="L1128" s="664"/>
      <c r="M1128" s="664"/>
      <c r="O1128" s="631"/>
    </row>
    <row r="1129" spans="1:16" ht="13.5" thickBot="1" x14ac:dyDescent="0.25">
      <c r="A1129" s="736"/>
      <c r="B1129" s="737"/>
      <c r="C1129" s="665" t="s">
        <v>1133</v>
      </c>
      <c r="E1129" s="661">
        <v>66</v>
      </c>
      <c r="F1129" s="662"/>
      <c r="G1129" s="631"/>
      <c r="H1129" s="631"/>
      <c r="I1129" s="631"/>
      <c r="J1129" s="631"/>
      <c r="K1129" s="631"/>
      <c r="L1129" s="631"/>
      <c r="M1129" s="631"/>
      <c r="N1129" s="666" t="s">
        <v>799</v>
      </c>
      <c r="O1129" s="631">
        <f>E1129</f>
        <v>66</v>
      </c>
      <c r="P1129" s="630" t="s">
        <v>6</v>
      </c>
    </row>
    <row r="1130" spans="1:16" ht="13.5" thickBot="1" x14ac:dyDescent="0.25">
      <c r="A1130" s="736"/>
      <c r="B1130" s="737"/>
      <c r="C1130" s="667"/>
      <c r="F1130" s="666"/>
      <c r="G1130" s="631"/>
      <c r="H1130" s="631"/>
      <c r="I1130" s="631"/>
      <c r="J1130" s="631"/>
      <c r="K1130" s="631"/>
      <c r="L1130" s="631"/>
      <c r="M1130" s="631"/>
      <c r="N1130" s="666"/>
      <c r="O1130" s="668">
        <f>ROUND((SUM(O1129:O1129)),2)</f>
        <v>66</v>
      </c>
      <c r="P1130" s="669" t="s">
        <v>6</v>
      </c>
    </row>
    <row r="1131" spans="1:16" x14ac:dyDescent="0.2">
      <c r="A1131" s="734" t="s">
        <v>0</v>
      </c>
      <c r="B1131" s="735" t="s">
        <v>1350</v>
      </c>
      <c r="C1131" s="678" t="e">
        <f>#REF!</f>
        <v>#REF!</v>
      </c>
      <c r="D1131" s="662" t="s">
        <v>799</v>
      </c>
      <c r="E1131" s="663" t="s">
        <v>864</v>
      </c>
      <c r="F1131" s="633"/>
      <c r="G1131" s="664"/>
      <c r="H1131" s="664"/>
      <c r="I1131" s="664"/>
      <c r="J1131" s="664"/>
      <c r="K1131" s="664"/>
      <c r="L1131" s="664"/>
      <c r="M1131" s="664"/>
      <c r="O1131" s="631"/>
    </row>
    <row r="1132" spans="1:16" ht="13.5" thickBot="1" x14ac:dyDescent="0.25">
      <c r="A1132" s="736"/>
      <c r="B1132" s="737"/>
      <c r="C1132" s="665" t="s">
        <v>1134</v>
      </c>
      <c r="E1132" s="661">
        <v>36</v>
      </c>
      <c r="F1132" s="662"/>
      <c r="G1132" s="631"/>
      <c r="H1132" s="631"/>
      <c r="I1132" s="631"/>
      <c r="J1132" s="631"/>
      <c r="K1132" s="631"/>
      <c r="L1132" s="631"/>
      <c r="M1132" s="631"/>
      <c r="N1132" s="666" t="s">
        <v>799</v>
      </c>
      <c r="O1132" s="631">
        <f>E1132</f>
        <v>36</v>
      </c>
      <c r="P1132" s="630" t="s">
        <v>6</v>
      </c>
    </row>
    <row r="1133" spans="1:16" ht="13.5" thickBot="1" x14ac:dyDescent="0.25">
      <c r="A1133" s="736"/>
      <c r="B1133" s="737"/>
      <c r="C1133" s="667"/>
      <c r="F1133" s="666"/>
      <c r="G1133" s="631"/>
      <c r="H1133" s="631"/>
      <c r="I1133" s="631"/>
      <c r="J1133" s="631"/>
      <c r="K1133" s="631"/>
      <c r="L1133" s="631"/>
      <c r="M1133" s="631"/>
      <c r="N1133" s="666"/>
      <c r="O1133" s="668">
        <f>ROUND((SUM(O1132:O1132)),2)</f>
        <v>36</v>
      </c>
      <c r="P1133" s="669" t="s">
        <v>6</v>
      </c>
    </row>
    <row r="1134" spans="1:16" ht="29.25" customHeight="1" x14ac:dyDescent="0.2">
      <c r="A1134" s="734" t="s">
        <v>0</v>
      </c>
      <c r="B1134" s="735" t="s">
        <v>1351</v>
      </c>
      <c r="C1134" s="678" t="e">
        <f>#REF!</f>
        <v>#REF!</v>
      </c>
      <c r="D1134" s="662" t="s">
        <v>799</v>
      </c>
      <c r="E1134" s="663" t="s">
        <v>628</v>
      </c>
      <c r="F1134" s="633"/>
      <c r="G1134" s="664"/>
      <c r="H1134" s="664"/>
      <c r="I1134" s="664"/>
      <c r="J1134" s="664"/>
      <c r="K1134" s="664"/>
      <c r="L1134" s="664"/>
      <c r="M1134" s="664"/>
      <c r="O1134" s="631"/>
    </row>
    <row r="1135" spans="1:16" x14ac:dyDescent="0.2">
      <c r="A1135" s="736"/>
      <c r="B1135" s="737"/>
      <c r="C1135" s="665" t="s">
        <v>1127</v>
      </c>
      <c r="E1135" s="661">
        <v>1</v>
      </c>
      <c r="F1135" s="662"/>
      <c r="G1135" s="631"/>
      <c r="H1135" s="631"/>
      <c r="I1135" s="631"/>
      <c r="J1135" s="631"/>
      <c r="K1135" s="631"/>
      <c r="L1135" s="631"/>
      <c r="M1135" s="631"/>
      <c r="N1135" s="666" t="s">
        <v>799</v>
      </c>
      <c r="O1135" s="631">
        <f>E1135</f>
        <v>1</v>
      </c>
      <c r="P1135" s="630" t="s">
        <v>2</v>
      </c>
    </row>
    <row r="1136" spans="1:16" ht="13.5" thickBot="1" x14ac:dyDescent="0.25">
      <c r="A1136" s="736"/>
      <c r="B1136" s="737"/>
      <c r="C1136" s="665" t="s">
        <v>1126</v>
      </c>
      <c r="E1136" s="661">
        <v>1</v>
      </c>
      <c r="F1136" s="662"/>
      <c r="G1136" s="631"/>
      <c r="H1136" s="631"/>
      <c r="I1136" s="631"/>
      <c r="J1136" s="631"/>
      <c r="K1136" s="631"/>
      <c r="L1136" s="631"/>
      <c r="M1136" s="631"/>
      <c r="N1136" s="666" t="s">
        <v>799</v>
      </c>
      <c r="O1136" s="631">
        <f>E1136</f>
        <v>1</v>
      </c>
      <c r="P1136" s="630" t="s">
        <v>2</v>
      </c>
    </row>
    <row r="1137" spans="1:16" ht="13.5" thickBot="1" x14ac:dyDescent="0.25">
      <c r="A1137" s="736"/>
      <c r="B1137" s="737"/>
      <c r="C1137" s="667"/>
      <c r="F1137" s="666"/>
      <c r="G1137" s="631"/>
      <c r="H1137" s="631"/>
      <c r="I1137" s="631"/>
      <c r="J1137" s="631"/>
      <c r="K1137" s="631"/>
      <c r="L1137" s="631"/>
      <c r="M1137" s="631"/>
      <c r="N1137" s="666"/>
      <c r="O1137" s="668">
        <f>ROUND((SUM(O1135:O1136)),2)</f>
        <v>2</v>
      </c>
      <c r="P1137" s="669" t="s">
        <v>2</v>
      </c>
    </row>
    <row r="1138" spans="1:16" ht="28.5" customHeight="1" x14ac:dyDescent="0.2">
      <c r="A1138" s="734" t="s">
        <v>0</v>
      </c>
      <c r="B1138" s="735" t="s">
        <v>1352</v>
      </c>
      <c r="C1138" s="678" t="e">
        <f>#REF!</f>
        <v>#REF!</v>
      </c>
      <c r="D1138" s="662" t="s">
        <v>799</v>
      </c>
      <c r="E1138" s="663" t="s">
        <v>628</v>
      </c>
      <c r="F1138" s="633"/>
      <c r="G1138" s="664"/>
      <c r="H1138" s="664"/>
      <c r="I1138" s="664"/>
      <c r="J1138" s="664"/>
      <c r="K1138" s="664"/>
      <c r="L1138" s="664"/>
      <c r="M1138" s="664"/>
      <c r="O1138" s="631"/>
    </row>
    <row r="1139" spans="1:16" x14ac:dyDescent="0.2">
      <c r="A1139" s="736"/>
      <c r="B1139" s="737"/>
      <c r="C1139" s="665" t="s">
        <v>1135</v>
      </c>
      <c r="E1139" s="661">
        <v>1</v>
      </c>
      <c r="F1139" s="662"/>
      <c r="G1139" s="631"/>
      <c r="H1139" s="631"/>
      <c r="I1139" s="631"/>
      <c r="J1139" s="631"/>
      <c r="K1139" s="631"/>
      <c r="L1139" s="631"/>
      <c r="M1139" s="631"/>
      <c r="N1139" s="666" t="s">
        <v>799</v>
      </c>
      <c r="O1139" s="631">
        <f>E1139</f>
        <v>1</v>
      </c>
      <c r="P1139" s="630" t="s">
        <v>2</v>
      </c>
    </row>
    <row r="1140" spans="1:16" ht="13.5" thickBot="1" x14ac:dyDescent="0.25">
      <c r="A1140" s="736"/>
      <c r="B1140" s="737"/>
      <c r="C1140" s="665" t="s">
        <v>1126</v>
      </c>
      <c r="E1140" s="661">
        <v>2</v>
      </c>
      <c r="F1140" s="662"/>
      <c r="G1140" s="631"/>
      <c r="H1140" s="631"/>
      <c r="I1140" s="631"/>
      <c r="J1140" s="631"/>
      <c r="K1140" s="631"/>
      <c r="L1140" s="631"/>
      <c r="M1140" s="631"/>
      <c r="N1140" s="666" t="s">
        <v>799</v>
      </c>
      <c r="O1140" s="631">
        <f>E1140</f>
        <v>2</v>
      </c>
      <c r="P1140" s="630" t="s">
        <v>2</v>
      </c>
    </row>
    <row r="1141" spans="1:16" ht="13.5" thickBot="1" x14ac:dyDescent="0.25">
      <c r="A1141" s="736"/>
      <c r="B1141" s="737"/>
      <c r="C1141" s="667"/>
      <c r="F1141" s="666"/>
      <c r="G1141" s="631"/>
      <c r="H1141" s="631"/>
      <c r="I1141" s="631"/>
      <c r="J1141" s="631"/>
      <c r="K1141" s="631"/>
      <c r="L1141" s="631"/>
      <c r="M1141" s="631"/>
      <c r="N1141" s="666"/>
      <c r="O1141" s="668">
        <f>ROUND((SUM(O1139:O1140)),2)</f>
        <v>3</v>
      </c>
      <c r="P1141" s="669" t="s">
        <v>2</v>
      </c>
    </row>
    <row r="1142" spans="1:16" ht="27.75" customHeight="1" x14ac:dyDescent="0.2">
      <c r="A1142" s="734" t="s">
        <v>0</v>
      </c>
      <c r="B1142" s="735" t="s">
        <v>1353</v>
      </c>
      <c r="C1142" s="678" t="e">
        <f>#REF!</f>
        <v>#REF!</v>
      </c>
      <c r="D1142" s="662" t="s">
        <v>799</v>
      </c>
      <c r="E1142" s="663" t="s">
        <v>628</v>
      </c>
      <c r="F1142" s="633"/>
      <c r="G1142" s="664"/>
      <c r="H1142" s="664"/>
      <c r="I1142" s="664"/>
      <c r="J1142" s="664"/>
      <c r="K1142" s="664"/>
      <c r="L1142" s="664"/>
      <c r="M1142" s="664"/>
      <c r="O1142" s="631"/>
    </row>
    <row r="1143" spans="1:16" ht="13.5" thickBot="1" x14ac:dyDescent="0.25">
      <c r="A1143" s="736"/>
      <c r="B1143" s="737"/>
      <c r="C1143" s="665" t="s">
        <v>1126</v>
      </c>
      <c r="E1143" s="661">
        <v>1</v>
      </c>
      <c r="F1143" s="662"/>
      <c r="G1143" s="631"/>
      <c r="H1143" s="631"/>
      <c r="I1143" s="631"/>
      <c r="J1143" s="631"/>
      <c r="K1143" s="631"/>
      <c r="L1143" s="631"/>
      <c r="M1143" s="631"/>
      <c r="N1143" s="666" t="s">
        <v>799</v>
      </c>
      <c r="O1143" s="631">
        <f>E1143</f>
        <v>1</v>
      </c>
      <c r="P1143" s="630" t="s">
        <v>2</v>
      </c>
    </row>
    <row r="1144" spans="1:16" ht="13.5" thickBot="1" x14ac:dyDescent="0.25">
      <c r="A1144" s="736"/>
      <c r="B1144" s="737"/>
      <c r="C1144" s="667"/>
      <c r="F1144" s="666"/>
      <c r="G1144" s="631"/>
      <c r="H1144" s="631"/>
      <c r="I1144" s="631"/>
      <c r="J1144" s="631"/>
      <c r="K1144" s="631"/>
      <c r="L1144" s="631"/>
      <c r="M1144" s="631"/>
      <c r="N1144" s="666"/>
      <c r="O1144" s="668">
        <f>ROUND((SUM(O1143:O1143)),2)</f>
        <v>1</v>
      </c>
      <c r="P1144" s="669" t="s">
        <v>2</v>
      </c>
    </row>
    <row r="1145" spans="1:16" ht="45.75" customHeight="1" x14ac:dyDescent="0.2">
      <c r="A1145" s="734" t="s">
        <v>0</v>
      </c>
      <c r="B1145" s="735" t="s">
        <v>1539</v>
      </c>
      <c r="C1145" s="678" t="e">
        <f>#REF!</f>
        <v>#REF!</v>
      </c>
      <c r="D1145" s="662" t="s">
        <v>799</v>
      </c>
      <c r="E1145" s="663" t="s">
        <v>628</v>
      </c>
      <c r="F1145" s="633"/>
      <c r="G1145" s="664"/>
      <c r="H1145" s="664"/>
      <c r="I1145" s="664"/>
      <c r="J1145" s="664"/>
      <c r="K1145" s="664"/>
      <c r="L1145" s="664"/>
      <c r="M1145" s="664"/>
      <c r="O1145" s="631"/>
    </row>
    <row r="1146" spans="1:16" ht="13.5" thickBot="1" x14ac:dyDescent="0.25">
      <c r="A1146" s="736"/>
      <c r="B1146" s="737"/>
      <c r="C1146" s="665" t="s">
        <v>1127</v>
      </c>
      <c r="E1146" s="661">
        <v>1</v>
      </c>
      <c r="F1146" s="662"/>
      <c r="G1146" s="631"/>
      <c r="H1146" s="631"/>
      <c r="I1146" s="631"/>
      <c r="J1146" s="631"/>
      <c r="K1146" s="631"/>
      <c r="L1146" s="631"/>
      <c r="M1146" s="631"/>
      <c r="N1146" s="666" t="s">
        <v>799</v>
      </c>
      <c r="O1146" s="631">
        <f>E1146</f>
        <v>1</v>
      </c>
      <c r="P1146" s="630" t="s">
        <v>2</v>
      </c>
    </row>
    <row r="1147" spans="1:16" ht="13.5" thickBot="1" x14ac:dyDescent="0.25">
      <c r="A1147" s="736"/>
      <c r="B1147" s="737"/>
      <c r="C1147" s="667"/>
      <c r="F1147" s="666"/>
      <c r="G1147" s="631"/>
      <c r="H1147" s="631"/>
      <c r="I1147" s="631"/>
      <c r="J1147" s="631"/>
      <c r="K1147" s="631"/>
      <c r="L1147" s="631"/>
      <c r="M1147" s="631"/>
      <c r="N1147" s="666"/>
      <c r="O1147" s="668">
        <f>ROUND((SUM(O1146:O1146)),2)</f>
        <v>1</v>
      </c>
      <c r="P1147" s="669" t="s">
        <v>2</v>
      </c>
    </row>
    <row r="1148" spans="1:16" x14ac:dyDescent="0.2">
      <c r="A1148" s="734" t="s">
        <v>0</v>
      </c>
      <c r="B1148" s="735" t="s">
        <v>1540</v>
      </c>
      <c r="C1148" s="678" t="e">
        <f>#REF!</f>
        <v>#REF!</v>
      </c>
      <c r="D1148" s="662" t="s">
        <v>799</v>
      </c>
      <c r="E1148" s="663" t="s">
        <v>628</v>
      </c>
      <c r="F1148" s="633"/>
      <c r="G1148" s="664"/>
      <c r="H1148" s="664"/>
      <c r="I1148" s="664"/>
      <c r="J1148" s="664"/>
      <c r="K1148" s="664"/>
      <c r="L1148" s="664"/>
      <c r="M1148" s="664"/>
      <c r="O1148" s="631"/>
    </row>
    <row r="1149" spans="1:16" ht="13.5" thickBot="1" x14ac:dyDescent="0.25">
      <c r="A1149" s="736"/>
      <c r="B1149" s="737"/>
      <c r="C1149" s="665" t="s">
        <v>1135</v>
      </c>
      <c r="E1149" s="661">
        <v>1</v>
      </c>
      <c r="F1149" s="662"/>
      <c r="G1149" s="631"/>
      <c r="H1149" s="631"/>
      <c r="I1149" s="631"/>
      <c r="J1149" s="631"/>
      <c r="K1149" s="631"/>
      <c r="L1149" s="631"/>
      <c r="M1149" s="631"/>
      <c r="N1149" s="666" t="s">
        <v>799</v>
      </c>
      <c r="O1149" s="631">
        <f>E1149</f>
        <v>1</v>
      </c>
      <c r="P1149" s="630" t="s">
        <v>2</v>
      </c>
    </row>
    <row r="1150" spans="1:16" ht="13.5" thickBot="1" x14ac:dyDescent="0.25">
      <c r="A1150" s="736"/>
      <c r="B1150" s="737"/>
      <c r="C1150" s="667"/>
      <c r="F1150" s="666"/>
      <c r="G1150" s="631"/>
      <c r="H1150" s="631"/>
      <c r="I1150" s="631"/>
      <c r="J1150" s="631"/>
      <c r="K1150" s="631"/>
      <c r="L1150" s="631"/>
      <c r="M1150" s="631"/>
      <c r="N1150" s="666"/>
      <c r="O1150" s="668">
        <f>ROUND((SUM(O1149:O1149)),2)</f>
        <v>1</v>
      </c>
      <c r="P1150" s="669" t="s">
        <v>2</v>
      </c>
    </row>
    <row r="1151" spans="1:16" x14ac:dyDescent="0.2">
      <c r="A1151" s="736"/>
      <c r="B1151" s="737"/>
      <c r="C1151" s="667"/>
      <c r="F1151" s="666"/>
      <c r="G1151" s="631"/>
      <c r="H1151" s="631"/>
      <c r="I1151" s="631"/>
      <c r="J1151" s="631"/>
      <c r="K1151" s="631"/>
      <c r="L1151" s="631"/>
      <c r="M1151" s="631"/>
      <c r="N1151" s="666"/>
      <c r="O1151" s="632"/>
      <c r="P1151" s="633"/>
    </row>
    <row r="1152" spans="1:16" ht="15.75" x14ac:dyDescent="0.2">
      <c r="A1152" s="736"/>
      <c r="B1152" s="737"/>
      <c r="C1152" s="788" t="s">
        <v>1160</v>
      </c>
      <c r="F1152" s="666"/>
      <c r="G1152" s="631"/>
      <c r="H1152" s="631"/>
      <c r="I1152" s="631"/>
      <c r="J1152" s="631"/>
      <c r="K1152" s="631"/>
      <c r="L1152" s="631"/>
      <c r="M1152" s="631"/>
      <c r="N1152" s="666"/>
      <c r="O1152" s="632"/>
      <c r="P1152" s="633"/>
    </row>
    <row r="1153" spans="1:16" x14ac:dyDescent="0.2">
      <c r="A1153" s="734" t="s">
        <v>0</v>
      </c>
      <c r="B1153" s="735" t="s">
        <v>1644</v>
      </c>
      <c r="C1153" s="678" t="e">
        <f>#REF!</f>
        <v>#REF!</v>
      </c>
      <c r="D1153" s="662" t="s">
        <v>799</v>
      </c>
      <c r="E1153" s="663" t="s">
        <v>864</v>
      </c>
      <c r="F1153" s="633"/>
      <c r="G1153" s="664"/>
      <c r="H1153" s="664"/>
      <c r="I1153" s="664"/>
      <c r="J1153" s="664"/>
      <c r="K1153" s="664"/>
      <c r="L1153" s="664"/>
      <c r="M1153" s="664"/>
      <c r="O1153" s="631"/>
    </row>
    <row r="1154" spans="1:16" ht="13.5" thickBot="1" x14ac:dyDescent="0.25">
      <c r="A1154" s="736"/>
      <c r="B1154" s="737"/>
      <c r="C1154" s="665" t="s">
        <v>1132</v>
      </c>
      <c r="E1154" s="661">
        <v>12</v>
      </c>
      <c r="F1154" s="662"/>
      <c r="G1154" s="631"/>
      <c r="H1154" s="631"/>
      <c r="I1154" s="631"/>
      <c r="J1154" s="631"/>
      <c r="K1154" s="631"/>
      <c r="L1154" s="631"/>
      <c r="M1154" s="631"/>
      <c r="N1154" s="666" t="s">
        <v>799</v>
      </c>
      <c r="O1154" s="631">
        <f>E1154</f>
        <v>12</v>
      </c>
      <c r="P1154" s="630" t="s">
        <v>6</v>
      </c>
    </row>
    <row r="1155" spans="1:16" ht="13.5" thickBot="1" x14ac:dyDescent="0.25">
      <c r="A1155" s="736"/>
      <c r="B1155" s="737"/>
      <c r="C1155" s="667"/>
      <c r="F1155" s="666"/>
      <c r="G1155" s="631"/>
      <c r="H1155" s="631"/>
      <c r="I1155" s="631"/>
      <c r="J1155" s="631"/>
      <c r="K1155" s="631"/>
      <c r="L1155" s="631"/>
      <c r="M1155" s="631"/>
      <c r="N1155" s="666"/>
      <c r="O1155" s="668">
        <f>ROUND((SUM(O1154:O1154)),2)</f>
        <v>12</v>
      </c>
      <c r="P1155" s="669" t="s">
        <v>6</v>
      </c>
    </row>
    <row r="1156" spans="1:16" x14ac:dyDescent="0.2">
      <c r="A1156" s="734" t="s">
        <v>0</v>
      </c>
      <c r="B1156" s="735" t="s">
        <v>1645</v>
      </c>
      <c r="C1156" s="678" t="e">
        <f>#REF!</f>
        <v>#REF!</v>
      </c>
      <c r="D1156" s="662" t="s">
        <v>799</v>
      </c>
      <c r="E1156" s="663" t="s">
        <v>864</v>
      </c>
      <c r="F1156" s="633"/>
      <c r="G1156" s="664"/>
      <c r="H1156" s="664"/>
      <c r="I1156" s="664"/>
      <c r="J1156" s="664"/>
      <c r="K1156" s="664"/>
      <c r="L1156" s="664"/>
      <c r="M1156" s="664"/>
      <c r="O1156" s="631"/>
    </row>
    <row r="1157" spans="1:16" ht="13.5" thickBot="1" x14ac:dyDescent="0.25">
      <c r="A1157" s="736"/>
      <c r="B1157" s="737"/>
      <c r="C1157" s="665" t="s">
        <v>1133</v>
      </c>
      <c r="E1157" s="661">
        <v>66</v>
      </c>
      <c r="F1157" s="662"/>
      <c r="G1157" s="631"/>
      <c r="H1157" s="631"/>
      <c r="I1157" s="631"/>
      <c r="J1157" s="631"/>
      <c r="K1157" s="631"/>
      <c r="L1157" s="631"/>
      <c r="M1157" s="631"/>
      <c r="N1157" s="666" t="s">
        <v>799</v>
      </c>
      <c r="O1157" s="631">
        <f>E1157</f>
        <v>66</v>
      </c>
      <c r="P1157" s="630" t="s">
        <v>6</v>
      </c>
    </row>
    <row r="1158" spans="1:16" ht="13.5" thickBot="1" x14ac:dyDescent="0.25">
      <c r="A1158" s="736"/>
      <c r="B1158" s="737"/>
      <c r="C1158" s="667"/>
      <c r="F1158" s="666"/>
      <c r="G1158" s="631"/>
      <c r="H1158" s="631"/>
      <c r="I1158" s="631"/>
      <c r="J1158" s="631"/>
      <c r="K1158" s="631"/>
      <c r="L1158" s="631"/>
      <c r="M1158" s="631"/>
      <c r="N1158" s="666"/>
      <c r="O1158" s="668">
        <f>ROUND((SUM(O1157:O1157)),2)</f>
        <v>66</v>
      </c>
      <c r="P1158" s="669" t="s">
        <v>6</v>
      </c>
    </row>
    <row r="1159" spans="1:16" x14ac:dyDescent="0.2">
      <c r="A1159" s="736"/>
      <c r="B1159" s="737"/>
      <c r="C1159" s="667"/>
      <c r="F1159" s="666"/>
      <c r="G1159" s="631"/>
      <c r="H1159" s="631"/>
      <c r="I1159" s="631"/>
      <c r="J1159" s="631"/>
      <c r="K1159" s="631"/>
      <c r="L1159" s="631"/>
      <c r="M1159" s="631"/>
      <c r="N1159" s="666"/>
      <c r="O1159" s="632"/>
      <c r="P1159" s="633"/>
    </row>
    <row r="1160" spans="1:16" x14ac:dyDescent="0.2">
      <c r="A1160" s="736"/>
      <c r="B1160" s="737"/>
      <c r="C1160" s="667"/>
      <c r="F1160" s="666"/>
      <c r="G1160" s="631"/>
      <c r="H1160" s="631"/>
      <c r="I1160" s="631"/>
      <c r="J1160" s="631"/>
      <c r="K1160" s="631"/>
      <c r="L1160" s="631"/>
      <c r="M1160" s="631"/>
      <c r="N1160" s="666"/>
      <c r="O1160" s="632"/>
      <c r="P1160" s="633"/>
    </row>
    <row r="1161" spans="1:16" x14ac:dyDescent="0.2">
      <c r="A1161" s="734" t="s">
        <v>0</v>
      </c>
      <c r="B1161" s="735" t="s">
        <v>1732</v>
      </c>
      <c r="C1161" s="678" t="e">
        <f>#REF!</f>
        <v>#REF!</v>
      </c>
      <c r="D1161" s="662" t="s">
        <v>799</v>
      </c>
      <c r="E1161" s="663" t="s">
        <v>864</v>
      </c>
      <c r="F1161" s="633"/>
      <c r="G1161" s="664"/>
      <c r="H1161" s="664"/>
      <c r="I1161" s="664"/>
      <c r="J1161" s="664"/>
      <c r="K1161" s="664"/>
      <c r="L1161" s="664"/>
      <c r="M1161" s="664"/>
      <c r="O1161" s="631"/>
    </row>
    <row r="1162" spans="1:16" ht="13.5" thickBot="1" x14ac:dyDescent="0.25">
      <c r="A1162" s="736"/>
      <c r="B1162" s="737"/>
      <c r="C1162" s="665" t="s">
        <v>1134</v>
      </c>
      <c r="E1162" s="661">
        <v>36</v>
      </c>
      <c r="F1162" s="662"/>
      <c r="G1162" s="631"/>
      <c r="H1162" s="631"/>
      <c r="I1162" s="631"/>
      <c r="J1162" s="631"/>
      <c r="K1162" s="631"/>
      <c r="L1162" s="631"/>
      <c r="M1162" s="631"/>
      <c r="N1162" s="666" t="s">
        <v>799</v>
      </c>
      <c r="O1162" s="631">
        <f>E1162</f>
        <v>36</v>
      </c>
      <c r="P1162" s="630" t="s">
        <v>6</v>
      </c>
    </row>
    <row r="1163" spans="1:16" ht="13.5" thickBot="1" x14ac:dyDescent="0.25">
      <c r="A1163" s="736"/>
      <c r="B1163" s="737"/>
      <c r="C1163" s="667"/>
      <c r="F1163" s="666"/>
      <c r="G1163" s="631"/>
      <c r="H1163" s="631"/>
      <c r="I1163" s="631"/>
      <c r="J1163" s="631"/>
      <c r="K1163" s="631"/>
      <c r="L1163" s="631"/>
      <c r="M1163" s="631"/>
      <c r="N1163" s="666"/>
      <c r="O1163" s="668">
        <f>ROUND((SUM(O1162:O1162)),2)</f>
        <v>36</v>
      </c>
      <c r="P1163" s="669" t="s">
        <v>6</v>
      </c>
    </row>
    <row r="1164" spans="1:16" x14ac:dyDescent="0.2">
      <c r="A1164" s="736"/>
      <c r="B1164" s="737"/>
      <c r="C1164" s="667"/>
      <c r="F1164" s="666"/>
      <c r="G1164" s="631"/>
      <c r="H1164" s="631"/>
      <c r="I1164" s="631"/>
      <c r="J1164" s="631"/>
      <c r="K1164" s="631"/>
      <c r="L1164" s="631"/>
      <c r="M1164" s="631"/>
      <c r="N1164" s="666"/>
      <c r="O1164" s="632"/>
      <c r="P1164" s="633"/>
    </row>
    <row r="1165" spans="1:16" x14ac:dyDescent="0.2">
      <c r="A1165" s="736"/>
      <c r="B1165" s="737"/>
      <c r="C1165" s="667"/>
      <c r="F1165" s="666"/>
      <c r="G1165" s="631"/>
      <c r="H1165" s="631"/>
      <c r="I1165" s="631"/>
      <c r="J1165" s="631"/>
      <c r="K1165" s="631"/>
      <c r="L1165" s="631"/>
      <c r="M1165" s="631"/>
      <c r="N1165" s="666"/>
      <c r="O1165" s="632"/>
      <c r="P1165" s="633"/>
    </row>
    <row r="1166" spans="1:16" ht="15.75" x14ac:dyDescent="0.2">
      <c r="A1166" s="736"/>
      <c r="B1166" s="925" t="s">
        <v>1354</v>
      </c>
      <c r="C1166" s="926" t="s">
        <v>1117</v>
      </c>
      <c r="D1166" s="927"/>
      <c r="E1166" s="928"/>
      <c r="F1166" s="657"/>
      <c r="G1166" s="658"/>
      <c r="H1166" s="658"/>
      <c r="I1166" s="658"/>
      <c r="J1166" s="658"/>
      <c r="K1166" s="658"/>
      <c r="L1166" s="658"/>
      <c r="M1166" s="658"/>
      <c r="N1166" s="657"/>
      <c r="O1166" s="658"/>
      <c r="P1166" s="659"/>
    </row>
    <row r="1167" spans="1:16" ht="15.75" x14ac:dyDescent="0.2">
      <c r="A1167" s="736"/>
      <c r="B1167" s="749"/>
      <c r="C1167" s="788" t="s">
        <v>1159</v>
      </c>
      <c r="D1167" s="656"/>
      <c r="E1167" s="629"/>
      <c r="F1167" s="657"/>
      <c r="G1167" s="658"/>
      <c r="H1167" s="658"/>
      <c r="I1167" s="658"/>
      <c r="J1167" s="658"/>
      <c r="K1167" s="658"/>
      <c r="L1167" s="658"/>
      <c r="M1167" s="658"/>
      <c r="N1167" s="657"/>
      <c r="O1167" s="658"/>
      <c r="P1167" s="659"/>
    </row>
    <row r="1168" spans="1:16" x14ac:dyDescent="0.2">
      <c r="A1168" s="736"/>
      <c r="B1168" s="737"/>
      <c r="C1168" s="737"/>
      <c r="E1168" s="629"/>
      <c r="G1168" s="631"/>
      <c r="H1168" s="631"/>
      <c r="I1168" s="631"/>
      <c r="J1168" s="631"/>
      <c r="K1168" s="631"/>
      <c r="L1168" s="631"/>
      <c r="M1168" s="631"/>
      <c r="O1168" s="631"/>
    </row>
    <row r="1169" spans="1:16" ht="46.5" customHeight="1" x14ac:dyDescent="0.2">
      <c r="A1169" s="734" t="s">
        <v>0</v>
      </c>
      <c r="B1169" s="735" t="s">
        <v>1355</v>
      </c>
      <c r="C1169" s="678" t="e">
        <f>#REF!</f>
        <v>#REF!</v>
      </c>
      <c r="D1169" s="662" t="s">
        <v>799</v>
      </c>
      <c r="E1169" s="663" t="s">
        <v>864</v>
      </c>
      <c r="F1169" s="633"/>
      <c r="G1169" s="664" t="s">
        <v>865</v>
      </c>
      <c r="H1169" s="664"/>
      <c r="I1169" s="664" t="s">
        <v>628</v>
      </c>
      <c r="J1169" s="664"/>
      <c r="K1169" s="664"/>
      <c r="L1169" s="664"/>
      <c r="M1169" s="664"/>
      <c r="O1169" s="631"/>
    </row>
    <row r="1170" spans="1:16" x14ac:dyDescent="0.2">
      <c r="A1170" s="736"/>
      <c r="B1170" s="737"/>
      <c r="C1170" s="790" t="s">
        <v>1136</v>
      </c>
      <c r="E1170" s="661">
        <v>1</v>
      </c>
      <c r="F1170" s="662" t="s">
        <v>866</v>
      </c>
      <c r="G1170" s="631">
        <v>0.9</v>
      </c>
      <c r="H1170" s="658" t="s">
        <v>866</v>
      </c>
      <c r="I1170" s="631">
        <v>4</v>
      </c>
      <c r="J1170" s="631"/>
      <c r="K1170" s="631"/>
      <c r="L1170" s="631"/>
      <c r="M1170" s="631"/>
      <c r="N1170" s="666" t="s">
        <v>799</v>
      </c>
      <c r="O1170" s="631">
        <f>E1170*G1170*I1170</f>
        <v>3.6</v>
      </c>
      <c r="P1170" s="630" t="s">
        <v>4</v>
      </c>
    </row>
    <row r="1171" spans="1:16" ht="13.5" thickBot="1" x14ac:dyDescent="0.25">
      <c r="A1171" s="736"/>
      <c r="B1171" s="737"/>
      <c r="C1171" s="665" t="s">
        <v>1550</v>
      </c>
      <c r="E1171" s="661">
        <v>13.25</v>
      </c>
      <c r="F1171" s="662" t="s">
        <v>866</v>
      </c>
      <c r="G1171" s="631">
        <v>3.5</v>
      </c>
      <c r="H1171" s="658" t="s">
        <v>866</v>
      </c>
      <c r="I1171" s="631">
        <v>1</v>
      </c>
      <c r="J1171" s="631"/>
      <c r="K1171" s="631"/>
      <c r="L1171" s="631"/>
      <c r="M1171" s="631"/>
      <c r="N1171" s="666" t="s">
        <v>799</v>
      </c>
      <c r="O1171" s="631">
        <f>E1171*G1171*I1171</f>
        <v>46.375</v>
      </c>
      <c r="P1171" s="630" t="s">
        <v>4</v>
      </c>
    </row>
    <row r="1172" spans="1:16" ht="13.5" thickBot="1" x14ac:dyDescent="0.25">
      <c r="A1172" s="736"/>
      <c r="B1172" s="737"/>
      <c r="C1172" s="667"/>
      <c r="F1172" s="666"/>
      <c r="G1172" s="631"/>
      <c r="H1172" s="631"/>
      <c r="I1172" s="631"/>
      <c r="J1172" s="631"/>
      <c r="K1172" s="631"/>
      <c r="L1172" s="631"/>
      <c r="M1172" s="631"/>
      <c r="N1172" s="666"/>
      <c r="O1172" s="668">
        <f>ROUND((SUM(O1170:O1171)),2)</f>
        <v>49.98</v>
      </c>
      <c r="P1172" s="669" t="s">
        <v>4</v>
      </c>
    </row>
    <row r="1173" spans="1:16" ht="16.5" customHeight="1" x14ac:dyDescent="0.2">
      <c r="A1173" s="734" t="s">
        <v>0</v>
      </c>
      <c r="B1173" s="735" t="s">
        <v>1356</v>
      </c>
      <c r="C1173" s="678" t="e">
        <f>#REF!</f>
        <v>#REF!</v>
      </c>
      <c r="D1173" s="662" t="s">
        <v>799</v>
      </c>
      <c r="E1173" s="663" t="s">
        <v>864</v>
      </c>
      <c r="F1173" s="633"/>
      <c r="G1173" s="664" t="s">
        <v>865</v>
      </c>
      <c r="H1173" s="664"/>
      <c r="I1173" s="664" t="s">
        <v>883</v>
      </c>
      <c r="J1173" s="664"/>
      <c r="K1173" s="664" t="s">
        <v>628</v>
      </c>
      <c r="L1173" s="664"/>
      <c r="M1173" s="664"/>
      <c r="O1173" s="631"/>
    </row>
    <row r="1174" spans="1:16" x14ac:dyDescent="0.2">
      <c r="A1174" s="736"/>
      <c r="B1174" s="737"/>
      <c r="C1174" s="790" t="s">
        <v>1136</v>
      </c>
      <c r="E1174" s="661">
        <v>2</v>
      </c>
      <c r="F1174" s="662" t="s">
        <v>866</v>
      </c>
      <c r="G1174" s="631">
        <v>1.4</v>
      </c>
      <c r="H1174" s="631" t="s">
        <v>866</v>
      </c>
      <c r="I1174" s="631">
        <v>0.5</v>
      </c>
      <c r="J1174" s="658" t="s">
        <v>866</v>
      </c>
      <c r="K1174" s="631">
        <v>4</v>
      </c>
      <c r="L1174" s="631"/>
      <c r="M1174" s="631"/>
      <c r="N1174" s="666" t="s">
        <v>799</v>
      </c>
      <c r="O1174" s="631">
        <f>E1174*G1174*I1174*K1174</f>
        <v>5.6</v>
      </c>
      <c r="P1174" s="630" t="s">
        <v>12</v>
      </c>
    </row>
    <row r="1175" spans="1:16" x14ac:dyDescent="0.2">
      <c r="A1175" s="736"/>
      <c r="B1175" s="737"/>
      <c r="C1175" s="665" t="s">
        <v>1550</v>
      </c>
      <c r="E1175" s="661">
        <v>15.25</v>
      </c>
      <c r="F1175" s="662" t="s">
        <v>866</v>
      </c>
      <c r="G1175" s="631">
        <v>5.5</v>
      </c>
      <c r="H1175" s="631" t="s">
        <v>866</v>
      </c>
      <c r="I1175" s="631">
        <v>0.5</v>
      </c>
      <c r="J1175" s="658" t="s">
        <v>866</v>
      </c>
      <c r="K1175" s="631">
        <v>1</v>
      </c>
      <c r="L1175" s="631"/>
      <c r="M1175" s="631"/>
      <c r="N1175" s="666" t="s">
        <v>799</v>
      </c>
      <c r="O1175" s="631">
        <f>E1175*G1175*I1175*K1175</f>
        <v>41.9375</v>
      </c>
      <c r="P1175" s="630" t="s">
        <v>12</v>
      </c>
    </row>
    <row r="1176" spans="1:16" x14ac:dyDescent="0.2">
      <c r="A1176" s="736"/>
      <c r="B1176" s="737"/>
      <c r="C1176" s="665" t="s">
        <v>1128</v>
      </c>
      <c r="E1176" s="661">
        <v>30</v>
      </c>
      <c r="F1176" s="662" t="s">
        <v>866</v>
      </c>
      <c r="G1176" s="631">
        <v>1</v>
      </c>
      <c r="H1176" s="631" t="s">
        <v>866</v>
      </c>
      <c r="I1176" s="631">
        <v>1.2</v>
      </c>
      <c r="J1176" s="658" t="s">
        <v>866</v>
      </c>
      <c r="K1176" s="631">
        <v>1</v>
      </c>
      <c r="L1176" s="631"/>
      <c r="M1176" s="631"/>
      <c r="N1176" s="666" t="s">
        <v>799</v>
      </c>
      <c r="O1176" s="631">
        <f>E1176*G1176*I1176*K1176</f>
        <v>36</v>
      </c>
      <c r="P1176" s="630" t="s">
        <v>12</v>
      </c>
    </row>
    <row r="1177" spans="1:16" ht="13.5" thickBot="1" x14ac:dyDescent="0.25">
      <c r="A1177" s="736"/>
      <c r="B1177" s="737"/>
      <c r="C1177" s="665" t="s">
        <v>1129</v>
      </c>
      <c r="E1177" s="661">
        <v>18</v>
      </c>
      <c r="F1177" s="662" t="s">
        <v>866</v>
      </c>
      <c r="G1177" s="631">
        <v>1</v>
      </c>
      <c r="H1177" s="631" t="s">
        <v>866</v>
      </c>
      <c r="I1177" s="631">
        <v>1.1499999999999999</v>
      </c>
      <c r="J1177" s="658" t="s">
        <v>866</v>
      </c>
      <c r="K1177" s="631">
        <v>1</v>
      </c>
      <c r="L1177" s="631"/>
      <c r="M1177" s="631"/>
      <c r="N1177" s="666" t="s">
        <v>799</v>
      </c>
      <c r="O1177" s="631">
        <f>E1177*G1177*I1177*K1177</f>
        <v>20.7</v>
      </c>
      <c r="P1177" s="630" t="s">
        <v>12</v>
      </c>
    </row>
    <row r="1178" spans="1:16" ht="13.5" thickBot="1" x14ac:dyDescent="0.25">
      <c r="A1178" s="736"/>
      <c r="B1178" s="737"/>
      <c r="C1178" s="667"/>
      <c r="F1178" s="666"/>
      <c r="G1178" s="631"/>
      <c r="H1178" s="631"/>
      <c r="I1178" s="631"/>
      <c r="J1178" s="631"/>
      <c r="K1178" s="631"/>
      <c r="L1178" s="631"/>
      <c r="M1178" s="631"/>
      <c r="N1178" s="666"/>
      <c r="O1178" s="668">
        <f>ROUND((SUM(O1174:O1177)),2)</f>
        <v>104.24</v>
      </c>
      <c r="P1178" s="669" t="s">
        <v>12</v>
      </c>
    </row>
    <row r="1179" spans="1:16" x14ac:dyDescent="0.2">
      <c r="A1179" s="734" t="s">
        <v>0</v>
      </c>
      <c r="B1179" s="735" t="s">
        <v>1357</v>
      </c>
      <c r="C1179" s="678" t="e">
        <f>#REF!</f>
        <v>#REF!</v>
      </c>
      <c r="D1179" s="662" t="s">
        <v>799</v>
      </c>
      <c r="E1179" s="663" t="s">
        <v>864</v>
      </c>
      <c r="F1179" s="633"/>
      <c r="G1179" s="664" t="s">
        <v>865</v>
      </c>
      <c r="H1179" s="664"/>
      <c r="I1179" s="664" t="s">
        <v>883</v>
      </c>
      <c r="J1179" s="664"/>
      <c r="K1179" s="664" t="s">
        <v>1067</v>
      </c>
      <c r="L1179" s="664"/>
      <c r="M1179" s="664"/>
      <c r="O1179" s="631"/>
    </row>
    <row r="1180" spans="1:16" x14ac:dyDescent="0.2">
      <c r="A1180" s="736"/>
      <c r="B1180" s="737"/>
      <c r="C1180" s="665" t="s">
        <v>1128</v>
      </c>
      <c r="E1180" s="661">
        <v>30</v>
      </c>
      <c r="F1180" s="662" t="s">
        <v>866</v>
      </c>
      <c r="G1180" s="631">
        <v>1</v>
      </c>
      <c r="H1180" s="631" t="s">
        <v>866</v>
      </c>
      <c r="I1180" s="631">
        <f>0.1+0.1+0.15</f>
        <v>0.35</v>
      </c>
      <c r="J1180" s="631" t="s">
        <v>866</v>
      </c>
      <c r="K1180" s="631">
        <f>((PI()*(POWER(0.1,2)))/4)*E1180</f>
        <v>0.23561944901923451</v>
      </c>
      <c r="L1180" s="631"/>
      <c r="M1180" s="631"/>
      <c r="N1180" s="662" t="s">
        <v>799</v>
      </c>
      <c r="O1180" s="631">
        <f>(E1180*G1180*I1180)-K1180</f>
        <v>10.264380550980766</v>
      </c>
      <c r="P1180" s="630" t="s">
        <v>12</v>
      </c>
    </row>
    <row r="1181" spans="1:16" ht="13.5" thickBot="1" x14ac:dyDescent="0.25">
      <c r="A1181" s="736"/>
      <c r="B1181" s="737"/>
      <c r="C1181" s="665" t="s">
        <v>1129</v>
      </c>
      <c r="E1181" s="661">
        <v>18</v>
      </c>
      <c r="F1181" s="662" t="s">
        <v>866</v>
      </c>
      <c r="G1181" s="631">
        <v>1</v>
      </c>
      <c r="H1181" s="631" t="s">
        <v>866</v>
      </c>
      <c r="I1181" s="631">
        <f>0.1+0.15+0.15</f>
        <v>0.4</v>
      </c>
      <c r="J1181" s="631" t="s">
        <v>866</v>
      </c>
      <c r="K1181" s="631">
        <f>((PI()*(POWER(0.15,2)))/4)*E1181</f>
        <v>0.31808625617596659</v>
      </c>
      <c r="L1181" s="631"/>
      <c r="M1181" s="631"/>
      <c r="N1181" s="662" t="s">
        <v>799</v>
      </c>
      <c r="O1181" s="631">
        <f>(E1181*G1181*I1181)-K1181</f>
        <v>6.8819137438240334</v>
      </c>
      <c r="P1181" s="630" t="s">
        <v>12</v>
      </c>
    </row>
    <row r="1182" spans="1:16" ht="13.5" thickBot="1" x14ac:dyDescent="0.25">
      <c r="A1182" s="736"/>
      <c r="B1182" s="737"/>
      <c r="C1182" s="737"/>
      <c r="F1182" s="666"/>
      <c r="G1182" s="631"/>
      <c r="H1182" s="631"/>
      <c r="I1182" s="631"/>
      <c r="J1182" s="631"/>
      <c r="K1182" s="631"/>
      <c r="L1182" s="631"/>
      <c r="M1182" s="631"/>
      <c r="N1182" s="666"/>
      <c r="O1182" s="668">
        <f>ROUND((SUM(O1180:O1181)),2)</f>
        <v>17.149999999999999</v>
      </c>
      <c r="P1182" s="669" t="s">
        <v>12</v>
      </c>
    </row>
    <row r="1183" spans="1:16" ht="57.75" customHeight="1" x14ac:dyDescent="0.2">
      <c r="A1183" s="734" t="s">
        <v>0</v>
      </c>
      <c r="B1183" s="735" t="s">
        <v>1358</v>
      </c>
      <c r="C1183" s="751" t="e">
        <f>#REF!</f>
        <v>#REF!</v>
      </c>
      <c r="D1183" s="662" t="s">
        <v>799</v>
      </c>
      <c r="E1183" s="663" t="s">
        <v>864</v>
      </c>
      <c r="F1183" s="633"/>
      <c r="G1183" s="664" t="s">
        <v>865</v>
      </c>
      <c r="H1183" s="664"/>
      <c r="I1183" s="664" t="s">
        <v>883</v>
      </c>
      <c r="J1183" s="664"/>
      <c r="K1183" s="664" t="s">
        <v>628</v>
      </c>
      <c r="L1183" s="664"/>
      <c r="M1183" s="664" t="s">
        <v>977</v>
      </c>
      <c r="O1183" s="631"/>
    </row>
    <row r="1184" spans="1:16" x14ac:dyDescent="0.2">
      <c r="A1184" s="736"/>
      <c r="B1184" s="737"/>
      <c r="C1184" s="790" t="s">
        <v>1136</v>
      </c>
      <c r="E1184" s="661">
        <v>2</v>
      </c>
      <c r="F1184" s="662" t="s">
        <v>866</v>
      </c>
      <c r="G1184" s="631">
        <v>1.4</v>
      </c>
      <c r="H1184" s="631" t="s">
        <v>866</v>
      </c>
      <c r="I1184" s="631">
        <v>0.5</v>
      </c>
      <c r="J1184" s="658" t="s">
        <v>866</v>
      </c>
      <c r="K1184" s="631">
        <v>4</v>
      </c>
      <c r="L1184" s="658" t="s">
        <v>866</v>
      </c>
      <c r="M1184" s="631">
        <v>5</v>
      </c>
      <c r="N1184" s="666" t="s">
        <v>799</v>
      </c>
      <c r="O1184" s="631">
        <f>E1184*G1184*I1184*K1184*M1184</f>
        <v>28</v>
      </c>
      <c r="P1184" s="630" t="s">
        <v>12</v>
      </c>
    </row>
    <row r="1185" spans="1:16" x14ac:dyDescent="0.2">
      <c r="A1185" s="736"/>
      <c r="B1185" s="737"/>
      <c r="C1185" s="665" t="s">
        <v>1550</v>
      </c>
      <c r="E1185" s="661">
        <v>15.25</v>
      </c>
      <c r="F1185" s="662" t="s">
        <v>866</v>
      </c>
      <c r="G1185" s="631">
        <v>5.5</v>
      </c>
      <c r="H1185" s="631" t="s">
        <v>866</v>
      </c>
      <c r="I1185" s="631">
        <v>0.5</v>
      </c>
      <c r="J1185" s="658" t="s">
        <v>866</v>
      </c>
      <c r="K1185" s="631">
        <v>1</v>
      </c>
      <c r="L1185" s="658" t="s">
        <v>866</v>
      </c>
      <c r="M1185" s="631">
        <v>5</v>
      </c>
      <c r="N1185" s="666" t="s">
        <v>799</v>
      </c>
      <c r="O1185" s="631">
        <f>E1185*G1185*I1185*K1185*M1185</f>
        <v>209.6875</v>
      </c>
      <c r="P1185" s="630" t="s">
        <v>12</v>
      </c>
    </row>
    <row r="1186" spans="1:16" x14ac:dyDescent="0.2">
      <c r="A1186" s="736"/>
      <c r="B1186" s="737"/>
      <c r="C1186" s="665" t="s">
        <v>1128</v>
      </c>
      <c r="E1186" s="661">
        <v>30</v>
      </c>
      <c r="F1186" s="662" t="s">
        <v>866</v>
      </c>
      <c r="G1186" s="631">
        <v>1</v>
      </c>
      <c r="H1186" s="631" t="s">
        <v>866</v>
      </c>
      <c r="I1186" s="631">
        <v>1.2</v>
      </c>
      <c r="J1186" s="658" t="s">
        <v>866</v>
      </c>
      <c r="K1186" s="631">
        <v>1</v>
      </c>
      <c r="L1186" s="658" t="s">
        <v>866</v>
      </c>
      <c r="M1186" s="631">
        <v>5</v>
      </c>
      <c r="N1186" s="666" t="s">
        <v>799</v>
      </c>
      <c r="O1186" s="631">
        <f>E1186*G1186*I1186*K1186*M1186</f>
        <v>180</v>
      </c>
      <c r="P1186" s="630" t="s">
        <v>12</v>
      </c>
    </row>
    <row r="1187" spans="1:16" ht="13.5" thickBot="1" x14ac:dyDescent="0.25">
      <c r="A1187" s="736"/>
      <c r="B1187" s="737"/>
      <c r="C1187" s="665" t="s">
        <v>1129</v>
      </c>
      <c r="E1187" s="661">
        <v>18</v>
      </c>
      <c r="F1187" s="662" t="s">
        <v>866</v>
      </c>
      <c r="G1187" s="631">
        <v>1</v>
      </c>
      <c r="H1187" s="631" t="s">
        <v>866</v>
      </c>
      <c r="I1187" s="631">
        <v>1.1499999999999999</v>
      </c>
      <c r="J1187" s="658" t="s">
        <v>866</v>
      </c>
      <c r="K1187" s="631">
        <v>1</v>
      </c>
      <c r="L1187" s="658" t="s">
        <v>866</v>
      </c>
      <c r="M1187" s="631">
        <v>5</v>
      </c>
      <c r="N1187" s="666" t="s">
        <v>799</v>
      </c>
      <c r="O1187" s="631">
        <f>E1187*G1187*I1187*K1187*M1187</f>
        <v>103.5</v>
      </c>
      <c r="P1187" s="630" t="s">
        <v>12</v>
      </c>
    </row>
    <row r="1188" spans="1:16" ht="13.5" thickBot="1" x14ac:dyDescent="0.25">
      <c r="A1188" s="736"/>
      <c r="B1188" s="737"/>
      <c r="C1188" s="667"/>
      <c r="F1188" s="666"/>
      <c r="G1188" s="631"/>
      <c r="H1188" s="631"/>
      <c r="I1188" s="631"/>
      <c r="J1188" s="631"/>
      <c r="K1188" s="631"/>
      <c r="L1188" s="631"/>
      <c r="M1188" s="631"/>
      <c r="N1188" s="666"/>
      <c r="O1188" s="668">
        <f>ROUND((SUM(O1184:O1187)),2)</f>
        <v>521.19000000000005</v>
      </c>
      <c r="P1188" s="669" t="s">
        <v>976</v>
      </c>
    </row>
    <row r="1189" spans="1:16" ht="48" customHeight="1" x14ac:dyDescent="0.2">
      <c r="A1189" s="734" t="s">
        <v>0</v>
      </c>
      <c r="B1189" s="735" t="s">
        <v>1359</v>
      </c>
      <c r="C1189" s="678" t="e">
        <f>#REF!</f>
        <v>#REF!</v>
      </c>
      <c r="D1189" s="662" t="s">
        <v>799</v>
      </c>
      <c r="E1189" s="663" t="s">
        <v>864</v>
      </c>
      <c r="F1189" s="633"/>
      <c r="G1189" s="664" t="s">
        <v>865</v>
      </c>
      <c r="H1189" s="664"/>
      <c r="I1189" s="664" t="s">
        <v>883</v>
      </c>
      <c r="J1189" s="664"/>
      <c r="K1189" s="664" t="s">
        <v>628</v>
      </c>
      <c r="L1189" s="664"/>
      <c r="M1189" s="664"/>
      <c r="O1189" s="631"/>
    </row>
    <row r="1190" spans="1:16" x14ac:dyDescent="0.2">
      <c r="A1190" s="736"/>
      <c r="B1190" s="737"/>
      <c r="C1190" s="790" t="s">
        <v>1136</v>
      </c>
      <c r="E1190" s="661">
        <f>2+0.9+0.9</f>
        <v>3.8</v>
      </c>
      <c r="F1190" s="662" t="s">
        <v>866</v>
      </c>
      <c r="G1190" s="631">
        <v>0.5</v>
      </c>
      <c r="H1190" s="631" t="s">
        <v>866</v>
      </c>
      <c r="I1190" s="631">
        <v>0.45</v>
      </c>
      <c r="J1190" s="658" t="s">
        <v>866</v>
      </c>
      <c r="K1190" s="631">
        <v>4</v>
      </c>
      <c r="L1190" s="631"/>
      <c r="M1190" s="631"/>
      <c r="N1190" s="666" t="s">
        <v>799</v>
      </c>
      <c r="O1190" s="631">
        <f>E1190*G1190*I1190*K1190</f>
        <v>3.42</v>
      </c>
      <c r="P1190" s="630" t="s">
        <v>12</v>
      </c>
    </row>
    <row r="1191" spans="1:16" x14ac:dyDescent="0.2">
      <c r="A1191" s="736"/>
      <c r="B1191" s="737"/>
      <c r="C1191" s="665" t="s">
        <v>1550</v>
      </c>
      <c r="E1191" s="661">
        <f>15.25+15.25+3.5+3.5</f>
        <v>37.5</v>
      </c>
      <c r="F1191" s="662" t="s">
        <v>866</v>
      </c>
      <c r="G1191" s="631">
        <v>1</v>
      </c>
      <c r="H1191" s="631" t="s">
        <v>866</v>
      </c>
      <c r="I1191" s="631">
        <v>0.45</v>
      </c>
      <c r="J1191" s="658" t="s">
        <v>866</v>
      </c>
      <c r="K1191" s="631">
        <v>1</v>
      </c>
      <c r="L1191" s="631"/>
      <c r="M1191" s="631"/>
      <c r="N1191" s="666" t="s">
        <v>799</v>
      </c>
      <c r="O1191" s="631">
        <f>E1191*G1191*I1191*K1191</f>
        <v>16.875</v>
      </c>
      <c r="P1191" s="630" t="s">
        <v>12</v>
      </c>
    </row>
    <row r="1192" spans="1:16" x14ac:dyDescent="0.2">
      <c r="A1192" s="736"/>
      <c r="B1192" s="737"/>
      <c r="C1192" s="665" t="s">
        <v>1128</v>
      </c>
      <c r="E1192" s="661">
        <v>30</v>
      </c>
      <c r="F1192" s="662" t="s">
        <v>866</v>
      </c>
      <c r="G1192" s="631">
        <v>1</v>
      </c>
      <c r="H1192" s="631" t="s">
        <v>866</v>
      </c>
      <c r="I1192" s="631">
        <f>I1176-I1180</f>
        <v>0.85</v>
      </c>
      <c r="J1192" s="658" t="s">
        <v>866</v>
      </c>
      <c r="K1192" s="631">
        <v>1</v>
      </c>
      <c r="L1192" s="631"/>
      <c r="M1192" s="631"/>
      <c r="N1192" s="666" t="s">
        <v>799</v>
      </c>
      <c r="O1192" s="631">
        <f>E1192*G1192*I1192*K1192</f>
        <v>25.5</v>
      </c>
      <c r="P1192" s="630" t="s">
        <v>12</v>
      </c>
    </row>
    <row r="1193" spans="1:16" ht="13.5" thickBot="1" x14ac:dyDescent="0.25">
      <c r="A1193" s="736"/>
      <c r="B1193" s="737"/>
      <c r="C1193" s="665" t="s">
        <v>1129</v>
      </c>
      <c r="E1193" s="661">
        <v>18</v>
      </c>
      <c r="F1193" s="662" t="s">
        <v>866</v>
      </c>
      <c r="G1193" s="631">
        <v>1</v>
      </c>
      <c r="H1193" s="631" t="s">
        <v>866</v>
      </c>
      <c r="I1193" s="631">
        <f>I1177-I1181</f>
        <v>0.74999999999999989</v>
      </c>
      <c r="J1193" s="658" t="s">
        <v>866</v>
      </c>
      <c r="K1193" s="631">
        <v>1</v>
      </c>
      <c r="L1193" s="631"/>
      <c r="M1193" s="631"/>
      <c r="N1193" s="666" t="s">
        <v>799</v>
      </c>
      <c r="O1193" s="631">
        <f>E1193*G1193*I1193*K1193</f>
        <v>13.499999999999998</v>
      </c>
      <c r="P1193" s="630" t="s">
        <v>12</v>
      </c>
    </row>
    <row r="1194" spans="1:16" ht="13.5" thickBot="1" x14ac:dyDescent="0.25">
      <c r="A1194" s="736"/>
      <c r="B1194" s="737"/>
      <c r="C1194" s="667"/>
      <c r="F1194" s="666"/>
      <c r="G1194" s="631"/>
      <c r="H1194" s="631"/>
      <c r="I1194" s="631"/>
      <c r="J1194" s="631"/>
      <c r="K1194" s="631"/>
      <c r="L1194" s="631"/>
      <c r="M1194" s="631"/>
      <c r="N1194" s="666"/>
      <c r="O1194" s="668">
        <f>ROUND((SUM(O1190:O1193)),2)</f>
        <v>59.3</v>
      </c>
      <c r="P1194" s="669" t="s">
        <v>12</v>
      </c>
    </row>
    <row r="1195" spans="1:16" ht="51.75" customHeight="1" x14ac:dyDescent="0.2">
      <c r="A1195" s="734" t="s">
        <v>0</v>
      </c>
      <c r="B1195" s="735" t="s">
        <v>1360</v>
      </c>
      <c r="C1195" s="678" t="e">
        <f>#REF!</f>
        <v>#REF!</v>
      </c>
      <c r="D1195" s="662" t="s">
        <v>799</v>
      </c>
      <c r="E1195" s="663" t="s">
        <v>864</v>
      </c>
      <c r="F1195" s="633"/>
      <c r="G1195" s="664" t="s">
        <v>865</v>
      </c>
      <c r="H1195" s="664"/>
      <c r="I1195" s="664" t="s">
        <v>883</v>
      </c>
      <c r="J1195" s="664"/>
      <c r="K1195" s="664" t="s">
        <v>628</v>
      </c>
      <c r="L1195" s="664"/>
      <c r="M1195" s="664"/>
      <c r="O1195" s="631"/>
    </row>
    <row r="1196" spans="1:16" x14ac:dyDescent="0.2">
      <c r="A1196" s="736"/>
      <c r="B1196" s="737"/>
      <c r="C1196" s="790" t="s">
        <v>1136</v>
      </c>
      <c r="E1196" s="661">
        <v>1</v>
      </c>
      <c r="F1196" s="662" t="s">
        <v>866</v>
      </c>
      <c r="G1196" s="631">
        <v>0.9</v>
      </c>
      <c r="H1196" s="631" t="s">
        <v>866</v>
      </c>
      <c r="I1196" s="631">
        <v>0.05</v>
      </c>
      <c r="J1196" s="658" t="s">
        <v>866</v>
      </c>
      <c r="K1196" s="631">
        <v>4</v>
      </c>
      <c r="L1196" s="631"/>
      <c r="M1196" s="631"/>
      <c r="N1196" s="666" t="s">
        <v>799</v>
      </c>
      <c r="O1196" s="631">
        <f>E1196*G1196*I1196*K1196</f>
        <v>0.18000000000000002</v>
      </c>
      <c r="P1196" s="630" t="s">
        <v>12</v>
      </c>
    </row>
    <row r="1197" spans="1:16" ht="13.5" thickBot="1" x14ac:dyDescent="0.25">
      <c r="A1197" s="736"/>
      <c r="B1197" s="737"/>
      <c r="C1197" s="665" t="s">
        <v>1550</v>
      </c>
      <c r="E1197" s="661">
        <v>13.25</v>
      </c>
      <c r="F1197" s="662" t="s">
        <v>866</v>
      </c>
      <c r="G1197" s="631">
        <v>3.5</v>
      </c>
      <c r="H1197" s="631" t="s">
        <v>866</v>
      </c>
      <c r="I1197" s="631">
        <v>0.05</v>
      </c>
      <c r="J1197" s="658" t="s">
        <v>866</v>
      </c>
      <c r="K1197" s="631">
        <v>1</v>
      </c>
      <c r="L1197" s="631"/>
      <c r="M1197" s="631"/>
      <c r="N1197" s="666" t="s">
        <v>799</v>
      </c>
      <c r="O1197" s="631">
        <f>E1197*G1197*I1197*K1197</f>
        <v>2.3187500000000001</v>
      </c>
      <c r="P1197" s="630" t="s">
        <v>12</v>
      </c>
    </row>
    <row r="1198" spans="1:16" ht="13.5" thickBot="1" x14ac:dyDescent="0.25">
      <c r="A1198" s="736"/>
      <c r="B1198" s="737"/>
      <c r="C1198" s="667"/>
      <c r="F1198" s="666"/>
      <c r="G1198" s="631"/>
      <c r="H1198" s="631"/>
      <c r="I1198" s="631"/>
      <c r="J1198" s="631"/>
      <c r="K1198" s="631"/>
      <c r="L1198" s="631"/>
      <c r="M1198" s="631"/>
      <c r="N1198" s="666"/>
      <c r="O1198" s="668">
        <f>ROUND((SUM(O1196:O1197)),2)</f>
        <v>2.5</v>
      </c>
      <c r="P1198" s="669" t="s">
        <v>12</v>
      </c>
    </row>
    <row r="1199" spans="1:16" ht="45" customHeight="1" x14ac:dyDescent="0.2">
      <c r="A1199" s="734" t="s">
        <v>0</v>
      </c>
      <c r="B1199" s="735" t="s">
        <v>1646</v>
      </c>
      <c r="C1199" s="678" t="e">
        <f>#REF!</f>
        <v>#REF!</v>
      </c>
      <c r="D1199" s="662" t="s">
        <v>799</v>
      </c>
      <c r="E1199" s="663" t="s">
        <v>864</v>
      </c>
      <c r="F1199" s="633"/>
      <c r="G1199" s="664" t="s">
        <v>865</v>
      </c>
      <c r="H1199" s="664"/>
      <c r="I1199" s="664" t="s">
        <v>883</v>
      </c>
      <c r="J1199" s="664"/>
      <c r="K1199" s="664" t="s">
        <v>628</v>
      </c>
      <c r="L1199" s="664"/>
      <c r="M1199" s="664"/>
      <c r="O1199" s="631"/>
    </row>
    <row r="1200" spans="1:16" ht="22.5" customHeight="1" x14ac:dyDescent="0.2">
      <c r="A1200" s="736"/>
      <c r="B1200" s="737"/>
      <c r="C1200" s="826" t="s">
        <v>1136</v>
      </c>
      <c r="F1200" s="662"/>
      <c r="G1200" s="631"/>
      <c r="H1200" s="631"/>
      <c r="I1200" s="631"/>
      <c r="J1200" s="609"/>
      <c r="K1200" s="609"/>
      <c r="L1200" s="631"/>
      <c r="M1200" s="631"/>
      <c r="N1200" s="666"/>
      <c r="O1200" s="631"/>
      <c r="P1200" s="630"/>
    </row>
    <row r="1201" spans="1:16" x14ac:dyDescent="0.2">
      <c r="A1201" s="736"/>
      <c r="B1201" s="737"/>
      <c r="C1201" s="665" t="s">
        <v>907</v>
      </c>
      <c r="E1201" s="661">
        <v>1</v>
      </c>
      <c r="F1201" s="662" t="s">
        <v>866</v>
      </c>
      <c r="G1201" s="631">
        <v>7.0000000000000007E-2</v>
      </c>
      <c r="H1201" s="631" t="s">
        <v>866</v>
      </c>
      <c r="I1201" s="631">
        <v>0.9</v>
      </c>
      <c r="J1201" s="658" t="s">
        <v>866</v>
      </c>
      <c r="K1201" s="631">
        <v>4</v>
      </c>
      <c r="L1201" s="631"/>
      <c r="M1201" s="631"/>
      <c r="N1201" s="666" t="s">
        <v>799</v>
      </c>
      <c r="O1201" s="631">
        <f>E1201*G1201*I1201*K1201</f>
        <v>0.25200000000000006</v>
      </c>
      <c r="P1201" s="630" t="s">
        <v>12</v>
      </c>
    </row>
    <row r="1202" spans="1:16" x14ac:dyDescent="0.2">
      <c r="A1202" s="736"/>
      <c r="B1202" s="737"/>
      <c r="C1202" s="665" t="s">
        <v>1138</v>
      </c>
      <c r="E1202" s="661">
        <v>1</v>
      </c>
      <c r="F1202" s="662" t="s">
        <v>866</v>
      </c>
      <c r="G1202" s="631">
        <v>0.1</v>
      </c>
      <c r="H1202" s="631" t="s">
        <v>866</v>
      </c>
      <c r="I1202" s="631">
        <v>0.9</v>
      </c>
      <c r="J1202" s="658" t="s">
        <v>866</v>
      </c>
      <c r="K1202" s="631">
        <v>4</v>
      </c>
      <c r="L1202" s="631"/>
      <c r="M1202" s="631"/>
      <c r="N1202" s="666" t="s">
        <v>799</v>
      </c>
      <c r="O1202" s="631">
        <f>E1202*G1202*I1202*K1202</f>
        <v>0.36000000000000004</v>
      </c>
      <c r="P1202" s="630" t="s">
        <v>12</v>
      </c>
    </row>
    <row r="1203" spans="1:16" x14ac:dyDescent="0.2">
      <c r="A1203" s="736"/>
      <c r="B1203" s="737"/>
      <c r="C1203" s="665" t="s">
        <v>887</v>
      </c>
      <c r="E1203" s="661">
        <v>0.8</v>
      </c>
      <c r="F1203" s="662" t="s">
        <v>866</v>
      </c>
      <c r="G1203" s="631">
        <v>0.1</v>
      </c>
      <c r="H1203" s="631" t="s">
        <v>866</v>
      </c>
      <c r="I1203" s="631">
        <v>0.5</v>
      </c>
      <c r="J1203" s="658" t="s">
        <v>866</v>
      </c>
      <c r="K1203" s="631">
        <v>8</v>
      </c>
      <c r="L1203" s="631"/>
      <c r="M1203" s="631"/>
      <c r="N1203" s="666" t="s">
        <v>799</v>
      </c>
      <c r="O1203" s="631">
        <f>E1203*G1203*I1203*K1203</f>
        <v>0.32000000000000006</v>
      </c>
      <c r="P1203" s="630" t="s">
        <v>12</v>
      </c>
    </row>
    <row r="1204" spans="1:16" x14ac:dyDescent="0.2">
      <c r="A1204" s="736"/>
      <c r="B1204" s="737"/>
      <c r="C1204" s="665" t="s">
        <v>886</v>
      </c>
      <c r="E1204" s="661">
        <v>1</v>
      </c>
      <c r="F1204" s="662" t="s">
        <v>866</v>
      </c>
      <c r="G1204" s="631">
        <v>0.1</v>
      </c>
      <c r="H1204" s="631" t="s">
        <v>866</v>
      </c>
      <c r="I1204" s="631">
        <v>0.5</v>
      </c>
      <c r="J1204" s="658" t="s">
        <v>866</v>
      </c>
      <c r="K1204" s="631">
        <v>4</v>
      </c>
      <c r="L1204" s="631"/>
      <c r="M1204" s="631"/>
      <c r="N1204" s="666" t="s">
        <v>799</v>
      </c>
      <c r="O1204" s="631">
        <f>E1204*G1204*I1204*K1204</f>
        <v>0.2</v>
      </c>
      <c r="P1204" s="630" t="s">
        <v>12</v>
      </c>
    </row>
    <row r="1205" spans="1:16" x14ac:dyDescent="0.2">
      <c r="A1205" s="736"/>
      <c r="B1205" s="737"/>
      <c r="C1205" s="826" t="s">
        <v>1550</v>
      </c>
      <c r="F1205" s="662"/>
      <c r="G1205" s="631"/>
      <c r="H1205" s="631"/>
      <c r="I1205" s="631"/>
      <c r="J1205" s="658"/>
      <c r="K1205" s="631"/>
      <c r="L1205" s="631"/>
      <c r="M1205" s="631"/>
      <c r="N1205" s="666"/>
      <c r="O1205" s="631"/>
      <c r="P1205" s="630"/>
    </row>
    <row r="1206" spans="1:16" x14ac:dyDescent="0.2">
      <c r="A1206" s="736"/>
      <c r="B1206" s="737"/>
      <c r="C1206" s="665" t="s">
        <v>887</v>
      </c>
      <c r="E1206" s="661">
        <v>3</v>
      </c>
      <c r="F1206" s="662" t="s">
        <v>866</v>
      </c>
      <c r="G1206" s="631">
        <v>0.25</v>
      </c>
      <c r="H1206" s="631" t="s">
        <v>866</v>
      </c>
      <c r="I1206" s="631">
        <v>1.2</v>
      </c>
      <c r="J1206" s="658" t="s">
        <v>866</v>
      </c>
      <c r="K1206" s="631">
        <v>5</v>
      </c>
      <c r="L1206" s="631"/>
      <c r="M1206" s="631"/>
      <c r="N1206" s="666" t="s">
        <v>799</v>
      </c>
      <c r="O1206" s="631">
        <f t="shared" ref="O1206:O1209" si="68">E1206*G1206*I1206*K1206</f>
        <v>4.5</v>
      </c>
      <c r="P1206" s="630" t="s">
        <v>12</v>
      </c>
    </row>
    <row r="1207" spans="1:16" x14ac:dyDescent="0.2">
      <c r="A1207" s="736"/>
      <c r="B1207" s="737"/>
      <c r="C1207" s="665" t="s">
        <v>886</v>
      </c>
      <c r="E1207" s="661">
        <v>13.25</v>
      </c>
      <c r="F1207" s="662" t="s">
        <v>866</v>
      </c>
      <c r="G1207" s="631">
        <v>0.25</v>
      </c>
      <c r="H1207" s="631" t="s">
        <v>866</v>
      </c>
      <c r="I1207" s="631">
        <v>1.2</v>
      </c>
      <c r="J1207" s="658" t="s">
        <v>866</v>
      </c>
      <c r="K1207" s="631">
        <v>2</v>
      </c>
      <c r="L1207" s="631"/>
      <c r="M1207" s="631"/>
      <c r="N1207" s="666" t="s">
        <v>799</v>
      </c>
      <c r="O1207" s="631">
        <f t="shared" si="68"/>
        <v>7.9499999999999993</v>
      </c>
      <c r="P1207" s="630" t="s">
        <v>12</v>
      </c>
    </row>
    <row r="1208" spans="1:16" x14ac:dyDescent="0.2">
      <c r="A1208" s="736"/>
      <c r="B1208" s="737"/>
      <c r="C1208" s="665" t="s">
        <v>885</v>
      </c>
      <c r="E1208" s="661">
        <v>13.25</v>
      </c>
      <c r="F1208" s="662" t="s">
        <v>866</v>
      </c>
      <c r="G1208" s="631">
        <v>0.25</v>
      </c>
      <c r="H1208" s="631" t="s">
        <v>866</v>
      </c>
      <c r="I1208" s="631">
        <v>3.5</v>
      </c>
      <c r="J1208" s="658" t="s">
        <v>866</v>
      </c>
      <c r="K1208" s="631">
        <v>1</v>
      </c>
      <c r="L1208" s="631"/>
      <c r="M1208" s="631"/>
      <c r="N1208" s="666" t="s">
        <v>799</v>
      </c>
      <c r="O1208" s="631">
        <f t="shared" si="68"/>
        <v>11.59375</v>
      </c>
      <c r="P1208" s="630" t="s">
        <v>12</v>
      </c>
    </row>
    <row r="1209" spans="1:16" ht="13.5" thickBot="1" x14ac:dyDescent="0.25">
      <c r="A1209" s="736"/>
      <c r="B1209" s="737"/>
      <c r="C1209" s="665" t="s">
        <v>1139</v>
      </c>
      <c r="E1209" s="661">
        <v>1.35</v>
      </c>
      <c r="F1209" s="662" t="s">
        <v>866</v>
      </c>
      <c r="G1209" s="631">
        <f>((0.25+0.1)/2)</f>
        <v>0.17499999999999999</v>
      </c>
      <c r="H1209" s="631" t="s">
        <v>866</v>
      </c>
      <c r="I1209" s="631">
        <v>3</v>
      </c>
      <c r="J1209" s="658" t="s">
        <v>866</v>
      </c>
      <c r="K1209" s="631">
        <v>8</v>
      </c>
      <c r="L1209" s="631"/>
      <c r="M1209" s="631"/>
      <c r="N1209" s="666" t="s">
        <v>799</v>
      </c>
      <c r="O1209" s="631">
        <f t="shared" si="68"/>
        <v>5.67</v>
      </c>
      <c r="P1209" s="630" t="s">
        <v>12</v>
      </c>
    </row>
    <row r="1210" spans="1:16" ht="13.5" thickBot="1" x14ac:dyDescent="0.25">
      <c r="A1210" s="736"/>
      <c r="B1210" s="737"/>
      <c r="C1210" s="667"/>
      <c r="F1210" s="666"/>
      <c r="G1210" s="631"/>
      <c r="H1210" s="631"/>
      <c r="I1210" s="631"/>
      <c r="J1210" s="631"/>
      <c r="K1210" s="631"/>
      <c r="L1210" s="631"/>
      <c r="M1210" s="631"/>
      <c r="N1210" s="666"/>
      <c r="O1210" s="668">
        <f>ROUND((SUM(O1200:O1209)),2)</f>
        <v>30.85</v>
      </c>
      <c r="P1210" s="669" t="s">
        <v>12</v>
      </c>
    </row>
    <row r="1211" spans="1:16" ht="92.25" customHeight="1" thickBot="1" x14ac:dyDescent="0.25">
      <c r="A1211" s="734" t="s">
        <v>0</v>
      </c>
      <c r="B1211" s="735" t="s">
        <v>1647</v>
      </c>
      <c r="C1211" s="678" t="e">
        <f>#REF!</f>
        <v>#REF!</v>
      </c>
      <c r="D1211" s="662" t="s">
        <v>799</v>
      </c>
      <c r="E1211" s="663" t="s">
        <v>888</v>
      </c>
      <c r="F1211" s="633"/>
      <c r="G1211" s="664"/>
      <c r="H1211" s="664"/>
      <c r="I1211" s="664"/>
      <c r="J1211" s="664"/>
      <c r="K1211" s="664"/>
      <c r="L1211" s="664"/>
      <c r="M1211" s="664"/>
      <c r="O1211" s="631"/>
    </row>
    <row r="1212" spans="1:16" ht="30" customHeight="1" thickBot="1" x14ac:dyDescent="0.25">
      <c r="A1212" s="736"/>
      <c r="B1212" s="737"/>
      <c r="C1212" s="782" t="s">
        <v>895</v>
      </c>
      <c r="D1212" s="919"/>
      <c r="E1212" s="920">
        <v>3743.78</v>
      </c>
      <c r="F1212" s="915"/>
      <c r="G1212" s="1905" t="s">
        <v>1075</v>
      </c>
      <c r="H1212" s="1906"/>
      <c r="I1212" s="1906"/>
      <c r="J1212" s="1906"/>
      <c r="K1212" s="914">
        <v>1</v>
      </c>
      <c r="L1212" s="916"/>
      <c r="M1212" s="916"/>
      <c r="N1212" s="917" t="s">
        <v>799</v>
      </c>
      <c r="O1212" s="916">
        <f>E1212*K1212</f>
        <v>3743.78</v>
      </c>
      <c r="P1212" s="918" t="s">
        <v>7</v>
      </c>
    </row>
    <row r="1213" spans="1:16" ht="13.5" thickBot="1" x14ac:dyDescent="0.25">
      <c r="A1213" s="736"/>
      <c r="B1213" s="737"/>
      <c r="C1213" s="667"/>
      <c r="F1213" s="666"/>
      <c r="G1213" s="631"/>
      <c r="H1213" s="631"/>
      <c r="I1213" s="631"/>
      <c r="J1213" s="631"/>
      <c r="K1213" s="631"/>
      <c r="L1213" s="631"/>
      <c r="M1213" s="631"/>
      <c r="N1213" s="666"/>
      <c r="O1213" s="668">
        <f>ROUND((SUM(O1212:O1212)),2)</f>
        <v>3743.78</v>
      </c>
      <c r="P1213" s="669" t="s">
        <v>7</v>
      </c>
    </row>
    <row r="1214" spans="1:16" x14ac:dyDescent="0.2">
      <c r="A1214" s="734" t="s">
        <v>0</v>
      </c>
      <c r="B1214" s="735" t="s">
        <v>1648</v>
      </c>
      <c r="C1214" s="678" t="e">
        <f>#REF!</f>
        <v>#REF!</v>
      </c>
      <c r="D1214" s="662" t="s">
        <v>799</v>
      </c>
      <c r="E1214" s="663" t="s">
        <v>864</v>
      </c>
      <c r="F1214" s="633"/>
      <c r="G1214" s="664"/>
      <c r="H1214" s="664"/>
      <c r="I1214" s="664"/>
      <c r="J1214" s="664"/>
      <c r="K1214" s="664"/>
      <c r="L1214" s="664"/>
      <c r="M1214" s="664"/>
      <c r="O1214" s="631"/>
    </row>
    <row r="1215" spans="1:16" x14ac:dyDescent="0.2">
      <c r="A1215" s="736"/>
      <c r="B1215" s="737"/>
      <c r="C1215" s="790" t="s">
        <v>1136</v>
      </c>
      <c r="E1215" s="661">
        <f>(1+1+0.9+0.9)*4</f>
        <v>15.2</v>
      </c>
      <c r="F1215" s="662"/>
      <c r="G1215" s="631"/>
      <c r="H1215" s="658"/>
      <c r="I1215" s="631"/>
      <c r="J1215" s="658"/>
      <c r="K1215" s="631"/>
      <c r="L1215" s="631"/>
      <c r="M1215" s="631"/>
      <c r="N1215" s="666" t="s">
        <v>799</v>
      </c>
      <c r="O1215" s="631">
        <f>E1215</f>
        <v>15.2</v>
      </c>
      <c r="P1215" s="657" t="s">
        <v>6</v>
      </c>
    </row>
    <row r="1216" spans="1:16" ht="13.5" thickBot="1" x14ac:dyDescent="0.25">
      <c r="A1216" s="736"/>
      <c r="B1216" s="737"/>
      <c r="C1216" s="665" t="s">
        <v>1137</v>
      </c>
      <c r="E1216" s="661">
        <f>13.25+13.25+3.5+3.5</f>
        <v>33.5</v>
      </c>
      <c r="F1216" s="662"/>
      <c r="G1216" s="631"/>
      <c r="H1216" s="658"/>
      <c r="I1216" s="631"/>
      <c r="J1216" s="658"/>
      <c r="K1216" s="631"/>
      <c r="L1216" s="631"/>
      <c r="M1216" s="631"/>
      <c r="N1216" s="666" t="s">
        <v>799</v>
      </c>
      <c r="O1216" s="631">
        <f>E1216</f>
        <v>33.5</v>
      </c>
      <c r="P1216" s="657" t="s">
        <v>6</v>
      </c>
    </row>
    <row r="1217" spans="1:16" ht="13.5" thickBot="1" x14ac:dyDescent="0.25">
      <c r="A1217" s="736"/>
      <c r="B1217" s="737"/>
      <c r="C1217" s="667"/>
      <c r="F1217" s="666"/>
      <c r="G1217" s="631"/>
      <c r="H1217" s="631"/>
      <c r="I1217" s="631"/>
      <c r="J1217" s="631"/>
      <c r="K1217" s="631"/>
      <c r="L1217" s="631"/>
      <c r="M1217" s="631"/>
      <c r="N1217" s="666"/>
      <c r="O1217" s="668">
        <f>ROUND((SUM(O1215:O1216)),2)</f>
        <v>48.7</v>
      </c>
      <c r="P1217" s="669" t="s">
        <v>6</v>
      </c>
    </row>
    <row r="1218" spans="1:16" x14ac:dyDescent="0.2">
      <c r="A1218" s="734" t="s">
        <v>0</v>
      </c>
      <c r="B1218" s="735" t="s">
        <v>1649</v>
      </c>
      <c r="C1218" s="678" t="e">
        <f>#REF!</f>
        <v>#REF!</v>
      </c>
      <c r="D1218" s="662" t="s">
        <v>799</v>
      </c>
      <c r="E1218" s="663" t="s">
        <v>864</v>
      </c>
      <c r="F1218" s="633"/>
      <c r="G1218" s="664"/>
      <c r="H1218" s="664"/>
      <c r="I1218" s="664"/>
      <c r="J1218" s="664"/>
      <c r="K1218" s="664"/>
      <c r="L1218" s="664"/>
      <c r="M1218" s="664"/>
      <c r="O1218" s="631"/>
    </row>
    <row r="1219" spans="1:16" ht="13.5" thickBot="1" x14ac:dyDescent="0.25">
      <c r="A1219" s="736"/>
      <c r="B1219" s="737"/>
      <c r="C1219" s="665" t="s">
        <v>1140</v>
      </c>
      <c r="E1219" s="661">
        <v>30</v>
      </c>
      <c r="F1219" s="662"/>
      <c r="G1219" s="631"/>
      <c r="H1219" s="631"/>
      <c r="I1219" s="631"/>
      <c r="J1219" s="631"/>
      <c r="K1219" s="631"/>
      <c r="L1219" s="631"/>
      <c r="M1219" s="631"/>
      <c r="N1219" s="666" t="s">
        <v>799</v>
      </c>
      <c r="O1219" s="631">
        <f>E1219</f>
        <v>30</v>
      </c>
      <c r="P1219" s="630" t="s">
        <v>6</v>
      </c>
    </row>
    <row r="1220" spans="1:16" ht="13.5" thickBot="1" x14ac:dyDescent="0.25">
      <c r="A1220" s="736"/>
      <c r="B1220" s="737"/>
      <c r="C1220" s="667"/>
      <c r="F1220" s="666"/>
      <c r="G1220" s="631"/>
      <c r="H1220" s="631"/>
      <c r="I1220" s="631"/>
      <c r="J1220" s="631"/>
      <c r="K1220" s="631"/>
      <c r="L1220" s="631"/>
      <c r="M1220" s="631"/>
      <c r="N1220" s="666"/>
      <c r="O1220" s="668">
        <f>ROUND((SUM(O1219:O1219)),2)</f>
        <v>30</v>
      </c>
      <c r="P1220" s="669" t="s">
        <v>6</v>
      </c>
    </row>
    <row r="1221" spans="1:16" x14ac:dyDescent="0.2">
      <c r="A1221" s="736"/>
      <c r="B1221" s="737"/>
      <c r="C1221" s="667"/>
      <c r="F1221" s="666"/>
      <c r="G1221" s="631"/>
      <c r="H1221" s="631"/>
      <c r="I1221" s="631"/>
      <c r="J1221" s="631"/>
      <c r="K1221" s="631"/>
      <c r="L1221" s="631"/>
      <c r="M1221" s="631"/>
      <c r="N1221" s="666"/>
      <c r="O1221" s="632"/>
      <c r="P1221" s="633"/>
    </row>
    <row r="1222" spans="1:16" x14ac:dyDescent="0.2">
      <c r="A1222" s="736"/>
      <c r="B1222" s="737"/>
      <c r="C1222" s="667"/>
      <c r="F1222" s="666"/>
      <c r="G1222" s="631"/>
      <c r="H1222" s="631"/>
      <c r="I1222" s="631"/>
      <c r="J1222" s="631"/>
      <c r="K1222" s="631"/>
      <c r="L1222" s="631"/>
      <c r="M1222" s="631"/>
      <c r="N1222" s="666"/>
      <c r="O1222" s="632"/>
      <c r="P1222" s="633"/>
    </row>
    <row r="1223" spans="1:16" x14ac:dyDescent="0.2">
      <c r="A1223" s="734" t="s">
        <v>0</v>
      </c>
      <c r="B1223" s="735" t="s">
        <v>1650</v>
      </c>
      <c r="C1223" s="678" t="e">
        <f>#REF!</f>
        <v>#REF!</v>
      </c>
      <c r="D1223" s="662" t="s">
        <v>799</v>
      </c>
      <c r="E1223" s="663" t="s">
        <v>864</v>
      </c>
      <c r="F1223" s="633"/>
      <c r="G1223" s="664"/>
      <c r="H1223" s="664"/>
      <c r="I1223" s="664"/>
      <c r="J1223" s="664"/>
      <c r="K1223" s="664"/>
      <c r="L1223" s="664"/>
      <c r="M1223" s="664"/>
      <c r="O1223" s="631"/>
    </row>
    <row r="1224" spans="1:16" ht="13.5" thickBot="1" x14ac:dyDescent="0.25">
      <c r="A1224" s="736"/>
      <c r="B1224" s="737"/>
      <c r="C1224" s="665" t="s">
        <v>1141</v>
      </c>
      <c r="E1224" s="661">
        <v>18</v>
      </c>
      <c r="F1224" s="662"/>
      <c r="G1224" s="631"/>
      <c r="H1224" s="631"/>
      <c r="I1224" s="631"/>
      <c r="J1224" s="631"/>
      <c r="K1224" s="631"/>
      <c r="L1224" s="631"/>
      <c r="M1224" s="631"/>
      <c r="N1224" s="666" t="s">
        <v>799</v>
      </c>
      <c r="O1224" s="631">
        <f>E1224</f>
        <v>18</v>
      </c>
      <c r="P1224" s="630" t="s">
        <v>6</v>
      </c>
    </row>
    <row r="1225" spans="1:16" ht="13.5" thickBot="1" x14ac:dyDescent="0.25">
      <c r="A1225" s="736"/>
      <c r="B1225" s="737"/>
      <c r="C1225" s="667"/>
      <c r="F1225" s="666"/>
      <c r="G1225" s="631"/>
      <c r="H1225" s="631"/>
      <c r="I1225" s="631"/>
      <c r="J1225" s="631"/>
      <c r="K1225" s="631"/>
      <c r="L1225" s="631"/>
      <c r="M1225" s="631"/>
      <c r="N1225" s="666"/>
      <c r="O1225" s="668">
        <f>ROUND((SUM(O1224:O1224)),2)</f>
        <v>18</v>
      </c>
      <c r="P1225" s="669" t="s">
        <v>6</v>
      </c>
    </row>
    <row r="1226" spans="1:16" x14ac:dyDescent="0.2">
      <c r="A1226" s="734" t="s">
        <v>0</v>
      </c>
      <c r="B1226" s="735" t="s">
        <v>1651</v>
      </c>
      <c r="C1226" s="678" t="e">
        <f>#REF!</f>
        <v>#REF!</v>
      </c>
      <c r="D1226" s="662" t="s">
        <v>799</v>
      </c>
      <c r="E1226" s="663" t="s">
        <v>628</v>
      </c>
      <c r="F1226" s="633"/>
      <c r="G1226" s="664"/>
      <c r="H1226" s="664"/>
      <c r="I1226" s="664"/>
      <c r="J1226" s="664"/>
      <c r="K1226" s="664"/>
      <c r="L1226" s="664"/>
      <c r="M1226" s="664"/>
      <c r="O1226" s="631"/>
    </row>
    <row r="1227" spans="1:16" ht="13.5" thickBot="1" x14ac:dyDescent="0.25">
      <c r="A1227" s="736"/>
      <c r="B1227" s="737"/>
      <c r="C1227" s="665" t="s">
        <v>1142</v>
      </c>
      <c r="E1227" s="661">
        <v>4</v>
      </c>
      <c r="F1227" s="662"/>
      <c r="G1227" s="631"/>
      <c r="H1227" s="631"/>
      <c r="I1227" s="631"/>
      <c r="J1227" s="631"/>
      <c r="K1227" s="631"/>
      <c r="L1227" s="631"/>
      <c r="M1227" s="631"/>
      <c r="N1227" s="666" t="s">
        <v>799</v>
      </c>
      <c r="O1227" s="631">
        <f>E1227</f>
        <v>4</v>
      </c>
      <c r="P1227" s="630" t="s">
        <v>2</v>
      </c>
    </row>
    <row r="1228" spans="1:16" ht="13.5" thickBot="1" x14ac:dyDescent="0.25">
      <c r="A1228" s="736"/>
      <c r="B1228" s="737"/>
      <c r="C1228" s="667"/>
      <c r="F1228" s="666"/>
      <c r="G1228" s="631"/>
      <c r="H1228" s="631"/>
      <c r="I1228" s="631"/>
      <c r="J1228" s="631"/>
      <c r="K1228" s="631"/>
      <c r="L1228" s="631"/>
      <c r="M1228" s="631"/>
      <c r="N1228" s="666"/>
      <c r="O1228" s="668">
        <f>ROUND((SUM(O1227:O1227)),2)</f>
        <v>4</v>
      </c>
      <c r="P1228" s="669" t="s">
        <v>2</v>
      </c>
    </row>
    <row r="1229" spans="1:16" x14ac:dyDescent="0.2">
      <c r="A1229" s="734" t="s">
        <v>0</v>
      </c>
      <c r="B1229" s="735" t="s">
        <v>1652</v>
      </c>
      <c r="C1229" s="678" t="e">
        <f>#REF!</f>
        <v>#REF!</v>
      </c>
      <c r="D1229" s="662" t="s">
        <v>799</v>
      </c>
      <c r="E1229" s="663" t="s">
        <v>864</v>
      </c>
      <c r="F1229" s="633"/>
      <c r="G1229" s="664" t="s">
        <v>978</v>
      </c>
      <c r="H1229" s="664"/>
      <c r="I1229" s="664" t="s">
        <v>628</v>
      </c>
      <c r="J1229" s="664"/>
      <c r="K1229" s="664" t="s">
        <v>979</v>
      </c>
      <c r="L1229" s="664"/>
      <c r="M1229" s="664"/>
      <c r="O1229" s="631"/>
    </row>
    <row r="1230" spans="1:16" x14ac:dyDescent="0.2">
      <c r="A1230" s="736"/>
      <c r="B1230" s="737"/>
      <c r="C1230" s="665" t="s">
        <v>1143</v>
      </c>
      <c r="E1230" s="661">
        <v>2.83</v>
      </c>
      <c r="F1230" s="662" t="s">
        <v>866</v>
      </c>
      <c r="G1230" s="631">
        <v>21.69</v>
      </c>
      <c r="H1230" s="658" t="s">
        <v>866</v>
      </c>
      <c r="I1230" s="631">
        <v>10</v>
      </c>
      <c r="J1230" s="631"/>
      <c r="K1230" s="1907" t="s">
        <v>981</v>
      </c>
      <c r="L1230" s="631"/>
      <c r="M1230" s="631"/>
      <c r="N1230" s="666" t="s">
        <v>799</v>
      </c>
      <c r="O1230" s="631">
        <f>E1230*G1230*I1230</f>
        <v>613.82700000000011</v>
      </c>
      <c r="P1230" s="657" t="s">
        <v>7</v>
      </c>
    </row>
    <row r="1231" spans="1:16" x14ac:dyDescent="0.2">
      <c r="A1231" s="736"/>
      <c r="B1231" s="737"/>
      <c r="C1231" s="665"/>
      <c r="E1231" s="661">
        <v>3.4</v>
      </c>
      <c r="F1231" s="662" t="s">
        <v>866</v>
      </c>
      <c r="G1231" s="631">
        <v>21.69</v>
      </c>
      <c r="H1231" s="658" t="s">
        <v>866</v>
      </c>
      <c r="I1231" s="631">
        <v>5</v>
      </c>
      <c r="J1231" s="631"/>
      <c r="K1231" s="1907"/>
      <c r="L1231" s="631"/>
      <c r="M1231" s="631"/>
      <c r="N1231" s="666" t="s">
        <v>799</v>
      </c>
      <c r="O1231" s="631">
        <f>E1231*G1231*I1231</f>
        <v>368.73</v>
      </c>
      <c r="P1231" s="657" t="s">
        <v>7</v>
      </c>
    </row>
    <row r="1232" spans="1:16" x14ac:dyDescent="0.2">
      <c r="A1232" s="736"/>
      <c r="B1232" s="737"/>
      <c r="C1232" s="665"/>
      <c r="E1232" s="661">
        <v>1.64</v>
      </c>
      <c r="F1232" s="662" t="s">
        <v>866</v>
      </c>
      <c r="G1232" s="631">
        <v>21.69</v>
      </c>
      <c r="H1232" s="658" t="s">
        <v>866</v>
      </c>
      <c r="I1232" s="631">
        <v>10</v>
      </c>
      <c r="J1232" s="631"/>
      <c r="K1232" s="1907"/>
      <c r="L1232" s="631"/>
      <c r="M1232" s="631"/>
      <c r="N1232" s="666" t="s">
        <v>799</v>
      </c>
      <c r="O1232" s="631">
        <f>E1232*G1232*I1232</f>
        <v>355.71599999999995</v>
      </c>
      <c r="P1232" s="657" t="s">
        <v>7</v>
      </c>
    </row>
    <row r="1233" spans="1:16" ht="34.5" thickBot="1" x14ac:dyDescent="0.25">
      <c r="A1233" s="736"/>
      <c r="B1233" s="737"/>
      <c r="C1233" s="827" t="s">
        <v>1144</v>
      </c>
      <c r="D1233" s="655"/>
      <c r="E1233" s="730">
        <v>14.25</v>
      </c>
      <c r="F1233" s="662" t="s">
        <v>866</v>
      </c>
      <c r="G1233" s="631">
        <v>3.63</v>
      </c>
      <c r="H1233" s="658" t="s">
        <v>866</v>
      </c>
      <c r="I1233" s="631">
        <v>6</v>
      </c>
      <c r="J1233" s="631"/>
      <c r="K1233" s="828" t="s">
        <v>1145</v>
      </c>
      <c r="L1233" s="631"/>
      <c r="M1233" s="631"/>
      <c r="N1233" s="666" t="s">
        <v>799</v>
      </c>
      <c r="O1233" s="631">
        <f>E1233*G1233*I1233</f>
        <v>310.36500000000001</v>
      </c>
      <c r="P1233" s="657" t="s">
        <v>7</v>
      </c>
    </row>
    <row r="1234" spans="1:16" ht="13.5" thickBot="1" x14ac:dyDescent="0.25">
      <c r="A1234" s="736"/>
      <c r="B1234" s="737"/>
      <c r="C1234" s="667"/>
      <c r="F1234" s="666"/>
      <c r="G1234" s="631"/>
      <c r="H1234" s="631"/>
      <c r="I1234" s="631"/>
      <c r="J1234" s="631"/>
      <c r="K1234" s="631"/>
      <c r="L1234" s="631"/>
      <c r="M1234" s="631"/>
      <c r="N1234" s="666"/>
      <c r="O1234" s="668">
        <f>ROUND((SUM(O1230:O1233)),2)</f>
        <v>1648.64</v>
      </c>
      <c r="P1234" s="669" t="s">
        <v>7</v>
      </c>
    </row>
    <row r="1235" spans="1:16" x14ac:dyDescent="0.2">
      <c r="A1235" s="734" t="s">
        <v>0</v>
      </c>
      <c r="B1235" s="735" t="s">
        <v>1653</v>
      </c>
      <c r="C1235" s="807" t="e">
        <f>#REF!</f>
        <v>#REF!</v>
      </c>
      <c r="D1235" s="808" t="s">
        <v>799</v>
      </c>
      <c r="E1235" s="809" t="s">
        <v>864</v>
      </c>
      <c r="F1235" s="810"/>
      <c r="G1235" s="811" t="s">
        <v>865</v>
      </c>
      <c r="H1235" s="811"/>
      <c r="I1235" s="811" t="s">
        <v>628</v>
      </c>
      <c r="J1235" s="811"/>
      <c r="K1235" s="811"/>
      <c r="L1235" s="811"/>
      <c r="M1235" s="811"/>
      <c r="N1235" s="794"/>
      <c r="O1235" s="812"/>
      <c r="P1235" s="796"/>
    </row>
    <row r="1236" spans="1:16" ht="13.5" thickBot="1" x14ac:dyDescent="0.25">
      <c r="A1236" s="736"/>
      <c r="B1236" s="737"/>
      <c r="C1236" s="813" t="s">
        <v>1146</v>
      </c>
      <c r="D1236"/>
      <c r="E1236" s="481">
        <v>14.3</v>
      </c>
      <c r="F1236" s="808" t="s">
        <v>866</v>
      </c>
      <c r="G1236" s="812">
        <v>3</v>
      </c>
      <c r="H1236" s="802"/>
      <c r="I1236" s="812">
        <v>2</v>
      </c>
      <c r="J1236" s="812"/>
      <c r="K1236" s="812"/>
      <c r="L1236" s="812"/>
      <c r="M1236" s="812"/>
      <c r="N1236" s="814" t="s">
        <v>799</v>
      </c>
      <c r="O1236" s="812">
        <f>E1236*G1236*I1236</f>
        <v>85.800000000000011</v>
      </c>
      <c r="P1236" s="801" t="s">
        <v>4</v>
      </c>
    </row>
    <row r="1237" spans="1:16" ht="13.5" thickBot="1" x14ac:dyDescent="0.25">
      <c r="A1237" s="736"/>
      <c r="B1237" s="737"/>
      <c r="C1237" s="815"/>
      <c r="D1237"/>
      <c r="E1237" s="481"/>
      <c r="F1237" s="814"/>
      <c r="G1237" s="812"/>
      <c r="H1237" s="812"/>
      <c r="I1237" s="812"/>
      <c r="J1237" s="812"/>
      <c r="K1237" s="812"/>
      <c r="L1237" s="812"/>
      <c r="M1237" s="812"/>
      <c r="N1237" s="814"/>
      <c r="O1237" s="816">
        <f>ROUND((SUM(O1236:O1236)),2)</f>
        <v>85.8</v>
      </c>
      <c r="P1237" s="817" t="s">
        <v>4</v>
      </c>
    </row>
    <row r="1238" spans="1:16" x14ac:dyDescent="0.2">
      <c r="A1238" s="734" t="s">
        <v>0</v>
      </c>
      <c r="B1238" s="735" t="s">
        <v>1654</v>
      </c>
      <c r="C1238" s="678" t="e">
        <f>#REF!</f>
        <v>#REF!</v>
      </c>
      <c r="D1238" s="662" t="s">
        <v>799</v>
      </c>
      <c r="E1238" s="663" t="s">
        <v>628</v>
      </c>
      <c r="F1238" s="633"/>
      <c r="G1238" s="664"/>
      <c r="H1238" s="664"/>
      <c r="I1238" s="664"/>
      <c r="J1238" s="664"/>
      <c r="K1238" s="664"/>
      <c r="L1238" s="664"/>
      <c r="M1238" s="664"/>
      <c r="O1238" s="631"/>
    </row>
    <row r="1239" spans="1:16" ht="13.5" thickBot="1" x14ac:dyDescent="0.25">
      <c r="A1239" s="736"/>
      <c r="B1239" s="737"/>
      <c r="C1239" s="665" t="s">
        <v>1551</v>
      </c>
      <c r="E1239" s="661">
        <v>10</v>
      </c>
      <c r="F1239" s="662"/>
      <c r="G1239" s="631"/>
      <c r="H1239" s="658"/>
      <c r="I1239" s="631"/>
      <c r="J1239" s="631"/>
      <c r="K1239" s="631"/>
      <c r="L1239" s="631"/>
      <c r="M1239" s="631"/>
      <c r="N1239" s="666" t="s">
        <v>799</v>
      </c>
      <c r="O1239" s="631">
        <f>E1239</f>
        <v>10</v>
      </c>
      <c r="P1239" s="657" t="s">
        <v>2</v>
      </c>
    </row>
    <row r="1240" spans="1:16" ht="13.5" thickBot="1" x14ac:dyDescent="0.25">
      <c r="A1240" s="736"/>
      <c r="B1240" s="737"/>
      <c r="C1240" s="667"/>
      <c r="F1240" s="666"/>
      <c r="G1240" s="631"/>
      <c r="H1240" s="631"/>
      <c r="I1240" s="631"/>
      <c r="J1240" s="631"/>
      <c r="K1240" s="631"/>
      <c r="L1240" s="631"/>
      <c r="M1240" s="631"/>
      <c r="N1240" s="666"/>
      <c r="O1240" s="668">
        <f>ROUND((SUM(O1239:O1239)),2)</f>
        <v>10</v>
      </c>
      <c r="P1240" s="669" t="s">
        <v>2</v>
      </c>
    </row>
    <row r="1241" spans="1:16" x14ac:dyDescent="0.2">
      <c r="A1241" s="736"/>
      <c r="B1241" s="737"/>
      <c r="C1241" s="667"/>
      <c r="F1241" s="666"/>
      <c r="G1241" s="631"/>
      <c r="H1241" s="631"/>
      <c r="I1241" s="631"/>
      <c r="J1241" s="631"/>
      <c r="K1241" s="631"/>
      <c r="L1241" s="631"/>
      <c r="M1241" s="631"/>
      <c r="N1241" s="666"/>
      <c r="O1241" s="632"/>
      <c r="P1241" s="633"/>
    </row>
    <row r="1242" spans="1:16" ht="15.75" x14ac:dyDescent="0.2">
      <c r="A1242" s="736"/>
      <c r="B1242" s="737"/>
      <c r="C1242" s="788" t="s">
        <v>1160</v>
      </c>
      <c r="F1242" s="666"/>
      <c r="G1242" s="631"/>
      <c r="H1242" s="631"/>
      <c r="I1242" s="631"/>
      <c r="J1242" s="631"/>
      <c r="K1242" s="631"/>
      <c r="L1242" s="631"/>
      <c r="M1242" s="631"/>
      <c r="N1242" s="666"/>
      <c r="O1242" s="632"/>
      <c r="P1242" s="633"/>
    </row>
    <row r="1243" spans="1:16" x14ac:dyDescent="0.2">
      <c r="A1243" s="734" t="s">
        <v>0</v>
      </c>
      <c r="B1243" s="735" t="s">
        <v>1655</v>
      </c>
      <c r="C1243" s="678" t="e">
        <f>#REF!</f>
        <v>#REF!</v>
      </c>
      <c r="D1243" s="662" t="s">
        <v>799</v>
      </c>
      <c r="E1243" s="663" t="s">
        <v>864</v>
      </c>
      <c r="F1243" s="633"/>
      <c r="G1243" s="664"/>
      <c r="H1243" s="664"/>
      <c r="I1243" s="664"/>
      <c r="J1243" s="664"/>
      <c r="K1243" s="664"/>
      <c r="L1243" s="664"/>
      <c r="M1243" s="664"/>
      <c r="O1243" s="631"/>
    </row>
    <row r="1244" spans="1:16" ht="13.5" thickBot="1" x14ac:dyDescent="0.25">
      <c r="A1244" s="736"/>
      <c r="B1244" s="737"/>
      <c r="C1244" s="665" t="s">
        <v>1140</v>
      </c>
      <c r="E1244" s="661">
        <v>30</v>
      </c>
      <c r="F1244" s="662"/>
      <c r="G1244" s="631"/>
      <c r="H1244" s="631"/>
      <c r="I1244" s="631"/>
      <c r="J1244" s="631"/>
      <c r="K1244" s="631"/>
      <c r="L1244" s="631"/>
      <c r="M1244" s="631"/>
      <c r="N1244" s="666" t="s">
        <v>799</v>
      </c>
      <c r="O1244" s="631">
        <f>E1244</f>
        <v>30</v>
      </c>
      <c r="P1244" s="630" t="s">
        <v>6</v>
      </c>
    </row>
    <row r="1245" spans="1:16" ht="13.5" thickBot="1" x14ac:dyDescent="0.25">
      <c r="A1245" s="736"/>
      <c r="B1245" s="737"/>
      <c r="C1245" s="667"/>
      <c r="F1245" s="666"/>
      <c r="G1245" s="631"/>
      <c r="H1245" s="631"/>
      <c r="I1245" s="631"/>
      <c r="J1245" s="631"/>
      <c r="K1245" s="631"/>
      <c r="L1245" s="631"/>
      <c r="M1245" s="631"/>
      <c r="N1245" s="666"/>
      <c r="O1245" s="668">
        <f>ROUND((SUM(O1244:O1244)),2)</f>
        <v>30</v>
      </c>
      <c r="P1245" s="669" t="s">
        <v>6</v>
      </c>
    </row>
    <row r="1246" spans="1:16" x14ac:dyDescent="0.2">
      <c r="A1246" s="736"/>
      <c r="B1246" s="737"/>
      <c r="C1246" s="667"/>
      <c r="F1246" s="666"/>
      <c r="G1246" s="631"/>
      <c r="H1246" s="631"/>
      <c r="I1246" s="631"/>
      <c r="J1246" s="631"/>
      <c r="K1246" s="631"/>
      <c r="L1246" s="631"/>
      <c r="M1246" s="631"/>
      <c r="N1246" s="666"/>
      <c r="O1246" s="632"/>
      <c r="P1246" s="633"/>
    </row>
    <row r="1247" spans="1:16" x14ac:dyDescent="0.2">
      <c r="A1247" s="734" t="s">
        <v>0</v>
      </c>
      <c r="B1247" s="735" t="s">
        <v>1656</v>
      </c>
      <c r="C1247" s="678" t="e">
        <f>#REF!</f>
        <v>#REF!</v>
      </c>
      <c r="D1247" s="662" t="s">
        <v>799</v>
      </c>
      <c r="E1247" s="663" t="s">
        <v>864</v>
      </c>
      <c r="F1247" s="633"/>
      <c r="G1247" s="664"/>
      <c r="H1247" s="664"/>
      <c r="I1247" s="664"/>
      <c r="J1247" s="664"/>
      <c r="K1247" s="664"/>
      <c r="L1247" s="664"/>
      <c r="M1247" s="664"/>
      <c r="O1247" s="631"/>
    </row>
    <row r="1248" spans="1:16" ht="13.5" thickBot="1" x14ac:dyDescent="0.25">
      <c r="A1248" s="736"/>
      <c r="B1248" s="737"/>
      <c r="C1248" s="665" t="s">
        <v>1141</v>
      </c>
      <c r="E1248" s="661">
        <v>18</v>
      </c>
      <c r="F1248" s="662"/>
      <c r="G1248" s="631"/>
      <c r="H1248" s="631"/>
      <c r="I1248" s="631"/>
      <c r="J1248" s="631"/>
      <c r="K1248" s="631"/>
      <c r="L1248" s="631"/>
      <c r="M1248" s="631"/>
      <c r="N1248" s="666" t="s">
        <v>799</v>
      </c>
      <c r="O1248" s="631">
        <f>E1248</f>
        <v>18</v>
      </c>
      <c r="P1248" s="630" t="s">
        <v>6</v>
      </c>
    </row>
    <row r="1249" spans="1:16" ht="13.5" thickBot="1" x14ac:dyDescent="0.25">
      <c r="A1249" s="736"/>
      <c r="B1249" s="737"/>
      <c r="C1249" s="667"/>
      <c r="F1249" s="666"/>
      <c r="G1249" s="631"/>
      <c r="H1249" s="631"/>
      <c r="I1249" s="631"/>
      <c r="J1249" s="631"/>
      <c r="K1249" s="631"/>
      <c r="L1249" s="631"/>
      <c r="M1249" s="631"/>
      <c r="N1249" s="666"/>
      <c r="O1249" s="668">
        <f>ROUND((SUM(O1248:O1248)),2)</f>
        <v>18</v>
      </c>
      <c r="P1249" s="669" t="s">
        <v>6</v>
      </c>
    </row>
    <row r="1250" spans="1:16" x14ac:dyDescent="0.2">
      <c r="A1250" s="736"/>
      <c r="B1250" s="737"/>
      <c r="C1250" s="667"/>
      <c r="F1250" s="666"/>
      <c r="G1250" s="631"/>
      <c r="H1250" s="631"/>
      <c r="I1250" s="631"/>
      <c r="J1250" s="631"/>
      <c r="K1250" s="631"/>
      <c r="L1250" s="631"/>
      <c r="M1250" s="631"/>
      <c r="N1250" s="666"/>
      <c r="O1250" s="632"/>
      <c r="P1250" s="633"/>
    </row>
    <row r="1251" spans="1:16" x14ac:dyDescent="0.2">
      <c r="A1251" s="736"/>
      <c r="B1251" s="737"/>
      <c r="C1251" s="667"/>
      <c r="F1251" s="666"/>
      <c r="G1251" s="631"/>
      <c r="H1251" s="631"/>
      <c r="I1251" s="631"/>
      <c r="J1251" s="631"/>
      <c r="K1251" s="631"/>
      <c r="L1251" s="631"/>
      <c r="M1251" s="631"/>
      <c r="N1251" s="666"/>
      <c r="O1251" s="632"/>
      <c r="P1251" s="633"/>
    </row>
    <row r="1252" spans="1:16" x14ac:dyDescent="0.2">
      <c r="A1252" s="736"/>
      <c r="B1252" s="737"/>
      <c r="C1252" s="667"/>
      <c r="F1252" s="666"/>
      <c r="G1252" s="631"/>
      <c r="H1252" s="631"/>
      <c r="I1252" s="631"/>
      <c r="J1252" s="631"/>
      <c r="K1252" s="631"/>
      <c r="L1252" s="631"/>
      <c r="M1252" s="631"/>
      <c r="N1252" s="666"/>
      <c r="O1252" s="632"/>
      <c r="P1252" s="633"/>
    </row>
    <row r="1253" spans="1:16" x14ac:dyDescent="0.2">
      <c r="A1253" s="736"/>
      <c r="B1253" s="737"/>
      <c r="C1253" s="667"/>
      <c r="F1253" s="666"/>
      <c r="G1253" s="631"/>
      <c r="H1253" s="631"/>
      <c r="I1253" s="631"/>
      <c r="J1253" s="631"/>
      <c r="K1253" s="631"/>
      <c r="L1253" s="631"/>
      <c r="M1253" s="631"/>
      <c r="N1253" s="666"/>
      <c r="O1253" s="632"/>
      <c r="P1253" s="633"/>
    </row>
    <row r="1254" spans="1:16" x14ac:dyDescent="0.2">
      <c r="A1254" s="736"/>
      <c r="B1254" s="737"/>
      <c r="C1254" s="667"/>
      <c r="F1254" s="666"/>
      <c r="G1254" s="631"/>
      <c r="H1254" s="631"/>
      <c r="I1254" s="631"/>
      <c r="J1254" s="631"/>
      <c r="K1254" s="631"/>
      <c r="L1254" s="631"/>
      <c r="M1254" s="631"/>
      <c r="N1254" s="666"/>
      <c r="O1254" s="632"/>
      <c r="P1254" s="633"/>
    </row>
    <row r="1255" spans="1:16" x14ac:dyDescent="0.2">
      <c r="A1255" s="736"/>
      <c r="B1255" s="737"/>
      <c r="C1255" s="667"/>
      <c r="F1255" s="666"/>
      <c r="G1255" s="631"/>
      <c r="H1255" s="631"/>
      <c r="I1255" s="631"/>
      <c r="J1255" s="631"/>
      <c r="K1255" s="631"/>
      <c r="L1255" s="631"/>
      <c r="M1255" s="631"/>
      <c r="N1255" s="666"/>
      <c r="O1255" s="632"/>
      <c r="P1255" s="633"/>
    </row>
    <row r="1256" spans="1:16" x14ac:dyDescent="0.2">
      <c r="A1256" s="736"/>
      <c r="B1256" s="737"/>
      <c r="C1256" s="667"/>
      <c r="F1256" s="666"/>
      <c r="G1256" s="631"/>
      <c r="H1256" s="631"/>
      <c r="I1256" s="631"/>
      <c r="J1256" s="631"/>
      <c r="K1256" s="631"/>
      <c r="L1256" s="631"/>
      <c r="M1256" s="631"/>
      <c r="N1256" s="666"/>
      <c r="O1256" s="632"/>
      <c r="P1256" s="633"/>
    </row>
    <row r="1257" spans="1:16" x14ac:dyDescent="0.2">
      <c r="A1257" s="736"/>
      <c r="B1257" s="737"/>
      <c r="C1257" s="667"/>
      <c r="F1257" s="666"/>
      <c r="G1257" s="631"/>
      <c r="H1257" s="631"/>
      <c r="I1257" s="631"/>
      <c r="J1257" s="631"/>
      <c r="K1257" s="631"/>
      <c r="L1257" s="631"/>
      <c r="M1257" s="631"/>
      <c r="N1257" s="666"/>
      <c r="O1257" s="632"/>
      <c r="P1257" s="633"/>
    </row>
    <row r="1258" spans="1:16" ht="15.75" x14ac:dyDescent="0.25">
      <c r="A1258" s="736"/>
      <c r="B1258" s="941" t="s">
        <v>1657</v>
      </c>
      <c r="C1258" s="942" t="s">
        <v>890</v>
      </c>
      <c r="D1258" s="943"/>
      <c r="E1258" s="629"/>
      <c r="F1258" s="657"/>
      <c r="G1258" s="658"/>
      <c r="H1258" s="658"/>
      <c r="I1258" s="658"/>
      <c r="J1258" s="658"/>
      <c r="K1258" s="658"/>
      <c r="L1258" s="609"/>
      <c r="M1258" s="609"/>
      <c r="N1258" s="657"/>
      <c r="O1258" s="658"/>
      <c r="P1258" s="659"/>
    </row>
    <row r="1259" spans="1:16" ht="15.75" x14ac:dyDescent="0.2">
      <c r="A1259" s="736"/>
      <c r="B1259" s="738"/>
      <c r="C1259" s="788" t="s">
        <v>1159</v>
      </c>
      <c r="D1259" s="656"/>
      <c r="E1259" s="629"/>
      <c r="F1259" s="657"/>
      <c r="G1259" s="658"/>
      <c r="H1259" s="658"/>
      <c r="I1259" s="658"/>
      <c r="J1259" s="658"/>
      <c r="K1259" s="658"/>
      <c r="L1259" s="609"/>
      <c r="M1259" s="609"/>
      <c r="N1259" s="657"/>
      <c r="O1259" s="658"/>
      <c r="P1259" s="659"/>
    </row>
    <row r="1260" spans="1:16" x14ac:dyDescent="0.2">
      <c r="A1260" s="736"/>
      <c r="B1260" s="738"/>
      <c r="C1260" s="739"/>
      <c r="D1260" s="656"/>
      <c r="E1260" s="629"/>
      <c r="F1260" s="657"/>
      <c r="G1260" s="658"/>
      <c r="H1260" s="658"/>
      <c r="I1260" s="658"/>
      <c r="J1260" s="658"/>
      <c r="K1260" s="658"/>
      <c r="L1260" s="609"/>
      <c r="M1260" s="609"/>
      <c r="N1260" s="657"/>
      <c r="O1260" s="658"/>
      <c r="P1260" s="659"/>
    </row>
    <row r="1261" spans="1:16" ht="41.25" customHeight="1" x14ac:dyDescent="0.2">
      <c r="A1261" s="734" t="s">
        <v>0</v>
      </c>
      <c r="B1261" s="752" t="s">
        <v>1658</v>
      </c>
      <c r="C1261" s="678" t="e">
        <f>#REF!</f>
        <v>#REF!</v>
      </c>
      <c r="D1261" s="662" t="s">
        <v>799</v>
      </c>
      <c r="E1261" s="663" t="s">
        <v>628</v>
      </c>
      <c r="F1261" s="633"/>
      <c r="G1261" s="664"/>
      <c r="H1261" s="664"/>
      <c r="I1261" s="664"/>
      <c r="J1261" s="664"/>
      <c r="K1261" s="664"/>
      <c r="L1261" s="609"/>
      <c r="M1261" s="609"/>
      <c r="O1261" s="631"/>
    </row>
    <row r="1262" spans="1:16" ht="14.25" customHeight="1" x14ac:dyDescent="0.2">
      <c r="A1262" s="734"/>
      <c r="B1262" s="752"/>
      <c r="C1262" s="665" t="s">
        <v>925</v>
      </c>
      <c r="D1262" s="662"/>
      <c r="E1262" s="661">
        <v>1</v>
      </c>
      <c r="F1262" s="662"/>
      <c r="G1262" s="631"/>
      <c r="H1262" s="631"/>
      <c r="I1262" s="631"/>
      <c r="J1262" s="631"/>
      <c r="K1262" s="631"/>
      <c r="L1262" s="609"/>
      <c r="M1262" s="609"/>
      <c r="N1262" s="666" t="s">
        <v>799</v>
      </c>
      <c r="O1262" s="631">
        <f>E1262</f>
        <v>1</v>
      </c>
      <c r="P1262" s="657" t="s">
        <v>2</v>
      </c>
    </row>
    <row r="1263" spans="1:16" ht="13.5" thickBot="1" x14ac:dyDescent="0.25">
      <c r="A1263" s="736"/>
      <c r="B1263" s="737"/>
      <c r="C1263" s="665" t="s">
        <v>926</v>
      </c>
      <c r="E1263" s="661">
        <v>1</v>
      </c>
      <c r="F1263" s="662"/>
      <c r="G1263" s="631"/>
      <c r="H1263" s="631"/>
      <c r="I1263" s="631"/>
      <c r="J1263" s="631"/>
      <c r="K1263" s="631"/>
      <c r="L1263" s="609"/>
      <c r="M1263" s="609"/>
      <c r="N1263" s="666" t="s">
        <v>799</v>
      </c>
      <c r="O1263" s="631">
        <f>E1263</f>
        <v>1</v>
      </c>
      <c r="P1263" s="657" t="s">
        <v>2</v>
      </c>
    </row>
    <row r="1264" spans="1:16" ht="13.5" thickBot="1" x14ac:dyDescent="0.25">
      <c r="A1264" s="736"/>
      <c r="B1264" s="737"/>
      <c r="C1264" s="737"/>
      <c r="F1264" s="666"/>
      <c r="G1264" s="631"/>
      <c r="H1264" s="631"/>
      <c r="I1264" s="631"/>
      <c r="J1264" s="631"/>
      <c r="K1264" s="631"/>
      <c r="L1264" s="609"/>
      <c r="M1264" s="609"/>
      <c r="N1264" s="666"/>
      <c r="O1264" s="668">
        <f>ROUND((SUM(O1262:O1263)),2)</f>
        <v>2</v>
      </c>
      <c r="P1264" s="669" t="s">
        <v>2</v>
      </c>
    </row>
    <row r="1265" spans="1:16" x14ac:dyDescent="0.2">
      <c r="A1265" s="736"/>
      <c r="B1265" s="737"/>
      <c r="C1265" s="737"/>
      <c r="E1265" s="629"/>
      <c r="G1265" s="631"/>
      <c r="H1265" s="631"/>
      <c r="I1265" s="631"/>
      <c r="J1265" s="631"/>
      <c r="K1265" s="631"/>
      <c r="L1265" s="609"/>
      <c r="M1265" s="609"/>
      <c r="O1265" s="631"/>
    </row>
    <row r="1266" spans="1:16" ht="124.5" customHeight="1" x14ac:dyDescent="0.2">
      <c r="A1266" s="734" t="s">
        <v>0</v>
      </c>
      <c r="B1266" s="752" t="s">
        <v>1659</v>
      </c>
      <c r="C1266" s="751" t="e">
        <f>#REF!</f>
        <v>#REF!</v>
      </c>
      <c r="D1266" s="662" t="s">
        <v>799</v>
      </c>
      <c r="E1266" s="663" t="s">
        <v>864</v>
      </c>
      <c r="F1266" s="633"/>
      <c r="G1266" s="664"/>
      <c r="H1266" s="664"/>
      <c r="I1266" s="664"/>
      <c r="J1266" s="664"/>
      <c r="K1266" s="664"/>
      <c r="L1266" s="609"/>
      <c r="M1266" s="609"/>
      <c r="O1266" s="631"/>
    </row>
    <row r="1267" spans="1:16" ht="13.5" thickBot="1" x14ac:dyDescent="0.25">
      <c r="A1267" s="736"/>
      <c r="B1267" s="737"/>
      <c r="C1267" s="665" t="s">
        <v>1669</v>
      </c>
      <c r="E1267" s="661">
        <v>203.35</v>
      </c>
      <c r="F1267" s="662"/>
      <c r="G1267" s="631"/>
      <c r="H1267" s="631"/>
      <c r="I1267" s="631"/>
      <c r="J1267" s="631"/>
      <c r="K1267" s="631"/>
      <c r="L1267" s="609"/>
      <c r="M1267" s="609"/>
      <c r="N1267" s="666" t="s">
        <v>799</v>
      </c>
      <c r="O1267" s="631">
        <f>E1267</f>
        <v>203.35</v>
      </c>
      <c r="P1267" s="657" t="s">
        <v>6</v>
      </c>
    </row>
    <row r="1268" spans="1:16" ht="13.5" thickBot="1" x14ac:dyDescent="0.25">
      <c r="A1268" s="736"/>
      <c r="B1268" s="737"/>
      <c r="C1268" s="737"/>
      <c r="F1268" s="666"/>
      <c r="G1268" s="631"/>
      <c r="H1268" s="631"/>
      <c r="I1268" s="631"/>
      <c r="J1268" s="631"/>
      <c r="K1268" s="631"/>
      <c r="L1268" s="609"/>
      <c r="M1268" s="609"/>
      <c r="N1268" s="666"/>
      <c r="O1268" s="668">
        <f>ROUND((SUM(O1267:O1267)),2)</f>
        <v>203.35</v>
      </c>
      <c r="P1268" s="669" t="s">
        <v>6</v>
      </c>
    </row>
    <row r="1269" spans="1:16" x14ac:dyDescent="0.2">
      <c r="A1269" s="734" t="s">
        <v>0</v>
      </c>
      <c r="B1269" s="735" t="s">
        <v>1660</v>
      </c>
      <c r="C1269" s="678" t="e">
        <f>#REF!</f>
        <v>#REF!</v>
      </c>
      <c r="D1269" s="662" t="s">
        <v>799</v>
      </c>
      <c r="E1269" s="663" t="s">
        <v>864</v>
      </c>
      <c r="F1269" s="633"/>
      <c r="G1269" s="664"/>
      <c r="H1269" s="664"/>
      <c r="I1269" s="664"/>
      <c r="J1269" s="664"/>
      <c r="K1269" s="664"/>
      <c r="L1269" s="664"/>
      <c r="M1269" s="664"/>
      <c r="O1269" s="631"/>
    </row>
    <row r="1270" spans="1:16" ht="13.5" thickBot="1" x14ac:dyDescent="0.25">
      <c r="A1270" s="736"/>
      <c r="B1270" s="737"/>
      <c r="C1270" s="665" t="s">
        <v>916</v>
      </c>
      <c r="E1270" s="661">
        <v>6</v>
      </c>
      <c r="F1270" s="662"/>
      <c r="G1270" s="631"/>
      <c r="H1270" s="631"/>
      <c r="I1270" s="631"/>
      <c r="J1270" s="631"/>
      <c r="K1270" s="631"/>
      <c r="L1270" s="631"/>
      <c r="M1270" s="631"/>
      <c r="N1270" s="666" t="s">
        <v>799</v>
      </c>
      <c r="O1270" s="631">
        <f>E1270</f>
        <v>6</v>
      </c>
      <c r="P1270" s="657" t="s">
        <v>6</v>
      </c>
    </row>
    <row r="1271" spans="1:16" ht="13.5" thickBot="1" x14ac:dyDescent="0.25">
      <c r="A1271" s="736"/>
      <c r="B1271" s="737"/>
      <c r="C1271" s="667"/>
      <c r="F1271" s="666"/>
      <c r="G1271" s="631"/>
      <c r="H1271" s="631"/>
      <c r="I1271" s="631"/>
      <c r="J1271" s="631"/>
      <c r="K1271" s="631"/>
      <c r="L1271" s="631"/>
      <c r="M1271" s="631"/>
      <c r="N1271" s="666"/>
      <c r="O1271" s="668">
        <f>ROUND((SUM(O1270:O1270)),2)</f>
        <v>6</v>
      </c>
      <c r="P1271" s="669" t="s">
        <v>6</v>
      </c>
    </row>
    <row r="1272" spans="1:16" ht="49.5" customHeight="1" x14ac:dyDescent="0.2">
      <c r="A1272" s="734" t="s">
        <v>0</v>
      </c>
      <c r="B1272" s="735" t="s">
        <v>1661</v>
      </c>
      <c r="C1272" s="678" t="e">
        <f>#REF!</f>
        <v>#REF!</v>
      </c>
      <c r="D1272" s="662" t="s">
        <v>799</v>
      </c>
      <c r="E1272" s="663" t="s">
        <v>628</v>
      </c>
      <c r="F1272" s="633"/>
      <c r="G1272" s="664"/>
      <c r="H1272" s="664"/>
      <c r="I1272" s="664"/>
      <c r="J1272" s="664"/>
      <c r="K1272" s="664"/>
      <c r="L1272" s="664"/>
      <c r="M1272" s="664"/>
      <c r="O1272" s="631"/>
    </row>
    <row r="1273" spans="1:16" ht="23.25" thickBot="1" x14ac:dyDescent="0.25">
      <c r="A1273" s="736"/>
      <c r="B1273" s="737"/>
      <c r="C1273" s="710" t="s">
        <v>1072</v>
      </c>
      <c r="E1273" s="661">
        <v>3</v>
      </c>
      <c r="F1273" s="662"/>
      <c r="G1273" s="631"/>
      <c r="H1273" s="658"/>
      <c r="I1273" s="631"/>
      <c r="J1273" s="631"/>
      <c r="K1273" s="631"/>
      <c r="L1273" s="631"/>
      <c r="M1273" s="631"/>
      <c r="N1273" s="666" t="s">
        <v>799</v>
      </c>
      <c r="O1273" s="631">
        <f>E1273</f>
        <v>3</v>
      </c>
      <c r="P1273" s="657" t="s">
        <v>2</v>
      </c>
    </row>
    <row r="1274" spans="1:16" ht="13.5" thickBot="1" x14ac:dyDescent="0.25">
      <c r="A1274" s="736"/>
      <c r="B1274" s="737"/>
      <c r="C1274" s="667"/>
      <c r="F1274" s="666"/>
      <c r="G1274" s="631"/>
      <c r="H1274" s="631"/>
      <c r="I1274" s="631"/>
      <c r="J1274" s="631"/>
      <c r="K1274" s="631"/>
      <c r="L1274" s="631"/>
      <c r="M1274" s="631"/>
      <c r="N1274" s="666"/>
      <c r="O1274" s="668">
        <f>ROUND((SUM(O1273:O1273)),2)</f>
        <v>3</v>
      </c>
      <c r="P1274" s="669" t="s">
        <v>2</v>
      </c>
    </row>
    <row r="1275" spans="1:16" ht="54" customHeight="1" x14ac:dyDescent="0.2">
      <c r="A1275" s="734" t="s">
        <v>0</v>
      </c>
      <c r="B1275" s="735" t="s">
        <v>1662</v>
      </c>
      <c r="C1275" s="678" t="e">
        <f>#REF!</f>
        <v>#REF!</v>
      </c>
      <c r="D1275" s="662" t="s">
        <v>799</v>
      </c>
      <c r="E1275" s="663" t="s">
        <v>864</v>
      </c>
      <c r="F1275" s="633"/>
      <c r="G1275" s="664" t="s">
        <v>884</v>
      </c>
      <c r="H1275" s="664"/>
      <c r="I1275" s="664" t="s">
        <v>628</v>
      </c>
      <c r="J1275" s="664"/>
      <c r="K1275" s="664"/>
      <c r="L1275" s="664"/>
      <c r="M1275" s="664"/>
      <c r="O1275" s="631"/>
    </row>
    <row r="1276" spans="1:16" ht="22.5" x14ac:dyDescent="0.2">
      <c r="A1276" s="736"/>
      <c r="B1276" s="737"/>
      <c r="C1276" s="710" t="s">
        <v>1672</v>
      </c>
      <c r="E1276" s="944">
        <v>1.9</v>
      </c>
      <c r="F1276" s="662" t="s">
        <v>866</v>
      </c>
      <c r="G1276" s="671">
        <v>1.8</v>
      </c>
      <c r="H1276" s="945" t="s">
        <v>866</v>
      </c>
      <c r="I1276" s="671">
        <v>3</v>
      </c>
      <c r="J1276" s="671"/>
      <c r="K1276" s="671"/>
      <c r="L1276" s="671"/>
      <c r="M1276" s="671"/>
      <c r="N1276" s="666" t="s">
        <v>799</v>
      </c>
      <c r="O1276" s="671">
        <f>E1276*G1276*I1276</f>
        <v>10.26</v>
      </c>
      <c r="P1276" s="657" t="s">
        <v>4</v>
      </c>
    </row>
    <row r="1277" spans="1:16" ht="13.5" thickBot="1" x14ac:dyDescent="0.25">
      <c r="A1277" s="736"/>
      <c r="B1277" s="737"/>
      <c r="C1277" s="710"/>
      <c r="E1277" s="944">
        <v>2.2000000000000002</v>
      </c>
      <c r="F1277" s="662" t="s">
        <v>866</v>
      </c>
      <c r="G1277" s="671">
        <v>1.8</v>
      </c>
      <c r="H1277" s="945" t="s">
        <v>866</v>
      </c>
      <c r="I1277" s="671">
        <v>1</v>
      </c>
      <c r="J1277" s="671"/>
      <c r="K1277" s="671"/>
      <c r="L1277" s="671"/>
      <c r="M1277" s="671"/>
      <c r="N1277" s="666" t="s">
        <v>799</v>
      </c>
      <c r="O1277" s="671">
        <f>E1277*G1277*I1277</f>
        <v>3.9600000000000004</v>
      </c>
      <c r="P1277" s="657" t="s">
        <v>4</v>
      </c>
    </row>
    <row r="1278" spans="1:16" ht="13.5" thickBot="1" x14ac:dyDescent="0.25">
      <c r="A1278" s="736"/>
      <c r="B1278" s="737"/>
      <c r="C1278" s="667"/>
      <c r="F1278" s="666"/>
      <c r="G1278" s="631"/>
      <c r="H1278" s="631"/>
      <c r="I1278" s="631"/>
      <c r="J1278" s="631"/>
      <c r="K1278" s="631"/>
      <c r="L1278" s="631"/>
      <c r="M1278" s="631"/>
      <c r="N1278" s="666"/>
      <c r="O1278" s="668">
        <f>ROUND((SUM(O1276:O1277)),2)</f>
        <v>14.22</v>
      </c>
      <c r="P1278" s="669" t="s">
        <v>4</v>
      </c>
    </row>
    <row r="1279" spans="1:16" ht="105" customHeight="1" x14ac:dyDescent="0.2">
      <c r="A1279" s="734" t="s">
        <v>0</v>
      </c>
      <c r="B1279" s="735" t="s">
        <v>1706</v>
      </c>
      <c r="C1279" s="678" t="e">
        <f>#REF!</f>
        <v>#REF!</v>
      </c>
      <c r="D1279" s="662" t="s">
        <v>799</v>
      </c>
      <c r="E1279" s="663" t="s">
        <v>628</v>
      </c>
      <c r="F1279" s="633"/>
      <c r="G1279" s="664"/>
      <c r="H1279" s="664"/>
      <c r="I1279" s="664"/>
      <c r="J1279" s="664"/>
      <c r="K1279" s="664"/>
      <c r="L1279" s="664"/>
      <c r="M1279" s="664"/>
      <c r="O1279" s="631"/>
    </row>
    <row r="1280" spans="1:16" ht="13.5" thickBot="1" x14ac:dyDescent="0.25">
      <c r="A1280" s="736"/>
      <c r="B1280" s="737"/>
      <c r="C1280" s="710" t="s">
        <v>1707</v>
      </c>
      <c r="E1280" s="944">
        <v>1</v>
      </c>
      <c r="F1280" s="662"/>
      <c r="G1280" s="671"/>
      <c r="H1280" s="945"/>
      <c r="I1280" s="671"/>
      <c r="J1280" s="671"/>
      <c r="K1280" s="671"/>
      <c r="L1280" s="671"/>
      <c r="M1280" s="671"/>
      <c r="N1280" s="666" t="s">
        <v>799</v>
      </c>
      <c r="O1280" s="671">
        <f>E1280</f>
        <v>1</v>
      </c>
      <c r="P1280" s="657" t="s">
        <v>2</v>
      </c>
    </row>
    <row r="1281" spans="1:16" ht="13.5" thickBot="1" x14ac:dyDescent="0.25">
      <c r="A1281" s="736"/>
      <c r="B1281" s="737"/>
      <c r="C1281" s="667"/>
      <c r="F1281" s="666"/>
      <c r="G1281" s="631"/>
      <c r="H1281" s="631"/>
      <c r="I1281" s="631"/>
      <c r="J1281" s="631"/>
      <c r="K1281" s="631"/>
      <c r="L1281" s="631"/>
      <c r="M1281" s="631"/>
      <c r="N1281" s="666"/>
      <c r="O1281" s="668">
        <f>ROUND((SUM(O1280:O1280)),2)</f>
        <v>1</v>
      </c>
      <c r="P1281" s="669" t="s">
        <v>2</v>
      </c>
    </row>
    <row r="1282" spans="1:16" x14ac:dyDescent="0.2">
      <c r="B1282" s="660"/>
      <c r="C1282" s="660"/>
      <c r="E1282" s="629"/>
      <c r="G1282" s="631"/>
      <c r="H1282" s="631"/>
      <c r="I1282" s="631"/>
      <c r="J1282" s="631"/>
      <c r="K1282" s="631"/>
      <c r="L1282" s="631"/>
      <c r="M1282" s="631"/>
      <c r="O1282" s="631"/>
    </row>
    <row r="1283" spans="1:16" x14ac:dyDescent="0.2">
      <c r="B1283" s="660"/>
      <c r="C1283" s="660"/>
      <c r="E1283" s="629"/>
      <c r="G1283" s="631"/>
      <c r="H1283" s="631"/>
      <c r="I1283" s="631"/>
      <c r="J1283" s="631"/>
      <c r="K1283" s="631"/>
      <c r="L1283" s="631"/>
      <c r="M1283" s="631"/>
      <c r="O1283" s="631"/>
    </row>
    <row r="1284" spans="1:16" ht="15.75" x14ac:dyDescent="0.2">
      <c r="A1284" s="1904" t="s">
        <v>1678</v>
      </c>
      <c r="B1284" s="1904"/>
      <c r="C1284" s="1904"/>
      <c r="D1284" s="1904"/>
      <c r="E1284" s="1904"/>
      <c r="F1284" s="1904"/>
      <c r="G1284" s="1904"/>
      <c r="H1284" s="1904"/>
      <c r="I1284" s="1904"/>
      <c r="J1284" s="1904"/>
      <c r="K1284" s="1904"/>
      <c r="L1284" s="1904"/>
      <c r="M1284" s="1904"/>
      <c r="N1284" s="1904"/>
      <c r="O1284" s="1904"/>
      <c r="P1284" s="1904"/>
    </row>
    <row r="1285" spans="1:16" ht="15.75" x14ac:dyDescent="0.2">
      <c r="A1285" s="787"/>
      <c r="B1285" s="787"/>
      <c r="C1285" s="787"/>
      <c r="D1285" s="787"/>
      <c r="E1285" s="787"/>
      <c r="F1285" s="787"/>
      <c r="G1285" s="787"/>
      <c r="H1285" s="787"/>
      <c r="I1285" s="787"/>
      <c r="J1285" s="787"/>
      <c r="K1285" s="787"/>
      <c r="L1285" s="787"/>
      <c r="M1285" s="787"/>
      <c r="N1285" s="787"/>
      <c r="O1285" s="787"/>
      <c r="P1285" s="787"/>
    </row>
    <row r="1286" spans="1:16" ht="15.75" x14ac:dyDescent="0.2">
      <c r="B1286" s="660"/>
      <c r="C1286" s="788" t="s">
        <v>1159</v>
      </c>
      <c r="E1286" s="629"/>
      <c r="G1286" s="631"/>
      <c r="H1286" s="631"/>
      <c r="I1286" s="631"/>
      <c r="J1286" s="631"/>
      <c r="K1286" s="631"/>
      <c r="L1286" s="631"/>
      <c r="M1286" s="631"/>
      <c r="O1286" s="631"/>
    </row>
    <row r="1287" spans="1:16" ht="52.5" customHeight="1" x14ac:dyDescent="0.2">
      <c r="A1287" s="734" t="s">
        <v>0</v>
      </c>
      <c r="B1287" s="735" t="s">
        <v>1361</v>
      </c>
      <c r="C1287" s="678" t="e">
        <f>#REF!</f>
        <v>#REF!</v>
      </c>
      <c r="D1287" s="662" t="s">
        <v>799</v>
      </c>
      <c r="E1287" s="663" t="s">
        <v>864</v>
      </c>
      <c r="F1287" s="633"/>
      <c r="G1287" s="664" t="s">
        <v>865</v>
      </c>
      <c r="H1287" s="664"/>
      <c r="I1287" s="664" t="s">
        <v>628</v>
      </c>
      <c r="J1287" s="664"/>
      <c r="K1287" s="664"/>
      <c r="L1287" s="664"/>
      <c r="M1287" s="664"/>
      <c r="O1287" s="631"/>
    </row>
    <row r="1288" spans="1:16" x14ac:dyDescent="0.2">
      <c r="A1288" s="736"/>
      <c r="B1288" s="737"/>
      <c r="C1288" s="665" t="s">
        <v>902</v>
      </c>
      <c r="E1288" s="661">
        <v>22.8</v>
      </c>
      <c r="F1288" s="662" t="s">
        <v>866</v>
      </c>
      <c r="G1288" s="631">
        <v>11.65</v>
      </c>
      <c r="H1288" s="631" t="s">
        <v>866</v>
      </c>
      <c r="I1288" s="631">
        <v>1</v>
      </c>
      <c r="J1288" s="631"/>
      <c r="K1288" s="631"/>
      <c r="L1288" s="631"/>
      <c r="M1288" s="631"/>
      <c r="N1288" s="666" t="s">
        <v>799</v>
      </c>
      <c r="O1288" s="631">
        <f>E1288*G1288*I1288</f>
        <v>265.62</v>
      </c>
      <c r="P1288" s="630" t="s">
        <v>4</v>
      </c>
    </row>
    <row r="1289" spans="1:16" x14ac:dyDescent="0.2">
      <c r="A1289" s="736"/>
      <c r="B1289" s="737"/>
      <c r="C1289" s="665" t="s">
        <v>904</v>
      </c>
      <c r="E1289" s="661">
        <v>1.9</v>
      </c>
      <c r="F1289" s="662" t="s">
        <v>866</v>
      </c>
      <c r="G1289" s="631">
        <v>1.9</v>
      </c>
      <c r="H1289" s="631" t="s">
        <v>866</v>
      </c>
      <c r="I1289" s="631">
        <v>2</v>
      </c>
      <c r="J1289" s="631"/>
      <c r="K1289" s="631"/>
      <c r="L1289" s="631"/>
      <c r="M1289" s="631"/>
      <c r="N1289" s="666" t="s">
        <v>799</v>
      </c>
      <c r="O1289" s="631">
        <f>E1289*G1289*I1289</f>
        <v>7.22</v>
      </c>
      <c r="P1289" s="630" t="s">
        <v>4</v>
      </c>
    </row>
    <row r="1290" spans="1:16" x14ac:dyDescent="0.2">
      <c r="A1290" s="736"/>
      <c r="B1290" s="737"/>
      <c r="C1290" s="665" t="s">
        <v>1090</v>
      </c>
      <c r="E1290" s="661">
        <v>1.8</v>
      </c>
      <c r="F1290" s="662" t="s">
        <v>866</v>
      </c>
      <c r="G1290" s="631">
        <v>2.1</v>
      </c>
      <c r="H1290" s="631" t="s">
        <v>866</v>
      </c>
      <c r="I1290" s="631">
        <v>2</v>
      </c>
      <c r="J1290" s="631"/>
      <c r="K1290" s="631"/>
      <c r="L1290" s="631"/>
      <c r="M1290" s="631"/>
      <c r="N1290" s="666" t="s">
        <v>799</v>
      </c>
      <c r="O1290" s="631">
        <f>E1290*G1290*I1290</f>
        <v>7.5600000000000005</v>
      </c>
      <c r="P1290" s="630" t="s">
        <v>4</v>
      </c>
    </row>
    <row r="1291" spans="1:16" ht="13.5" thickBot="1" x14ac:dyDescent="0.25">
      <c r="A1291" s="736"/>
      <c r="B1291" s="737"/>
      <c r="C1291" s="665" t="s">
        <v>1091</v>
      </c>
      <c r="E1291" s="661">
        <v>1.8</v>
      </c>
      <c r="F1291" s="662" t="s">
        <v>866</v>
      </c>
      <c r="G1291" s="631">
        <v>2.6</v>
      </c>
      <c r="H1291" s="631" t="s">
        <v>866</v>
      </c>
      <c r="I1291" s="631">
        <v>1</v>
      </c>
      <c r="J1291" s="631"/>
      <c r="K1291" s="631"/>
      <c r="L1291" s="631"/>
      <c r="M1291" s="631"/>
      <c r="N1291" s="666" t="s">
        <v>799</v>
      </c>
      <c r="O1291" s="631">
        <f>E1291*G1291*I1291</f>
        <v>4.6800000000000006</v>
      </c>
      <c r="P1291" s="630" t="s">
        <v>4</v>
      </c>
    </row>
    <row r="1292" spans="1:16" ht="13.5" thickBot="1" x14ac:dyDescent="0.25">
      <c r="A1292" s="736"/>
      <c r="B1292" s="737"/>
      <c r="C1292" s="667"/>
      <c r="F1292" s="666"/>
      <c r="G1292" s="631"/>
      <c r="H1292" s="631"/>
      <c r="I1292" s="631"/>
      <c r="J1292" s="631"/>
      <c r="K1292" s="631"/>
      <c r="L1292" s="631"/>
      <c r="M1292" s="631"/>
      <c r="N1292" s="666"/>
      <c r="O1292" s="668">
        <f>ROUND((SUM(O1288:O1291)),2)</f>
        <v>285.08</v>
      </c>
      <c r="P1292" s="669" t="s">
        <v>4</v>
      </c>
    </row>
    <row r="1293" spans="1:16" x14ac:dyDescent="0.2">
      <c r="A1293" s="736"/>
      <c r="B1293" s="737"/>
      <c r="C1293" s="667"/>
      <c r="F1293" s="666"/>
      <c r="G1293" s="631"/>
      <c r="H1293" s="631"/>
      <c r="I1293" s="631"/>
      <c r="J1293" s="631"/>
      <c r="K1293" s="631"/>
      <c r="L1293" s="631"/>
      <c r="M1293" s="631"/>
      <c r="N1293" s="666"/>
      <c r="O1293" s="632"/>
      <c r="P1293" s="633"/>
    </row>
    <row r="1294" spans="1:16" x14ac:dyDescent="0.2">
      <c r="A1294" s="736"/>
      <c r="B1294" s="737"/>
      <c r="C1294" s="667"/>
      <c r="F1294" s="666"/>
      <c r="G1294" s="631"/>
      <c r="H1294" s="631"/>
      <c r="I1294" s="631"/>
      <c r="J1294" s="631"/>
      <c r="K1294" s="631"/>
      <c r="L1294" s="631"/>
      <c r="M1294" s="631"/>
      <c r="N1294" s="666"/>
      <c r="O1294" s="632"/>
      <c r="P1294" s="633"/>
    </row>
    <row r="1295" spans="1:16" x14ac:dyDescent="0.2">
      <c r="A1295" s="736"/>
      <c r="B1295" s="737"/>
      <c r="C1295" s="667"/>
      <c r="F1295" s="666"/>
      <c r="G1295" s="631"/>
      <c r="H1295" s="631"/>
      <c r="I1295" s="631"/>
      <c r="J1295" s="631"/>
      <c r="K1295" s="631"/>
      <c r="L1295" s="631"/>
      <c r="M1295" s="631"/>
      <c r="N1295" s="666"/>
      <c r="O1295" s="632"/>
      <c r="P1295" s="633"/>
    </row>
    <row r="1296" spans="1:16" x14ac:dyDescent="0.2">
      <c r="A1296" s="736"/>
      <c r="B1296" s="737"/>
      <c r="C1296" s="667"/>
      <c r="F1296" s="666"/>
      <c r="G1296" s="631"/>
      <c r="H1296" s="631"/>
      <c r="I1296" s="631"/>
      <c r="J1296" s="631"/>
      <c r="K1296" s="631"/>
      <c r="L1296" s="631"/>
      <c r="M1296" s="631"/>
      <c r="N1296" s="666"/>
      <c r="O1296" s="632"/>
      <c r="P1296" s="633"/>
    </row>
    <row r="1297" spans="1:16" ht="36.75" customHeight="1" x14ac:dyDescent="0.2">
      <c r="A1297" s="734" t="s">
        <v>0</v>
      </c>
      <c r="B1297" s="735" t="s">
        <v>1362</v>
      </c>
      <c r="C1297" s="678" t="e">
        <f>#REF!</f>
        <v>#REF!</v>
      </c>
      <c r="D1297" s="662" t="s">
        <v>799</v>
      </c>
      <c r="E1297" s="663" t="s">
        <v>864</v>
      </c>
      <c r="F1297" s="633"/>
      <c r="G1297" s="664" t="s">
        <v>865</v>
      </c>
      <c r="H1297" s="664"/>
      <c r="I1297" s="664" t="s">
        <v>883</v>
      </c>
      <c r="J1297" s="664"/>
      <c r="K1297" s="664" t="s">
        <v>628</v>
      </c>
      <c r="L1297" s="664"/>
      <c r="M1297" s="664"/>
      <c r="O1297" s="631"/>
    </row>
    <row r="1298" spans="1:16" x14ac:dyDescent="0.2">
      <c r="A1298" s="736"/>
      <c r="B1298" s="737"/>
      <c r="C1298" s="665" t="s">
        <v>902</v>
      </c>
      <c r="E1298" s="661">
        <v>24.8</v>
      </c>
      <c r="F1298" s="662" t="s">
        <v>866</v>
      </c>
      <c r="G1298" s="631">
        <v>13.65</v>
      </c>
      <c r="H1298" s="631" t="s">
        <v>866</v>
      </c>
      <c r="I1298" s="631">
        <v>4</v>
      </c>
      <c r="J1298" s="658" t="s">
        <v>866</v>
      </c>
      <c r="K1298" s="631">
        <v>1</v>
      </c>
      <c r="L1298" s="631"/>
      <c r="M1298" s="631"/>
      <c r="N1298" s="666" t="s">
        <v>799</v>
      </c>
      <c r="O1298" s="631">
        <f>E1298*G1298*I1298*K1298</f>
        <v>1354.0800000000002</v>
      </c>
      <c r="P1298" s="630" t="s">
        <v>12</v>
      </c>
    </row>
    <row r="1299" spans="1:16" x14ac:dyDescent="0.2">
      <c r="A1299" s="736"/>
      <c r="B1299" s="737"/>
      <c r="C1299" s="665" t="s">
        <v>904</v>
      </c>
      <c r="E1299" s="661">
        <v>2.9</v>
      </c>
      <c r="F1299" s="662" t="s">
        <v>866</v>
      </c>
      <c r="G1299" s="631">
        <v>2.9</v>
      </c>
      <c r="H1299" s="631" t="s">
        <v>866</v>
      </c>
      <c r="I1299" s="631">
        <v>1.3</v>
      </c>
      <c r="J1299" s="658" t="s">
        <v>866</v>
      </c>
      <c r="K1299" s="631">
        <v>2</v>
      </c>
      <c r="L1299" s="631"/>
      <c r="M1299" s="631"/>
      <c r="N1299" s="666" t="s">
        <v>799</v>
      </c>
      <c r="O1299" s="631">
        <f>E1299*G1299*I1299*K1299</f>
        <v>21.866</v>
      </c>
      <c r="P1299" s="630" t="s">
        <v>905</v>
      </c>
    </row>
    <row r="1300" spans="1:16" x14ac:dyDescent="0.2">
      <c r="A1300" s="736"/>
      <c r="B1300" s="737"/>
      <c r="C1300" s="665" t="s">
        <v>1090</v>
      </c>
      <c r="E1300" s="661">
        <v>2.8</v>
      </c>
      <c r="F1300" s="662" t="s">
        <v>866</v>
      </c>
      <c r="G1300" s="631">
        <v>4.0999999999999996</v>
      </c>
      <c r="H1300" s="631" t="s">
        <v>866</v>
      </c>
      <c r="I1300" s="631">
        <v>4</v>
      </c>
      <c r="J1300" s="658" t="s">
        <v>866</v>
      </c>
      <c r="K1300" s="631">
        <v>2</v>
      </c>
      <c r="L1300" s="631"/>
      <c r="M1300" s="631"/>
      <c r="N1300" s="666" t="s">
        <v>799</v>
      </c>
      <c r="O1300" s="631">
        <f>E1300*G1300*I1300*K1300</f>
        <v>91.839999999999989</v>
      </c>
      <c r="P1300" s="630" t="s">
        <v>906</v>
      </c>
    </row>
    <row r="1301" spans="1:16" ht="13.5" thickBot="1" x14ac:dyDescent="0.25">
      <c r="A1301" s="736"/>
      <c r="B1301" s="737"/>
      <c r="C1301" s="665" t="s">
        <v>1091</v>
      </c>
      <c r="E1301" s="661">
        <v>2.8</v>
      </c>
      <c r="F1301" s="662" t="s">
        <v>866</v>
      </c>
      <c r="G1301" s="631">
        <v>4.5999999999999996</v>
      </c>
      <c r="H1301" s="631" t="s">
        <v>866</v>
      </c>
      <c r="I1301" s="631">
        <v>4</v>
      </c>
      <c r="J1301" s="658" t="s">
        <v>866</v>
      </c>
      <c r="K1301" s="631">
        <v>1</v>
      </c>
      <c r="L1301" s="631"/>
      <c r="M1301" s="631"/>
      <c r="N1301" s="666" t="s">
        <v>799</v>
      </c>
      <c r="O1301" s="631">
        <f>E1301*G1301*I1301*K1301</f>
        <v>51.519999999999996</v>
      </c>
      <c r="P1301" s="630" t="s">
        <v>12</v>
      </c>
    </row>
    <row r="1302" spans="1:16" ht="13.5" thickBot="1" x14ac:dyDescent="0.25">
      <c r="A1302" s="736"/>
      <c r="B1302" s="737"/>
      <c r="C1302" s="667"/>
      <c r="F1302" s="666"/>
      <c r="G1302" s="631"/>
      <c r="H1302" s="631"/>
      <c r="I1302" s="631"/>
      <c r="J1302" s="631"/>
      <c r="K1302" s="631"/>
      <c r="L1302" s="631"/>
      <c r="M1302" s="631"/>
      <c r="N1302" s="666"/>
      <c r="O1302" s="668">
        <f>ROUND((SUM(O1298:O1301)),2)</f>
        <v>1519.31</v>
      </c>
      <c r="P1302" s="669" t="s">
        <v>12</v>
      </c>
    </row>
    <row r="1303" spans="1:16" x14ac:dyDescent="0.2">
      <c r="A1303" s="734" t="s">
        <v>0</v>
      </c>
      <c r="B1303" s="735" t="s">
        <v>1363</v>
      </c>
      <c r="C1303" s="751" t="e">
        <f>#REF!</f>
        <v>#REF!</v>
      </c>
      <c r="D1303" s="662" t="s">
        <v>799</v>
      </c>
      <c r="E1303" s="663" t="s">
        <v>864</v>
      </c>
      <c r="F1303" s="633"/>
      <c r="G1303" s="664" t="s">
        <v>865</v>
      </c>
      <c r="H1303" s="664"/>
      <c r="I1303" s="664" t="s">
        <v>883</v>
      </c>
      <c r="J1303" s="664"/>
      <c r="K1303" s="664" t="s">
        <v>628</v>
      </c>
      <c r="L1303" s="664"/>
      <c r="M1303" s="664" t="s">
        <v>977</v>
      </c>
      <c r="O1303" s="631"/>
    </row>
    <row r="1304" spans="1:16" x14ac:dyDescent="0.2">
      <c r="A1304" s="736"/>
      <c r="B1304" s="737"/>
      <c r="C1304" s="665" t="s">
        <v>902</v>
      </c>
      <c r="E1304" s="661">
        <v>24.8</v>
      </c>
      <c r="F1304" s="662" t="s">
        <v>866</v>
      </c>
      <c r="G1304" s="631">
        <v>13.65</v>
      </c>
      <c r="H1304" s="631" t="s">
        <v>866</v>
      </c>
      <c r="I1304" s="631">
        <v>4</v>
      </c>
      <c r="J1304" s="658" t="s">
        <v>866</v>
      </c>
      <c r="K1304" s="631">
        <v>1</v>
      </c>
      <c r="L1304" s="658" t="s">
        <v>866</v>
      </c>
      <c r="M1304" s="631">
        <v>5</v>
      </c>
      <c r="N1304" s="666" t="s">
        <v>799</v>
      </c>
      <c r="O1304" s="631">
        <f>E1304*G1304*I1304*K1304*M1304</f>
        <v>6770.4000000000005</v>
      </c>
      <c r="P1304" s="657" t="s">
        <v>976</v>
      </c>
    </row>
    <row r="1305" spans="1:16" x14ac:dyDescent="0.2">
      <c r="A1305" s="736"/>
      <c r="B1305" s="737"/>
      <c r="C1305" s="665" t="s">
        <v>904</v>
      </c>
      <c r="E1305" s="661">
        <v>2.9</v>
      </c>
      <c r="F1305" s="662" t="s">
        <v>866</v>
      </c>
      <c r="G1305" s="631">
        <v>2.9</v>
      </c>
      <c r="H1305" s="631" t="s">
        <v>866</v>
      </c>
      <c r="I1305" s="631">
        <v>1.3</v>
      </c>
      <c r="J1305" s="658" t="s">
        <v>866</v>
      </c>
      <c r="K1305" s="631">
        <v>2</v>
      </c>
      <c r="L1305" s="658" t="s">
        <v>866</v>
      </c>
      <c r="M1305" s="631">
        <v>5</v>
      </c>
      <c r="N1305" s="666" t="s">
        <v>799</v>
      </c>
      <c r="O1305" s="631">
        <f>E1305*G1305*I1305*K1305*M1305</f>
        <v>109.33</v>
      </c>
      <c r="P1305" s="657" t="s">
        <v>976</v>
      </c>
    </row>
    <row r="1306" spans="1:16" x14ac:dyDescent="0.2">
      <c r="A1306" s="736"/>
      <c r="B1306" s="737"/>
      <c r="C1306" s="665" t="s">
        <v>1090</v>
      </c>
      <c r="E1306" s="661">
        <v>2.8</v>
      </c>
      <c r="F1306" s="662" t="s">
        <v>866</v>
      </c>
      <c r="G1306" s="631">
        <v>4.0999999999999996</v>
      </c>
      <c r="H1306" s="631" t="s">
        <v>866</v>
      </c>
      <c r="I1306" s="631">
        <v>4</v>
      </c>
      <c r="J1306" s="658" t="s">
        <v>866</v>
      </c>
      <c r="K1306" s="631">
        <v>2</v>
      </c>
      <c r="L1306" s="658" t="s">
        <v>866</v>
      </c>
      <c r="M1306" s="631">
        <v>5</v>
      </c>
      <c r="N1306" s="666" t="s">
        <v>799</v>
      </c>
      <c r="O1306" s="631">
        <f>E1306*G1306*I1306*K1306*M1306</f>
        <v>459.19999999999993</v>
      </c>
      <c r="P1306" s="657" t="s">
        <v>976</v>
      </c>
    </row>
    <row r="1307" spans="1:16" ht="13.5" thickBot="1" x14ac:dyDescent="0.25">
      <c r="A1307" s="736"/>
      <c r="B1307" s="737"/>
      <c r="C1307" s="665" t="s">
        <v>1091</v>
      </c>
      <c r="E1307" s="661">
        <v>2.8</v>
      </c>
      <c r="F1307" s="662" t="s">
        <v>866</v>
      </c>
      <c r="G1307" s="631">
        <v>4.5999999999999996</v>
      </c>
      <c r="H1307" s="631" t="s">
        <v>866</v>
      </c>
      <c r="I1307" s="631">
        <v>4</v>
      </c>
      <c r="J1307" s="658" t="s">
        <v>866</v>
      </c>
      <c r="K1307" s="631">
        <v>1</v>
      </c>
      <c r="L1307" s="658" t="s">
        <v>866</v>
      </c>
      <c r="M1307" s="631">
        <v>5</v>
      </c>
      <c r="N1307" s="666" t="s">
        <v>799</v>
      </c>
      <c r="O1307" s="631">
        <f>E1307*G1307*I1307*K1307*M1307</f>
        <v>257.59999999999997</v>
      </c>
      <c r="P1307" s="657" t="s">
        <v>976</v>
      </c>
    </row>
    <row r="1308" spans="1:16" ht="13.5" thickBot="1" x14ac:dyDescent="0.25">
      <c r="A1308" s="736"/>
      <c r="B1308" s="737"/>
      <c r="C1308" s="667"/>
      <c r="F1308" s="666"/>
      <c r="G1308" s="631"/>
      <c r="H1308" s="631"/>
      <c r="I1308" s="631"/>
      <c r="J1308" s="631"/>
      <c r="K1308" s="631"/>
      <c r="L1308" s="631"/>
      <c r="M1308" s="631"/>
      <c r="N1308" s="666"/>
      <c r="O1308" s="668">
        <f>ROUND((SUM(O1304:O1307)),2)</f>
        <v>7596.53</v>
      </c>
      <c r="P1308" s="669" t="s">
        <v>976</v>
      </c>
    </row>
    <row r="1309" spans="1:16" ht="56.25" customHeight="1" x14ac:dyDescent="0.2">
      <c r="A1309" s="734" t="s">
        <v>0</v>
      </c>
      <c r="B1309" s="735" t="s">
        <v>1364</v>
      </c>
      <c r="C1309" s="678" t="e">
        <f>#REF!</f>
        <v>#REF!</v>
      </c>
      <c r="D1309" s="662" t="s">
        <v>799</v>
      </c>
      <c r="E1309" s="663" t="s">
        <v>864</v>
      </c>
      <c r="F1309" s="633"/>
      <c r="G1309" s="664" t="s">
        <v>865</v>
      </c>
      <c r="H1309" s="664"/>
      <c r="I1309" s="664" t="s">
        <v>883</v>
      </c>
      <c r="J1309" s="664"/>
      <c r="K1309" s="664" t="s">
        <v>628</v>
      </c>
      <c r="L1309" s="664"/>
      <c r="M1309" s="664"/>
      <c r="O1309" s="631"/>
    </row>
    <row r="1310" spans="1:16" x14ac:dyDescent="0.2">
      <c r="A1310" s="736"/>
      <c r="B1310" s="737"/>
      <c r="C1310" s="665" t="s">
        <v>902</v>
      </c>
      <c r="E1310" s="661">
        <f>11.65+24.8+11.65+24.8</f>
        <v>72.900000000000006</v>
      </c>
      <c r="F1310" s="662" t="s">
        <v>866</v>
      </c>
      <c r="G1310" s="631">
        <v>1</v>
      </c>
      <c r="H1310" s="631" t="s">
        <v>866</v>
      </c>
      <c r="I1310" s="631">
        <v>3.95</v>
      </c>
      <c r="J1310" s="658" t="s">
        <v>866</v>
      </c>
      <c r="K1310" s="631">
        <v>1</v>
      </c>
      <c r="L1310" s="631"/>
      <c r="M1310" s="631"/>
      <c r="N1310" s="666" t="s">
        <v>799</v>
      </c>
      <c r="O1310" s="631">
        <f>E1310*G1310*I1310*K1310</f>
        <v>287.95500000000004</v>
      </c>
      <c r="P1310" s="630" t="s">
        <v>12</v>
      </c>
    </row>
    <row r="1311" spans="1:16" x14ac:dyDescent="0.2">
      <c r="A1311" s="736"/>
      <c r="B1311" s="737"/>
      <c r="C1311" s="665" t="s">
        <v>904</v>
      </c>
      <c r="E1311" s="661">
        <f>1.9+2.9+1.9+2.9</f>
        <v>9.6</v>
      </c>
      <c r="F1311" s="662" t="s">
        <v>866</v>
      </c>
      <c r="G1311" s="631">
        <v>0.5</v>
      </c>
      <c r="H1311" s="631" t="s">
        <v>866</v>
      </c>
      <c r="I1311" s="631">
        <v>1.3</v>
      </c>
      <c r="J1311" s="658" t="s">
        <v>866</v>
      </c>
      <c r="K1311" s="631">
        <v>2</v>
      </c>
      <c r="L1311" s="631"/>
      <c r="M1311" s="631"/>
      <c r="N1311" s="666" t="s">
        <v>799</v>
      </c>
      <c r="O1311" s="631">
        <f>E1311*G1311*I1311*K1311</f>
        <v>12.48</v>
      </c>
      <c r="P1311" s="630" t="s">
        <v>905</v>
      </c>
    </row>
    <row r="1312" spans="1:16" x14ac:dyDescent="0.2">
      <c r="A1312" s="736"/>
      <c r="B1312" s="737"/>
      <c r="C1312" s="665" t="s">
        <v>1090</v>
      </c>
      <c r="E1312" s="661">
        <f>1.8+1.8+4.1</f>
        <v>7.6999999999999993</v>
      </c>
      <c r="F1312" s="662" t="s">
        <v>866</v>
      </c>
      <c r="G1312" s="631">
        <v>1</v>
      </c>
      <c r="H1312" s="631" t="s">
        <v>866</v>
      </c>
      <c r="I1312" s="631">
        <v>3.95</v>
      </c>
      <c r="J1312" s="658" t="s">
        <v>866</v>
      </c>
      <c r="K1312" s="631">
        <v>2</v>
      </c>
      <c r="L1312" s="631"/>
      <c r="M1312" s="631"/>
      <c r="N1312" s="666" t="s">
        <v>799</v>
      </c>
      <c r="O1312" s="631">
        <f>E1312*G1312*I1312*K1312</f>
        <v>60.83</v>
      </c>
      <c r="P1312" s="630" t="s">
        <v>906</v>
      </c>
    </row>
    <row r="1313" spans="1:16" ht="13.5" thickBot="1" x14ac:dyDescent="0.25">
      <c r="A1313" s="736"/>
      <c r="B1313" s="737"/>
      <c r="C1313" s="665" t="s">
        <v>1091</v>
      </c>
      <c r="E1313" s="661">
        <f>1.8+1.8+4.6</f>
        <v>8.1999999999999993</v>
      </c>
      <c r="F1313" s="662" t="s">
        <v>866</v>
      </c>
      <c r="G1313" s="631">
        <v>1</v>
      </c>
      <c r="H1313" s="631" t="s">
        <v>866</v>
      </c>
      <c r="I1313" s="631">
        <v>3.95</v>
      </c>
      <c r="J1313" s="658" t="s">
        <v>866</v>
      </c>
      <c r="K1313" s="631">
        <v>1</v>
      </c>
      <c r="L1313" s="631"/>
      <c r="M1313" s="631"/>
      <c r="N1313" s="666" t="s">
        <v>799</v>
      </c>
      <c r="O1313" s="631">
        <f>E1313*G1313*I1313*K1313</f>
        <v>32.39</v>
      </c>
      <c r="P1313" s="630" t="s">
        <v>906</v>
      </c>
    </row>
    <row r="1314" spans="1:16" ht="13.5" thickBot="1" x14ac:dyDescent="0.25">
      <c r="A1314" s="736"/>
      <c r="B1314" s="737"/>
      <c r="C1314" s="667"/>
      <c r="F1314" s="666"/>
      <c r="G1314" s="631"/>
      <c r="H1314" s="631"/>
      <c r="I1314" s="631"/>
      <c r="J1314" s="631"/>
      <c r="K1314" s="631"/>
      <c r="L1314" s="631"/>
      <c r="M1314" s="631"/>
      <c r="N1314" s="666"/>
      <c r="O1314" s="668">
        <f>ROUND((SUM(O1310:O1313)),2)</f>
        <v>393.66</v>
      </c>
      <c r="P1314" s="669" t="s">
        <v>12</v>
      </c>
    </row>
    <row r="1315" spans="1:16" ht="49.5" customHeight="1" x14ac:dyDescent="0.2">
      <c r="A1315" s="734" t="s">
        <v>0</v>
      </c>
      <c r="B1315" s="735" t="s">
        <v>1365</v>
      </c>
      <c r="C1315" s="678" t="e">
        <f>#REF!</f>
        <v>#REF!</v>
      </c>
      <c r="D1315" s="662" t="s">
        <v>799</v>
      </c>
      <c r="E1315" s="663" t="s">
        <v>864</v>
      </c>
      <c r="F1315" s="633"/>
      <c r="G1315" s="664" t="s">
        <v>865</v>
      </c>
      <c r="H1315" s="664"/>
      <c r="I1315" s="664" t="s">
        <v>883</v>
      </c>
      <c r="J1315" s="664"/>
      <c r="K1315" s="664" t="s">
        <v>628</v>
      </c>
      <c r="L1315" s="664"/>
      <c r="M1315" s="664"/>
      <c r="O1315" s="631"/>
    </row>
    <row r="1316" spans="1:16" x14ac:dyDescent="0.2">
      <c r="A1316" s="736"/>
      <c r="B1316" s="737"/>
      <c r="C1316" s="665" t="s">
        <v>902</v>
      </c>
      <c r="E1316" s="661">
        <v>22.8</v>
      </c>
      <c r="F1316" s="662" t="s">
        <v>866</v>
      </c>
      <c r="G1316" s="658">
        <v>11.65</v>
      </c>
      <c r="H1316" s="631" t="s">
        <v>866</v>
      </c>
      <c r="I1316" s="631">
        <v>0.05</v>
      </c>
      <c r="J1316" s="658" t="s">
        <v>866</v>
      </c>
      <c r="K1316" s="631">
        <v>1</v>
      </c>
      <c r="L1316" s="631"/>
      <c r="M1316" s="631"/>
      <c r="N1316" s="666" t="s">
        <v>799</v>
      </c>
      <c r="O1316" s="631">
        <f>E1316*G1316*I1316*K1316</f>
        <v>13.281000000000001</v>
      </c>
      <c r="P1316" s="630" t="s">
        <v>12</v>
      </c>
    </row>
    <row r="1317" spans="1:16" x14ac:dyDescent="0.2">
      <c r="A1317" s="736"/>
      <c r="B1317" s="737"/>
      <c r="C1317" s="665" t="s">
        <v>904</v>
      </c>
      <c r="E1317" s="661">
        <v>1.9</v>
      </c>
      <c r="F1317" s="662" t="s">
        <v>866</v>
      </c>
      <c r="G1317" s="631">
        <v>1.9</v>
      </c>
      <c r="H1317" s="631" t="s">
        <v>866</v>
      </c>
      <c r="I1317" s="631">
        <v>0.05</v>
      </c>
      <c r="J1317" s="658" t="s">
        <v>866</v>
      </c>
      <c r="K1317" s="631">
        <v>2</v>
      </c>
      <c r="L1317" s="631"/>
      <c r="M1317" s="631"/>
      <c r="N1317" s="666" t="s">
        <v>799</v>
      </c>
      <c r="O1317" s="631">
        <f>E1317*G1317*I1317*K1317</f>
        <v>0.36099999999999999</v>
      </c>
      <c r="P1317" s="630" t="s">
        <v>905</v>
      </c>
    </row>
    <row r="1318" spans="1:16" x14ac:dyDescent="0.2">
      <c r="A1318" s="736"/>
      <c r="B1318" s="737"/>
      <c r="C1318" s="665" t="s">
        <v>1090</v>
      </c>
      <c r="E1318" s="661">
        <v>1.8</v>
      </c>
      <c r="F1318" s="662" t="s">
        <v>866</v>
      </c>
      <c r="G1318" s="631">
        <v>2.1</v>
      </c>
      <c r="H1318" s="631" t="s">
        <v>866</v>
      </c>
      <c r="I1318" s="631">
        <v>0.05</v>
      </c>
      <c r="J1318" s="658" t="s">
        <v>866</v>
      </c>
      <c r="K1318" s="631">
        <v>2</v>
      </c>
      <c r="L1318" s="631"/>
      <c r="M1318" s="631"/>
      <c r="N1318" s="666" t="s">
        <v>799</v>
      </c>
      <c r="O1318" s="631">
        <f>E1318*G1318*I1318*K1318</f>
        <v>0.37800000000000006</v>
      </c>
      <c r="P1318" s="630" t="s">
        <v>906</v>
      </c>
    </row>
    <row r="1319" spans="1:16" ht="13.5" thickBot="1" x14ac:dyDescent="0.25">
      <c r="A1319" s="736"/>
      <c r="B1319" s="737"/>
      <c r="C1319" s="665" t="s">
        <v>1091</v>
      </c>
      <c r="E1319" s="661">
        <v>1.8</v>
      </c>
      <c r="F1319" s="662" t="s">
        <v>866</v>
      </c>
      <c r="G1319" s="631">
        <v>2.6</v>
      </c>
      <c r="H1319" s="631" t="s">
        <v>866</v>
      </c>
      <c r="I1319" s="631">
        <v>0.05</v>
      </c>
      <c r="J1319" s="658" t="s">
        <v>866</v>
      </c>
      <c r="K1319" s="631">
        <v>1</v>
      </c>
      <c r="L1319" s="631"/>
      <c r="M1319" s="631"/>
      <c r="N1319" s="666" t="s">
        <v>799</v>
      </c>
      <c r="O1319" s="631">
        <f>E1319*G1319*I1319*K1319</f>
        <v>0.23400000000000004</v>
      </c>
      <c r="P1319" s="630" t="s">
        <v>906</v>
      </c>
    </row>
    <row r="1320" spans="1:16" ht="13.5" thickBot="1" x14ac:dyDescent="0.25">
      <c r="A1320" s="736"/>
      <c r="B1320" s="737"/>
      <c r="C1320" s="667"/>
      <c r="F1320" s="666"/>
      <c r="G1320" s="631"/>
      <c r="H1320" s="631"/>
      <c r="I1320" s="631"/>
      <c r="J1320" s="631"/>
      <c r="K1320" s="631"/>
      <c r="L1320" s="631"/>
      <c r="M1320" s="631"/>
      <c r="N1320" s="666"/>
      <c r="O1320" s="668">
        <f>ROUND((SUM(O1316:O1319)),2)</f>
        <v>14.25</v>
      </c>
      <c r="P1320" s="669" t="s">
        <v>12</v>
      </c>
    </row>
    <row r="1321" spans="1:16" ht="39" customHeight="1" x14ac:dyDescent="0.2">
      <c r="A1321" s="734" t="s">
        <v>0</v>
      </c>
      <c r="B1321" s="735" t="s">
        <v>1366</v>
      </c>
      <c r="C1321" s="678" t="e">
        <f>#REF!</f>
        <v>#REF!</v>
      </c>
      <c r="D1321" s="662" t="s">
        <v>799</v>
      </c>
      <c r="E1321" s="663" t="s">
        <v>864</v>
      </c>
      <c r="F1321" s="633"/>
      <c r="G1321" s="664" t="s">
        <v>865</v>
      </c>
      <c r="H1321" s="664"/>
      <c r="I1321" s="664" t="s">
        <v>883</v>
      </c>
      <c r="J1321" s="664"/>
      <c r="K1321" s="664" t="s">
        <v>628</v>
      </c>
      <c r="L1321" s="664"/>
      <c r="M1321" s="664"/>
      <c r="O1321" s="631"/>
    </row>
    <row r="1322" spans="1:16" x14ac:dyDescent="0.2">
      <c r="A1322" s="736"/>
      <c r="B1322" s="737"/>
      <c r="C1322" s="665" t="s">
        <v>907</v>
      </c>
      <c r="E1322" s="661">
        <v>22.8</v>
      </c>
      <c r="F1322" s="662" t="s">
        <v>866</v>
      </c>
      <c r="G1322" s="631">
        <v>11.65</v>
      </c>
      <c r="H1322" s="631" t="s">
        <v>866</v>
      </c>
      <c r="I1322" s="631">
        <v>0.3</v>
      </c>
      <c r="J1322" s="658" t="s">
        <v>866</v>
      </c>
      <c r="K1322" s="631">
        <v>1</v>
      </c>
      <c r="L1322" s="631"/>
      <c r="M1322" s="631"/>
      <c r="N1322" s="666" t="s">
        <v>799</v>
      </c>
      <c r="O1322" s="631">
        <f>E1322*G1322*I1322*K1322</f>
        <v>79.685999999999993</v>
      </c>
      <c r="P1322" s="630" t="s">
        <v>12</v>
      </c>
    </row>
    <row r="1323" spans="1:16" x14ac:dyDescent="0.2">
      <c r="A1323" s="736"/>
      <c r="B1323" s="737"/>
      <c r="C1323" s="665" t="s">
        <v>885</v>
      </c>
      <c r="E1323" s="661">
        <v>22.8</v>
      </c>
      <c r="F1323" s="662" t="s">
        <v>866</v>
      </c>
      <c r="G1323" s="631">
        <v>11.65</v>
      </c>
      <c r="H1323" s="631" t="s">
        <v>866</v>
      </c>
      <c r="I1323" s="631">
        <v>0.4</v>
      </c>
      <c r="J1323" s="658" t="s">
        <v>866</v>
      </c>
      <c r="K1323" s="631">
        <v>1</v>
      </c>
      <c r="L1323" s="631"/>
      <c r="M1323" s="631"/>
      <c r="N1323" s="666" t="s">
        <v>799</v>
      </c>
      <c r="O1323" s="631">
        <f t="shared" ref="O1323:O1333" si="69">E1323*G1323*I1323*K1323</f>
        <v>106.248</v>
      </c>
      <c r="P1323" s="630" t="s">
        <v>12</v>
      </c>
    </row>
    <row r="1324" spans="1:16" x14ac:dyDescent="0.2">
      <c r="A1324" s="736"/>
      <c r="B1324" s="737"/>
      <c r="C1324" s="665" t="s">
        <v>887</v>
      </c>
      <c r="E1324" s="661">
        <v>10.65</v>
      </c>
      <c r="F1324" s="662" t="s">
        <v>866</v>
      </c>
      <c r="G1324" s="631">
        <v>0.5</v>
      </c>
      <c r="H1324" s="631" t="s">
        <v>866</v>
      </c>
      <c r="I1324" s="631">
        <v>3.55</v>
      </c>
      <c r="J1324" s="658" t="s">
        <v>866</v>
      </c>
      <c r="K1324" s="631">
        <v>3</v>
      </c>
      <c r="L1324" s="631"/>
      <c r="M1324" s="631"/>
      <c r="N1324" s="666" t="s">
        <v>799</v>
      </c>
      <c r="O1324" s="631">
        <f t="shared" si="69"/>
        <v>56.711249999999993</v>
      </c>
      <c r="P1324" s="630" t="s">
        <v>12</v>
      </c>
    </row>
    <row r="1325" spans="1:16" x14ac:dyDescent="0.2">
      <c r="A1325" s="736"/>
      <c r="B1325" s="737"/>
      <c r="C1325" s="665" t="s">
        <v>886</v>
      </c>
      <c r="E1325" s="661">
        <v>22.8</v>
      </c>
      <c r="F1325" s="662" t="s">
        <v>866</v>
      </c>
      <c r="G1325" s="631">
        <v>0.5</v>
      </c>
      <c r="H1325" s="631" t="s">
        <v>866</v>
      </c>
      <c r="I1325" s="631">
        <v>3.55</v>
      </c>
      <c r="J1325" s="658" t="s">
        <v>866</v>
      </c>
      <c r="K1325" s="631">
        <v>2</v>
      </c>
      <c r="L1325" s="631"/>
      <c r="M1325" s="631"/>
      <c r="N1325" s="666" t="s">
        <v>799</v>
      </c>
      <c r="O1325" s="631">
        <f t="shared" si="69"/>
        <v>80.94</v>
      </c>
      <c r="P1325" s="630" t="s">
        <v>12</v>
      </c>
    </row>
    <row r="1326" spans="1:16" x14ac:dyDescent="0.2">
      <c r="A1326" s="736"/>
      <c r="B1326" s="737"/>
      <c r="C1326" s="665" t="s">
        <v>904</v>
      </c>
      <c r="E1326" s="661">
        <v>1.9</v>
      </c>
      <c r="F1326" s="662" t="s">
        <v>866</v>
      </c>
      <c r="G1326" s="631">
        <v>1.9</v>
      </c>
      <c r="H1326" s="631" t="s">
        <v>866</v>
      </c>
      <c r="I1326" s="631">
        <v>0.1</v>
      </c>
      <c r="J1326" s="658" t="s">
        <v>866</v>
      </c>
      <c r="K1326" s="631">
        <v>2</v>
      </c>
      <c r="L1326" s="631"/>
      <c r="M1326" s="631"/>
      <c r="N1326" s="666" t="s">
        <v>799</v>
      </c>
      <c r="O1326" s="631">
        <f t="shared" si="69"/>
        <v>0.72199999999999998</v>
      </c>
      <c r="P1326" s="630" t="s">
        <v>12</v>
      </c>
    </row>
    <row r="1327" spans="1:16" x14ac:dyDescent="0.2">
      <c r="A1327" s="736"/>
      <c r="B1327" s="737"/>
      <c r="C1327" s="665"/>
      <c r="E1327" s="661">
        <v>1.9</v>
      </c>
      <c r="F1327" s="662" t="s">
        <v>866</v>
      </c>
      <c r="G1327" s="631">
        <v>1.9</v>
      </c>
      <c r="H1327" s="631" t="s">
        <v>866</v>
      </c>
      <c r="I1327" s="631">
        <v>0.2</v>
      </c>
      <c r="J1327" s="658" t="s">
        <v>866</v>
      </c>
      <c r="K1327" s="631">
        <v>2</v>
      </c>
      <c r="L1327" s="631"/>
      <c r="M1327" s="631"/>
      <c r="N1327" s="666" t="s">
        <v>799</v>
      </c>
      <c r="O1327" s="631">
        <f t="shared" si="69"/>
        <v>1.444</v>
      </c>
      <c r="P1327" s="630" t="s">
        <v>12</v>
      </c>
    </row>
    <row r="1328" spans="1:16" x14ac:dyDescent="0.2">
      <c r="A1328" s="736"/>
      <c r="B1328" s="737"/>
      <c r="C1328" s="665"/>
      <c r="E1328" s="661">
        <v>1.5</v>
      </c>
      <c r="F1328" s="662" t="s">
        <v>866</v>
      </c>
      <c r="G1328" s="631">
        <v>1</v>
      </c>
      <c r="H1328" s="631" t="s">
        <v>866</v>
      </c>
      <c r="I1328" s="631">
        <v>0.2</v>
      </c>
      <c r="J1328" s="658" t="s">
        <v>866</v>
      </c>
      <c r="K1328" s="631">
        <v>4</v>
      </c>
      <c r="L1328" s="631"/>
      <c r="M1328" s="631"/>
      <c r="N1328" s="666" t="s">
        <v>799</v>
      </c>
      <c r="O1328" s="631">
        <f t="shared" si="69"/>
        <v>1.2000000000000002</v>
      </c>
      <c r="P1328" s="630" t="s">
        <v>12</v>
      </c>
    </row>
    <row r="1329" spans="1:16" x14ac:dyDescent="0.2">
      <c r="A1329" s="736"/>
      <c r="B1329" s="737"/>
      <c r="C1329" s="665"/>
      <c r="E1329" s="661">
        <v>1.9</v>
      </c>
      <c r="F1329" s="662" t="s">
        <v>866</v>
      </c>
      <c r="G1329" s="631">
        <v>1</v>
      </c>
      <c r="H1329" s="631" t="s">
        <v>866</v>
      </c>
      <c r="I1329" s="631">
        <v>0.2</v>
      </c>
      <c r="J1329" s="658" t="s">
        <v>866</v>
      </c>
      <c r="K1329" s="631">
        <v>4</v>
      </c>
      <c r="L1329" s="631"/>
      <c r="M1329" s="631"/>
      <c r="N1329" s="666" t="s">
        <v>799</v>
      </c>
      <c r="O1329" s="631">
        <f t="shared" si="69"/>
        <v>1.52</v>
      </c>
      <c r="P1329" s="630" t="s">
        <v>12</v>
      </c>
    </row>
    <row r="1330" spans="1:16" x14ac:dyDescent="0.2">
      <c r="A1330" s="736"/>
      <c r="B1330" s="737"/>
      <c r="C1330" s="665" t="s">
        <v>1090</v>
      </c>
      <c r="E1330" s="661">
        <v>2.1</v>
      </c>
      <c r="F1330" s="662" t="s">
        <v>866</v>
      </c>
      <c r="G1330" s="631">
        <v>1.8</v>
      </c>
      <c r="H1330" s="631" t="s">
        <v>866</v>
      </c>
      <c r="I1330" s="631">
        <v>0.1</v>
      </c>
      <c r="J1330" s="658" t="s">
        <v>866</v>
      </c>
      <c r="K1330" s="631">
        <v>2</v>
      </c>
      <c r="L1330" s="631"/>
      <c r="M1330" s="631"/>
      <c r="N1330" s="666" t="s">
        <v>799</v>
      </c>
      <c r="O1330" s="631">
        <f t="shared" si="69"/>
        <v>0.75600000000000012</v>
      </c>
      <c r="P1330" s="630" t="s">
        <v>12</v>
      </c>
    </row>
    <row r="1331" spans="1:16" x14ac:dyDescent="0.2">
      <c r="A1331" s="736"/>
      <c r="B1331" s="737"/>
      <c r="C1331" s="665"/>
      <c r="E1331" s="661">
        <v>2.1</v>
      </c>
      <c r="F1331" s="662" t="s">
        <v>866</v>
      </c>
      <c r="G1331" s="631">
        <v>1.8</v>
      </c>
      <c r="H1331" s="631" t="s">
        <v>866</v>
      </c>
      <c r="I1331" s="631">
        <v>0.3</v>
      </c>
      <c r="J1331" s="658" t="s">
        <v>866</v>
      </c>
      <c r="K1331" s="631">
        <v>2</v>
      </c>
      <c r="L1331" s="631"/>
      <c r="M1331" s="631"/>
      <c r="N1331" s="666" t="s">
        <v>799</v>
      </c>
      <c r="O1331" s="631">
        <f t="shared" si="69"/>
        <v>2.2680000000000002</v>
      </c>
      <c r="P1331" s="630" t="s">
        <v>12</v>
      </c>
    </row>
    <row r="1332" spans="1:16" x14ac:dyDescent="0.2">
      <c r="A1332" s="736"/>
      <c r="B1332" s="737"/>
      <c r="C1332" s="665"/>
      <c r="E1332" s="661">
        <v>3.65</v>
      </c>
      <c r="F1332" s="662" t="s">
        <v>866</v>
      </c>
      <c r="G1332" s="631">
        <v>1.8</v>
      </c>
      <c r="H1332" s="631" t="s">
        <v>866</v>
      </c>
      <c r="I1332" s="631">
        <v>0.3</v>
      </c>
      <c r="J1332" s="658" t="s">
        <v>866</v>
      </c>
      <c r="K1332" s="631">
        <v>4</v>
      </c>
      <c r="L1332" s="631"/>
      <c r="M1332" s="631"/>
      <c r="N1332" s="666" t="s">
        <v>799</v>
      </c>
      <c r="O1332" s="631">
        <f t="shared" si="69"/>
        <v>7.8840000000000003</v>
      </c>
      <c r="P1332" s="630" t="s">
        <v>12</v>
      </c>
    </row>
    <row r="1333" spans="1:16" x14ac:dyDescent="0.2">
      <c r="A1333" s="736"/>
      <c r="B1333" s="737"/>
      <c r="C1333" s="665"/>
      <c r="E1333" s="661">
        <v>1.5</v>
      </c>
      <c r="F1333" s="662" t="s">
        <v>866</v>
      </c>
      <c r="G1333" s="631">
        <v>3.65</v>
      </c>
      <c r="H1333" s="631" t="s">
        <v>866</v>
      </c>
      <c r="I1333" s="631">
        <v>0.3</v>
      </c>
      <c r="J1333" s="658" t="s">
        <v>866</v>
      </c>
      <c r="K1333" s="631">
        <v>2</v>
      </c>
      <c r="L1333" s="631"/>
      <c r="M1333" s="631"/>
      <c r="N1333" s="666" t="s">
        <v>799</v>
      </c>
      <c r="O1333" s="631">
        <f t="shared" si="69"/>
        <v>3.2849999999999997</v>
      </c>
      <c r="P1333" s="630" t="s">
        <v>12</v>
      </c>
    </row>
    <row r="1334" spans="1:16" x14ac:dyDescent="0.2">
      <c r="A1334" s="736"/>
      <c r="B1334" s="737"/>
      <c r="C1334" s="665" t="s">
        <v>1091</v>
      </c>
      <c r="E1334" s="661">
        <v>2.6</v>
      </c>
      <c r="F1334" s="662" t="s">
        <v>866</v>
      </c>
      <c r="G1334" s="631">
        <v>1.8</v>
      </c>
      <c r="H1334" s="631" t="s">
        <v>866</v>
      </c>
      <c r="I1334" s="631">
        <v>0.1</v>
      </c>
      <c r="J1334" s="658" t="s">
        <v>866</v>
      </c>
      <c r="K1334" s="631">
        <v>1</v>
      </c>
      <c r="L1334" s="631"/>
      <c r="M1334" s="631"/>
      <c r="N1334" s="666" t="s">
        <v>799</v>
      </c>
      <c r="O1334" s="631">
        <f>E1334*G1334*I1334*K1334</f>
        <v>0.46800000000000008</v>
      </c>
      <c r="P1334" s="630" t="s">
        <v>12</v>
      </c>
    </row>
    <row r="1335" spans="1:16" x14ac:dyDescent="0.2">
      <c r="A1335" s="736"/>
      <c r="B1335" s="737"/>
      <c r="C1335" s="665"/>
      <c r="E1335" s="661">
        <v>2.6</v>
      </c>
      <c r="F1335" s="662" t="s">
        <v>866</v>
      </c>
      <c r="G1335" s="631">
        <v>1.8</v>
      </c>
      <c r="H1335" s="631" t="s">
        <v>866</v>
      </c>
      <c r="I1335" s="631">
        <v>0.3</v>
      </c>
      <c r="J1335" s="658" t="s">
        <v>866</v>
      </c>
      <c r="K1335" s="631">
        <v>1</v>
      </c>
      <c r="L1335" s="631"/>
      <c r="M1335" s="631"/>
      <c r="N1335" s="666" t="s">
        <v>799</v>
      </c>
      <c r="O1335" s="631">
        <f>E1335*G1335*I1335*K1335</f>
        <v>1.4040000000000001</v>
      </c>
      <c r="P1335" s="630" t="s">
        <v>12</v>
      </c>
    </row>
    <row r="1336" spans="1:16" x14ac:dyDescent="0.2">
      <c r="A1336" s="736"/>
      <c r="B1336" s="737"/>
      <c r="C1336" s="665"/>
      <c r="E1336" s="661">
        <v>3.65</v>
      </c>
      <c r="F1336" s="662" t="s">
        <v>866</v>
      </c>
      <c r="G1336" s="631">
        <v>1.8</v>
      </c>
      <c r="H1336" s="631" t="s">
        <v>866</v>
      </c>
      <c r="I1336" s="631">
        <v>0.3</v>
      </c>
      <c r="J1336" s="658" t="s">
        <v>866</v>
      </c>
      <c r="K1336" s="631">
        <v>2</v>
      </c>
      <c r="L1336" s="631"/>
      <c r="M1336" s="631"/>
      <c r="N1336" s="666" t="s">
        <v>799</v>
      </c>
      <c r="O1336" s="631">
        <f>E1336*G1336*I1336*K1336</f>
        <v>3.9420000000000002</v>
      </c>
      <c r="P1336" s="630" t="s">
        <v>12</v>
      </c>
    </row>
    <row r="1337" spans="1:16" ht="13.5" thickBot="1" x14ac:dyDescent="0.25">
      <c r="A1337" s="736"/>
      <c r="B1337" s="737"/>
      <c r="C1337" s="665"/>
      <c r="E1337" s="661">
        <v>2</v>
      </c>
      <c r="F1337" s="662" t="s">
        <v>866</v>
      </c>
      <c r="G1337" s="631">
        <v>3.65</v>
      </c>
      <c r="H1337" s="631" t="s">
        <v>866</v>
      </c>
      <c r="I1337" s="631">
        <v>0.3</v>
      </c>
      <c r="J1337" s="658" t="s">
        <v>866</v>
      </c>
      <c r="K1337" s="631">
        <v>1</v>
      </c>
      <c r="L1337" s="631"/>
      <c r="M1337" s="631"/>
      <c r="N1337" s="666" t="s">
        <v>799</v>
      </c>
      <c r="O1337" s="631">
        <f>E1337*G1337*I1337*K1337</f>
        <v>2.19</v>
      </c>
      <c r="P1337" s="630" t="s">
        <v>12</v>
      </c>
    </row>
    <row r="1338" spans="1:16" ht="13.5" thickBot="1" x14ac:dyDescent="0.25">
      <c r="A1338" s="736"/>
      <c r="B1338" s="737"/>
      <c r="C1338" s="667"/>
      <c r="F1338" s="666"/>
      <c r="G1338" s="631"/>
      <c r="H1338" s="631"/>
      <c r="I1338" s="631"/>
      <c r="J1338" s="631"/>
      <c r="K1338" s="631"/>
      <c r="L1338" s="631"/>
      <c r="M1338" s="631"/>
      <c r="N1338" s="666"/>
      <c r="O1338" s="668">
        <f>ROUND((SUM(O1322:O1337)),2)</f>
        <v>350.67</v>
      </c>
      <c r="P1338" s="669" t="s">
        <v>12</v>
      </c>
    </row>
    <row r="1339" spans="1:16" x14ac:dyDescent="0.2">
      <c r="A1339" s="734" t="s">
        <v>0</v>
      </c>
      <c r="B1339" s="735" t="s">
        <v>1367</v>
      </c>
      <c r="C1339" s="678" t="e">
        <f>#REF!</f>
        <v>#REF!</v>
      </c>
      <c r="D1339" s="662" t="s">
        <v>799</v>
      </c>
      <c r="E1339" s="663" t="s">
        <v>864</v>
      </c>
      <c r="F1339" s="633"/>
      <c r="G1339" s="664"/>
      <c r="H1339" s="664"/>
      <c r="I1339" s="664"/>
      <c r="J1339" s="664"/>
      <c r="K1339" s="664"/>
      <c r="L1339" s="664"/>
      <c r="M1339" s="664"/>
      <c r="O1339" s="631"/>
    </row>
    <row r="1340" spans="1:16" ht="13.5" thickBot="1" x14ac:dyDescent="0.25">
      <c r="A1340" s="736"/>
      <c r="B1340" s="737"/>
      <c r="C1340" s="665" t="s">
        <v>903</v>
      </c>
      <c r="E1340" s="661">
        <f>22.8+22.8+11.65+11.65</f>
        <v>68.900000000000006</v>
      </c>
      <c r="F1340" s="662"/>
      <c r="G1340" s="631"/>
      <c r="H1340" s="631"/>
      <c r="I1340" s="631"/>
      <c r="J1340" s="658"/>
      <c r="K1340" s="631"/>
      <c r="L1340" s="631"/>
      <c r="M1340" s="631"/>
      <c r="N1340" s="666" t="s">
        <v>799</v>
      </c>
      <c r="O1340" s="631">
        <f>E1340</f>
        <v>68.900000000000006</v>
      </c>
      <c r="P1340" s="657" t="s">
        <v>6</v>
      </c>
    </row>
    <row r="1341" spans="1:16" ht="13.5" thickBot="1" x14ac:dyDescent="0.25">
      <c r="A1341" s="736"/>
      <c r="B1341" s="737"/>
      <c r="C1341" s="667"/>
      <c r="F1341" s="666"/>
      <c r="G1341" s="631"/>
      <c r="H1341" s="631"/>
      <c r="I1341" s="631"/>
      <c r="J1341" s="631"/>
      <c r="K1341" s="631"/>
      <c r="L1341" s="631"/>
      <c r="M1341" s="631"/>
      <c r="N1341" s="666"/>
      <c r="O1341" s="668">
        <f>ROUND((SUM(O1340:O1340)),2)</f>
        <v>68.900000000000006</v>
      </c>
      <c r="P1341" s="669" t="s">
        <v>6</v>
      </c>
    </row>
    <row r="1342" spans="1:16" ht="93.75" customHeight="1" thickBot="1" x14ac:dyDescent="0.25">
      <c r="A1342" s="734" t="s">
        <v>0</v>
      </c>
      <c r="B1342" s="735" t="s">
        <v>1368</v>
      </c>
      <c r="C1342" s="678" t="e">
        <f>#REF!</f>
        <v>#REF!</v>
      </c>
      <c r="D1342" s="662" t="s">
        <v>799</v>
      </c>
      <c r="E1342" s="663" t="s">
        <v>888</v>
      </c>
      <c r="F1342" s="633"/>
      <c r="G1342" s="664"/>
      <c r="H1342" s="664"/>
      <c r="I1342" s="664"/>
      <c r="J1342" s="664"/>
      <c r="K1342" s="664"/>
      <c r="L1342" s="664"/>
      <c r="M1342" s="664"/>
      <c r="O1342" s="631"/>
    </row>
    <row r="1343" spans="1:16" ht="13.5" thickBot="1" x14ac:dyDescent="0.25">
      <c r="A1343" s="736"/>
      <c r="B1343" s="737"/>
      <c r="C1343" s="665" t="s">
        <v>895</v>
      </c>
      <c r="E1343" s="629">
        <v>72305.75</v>
      </c>
      <c r="F1343" s="662"/>
      <c r="G1343" s="1908" t="s">
        <v>1075</v>
      </c>
      <c r="H1343" s="1909"/>
      <c r="I1343" s="1909"/>
      <c r="J1343" s="1909"/>
      <c r="K1343" s="1910"/>
      <c r="L1343" s="631"/>
      <c r="M1343" s="631"/>
      <c r="N1343" s="666" t="s">
        <v>799</v>
      </c>
      <c r="O1343" s="631">
        <f>E1343</f>
        <v>72305.75</v>
      </c>
      <c r="P1343" s="630" t="s">
        <v>7</v>
      </c>
    </row>
    <row r="1344" spans="1:16" ht="13.5" thickBot="1" x14ac:dyDescent="0.25">
      <c r="A1344" s="736"/>
      <c r="B1344" s="737"/>
      <c r="C1344" s="667"/>
      <c r="F1344" s="666"/>
      <c r="G1344" s="631"/>
      <c r="H1344" s="631"/>
      <c r="I1344" s="631"/>
      <c r="J1344" s="631"/>
      <c r="K1344" s="631"/>
      <c r="L1344" s="631"/>
      <c r="M1344" s="631"/>
      <c r="N1344" s="666"/>
      <c r="O1344" s="668">
        <f>ROUND((SUM(O1343:O1343)),2)</f>
        <v>72305.75</v>
      </c>
      <c r="P1344" s="669" t="s">
        <v>7</v>
      </c>
    </row>
    <row r="1345" spans="1:16" x14ac:dyDescent="0.2">
      <c r="A1345" s="736"/>
      <c r="B1345" s="737"/>
      <c r="C1345" s="667"/>
      <c r="F1345" s="666"/>
      <c r="G1345" s="631"/>
      <c r="H1345" s="631"/>
      <c r="I1345" s="631"/>
      <c r="J1345" s="631"/>
      <c r="K1345" s="631"/>
      <c r="L1345" s="631"/>
      <c r="M1345" s="631"/>
      <c r="N1345" s="666"/>
      <c r="O1345" s="632"/>
      <c r="P1345" s="633"/>
    </row>
    <row r="1346" spans="1:16" x14ac:dyDescent="0.2">
      <c r="A1346" s="736"/>
      <c r="B1346" s="737"/>
      <c r="C1346" s="667"/>
      <c r="F1346" s="666"/>
      <c r="G1346" s="631"/>
      <c r="H1346" s="631"/>
      <c r="I1346" s="631"/>
      <c r="J1346" s="631"/>
      <c r="K1346" s="631"/>
      <c r="L1346" s="631"/>
      <c r="M1346" s="631"/>
      <c r="N1346" s="666"/>
      <c r="O1346" s="632"/>
      <c r="P1346" s="633"/>
    </row>
    <row r="1347" spans="1:16" ht="30" customHeight="1" x14ac:dyDescent="0.2">
      <c r="A1347" s="734" t="s">
        <v>0</v>
      </c>
      <c r="B1347" s="735" t="s">
        <v>1369</v>
      </c>
      <c r="C1347" s="678" t="e">
        <f>#REF!</f>
        <v>#REF!</v>
      </c>
      <c r="D1347" s="662" t="s">
        <v>799</v>
      </c>
      <c r="E1347" s="663" t="s">
        <v>864</v>
      </c>
      <c r="F1347" s="633"/>
      <c r="G1347" s="664"/>
      <c r="H1347" s="664"/>
      <c r="I1347" s="664"/>
      <c r="J1347" s="664"/>
      <c r="K1347" s="664"/>
      <c r="L1347" s="664"/>
      <c r="M1347" s="664"/>
      <c r="O1347" s="631"/>
    </row>
    <row r="1348" spans="1:16" x14ac:dyDescent="0.2">
      <c r="A1348" s="736"/>
      <c r="B1348" s="737"/>
      <c r="C1348" s="665" t="s">
        <v>908</v>
      </c>
      <c r="E1348" s="661">
        <v>24</v>
      </c>
      <c r="F1348" s="662"/>
      <c r="G1348" s="631"/>
      <c r="H1348" s="631"/>
      <c r="I1348" s="631"/>
      <c r="J1348" s="631"/>
      <c r="K1348" s="631"/>
      <c r="L1348" s="631"/>
      <c r="M1348" s="631"/>
      <c r="N1348" s="666" t="s">
        <v>799</v>
      </c>
      <c r="O1348" s="631">
        <f>E1348</f>
        <v>24</v>
      </c>
      <c r="P1348" s="630" t="s">
        <v>6</v>
      </c>
    </row>
    <row r="1349" spans="1:16" x14ac:dyDescent="0.2">
      <c r="A1349" s="736"/>
      <c r="B1349" s="737"/>
      <c r="C1349" s="665" t="s">
        <v>896</v>
      </c>
      <c r="E1349" s="661">
        <v>50</v>
      </c>
      <c r="F1349" s="662"/>
      <c r="G1349" s="631"/>
      <c r="H1349" s="631"/>
      <c r="I1349" s="631"/>
      <c r="J1349" s="631"/>
      <c r="K1349" s="631"/>
      <c r="L1349" s="631"/>
      <c r="M1349" s="631"/>
      <c r="N1349" s="666" t="s">
        <v>799</v>
      </c>
      <c r="O1349" s="631">
        <f>E1349</f>
        <v>50</v>
      </c>
      <c r="P1349" s="630" t="s">
        <v>6</v>
      </c>
    </row>
    <row r="1350" spans="1:16" x14ac:dyDescent="0.2">
      <c r="A1350" s="736"/>
      <c r="B1350" s="737"/>
      <c r="C1350" s="665" t="s">
        <v>1092</v>
      </c>
      <c r="E1350" s="661">
        <v>36</v>
      </c>
      <c r="F1350" s="662"/>
      <c r="G1350" s="631"/>
      <c r="H1350" s="631"/>
      <c r="I1350" s="631"/>
      <c r="J1350" s="631"/>
      <c r="K1350" s="631"/>
      <c r="L1350" s="631"/>
      <c r="M1350" s="631"/>
      <c r="N1350" s="666" t="s">
        <v>799</v>
      </c>
      <c r="O1350" s="631">
        <f>E1350</f>
        <v>36</v>
      </c>
      <c r="P1350" s="630" t="s">
        <v>6</v>
      </c>
    </row>
    <row r="1351" spans="1:16" ht="13.5" thickBot="1" x14ac:dyDescent="0.25">
      <c r="A1351" s="736"/>
      <c r="B1351" s="737"/>
      <c r="C1351" s="665" t="s">
        <v>1093</v>
      </c>
      <c r="E1351" s="661">
        <v>48</v>
      </c>
      <c r="F1351" s="662"/>
      <c r="G1351" s="631"/>
      <c r="H1351" s="631"/>
      <c r="I1351" s="631"/>
      <c r="J1351" s="631"/>
      <c r="K1351" s="631"/>
      <c r="L1351" s="631"/>
      <c r="M1351" s="631"/>
      <c r="N1351" s="666" t="s">
        <v>799</v>
      </c>
      <c r="O1351" s="631">
        <f>E1351</f>
        <v>48</v>
      </c>
      <c r="P1351" s="630" t="s">
        <v>6</v>
      </c>
    </row>
    <row r="1352" spans="1:16" ht="13.5" thickBot="1" x14ac:dyDescent="0.25">
      <c r="A1352" s="736"/>
      <c r="B1352" s="737"/>
      <c r="C1352" s="667"/>
      <c r="F1352" s="666"/>
      <c r="G1352" s="631"/>
      <c r="H1352" s="631"/>
      <c r="I1352" s="631"/>
      <c r="J1352" s="631"/>
      <c r="K1352" s="631"/>
      <c r="L1352" s="631"/>
      <c r="M1352" s="631"/>
      <c r="N1352" s="666"/>
      <c r="O1352" s="668">
        <f>ROUND((SUM(O1348:O1351)),2)</f>
        <v>158</v>
      </c>
      <c r="P1352" s="669" t="s">
        <v>6</v>
      </c>
    </row>
    <row r="1353" spans="1:16" ht="28.5" customHeight="1" x14ac:dyDescent="0.2">
      <c r="A1353" s="734" t="s">
        <v>0</v>
      </c>
      <c r="B1353" s="735" t="s">
        <v>1370</v>
      </c>
      <c r="C1353" s="678" t="e">
        <f>#REF!</f>
        <v>#REF!</v>
      </c>
      <c r="D1353" s="662" t="s">
        <v>799</v>
      </c>
      <c r="E1353" s="663" t="s">
        <v>628</v>
      </c>
      <c r="F1353" s="633"/>
      <c r="G1353" s="664"/>
      <c r="H1353" s="664"/>
      <c r="I1353" s="664"/>
      <c r="J1353" s="664"/>
      <c r="K1353" s="664"/>
      <c r="L1353" s="664"/>
      <c r="M1353" s="664"/>
      <c r="O1353" s="631"/>
    </row>
    <row r="1354" spans="1:16" x14ac:dyDescent="0.2">
      <c r="A1354" s="736"/>
      <c r="B1354" s="737"/>
      <c r="C1354" s="665" t="s">
        <v>908</v>
      </c>
      <c r="E1354" s="661">
        <v>6</v>
      </c>
      <c r="F1354" s="662"/>
      <c r="G1354" s="631"/>
      <c r="H1354" s="631"/>
      <c r="I1354" s="631"/>
      <c r="J1354" s="631"/>
      <c r="K1354" s="631"/>
      <c r="L1354" s="631"/>
      <c r="M1354" s="631"/>
      <c r="N1354" s="666" t="s">
        <v>799</v>
      </c>
      <c r="O1354" s="631">
        <f>E1354</f>
        <v>6</v>
      </c>
      <c r="P1354" s="630" t="s">
        <v>2</v>
      </c>
    </row>
    <row r="1355" spans="1:16" x14ac:dyDescent="0.2">
      <c r="A1355" s="736"/>
      <c r="B1355" s="737"/>
      <c r="C1355" s="665" t="s">
        <v>896</v>
      </c>
      <c r="E1355" s="661">
        <v>3</v>
      </c>
      <c r="F1355" s="662"/>
      <c r="G1355" s="631"/>
      <c r="H1355" s="631"/>
      <c r="I1355" s="631"/>
      <c r="J1355" s="631"/>
      <c r="K1355" s="631"/>
      <c r="L1355" s="631"/>
      <c r="M1355" s="631"/>
      <c r="N1355" s="666" t="s">
        <v>799</v>
      </c>
      <c r="O1355" s="631">
        <f>E1355</f>
        <v>3</v>
      </c>
      <c r="P1355" s="630" t="s">
        <v>2</v>
      </c>
    </row>
    <row r="1356" spans="1:16" x14ac:dyDescent="0.2">
      <c r="A1356" s="736"/>
      <c r="B1356" s="737"/>
      <c r="C1356" s="665" t="s">
        <v>1092</v>
      </c>
      <c r="E1356" s="661">
        <v>2</v>
      </c>
      <c r="F1356" s="662"/>
      <c r="G1356" s="631"/>
      <c r="H1356" s="631"/>
      <c r="I1356" s="631"/>
      <c r="J1356" s="631"/>
      <c r="K1356" s="631"/>
      <c r="L1356" s="631"/>
      <c r="M1356" s="631"/>
      <c r="N1356" s="666" t="s">
        <v>799</v>
      </c>
      <c r="O1356" s="631">
        <f>E1356</f>
        <v>2</v>
      </c>
      <c r="P1356" s="630" t="s">
        <v>2</v>
      </c>
    </row>
    <row r="1357" spans="1:16" ht="13.5" thickBot="1" x14ac:dyDescent="0.25">
      <c r="A1357" s="736"/>
      <c r="B1357" s="737"/>
      <c r="C1357" s="665" t="s">
        <v>1093</v>
      </c>
      <c r="E1357" s="661">
        <v>4</v>
      </c>
      <c r="F1357" s="662"/>
      <c r="G1357" s="631"/>
      <c r="H1357" s="631"/>
      <c r="I1357" s="631"/>
      <c r="J1357" s="631"/>
      <c r="K1357" s="631"/>
      <c r="L1357" s="631"/>
      <c r="M1357" s="631"/>
      <c r="N1357" s="666" t="s">
        <v>799</v>
      </c>
      <c r="O1357" s="631">
        <f>E1357</f>
        <v>4</v>
      </c>
      <c r="P1357" s="630" t="s">
        <v>2</v>
      </c>
    </row>
    <row r="1358" spans="1:16" ht="13.5" thickBot="1" x14ac:dyDescent="0.25">
      <c r="A1358" s="736"/>
      <c r="B1358" s="737"/>
      <c r="C1358" s="667"/>
      <c r="F1358" s="666"/>
      <c r="G1358" s="631"/>
      <c r="H1358" s="631"/>
      <c r="I1358" s="631"/>
      <c r="J1358" s="631"/>
      <c r="K1358" s="631"/>
      <c r="L1358" s="631"/>
      <c r="M1358" s="631"/>
      <c r="N1358" s="666"/>
      <c r="O1358" s="668">
        <f>ROUND((SUM(O1354:O1357)),2)</f>
        <v>15</v>
      </c>
      <c r="P1358" s="669" t="s">
        <v>2</v>
      </c>
    </row>
    <row r="1359" spans="1:16" x14ac:dyDescent="0.2">
      <c r="A1359" s="734" t="s">
        <v>0</v>
      </c>
      <c r="B1359" s="735" t="s">
        <v>1371</v>
      </c>
      <c r="C1359" s="678" t="e">
        <f>#REF!</f>
        <v>#REF!</v>
      </c>
      <c r="D1359" s="662" t="s">
        <v>799</v>
      </c>
      <c r="E1359" s="663" t="s">
        <v>628</v>
      </c>
      <c r="F1359" s="633"/>
      <c r="G1359" s="664"/>
      <c r="H1359" s="664"/>
      <c r="I1359" s="664"/>
      <c r="J1359" s="664"/>
      <c r="K1359" s="664"/>
      <c r="L1359" s="664"/>
      <c r="M1359" s="664"/>
      <c r="O1359" s="631"/>
    </row>
    <row r="1360" spans="1:16" x14ac:dyDescent="0.2">
      <c r="A1360" s="736"/>
      <c r="B1360" s="737"/>
      <c r="C1360" s="665" t="s">
        <v>896</v>
      </c>
      <c r="E1360" s="661">
        <v>2</v>
      </c>
      <c r="F1360" s="662"/>
      <c r="G1360" s="631"/>
      <c r="H1360" s="631"/>
      <c r="I1360" s="631"/>
      <c r="J1360" s="631"/>
      <c r="K1360" s="631"/>
      <c r="L1360" s="631"/>
      <c r="M1360" s="631"/>
      <c r="N1360" s="666" t="s">
        <v>799</v>
      </c>
      <c r="O1360" s="631">
        <f>E1360</f>
        <v>2</v>
      </c>
      <c r="P1360" s="630" t="s">
        <v>2</v>
      </c>
    </row>
    <row r="1361" spans="1:16" ht="13.5" thickBot="1" x14ac:dyDescent="0.25">
      <c r="A1361" s="736"/>
      <c r="B1361" s="737"/>
      <c r="C1361" s="665" t="s">
        <v>1093</v>
      </c>
      <c r="E1361" s="661">
        <v>2</v>
      </c>
      <c r="F1361" s="662"/>
      <c r="G1361" s="631"/>
      <c r="H1361" s="631"/>
      <c r="I1361" s="631"/>
      <c r="J1361" s="631"/>
      <c r="K1361" s="631"/>
      <c r="L1361" s="631"/>
      <c r="M1361" s="631"/>
      <c r="N1361" s="666" t="s">
        <v>799</v>
      </c>
      <c r="O1361" s="631">
        <f>E1361</f>
        <v>2</v>
      </c>
      <c r="P1361" s="630" t="s">
        <v>2</v>
      </c>
    </row>
    <row r="1362" spans="1:16" ht="13.5" thickBot="1" x14ac:dyDescent="0.25">
      <c r="A1362" s="736"/>
      <c r="B1362" s="737"/>
      <c r="C1362" s="667"/>
      <c r="F1362" s="666"/>
      <c r="G1362" s="631"/>
      <c r="H1362" s="631"/>
      <c r="I1362" s="631"/>
      <c r="J1362" s="631"/>
      <c r="K1362" s="631"/>
      <c r="L1362" s="631"/>
      <c r="M1362" s="631"/>
      <c r="N1362" s="666"/>
      <c r="O1362" s="668">
        <f>ROUND((SUM(O1360:O1361)),2)</f>
        <v>4</v>
      </c>
      <c r="P1362" s="669" t="s">
        <v>2</v>
      </c>
    </row>
    <row r="1363" spans="1:16" x14ac:dyDescent="0.2">
      <c r="A1363" s="734" t="s">
        <v>0</v>
      </c>
      <c r="B1363" s="735" t="s">
        <v>1372</v>
      </c>
      <c r="C1363" s="678" t="e">
        <f>#REF!</f>
        <v>#REF!</v>
      </c>
      <c r="D1363" s="662" t="s">
        <v>799</v>
      </c>
      <c r="E1363" s="663" t="s">
        <v>628</v>
      </c>
      <c r="F1363" s="633"/>
      <c r="G1363" s="664"/>
      <c r="H1363" s="664"/>
      <c r="I1363" s="664"/>
      <c r="J1363" s="664"/>
      <c r="K1363" s="664"/>
      <c r="L1363" s="664"/>
      <c r="M1363" s="664"/>
      <c r="O1363" s="631"/>
    </row>
    <row r="1364" spans="1:16" x14ac:dyDescent="0.2">
      <c r="A1364" s="736"/>
      <c r="B1364" s="737"/>
      <c r="C1364" s="665" t="s">
        <v>908</v>
      </c>
      <c r="E1364" s="661">
        <v>2</v>
      </c>
      <c r="F1364" s="662"/>
      <c r="G1364" s="631"/>
      <c r="H1364" s="631"/>
      <c r="I1364" s="631"/>
      <c r="J1364" s="631"/>
      <c r="K1364" s="631"/>
      <c r="L1364" s="631"/>
      <c r="M1364" s="631"/>
      <c r="N1364" s="666" t="s">
        <v>799</v>
      </c>
      <c r="O1364" s="631">
        <f>E1364</f>
        <v>2</v>
      </c>
      <c r="P1364" s="630" t="s">
        <v>2</v>
      </c>
    </row>
    <row r="1365" spans="1:16" x14ac:dyDescent="0.2">
      <c r="A1365" s="736"/>
      <c r="B1365" s="737"/>
      <c r="C1365" s="665" t="s">
        <v>1092</v>
      </c>
      <c r="E1365" s="661">
        <v>1</v>
      </c>
      <c r="F1365" s="662"/>
      <c r="G1365" s="631"/>
      <c r="H1365" s="631"/>
      <c r="I1365" s="631"/>
      <c r="J1365" s="631"/>
      <c r="K1365" s="631"/>
      <c r="L1365" s="631"/>
      <c r="M1365" s="631"/>
      <c r="N1365" s="666" t="s">
        <v>799</v>
      </c>
      <c r="O1365" s="631">
        <f>E1365</f>
        <v>1</v>
      </c>
      <c r="P1365" s="630" t="s">
        <v>2</v>
      </c>
    </row>
    <row r="1366" spans="1:16" x14ac:dyDescent="0.2">
      <c r="A1366" s="736"/>
      <c r="B1366" s="737"/>
      <c r="C1366" s="665" t="s">
        <v>1093</v>
      </c>
      <c r="E1366" s="661">
        <v>2</v>
      </c>
      <c r="F1366" s="662"/>
      <c r="G1366" s="631"/>
      <c r="H1366" s="631"/>
      <c r="I1366" s="631"/>
      <c r="J1366" s="631"/>
      <c r="K1366" s="631"/>
      <c r="L1366" s="631"/>
      <c r="M1366" s="631"/>
      <c r="N1366" s="666" t="s">
        <v>799</v>
      </c>
      <c r="O1366" s="631">
        <f>E1366</f>
        <v>2</v>
      </c>
      <c r="P1366" s="630" t="s">
        <v>2</v>
      </c>
    </row>
    <row r="1367" spans="1:16" ht="13.5" thickBot="1" x14ac:dyDescent="0.25">
      <c r="A1367" s="736"/>
      <c r="B1367" s="737"/>
      <c r="C1367" s="665" t="s">
        <v>896</v>
      </c>
      <c r="E1367" s="661">
        <v>2</v>
      </c>
      <c r="F1367" s="662"/>
      <c r="G1367" s="631"/>
      <c r="H1367" s="631"/>
      <c r="I1367" s="631"/>
      <c r="J1367" s="631"/>
      <c r="K1367" s="631"/>
      <c r="L1367" s="631"/>
      <c r="M1367" s="631"/>
      <c r="N1367" s="666" t="s">
        <v>799</v>
      </c>
      <c r="O1367" s="631">
        <f>E1367</f>
        <v>2</v>
      </c>
      <c r="P1367" s="630" t="s">
        <v>2</v>
      </c>
    </row>
    <row r="1368" spans="1:16" ht="13.5" thickBot="1" x14ac:dyDescent="0.25">
      <c r="A1368" s="736"/>
      <c r="B1368" s="737"/>
      <c r="C1368" s="667"/>
      <c r="F1368" s="666"/>
      <c r="G1368" s="631"/>
      <c r="H1368" s="631"/>
      <c r="I1368" s="631"/>
      <c r="J1368" s="631"/>
      <c r="K1368" s="631"/>
      <c r="L1368" s="631"/>
      <c r="M1368" s="631"/>
      <c r="N1368" s="666"/>
      <c r="O1368" s="668">
        <f>ROUND((SUM(O1364:O1367)),2)</f>
        <v>7</v>
      </c>
      <c r="P1368" s="669" t="s">
        <v>2</v>
      </c>
    </row>
    <row r="1369" spans="1:16" x14ac:dyDescent="0.2">
      <c r="A1369" s="734" t="s">
        <v>0</v>
      </c>
      <c r="B1369" s="735" t="s">
        <v>1373</v>
      </c>
      <c r="C1369" s="678" t="e">
        <f>#REF!</f>
        <v>#REF!</v>
      </c>
      <c r="D1369" s="662" t="s">
        <v>799</v>
      </c>
      <c r="E1369" s="663" t="s">
        <v>628</v>
      </c>
      <c r="F1369" s="633"/>
      <c r="G1369" s="664"/>
      <c r="H1369" s="664"/>
      <c r="I1369" s="664"/>
      <c r="J1369" s="664"/>
      <c r="K1369" s="664"/>
      <c r="L1369" s="664"/>
      <c r="M1369" s="664"/>
      <c r="O1369" s="631"/>
    </row>
    <row r="1370" spans="1:16" x14ac:dyDescent="0.2">
      <c r="A1370" s="736"/>
      <c r="B1370" s="737"/>
      <c r="C1370" s="665" t="s">
        <v>908</v>
      </c>
      <c r="E1370" s="661">
        <v>1</v>
      </c>
      <c r="F1370" s="662"/>
      <c r="G1370" s="631"/>
      <c r="H1370" s="631"/>
      <c r="I1370" s="631"/>
      <c r="J1370" s="631"/>
      <c r="K1370" s="631"/>
      <c r="L1370" s="631"/>
      <c r="M1370" s="631"/>
      <c r="N1370" s="666" t="s">
        <v>799</v>
      </c>
      <c r="O1370" s="631">
        <f>E1370</f>
        <v>1</v>
      </c>
      <c r="P1370" s="630" t="s">
        <v>2</v>
      </c>
    </row>
    <row r="1371" spans="1:16" x14ac:dyDescent="0.2">
      <c r="A1371" s="736"/>
      <c r="B1371" s="737"/>
      <c r="C1371" s="665" t="s">
        <v>896</v>
      </c>
      <c r="E1371" s="661">
        <v>1</v>
      </c>
      <c r="F1371" s="662"/>
      <c r="G1371" s="631"/>
      <c r="H1371" s="631"/>
      <c r="I1371" s="631"/>
      <c r="J1371" s="631"/>
      <c r="K1371" s="631"/>
      <c r="L1371" s="631"/>
      <c r="M1371" s="631"/>
      <c r="N1371" s="666" t="s">
        <v>799</v>
      </c>
      <c r="O1371" s="631">
        <f>E1371</f>
        <v>1</v>
      </c>
      <c r="P1371" s="630" t="s">
        <v>2</v>
      </c>
    </row>
    <row r="1372" spans="1:16" x14ac:dyDescent="0.2">
      <c r="A1372" s="736"/>
      <c r="B1372" s="737"/>
      <c r="C1372" s="665" t="s">
        <v>1092</v>
      </c>
      <c r="E1372" s="661">
        <v>1</v>
      </c>
      <c r="F1372" s="662"/>
      <c r="G1372" s="631"/>
      <c r="H1372" s="631"/>
      <c r="I1372" s="631"/>
      <c r="J1372" s="631"/>
      <c r="K1372" s="631"/>
      <c r="L1372" s="631"/>
      <c r="M1372" s="631"/>
      <c r="N1372" s="666" t="s">
        <v>799</v>
      </c>
      <c r="O1372" s="631">
        <f>E1372</f>
        <v>1</v>
      </c>
      <c r="P1372" s="630" t="s">
        <v>2</v>
      </c>
    </row>
    <row r="1373" spans="1:16" ht="13.5" thickBot="1" x14ac:dyDescent="0.25">
      <c r="A1373" s="736"/>
      <c r="B1373" s="737"/>
      <c r="C1373" s="665" t="s">
        <v>1093</v>
      </c>
      <c r="E1373" s="661">
        <v>1</v>
      </c>
      <c r="F1373" s="662"/>
      <c r="G1373" s="631"/>
      <c r="H1373" s="631"/>
      <c r="I1373" s="631"/>
      <c r="J1373" s="631"/>
      <c r="K1373" s="631"/>
      <c r="L1373" s="631"/>
      <c r="M1373" s="631"/>
      <c r="N1373" s="666" t="s">
        <v>799</v>
      </c>
      <c r="O1373" s="631">
        <f>E1373</f>
        <v>1</v>
      </c>
      <c r="P1373" s="630" t="s">
        <v>2</v>
      </c>
    </row>
    <row r="1374" spans="1:16" ht="13.5" thickBot="1" x14ac:dyDescent="0.25">
      <c r="A1374" s="736"/>
      <c r="B1374" s="737"/>
      <c r="C1374" s="667"/>
      <c r="F1374" s="666"/>
      <c r="G1374" s="631"/>
      <c r="H1374" s="631"/>
      <c r="I1374" s="631"/>
      <c r="J1374" s="631"/>
      <c r="K1374" s="631"/>
      <c r="L1374" s="631"/>
      <c r="M1374" s="631"/>
      <c r="N1374" s="666"/>
      <c r="O1374" s="668">
        <f>ROUND((SUM(O1370:O1373)),2)</f>
        <v>4</v>
      </c>
      <c r="P1374" s="669" t="s">
        <v>2</v>
      </c>
    </row>
    <row r="1375" spans="1:16" ht="42.75" customHeight="1" x14ac:dyDescent="0.2">
      <c r="A1375" s="734" t="s">
        <v>0</v>
      </c>
      <c r="B1375" s="735" t="s">
        <v>1374</v>
      </c>
      <c r="C1375" s="678" t="e">
        <f>#REF!</f>
        <v>#REF!</v>
      </c>
      <c r="D1375" s="662" t="s">
        <v>799</v>
      </c>
      <c r="E1375" s="663" t="s">
        <v>628</v>
      </c>
      <c r="F1375" s="633"/>
      <c r="G1375" s="664"/>
      <c r="H1375" s="664"/>
      <c r="I1375" s="664"/>
      <c r="J1375" s="664"/>
      <c r="K1375" s="664"/>
      <c r="L1375" s="664"/>
      <c r="M1375" s="664"/>
      <c r="O1375" s="631"/>
    </row>
    <row r="1376" spans="1:16" x14ac:dyDescent="0.2">
      <c r="A1376" s="736"/>
      <c r="B1376" s="737"/>
      <c r="C1376" s="665" t="s">
        <v>908</v>
      </c>
      <c r="E1376" s="661">
        <v>1</v>
      </c>
      <c r="F1376" s="662"/>
      <c r="G1376" s="631"/>
      <c r="H1376" s="631"/>
      <c r="I1376" s="631"/>
      <c r="J1376" s="631"/>
      <c r="K1376" s="631"/>
      <c r="L1376" s="631"/>
      <c r="M1376" s="631"/>
      <c r="N1376" s="666" t="s">
        <v>799</v>
      </c>
      <c r="O1376" s="631">
        <f>E1376</f>
        <v>1</v>
      </c>
      <c r="P1376" s="630" t="s">
        <v>2</v>
      </c>
    </row>
    <row r="1377" spans="1:16" x14ac:dyDescent="0.2">
      <c r="A1377" s="736"/>
      <c r="B1377" s="737"/>
      <c r="C1377" s="665" t="s">
        <v>896</v>
      </c>
      <c r="E1377" s="661">
        <v>1</v>
      </c>
      <c r="F1377" s="662"/>
      <c r="G1377" s="631"/>
      <c r="H1377" s="631"/>
      <c r="I1377" s="631"/>
      <c r="J1377" s="631"/>
      <c r="K1377" s="631"/>
      <c r="L1377" s="631"/>
      <c r="M1377" s="631"/>
      <c r="N1377" s="666" t="s">
        <v>799</v>
      </c>
      <c r="O1377" s="631">
        <f>E1377</f>
        <v>1</v>
      </c>
      <c r="P1377" s="630" t="s">
        <v>2</v>
      </c>
    </row>
    <row r="1378" spans="1:16" x14ac:dyDescent="0.2">
      <c r="A1378" s="736"/>
      <c r="B1378" s="737"/>
      <c r="C1378" s="665" t="s">
        <v>1092</v>
      </c>
      <c r="E1378" s="661">
        <v>1</v>
      </c>
      <c r="F1378" s="662"/>
      <c r="G1378" s="631"/>
      <c r="H1378" s="631"/>
      <c r="I1378" s="631"/>
      <c r="J1378" s="631"/>
      <c r="K1378" s="631"/>
      <c r="L1378" s="631"/>
      <c r="M1378" s="631"/>
      <c r="N1378" s="666" t="s">
        <v>799</v>
      </c>
      <c r="O1378" s="631">
        <f>E1378</f>
        <v>1</v>
      </c>
      <c r="P1378" s="630" t="s">
        <v>2</v>
      </c>
    </row>
    <row r="1379" spans="1:16" ht="13.5" thickBot="1" x14ac:dyDescent="0.25">
      <c r="A1379" s="736"/>
      <c r="B1379" s="737"/>
      <c r="C1379" s="665" t="s">
        <v>1093</v>
      </c>
      <c r="E1379" s="661">
        <v>2</v>
      </c>
      <c r="F1379" s="662"/>
      <c r="G1379" s="631"/>
      <c r="H1379" s="631"/>
      <c r="I1379" s="631"/>
      <c r="J1379" s="631"/>
      <c r="K1379" s="631"/>
      <c r="L1379" s="631"/>
      <c r="M1379" s="631"/>
      <c r="N1379" s="666" t="s">
        <v>799</v>
      </c>
      <c r="O1379" s="631">
        <f>E1379</f>
        <v>2</v>
      </c>
      <c r="P1379" s="630" t="s">
        <v>2</v>
      </c>
    </row>
    <row r="1380" spans="1:16" ht="13.5" thickBot="1" x14ac:dyDescent="0.25">
      <c r="A1380" s="736"/>
      <c r="B1380" s="737"/>
      <c r="C1380" s="667"/>
      <c r="F1380" s="666"/>
      <c r="G1380" s="631"/>
      <c r="H1380" s="631"/>
      <c r="I1380" s="631"/>
      <c r="J1380" s="631"/>
      <c r="K1380" s="631"/>
      <c r="L1380" s="631"/>
      <c r="M1380" s="631"/>
      <c r="N1380" s="666"/>
      <c r="O1380" s="668">
        <f>ROUND((SUM(O1376:O1379)),2)</f>
        <v>5</v>
      </c>
      <c r="P1380" s="669" t="s">
        <v>2</v>
      </c>
    </row>
    <row r="1381" spans="1:16" x14ac:dyDescent="0.2">
      <c r="A1381" s="736"/>
      <c r="B1381" s="737"/>
      <c r="C1381" s="667"/>
      <c r="F1381" s="666"/>
      <c r="G1381" s="631"/>
      <c r="H1381" s="631"/>
      <c r="I1381" s="631"/>
      <c r="J1381" s="631"/>
      <c r="K1381" s="631"/>
      <c r="L1381" s="631"/>
      <c r="M1381" s="631"/>
      <c r="N1381" s="666"/>
      <c r="O1381" s="632"/>
      <c r="P1381" s="633"/>
    </row>
    <row r="1382" spans="1:16" ht="15.75" x14ac:dyDescent="0.2">
      <c r="A1382" s="736"/>
      <c r="B1382" s="737"/>
      <c r="C1382" s="788" t="s">
        <v>1160</v>
      </c>
      <c r="E1382" s="629"/>
      <c r="G1382" s="631"/>
      <c r="H1382" s="631"/>
      <c r="I1382" s="631"/>
      <c r="J1382" s="631"/>
      <c r="K1382" s="631"/>
      <c r="L1382" s="631"/>
      <c r="M1382" s="631"/>
      <c r="O1382" s="631"/>
    </row>
    <row r="1383" spans="1:16" ht="32.25" customHeight="1" x14ac:dyDescent="0.2">
      <c r="A1383" s="734" t="s">
        <v>0</v>
      </c>
      <c r="B1383" s="735" t="s">
        <v>1375</v>
      </c>
      <c r="C1383" s="678" t="e">
        <f>#REF!</f>
        <v>#REF!</v>
      </c>
      <c r="D1383" s="662" t="s">
        <v>799</v>
      </c>
      <c r="E1383" s="663" t="s">
        <v>864</v>
      </c>
      <c r="F1383" s="633"/>
      <c r="G1383" s="664"/>
      <c r="H1383" s="664"/>
      <c r="I1383" s="664"/>
      <c r="J1383" s="664"/>
      <c r="K1383" s="664"/>
      <c r="L1383" s="664"/>
      <c r="M1383" s="664"/>
      <c r="O1383" s="631"/>
    </row>
    <row r="1384" spans="1:16" x14ac:dyDescent="0.2">
      <c r="A1384" s="736"/>
      <c r="B1384" s="737"/>
      <c r="C1384" s="665" t="s">
        <v>908</v>
      </c>
      <c r="E1384" s="661">
        <v>24</v>
      </c>
      <c r="F1384" s="662"/>
      <c r="G1384" s="631"/>
      <c r="H1384" s="631"/>
      <c r="I1384" s="631"/>
      <c r="J1384" s="631"/>
      <c r="K1384" s="631"/>
      <c r="L1384" s="631"/>
      <c r="M1384" s="631"/>
      <c r="N1384" s="666" t="s">
        <v>799</v>
      </c>
      <c r="O1384" s="631">
        <f>E1384</f>
        <v>24</v>
      </c>
      <c r="P1384" s="630" t="s">
        <v>6</v>
      </c>
    </row>
    <row r="1385" spans="1:16" x14ac:dyDescent="0.2">
      <c r="A1385" s="736"/>
      <c r="B1385" s="737"/>
      <c r="C1385" s="665" t="s">
        <v>896</v>
      </c>
      <c r="E1385" s="661">
        <v>50</v>
      </c>
      <c r="F1385" s="662"/>
      <c r="G1385" s="631"/>
      <c r="H1385" s="631"/>
      <c r="I1385" s="631"/>
      <c r="J1385" s="631"/>
      <c r="K1385" s="631"/>
      <c r="L1385" s="631"/>
      <c r="M1385" s="631"/>
      <c r="N1385" s="666" t="s">
        <v>799</v>
      </c>
      <c r="O1385" s="631">
        <f>E1385</f>
        <v>50</v>
      </c>
      <c r="P1385" s="630" t="s">
        <v>6</v>
      </c>
    </row>
    <row r="1386" spans="1:16" x14ac:dyDescent="0.2">
      <c r="A1386" s="736"/>
      <c r="B1386" s="737"/>
      <c r="C1386" s="665" t="s">
        <v>1092</v>
      </c>
      <c r="E1386" s="661">
        <v>36</v>
      </c>
      <c r="F1386" s="662"/>
      <c r="G1386" s="631"/>
      <c r="H1386" s="631"/>
      <c r="I1386" s="631"/>
      <c r="J1386" s="631"/>
      <c r="K1386" s="631"/>
      <c r="L1386" s="631"/>
      <c r="M1386" s="631"/>
      <c r="N1386" s="666" t="s">
        <v>799</v>
      </c>
      <c r="O1386" s="631">
        <f>E1386</f>
        <v>36</v>
      </c>
      <c r="P1386" s="630" t="s">
        <v>6</v>
      </c>
    </row>
    <row r="1387" spans="1:16" ht="13.5" thickBot="1" x14ac:dyDescent="0.25">
      <c r="A1387" s="736"/>
      <c r="B1387" s="737"/>
      <c r="C1387" s="665" t="s">
        <v>1093</v>
      </c>
      <c r="E1387" s="661">
        <v>48</v>
      </c>
      <c r="F1387" s="662"/>
      <c r="G1387" s="631"/>
      <c r="H1387" s="631"/>
      <c r="I1387" s="631"/>
      <c r="J1387" s="631"/>
      <c r="K1387" s="631"/>
      <c r="L1387" s="631"/>
      <c r="M1387" s="631"/>
      <c r="N1387" s="666" t="s">
        <v>799</v>
      </c>
      <c r="O1387" s="631">
        <f>E1387</f>
        <v>48</v>
      </c>
      <c r="P1387" s="630" t="s">
        <v>6</v>
      </c>
    </row>
    <row r="1388" spans="1:16" ht="13.5" thickBot="1" x14ac:dyDescent="0.25">
      <c r="A1388" s="736"/>
      <c r="B1388" s="737"/>
      <c r="C1388" s="667"/>
      <c r="F1388" s="666"/>
      <c r="G1388" s="631"/>
      <c r="H1388" s="631"/>
      <c r="I1388" s="631"/>
      <c r="J1388" s="631"/>
      <c r="K1388" s="631"/>
      <c r="L1388" s="631"/>
      <c r="M1388" s="631"/>
      <c r="N1388" s="666"/>
      <c r="O1388" s="668">
        <f>ROUND((SUM(O1384:O1387)),2)</f>
        <v>158</v>
      </c>
      <c r="P1388" s="669" t="s">
        <v>6</v>
      </c>
    </row>
    <row r="1389" spans="1:16" x14ac:dyDescent="0.2">
      <c r="A1389" s="736"/>
      <c r="B1389" s="737"/>
      <c r="C1389" s="737"/>
      <c r="E1389" s="629"/>
      <c r="G1389" s="631"/>
      <c r="H1389" s="631"/>
      <c r="I1389" s="631"/>
      <c r="J1389" s="631"/>
      <c r="K1389" s="631"/>
      <c r="L1389" s="631"/>
      <c r="M1389" s="631"/>
      <c r="O1389" s="631"/>
    </row>
    <row r="1390" spans="1:16" x14ac:dyDescent="0.2">
      <c r="A1390" s="736"/>
      <c r="B1390" s="737"/>
      <c r="C1390" s="737"/>
      <c r="E1390" s="629"/>
      <c r="G1390" s="631"/>
      <c r="H1390" s="631"/>
      <c r="I1390" s="631"/>
      <c r="J1390" s="631"/>
      <c r="K1390" s="631"/>
      <c r="L1390" s="631"/>
      <c r="M1390" s="631"/>
      <c r="O1390" s="631"/>
    </row>
    <row r="1391" spans="1:16" x14ac:dyDescent="0.2">
      <c r="A1391" s="736"/>
      <c r="B1391" s="737"/>
      <c r="C1391" s="737"/>
      <c r="E1391" s="629"/>
      <c r="G1391" s="631"/>
      <c r="H1391" s="631"/>
      <c r="I1391" s="631"/>
      <c r="J1391" s="631"/>
      <c r="K1391" s="631"/>
      <c r="L1391" s="631"/>
      <c r="M1391" s="631"/>
      <c r="O1391" s="631"/>
    </row>
    <row r="1392" spans="1:16" x14ac:dyDescent="0.2">
      <c r="A1392" s="736"/>
      <c r="B1392" s="737"/>
      <c r="C1392" s="737"/>
      <c r="E1392" s="629"/>
      <c r="G1392" s="631"/>
      <c r="H1392" s="631"/>
      <c r="I1392" s="631"/>
      <c r="J1392" s="631"/>
      <c r="K1392" s="631"/>
      <c r="L1392" s="631"/>
      <c r="M1392" s="631"/>
      <c r="O1392" s="631"/>
    </row>
    <row r="1393" spans="1:16" x14ac:dyDescent="0.2">
      <c r="A1393" s="736"/>
      <c r="B1393" s="737"/>
      <c r="C1393" s="737"/>
      <c r="E1393" s="629"/>
      <c r="G1393" s="631"/>
      <c r="H1393" s="631"/>
      <c r="I1393" s="631"/>
      <c r="J1393" s="631"/>
      <c r="K1393" s="631"/>
      <c r="L1393" s="631"/>
      <c r="M1393" s="631"/>
      <c r="O1393" s="631"/>
    </row>
    <row r="1394" spans="1:16" x14ac:dyDescent="0.2">
      <c r="A1394" s="736"/>
      <c r="B1394" s="737"/>
      <c r="C1394" s="737"/>
      <c r="E1394" s="629"/>
      <c r="G1394" s="631"/>
      <c r="H1394" s="631"/>
      <c r="I1394" s="631"/>
      <c r="J1394" s="631"/>
      <c r="K1394" s="631"/>
      <c r="L1394" s="631"/>
      <c r="M1394" s="631"/>
      <c r="O1394" s="631"/>
    </row>
    <row r="1395" spans="1:16" x14ac:dyDescent="0.2">
      <c r="A1395" s="736"/>
      <c r="B1395" s="737"/>
      <c r="C1395" s="737"/>
      <c r="E1395" s="629"/>
      <c r="G1395" s="631"/>
      <c r="H1395" s="631"/>
      <c r="I1395" s="631"/>
      <c r="J1395" s="631"/>
      <c r="K1395" s="631"/>
      <c r="L1395" s="631"/>
      <c r="M1395" s="631"/>
      <c r="O1395" s="631"/>
    </row>
    <row r="1396" spans="1:16" x14ac:dyDescent="0.2">
      <c r="A1396" s="736"/>
      <c r="B1396" s="737"/>
      <c r="C1396" s="737"/>
      <c r="E1396" s="629"/>
      <c r="G1396" s="631"/>
      <c r="H1396" s="631"/>
      <c r="I1396" s="631"/>
      <c r="J1396" s="631"/>
      <c r="K1396" s="631"/>
      <c r="L1396" s="631"/>
      <c r="M1396" s="631"/>
      <c r="O1396" s="631"/>
    </row>
    <row r="1397" spans="1:16" x14ac:dyDescent="0.2">
      <c r="A1397" s="736"/>
      <c r="B1397" s="737"/>
      <c r="C1397" s="737"/>
      <c r="E1397" s="629"/>
      <c r="G1397" s="631"/>
      <c r="H1397" s="631"/>
      <c r="I1397" s="631"/>
      <c r="J1397" s="631"/>
      <c r="K1397" s="631"/>
      <c r="L1397" s="631"/>
      <c r="M1397" s="631"/>
      <c r="O1397" s="631"/>
    </row>
    <row r="1398" spans="1:16" x14ac:dyDescent="0.2">
      <c r="A1398" s="736"/>
      <c r="B1398" s="737"/>
      <c r="C1398" s="737"/>
      <c r="E1398" s="629"/>
      <c r="G1398" s="631"/>
      <c r="H1398" s="631"/>
      <c r="I1398" s="631"/>
      <c r="J1398" s="631"/>
      <c r="K1398" s="631"/>
      <c r="L1398" s="631"/>
      <c r="M1398" s="631"/>
      <c r="O1398" s="631"/>
    </row>
    <row r="1399" spans="1:16" x14ac:dyDescent="0.2">
      <c r="A1399" s="736"/>
      <c r="B1399" s="737"/>
      <c r="C1399" s="737"/>
      <c r="E1399" s="629"/>
      <c r="G1399" s="631"/>
      <c r="H1399" s="631"/>
      <c r="I1399" s="631"/>
      <c r="J1399" s="631"/>
      <c r="K1399" s="631"/>
      <c r="L1399" s="631"/>
      <c r="M1399" s="631"/>
      <c r="O1399" s="631"/>
    </row>
    <row r="1400" spans="1:16" x14ac:dyDescent="0.2">
      <c r="A1400" s="736"/>
      <c r="B1400" s="737"/>
      <c r="C1400" s="737"/>
      <c r="E1400" s="629"/>
      <c r="G1400" s="631"/>
      <c r="H1400" s="631"/>
      <c r="I1400" s="631"/>
      <c r="J1400" s="631"/>
      <c r="K1400" s="631"/>
      <c r="L1400" s="631"/>
      <c r="M1400" s="631"/>
      <c r="O1400" s="631"/>
    </row>
    <row r="1401" spans="1:16" x14ac:dyDescent="0.2">
      <c r="A1401" s="736"/>
      <c r="B1401" s="737"/>
      <c r="C1401" s="737"/>
      <c r="E1401" s="629"/>
      <c r="G1401" s="631"/>
      <c r="H1401" s="631"/>
      <c r="I1401" s="631"/>
      <c r="J1401" s="631"/>
      <c r="K1401" s="631"/>
      <c r="L1401" s="631"/>
      <c r="M1401" s="631"/>
      <c r="O1401" s="631"/>
    </row>
    <row r="1402" spans="1:16" x14ac:dyDescent="0.2">
      <c r="A1402" s="736"/>
      <c r="B1402" s="737"/>
      <c r="C1402" s="737"/>
      <c r="E1402" s="629"/>
      <c r="G1402" s="631"/>
      <c r="H1402" s="631"/>
      <c r="I1402" s="631"/>
      <c r="J1402" s="631"/>
      <c r="K1402" s="631"/>
      <c r="L1402" s="631"/>
      <c r="M1402" s="631"/>
      <c r="O1402" s="631"/>
    </row>
    <row r="1403" spans="1:16" x14ac:dyDescent="0.2">
      <c r="A1403" s="736"/>
      <c r="B1403" s="737"/>
      <c r="C1403" s="737"/>
      <c r="E1403" s="629"/>
      <c r="G1403" s="631"/>
      <c r="H1403" s="631"/>
      <c r="I1403" s="631"/>
      <c r="J1403" s="631"/>
      <c r="K1403" s="631"/>
      <c r="L1403" s="631"/>
      <c r="M1403" s="631"/>
      <c r="O1403" s="631"/>
    </row>
    <row r="1404" spans="1:16" x14ac:dyDescent="0.2">
      <c r="A1404" s="736"/>
      <c r="B1404" s="737"/>
      <c r="C1404" s="737"/>
      <c r="E1404" s="629"/>
      <c r="G1404" s="631"/>
      <c r="H1404" s="631"/>
      <c r="I1404" s="631"/>
      <c r="J1404" s="631"/>
      <c r="K1404" s="631"/>
      <c r="L1404" s="631"/>
      <c r="M1404" s="631"/>
      <c r="O1404" s="631"/>
    </row>
    <row r="1405" spans="1:16" x14ac:dyDescent="0.2">
      <c r="A1405" s="736"/>
      <c r="B1405" s="737"/>
      <c r="C1405" s="737"/>
      <c r="E1405" s="629"/>
      <c r="G1405" s="631"/>
      <c r="H1405" s="631"/>
      <c r="I1405" s="631"/>
      <c r="J1405" s="631"/>
      <c r="K1405" s="631"/>
      <c r="L1405" s="631"/>
      <c r="M1405" s="631"/>
      <c r="O1405" s="631"/>
    </row>
    <row r="1406" spans="1:16" x14ac:dyDescent="0.2">
      <c r="A1406" s="736"/>
      <c r="B1406" s="737"/>
      <c r="C1406" s="737"/>
      <c r="E1406" s="629"/>
      <c r="G1406" s="631"/>
      <c r="H1406" s="631"/>
      <c r="I1406" s="631"/>
      <c r="J1406" s="631"/>
      <c r="K1406" s="631"/>
      <c r="L1406" s="631"/>
      <c r="M1406" s="631"/>
      <c r="O1406" s="631"/>
    </row>
    <row r="1407" spans="1:16" ht="15.75" x14ac:dyDescent="0.2">
      <c r="A1407" s="1911" t="s">
        <v>1376</v>
      </c>
      <c r="B1407" s="1911"/>
      <c r="C1407" s="1911"/>
      <c r="D1407" s="1911"/>
      <c r="E1407" s="1911"/>
      <c r="F1407" s="1911"/>
      <c r="G1407" s="1911"/>
      <c r="H1407" s="1911"/>
      <c r="I1407" s="1911"/>
      <c r="J1407" s="1911"/>
      <c r="K1407" s="1911"/>
      <c r="L1407" s="1911"/>
      <c r="M1407" s="1911"/>
      <c r="N1407" s="1911"/>
      <c r="O1407" s="1911"/>
      <c r="P1407" s="1911"/>
    </row>
    <row r="1408" spans="1:16" ht="15.75" x14ac:dyDescent="0.2">
      <c r="A1408" s="949"/>
      <c r="B1408" s="949"/>
      <c r="C1408" s="949"/>
      <c r="D1408" s="949"/>
      <c r="E1408" s="949"/>
      <c r="F1408" s="949"/>
      <c r="G1408" s="949"/>
      <c r="H1408" s="949"/>
      <c r="I1408" s="949"/>
      <c r="J1408" s="949"/>
      <c r="K1408" s="949"/>
      <c r="L1408" s="949"/>
      <c r="M1408" s="949"/>
      <c r="N1408" s="949"/>
      <c r="O1408" s="949"/>
      <c r="P1408" s="949"/>
    </row>
    <row r="1409" spans="1:16" ht="15.75" x14ac:dyDescent="0.2">
      <c r="A1409"/>
      <c r="B1409" s="793"/>
      <c r="C1409" s="950" t="s">
        <v>1159</v>
      </c>
      <c r="D1409"/>
      <c r="E1409" s="800"/>
      <c r="F1409" s="794"/>
      <c r="G1409" s="812"/>
      <c r="H1409" s="812"/>
      <c r="I1409" s="812"/>
      <c r="J1409" s="812"/>
      <c r="K1409" s="812"/>
      <c r="L1409" s="812"/>
      <c r="M1409" s="812"/>
      <c r="N1409" s="794"/>
      <c r="O1409" s="812"/>
      <c r="P1409" s="796"/>
    </row>
    <row r="1410" spans="1:16" ht="45" customHeight="1" x14ac:dyDescent="0.2">
      <c r="A1410" s="805" t="s">
        <v>0</v>
      </c>
      <c r="B1410" s="806" t="s">
        <v>1377</v>
      </c>
      <c r="C1410" s="951" t="e">
        <f>#REF!</f>
        <v>#REF!</v>
      </c>
      <c r="D1410" s="808" t="s">
        <v>799</v>
      </c>
      <c r="E1410" s="809" t="s">
        <v>864</v>
      </c>
      <c r="F1410" s="810"/>
      <c r="G1410" s="811"/>
      <c r="H1410" s="811"/>
      <c r="I1410" s="811"/>
      <c r="J1410" s="811"/>
      <c r="K1410" s="811"/>
      <c r="L1410" s="811"/>
      <c r="M1410" s="811"/>
      <c r="N1410" s="794"/>
      <c r="O1410" s="812"/>
      <c r="P1410" s="796"/>
    </row>
    <row r="1411" spans="1:16" ht="12.75" customHeight="1" x14ac:dyDescent="0.2">
      <c r="A1411" s="805"/>
      <c r="B1411" s="806"/>
      <c r="C1411" s="813" t="s">
        <v>1684</v>
      </c>
      <c r="D1411"/>
      <c r="E1411" s="800">
        <v>530.71</v>
      </c>
      <c r="F1411" s="808"/>
      <c r="G1411" s="812"/>
      <c r="H1411" s="812"/>
      <c r="I1411" s="812"/>
      <c r="J1411" s="812"/>
      <c r="K1411" s="812"/>
      <c r="L1411" s="812"/>
      <c r="M1411" s="812"/>
      <c r="N1411" s="814" t="s">
        <v>799</v>
      </c>
      <c r="O1411" s="812">
        <f t="shared" ref="O1411:O1414" si="70">E1411</f>
        <v>530.71</v>
      </c>
      <c r="P1411" s="794" t="s">
        <v>6</v>
      </c>
    </row>
    <row r="1412" spans="1:16" x14ac:dyDescent="0.2">
      <c r="A1412" s="797"/>
      <c r="B1412" s="804"/>
      <c r="C1412" s="813" t="s">
        <v>1154</v>
      </c>
      <c r="D1412"/>
      <c r="E1412" s="800">
        <v>7343.15</v>
      </c>
      <c r="F1412" s="808"/>
      <c r="G1412" s="812"/>
      <c r="H1412" s="812"/>
      <c r="I1412" s="812"/>
      <c r="J1412" s="812"/>
      <c r="K1412" s="812"/>
      <c r="L1412" s="812"/>
      <c r="M1412" s="812"/>
      <c r="N1412" s="814" t="s">
        <v>799</v>
      </c>
      <c r="O1412" s="812">
        <f t="shared" si="70"/>
        <v>7343.15</v>
      </c>
      <c r="P1412" s="794" t="s">
        <v>6</v>
      </c>
    </row>
    <row r="1413" spans="1:16" x14ac:dyDescent="0.2">
      <c r="A1413" s="797"/>
      <c r="B1413" s="804"/>
      <c r="C1413" s="813" t="s">
        <v>1155</v>
      </c>
      <c r="D1413"/>
      <c r="E1413" s="481">
        <v>15879.73</v>
      </c>
      <c r="F1413" s="808"/>
      <c r="G1413" s="812"/>
      <c r="H1413" s="812"/>
      <c r="I1413" s="812"/>
      <c r="J1413" s="812"/>
      <c r="K1413" s="812"/>
      <c r="L1413" s="812"/>
      <c r="M1413" s="812"/>
      <c r="N1413" s="814" t="s">
        <v>799</v>
      </c>
      <c r="O1413" s="812">
        <f t="shared" si="70"/>
        <v>15879.73</v>
      </c>
      <c r="P1413" s="794" t="s">
        <v>6</v>
      </c>
    </row>
    <row r="1414" spans="1:16" ht="13.5" thickBot="1" x14ac:dyDescent="0.25">
      <c r="A1414" s="797"/>
      <c r="B1414" s="804"/>
      <c r="C1414" s="813" t="s">
        <v>1156</v>
      </c>
      <c r="D1414"/>
      <c r="E1414" s="481">
        <v>3669.97</v>
      </c>
      <c r="F1414" s="808"/>
      <c r="G1414" s="812"/>
      <c r="H1414" s="812"/>
      <c r="I1414" s="812"/>
      <c r="J1414" s="812"/>
      <c r="K1414" s="812"/>
      <c r="L1414" s="812"/>
      <c r="M1414" s="812"/>
      <c r="N1414" s="814" t="s">
        <v>799</v>
      </c>
      <c r="O1414" s="812">
        <f t="shared" si="70"/>
        <v>3669.97</v>
      </c>
      <c r="P1414" s="794" t="s">
        <v>6</v>
      </c>
    </row>
    <row r="1415" spans="1:16" ht="13.5" thickBot="1" x14ac:dyDescent="0.25">
      <c r="A1415" s="797"/>
      <c r="B1415" s="804"/>
      <c r="C1415" s="815"/>
      <c r="D1415"/>
      <c r="E1415" s="481"/>
      <c r="F1415" s="814"/>
      <c r="G1415" s="812"/>
      <c r="H1415" s="812"/>
      <c r="I1415" s="812"/>
      <c r="J1415" s="812"/>
      <c r="K1415" s="812"/>
      <c r="L1415" s="812"/>
      <c r="M1415" s="812"/>
      <c r="N1415" s="814"/>
      <c r="O1415" s="816">
        <f>ROUND((SUM(O1411:O1414)),2)</f>
        <v>27423.56</v>
      </c>
      <c r="P1415" s="817" t="s">
        <v>6</v>
      </c>
    </row>
    <row r="1416" spans="1:16" ht="18.75" customHeight="1" x14ac:dyDescent="0.2">
      <c r="A1416" s="734" t="s">
        <v>0</v>
      </c>
      <c r="B1416" s="735" t="s">
        <v>1378</v>
      </c>
      <c r="C1416" s="678" t="e">
        <f>#REF!</f>
        <v>#REF!</v>
      </c>
      <c r="D1416" s="662" t="s">
        <v>799</v>
      </c>
      <c r="E1416" s="663" t="s">
        <v>864</v>
      </c>
      <c r="F1416" s="633"/>
      <c r="G1416" s="664" t="s">
        <v>865</v>
      </c>
      <c r="H1416" s="664"/>
      <c r="I1416" s="664" t="s">
        <v>883</v>
      </c>
      <c r="J1416" s="664"/>
      <c r="K1416" s="664" t="s">
        <v>628</v>
      </c>
      <c r="L1416" s="664"/>
      <c r="M1416" s="664"/>
      <c r="O1416" s="631"/>
    </row>
    <row r="1417" spans="1:16" x14ac:dyDescent="0.2">
      <c r="A1417" s="736"/>
      <c r="B1417" s="737"/>
      <c r="C1417" s="813" t="s">
        <v>1684</v>
      </c>
      <c r="D1417"/>
      <c r="E1417" s="800">
        <v>530.71</v>
      </c>
      <c r="F1417" s="662" t="s">
        <v>866</v>
      </c>
      <c r="G1417" s="631">
        <v>0.5</v>
      </c>
      <c r="H1417" s="631" t="s">
        <v>866</v>
      </c>
      <c r="I1417" s="631">
        <f>1+((0.5*0.025)+0.1)</f>
        <v>1.1125</v>
      </c>
      <c r="J1417" s="631" t="s">
        <v>866</v>
      </c>
      <c r="K1417" s="631">
        <v>1</v>
      </c>
      <c r="L1417" s="631"/>
      <c r="M1417" s="631"/>
      <c r="N1417" s="666" t="s">
        <v>799</v>
      </c>
      <c r="O1417" s="631">
        <f t="shared" ref="O1417:O1420" si="71">E1417*G1417*I1417*K1417</f>
        <v>295.20743750000003</v>
      </c>
      <c r="P1417" s="630" t="s">
        <v>12</v>
      </c>
    </row>
    <row r="1418" spans="1:16" x14ac:dyDescent="0.2">
      <c r="A1418" s="736"/>
      <c r="B1418" s="737"/>
      <c r="C1418" s="813" t="s">
        <v>1154</v>
      </c>
      <c r="D1418"/>
      <c r="E1418" s="800">
        <v>7343.15</v>
      </c>
      <c r="F1418" s="662" t="s">
        <v>866</v>
      </c>
      <c r="G1418" s="631">
        <v>0.6</v>
      </c>
      <c r="H1418" s="631" t="s">
        <v>866</v>
      </c>
      <c r="I1418" s="631">
        <f>1+((2*0.025)+0.1)</f>
        <v>1.1499999999999999</v>
      </c>
      <c r="J1418" s="631" t="s">
        <v>866</v>
      </c>
      <c r="K1418" s="631">
        <v>1</v>
      </c>
      <c r="L1418" s="631"/>
      <c r="M1418" s="631"/>
      <c r="N1418" s="666" t="s">
        <v>799</v>
      </c>
      <c r="O1418" s="631">
        <f t="shared" si="71"/>
        <v>5066.7734999999993</v>
      </c>
      <c r="P1418" s="630" t="s">
        <v>12</v>
      </c>
    </row>
    <row r="1419" spans="1:16" x14ac:dyDescent="0.2">
      <c r="A1419" s="736"/>
      <c r="B1419" s="737"/>
      <c r="C1419" s="813" t="s">
        <v>1155</v>
      </c>
      <c r="D1419"/>
      <c r="E1419" s="481">
        <v>15879.73</v>
      </c>
      <c r="F1419" s="662" t="s">
        <v>866</v>
      </c>
      <c r="G1419" s="631">
        <v>0.6</v>
      </c>
      <c r="H1419" s="631" t="s">
        <v>866</v>
      </c>
      <c r="I1419" s="631">
        <f>1+((3*0.025)+0.1)</f>
        <v>1.175</v>
      </c>
      <c r="J1419" s="631" t="s">
        <v>866</v>
      </c>
      <c r="K1419" s="631">
        <v>1</v>
      </c>
      <c r="L1419" s="631"/>
      <c r="M1419" s="631"/>
      <c r="N1419" s="666" t="s">
        <v>799</v>
      </c>
      <c r="O1419" s="631">
        <f t="shared" si="71"/>
        <v>11195.209650000001</v>
      </c>
      <c r="P1419" s="630" t="s">
        <v>12</v>
      </c>
    </row>
    <row r="1420" spans="1:16" x14ac:dyDescent="0.2">
      <c r="A1420" s="736"/>
      <c r="B1420" s="737"/>
      <c r="C1420" s="813" t="s">
        <v>1156</v>
      </c>
      <c r="D1420"/>
      <c r="E1420" s="481">
        <v>3669.97</v>
      </c>
      <c r="F1420" s="662" t="s">
        <v>866</v>
      </c>
      <c r="G1420" s="631">
        <v>0.6</v>
      </c>
      <c r="H1420" s="631" t="s">
        <v>866</v>
      </c>
      <c r="I1420" s="631">
        <f>1+((4*0.025)+0.1)</f>
        <v>1.2</v>
      </c>
      <c r="J1420" s="631" t="s">
        <v>866</v>
      </c>
      <c r="K1420" s="631">
        <v>1</v>
      </c>
      <c r="L1420" s="631"/>
      <c r="M1420" s="631"/>
      <c r="N1420" s="666" t="s">
        <v>799</v>
      </c>
      <c r="O1420" s="631">
        <f t="shared" si="71"/>
        <v>2642.3784000000001</v>
      </c>
      <c r="P1420" s="630" t="s">
        <v>12</v>
      </c>
    </row>
    <row r="1421" spans="1:16" x14ac:dyDescent="0.2">
      <c r="A1421" s="736"/>
      <c r="B1421" s="737"/>
      <c r="C1421" s="824" t="s">
        <v>982</v>
      </c>
      <c r="F1421" s="662"/>
      <c r="G1421" s="631"/>
      <c r="H1421" s="631"/>
      <c r="I1421" s="631"/>
      <c r="J1421" s="631"/>
      <c r="K1421" s="631"/>
      <c r="L1421" s="631"/>
      <c r="M1421" s="631"/>
      <c r="N1421" s="666"/>
      <c r="O1421" s="631"/>
      <c r="P1421" s="630"/>
    </row>
    <row r="1422" spans="1:16" x14ac:dyDescent="0.2">
      <c r="A1422" s="736"/>
      <c r="B1422" s="737"/>
      <c r="C1422" s="665" t="s">
        <v>1676</v>
      </c>
      <c r="E1422" s="661">
        <v>4</v>
      </c>
      <c r="F1422" s="662" t="s">
        <v>866</v>
      </c>
      <c r="G1422" s="631">
        <v>0.4</v>
      </c>
      <c r="H1422" s="631" t="s">
        <v>866</v>
      </c>
      <c r="I1422" s="631">
        <f>0.7+((0.5*0.025)+0.1)</f>
        <v>0.8125</v>
      </c>
      <c r="J1422" s="631" t="s">
        <v>866</v>
      </c>
      <c r="K1422" s="631">
        <v>148</v>
      </c>
      <c r="L1422" s="631"/>
      <c r="M1422" s="631"/>
      <c r="N1422" s="666" t="s">
        <v>799</v>
      </c>
      <c r="O1422" s="631">
        <f>E1422*G1422*I1422*K1422</f>
        <v>192.4</v>
      </c>
      <c r="P1422" s="630" t="s">
        <v>12</v>
      </c>
    </row>
    <row r="1423" spans="1:16" ht="13.5" thickBot="1" x14ac:dyDescent="0.25">
      <c r="A1423" s="736"/>
      <c r="B1423" s="737"/>
      <c r="C1423" s="665" t="s">
        <v>1685</v>
      </c>
      <c r="E1423" s="661">
        <v>4</v>
      </c>
      <c r="F1423" s="662" t="s">
        <v>866</v>
      </c>
      <c r="G1423" s="631">
        <v>0.4</v>
      </c>
      <c r="H1423" s="631" t="s">
        <v>866</v>
      </c>
      <c r="I1423" s="631">
        <f>0.7+((0.5*0.025)+0.1)</f>
        <v>0.8125</v>
      </c>
      <c r="J1423" s="631" t="s">
        <v>866</v>
      </c>
      <c r="K1423" s="631">
        <v>45</v>
      </c>
      <c r="L1423" s="631"/>
      <c r="M1423" s="631"/>
      <c r="N1423" s="666" t="s">
        <v>799</v>
      </c>
      <c r="O1423" s="631">
        <f>E1423*G1423*I1423*K1423</f>
        <v>58.5</v>
      </c>
      <c r="P1423" s="630" t="s">
        <v>12</v>
      </c>
    </row>
    <row r="1424" spans="1:16" ht="13.5" thickBot="1" x14ac:dyDescent="0.25">
      <c r="A1424" s="736"/>
      <c r="B1424" s="737"/>
      <c r="C1424" s="737"/>
      <c r="F1424" s="666"/>
      <c r="G1424" s="631"/>
      <c r="H1424" s="631"/>
      <c r="I1424" s="631"/>
      <c r="J1424" s="631"/>
      <c r="K1424" s="631"/>
      <c r="L1424" s="631"/>
      <c r="M1424" s="631"/>
      <c r="N1424" s="666"/>
      <c r="O1424" s="668">
        <f>ROUND((SUM(O1417:O1423)),2)</f>
        <v>19450.47</v>
      </c>
      <c r="P1424" s="669" t="s">
        <v>12</v>
      </c>
    </row>
    <row r="1425" spans="1:16" ht="60.75" customHeight="1" x14ac:dyDescent="0.2">
      <c r="A1425" s="734" t="s">
        <v>0</v>
      </c>
      <c r="B1425" s="735" t="s">
        <v>1379</v>
      </c>
      <c r="C1425" s="678" t="e">
        <f>#REF!</f>
        <v>#REF!</v>
      </c>
      <c r="D1425" s="662" t="s">
        <v>799</v>
      </c>
      <c r="E1425" s="663" t="s">
        <v>864</v>
      </c>
      <c r="F1425" s="633"/>
      <c r="G1425" s="664" t="s">
        <v>865</v>
      </c>
      <c r="H1425" s="664"/>
      <c r="I1425" s="664" t="s">
        <v>883</v>
      </c>
      <c r="J1425" s="664"/>
      <c r="K1425" s="664" t="s">
        <v>1158</v>
      </c>
      <c r="L1425" s="664"/>
      <c r="M1425" s="664"/>
      <c r="O1425" s="631"/>
    </row>
    <row r="1426" spans="1:16" ht="12.75" customHeight="1" x14ac:dyDescent="0.2">
      <c r="A1426" s="734"/>
      <c r="B1426" s="735"/>
      <c r="C1426" s="813" t="s">
        <v>1684</v>
      </c>
      <c r="D1426"/>
      <c r="E1426" s="800">
        <v>530.71</v>
      </c>
      <c r="F1426" s="662" t="s">
        <v>866</v>
      </c>
      <c r="G1426" s="631">
        <v>0.5</v>
      </c>
      <c r="H1426" s="631" t="s">
        <v>866</v>
      </c>
      <c r="I1426" s="631">
        <f>0.1+0.0125+0.15</f>
        <v>0.26250000000000001</v>
      </c>
      <c r="J1426" s="631" t="s">
        <v>866</v>
      </c>
      <c r="K1426" s="631">
        <f>((PI()*(POWER(0.0125,2)))/4)*E1426</f>
        <v>6.5127915515103094E-2</v>
      </c>
      <c r="L1426" s="631"/>
      <c r="M1426" s="631"/>
      <c r="N1426" s="666" t="s">
        <v>799</v>
      </c>
      <c r="O1426" s="631">
        <f t="shared" ref="O1426:O1429" si="72">(E1426*G1426*I1426)-K1426</f>
        <v>69.590559584484907</v>
      </c>
      <c r="P1426" s="630" t="s">
        <v>12</v>
      </c>
    </row>
    <row r="1427" spans="1:16" x14ac:dyDescent="0.2">
      <c r="A1427" s="736"/>
      <c r="B1427" s="737"/>
      <c r="C1427" s="813" t="s">
        <v>1154</v>
      </c>
      <c r="D1427"/>
      <c r="E1427" s="800">
        <v>7343.15</v>
      </c>
      <c r="F1427" s="662" t="s">
        <v>866</v>
      </c>
      <c r="G1427" s="631">
        <v>0.6</v>
      </c>
      <c r="H1427" s="631" t="s">
        <v>866</v>
      </c>
      <c r="I1427" s="631">
        <f>0.1+0.05+0.15</f>
        <v>0.30000000000000004</v>
      </c>
      <c r="J1427" s="631" t="s">
        <v>866</v>
      </c>
      <c r="K1427" s="631">
        <f>((PI()*(POWER(0.05,2)))/4)*E1427</f>
        <v>14.418241308879931</v>
      </c>
      <c r="L1427" s="631"/>
      <c r="M1427" s="631"/>
      <c r="N1427" s="666" t="s">
        <v>799</v>
      </c>
      <c r="O1427" s="631">
        <f t="shared" si="72"/>
        <v>1307.3487586911201</v>
      </c>
      <c r="P1427" s="630" t="s">
        <v>12</v>
      </c>
    </row>
    <row r="1428" spans="1:16" x14ac:dyDescent="0.2">
      <c r="A1428" s="736"/>
      <c r="B1428" s="737"/>
      <c r="C1428" s="813" t="s">
        <v>1155</v>
      </c>
      <c r="D1428"/>
      <c r="E1428" s="481">
        <v>15879.73</v>
      </c>
      <c r="F1428" s="662" t="s">
        <v>866</v>
      </c>
      <c r="G1428" s="631">
        <v>0.6</v>
      </c>
      <c r="H1428" s="631" t="s">
        <v>866</v>
      </c>
      <c r="I1428" s="631">
        <f>0.1+0.075+0.15</f>
        <v>0.32499999999999996</v>
      </c>
      <c r="J1428" s="631" t="s">
        <v>866</v>
      </c>
      <c r="K1428" s="631">
        <f>((PI()*(POWER(0.075,2)))/4)*E1428</f>
        <v>70.154498122016406</v>
      </c>
      <c r="L1428" s="631"/>
      <c r="M1428" s="631"/>
      <c r="N1428" s="666" t="s">
        <v>799</v>
      </c>
      <c r="O1428" s="631">
        <f t="shared" si="72"/>
        <v>3026.392851877983</v>
      </c>
      <c r="P1428" s="630" t="s">
        <v>12</v>
      </c>
    </row>
    <row r="1429" spans="1:16" x14ac:dyDescent="0.2">
      <c r="A1429" s="736"/>
      <c r="B1429" s="737"/>
      <c r="C1429" s="813" t="s">
        <v>1156</v>
      </c>
      <c r="D1429"/>
      <c r="E1429" s="481">
        <v>3669.97</v>
      </c>
      <c r="F1429" s="662" t="s">
        <v>866</v>
      </c>
      <c r="G1429" s="631">
        <v>0.6</v>
      </c>
      <c r="H1429" s="631" t="s">
        <v>866</v>
      </c>
      <c r="I1429" s="631">
        <f>0.1+0.1+0.15</f>
        <v>0.35</v>
      </c>
      <c r="J1429" s="631" t="s">
        <v>866</v>
      </c>
      <c r="K1429" s="631">
        <f>((PI()*(POWER(0.1,2)))/4)*E1429</f>
        <v>28.823876977237333</v>
      </c>
      <c r="L1429" s="631"/>
      <c r="M1429" s="631"/>
      <c r="N1429" s="666" t="s">
        <v>799</v>
      </c>
      <c r="O1429" s="631">
        <f t="shared" si="72"/>
        <v>741.8698230227626</v>
      </c>
      <c r="P1429" s="630" t="s">
        <v>12</v>
      </c>
    </row>
    <row r="1430" spans="1:16" x14ac:dyDescent="0.2">
      <c r="A1430" s="736"/>
      <c r="B1430" s="737"/>
      <c r="C1430" s="824" t="s">
        <v>982</v>
      </c>
      <c r="F1430" s="662"/>
      <c r="G1430" s="631"/>
      <c r="H1430" s="631"/>
      <c r="I1430" s="631"/>
      <c r="J1430" s="631"/>
      <c r="K1430" s="631"/>
      <c r="L1430" s="631"/>
      <c r="M1430" s="631"/>
      <c r="N1430" s="666"/>
      <c r="O1430" s="631"/>
      <c r="P1430" s="630"/>
    </row>
    <row r="1431" spans="1:16" x14ac:dyDescent="0.2">
      <c r="A1431" s="736"/>
      <c r="B1431" s="737"/>
      <c r="C1431" s="665" t="s">
        <v>1676</v>
      </c>
      <c r="E1431" s="661">
        <f>E$1422*K$1422</f>
        <v>592</v>
      </c>
      <c r="F1431" s="662" t="s">
        <v>866</v>
      </c>
      <c r="G1431" s="631">
        <v>0.4</v>
      </c>
      <c r="H1431" s="631" t="s">
        <v>866</v>
      </c>
      <c r="I1431" s="631">
        <f>0.1+0.0125+0.15</f>
        <v>0.26250000000000001</v>
      </c>
      <c r="J1431" s="631" t="s">
        <v>866</v>
      </c>
      <c r="K1431" s="631">
        <f>((PI()*(POWER(0.0125,2)))/4)*E1431</f>
        <v>7.2649330114263971E-2</v>
      </c>
      <c r="L1431" s="631"/>
      <c r="M1431" s="631"/>
      <c r="N1431" s="666" t="s">
        <v>799</v>
      </c>
      <c r="O1431" s="631">
        <f>(E1431*G1431*I1431)-K1431</f>
        <v>62.087350669885737</v>
      </c>
      <c r="P1431" s="630" t="s">
        <v>12</v>
      </c>
    </row>
    <row r="1432" spans="1:16" ht="13.5" thickBot="1" x14ac:dyDescent="0.25">
      <c r="A1432" s="736"/>
      <c r="B1432" s="737"/>
      <c r="C1432" s="665" t="s">
        <v>1685</v>
      </c>
      <c r="E1432" s="661">
        <f>E$1423*K$1423</f>
        <v>180</v>
      </c>
      <c r="F1432" s="662" t="s">
        <v>866</v>
      </c>
      <c r="G1432" s="631">
        <v>0.4</v>
      </c>
      <c r="H1432" s="631" t="s">
        <v>866</v>
      </c>
      <c r="I1432" s="631">
        <f>0.1+0.0125+0.15</f>
        <v>0.26250000000000001</v>
      </c>
      <c r="J1432" s="631" t="s">
        <v>866</v>
      </c>
      <c r="K1432" s="631">
        <f>((PI()*(POWER(0.0125,2)))/4)*E1432</f>
        <v>2.2089323345553236E-2</v>
      </c>
      <c r="L1432" s="631"/>
      <c r="M1432" s="631"/>
      <c r="N1432" s="666" t="s">
        <v>799</v>
      </c>
      <c r="O1432" s="631">
        <f>(E1432*G1432*I1432)-K1432</f>
        <v>18.877910676654448</v>
      </c>
      <c r="P1432" s="630" t="s">
        <v>12</v>
      </c>
    </row>
    <row r="1433" spans="1:16" ht="13.5" thickBot="1" x14ac:dyDescent="0.25">
      <c r="A1433" s="736"/>
      <c r="B1433" s="737"/>
      <c r="C1433" s="737"/>
      <c r="F1433" s="666"/>
      <c r="G1433" s="631"/>
      <c r="H1433" s="631"/>
      <c r="I1433" s="631"/>
      <c r="J1433" s="631"/>
      <c r="K1433" s="631"/>
      <c r="L1433" s="631"/>
      <c r="M1433" s="631"/>
      <c r="N1433" s="666"/>
      <c r="O1433" s="668">
        <f>ROUND((SUM(O1426:O1432)),2)</f>
        <v>5226.17</v>
      </c>
      <c r="P1433" s="669" t="s">
        <v>12</v>
      </c>
    </row>
    <row r="1434" spans="1:16" x14ac:dyDescent="0.2">
      <c r="A1434" s="734" t="s">
        <v>0</v>
      </c>
      <c r="B1434" s="735" t="s">
        <v>1380</v>
      </c>
      <c r="C1434" s="751" t="e">
        <f>#REF!</f>
        <v>#REF!</v>
      </c>
      <c r="D1434" s="662" t="s">
        <v>799</v>
      </c>
      <c r="E1434" s="663" t="s">
        <v>864</v>
      </c>
      <c r="F1434" s="633"/>
      <c r="G1434" s="664" t="s">
        <v>865</v>
      </c>
      <c r="H1434" s="664"/>
      <c r="I1434" s="664" t="s">
        <v>883</v>
      </c>
      <c r="J1434" s="664"/>
      <c r="K1434" s="664" t="s">
        <v>628</v>
      </c>
      <c r="L1434" s="664"/>
      <c r="M1434" s="664" t="s">
        <v>977</v>
      </c>
      <c r="O1434" s="631"/>
    </row>
    <row r="1435" spans="1:16" x14ac:dyDescent="0.2">
      <c r="A1435" s="734"/>
      <c r="B1435" s="735"/>
      <c r="C1435" s="813" t="s">
        <v>1684</v>
      </c>
      <c r="E1435" s="800">
        <v>530.71</v>
      </c>
      <c r="F1435" s="662" t="s">
        <v>866</v>
      </c>
      <c r="G1435" s="631">
        <v>0.5</v>
      </c>
      <c r="H1435" s="631" t="s">
        <v>866</v>
      </c>
      <c r="I1435" s="631">
        <f>I1426+I1457</f>
        <v>0.5625</v>
      </c>
      <c r="J1435" s="631" t="s">
        <v>866</v>
      </c>
      <c r="K1435" s="631">
        <v>1</v>
      </c>
      <c r="L1435" s="631" t="s">
        <v>866</v>
      </c>
      <c r="M1435" s="631">
        <v>5</v>
      </c>
      <c r="N1435" s="666" t="s">
        <v>799</v>
      </c>
      <c r="O1435" s="631">
        <f t="shared" ref="O1435:O1438" si="73">E1435*G1435*I1435*K1435*M1435</f>
        <v>746.31093750000002</v>
      </c>
      <c r="P1435" s="657" t="s">
        <v>976</v>
      </c>
    </row>
    <row r="1436" spans="1:16" x14ac:dyDescent="0.2">
      <c r="A1436" s="736"/>
      <c r="B1436" s="737"/>
      <c r="C1436" s="813" t="s">
        <v>1154</v>
      </c>
      <c r="E1436" s="800">
        <v>7343.15</v>
      </c>
      <c r="F1436" s="662" t="s">
        <v>866</v>
      </c>
      <c r="G1436" s="631">
        <v>0.6</v>
      </c>
      <c r="H1436" s="631" t="s">
        <v>866</v>
      </c>
      <c r="I1436" s="631">
        <f>I1427+I1458</f>
        <v>0.60000000000000009</v>
      </c>
      <c r="J1436" s="631" t="s">
        <v>866</v>
      </c>
      <c r="K1436" s="631">
        <v>1</v>
      </c>
      <c r="L1436" s="631" t="s">
        <v>866</v>
      </c>
      <c r="M1436" s="631">
        <v>5</v>
      </c>
      <c r="N1436" s="666" t="s">
        <v>799</v>
      </c>
      <c r="O1436" s="631">
        <f t="shared" si="73"/>
        <v>13217.67</v>
      </c>
      <c r="P1436" s="657" t="s">
        <v>976</v>
      </c>
    </row>
    <row r="1437" spans="1:16" x14ac:dyDescent="0.2">
      <c r="A1437" s="736"/>
      <c r="B1437" s="737"/>
      <c r="C1437" s="813" t="s">
        <v>1155</v>
      </c>
      <c r="E1437" s="481">
        <v>15879.73</v>
      </c>
      <c r="F1437" s="662" t="s">
        <v>866</v>
      </c>
      <c r="G1437" s="631">
        <v>0.6</v>
      </c>
      <c r="H1437" s="631" t="s">
        <v>866</v>
      </c>
      <c r="I1437" s="631">
        <f>I1428+I1459</f>
        <v>0.625</v>
      </c>
      <c r="J1437" s="631" t="s">
        <v>866</v>
      </c>
      <c r="K1437" s="631">
        <v>1</v>
      </c>
      <c r="L1437" s="631" t="s">
        <v>866</v>
      </c>
      <c r="M1437" s="631">
        <v>5</v>
      </c>
      <c r="N1437" s="666" t="s">
        <v>799</v>
      </c>
      <c r="O1437" s="631">
        <f t="shared" si="73"/>
        <v>29774.493750000001</v>
      </c>
      <c r="P1437" s="657" t="s">
        <v>976</v>
      </c>
    </row>
    <row r="1438" spans="1:16" x14ac:dyDescent="0.2">
      <c r="A1438" s="736"/>
      <c r="B1438" s="737"/>
      <c r="C1438" s="813" t="s">
        <v>1156</v>
      </c>
      <c r="E1438" s="481">
        <v>3669.97</v>
      </c>
      <c r="F1438" s="662" t="s">
        <v>866</v>
      </c>
      <c r="G1438" s="631">
        <v>0.6</v>
      </c>
      <c r="H1438" s="631" t="s">
        <v>866</v>
      </c>
      <c r="I1438" s="631">
        <f>I1429+I1460</f>
        <v>0.64999999999999991</v>
      </c>
      <c r="J1438" s="631" t="s">
        <v>866</v>
      </c>
      <c r="K1438" s="631">
        <v>1</v>
      </c>
      <c r="L1438" s="631" t="s">
        <v>866</v>
      </c>
      <c r="M1438" s="631">
        <v>5</v>
      </c>
      <c r="N1438" s="666" t="s">
        <v>799</v>
      </c>
      <c r="O1438" s="631">
        <f t="shared" si="73"/>
        <v>7156.441499999999</v>
      </c>
      <c r="P1438" s="657" t="s">
        <v>976</v>
      </c>
    </row>
    <row r="1439" spans="1:16" x14ac:dyDescent="0.2">
      <c r="A1439" s="736"/>
      <c r="B1439" s="737"/>
      <c r="C1439" s="824" t="s">
        <v>982</v>
      </c>
      <c r="F1439" s="662"/>
      <c r="G1439" s="631"/>
      <c r="H1439" s="631"/>
      <c r="I1439" s="631"/>
      <c r="J1439" s="631"/>
      <c r="K1439" s="631"/>
      <c r="L1439" s="631"/>
      <c r="M1439" s="631"/>
      <c r="N1439" s="666"/>
      <c r="O1439" s="631"/>
      <c r="P1439" s="657"/>
    </row>
    <row r="1440" spans="1:16" x14ac:dyDescent="0.2">
      <c r="A1440" s="736"/>
      <c r="B1440" s="737"/>
      <c r="C1440" s="665" t="s">
        <v>1676</v>
      </c>
      <c r="E1440" s="661">
        <v>4</v>
      </c>
      <c r="F1440" s="662" t="s">
        <v>866</v>
      </c>
      <c r="G1440" s="631">
        <v>0.4</v>
      </c>
      <c r="H1440" s="631" t="s">
        <v>866</v>
      </c>
      <c r="I1440" s="631">
        <f>I1431+I1462</f>
        <v>0.5625</v>
      </c>
      <c r="J1440" s="631" t="s">
        <v>866</v>
      </c>
      <c r="K1440" s="631">
        <v>148</v>
      </c>
      <c r="L1440" s="631" t="s">
        <v>866</v>
      </c>
      <c r="M1440" s="631">
        <v>5</v>
      </c>
      <c r="N1440" s="666" t="s">
        <v>799</v>
      </c>
      <c r="O1440" s="631">
        <f>E1440*G1440*I1440*K1440*M1440</f>
        <v>666.00000000000011</v>
      </c>
      <c r="P1440" s="657" t="s">
        <v>976</v>
      </c>
    </row>
    <row r="1441" spans="1:16" ht="13.5" thickBot="1" x14ac:dyDescent="0.25">
      <c r="A1441" s="736"/>
      <c r="B1441" s="737"/>
      <c r="C1441" s="665" t="s">
        <v>1685</v>
      </c>
      <c r="E1441" s="661">
        <v>4</v>
      </c>
      <c r="F1441" s="662" t="s">
        <v>866</v>
      </c>
      <c r="G1441" s="631">
        <v>0.4</v>
      </c>
      <c r="H1441" s="631" t="s">
        <v>866</v>
      </c>
      <c r="I1441" s="631">
        <f>I1432+I1463</f>
        <v>0.5625</v>
      </c>
      <c r="J1441" s="631" t="s">
        <v>866</v>
      </c>
      <c r="K1441" s="631">
        <v>45</v>
      </c>
      <c r="L1441" s="631" t="s">
        <v>866</v>
      </c>
      <c r="M1441" s="631">
        <v>5</v>
      </c>
      <c r="N1441" s="666" t="s">
        <v>799</v>
      </c>
      <c r="O1441" s="631">
        <f>E1441*G1441*I1441*K1441*M1441</f>
        <v>202.5</v>
      </c>
      <c r="P1441" s="657" t="s">
        <v>976</v>
      </c>
    </row>
    <row r="1442" spans="1:16" ht="13.5" thickBot="1" x14ac:dyDescent="0.25">
      <c r="A1442" s="736"/>
      <c r="B1442" s="737"/>
      <c r="C1442" s="667"/>
      <c r="F1442" s="666"/>
      <c r="G1442" s="631"/>
      <c r="H1442" s="631"/>
      <c r="I1442" s="631"/>
      <c r="J1442" s="631"/>
      <c r="K1442" s="631"/>
      <c r="L1442" s="631"/>
      <c r="M1442" s="631"/>
      <c r="N1442" s="666"/>
      <c r="O1442" s="668">
        <f>ROUND((SUM(O1435:O1441)),2)</f>
        <v>51763.42</v>
      </c>
      <c r="P1442" s="711" t="s">
        <v>976</v>
      </c>
    </row>
    <row r="1443" spans="1:16" x14ac:dyDescent="0.2">
      <c r="A1443" s="736"/>
      <c r="B1443" s="737"/>
      <c r="C1443" s="667"/>
      <c r="F1443" s="666"/>
      <c r="G1443" s="631"/>
      <c r="H1443" s="631"/>
      <c r="I1443" s="631"/>
      <c r="J1443" s="631"/>
      <c r="K1443" s="631"/>
      <c r="L1443" s="631"/>
      <c r="M1443" s="631"/>
      <c r="N1443" s="666"/>
      <c r="O1443" s="632"/>
      <c r="P1443" s="657"/>
    </row>
    <row r="1444" spans="1:16" x14ac:dyDescent="0.2">
      <c r="A1444" s="734" t="s">
        <v>0</v>
      </c>
      <c r="B1444" s="735" t="s">
        <v>1381</v>
      </c>
      <c r="C1444" s="678" t="e">
        <f>#REF!</f>
        <v>#REF!</v>
      </c>
      <c r="D1444" s="662" t="s">
        <v>799</v>
      </c>
      <c r="E1444" s="663" t="s">
        <v>864</v>
      </c>
      <c r="F1444" s="633"/>
      <c r="G1444" s="664" t="s">
        <v>865</v>
      </c>
      <c r="H1444" s="664"/>
      <c r="I1444" s="664" t="s">
        <v>883</v>
      </c>
      <c r="J1444" s="664"/>
      <c r="K1444" s="664" t="s">
        <v>628</v>
      </c>
      <c r="L1444" s="664"/>
      <c r="M1444" s="664"/>
      <c r="O1444" s="631"/>
    </row>
    <row r="1445" spans="1:16" x14ac:dyDescent="0.2">
      <c r="A1445" s="734"/>
      <c r="B1445" s="735"/>
      <c r="C1445" s="813" t="s">
        <v>1684</v>
      </c>
      <c r="E1445" s="800">
        <v>530.71</v>
      </c>
      <c r="F1445" s="662" t="s">
        <v>866</v>
      </c>
      <c r="G1445" s="631">
        <v>0.5</v>
      </c>
      <c r="H1445" s="631" t="s">
        <v>866</v>
      </c>
      <c r="I1445" s="631">
        <f>I1417-(I1426+I1457)</f>
        <v>0.55000000000000004</v>
      </c>
      <c r="J1445" s="631" t="s">
        <v>866</v>
      </c>
      <c r="K1445" s="631">
        <v>1</v>
      </c>
      <c r="L1445" s="631"/>
      <c r="M1445" s="631"/>
      <c r="N1445" s="666" t="s">
        <v>799</v>
      </c>
      <c r="O1445" s="631">
        <f>E1445*G1445*I1445*K1445</f>
        <v>145.94525000000002</v>
      </c>
      <c r="P1445" s="630" t="s">
        <v>12</v>
      </c>
    </row>
    <row r="1446" spans="1:16" x14ac:dyDescent="0.2">
      <c r="A1446" s="736"/>
      <c r="B1446" s="737"/>
      <c r="C1446" s="813" t="s">
        <v>1154</v>
      </c>
      <c r="E1446" s="800">
        <v>7343.15</v>
      </c>
      <c r="F1446" s="662" t="s">
        <v>866</v>
      </c>
      <c r="G1446" s="631">
        <v>0.6</v>
      </c>
      <c r="H1446" s="631" t="s">
        <v>866</v>
      </c>
      <c r="I1446" s="631">
        <f t="shared" ref="I1446:I1451" si="74">I1418-(I1427+I1458)</f>
        <v>0.54999999999999982</v>
      </c>
      <c r="J1446" s="631" t="s">
        <v>866</v>
      </c>
      <c r="K1446" s="631">
        <v>1</v>
      </c>
      <c r="L1446" s="631"/>
      <c r="M1446" s="631"/>
      <c r="N1446" s="666" t="s">
        <v>799</v>
      </c>
      <c r="O1446" s="631">
        <f>E1446*G1446*I1446*K1446</f>
        <v>2423.2394999999988</v>
      </c>
      <c r="P1446" s="630" t="s">
        <v>12</v>
      </c>
    </row>
    <row r="1447" spans="1:16" x14ac:dyDescent="0.2">
      <c r="A1447" s="736"/>
      <c r="B1447" s="737"/>
      <c r="C1447" s="813" t="s">
        <v>1155</v>
      </c>
      <c r="E1447" s="481">
        <v>15879.73</v>
      </c>
      <c r="F1447" s="662" t="s">
        <v>866</v>
      </c>
      <c r="G1447" s="631">
        <v>0.6</v>
      </c>
      <c r="H1447" s="631" t="s">
        <v>866</v>
      </c>
      <c r="I1447" s="631">
        <f t="shared" si="74"/>
        <v>0.55000000000000004</v>
      </c>
      <c r="J1447" s="631" t="s">
        <v>866</v>
      </c>
      <c r="K1447" s="631">
        <v>1</v>
      </c>
      <c r="L1447" s="631"/>
      <c r="M1447" s="631"/>
      <c r="N1447" s="666" t="s">
        <v>799</v>
      </c>
      <c r="O1447" s="631">
        <f t="shared" ref="O1447:O1451" si="75">E1447*G1447*I1447*K1447</f>
        <v>5240.3109000000004</v>
      </c>
      <c r="P1447" s="630" t="s">
        <v>12</v>
      </c>
    </row>
    <row r="1448" spans="1:16" x14ac:dyDescent="0.2">
      <c r="A1448" s="736"/>
      <c r="B1448" s="737"/>
      <c r="C1448" s="813" t="s">
        <v>1156</v>
      </c>
      <c r="E1448" s="481">
        <v>3669.97</v>
      </c>
      <c r="F1448" s="662" t="s">
        <v>866</v>
      </c>
      <c r="G1448" s="631">
        <v>0.6</v>
      </c>
      <c r="H1448" s="631" t="s">
        <v>866</v>
      </c>
      <c r="I1448" s="631">
        <f t="shared" si="74"/>
        <v>0.55000000000000004</v>
      </c>
      <c r="J1448" s="631" t="s">
        <v>866</v>
      </c>
      <c r="K1448" s="631">
        <v>1</v>
      </c>
      <c r="L1448" s="631"/>
      <c r="M1448" s="631"/>
      <c r="N1448" s="666" t="s">
        <v>799</v>
      </c>
      <c r="O1448" s="631">
        <f t="shared" si="75"/>
        <v>1211.0901000000001</v>
      </c>
      <c r="P1448" s="630" t="s">
        <v>12</v>
      </c>
    </row>
    <row r="1449" spans="1:16" x14ac:dyDescent="0.2">
      <c r="A1449" s="736"/>
      <c r="B1449" s="737"/>
      <c r="C1449" s="824" t="s">
        <v>982</v>
      </c>
      <c r="F1449" s="662"/>
      <c r="G1449" s="631"/>
      <c r="H1449" s="631"/>
      <c r="I1449" s="631"/>
      <c r="J1449" s="631"/>
      <c r="K1449" s="631"/>
      <c r="L1449" s="631"/>
      <c r="M1449" s="631"/>
      <c r="N1449" s="666"/>
      <c r="O1449" s="631"/>
      <c r="P1449" s="630"/>
    </row>
    <row r="1450" spans="1:16" x14ac:dyDescent="0.2">
      <c r="A1450" s="736"/>
      <c r="B1450" s="737"/>
      <c r="C1450" s="665" t="s">
        <v>1676</v>
      </c>
      <c r="E1450" s="661">
        <v>4</v>
      </c>
      <c r="F1450" s="662" t="s">
        <v>866</v>
      </c>
      <c r="G1450" s="631">
        <v>0.4</v>
      </c>
      <c r="H1450" s="631" t="s">
        <v>866</v>
      </c>
      <c r="I1450" s="631">
        <f t="shared" si="74"/>
        <v>0.25</v>
      </c>
      <c r="J1450" s="631" t="s">
        <v>866</v>
      </c>
      <c r="K1450" s="631">
        <v>148</v>
      </c>
      <c r="L1450" s="631"/>
      <c r="M1450" s="631"/>
      <c r="N1450" s="666" t="s">
        <v>799</v>
      </c>
      <c r="O1450" s="631">
        <f t="shared" si="75"/>
        <v>59.2</v>
      </c>
      <c r="P1450" s="630" t="s">
        <v>12</v>
      </c>
    </row>
    <row r="1451" spans="1:16" ht="13.5" thickBot="1" x14ac:dyDescent="0.25">
      <c r="A1451" s="736"/>
      <c r="B1451" s="737"/>
      <c r="C1451" s="665" t="s">
        <v>1685</v>
      </c>
      <c r="E1451" s="661">
        <v>4</v>
      </c>
      <c r="F1451" s="662" t="s">
        <v>866</v>
      </c>
      <c r="G1451" s="631">
        <v>0.4</v>
      </c>
      <c r="H1451" s="631" t="s">
        <v>866</v>
      </c>
      <c r="I1451" s="631">
        <f t="shared" si="74"/>
        <v>0.25</v>
      </c>
      <c r="J1451" s="631" t="s">
        <v>866</v>
      </c>
      <c r="K1451" s="631">
        <v>45</v>
      </c>
      <c r="L1451" s="631"/>
      <c r="M1451" s="631"/>
      <c r="N1451" s="666" t="s">
        <v>799</v>
      </c>
      <c r="O1451" s="631">
        <f t="shared" si="75"/>
        <v>18</v>
      </c>
      <c r="P1451" s="630" t="s">
        <v>12</v>
      </c>
    </row>
    <row r="1452" spans="1:16" ht="13.5" thickBot="1" x14ac:dyDescent="0.25">
      <c r="A1452" s="736"/>
      <c r="B1452" s="737"/>
      <c r="C1452" s="667"/>
      <c r="F1452" s="666"/>
      <c r="G1452" s="631"/>
      <c r="H1452" s="631"/>
      <c r="I1452" s="631"/>
      <c r="J1452" s="631"/>
      <c r="K1452" s="631"/>
      <c r="L1452" s="631"/>
      <c r="M1452" s="631"/>
      <c r="N1452" s="666"/>
      <c r="O1452" s="668">
        <f>ROUND((SUM(O1445:O1451)),2)</f>
        <v>9097.7900000000009</v>
      </c>
      <c r="P1452" s="669" t="s">
        <v>12</v>
      </c>
    </row>
    <row r="1453" spans="1:16" x14ac:dyDescent="0.2">
      <c r="A1453" s="736"/>
      <c r="B1453" s="737"/>
      <c r="C1453" s="667"/>
      <c r="F1453" s="666"/>
      <c r="G1453" s="631"/>
      <c r="H1453" s="631"/>
      <c r="I1453" s="631"/>
      <c r="J1453" s="631"/>
      <c r="K1453" s="631"/>
      <c r="L1453" s="631"/>
      <c r="M1453" s="631"/>
      <c r="N1453" s="666"/>
      <c r="O1453" s="632"/>
      <c r="P1453" s="633"/>
    </row>
    <row r="1454" spans="1:16" x14ac:dyDescent="0.2">
      <c r="A1454" s="736"/>
      <c r="B1454" s="737"/>
      <c r="C1454" s="667"/>
      <c r="F1454" s="666"/>
      <c r="G1454" s="631"/>
      <c r="H1454" s="631"/>
      <c r="I1454" s="631"/>
      <c r="J1454" s="631"/>
      <c r="K1454" s="631"/>
      <c r="L1454" s="631"/>
      <c r="M1454" s="631"/>
      <c r="N1454" s="666"/>
      <c r="O1454" s="632"/>
      <c r="P1454" s="633"/>
    </row>
    <row r="1455" spans="1:16" x14ac:dyDescent="0.2">
      <c r="A1455" s="736"/>
      <c r="B1455" s="737"/>
      <c r="C1455" s="667"/>
      <c r="F1455" s="666"/>
      <c r="G1455" s="631"/>
      <c r="H1455" s="631"/>
      <c r="I1455" s="631"/>
      <c r="J1455" s="631"/>
      <c r="K1455" s="631"/>
      <c r="L1455" s="631"/>
      <c r="M1455" s="631"/>
      <c r="N1455" s="666"/>
      <c r="O1455" s="632"/>
      <c r="P1455" s="633"/>
    </row>
    <row r="1456" spans="1:16" ht="35.25" customHeight="1" x14ac:dyDescent="0.2">
      <c r="A1456" s="734" t="s">
        <v>0</v>
      </c>
      <c r="B1456" s="735" t="s">
        <v>1382</v>
      </c>
      <c r="C1456" s="751" t="e">
        <f>#REF!</f>
        <v>#REF!</v>
      </c>
      <c r="D1456" s="662" t="s">
        <v>799</v>
      </c>
      <c r="E1456" s="663" t="s">
        <v>864</v>
      </c>
      <c r="F1456" s="633"/>
      <c r="G1456" s="664" t="s">
        <v>865</v>
      </c>
      <c r="H1456" s="664"/>
      <c r="I1456" s="664" t="s">
        <v>883</v>
      </c>
      <c r="J1456" s="664"/>
      <c r="K1456" s="664"/>
      <c r="L1456" s="664"/>
      <c r="M1456" s="664"/>
      <c r="O1456" s="631"/>
    </row>
    <row r="1457" spans="1:16" ht="12.75" customHeight="1" x14ac:dyDescent="0.2">
      <c r="A1457" s="734"/>
      <c r="B1457" s="735"/>
      <c r="C1457" s="813" t="s">
        <v>1684</v>
      </c>
      <c r="E1457" s="800">
        <v>530.71</v>
      </c>
      <c r="F1457" s="662" t="s">
        <v>866</v>
      </c>
      <c r="G1457" s="631">
        <v>0.5</v>
      </c>
      <c r="H1457" s="631" t="s">
        <v>866</v>
      </c>
      <c r="I1457" s="631">
        <v>0.3</v>
      </c>
      <c r="J1457" s="631"/>
      <c r="K1457" s="631"/>
      <c r="L1457" s="631"/>
      <c r="M1457" s="631"/>
      <c r="N1457" s="666" t="s">
        <v>799</v>
      </c>
      <c r="O1457" s="631">
        <f>E1457*G1457*I1457</f>
        <v>79.606499999999997</v>
      </c>
      <c r="P1457" s="630" t="s">
        <v>12</v>
      </c>
    </row>
    <row r="1458" spans="1:16" x14ac:dyDescent="0.2">
      <c r="A1458" s="736"/>
      <c r="B1458" s="737"/>
      <c r="C1458" s="813" t="s">
        <v>1154</v>
      </c>
      <c r="E1458" s="800">
        <v>7343.15</v>
      </c>
      <c r="F1458" s="662" t="s">
        <v>866</v>
      </c>
      <c r="G1458" s="631">
        <v>0.6</v>
      </c>
      <c r="H1458" s="631" t="s">
        <v>866</v>
      </c>
      <c r="I1458" s="631">
        <v>0.3</v>
      </c>
      <c r="J1458" s="631"/>
      <c r="K1458" s="631"/>
      <c r="L1458" s="631"/>
      <c r="M1458" s="631"/>
      <c r="N1458" s="666" t="s">
        <v>799</v>
      </c>
      <c r="O1458" s="631">
        <f>E1458*G1458*I1458</f>
        <v>1321.7669999999998</v>
      </c>
      <c r="P1458" s="630" t="s">
        <v>12</v>
      </c>
    </row>
    <row r="1459" spans="1:16" x14ac:dyDescent="0.2">
      <c r="A1459" s="736"/>
      <c r="B1459" s="737"/>
      <c r="C1459" s="813" t="s">
        <v>1155</v>
      </c>
      <c r="E1459" s="481">
        <v>15879.73</v>
      </c>
      <c r="F1459" s="662" t="s">
        <v>866</v>
      </c>
      <c r="G1459" s="631">
        <v>0.6</v>
      </c>
      <c r="H1459" s="631" t="s">
        <v>866</v>
      </c>
      <c r="I1459" s="631">
        <v>0.3</v>
      </c>
      <c r="J1459" s="631"/>
      <c r="K1459" s="631"/>
      <c r="L1459" s="631"/>
      <c r="M1459" s="631"/>
      <c r="N1459" s="666" t="s">
        <v>799</v>
      </c>
      <c r="O1459" s="631">
        <f>E1459*G1459*I1459</f>
        <v>2858.3514</v>
      </c>
      <c r="P1459" s="630" t="s">
        <v>12</v>
      </c>
    </row>
    <row r="1460" spans="1:16" x14ac:dyDescent="0.2">
      <c r="A1460" s="736"/>
      <c r="B1460" s="737"/>
      <c r="C1460" s="813" t="s">
        <v>1156</v>
      </c>
      <c r="E1460" s="481">
        <v>3669.97</v>
      </c>
      <c r="F1460" s="662" t="s">
        <v>866</v>
      </c>
      <c r="G1460" s="631">
        <v>0.6</v>
      </c>
      <c r="H1460" s="631" t="s">
        <v>866</v>
      </c>
      <c r="I1460" s="631">
        <v>0.3</v>
      </c>
      <c r="J1460" s="631"/>
      <c r="K1460" s="631"/>
      <c r="L1460" s="631"/>
      <c r="M1460" s="631"/>
      <c r="N1460" s="666" t="s">
        <v>799</v>
      </c>
      <c r="O1460" s="631">
        <f t="shared" ref="O1460:O1463" si="76">E1460*G1460*I1460</f>
        <v>660.59460000000001</v>
      </c>
      <c r="P1460" s="630" t="s">
        <v>12</v>
      </c>
    </row>
    <row r="1461" spans="1:16" x14ac:dyDescent="0.2">
      <c r="A1461" s="736"/>
      <c r="B1461" s="737"/>
      <c r="C1461" s="824" t="s">
        <v>982</v>
      </c>
      <c r="F1461" s="662"/>
      <c r="G1461" s="631"/>
      <c r="H1461" s="631"/>
      <c r="I1461" s="631"/>
      <c r="J1461" s="631"/>
      <c r="K1461" s="631"/>
      <c r="L1461" s="631"/>
      <c r="M1461" s="631"/>
      <c r="N1461" s="666"/>
      <c r="O1461" s="631"/>
      <c r="P1461" s="630"/>
    </row>
    <row r="1462" spans="1:16" x14ac:dyDescent="0.2">
      <c r="A1462" s="736"/>
      <c r="B1462" s="737"/>
      <c r="C1462" s="665" t="s">
        <v>1676</v>
      </c>
      <c r="E1462" s="661">
        <f>E$1422*K$1422</f>
        <v>592</v>
      </c>
      <c r="F1462" s="662" t="s">
        <v>866</v>
      </c>
      <c r="G1462" s="631">
        <v>0.4</v>
      </c>
      <c r="H1462" s="631" t="s">
        <v>866</v>
      </c>
      <c r="I1462" s="631">
        <v>0.3</v>
      </c>
      <c r="J1462" s="631"/>
      <c r="K1462" s="631"/>
      <c r="L1462" s="631"/>
      <c r="M1462" s="631"/>
      <c r="N1462" s="666" t="s">
        <v>799</v>
      </c>
      <c r="O1462" s="631">
        <f>E1462*G1462*I1462</f>
        <v>71.040000000000006</v>
      </c>
      <c r="P1462" s="630" t="s">
        <v>12</v>
      </c>
    </row>
    <row r="1463" spans="1:16" ht="13.5" thickBot="1" x14ac:dyDescent="0.25">
      <c r="A1463" s="736"/>
      <c r="B1463" s="737"/>
      <c r="C1463" s="665" t="s">
        <v>1685</v>
      </c>
      <c r="E1463" s="661">
        <f>E$1423*K$1423</f>
        <v>180</v>
      </c>
      <c r="F1463" s="662" t="s">
        <v>866</v>
      </c>
      <c r="G1463" s="631">
        <v>0.4</v>
      </c>
      <c r="H1463" s="631" t="s">
        <v>866</v>
      </c>
      <c r="I1463" s="631">
        <v>0.3</v>
      </c>
      <c r="J1463" s="631"/>
      <c r="K1463" s="631"/>
      <c r="L1463" s="631"/>
      <c r="M1463" s="631"/>
      <c r="N1463" s="666" t="s">
        <v>799</v>
      </c>
      <c r="O1463" s="631">
        <f t="shared" si="76"/>
        <v>21.599999999999998</v>
      </c>
      <c r="P1463" s="630" t="s">
        <v>12</v>
      </c>
    </row>
    <row r="1464" spans="1:16" ht="13.5" thickBot="1" x14ac:dyDescent="0.25">
      <c r="A1464" s="736"/>
      <c r="B1464" s="737"/>
      <c r="C1464" s="737"/>
      <c r="F1464" s="666"/>
      <c r="G1464" s="631"/>
      <c r="H1464" s="631"/>
      <c r="I1464" s="631"/>
      <c r="J1464" s="631"/>
      <c r="K1464" s="631"/>
      <c r="L1464" s="631"/>
      <c r="M1464" s="631"/>
      <c r="N1464" s="666"/>
      <c r="O1464" s="668">
        <f>ROUND((SUM(O1457:O1463)),2)</f>
        <v>5012.96</v>
      </c>
      <c r="P1464" s="669" t="s">
        <v>12</v>
      </c>
    </row>
    <row r="1465" spans="1:16" x14ac:dyDescent="0.2">
      <c r="A1465" s="734" t="s">
        <v>0</v>
      </c>
      <c r="B1465" s="735" t="s">
        <v>1383</v>
      </c>
      <c r="C1465" s="678" t="e">
        <f>#REF!</f>
        <v>#REF!</v>
      </c>
      <c r="D1465" s="662" t="s">
        <v>799</v>
      </c>
      <c r="E1465" s="663" t="s">
        <v>864</v>
      </c>
      <c r="F1465" s="633"/>
      <c r="G1465" s="664"/>
      <c r="H1465" s="664"/>
      <c r="I1465" s="664"/>
      <c r="J1465" s="664"/>
      <c r="K1465" s="664"/>
      <c r="L1465" s="664"/>
      <c r="M1465" s="664"/>
      <c r="O1465" s="631"/>
    </row>
    <row r="1466" spans="1:16" ht="13.5" thickBot="1" x14ac:dyDescent="0.25">
      <c r="A1466" s="736"/>
      <c r="B1466" s="737"/>
      <c r="C1466" s="813" t="s">
        <v>1684</v>
      </c>
      <c r="E1466" s="800">
        <v>530.71</v>
      </c>
      <c r="F1466" s="662"/>
      <c r="G1466" s="631"/>
      <c r="H1466" s="631"/>
      <c r="I1466" s="631"/>
      <c r="J1466" s="631"/>
      <c r="K1466" s="631"/>
      <c r="L1466" s="631"/>
      <c r="M1466" s="631"/>
      <c r="N1466" s="666" t="s">
        <v>799</v>
      </c>
      <c r="O1466" s="631">
        <f>E1466</f>
        <v>530.71</v>
      </c>
      <c r="P1466" s="630" t="s">
        <v>6</v>
      </c>
    </row>
    <row r="1467" spans="1:16" ht="13.5" thickBot="1" x14ac:dyDescent="0.25">
      <c r="A1467" s="736"/>
      <c r="B1467" s="737"/>
      <c r="C1467" s="667"/>
      <c r="F1467" s="666"/>
      <c r="G1467" s="631"/>
      <c r="H1467" s="631"/>
      <c r="I1467" s="631"/>
      <c r="J1467" s="631"/>
      <c r="K1467" s="631"/>
      <c r="L1467" s="631"/>
      <c r="M1467" s="631"/>
      <c r="N1467" s="666"/>
      <c r="O1467" s="668">
        <f>ROUND((SUM(O1466:O1466)),2)</f>
        <v>530.71</v>
      </c>
      <c r="P1467" s="669" t="s">
        <v>6</v>
      </c>
    </row>
    <row r="1468" spans="1:16" x14ac:dyDescent="0.2">
      <c r="A1468" s="734" t="s">
        <v>0</v>
      </c>
      <c r="B1468" s="735" t="s">
        <v>1384</v>
      </c>
      <c r="C1468" s="678" t="e">
        <f>#REF!</f>
        <v>#REF!</v>
      </c>
      <c r="D1468" s="662" t="s">
        <v>799</v>
      </c>
      <c r="E1468" s="663" t="s">
        <v>864</v>
      </c>
      <c r="F1468" s="633"/>
      <c r="G1468" s="664"/>
      <c r="H1468" s="664"/>
      <c r="I1468" s="664"/>
      <c r="J1468" s="664"/>
      <c r="K1468" s="664"/>
      <c r="L1468" s="664"/>
      <c r="M1468" s="664"/>
      <c r="O1468" s="631"/>
    </row>
    <row r="1469" spans="1:16" ht="13.5" thickBot="1" x14ac:dyDescent="0.25">
      <c r="A1469" s="736"/>
      <c r="B1469" s="737"/>
      <c r="C1469" s="813" t="s">
        <v>1154</v>
      </c>
      <c r="E1469" s="800">
        <v>7343.15</v>
      </c>
      <c r="F1469" s="662"/>
      <c r="G1469" s="631"/>
      <c r="H1469" s="631"/>
      <c r="I1469" s="631"/>
      <c r="J1469" s="631"/>
      <c r="K1469" s="631"/>
      <c r="L1469" s="631"/>
      <c r="M1469" s="631"/>
      <c r="N1469" s="666" t="s">
        <v>799</v>
      </c>
      <c r="O1469" s="631">
        <f>E1469</f>
        <v>7343.15</v>
      </c>
      <c r="P1469" s="630" t="s">
        <v>6</v>
      </c>
    </row>
    <row r="1470" spans="1:16" ht="13.5" thickBot="1" x14ac:dyDescent="0.25">
      <c r="A1470" s="736"/>
      <c r="B1470" s="737"/>
      <c r="C1470" s="667"/>
      <c r="F1470" s="666"/>
      <c r="G1470" s="631"/>
      <c r="H1470" s="631"/>
      <c r="I1470" s="631"/>
      <c r="J1470" s="631"/>
      <c r="K1470" s="631"/>
      <c r="L1470" s="631"/>
      <c r="M1470" s="631"/>
      <c r="N1470" s="666"/>
      <c r="O1470" s="668">
        <f>ROUND((SUM(O1469:O1469)),2)</f>
        <v>7343.15</v>
      </c>
      <c r="P1470" s="669" t="s">
        <v>6</v>
      </c>
    </row>
    <row r="1471" spans="1:16" x14ac:dyDescent="0.2">
      <c r="A1471" s="734" t="s">
        <v>0</v>
      </c>
      <c r="B1471" s="735" t="s">
        <v>1385</v>
      </c>
      <c r="C1471" s="678" t="e">
        <f>#REF!</f>
        <v>#REF!</v>
      </c>
      <c r="D1471" s="662" t="s">
        <v>799</v>
      </c>
      <c r="E1471" s="663" t="s">
        <v>864</v>
      </c>
      <c r="F1471" s="633"/>
      <c r="G1471" s="664"/>
      <c r="H1471" s="664"/>
      <c r="I1471" s="664"/>
      <c r="J1471" s="664"/>
      <c r="K1471" s="664"/>
      <c r="L1471" s="664"/>
      <c r="M1471" s="664"/>
      <c r="O1471" s="631"/>
    </row>
    <row r="1472" spans="1:16" ht="13.5" thickBot="1" x14ac:dyDescent="0.25">
      <c r="A1472" s="736"/>
      <c r="B1472" s="737"/>
      <c r="C1472" s="813" t="s">
        <v>1155</v>
      </c>
      <c r="E1472" s="481">
        <v>15879.73</v>
      </c>
      <c r="F1472" s="662"/>
      <c r="G1472" s="631"/>
      <c r="H1472" s="631"/>
      <c r="I1472" s="631"/>
      <c r="J1472" s="631"/>
      <c r="K1472" s="631"/>
      <c r="L1472" s="631"/>
      <c r="M1472" s="631"/>
      <c r="N1472" s="666" t="s">
        <v>799</v>
      </c>
      <c r="O1472" s="631">
        <f>E1472</f>
        <v>15879.73</v>
      </c>
      <c r="P1472" s="630" t="s">
        <v>6</v>
      </c>
    </row>
    <row r="1473" spans="1:16" ht="13.5" thickBot="1" x14ac:dyDescent="0.25">
      <c r="A1473" s="736"/>
      <c r="B1473" s="737"/>
      <c r="C1473" s="667"/>
      <c r="F1473" s="666"/>
      <c r="G1473" s="631"/>
      <c r="H1473" s="631"/>
      <c r="I1473" s="631"/>
      <c r="J1473" s="631"/>
      <c r="K1473" s="631"/>
      <c r="L1473" s="631"/>
      <c r="M1473" s="631"/>
      <c r="N1473" s="666"/>
      <c r="O1473" s="668">
        <f>ROUND((SUM(O1472:O1472)),2)</f>
        <v>15879.73</v>
      </c>
      <c r="P1473" s="669" t="s">
        <v>6</v>
      </c>
    </row>
    <row r="1474" spans="1:16" ht="28.5" customHeight="1" x14ac:dyDescent="0.2">
      <c r="A1474" s="734" t="s">
        <v>0</v>
      </c>
      <c r="B1474" s="735" t="s">
        <v>1386</v>
      </c>
      <c r="C1474" s="678" t="e">
        <f>#REF!</f>
        <v>#REF!</v>
      </c>
      <c r="D1474" s="662" t="s">
        <v>799</v>
      </c>
      <c r="E1474" s="663" t="s">
        <v>864</v>
      </c>
      <c r="F1474" s="633"/>
      <c r="G1474" s="664"/>
      <c r="H1474" s="664"/>
      <c r="I1474" s="664"/>
      <c r="J1474" s="664"/>
      <c r="K1474" s="664"/>
      <c r="L1474" s="664"/>
      <c r="M1474" s="664"/>
      <c r="O1474" s="631"/>
    </row>
    <row r="1475" spans="1:16" ht="13.5" thickBot="1" x14ac:dyDescent="0.25">
      <c r="A1475" s="736"/>
      <c r="B1475" s="737"/>
      <c r="C1475" s="813" t="s">
        <v>1156</v>
      </c>
      <c r="E1475" s="481">
        <v>3669.97</v>
      </c>
      <c r="F1475" s="662"/>
      <c r="G1475" s="631"/>
      <c r="H1475" s="631"/>
      <c r="I1475" s="631"/>
      <c r="J1475" s="631"/>
      <c r="K1475" s="631"/>
      <c r="L1475" s="631"/>
      <c r="M1475" s="631"/>
      <c r="N1475" s="666" t="s">
        <v>799</v>
      </c>
      <c r="O1475" s="631">
        <f>E1475</f>
        <v>3669.97</v>
      </c>
      <c r="P1475" s="630" t="s">
        <v>6</v>
      </c>
    </row>
    <row r="1476" spans="1:16" ht="13.5" thickBot="1" x14ac:dyDescent="0.25">
      <c r="A1476" s="736"/>
      <c r="B1476" s="737"/>
      <c r="C1476" s="667"/>
      <c r="F1476" s="666"/>
      <c r="G1476" s="631"/>
      <c r="H1476" s="631"/>
      <c r="I1476" s="631"/>
      <c r="J1476" s="631"/>
      <c r="K1476" s="631"/>
      <c r="L1476" s="631"/>
      <c r="M1476" s="631"/>
      <c r="N1476" s="666"/>
      <c r="O1476" s="668">
        <f>ROUND((SUM(O1475:O1475)),2)</f>
        <v>3669.97</v>
      </c>
      <c r="P1476" s="669" t="s">
        <v>6</v>
      </c>
    </row>
    <row r="1477" spans="1:16" ht="40.5" customHeight="1" x14ac:dyDescent="0.2">
      <c r="A1477" s="734" t="s">
        <v>0</v>
      </c>
      <c r="B1477" s="735" t="s">
        <v>1387</v>
      </c>
      <c r="C1477" s="751" t="e">
        <f>#REF!</f>
        <v>#REF!</v>
      </c>
      <c r="D1477" s="662" t="s">
        <v>799</v>
      </c>
      <c r="E1477" s="663" t="s">
        <v>628</v>
      </c>
      <c r="F1477" s="633"/>
      <c r="G1477" s="664"/>
      <c r="H1477" s="664"/>
      <c r="I1477" s="664"/>
      <c r="J1477" s="664"/>
      <c r="K1477" s="664"/>
      <c r="L1477" s="664"/>
      <c r="M1477" s="664"/>
      <c r="O1477" s="631"/>
    </row>
    <row r="1478" spans="1:16" ht="13.5" thickBot="1" x14ac:dyDescent="0.25">
      <c r="A1478" s="736"/>
      <c r="B1478" s="737"/>
      <c r="C1478" s="665" t="s">
        <v>1154</v>
      </c>
      <c r="E1478" s="661">
        <v>4</v>
      </c>
      <c r="F1478" s="662"/>
      <c r="G1478" s="631"/>
      <c r="H1478" s="631"/>
      <c r="I1478" s="631"/>
      <c r="J1478" s="631"/>
      <c r="K1478" s="631"/>
      <c r="L1478" s="631"/>
      <c r="M1478" s="631"/>
      <c r="N1478" s="666" t="s">
        <v>799</v>
      </c>
      <c r="O1478" s="631">
        <f>E1478</f>
        <v>4</v>
      </c>
      <c r="P1478" s="657" t="s">
        <v>2</v>
      </c>
    </row>
    <row r="1479" spans="1:16" ht="13.5" thickBot="1" x14ac:dyDescent="0.25">
      <c r="A1479" s="736"/>
      <c r="B1479" s="737"/>
      <c r="C1479" s="667"/>
      <c r="F1479" s="666"/>
      <c r="G1479" s="631"/>
      <c r="H1479" s="631"/>
      <c r="I1479" s="631"/>
      <c r="J1479" s="631"/>
      <c r="K1479" s="631"/>
      <c r="L1479" s="631"/>
      <c r="M1479" s="631"/>
      <c r="N1479" s="666"/>
      <c r="O1479" s="668">
        <f>ROUND((SUM(O1478:O1478)),2)</f>
        <v>4</v>
      </c>
      <c r="P1479" s="669" t="s">
        <v>2</v>
      </c>
    </row>
    <row r="1480" spans="1:16" ht="40.5" customHeight="1" x14ac:dyDescent="0.2">
      <c r="A1480" s="734" t="s">
        <v>0</v>
      </c>
      <c r="B1480" s="735" t="s">
        <v>1388</v>
      </c>
      <c r="C1480" s="751" t="e">
        <f>#REF!</f>
        <v>#REF!</v>
      </c>
      <c r="D1480" s="662" t="s">
        <v>799</v>
      </c>
      <c r="E1480" s="663" t="s">
        <v>628</v>
      </c>
      <c r="F1480" s="633"/>
      <c r="G1480" s="664"/>
      <c r="H1480" s="664"/>
      <c r="I1480" s="664"/>
      <c r="J1480" s="664"/>
      <c r="K1480" s="664"/>
      <c r="L1480" s="664"/>
      <c r="M1480" s="664"/>
      <c r="O1480" s="631"/>
    </row>
    <row r="1481" spans="1:16" ht="13.5" thickBot="1" x14ac:dyDescent="0.25">
      <c r="A1481" s="736"/>
      <c r="B1481" s="737"/>
      <c r="C1481" s="665" t="s">
        <v>1155</v>
      </c>
      <c r="E1481" s="661">
        <v>6</v>
      </c>
      <c r="F1481" s="662"/>
      <c r="G1481" s="631"/>
      <c r="H1481" s="631"/>
      <c r="I1481" s="631"/>
      <c r="J1481" s="631"/>
      <c r="K1481" s="631"/>
      <c r="L1481" s="631"/>
      <c r="M1481" s="631"/>
      <c r="N1481" s="666" t="s">
        <v>799</v>
      </c>
      <c r="O1481" s="631">
        <f>E1481</f>
        <v>6</v>
      </c>
      <c r="P1481" s="657" t="s">
        <v>2</v>
      </c>
    </row>
    <row r="1482" spans="1:16" ht="13.5" thickBot="1" x14ac:dyDescent="0.25">
      <c r="A1482" s="736"/>
      <c r="B1482" s="737"/>
      <c r="C1482" s="667"/>
      <c r="F1482" s="666"/>
      <c r="G1482" s="631"/>
      <c r="H1482" s="631"/>
      <c r="I1482" s="631"/>
      <c r="J1482" s="631"/>
      <c r="K1482" s="631"/>
      <c r="L1482" s="631"/>
      <c r="M1482" s="631"/>
      <c r="N1482" s="666"/>
      <c r="O1482" s="668">
        <f>ROUND((SUM(O1481:O1481)),2)</f>
        <v>6</v>
      </c>
      <c r="P1482" s="669" t="s">
        <v>2</v>
      </c>
    </row>
    <row r="1483" spans="1:16" ht="46.5" customHeight="1" x14ac:dyDescent="0.2">
      <c r="A1483" s="734" t="s">
        <v>0</v>
      </c>
      <c r="B1483" s="735" t="s">
        <v>1389</v>
      </c>
      <c r="C1483" s="678" t="e">
        <f>#REF!</f>
        <v>#REF!</v>
      </c>
      <c r="D1483" s="662" t="s">
        <v>799</v>
      </c>
      <c r="E1483" s="663" t="s">
        <v>628</v>
      </c>
      <c r="F1483" s="633"/>
      <c r="G1483" s="664"/>
      <c r="H1483" s="664"/>
      <c r="I1483" s="664"/>
      <c r="J1483" s="664"/>
      <c r="K1483" s="664"/>
      <c r="L1483" s="664"/>
      <c r="M1483" s="664"/>
      <c r="O1483" s="631"/>
    </row>
    <row r="1484" spans="1:16" ht="13.5" thickBot="1" x14ac:dyDescent="0.25">
      <c r="A1484" s="736"/>
      <c r="B1484" s="737"/>
      <c r="C1484" s="665" t="s">
        <v>1156</v>
      </c>
      <c r="E1484" s="661">
        <v>2</v>
      </c>
      <c r="F1484" s="662"/>
      <c r="G1484" s="631"/>
      <c r="H1484" s="631"/>
      <c r="I1484" s="631"/>
      <c r="J1484" s="631"/>
      <c r="K1484" s="631"/>
      <c r="L1484" s="631"/>
      <c r="M1484" s="631"/>
      <c r="N1484" s="666" t="s">
        <v>799</v>
      </c>
      <c r="O1484" s="631">
        <f>E1484</f>
        <v>2</v>
      </c>
      <c r="P1484" s="657" t="s">
        <v>2</v>
      </c>
    </row>
    <row r="1485" spans="1:16" ht="13.5" thickBot="1" x14ac:dyDescent="0.25">
      <c r="A1485" s="736"/>
      <c r="B1485" s="737"/>
      <c r="C1485" s="667"/>
      <c r="F1485" s="666"/>
      <c r="G1485" s="631"/>
      <c r="H1485" s="631"/>
      <c r="I1485" s="631"/>
      <c r="J1485" s="631"/>
      <c r="K1485" s="631"/>
      <c r="L1485" s="631"/>
      <c r="M1485" s="631"/>
      <c r="N1485" s="666"/>
      <c r="O1485" s="668">
        <f>ROUND((SUM(O1484:O1484)),2)</f>
        <v>2</v>
      </c>
      <c r="P1485" s="669" t="s">
        <v>2</v>
      </c>
    </row>
    <row r="1486" spans="1:16" x14ac:dyDescent="0.2">
      <c r="A1486" s="734" t="s">
        <v>0</v>
      </c>
      <c r="B1486" s="735" t="s">
        <v>1390</v>
      </c>
      <c r="C1486" s="751" t="e">
        <f>#REF!</f>
        <v>#REF!</v>
      </c>
      <c r="D1486" s="662" t="s">
        <v>799</v>
      </c>
      <c r="E1486" s="663" t="s">
        <v>628</v>
      </c>
      <c r="F1486" s="633"/>
      <c r="G1486" s="664"/>
      <c r="H1486" s="664"/>
      <c r="I1486" s="664"/>
      <c r="J1486" s="664"/>
      <c r="K1486" s="664"/>
      <c r="L1486" s="664"/>
      <c r="M1486" s="664"/>
      <c r="O1486" s="631"/>
    </row>
    <row r="1487" spans="1:16" ht="12.75" customHeight="1" x14ac:dyDescent="0.2">
      <c r="A1487" s="736"/>
      <c r="B1487" s="737"/>
      <c r="C1487" s="665" t="s">
        <v>1154</v>
      </c>
      <c r="E1487" s="661">
        <v>4</v>
      </c>
      <c r="F1487" s="662"/>
      <c r="G1487" s="631"/>
      <c r="H1487" s="631"/>
      <c r="I1487" s="631"/>
      <c r="J1487" s="631"/>
      <c r="K1487" s="631"/>
      <c r="L1487" s="631"/>
      <c r="M1487" s="631"/>
      <c r="N1487" s="666" t="s">
        <v>799</v>
      </c>
      <c r="O1487" s="631">
        <f>E1487</f>
        <v>4</v>
      </c>
      <c r="P1487" s="657" t="s">
        <v>2</v>
      </c>
    </row>
    <row r="1488" spans="1:16" x14ac:dyDescent="0.2">
      <c r="A1488" s="736"/>
      <c r="B1488" s="737"/>
      <c r="C1488" s="665" t="s">
        <v>1155</v>
      </c>
      <c r="E1488" s="661">
        <v>6</v>
      </c>
      <c r="F1488" s="662"/>
      <c r="G1488" s="631"/>
      <c r="H1488" s="631"/>
      <c r="I1488" s="631"/>
      <c r="J1488" s="631"/>
      <c r="K1488" s="631"/>
      <c r="L1488" s="631"/>
      <c r="M1488" s="631"/>
      <c r="N1488" s="666" t="s">
        <v>799</v>
      </c>
      <c r="O1488" s="631">
        <f>E1488</f>
        <v>6</v>
      </c>
      <c r="P1488" s="657" t="s">
        <v>2</v>
      </c>
    </row>
    <row r="1489" spans="1:16" ht="13.5" thickBot="1" x14ac:dyDescent="0.25">
      <c r="A1489" s="736"/>
      <c r="B1489" s="737"/>
      <c r="C1489" s="665" t="s">
        <v>1156</v>
      </c>
      <c r="E1489" s="661">
        <v>2</v>
      </c>
      <c r="F1489" s="662"/>
      <c r="G1489" s="631"/>
      <c r="H1489" s="631"/>
      <c r="I1489" s="631"/>
      <c r="J1489" s="631"/>
      <c r="K1489" s="631"/>
      <c r="L1489" s="631"/>
      <c r="M1489" s="631"/>
      <c r="N1489" s="666" t="s">
        <v>799</v>
      </c>
      <c r="O1489" s="631">
        <f>E1489</f>
        <v>2</v>
      </c>
      <c r="P1489" s="657" t="s">
        <v>2</v>
      </c>
    </row>
    <row r="1490" spans="1:16" ht="13.5" thickBot="1" x14ac:dyDescent="0.25">
      <c r="A1490" s="736"/>
      <c r="B1490" s="737"/>
      <c r="C1490" s="667"/>
      <c r="F1490" s="666"/>
      <c r="G1490" s="631"/>
      <c r="H1490" s="631"/>
      <c r="I1490" s="631"/>
      <c r="J1490" s="631"/>
      <c r="K1490" s="631"/>
      <c r="L1490" s="631"/>
      <c r="M1490" s="631"/>
      <c r="N1490" s="666"/>
      <c r="O1490" s="668">
        <f>ROUND((SUM(O1487:O1489)),2)</f>
        <v>12</v>
      </c>
      <c r="P1490" s="669" t="s">
        <v>2</v>
      </c>
    </row>
    <row r="1491" spans="1:16" x14ac:dyDescent="0.2">
      <c r="A1491" s="734" t="s">
        <v>0</v>
      </c>
      <c r="B1491" s="735" t="s">
        <v>1391</v>
      </c>
      <c r="C1491" s="678" t="e">
        <f>#REF!</f>
        <v>#REF!</v>
      </c>
      <c r="D1491" s="662" t="s">
        <v>799</v>
      </c>
      <c r="E1491" s="663" t="s">
        <v>628</v>
      </c>
      <c r="F1491" s="633"/>
      <c r="G1491" s="664"/>
      <c r="H1491" s="664"/>
      <c r="I1491" s="664"/>
      <c r="J1491" s="664"/>
      <c r="K1491" s="664"/>
      <c r="L1491" s="664"/>
      <c r="M1491" s="664"/>
      <c r="O1491" s="631"/>
    </row>
    <row r="1492" spans="1:16" ht="13.5" thickBot="1" x14ac:dyDescent="0.25">
      <c r="A1492" s="736"/>
      <c r="B1492" s="737"/>
      <c r="C1492" s="665" t="s">
        <v>1685</v>
      </c>
      <c r="E1492" s="661">
        <v>3</v>
      </c>
      <c r="F1492" s="662"/>
      <c r="G1492" s="631"/>
      <c r="H1492" s="631"/>
      <c r="I1492" s="631"/>
      <c r="J1492" s="631"/>
      <c r="K1492" s="631"/>
      <c r="L1492" s="631"/>
      <c r="M1492" s="631"/>
      <c r="N1492" s="666" t="s">
        <v>799</v>
      </c>
      <c r="O1492" s="631">
        <f>E1492</f>
        <v>3</v>
      </c>
      <c r="P1492" s="657" t="s">
        <v>2</v>
      </c>
    </row>
    <row r="1493" spans="1:16" ht="13.5" thickBot="1" x14ac:dyDescent="0.25">
      <c r="A1493" s="736"/>
      <c r="B1493" s="737"/>
      <c r="C1493" s="667"/>
      <c r="F1493" s="666"/>
      <c r="G1493" s="631"/>
      <c r="H1493" s="631"/>
      <c r="I1493" s="631"/>
      <c r="J1493" s="631"/>
      <c r="K1493" s="631"/>
      <c r="L1493" s="631"/>
      <c r="M1493" s="631"/>
      <c r="N1493" s="666"/>
      <c r="O1493" s="668">
        <f>ROUND((SUM(O1492:O1492)),2)</f>
        <v>3</v>
      </c>
      <c r="P1493" s="669" t="s">
        <v>2</v>
      </c>
    </row>
    <row r="1494" spans="1:16" x14ac:dyDescent="0.2">
      <c r="A1494" s="736"/>
      <c r="B1494" s="737"/>
      <c r="C1494" s="667"/>
      <c r="F1494" s="666"/>
      <c r="G1494" s="631"/>
      <c r="H1494" s="631"/>
      <c r="I1494" s="631"/>
      <c r="J1494" s="631"/>
      <c r="K1494" s="631"/>
      <c r="L1494" s="631"/>
      <c r="M1494" s="631"/>
      <c r="N1494" s="666"/>
      <c r="O1494" s="632"/>
      <c r="P1494" s="633"/>
    </row>
    <row r="1495" spans="1:16" x14ac:dyDescent="0.2">
      <c r="A1495" s="736"/>
      <c r="B1495" s="737"/>
      <c r="C1495" s="667"/>
      <c r="F1495" s="666"/>
      <c r="G1495" s="631"/>
      <c r="H1495" s="631"/>
      <c r="I1495" s="631"/>
      <c r="J1495" s="631"/>
      <c r="K1495" s="631"/>
      <c r="L1495" s="631"/>
      <c r="M1495" s="631"/>
      <c r="N1495" s="666"/>
      <c r="O1495" s="632"/>
      <c r="P1495" s="633"/>
    </row>
    <row r="1496" spans="1:16" ht="41.25" customHeight="1" x14ac:dyDescent="0.2">
      <c r="A1496" s="734" t="s">
        <v>0</v>
      </c>
      <c r="B1496" s="735" t="s">
        <v>1392</v>
      </c>
      <c r="C1496" s="678" t="e">
        <f>#REF!</f>
        <v>#REF!</v>
      </c>
      <c r="D1496" s="662" t="s">
        <v>799</v>
      </c>
      <c r="E1496" s="663" t="s">
        <v>628</v>
      </c>
      <c r="F1496" s="633"/>
      <c r="G1496" s="664"/>
      <c r="H1496" s="664"/>
      <c r="I1496" s="664"/>
      <c r="J1496" s="664"/>
      <c r="K1496" s="664"/>
      <c r="L1496" s="664"/>
      <c r="M1496" s="664"/>
      <c r="O1496" s="631"/>
    </row>
    <row r="1497" spans="1:16" ht="13.5" thickBot="1" x14ac:dyDescent="0.25">
      <c r="A1497" s="736"/>
      <c r="B1497" s="737"/>
      <c r="C1497" s="665" t="s">
        <v>1676</v>
      </c>
      <c r="E1497" s="661">
        <v>2</v>
      </c>
      <c r="F1497" s="662"/>
      <c r="G1497" s="631"/>
      <c r="H1497" s="631"/>
      <c r="I1497" s="631"/>
      <c r="J1497" s="631"/>
      <c r="K1497" s="631"/>
      <c r="L1497" s="631"/>
      <c r="M1497" s="631"/>
      <c r="N1497" s="666" t="s">
        <v>799</v>
      </c>
      <c r="O1497" s="631">
        <f>E1497</f>
        <v>2</v>
      </c>
      <c r="P1497" s="657" t="s">
        <v>2</v>
      </c>
    </row>
    <row r="1498" spans="1:16" ht="13.5" thickBot="1" x14ac:dyDescent="0.25">
      <c r="A1498" s="736"/>
      <c r="B1498" s="737"/>
      <c r="C1498" s="667"/>
      <c r="F1498" s="666"/>
      <c r="G1498" s="631"/>
      <c r="H1498" s="631"/>
      <c r="I1498" s="631"/>
      <c r="J1498" s="631"/>
      <c r="K1498" s="631"/>
      <c r="L1498" s="631"/>
      <c r="M1498" s="631"/>
      <c r="N1498" s="666"/>
      <c r="O1498" s="668">
        <f>ROUND((SUM(O1497:O1497)),2)</f>
        <v>2</v>
      </c>
      <c r="P1498" s="669" t="s">
        <v>2</v>
      </c>
    </row>
    <row r="1499" spans="1:16" x14ac:dyDescent="0.2">
      <c r="A1499" s="734" t="s">
        <v>0</v>
      </c>
      <c r="B1499" s="735" t="s">
        <v>1393</v>
      </c>
      <c r="C1499" s="678" t="e">
        <f>#REF!</f>
        <v>#REF!</v>
      </c>
      <c r="D1499" s="662" t="s">
        <v>799</v>
      </c>
      <c r="E1499" s="663" t="s">
        <v>628</v>
      </c>
      <c r="F1499" s="633"/>
      <c r="G1499" s="664"/>
      <c r="H1499" s="664"/>
      <c r="I1499" s="664"/>
      <c r="J1499" s="664"/>
      <c r="K1499" s="664"/>
      <c r="L1499" s="664"/>
      <c r="M1499" s="664"/>
      <c r="O1499" s="631"/>
    </row>
    <row r="1500" spans="1:16" ht="13.5" thickBot="1" x14ac:dyDescent="0.25">
      <c r="A1500" s="736"/>
      <c r="B1500" s="737"/>
      <c r="C1500" s="665" t="s">
        <v>1676</v>
      </c>
      <c r="E1500" s="661">
        <v>4</v>
      </c>
      <c r="F1500" s="662"/>
      <c r="G1500" s="631"/>
      <c r="H1500" s="631"/>
      <c r="I1500" s="631"/>
      <c r="J1500" s="631"/>
      <c r="K1500" s="631"/>
      <c r="L1500" s="631"/>
      <c r="M1500" s="631"/>
      <c r="N1500" s="666" t="s">
        <v>799</v>
      </c>
      <c r="O1500" s="631">
        <f>E1500</f>
        <v>4</v>
      </c>
      <c r="P1500" s="657" t="s">
        <v>2</v>
      </c>
    </row>
    <row r="1501" spans="1:16" ht="13.5" thickBot="1" x14ac:dyDescent="0.25">
      <c r="A1501" s="736"/>
      <c r="B1501" s="737"/>
      <c r="C1501" s="667"/>
      <c r="F1501" s="666"/>
      <c r="G1501" s="631"/>
      <c r="H1501" s="631"/>
      <c r="I1501" s="631"/>
      <c r="J1501" s="631"/>
      <c r="K1501" s="631"/>
      <c r="L1501" s="631"/>
      <c r="M1501" s="631"/>
      <c r="N1501" s="666"/>
      <c r="O1501" s="668">
        <f>ROUND((SUM(O1500:O1500)),2)</f>
        <v>4</v>
      </c>
      <c r="P1501" s="669" t="s">
        <v>2</v>
      </c>
    </row>
    <row r="1502" spans="1:16" x14ac:dyDescent="0.2">
      <c r="A1502" s="734" t="s">
        <v>0</v>
      </c>
      <c r="B1502" s="735" t="s">
        <v>1394</v>
      </c>
      <c r="C1502" s="678" t="e">
        <f>#REF!</f>
        <v>#REF!</v>
      </c>
      <c r="D1502" s="662" t="s">
        <v>799</v>
      </c>
      <c r="E1502" s="663" t="s">
        <v>628</v>
      </c>
      <c r="F1502" s="633"/>
      <c r="G1502" s="664"/>
      <c r="H1502" s="664"/>
      <c r="I1502" s="664"/>
      <c r="J1502" s="664"/>
      <c r="K1502" s="664"/>
      <c r="L1502" s="664"/>
      <c r="M1502" s="664"/>
      <c r="O1502" s="631"/>
    </row>
    <row r="1503" spans="1:16" ht="13.5" thickBot="1" x14ac:dyDescent="0.25">
      <c r="A1503" s="736"/>
      <c r="B1503" s="737"/>
      <c r="C1503" s="665" t="s">
        <v>1685</v>
      </c>
      <c r="E1503" s="661">
        <v>1</v>
      </c>
      <c r="F1503" s="662"/>
      <c r="G1503" s="631"/>
      <c r="H1503" s="631"/>
      <c r="I1503" s="631"/>
      <c r="J1503" s="631"/>
      <c r="K1503" s="631"/>
      <c r="L1503" s="631"/>
      <c r="M1503" s="631"/>
      <c r="N1503" s="666" t="s">
        <v>799</v>
      </c>
      <c r="O1503" s="631">
        <f>E1503</f>
        <v>1</v>
      </c>
      <c r="P1503" s="657" t="s">
        <v>2</v>
      </c>
    </row>
    <row r="1504" spans="1:16" ht="12.75" customHeight="1" thickBot="1" x14ac:dyDescent="0.25">
      <c r="A1504" s="736"/>
      <c r="B1504" s="737"/>
      <c r="C1504" s="667"/>
      <c r="F1504" s="666"/>
      <c r="G1504" s="631"/>
      <c r="H1504" s="631"/>
      <c r="I1504" s="631"/>
      <c r="J1504" s="631"/>
      <c r="K1504" s="631"/>
      <c r="L1504" s="631"/>
      <c r="M1504" s="631"/>
      <c r="N1504" s="666"/>
      <c r="O1504" s="668">
        <f>ROUND((SUM(O1503:O1503)),2)</f>
        <v>1</v>
      </c>
      <c r="P1504" s="669" t="s">
        <v>2</v>
      </c>
    </row>
    <row r="1505" spans="1:16" x14ac:dyDescent="0.2">
      <c r="A1505" s="734" t="s">
        <v>0</v>
      </c>
      <c r="B1505" s="735" t="s">
        <v>1395</v>
      </c>
      <c r="C1505" s="678" t="e">
        <f>#REF!</f>
        <v>#REF!</v>
      </c>
      <c r="D1505" s="662" t="s">
        <v>799</v>
      </c>
      <c r="E1505" s="663" t="s">
        <v>628</v>
      </c>
      <c r="F1505" s="633"/>
      <c r="G1505" s="664"/>
      <c r="H1505" s="664"/>
      <c r="I1505" s="664"/>
      <c r="J1505" s="664"/>
      <c r="K1505" s="664"/>
      <c r="L1505" s="664"/>
      <c r="M1505" s="664"/>
      <c r="O1505" s="631"/>
    </row>
    <row r="1506" spans="1:16" ht="13.5" thickBot="1" x14ac:dyDescent="0.25">
      <c r="A1506" s="736"/>
      <c r="B1506" s="737"/>
      <c r="C1506" s="665" t="s">
        <v>1676</v>
      </c>
      <c r="E1506" s="661">
        <v>6</v>
      </c>
      <c r="F1506" s="662"/>
      <c r="G1506" s="631"/>
      <c r="H1506" s="631"/>
      <c r="I1506" s="631"/>
      <c r="J1506" s="631"/>
      <c r="K1506" s="631"/>
      <c r="L1506" s="631"/>
      <c r="M1506" s="631"/>
      <c r="N1506" s="666" t="s">
        <v>799</v>
      </c>
      <c r="O1506" s="631">
        <f>E1506</f>
        <v>6</v>
      </c>
      <c r="P1506" s="657" t="s">
        <v>2</v>
      </c>
    </row>
    <row r="1507" spans="1:16" ht="13.5" thickBot="1" x14ac:dyDescent="0.25">
      <c r="A1507" s="736"/>
      <c r="B1507" s="737"/>
      <c r="C1507" s="667"/>
      <c r="F1507" s="666"/>
      <c r="G1507" s="631"/>
      <c r="H1507" s="631"/>
      <c r="I1507" s="631"/>
      <c r="J1507" s="631"/>
      <c r="K1507" s="631"/>
      <c r="L1507" s="631"/>
      <c r="M1507" s="631"/>
      <c r="N1507" s="666"/>
      <c r="O1507" s="668">
        <f>ROUND((SUM(O1506:O1506)),2)</f>
        <v>6</v>
      </c>
      <c r="P1507" s="669" t="s">
        <v>2</v>
      </c>
    </row>
    <row r="1508" spans="1:16" x14ac:dyDescent="0.2">
      <c r="A1508" s="734" t="s">
        <v>0</v>
      </c>
      <c r="B1508" s="735" t="s">
        <v>1396</v>
      </c>
      <c r="C1508" s="678" t="e">
        <f>#REF!</f>
        <v>#REF!</v>
      </c>
      <c r="D1508" s="662" t="s">
        <v>799</v>
      </c>
      <c r="E1508" s="663" t="s">
        <v>628</v>
      </c>
      <c r="F1508" s="633"/>
      <c r="G1508" s="664"/>
      <c r="H1508" s="664"/>
      <c r="I1508" s="664"/>
      <c r="J1508" s="664"/>
      <c r="K1508" s="664"/>
      <c r="L1508" s="664"/>
      <c r="M1508" s="664"/>
      <c r="O1508" s="631"/>
    </row>
    <row r="1509" spans="1:16" ht="13.5" thickBot="1" x14ac:dyDescent="0.25">
      <c r="A1509" s="736"/>
      <c r="B1509" s="737"/>
      <c r="C1509" s="665" t="s">
        <v>1676</v>
      </c>
      <c r="E1509" s="661">
        <v>5</v>
      </c>
      <c r="F1509" s="662"/>
      <c r="G1509" s="631"/>
      <c r="H1509" s="631"/>
      <c r="I1509" s="631"/>
      <c r="J1509" s="631"/>
      <c r="K1509" s="631"/>
      <c r="L1509" s="631"/>
      <c r="M1509" s="631"/>
      <c r="N1509" s="666" t="s">
        <v>799</v>
      </c>
      <c r="O1509" s="631">
        <f>E1509</f>
        <v>5</v>
      </c>
      <c r="P1509" s="657" t="s">
        <v>2</v>
      </c>
    </row>
    <row r="1510" spans="1:16" ht="13.5" thickBot="1" x14ac:dyDescent="0.25">
      <c r="A1510" s="736"/>
      <c r="B1510" s="737"/>
      <c r="C1510" s="667"/>
      <c r="F1510" s="666"/>
      <c r="G1510" s="631"/>
      <c r="H1510" s="631"/>
      <c r="I1510" s="631"/>
      <c r="J1510" s="631"/>
      <c r="K1510" s="631"/>
      <c r="L1510" s="631"/>
      <c r="M1510" s="631"/>
      <c r="N1510" s="666"/>
      <c r="O1510" s="668">
        <f>ROUND((SUM(O1509:O1509)),2)</f>
        <v>5</v>
      </c>
      <c r="P1510" s="669" t="s">
        <v>2</v>
      </c>
    </row>
    <row r="1511" spans="1:16" x14ac:dyDescent="0.2">
      <c r="A1511" s="734" t="s">
        <v>0</v>
      </c>
      <c r="B1511" s="735" t="s">
        <v>1397</v>
      </c>
      <c r="C1511" s="678" t="e">
        <f>#REF!</f>
        <v>#REF!</v>
      </c>
      <c r="D1511" s="662" t="s">
        <v>799</v>
      </c>
      <c r="E1511" s="663" t="s">
        <v>628</v>
      </c>
      <c r="F1511" s="633"/>
      <c r="G1511" s="664"/>
      <c r="H1511" s="664"/>
      <c r="I1511" s="664"/>
      <c r="J1511" s="664"/>
      <c r="K1511" s="664"/>
      <c r="L1511" s="664"/>
      <c r="M1511" s="664"/>
      <c r="O1511" s="631"/>
    </row>
    <row r="1512" spans="1:16" ht="12.75" customHeight="1" thickBot="1" x14ac:dyDescent="0.25">
      <c r="A1512" s="736"/>
      <c r="B1512" s="737"/>
      <c r="C1512" s="665" t="s">
        <v>1676</v>
      </c>
      <c r="E1512" s="661">
        <v>2</v>
      </c>
      <c r="F1512" s="662"/>
      <c r="G1512" s="631"/>
      <c r="H1512" s="631"/>
      <c r="I1512" s="631"/>
      <c r="J1512" s="631"/>
      <c r="K1512" s="631"/>
      <c r="L1512" s="631"/>
      <c r="M1512" s="631"/>
      <c r="N1512" s="666" t="s">
        <v>799</v>
      </c>
      <c r="O1512" s="631">
        <f>E1512</f>
        <v>2</v>
      </c>
      <c r="P1512" s="657" t="s">
        <v>2</v>
      </c>
    </row>
    <row r="1513" spans="1:16" ht="13.5" thickBot="1" x14ac:dyDescent="0.25">
      <c r="B1513" s="660"/>
      <c r="C1513" s="667"/>
      <c r="F1513" s="666"/>
      <c r="G1513" s="631"/>
      <c r="H1513" s="631"/>
      <c r="I1513" s="631"/>
      <c r="J1513" s="631"/>
      <c r="K1513" s="631"/>
      <c r="L1513" s="631"/>
      <c r="M1513" s="631"/>
      <c r="N1513" s="666"/>
      <c r="O1513" s="668">
        <f>ROUND((SUM(O1512:O1512)),2)</f>
        <v>2</v>
      </c>
      <c r="P1513" s="669" t="s">
        <v>2</v>
      </c>
    </row>
    <row r="1514" spans="1:16" x14ac:dyDescent="0.2">
      <c r="A1514" s="734" t="s">
        <v>0</v>
      </c>
      <c r="B1514" s="735" t="s">
        <v>1398</v>
      </c>
      <c r="C1514" s="678" t="e">
        <f>#REF!</f>
        <v>#REF!</v>
      </c>
      <c r="D1514" s="662" t="s">
        <v>799</v>
      </c>
      <c r="E1514" s="663" t="s">
        <v>628</v>
      </c>
      <c r="F1514" s="633"/>
      <c r="G1514" s="664"/>
      <c r="H1514" s="664"/>
      <c r="I1514" s="664"/>
      <c r="J1514" s="664"/>
      <c r="K1514" s="664"/>
      <c r="L1514" s="664"/>
      <c r="M1514" s="664"/>
      <c r="O1514" s="631"/>
    </row>
    <row r="1515" spans="1:16" ht="13.5" thickBot="1" x14ac:dyDescent="0.25">
      <c r="A1515" s="736"/>
      <c r="B1515" s="737"/>
      <c r="C1515" s="665" t="s">
        <v>1676</v>
      </c>
      <c r="E1515" s="661">
        <v>1</v>
      </c>
      <c r="F1515" s="662"/>
      <c r="G1515" s="631"/>
      <c r="H1515" s="631"/>
      <c r="I1515" s="631"/>
      <c r="J1515" s="631"/>
      <c r="K1515" s="631"/>
      <c r="L1515" s="631"/>
      <c r="M1515" s="631"/>
      <c r="N1515" s="666" t="s">
        <v>799</v>
      </c>
      <c r="O1515" s="631">
        <f>E1515</f>
        <v>1</v>
      </c>
      <c r="P1515" s="657" t="s">
        <v>2</v>
      </c>
    </row>
    <row r="1516" spans="1:16" ht="12.75" customHeight="1" thickBot="1" x14ac:dyDescent="0.25">
      <c r="B1516" s="660"/>
      <c r="C1516" s="667"/>
      <c r="F1516" s="666"/>
      <c r="G1516" s="631"/>
      <c r="H1516" s="631"/>
      <c r="I1516" s="631"/>
      <c r="J1516" s="631"/>
      <c r="K1516" s="631"/>
      <c r="L1516" s="631"/>
      <c r="M1516" s="631"/>
      <c r="N1516" s="666"/>
      <c r="O1516" s="668">
        <f>ROUND((SUM(O1515:O1515)),2)</f>
        <v>1</v>
      </c>
      <c r="P1516" s="669" t="s">
        <v>2</v>
      </c>
    </row>
    <row r="1517" spans="1:16" x14ac:dyDescent="0.2">
      <c r="A1517" s="734" t="s">
        <v>0</v>
      </c>
      <c r="B1517" s="735" t="s">
        <v>1399</v>
      </c>
      <c r="C1517" s="678" t="e">
        <f>#REF!</f>
        <v>#REF!</v>
      </c>
      <c r="D1517" s="662" t="s">
        <v>799</v>
      </c>
      <c r="E1517" s="663" t="s">
        <v>628</v>
      </c>
      <c r="F1517" s="633"/>
      <c r="G1517" s="664"/>
      <c r="H1517" s="664"/>
      <c r="I1517" s="664"/>
      <c r="J1517" s="664"/>
      <c r="K1517" s="664"/>
      <c r="L1517" s="664"/>
      <c r="M1517" s="664"/>
      <c r="O1517" s="631"/>
    </row>
    <row r="1518" spans="1:16" ht="13.5" thickBot="1" x14ac:dyDescent="0.25">
      <c r="A1518" s="736"/>
      <c r="B1518" s="737"/>
      <c r="C1518" s="665" t="s">
        <v>1685</v>
      </c>
      <c r="E1518" s="661">
        <v>45</v>
      </c>
      <c r="F1518" s="662"/>
      <c r="G1518" s="631"/>
      <c r="H1518" s="631"/>
      <c r="I1518" s="631"/>
      <c r="J1518" s="631"/>
      <c r="K1518" s="631"/>
      <c r="L1518" s="631"/>
      <c r="M1518" s="631"/>
      <c r="N1518" s="666" t="s">
        <v>799</v>
      </c>
      <c r="O1518" s="631">
        <f>E1518</f>
        <v>45</v>
      </c>
      <c r="P1518" s="657" t="s">
        <v>2</v>
      </c>
    </row>
    <row r="1519" spans="1:16" ht="13.5" thickBot="1" x14ac:dyDescent="0.25">
      <c r="B1519" s="660"/>
      <c r="C1519" s="667"/>
      <c r="F1519" s="666"/>
      <c r="G1519" s="631"/>
      <c r="H1519" s="631"/>
      <c r="I1519" s="631"/>
      <c r="J1519" s="631"/>
      <c r="K1519" s="631"/>
      <c r="L1519" s="631"/>
      <c r="M1519" s="631"/>
      <c r="N1519" s="666"/>
      <c r="O1519" s="668">
        <f>ROUND((SUM(O1518:O1518)),2)</f>
        <v>45</v>
      </c>
      <c r="P1519" s="669" t="s">
        <v>2</v>
      </c>
    </row>
    <row r="1520" spans="1:16" x14ac:dyDescent="0.2">
      <c r="A1520" s="734" t="s">
        <v>0</v>
      </c>
      <c r="B1520" s="735" t="s">
        <v>1400</v>
      </c>
      <c r="C1520" s="678" t="e">
        <f>#REF!</f>
        <v>#REF!</v>
      </c>
      <c r="D1520" s="662" t="s">
        <v>799</v>
      </c>
      <c r="E1520" s="663" t="s">
        <v>628</v>
      </c>
      <c r="F1520" s="633"/>
      <c r="G1520" s="664"/>
      <c r="H1520" s="664"/>
      <c r="I1520" s="664"/>
      <c r="J1520" s="664"/>
      <c r="K1520" s="664"/>
      <c r="L1520" s="664"/>
      <c r="M1520" s="664"/>
      <c r="O1520" s="631"/>
    </row>
    <row r="1521" spans="1:16" ht="12.75" customHeight="1" thickBot="1" x14ac:dyDescent="0.25">
      <c r="A1521" s="736"/>
      <c r="B1521" s="737"/>
      <c r="C1521" s="665" t="s">
        <v>1676</v>
      </c>
      <c r="E1521" s="661">
        <v>101</v>
      </c>
      <c r="F1521" s="662"/>
      <c r="G1521" s="631"/>
      <c r="H1521" s="631"/>
      <c r="I1521" s="631"/>
      <c r="J1521" s="631"/>
      <c r="K1521" s="631"/>
      <c r="L1521" s="631"/>
      <c r="M1521" s="631"/>
      <c r="N1521" s="666" t="s">
        <v>799</v>
      </c>
      <c r="O1521" s="631">
        <f>E1521</f>
        <v>101</v>
      </c>
      <c r="P1521" s="657" t="s">
        <v>2</v>
      </c>
    </row>
    <row r="1522" spans="1:16" ht="13.5" thickBot="1" x14ac:dyDescent="0.25">
      <c r="B1522" s="660"/>
      <c r="C1522" s="667"/>
      <c r="F1522" s="666"/>
      <c r="G1522" s="631"/>
      <c r="H1522" s="631"/>
      <c r="I1522" s="631"/>
      <c r="J1522" s="631"/>
      <c r="K1522" s="631"/>
      <c r="L1522" s="631"/>
      <c r="M1522" s="631"/>
      <c r="N1522" s="666"/>
      <c r="O1522" s="668">
        <f>ROUND((SUM(O1521:O1521)),2)</f>
        <v>101</v>
      </c>
      <c r="P1522" s="669" t="s">
        <v>2</v>
      </c>
    </row>
    <row r="1523" spans="1:16" x14ac:dyDescent="0.2">
      <c r="A1523" s="734" t="s">
        <v>0</v>
      </c>
      <c r="B1523" s="735" t="s">
        <v>1401</v>
      </c>
      <c r="C1523" s="678" t="e">
        <f>#REF!</f>
        <v>#REF!</v>
      </c>
      <c r="D1523" s="662" t="s">
        <v>799</v>
      </c>
      <c r="E1523" s="663" t="s">
        <v>628</v>
      </c>
      <c r="F1523" s="633"/>
      <c r="G1523" s="664"/>
      <c r="H1523" s="664"/>
      <c r="I1523" s="664"/>
      <c r="J1523" s="664"/>
      <c r="K1523" s="664"/>
      <c r="L1523" s="664"/>
      <c r="M1523" s="664"/>
      <c r="O1523" s="631"/>
    </row>
    <row r="1524" spans="1:16" ht="13.5" thickBot="1" x14ac:dyDescent="0.25">
      <c r="A1524" s="736"/>
      <c r="B1524" s="737"/>
      <c r="C1524" s="665" t="s">
        <v>1676</v>
      </c>
      <c r="E1524" s="661">
        <v>47</v>
      </c>
      <c r="F1524" s="662"/>
      <c r="G1524" s="631"/>
      <c r="H1524" s="631"/>
      <c r="I1524" s="631"/>
      <c r="J1524" s="631"/>
      <c r="K1524" s="631"/>
      <c r="L1524" s="631"/>
      <c r="M1524" s="631"/>
      <c r="N1524" s="666" t="s">
        <v>799</v>
      </c>
      <c r="O1524" s="631">
        <f>E1524</f>
        <v>47</v>
      </c>
      <c r="P1524" s="657" t="s">
        <v>2</v>
      </c>
    </row>
    <row r="1525" spans="1:16" ht="13.5" thickBot="1" x14ac:dyDescent="0.25">
      <c r="B1525" s="660"/>
      <c r="C1525" s="667"/>
      <c r="F1525" s="666"/>
      <c r="G1525" s="631"/>
      <c r="H1525" s="631"/>
      <c r="I1525" s="631"/>
      <c r="J1525" s="631"/>
      <c r="K1525" s="631"/>
      <c r="L1525" s="631"/>
      <c r="M1525" s="631"/>
      <c r="N1525" s="666"/>
      <c r="O1525" s="668">
        <f>ROUND((SUM(O1524:O1524)),2)</f>
        <v>47</v>
      </c>
      <c r="P1525" s="669" t="s">
        <v>2</v>
      </c>
    </row>
    <row r="1526" spans="1:16" ht="52.5" customHeight="1" x14ac:dyDescent="0.2">
      <c r="A1526" s="734" t="s">
        <v>0</v>
      </c>
      <c r="B1526" s="735" t="s">
        <v>1402</v>
      </c>
      <c r="C1526" s="678" t="e">
        <f>#REF!</f>
        <v>#REF!</v>
      </c>
      <c r="D1526" s="662" t="s">
        <v>799</v>
      </c>
      <c r="E1526" s="663" t="s">
        <v>15</v>
      </c>
      <c r="F1526" s="633"/>
      <c r="G1526" s="664"/>
      <c r="H1526" s="664"/>
      <c r="I1526" s="664"/>
      <c r="J1526" s="664"/>
      <c r="K1526" s="664"/>
      <c r="L1526" s="664"/>
      <c r="M1526" s="664"/>
      <c r="O1526" s="631"/>
    </row>
    <row r="1527" spans="1:16" x14ac:dyDescent="0.2">
      <c r="A1527" s="736"/>
      <c r="B1527" s="737"/>
      <c r="C1527" s="665" t="s">
        <v>1676</v>
      </c>
      <c r="E1527" s="661">
        <v>148</v>
      </c>
      <c r="F1527" s="662"/>
      <c r="G1527" s="631"/>
      <c r="H1527" s="631"/>
      <c r="I1527" s="631"/>
      <c r="J1527" s="631"/>
      <c r="K1527" s="631"/>
      <c r="L1527" s="631"/>
      <c r="M1527" s="631"/>
      <c r="N1527" s="666" t="s">
        <v>799</v>
      </c>
      <c r="O1527" s="631">
        <f>E1527</f>
        <v>148</v>
      </c>
      <c r="P1527" s="657" t="s">
        <v>2</v>
      </c>
    </row>
    <row r="1528" spans="1:16" ht="13.5" thickBot="1" x14ac:dyDescent="0.25">
      <c r="A1528" s="736"/>
      <c r="B1528" s="737"/>
      <c r="C1528" s="665" t="s">
        <v>1685</v>
      </c>
      <c r="E1528" s="661">
        <v>45</v>
      </c>
      <c r="F1528" s="662"/>
      <c r="G1528" s="631"/>
      <c r="H1528" s="631"/>
      <c r="I1528" s="631"/>
      <c r="J1528" s="631"/>
      <c r="K1528" s="631"/>
      <c r="L1528" s="631"/>
      <c r="M1528" s="631"/>
      <c r="N1528" s="666" t="s">
        <v>799</v>
      </c>
      <c r="O1528" s="631">
        <f>E1528</f>
        <v>45</v>
      </c>
      <c r="P1528" s="657" t="s">
        <v>2</v>
      </c>
    </row>
    <row r="1529" spans="1:16" ht="13.5" thickBot="1" x14ac:dyDescent="0.25">
      <c r="B1529" s="660"/>
      <c r="C1529" s="667"/>
      <c r="F1529" s="666"/>
      <c r="G1529" s="631"/>
      <c r="H1529" s="631"/>
      <c r="I1529" s="631"/>
      <c r="J1529" s="631"/>
      <c r="K1529" s="631"/>
      <c r="L1529" s="631"/>
      <c r="M1529" s="631"/>
      <c r="N1529" s="666"/>
      <c r="O1529" s="668">
        <f>ROUND((SUM(O1527:O1528)),2)</f>
        <v>193</v>
      </c>
      <c r="P1529" s="669" t="s">
        <v>2</v>
      </c>
    </row>
    <row r="1530" spans="1:16" x14ac:dyDescent="0.2">
      <c r="A1530" s="734" t="s">
        <v>0</v>
      </c>
      <c r="B1530" s="735" t="s">
        <v>1403</v>
      </c>
      <c r="C1530" s="678" t="e">
        <f>#REF!</f>
        <v>#REF!</v>
      </c>
      <c r="D1530" s="662" t="s">
        <v>799</v>
      </c>
      <c r="E1530" s="663" t="s">
        <v>628</v>
      </c>
      <c r="F1530" s="633"/>
      <c r="G1530" s="664"/>
      <c r="H1530" s="664"/>
      <c r="I1530" s="664"/>
      <c r="J1530" s="664"/>
      <c r="K1530" s="664"/>
      <c r="L1530" s="664"/>
      <c r="M1530" s="664"/>
      <c r="O1530" s="631"/>
    </row>
    <row r="1531" spans="1:16" ht="13.5" thickBot="1" x14ac:dyDescent="0.25">
      <c r="A1531" s="736"/>
      <c r="B1531" s="737"/>
      <c r="C1531" s="665" t="s">
        <v>1685</v>
      </c>
      <c r="E1531" s="661">
        <v>1</v>
      </c>
      <c r="F1531" s="662"/>
      <c r="G1531" s="631"/>
      <c r="H1531" s="631"/>
      <c r="I1531" s="631"/>
      <c r="J1531" s="631"/>
      <c r="K1531" s="631"/>
      <c r="L1531" s="631"/>
      <c r="M1531" s="631"/>
      <c r="N1531" s="666" t="s">
        <v>799</v>
      </c>
      <c r="O1531" s="631">
        <f>E1531</f>
        <v>1</v>
      </c>
      <c r="P1531" s="657" t="s">
        <v>2</v>
      </c>
    </row>
    <row r="1532" spans="1:16" ht="13.5" thickBot="1" x14ac:dyDescent="0.25">
      <c r="B1532" s="660"/>
      <c r="C1532" s="667"/>
      <c r="F1532" s="666"/>
      <c r="G1532" s="631"/>
      <c r="H1532" s="631"/>
      <c r="I1532" s="631"/>
      <c r="J1532" s="631"/>
      <c r="K1532" s="631"/>
      <c r="L1532" s="631"/>
      <c r="M1532" s="631"/>
      <c r="N1532" s="666"/>
      <c r="O1532" s="668">
        <f>ROUND((SUM(O1531:O1531)),2)</f>
        <v>1</v>
      </c>
      <c r="P1532" s="669" t="s">
        <v>2</v>
      </c>
    </row>
    <row r="1533" spans="1:16" x14ac:dyDescent="0.2">
      <c r="A1533" s="734" t="s">
        <v>0</v>
      </c>
      <c r="B1533" s="735" t="s">
        <v>1404</v>
      </c>
      <c r="C1533" s="678" t="e">
        <f>#REF!</f>
        <v>#REF!</v>
      </c>
      <c r="D1533" s="662" t="s">
        <v>799</v>
      </c>
      <c r="E1533" s="663" t="s">
        <v>628</v>
      </c>
      <c r="F1533" s="633"/>
      <c r="G1533" s="664"/>
      <c r="H1533" s="664"/>
      <c r="I1533" s="664"/>
      <c r="J1533" s="664"/>
      <c r="K1533" s="664"/>
      <c r="L1533" s="664"/>
      <c r="M1533" s="664"/>
      <c r="O1533" s="631"/>
    </row>
    <row r="1534" spans="1:16" ht="13.5" thickBot="1" x14ac:dyDescent="0.25">
      <c r="A1534" s="736"/>
      <c r="B1534" s="737"/>
      <c r="C1534" s="665" t="s">
        <v>1676</v>
      </c>
      <c r="E1534" s="661">
        <v>2</v>
      </c>
      <c r="F1534" s="662"/>
      <c r="G1534" s="631"/>
      <c r="H1534" s="631"/>
      <c r="I1534" s="631"/>
      <c r="J1534" s="631"/>
      <c r="K1534" s="631"/>
      <c r="L1534" s="631"/>
      <c r="M1534" s="631"/>
      <c r="N1534" s="666" t="s">
        <v>799</v>
      </c>
      <c r="O1534" s="631">
        <f>E1534</f>
        <v>2</v>
      </c>
      <c r="P1534" s="657" t="s">
        <v>2</v>
      </c>
    </row>
    <row r="1535" spans="1:16" ht="13.5" thickBot="1" x14ac:dyDescent="0.25">
      <c r="B1535" s="660"/>
      <c r="C1535" s="667"/>
      <c r="F1535" s="666"/>
      <c r="G1535" s="631"/>
      <c r="H1535" s="631"/>
      <c r="I1535" s="631"/>
      <c r="J1535" s="631"/>
      <c r="K1535" s="631"/>
      <c r="L1535" s="631"/>
      <c r="M1535" s="631"/>
      <c r="N1535" s="666"/>
      <c r="O1535" s="668">
        <f>ROUND((SUM(O1534:O1534)),2)</f>
        <v>2</v>
      </c>
      <c r="P1535" s="669" t="s">
        <v>2</v>
      </c>
    </row>
    <row r="1536" spans="1:16" x14ac:dyDescent="0.2">
      <c r="A1536" s="734" t="s">
        <v>0</v>
      </c>
      <c r="B1536" s="735" t="s">
        <v>1405</v>
      </c>
      <c r="C1536" s="678" t="e">
        <f>#REF!</f>
        <v>#REF!</v>
      </c>
      <c r="D1536" s="662" t="s">
        <v>799</v>
      </c>
      <c r="E1536" s="663" t="s">
        <v>628</v>
      </c>
      <c r="F1536" s="633"/>
      <c r="G1536" s="664"/>
      <c r="H1536" s="664"/>
      <c r="I1536" s="664"/>
      <c r="J1536" s="664"/>
      <c r="K1536" s="664"/>
      <c r="L1536" s="664"/>
      <c r="M1536" s="664"/>
      <c r="O1536" s="631"/>
    </row>
    <row r="1537" spans="1:16" ht="13.5" thickBot="1" x14ac:dyDescent="0.25">
      <c r="A1537" s="736"/>
      <c r="B1537" s="737"/>
      <c r="C1537" s="665" t="s">
        <v>1676</v>
      </c>
      <c r="E1537" s="661">
        <v>2</v>
      </c>
      <c r="F1537" s="662"/>
      <c r="G1537" s="631"/>
      <c r="H1537" s="631"/>
      <c r="I1537" s="631"/>
      <c r="J1537" s="631"/>
      <c r="K1537" s="631"/>
      <c r="L1537" s="631"/>
      <c r="M1537" s="631"/>
      <c r="N1537" s="666" t="s">
        <v>799</v>
      </c>
      <c r="O1537" s="631">
        <f>E1537</f>
        <v>2</v>
      </c>
      <c r="P1537" s="657" t="s">
        <v>2</v>
      </c>
    </row>
    <row r="1538" spans="1:16" ht="13.5" thickBot="1" x14ac:dyDescent="0.25">
      <c r="B1538" s="660"/>
      <c r="C1538" s="667"/>
      <c r="F1538" s="666"/>
      <c r="G1538" s="631"/>
      <c r="H1538" s="631"/>
      <c r="I1538" s="631"/>
      <c r="J1538" s="631"/>
      <c r="K1538" s="631"/>
      <c r="L1538" s="631"/>
      <c r="M1538" s="631"/>
      <c r="N1538" s="666"/>
      <c r="O1538" s="668">
        <f>ROUND((SUM(O1537:O1537)),2)</f>
        <v>2</v>
      </c>
      <c r="P1538" s="669" t="s">
        <v>2</v>
      </c>
    </row>
    <row r="1539" spans="1:16" x14ac:dyDescent="0.2">
      <c r="A1539" s="734" t="s">
        <v>0</v>
      </c>
      <c r="B1539" s="735" t="s">
        <v>1406</v>
      </c>
      <c r="C1539" s="678" t="e">
        <f>#REF!</f>
        <v>#REF!</v>
      </c>
      <c r="D1539" s="662" t="s">
        <v>799</v>
      </c>
      <c r="E1539" s="663" t="s">
        <v>628</v>
      </c>
      <c r="F1539" s="633"/>
      <c r="G1539" s="664"/>
      <c r="H1539" s="664"/>
      <c r="I1539" s="664"/>
      <c r="J1539" s="664"/>
      <c r="K1539" s="664"/>
      <c r="L1539" s="664"/>
      <c r="M1539" s="664"/>
      <c r="O1539" s="631"/>
    </row>
    <row r="1540" spans="1:16" ht="13.5" thickBot="1" x14ac:dyDescent="0.25">
      <c r="A1540" s="736"/>
      <c r="B1540" s="737"/>
      <c r="C1540" s="665" t="s">
        <v>1157</v>
      </c>
      <c r="E1540" s="661">
        <v>1</v>
      </c>
      <c r="F1540" s="662"/>
      <c r="G1540" s="631"/>
      <c r="H1540" s="631"/>
      <c r="I1540" s="631"/>
      <c r="J1540" s="631"/>
      <c r="K1540" s="631"/>
      <c r="L1540" s="631"/>
      <c r="M1540" s="631"/>
      <c r="N1540" s="666" t="s">
        <v>799</v>
      </c>
      <c r="O1540" s="631">
        <f>E1540</f>
        <v>1</v>
      </c>
      <c r="P1540" s="657" t="s">
        <v>2</v>
      </c>
    </row>
    <row r="1541" spans="1:16" ht="13.5" thickBot="1" x14ac:dyDescent="0.25">
      <c r="B1541" s="660"/>
      <c r="C1541" s="667"/>
      <c r="F1541" s="666"/>
      <c r="G1541" s="631"/>
      <c r="H1541" s="631"/>
      <c r="I1541" s="631"/>
      <c r="J1541" s="631"/>
      <c r="K1541" s="631"/>
      <c r="L1541" s="631"/>
      <c r="M1541" s="631"/>
      <c r="N1541" s="666"/>
      <c r="O1541" s="668">
        <f>ROUND((SUM(O1540:O1540)),2)</f>
        <v>1</v>
      </c>
      <c r="P1541" s="669" t="s">
        <v>2</v>
      </c>
    </row>
    <row r="1542" spans="1:16" x14ac:dyDescent="0.2">
      <c r="A1542" s="734" t="s">
        <v>0</v>
      </c>
      <c r="B1542" s="735" t="s">
        <v>1407</v>
      </c>
      <c r="C1542" s="678" t="e">
        <f>#REF!</f>
        <v>#REF!</v>
      </c>
      <c r="D1542" s="662" t="s">
        <v>799</v>
      </c>
      <c r="E1542" s="663" t="s">
        <v>628</v>
      </c>
      <c r="F1542" s="633"/>
      <c r="G1542" s="664"/>
      <c r="H1542" s="664"/>
      <c r="I1542" s="664"/>
      <c r="J1542" s="664"/>
      <c r="K1542" s="664"/>
      <c r="L1542" s="664"/>
      <c r="M1542" s="664"/>
      <c r="O1542" s="631"/>
    </row>
    <row r="1543" spans="1:16" ht="12.75" customHeight="1" x14ac:dyDescent="0.2">
      <c r="A1543" s="736"/>
      <c r="B1543" s="737"/>
      <c r="C1543" s="665" t="s">
        <v>1676</v>
      </c>
      <c r="E1543" s="661">
        <v>1</v>
      </c>
      <c r="F1543" s="662"/>
      <c r="G1543" s="631"/>
      <c r="H1543" s="631"/>
      <c r="I1543" s="631"/>
      <c r="J1543" s="631"/>
      <c r="K1543" s="631"/>
      <c r="L1543" s="631"/>
      <c r="M1543" s="631"/>
      <c r="N1543" s="666" t="s">
        <v>799</v>
      </c>
      <c r="O1543" s="631">
        <f>E1543</f>
        <v>1</v>
      </c>
      <c r="P1543" s="657" t="s">
        <v>2</v>
      </c>
    </row>
    <row r="1544" spans="1:16" ht="13.5" thickBot="1" x14ac:dyDescent="0.25">
      <c r="A1544" s="736"/>
      <c r="B1544" s="737"/>
      <c r="C1544" s="665" t="s">
        <v>1685</v>
      </c>
      <c r="E1544" s="661">
        <v>1</v>
      </c>
      <c r="F1544" s="662"/>
      <c r="G1544" s="631"/>
      <c r="H1544" s="631"/>
      <c r="I1544" s="631"/>
      <c r="J1544" s="631"/>
      <c r="K1544" s="631"/>
      <c r="L1544" s="631"/>
      <c r="M1544" s="631"/>
      <c r="N1544" s="666" t="s">
        <v>799</v>
      </c>
      <c r="O1544" s="631">
        <f>E1544</f>
        <v>1</v>
      </c>
      <c r="P1544" s="657" t="s">
        <v>2</v>
      </c>
    </row>
    <row r="1545" spans="1:16" ht="13.5" thickBot="1" x14ac:dyDescent="0.25">
      <c r="B1545" s="660"/>
      <c r="C1545" s="667"/>
      <c r="F1545" s="666"/>
      <c r="G1545" s="631"/>
      <c r="H1545" s="631"/>
      <c r="I1545" s="631"/>
      <c r="J1545" s="631"/>
      <c r="K1545" s="631"/>
      <c r="L1545" s="631"/>
      <c r="M1545" s="631"/>
      <c r="N1545" s="666"/>
      <c r="O1545" s="668">
        <f>ROUND((SUM(O1543:O1544)),2)</f>
        <v>2</v>
      </c>
      <c r="P1545" s="669" t="s">
        <v>2</v>
      </c>
    </row>
    <row r="1546" spans="1:16" x14ac:dyDescent="0.2">
      <c r="A1546" s="734" t="s">
        <v>0</v>
      </c>
      <c r="B1546" s="735" t="s">
        <v>1408</v>
      </c>
      <c r="C1546" s="678" t="e">
        <f>#REF!</f>
        <v>#REF!</v>
      </c>
      <c r="D1546" s="662" t="s">
        <v>799</v>
      </c>
      <c r="E1546" s="663" t="s">
        <v>628</v>
      </c>
      <c r="F1546" s="633"/>
      <c r="G1546" s="664"/>
      <c r="H1546" s="664"/>
      <c r="I1546" s="664"/>
      <c r="J1546" s="664"/>
      <c r="K1546" s="664"/>
      <c r="L1546" s="664"/>
      <c r="M1546" s="664"/>
      <c r="O1546" s="631"/>
    </row>
    <row r="1547" spans="1:16" x14ac:dyDescent="0.2">
      <c r="A1547" s="736"/>
      <c r="B1547" s="737"/>
      <c r="C1547" s="665" t="s">
        <v>1676</v>
      </c>
      <c r="E1547" s="661">
        <v>2</v>
      </c>
      <c r="F1547" s="662"/>
      <c r="G1547" s="631"/>
      <c r="H1547" s="631"/>
      <c r="I1547" s="631"/>
      <c r="J1547" s="631"/>
      <c r="K1547" s="631"/>
      <c r="L1547" s="631"/>
      <c r="M1547" s="631"/>
      <c r="N1547" s="666" t="s">
        <v>799</v>
      </c>
      <c r="O1547" s="631">
        <f>E1547</f>
        <v>2</v>
      </c>
      <c r="P1547" s="657" t="s">
        <v>2</v>
      </c>
    </row>
    <row r="1548" spans="1:16" ht="13.5" thickBot="1" x14ac:dyDescent="0.25">
      <c r="A1548" s="736"/>
      <c r="B1548" s="737"/>
      <c r="C1548" s="665" t="s">
        <v>1685</v>
      </c>
      <c r="E1548" s="661">
        <v>1</v>
      </c>
      <c r="F1548" s="662"/>
      <c r="G1548" s="631"/>
      <c r="H1548" s="631"/>
      <c r="I1548" s="631"/>
      <c r="J1548" s="631"/>
      <c r="K1548" s="631"/>
      <c r="L1548" s="631"/>
      <c r="M1548" s="631"/>
      <c r="N1548" s="666" t="s">
        <v>799</v>
      </c>
      <c r="O1548" s="631">
        <f>E1548</f>
        <v>1</v>
      </c>
      <c r="P1548" s="657" t="s">
        <v>2</v>
      </c>
    </row>
    <row r="1549" spans="1:16" ht="13.5" thickBot="1" x14ac:dyDescent="0.25">
      <c r="B1549" s="660"/>
      <c r="C1549" s="667"/>
      <c r="F1549" s="666"/>
      <c r="G1549" s="631"/>
      <c r="H1549" s="631"/>
      <c r="I1549" s="631"/>
      <c r="J1549" s="631"/>
      <c r="K1549" s="631"/>
      <c r="L1549" s="631"/>
      <c r="M1549" s="631"/>
      <c r="N1549" s="666"/>
      <c r="O1549" s="668">
        <f>ROUND((SUM(O1547:O1548)),2)</f>
        <v>3</v>
      </c>
      <c r="P1549" s="669" t="s">
        <v>2</v>
      </c>
    </row>
    <row r="1550" spans="1:16" x14ac:dyDescent="0.2">
      <c r="B1550" s="660"/>
      <c r="C1550" s="667"/>
      <c r="F1550" s="666"/>
      <c r="G1550" s="631"/>
      <c r="H1550" s="631"/>
      <c r="I1550" s="631"/>
      <c r="J1550" s="631"/>
      <c r="K1550" s="631"/>
      <c r="L1550" s="631"/>
      <c r="M1550" s="631"/>
      <c r="N1550" s="666"/>
      <c r="O1550" s="632"/>
      <c r="P1550" s="633"/>
    </row>
    <row r="1551" spans="1:16" ht="15.75" x14ac:dyDescent="0.2">
      <c r="B1551" s="660"/>
      <c r="C1551" s="788" t="s">
        <v>1160</v>
      </c>
      <c r="F1551" s="666"/>
      <c r="G1551" s="631"/>
      <c r="H1551" s="631"/>
      <c r="I1551" s="631"/>
      <c r="J1551" s="631"/>
      <c r="K1551" s="631"/>
      <c r="L1551" s="631"/>
      <c r="M1551" s="631"/>
      <c r="N1551" s="666"/>
      <c r="O1551" s="632"/>
      <c r="P1551" s="633"/>
    </row>
    <row r="1552" spans="1:16" ht="15.75" x14ac:dyDescent="0.2">
      <c r="B1552" s="660"/>
      <c r="C1552" s="788"/>
      <c r="F1552" s="666"/>
      <c r="G1552" s="631"/>
      <c r="H1552" s="631"/>
      <c r="I1552" s="631"/>
      <c r="J1552" s="631"/>
      <c r="K1552" s="631"/>
      <c r="L1552" s="631"/>
      <c r="M1552" s="631"/>
      <c r="N1552" s="666"/>
      <c r="O1552" s="632"/>
      <c r="P1552" s="633"/>
    </row>
    <row r="1553" spans="1:16" x14ac:dyDescent="0.2">
      <c r="A1553" s="734" t="s">
        <v>0</v>
      </c>
      <c r="B1553" s="735" t="s">
        <v>1409</v>
      </c>
      <c r="C1553" s="678" t="e">
        <f>#REF!</f>
        <v>#REF!</v>
      </c>
      <c r="D1553" s="662" t="s">
        <v>799</v>
      </c>
      <c r="E1553" s="663" t="s">
        <v>864</v>
      </c>
      <c r="F1553" s="633"/>
      <c r="G1553" s="664"/>
      <c r="H1553" s="664"/>
      <c r="I1553" s="664"/>
      <c r="J1553" s="664"/>
      <c r="K1553" s="664"/>
      <c r="L1553" s="664"/>
      <c r="M1553" s="664"/>
      <c r="O1553" s="631"/>
    </row>
    <row r="1554" spans="1:16" ht="13.5" thickBot="1" x14ac:dyDescent="0.25">
      <c r="A1554" s="736"/>
      <c r="B1554" s="737"/>
      <c r="C1554" s="813" t="s">
        <v>1684</v>
      </c>
      <c r="E1554" s="800">
        <v>530.71</v>
      </c>
      <c r="F1554" s="662"/>
      <c r="G1554" s="631"/>
      <c r="H1554" s="631"/>
      <c r="I1554" s="631"/>
      <c r="J1554" s="631"/>
      <c r="K1554" s="631"/>
      <c r="L1554" s="631"/>
      <c r="M1554" s="631"/>
      <c r="N1554" s="666" t="s">
        <v>799</v>
      </c>
      <c r="O1554" s="631">
        <f>E1554</f>
        <v>530.71</v>
      </c>
      <c r="P1554" s="630" t="s">
        <v>6</v>
      </c>
    </row>
    <row r="1555" spans="1:16" ht="13.5" thickBot="1" x14ac:dyDescent="0.25">
      <c r="A1555" s="736"/>
      <c r="B1555" s="737"/>
      <c r="C1555" s="667"/>
      <c r="F1555" s="666"/>
      <c r="G1555" s="631"/>
      <c r="H1555" s="631"/>
      <c r="I1555" s="631"/>
      <c r="J1555" s="631"/>
      <c r="K1555" s="631"/>
      <c r="L1555" s="631"/>
      <c r="M1555" s="631"/>
      <c r="N1555" s="666"/>
      <c r="O1555" s="668">
        <f>ROUND((SUM(O1554:O1554)),2)</f>
        <v>530.71</v>
      </c>
      <c r="P1555" s="669" t="s">
        <v>6</v>
      </c>
    </row>
    <row r="1556" spans="1:16" x14ac:dyDescent="0.2">
      <c r="A1556" s="734" t="s">
        <v>0</v>
      </c>
      <c r="B1556" s="735" t="s">
        <v>1410</v>
      </c>
      <c r="C1556" s="678" t="e">
        <f>#REF!</f>
        <v>#REF!</v>
      </c>
      <c r="D1556" s="662" t="s">
        <v>799</v>
      </c>
      <c r="E1556" s="663" t="s">
        <v>864</v>
      </c>
      <c r="F1556" s="633"/>
      <c r="G1556" s="664"/>
      <c r="H1556" s="664"/>
      <c r="I1556" s="664"/>
      <c r="J1556" s="664"/>
      <c r="K1556" s="664"/>
      <c r="L1556" s="664"/>
      <c r="M1556" s="664"/>
      <c r="O1556" s="631"/>
    </row>
    <row r="1557" spans="1:16" ht="13.5" thickBot="1" x14ac:dyDescent="0.25">
      <c r="A1557" s="736"/>
      <c r="B1557" s="737"/>
      <c r="C1557" s="813" t="s">
        <v>1154</v>
      </c>
      <c r="E1557" s="800">
        <v>7343.15</v>
      </c>
      <c r="F1557" s="662"/>
      <c r="G1557" s="631"/>
      <c r="H1557" s="631"/>
      <c r="I1557" s="631"/>
      <c r="J1557" s="631"/>
      <c r="K1557" s="631"/>
      <c r="L1557" s="631"/>
      <c r="M1557" s="631"/>
      <c r="N1557" s="666" t="s">
        <v>799</v>
      </c>
      <c r="O1557" s="631">
        <f>E1557</f>
        <v>7343.15</v>
      </c>
      <c r="P1557" s="630" t="s">
        <v>6</v>
      </c>
    </row>
    <row r="1558" spans="1:16" ht="13.5" thickBot="1" x14ac:dyDescent="0.25">
      <c r="A1558" s="736"/>
      <c r="B1558" s="737"/>
      <c r="C1558" s="667"/>
      <c r="F1558" s="666"/>
      <c r="G1558" s="631"/>
      <c r="H1558" s="631"/>
      <c r="I1558" s="631"/>
      <c r="J1558" s="631"/>
      <c r="K1558" s="631"/>
      <c r="L1558" s="631"/>
      <c r="M1558" s="631"/>
      <c r="N1558" s="666"/>
      <c r="O1558" s="668">
        <f>ROUND((SUM(O1557:O1557)),2)</f>
        <v>7343.15</v>
      </c>
      <c r="P1558" s="669" t="s">
        <v>6</v>
      </c>
    </row>
    <row r="1559" spans="1:16" x14ac:dyDescent="0.2">
      <c r="A1559" s="734" t="s">
        <v>0</v>
      </c>
      <c r="B1559" s="735" t="s">
        <v>1411</v>
      </c>
      <c r="C1559" s="678" t="e">
        <f>#REF!</f>
        <v>#REF!</v>
      </c>
      <c r="D1559" s="662" t="s">
        <v>799</v>
      </c>
      <c r="E1559" s="663" t="s">
        <v>864</v>
      </c>
      <c r="F1559" s="633"/>
      <c r="G1559" s="664"/>
      <c r="H1559" s="664"/>
      <c r="I1559" s="664"/>
      <c r="J1559" s="664"/>
      <c r="K1559" s="664"/>
      <c r="L1559" s="664"/>
      <c r="M1559" s="664"/>
      <c r="O1559" s="631"/>
    </row>
    <row r="1560" spans="1:16" ht="13.5" thickBot="1" x14ac:dyDescent="0.25">
      <c r="A1560" s="736"/>
      <c r="B1560" s="737"/>
      <c r="C1560" s="813" t="s">
        <v>1155</v>
      </c>
      <c r="E1560" s="481">
        <v>15879.73</v>
      </c>
      <c r="F1560" s="662"/>
      <c r="G1560" s="631"/>
      <c r="H1560" s="631"/>
      <c r="I1560" s="631"/>
      <c r="J1560" s="631"/>
      <c r="K1560" s="631"/>
      <c r="L1560" s="631"/>
      <c r="M1560" s="631"/>
      <c r="N1560" s="666" t="s">
        <v>799</v>
      </c>
      <c r="O1560" s="631">
        <f>E1560</f>
        <v>15879.73</v>
      </c>
      <c r="P1560" s="630" t="s">
        <v>6</v>
      </c>
    </row>
    <row r="1561" spans="1:16" ht="13.5" thickBot="1" x14ac:dyDescent="0.25">
      <c r="A1561" s="736"/>
      <c r="B1561" s="737"/>
      <c r="C1561" s="667"/>
      <c r="F1561" s="666"/>
      <c r="G1561" s="631"/>
      <c r="H1561" s="631"/>
      <c r="I1561" s="631"/>
      <c r="J1561" s="631"/>
      <c r="K1561" s="631"/>
      <c r="L1561" s="631"/>
      <c r="M1561" s="631"/>
      <c r="N1561" s="666"/>
      <c r="O1561" s="668">
        <f>ROUND((SUM(O1560:O1560)),2)</f>
        <v>15879.73</v>
      </c>
      <c r="P1561" s="669" t="s">
        <v>6</v>
      </c>
    </row>
    <row r="1562" spans="1:16" ht="30" customHeight="1" x14ac:dyDescent="0.2">
      <c r="A1562" s="734" t="s">
        <v>0</v>
      </c>
      <c r="B1562" s="735" t="s">
        <v>1412</v>
      </c>
      <c r="C1562" s="678" t="e">
        <f>#REF!</f>
        <v>#REF!</v>
      </c>
      <c r="D1562" s="662" t="s">
        <v>799</v>
      </c>
      <c r="E1562" s="663" t="s">
        <v>864</v>
      </c>
      <c r="F1562" s="633"/>
      <c r="G1562" s="664"/>
      <c r="H1562" s="664"/>
      <c r="I1562" s="664"/>
      <c r="J1562" s="664"/>
      <c r="K1562" s="664"/>
      <c r="L1562" s="664"/>
      <c r="M1562" s="664"/>
      <c r="O1562" s="631"/>
    </row>
    <row r="1563" spans="1:16" ht="13.5" thickBot="1" x14ac:dyDescent="0.25">
      <c r="A1563" s="736"/>
      <c r="B1563" s="737"/>
      <c r="C1563" s="813" t="s">
        <v>1156</v>
      </c>
      <c r="E1563" s="481">
        <v>3669.97</v>
      </c>
      <c r="F1563" s="662"/>
      <c r="G1563" s="631"/>
      <c r="H1563" s="631"/>
      <c r="I1563" s="631"/>
      <c r="J1563" s="631"/>
      <c r="K1563" s="631"/>
      <c r="L1563" s="631"/>
      <c r="M1563" s="631"/>
      <c r="N1563" s="666" t="s">
        <v>799</v>
      </c>
      <c r="O1563" s="631">
        <f>E1563</f>
        <v>3669.97</v>
      </c>
      <c r="P1563" s="630" t="s">
        <v>6</v>
      </c>
    </row>
    <row r="1564" spans="1:16" ht="13.5" thickBot="1" x14ac:dyDescent="0.25">
      <c r="A1564" s="736"/>
      <c r="B1564" s="737"/>
      <c r="C1564" s="667"/>
      <c r="F1564" s="666"/>
      <c r="G1564" s="631"/>
      <c r="H1564" s="631"/>
      <c r="I1564" s="631"/>
      <c r="J1564" s="631"/>
      <c r="K1564" s="631"/>
      <c r="L1564" s="631"/>
      <c r="M1564" s="631"/>
      <c r="N1564" s="666"/>
      <c r="O1564" s="668">
        <f>ROUND((SUM(O1563:O1563)),2)</f>
        <v>3669.97</v>
      </c>
      <c r="P1564" s="669" t="s">
        <v>6</v>
      </c>
    </row>
    <row r="1565" spans="1:16" x14ac:dyDescent="0.2">
      <c r="B1565" s="660"/>
      <c r="C1565" s="660"/>
      <c r="E1565" s="629"/>
      <c r="G1565" s="631"/>
      <c r="H1565" s="631"/>
      <c r="I1565" s="631"/>
      <c r="J1565" s="631"/>
      <c r="K1565" s="631"/>
      <c r="L1565" s="631"/>
      <c r="M1565" s="631"/>
      <c r="O1565" s="631"/>
    </row>
    <row r="1566" spans="1:16" x14ac:dyDescent="0.2">
      <c r="B1566" s="660"/>
      <c r="C1566" s="660"/>
      <c r="E1566" s="629"/>
      <c r="G1566" s="631"/>
      <c r="H1566" s="631"/>
      <c r="I1566" s="631"/>
      <c r="J1566" s="631"/>
      <c r="K1566" s="631"/>
      <c r="L1566" s="631"/>
      <c r="M1566" s="631"/>
      <c r="O1566" s="631"/>
    </row>
    <row r="1567" spans="1:16" x14ac:dyDescent="0.2">
      <c r="B1567" s="660"/>
      <c r="C1567" s="660"/>
      <c r="E1567" s="629"/>
      <c r="G1567" s="631"/>
      <c r="H1567" s="631"/>
      <c r="I1567" s="631"/>
      <c r="J1567" s="631"/>
      <c r="K1567" s="631"/>
      <c r="L1567" s="631"/>
      <c r="M1567" s="631"/>
      <c r="O1567" s="631"/>
    </row>
    <row r="1568" spans="1:16" x14ac:dyDescent="0.2">
      <c r="B1568" s="660"/>
      <c r="C1568" s="660"/>
      <c r="E1568" s="629"/>
      <c r="G1568" s="631"/>
      <c r="H1568" s="631"/>
      <c r="I1568" s="631"/>
      <c r="J1568" s="631"/>
      <c r="K1568" s="631"/>
      <c r="L1568" s="631"/>
      <c r="M1568" s="631"/>
      <c r="O1568" s="631"/>
    </row>
    <row r="1569" spans="2:15" x14ac:dyDescent="0.2">
      <c r="B1569" s="660"/>
      <c r="C1569" s="660"/>
      <c r="E1569" s="629"/>
      <c r="G1569" s="631"/>
      <c r="H1569" s="631"/>
      <c r="I1569" s="631"/>
      <c r="J1569" s="631"/>
      <c r="K1569" s="631"/>
      <c r="L1569" s="631"/>
      <c r="M1569" s="631"/>
      <c r="O1569" s="631"/>
    </row>
    <row r="1570" spans="2:15" x14ac:dyDescent="0.2">
      <c r="B1570" s="660"/>
      <c r="C1570" s="660"/>
      <c r="E1570" s="629"/>
      <c r="G1570" s="631"/>
      <c r="H1570" s="631"/>
      <c r="I1570" s="631"/>
      <c r="J1570" s="631"/>
      <c r="K1570" s="631"/>
      <c r="L1570" s="631"/>
      <c r="M1570" s="631"/>
      <c r="O1570" s="631"/>
    </row>
    <row r="1571" spans="2:15" x14ac:dyDescent="0.2">
      <c r="B1571" s="660"/>
      <c r="C1571" s="660"/>
      <c r="E1571" s="629"/>
      <c r="G1571" s="631"/>
      <c r="H1571" s="631"/>
      <c r="I1571" s="631"/>
      <c r="J1571" s="631"/>
      <c r="K1571" s="631"/>
      <c r="L1571" s="631"/>
      <c r="M1571" s="631"/>
      <c r="O1571" s="631"/>
    </row>
    <row r="1572" spans="2:15" x14ac:dyDescent="0.2">
      <c r="B1572" s="660"/>
      <c r="C1572" s="660"/>
      <c r="E1572" s="629"/>
      <c r="G1572" s="631"/>
      <c r="H1572" s="631"/>
      <c r="I1572" s="631"/>
      <c r="J1572" s="631"/>
      <c r="K1572" s="631"/>
      <c r="L1572" s="631"/>
      <c r="M1572" s="631"/>
      <c r="O1572" s="631"/>
    </row>
    <row r="1573" spans="2:15" x14ac:dyDescent="0.2">
      <c r="B1573" s="660"/>
      <c r="C1573" s="660"/>
      <c r="E1573" s="629"/>
      <c r="G1573" s="631"/>
      <c r="H1573" s="631"/>
      <c r="I1573" s="631"/>
      <c r="J1573" s="631"/>
      <c r="K1573" s="631"/>
      <c r="L1573" s="631"/>
      <c r="M1573" s="631"/>
      <c r="O1573" s="631"/>
    </row>
    <row r="1574" spans="2:15" x14ac:dyDescent="0.2">
      <c r="B1574" s="660"/>
      <c r="C1574" s="660"/>
      <c r="E1574" s="629"/>
      <c r="G1574" s="631"/>
      <c r="H1574" s="631"/>
      <c r="I1574" s="631"/>
      <c r="J1574" s="631"/>
      <c r="K1574" s="631"/>
      <c r="L1574" s="631"/>
      <c r="M1574" s="631"/>
      <c r="O1574" s="631"/>
    </row>
    <row r="1575" spans="2:15" x14ac:dyDescent="0.2">
      <c r="B1575" s="660"/>
      <c r="C1575" s="660"/>
      <c r="E1575" s="629"/>
      <c r="G1575" s="631"/>
      <c r="H1575" s="631"/>
      <c r="I1575" s="631"/>
      <c r="J1575" s="631"/>
      <c r="K1575" s="631"/>
      <c r="L1575" s="631"/>
      <c r="M1575" s="631"/>
      <c r="O1575" s="631"/>
    </row>
    <row r="1576" spans="2:15" x14ac:dyDescent="0.2">
      <c r="B1576" s="660"/>
      <c r="C1576" s="660"/>
      <c r="E1576" s="629"/>
      <c r="G1576" s="631"/>
      <c r="H1576" s="631"/>
      <c r="I1576" s="631"/>
      <c r="J1576" s="631"/>
      <c r="K1576" s="631"/>
      <c r="L1576" s="631"/>
      <c r="M1576" s="631"/>
      <c r="O1576" s="631"/>
    </row>
    <row r="1577" spans="2:15" x14ac:dyDescent="0.2">
      <c r="B1577" s="660"/>
      <c r="C1577" s="660"/>
      <c r="E1577" s="629"/>
      <c r="G1577" s="631"/>
      <c r="H1577" s="631"/>
      <c r="I1577" s="631"/>
      <c r="J1577" s="631"/>
      <c r="K1577" s="631"/>
      <c r="L1577" s="631"/>
      <c r="M1577" s="631"/>
      <c r="O1577" s="631"/>
    </row>
    <row r="1578" spans="2:15" x14ac:dyDescent="0.2">
      <c r="B1578" s="660"/>
      <c r="C1578" s="660"/>
      <c r="E1578" s="629"/>
      <c r="G1578" s="631"/>
      <c r="H1578" s="631"/>
      <c r="I1578" s="631"/>
      <c r="J1578" s="631"/>
      <c r="K1578" s="631"/>
      <c r="L1578" s="631"/>
      <c r="M1578" s="631"/>
      <c r="O1578" s="631"/>
    </row>
    <row r="1579" spans="2:15" x14ac:dyDescent="0.2">
      <c r="B1579" s="660"/>
      <c r="C1579" s="660"/>
      <c r="E1579" s="629"/>
      <c r="G1579" s="631"/>
      <c r="H1579" s="631"/>
      <c r="I1579" s="631"/>
      <c r="J1579" s="631"/>
      <c r="K1579" s="631"/>
      <c r="L1579" s="631"/>
      <c r="M1579" s="631"/>
      <c r="O1579" s="631"/>
    </row>
    <row r="1580" spans="2:15" x14ac:dyDescent="0.2">
      <c r="B1580" s="660"/>
      <c r="C1580" s="660"/>
      <c r="E1580" s="629"/>
      <c r="G1580" s="631"/>
      <c r="H1580" s="631"/>
      <c r="I1580" s="631"/>
      <c r="J1580" s="631"/>
      <c r="K1580" s="631"/>
      <c r="L1580" s="631"/>
      <c r="M1580" s="631"/>
      <c r="O1580" s="631"/>
    </row>
    <row r="1581" spans="2:15" x14ac:dyDescent="0.2">
      <c r="B1581" s="660"/>
      <c r="C1581" s="660"/>
      <c r="E1581" s="629"/>
      <c r="G1581" s="631"/>
      <c r="H1581" s="631"/>
      <c r="I1581" s="631"/>
      <c r="J1581" s="631"/>
      <c r="K1581" s="631"/>
      <c r="L1581" s="631"/>
      <c r="M1581" s="631"/>
      <c r="O1581" s="631"/>
    </row>
    <row r="1582" spans="2:15" x14ac:dyDescent="0.2">
      <c r="B1582" s="660"/>
      <c r="C1582" s="660"/>
      <c r="E1582" s="629"/>
      <c r="G1582" s="631"/>
      <c r="H1582" s="631"/>
      <c r="I1582" s="631"/>
      <c r="J1582" s="631"/>
      <c r="K1582" s="631"/>
      <c r="L1582" s="631"/>
      <c r="M1582" s="631"/>
      <c r="O1582" s="631"/>
    </row>
    <row r="1583" spans="2:15" x14ac:dyDescent="0.2">
      <c r="B1583" s="660"/>
      <c r="C1583" s="660"/>
      <c r="E1583" s="629"/>
      <c r="G1583" s="631"/>
      <c r="H1583" s="631"/>
      <c r="I1583" s="631"/>
      <c r="J1583" s="631"/>
      <c r="K1583" s="631"/>
      <c r="L1583" s="631"/>
      <c r="M1583" s="631"/>
      <c r="O1583" s="631"/>
    </row>
    <row r="1584" spans="2:15" x14ac:dyDescent="0.2">
      <c r="B1584" s="660"/>
      <c r="C1584" s="660"/>
      <c r="E1584" s="629"/>
      <c r="G1584" s="631"/>
      <c r="H1584" s="631"/>
      <c r="I1584" s="631"/>
      <c r="J1584" s="631"/>
      <c r="K1584" s="631"/>
      <c r="L1584" s="631"/>
      <c r="M1584" s="631"/>
      <c r="O1584" s="631"/>
    </row>
    <row r="1585" spans="2:15" x14ac:dyDescent="0.2">
      <c r="B1585" s="660"/>
      <c r="C1585" s="660"/>
      <c r="E1585" s="629"/>
      <c r="G1585" s="631"/>
      <c r="H1585" s="631"/>
      <c r="I1585" s="631"/>
      <c r="J1585" s="631"/>
      <c r="K1585" s="631"/>
      <c r="L1585" s="631"/>
      <c r="M1585" s="631"/>
      <c r="O1585" s="631"/>
    </row>
    <row r="1586" spans="2:15" x14ac:dyDescent="0.2">
      <c r="B1586" s="660"/>
      <c r="C1586" s="660"/>
      <c r="E1586" s="629"/>
      <c r="G1586" s="631"/>
      <c r="H1586" s="631"/>
      <c r="I1586" s="631"/>
      <c r="J1586" s="631"/>
      <c r="K1586" s="631"/>
      <c r="L1586" s="631"/>
      <c r="M1586" s="631"/>
      <c r="O1586" s="631"/>
    </row>
    <row r="1587" spans="2:15" x14ac:dyDescent="0.2">
      <c r="B1587" s="660"/>
      <c r="C1587" s="660"/>
      <c r="E1587" s="629"/>
      <c r="G1587" s="631"/>
      <c r="H1587" s="631"/>
      <c r="I1587" s="631"/>
      <c r="J1587" s="631"/>
      <c r="K1587" s="631"/>
      <c r="L1587" s="631"/>
      <c r="M1587" s="631"/>
      <c r="O1587" s="631"/>
    </row>
    <row r="1588" spans="2:15" x14ac:dyDescent="0.2">
      <c r="B1588" s="660"/>
      <c r="C1588" s="660"/>
      <c r="E1588" s="629"/>
      <c r="G1588" s="631"/>
      <c r="H1588" s="631"/>
      <c r="I1588" s="631"/>
      <c r="J1588" s="631"/>
      <c r="K1588" s="631"/>
      <c r="L1588" s="631"/>
      <c r="M1588" s="631"/>
      <c r="O1588" s="631"/>
    </row>
    <row r="1589" spans="2:15" x14ac:dyDescent="0.2">
      <c r="B1589" s="660"/>
      <c r="C1589" s="660"/>
      <c r="E1589" s="629"/>
      <c r="G1589" s="631"/>
      <c r="H1589" s="631"/>
      <c r="I1589" s="631"/>
      <c r="J1589" s="631"/>
      <c r="K1589" s="631"/>
      <c r="L1589" s="631"/>
      <c r="M1589" s="631"/>
      <c r="O1589" s="631"/>
    </row>
    <row r="1590" spans="2:15" x14ac:dyDescent="0.2">
      <c r="B1590" s="660"/>
      <c r="C1590" s="660"/>
      <c r="E1590" s="629"/>
      <c r="G1590" s="631"/>
      <c r="H1590" s="631"/>
      <c r="I1590" s="631"/>
      <c r="J1590" s="631"/>
      <c r="K1590" s="631"/>
      <c r="L1590" s="631"/>
      <c r="M1590" s="631"/>
      <c r="O1590" s="631"/>
    </row>
    <row r="1591" spans="2:15" x14ac:dyDescent="0.2">
      <c r="B1591" s="660"/>
      <c r="C1591" s="660"/>
      <c r="E1591" s="629"/>
      <c r="G1591" s="631"/>
      <c r="H1591" s="631"/>
      <c r="I1591" s="631"/>
      <c r="J1591" s="631"/>
      <c r="K1591" s="631"/>
      <c r="L1591" s="631"/>
      <c r="M1591" s="631"/>
      <c r="O1591" s="631"/>
    </row>
    <row r="1592" spans="2:15" x14ac:dyDescent="0.2">
      <c r="B1592" s="660"/>
      <c r="C1592" s="660"/>
      <c r="E1592" s="629"/>
      <c r="G1592" s="631"/>
      <c r="H1592" s="631"/>
      <c r="I1592" s="631"/>
      <c r="J1592" s="631"/>
      <c r="K1592" s="631"/>
      <c r="L1592" s="631"/>
      <c r="M1592" s="631"/>
      <c r="O1592" s="631"/>
    </row>
    <row r="1593" spans="2:15" x14ac:dyDescent="0.2">
      <c r="B1593" s="660"/>
      <c r="C1593" s="660"/>
      <c r="E1593" s="629"/>
      <c r="G1593" s="631"/>
      <c r="H1593" s="631"/>
      <c r="I1593" s="631"/>
      <c r="J1593" s="631"/>
      <c r="K1593" s="631"/>
      <c r="L1593" s="631"/>
      <c r="M1593" s="631"/>
      <c r="O1593" s="631"/>
    </row>
    <row r="1594" spans="2:15" x14ac:dyDescent="0.2">
      <c r="B1594" s="660"/>
      <c r="C1594" s="660"/>
      <c r="E1594" s="629"/>
      <c r="G1594" s="631"/>
      <c r="H1594" s="631"/>
      <c r="I1594" s="631"/>
      <c r="J1594" s="631"/>
      <c r="K1594" s="631"/>
      <c r="L1594" s="631"/>
      <c r="M1594" s="631"/>
      <c r="O1594" s="631"/>
    </row>
    <row r="1595" spans="2:15" x14ac:dyDescent="0.2">
      <c r="B1595" s="660"/>
      <c r="C1595" s="660"/>
      <c r="E1595" s="629"/>
      <c r="G1595" s="631"/>
      <c r="H1595" s="631"/>
      <c r="I1595" s="631"/>
      <c r="J1595" s="631"/>
      <c r="K1595" s="631"/>
      <c r="L1595" s="631"/>
      <c r="M1595" s="631"/>
      <c r="O1595" s="631"/>
    </row>
    <row r="1596" spans="2:15" x14ac:dyDescent="0.2">
      <c r="B1596" s="660"/>
      <c r="C1596" s="660"/>
      <c r="E1596" s="629"/>
      <c r="G1596" s="631"/>
      <c r="H1596" s="631"/>
      <c r="I1596" s="631"/>
      <c r="J1596" s="631"/>
      <c r="K1596" s="631"/>
      <c r="L1596" s="631"/>
      <c r="M1596" s="631"/>
      <c r="O1596" s="631"/>
    </row>
    <row r="1597" spans="2:15" x14ac:dyDescent="0.2">
      <c r="B1597" s="660"/>
      <c r="C1597" s="660"/>
      <c r="E1597" s="629"/>
      <c r="G1597" s="631"/>
      <c r="H1597" s="631"/>
      <c r="I1597" s="631"/>
      <c r="J1597" s="631"/>
      <c r="K1597" s="631"/>
      <c r="L1597" s="631"/>
      <c r="M1597" s="631"/>
      <c r="O1597" s="631"/>
    </row>
    <row r="1598" spans="2:15" x14ac:dyDescent="0.2">
      <c r="B1598" s="660"/>
      <c r="C1598" s="660"/>
      <c r="E1598" s="629"/>
      <c r="G1598" s="631"/>
      <c r="H1598" s="631"/>
      <c r="I1598" s="631"/>
      <c r="J1598" s="631"/>
      <c r="K1598" s="631"/>
      <c r="L1598" s="631"/>
      <c r="M1598" s="631"/>
      <c r="O1598" s="631"/>
    </row>
    <row r="1599" spans="2:15" x14ac:dyDescent="0.2">
      <c r="B1599" s="660"/>
      <c r="C1599" s="660"/>
      <c r="E1599" s="629"/>
      <c r="G1599" s="631"/>
      <c r="H1599" s="631"/>
      <c r="I1599" s="631"/>
      <c r="J1599" s="631"/>
      <c r="K1599" s="631"/>
      <c r="L1599" s="631"/>
      <c r="M1599" s="631"/>
      <c r="O1599" s="631"/>
    </row>
    <row r="1600" spans="2:15" x14ac:dyDescent="0.2">
      <c r="B1600" s="660"/>
      <c r="C1600" s="660"/>
      <c r="E1600" s="629"/>
      <c r="G1600" s="631"/>
      <c r="H1600" s="631"/>
      <c r="I1600" s="631"/>
      <c r="J1600" s="631"/>
      <c r="K1600" s="631"/>
      <c r="L1600" s="631"/>
      <c r="M1600" s="631"/>
      <c r="O1600" s="631"/>
    </row>
    <row r="1601" spans="2:15" x14ac:dyDescent="0.2">
      <c r="B1601" s="660"/>
      <c r="C1601" s="660"/>
      <c r="E1601" s="629"/>
      <c r="G1601" s="631"/>
      <c r="H1601" s="631"/>
      <c r="I1601" s="631"/>
      <c r="J1601" s="631"/>
      <c r="K1601" s="631"/>
      <c r="L1601" s="631"/>
      <c r="M1601" s="631"/>
      <c r="O1601" s="631"/>
    </row>
    <row r="1602" spans="2:15" x14ac:dyDescent="0.2">
      <c r="B1602" s="660"/>
      <c r="C1602" s="660"/>
      <c r="E1602" s="629"/>
      <c r="G1602" s="631"/>
      <c r="H1602" s="631"/>
      <c r="I1602" s="631"/>
      <c r="J1602" s="631"/>
      <c r="K1602" s="631"/>
      <c r="L1602" s="631"/>
      <c r="M1602" s="631"/>
      <c r="O1602" s="631"/>
    </row>
    <row r="1603" spans="2:15" x14ac:dyDescent="0.2">
      <c r="B1603" s="660"/>
      <c r="C1603" s="660"/>
      <c r="E1603" s="629"/>
      <c r="G1603" s="631"/>
      <c r="H1603" s="631"/>
      <c r="I1603" s="631"/>
      <c r="J1603" s="631"/>
      <c r="K1603" s="631"/>
      <c r="L1603" s="631"/>
      <c r="M1603" s="631"/>
      <c r="O1603" s="631"/>
    </row>
    <row r="1604" spans="2:15" x14ac:dyDescent="0.2">
      <c r="B1604" s="660"/>
      <c r="C1604" s="660"/>
      <c r="E1604" s="629"/>
      <c r="G1604" s="631"/>
      <c r="H1604" s="631"/>
      <c r="I1604" s="631"/>
      <c r="J1604" s="631"/>
      <c r="K1604" s="631"/>
      <c r="L1604" s="631"/>
      <c r="M1604" s="631"/>
      <c r="O1604" s="631"/>
    </row>
    <row r="1605" spans="2:15" x14ac:dyDescent="0.2">
      <c r="B1605" s="660"/>
      <c r="C1605" s="660"/>
      <c r="E1605" s="629"/>
      <c r="G1605" s="631"/>
      <c r="H1605" s="631"/>
      <c r="I1605" s="631"/>
      <c r="J1605" s="631"/>
      <c r="K1605" s="631"/>
      <c r="L1605" s="631"/>
      <c r="M1605" s="631"/>
      <c r="O1605" s="631"/>
    </row>
    <row r="1606" spans="2:15" x14ac:dyDescent="0.2">
      <c r="B1606" s="660"/>
      <c r="C1606" s="660"/>
      <c r="E1606" s="629"/>
      <c r="G1606" s="631"/>
      <c r="H1606" s="631"/>
      <c r="I1606" s="631"/>
      <c r="J1606" s="631"/>
      <c r="K1606" s="631"/>
      <c r="L1606" s="631"/>
      <c r="M1606" s="631"/>
      <c r="O1606" s="631"/>
    </row>
    <row r="1607" spans="2:15" x14ac:dyDescent="0.2">
      <c r="B1607" s="660"/>
      <c r="C1607" s="660"/>
      <c r="E1607" s="629"/>
      <c r="G1607" s="631"/>
      <c r="H1607" s="631"/>
      <c r="I1607" s="631"/>
      <c r="J1607" s="631"/>
      <c r="K1607" s="631"/>
      <c r="L1607" s="631"/>
      <c r="M1607" s="631"/>
      <c r="O1607" s="631"/>
    </row>
    <row r="1608" spans="2:15" x14ac:dyDescent="0.2">
      <c r="B1608" s="660"/>
      <c r="C1608" s="660"/>
      <c r="E1608" s="629"/>
      <c r="G1608" s="631"/>
      <c r="H1608" s="631"/>
      <c r="I1608" s="631"/>
      <c r="J1608" s="631"/>
      <c r="K1608" s="631"/>
      <c r="L1608" s="631"/>
      <c r="M1608" s="631"/>
      <c r="O1608" s="631"/>
    </row>
    <row r="1609" spans="2:15" x14ac:dyDescent="0.2">
      <c r="B1609" s="660"/>
      <c r="C1609" s="660"/>
      <c r="E1609" s="629"/>
      <c r="G1609" s="631"/>
      <c r="H1609" s="631"/>
      <c r="I1609" s="631"/>
      <c r="J1609" s="631"/>
      <c r="K1609" s="631"/>
      <c r="L1609" s="631"/>
      <c r="M1609" s="631"/>
      <c r="O1609" s="631"/>
    </row>
    <row r="1610" spans="2:15" x14ac:dyDescent="0.2">
      <c r="B1610" s="660"/>
      <c r="C1610" s="660"/>
      <c r="E1610" s="629"/>
      <c r="G1610" s="631"/>
      <c r="H1610" s="631"/>
      <c r="I1610" s="631"/>
      <c r="J1610" s="631"/>
      <c r="K1610" s="631"/>
      <c r="L1610" s="631"/>
      <c r="M1610" s="631"/>
      <c r="O1610" s="631"/>
    </row>
    <row r="1611" spans="2:15" x14ac:dyDescent="0.2">
      <c r="B1611" s="660"/>
      <c r="C1611" s="660"/>
      <c r="E1611" s="629"/>
      <c r="G1611" s="631"/>
      <c r="H1611" s="631"/>
      <c r="I1611" s="631"/>
      <c r="J1611" s="631"/>
      <c r="K1611" s="631"/>
      <c r="L1611" s="631"/>
      <c r="M1611" s="631"/>
      <c r="O1611" s="631"/>
    </row>
    <row r="1612" spans="2:15" x14ac:dyDescent="0.2">
      <c r="B1612" s="660"/>
      <c r="C1612" s="660"/>
      <c r="E1612" s="629"/>
      <c r="G1612" s="631"/>
      <c r="H1612" s="631"/>
      <c r="I1612" s="631"/>
      <c r="J1612" s="631"/>
      <c r="K1612" s="631"/>
      <c r="L1612" s="631"/>
      <c r="M1612" s="631"/>
      <c r="O1612" s="631"/>
    </row>
    <row r="1613" spans="2:15" x14ac:dyDescent="0.2">
      <c r="B1613" s="660"/>
      <c r="C1613" s="660"/>
      <c r="E1613" s="629"/>
      <c r="G1613" s="631"/>
      <c r="H1613" s="631"/>
      <c r="I1613" s="631"/>
      <c r="J1613" s="631"/>
      <c r="K1613" s="631"/>
      <c r="L1613" s="631"/>
      <c r="M1613" s="631"/>
      <c r="O1613" s="631"/>
    </row>
    <row r="1614" spans="2:15" x14ac:dyDescent="0.2">
      <c r="B1614" s="660"/>
      <c r="C1614" s="660"/>
      <c r="E1614" s="629"/>
      <c r="G1614" s="631"/>
      <c r="H1614" s="631"/>
      <c r="I1614" s="631"/>
      <c r="J1614" s="631"/>
      <c r="K1614" s="631"/>
      <c r="L1614" s="631"/>
      <c r="M1614" s="631"/>
      <c r="O1614" s="631"/>
    </row>
    <row r="1615" spans="2:15" x14ac:dyDescent="0.2">
      <c r="B1615" s="660"/>
      <c r="C1615" s="660"/>
      <c r="E1615" s="629"/>
      <c r="G1615" s="631"/>
      <c r="H1615" s="631"/>
      <c r="I1615" s="631"/>
      <c r="J1615" s="631"/>
      <c r="K1615" s="631"/>
      <c r="L1615" s="631"/>
      <c r="M1615" s="631"/>
      <c r="O1615" s="631"/>
    </row>
    <row r="1616" spans="2:15" x14ac:dyDescent="0.2">
      <c r="B1616" s="660"/>
      <c r="C1616" s="660"/>
      <c r="E1616" s="629"/>
      <c r="G1616" s="631"/>
      <c r="H1616" s="631"/>
      <c r="I1616" s="631"/>
      <c r="J1616" s="631"/>
      <c r="K1616" s="631"/>
      <c r="L1616" s="631"/>
      <c r="M1616" s="631"/>
      <c r="O1616" s="631"/>
    </row>
    <row r="1617" spans="1:16" x14ac:dyDescent="0.2">
      <c r="B1617" s="660"/>
      <c r="C1617" s="660"/>
      <c r="E1617" s="629"/>
      <c r="G1617" s="631"/>
      <c r="H1617" s="631"/>
      <c r="I1617" s="631"/>
      <c r="J1617" s="631"/>
      <c r="K1617" s="631"/>
      <c r="L1617" s="631"/>
      <c r="M1617" s="631"/>
      <c r="O1617" s="631"/>
    </row>
    <row r="1618" spans="1:16" ht="15.75" x14ac:dyDescent="0.2">
      <c r="A1618" s="1904" t="s">
        <v>1416</v>
      </c>
      <c r="B1618" s="1904"/>
      <c r="C1618" s="1904"/>
      <c r="D1618" s="1904"/>
      <c r="E1618" s="1904"/>
      <c r="F1618" s="1904"/>
      <c r="G1618" s="1904"/>
      <c r="H1618" s="1904"/>
      <c r="I1618" s="1904"/>
      <c r="J1618" s="1904"/>
      <c r="K1618" s="1904"/>
      <c r="L1618" s="1904"/>
      <c r="M1618" s="1904"/>
      <c r="N1618" s="1904"/>
      <c r="O1618" s="1904"/>
      <c r="P1618" s="1904"/>
    </row>
    <row r="1619" spans="1:16" ht="15.75" x14ac:dyDescent="0.2">
      <c r="A1619" s="787"/>
      <c r="B1619" s="787"/>
      <c r="C1619" s="787"/>
      <c r="D1619" s="787"/>
      <c r="E1619" s="787"/>
      <c r="F1619" s="787"/>
      <c r="G1619" s="787"/>
      <c r="H1619" s="787"/>
      <c r="I1619" s="787"/>
      <c r="J1619" s="787"/>
      <c r="K1619" s="787"/>
      <c r="L1619" s="787"/>
      <c r="M1619" s="787"/>
      <c r="N1619" s="787"/>
      <c r="O1619" s="787"/>
      <c r="P1619" s="787"/>
    </row>
    <row r="1620" spans="1:16" ht="15.75" x14ac:dyDescent="0.2">
      <c r="B1620" s="660"/>
      <c r="C1620" s="788" t="s">
        <v>1159</v>
      </c>
      <c r="E1620" s="629"/>
      <c r="G1620" s="631"/>
      <c r="H1620" s="631"/>
      <c r="I1620" s="631"/>
      <c r="J1620" s="631"/>
      <c r="K1620" s="631"/>
      <c r="L1620" s="631"/>
      <c r="M1620" s="631"/>
      <c r="O1620" s="631"/>
    </row>
    <row r="1621" spans="1:16" x14ac:dyDescent="0.2">
      <c r="A1621" s="734" t="s">
        <v>0</v>
      </c>
      <c r="B1621" s="735" t="s">
        <v>1417</v>
      </c>
      <c r="C1621" s="843" t="e">
        <f>#REF!</f>
        <v>#REF!</v>
      </c>
      <c r="D1621" s="662" t="s">
        <v>799</v>
      </c>
      <c r="E1621" s="663" t="s">
        <v>864</v>
      </c>
      <c r="F1621" s="633"/>
      <c r="G1621" s="664"/>
      <c r="H1621" s="664"/>
      <c r="I1621" s="664"/>
      <c r="J1621" s="664"/>
      <c r="K1621" s="664"/>
      <c r="L1621" s="664"/>
      <c r="M1621" s="664"/>
      <c r="O1621" s="631"/>
    </row>
    <row r="1622" spans="1:16" ht="13.5" thickBot="1" x14ac:dyDescent="0.25">
      <c r="A1622" s="736"/>
      <c r="B1622" s="737"/>
      <c r="C1622" s="665" t="s">
        <v>1413</v>
      </c>
      <c r="E1622" s="629">
        <v>1</v>
      </c>
      <c r="F1622" s="662"/>
      <c r="G1622" s="631"/>
      <c r="H1622" s="631"/>
      <c r="I1622" s="631"/>
      <c r="J1622" s="631"/>
      <c r="K1622" s="631"/>
      <c r="L1622" s="631"/>
      <c r="M1622" s="631"/>
      <c r="N1622" s="666" t="s">
        <v>799</v>
      </c>
      <c r="O1622" s="631">
        <f t="shared" ref="O1622" si="77">E1622</f>
        <v>1</v>
      </c>
      <c r="P1622" s="657" t="s">
        <v>1414</v>
      </c>
    </row>
    <row r="1623" spans="1:16" ht="13.5" thickBot="1" x14ac:dyDescent="0.25">
      <c r="B1623" s="660"/>
      <c r="C1623" s="660"/>
      <c r="E1623" s="629"/>
      <c r="G1623" s="631"/>
      <c r="H1623" s="631"/>
      <c r="I1623" s="631"/>
      <c r="J1623" s="631"/>
      <c r="K1623" s="631"/>
      <c r="L1623" s="631"/>
      <c r="M1623" s="631"/>
      <c r="O1623" s="668">
        <f>ROUND((SUM(O1622:O1622)),2)</f>
        <v>1</v>
      </c>
      <c r="P1623" s="669" t="s">
        <v>1414</v>
      </c>
    </row>
    <row r="1624" spans="1:16" x14ac:dyDescent="0.2">
      <c r="A1624" s="734" t="s">
        <v>0</v>
      </c>
      <c r="B1624" s="735" t="s">
        <v>1418</v>
      </c>
      <c r="C1624" s="843" t="e">
        <f>#REF!</f>
        <v>#REF!</v>
      </c>
      <c r="D1624" s="662" t="s">
        <v>799</v>
      </c>
      <c r="E1624" s="663" t="s">
        <v>1415</v>
      </c>
      <c r="F1624" s="633"/>
      <c r="G1624" s="664"/>
      <c r="H1624" s="664"/>
      <c r="I1624" s="664"/>
      <c r="J1624" s="664"/>
      <c r="K1624" s="664"/>
      <c r="L1624" s="664"/>
      <c r="M1624" s="664"/>
      <c r="O1624" s="631"/>
    </row>
    <row r="1625" spans="1:16" ht="13.5" thickBot="1" x14ac:dyDescent="0.25">
      <c r="A1625" s="736"/>
      <c r="B1625" s="737"/>
      <c r="C1625" s="665" t="s">
        <v>1413</v>
      </c>
      <c r="E1625" s="629">
        <v>1</v>
      </c>
      <c r="F1625" s="662"/>
      <c r="G1625" s="631"/>
      <c r="H1625" s="631"/>
      <c r="I1625" s="631"/>
      <c r="J1625" s="631"/>
      <c r="K1625" s="631"/>
      <c r="L1625" s="631"/>
      <c r="M1625" s="631"/>
      <c r="N1625" s="666" t="s">
        <v>799</v>
      </c>
      <c r="O1625" s="631">
        <f t="shared" ref="O1625" si="78">E1625</f>
        <v>1</v>
      </c>
      <c r="P1625" s="657" t="s">
        <v>2</v>
      </c>
    </row>
    <row r="1626" spans="1:16" ht="13.5" thickBot="1" x14ac:dyDescent="0.25">
      <c r="B1626" s="660"/>
      <c r="C1626" s="660"/>
      <c r="E1626" s="629"/>
      <c r="G1626" s="631"/>
      <c r="H1626" s="631"/>
      <c r="I1626" s="631"/>
      <c r="J1626" s="631"/>
      <c r="K1626" s="631"/>
      <c r="L1626" s="631"/>
      <c r="M1626" s="631"/>
      <c r="O1626" s="668">
        <f>ROUND((SUM(O1625:O1625)),2)</f>
        <v>1</v>
      </c>
      <c r="P1626" s="669" t="s">
        <v>2</v>
      </c>
    </row>
    <row r="1627" spans="1:16" x14ac:dyDescent="0.2">
      <c r="A1627" s="734" t="s">
        <v>0</v>
      </c>
      <c r="B1627" s="735" t="s">
        <v>1419</v>
      </c>
      <c r="C1627" s="843" t="e">
        <f>#REF!</f>
        <v>#REF!</v>
      </c>
      <c r="D1627" s="662" t="s">
        <v>799</v>
      </c>
      <c r="E1627" s="663" t="s">
        <v>1415</v>
      </c>
      <c r="F1627" s="633"/>
      <c r="G1627" s="664"/>
      <c r="H1627" s="664"/>
      <c r="I1627" s="664"/>
      <c r="J1627" s="664"/>
      <c r="K1627" s="664"/>
      <c r="L1627" s="664"/>
      <c r="M1627" s="664"/>
      <c r="O1627" s="631"/>
    </row>
    <row r="1628" spans="1:16" ht="13.5" thickBot="1" x14ac:dyDescent="0.25">
      <c r="A1628" s="736"/>
      <c r="B1628" s="737"/>
      <c r="C1628" s="665" t="s">
        <v>1413</v>
      </c>
      <c r="E1628" s="629">
        <v>1</v>
      </c>
      <c r="F1628" s="662"/>
      <c r="G1628" s="631"/>
      <c r="H1628" s="631"/>
      <c r="I1628" s="631"/>
      <c r="J1628" s="631"/>
      <c r="K1628" s="631"/>
      <c r="L1628" s="631"/>
      <c r="M1628" s="631"/>
      <c r="N1628" s="666" t="s">
        <v>799</v>
      </c>
      <c r="O1628" s="631">
        <f t="shared" ref="O1628" si="79">E1628</f>
        <v>1</v>
      </c>
      <c r="P1628" s="657" t="s">
        <v>2</v>
      </c>
    </row>
    <row r="1629" spans="1:16" ht="13.5" thickBot="1" x14ac:dyDescent="0.25">
      <c r="B1629" s="660"/>
      <c r="C1629" s="660"/>
      <c r="E1629" s="629"/>
      <c r="G1629" s="631"/>
      <c r="H1629" s="631"/>
      <c r="I1629" s="631"/>
      <c r="J1629" s="631"/>
      <c r="K1629" s="631"/>
      <c r="L1629" s="631"/>
      <c r="M1629" s="631"/>
      <c r="O1629" s="668">
        <f>ROUND((SUM(O1628:O1628)),2)</f>
        <v>1</v>
      </c>
      <c r="P1629" s="669" t="s">
        <v>2</v>
      </c>
    </row>
    <row r="1630" spans="1:16" x14ac:dyDescent="0.2">
      <c r="A1630" s="734" t="s">
        <v>0</v>
      </c>
      <c r="B1630" s="735" t="s">
        <v>1420</v>
      </c>
      <c r="C1630" s="843" t="e">
        <f>#REF!</f>
        <v>#REF!</v>
      </c>
      <c r="D1630" s="662" t="s">
        <v>799</v>
      </c>
      <c r="E1630" s="663" t="s">
        <v>1415</v>
      </c>
      <c r="F1630" s="633"/>
      <c r="G1630" s="664"/>
      <c r="H1630" s="664"/>
      <c r="I1630" s="664"/>
      <c r="J1630" s="664"/>
      <c r="K1630" s="664"/>
      <c r="L1630" s="664"/>
      <c r="M1630" s="664"/>
      <c r="O1630" s="631"/>
    </row>
    <row r="1631" spans="1:16" ht="13.5" thickBot="1" x14ac:dyDescent="0.25">
      <c r="A1631" s="736"/>
      <c r="B1631" s="737"/>
      <c r="C1631" s="665" t="s">
        <v>1413</v>
      </c>
      <c r="E1631" s="629">
        <v>1</v>
      </c>
      <c r="F1631" s="662"/>
      <c r="G1631" s="631"/>
      <c r="H1631" s="631"/>
      <c r="I1631" s="631"/>
      <c r="J1631" s="631"/>
      <c r="K1631" s="631"/>
      <c r="L1631" s="631"/>
      <c r="M1631" s="631"/>
      <c r="N1631" s="666" t="s">
        <v>799</v>
      </c>
      <c r="O1631" s="631">
        <f t="shared" ref="O1631" si="80">E1631</f>
        <v>1</v>
      </c>
      <c r="P1631" s="657" t="s">
        <v>2</v>
      </c>
    </row>
    <row r="1632" spans="1:16" ht="13.5" thickBot="1" x14ac:dyDescent="0.25">
      <c r="B1632" s="660"/>
      <c r="C1632" s="660"/>
      <c r="E1632" s="629"/>
      <c r="G1632" s="631"/>
      <c r="H1632" s="631"/>
      <c r="I1632" s="631"/>
      <c r="J1632" s="631"/>
      <c r="K1632" s="631"/>
      <c r="L1632" s="631"/>
      <c r="M1632" s="631"/>
      <c r="O1632" s="668">
        <f>ROUND((SUM(O1631:O1631)),2)</f>
        <v>1</v>
      </c>
      <c r="P1632" s="669" t="s">
        <v>2</v>
      </c>
    </row>
    <row r="1633" spans="1:16" ht="23.25" customHeight="1" x14ac:dyDescent="0.2">
      <c r="A1633" s="734" t="s">
        <v>0</v>
      </c>
      <c r="B1633" s="735" t="s">
        <v>1421</v>
      </c>
      <c r="C1633" s="843" t="e">
        <f>#REF!</f>
        <v>#REF!</v>
      </c>
      <c r="D1633" s="662" t="s">
        <v>799</v>
      </c>
      <c r="E1633" s="663" t="s">
        <v>1415</v>
      </c>
      <c r="F1633" s="633"/>
      <c r="G1633" s="664"/>
      <c r="H1633" s="664"/>
      <c r="I1633" s="664"/>
      <c r="J1633" s="664"/>
      <c r="K1633" s="664"/>
      <c r="L1633" s="664"/>
      <c r="M1633" s="664"/>
      <c r="O1633" s="631"/>
    </row>
    <row r="1634" spans="1:16" ht="13.5" thickBot="1" x14ac:dyDescent="0.25">
      <c r="A1634" s="736"/>
      <c r="B1634" s="737"/>
      <c r="C1634" s="665" t="s">
        <v>1413</v>
      </c>
      <c r="E1634" s="629">
        <v>1</v>
      </c>
      <c r="F1634" s="662"/>
      <c r="G1634" s="631"/>
      <c r="H1634" s="631"/>
      <c r="I1634" s="631"/>
      <c r="J1634" s="631"/>
      <c r="K1634" s="631"/>
      <c r="L1634" s="631"/>
      <c r="M1634" s="631"/>
      <c r="N1634" s="666" t="s">
        <v>799</v>
      </c>
      <c r="O1634" s="631">
        <f t="shared" ref="O1634" si="81">E1634</f>
        <v>1</v>
      </c>
      <c r="P1634" s="657" t="s">
        <v>2</v>
      </c>
    </row>
    <row r="1635" spans="1:16" ht="13.5" thickBot="1" x14ac:dyDescent="0.25">
      <c r="B1635" s="660"/>
      <c r="C1635" s="660"/>
      <c r="E1635" s="629"/>
      <c r="G1635" s="631"/>
      <c r="H1635" s="631"/>
      <c r="I1635" s="631"/>
      <c r="J1635" s="631"/>
      <c r="K1635" s="631"/>
      <c r="L1635" s="631"/>
      <c r="M1635" s="631"/>
      <c r="O1635" s="668">
        <f>ROUND((SUM(O1634:O1634)),2)</f>
        <v>1</v>
      </c>
      <c r="P1635" s="669" t="s">
        <v>2</v>
      </c>
    </row>
    <row r="1636" spans="1:16" x14ac:dyDescent="0.2">
      <c r="A1636" s="734" t="s">
        <v>0</v>
      </c>
      <c r="B1636" s="735" t="s">
        <v>1422</v>
      </c>
      <c r="C1636" s="843" t="e">
        <f>#REF!</f>
        <v>#REF!</v>
      </c>
      <c r="D1636" s="662" t="s">
        <v>799</v>
      </c>
      <c r="E1636" s="663" t="s">
        <v>1415</v>
      </c>
      <c r="F1636" s="633"/>
      <c r="G1636" s="664"/>
      <c r="H1636" s="664"/>
      <c r="I1636" s="664"/>
      <c r="J1636" s="664"/>
      <c r="K1636" s="664"/>
      <c r="L1636" s="664"/>
      <c r="M1636" s="664"/>
      <c r="O1636" s="631"/>
    </row>
    <row r="1637" spans="1:16" ht="13.5" thickBot="1" x14ac:dyDescent="0.25">
      <c r="A1637" s="736"/>
      <c r="B1637" s="737"/>
      <c r="C1637" s="665" t="s">
        <v>1413</v>
      </c>
      <c r="E1637" s="629">
        <v>1</v>
      </c>
      <c r="F1637" s="662"/>
      <c r="G1637" s="631"/>
      <c r="H1637" s="631"/>
      <c r="I1637" s="631"/>
      <c r="J1637" s="631"/>
      <c r="K1637" s="631"/>
      <c r="L1637" s="631"/>
      <c r="M1637" s="631"/>
      <c r="N1637" s="666" t="s">
        <v>799</v>
      </c>
      <c r="O1637" s="631">
        <f t="shared" ref="O1637" si="82">E1637</f>
        <v>1</v>
      </c>
      <c r="P1637" s="657" t="s">
        <v>2</v>
      </c>
    </row>
    <row r="1638" spans="1:16" ht="13.5" thickBot="1" x14ac:dyDescent="0.25">
      <c r="B1638" s="660"/>
      <c r="C1638" s="660"/>
      <c r="E1638" s="629"/>
      <c r="G1638" s="631"/>
      <c r="H1638" s="631"/>
      <c r="I1638" s="631"/>
      <c r="J1638" s="631"/>
      <c r="K1638" s="631"/>
      <c r="L1638" s="631"/>
      <c r="M1638" s="631"/>
      <c r="O1638" s="668">
        <f>ROUND((SUM(O1637:O1637)),2)</f>
        <v>1</v>
      </c>
      <c r="P1638" s="669" t="s">
        <v>2</v>
      </c>
    </row>
    <row r="1639" spans="1:16" x14ac:dyDescent="0.2">
      <c r="A1639" s="734" t="s">
        <v>0</v>
      </c>
      <c r="B1639" s="735" t="s">
        <v>1423</v>
      </c>
      <c r="C1639" s="843" t="e">
        <f>#REF!</f>
        <v>#REF!</v>
      </c>
      <c r="D1639" s="662" t="s">
        <v>799</v>
      </c>
      <c r="E1639" s="663" t="s">
        <v>1415</v>
      </c>
      <c r="F1639" s="633"/>
      <c r="G1639" s="664"/>
      <c r="H1639" s="664"/>
      <c r="I1639" s="664"/>
      <c r="J1639" s="664"/>
      <c r="K1639" s="664"/>
      <c r="L1639" s="664"/>
      <c r="M1639" s="664"/>
      <c r="O1639" s="631"/>
    </row>
    <row r="1640" spans="1:16" ht="13.5" thickBot="1" x14ac:dyDescent="0.25">
      <c r="A1640" s="736"/>
      <c r="B1640" s="737"/>
      <c r="C1640" s="665" t="s">
        <v>1413</v>
      </c>
      <c r="E1640" s="629">
        <v>1</v>
      </c>
      <c r="F1640" s="662"/>
      <c r="G1640" s="631"/>
      <c r="H1640" s="631"/>
      <c r="I1640" s="631"/>
      <c r="J1640" s="631"/>
      <c r="K1640" s="631"/>
      <c r="L1640" s="631"/>
      <c r="M1640" s="631"/>
      <c r="N1640" s="666" t="s">
        <v>799</v>
      </c>
      <c r="O1640" s="631">
        <f t="shared" ref="O1640" si="83">E1640</f>
        <v>1</v>
      </c>
      <c r="P1640" s="657" t="s">
        <v>2</v>
      </c>
    </row>
    <row r="1641" spans="1:16" ht="13.5" thickBot="1" x14ac:dyDescent="0.25">
      <c r="B1641" s="660"/>
      <c r="C1641" s="660"/>
      <c r="E1641" s="629"/>
      <c r="G1641" s="631"/>
      <c r="H1641" s="631"/>
      <c r="I1641" s="631"/>
      <c r="J1641" s="631"/>
      <c r="K1641" s="631"/>
      <c r="L1641" s="631"/>
      <c r="M1641" s="631"/>
      <c r="O1641" s="668">
        <f>ROUND((SUM(O1640:O1640)),2)</f>
        <v>1</v>
      </c>
      <c r="P1641" s="669" t="s">
        <v>2</v>
      </c>
    </row>
    <row r="1642" spans="1:16" x14ac:dyDescent="0.2">
      <c r="A1642" s="734" t="s">
        <v>0</v>
      </c>
      <c r="B1642" s="735" t="s">
        <v>1424</v>
      </c>
      <c r="C1642" s="843" t="e">
        <f>#REF!</f>
        <v>#REF!</v>
      </c>
      <c r="D1642" s="662" t="s">
        <v>799</v>
      </c>
      <c r="E1642" s="663" t="s">
        <v>864</v>
      </c>
      <c r="F1642" s="633"/>
      <c r="G1642" s="664"/>
      <c r="H1642" s="664"/>
      <c r="I1642" s="664"/>
      <c r="J1642" s="664"/>
      <c r="K1642" s="664"/>
      <c r="L1642" s="664"/>
      <c r="M1642" s="664"/>
      <c r="O1642" s="631"/>
    </row>
    <row r="1643" spans="1:16" ht="13.5" thickBot="1" x14ac:dyDescent="0.25">
      <c r="A1643" s="736"/>
      <c r="B1643" s="737"/>
      <c r="C1643" s="665" t="s">
        <v>1413</v>
      </c>
      <c r="E1643" s="629">
        <v>15</v>
      </c>
      <c r="F1643" s="662"/>
      <c r="G1643" s="631"/>
      <c r="H1643" s="631"/>
      <c r="I1643" s="631"/>
      <c r="J1643" s="631"/>
      <c r="K1643" s="631"/>
      <c r="L1643" s="631"/>
      <c r="M1643" s="631"/>
      <c r="N1643" s="666" t="s">
        <v>799</v>
      </c>
      <c r="O1643" s="631">
        <f t="shared" ref="O1643" si="84">E1643</f>
        <v>15</v>
      </c>
      <c r="P1643" s="657" t="s">
        <v>6</v>
      </c>
    </row>
    <row r="1644" spans="1:16" ht="13.5" thickBot="1" x14ac:dyDescent="0.25">
      <c r="B1644" s="660"/>
      <c r="C1644" s="660"/>
      <c r="E1644" s="629"/>
      <c r="G1644" s="631"/>
      <c r="H1644" s="631"/>
      <c r="I1644" s="631"/>
      <c r="J1644" s="631"/>
      <c r="K1644" s="631"/>
      <c r="L1644" s="631"/>
      <c r="M1644" s="631"/>
      <c r="O1644" s="668">
        <f>ROUND((SUM(O1643:O1643)),2)</f>
        <v>15</v>
      </c>
      <c r="P1644" s="669" t="s">
        <v>6</v>
      </c>
    </row>
    <row r="1645" spans="1:16" x14ac:dyDescent="0.2">
      <c r="A1645" s="734" t="s">
        <v>0</v>
      </c>
      <c r="B1645" s="735" t="s">
        <v>1425</v>
      </c>
      <c r="C1645" s="843" t="e">
        <f>#REF!</f>
        <v>#REF!</v>
      </c>
      <c r="D1645" s="662" t="s">
        <v>799</v>
      </c>
      <c r="E1645" s="663" t="s">
        <v>628</v>
      </c>
      <c r="F1645" s="633"/>
      <c r="G1645" s="664"/>
      <c r="H1645" s="664"/>
      <c r="I1645" s="664"/>
      <c r="J1645" s="664"/>
      <c r="K1645" s="664"/>
      <c r="L1645" s="664"/>
      <c r="M1645" s="664"/>
      <c r="O1645" s="631"/>
    </row>
    <row r="1646" spans="1:16" ht="13.5" thickBot="1" x14ac:dyDescent="0.25">
      <c r="A1646" s="736"/>
      <c r="B1646" s="737"/>
      <c r="C1646" s="665" t="s">
        <v>1413</v>
      </c>
      <c r="E1646" s="629">
        <v>1</v>
      </c>
      <c r="F1646" s="662"/>
      <c r="G1646" s="631"/>
      <c r="H1646" s="631"/>
      <c r="I1646" s="631"/>
      <c r="J1646" s="631"/>
      <c r="K1646" s="631"/>
      <c r="L1646" s="631"/>
      <c r="M1646" s="631"/>
      <c r="N1646" s="666" t="s">
        <v>799</v>
      </c>
      <c r="O1646" s="631">
        <f t="shared" ref="O1646" si="85">E1646</f>
        <v>1</v>
      </c>
      <c r="P1646" s="657" t="s">
        <v>2</v>
      </c>
    </row>
    <row r="1647" spans="1:16" ht="13.5" thickBot="1" x14ac:dyDescent="0.25">
      <c r="B1647" s="660"/>
      <c r="C1647" s="660"/>
      <c r="E1647" s="629"/>
      <c r="G1647" s="631"/>
      <c r="H1647" s="631"/>
      <c r="I1647" s="631"/>
      <c r="J1647" s="631"/>
      <c r="K1647" s="631"/>
      <c r="L1647" s="631"/>
      <c r="M1647" s="631"/>
      <c r="O1647" s="668">
        <f>ROUND((SUM(O1646:O1646)),2)</f>
        <v>1</v>
      </c>
      <c r="P1647" s="669" t="s">
        <v>2</v>
      </c>
    </row>
    <row r="1648" spans="1:16" ht="27" customHeight="1" x14ac:dyDescent="0.2">
      <c r="A1648" s="734" t="s">
        <v>0</v>
      </c>
      <c r="B1648" s="735" t="s">
        <v>1426</v>
      </c>
      <c r="C1648" s="843" t="e">
        <f>#REF!</f>
        <v>#REF!</v>
      </c>
      <c r="D1648" s="662" t="s">
        <v>799</v>
      </c>
      <c r="E1648" s="663" t="s">
        <v>628</v>
      </c>
      <c r="F1648" s="633"/>
      <c r="G1648" s="664"/>
      <c r="H1648" s="664"/>
      <c r="I1648" s="664"/>
      <c r="J1648" s="664"/>
      <c r="K1648" s="664"/>
      <c r="L1648" s="664"/>
      <c r="M1648" s="664"/>
      <c r="O1648" s="631"/>
    </row>
    <row r="1649" spans="1:16" ht="13.5" thickBot="1" x14ac:dyDescent="0.25">
      <c r="A1649" s="736"/>
      <c r="B1649" s="737"/>
      <c r="C1649" s="665" t="s">
        <v>1413</v>
      </c>
      <c r="E1649" s="629">
        <v>1</v>
      </c>
      <c r="F1649" s="662"/>
      <c r="G1649" s="631"/>
      <c r="H1649" s="631"/>
      <c r="I1649" s="631"/>
      <c r="J1649" s="631"/>
      <c r="K1649" s="631"/>
      <c r="L1649" s="631"/>
      <c r="M1649" s="631"/>
      <c r="N1649" s="666" t="s">
        <v>799</v>
      </c>
      <c r="O1649" s="631">
        <f t="shared" ref="O1649" si="86">E1649</f>
        <v>1</v>
      </c>
      <c r="P1649" s="657" t="s">
        <v>2</v>
      </c>
    </row>
    <row r="1650" spans="1:16" ht="13.5" thickBot="1" x14ac:dyDescent="0.25">
      <c r="B1650" s="660"/>
      <c r="C1650" s="660"/>
      <c r="E1650" s="629"/>
      <c r="G1650" s="631"/>
      <c r="H1650" s="631"/>
      <c r="I1650" s="631"/>
      <c r="J1650" s="631"/>
      <c r="K1650" s="631"/>
      <c r="L1650" s="631"/>
      <c r="M1650" s="631"/>
      <c r="O1650" s="668">
        <f>ROUND((SUM(O1649:O1649)),2)</f>
        <v>1</v>
      </c>
      <c r="P1650" s="669" t="s">
        <v>2</v>
      </c>
    </row>
    <row r="1651" spans="1:16" x14ac:dyDescent="0.2">
      <c r="A1651" s="734" t="s">
        <v>0</v>
      </c>
      <c r="B1651" s="735" t="s">
        <v>1427</v>
      </c>
      <c r="C1651" s="843" t="e">
        <f>#REF!</f>
        <v>#REF!</v>
      </c>
      <c r="D1651" s="662" t="s">
        <v>799</v>
      </c>
      <c r="E1651" s="663" t="s">
        <v>628</v>
      </c>
      <c r="F1651" s="633"/>
      <c r="G1651" s="664"/>
      <c r="H1651" s="664"/>
      <c r="I1651" s="664"/>
      <c r="J1651" s="664"/>
      <c r="K1651" s="664"/>
      <c r="L1651" s="664"/>
      <c r="M1651" s="664"/>
      <c r="O1651" s="631"/>
    </row>
    <row r="1652" spans="1:16" ht="13.5" thickBot="1" x14ac:dyDescent="0.25">
      <c r="A1652" s="736"/>
      <c r="B1652" s="737"/>
      <c r="C1652" s="665" t="s">
        <v>1413</v>
      </c>
      <c r="E1652" s="629">
        <v>3</v>
      </c>
      <c r="F1652" s="662"/>
      <c r="G1652" s="631"/>
      <c r="H1652" s="631"/>
      <c r="I1652" s="631"/>
      <c r="J1652" s="631"/>
      <c r="K1652" s="631"/>
      <c r="L1652" s="631"/>
      <c r="M1652" s="631"/>
      <c r="N1652" s="666" t="s">
        <v>799</v>
      </c>
      <c r="O1652" s="631">
        <f t="shared" ref="O1652" si="87">E1652</f>
        <v>3</v>
      </c>
      <c r="P1652" s="657" t="s">
        <v>2</v>
      </c>
    </row>
    <row r="1653" spans="1:16" ht="13.5" thickBot="1" x14ac:dyDescent="0.25">
      <c r="B1653" s="660"/>
      <c r="C1653" s="660"/>
      <c r="E1653" s="629"/>
      <c r="G1653" s="631"/>
      <c r="H1653" s="631"/>
      <c r="I1653" s="631"/>
      <c r="J1653" s="631"/>
      <c r="K1653" s="631"/>
      <c r="L1653" s="631"/>
      <c r="M1653" s="631"/>
      <c r="O1653" s="668">
        <f>ROUND((SUM(O1652:O1652)),2)</f>
        <v>3</v>
      </c>
      <c r="P1653" s="669" t="s">
        <v>2</v>
      </c>
    </row>
    <row r="1654" spans="1:16" x14ac:dyDescent="0.2">
      <c r="A1654" s="734" t="s">
        <v>0</v>
      </c>
      <c r="B1654" s="735" t="s">
        <v>1428</v>
      </c>
      <c r="C1654" s="843" t="e">
        <f>#REF!</f>
        <v>#REF!</v>
      </c>
      <c r="D1654" s="662" t="s">
        <v>799</v>
      </c>
      <c r="E1654" s="663" t="s">
        <v>628</v>
      </c>
      <c r="F1654" s="633"/>
      <c r="G1654" s="664"/>
      <c r="H1654" s="664"/>
      <c r="I1654" s="664"/>
      <c r="J1654" s="664"/>
      <c r="K1654" s="664"/>
      <c r="L1654" s="664"/>
      <c r="M1654" s="664"/>
      <c r="O1654" s="631"/>
    </row>
    <row r="1655" spans="1:16" ht="13.5" thickBot="1" x14ac:dyDescent="0.25">
      <c r="A1655" s="736"/>
      <c r="B1655" s="737"/>
      <c r="C1655" s="665" t="s">
        <v>1413</v>
      </c>
      <c r="E1655" s="629">
        <v>18</v>
      </c>
      <c r="F1655" s="662"/>
      <c r="G1655" s="631"/>
      <c r="H1655" s="631"/>
      <c r="I1655" s="631"/>
      <c r="J1655" s="631"/>
      <c r="K1655" s="631"/>
      <c r="L1655" s="631"/>
      <c r="M1655" s="631"/>
      <c r="N1655" s="666" t="s">
        <v>799</v>
      </c>
      <c r="O1655" s="631">
        <f t="shared" ref="O1655" si="88">E1655</f>
        <v>18</v>
      </c>
      <c r="P1655" s="657" t="s">
        <v>2</v>
      </c>
    </row>
    <row r="1656" spans="1:16" ht="13.5" thickBot="1" x14ac:dyDescent="0.25">
      <c r="B1656" s="660"/>
      <c r="C1656" s="660"/>
      <c r="E1656" s="629"/>
      <c r="G1656" s="631"/>
      <c r="H1656" s="631"/>
      <c r="I1656" s="631"/>
      <c r="J1656" s="631"/>
      <c r="K1656" s="631"/>
      <c r="L1656" s="631"/>
      <c r="M1656" s="631"/>
      <c r="O1656" s="668">
        <f>ROUND((SUM(O1655:O1655)),2)</f>
        <v>18</v>
      </c>
      <c r="P1656" s="669" t="s">
        <v>2</v>
      </c>
    </row>
    <row r="1657" spans="1:16" x14ac:dyDescent="0.2">
      <c r="A1657" s="734" t="s">
        <v>0</v>
      </c>
      <c r="B1657" s="735" t="s">
        <v>1429</v>
      </c>
      <c r="C1657" s="843" t="e">
        <f>#REF!</f>
        <v>#REF!</v>
      </c>
      <c r="D1657" s="662" t="s">
        <v>799</v>
      </c>
      <c r="E1657" s="663" t="s">
        <v>864</v>
      </c>
      <c r="F1657" s="633"/>
      <c r="G1657" s="664"/>
      <c r="H1657" s="664"/>
      <c r="I1657" s="664"/>
      <c r="J1657" s="664"/>
      <c r="K1657" s="664"/>
      <c r="L1657" s="664"/>
      <c r="M1657" s="664"/>
      <c r="O1657" s="631"/>
    </row>
    <row r="1658" spans="1:16" ht="13.5" thickBot="1" x14ac:dyDescent="0.25">
      <c r="A1658" s="736"/>
      <c r="B1658" s="737"/>
      <c r="C1658" s="665" t="s">
        <v>1413</v>
      </c>
      <c r="E1658" s="629">
        <f>12*1.2</f>
        <v>14.399999999999999</v>
      </c>
      <c r="F1658" s="662"/>
      <c r="G1658" s="631"/>
      <c r="H1658" s="631"/>
      <c r="I1658" s="631"/>
      <c r="J1658" s="631"/>
      <c r="K1658" s="631"/>
      <c r="L1658" s="631"/>
      <c r="M1658" s="631"/>
      <c r="N1658" s="666" t="s">
        <v>799</v>
      </c>
      <c r="O1658" s="631">
        <f t="shared" ref="O1658" si="89">E1658</f>
        <v>14.399999999999999</v>
      </c>
      <c r="P1658" s="657" t="s">
        <v>6</v>
      </c>
    </row>
    <row r="1659" spans="1:16" ht="13.5" thickBot="1" x14ac:dyDescent="0.25">
      <c r="B1659" s="660"/>
      <c r="C1659" s="660"/>
      <c r="E1659" s="629"/>
      <c r="G1659" s="631"/>
      <c r="H1659" s="631"/>
      <c r="I1659" s="631"/>
      <c r="J1659" s="631"/>
      <c r="K1659" s="631"/>
      <c r="L1659" s="631"/>
      <c r="M1659" s="631"/>
      <c r="O1659" s="668">
        <f>ROUND((SUM(O1658:O1658)),2)</f>
        <v>14.4</v>
      </c>
      <c r="P1659" s="669" t="s">
        <v>6</v>
      </c>
    </row>
    <row r="1660" spans="1:16" x14ac:dyDescent="0.2">
      <c r="A1660" s="734" t="s">
        <v>0</v>
      </c>
      <c r="B1660" s="735" t="s">
        <v>1430</v>
      </c>
      <c r="C1660" s="843" t="e">
        <f>#REF!</f>
        <v>#REF!</v>
      </c>
      <c r="D1660" s="662" t="s">
        <v>799</v>
      </c>
      <c r="E1660" s="663" t="s">
        <v>864</v>
      </c>
      <c r="F1660" s="633"/>
      <c r="G1660" s="664"/>
      <c r="H1660" s="664"/>
      <c r="I1660" s="664"/>
      <c r="J1660" s="664"/>
      <c r="K1660" s="664"/>
      <c r="L1660" s="664"/>
      <c r="M1660" s="664"/>
      <c r="O1660" s="631"/>
    </row>
    <row r="1661" spans="1:16" ht="13.5" thickBot="1" x14ac:dyDescent="0.25">
      <c r="A1661" s="736"/>
      <c r="B1661" s="737"/>
      <c r="C1661" s="665" t="s">
        <v>1413</v>
      </c>
      <c r="E1661" s="629">
        <v>20</v>
      </c>
      <c r="F1661" s="662"/>
      <c r="G1661" s="631"/>
      <c r="H1661" s="631"/>
      <c r="I1661" s="631"/>
      <c r="J1661" s="631"/>
      <c r="K1661" s="631"/>
      <c r="L1661" s="631"/>
      <c r="M1661" s="631"/>
      <c r="N1661" s="666" t="s">
        <v>799</v>
      </c>
      <c r="O1661" s="631">
        <f t="shared" ref="O1661" si="90">E1661</f>
        <v>20</v>
      </c>
      <c r="P1661" s="657" t="s">
        <v>6</v>
      </c>
    </row>
    <row r="1662" spans="1:16" ht="13.5" thickBot="1" x14ac:dyDescent="0.25">
      <c r="B1662" s="660"/>
      <c r="C1662" s="660"/>
      <c r="E1662" s="629"/>
      <c r="G1662" s="631"/>
      <c r="H1662" s="631"/>
      <c r="I1662" s="631"/>
      <c r="J1662" s="631"/>
      <c r="K1662" s="631"/>
      <c r="L1662" s="631"/>
      <c r="M1662" s="631"/>
      <c r="O1662" s="668">
        <f>ROUND((SUM(O1661:O1661)),2)</f>
        <v>20</v>
      </c>
      <c r="P1662" s="669" t="s">
        <v>6</v>
      </c>
    </row>
    <row r="1663" spans="1:16" x14ac:dyDescent="0.2">
      <c r="B1663" s="660"/>
      <c r="C1663" s="660"/>
      <c r="E1663" s="629"/>
      <c r="G1663" s="631"/>
      <c r="H1663" s="631"/>
      <c r="I1663" s="631"/>
      <c r="J1663" s="631"/>
      <c r="K1663" s="631"/>
      <c r="L1663" s="631"/>
      <c r="M1663" s="631"/>
      <c r="O1663" s="632"/>
      <c r="P1663" s="633"/>
    </row>
    <row r="1664" spans="1:16" x14ac:dyDescent="0.2">
      <c r="B1664" s="660"/>
      <c r="C1664" s="660"/>
      <c r="E1664" s="629"/>
      <c r="G1664" s="631"/>
      <c r="H1664" s="631"/>
      <c r="I1664" s="631"/>
      <c r="J1664" s="631"/>
      <c r="K1664" s="631"/>
      <c r="L1664" s="631"/>
      <c r="M1664" s="631"/>
      <c r="O1664" s="632"/>
      <c r="P1664" s="633"/>
    </row>
    <row r="1665" spans="1:16" ht="24.75" customHeight="1" x14ac:dyDescent="0.2">
      <c r="A1665" s="734" t="s">
        <v>0</v>
      </c>
      <c r="B1665" s="735" t="s">
        <v>1431</v>
      </c>
      <c r="C1665" s="843" t="e">
        <f>#REF!</f>
        <v>#REF!</v>
      </c>
      <c r="D1665" s="662" t="s">
        <v>799</v>
      </c>
      <c r="E1665" s="663" t="s">
        <v>628</v>
      </c>
      <c r="F1665" s="633"/>
      <c r="G1665" s="664"/>
      <c r="H1665" s="664"/>
      <c r="I1665" s="664"/>
      <c r="J1665" s="664"/>
      <c r="K1665" s="664"/>
      <c r="L1665" s="664"/>
      <c r="M1665" s="664"/>
      <c r="O1665" s="631"/>
    </row>
    <row r="1666" spans="1:16" ht="13.5" thickBot="1" x14ac:dyDescent="0.25">
      <c r="A1666" s="736"/>
      <c r="B1666" s="737"/>
      <c r="C1666" s="665" t="s">
        <v>1413</v>
      </c>
      <c r="E1666" s="629">
        <v>5</v>
      </c>
      <c r="F1666" s="662"/>
      <c r="G1666" s="631"/>
      <c r="H1666" s="631"/>
      <c r="I1666" s="631"/>
      <c r="J1666" s="631"/>
      <c r="K1666" s="631"/>
      <c r="L1666" s="631"/>
      <c r="M1666" s="631"/>
      <c r="N1666" s="666" t="s">
        <v>799</v>
      </c>
      <c r="O1666" s="631">
        <f t="shared" ref="O1666" si="91">E1666</f>
        <v>5</v>
      </c>
      <c r="P1666" s="657" t="s">
        <v>2</v>
      </c>
    </row>
    <row r="1667" spans="1:16" ht="13.5" thickBot="1" x14ac:dyDescent="0.25">
      <c r="B1667" s="660"/>
      <c r="C1667" s="660"/>
      <c r="E1667" s="629"/>
      <c r="G1667" s="631"/>
      <c r="H1667" s="631"/>
      <c r="I1667" s="631"/>
      <c r="J1667" s="631"/>
      <c r="K1667" s="631"/>
      <c r="L1667" s="631"/>
      <c r="M1667" s="631"/>
      <c r="O1667" s="668">
        <f>ROUND((SUM(O1666:O1666)),2)</f>
        <v>5</v>
      </c>
      <c r="P1667" s="669" t="s">
        <v>2</v>
      </c>
    </row>
    <row r="1668" spans="1:16" x14ac:dyDescent="0.2">
      <c r="A1668" s="734" t="s">
        <v>0</v>
      </c>
      <c r="B1668" s="735" t="s">
        <v>1432</v>
      </c>
      <c r="C1668" s="843" t="e">
        <f>#REF!</f>
        <v>#REF!</v>
      </c>
      <c r="D1668" s="662" t="s">
        <v>799</v>
      </c>
      <c r="E1668" s="663" t="s">
        <v>628</v>
      </c>
      <c r="F1668" s="633"/>
      <c r="G1668" s="664"/>
      <c r="H1668" s="664"/>
      <c r="I1668" s="664"/>
      <c r="J1668" s="664"/>
      <c r="K1668" s="664"/>
      <c r="L1668" s="664"/>
      <c r="M1668" s="664"/>
      <c r="O1668" s="631"/>
    </row>
    <row r="1669" spans="1:16" ht="13.5" thickBot="1" x14ac:dyDescent="0.25">
      <c r="A1669" s="736"/>
      <c r="B1669" s="737"/>
      <c r="C1669" s="665" t="s">
        <v>1413</v>
      </c>
      <c r="E1669" s="629">
        <v>5</v>
      </c>
      <c r="F1669" s="662"/>
      <c r="G1669" s="631"/>
      <c r="H1669" s="631"/>
      <c r="I1669" s="631"/>
      <c r="J1669" s="631"/>
      <c r="K1669" s="631"/>
      <c r="L1669" s="631"/>
      <c r="M1669" s="631"/>
      <c r="N1669" s="666" t="s">
        <v>799</v>
      </c>
      <c r="O1669" s="631">
        <f t="shared" ref="O1669" si="92">E1669</f>
        <v>5</v>
      </c>
      <c r="P1669" s="657" t="s">
        <v>2</v>
      </c>
    </row>
    <row r="1670" spans="1:16" ht="13.5" thickBot="1" x14ac:dyDescent="0.25">
      <c r="B1670" s="660"/>
      <c r="C1670" s="660"/>
      <c r="E1670" s="629"/>
      <c r="G1670" s="631"/>
      <c r="H1670" s="631"/>
      <c r="I1670" s="631"/>
      <c r="J1670" s="631"/>
      <c r="K1670" s="631"/>
      <c r="L1670" s="631"/>
      <c r="M1670" s="631"/>
      <c r="O1670" s="668">
        <f>ROUND((SUM(O1669:O1669)),2)</f>
        <v>5</v>
      </c>
      <c r="P1670" s="669" t="s">
        <v>2</v>
      </c>
    </row>
    <row r="1671" spans="1:16" x14ac:dyDescent="0.2">
      <c r="A1671" s="734" t="s">
        <v>0</v>
      </c>
      <c r="B1671" s="735" t="s">
        <v>1433</v>
      </c>
      <c r="C1671" s="843" t="e">
        <f>#REF!</f>
        <v>#REF!</v>
      </c>
      <c r="D1671" s="662" t="s">
        <v>799</v>
      </c>
      <c r="E1671" s="663" t="s">
        <v>628</v>
      </c>
      <c r="F1671" s="633"/>
      <c r="G1671" s="664"/>
      <c r="H1671" s="664"/>
      <c r="I1671" s="664"/>
      <c r="J1671" s="664"/>
      <c r="K1671" s="664"/>
      <c r="L1671" s="664"/>
      <c r="M1671" s="664"/>
      <c r="O1671" s="631"/>
    </row>
    <row r="1672" spans="1:16" ht="13.5" thickBot="1" x14ac:dyDescent="0.25">
      <c r="A1672" s="736"/>
      <c r="B1672" s="737"/>
      <c r="C1672" s="665" t="s">
        <v>1413</v>
      </c>
      <c r="E1672" s="629">
        <v>2</v>
      </c>
      <c r="F1672" s="662"/>
      <c r="G1672" s="631"/>
      <c r="H1672" s="631"/>
      <c r="I1672" s="631"/>
      <c r="J1672" s="631"/>
      <c r="K1672" s="631"/>
      <c r="L1672" s="631"/>
      <c r="M1672" s="631"/>
      <c r="N1672" s="666" t="s">
        <v>799</v>
      </c>
      <c r="O1672" s="631">
        <f t="shared" ref="O1672" si="93">E1672</f>
        <v>2</v>
      </c>
      <c r="P1672" s="657" t="s">
        <v>2</v>
      </c>
    </row>
    <row r="1673" spans="1:16" ht="13.5" thickBot="1" x14ac:dyDescent="0.25">
      <c r="B1673" s="660"/>
      <c r="C1673" s="660"/>
      <c r="E1673" s="629"/>
      <c r="G1673" s="631"/>
      <c r="H1673" s="631"/>
      <c r="I1673" s="631"/>
      <c r="J1673" s="631"/>
      <c r="K1673" s="631"/>
      <c r="L1673" s="631"/>
      <c r="M1673" s="631"/>
      <c r="O1673" s="668">
        <f>ROUND((SUM(O1672:O1672)),2)</f>
        <v>2</v>
      </c>
      <c r="P1673" s="669" t="s">
        <v>2</v>
      </c>
    </row>
    <row r="1674" spans="1:16" x14ac:dyDescent="0.2">
      <c r="A1674" s="734" t="s">
        <v>0</v>
      </c>
      <c r="B1674" s="735" t="s">
        <v>1434</v>
      </c>
      <c r="C1674" s="843" t="e">
        <f>#REF!</f>
        <v>#REF!</v>
      </c>
      <c r="D1674" s="662" t="s">
        <v>799</v>
      </c>
      <c r="E1674" s="663" t="s">
        <v>628</v>
      </c>
      <c r="F1674" s="633"/>
      <c r="G1674" s="664"/>
      <c r="H1674" s="664"/>
      <c r="I1674" s="664"/>
      <c r="J1674" s="664"/>
      <c r="K1674" s="664"/>
      <c r="L1674" s="664"/>
      <c r="M1674" s="664"/>
      <c r="O1674" s="631"/>
    </row>
    <row r="1675" spans="1:16" ht="13.5" thickBot="1" x14ac:dyDescent="0.25">
      <c r="A1675" s="736"/>
      <c r="B1675" s="737"/>
      <c r="C1675" s="665" t="s">
        <v>1413</v>
      </c>
      <c r="E1675" s="629">
        <v>1</v>
      </c>
      <c r="F1675" s="662"/>
      <c r="G1675" s="631"/>
      <c r="H1675" s="631"/>
      <c r="I1675" s="631"/>
      <c r="J1675" s="631"/>
      <c r="K1675" s="631"/>
      <c r="L1675" s="631"/>
      <c r="M1675" s="631"/>
      <c r="N1675" s="666" t="s">
        <v>799</v>
      </c>
      <c r="O1675" s="631">
        <f t="shared" ref="O1675" si="94">E1675</f>
        <v>1</v>
      </c>
      <c r="P1675" s="657" t="s">
        <v>2</v>
      </c>
    </row>
    <row r="1676" spans="1:16" ht="13.5" thickBot="1" x14ac:dyDescent="0.25">
      <c r="B1676" s="660"/>
      <c r="C1676" s="660"/>
      <c r="E1676" s="629"/>
      <c r="G1676" s="631"/>
      <c r="H1676" s="631"/>
      <c r="I1676" s="631"/>
      <c r="J1676" s="631"/>
      <c r="K1676" s="631"/>
      <c r="L1676" s="631"/>
      <c r="M1676" s="631"/>
      <c r="O1676" s="668">
        <f>ROUND((SUM(O1675:O1675)),2)</f>
        <v>1</v>
      </c>
      <c r="P1676" s="669" t="s">
        <v>2</v>
      </c>
    </row>
    <row r="1677" spans="1:16" x14ac:dyDescent="0.2">
      <c r="A1677" s="734" t="s">
        <v>0</v>
      </c>
      <c r="B1677" s="735" t="s">
        <v>1435</v>
      </c>
      <c r="C1677" s="843" t="e">
        <f>#REF!</f>
        <v>#REF!</v>
      </c>
      <c r="D1677" s="662" t="s">
        <v>799</v>
      </c>
      <c r="E1677" s="663" t="s">
        <v>628</v>
      </c>
      <c r="F1677" s="633"/>
      <c r="G1677" s="664"/>
      <c r="H1677" s="664"/>
      <c r="I1677" s="664"/>
      <c r="J1677" s="664"/>
      <c r="K1677" s="664"/>
      <c r="L1677" s="664"/>
      <c r="M1677" s="664"/>
      <c r="O1677" s="631"/>
    </row>
    <row r="1678" spans="1:16" ht="13.5" thickBot="1" x14ac:dyDescent="0.25">
      <c r="A1678" s="736"/>
      <c r="B1678" s="737"/>
      <c r="C1678" s="665" t="s">
        <v>1413</v>
      </c>
      <c r="E1678" s="629">
        <v>1</v>
      </c>
      <c r="F1678" s="662"/>
      <c r="G1678" s="631"/>
      <c r="H1678" s="631"/>
      <c r="I1678" s="631"/>
      <c r="J1678" s="631"/>
      <c r="K1678" s="631"/>
      <c r="L1678" s="631"/>
      <c r="M1678" s="631"/>
      <c r="N1678" s="666" t="s">
        <v>799</v>
      </c>
      <c r="O1678" s="631">
        <f t="shared" ref="O1678" si="95">E1678</f>
        <v>1</v>
      </c>
      <c r="P1678" s="657" t="s">
        <v>2</v>
      </c>
    </row>
    <row r="1679" spans="1:16" ht="13.5" thickBot="1" x14ac:dyDescent="0.25">
      <c r="B1679" s="660"/>
      <c r="C1679" s="660"/>
      <c r="E1679" s="629"/>
      <c r="G1679" s="631"/>
      <c r="H1679" s="631"/>
      <c r="I1679" s="631"/>
      <c r="J1679" s="631"/>
      <c r="K1679" s="631"/>
      <c r="L1679" s="631"/>
      <c r="M1679" s="631"/>
      <c r="O1679" s="668">
        <f>ROUND((SUM(O1678:O1678)),2)</f>
        <v>1</v>
      </c>
      <c r="P1679" s="669" t="s">
        <v>2</v>
      </c>
    </row>
    <row r="1680" spans="1:16" ht="24.75" customHeight="1" x14ac:dyDescent="0.2">
      <c r="A1680" s="734" t="s">
        <v>0</v>
      </c>
      <c r="B1680" s="735" t="s">
        <v>1436</v>
      </c>
      <c r="C1680" s="843" t="e">
        <f>#REF!</f>
        <v>#REF!</v>
      </c>
      <c r="D1680" s="662" t="s">
        <v>799</v>
      </c>
      <c r="E1680" s="663" t="s">
        <v>628</v>
      </c>
      <c r="F1680" s="633"/>
      <c r="G1680" s="664"/>
      <c r="H1680" s="664"/>
      <c r="I1680" s="664"/>
      <c r="J1680" s="664"/>
      <c r="K1680" s="664"/>
      <c r="L1680" s="664"/>
      <c r="M1680" s="664"/>
      <c r="O1680" s="631"/>
    </row>
    <row r="1681" spans="1:16" ht="13.5" thickBot="1" x14ac:dyDescent="0.25">
      <c r="A1681" s="736"/>
      <c r="B1681" s="737"/>
      <c r="C1681" s="665" t="s">
        <v>1413</v>
      </c>
      <c r="E1681" s="629">
        <v>1</v>
      </c>
      <c r="F1681" s="662"/>
      <c r="G1681" s="631"/>
      <c r="H1681" s="631"/>
      <c r="I1681" s="631"/>
      <c r="J1681" s="631"/>
      <c r="K1681" s="631"/>
      <c r="L1681" s="631"/>
      <c r="M1681" s="631"/>
      <c r="N1681" s="666" t="s">
        <v>799</v>
      </c>
      <c r="O1681" s="631">
        <f t="shared" ref="O1681" si="96">E1681</f>
        <v>1</v>
      </c>
      <c r="P1681" s="657" t="s">
        <v>2</v>
      </c>
    </row>
    <row r="1682" spans="1:16" ht="13.5" thickBot="1" x14ac:dyDescent="0.25">
      <c r="B1682" s="660"/>
      <c r="C1682" s="660"/>
      <c r="E1682" s="629"/>
      <c r="G1682" s="631"/>
      <c r="H1682" s="631"/>
      <c r="I1682" s="631"/>
      <c r="J1682" s="631"/>
      <c r="K1682" s="631"/>
      <c r="L1682" s="631"/>
      <c r="M1682" s="631"/>
      <c r="O1682" s="668">
        <f>ROUND((SUM(O1681:O1681)),2)</f>
        <v>1</v>
      </c>
      <c r="P1682" s="669" t="s">
        <v>2</v>
      </c>
    </row>
    <row r="1683" spans="1:16" x14ac:dyDescent="0.2">
      <c r="A1683" s="734" t="s">
        <v>0</v>
      </c>
      <c r="B1683" s="735" t="s">
        <v>1437</v>
      </c>
      <c r="C1683" s="843" t="e">
        <f>#REF!</f>
        <v>#REF!</v>
      </c>
      <c r="D1683" s="662" t="s">
        <v>799</v>
      </c>
      <c r="E1683" s="663" t="s">
        <v>628</v>
      </c>
      <c r="F1683" s="633"/>
      <c r="G1683" s="664"/>
      <c r="H1683" s="664"/>
      <c r="I1683" s="664"/>
      <c r="J1683" s="664"/>
      <c r="K1683" s="664"/>
      <c r="L1683" s="664"/>
      <c r="M1683" s="664"/>
      <c r="O1683" s="631"/>
    </row>
    <row r="1684" spans="1:16" ht="13.5" thickBot="1" x14ac:dyDescent="0.25">
      <c r="A1684" s="736"/>
      <c r="B1684" s="737"/>
      <c r="C1684" s="665" t="s">
        <v>1413</v>
      </c>
      <c r="E1684" s="629">
        <v>1</v>
      </c>
      <c r="F1684" s="662"/>
      <c r="G1684" s="631"/>
      <c r="H1684" s="631"/>
      <c r="I1684" s="631"/>
      <c r="J1684" s="631"/>
      <c r="K1684" s="631"/>
      <c r="L1684" s="631"/>
      <c r="M1684" s="631"/>
      <c r="N1684" s="666" t="s">
        <v>799</v>
      </c>
      <c r="O1684" s="631">
        <f t="shared" ref="O1684" si="97">E1684</f>
        <v>1</v>
      </c>
      <c r="P1684" s="657" t="s">
        <v>2</v>
      </c>
    </row>
    <row r="1685" spans="1:16" ht="13.5" thickBot="1" x14ac:dyDescent="0.25">
      <c r="B1685" s="660"/>
      <c r="C1685" s="660"/>
      <c r="E1685" s="629"/>
      <c r="G1685" s="631"/>
      <c r="H1685" s="631"/>
      <c r="I1685" s="631"/>
      <c r="J1685" s="631"/>
      <c r="K1685" s="631"/>
      <c r="L1685" s="631"/>
      <c r="M1685" s="631"/>
      <c r="O1685" s="668">
        <f>ROUND((SUM(O1684:O1684)),2)</f>
        <v>1</v>
      </c>
      <c r="P1685" s="669" t="s">
        <v>2</v>
      </c>
    </row>
    <row r="1686" spans="1:16" x14ac:dyDescent="0.2">
      <c r="A1686" s="734" t="s">
        <v>0</v>
      </c>
      <c r="B1686" s="735" t="s">
        <v>1438</v>
      </c>
      <c r="C1686" s="843" t="e">
        <f>#REF!</f>
        <v>#REF!</v>
      </c>
      <c r="D1686" s="662" t="s">
        <v>799</v>
      </c>
      <c r="E1686" s="663" t="s">
        <v>628</v>
      </c>
      <c r="F1686" s="633"/>
      <c r="G1686" s="664"/>
      <c r="H1686" s="664"/>
      <c r="I1686" s="664"/>
      <c r="J1686" s="664"/>
      <c r="K1686" s="664"/>
      <c r="L1686" s="664"/>
      <c r="M1686" s="664"/>
      <c r="O1686" s="631"/>
    </row>
    <row r="1687" spans="1:16" ht="13.5" thickBot="1" x14ac:dyDescent="0.25">
      <c r="A1687" s="736"/>
      <c r="B1687" s="737"/>
      <c r="C1687" s="665" t="s">
        <v>1413</v>
      </c>
      <c r="E1687" s="629">
        <v>5</v>
      </c>
      <c r="F1687" s="662"/>
      <c r="G1687" s="631"/>
      <c r="H1687" s="631"/>
      <c r="I1687" s="631"/>
      <c r="J1687" s="631"/>
      <c r="K1687" s="631"/>
      <c r="L1687" s="631"/>
      <c r="M1687" s="631"/>
      <c r="N1687" s="666" t="s">
        <v>799</v>
      </c>
      <c r="O1687" s="631">
        <f t="shared" ref="O1687" si="98">E1687</f>
        <v>5</v>
      </c>
      <c r="P1687" s="657" t="s">
        <v>2</v>
      </c>
    </row>
    <row r="1688" spans="1:16" ht="13.5" thickBot="1" x14ac:dyDescent="0.25">
      <c r="B1688" s="660"/>
      <c r="C1688" s="660"/>
      <c r="E1688" s="629"/>
      <c r="G1688" s="631"/>
      <c r="H1688" s="631"/>
      <c r="I1688" s="631"/>
      <c r="J1688" s="631"/>
      <c r="K1688" s="631"/>
      <c r="L1688" s="631"/>
      <c r="M1688" s="631"/>
      <c r="O1688" s="668">
        <f>ROUND((SUM(O1687:O1687)),2)</f>
        <v>5</v>
      </c>
      <c r="P1688" s="669" t="s">
        <v>2</v>
      </c>
    </row>
    <row r="1689" spans="1:16" x14ac:dyDescent="0.2">
      <c r="A1689" s="734" t="s">
        <v>0</v>
      </c>
      <c r="B1689" s="735" t="s">
        <v>1439</v>
      </c>
      <c r="C1689" s="843" t="e">
        <f>#REF!</f>
        <v>#REF!</v>
      </c>
      <c r="D1689" s="662" t="s">
        <v>799</v>
      </c>
      <c r="E1689" s="663" t="s">
        <v>628</v>
      </c>
      <c r="F1689" s="633"/>
      <c r="G1689" s="664"/>
      <c r="H1689" s="664"/>
      <c r="I1689" s="664"/>
      <c r="J1689" s="664"/>
      <c r="K1689" s="664"/>
      <c r="L1689" s="664"/>
      <c r="M1689" s="664"/>
      <c r="O1689" s="631"/>
    </row>
    <row r="1690" spans="1:16" ht="13.5" thickBot="1" x14ac:dyDescent="0.25">
      <c r="A1690" s="736"/>
      <c r="B1690" s="737"/>
      <c r="C1690" s="665" t="s">
        <v>1413</v>
      </c>
      <c r="E1690" s="629">
        <v>2</v>
      </c>
      <c r="F1690" s="662"/>
      <c r="G1690" s="631"/>
      <c r="H1690" s="631"/>
      <c r="I1690" s="631"/>
      <c r="J1690" s="631"/>
      <c r="K1690" s="631"/>
      <c r="L1690" s="631"/>
      <c r="M1690" s="631"/>
      <c r="N1690" s="666" t="s">
        <v>799</v>
      </c>
      <c r="O1690" s="631">
        <f t="shared" ref="O1690" si="99">E1690</f>
        <v>2</v>
      </c>
      <c r="P1690" s="657" t="s">
        <v>2</v>
      </c>
    </row>
    <row r="1691" spans="1:16" ht="13.5" thickBot="1" x14ac:dyDescent="0.25">
      <c r="B1691" s="660"/>
      <c r="C1691" s="660"/>
      <c r="E1691" s="629"/>
      <c r="G1691" s="631"/>
      <c r="H1691" s="631"/>
      <c r="I1691" s="631"/>
      <c r="J1691" s="631"/>
      <c r="K1691" s="631"/>
      <c r="L1691" s="631"/>
      <c r="M1691" s="631"/>
      <c r="O1691" s="668">
        <f>ROUND((SUM(O1690:O1690)),2)</f>
        <v>2</v>
      </c>
      <c r="P1691" s="669" t="s">
        <v>2</v>
      </c>
    </row>
    <row r="1692" spans="1:16" x14ac:dyDescent="0.2">
      <c r="A1692" s="734" t="s">
        <v>0</v>
      </c>
      <c r="B1692" s="735" t="s">
        <v>1440</v>
      </c>
      <c r="C1692" s="843" t="e">
        <f>#REF!</f>
        <v>#REF!</v>
      </c>
      <c r="D1692" s="662" t="s">
        <v>799</v>
      </c>
      <c r="E1692" s="663" t="s">
        <v>628</v>
      </c>
      <c r="F1692" s="633"/>
      <c r="G1692" s="664"/>
      <c r="H1692" s="664"/>
      <c r="I1692" s="664"/>
      <c r="J1692" s="664"/>
      <c r="K1692" s="664"/>
      <c r="L1692" s="664"/>
      <c r="M1692" s="664"/>
      <c r="O1692" s="631"/>
    </row>
    <row r="1693" spans="1:16" ht="13.5" thickBot="1" x14ac:dyDescent="0.25">
      <c r="A1693" s="736"/>
      <c r="B1693" s="737"/>
      <c r="C1693" s="665" t="s">
        <v>1413</v>
      </c>
      <c r="E1693" s="629">
        <v>14</v>
      </c>
      <c r="F1693" s="662"/>
      <c r="G1693" s="631"/>
      <c r="H1693" s="631"/>
      <c r="I1693" s="631"/>
      <c r="J1693" s="631"/>
      <c r="K1693" s="631"/>
      <c r="L1693" s="631"/>
      <c r="M1693" s="631"/>
      <c r="N1693" s="666" t="s">
        <v>799</v>
      </c>
      <c r="O1693" s="631">
        <f t="shared" ref="O1693" si="100">E1693</f>
        <v>14</v>
      </c>
      <c r="P1693" s="657" t="s">
        <v>2</v>
      </c>
    </row>
    <row r="1694" spans="1:16" ht="13.5" thickBot="1" x14ac:dyDescent="0.25">
      <c r="B1694" s="660"/>
      <c r="C1694" s="660"/>
      <c r="E1694" s="629"/>
      <c r="G1694" s="631"/>
      <c r="H1694" s="631"/>
      <c r="I1694" s="631"/>
      <c r="J1694" s="631"/>
      <c r="K1694" s="631"/>
      <c r="L1694" s="631"/>
      <c r="M1694" s="631"/>
      <c r="O1694" s="668">
        <f>ROUND((SUM(O1693:O1693)),2)</f>
        <v>14</v>
      </c>
      <c r="P1694" s="669" t="s">
        <v>2</v>
      </c>
    </row>
    <row r="1695" spans="1:16" ht="21.75" customHeight="1" x14ac:dyDescent="0.2">
      <c r="A1695" s="734" t="s">
        <v>0</v>
      </c>
      <c r="B1695" s="735" t="s">
        <v>1441</v>
      </c>
      <c r="C1695" s="844" t="e">
        <f>#REF!</f>
        <v>#REF!</v>
      </c>
      <c r="D1695" s="662" t="s">
        <v>799</v>
      </c>
      <c r="E1695" s="663" t="s">
        <v>628</v>
      </c>
      <c r="F1695" s="633"/>
      <c r="G1695" s="664"/>
      <c r="H1695" s="664"/>
      <c r="I1695" s="664"/>
      <c r="J1695" s="664"/>
      <c r="K1695" s="664"/>
      <c r="L1695" s="664"/>
      <c r="M1695" s="664"/>
      <c r="O1695" s="631"/>
    </row>
    <row r="1696" spans="1:16" ht="13.5" thickBot="1" x14ac:dyDescent="0.25">
      <c r="A1696" s="736"/>
      <c r="B1696" s="737"/>
      <c r="C1696" s="665" t="s">
        <v>1413</v>
      </c>
      <c r="E1696" s="629">
        <v>8</v>
      </c>
      <c r="F1696" s="662"/>
      <c r="G1696" s="631"/>
      <c r="H1696" s="631"/>
      <c r="I1696" s="631"/>
      <c r="J1696" s="631"/>
      <c r="K1696" s="631"/>
      <c r="L1696" s="631"/>
      <c r="M1696" s="631"/>
      <c r="N1696" s="666" t="s">
        <v>799</v>
      </c>
      <c r="O1696" s="631">
        <f t="shared" ref="O1696" si="101">E1696</f>
        <v>8</v>
      </c>
      <c r="P1696" s="657" t="s">
        <v>2</v>
      </c>
    </row>
    <row r="1697" spans="1:16" ht="13.5" thickBot="1" x14ac:dyDescent="0.25">
      <c r="B1697" s="660"/>
      <c r="C1697" s="660"/>
      <c r="E1697" s="629"/>
      <c r="G1697" s="631"/>
      <c r="H1697" s="631"/>
      <c r="I1697" s="631"/>
      <c r="J1697" s="631"/>
      <c r="K1697" s="631"/>
      <c r="L1697" s="631"/>
      <c r="M1697" s="631"/>
      <c r="O1697" s="668">
        <f>ROUND((SUM(O1696:O1696)),2)</f>
        <v>8</v>
      </c>
      <c r="P1697" s="669" t="s">
        <v>2</v>
      </c>
    </row>
    <row r="1698" spans="1:16" ht="24.75" customHeight="1" x14ac:dyDescent="0.2">
      <c r="A1698" s="734" t="s">
        <v>0</v>
      </c>
      <c r="B1698" s="735" t="s">
        <v>1442</v>
      </c>
      <c r="C1698" s="844" t="e">
        <f>#REF!</f>
        <v>#REF!</v>
      </c>
      <c r="D1698" s="662" t="s">
        <v>799</v>
      </c>
      <c r="E1698" s="663" t="s">
        <v>628</v>
      </c>
      <c r="F1698" s="633"/>
      <c r="G1698" s="664"/>
      <c r="H1698" s="664"/>
      <c r="I1698" s="664"/>
      <c r="J1698" s="664"/>
      <c r="K1698" s="664"/>
      <c r="L1698" s="664"/>
      <c r="M1698" s="664"/>
      <c r="O1698" s="631"/>
    </row>
    <row r="1699" spans="1:16" ht="13.5" thickBot="1" x14ac:dyDescent="0.25">
      <c r="A1699" s="736"/>
      <c r="B1699" s="737"/>
      <c r="C1699" s="665" t="s">
        <v>1413</v>
      </c>
      <c r="E1699" s="629">
        <v>2</v>
      </c>
      <c r="F1699" s="662"/>
      <c r="G1699" s="631"/>
      <c r="H1699" s="631"/>
      <c r="I1699" s="631"/>
      <c r="J1699" s="631"/>
      <c r="K1699" s="631"/>
      <c r="L1699" s="631"/>
      <c r="M1699" s="631"/>
      <c r="N1699" s="666" t="s">
        <v>799</v>
      </c>
      <c r="O1699" s="631">
        <f t="shared" ref="O1699" si="102">E1699</f>
        <v>2</v>
      </c>
      <c r="P1699" s="657" t="s">
        <v>2</v>
      </c>
    </row>
    <row r="1700" spans="1:16" ht="13.5" thickBot="1" x14ac:dyDescent="0.25">
      <c r="B1700" s="660"/>
      <c r="C1700" s="660"/>
      <c r="E1700" s="629"/>
      <c r="G1700" s="631"/>
      <c r="H1700" s="631"/>
      <c r="I1700" s="631"/>
      <c r="J1700" s="631"/>
      <c r="K1700" s="631"/>
      <c r="L1700" s="631"/>
      <c r="M1700" s="631"/>
      <c r="O1700" s="668">
        <f>ROUND((SUM(O1699:O1699)),2)</f>
        <v>2</v>
      </c>
      <c r="P1700" s="669" t="s">
        <v>2</v>
      </c>
    </row>
    <row r="1701" spans="1:16" x14ac:dyDescent="0.2">
      <c r="A1701" s="734" t="s">
        <v>0</v>
      </c>
      <c r="B1701" s="735" t="s">
        <v>1443</v>
      </c>
      <c r="C1701" s="844" t="e">
        <f>#REF!</f>
        <v>#REF!</v>
      </c>
      <c r="D1701" s="662" t="s">
        <v>799</v>
      </c>
      <c r="E1701" s="663" t="s">
        <v>628</v>
      </c>
      <c r="F1701" s="633"/>
      <c r="G1701" s="664"/>
      <c r="H1701" s="664"/>
      <c r="I1701" s="664"/>
      <c r="J1701" s="664"/>
      <c r="K1701" s="664"/>
      <c r="L1701" s="664"/>
      <c r="M1701" s="664"/>
      <c r="O1701" s="631"/>
    </row>
    <row r="1702" spans="1:16" ht="13.5" thickBot="1" x14ac:dyDescent="0.25">
      <c r="A1702" s="736"/>
      <c r="B1702" s="737"/>
      <c r="C1702" s="665" t="s">
        <v>1413</v>
      </c>
      <c r="E1702" s="629">
        <v>13</v>
      </c>
      <c r="F1702" s="662"/>
      <c r="G1702" s="631"/>
      <c r="H1702" s="631"/>
      <c r="I1702" s="631"/>
      <c r="J1702" s="631"/>
      <c r="K1702" s="631"/>
      <c r="L1702" s="631"/>
      <c r="M1702" s="631"/>
      <c r="N1702" s="666" t="s">
        <v>799</v>
      </c>
      <c r="O1702" s="631">
        <f t="shared" ref="O1702" si="103">E1702</f>
        <v>13</v>
      </c>
      <c r="P1702" s="657" t="s">
        <v>2</v>
      </c>
    </row>
    <row r="1703" spans="1:16" ht="13.5" thickBot="1" x14ac:dyDescent="0.25">
      <c r="B1703" s="660"/>
      <c r="C1703" s="660"/>
      <c r="E1703" s="629"/>
      <c r="G1703" s="631"/>
      <c r="H1703" s="631"/>
      <c r="I1703" s="631"/>
      <c r="J1703" s="631"/>
      <c r="K1703" s="631"/>
      <c r="L1703" s="631"/>
      <c r="M1703" s="631"/>
      <c r="O1703" s="668">
        <f>ROUND((SUM(O1702:O1702)),2)</f>
        <v>13</v>
      </c>
      <c r="P1703" s="669" t="s">
        <v>2</v>
      </c>
    </row>
    <row r="1704" spans="1:16" x14ac:dyDescent="0.2">
      <c r="A1704" s="734" t="s">
        <v>0</v>
      </c>
      <c r="B1704" s="735" t="s">
        <v>1444</v>
      </c>
      <c r="C1704" s="844" t="e">
        <f>#REF!</f>
        <v>#REF!</v>
      </c>
      <c r="D1704" s="662" t="s">
        <v>799</v>
      </c>
      <c r="E1704" s="663" t="s">
        <v>628</v>
      </c>
      <c r="F1704" s="633"/>
      <c r="G1704" s="664"/>
      <c r="H1704" s="664"/>
      <c r="I1704" s="664"/>
      <c r="J1704" s="664"/>
      <c r="K1704" s="664"/>
      <c r="L1704" s="664"/>
      <c r="M1704" s="664"/>
      <c r="O1704" s="631"/>
    </row>
    <row r="1705" spans="1:16" ht="13.5" thickBot="1" x14ac:dyDescent="0.25">
      <c r="A1705" s="736"/>
      <c r="B1705" s="737"/>
      <c r="C1705" s="665" t="s">
        <v>1413</v>
      </c>
      <c r="E1705" s="629">
        <v>2</v>
      </c>
      <c r="F1705" s="662"/>
      <c r="G1705" s="631"/>
      <c r="H1705" s="631"/>
      <c r="I1705" s="631"/>
      <c r="J1705" s="631"/>
      <c r="K1705" s="631"/>
      <c r="L1705" s="631"/>
      <c r="M1705" s="631"/>
      <c r="N1705" s="666" t="s">
        <v>799</v>
      </c>
      <c r="O1705" s="631">
        <f t="shared" ref="O1705" si="104">E1705</f>
        <v>2</v>
      </c>
      <c r="P1705" s="657" t="s">
        <v>2</v>
      </c>
    </row>
    <row r="1706" spans="1:16" ht="13.5" thickBot="1" x14ac:dyDescent="0.25">
      <c r="B1706" s="660"/>
      <c r="C1706" s="660"/>
      <c r="E1706" s="629"/>
      <c r="G1706" s="631"/>
      <c r="H1706" s="631"/>
      <c r="I1706" s="631"/>
      <c r="J1706" s="631"/>
      <c r="K1706" s="631"/>
      <c r="L1706" s="631"/>
      <c r="M1706" s="631"/>
      <c r="O1706" s="668">
        <f>ROUND((SUM(O1705:O1705)),2)</f>
        <v>2</v>
      </c>
      <c r="P1706" s="669" t="s">
        <v>2</v>
      </c>
    </row>
    <row r="1707" spans="1:16" ht="21" customHeight="1" x14ac:dyDescent="0.2">
      <c r="A1707" s="734" t="s">
        <v>0</v>
      </c>
      <c r="B1707" s="735" t="s">
        <v>1445</v>
      </c>
      <c r="C1707" s="844" t="e">
        <f>#REF!</f>
        <v>#REF!</v>
      </c>
      <c r="D1707" s="662" t="s">
        <v>799</v>
      </c>
      <c r="E1707" s="663" t="s">
        <v>628</v>
      </c>
      <c r="F1707" s="633"/>
      <c r="G1707" s="664"/>
      <c r="H1707" s="664"/>
      <c r="I1707" s="664"/>
      <c r="J1707" s="664"/>
      <c r="K1707" s="664"/>
      <c r="L1707" s="664"/>
      <c r="M1707" s="664"/>
      <c r="O1707" s="631"/>
    </row>
    <row r="1708" spans="1:16" ht="13.5" thickBot="1" x14ac:dyDescent="0.25">
      <c r="A1708" s="736"/>
      <c r="B1708" s="737"/>
      <c r="C1708" s="665" t="s">
        <v>1413</v>
      </c>
      <c r="E1708" s="629">
        <v>2</v>
      </c>
      <c r="F1708" s="662"/>
      <c r="G1708" s="631"/>
      <c r="H1708" s="631"/>
      <c r="I1708" s="631"/>
      <c r="J1708" s="631"/>
      <c r="K1708" s="631"/>
      <c r="L1708" s="631"/>
      <c r="M1708" s="631"/>
      <c r="N1708" s="666" t="s">
        <v>799</v>
      </c>
      <c r="O1708" s="631">
        <f t="shared" ref="O1708" si="105">E1708</f>
        <v>2</v>
      </c>
      <c r="P1708" s="657" t="s">
        <v>2</v>
      </c>
    </row>
    <row r="1709" spans="1:16" ht="13.5" thickBot="1" x14ac:dyDescent="0.25">
      <c r="B1709" s="660"/>
      <c r="C1709" s="660"/>
      <c r="E1709" s="629"/>
      <c r="G1709" s="631"/>
      <c r="H1709" s="631"/>
      <c r="I1709" s="631"/>
      <c r="J1709" s="631"/>
      <c r="K1709" s="631"/>
      <c r="L1709" s="631"/>
      <c r="M1709" s="631"/>
      <c r="O1709" s="668">
        <f>ROUND((SUM(O1708:O1708)),2)</f>
        <v>2</v>
      </c>
      <c r="P1709" s="669" t="s">
        <v>2</v>
      </c>
    </row>
    <row r="1710" spans="1:16" x14ac:dyDescent="0.2">
      <c r="A1710" s="734" t="s">
        <v>0</v>
      </c>
      <c r="B1710" s="735" t="s">
        <v>1446</v>
      </c>
      <c r="C1710" s="844" t="e">
        <f>#REF!</f>
        <v>#REF!</v>
      </c>
      <c r="D1710" s="662" t="s">
        <v>799</v>
      </c>
      <c r="E1710" s="663" t="s">
        <v>628</v>
      </c>
      <c r="F1710" s="633"/>
      <c r="G1710" s="664"/>
      <c r="H1710" s="664"/>
      <c r="I1710" s="664"/>
      <c r="J1710" s="664"/>
      <c r="K1710" s="664"/>
      <c r="L1710" s="664"/>
      <c r="M1710" s="664"/>
      <c r="O1710" s="631"/>
    </row>
    <row r="1711" spans="1:16" ht="13.5" thickBot="1" x14ac:dyDescent="0.25">
      <c r="A1711" s="736"/>
      <c r="B1711" s="737"/>
      <c r="C1711" s="665" t="s">
        <v>1413</v>
      </c>
      <c r="E1711" s="629">
        <v>12</v>
      </c>
      <c r="F1711" s="662"/>
      <c r="G1711" s="631"/>
      <c r="H1711" s="631"/>
      <c r="I1711" s="631"/>
      <c r="J1711" s="631"/>
      <c r="K1711" s="631"/>
      <c r="L1711" s="631"/>
      <c r="M1711" s="631"/>
      <c r="N1711" s="666" t="s">
        <v>799</v>
      </c>
      <c r="O1711" s="631">
        <f t="shared" ref="O1711" si="106">E1711</f>
        <v>12</v>
      </c>
      <c r="P1711" s="657" t="s">
        <v>2</v>
      </c>
    </row>
    <row r="1712" spans="1:16" ht="13.5" thickBot="1" x14ac:dyDescent="0.25">
      <c r="B1712" s="660"/>
      <c r="C1712" s="660"/>
      <c r="E1712" s="629"/>
      <c r="G1712" s="631"/>
      <c r="H1712" s="631"/>
      <c r="I1712" s="631"/>
      <c r="J1712" s="631"/>
      <c r="K1712" s="631"/>
      <c r="L1712" s="631"/>
      <c r="M1712" s="631"/>
      <c r="O1712" s="668">
        <f>ROUND((SUM(O1711:O1711)),2)</f>
        <v>12</v>
      </c>
      <c r="P1712" s="669" t="s">
        <v>2</v>
      </c>
    </row>
    <row r="1713" spans="1:16" ht="22.5" customHeight="1" x14ac:dyDescent="0.2">
      <c r="A1713" s="734" t="s">
        <v>0</v>
      </c>
      <c r="B1713" s="735" t="s">
        <v>1447</v>
      </c>
      <c r="C1713" s="843" t="e">
        <f>#REF!</f>
        <v>#REF!</v>
      </c>
      <c r="D1713" s="662" t="s">
        <v>799</v>
      </c>
      <c r="E1713" s="663" t="s">
        <v>628</v>
      </c>
      <c r="F1713" s="633"/>
      <c r="G1713" s="664"/>
      <c r="H1713" s="664"/>
      <c r="I1713" s="664"/>
      <c r="J1713" s="664"/>
      <c r="K1713" s="664"/>
      <c r="L1713" s="664"/>
      <c r="M1713" s="664"/>
      <c r="O1713" s="631"/>
    </row>
    <row r="1714" spans="1:16" ht="13.5" thickBot="1" x14ac:dyDescent="0.25">
      <c r="A1714" s="736"/>
      <c r="B1714" s="737"/>
      <c r="C1714" s="665" t="s">
        <v>1413</v>
      </c>
      <c r="E1714" s="629">
        <v>27</v>
      </c>
      <c r="F1714" s="662"/>
      <c r="G1714" s="631"/>
      <c r="H1714" s="631"/>
      <c r="I1714" s="631"/>
      <c r="J1714" s="631"/>
      <c r="K1714" s="631"/>
      <c r="L1714" s="631"/>
      <c r="M1714" s="631"/>
      <c r="N1714" s="666" t="s">
        <v>799</v>
      </c>
      <c r="O1714" s="631">
        <f t="shared" ref="O1714" si="107">E1714</f>
        <v>27</v>
      </c>
      <c r="P1714" s="657" t="s">
        <v>2</v>
      </c>
    </row>
    <row r="1715" spans="1:16" ht="13.5" thickBot="1" x14ac:dyDescent="0.25">
      <c r="B1715" s="660"/>
      <c r="C1715" s="660"/>
      <c r="E1715" s="629"/>
      <c r="G1715" s="631"/>
      <c r="H1715" s="631"/>
      <c r="I1715" s="631"/>
      <c r="J1715" s="631"/>
      <c r="K1715" s="631"/>
      <c r="L1715" s="631"/>
      <c r="M1715" s="631"/>
      <c r="O1715" s="668">
        <f>ROUND((SUM(O1714:O1714)),2)</f>
        <v>27</v>
      </c>
      <c r="P1715" s="669" t="s">
        <v>2</v>
      </c>
    </row>
    <row r="1716" spans="1:16" x14ac:dyDescent="0.2">
      <c r="A1716" s="734" t="s">
        <v>0</v>
      </c>
      <c r="B1716" s="735" t="s">
        <v>1448</v>
      </c>
      <c r="C1716" s="843" t="e">
        <f>#REF!</f>
        <v>#REF!</v>
      </c>
      <c r="D1716" s="662" t="s">
        <v>799</v>
      </c>
      <c r="E1716" s="663" t="s">
        <v>864</v>
      </c>
      <c r="F1716" s="633"/>
      <c r="G1716" s="664"/>
      <c r="H1716" s="664"/>
      <c r="I1716" s="664"/>
      <c r="J1716" s="664"/>
      <c r="K1716" s="664"/>
      <c r="L1716" s="664"/>
      <c r="M1716" s="664"/>
      <c r="O1716" s="631"/>
    </row>
    <row r="1717" spans="1:16" ht="13.5" thickBot="1" x14ac:dyDescent="0.25">
      <c r="A1717" s="736"/>
      <c r="B1717" s="737"/>
      <c r="C1717" s="665" t="s">
        <v>1413</v>
      </c>
      <c r="E1717" s="629">
        <v>21</v>
      </c>
      <c r="F1717" s="662"/>
      <c r="G1717" s="631"/>
      <c r="H1717" s="631"/>
      <c r="I1717" s="631"/>
      <c r="J1717" s="631"/>
      <c r="K1717" s="631"/>
      <c r="L1717" s="631"/>
      <c r="M1717" s="631"/>
      <c r="N1717" s="666" t="s">
        <v>799</v>
      </c>
      <c r="O1717" s="631">
        <f t="shared" ref="O1717" si="108">E1717</f>
        <v>21</v>
      </c>
      <c r="P1717" s="657" t="s">
        <v>6</v>
      </c>
    </row>
    <row r="1718" spans="1:16" ht="13.5" thickBot="1" x14ac:dyDescent="0.25">
      <c r="B1718" s="660"/>
      <c r="C1718" s="660"/>
      <c r="E1718" s="629"/>
      <c r="G1718" s="631"/>
      <c r="H1718" s="631"/>
      <c r="I1718" s="631"/>
      <c r="J1718" s="631"/>
      <c r="K1718" s="631"/>
      <c r="L1718" s="631"/>
      <c r="M1718" s="631"/>
      <c r="O1718" s="668">
        <f>ROUND((SUM(O1717:O1717)),2)</f>
        <v>21</v>
      </c>
      <c r="P1718" s="669" t="s">
        <v>6</v>
      </c>
    </row>
    <row r="1719" spans="1:16" x14ac:dyDescent="0.2">
      <c r="A1719" s="734" t="s">
        <v>0</v>
      </c>
      <c r="B1719" s="735" t="s">
        <v>1449</v>
      </c>
      <c r="C1719" s="843" t="e">
        <f>#REF!</f>
        <v>#REF!</v>
      </c>
      <c r="D1719" s="662" t="s">
        <v>799</v>
      </c>
      <c r="E1719" s="663" t="s">
        <v>628</v>
      </c>
      <c r="F1719" s="633"/>
      <c r="G1719" s="664"/>
      <c r="H1719" s="664"/>
      <c r="I1719" s="664"/>
      <c r="J1719" s="664"/>
      <c r="K1719" s="664"/>
      <c r="L1719" s="664"/>
      <c r="M1719" s="664"/>
      <c r="O1719" s="631"/>
    </row>
    <row r="1720" spans="1:16" ht="13.5" thickBot="1" x14ac:dyDescent="0.25">
      <c r="A1720" s="736"/>
      <c r="B1720" s="737"/>
      <c r="C1720" s="665" t="s">
        <v>1413</v>
      </c>
      <c r="E1720" s="629">
        <v>12</v>
      </c>
      <c r="F1720" s="662"/>
      <c r="G1720" s="631"/>
      <c r="H1720" s="631"/>
      <c r="I1720" s="631"/>
      <c r="J1720" s="631"/>
      <c r="K1720" s="631"/>
      <c r="L1720" s="631"/>
      <c r="M1720" s="631"/>
      <c r="N1720" s="666" t="s">
        <v>799</v>
      </c>
      <c r="O1720" s="631">
        <f t="shared" ref="O1720" si="109">E1720</f>
        <v>12</v>
      </c>
      <c r="P1720" s="657" t="s">
        <v>2</v>
      </c>
    </row>
    <row r="1721" spans="1:16" ht="13.5" thickBot="1" x14ac:dyDescent="0.25">
      <c r="B1721" s="660"/>
      <c r="C1721" s="660"/>
      <c r="E1721" s="629"/>
      <c r="G1721" s="631"/>
      <c r="H1721" s="631"/>
      <c r="I1721" s="631"/>
      <c r="J1721" s="631"/>
      <c r="K1721" s="631"/>
      <c r="L1721" s="631"/>
      <c r="M1721" s="631"/>
      <c r="O1721" s="668">
        <f>ROUND((SUM(O1720:O1720)),2)</f>
        <v>12</v>
      </c>
      <c r="P1721" s="669" t="s">
        <v>2</v>
      </c>
    </row>
    <row r="1722" spans="1:16" x14ac:dyDescent="0.2">
      <c r="A1722" s="734" t="s">
        <v>0</v>
      </c>
      <c r="B1722" s="735" t="s">
        <v>1450</v>
      </c>
      <c r="C1722" s="843" t="e">
        <f>#REF!</f>
        <v>#REF!</v>
      </c>
      <c r="D1722" s="662" t="s">
        <v>799</v>
      </c>
      <c r="E1722" s="663" t="s">
        <v>628</v>
      </c>
      <c r="F1722" s="633"/>
      <c r="G1722" s="664"/>
      <c r="H1722" s="664"/>
      <c r="I1722" s="664"/>
      <c r="J1722" s="664"/>
      <c r="K1722" s="664"/>
      <c r="L1722" s="664"/>
      <c r="M1722" s="664"/>
      <c r="O1722" s="631"/>
    </row>
    <row r="1723" spans="1:16" ht="13.5" thickBot="1" x14ac:dyDescent="0.25">
      <c r="A1723" s="736"/>
      <c r="B1723" s="737"/>
      <c r="C1723" s="665" t="s">
        <v>1413</v>
      </c>
      <c r="E1723" s="629">
        <v>1</v>
      </c>
      <c r="F1723" s="662"/>
      <c r="G1723" s="631"/>
      <c r="H1723" s="631"/>
      <c r="I1723" s="631"/>
      <c r="J1723" s="631"/>
      <c r="K1723" s="631"/>
      <c r="L1723" s="631"/>
      <c r="M1723" s="631"/>
      <c r="N1723" s="666" t="s">
        <v>799</v>
      </c>
      <c r="O1723" s="631">
        <f t="shared" ref="O1723" si="110">E1723</f>
        <v>1</v>
      </c>
      <c r="P1723" s="657" t="s">
        <v>2</v>
      </c>
    </row>
    <row r="1724" spans="1:16" ht="13.5" thickBot="1" x14ac:dyDescent="0.25">
      <c r="B1724" s="660"/>
      <c r="C1724" s="660"/>
      <c r="E1724" s="629"/>
      <c r="G1724" s="631"/>
      <c r="H1724" s="631"/>
      <c r="I1724" s="631"/>
      <c r="J1724" s="631"/>
      <c r="K1724" s="631"/>
      <c r="L1724" s="631"/>
      <c r="M1724" s="631"/>
      <c r="O1724" s="668">
        <f>ROUND((SUM(O1723:O1723)),2)</f>
        <v>1</v>
      </c>
      <c r="P1724" s="669" t="s">
        <v>2</v>
      </c>
    </row>
    <row r="1725" spans="1:16" x14ac:dyDescent="0.2">
      <c r="B1725" s="660"/>
      <c r="C1725" s="660"/>
      <c r="E1725" s="629"/>
      <c r="G1725" s="631"/>
      <c r="H1725" s="631"/>
      <c r="I1725" s="631"/>
      <c r="J1725" s="631"/>
      <c r="K1725" s="631"/>
      <c r="L1725" s="631"/>
      <c r="M1725" s="631"/>
      <c r="O1725" s="631"/>
    </row>
    <row r="1726" spans="1:16" x14ac:dyDescent="0.2">
      <c r="A1726" s="734" t="s">
        <v>0</v>
      </c>
      <c r="B1726" s="735" t="s">
        <v>1688</v>
      </c>
      <c r="C1726" s="843" t="e">
        <f>#REF!</f>
        <v>#REF!</v>
      </c>
      <c r="D1726" s="662" t="s">
        <v>799</v>
      </c>
      <c r="E1726" s="663" t="s">
        <v>628</v>
      </c>
      <c r="F1726" s="633"/>
      <c r="G1726" s="664"/>
      <c r="H1726" s="664"/>
      <c r="I1726" s="664"/>
      <c r="J1726" s="664"/>
      <c r="K1726" s="664"/>
      <c r="L1726" s="664"/>
      <c r="M1726" s="664"/>
      <c r="O1726" s="631"/>
    </row>
    <row r="1727" spans="1:16" ht="13.5" thickBot="1" x14ac:dyDescent="0.25">
      <c r="A1727" s="736"/>
      <c r="B1727" s="737"/>
      <c r="C1727" s="665" t="s">
        <v>1413</v>
      </c>
      <c r="E1727" s="629">
        <v>10</v>
      </c>
      <c r="F1727" s="662"/>
      <c r="G1727" s="631"/>
      <c r="H1727" s="631"/>
      <c r="I1727" s="631"/>
      <c r="J1727" s="631"/>
      <c r="K1727" s="631"/>
      <c r="L1727" s="631"/>
      <c r="M1727" s="631"/>
      <c r="N1727" s="666" t="s">
        <v>799</v>
      </c>
      <c r="O1727" s="631">
        <f t="shared" ref="O1727" si="111">E1727</f>
        <v>10</v>
      </c>
      <c r="P1727" s="657" t="s">
        <v>2</v>
      </c>
    </row>
    <row r="1728" spans="1:16" ht="13.5" thickBot="1" x14ac:dyDescent="0.25">
      <c r="B1728" s="660"/>
      <c r="C1728" s="660"/>
      <c r="E1728" s="629"/>
      <c r="G1728" s="631"/>
      <c r="H1728" s="631"/>
      <c r="I1728" s="631"/>
      <c r="J1728" s="631"/>
      <c r="K1728" s="631"/>
      <c r="L1728" s="631"/>
      <c r="M1728" s="631"/>
      <c r="O1728" s="668">
        <f>ROUND((SUM(O1727:O1727)),2)</f>
        <v>10</v>
      </c>
      <c r="P1728" s="669" t="s">
        <v>2</v>
      </c>
    </row>
    <row r="1729" spans="1:16015" x14ac:dyDescent="0.2">
      <c r="B1729" s="660"/>
      <c r="C1729" s="660"/>
      <c r="E1729" s="629"/>
      <c r="G1729" s="631"/>
      <c r="H1729" s="631"/>
      <c r="I1729" s="631"/>
      <c r="J1729" s="631"/>
      <c r="K1729" s="631"/>
      <c r="L1729" s="631"/>
      <c r="M1729" s="631"/>
      <c r="O1729" s="631"/>
    </row>
    <row r="1730" spans="1:16015" x14ac:dyDescent="0.2">
      <c r="A1730" s="734" t="s">
        <v>0</v>
      </c>
      <c r="B1730" s="735" t="s">
        <v>1689</v>
      </c>
      <c r="C1730" s="843" t="e">
        <f>#REF!</f>
        <v>#REF!</v>
      </c>
      <c r="D1730" s="662" t="s">
        <v>799</v>
      </c>
      <c r="E1730" s="663" t="s">
        <v>628</v>
      </c>
      <c r="F1730" s="633"/>
      <c r="G1730" s="664"/>
      <c r="H1730" s="664"/>
      <c r="I1730" s="664"/>
      <c r="J1730" s="664"/>
      <c r="K1730" s="664"/>
      <c r="L1730" s="664"/>
      <c r="M1730" s="664"/>
      <c r="O1730" s="631"/>
    </row>
    <row r="1731" spans="1:16015" ht="13.5" thickBot="1" x14ac:dyDescent="0.25">
      <c r="A1731" s="736"/>
      <c r="B1731" s="737"/>
      <c r="C1731" s="665" t="s">
        <v>1413</v>
      </c>
      <c r="E1731" s="629">
        <v>12</v>
      </c>
      <c r="F1731" s="662"/>
      <c r="G1731" s="631"/>
      <c r="H1731" s="631"/>
      <c r="I1731" s="631"/>
      <c r="J1731" s="631"/>
      <c r="K1731" s="631"/>
      <c r="L1731" s="631"/>
      <c r="M1731" s="631"/>
      <c r="N1731" s="666" t="s">
        <v>799</v>
      </c>
      <c r="O1731" s="631">
        <f t="shared" ref="O1731" si="112">E1731</f>
        <v>12</v>
      </c>
      <c r="P1731" s="657" t="s">
        <v>2</v>
      </c>
    </row>
    <row r="1732" spans="1:16015" ht="13.5" thickBot="1" x14ac:dyDescent="0.25">
      <c r="B1732" s="660"/>
      <c r="C1732" s="660"/>
      <c r="E1732" s="629"/>
      <c r="G1732" s="631"/>
      <c r="H1732" s="631"/>
      <c r="I1732" s="631"/>
      <c r="J1732" s="631"/>
      <c r="K1732" s="631"/>
      <c r="L1732" s="631"/>
      <c r="M1732" s="631"/>
      <c r="O1732" s="668">
        <f>ROUND((SUM(O1731:O1731)),2)</f>
        <v>12</v>
      </c>
      <c r="P1732" s="669" t="s">
        <v>2</v>
      </c>
    </row>
    <row r="1733" spans="1:16015" x14ac:dyDescent="0.2">
      <c r="A1733" s="734" t="s">
        <v>0</v>
      </c>
      <c r="B1733" s="735" t="s">
        <v>1690</v>
      </c>
      <c r="C1733" s="843" t="e">
        <f>#REF!</f>
        <v>#REF!</v>
      </c>
      <c r="D1733" s="662" t="s">
        <v>799</v>
      </c>
      <c r="E1733" s="663" t="s">
        <v>628</v>
      </c>
      <c r="F1733" s="633"/>
      <c r="G1733" s="664"/>
      <c r="H1733" s="664"/>
      <c r="I1733" s="664"/>
      <c r="J1733" s="664"/>
      <c r="K1733" s="664"/>
      <c r="L1733" s="664"/>
      <c r="M1733" s="664"/>
      <c r="O1733" s="631"/>
    </row>
    <row r="1734" spans="1:16015" ht="13.5" thickBot="1" x14ac:dyDescent="0.25">
      <c r="A1734" s="736"/>
      <c r="B1734" s="737"/>
      <c r="C1734" s="665" t="s">
        <v>1413</v>
      </c>
      <c r="E1734" s="629">
        <v>8</v>
      </c>
      <c r="F1734" s="662"/>
      <c r="G1734" s="631"/>
      <c r="H1734" s="631"/>
      <c r="I1734" s="631"/>
      <c r="J1734" s="631"/>
      <c r="K1734" s="631"/>
      <c r="L1734" s="631"/>
      <c r="M1734" s="631"/>
      <c r="N1734" s="666" t="s">
        <v>799</v>
      </c>
      <c r="O1734" s="631">
        <f t="shared" ref="O1734" si="113">E1734</f>
        <v>8</v>
      </c>
      <c r="P1734" s="657" t="s">
        <v>2</v>
      </c>
    </row>
    <row r="1735" spans="1:16015" ht="13.5" thickBot="1" x14ac:dyDescent="0.25">
      <c r="B1735" s="660"/>
      <c r="C1735" s="660"/>
      <c r="E1735" s="629"/>
      <c r="G1735" s="631"/>
      <c r="H1735" s="631"/>
      <c r="I1735" s="631"/>
      <c r="J1735" s="631"/>
      <c r="K1735" s="631"/>
      <c r="L1735" s="631"/>
      <c r="M1735" s="631"/>
      <c r="O1735" s="668">
        <f>ROUND((SUM(O1734:O1734)),2)</f>
        <v>8</v>
      </c>
      <c r="P1735" s="669" t="s">
        <v>2</v>
      </c>
    </row>
    <row r="1736" spans="1:16015" x14ac:dyDescent="0.2">
      <c r="B1736" s="660"/>
      <c r="C1736" s="660"/>
      <c r="E1736" s="629"/>
      <c r="G1736" s="631"/>
      <c r="H1736" s="631"/>
      <c r="I1736" s="631"/>
      <c r="J1736" s="631"/>
      <c r="K1736" s="631"/>
      <c r="L1736" s="631"/>
      <c r="M1736" s="631"/>
      <c r="O1736" s="631"/>
    </row>
    <row r="1737" spans="1:16015" x14ac:dyDescent="0.2">
      <c r="A1737" s="734" t="s">
        <v>0</v>
      </c>
      <c r="B1737" s="735" t="s">
        <v>1691</v>
      </c>
      <c r="C1737" s="843" t="e">
        <f>#REF!</f>
        <v>#REF!</v>
      </c>
      <c r="D1737" s="662" t="s">
        <v>799</v>
      </c>
      <c r="E1737" s="663" t="s">
        <v>628</v>
      </c>
      <c r="F1737" s="633"/>
      <c r="G1737" s="664"/>
      <c r="H1737" s="664"/>
      <c r="I1737" s="664"/>
      <c r="J1737" s="664"/>
      <c r="K1737" s="664"/>
      <c r="L1737" s="664"/>
      <c r="M1737" s="664"/>
      <c r="O1737" s="631"/>
      <c r="Q1737" s="664"/>
      <c r="R1737" s="664"/>
      <c r="S1737" s="664"/>
      <c r="T1737" s="664"/>
      <c r="U1737" s="664"/>
      <c r="V1737" s="664"/>
      <c r="W1737" s="664"/>
      <c r="X1737" s="664"/>
      <c r="Y1737" s="664"/>
      <c r="Z1737" s="664"/>
      <c r="AA1737" s="664"/>
      <c r="AB1737" s="962"/>
      <c r="AC1737" s="630"/>
      <c r="AD1737" s="670"/>
      <c r="AE1737" s="655"/>
      <c r="AF1737" s="734"/>
      <c r="AG1737" s="735"/>
      <c r="AH1737" s="843"/>
      <c r="AI1737" s="662"/>
      <c r="AJ1737" s="663"/>
      <c r="AK1737" s="633"/>
      <c r="AL1737" s="962"/>
      <c r="AM1737" s="962"/>
      <c r="AN1737" s="962"/>
      <c r="AO1737" s="962"/>
      <c r="AP1737" s="962"/>
      <c r="AQ1737" s="962"/>
      <c r="AR1737" s="962"/>
      <c r="AS1737" s="630"/>
      <c r="AT1737" s="670"/>
      <c r="AU1737" s="655"/>
      <c r="AV1737" s="734"/>
      <c r="AW1737" s="735"/>
      <c r="AX1737" s="843"/>
      <c r="AY1737" s="662"/>
      <c r="AZ1737" s="663"/>
      <c r="BA1737" s="633"/>
      <c r="BB1737" s="962"/>
      <c r="BC1737" s="962"/>
      <c r="BD1737" s="962"/>
      <c r="BE1737" s="962"/>
      <c r="BF1737" s="962"/>
      <c r="BG1737" s="962"/>
      <c r="BH1737" s="962"/>
      <c r="BI1737" s="630"/>
      <c r="BJ1737" s="670"/>
      <c r="BK1737" s="655"/>
      <c r="BL1737" s="734"/>
      <c r="BM1737" s="735"/>
      <c r="BN1737" s="843"/>
      <c r="BO1737" s="662"/>
      <c r="BP1737" s="663"/>
      <c r="BQ1737" s="633"/>
      <c r="BR1737" s="962"/>
      <c r="BS1737" s="962"/>
      <c r="BT1737" s="962"/>
      <c r="BU1737" s="962"/>
      <c r="BV1737" s="962"/>
      <c r="BW1737" s="962"/>
      <c r="BX1737" s="962"/>
      <c r="BY1737" s="630"/>
      <c r="BZ1737" s="670"/>
      <c r="CA1737" s="655"/>
      <c r="CB1737" s="734"/>
      <c r="CC1737" s="735"/>
      <c r="CD1737" s="843"/>
      <c r="CE1737" s="662"/>
      <c r="CF1737" s="663"/>
      <c r="CG1737" s="633"/>
      <c r="CH1737" s="962"/>
      <c r="CI1737" s="962"/>
      <c r="CJ1737" s="962"/>
      <c r="CK1737" s="962"/>
      <c r="CL1737" s="962"/>
      <c r="CM1737" s="962"/>
      <c r="CN1737" s="962"/>
      <c r="CO1737" s="630"/>
      <c r="CP1737" s="670"/>
      <c r="CQ1737" s="655"/>
      <c r="CR1737" s="734" t="s">
        <v>0</v>
      </c>
      <c r="CS1737" s="735" t="s">
        <v>1690</v>
      </c>
      <c r="CT1737" s="843" t="e">
        <f>#REF!</f>
        <v>#REF!</v>
      </c>
      <c r="CU1737" s="662" t="s">
        <v>799</v>
      </c>
      <c r="CV1737" s="663" t="s">
        <v>628</v>
      </c>
      <c r="CW1737" s="633"/>
      <c r="CX1737" s="664"/>
      <c r="CY1737" s="664"/>
      <c r="CZ1737" s="664"/>
      <c r="DA1737" s="664"/>
      <c r="DB1737" s="664"/>
      <c r="DC1737" s="664"/>
      <c r="DD1737" s="664"/>
      <c r="DE1737" s="630"/>
      <c r="DF1737" s="631"/>
      <c r="DG1737" s="655"/>
      <c r="DH1737" s="734" t="s">
        <v>0</v>
      </c>
      <c r="DI1737" s="735" t="s">
        <v>1690</v>
      </c>
      <c r="DJ1737" s="843" t="e">
        <f>#REF!</f>
        <v>#REF!</v>
      </c>
      <c r="DK1737" s="662" t="s">
        <v>799</v>
      </c>
      <c r="DL1737" s="663" t="s">
        <v>628</v>
      </c>
      <c r="DM1737" s="633"/>
      <c r="DN1737" s="664"/>
      <c r="DO1737" s="664"/>
      <c r="DP1737" s="664"/>
      <c r="DQ1737" s="664"/>
      <c r="DR1737" s="664"/>
      <c r="DS1737" s="664"/>
      <c r="DT1737" s="664"/>
      <c r="DU1737" s="630"/>
      <c r="DV1737" s="631"/>
      <c r="DW1737" s="655"/>
      <c r="DX1737" s="734" t="s">
        <v>0</v>
      </c>
      <c r="DY1737" s="735" t="s">
        <v>1690</v>
      </c>
      <c r="DZ1737" s="843" t="e">
        <f>#REF!</f>
        <v>#REF!</v>
      </c>
      <c r="EA1737" s="662" t="s">
        <v>799</v>
      </c>
      <c r="EB1737" s="663" t="s">
        <v>628</v>
      </c>
      <c r="EC1737" s="633"/>
      <c r="ED1737" s="664"/>
      <c r="EE1737" s="664"/>
      <c r="EF1737" s="664"/>
      <c r="EG1737" s="664"/>
      <c r="EH1737" s="664"/>
      <c r="EI1737" s="664"/>
      <c r="EJ1737" s="664"/>
      <c r="EK1737" s="630"/>
      <c r="EL1737" s="631"/>
      <c r="EM1737" s="655"/>
      <c r="EN1737" s="734" t="s">
        <v>0</v>
      </c>
      <c r="EO1737" s="735" t="s">
        <v>1690</v>
      </c>
      <c r="EP1737" s="843" t="e">
        <f>#REF!</f>
        <v>#REF!</v>
      </c>
      <c r="EQ1737" s="662" t="s">
        <v>799</v>
      </c>
      <c r="ER1737" s="663" t="s">
        <v>628</v>
      </c>
      <c r="ES1737" s="633"/>
      <c r="ET1737" s="664"/>
      <c r="EU1737" s="664"/>
      <c r="EV1737" s="664"/>
      <c r="EW1737" s="664"/>
      <c r="EX1737" s="664"/>
      <c r="EY1737" s="664"/>
      <c r="EZ1737" s="664"/>
      <c r="FA1737" s="630"/>
      <c r="FB1737" s="631"/>
      <c r="FC1737" s="655"/>
      <c r="FD1737" s="734" t="s">
        <v>0</v>
      </c>
      <c r="FE1737" s="735" t="s">
        <v>1690</v>
      </c>
      <c r="FF1737" s="843" t="e">
        <f>#REF!</f>
        <v>#REF!</v>
      </c>
      <c r="FG1737" s="662" t="s">
        <v>799</v>
      </c>
      <c r="FH1737" s="663" t="s">
        <v>628</v>
      </c>
      <c r="FI1737" s="633"/>
      <c r="FJ1737" s="664"/>
      <c r="FK1737" s="664"/>
      <c r="FL1737" s="664"/>
      <c r="FM1737" s="664"/>
      <c r="FN1737" s="664"/>
      <c r="FO1737" s="664"/>
      <c r="FP1737" s="664"/>
      <c r="FQ1737" s="630"/>
      <c r="FR1737" s="631"/>
      <c r="FS1737" s="655"/>
      <c r="FT1737" s="734" t="s">
        <v>0</v>
      </c>
      <c r="FU1737" s="735" t="s">
        <v>1690</v>
      </c>
      <c r="FV1737" s="843" t="e">
        <f>#REF!</f>
        <v>#REF!</v>
      </c>
      <c r="FW1737" s="662" t="s">
        <v>799</v>
      </c>
      <c r="FX1737" s="663" t="s">
        <v>628</v>
      </c>
      <c r="FY1737" s="633"/>
      <c r="FZ1737" s="664"/>
      <c r="GA1737" s="664"/>
      <c r="GB1737" s="664"/>
      <c r="GC1737" s="664"/>
      <c r="GD1737" s="664"/>
      <c r="GE1737" s="664"/>
      <c r="GF1737" s="664"/>
      <c r="GG1737" s="630"/>
      <c r="GH1737" s="631"/>
      <c r="GI1737" s="655"/>
      <c r="GJ1737" s="734" t="s">
        <v>0</v>
      </c>
      <c r="GK1737" s="735" t="s">
        <v>1690</v>
      </c>
      <c r="GL1737" s="843" t="e">
        <f>#REF!</f>
        <v>#REF!</v>
      </c>
      <c r="GM1737" s="662" t="s">
        <v>799</v>
      </c>
      <c r="GN1737" s="663" t="s">
        <v>628</v>
      </c>
      <c r="GO1737" s="633"/>
      <c r="GP1737" s="664"/>
      <c r="GQ1737" s="664"/>
      <c r="GR1737" s="664"/>
      <c r="GS1737" s="664"/>
      <c r="GT1737" s="664"/>
      <c r="GU1737" s="664"/>
      <c r="GV1737" s="664"/>
      <c r="GW1737" s="630"/>
      <c r="GX1737" s="631"/>
      <c r="GY1737" s="655"/>
      <c r="GZ1737" s="734" t="s">
        <v>0</v>
      </c>
      <c r="HA1737" s="735" t="s">
        <v>1690</v>
      </c>
      <c r="HB1737" s="843" t="e">
        <f>#REF!</f>
        <v>#REF!</v>
      </c>
      <c r="HC1737" s="662" t="s">
        <v>799</v>
      </c>
      <c r="HD1737" s="663" t="s">
        <v>628</v>
      </c>
      <c r="HE1737" s="633"/>
      <c r="HF1737" s="664"/>
      <c r="HG1737" s="664"/>
      <c r="HH1737" s="664"/>
      <c r="HI1737" s="664"/>
      <c r="HJ1737" s="664"/>
      <c r="HK1737" s="664"/>
      <c r="HL1737" s="664"/>
      <c r="HM1737" s="630"/>
      <c r="HN1737" s="631"/>
      <c r="HO1737" s="655"/>
      <c r="HP1737" s="734" t="s">
        <v>0</v>
      </c>
      <c r="HQ1737" s="735" t="s">
        <v>1690</v>
      </c>
      <c r="HR1737" s="843" t="e">
        <f>#REF!</f>
        <v>#REF!</v>
      </c>
      <c r="HS1737" s="662" t="s">
        <v>799</v>
      </c>
      <c r="HT1737" s="663" t="s">
        <v>628</v>
      </c>
      <c r="HU1737" s="633"/>
      <c r="HV1737" s="664"/>
      <c r="HW1737" s="664"/>
      <c r="HX1737" s="664"/>
      <c r="HY1737" s="664"/>
      <c r="HZ1737" s="664"/>
      <c r="IA1737" s="664"/>
      <c r="IB1737" s="664"/>
      <c r="IC1737" s="630"/>
      <c r="ID1737" s="631"/>
      <c r="IE1737" s="655"/>
      <c r="IF1737" s="734" t="s">
        <v>0</v>
      </c>
      <c r="IG1737" s="735" t="s">
        <v>1690</v>
      </c>
      <c r="IH1737" s="843" t="e">
        <f>#REF!</f>
        <v>#REF!</v>
      </c>
      <c r="II1737" s="662" t="s">
        <v>799</v>
      </c>
      <c r="IJ1737" s="663" t="s">
        <v>628</v>
      </c>
      <c r="IK1737" s="633"/>
      <c r="IL1737" s="664"/>
      <c r="IM1737" s="664"/>
      <c r="IN1737" s="664"/>
      <c r="IO1737" s="664"/>
      <c r="IP1737" s="664"/>
      <c r="IQ1737" s="664"/>
      <c r="IR1737" s="664"/>
      <c r="IS1737" s="630"/>
      <c r="IT1737" s="631"/>
      <c r="IU1737" s="655"/>
      <c r="IV1737" s="734" t="s">
        <v>0</v>
      </c>
      <c r="IW1737" s="735" t="s">
        <v>1690</v>
      </c>
      <c r="IX1737" s="843" t="e">
        <f>#REF!</f>
        <v>#REF!</v>
      </c>
      <c r="IY1737" s="662" t="s">
        <v>799</v>
      </c>
      <c r="IZ1737" s="663" t="s">
        <v>628</v>
      </c>
      <c r="JA1737" s="633"/>
      <c r="JB1737" s="664"/>
      <c r="JC1737" s="664"/>
      <c r="JD1737" s="664"/>
      <c r="JE1737" s="664"/>
      <c r="JF1737" s="664"/>
      <c r="JG1737" s="664"/>
      <c r="JH1737" s="664"/>
      <c r="JI1737" s="630"/>
      <c r="JJ1737" s="631"/>
      <c r="JK1737" s="655"/>
      <c r="JL1737" s="734" t="s">
        <v>0</v>
      </c>
      <c r="JM1737" s="735" t="s">
        <v>1690</v>
      </c>
      <c r="JN1737" s="843" t="e">
        <f>#REF!</f>
        <v>#REF!</v>
      </c>
      <c r="JO1737" s="662" t="s">
        <v>799</v>
      </c>
      <c r="JP1737" s="663" t="s">
        <v>628</v>
      </c>
      <c r="JQ1737" s="633"/>
      <c r="JR1737" s="664"/>
      <c r="JS1737" s="664"/>
      <c r="JT1737" s="664"/>
      <c r="JU1737" s="664"/>
      <c r="JV1737" s="664"/>
      <c r="JW1737" s="664"/>
      <c r="JX1737" s="664"/>
      <c r="JY1737" s="630"/>
      <c r="JZ1737" s="631"/>
      <c r="KA1737" s="655"/>
      <c r="KB1737" s="734" t="s">
        <v>0</v>
      </c>
      <c r="KC1737" s="735" t="s">
        <v>1690</v>
      </c>
      <c r="KD1737" s="843" t="e">
        <f>#REF!</f>
        <v>#REF!</v>
      </c>
      <c r="KE1737" s="662" t="s">
        <v>799</v>
      </c>
      <c r="KF1737" s="663" t="s">
        <v>628</v>
      </c>
      <c r="KG1737" s="633"/>
      <c r="KH1737" s="664"/>
      <c r="KI1737" s="664"/>
      <c r="KJ1737" s="664"/>
      <c r="KK1737" s="664"/>
      <c r="KL1737" s="664"/>
      <c r="KM1737" s="664"/>
      <c r="KN1737" s="664"/>
      <c r="KO1737" s="630"/>
      <c r="KP1737" s="631"/>
      <c r="KQ1737" s="655"/>
      <c r="KR1737" s="734" t="s">
        <v>0</v>
      </c>
      <c r="KS1737" s="735" t="s">
        <v>1690</v>
      </c>
      <c r="KT1737" s="843" t="e">
        <f>#REF!</f>
        <v>#REF!</v>
      </c>
      <c r="KU1737" s="662" t="s">
        <v>799</v>
      </c>
      <c r="KV1737" s="663" t="s">
        <v>628</v>
      </c>
      <c r="KW1737" s="633"/>
      <c r="KX1737" s="664"/>
      <c r="KY1737" s="664"/>
      <c r="KZ1737" s="664"/>
      <c r="LA1737" s="664"/>
      <c r="LB1737" s="664"/>
      <c r="LC1737" s="664"/>
      <c r="LD1737" s="664"/>
      <c r="LE1737" s="630"/>
      <c r="LF1737" s="631"/>
      <c r="LG1737" s="655"/>
      <c r="LH1737" s="734" t="s">
        <v>0</v>
      </c>
      <c r="LI1737" s="735" t="s">
        <v>1690</v>
      </c>
      <c r="LJ1737" s="843" t="e">
        <f>#REF!</f>
        <v>#REF!</v>
      </c>
      <c r="LK1737" s="662" t="s">
        <v>799</v>
      </c>
      <c r="LL1737" s="663" t="s">
        <v>628</v>
      </c>
      <c r="LM1737" s="633"/>
      <c r="LN1737" s="664"/>
      <c r="LO1737" s="664"/>
      <c r="LP1737" s="664"/>
      <c r="LQ1737" s="664"/>
      <c r="LR1737" s="664"/>
      <c r="LS1737" s="664"/>
      <c r="LT1737" s="664"/>
      <c r="LU1737" s="630"/>
      <c r="LV1737" s="631"/>
      <c r="LW1737" s="655"/>
      <c r="LX1737" s="734" t="s">
        <v>0</v>
      </c>
      <c r="LY1737" s="735" t="s">
        <v>1690</v>
      </c>
      <c r="LZ1737" s="843" t="e">
        <f>#REF!</f>
        <v>#REF!</v>
      </c>
      <c r="MA1737" s="662" t="s">
        <v>799</v>
      </c>
      <c r="MB1737" s="663" t="s">
        <v>628</v>
      </c>
      <c r="MC1737" s="633"/>
      <c r="MD1737" s="664"/>
      <c r="ME1737" s="664"/>
      <c r="MF1737" s="664"/>
      <c r="MG1737" s="664"/>
      <c r="MH1737" s="664"/>
      <c r="MI1737" s="664"/>
      <c r="MJ1737" s="664"/>
      <c r="MK1737" s="630"/>
      <c r="ML1737" s="631"/>
      <c r="MM1737" s="655"/>
      <c r="MN1737" s="734" t="s">
        <v>0</v>
      </c>
      <c r="MO1737" s="735" t="s">
        <v>1690</v>
      </c>
      <c r="MP1737" s="843" t="e">
        <f>#REF!</f>
        <v>#REF!</v>
      </c>
      <c r="MQ1737" s="662" t="s">
        <v>799</v>
      </c>
      <c r="MR1737" s="663" t="s">
        <v>628</v>
      </c>
      <c r="MS1737" s="633"/>
      <c r="MT1737" s="664"/>
      <c r="MU1737" s="664"/>
      <c r="MV1737" s="664"/>
      <c r="MW1737" s="664"/>
      <c r="MX1737" s="664"/>
      <c r="MY1737" s="664"/>
      <c r="MZ1737" s="664"/>
      <c r="NA1737" s="630"/>
      <c r="NB1737" s="631"/>
      <c r="NC1737" s="655"/>
      <c r="ND1737" s="734" t="s">
        <v>0</v>
      </c>
      <c r="NE1737" s="735" t="s">
        <v>1690</v>
      </c>
      <c r="NF1737" s="843" t="e">
        <f>#REF!</f>
        <v>#REF!</v>
      </c>
      <c r="NG1737" s="662" t="s">
        <v>799</v>
      </c>
      <c r="NH1737" s="663" t="s">
        <v>628</v>
      </c>
      <c r="NI1737" s="633"/>
      <c r="NJ1737" s="664"/>
      <c r="NK1737" s="664"/>
      <c r="NL1737" s="664"/>
      <c r="NM1737" s="664"/>
      <c r="NN1737" s="664"/>
      <c r="NO1737" s="664"/>
      <c r="NP1737" s="664"/>
      <c r="NQ1737" s="630"/>
      <c r="NR1737" s="631"/>
      <c r="NS1737" s="655"/>
      <c r="NT1737" s="734" t="s">
        <v>0</v>
      </c>
      <c r="NU1737" s="735" t="s">
        <v>1690</v>
      </c>
      <c r="NV1737" s="843" t="e">
        <f>#REF!</f>
        <v>#REF!</v>
      </c>
      <c r="NW1737" s="662" t="s">
        <v>799</v>
      </c>
      <c r="NX1737" s="663" t="s">
        <v>628</v>
      </c>
      <c r="NY1737" s="633"/>
      <c r="NZ1737" s="664"/>
      <c r="OA1737" s="664"/>
      <c r="OB1737" s="664"/>
      <c r="OC1737" s="664"/>
      <c r="OD1737" s="664"/>
      <c r="OE1737" s="664"/>
      <c r="OF1737" s="664"/>
      <c r="OG1737" s="630"/>
      <c r="OH1737" s="631"/>
      <c r="OI1737" s="655"/>
      <c r="OJ1737" s="734" t="s">
        <v>0</v>
      </c>
      <c r="OK1737" s="735" t="s">
        <v>1690</v>
      </c>
      <c r="OL1737" s="843" t="e">
        <f>#REF!</f>
        <v>#REF!</v>
      </c>
      <c r="OM1737" s="662" t="s">
        <v>799</v>
      </c>
      <c r="ON1737" s="663" t="s">
        <v>628</v>
      </c>
      <c r="OO1737" s="633"/>
      <c r="OP1737" s="664"/>
      <c r="OQ1737" s="664"/>
      <c r="OR1737" s="664"/>
      <c r="OS1737" s="664"/>
      <c r="OT1737" s="664"/>
      <c r="OU1737" s="664"/>
      <c r="OV1737" s="664"/>
      <c r="OW1737" s="630"/>
      <c r="OX1737" s="631"/>
      <c r="OY1737" s="655"/>
      <c r="OZ1737" s="734" t="s">
        <v>0</v>
      </c>
      <c r="PA1737" s="735" t="s">
        <v>1690</v>
      </c>
      <c r="PB1737" s="843" t="e">
        <f>#REF!</f>
        <v>#REF!</v>
      </c>
      <c r="PC1737" s="662" t="s">
        <v>799</v>
      </c>
      <c r="PD1737" s="663" t="s">
        <v>628</v>
      </c>
      <c r="PE1737" s="633"/>
      <c r="PF1737" s="664"/>
      <c r="PG1737" s="664"/>
      <c r="PH1737" s="664"/>
      <c r="PI1737" s="664"/>
      <c r="PJ1737" s="664"/>
      <c r="PK1737" s="664"/>
      <c r="PL1737" s="664"/>
      <c r="PM1737" s="630"/>
      <c r="PN1737" s="631"/>
      <c r="PO1737" s="655"/>
      <c r="PP1737" s="734" t="s">
        <v>0</v>
      </c>
      <c r="PQ1737" s="735" t="s">
        <v>1690</v>
      </c>
      <c r="PR1737" s="843" t="e">
        <f>#REF!</f>
        <v>#REF!</v>
      </c>
      <c r="PS1737" s="662" t="s">
        <v>799</v>
      </c>
      <c r="PT1737" s="663" t="s">
        <v>628</v>
      </c>
      <c r="PU1737" s="633"/>
      <c r="PV1737" s="664"/>
      <c r="PW1737" s="664"/>
      <c r="PX1737" s="664"/>
      <c r="PY1737" s="664"/>
      <c r="PZ1737" s="664"/>
      <c r="QA1737" s="664"/>
      <c r="QB1737" s="664"/>
      <c r="QC1737" s="630"/>
      <c r="QD1737" s="631"/>
      <c r="QE1737" s="655"/>
      <c r="QF1737" s="734" t="s">
        <v>0</v>
      </c>
      <c r="QG1737" s="735" t="s">
        <v>1690</v>
      </c>
      <c r="QH1737" s="843" t="e">
        <f>#REF!</f>
        <v>#REF!</v>
      </c>
      <c r="QI1737" s="662" t="s">
        <v>799</v>
      </c>
      <c r="QJ1737" s="663" t="s">
        <v>628</v>
      </c>
      <c r="QK1737" s="633"/>
      <c r="QL1737" s="664"/>
      <c r="QM1737" s="664"/>
      <c r="QN1737" s="664"/>
      <c r="QO1737" s="664"/>
      <c r="QP1737" s="664"/>
      <c r="QQ1737" s="664"/>
      <c r="QR1737" s="664"/>
      <c r="QS1737" s="630"/>
      <c r="QT1737" s="631"/>
      <c r="QU1737" s="655"/>
      <c r="QV1737" s="734" t="s">
        <v>0</v>
      </c>
      <c r="QW1737" s="735" t="s">
        <v>1690</v>
      </c>
      <c r="QX1737" s="843" t="e">
        <f>#REF!</f>
        <v>#REF!</v>
      </c>
      <c r="QY1737" s="662" t="s">
        <v>799</v>
      </c>
      <c r="QZ1737" s="663" t="s">
        <v>628</v>
      </c>
      <c r="RA1737" s="633"/>
      <c r="RB1737" s="664"/>
      <c r="RC1737" s="664"/>
      <c r="RD1737" s="664"/>
      <c r="RE1737" s="664"/>
      <c r="RF1737" s="664"/>
      <c r="RG1737" s="664"/>
      <c r="RH1737" s="664"/>
      <c r="RI1737" s="630"/>
      <c r="RJ1737" s="631"/>
      <c r="RK1737" s="655"/>
      <c r="RL1737" s="734" t="s">
        <v>0</v>
      </c>
      <c r="RM1737" s="735" t="s">
        <v>1690</v>
      </c>
      <c r="RN1737" s="843" t="e">
        <f>#REF!</f>
        <v>#REF!</v>
      </c>
      <c r="RO1737" s="662" t="s">
        <v>799</v>
      </c>
      <c r="RP1737" s="663" t="s">
        <v>628</v>
      </c>
      <c r="RQ1737" s="633"/>
      <c r="RR1737" s="664"/>
      <c r="RS1737" s="664"/>
      <c r="RT1737" s="664"/>
      <c r="RU1737" s="664"/>
      <c r="RV1737" s="664"/>
      <c r="RW1737" s="664"/>
      <c r="RX1737" s="664"/>
      <c r="RY1737" s="630"/>
      <c r="RZ1737" s="631"/>
      <c r="SA1737" s="655"/>
      <c r="SB1737" s="734" t="s">
        <v>0</v>
      </c>
      <c r="SC1737" s="735" t="s">
        <v>1690</v>
      </c>
      <c r="SD1737" s="843" t="e">
        <f>#REF!</f>
        <v>#REF!</v>
      </c>
      <c r="SE1737" s="662" t="s">
        <v>799</v>
      </c>
      <c r="SF1737" s="663" t="s">
        <v>628</v>
      </c>
      <c r="SG1737" s="633"/>
      <c r="SH1737" s="664"/>
      <c r="SI1737" s="664"/>
      <c r="SJ1737" s="664"/>
      <c r="SK1737" s="664"/>
      <c r="SL1737" s="664"/>
      <c r="SM1737" s="664"/>
      <c r="SN1737" s="664"/>
      <c r="SO1737" s="630"/>
      <c r="SP1737" s="631"/>
      <c r="SQ1737" s="655"/>
      <c r="SR1737" s="734" t="s">
        <v>0</v>
      </c>
      <c r="SS1737" s="735" t="s">
        <v>1690</v>
      </c>
      <c r="ST1737" s="843" t="e">
        <f>#REF!</f>
        <v>#REF!</v>
      </c>
      <c r="SU1737" s="662" t="s">
        <v>799</v>
      </c>
      <c r="SV1737" s="663" t="s">
        <v>628</v>
      </c>
      <c r="SW1737" s="633"/>
      <c r="SX1737" s="664"/>
      <c r="SY1737" s="664"/>
      <c r="SZ1737" s="664"/>
      <c r="TA1737" s="664"/>
      <c r="TB1737" s="664"/>
      <c r="TC1737" s="664"/>
      <c r="TD1737" s="664"/>
      <c r="TE1737" s="630"/>
      <c r="TF1737" s="631"/>
      <c r="TG1737" s="655"/>
      <c r="TH1737" s="734" t="s">
        <v>0</v>
      </c>
      <c r="TI1737" s="735" t="s">
        <v>1690</v>
      </c>
      <c r="TJ1737" s="843" t="e">
        <f>#REF!</f>
        <v>#REF!</v>
      </c>
      <c r="TK1737" s="662" t="s">
        <v>799</v>
      </c>
      <c r="TL1737" s="663" t="s">
        <v>628</v>
      </c>
      <c r="TM1737" s="633"/>
      <c r="TN1737" s="664"/>
      <c r="TO1737" s="664"/>
      <c r="TP1737" s="664"/>
      <c r="TQ1737" s="664"/>
      <c r="TR1737" s="664"/>
      <c r="TS1737" s="664"/>
      <c r="TT1737" s="664"/>
      <c r="TU1737" s="630"/>
      <c r="TV1737" s="631"/>
      <c r="TW1737" s="655"/>
      <c r="TX1737" s="734" t="s">
        <v>0</v>
      </c>
      <c r="TY1737" s="735" t="s">
        <v>1690</v>
      </c>
      <c r="TZ1737" s="843" t="e">
        <f>#REF!</f>
        <v>#REF!</v>
      </c>
      <c r="UA1737" s="662" t="s">
        <v>799</v>
      </c>
      <c r="UB1737" s="663" t="s">
        <v>628</v>
      </c>
      <c r="UC1737" s="633"/>
      <c r="UD1737" s="664"/>
      <c r="UE1737" s="664"/>
      <c r="UF1737" s="664"/>
      <c r="UG1737" s="664"/>
      <c r="UH1737" s="664"/>
      <c r="UI1737" s="664"/>
      <c r="UJ1737" s="664"/>
      <c r="UK1737" s="630"/>
      <c r="UL1737" s="631"/>
      <c r="UM1737" s="655"/>
      <c r="UN1737" s="734" t="s">
        <v>0</v>
      </c>
      <c r="UO1737" s="735" t="s">
        <v>1690</v>
      </c>
      <c r="UP1737" s="843" t="e">
        <f>#REF!</f>
        <v>#REF!</v>
      </c>
      <c r="UQ1737" s="662" t="s">
        <v>799</v>
      </c>
      <c r="UR1737" s="663" t="s">
        <v>628</v>
      </c>
      <c r="US1737" s="633"/>
      <c r="UT1737" s="664"/>
      <c r="UU1737" s="664"/>
      <c r="UV1737" s="664"/>
      <c r="UW1737" s="664"/>
      <c r="UX1737" s="664"/>
      <c r="UY1737" s="664"/>
      <c r="UZ1737" s="664"/>
      <c r="VA1737" s="630"/>
      <c r="VB1737" s="631"/>
      <c r="VC1737" s="655"/>
      <c r="VD1737" s="734" t="s">
        <v>0</v>
      </c>
      <c r="VE1737" s="735" t="s">
        <v>1690</v>
      </c>
      <c r="VF1737" s="843" t="e">
        <f>#REF!</f>
        <v>#REF!</v>
      </c>
      <c r="VG1737" s="662" t="s">
        <v>799</v>
      </c>
      <c r="VH1737" s="663" t="s">
        <v>628</v>
      </c>
      <c r="VI1737" s="633"/>
      <c r="VJ1737" s="664"/>
      <c r="VK1737" s="664"/>
      <c r="VL1737" s="664"/>
      <c r="VM1737" s="664"/>
      <c r="VN1737" s="664"/>
      <c r="VO1737" s="664"/>
      <c r="VP1737" s="664"/>
      <c r="VQ1737" s="630"/>
      <c r="VR1737" s="631"/>
      <c r="VS1737" s="655"/>
      <c r="VT1737" s="734" t="s">
        <v>0</v>
      </c>
      <c r="VU1737" s="735" t="s">
        <v>1690</v>
      </c>
      <c r="VV1737" s="843" t="e">
        <f>#REF!</f>
        <v>#REF!</v>
      </c>
      <c r="VW1737" s="662" t="s">
        <v>799</v>
      </c>
      <c r="VX1737" s="663" t="s">
        <v>628</v>
      </c>
      <c r="VY1737" s="633"/>
      <c r="VZ1737" s="664"/>
      <c r="WA1737" s="664"/>
      <c r="WB1737" s="664"/>
      <c r="WC1737" s="664"/>
      <c r="WD1737" s="664"/>
      <c r="WE1737" s="664"/>
      <c r="WF1737" s="664"/>
      <c r="WG1737" s="630"/>
      <c r="WH1737" s="631"/>
      <c r="WI1737" s="655"/>
      <c r="WJ1737" s="734" t="s">
        <v>0</v>
      </c>
      <c r="WK1737" s="735" t="s">
        <v>1690</v>
      </c>
      <c r="WL1737" s="843" t="e">
        <f>#REF!</f>
        <v>#REF!</v>
      </c>
      <c r="WM1737" s="662" t="s">
        <v>799</v>
      </c>
      <c r="WN1737" s="663" t="s">
        <v>628</v>
      </c>
      <c r="WO1737" s="633"/>
      <c r="WP1737" s="664"/>
      <c r="WQ1737" s="664"/>
      <c r="WR1737" s="664"/>
      <c r="WS1737" s="664"/>
      <c r="WT1737" s="664"/>
      <c r="WU1737" s="664"/>
      <c r="WV1737" s="664"/>
      <c r="WW1737" s="630"/>
      <c r="WX1737" s="631"/>
      <c r="WY1737" s="655"/>
      <c r="WZ1737" s="734" t="s">
        <v>0</v>
      </c>
      <c r="XA1737" s="735" t="s">
        <v>1690</v>
      </c>
      <c r="XB1737" s="843" t="e">
        <f>#REF!</f>
        <v>#REF!</v>
      </c>
      <c r="XC1737" s="662" t="s">
        <v>799</v>
      </c>
      <c r="XD1737" s="663" t="s">
        <v>628</v>
      </c>
      <c r="XE1737" s="633"/>
      <c r="XF1737" s="664"/>
      <c r="XG1737" s="664"/>
      <c r="XH1737" s="664"/>
      <c r="XI1737" s="664"/>
      <c r="XJ1737" s="664"/>
      <c r="XK1737" s="664"/>
      <c r="XL1737" s="664"/>
      <c r="XM1737" s="630"/>
      <c r="XN1737" s="631"/>
      <c r="XO1737" s="655"/>
      <c r="XP1737" s="734" t="s">
        <v>0</v>
      </c>
      <c r="XQ1737" s="735" t="s">
        <v>1690</v>
      </c>
      <c r="XR1737" s="843" t="e">
        <f>#REF!</f>
        <v>#REF!</v>
      </c>
      <c r="XS1737" s="662" t="s">
        <v>799</v>
      </c>
      <c r="XT1737" s="663" t="s">
        <v>628</v>
      </c>
      <c r="XU1737" s="633"/>
      <c r="XV1737" s="664"/>
      <c r="XW1737" s="664"/>
      <c r="XX1737" s="664"/>
      <c r="XY1737" s="664"/>
      <c r="XZ1737" s="664"/>
      <c r="YA1737" s="664"/>
      <c r="YB1737" s="664"/>
      <c r="YC1737" s="630"/>
      <c r="YD1737" s="631"/>
      <c r="YE1737" s="655"/>
      <c r="YF1737" s="734" t="s">
        <v>0</v>
      </c>
      <c r="YG1737" s="735" t="s">
        <v>1690</v>
      </c>
      <c r="YH1737" s="843" t="e">
        <f>#REF!</f>
        <v>#REF!</v>
      </c>
      <c r="YI1737" s="662" t="s">
        <v>799</v>
      </c>
      <c r="YJ1737" s="663" t="s">
        <v>628</v>
      </c>
      <c r="YK1737" s="633"/>
      <c r="YL1737" s="664"/>
      <c r="YM1737" s="664"/>
      <c r="YN1737" s="664"/>
      <c r="YO1737" s="664"/>
      <c r="YP1737" s="664"/>
      <c r="YQ1737" s="664"/>
      <c r="YR1737" s="664"/>
      <c r="YS1737" s="630"/>
      <c r="YT1737" s="631"/>
      <c r="YU1737" s="655"/>
      <c r="YV1737" s="734" t="s">
        <v>0</v>
      </c>
      <c r="YW1737" s="735" t="s">
        <v>1690</v>
      </c>
      <c r="YX1737" s="843" t="e">
        <f>#REF!</f>
        <v>#REF!</v>
      </c>
      <c r="YY1737" s="662" t="s">
        <v>799</v>
      </c>
      <c r="YZ1737" s="663" t="s">
        <v>628</v>
      </c>
      <c r="ZA1737" s="633"/>
      <c r="ZB1737" s="664"/>
      <c r="ZC1737" s="664"/>
      <c r="ZD1737" s="664"/>
      <c r="ZE1737" s="664"/>
      <c r="ZF1737" s="664"/>
      <c r="ZG1737" s="664"/>
      <c r="ZH1737" s="664"/>
      <c r="ZI1737" s="630"/>
      <c r="ZJ1737" s="631"/>
      <c r="ZK1737" s="655"/>
      <c r="ZL1737" s="734" t="s">
        <v>0</v>
      </c>
      <c r="ZM1737" s="735" t="s">
        <v>1690</v>
      </c>
      <c r="ZN1737" s="843" t="e">
        <f>#REF!</f>
        <v>#REF!</v>
      </c>
      <c r="ZO1737" s="662" t="s">
        <v>799</v>
      </c>
      <c r="ZP1737" s="663" t="s">
        <v>628</v>
      </c>
      <c r="ZQ1737" s="633"/>
      <c r="ZR1737" s="664"/>
      <c r="ZS1737" s="664"/>
      <c r="ZT1737" s="664"/>
      <c r="ZU1737" s="664"/>
      <c r="ZV1737" s="664"/>
      <c r="ZW1737" s="664"/>
      <c r="ZX1737" s="664"/>
      <c r="ZY1737" s="630"/>
      <c r="ZZ1737" s="631"/>
      <c r="AAA1737" s="655"/>
      <c r="AAB1737" s="734" t="s">
        <v>0</v>
      </c>
      <c r="AAC1737" s="735" t="s">
        <v>1690</v>
      </c>
      <c r="AAD1737" s="843" t="e">
        <f>#REF!</f>
        <v>#REF!</v>
      </c>
      <c r="AAE1737" s="662" t="s">
        <v>799</v>
      </c>
      <c r="AAF1737" s="663" t="s">
        <v>628</v>
      </c>
      <c r="AAG1737" s="633"/>
      <c r="AAH1737" s="664"/>
      <c r="AAI1737" s="664"/>
      <c r="AAJ1737" s="664"/>
      <c r="AAK1737" s="664"/>
      <c r="AAL1737" s="664"/>
      <c r="AAM1737" s="664"/>
      <c r="AAN1737" s="664"/>
      <c r="AAO1737" s="630"/>
      <c r="AAP1737" s="631"/>
      <c r="AAQ1737" s="655"/>
      <c r="AAR1737" s="734" t="s">
        <v>0</v>
      </c>
      <c r="AAS1737" s="735" t="s">
        <v>1690</v>
      </c>
      <c r="AAT1737" s="843" t="e">
        <f>#REF!</f>
        <v>#REF!</v>
      </c>
      <c r="AAU1737" s="662" t="s">
        <v>799</v>
      </c>
      <c r="AAV1737" s="663" t="s">
        <v>628</v>
      </c>
      <c r="AAW1737" s="633"/>
      <c r="AAX1737" s="664"/>
      <c r="AAY1737" s="664"/>
      <c r="AAZ1737" s="664"/>
      <c r="ABA1737" s="664"/>
      <c r="ABB1737" s="664"/>
      <c r="ABC1737" s="664"/>
      <c r="ABD1737" s="664"/>
      <c r="ABE1737" s="630"/>
      <c r="ABF1737" s="631"/>
      <c r="ABG1737" s="655"/>
      <c r="ABH1737" s="734" t="s">
        <v>0</v>
      </c>
      <c r="ABI1737" s="735" t="s">
        <v>1690</v>
      </c>
      <c r="ABJ1737" s="843" t="e">
        <f>#REF!</f>
        <v>#REF!</v>
      </c>
      <c r="ABK1737" s="662" t="s">
        <v>799</v>
      </c>
      <c r="ABL1737" s="663" t="s">
        <v>628</v>
      </c>
      <c r="ABM1737" s="633"/>
      <c r="ABN1737" s="664"/>
      <c r="ABO1737" s="664"/>
      <c r="ABP1737" s="664"/>
      <c r="ABQ1737" s="664"/>
      <c r="ABR1737" s="664"/>
      <c r="ABS1737" s="664"/>
      <c r="ABT1737" s="664"/>
      <c r="ABU1737" s="630"/>
      <c r="ABV1737" s="631"/>
      <c r="ABW1737" s="655"/>
      <c r="ABX1737" s="734" t="s">
        <v>0</v>
      </c>
      <c r="ABY1737" s="735" t="s">
        <v>1690</v>
      </c>
      <c r="ABZ1737" s="843" t="e">
        <f>#REF!</f>
        <v>#REF!</v>
      </c>
      <c r="ACA1737" s="662" t="s">
        <v>799</v>
      </c>
      <c r="ACB1737" s="663" t="s">
        <v>628</v>
      </c>
      <c r="ACC1737" s="633"/>
      <c r="ACD1737" s="664"/>
      <c r="ACE1737" s="664"/>
      <c r="ACF1737" s="664"/>
      <c r="ACG1737" s="664"/>
      <c r="ACH1737" s="664"/>
      <c r="ACI1737" s="664"/>
      <c r="ACJ1737" s="664"/>
      <c r="ACK1737" s="630"/>
      <c r="ACL1737" s="631"/>
      <c r="ACM1737" s="655"/>
      <c r="ACN1737" s="734" t="s">
        <v>0</v>
      </c>
      <c r="ACO1737" s="735" t="s">
        <v>1690</v>
      </c>
      <c r="ACP1737" s="843" t="e">
        <f>#REF!</f>
        <v>#REF!</v>
      </c>
      <c r="ACQ1737" s="662" t="s">
        <v>799</v>
      </c>
      <c r="ACR1737" s="663" t="s">
        <v>628</v>
      </c>
      <c r="ACS1737" s="633"/>
      <c r="ACT1737" s="664"/>
      <c r="ACU1737" s="664"/>
      <c r="ACV1737" s="664"/>
      <c r="ACW1737" s="664"/>
      <c r="ACX1737" s="664"/>
      <c r="ACY1737" s="664"/>
      <c r="ACZ1737" s="664"/>
      <c r="ADA1737" s="630"/>
      <c r="ADB1737" s="631"/>
      <c r="ADC1737" s="655"/>
      <c r="ADD1737" s="734" t="s">
        <v>0</v>
      </c>
      <c r="ADE1737" s="735" t="s">
        <v>1690</v>
      </c>
      <c r="ADF1737" s="843" t="e">
        <f>#REF!</f>
        <v>#REF!</v>
      </c>
      <c r="ADG1737" s="662" t="s">
        <v>799</v>
      </c>
      <c r="ADH1737" s="663" t="s">
        <v>628</v>
      </c>
      <c r="ADI1737" s="633"/>
      <c r="ADJ1737" s="664"/>
      <c r="ADK1737" s="664"/>
      <c r="ADL1737" s="664"/>
      <c r="ADM1737" s="664"/>
      <c r="ADN1737" s="664"/>
      <c r="ADO1737" s="664"/>
      <c r="ADP1737" s="664"/>
      <c r="ADQ1737" s="630"/>
      <c r="ADR1737" s="631"/>
      <c r="ADS1737" s="655"/>
      <c r="ADT1737" s="734" t="s">
        <v>0</v>
      </c>
      <c r="ADU1737" s="735" t="s">
        <v>1690</v>
      </c>
      <c r="ADV1737" s="843" t="e">
        <f>#REF!</f>
        <v>#REF!</v>
      </c>
      <c r="ADW1737" s="662" t="s">
        <v>799</v>
      </c>
      <c r="ADX1737" s="663" t="s">
        <v>628</v>
      </c>
      <c r="ADY1737" s="633"/>
      <c r="ADZ1737" s="664"/>
      <c r="AEA1737" s="664"/>
      <c r="AEB1737" s="664"/>
      <c r="AEC1737" s="664"/>
      <c r="AED1737" s="664"/>
      <c r="AEE1737" s="664"/>
      <c r="AEF1737" s="664"/>
      <c r="AEG1737" s="630"/>
      <c r="AEH1737" s="631"/>
      <c r="AEI1737" s="655"/>
      <c r="AEJ1737" s="734" t="s">
        <v>0</v>
      </c>
      <c r="AEK1737" s="735" t="s">
        <v>1690</v>
      </c>
      <c r="AEL1737" s="843" t="e">
        <f>#REF!</f>
        <v>#REF!</v>
      </c>
      <c r="AEM1737" s="662" t="s">
        <v>799</v>
      </c>
      <c r="AEN1737" s="663" t="s">
        <v>628</v>
      </c>
      <c r="AEO1737" s="633"/>
      <c r="AEP1737" s="664"/>
      <c r="AEQ1737" s="664"/>
      <c r="AER1737" s="664"/>
      <c r="AES1737" s="664"/>
      <c r="AET1737" s="664"/>
      <c r="AEU1737" s="664"/>
      <c r="AEV1737" s="664"/>
      <c r="AEW1737" s="630"/>
      <c r="AEX1737" s="631"/>
      <c r="AEY1737" s="655"/>
      <c r="AEZ1737" s="734" t="s">
        <v>0</v>
      </c>
      <c r="AFA1737" s="735" t="s">
        <v>1690</v>
      </c>
      <c r="AFB1737" s="843" t="e">
        <f>#REF!</f>
        <v>#REF!</v>
      </c>
      <c r="AFC1737" s="662" t="s">
        <v>799</v>
      </c>
      <c r="AFD1737" s="663" t="s">
        <v>628</v>
      </c>
      <c r="AFE1737" s="633"/>
      <c r="AFF1737" s="664"/>
      <c r="AFG1737" s="664"/>
      <c r="AFH1737" s="664"/>
      <c r="AFI1737" s="664"/>
      <c r="AFJ1737" s="664"/>
      <c r="AFK1737" s="664"/>
      <c r="AFL1737" s="664"/>
      <c r="AFM1737" s="630"/>
      <c r="AFN1737" s="631"/>
      <c r="AFO1737" s="655"/>
      <c r="AFP1737" s="734" t="s">
        <v>0</v>
      </c>
      <c r="AFQ1737" s="735" t="s">
        <v>1690</v>
      </c>
      <c r="AFR1737" s="843" t="e">
        <f>#REF!</f>
        <v>#REF!</v>
      </c>
      <c r="AFS1737" s="662" t="s">
        <v>799</v>
      </c>
      <c r="AFT1737" s="663" t="s">
        <v>628</v>
      </c>
      <c r="AFU1737" s="633"/>
      <c r="AFV1737" s="664"/>
      <c r="AFW1737" s="664"/>
      <c r="AFX1737" s="664"/>
      <c r="AFY1737" s="664"/>
      <c r="AFZ1737" s="664"/>
      <c r="AGA1737" s="664"/>
      <c r="AGB1737" s="664"/>
      <c r="AGC1737" s="630"/>
      <c r="AGD1737" s="631"/>
      <c r="AGE1737" s="655"/>
      <c r="AGF1737" s="734" t="s">
        <v>0</v>
      </c>
      <c r="AGG1737" s="735" t="s">
        <v>1690</v>
      </c>
      <c r="AGH1737" s="843" t="e">
        <f>#REF!</f>
        <v>#REF!</v>
      </c>
      <c r="AGI1737" s="662" t="s">
        <v>799</v>
      </c>
      <c r="AGJ1737" s="663" t="s">
        <v>628</v>
      </c>
      <c r="AGK1737" s="633"/>
      <c r="AGL1737" s="664"/>
      <c r="AGM1737" s="664"/>
      <c r="AGN1737" s="664"/>
      <c r="AGO1737" s="664"/>
      <c r="AGP1737" s="664"/>
      <c r="AGQ1737" s="664"/>
      <c r="AGR1737" s="664"/>
      <c r="AGS1737" s="630"/>
      <c r="AGT1737" s="631"/>
      <c r="AGU1737" s="655"/>
      <c r="AGV1737" s="734" t="s">
        <v>0</v>
      </c>
      <c r="AGW1737" s="735" t="s">
        <v>1690</v>
      </c>
      <c r="AGX1737" s="843" t="e">
        <f>#REF!</f>
        <v>#REF!</v>
      </c>
      <c r="AGY1737" s="662" t="s">
        <v>799</v>
      </c>
      <c r="AGZ1737" s="663" t="s">
        <v>628</v>
      </c>
      <c r="AHA1737" s="633"/>
      <c r="AHB1737" s="664"/>
      <c r="AHC1737" s="664"/>
      <c r="AHD1737" s="664"/>
      <c r="AHE1737" s="664"/>
      <c r="AHF1737" s="664"/>
      <c r="AHG1737" s="664"/>
      <c r="AHH1737" s="664"/>
      <c r="AHI1737" s="630"/>
      <c r="AHJ1737" s="631"/>
      <c r="AHK1737" s="655"/>
      <c r="AHL1737" s="734" t="s">
        <v>0</v>
      </c>
      <c r="AHM1737" s="735" t="s">
        <v>1690</v>
      </c>
      <c r="AHN1737" s="843" t="e">
        <f>#REF!</f>
        <v>#REF!</v>
      </c>
      <c r="AHO1737" s="662" t="s">
        <v>799</v>
      </c>
      <c r="AHP1737" s="663" t="s">
        <v>628</v>
      </c>
      <c r="AHQ1737" s="633"/>
      <c r="AHR1737" s="664"/>
      <c r="AHS1737" s="664"/>
      <c r="AHT1737" s="664"/>
      <c r="AHU1737" s="664"/>
      <c r="AHV1737" s="664"/>
      <c r="AHW1737" s="664"/>
      <c r="AHX1737" s="664"/>
      <c r="AHY1737" s="630"/>
      <c r="AHZ1737" s="631"/>
      <c r="AIA1737" s="655"/>
      <c r="AIB1737" s="734" t="s">
        <v>0</v>
      </c>
      <c r="AIC1737" s="735" t="s">
        <v>1690</v>
      </c>
      <c r="AID1737" s="843" t="e">
        <f>#REF!</f>
        <v>#REF!</v>
      </c>
      <c r="AIE1737" s="662" t="s">
        <v>799</v>
      </c>
      <c r="AIF1737" s="663" t="s">
        <v>628</v>
      </c>
      <c r="AIG1737" s="633"/>
      <c r="AIH1737" s="664"/>
      <c r="AII1737" s="664"/>
      <c r="AIJ1737" s="664"/>
      <c r="AIK1737" s="664"/>
      <c r="AIL1737" s="664"/>
      <c r="AIM1737" s="664"/>
      <c r="AIN1737" s="664"/>
      <c r="AIO1737" s="630"/>
      <c r="AIP1737" s="631"/>
      <c r="AIQ1737" s="655"/>
      <c r="AIR1737" s="734" t="s">
        <v>0</v>
      </c>
      <c r="AIS1737" s="735" t="s">
        <v>1690</v>
      </c>
      <c r="AIT1737" s="843" t="e">
        <f>#REF!</f>
        <v>#REF!</v>
      </c>
      <c r="AIU1737" s="662" t="s">
        <v>799</v>
      </c>
      <c r="AIV1737" s="663" t="s">
        <v>628</v>
      </c>
      <c r="AIW1737" s="633"/>
      <c r="AIX1737" s="664"/>
      <c r="AIY1737" s="664"/>
      <c r="AIZ1737" s="664"/>
      <c r="AJA1737" s="664"/>
      <c r="AJB1737" s="664"/>
      <c r="AJC1737" s="664"/>
      <c r="AJD1737" s="664"/>
      <c r="AJE1737" s="630"/>
      <c r="AJF1737" s="631"/>
      <c r="AJG1737" s="655"/>
      <c r="AJH1737" s="734" t="s">
        <v>0</v>
      </c>
      <c r="AJI1737" s="735" t="s">
        <v>1690</v>
      </c>
      <c r="AJJ1737" s="843" t="e">
        <f>#REF!</f>
        <v>#REF!</v>
      </c>
      <c r="AJK1737" s="662" t="s">
        <v>799</v>
      </c>
      <c r="AJL1737" s="663" t="s">
        <v>628</v>
      </c>
      <c r="AJM1737" s="633"/>
      <c r="AJN1737" s="664"/>
      <c r="AJO1737" s="664"/>
      <c r="AJP1737" s="664"/>
      <c r="AJQ1737" s="664"/>
      <c r="AJR1737" s="664"/>
      <c r="AJS1737" s="664"/>
      <c r="AJT1737" s="664"/>
      <c r="AJU1737" s="630"/>
      <c r="AJV1737" s="631"/>
      <c r="AJW1737" s="655"/>
      <c r="AJX1737" s="734" t="s">
        <v>0</v>
      </c>
      <c r="AJY1737" s="735" t="s">
        <v>1690</v>
      </c>
      <c r="AJZ1737" s="843" t="e">
        <f>#REF!</f>
        <v>#REF!</v>
      </c>
      <c r="AKA1737" s="662" t="s">
        <v>799</v>
      </c>
      <c r="AKB1737" s="663" t="s">
        <v>628</v>
      </c>
      <c r="AKC1737" s="633"/>
      <c r="AKD1737" s="664"/>
      <c r="AKE1737" s="664"/>
      <c r="AKF1737" s="664"/>
      <c r="AKG1737" s="664"/>
      <c r="AKH1737" s="664"/>
      <c r="AKI1737" s="664"/>
      <c r="AKJ1737" s="664"/>
      <c r="AKK1737" s="630"/>
      <c r="AKL1737" s="631"/>
      <c r="AKM1737" s="655"/>
      <c r="AKN1737" s="734" t="s">
        <v>0</v>
      </c>
      <c r="AKO1737" s="735" t="s">
        <v>1690</v>
      </c>
      <c r="AKP1737" s="843" t="e">
        <f>#REF!</f>
        <v>#REF!</v>
      </c>
      <c r="AKQ1737" s="662" t="s">
        <v>799</v>
      </c>
      <c r="AKR1737" s="663" t="s">
        <v>628</v>
      </c>
      <c r="AKS1737" s="633"/>
      <c r="AKT1737" s="664"/>
      <c r="AKU1737" s="664"/>
      <c r="AKV1737" s="664"/>
      <c r="AKW1737" s="664"/>
      <c r="AKX1737" s="664"/>
      <c r="AKY1737" s="664"/>
      <c r="AKZ1737" s="664"/>
      <c r="ALA1737" s="630"/>
      <c r="ALB1737" s="631"/>
      <c r="ALC1737" s="655"/>
      <c r="ALD1737" s="734" t="s">
        <v>0</v>
      </c>
      <c r="ALE1737" s="735" t="s">
        <v>1690</v>
      </c>
      <c r="ALF1737" s="843" t="e">
        <f>#REF!</f>
        <v>#REF!</v>
      </c>
      <c r="ALG1737" s="662" t="s">
        <v>799</v>
      </c>
      <c r="ALH1737" s="663" t="s">
        <v>628</v>
      </c>
      <c r="ALI1737" s="633"/>
      <c r="ALJ1737" s="664"/>
      <c r="ALK1737" s="664"/>
      <c r="ALL1737" s="664"/>
      <c r="ALM1737" s="664"/>
      <c r="ALN1737" s="664"/>
      <c r="ALO1737" s="664"/>
      <c r="ALP1737" s="664"/>
      <c r="ALQ1737" s="630"/>
      <c r="ALR1737" s="631"/>
      <c r="ALS1737" s="655"/>
      <c r="ALT1737" s="734" t="s">
        <v>0</v>
      </c>
      <c r="ALU1737" s="735" t="s">
        <v>1690</v>
      </c>
      <c r="ALV1737" s="843" t="e">
        <f>#REF!</f>
        <v>#REF!</v>
      </c>
      <c r="ALW1737" s="662" t="s">
        <v>799</v>
      </c>
      <c r="ALX1737" s="663" t="s">
        <v>628</v>
      </c>
      <c r="ALY1737" s="633"/>
      <c r="ALZ1737" s="664"/>
      <c r="AMA1737" s="664"/>
      <c r="AMB1737" s="664"/>
      <c r="AMC1737" s="664"/>
      <c r="AMD1737" s="664"/>
      <c r="AME1737" s="664"/>
      <c r="AMF1737" s="664"/>
      <c r="AMG1737" s="630"/>
      <c r="AMH1737" s="631"/>
      <c r="AMI1737" s="655"/>
      <c r="AMJ1737" s="734" t="s">
        <v>0</v>
      </c>
      <c r="AMK1737" s="735" t="s">
        <v>1690</v>
      </c>
      <c r="AML1737" s="843" t="e">
        <f>#REF!</f>
        <v>#REF!</v>
      </c>
      <c r="AMM1737" s="662" t="s">
        <v>799</v>
      </c>
      <c r="AMN1737" s="663" t="s">
        <v>628</v>
      </c>
      <c r="AMO1737" s="633"/>
      <c r="AMP1737" s="664"/>
      <c r="AMQ1737" s="664"/>
      <c r="AMR1737" s="664"/>
      <c r="AMS1737" s="664"/>
      <c r="AMT1737" s="664"/>
      <c r="AMU1737" s="664"/>
      <c r="AMV1737" s="664"/>
      <c r="AMW1737" s="630"/>
      <c r="AMX1737" s="631"/>
      <c r="AMY1737" s="655"/>
      <c r="AMZ1737" s="734" t="s">
        <v>0</v>
      </c>
      <c r="ANA1737" s="735" t="s">
        <v>1690</v>
      </c>
      <c r="ANB1737" s="843" t="e">
        <f>#REF!</f>
        <v>#REF!</v>
      </c>
      <c r="ANC1737" s="662" t="s">
        <v>799</v>
      </c>
      <c r="AND1737" s="663" t="s">
        <v>628</v>
      </c>
      <c r="ANE1737" s="633"/>
      <c r="ANF1737" s="664"/>
      <c r="ANG1737" s="664"/>
      <c r="ANH1737" s="664"/>
      <c r="ANI1737" s="664"/>
      <c r="ANJ1737" s="664"/>
      <c r="ANK1737" s="664"/>
      <c r="ANL1737" s="664"/>
      <c r="ANM1737" s="630"/>
      <c r="ANN1737" s="631"/>
      <c r="ANO1737" s="655"/>
      <c r="ANP1737" s="734" t="s">
        <v>0</v>
      </c>
      <c r="ANQ1737" s="735" t="s">
        <v>1690</v>
      </c>
      <c r="ANR1737" s="843" t="e">
        <f>#REF!</f>
        <v>#REF!</v>
      </c>
      <c r="ANS1737" s="662" t="s">
        <v>799</v>
      </c>
      <c r="ANT1737" s="663" t="s">
        <v>628</v>
      </c>
      <c r="ANU1737" s="633"/>
      <c r="ANV1737" s="664"/>
      <c r="ANW1737" s="664"/>
      <c r="ANX1737" s="664"/>
      <c r="ANY1737" s="664"/>
      <c r="ANZ1737" s="664"/>
      <c r="AOA1737" s="664"/>
      <c r="AOB1737" s="664"/>
      <c r="AOC1737" s="630"/>
      <c r="AOD1737" s="631"/>
      <c r="AOE1737" s="655"/>
      <c r="AOF1737" s="734" t="s">
        <v>0</v>
      </c>
      <c r="AOG1737" s="735" t="s">
        <v>1690</v>
      </c>
      <c r="AOH1737" s="843" t="e">
        <f>#REF!</f>
        <v>#REF!</v>
      </c>
      <c r="AOI1737" s="662" t="s">
        <v>799</v>
      </c>
      <c r="AOJ1737" s="663" t="s">
        <v>628</v>
      </c>
      <c r="AOK1737" s="633"/>
      <c r="AOL1737" s="664"/>
      <c r="AOM1737" s="664"/>
      <c r="AON1737" s="664"/>
      <c r="AOO1737" s="664"/>
      <c r="AOP1737" s="664"/>
      <c r="AOQ1737" s="664"/>
      <c r="AOR1737" s="664"/>
      <c r="AOS1737" s="630"/>
      <c r="AOT1737" s="631"/>
      <c r="AOU1737" s="655"/>
      <c r="AOV1737" s="734" t="s">
        <v>0</v>
      </c>
      <c r="AOW1737" s="735" t="s">
        <v>1690</v>
      </c>
      <c r="AOX1737" s="843" t="e">
        <f>#REF!</f>
        <v>#REF!</v>
      </c>
      <c r="AOY1737" s="662" t="s">
        <v>799</v>
      </c>
      <c r="AOZ1737" s="663" t="s">
        <v>628</v>
      </c>
      <c r="APA1737" s="633"/>
      <c r="APB1737" s="664"/>
      <c r="APC1737" s="664"/>
      <c r="APD1737" s="664"/>
      <c r="APE1737" s="664"/>
      <c r="APF1737" s="664"/>
      <c r="APG1737" s="664"/>
      <c r="APH1737" s="664"/>
      <c r="API1737" s="630"/>
      <c r="APJ1737" s="631"/>
      <c r="APK1737" s="655"/>
      <c r="APL1737" s="734" t="s">
        <v>0</v>
      </c>
      <c r="APM1737" s="735" t="s">
        <v>1690</v>
      </c>
      <c r="APN1737" s="843" t="e">
        <f>#REF!</f>
        <v>#REF!</v>
      </c>
      <c r="APO1737" s="662" t="s">
        <v>799</v>
      </c>
      <c r="APP1737" s="663" t="s">
        <v>628</v>
      </c>
      <c r="APQ1737" s="633"/>
      <c r="APR1737" s="664"/>
      <c r="APS1737" s="664"/>
      <c r="APT1737" s="664"/>
      <c r="APU1737" s="664"/>
      <c r="APV1737" s="664"/>
      <c r="APW1737" s="664"/>
      <c r="APX1737" s="664"/>
      <c r="APY1737" s="630"/>
      <c r="APZ1737" s="631"/>
      <c r="AQA1737" s="655"/>
      <c r="AQB1737" s="734" t="s">
        <v>0</v>
      </c>
      <c r="AQC1737" s="735" t="s">
        <v>1690</v>
      </c>
      <c r="AQD1737" s="843" t="e">
        <f>#REF!</f>
        <v>#REF!</v>
      </c>
      <c r="AQE1737" s="662" t="s">
        <v>799</v>
      </c>
      <c r="AQF1737" s="663" t="s">
        <v>628</v>
      </c>
      <c r="AQG1737" s="633"/>
      <c r="AQH1737" s="664"/>
      <c r="AQI1737" s="664"/>
      <c r="AQJ1737" s="664"/>
      <c r="AQK1737" s="664"/>
      <c r="AQL1737" s="664"/>
      <c r="AQM1737" s="664"/>
      <c r="AQN1737" s="664"/>
      <c r="AQO1737" s="630"/>
      <c r="AQP1737" s="631"/>
      <c r="AQQ1737" s="655"/>
      <c r="AQR1737" s="734" t="s">
        <v>0</v>
      </c>
      <c r="AQS1737" s="735" t="s">
        <v>1690</v>
      </c>
      <c r="AQT1737" s="843" t="e">
        <f>#REF!</f>
        <v>#REF!</v>
      </c>
      <c r="AQU1737" s="662" t="s">
        <v>799</v>
      </c>
      <c r="AQV1737" s="663" t="s">
        <v>628</v>
      </c>
      <c r="AQW1737" s="633"/>
      <c r="AQX1737" s="664"/>
      <c r="AQY1737" s="664"/>
      <c r="AQZ1737" s="664"/>
      <c r="ARA1737" s="664"/>
      <c r="ARB1737" s="664"/>
      <c r="ARC1737" s="664"/>
      <c r="ARD1737" s="664"/>
      <c r="ARE1737" s="630"/>
      <c r="ARF1737" s="631"/>
      <c r="ARG1737" s="655"/>
      <c r="ARH1737" s="734" t="s">
        <v>0</v>
      </c>
      <c r="ARI1737" s="735" t="s">
        <v>1690</v>
      </c>
      <c r="ARJ1737" s="843" t="e">
        <f>#REF!</f>
        <v>#REF!</v>
      </c>
      <c r="ARK1737" s="662" t="s">
        <v>799</v>
      </c>
      <c r="ARL1737" s="663" t="s">
        <v>628</v>
      </c>
      <c r="ARM1737" s="633"/>
      <c r="ARN1737" s="664"/>
      <c r="ARO1737" s="664"/>
      <c r="ARP1737" s="664"/>
      <c r="ARQ1737" s="664"/>
      <c r="ARR1737" s="664"/>
      <c r="ARS1737" s="664"/>
      <c r="ART1737" s="664"/>
      <c r="ARU1737" s="630"/>
      <c r="ARV1737" s="631"/>
      <c r="ARW1737" s="655"/>
      <c r="ARX1737" s="734" t="s">
        <v>0</v>
      </c>
      <c r="ARY1737" s="735" t="s">
        <v>1690</v>
      </c>
      <c r="ARZ1737" s="843" t="e">
        <f>#REF!</f>
        <v>#REF!</v>
      </c>
      <c r="ASA1737" s="662" t="s">
        <v>799</v>
      </c>
      <c r="ASB1737" s="663" t="s">
        <v>628</v>
      </c>
      <c r="ASC1737" s="633"/>
      <c r="ASD1737" s="664"/>
      <c r="ASE1737" s="664"/>
      <c r="ASF1737" s="664"/>
      <c r="ASG1737" s="664"/>
      <c r="ASH1737" s="664"/>
      <c r="ASI1737" s="664"/>
      <c r="ASJ1737" s="664"/>
      <c r="ASK1737" s="630"/>
      <c r="ASL1737" s="631"/>
      <c r="ASM1737" s="655"/>
      <c r="ASN1737" s="734" t="s">
        <v>0</v>
      </c>
      <c r="ASO1737" s="735" t="s">
        <v>1690</v>
      </c>
      <c r="ASP1737" s="843" t="e">
        <f>#REF!</f>
        <v>#REF!</v>
      </c>
      <c r="ASQ1737" s="662" t="s">
        <v>799</v>
      </c>
      <c r="ASR1737" s="663" t="s">
        <v>628</v>
      </c>
      <c r="ASS1737" s="633"/>
      <c r="AST1737" s="664"/>
      <c r="ASU1737" s="664"/>
      <c r="ASV1737" s="664"/>
      <c r="ASW1737" s="664"/>
      <c r="ASX1737" s="664"/>
      <c r="ASY1737" s="664"/>
      <c r="ASZ1737" s="664"/>
      <c r="ATA1737" s="630"/>
      <c r="ATB1737" s="631"/>
      <c r="ATC1737" s="655"/>
      <c r="ATD1737" s="734" t="s">
        <v>0</v>
      </c>
      <c r="ATE1737" s="735" t="s">
        <v>1690</v>
      </c>
      <c r="ATF1737" s="843" t="e">
        <f>#REF!</f>
        <v>#REF!</v>
      </c>
      <c r="ATG1737" s="662" t="s">
        <v>799</v>
      </c>
      <c r="ATH1737" s="663" t="s">
        <v>628</v>
      </c>
      <c r="ATI1737" s="633"/>
      <c r="ATJ1737" s="664"/>
      <c r="ATK1737" s="664"/>
      <c r="ATL1737" s="664"/>
      <c r="ATM1737" s="664"/>
      <c r="ATN1737" s="664"/>
      <c r="ATO1737" s="664"/>
      <c r="ATP1737" s="664"/>
      <c r="ATQ1737" s="630"/>
      <c r="ATR1737" s="631"/>
      <c r="ATS1737" s="655"/>
      <c r="ATT1737" s="734" t="s">
        <v>0</v>
      </c>
      <c r="ATU1737" s="735" t="s">
        <v>1690</v>
      </c>
      <c r="ATV1737" s="843" t="e">
        <f>#REF!</f>
        <v>#REF!</v>
      </c>
      <c r="ATW1737" s="662" t="s">
        <v>799</v>
      </c>
      <c r="ATX1737" s="663" t="s">
        <v>628</v>
      </c>
      <c r="ATY1737" s="633"/>
      <c r="ATZ1737" s="664"/>
      <c r="AUA1737" s="664"/>
      <c r="AUB1737" s="664"/>
      <c r="AUC1737" s="664"/>
      <c r="AUD1737" s="664"/>
      <c r="AUE1737" s="664"/>
      <c r="AUF1737" s="664"/>
      <c r="AUG1737" s="630"/>
      <c r="AUH1737" s="631"/>
      <c r="AUI1737" s="655"/>
      <c r="AUJ1737" s="734" t="s">
        <v>0</v>
      </c>
      <c r="AUK1737" s="735" t="s">
        <v>1690</v>
      </c>
      <c r="AUL1737" s="843" t="e">
        <f>#REF!</f>
        <v>#REF!</v>
      </c>
      <c r="AUM1737" s="662" t="s">
        <v>799</v>
      </c>
      <c r="AUN1737" s="663" t="s">
        <v>628</v>
      </c>
      <c r="AUO1737" s="633"/>
      <c r="AUP1737" s="664"/>
      <c r="AUQ1737" s="664"/>
      <c r="AUR1737" s="664"/>
      <c r="AUS1737" s="664"/>
      <c r="AUT1737" s="664"/>
      <c r="AUU1737" s="664"/>
      <c r="AUV1737" s="664"/>
      <c r="AUW1737" s="630"/>
      <c r="AUX1737" s="631"/>
      <c r="AUY1737" s="655"/>
      <c r="AUZ1737" s="734" t="s">
        <v>0</v>
      </c>
      <c r="AVA1737" s="735" t="s">
        <v>1690</v>
      </c>
      <c r="AVB1737" s="843" t="e">
        <f>#REF!</f>
        <v>#REF!</v>
      </c>
      <c r="AVC1737" s="662" t="s">
        <v>799</v>
      </c>
      <c r="AVD1737" s="663" t="s">
        <v>628</v>
      </c>
      <c r="AVE1737" s="633"/>
      <c r="AVF1737" s="664"/>
      <c r="AVG1737" s="664"/>
      <c r="AVH1737" s="664"/>
      <c r="AVI1737" s="664"/>
      <c r="AVJ1737" s="664"/>
      <c r="AVK1737" s="664"/>
      <c r="AVL1737" s="664"/>
      <c r="AVM1737" s="630"/>
      <c r="AVN1737" s="631"/>
      <c r="AVO1737" s="655"/>
      <c r="AVP1737" s="734" t="s">
        <v>0</v>
      </c>
      <c r="AVQ1737" s="735" t="s">
        <v>1690</v>
      </c>
      <c r="AVR1737" s="843" t="e">
        <f>#REF!</f>
        <v>#REF!</v>
      </c>
      <c r="AVS1737" s="662" t="s">
        <v>799</v>
      </c>
      <c r="AVT1737" s="663" t="s">
        <v>628</v>
      </c>
      <c r="AVU1737" s="633"/>
      <c r="AVV1737" s="664"/>
      <c r="AVW1737" s="664"/>
      <c r="AVX1737" s="664"/>
      <c r="AVY1737" s="664"/>
      <c r="AVZ1737" s="664"/>
      <c r="AWA1737" s="664"/>
      <c r="AWB1737" s="664"/>
      <c r="AWC1737" s="630"/>
      <c r="AWD1737" s="631"/>
      <c r="AWE1737" s="655"/>
      <c r="AWF1737" s="734" t="s">
        <v>0</v>
      </c>
      <c r="AWG1737" s="735" t="s">
        <v>1690</v>
      </c>
      <c r="AWH1737" s="843" t="e">
        <f>#REF!</f>
        <v>#REF!</v>
      </c>
      <c r="AWI1737" s="662" t="s">
        <v>799</v>
      </c>
      <c r="AWJ1737" s="663" t="s">
        <v>628</v>
      </c>
      <c r="AWK1737" s="633"/>
      <c r="AWL1737" s="664"/>
      <c r="AWM1737" s="664"/>
      <c r="AWN1737" s="664"/>
      <c r="AWO1737" s="664"/>
      <c r="AWP1737" s="664"/>
      <c r="AWQ1737" s="664"/>
      <c r="AWR1737" s="664"/>
      <c r="AWS1737" s="630"/>
      <c r="AWT1737" s="631"/>
      <c r="AWU1737" s="655"/>
      <c r="AWV1737" s="734" t="s">
        <v>0</v>
      </c>
      <c r="AWW1737" s="735" t="s">
        <v>1690</v>
      </c>
      <c r="AWX1737" s="843" t="e">
        <f>#REF!</f>
        <v>#REF!</v>
      </c>
      <c r="AWY1737" s="662" t="s">
        <v>799</v>
      </c>
      <c r="AWZ1737" s="663" t="s">
        <v>628</v>
      </c>
      <c r="AXA1737" s="633"/>
      <c r="AXB1737" s="664"/>
      <c r="AXC1737" s="664"/>
      <c r="AXD1737" s="664"/>
      <c r="AXE1737" s="664"/>
      <c r="AXF1737" s="664"/>
      <c r="AXG1737" s="664"/>
      <c r="AXH1737" s="664"/>
      <c r="AXI1737" s="630"/>
      <c r="AXJ1737" s="631"/>
      <c r="AXK1737" s="655"/>
      <c r="AXL1737" s="734" t="s">
        <v>0</v>
      </c>
      <c r="AXM1737" s="735" t="s">
        <v>1690</v>
      </c>
      <c r="AXN1737" s="843" t="e">
        <f>#REF!</f>
        <v>#REF!</v>
      </c>
      <c r="AXO1737" s="662" t="s">
        <v>799</v>
      </c>
      <c r="AXP1737" s="663" t="s">
        <v>628</v>
      </c>
      <c r="AXQ1737" s="633"/>
      <c r="AXR1737" s="664"/>
      <c r="AXS1737" s="664"/>
      <c r="AXT1737" s="664"/>
      <c r="AXU1737" s="664"/>
      <c r="AXV1737" s="664"/>
      <c r="AXW1737" s="664"/>
      <c r="AXX1737" s="664"/>
      <c r="AXY1737" s="630"/>
      <c r="AXZ1737" s="631"/>
      <c r="AYA1737" s="655"/>
      <c r="AYB1737" s="734" t="s">
        <v>0</v>
      </c>
      <c r="AYC1737" s="735" t="s">
        <v>1690</v>
      </c>
      <c r="AYD1737" s="843" t="e">
        <f>#REF!</f>
        <v>#REF!</v>
      </c>
      <c r="AYE1737" s="662" t="s">
        <v>799</v>
      </c>
      <c r="AYF1737" s="663" t="s">
        <v>628</v>
      </c>
      <c r="AYG1737" s="633"/>
      <c r="AYH1737" s="664"/>
      <c r="AYI1737" s="664"/>
      <c r="AYJ1737" s="664"/>
      <c r="AYK1737" s="664"/>
      <c r="AYL1737" s="664"/>
      <c r="AYM1737" s="664"/>
      <c r="AYN1737" s="664"/>
      <c r="AYO1737" s="630"/>
      <c r="AYP1737" s="631"/>
      <c r="AYQ1737" s="655"/>
      <c r="AYR1737" s="734" t="s">
        <v>0</v>
      </c>
      <c r="AYS1737" s="735" t="s">
        <v>1690</v>
      </c>
      <c r="AYT1737" s="843" t="e">
        <f>#REF!</f>
        <v>#REF!</v>
      </c>
      <c r="AYU1737" s="662" t="s">
        <v>799</v>
      </c>
      <c r="AYV1737" s="663" t="s">
        <v>628</v>
      </c>
      <c r="AYW1737" s="633"/>
      <c r="AYX1737" s="664"/>
      <c r="AYY1737" s="664"/>
      <c r="AYZ1737" s="664"/>
      <c r="AZA1737" s="664"/>
      <c r="AZB1737" s="664"/>
      <c r="AZC1737" s="664"/>
      <c r="AZD1737" s="664"/>
      <c r="AZE1737" s="630"/>
      <c r="AZF1737" s="631"/>
      <c r="AZG1737" s="655"/>
      <c r="AZH1737" s="734" t="s">
        <v>0</v>
      </c>
      <c r="AZI1737" s="735" t="s">
        <v>1690</v>
      </c>
      <c r="AZJ1737" s="843" t="e">
        <f>#REF!</f>
        <v>#REF!</v>
      </c>
      <c r="AZK1737" s="662" t="s">
        <v>799</v>
      </c>
      <c r="AZL1737" s="663" t="s">
        <v>628</v>
      </c>
      <c r="AZM1737" s="633"/>
      <c r="AZN1737" s="664"/>
      <c r="AZO1737" s="664"/>
      <c r="AZP1737" s="664"/>
      <c r="AZQ1737" s="664"/>
      <c r="AZR1737" s="664"/>
      <c r="AZS1737" s="664"/>
      <c r="AZT1737" s="664"/>
      <c r="AZU1737" s="630"/>
      <c r="AZV1737" s="631"/>
      <c r="AZW1737" s="655"/>
      <c r="AZX1737" s="734" t="s">
        <v>0</v>
      </c>
      <c r="AZY1737" s="735" t="s">
        <v>1690</v>
      </c>
      <c r="AZZ1737" s="843" t="e">
        <f>#REF!</f>
        <v>#REF!</v>
      </c>
      <c r="BAA1737" s="662" t="s">
        <v>799</v>
      </c>
      <c r="BAB1737" s="663" t="s">
        <v>628</v>
      </c>
      <c r="BAC1737" s="633"/>
      <c r="BAD1737" s="664"/>
      <c r="BAE1737" s="664"/>
      <c r="BAF1737" s="664"/>
      <c r="BAG1737" s="664"/>
      <c r="BAH1737" s="664"/>
      <c r="BAI1737" s="664"/>
      <c r="BAJ1737" s="664"/>
      <c r="BAK1737" s="630"/>
      <c r="BAL1737" s="631"/>
      <c r="BAM1737" s="655"/>
      <c r="BAN1737" s="734" t="s">
        <v>0</v>
      </c>
      <c r="BAO1737" s="735" t="s">
        <v>1690</v>
      </c>
      <c r="BAP1737" s="843" t="e">
        <f>#REF!</f>
        <v>#REF!</v>
      </c>
      <c r="BAQ1737" s="662" t="s">
        <v>799</v>
      </c>
      <c r="BAR1737" s="663" t="s">
        <v>628</v>
      </c>
      <c r="BAS1737" s="633"/>
      <c r="BAT1737" s="664"/>
      <c r="BAU1737" s="664"/>
      <c r="BAV1737" s="664"/>
      <c r="BAW1737" s="664"/>
      <c r="BAX1737" s="664"/>
      <c r="BAY1737" s="664"/>
      <c r="BAZ1737" s="664"/>
      <c r="BBA1737" s="630"/>
      <c r="BBB1737" s="631"/>
      <c r="BBC1737" s="655"/>
      <c r="BBD1737" s="734" t="s">
        <v>0</v>
      </c>
      <c r="BBE1737" s="735" t="s">
        <v>1690</v>
      </c>
      <c r="BBF1737" s="843" t="e">
        <f>#REF!</f>
        <v>#REF!</v>
      </c>
      <c r="BBG1737" s="662" t="s">
        <v>799</v>
      </c>
      <c r="BBH1737" s="663" t="s">
        <v>628</v>
      </c>
      <c r="BBI1737" s="633"/>
      <c r="BBJ1737" s="664"/>
      <c r="BBK1737" s="664"/>
      <c r="BBL1737" s="664"/>
      <c r="BBM1737" s="664"/>
      <c r="BBN1737" s="664"/>
      <c r="BBO1737" s="664"/>
      <c r="BBP1737" s="664"/>
      <c r="BBQ1737" s="630"/>
      <c r="BBR1737" s="631"/>
      <c r="BBS1737" s="655"/>
      <c r="BBT1737" s="734" t="s">
        <v>0</v>
      </c>
      <c r="BBU1737" s="735" t="s">
        <v>1690</v>
      </c>
      <c r="BBV1737" s="843" t="e">
        <f>#REF!</f>
        <v>#REF!</v>
      </c>
      <c r="BBW1737" s="662" t="s">
        <v>799</v>
      </c>
      <c r="BBX1737" s="663" t="s">
        <v>628</v>
      </c>
      <c r="BBY1737" s="633"/>
      <c r="BBZ1737" s="664"/>
      <c r="BCA1737" s="664"/>
      <c r="BCB1737" s="664"/>
      <c r="BCC1737" s="664"/>
      <c r="BCD1737" s="664"/>
      <c r="BCE1737" s="664"/>
      <c r="BCF1737" s="664"/>
      <c r="BCG1737" s="630"/>
      <c r="BCH1737" s="631"/>
      <c r="BCI1737" s="655"/>
      <c r="BCJ1737" s="734" t="s">
        <v>0</v>
      </c>
      <c r="BCK1737" s="735" t="s">
        <v>1690</v>
      </c>
      <c r="BCL1737" s="843" t="e">
        <f>#REF!</f>
        <v>#REF!</v>
      </c>
      <c r="BCM1737" s="662" t="s">
        <v>799</v>
      </c>
      <c r="BCN1737" s="663" t="s">
        <v>628</v>
      </c>
      <c r="BCO1737" s="633"/>
      <c r="BCP1737" s="664"/>
      <c r="BCQ1737" s="664"/>
      <c r="BCR1737" s="664"/>
      <c r="BCS1737" s="664"/>
      <c r="BCT1737" s="664"/>
      <c r="BCU1737" s="664"/>
      <c r="BCV1737" s="664"/>
      <c r="BCW1737" s="630"/>
      <c r="BCX1737" s="631"/>
      <c r="BCY1737" s="655"/>
      <c r="BCZ1737" s="734" t="s">
        <v>0</v>
      </c>
      <c r="BDA1737" s="735" t="s">
        <v>1690</v>
      </c>
      <c r="BDB1737" s="843" t="e">
        <f>#REF!</f>
        <v>#REF!</v>
      </c>
      <c r="BDC1737" s="662" t="s">
        <v>799</v>
      </c>
      <c r="BDD1737" s="663" t="s">
        <v>628</v>
      </c>
      <c r="BDE1737" s="633"/>
      <c r="BDF1737" s="664"/>
      <c r="BDG1737" s="664"/>
      <c r="BDH1737" s="664"/>
      <c r="BDI1737" s="664"/>
      <c r="BDJ1737" s="664"/>
      <c r="BDK1737" s="664"/>
      <c r="BDL1737" s="664"/>
      <c r="BDM1737" s="630"/>
      <c r="BDN1737" s="631"/>
      <c r="BDO1737" s="655"/>
      <c r="BDP1737" s="734" t="s">
        <v>0</v>
      </c>
      <c r="BDQ1737" s="735" t="s">
        <v>1690</v>
      </c>
      <c r="BDR1737" s="843" t="e">
        <f>#REF!</f>
        <v>#REF!</v>
      </c>
      <c r="BDS1737" s="662" t="s">
        <v>799</v>
      </c>
      <c r="BDT1737" s="663" t="s">
        <v>628</v>
      </c>
      <c r="BDU1737" s="633"/>
      <c r="BDV1737" s="664"/>
      <c r="BDW1737" s="664"/>
      <c r="BDX1737" s="664"/>
      <c r="BDY1737" s="664"/>
      <c r="BDZ1737" s="664"/>
      <c r="BEA1737" s="664"/>
      <c r="BEB1737" s="664"/>
      <c r="BEC1737" s="630"/>
      <c r="BED1737" s="631"/>
      <c r="BEE1737" s="655"/>
      <c r="BEF1737" s="734" t="s">
        <v>0</v>
      </c>
      <c r="BEG1737" s="735" t="s">
        <v>1690</v>
      </c>
      <c r="BEH1737" s="843" t="e">
        <f>#REF!</f>
        <v>#REF!</v>
      </c>
      <c r="BEI1737" s="662" t="s">
        <v>799</v>
      </c>
      <c r="BEJ1737" s="663" t="s">
        <v>628</v>
      </c>
      <c r="BEK1737" s="633"/>
      <c r="BEL1737" s="664"/>
      <c r="BEM1737" s="664"/>
      <c r="BEN1737" s="664"/>
      <c r="BEO1737" s="664"/>
      <c r="BEP1737" s="664"/>
      <c r="BEQ1737" s="664"/>
      <c r="BER1737" s="664"/>
      <c r="BES1737" s="630"/>
      <c r="BET1737" s="631"/>
      <c r="BEU1737" s="655"/>
      <c r="BEV1737" s="734" t="s">
        <v>0</v>
      </c>
      <c r="BEW1737" s="735" t="s">
        <v>1690</v>
      </c>
      <c r="BEX1737" s="843" t="e">
        <f>#REF!</f>
        <v>#REF!</v>
      </c>
      <c r="BEY1737" s="662" t="s">
        <v>799</v>
      </c>
      <c r="BEZ1737" s="663" t="s">
        <v>628</v>
      </c>
      <c r="BFA1737" s="633"/>
      <c r="BFB1737" s="664"/>
      <c r="BFC1737" s="664"/>
      <c r="BFD1737" s="664"/>
      <c r="BFE1737" s="664"/>
      <c r="BFF1737" s="664"/>
      <c r="BFG1737" s="664"/>
      <c r="BFH1737" s="664"/>
      <c r="BFI1737" s="630"/>
      <c r="BFJ1737" s="631"/>
      <c r="BFK1737" s="655"/>
      <c r="BFL1737" s="734" t="s">
        <v>0</v>
      </c>
      <c r="BFM1737" s="735" t="s">
        <v>1690</v>
      </c>
      <c r="BFN1737" s="843" t="e">
        <f>#REF!</f>
        <v>#REF!</v>
      </c>
      <c r="BFO1737" s="662" t="s">
        <v>799</v>
      </c>
      <c r="BFP1737" s="663" t="s">
        <v>628</v>
      </c>
      <c r="BFQ1737" s="633"/>
      <c r="BFR1737" s="664"/>
      <c r="BFS1737" s="664"/>
      <c r="BFT1737" s="664"/>
      <c r="BFU1737" s="664"/>
      <c r="BFV1737" s="664"/>
      <c r="BFW1737" s="664"/>
      <c r="BFX1737" s="664"/>
      <c r="BFY1737" s="630"/>
      <c r="BFZ1737" s="631"/>
      <c r="BGA1737" s="655"/>
      <c r="BGB1737" s="734" t="s">
        <v>0</v>
      </c>
      <c r="BGC1737" s="735" t="s">
        <v>1690</v>
      </c>
      <c r="BGD1737" s="843" t="e">
        <f>#REF!</f>
        <v>#REF!</v>
      </c>
      <c r="BGE1737" s="662" t="s">
        <v>799</v>
      </c>
      <c r="BGF1737" s="663" t="s">
        <v>628</v>
      </c>
      <c r="BGG1737" s="633"/>
      <c r="BGH1737" s="664"/>
      <c r="BGI1737" s="664"/>
      <c r="BGJ1737" s="664"/>
      <c r="BGK1737" s="664"/>
      <c r="BGL1737" s="664"/>
      <c r="BGM1737" s="664"/>
      <c r="BGN1737" s="664"/>
      <c r="BGO1737" s="630"/>
      <c r="BGP1737" s="631"/>
      <c r="BGQ1737" s="655"/>
      <c r="BGR1737" s="734" t="s">
        <v>0</v>
      </c>
      <c r="BGS1737" s="735" t="s">
        <v>1690</v>
      </c>
      <c r="BGT1737" s="843" t="e">
        <f>#REF!</f>
        <v>#REF!</v>
      </c>
      <c r="BGU1737" s="662" t="s">
        <v>799</v>
      </c>
      <c r="BGV1737" s="663" t="s">
        <v>628</v>
      </c>
      <c r="BGW1737" s="633"/>
      <c r="BGX1737" s="664"/>
      <c r="BGY1737" s="664"/>
      <c r="BGZ1737" s="664"/>
      <c r="BHA1737" s="664"/>
      <c r="BHB1737" s="664"/>
      <c r="BHC1737" s="664"/>
      <c r="BHD1737" s="664"/>
      <c r="BHE1737" s="630"/>
      <c r="BHF1737" s="631"/>
      <c r="BHG1737" s="655"/>
      <c r="BHH1737" s="734" t="s">
        <v>0</v>
      </c>
      <c r="BHI1737" s="735" t="s">
        <v>1690</v>
      </c>
      <c r="BHJ1737" s="843" t="e">
        <f>#REF!</f>
        <v>#REF!</v>
      </c>
      <c r="BHK1737" s="662" t="s">
        <v>799</v>
      </c>
      <c r="BHL1737" s="663" t="s">
        <v>628</v>
      </c>
      <c r="BHM1737" s="633"/>
      <c r="BHN1737" s="664"/>
      <c r="BHO1737" s="664"/>
      <c r="BHP1737" s="664"/>
      <c r="BHQ1737" s="664"/>
      <c r="BHR1737" s="664"/>
      <c r="BHS1737" s="664"/>
      <c r="BHT1737" s="664"/>
      <c r="BHU1737" s="630"/>
      <c r="BHV1737" s="631"/>
      <c r="BHW1737" s="655"/>
      <c r="BHX1737" s="734" t="s">
        <v>0</v>
      </c>
      <c r="BHY1737" s="735" t="s">
        <v>1690</v>
      </c>
      <c r="BHZ1737" s="843" t="e">
        <f>#REF!</f>
        <v>#REF!</v>
      </c>
      <c r="BIA1737" s="662" t="s">
        <v>799</v>
      </c>
      <c r="BIB1737" s="663" t="s">
        <v>628</v>
      </c>
      <c r="BIC1737" s="633"/>
      <c r="BID1737" s="664"/>
      <c r="BIE1737" s="664"/>
      <c r="BIF1737" s="664"/>
      <c r="BIG1737" s="664"/>
      <c r="BIH1737" s="664"/>
      <c r="BII1737" s="664"/>
      <c r="BIJ1737" s="664"/>
      <c r="BIK1737" s="630"/>
      <c r="BIL1737" s="631"/>
      <c r="BIM1737" s="655"/>
      <c r="BIN1737" s="734" t="s">
        <v>0</v>
      </c>
      <c r="BIO1737" s="735" t="s">
        <v>1690</v>
      </c>
      <c r="BIP1737" s="843" t="e">
        <f>#REF!</f>
        <v>#REF!</v>
      </c>
      <c r="BIQ1737" s="662" t="s">
        <v>799</v>
      </c>
      <c r="BIR1737" s="663" t="s">
        <v>628</v>
      </c>
      <c r="BIS1737" s="633"/>
      <c r="BIT1737" s="664"/>
      <c r="BIU1737" s="664"/>
      <c r="BIV1737" s="664"/>
      <c r="BIW1737" s="664"/>
      <c r="BIX1737" s="664"/>
      <c r="BIY1737" s="664"/>
      <c r="BIZ1737" s="664"/>
      <c r="BJA1737" s="630"/>
      <c r="BJB1737" s="631"/>
      <c r="BJC1737" s="655"/>
      <c r="BJD1737" s="734" t="s">
        <v>0</v>
      </c>
      <c r="BJE1737" s="735" t="s">
        <v>1690</v>
      </c>
      <c r="BJF1737" s="843" t="e">
        <f>#REF!</f>
        <v>#REF!</v>
      </c>
      <c r="BJG1737" s="662" t="s">
        <v>799</v>
      </c>
      <c r="BJH1737" s="663" t="s">
        <v>628</v>
      </c>
      <c r="BJI1737" s="633"/>
      <c r="BJJ1737" s="664"/>
      <c r="BJK1737" s="664"/>
      <c r="BJL1737" s="664"/>
      <c r="BJM1737" s="664"/>
      <c r="BJN1737" s="664"/>
      <c r="BJO1737" s="664"/>
      <c r="BJP1737" s="664"/>
      <c r="BJQ1737" s="630"/>
      <c r="BJR1737" s="631"/>
      <c r="BJS1737" s="655"/>
      <c r="BJT1737" s="734" t="s">
        <v>0</v>
      </c>
      <c r="BJU1737" s="735" t="s">
        <v>1690</v>
      </c>
      <c r="BJV1737" s="843" t="e">
        <f>#REF!</f>
        <v>#REF!</v>
      </c>
      <c r="BJW1737" s="662" t="s">
        <v>799</v>
      </c>
      <c r="BJX1737" s="663" t="s">
        <v>628</v>
      </c>
      <c r="BJY1737" s="633"/>
      <c r="BJZ1737" s="664"/>
      <c r="BKA1737" s="664"/>
      <c r="BKB1737" s="664"/>
      <c r="BKC1737" s="664"/>
      <c r="BKD1737" s="664"/>
      <c r="BKE1737" s="664"/>
      <c r="BKF1737" s="664"/>
      <c r="BKG1737" s="630"/>
      <c r="BKH1737" s="631"/>
      <c r="BKI1737" s="655"/>
      <c r="BKJ1737" s="734" t="s">
        <v>0</v>
      </c>
      <c r="BKK1737" s="735" t="s">
        <v>1690</v>
      </c>
      <c r="BKL1737" s="843" t="e">
        <f>#REF!</f>
        <v>#REF!</v>
      </c>
      <c r="BKM1737" s="662" t="s">
        <v>799</v>
      </c>
      <c r="BKN1737" s="663" t="s">
        <v>628</v>
      </c>
      <c r="BKO1737" s="633"/>
      <c r="BKP1737" s="664"/>
      <c r="BKQ1737" s="664"/>
      <c r="BKR1737" s="664"/>
      <c r="BKS1737" s="664"/>
      <c r="BKT1737" s="664"/>
      <c r="BKU1737" s="664"/>
      <c r="BKV1737" s="664"/>
      <c r="BKW1737" s="630"/>
      <c r="BKX1737" s="631"/>
      <c r="BKY1737" s="655"/>
      <c r="BKZ1737" s="734" t="s">
        <v>0</v>
      </c>
      <c r="BLA1737" s="735" t="s">
        <v>1690</v>
      </c>
      <c r="BLB1737" s="843" t="e">
        <f>#REF!</f>
        <v>#REF!</v>
      </c>
      <c r="BLC1737" s="662" t="s">
        <v>799</v>
      </c>
      <c r="BLD1737" s="663" t="s">
        <v>628</v>
      </c>
      <c r="BLE1737" s="633"/>
      <c r="BLF1737" s="664"/>
      <c r="BLG1737" s="664"/>
      <c r="BLH1737" s="664"/>
      <c r="BLI1737" s="664"/>
      <c r="BLJ1737" s="664"/>
      <c r="BLK1737" s="664"/>
      <c r="BLL1737" s="664"/>
      <c r="BLM1737" s="630"/>
      <c r="BLN1737" s="631"/>
      <c r="BLO1737" s="655"/>
      <c r="BLP1737" s="734" t="s">
        <v>0</v>
      </c>
      <c r="BLQ1737" s="735" t="s">
        <v>1690</v>
      </c>
      <c r="BLR1737" s="843" t="e">
        <f>#REF!</f>
        <v>#REF!</v>
      </c>
      <c r="BLS1737" s="662" t="s">
        <v>799</v>
      </c>
      <c r="BLT1737" s="663" t="s">
        <v>628</v>
      </c>
      <c r="BLU1737" s="633"/>
      <c r="BLV1737" s="664"/>
      <c r="BLW1737" s="664"/>
      <c r="BLX1737" s="664"/>
      <c r="BLY1737" s="664"/>
      <c r="BLZ1737" s="664"/>
      <c r="BMA1737" s="664"/>
      <c r="BMB1737" s="664"/>
      <c r="BMC1737" s="630"/>
      <c r="BMD1737" s="631"/>
      <c r="BME1737" s="655"/>
      <c r="BMF1737" s="734" t="s">
        <v>0</v>
      </c>
      <c r="BMG1737" s="735" t="s">
        <v>1690</v>
      </c>
      <c r="BMH1737" s="843" t="e">
        <f>#REF!</f>
        <v>#REF!</v>
      </c>
      <c r="BMI1737" s="662" t="s">
        <v>799</v>
      </c>
      <c r="BMJ1737" s="663" t="s">
        <v>628</v>
      </c>
      <c r="BMK1737" s="633"/>
      <c r="BML1737" s="664"/>
      <c r="BMM1737" s="664"/>
      <c r="BMN1737" s="664"/>
      <c r="BMO1737" s="664"/>
      <c r="BMP1737" s="664"/>
      <c r="BMQ1737" s="664"/>
      <c r="BMR1737" s="664"/>
      <c r="BMS1737" s="630"/>
      <c r="BMT1737" s="631"/>
      <c r="BMU1737" s="655"/>
      <c r="BMV1737" s="734" t="s">
        <v>0</v>
      </c>
      <c r="BMW1737" s="735" t="s">
        <v>1690</v>
      </c>
      <c r="BMX1737" s="843" t="e">
        <f>#REF!</f>
        <v>#REF!</v>
      </c>
      <c r="BMY1737" s="662" t="s">
        <v>799</v>
      </c>
      <c r="BMZ1737" s="663" t="s">
        <v>628</v>
      </c>
      <c r="BNA1737" s="633"/>
      <c r="BNB1737" s="664"/>
      <c r="BNC1737" s="664"/>
      <c r="BND1737" s="664"/>
      <c r="BNE1737" s="664"/>
      <c r="BNF1737" s="664"/>
      <c r="BNG1737" s="664"/>
      <c r="BNH1737" s="664"/>
      <c r="BNI1737" s="630"/>
      <c r="BNJ1737" s="631"/>
      <c r="BNK1737" s="655"/>
      <c r="BNL1737" s="734" t="s">
        <v>0</v>
      </c>
      <c r="BNM1737" s="735" t="s">
        <v>1690</v>
      </c>
      <c r="BNN1737" s="843" t="e">
        <f>#REF!</f>
        <v>#REF!</v>
      </c>
      <c r="BNO1737" s="662" t="s">
        <v>799</v>
      </c>
      <c r="BNP1737" s="663" t="s">
        <v>628</v>
      </c>
      <c r="BNQ1737" s="633"/>
      <c r="BNR1737" s="664"/>
      <c r="BNS1737" s="664"/>
      <c r="BNT1737" s="664"/>
      <c r="BNU1737" s="664"/>
      <c r="BNV1737" s="664"/>
      <c r="BNW1737" s="664"/>
      <c r="BNX1737" s="664"/>
      <c r="BNY1737" s="630"/>
      <c r="BNZ1737" s="631"/>
      <c r="BOA1737" s="655"/>
      <c r="BOB1737" s="734" t="s">
        <v>0</v>
      </c>
      <c r="BOC1737" s="735" t="s">
        <v>1690</v>
      </c>
      <c r="BOD1737" s="843" t="e">
        <f>#REF!</f>
        <v>#REF!</v>
      </c>
      <c r="BOE1737" s="662" t="s">
        <v>799</v>
      </c>
      <c r="BOF1737" s="663" t="s">
        <v>628</v>
      </c>
      <c r="BOG1737" s="633"/>
      <c r="BOH1737" s="664"/>
      <c r="BOI1737" s="664"/>
      <c r="BOJ1737" s="664"/>
      <c r="BOK1737" s="664"/>
      <c r="BOL1737" s="664"/>
      <c r="BOM1737" s="664"/>
      <c r="BON1737" s="664"/>
      <c r="BOO1737" s="630"/>
      <c r="BOP1737" s="631"/>
      <c r="BOQ1737" s="655"/>
      <c r="BOR1737" s="734" t="s">
        <v>0</v>
      </c>
      <c r="BOS1737" s="735" t="s">
        <v>1690</v>
      </c>
      <c r="BOT1737" s="843" t="e">
        <f>#REF!</f>
        <v>#REF!</v>
      </c>
      <c r="BOU1737" s="662" t="s">
        <v>799</v>
      </c>
      <c r="BOV1737" s="663" t="s">
        <v>628</v>
      </c>
      <c r="BOW1737" s="633"/>
      <c r="BOX1737" s="664"/>
      <c r="BOY1737" s="664"/>
      <c r="BOZ1737" s="664"/>
      <c r="BPA1737" s="664"/>
      <c r="BPB1737" s="664"/>
      <c r="BPC1737" s="664"/>
      <c r="BPD1737" s="664"/>
      <c r="BPE1737" s="630"/>
      <c r="BPF1737" s="631"/>
      <c r="BPG1737" s="655"/>
      <c r="BPH1737" s="734" t="s">
        <v>0</v>
      </c>
      <c r="BPI1737" s="735" t="s">
        <v>1690</v>
      </c>
      <c r="BPJ1737" s="843" t="e">
        <f>#REF!</f>
        <v>#REF!</v>
      </c>
      <c r="BPK1737" s="662" t="s">
        <v>799</v>
      </c>
      <c r="BPL1737" s="663" t="s">
        <v>628</v>
      </c>
      <c r="BPM1737" s="633"/>
      <c r="BPN1737" s="664"/>
      <c r="BPO1737" s="664"/>
      <c r="BPP1737" s="664"/>
      <c r="BPQ1737" s="664"/>
      <c r="BPR1737" s="664"/>
      <c r="BPS1737" s="664"/>
      <c r="BPT1737" s="664"/>
      <c r="BPU1737" s="630"/>
      <c r="BPV1737" s="631"/>
      <c r="BPW1737" s="655"/>
      <c r="BPX1737" s="734" t="s">
        <v>0</v>
      </c>
      <c r="BPY1737" s="735" t="s">
        <v>1690</v>
      </c>
      <c r="BPZ1737" s="843" t="e">
        <f>#REF!</f>
        <v>#REF!</v>
      </c>
      <c r="BQA1737" s="662" t="s">
        <v>799</v>
      </c>
      <c r="BQB1737" s="663" t="s">
        <v>628</v>
      </c>
      <c r="BQC1737" s="633"/>
      <c r="BQD1737" s="664"/>
      <c r="BQE1737" s="664"/>
      <c r="BQF1737" s="664"/>
      <c r="BQG1737" s="664"/>
      <c r="BQH1737" s="664"/>
      <c r="BQI1737" s="664"/>
      <c r="BQJ1737" s="664"/>
      <c r="BQK1737" s="630"/>
      <c r="BQL1737" s="631"/>
      <c r="BQM1737" s="655"/>
      <c r="BQN1737" s="734" t="s">
        <v>0</v>
      </c>
      <c r="BQO1737" s="735" t="s">
        <v>1690</v>
      </c>
      <c r="BQP1737" s="843" t="e">
        <f>#REF!</f>
        <v>#REF!</v>
      </c>
      <c r="BQQ1737" s="662" t="s">
        <v>799</v>
      </c>
      <c r="BQR1737" s="663" t="s">
        <v>628</v>
      </c>
      <c r="BQS1737" s="633"/>
      <c r="BQT1737" s="664"/>
      <c r="BQU1737" s="664"/>
      <c r="BQV1737" s="664"/>
      <c r="BQW1737" s="664"/>
      <c r="BQX1737" s="664"/>
      <c r="BQY1737" s="664"/>
      <c r="BQZ1737" s="664"/>
      <c r="BRA1737" s="630"/>
      <c r="BRB1737" s="631"/>
      <c r="BRC1737" s="655"/>
      <c r="BRD1737" s="734" t="s">
        <v>0</v>
      </c>
      <c r="BRE1737" s="735" t="s">
        <v>1690</v>
      </c>
      <c r="BRF1737" s="843" t="e">
        <f>#REF!</f>
        <v>#REF!</v>
      </c>
      <c r="BRG1737" s="662" t="s">
        <v>799</v>
      </c>
      <c r="BRH1737" s="663" t="s">
        <v>628</v>
      </c>
      <c r="BRI1737" s="633"/>
      <c r="BRJ1737" s="664"/>
      <c r="BRK1737" s="664"/>
      <c r="BRL1737" s="664"/>
      <c r="BRM1737" s="664"/>
      <c r="BRN1737" s="664"/>
      <c r="BRO1737" s="664"/>
      <c r="BRP1737" s="664"/>
      <c r="BRQ1737" s="630"/>
      <c r="BRR1737" s="631"/>
      <c r="BRS1737" s="655"/>
      <c r="BRT1737" s="734" t="s">
        <v>0</v>
      </c>
      <c r="BRU1737" s="735" t="s">
        <v>1690</v>
      </c>
      <c r="BRV1737" s="843" t="e">
        <f>#REF!</f>
        <v>#REF!</v>
      </c>
      <c r="BRW1737" s="662" t="s">
        <v>799</v>
      </c>
      <c r="BRX1737" s="663" t="s">
        <v>628</v>
      </c>
      <c r="BRY1737" s="633"/>
      <c r="BRZ1737" s="664"/>
      <c r="BSA1737" s="664"/>
      <c r="BSB1737" s="664"/>
      <c r="BSC1737" s="664"/>
      <c r="BSD1737" s="664"/>
      <c r="BSE1737" s="664"/>
      <c r="BSF1737" s="664"/>
      <c r="BSG1737" s="630"/>
      <c r="BSH1737" s="631"/>
      <c r="BSI1737" s="655"/>
      <c r="BSJ1737" s="734" t="s">
        <v>0</v>
      </c>
      <c r="BSK1737" s="735" t="s">
        <v>1690</v>
      </c>
      <c r="BSL1737" s="843" t="e">
        <f>#REF!</f>
        <v>#REF!</v>
      </c>
      <c r="BSM1737" s="662" t="s">
        <v>799</v>
      </c>
      <c r="BSN1737" s="663" t="s">
        <v>628</v>
      </c>
      <c r="BSO1737" s="633"/>
      <c r="BSP1737" s="664"/>
      <c r="BSQ1737" s="664"/>
      <c r="BSR1737" s="664"/>
      <c r="BSS1737" s="664"/>
      <c r="BST1737" s="664"/>
      <c r="BSU1737" s="664"/>
      <c r="BSV1737" s="664"/>
      <c r="BSW1737" s="630"/>
      <c r="BSX1737" s="631"/>
      <c r="BSY1737" s="655"/>
      <c r="BSZ1737" s="734" t="s">
        <v>0</v>
      </c>
      <c r="BTA1737" s="735" t="s">
        <v>1690</v>
      </c>
      <c r="BTB1737" s="843" t="e">
        <f>#REF!</f>
        <v>#REF!</v>
      </c>
      <c r="BTC1737" s="662" t="s">
        <v>799</v>
      </c>
      <c r="BTD1737" s="663" t="s">
        <v>628</v>
      </c>
      <c r="BTE1737" s="633"/>
      <c r="BTF1737" s="664"/>
      <c r="BTG1737" s="664"/>
      <c r="BTH1737" s="664"/>
      <c r="BTI1737" s="664"/>
      <c r="BTJ1737" s="664"/>
      <c r="BTK1737" s="664"/>
      <c r="BTL1737" s="664"/>
      <c r="BTM1737" s="630"/>
      <c r="BTN1737" s="631"/>
      <c r="BTO1737" s="655"/>
      <c r="BTP1737" s="734" t="s">
        <v>0</v>
      </c>
      <c r="BTQ1737" s="735" t="s">
        <v>1690</v>
      </c>
      <c r="BTR1737" s="843" t="e">
        <f>#REF!</f>
        <v>#REF!</v>
      </c>
      <c r="BTS1737" s="662" t="s">
        <v>799</v>
      </c>
      <c r="BTT1737" s="663" t="s">
        <v>628</v>
      </c>
      <c r="BTU1737" s="633"/>
      <c r="BTV1737" s="664"/>
      <c r="BTW1737" s="664"/>
      <c r="BTX1737" s="664"/>
      <c r="BTY1737" s="664"/>
      <c r="BTZ1737" s="664"/>
      <c r="BUA1737" s="664"/>
      <c r="BUB1737" s="664"/>
      <c r="BUC1737" s="630"/>
      <c r="BUD1737" s="631"/>
      <c r="BUE1737" s="655"/>
      <c r="BUF1737" s="734" t="s">
        <v>0</v>
      </c>
      <c r="BUG1737" s="735" t="s">
        <v>1690</v>
      </c>
      <c r="BUH1737" s="843" t="e">
        <f>#REF!</f>
        <v>#REF!</v>
      </c>
      <c r="BUI1737" s="662" t="s">
        <v>799</v>
      </c>
      <c r="BUJ1737" s="663" t="s">
        <v>628</v>
      </c>
      <c r="BUK1737" s="633"/>
      <c r="BUL1737" s="664"/>
      <c r="BUM1737" s="664"/>
      <c r="BUN1737" s="664"/>
      <c r="BUO1737" s="664"/>
      <c r="BUP1737" s="664"/>
      <c r="BUQ1737" s="664"/>
      <c r="BUR1737" s="664"/>
      <c r="BUS1737" s="630"/>
      <c r="BUT1737" s="631"/>
      <c r="BUU1737" s="655"/>
      <c r="BUV1737" s="734" t="s">
        <v>0</v>
      </c>
      <c r="BUW1737" s="735" t="s">
        <v>1690</v>
      </c>
      <c r="BUX1737" s="843" t="e">
        <f>#REF!</f>
        <v>#REF!</v>
      </c>
      <c r="BUY1737" s="662" t="s">
        <v>799</v>
      </c>
      <c r="BUZ1737" s="663" t="s">
        <v>628</v>
      </c>
      <c r="BVA1737" s="633"/>
      <c r="BVB1737" s="664"/>
      <c r="BVC1737" s="664"/>
      <c r="BVD1737" s="664"/>
      <c r="BVE1737" s="664"/>
      <c r="BVF1737" s="664"/>
      <c r="BVG1737" s="664"/>
      <c r="BVH1737" s="664"/>
      <c r="BVI1737" s="630"/>
      <c r="BVJ1737" s="631"/>
      <c r="BVK1737" s="655"/>
      <c r="BVL1737" s="734" t="s">
        <v>0</v>
      </c>
      <c r="BVM1737" s="735" t="s">
        <v>1690</v>
      </c>
      <c r="BVN1737" s="843" t="e">
        <f>#REF!</f>
        <v>#REF!</v>
      </c>
      <c r="BVO1737" s="662" t="s">
        <v>799</v>
      </c>
      <c r="BVP1737" s="663" t="s">
        <v>628</v>
      </c>
      <c r="BVQ1737" s="633"/>
      <c r="BVR1737" s="664"/>
      <c r="BVS1737" s="664"/>
      <c r="BVT1737" s="664"/>
      <c r="BVU1737" s="664"/>
      <c r="BVV1737" s="664"/>
      <c r="BVW1737" s="664"/>
      <c r="BVX1737" s="664"/>
      <c r="BVY1737" s="630"/>
      <c r="BVZ1737" s="631"/>
      <c r="BWA1737" s="655"/>
      <c r="BWB1737" s="734" t="s">
        <v>0</v>
      </c>
      <c r="BWC1737" s="735" t="s">
        <v>1690</v>
      </c>
      <c r="BWD1737" s="843" t="e">
        <f>#REF!</f>
        <v>#REF!</v>
      </c>
      <c r="BWE1737" s="662" t="s">
        <v>799</v>
      </c>
      <c r="BWF1737" s="663" t="s">
        <v>628</v>
      </c>
      <c r="BWG1737" s="633"/>
      <c r="BWH1737" s="664"/>
      <c r="BWI1737" s="664"/>
      <c r="BWJ1737" s="664"/>
      <c r="BWK1737" s="664"/>
      <c r="BWL1737" s="664"/>
      <c r="BWM1737" s="664"/>
      <c r="BWN1737" s="664"/>
      <c r="BWO1737" s="630"/>
      <c r="BWP1737" s="631"/>
      <c r="BWQ1737" s="655"/>
      <c r="BWR1737" s="734" t="s">
        <v>0</v>
      </c>
      <c r="BWS1737" s="735" t="s">
        <v>1690</v>
      </c>
      <c r="BWT1737" s="843" t="e">
        <f>#REF!</f>
        <v>#REF!</v>
      </c>
      <c r="BWU1737" s="662" t="s">
        <v>799</v>
      </c>
      <c r="BWV1737" s="663" t="s">
        <v>628</v>
      </c>
      <c r="BWW1737" s="633"/>
      <c r="BWX1737" s="664"/>
      <c r="BWY1737" s="664"/>
      <c r="BWZ1737" s="664"/>
      <c r="BXA1737" s="664"/>
      <c r="BXB1737" s="664"/>
      <c r="BXC1737" s="664"/>
      <c r="BXD1737" s="664"/>
      <c r="BXE1737" s="630"/>
      <c r="BXF1737" s="631"/>
      <c r="BXG1737" s="655"/>
      <c r="BXH1737" s="734" t="s">
        <v>0</v>
      </c>
      <c r="BXI1737" s="735" t="s">
        <v>1690</v>
      </c>
      <c r="BXJ1737" s="843" t="e">
        <f>#REF!</f>
        <v>#REF!</v>
      </c>
      <c r="BXK1737" s="662" t="s">
        <v>799</v>
      </c>
      <c r="BXL1737" s="663" t="s">
        <v>628</v>
      </c>
      <c r="BXM1737" s="633"/>
      <c r="BXN1737" s="664"/>
      <c r="BXO1737" s="664"/>
      <c r="BXP1737" s="664"/>
      <c r="BXQ1737" s="664"/>
      <c r="BXR1737" s="664"/>
      <c r="BXS1737" s="664"/>
      <c r="BXT1737" s="664"/>
      <c r="BXU1737" s="630"/>
      <c r="BXV1737" s="631"/>
      <c r="BXW1737" s="655"/>
      <c r="BXX1737" s="734" t="s">
        <v>0</v>
      </c>
      <c r="BXY1737" s="735" t="s">
        <v>1690</v>
      </c>
      <c r="BXZ1737" s="843" t="e">
        <f>#REF!</f>
        <v>#REF!</v>
      </c>
      <c r="BYA1737" s="662" t="s">
        <v>799</v>
      </c>
      <c r="BYB1737" s="663" t="s">
        <v>628</v>
      </c>
      <c r="BYC1737" s="633"/>
      <c r="BYD1737" s="664"/>
      <c r="BYE1737" s="664"/>
      <c r="BYF1737" s="664"/>
      <c r="BYG1737" s="664"/>
      <c r="BYH1737" s="664"/>
      <c r="BYI1737" s="664"/>
      <c r="BYJ1737" s="664"/>
      <c r="BYK1737" s="630"/>
      <c r="BYL1737" s="631"/>
      <c r="BYM1737" s="655"/>
      <c r="BYN1737" s="734" t="s">
        <v>0</v>
      </c>
      <c r="BYO1737" s="735" t="s">
        <v>1690</v>
      </c>
      <c r="BYP1737" s="843" t="e">
        <f>#REF!</f>
        <v>#REF!</v>
      </c>
      <c r="BYQ1737" s="662" t="s">
        <v>799</v>
      </c>
      <c r="BYR1737" s="663" t="s">
        <v>628</v>
      </c>
      <c r="BYS1737" s="633"/>
      <c r="BYT1737" s="664"/>
      <c r="BYU1737" s="664"/>
      <c r="BYV1737" s="664"/>
      <c r="BYW1737" s="664"/>
      <c r="BYX1737" s="664"/>
      <c r="BYY1737" s="664"/>
      <c r="BYZ1737" s="664"/>
      <c r="BZA1737" s="630"/>
      <c r="BZB1737" s="631"/>
      <c r="BZC1737" s="655"/>
      <c r="BZD1737" s="734" t="s">
        <v>0</v>
      </c>
      <c r="BZE1737" s="735" t="s">
        <v>1690</v>
      </c>
      <c r="BZF1737" s="843" t="e">
        <f>#REF!</f>
        <v>#REF!</v>
      </c>
      <c r="BZG1737" s="662" t="s">
        <v>799</v>
      </c>
      <c r="BZH1737" s="663" t="s">
        <v>628</v>
      </c>
      <c r="BZI1737" s="633"/>
      <c r="BZJ1737" s="664"/>
      <c r="BZK1737" s="664"/>
      <c r="BZL1737" s="664"/>
      <c r="BZM1737" s="664"/>
      <c r="BZN1737" s="664"/>
      <c r="BZO1737" s="664"/>
      <c r="BZP1737" s="664"/>
      <c r="BZQ1737" s="630"/>
      <c r="BZR1737" s="631"/>
      <c r="BZS1737" s="655"/>
      <c r="BZT1737" s="734" t="s">
        <v>0</v>
      </c>
      <c r="BZU1737" s="735" t="s">
        <v>1690</v>
      </c>
      <c r="BZV1737" s="843" t="e">
        <f>#REF!</f>
        <v>#REF!</v>
      </c>
      <c r="BZW1737" s="662" t="s">
        <v>799</v>
      </c>
      <c r="BZX1737" s="663" t="s">
        <v>628</v>
      </c>
      <c r="BZY1737" s="633"/>
      <c r="BZZ1737" s="664"/>
      <c r="CAA1737" s="664"/>
      <c r="CAB1737" s="664"/>
      <c r="CAC1737" s="664"/>
      <c r="CAD1737" s="664"/>
      <c r="CAE1737" s="664"/>
      <c r="CAF1737" s="664"/>
      <c r="CAG1737" s="630"/>
      <c r="CAH1737" s="631"/>
      <c r="CAI1737" s="655"/>
      <c r="CAJ1737" s="734" t="s">
        <v>0</v>
      </c>
      <c r="CAK1737" s="735" t="s">
        <v>1690</v>
      </c>
      <c r="CAL1737" s="843" t="e">
        <f>#REF!</f>
        <v>#REF!</v>
      </c>
      <c r="CAM1737" s="662" t="s">
        <v>799</v>
      </c>
      <c r="CAN1737" s="663" t="s">
        <v>628</v>
      </c>
      <c r="CAO1737" s="633"/>
      <c r="CAP1737" s="664"/>
      <c r="CAQ1737" s="664"/>
      <c r="CAR1737" s="664"/>
      <c r="CAS1737" s="664"/>
      <c r="CAT1737" s="664"/>
      <c r="CAU1737" s="664"/>
      <c r="CAV1737" s="664"/>
      <c r="CAW1737" s="630"/>
      <c r="CAX1737" s="631"/>
      <c r="CAY1737" s="655"/>
      <c r="CAZ1737" s="734" t="s">
        <v>0</v>
      </c>
      <c r="CBA1737" s="735" t="s">
        <v>1690</v>
      </c>
      <c r="CBB1737" s="843" t="e">
        <f>#REF!</f>
        <v>#REF!</v>
      </c>
      <c r="CBC1737" s="662" t="s">
        <v>799</v>
      </c>
      <c r="CBD1737" s="663" t="s">
        <v>628</v>
      </c>
      <c r="CBE1737" s="633"/>
      <c r="CBF1737" s="664"/>
      <c r="CBG1737" s="664"/>
      <c r="CBH1737" s="664"/>
      <c r="CBI1737" s="664"/>
      <c r="CBJ1737" s="664"/>
      <c r="CBK1737" s="664"/>
      <c r="CBL1737" s="664"/>
      <c r="CBM1737" s="630"/>
      <c r="CBN1737" s="631"/>
      <c r="CBO1737" s="655"/>
      <c r="CBP1737" s="734" t="s">
        <v>0</v>
      </c>
      <c r="CBQ1737" s="735" t="s">
        <v>1690</v>
      </c>
      <c r="CBR1737" s="843" t="e">
        <f>#REF!</f>
        <v>#REF!</v>
      </c>
      <c r="CBS1737" s="662" t="s">
        <v>799</v>
      </c>
      <c r="CBT1737" s="663" t="s">
        <v>628</v>
      </c>
      <c r="CBU1737" s="633"/>
      <c r="CBV1737" s="664"/>
      <c r="CBW1737" s="664"/>
      <c r="CBX1737" s="664"/>
      <c r="CBY1737" s="664"/>
      <c r="CBZ1737" s="664"/>
      <c r="CCA1737" s="664"/>
      <c r="CCB1737" s="664"/>
      <c r="CCC1737" s="630"/>
      <c r="CCD1737" s="631"/>
      <c r="CCE1737" s="655"/>
      <c r="CCF1737" s="734" t="s">
        <v>0</v>
      </c>
      <c r="CCG1737" s="735" t="s">
        <v>1690</v>
      </c>
      <c r="CCH1737" s="843" t="e">
        <f>#REF!</f>
        <v>#REF!</v>
      </c>
      <c r="CCI1737" s="662" t="s">
        <v>799</v>
      </c>
      <c r="CCJ1737" s="663" t="s">
        <v>628</v>
      </c>
      <c r="CCK1737" s="633"/>
      <c r="CCL1737" s="664"/>
      <c r="CCM1737" s="664"/>
      <c r="CCN1737" s="664"/>
      <c r="CCO1737" s="664"/>
      <c r="CCP1737" s="664"/>
      <c r="CCQ1737" s="664"/>
      <c r="CCR1737" s="664"/>
      <c r="CCS1737" s="630"/>
      <c r="CCT1737" s="631"/>
      <c r="CCU1737" s="655"/>
      <c r="CCV1737" s="734" t="s">
        <v>0</v>
      </c>
      <c r="CCW1737" s="735" t="s">
        <v>1690</v>
      </c>
      <c r="CCX1737" s="843" t="e">
        <f>#REF!</f>
        <v>#REF!</v>
      </c>
      <c r="CCY1737" s="662" t="s">
        <v>799</v>
      </c>
      <c r="CCZ1737" s="663" t="s">
        <v>628</v>
      </c>
      <c r="CDA1737" s="633"/>
      <c r="CDB1737" s="664"/>
      <c r="CDC1737" s="664"/>
      <c r="CDD1737" s="664"/>
      <c r="CDE1737" s="664"/>
      <c r="CDF1737" s="664"/>
      <c r="CDG1737" s="664"/>
      <c r="CDH1737" s="664"/>
      <c r="CDI1737" s="630"/>
      <c r="CDJ1737" s="631"/>
      <c r="CDK1737" s="655"/>
      <c r="CDL1737" s="734" t="s">
        <v>0</v>
      </c>
      <c r="CDM1737" s="735" t="s">
        <v>1690</v>
      </c>
      <c r="CDN1737" s="843" t="e">
        <f>#REF!</f>
        <v>#REF!</v>
      </c>
      <c r="CDO1737" s="662" t="s">
        <v>799</v>
      </c>
      <c r="CDP1737" s="663" t="s">
        <v>628</v>
      </c>
      <c r="CDQ1737" s="633"/>
      <c r="CDR1737" s="664"/>
      <c r="CDS1737" s="664"/>
      <c r="CDT1737" s="664"/>
      <c r="CDU1737" s="664"/>
      <c r="CDV1737" s="664"/>
      <c r="CDW1737" s="664"/>
      <c r="CDX1737" s="664"/>
      <c r="CDY1737" s="630"/>
      <c r="CDZ1737" s="631"/>
      <c r="CEA1737" s="655"/>
      <c r="CEB1737" s="734" t="s">
        <v>0</v>
      </c>
      <c r="CEC1737" s="735" t="s">
        <v>1690</v>
      </c>
      <c r="CED1737" s="843" t="e">
        <f>#REF!</f>
        <v>#REF!</v>
      </c>
      <c r="CEE1737" s="662" t="s">
        <v>799</v>
      </c>
      <c r="CEF1737" s="663" t="s">
        <v>628</v>
      </c>
      <c r="CEG1737" s="633"/>
      <c r="CEH1737" s="664"/>
      <c r="CEI1737" s="664"/>
      <c r="CEJ1737" s="664"/>
      <c r="CEK1737" s="664"/>
      <c r="CEL1737" s="664"/>
      <c r="CEM1737" s="664"/>
      <c r="CEN1737" s="664"/>
      <c r="CEO1737" s="630"/>
      <c r="CEP1737" s="631"/>
      <c r="CEQ1737" s="655"/>
      <c r="CER1737" s="734" t="s">
        <v>0</v>
      </c>
      <c r="CES1737" s="735" t="s">
        <v>1690</v>
      </c>
      <c r="CET1737" s="843" t="e">
        <f>#REF!</f>
        <v>#REF!</v>
      </c>
      <c r="CEU1737" s="662" t="s">
        <v>799</v>
      </c>
      <c r="CEV1737" s="663" t="s">
        <v>628</v>
      </c>
      <c r="CEW1737" s="633"/>
      <c r="CEX1737" s="664"/>
      <c r="CEY1737" s="664"/>
      <c r="CEZ1737" s="664"/>
      <c r="CFA1737" s="664"/>
      <c r="CFB1737" s="664"/>
      <c r="CFC1737" s="664"/>
      <c r="CFD1737" s="664"/>
      <c r="CFE1737" s="630"/>
      <c r="CFF1737" s="631"/>
      <c r="CFG1737" s="655"/>
      <c r="CFH1737" s="734" t="s">
        <v>0</v>
      </c>
      <c r="CFI1737" s="735" t="s">
        <v>1690</v>
      </c>
      <c r="CFJ1737" s="843" t="e">
        <f>#REF!</f>
        <v>#REF!</v>
      </c>
      <c r="CFK1737" s="662" t="s">
        <v>799</v>
      </c>
      <c r="CFL1737" s="663" t="s">
        <v>628</v>
      </c>
      <c r="CFM1737" s="633"/>
      <c r="CFN1737" s="664"/>
      <c r="CFO1737" s="664"/>
      <c r="CFP1737" s="664"/>
      <c r="CFQ1737" s="664"/>
      <c r="CFR1737" s="664"/>
      <c r="CFS1737" s="664"/>
      <c r="CFT1737" s="664"/>
      <c r="CFU1737" s="630"/>
      <c r="CFV1737" s="631"/>
      <c r="CFW1737" s="655"/>
      <c r="CFX1737" s="734" t="s">
        <v>0</v>
      </c>
      <c r="CFY1737" s="735" t="s">
        <v>1690</v>
      </c>
      <c r="CFZ1737" s="843" t="e">
        <f>#REF!</f>
        <v>#REF!</v>
      </c>
      <c r="CGA1737" s="662" t="s">
        <v>799</v>
      </c>
      <c r="CGB1737" s="663" t="s">
        <v>628</v>
      </c>
      <c r="CGC1737" s="633"/>
      <c r="CGD1737" s="664"/>
      <c r="CGE1737" s="664"/>
      <c r="CGF1737" s="664"/>
      <c r="CGG1737" s="664"/>
      <c r="CGH1737" s="664"/>
      <c r="CGI1737" s="664"/>
      <c r="CGJ1737" s="664"/>
      <c r="CGK1737" s="630"/>
      <c r="CGL1737" s="631"/>
      <c r="CGM1737" s="655"/>
      <c r="CGN1737" s="734" t="s">
        <v>0</v>
      </c>
      <c r="CGO1737" s="735" t="s">
        <v>1690</v>
      </c>
      <c r="CGP1737" s="843" t="e">
        <f>#REF!</f>
        <v>#REF!</v>
      </c>
      <c r="CGQ1737" s="662" t="s">
        <v>799</v>
      </c>
      <c r="CGR1737" s="663" t="s">
        <v>628</v>
      </c>
      <c r="CGS1737" s="633"/>
      <c r="CGT1737" s="664"/>
      <c r="CGU1737" s="664"/>
      <c r="CGV1737" s="664"/>
      <c r="CGW1737" s="664"/>
      <c r="CGX1737" s="664"/>
      <c r="CGY1737" s="664"/>
      <c r="CGZ1737" s="664"/>
      <c r="CHA1737" s="630"/>
      <c r="CHB1737" s="631"/>
      <c r="CHC1737" s="655"/>
      <c r="CHD1737" s="734" t="s">
        <v>0</v>
      </c>
      <c r="CHE1737" s="735" t="s">
        <v>1690</v>
      </c>
      <c r="CHF1737" s="843" t="e">
        <f>#REF!</f>
        <v>#REF!</v>
      </c>
      <c r="CHG1737" s="662" t="s">
        <v>799</v>
      </c>
      <c r="CHH1737" s="663" t="s">
        <v>628</v>
      </c>
      <c r="CHI1737" s="633"/>
      <c r="CHJ1737" s="664"/>
      <c r="CHK1737" s="664"/>
      <c r="CHL1737" s="664"/>
      <c r="CHM1737" s="664"/>
      <c r="CHN1737" s="664"/>
      <c r="CHO1737" s="664"/>
      <c r="CHP1737" s="664"/>
      <c r="CHQ1737" s="630"/>
      <c r="CHR1737" s="631"/>
      <c r="CHS1737" s="655"/>
      <c r="CHT1737" s="734" t="s">
        <v>0</v>
      </c>
      <c r="CHU1737" s="735" t="s">
        <v>1690</v>
      </c>
      <c r="CHV1737" s="843" t="e">
        <f>#REF!</f>
        <v>#REF!</v>
      </c>
      <c r="CHW1737" s="662" t="s">
        <v>799</v>
      </c>
      <c r="CHX1737" s="663" t="s">
        <v>628</v>
      </c>
      <c r="CHY1737" s="633"/>
      <c r="CHZ1737" s="664"/>
      <c r="CIA1737" s="664"/>
      <c r="CIB1737" s="664"/>
      <c r="CIC1737" s="664"/>
      <c r="CID1737" s="664"/>
      <c r="CIE1737" s="664"/>
      <c r="CIF1737" s="664"/>
      <c r="CIG1737" s="630"/>
      <c r="CIH1737" s="631"/>
      <c r="CII1737" s="655"/>
      <c r="CIJ1737" s="734" t="s">
        <v>0</v>
      </c>
      <c r="CIK1737" s="735" t="s">
        <v>1690</v>
      </c>
      <c r="CIL1737" s="843" t="e">
        <f>#REF!</f>
        <v>#REF!</v>
      </c>
      <c r="CIM1737" s="662" t="s">
        <v>799</v>
      </c>
      <c r="CIN1737" s="663" t="s">
        <v>628</v>
      </c>
      <c r="CIO1737" s="633"/>
      <c r="CIP1737" s="664"/>
      <c r="CIQ1737" s="664"/>
      <c r="CIR1737" s="664"/>
      <c r="CIS1737" s="664"/>
      <c r="CIT1737" s="664"/>
      <c r="CIU1737" s="664"/>
      <c r="CIV1737" s="664"/>
      <c r="CIW1737" s="630"/>
      <c r="CIX1737" s="631"/>
      <c r="CIY1737" s="655"/>
      <c r="CIZ1737" s="734" t="s">
        <v>0</v>
      </c>
      <c r="CJA1737" s="735" t="s">
        <v>1690</v>
      </c>
      <c r="CJB1737" s="843" t="e">
        <f>#REF!</f>
        <v>#REF!</v>
      </c>
      <c r="CJC1737" s="662" t="s">
        <v>799</v>
      </c>
      <c r="CJD1737" s="663" t="s">
        <v>628</v>
      </c>
      <c r="CJE1737" s="633"/>
      <c r="CJF1737" s="664"/>
      <c r="CJG1737" s="664"/>
      <c r="CJH1737" s="664"/>
      <c r="CJI1737" s="664"/>
      <c r="CJJ1737" s="664"/>
      <c r="CJK1737" s="664"/>
      <c r="CJL1737" s="664"/>
      <c r="CJM1737" s="630"/>
      <c r="CJN1737" s="631"/>
      <c r="CJO1737" s="655"/>
      <c r="CJP1737" s="734" t="s">
        <v>0</v>
      </c>
      <c r="CJQ1737" s="735" t="s">
        <v>1690</v>
      </c>
      <c r="CJR1737" s="843" t="e">
        <f>#REF!</f>
        <v>#REF!</v>
      </c>
      <c r="CJS1737" s="662" t="s">
        <v>799</v>
      </c>
      <c r="CJT1737" s="663" t="s">
        <v>628</v>
      </c>
      <c r="CJU1737" s="633"/>
      <c r="CJV1737" s="664"/>
      <c r="CJW1737" s="664"/>
      <c r="CJX1737" s="664"/>
      <c r="CJY1737" s="664"/>
      <c r="CJZ1737" s="664"/>
      <c r="CKA1737" s="664"/>
      <c r="CKB1737" s="664"/>
      <c r="CKC1737" s="630"/>
      <c r="CKD1737" s="631"/>
      <c r="CKE1737" s="655"/>
      <c r="CKF1737" s="734" t="s">
        <v>0</v>
      </c>
      <c r="CKG1737" s="735" t="s">
        <v>1690</v>
      </c>
      <c r="CKH1737" s="843" t="e">
        <f>#REF!</f>
        <v>#REF!</v>
      </c>
      <c r="CKI1737" s="662" t="s">
        <v>799</v>
      </c>
      <c r="CKJ1737" s="663" t="s">
        <v>628</v>
      </c>
      <c r="CKK1737" s="633"/>
      <c r="CKL1737" s="664"/>
      <c r="CKM1737" s="664"/>
      <c r="CKN1737" s="664"/>
      <c r="CKO1737" s="664"/>
      <c r="CKP1737" s="664"/>
      <c r="CKQ1737" s="664"/>
      <c r="CKR1737" s="664"/>
      <c r="CKS1737" s="630"/>
      <c r="CKT1737" s="631"/>
      <c r="CKU1737" s="655"/>
      <c r="CKV1737" s="734" t="s">
        <v>0</v>
      </c>
      <c r="CKW1737" s="735" t="s">
        <v>1690</v>
      </c>
      <c r="CKX1737" s="843" t="e">
        <f>#REF!</f>
        <v>#REF!</v>
      </c>
      <c r="CKY1737" s="662" t="s">
        <v>799</v>
      </c>
      <c r="CKZ1737" s="663" t="s">
        <v>628</v>
      </c>
      <c r="CLA1737" s="633"/>
      <c r="CLB1737" s="664"/>
      <c r="CLC1737" s="664"/>
      <c r="CLD1737" s="664"/>
      <c r="CLE1737" s="664"/>
      <c r="CLF1737" s="664"/>
      <c r="CLG1737" s="664"/>
      <c r="CLH1737" s="664"/>
      <c r="CLI1737" s="630"/>
      <c r="CLJ1737" s="631"/>
      <c r="CLK1737" s="655"/>
      <c r="CLL1737" s="734" t="s">
        <v>0</v>
      </c>
      <c r="CLM1737" s="735" t="s">
        <v>1690</v>
      </c>
      <c r="CLN1737" s="843" t="e">
        <f>#REF!</f>
        <v>#REF!</v>
      </c>
      <c r="CLO1737" s="662" t="s">
        <v>799</v>
      </c>
      <c r="CLP1737" s="663" t="s">
        <v>628</v>
      </c>
      <c r="CLQ1737" s="633"/>
      <c r="CLR1737" s="664"/>
      <c r="CLS1737" s="664"/>
      <c r="CLT1737" s="664"/>
      <c r="CLU1737" s="664"/>
      <c r="CLV1737" s="664"/>
      <c r="CLW1737" s="664"/>
      <c r="CLX1737" s="664"/>
      <c r="CLY1737" s="630"/>
      <c r="CLZ1737" s="631"/>
      <c r="CMA1737" s="655"/>
      <c r="CMB1737" s="734" t="s">
        <v>0</v>
      </c>
      <c r="CMC1737" s="735" t="s">
        <v>1690</v>
      </c>
      <c r="CMD1737" s="843" t="e">
        <f>#REF!</f>
        <v>#REF!</v>
      </c>
      <c r="CME1737" s="662" t="s">
        <v>799</v>
      </c>
      <c r="CMF1737" s="663" t="s">
        <v>628</v>
      </c>
      <c r="CMG1737" s="633"/>
      <c r="CMH1737" s="664"/>
      <c r="CMI1737" s="664"/>
      <c r="CMJ1737" s="664"/>
      <c r="CMK1737" s="664"/>
      <c r="CML1737" s="664"/>
      <c r="CMM1737" s="664"/>
      <c r="CMN1737" s="664"/>
      <c r="CMO1737" s="630"/>
      <c r="CMP1737" s="631"/>
      <c r="CMQ1737" s="655"/>
      <c r="CMR1737" s="734" t="s">
        <v>0</v>
      </c>
      <c r="CMS1737" s="735" t="s">
        <v>1690</v>
      </c>
      <c r="CMT1737" s="843" t="e">
        <f>#REF!</f>
        <v>#REF!</v>
      </c>
      <c r="CMU1737" s="662" t="s">
        <v>799</v>
      </c>
      <c r="CMV1737" s="663" t="s">
        <v>628</v>
      </c>
      <c r="CMW1737" s="633"/>
      <c r="CMX1737" s="664"/>
      <c r="CMY1737" s="664"/>
      <c r="CMZ1737" s="664"/>
      <c r="CNA1737" s="664"/>
      <c r="CNB1737" s="664"/>
      <c r="CNC1737" s="664"/>
      <c r="CND1737" s="664"/>
      <c r="CNE1737" s="630"/>
      <c r="CNF1737" s="631"/>
      <c r="CNG1737" s="655"/>
      <c r="CNH1737" s="734" t="s">
        <v>0</v>
      </c>
      <c r="CNI1737" s="735" t="s">
        <v>1690</v>
      </c>
      <c r="CNJ1737" s="843" t="e">
        <f>#REF!</f>
        <v>#REF!</v>
      </c>
      <c r="CNK1737" s="662" t="s">
        <v>799</v>
      </c>
      <c r="CNL1737" s="663" t="s">
        <v>628</v>
      </c>
      <c r="CNM1737" s="633"/>
      <c r="CNN1737" s="664"/>
      <c r="CNO1737" s="664"/>
      <c r="CNP1737" s="664"/>
      <c r="CNQ1737" s="664"/>
      <c r="CNR1737" s="664"/>
      <c r="CNS1737" s="664"/>
      <c r="CNT1737" s="664"/>
      <c r="CNU1737" s="630"/>
      <c r="CNV1737" s="631"/>
      <c r="CNW1737" s="655"/>
      <c r="CNX1737" s="734" t="s">
        <v>0</v>
      </c>
      <c r="CNY1737" s="735" t="s">
        <v>1690</v>
      </c>
      <c r="CNZ1737" s="843" t="e">
        <f>#REF!</f>
        <v>#REF!</v>
      </c>
      <c r="COA1737" s="662" t="s">
        <v>799</v>
      </c>
      <c r="COB1737" s="663" t="s">
        <v>628</v>
      </c>
      <c r="COC1737" s="633"/>
      <c r="COD1737" s="664"/>
      <c r="COE1737" s="664"/>
      <c r="COF1737" s="664"/>
      <c r="COG1737" s="664"/>
      <c r="COH1737" s="664"/>
      <c r="COI1737" s="664"/>
      <c r="COJ1737" s="664"/>
      <c r="COK1737" s="630"/>
      <c r="COL1737" s="631"/>
      <c r="COM1737" s="655"/>
      <c r="CON1737" s="734" t="s">
        <v>0</v>
      </c>
      <c r="COO1737" s="735" t="s">
        <v>1690</v>
      </c>
      <c r="COP1737" s="843" t="e">
        <f>#REF!</f>
        <v>#REF!</v>
      </c>
      <c r="COQ1737" s="662" t="s">
        <v>799</v>
      </c>
      <c r="COR1737" s="663" t="s">
        <v>628</v>
      </c>
      <c r="COS1737" s="633"/>
      <c r="COT1737" s="664"/>
      <c r="COU1737" s="664"/>
      <c r="COV1737" s="664"/>
      <c r="COW1737" s="664"/>
      <c r="COX1737" s="664"/>
      <c r="COY1737" s="664"/>
      <c r="COZ1737" s="664"/>
      <c r="CPA1737" s="630"/>
      <c r="CPB1737" s="631"/>
      <c r="CPC1737" s="655"/>
      <c r="CPD1737" s="734" t="s">
        <v>0</v>
      </c>
      <c r="CPE1737" s="735" t="s">
        <v>1690</v>
      </c>
      <c r="CPF1737" s="843" t="e">
        <f>#REF!</f>
        <v>#REF!</v>
      </c>
      <c r="CPG1737" s="662" t="s">
        <v>799</v>
      </c>
      <c r="CPH1737" s="663" t="s">
        <v>628</v>
      </c>
      <c r="CPI1737" s="633"/>
      <c r="CPJ1737" s="664"/>
      <c r="CPK1737" s="664"/>
      <c r="CPL1737" s="664"/>
      <c r="CPM1737" s="664"/>
      <c r="CPN1737" s="664"/>
      <c r="CPO1737" s="664"/>
      <c r="CPP1737" s="664"/>
      <c r="CPQ1737" s="630"/>
      <c r="CPR1737" s="631"/>
      <c r="CPS1737" s="655"/>
      <c r="CPT1737" s="734" t="s">
        <v>0</v>
      </c>
      <c r="CPU1737" s="735" t="s">
        <v>1690</v>
      </c>
      <c r="CPV1737" s="843" t="e">
        <f>#REF!</f>
        <v>#REF!</v>
      </c>
      <c r="CPW1737" s="662" t="s">
        <v>799</v>
      </c>
      <c r="CPX1737" s="663" t="s">
        <v>628</v>
      </c>
      <c r="CPY1737" s="633"/>
      <c r="CPZ1737" s="664"/>
      <c r="CQA1737" s="664"/>
      <c r="CQB1737" s="664"/>
      <c r="CQC1737" s="664"/>
      <c r="CQD1737" s="664"/>
      <c r="CQE1737" s="664"/>
      <c r="CQF1737" s="664"/>
      <c r="CQG1737" s="630"/>
      <c r="CQH1737" s="631"/>
      <c r="CQI1737" s="655"/>
      <c r="CQJ1737" s="734" t="s">
        <v>0</v>
      </c>
      <c r="CQK1737" s="735" t="s">
        <v>1690</v>
      </c>
      <c r="CQL1737" s="843" t="e">
        <f>#REF!</f>
        <v>#REF!</v>
      </c>
      <c r="CQM1737" s="662" t="s">
        <v>799</v>
      </c>
      <c r="CQN1737" s="663" t="s">
        <v>628</v>
      </c>
      <c r="CQO1737" s="633"/>
      <c r="CQP1737" s="664"/>
      <c r="CQQ1737" s="664"/>
      <c r="CQR1737" s="664"/>
      <c r="CQS1737" s="664"/>
      <c r="CQT1737" s="664"/>
      <c r="CQU1737" s="664"/>
      <c r="CQV1737" s="664"/>
      <c r="CQW1737" s="630"/>
      <c r="CQX1737" s="631"/>
      <c r="CQY1737" s="655"/>
      <c r="CQZ1737" s="734" t="s">
        <v>0</v>
      </c>
      <c r="CRA1737" s="735" t="s">
        <v>1690</v>
      </c>
      <c r="CRB1737" s="843" t="e">
        <f>#REF!</f>
        <v>#REF!</v>
      </c>
      <c r="CRC1737" s="662" t="s">
        <v>799</v>
      </c>
      <c r="CRD1737" s="663" t="s">
        <v>628</v>
      </c>
      <c r="CRE1737" s="633"/>
      <c r="CRF1737" s="664"/>
      <c r="CRG1737" s="664"/>
      <c r="CRH1737" s="664"/>
      <c r="CRI1737" s="664"/>
      <c r="CRJ1737" s="664"/>
      <c r="CRK1737" s="664"/>
      <c r="CRL1737" s="664"/>
      <c r="CRM1737" s="630"/>
      <c r="CRN1737" s="631"/>
      <c r="CRO1737" s="655"/>
      <c r="CRP1737" s="734" t="s">
        <v>0</v>
      </c>
      <c r="CRQ1737" s="735" t="s">
        <v>1690</v>
      </c>
      <c r="CRR1737" s="843" t="e">
        <f>#REF!</f>
        <v>#REF!</v>
      </c>
      <c r="CRS1737" s="662" t="s">
        <v>799</v>
      </c>
      <c r="CRT1737" s="663" t="s">
        <v>628</v>
      </c>
      <c r="CRU1737" s="633"/>
      <c r="CRV1737" s="664"/>
      <c r="CRW1737" s="664"/>
      <c r="CRX1737" s="664"/>
      <c r="CRY1737" s="664"/>
      <c r="CRZ1737" s="664"/>
      <c r="CSA1737" s="664"/>
      <c r="CSB1737" s="664"/>
      <c r="CSC1737" s="630"/>
      <c r="CSD1737" s="631"/>
      <c r="CSE1737" s="655"/>
      <c r="CSF1737" s="734" t="s">
        <v>0</v>
      </c>
      <c r="CSG1737" s="735" t="s">
        <v>1690</v>
      </c>
      <c r="CSH1737" s="843" t="e">
        <f>#REF!</f>
        <v>#REF!</v>
      </c>
      <c r="CSI1737" s="662" t="s">
        <v>799</v>
      </c>
      <c r="CSJ1737" s="663" t="s">
        <v>628</v>
      </c>
      <c r="CSK1737" s="633"/>
      <c r="CSL1737" s="664"/>
      <c r="CSM1737" s="664"/>
      <c r="CSN1737" s="664"/>
      <c r="CSO1737" s="664"/>
      <c r="CSP1737" s="664"/>
      <c r="CSQ1737" s="664"/>
      <c r="CSR1737" s="664"/>
      <c r="CSS1737" s="630"/>
      <c r="CST1737" s="631"/>
      <c r="CSU1737" s="655"/>
      <c r="CSV1737" s="734" t="s">
        <v>0</v>
      </c>
      <c r="CSW1737" s="735" t="s">
        <v>1690</v>
      </c>
      <c r="CSX1737" s="843" t="e">
        <f>#REF!</f>
        <v>#REF!</v>
      </c>
      <c r="CSY1737" s="662" t="s">
        <v>799</v>
      </c>
      <c r="CSZ1737" s="663" t="s">
        <v>628</v>
      </c>
      <c r="CTA1737" s="633"/>
      <c r="CTB1737" s="664"/>
      <c r="CTC1737" s="664"/>
      <c r="CTD1737" s="664"/>
      <c r="CTE1737" s="664"/>
      <c r="CTF1737" s="664"/>
      <c r="CTG1737" s="664"/>
      <c r="CTH1737" s="664"/>
      <c r="CTI1737" s="630"/>
      <c r="CTJ1737" s="631"/>
      <c r="CTK1737" s="655"/>
      <c r="CTL1737" s="734" t="s">
        <v>0</v>
      </c>
      <c r="CTM1737" s="735" t="s">
        <v>1690</v>
      </c>
      <c r="CTN1737" s="843" t="e">
        <f>#REF!</f>
        <v>#REF!</v>
      </c>
      <c r="CTO1737" s="662" t="s">
        <v>799</v>
      </c>
      <c r="CTP1737" s="663" t="s">
        <v>628</v>
      </c>
      <c r="CTQ1737" s="633"/>
      <c r="CTR1737" s="664"/>
      <c r="CTS1737" s="664"/>
      <c r="CTT1737" s="664"/>
      <c r="CTU1737" s="664"/>
      <c r="CTV1737" s="664"/>
      <c r="CTW1737" s="664"/>
      <c r="CTX1737" s="664"/>
      <c r="CTY1737" s="630"/>
      <c r="CTZ1737" s="631"/>
      <c r="CUA1737" s="655"/>
      <c r="CUB1737" s="734" t="s">
        <v>0</v>
      </c>
      <c r="CUC1737" s="735" t="s">
        <v>1690</v>
      </c>
      <c r="CUD1737" s="843" t="e">
        <f>#REF!</f>
        <v>#REF!</v>
      </c>
      <c r="CUE1737" s="662" t="s">
        <v>799</v>
      </c>
      <c r="CUF1737" s="663" t="s">
        <v>628</v>
      </c>
      <c r="CUG1737" s="633"/>
      <c r="CUH1737" s="664"/>
      <c r="CUI1737" s="664"/>
      <c r="CUJ1737" s="664"/>
      <c r="CUK1737" s="664"/>
      <c r="CUL1737" s="664"/>
      <c r="CUM1737" s="664"/>
      <c r="CUN1737" s="664"/>
      <c r="CUO1737" s="630"/>
      <c r="CUP1737" s="631"/>
      <c r="CUQ1737" s="655"/>
      <c r="CUR1737" s="734" t="s">
        <v>0</v>
      </c>
      <c r="CUS1737" s="735" t="s">
        <v>1690</v>
      </c>
      <c r="CUT1737" s="843" t="e">
        <f>#REF!</f>
        <v>#REF!</v>
      </c>
      <c r="CUU1737" s="662" t="s">
        <v>799</v>
      </c>
      <c r="CUV1737" s="663" t="s">
        <v>628</v>
      </c>
      <c r="CUW1737" s="633"/>
      <c r="CUX1737" s="664"/>
      <c r="CUY1737" s="664"/>
      <c r="CUZ1737" s="664"/>
      <c r="CVA1737" s="664"/>
      <c r="CVB1737" s="664"/>
      <c r="CVC1737" s="664"/>
      <c r="CVD1737" s="664"/>
      <c r="CVE1737" s="630"/>
      <c r="CVF1737" s="631"/>
      <c r="CVG1737" s="655"/>
      <c r="CVH1737" s="734" t="s">
        <v>0</v>
      </c>
      <c r="CVI1737" s="735" t="s">
        <v>1690</v>
      </c>
      <c r="CVJ1737" s="843" t="e">
        <f>#REF!</f>
        <v>#REF!</v>
      </c>
      <c r="CVK1737" s="662" t="s">
        <v>799</v>
      </c>
      <c r="CVL1737" s="663" t="s">
        <v>628</v>
      </c>
      <c r="CVM1737" s="633"/>
      <c r="CVN1737" s="664"/>
      <c r="CVO1737" s="664"/>
      <c r="CVP1737" s="664"/>
      <c r="CVQ1737" s="664"/>
      <c r="CVR1737" s="664"/>
      <c r="CVS1737" s="664"/>
      <c r="CVT1737" s="664"/>
      <c r="CVU1737" s="630"/>
      <c r="CVV1737" s="631"/>
      <c r="CVW1737" s="655"/>
      <c r="CVX1737" s="734" t="s">
        <v>0</v>
      </c>
      <c r="CVY1737" s="735" t="s">
        <v>1690</v>
      </c>
      <c r="CVZ1737" s="843" t="e">
        <f>#REF!</f>
        <v>#REF!</v>
      </c>
      <c r="CWA1737" s="662" t="s">
        <v>799</v>
      </c>
      <c r="CWB1737" s="663" t="s">
        <v>628</v>
      </c>
      <c r="CWC1737" s="633"/>
      <c r="CWD1737" s="664"/>
      <c r="CWE1737" s="664"/>
      <c r="CWF1737" s="664"/>
      <c r="CWG1737" s="664"/>
      <c r="CWH1737" s="664"/>
      <c r="CWI1737" s="664"/>
      <c r="CWJ1737" s="664"/>
      <c r="CWK1737" s="630"/>
      <c r="CWL1737" s="631"/>
      <c r="CWM1737" s="655"/>
      <c r="CWN1737" s="734" t="s">
        <v>0</v>
      </c>
      <c r="CWO1737" s="735" t="s">
        <v>1690</v>
      </c>
      <c r="CWP1737" s="843" t="e">
        <f>#REF!</f>
        <v>#REF!</v>
      </c>
      <c r="CWQ1737" s="662" t="s">
        <v>799</v>
      </c>
      <c r="CWR1737" s="663" t="s">
        <v>628</v>
      </c>
      <c r="CWS1737" s="633"/>
      <c r="CWT1737" s="664"/>
      <c r="CWU1737" s="664"/>
      <c r="CWV1737" s="664"/>
      <c r="CWW1737" s="664"/>
      <c r="CWX1737" s="664"/>
      <c r="CWY1737" s="664"/>
      <c r="CWZ1737" s="664"/>
      <c r="CXA1737" s="630"/>
      <c r="CXB1737" s="631"/>
      <c r="CXC1737" s="655"/>
      <c r="CXD1737" s="734" t="s">
        <v>0</v>
      </c>
      <c r="CXE1737" s="735" t="s">
        <v>1690</v>
      </c>
      <c r="CXF1737" s="843" t="e">
        <f>#REF!</f>
        <v>#REF!</v>
      </c>
      <c r="CXG1737" s="662" t="s">
        <v>799</v>
      </c>
      <c r="CXH1737" s="663" t="s">
        <v>628</v>
      </c>
      <c r="CXI1737" s="633"/>
      <c r="CXJ1737" s="664"/>
      <c r="CXK1737" s="664"/>
      <c r="CXL1737" s="664"/>
      <c r="CXM1737" s="664"/>
      <c r="CXN1737" s="664"/>
      <c r="CXO1737" s="664"/>
      <c r="CXP1737" s="664"/>
      <c r="CXQ1737" s="630"/>
      <c r="CXR1737" s="631"/>
      <c r="CXS1737" s="655"/>
      <c r="CXT1737" s="734" t="s">
        <v>0</v>
      </c>
      <c r="CXU1737" s="735" t="s">
        <v>1690</v>
      </c>
      <c r="CXV1737" s="843" t="e">
        <f>#REF!</f>
        <v>#REF!</v>
      </c>
      <c r="CXW1737" s="662" t="s">
        <v>799</v>
      </c>
      <c r="CXX1737" s="663" t="s">
        <v>628</v>
      </c>
      <c r="CXY1737" s="633"/>
      <c r="CXZ1737" s="664"/>
      <c r="CYA1737" s="664"/>
      <c r="CYB1737" s="664"/>
      <c r="CYC1737" s="664"/>
      <c r="CYD1737" s="664"/>
      <c r="CYE1737" s="664"/>
      <c r="CYF1737" s="664"/>
      <c r="CYG1737" s="630"/>
      <c r="CYH1737" s="631"/>
      <c r="CYI1737" s="655"/>
      <c r="CYJ1737" s="734" t="s">
        <v>0</v>
      </c>
      <c r="CYK1737" s="735" t="s">
        <v>1690</v>
      </c>
      <c r="CYL1737" s="843" t="e">
        <f>#REF!</f>
        <v>#REF!</v>
      </c>
      <c r="CYM1737" s="662" t="s">
        <v>799</v>
      </c>
      <c r="CYN1737" s="663" t="s">
        <v>628</v>
      </c>
      <c r="CYO1737" s="633"/>
      <c r="CYP1737" s="664"/>
      <c r="CYQ1737" s="664"/>
      <c r="CYR1737" s="664"/>
      <c r="CYS1737" s="664"/>
      <c r="CYT1737" s="664"/>
      <c r="CYU1737" s="664"/>
      <c r="CYV1737" s="664"/>
      <c r="CYW1737" s="630"/>
      <c r="CYX1737" s="631"/>
      <c r="CYY1737" s="655"/>
      <c r="CYZ1737" s="734" t="s">
        <v>0</v>
      </c>
      <c r="CZA1737" s="735" t="s">
        <v>1690</v>
      </c>
      <c r="CZB1737" s="843" t="e">
        <f>#REF!</f>
        <v>#REF!</v>
      </c>
      <c r="CZC1737" s="662" t="s">
        <v>799</v>
      </c>
      <c r="CZD1737" s="663" t="s">
        <v>628</v>
      </c>
      <c r="CZE1737" s="633"/>
      <c r="CZF1737" s="664"/>
      <c r="CZG1737" s="664"/>
      <c r="CZH1737" s="664"/>
      <c r="CZI1737" s="664"/>
      <c r="CZJ1737" s="664"/>
      <c r="CZK1737" s="664"/>
      <c r="CZL1737" s="664"/>
      <c r="CZM1737" s="630"/>
      <c r="CZN1737" s="631"/>
      <c r="CZO1737" s="655"/>
      <c r="CZP1737" s="734" t="s">
        <v>0</v>
      </c>
      <c r="CZQ1737" s="735" t="s">
        <v>1690</v>
      </c>
      <c r="CZR1737" s="843" t="e">
        <f>#REF!</f>
        <v>#REF!</v>
      </c>
      <c r="CZS1737" s="662" t="s">
        <v>799</v>
      </c>
      <c r="CZT1737" s="663" t="s">
        <v>628</v>
      </c>
      <c r="CZU1737" s="633"/>
      <c r="CZV1737" s="664"/>
      <c r="CZW1737" s="664"/>
      <c r="CZX1737" s="664"/>
      <c r="CZY1737" s="664"/>
      <c r="CZZ1737" s="664"/>
      <c r="DAA1737" s="664"/>
      <c r="DAB1737" s="664"/>
      <c r="DAC1737" s="630"/>
      <c r="DAD1737" s="631"/>
      <c r="DAE1737" s="655"/>
      <c r="DAF1737" s="734" t="s">
        <v>0</v>
      </c>
      <c r="DAG1737" s="735" t="s">
        <v>1690</v>
      </c>
      <c r="DAH1737" s="843" t="e">
        <f>#REF!</f>
        <v>#REF!</v>
      </c>
      <c r="DAI1737" s="662" t="s">
        <v>799</v>
      </c>
      <c r="DAJ1737" s="663" t="s">
        <v>628</v>
      </c>
      <c r="DAK1737" s="633"/>
      <c r="DAL1737" s="664"/>
      <c r="DAM1737" s="664"/>
      <c r="DAN1737" s="664"/>
      <c r="DAO1737" s="664"/>
      <c r="DAP1737" s="664"/>
      <c r="DAQ1737" s="664"/>
      <c r="DAR1737" s="664"/>
      <c r="DAS1737" s="630"/>
      <c r="DAT1737" s="631"/>
      <c r="DAU1737" s="655"/>
      <c r="DAV1737" s="734" t="s">
        <v>0</v>
      </c>
      <c r="DAW1737" s="735" t="s">
        <v>1690</v>
      </c>
      <c r="DAX1737" s="843" t="e">
        <f>#REF!</f>
        <v>#REF!</v>
      </c>
      <c r="DAY1737" s="662" t="s">
        <v>799</v>
      </c>
      <c r="DAZ1737" s="663" t="s">
        <v>628</v>
      </c>
      <c r="DBA1737" s="633"/>
      <c r="DBB1737" s="664"/>
      <c r="DBC1737" s="664"/>
      <c r="DBD1737" s="664"/>
      <c r="DBE1737" s="664"/>
      <c r="DBF1737" s="664"/>
      <c r="DBG1737" s="664"/>
      <c r="DBH1737" s="664"/>
      <c r="DBI1737" s="630"/>
      <c r="DBJ1737" s="631"/>
      <c r="DBK1737" s="655"/>
      <c r="DBL1737" s="734" t="s">
        <v>0</v>
      </c>
      <c r="DBM1737" s="735" t="s">
        <v>1690</v>
      </c>
      <c r="DBN1737" s="843" t="e">
        <f>#REF!</f>
        <v>#REF!</v>
      </c>
      <c r="DBO1737" s="662" t="s">
        <v>799</v>
      </c>
      <c r="DBP1737" s="663" t="s">
        <v>628</v>
      </c>
      <c r="DBQ1737" s="633"/>
      <c r="DBR1737" s="664"/>
      <c r="DBS1737" s="664"/>
      <c r="DBT1737" s="664"/>
      <c r="DBU1737" s="664"/>
      <c r="DBV1737" s="664"/>
      <c r="DBW1737" s="664"/>
      <c r="DBX1737" s="664"/>
      <c r="DBY1737" s="630"/>
      <c r="DBZ1737" s="631"/>
      <c r="DCA1737" s="655"/>
      <c r="DCB1737" s="734" t="s">
        <v>0</v>
      </c>
      <c r="DCC1737" s="735" t="s">
        <v>1690</v>
      </c>
      <c r="DCD1737" s="843" t="e">
        <f>#REF!</f>
        <v>#REF!</v>
      </c>
      <c r="DCE1737" s="662" t="s">
        <v>799</v>
      </c>
      <c r="DCF1737" s="663" t="s">
        <v>628</v>
      </c>
      <c r="DCG1737" s="633"/>
      <c r="DCH1737" s="664"/>
      <c r="DCI1737" s="664"/>
      <c r="DCJ1737" s="664"/>
      <c r="DCK1737" s="664"/>
      <c r="DCL1737" s="664"/>
      <c r="DCM1737" s="664"/>
      <c r="DCN1737" s="664"/>
      <c r="DCO1737" s="630"/>
      <c r="DCP1737" s="631"/>
      <c r="DCQ1737" s="655"/>
      <c r="DCR1737" s="734" t="s">
        <v>0</v>
      </c>
      <c r="DCS1737" s="735" t="s">
        <v>1690</v>
      </c>
      <c r="DCT1737" s="843" t="e">
        <f>#REF!</f>
        <v>#REF!</v>
      </c>
      <c r="DCU1737" s="662" t="s">
        <v>799</v>
      </c>
      <c r="DCV1737" s="663" t="s">
        <v>628</v>
      </c>
      <c r="DCW1737" s="633"/>
      <c r="DCX1737" s="664"/>
      <c r="DCY1737" s="664"/>
      <c r="DCZ1737" s="664"/>
      <c r="DDA1737" s="664"/>
      <c r="DDB1737" s="664"/>
      <c r="DDC1737" s="664"/>
      <c r="DDD1737" s="664"/>
      <c r="DDE1737" s="630"/>
      <c r="DDF1737" s="631"/>
      <c r="DDG1737" s="655"/>
      <c r="DDH1737" s="734" t="s">
        <v>0</v>
      </c>
      <c r="DDI1737" s="735" t="s">
        <v>1690</v>
      </c>
      <c r="DDJ1737" s="843" t="e">
        <f>#REF!</f>
        <v>#REF!</v>
      </c>
      <c r="DDK1737" s="662" t="s">
        <v>799</v>
      </c>
      <c r="DDL1737" s="663" t="s">
        <v>628</v>
      </c>
      <c r="DDM1737" s="633"/>
      <c r="DDN1737" s="664"/>
      <c r="DDO1737" s="664"/>
      <c r="DDP1737" s="664"/>
      <c r="DDQ1737" s="664"/>
      <c r="DDR1737" s="664"/>
      <c r="DDS1737" s="664"/>
      <c r="DDT1737" s="664"/>
      <c r="DDU1737" s="630"/>
      <c r="DDV1737" s="631"/>
      <c r="DDW1737" s="655"/>
      <c r="DDX1737" s="734" t="s">
        <v>0</v>
      </c>
      <c r="DDY1737" s="735" t="s">
        <v>1690</v>
      </c>
      <c r="DDZ1737" s="843" t="e">
        <f>#REF!</f>
        <v>#REF!</v>
      </c>
      <c r="DEA1737" s="662" t="s">
        <v>799</v>
      </c>
      <c r="DEB1737" s="663" t="s">
        <v>628</v>
      </c>
      <c r="DEC1737" s="633"/>
      <c r="DED1737" s="664"/>
      <c r="DEE1737" s="664"/>
      <c r="DEF1737" s="664"/>
      <c r="DEG1737" s="664"/>
      <c r="DEH1737" s="664"/>
      <c r="DEI1737" s="664"/>
      <c r="DEJ1737" s="664"/>
      <c r="DEK1737" s="630"/>
      <c r="DEL1737" s="631"/>
      <c r="DEM1737" s="655"/>
      <c r="DEN1737" s="734" t="s">
        <v>0</v>
      </c>
      <c r="DEO1737" s="735" t="s">
        <v>1690</v>
      </c>
      <c r="DEP1737" s="843" t="e">
        <f>#REF!</f>
        <v>#REF!</v>
      </c>
      <c r="DEQ1737" s="662" t="s">
        <v>799</v>
      </c>
      <c r="DER1737" s="663" t="s">
        <v>628</v>
      </c>
      <c r="DES1737" s="633"/>
      <c r="DET1737" s="664"/>
      <c r="DEU1737" s="664"/>
      <c r="DEV1737" s="664"/>
      <c r="DEW1737" s="664"/>
      <c r="DEX1737" s="664"/>
      <c r="DEY1737" s="664"/>
      <c r="DEZ1737" s="664"/>
      <c r="DFA1737" s="630"/>
      <c r="DFB1737" s="631"/>
      <c r="DFC1737" s="655"/>
      <c r="DFD1737" s="734" t="s">
        <v>0</v>
      </c>
      <c r="DFE1737" s="735" t="s">
        <v>1690</v>
      </c>
      <c r="DFF1737" s="843" t="e">
        <f>#REF!</f>
        <v>#REF!</v>
      </c>
      <c r="DFG1737" s="662" t="s">
        <v>799</v>
      </c>
      <c r="DFH1737" s="663" t="s">
        <v>628</v>
      </c>
      <c r="DFI1737" s="633"/>
      <c r="DFJ1737" s="664"/>
      <c r="DFK1737" s="664"/>
      <c r="DFL1737" s="664"/>
      <c r="DFM1737" s="664"/>
      <c r="DFN1737" s="664"/>
      <c r="DFO1737" s="664"/>
      <c r="DFP1737" s="664"/>
      <c r="DFQ1737" s="630"/>
      <c r="DFR1737" s="631"/>
      <c r="DFS1737" s="655"/>
      <c r="DFT1737" s="734" t="s">
        <v>0</v>
      </c>
      <c r="DFU1737" s="735" t="s">
        <v>1690</v>
      </c>
      <c r="DFV1737" s="843" t="e">
        <f>#REF!</f>
        <v>#REF!</v>
      </c>
      <c r="DFW1737" s="662" t="s">
        <v>799</v>
      </c>
      <c r="DFX1737" s="663" t="s">
        <v>628</v>
      </c>
      <c r="DFY1737" s="633"/>
      <c r="DFZ1737" s="664"/>
      <c r="DGA1737" s="664"/>
      <c r="DGB1737" s="664"/>
      <c r="DGC1737" s="664"/>
      <c r="DGD1737" s="664"/>
      <c r="DGE1737" s="664"/>
      <c r="DGF1737" s="664"/>
      <c r="DGG1737" s="630"/>
      <c r="DGH1737" s="631"/>
      <c r="DGI1737" s="655"/>
      <c r="DGJ1737" s="734" t="s">
        <v>0</v>
      </c>
      <c r="DGK1737" s="735" t="s">
        <v>1690</v>
      </c>
      <c r="DGL1737" s="843" t="e">
        <f>#REF!</f>
        <v>#REF!</v>
      </c>
      <c r="DGM1737" s="662" t="s">
        <v>799</v>
      </c>
      <c r="DGN1737" s="663" t="s">
        <v>628</v>
      </c>
      <c r="DGO1737" s="633"/>
      <c r="DGP1737" s="664"/>
      <c r="DGQ1737" s="664"/>
      <c r="DGR1737" s="664"/>
      <c r="DGS1737" s="664"/>
      <c r="DGT1737" s="664"/>
      <c r="DGU1737" s="664"/>
      <c r="DGV1737" s="664"/>
      <c r="DGW1737" s="630"/>
      <c r="DGX1737" s="631"/>
      <c r="DGY1737" s="655"/>
      <c r="DGZ1737" s="734" t="s">
        <v>0</v>
      </c>
      <c r="DHA1737" s="735" t="s">
        <v>1690</v>
      </c>
      <c r="DHB1737" s="843" t="e">
        <f>#REF!</f>
        <v>#REF!</v>
      </c>
      <c r="DHC1737" s="662" t="s">
        <v>799</v>
      </c>
      <c r="DHD1737" s="663" t="s">
        <v>628</v>
      </c>
      <c r="DHE1737" s="633"/>
      <c r="DHF1737" s="664"/>
      <c r="DHG1737" s="664"/>
      <c r="DHH1737" s="664"/>
      <c r="DHI1737" s="664"/>
      <c r="DHJ1737" s="664"/>
      <c r="DHK1737" s="664"/>
      <c r="DHL1737" s="664"/>
      <c r="DHM1737" s="630"/>
      <c r="DHN1737" s="631"/>
      <c r="DHO1737" s="655"/>
      <c r="DHP1737" s="734" t="s">
        <v>0</v>
      </c>
      <c r="DHQ1737" s="735" t="s">
        <v>1690</v>
      </c>
      <c r="DHR1737" s="843" t="e">
        <f>#REF!</f>
        <v>#REF!</v>
      </c>
      <c r="DHS1737" s="662" t="s">
        <v>799</v>
      </c>
      <c r="DHT1737" s="663" t="s">
        <v>628</v>
      </c>
      <c r="DHU1737" s="633"/>
      <c r="DHV1737" s="664"/>
      <c r="DHW1737" s="664"/>
      <c r="DHX1737" s="664"/>
      <c r="DHY1737" s="664"/>
      <c r="DHZ1737" s="664"/>
      <c r="DIA1737" s="664"/>
      <c r="DIB1737" s="664"/>
      <c r="DIC1737" s="630"/>
      <c r="DID1737" s="631"/>
      <c r="DIE1737" s="655"/>
      <c r="DIF1737" s="734" t="s">
        <v>0</v>
      </c>
      <c r="DIG1737" s="735" t="s">
        <v>1690</v>
      </c>
      <c r="DIH1737" s="843" t="e">
        <f>#REF!</f>
        <v>#REF!</v>
      </c>
      <c r="DII1737" s="662" t="s">
        <v>799</v>
      </c>
      <c r="DIJ1737" s="663" t="s">
        <v>628</v>
      </c>
      <c r="DIK1737" s="633"/>
      <c r="DIL1737" s="664"/>
      <c r="DIM1737" s="664"/>
      <c r="DIN1737" s="664"/>
      <c r="DIO1737" s="664"/>
      <c r="DIP1737" s="664"/>
      <c r="DIQ1737" s="664"/>
      <c r="DIR1737" s="664"/>
      <c r="DIS1737" s="630"/>
      <c r="DIT1737" s="631"/>
      <c r="DIU1737" s="655"/>
      <c r="DIV1737" s="734" t="s">
        <v>0</v>
      </c>
      <c r="DIW1737" s="735" t="s">
        <v>1690</v>
      </c>
      <c r="DIX1737" s="843" t="e">
        <f>#REF!</f>
        <v>#REF!</v>
      </c>
      <c r="DIY1737" s="662" t="s">
        <v>799</v>
      </c>
      <c r="DIZ1737" s="663" t="s">
        <v>628</v>
      </c>
      <c r="DJA1737" s="633"/>
      <c r="DJB1737" s="664"/>
      <c r="DJC1737" s="664"/>
      <c r="DJD1737" s="664"/>
      <c r="DJE1737" s="664"/>
      <c r="DJF1737" s="664"/>
      <c r="DJG1737" s="664"/>
      <c r="DJH1737" s="664"/>
      <c r="DJI1737" s="630"/>
      <c r="DJJ1737" s="631"/>
      <c r="DJK1737" s="655"/>
      <c r="DJL1737" s="734" t="s">
        <v>0</v>
      </c>
      <c r="DJM1737" s="735" t="s">
        <v>1690</v>
      </c>
      <c r="DJN1737" s="843" t="e">
        <f>#REF!</f>
        <v>#REF!</v>
      </c>
      <c r="DJO1737" s="662" t="s">
        <v>799</v>
      </c>
      <c r="DJP1737" s="663" t="s">
        <v>628</v>
      </c>
      <c r="DJQ1737" s="633"/>
      <c r="DJR1737" s="664"/>
      <c r="DJS1737" s="664"/>
      <c r="DJT1737" s="664"/>
      <c r="DJU1737" s="664"/>
      <c r="DJV1737" s="664"/>
      <c r="DJW1737" s="664"/>
      <c r="DJX1737" s="664"/>
      <c r="DJY1737" s="630"/>
      <c r="DJZ1737" s="631"/>
      <c r="DKA1737" s="655"/>
      <c r="DKB1737" s="734" t="s">
        <v>0</v>
      </c>
      <c r="DKC1737" s="735" t="s">
        <v>1690</v>
      </c>
      <c r="DKD1737" s="843" t="e">
        <f>#REF!</f>
        <v>#REF!</v>
      </c>
      <c r="DKE1737" s="662" t="s">
        <v>799</v>
      </c>
      <c r="DKF1737" s="663" t="s">
        <v>628</v>
      </c>
      <c r="DKG1737" s="633"/>
      <c r="DKH1737" s="664"/>
      <c r="DKI1737" s="664"/>
      <c r="DKJ1737" s="664"/>
      <c r="DKK1737" s="664"/>
      <c r="DKL1737" s="664"/>
      <c r="DKM1737" s="664"/>
      <c r="DKN1737" s="664"/>
      <c r="DKO1737" s="630"/>
      <c r="DKP1737" s="631"/>
      <c r="DKQ1737" s="655"/>
      <c r="DKR1737" s="734" t="s">
        <v>0</v>
      </c>
      <c r="DKS1737" s="735" t="s">
        <v>1690</v>
      </c>
      <c r="DKT1737" s="843" t="e">
        <f>#REF!</f>
        <v>#REF!</v>
      </c>
      <c r="DKU1737" s="662" t="s">
        <v>799</v>
      </c>
      <c r="DKV1737" s="663" t="s">
        <v>628</v>
      </c>
      <c r="DKW1737" s="633"/>
      <c r="DKX1737" s="664"/>
      <c r="DKY1737" s="664"/>
      <c r="DKZ1737" s="664"/>
      <c r="DLA1737" s="664"/>
      <c r="DLB1737" s="664"/>
      <c r="DLC1737" s="664"/>
      <c r="DLD1737" s="664"/>
      <c r="DLE1737" s="630"/>
      <c r="DLF1737" s="631"/>
      <c r="DLG1737" s="655"/>
      <c r="DLH1737" s="734" t="s">
        <v>0</v>
      </c>
      <c r="DLI1737" s="735" t="s">
        <v>1690</v>
      </c>
      <c r="DLJ1737" s="843" t="e">
        <f>#REF!</f>
        <v>#REF!</v>
      </c>
      <c r="DLK1737" s="662" t="s">
        <v>799</v>
      </c>
      <c r="DLL1737" s="663" t="s">
        <v>628</v>
      </c>
      <c r="DLM1737" s="633"/>
      <c r="DLN1737" s="664"/>
      <c r="DLO1737" s="664"/>
      <c r="DLP1737" s="664"/>
      <c r="DLQ1737" s="664"/>
      <c r="DLR1737" s="664"/>
      <c r="DLS1737" s="664"/>
      <c r="DLT1737" s="664"/>
      <c r="DLU1737" s="630"/>
      <c r="DLV1737" s="631"/>
      <c r="DLW1737" s="655"/>
      <c r="DLX1737" s="734" t="s">
        <v>0</v>
      </c>
      <c r="DLY1737" s="735" t="s">
        <v>1690</v>
      </c>
      <c r="DLZ1737" s="843" t="e">
        <f>#REF!</f>
        <v>#REF!</v>
      </c>
      <c r="DMA1737" s="662" t="s">
        <v>799</v>
      </c>
      <c r="DMB1737" s="663" t="s">
        <v>628</v>
      </c>
      <c r="DMC1737" s="633"/>
      <c r="DMD1737" s="664"/>
      <c r="DME1737" s="664"/>
      <c r="DMF1737" s="664"/>
      <c r="DMG1737" s="664"/>
      <c r="DMH1737" s="664"/>
      <c r="DMI1737" s="664"/>
      <c r="DMJ1737" s="664"/>
      <c r="DMK1737" s="630"/>
      <c r="DML1737" s="631"/>
      <c r="DMM1737" s="655"/>
      <c r="DMN1737" s="734" t="s">
        <v>0</v>
      </c>
      <c r="DMO1737" s="735" t="s">
        <v>1690</v>
      </c>
      <c r="DMP1737" s="843" t="e">
        <f>#REF!</f>
        <v>#REF!</v>
      </c>
      <c r="DMQ1737" s="662" t="s">
        <v>799</v>
      </c>
      <c r="DMR1737" s="663" t="s">
        <v>628</v>
      </c>
      <c r="DMS1737" s="633"/>
      <c r="DMT1737" s="664"/>
      <c r="DMU1737" s="664"/>
      <c r="DMV1737" s="664"/>
      <c r="DMW1737" s="664"/>
      <c r="DMX1737" s="664"/>
      <c r="DMY1737" s="664"/>
      <c r="DMZ1737" s="664"/>
      <c r="DNA1737" s="630"/>
      <c r="DNB1737" s="631"/>
      <c r="DNC1737" s="655"/>
      <c r="DND1737" s="734" t="s">
        <v>0</v>
      </c>
      <c r="DNE1737" s="735" t="s">
        <v>1690</v>
      </c>
      <c r="DNF1737" s="843" t="e">
        <f>#REF!</f>
        <v>#REF!</v>
      </c>
      <c r="DNG1737" s="662" t="s">
        <v>799</v>
      </c>
      <c r="DNH1737" s="663" t="s">
        <v>628</v>
      </c>
      <c r="DNI1737" s="633"/>
      <c r="DNJ1737" s="664"/>
      <c r="DNK1737" s="664"/>
      <c r="DNL1737" s="664"/>
      <c r="DNM1737" s="664"/>
      <c r="DNN1737" s="664"/>
      <c r="DNO1737" s="664"/>
      <c r="DNP1737" s="664"/>
      <c r="DNQ1737" s="630"/>
      <c r="DNR1737" s="631"/>
      <c r="DNS1737" s="655"/>
      <c r="DNT1737" s="734" t="s">
        <v>0</v>
      </c>
      <c r="DNU1737" s="735" t="s">
        <v>1690</v>
      </c>
      <c r="DNV1737" s="843" t="e">
        <f>#REF!</f>
        <v>#REF!</v>
      </c>
      <c r="DNW1737" s="662" t="s">
        <v>799</v>
      </c>
      <c r="DNX1737" s="663" t="s">
        <v>628</v>
      </c>
      <c r="DNY1737" s="633"/>
      <c r="DNZ1737" s="664"/>
      <c r="DOA1737" s="664"/>
      <c r="DOB1737" s="664"/>
      <c r="DOC1737" s="664"/>
      <c r="DOD1737" s="664"/>
      <c r="DOE1737" s="664"/>
      <c r="DOF1737" s="664"/>
      <c r="DOG1737" s="630"/>
      <c r="DOH1737" s="631"/>
      <c r="DOI1737" s="655"/>
      <c r="DOJ1737" s="734" t="s">
        <v>0</v>
      </c>
      <c r="DOK1737" s="735" t="s">
        <v>1690</v>
      </c>
      <c r="DOL1737" s="843" t="e">
        <f>#REF!</f>
        <v>#REF!</v>
      </c>
      <c r="DOM1737" s="662" t="s">
        <v>799</v>
      </c>
      <c r="DON1737" s="663" t="s">
        <v>628</v>
      </c>
      <c r="DOO1737" s="633"/>
      <c r="DOP1737" s="664"/>
      <c r="DOQ1737" s="664"/>
      <c r="DOR1737" s="664"/>
      <c r="DOS1737" s="664"/>
      <c r="DOT1737" s="664"/>
      <c r="DOU1737" s="664"/>
      <c r="DOV1737" s="664"/>
      <c r="DOW1737" s="630"/>
      <c r="DOX1737" s="631"/>
      <c r="DOY1737" s="655"/>
      <c r="DOZ1737" s="734" t="s">
        <v>0</v>
      </c>
      <c r="DPA1737" s="735" t="s">
        <v>1690</v>
      </c>
      <c r="DPB1737" s="843" t="e">
        <f>#REF!</f>
        <v>#REF!</v>
      </c>
      <c r="DPC1737" s="662" t="s">
        <v>799</v>
      </c>
      <c r="DPD1737" s="663" t="s">
        <v>628</v>
      </c>
      <c r="DPE1737" s="633"/>
      <c r="DPF1737" s="664"/>
      <c r="DPG1737" s="664"/>
      <c r="DPH1737" s="664"/>
      <c r="DPI1737" s="664"/>
      <c r="DPJ1737" s="664"/>
      <c r="DPK1737" s="664"/>
      <c r="DPL1737" s="664"/>
      <c r="DPM1737" s="630"/>
      <c r="DPN1737" s="631"/>
      <c r="DPO1737" s="655"/>
      <c r="DPP1737" s="734" t="s">
        <v>0</v>
      </c>
      <c r="DPQ1737" s="735" t="s">
        <v>1690</v>
      </c>
      <c r="DPR1737" s="843" t="e">
        <f>#REF!</f>
        <v>#REF!</v>
      </c>
      <c r="DPS1737" s="662" t="s">
        <v>799</v>
      </c>
      <c r="DPT1737" s="663" t="s">
        <v>628</v>
      </c>
      <c r="DPU1737" s="633"/>
      <c r="DPV1737" s="664"/>
      <c r="DPW1737" s="664"/>
      <c r="DPX1737" s="664"/>
      <c r="DPY1737" s="664"/>
      <c r="DPZ1737" s="664"/>
      <c r="DQA1737" s="664"/>
      <c r="DQB1737" s="664"/>
      <c r="DQC1737" s="630"/>
      <c r="DQD1737" s="631"/>
      <c r="DQE1737" s="655"/>
      <c r="DQF1737" s="734" t="s">
        <v>0</v>
      </c>
      <c r="DQG1737" s="735" t="s">
        <v>1690</v>
      </c>
      <c r="DQH1737" s="843" t="e">
        <f>#REF!</f>
        <v>#REF!</v>
      </c>
      <c r="DQI1737" s="662" t="s">
        <v>799</v>
      </c>
      <c r="DQJ1737" s="663" t="s">
        <v>628</v>
      </c>
      <c r="DQK1737" s="633"/>
      <c r="DQL1737" s="664"/>
      <c r="DQM1737" s="664"/>
      <c r="DQN1737" s="664"/>
      <c r="DQO1737" s="664"/>
      <c r="DQP1737" s="664"/>
      <c r="DQQ1737" s="664"/>
      <c r="DQR1737" s="664"/>
      <c r="DQS1737" s="630"/>
      <c r="DQT1737" s="631"/>
      <c r="DQU1737" s="655"/>
      <c r="DQV1737" s="734" t="s">
        <v>0</v>
      </c>
      <c r="DQW1737" s="735" t="s">
        <v>1690</v>
      </c>
      <c r="DQX1737" s="843" t="e">
        <f>#REF!</f>
        <v>#REF!</v>
      </c>
      <c r="DQY1737" s="662" t="s">
        <v>799</v>
      </c>
      <c r="DQZ1737" s="663" t="s">
        <v>628</v>
      </c>
      <c r="DRA1737" s="633"/>
      <c r="DRB1737" s="664"/>
      <c r="DRC1737" s="664"/>
      <c r="DRD1737" s="664"/>
      <c r="DRE1737" s="664"/>
      <c r="DRF1737" s="664"/>
      <c r="DRG1737" s="664"/>
      <c r="DRH1737" s="664"/>
      <c r="DRI1737" s="630"/>
      <c r="DRJ1737" s="631"/>
      <c r="DRK1737" s="655"/>
      <c r="DRL1737" s="734" t="s">
        <v>0</v>
      </c>
      <c r="DRM1737" s="735" t="s">
        <v>1690</v>
      </c>
      <c r="DRN1737" s="843" t="e">
        <f>#REF!</f>
        <v>#REF!</v>
      </c>
      <c r="DRO1737" s="662" t="s">
        <v>799</v>
      </c>
      <c r="DRP1737" s="663" t="s">
        <v>628</v>
      </c>
      <c r="DRQ1737" s="633"/>
      <c r="DRR1737" s="664"/>
      <c r="DRS1737" s="664"/>
      <c r="DRT1737" s="664"/>
      <c r="DRU1737" s="664"/>
      <c r="DRV1737" s="664"/>
      <c r="DRW1737" s="664"/>
      <c r="DRX1737" s="664"/>
      <c r="DRY1737" s="630"/>
      <c r="DRZ1737" s="631"/>
      <c r="DSA1737" s="655"/>
      <c r="DSB1737" s="734" t="s">
        <v>0</v>
      </c>
      <c r="DSC1737" s="735" t="s">
        <v>1690</v>
      </c>
      <c r="DSD1737" s="843" t="e">
        <f>#REF!</f>
        <v>#REF!</v>
      </c>
      <c r="DSE1737" s="662" t="s">
        <v>799</v>
      </c>
      <c r="DSF1737" s="663" t="s">
        <v>628</v>
      </c>
      <c r="DSG1737" s="633"/>
      <c r="DSH1737" s="664"/>
      <c r="DSI1737" s="664"/>
      <c r="DSJ1737" s="664"/>
      <c r="DSK1737" s="664"/>
      <c r="DSL1737" s="664"/>
      <c r="DSM1737" s="664"/>
      <c r="DSN1737" s="664"/>
      <c r="DSO1737" s="630"/>
      <c r="DSP1737" s="631"/>
      <c r="DSQ1737" s="655"/>
      <c r="DSR1737" s="734" t="s">
        <v>0</v>
      </c>
      <c r="DSS1737" s="735" t="s">
        <v>1690</v>
      </c>
      <c r="DST1737" s="843" t="e">
        <f>#REF!</f>
        <v>#REF!</v>
      </c>
      <c r="DSU1737" s="662" t="s">
        <v>799</v>
      </c>
      <c r="DSV1737" s="663" t="s">
        <v>628</v>
      </c>
      <c r="DSW1737" s="633"/>
      <c r="DSX1737" s="664"/>
      <c r="DSY1737" s="664"/>
      <c r="DSZ1737" s="664"/>
      <c r="DTA1737" s="664"/>
      <c r="DTB1737" s="664"/>
      <c r="DTC1737" s="664"/>
      <c r="DTD1737" s="664"/>
      <c r="DTE1737" s="630"/>
      <c r="DTF1737" s="631"/>
      <c r="DTG1737" s="655"/>
      <c r="DTH1737" s="734" t="s">
        <v>0</v>
      </c>
      <c r="DTI1737" s="735" t="s">
        <v>1690</v>
      </c>
      <c r="DTJ1737" s="843" t="e">
        <f>#REF!</f>
        <v>#REF!</v>
      </c>
      <c r="DTK1737" s="662" t="s">
        <v>799</v>
      </c>
      <c r="DTL1737" s="663" t="s">
        <v>628</v>
      </c>
      <c r="DTM1737" s="633"/>
      <c r="DTN1737" s="664"/>
      <c r="DTO1737" s="664"/>
      <c r="DTP1737" s="664"/>
      <c r="DTQ1737" s="664"/>
      <c r="DTR1737" s="664"/>
      <c r="DTS1737" s="664"/>
      <c r="DTT1737" s="664"/>
      <c r="DTU1737" s="630"/>
      <c r="DTV1737" s="631"/>
      <c r="DTW1737" s="655"/>
      <c r="DTX1737" s="734" t="s">
        <v>0</v>
      </c>
      <c r="DTY1737" s="735" t="s">
        <v>1690</v>
      </c>
      <c r="DTZ1737" s="843" t="e">
        <f>#REF!</f>
        <v>#REF!</v>
      </c>
      <c r="DUA1737" s="662" t="s">
        <v>799</v>
      </c>
      <c r="DUB1737" s="663" t="s">
        <v>628</v>
      </c>
      <c r="DUC1737" s="633"/>
      <c r="DUD1737" s="664"/>
      <c r="DUE1737" s="664"/>
      <c r="DUF1737" s="664"/>
      <c r="DUG1737" s="664"/>
      <c r="DUH1737" s="664"/>
      <c r="DUI1737" s="664"/>
      <c r="DUJ1737" s="664"/>
      <c r="DUK1737" s="630"/>
      <c r="DUL1737" s="631"/>
      <c r="DUM1737" s="655"/>
      <c r="DUN1737" s="734" t="s">
        <v>0</v>
      </c>
      <c r="DUO1737" s="735" t="s">
        <v>1690</v>
      </c>
      <c r="DUP1737" s="843" t="e">
        <f>#REF!</f>
        <v>#REF!</v>
      </c>
      <c r="DUQ1737" s="662" t="s">
        <v>799</v>
      </c>
      <c r="DUR1737" s="663" t="s">
        <v>628</v>
      </c>
      <c r="DUS1737" s="633"/>
      <c r="DUT1737" s="664"/>
      <c r="DUU1737" s="664"/>
      <c r="DUV1737" s="664"/>
      <c r="DUW1737" s="664"/>
      <c r="DUX1737" s="664"/>
      <c r="DUY1737" s="664"/>
      <c r="DUZ1737" s="664"/>
      <c r="DVA1737" s="630"/>
      <c r="DVB1737" s="631"/>
      <c r="DVC1737" s="655"/>
      <c r="DVD1737" s="734" t="s">
        <v>0</v>
      </c>
      <c r="DVE1737" s="735" t="s">
        <v>1690</v>
      </c>
      <c r="DVF1737" s="843" t="e">
        <f>#REF!</f>
        <v>#REF!</v>
      </c>
      <c r="DVG1737" s="662" t="s">
        <v>799</v>
      </c>
      <c r="DVH1737" s="663" t="s">
        <v>628</v>
      </c>
      <c r="DVI1737" s="633"/>
      <c r="DVJ1737" s="664"/>
      <c r="DVK1737" s="664"/>
      <c r="DVL1737" s="664"/>
      <c r="DVM1737" s="664"/>
      <c r="DVN1737" s="664"/>
      <c r="DVO1737" s="664"/>
      <c r="DVP1737" s="664"/>
      <c r="DVQ1737" s="630"/>
      <c r="DVR1737" s="631"/>
      <c r="DVS1737" s="655"/>
      <c r="DVT1737" s="734" t="s">
        <v>0</v>
      </c>
      <c r="DVU1737" s="735" t="s">
        <v>1690</v>
      </c>
      <c r="DVV1737" s="843" t="e">
        <f>#REF!</f>
        <v>#REF!</v>
      </c>
      <c r="DVW1737" s="662" t="s">
        <v>799</v>
      </c>
      <c r="DVX1737" s="663" t="s">
        <v>628</v>
      </c>
      <c r="DVY1737" s="633"/>
      <c r="DVZ1737" s="664"/>
      <c r="DWA1737" s="664"/>
      <c r="DWB1737" s="664"/>
      <c r="DWC1737" s="664"/>
      <c r="DWD1737" s="664"/>
      <c r="DWE1737" s="664"/>
      <c r="DWF1737" s="664"/>
      <c r="DWG1737" s="630"/>
      <c r="DWH1737" s="631"/>
      <c r="DWI1737" s="655"/>
      <c r="DWJ1737" s="734" t="s">
        <v>0</v>
      </c>
      <c r="DWK1737" s="735" t="s">
        <v>1690</v>
      </c>
      <c r="DWL1737" s="843" t="e">
        <f>#REF!</f>
        <v>#REF!</v>
      </c>
      <c r="DWM1737" s="662" t="s">
        <v>799</v>
      </c>
      <c r="DWN1737" s="663" t="s">
        <v>628</v>
      </c>
      <c r="DWO1737" s="633"/>
      <c r="DWP1737" s="664"/>
      <c r="DWQ1737" s="664"/>
      <c r="DWR1737" s="664"/>
      <c r="DWS1737" s="664"/>
      <c r="DWT1737" s="664"/>
      <c r="DWU1737" s="664"/>
      <c r="DWV1737" s="664"/>
      <c r="DWW1737" s="630"/>
      <c r="DWX1737" s="631"/>
      <c r="DWY1737" s="655"/>
      <c r="DWZ1737" s="734" t="s">
        <v>0</v>
      </c>
      <c r="DXA1737" s="735" t="s">
        <v>1690</v>
      </c>
      <c r="DXB1737" s="843" t="e">
        <f>#REF!</f>
        <v>#REF!</v>
      </c>
      <c r="DXC1737" s="662" t="s">
        <v>799</v>
      </c>
      <c r="DXD1737" s="663" t="s">
        <v>628</v>
      </c>
      <c r="DXE1737" s="633"/>
      <c r="DXF1737" s="664"/>
      <c r="DXG1737" s="664"/>
      <c r="DXH1737" s="664"/>
      <c r="DXI1737" s="664"/>
      <c r="DXJ1737" s="664"/>
      <c r="DXK1737" s="664"/>
      <c r="DXL1737" s="664"/>
      <c r="DXM1737" s="630"/>
      <c r="DXN1737" s="631"/>
      <c r="DXO1737" s="655"/>
      <c r="DXP1737" s="734" t="s">
        <v>0</v>
      </c>
      <c r="DXQ1737" s="735" t="s">
        <v>1690</v>
      </c>
      <c r="DXR1737" s="843" t="e">
        <f>#REF!</f>
        <v>#REF!</v>
      </c>
      <c r="DXS1737" s="662" t="s">
        <v>799</v>
      </c>
      <c r="DXT1737" s="663" t="s">
        <v>628</v>
      </c>
      <c r="DXU1737" s="633"/>
      <c r="DXV1737" s="664"/>
      <c r="DXW1737" s="664"/>
      <c r="DXX1737" s="664"/>
      <c r="DXY1737" s="664"/>
      <c r="DXZ1737" s="664"/>
      <c r="DYA1737" s="664"/>
      <c r="DYB1737" s="664"/>
      <c r="DYC1737" s="630"/>
      <c r="DYD1737" s="631"/>
      <c r="DYE1737" s="655"/>
      <c r="DYF1737" s="734" t="s">
        <v>0</v>
      </c>
      <c r="DYG1737" s="735" t="s">
        <v>1690</v>
      </c>
      <c r="DYH1737" s="843" t="e">
        <f>#REF!</f>
        <v>#REF!</v>
      </c>
      <c r="DYI1737" s="662" t="s">
        <v>799</v>
      </c>
      <c r="DYJ1737" s="663" t="s">
        <v>628</v>
      </c>
      <c r="DYK1737" s="633"/>
      <c r="DYL1737" s="664"/>
      <c r="DYM1737" s="664"/>
      <c r="DYN1737" s="664"/>
      <c r="DYO1737" s="664"/>
      <c r="DYP1737" s="664"/>
      <c r="DYQ1737" s="664"/>
      <c r="DYR1737" s="664"/>
      <c r="DYS1737" s="630"/>
      <c r="DYT1737" s="631"/>
      <c r="DYU1737" s="655"/>
      <c r="DYV1737" s="734" t="s">
        <v>0</v>
      </c>
      <c r="DYW1737" s="735" t="s">
        <v>1690</v>
      </c>
      <c r="DYX1737" s="843" t="e">
        <f>#REF!</f>
        <v>#REF!</v>
      </c>
      <c r="DYY1737" s="662" t="s">
        <v>799</v>
      </c>
      <c r="DYZ1737" s="663" t="s">
        <v>628</v>
      </c>
      <c r="DZA1737" s="633"/>
      <c r="DZB1737" s="664"/>
      <c r="DZC1737" s="664"/>
      <c r="DZD1737" s="664"/>
      <c r="DZE1737" s="664"/>
      <c r="DZF1737" s="664"/>
      <c r="DZG1737" s="664"/>
      <c r="DZH1737" s="664"/>
      <c r="DZI1737" s="630"/>
      <c r="DZJ1737" s="631"/>
      <c r="DZK1737" s="655"/>
      <c r="DZL1737" s="734" t="s">
        <v>0</v>
      </c>
      <c r="DZM1737" s="735" t="s">
        <v>1690</v>
      </c>
      <c r="DZN1737" s="843" t="e">
        <f>#REF!</f>
        <v>#REF!</v>
      </c>
      <c r="DZO1737" s="662" t="s">
        <v>799</v>
      </c>
      <c r="DZP1737" s="663" t="s">
        <v>628</v>
      </c>
      <c r="DZQ1737" s="633"/>
      <c r="DZR1737" s="664"/>
      <c r="DZS1737" s="664"/>
      <c r="DZT1737" s="664"/>
      <c r="DZU1737" s="664"/>
      <c r="DZV1737" s="664"/>
      <c r="DZW1737" s="664"/>
      <c r="DZX1737" s="664"/>
      <c r="DZY1737" s="630"/>
      <c r="DZZ1737" s="631"/>
      <c r="EAA1737" s="655"/>
      <c r="EAB1737" s="734" t="s">
        <v>0</v>
      </c>
      <c r="EAC1737" s="735" t="s">
        <v>1690</v>
      </c>
      <c r="EAD1737" s="843" t="e">
        <f>#REF!</f>
        <v>#REF!</v>
      </c>
      <c r="EAE1737" s="662" t="s">
        <v>799</v>
      </c>
      <c r="EAF1737" s="663" t="s">
        <v>628</v>
      </c>
      <c r="EAG1737" s="633"/>
      <c r="EAH1737" s="664"/>
      <c r="EAI1737" s="664"/>
      <c r="EAJ1737" s="664"/>
      <c r="EAK1737" s="664"/>
      <c r="EAL1737" s="664"/>
      <c r="EAM1737" s="664"/>
      <c r="EAN1737" s="664"/>
      <c r="EAO1737" s="630"/>
      <c r="EAP1737" s="631"/>
      <c r="EAQ1737" s="655"/>
      <c r="EAR1737" s="734" t="s">
        <v>0</v>
      </c>
      <c r="EAS1737" s="735" t="s">
        <v>1690</v>
      </c>
      <c r="EAT1737" s="843" t="e">
        <f>#REF!</f>
        <v>#REF!</v>
      </c>
      <c r="EAU1737" s="662" t="s">
        <v>799</v>
      </c>
      <c r="EAV1737" s="663" t="s">
        <v>628</v>
      </c>
      <c r="EAW1737" s="633"/>
      <c r="EAX1737" s="664"/>
      <c r="EAY1737" s="664"/>
      <c r="EAZ1737" s="664"/>
      <c r="EBA1737" s="664"/>
      <c r="EBB1737" s="664"/>
      <c r="EBC1737" s="664"/>
      <c r="EBD1737" s="664"/>
      <c r="EBE1737" s="630"/>
      <c r="EBF1737" s="631"/>
      <c r="EBG1737" s="655"/>
      <c r="EBH1737" s="734" t="s">
        <v>0</v>
      </c>
      <c r="EBI1737" s="735" t="s">
        <v>1690</v>
      </c>
      <c r="EBJ1737" s="843" t="e">
        <f>#REF!</f>
        <v>#REF!</v>
      </c>
      <c r="EBK1737" s="662" t="s">
        <v>799</v>
      </c>
      <c r="EBL1737" s="663" t="s">
        <v>628</v>
      </c>
      <c r="EBM1737" s="633"/>
      <c r="EBN1737" s="664"/>
      <c r="EBO1737" s="664"/>
      <c r="EBP1737" s="664"/>
      <c r="EBQ1737" s="664"/>
      <c r="EBR1737" s="664"/>
      <c r="EBS1737" s="664"/>
      <c r="EBT1737" s="664"/>
      <c r="EBU1737" s="630"/>
      <c r="EBV1737" s="631"/>
      <c r="EBW1737" s="655"/>
      <c r="EBX1737" s="734" t="s">
        <v>0</v>
      </c>
      <c r="EBY1737" s="735" t="s">
        <v>1690</v>
      </c>
      <c r="EBZ1737" s="843" t="e">
        <f>#REF!</f>
        <v>#REF!</v>
      </c>
      <c r="ECA1737" s="662" t="s">
        <v>799</v>
      </c>
      <c r="ECB1737" s="663" t="s">
        <v>628</v>
      </c>
      <c r="ECC1737" s="633"/>
      <c r="ECD1737" s="664"/>
      <c r="ECE1737" s="664"/>
      <c r="ECF1737" s="664"/>
      <c r="ECG1737" s="664"/>
      <c r="ECH1737" s="664"/>
      <c r="ECI1737" s="664"/>
      <c r="ECJ1737" s="664"/>
      <c r="ECK1737" s="630"/>
      <c r="ECL1737" s="631"/>
      <c r="ECM1737" s="655"/>
      <c r="ECN1737" s="734" t="s">
        <v>0</v>
      </c>
      <c r="ECO1737" s="735" t="s">
        <v>1690</v>
      </c>
      <c r="ECP1737" s="843" t="e">
        <f>#REF!</f>
        <v>#REF!</v>
      </c>
      <c r="ECQ1737" s="662" t="s">
        <v>799</v>
      </c>
      <c r="ECR1737" s="663" t="s">
        <v>628</v>
      </c>
      <c r="ECS1737" s="633"/>
      <c r="ECT1737" s="664"/>
      <c r="ECU1737" s="664"/>
      <c r="ECV1737" s="664"/>
      <c r="ECW1737" s="664"/>
      <c r="ECX1737" s="664"/>
      <c r="ECY1737" s="664"/>
      <c r="ECZ1737" s="664"/>
      <c r="EDA1737" s="630"/>
      <c r="EDB1737" s="631"/>
      <c r="EDC1737" s="655"/>
      <c r="EDD1737" s="734" t="s">
        <v>0</v>
      </c>
      <c r="EDE1737" s="735" t="s">
        <v>1690</v>
      </c>
      <c r="EDF1737" s="843" t="e">
        <f>#REF!</f>
        <v>#REF!</v>
      </c>
      <c r="EDG1737" s="662" t="s">
        <v>799</v>
      </c>
      <c r="EDH1737" s="663" t="s">
        <v>628</v>
      </c>
      <c r="EDI1737" s="633"/>
      <c r="EDJ1737" s="664"/>
      <c r="EDK1737" s="664"/>
      <c r="EDL1737" s="664"/>
      <c r="EDM1737" s="664"/>
      <c r="EDN1737" s="664"/>
      <c r="EDO1737" s="664"/>
      <c r="EDP1737" s="664"/>
      <c r="EDQ1737" s="630"/>
      <c r="EDR1737" s="631"/>
      <c r="EDS1737" s="655"/>
      <c r="EDT1737" s="734" t="s">
        <v>0</v>
      </c>
      <c r="EDU1737" s="735" t="s">
        <v>1690</v>
      </c>
      <c r="EDV1737" s="843" t="e">
        <f>#REF!</f>
        <v>#REF!</v>
      </c>
      <c r="EDW1737" s="662" t="s">
        <v>799</v>
      </c>
      <c r="EDX1737" s="663" t="s">
        <v>628</v>
      </c>
      <c r="EDY1737" s="633"/>
      <c r="EDZ1737" s="664"/>
      <c r="EEA1737" s="664"/>
      <c r="EEB1737" s="664"/>
      <c r="EEC1737" s="664"/>
      <c r="EED1737" s="664"/>
      <c r="EEE1737" s="664"/>
      <c r="EEF1737" s="664"/>
      <c r="EEG1737" s="630"/>
      <c r="EEH1737" s="631"/>
      <c r="EEI1737" s="655"/>
      <c r="EEJ1737" s="734" t="s">
        <v>0</v>
      </c>
      <c r="EEK1737" s="735" t="s">
        <v>1690</v>
      </c>
      <c r="EEL1737" s="843" t="e">
        <f>#REF!</f>
        <v>#REF!</v>
      </c>
      <c r="EEM1737" s="662" t="s">
        <v>799</v>
      </c>
      <c r="EEN1737" s="663" t="s">
        <v>628</v>
      </c>
      <c r="EEO1737" s="633"/>
      <c r="EEP1737" s="664"/>
      <c r="EEQ1737" s="664"/>
      <c r="EER1737" s="664"/>
      <c r="EES1737" s="664"/>
      <c r="EET1737" s="664"/>
      <c r="EEU1737" s="664"/>
      <c r="EEV1737" s="664"/>
      <c r="EEW1737" s="630"/>
      <c r="EEX1737" s="631"/>
      <c r="EEY1737" s="655"/>
      <c r="EEZ1737" s="734" t="s">
        <v>0</v>
      </c>
      <c r="EFA1737" s="735" t="s">
        <v>1690</v>
      </c>
      <c r="EFB1737" s="843" t="e">
        <f>#REF!</f>
        <v>#REF!</v>
      </c>
      <c r="EFC1737" s="662" t="s">
        <v>799</v>
      </c>
      <c r="EFD1737" s="663" t="s">
        <v>628</v>
      </c>
      <c r="EFE1737" s="633"/>
      <c r="EFF1737" s="664"/>
      <c r="EFG1737" s="664"/>
      <c r="EFH1737" s="664"/>
      <c r="EFI1737" s="664"/>
      <c r="EFJ1737" s="664"/>
      <c r="EFK1737" s="664"/>
      <c r="EFL1737" s="664"/>
      <c r="EFM1737" s="630"/>
      <c r="EFN1737" s="631"/>
      <c r="EFO1737" s="655"/>
      <c r="EFP1737" s="734" t="s">
        <v>0</v>
      </c>
      <c r="EFQ1737" s="735" t="s">
        <v>1690</v>
      </c>
      <c r="EFR1737" s="843" t="e">
        <f>#REF!</f>
        <v>#REF!</v>
      </c>
      <c r="EFS1737" s="662" t="s">
        <v>799</v>
      </c>
      <c r="EFT1737" s="663" t="s">
        <v>628</v>
      </c>
      <c r="EFU1737" s="633"/>
      <c r="EFV1737" s="664"/>
      <c r="EFW1737" s="664"/>
      <c r="EFX1737" s="664"/>
      <c r="EFY1737" s="664"/>
      <c r="EFZ1737" s="664"/>
      <c r="EGA1737" s="664"/>
      <c r="EGB1737" s="664"/>
      <c r="EGC1737" s="630"/>
      <c r="EGD1737" s="631"/>
      <c r="EGE1737" s="655"/>
      <c r="EGF1737" s="734" t="s">
        <v>0</v>
      </c>
      <c r="EGG1737" s="735" t="s">
        <v>1690</v>
      </c>
      <c r="EGH1737" s="843" t="e">
        <f>#REF!</f>
        <v>#REF!</v>
      </c>
      <c r="EGI1737" s="662" t="s">
        <v>799</v>
      </c>
      <c r="EGJ1737" s="663" t="s">
        <v>628</v>
      </c>
      <c r="EGK1737" s="633"/>
      <c r="EGL1737" s="664"/>
      <c r="EGM1737" s="664"/>
      <c r="EGN1737" s="664"/>
      <c r="EGO1737" s="664"/>
      <c r="EGP1737" s="664"/>
      <c r="EGQ1737" s="664"/>
      <c r="EGR1737" s="664"/>
      <c r="EGS1737" s="630"/>
      <c r="EGT1737" s="631"/>
      <c r="EGU1737" s="655"/>
      <c r="EGV1737" s="734" t="s">
        <v>0</v>
      </c>
      <c r="EGW1737" s="735" t="s">
        <v>1690</v>
      </c>
      <c r="EGX1737" s="843" t="e">
        <f>#REF!</f>
        <v>#REF!</v>
      </c>
      <c r="EGY1737" s="662" t="s">
        <v>799</v>
      </c>
      <c r="EGZ1737" s="663" t="s">
        <v>628</v>
      </c>
      <c r="EHA1737" s="633"/>
      <c r="EHB1737" s="664"/>
      <c r="EHC1737" s="664"/>
      <c r="EHD1737" s="664"/>
      <c r="EHE1737" s="664"/>
      <c r="EHF1737" s="664"/>
      <c r="EHG1737" s="664"/>
      <c r="EHH1737" s="664"/>
      <c r="EHI1737" s="630"/>
      <c r="EHJ1737" s="631"/>
      <c r="EHK1737" s="655"/>
      <c r="EHL1737" s="734" t="s">
        <v>0</v>
      </c>
      <c r="EHM1737" s="735" t="s">
        <v>1690</v>
      </c>
      <c r="EHN1737" s="843" t="e">
        <f>#REF!</f>
        <v>#REF!</v>
      </c>
      <c r="EHO1737" s="662" t="s">
        <v>799</v>
      </c>
      <c r="EHP1737" s="663" t="s">
        <v>628</v>
      </c>
      <c r="EHQ1737" s="633"/>
      <c r="EHR1737" s="664"/>
      <c r="EHS1737" s="664"/>
      <c r="EHT1737" s="664"/>
      <c r="EHU1737" s="664"/>
      <c r="EHV1737" s="664"/>
      <c r="EHW1737" s="664"/>
      <c r="EHX1737" s="664"/>
      <c r="EHY1737" s="630"/>
      <c r="EHZ1737" s="631"/>
      <c r="EIA1737" s="655"/>
      <c r="EIB1737" s="734" t="s">
        <v>0</v>
      </c>
      <c r="EIC1737" s="735" t="s">
        <v>1690</v>
      </c>
      <c r="EID1737" s="843" t="e">
        <f>#REF!</f>
        <v>#REF!</v>
      </c>
      <c r="EIE1737" s="662" t="s">
        <v>799</v>
      </c>
      <c r="EIF1737" s="663" t="s">
        <v>628</v>
      </c>
      <c r="EIG1737" s="633"/>
      <c r="EIH1737" s="664"/>
      <c r="EII1737" s="664"/>
      <c r="EIJ1737" s="664"/>
      <c r="EIK1737" s="664"/>
      <c r="EIL1737" s="664"/>
      <c r="EIM1737" s="664"/>
      <c r="EIN1737" s="664"/>
      <c r="EIO1737" s="630"/>
      <c r="EIP1737" s="631"/>
      <c r="EIQ1737" s="655"/>
      <c r="EIR1737" s="734" t="s">
        <v>0</v>
      </c>
      <c r="EIS1737" s="735" t="s">
        <v>1690</v>
      </c>
      <c r="EIT1737" s="843" t="e">
        <f>#REF!</f>
        <v>#REF!</v>
      </c>
      <c r="EIU1737" s="662" t="s">
        <v>799</v>
      </c>
      <c r="EIV1737" s="663" t="s">
        <v>628</v>
      </c>
      <c r="EIW1737" s="633"/>
      <c r="EIX1737" s="664"/>
      <c r="EIY1737" s="664"/>
      <c r="EIZ1737" s="664"/>
      <c r="EJA1737" s="664"/>
      <c r="EJB1737" s="664"/>
      <c r="EJC1737" s="664"/>
      <c r="EJD1737" s="664"/>
      <c r="EJE1737" s="630"/>
      <c r="EJF1737" s="631"/>
      <c r="EJG1737" s="655"/>
      <c r="EJH1737" s="734" t="s">
        <v>0</v>
      </c>
      <c r="EJI1737" s="735" t="s">
        <v>1690</v>
      </c>
      <c r="EJJ1737" s="843" t="e">
        <f>#REF!</f>
        <v>#REF!</v>
      </c>
      <c r="EJK1737" s="662" t="s">
        <v>799</v>
      </c>
      <c r="EJL1737" s="663" t="s">
        <v>628</v>
      </c>
      <c r="EJM1737" s="633"/>
      <c r="EJN1737" s="664"/>
      <c r="EJO1737" s="664"/>
      <c r="EJP1737" s="664"/>
      <c r="EJQ1737" s="664"/>
      <c r="EJR1737" s="664"/>
      <c r="EJS1737" s="664"/>
      <c r="EJT1737" s="664"/>
      <c r="EJU1737" s="630"/>
      <c r="EJV1737" s="631"/>
      <c r="EJW1737" s="655"/>
      <c r="EJX1737" s="734" t="s">
        <v>0</v>
      </c>
      <c r="EJY1737" s="735" t="s">
        <v>1690</v>
      </c>
      <c r="EJZ1737" s="843" t="e">
        <f>#REF!</f>
        <v>#REF!</v>
      </c>
      <c r="EKA1737" s="662" t="s">
        <v>799</v>
      </c>
      <c r="EKB1737" s="663" t="s">
        <v>628</v>
      </c>
      <c r="EKC1737" s="633"/>
      <c r="EKD1737" s="664"/>
      <c r="EKE1737" s="664"/>
      <c r="EKF1737" s="664"/>
      <c r="EKG1737" s="664"/>
      <c r="EKH1737" s="664"/>
      <c r="EKI1737" s="664"/>
      <c r="EKJ1737" s="664"/>
      <c r="EKK1737" s="630"/>
      <c r="EKL1737" s="631"/>
      <c r="EKM1737" s="655"/>
      <c r="EKN1737" s="734" t="s">
        <v>0</v>
      </c>
      <c r="EKO1737" s="735" t="s">
        <v>1690</v>
      </c>
      <c r="EKP1737" s="843" t="e">
        <f>#REF!</f>
        <v>#REF!</v>
      </c>
      <c r="EKQ1737" s="662" t="s">
        <v>799</v>
      </c>
      <c r="EKR1737" s="663" t="s">
        <v>628</v>
      </c>
      <c r="EKS1737" s="633"/>
      <c r="EKT1737" s="664"/>
      <c r="EKU1737" s="664"/>
      <c r="EKV1737" s="664"/>
      <c r="EKW1737" s="664"/>
      <c r="EKX1737" s="664"/>
      <c r="EKY1737" s="664"/>
      <c r="EKZ1737" s="664"/>
      <c r="ELA1737" s="630"/>
      <c r="ELB1737" s="631"/>
      <c r="ELC1737" s="655"/>
      <c r="ELD1737" s="734" t="s">
        <v>0</v>
      </c>
      <c r="ELE1737" s="735" t="s">
        <v>1690</v>
      </c>
      <c r="ELF1737" s="843" t="e">
        <f>#REF!</f>
        <v>#REF!</v>
      </c>
      <c r="ELG1737" s="662" t="s">
        <v>799</v>
      </c>
      <c r="ELH1737" s="663" t="s">
        <v>628</v>
      </c>
      <c r="ELI1737" s="633"/>
      <c r="ELJ1737" s="664"/>
      <c r="ELK1737" s="664"/>
      <c r="ELL1737" s="664"/>
      <c r="ELM1737" s="664"/>
      <c r="ELN1737" s="664"/>
      <c r="ELO1737" s="664"/>
      <c r="ELP1737" s="664"/>
      <c r="ELQ1737" s="630"/>
      <c r="ELR1737" s="631"/>
      <c r="ELS1737" s="655"/>
      <c r="ELT1737" s="734" t="s">
        <v>0</v>
      </c>
      <c r="ELU1737" s="735" t="s">
        <v>1690</v>
      </c>
      <c r="ELV1737" s="843" t="e">
        <f>#REF!</f>
        <v>#REF!</v>
      </c>
      <c r="ELW1737" s="662" t="s">
        <v>799</v>
      </c>
      <c r="ELX1737" s="663" t="s">
        <v>628</v>
      </c>
      <c r="ELY1737" s="633"/>
      <c r="ELZ1737" s="664"/>
      <c r="EMA1737" s="664"/>
      <c r="EMB1737" s="664"/>
      <c r="EMC1737" s="664"/>
      <c r="EMD1737" s="664"/>
      <c r="EME1737" s="664"/>
      <c r="EMF1737" s="664"/>
      <c r="EMG1737" s="630"/>
      <c r="EMH1737" s="631"/>
      <c r="EMI1737" s="655"/>
      <c r="EMJ1737" s="734" t="s">
        <v>0</v>
      </c>
      <c r="EMK1737" s="735" t="s">
        <v>1690</v>
      </c>
      <c r="EML1737" s="843" t="e">
        <f>#REF!</f>
        <v>#REF!</v>
      </c>
      <c r="EMM1737" s="662" t="s">
        <v>799</v>
      </c>
      <c r="EMN1737" s="663" t="s">
        <v>628</v>
      </c>
      <c r="EMO1737" s="633"/>
      <c r="EMP1737" s="664"/>
      <c r="EMQ1737" s="664"/>
      <c r="EMR1737" s="664"/>
      <c r="EMS1737" s="664"/>
      <c r="EMT1737" s="664"/>
      <c r="EMU1737" s="664"/>
      <c r="EMV1737" s="664"/>
      <c r="EMW1737" s="630"/>
      <c r="EMX1737" s="631"/>
      <c r="EMY1737" s="655"/>
      <c r="EMZ1737" s="734" t="s">
        <v>0</v>
      </c>
      <c r="ENA1737" s="735" t="s">
        <v>1690</v>
      </c>
      <c r="ENB1737" s="843" t="e">
        <f>#REF!</f>
        <v>#REF!</v>
      </c>
      <c r="ENC1737" s="662" t="s">
        <v>799</v>
      </c>
      <c r="END1737" s="663" t="s">
        <v>628</v>
      </c>
      <c r="ENE1737" s="633"/>
      <c r="ENF1737" s="664"/>
      <c r="ENG1737" s="664"/>
      <c r="ENH1737" s="664"/>
      <c r="ENI1737" s="664"/>
      <c r="ENJ1737" s="664"/>
      <c r="ENK1737" s="664"/>
      <c r="ENL1737" s="664"/>
      <c r="ENM1737" s="630"/>
      <c r="ENN1737" s="631"/>
      <c r="ENO1737" s="655"/>
      <c r="ENP1737" s="734" t="s">
        <v>0</v>
      </c>
      <c r="ENQ1737" s="735" t="s">
        <v>1690</v>
      </c>
      <c r="ENR1737" s="843" t="e">
        <f>#REF!</f>
        <v>#REF!</v>
      </c>
      <c r="ENS1737" s="662" t="s">
        <v>799</v>
      </c>
      <c r="ENT1737" s="663" t="s">
        <v>628</v>
      </c>
      <c r="ENU1737" s="633"/>
      <c r="ENV1737" s="664"/>
      <c r="ENW1737" s="664"/>
      <c r="ENX1737" s="664"/>
      <c r="ENY1737" s="664"/>
      <c r="ENZ1737" s="664"/>
      <c r="EOA1737" s="664"/>
      <c r="EOB1737" s="664"/>
      <c r="EOC1737" s="630"/>
      <c r="EOD1737" s="631"/>
      <c r="EOE1737" s="655"/>
      <c r="EOF1737" s="734" t="s">
        <v>0</v>
      </c>
      <c r="EOG1737" s="735" t="s">
        <v>1690</v>
      </c>
      <c r="EOH1737" s="843" t="e">
        <f>#REF!</f>
        <v>#REF!</v>
      </c>
      <c r="EOI1737" s="662" t="s">
        <v>799</v>
      </c>
      <c r="EOJ1737" s="663" t="s">
        <v>628</v>
      </c>
      <c r="EOK1737" s="633"/>
      <c r="EOL1737" s="664"/>
      <c r="EOM1737" s="664"/>
      <c r="EON1737" s="664"/>
      <c r="EOO1737" s="664"/>
      <c r="EOP1737" s="664"/>
      <c r="EOQ1737" s="664"/>
      <c r="EOR1737" s="664"/>
      <c r="EOS1737" s="630"/>
      <c r="EOT1737" s="631"/>
      <c r="EOU1737" s="655"/>
      <c r="EOV1737" s="734" t="s">
        <v>0</v>
      </c>
      <c r="EOW1737" s="735" t="s">
        <v>1690</v>
      </c>
      <c r="EOX1737" s="843" t="e">
        <f>#REF!</f>
        <v>#REF!</v>
      </c>
      <c r="EOY1737" s="662" t="s">
        <v>799</v>
      </c>
      <c r="EOZ1737" s="663" t="s">
        <v>628</v>
      </c>
      <c r="EPA1737" s="633"/>
      <c r="EPB1737" s="664"/>
      <c r="EPC1737" s="664"/>
      <c r="EPD1737" s="664"/>
      <c r="EPE1737" s="664"/>
      <c r="EPF1737" s="664"/>
      <c r="EPG1737" s="664"/>
      <c r="EPH1737" s="664"/>
      <c r="EPI1737" s="630"/>
      <c r="EPJ1737" s="631"/>
      <c r="EPK1737" s="655"/>
      <c r="EPL1737" s="734" t="s">
        <v>0</v>
      </c>
      <c r="EPM1737" s="735" t="s">
        <v>1690</v>
      </c>
      <c r="EPN1737" s="843" t="e">
        <f>#REF!</f>
        <v>#REF!</v>
      </c>
      <c r="EPO1737" s="662" t="s">
        <v>799</v>
      </c>
      <c r="EPP1737" s="663" t="s">
        <v>628</v>
      </c>
      <c r="EPQ1737" s="633"/>
      <c r="EPR1737" s="664"/>
      <c r="EPS1737" s="664"/>
      <c r="EPT1737" s="664"/>
      <c r="EPU1737" s="664"/>
      <c r="EPV1737" s="664"/>
      <c r="EPW1737" s="664"/>
      <c r="EPX1737" s="664"/>
      <c r="EPY1737" s="630"/>
      <c r="EPZ1737" s="631"/>
      <c r="EQA1737" s="655"/>
      <c r="EQB1737" s="734" t="s">
        <v>0</v>
      </c>
      <c r="EQC1737" s="735" t="s">
        <v>1690</v>
      </c>
      <c r="EQD1737" s="843" t="e">
        <f>#REF!</f>
        <v>#REF!</v>
      </c>
      <c r="EQE1737" s="662" t="s">
        <v>799</v>
      </c>
      <c r="EQF1737" s="663" t="s">
        <v>628</v>
      </c>
      <c r="EQG1737" s="633"/>
      <c r="EQH1737" s="664"/>
      <c r="EQI1737" s="664"/>
      <c r="EQJ1737" s="664"/>
      <c r="EQK1737" s="664"/>
      <c r="EQL1737" s="664"/>
      <c r="EQM1737" s="664"/>
      <c r="EQN1737" s="664"/>
      <c r="EQO1737" s="630"/>
      <c r="EQP1737" s="631"/>
      <c r="EQQ1737" s="655"/>
      <c r="EQR1737" s="734" t="s">
        <v>0</v>
      </c>
      <c r="EQS1737" s="735" t="s">
        <v>1690</v>
      </c>
      <c r="EQT1737" s="843" t="e">
        <f>#REF!</f>
        <v>#REF!</v>
      </c>
      <c r="EQU1737" s="662" t="s">
        <v>799</v>
      </c>
      <c r="EQV1737" s="663" t="s">
        <v>628</v>
      </c>
      <c r="EQW1737" s="633"/>
      <c r="EQX1737" s="664"/>
      <c r="EQY1737" s="664"/>
      <c r="EQZ1737" s="664"/>
      <c r="ERA1737" s="664"/>
      <c r="ERB1737" s="664"/>
      <c r="ERC1737" s="664"/>
      <c r="ERD1737" s="664"/>
      <c r="ERE1737" s="630"/>
      <c r="ERF1737" s="631"/>
      <c r="ERG1737" s="655"/>
      <c r="ERH1737" s="734" t="s">
        <v>0</v>
      </c>
      <c r="ERI1737" s="735" t="s">
        <v>1690</v>
      </c>
      <c r="ERJ1737" s="843" t="e">
        <f>#REF!</f>
        <v>#REF!</v>
      </c>
      <c r="ERK1737" s="662" t="s">
        <v>799</v>
      </c>
      <c r="ERL1737" s="663" t="s">
        <v>628</v>
      </c>
      <c r="ERM1737" s="633"/>
      <c r="ERN1737" s="664"/>
      <c r="ERO1737" s="664"/>
      <c r="ERP1737" s="664"/>
      <c r="ERQ1737" s="664"/>
      <c r="ERR1737" s="664"/>
      <c r="ERS1737" s="664"/>
      <c r="ERT1737" s="664"/>
      <c r="ERU1737" s="630"/>
      <c r="ERV1737" s="631"/>
      <c r="ERW1737" s="655"/>
      <c r="ERX1737" s="734" t="s">
        <v>0</v>
      </c>
      <c r="ERY1737" s="735" t="s">
        <v>1690</v>
      </c>
      <c r="ERZ1737" s="843" t="e">
        <f>#REF!</f>
        <v>#REF!</v>
      </c>
      <c r="ESA1737" s="662" t="s">
        <v>799</v>
      </c>
      <c r="ESB1737" s="663" t="s">
        <v>628</v>
      </c>
      <c r="ESC1737" s="633"/>
      <c r="ESD1737" s="664"/>
      <c r="ESE1737" s="664"/>
      <c r="ESF1737" s="664"/>
      <c r="ESG1737" s="664"/>
      <c r="ESH1737" s="664"/>
      <c r="ESI1737" s="664"/>
      <c r="ESJ1737" s="664"/>
      <c r="ESK1737" s="630"/>
      <c r="ESL1737" s="631"/>
      <c r="ESM1737" s="655"/>
      <c r="ESN1737" s="734" t="s">
        <v>0</v>
      </c>
      <c r="ESO1737" s="735" t="s">
        <v>1690</v>
      </c>
      <c r="ESP1737" s="843" t="e">
        <f>#REF!</f>
        <v>#REF!</v>
      </c>
      <c r="ESQ1737" s="662" t="s">
        <v>799</v>
      </c>
      <c r="ESR1737" s="663" t="s">
        <v>628</v>
      </c>
      <c r="ESS1737" s="633"/>
      <c r="EST1737" s="664"/>
      <c r="ESU1737" s="664"/>
      <c r="ESV1737" s="664"/>
      <c r="ESW1737" s="664"/>
      <c r="ESX1737" s="664"/>
      <c r="ESY1737" s="664"/>
      <c r="ESZ1737" s="664"/>
      <c r="ETA1737" s="630"/>
      <c r="ETB1737" s="631"/>
      <c r="ETC1737" s="655"/>
      <c r="ETD1737" s="734" t="s">
        <v>0</v>
      </c>
      <c r="ETE1737" s="735" t="s">
        <v>1690</v>
      </c>
      <c r="ETF1737" s="843" t="e">
        <f>#REF!</f>
        <v>#REF!</v>
      </c>
      <c r="ETG1737" s="662" t="s">
        <v>799</v>
      </c>
      <c r="ETH1737" s="663" t="s">
        <v>628</v>
      </c>
      <c r="ETI1737" s="633"/>
      <c r="ETJ1737" s="664"/>
      <c r="ETK1737" s="664"/>
      <c r="ETL1737" s="664"/>
      <c r="ETM1737" s="664"/>
      <c r="ETN1737" s="664"/>
      <c r="ETO1737" s="664"/>
      <c r="ETP1737" s="664"/>
      <c r="ETQ1737" s="630"/>
      <c r="ETR1737" s="631"/>
      <c r="ETS1737" s="655"/>
      <c r="ETT1737" s="734" t="s">
        <v>0</v>
      </c>
      <c r="ETU1737" s="735" t="s">
        <v>1690</v>
      </c>
      <c r="ETV1737" s="843" t="e">
        <f>#REF!</f>
        <v>#REF!</v>
      </c>
      <c r="ETW1737" s="662" t="s">
        <v>799</v>
      </c>
      <c r="ETX1737" s="663" t="s">
        <v>628</v>
      </c>
      <c r="ETY1737" s="633"/>
      <c r="ETZ1737" s="664"/>
      <c r="EUA1737" s="664"/>
      <c r="EUB1737" s="664"/>
      <c r="EUC1737" s="664"/>
      <c r="EUD1737" s="664"/>
      <c r="EUE1737" s="664"/>
      <c r="EUF1737" s="664"/>
      <c r="EUG1737" s="630"/>
      <c r="EUH1737" s="631"/>
      <c r="EUI1737" s="655"/>
      <c r="EUJ1737" s="734" t="s">
        <v>0</v>
      </c>
      <c r="EUK1737" s="735" t="s">
        <v>1690</v>
      </c>
      <c r="EUL1737" s="843" t="e">
        <f>#REF!</f>
        <v>#REF!</v>
      </c>
      <c r="EUM1737" s="662" t="s">
        <v>799</v>
      </c>
      <c r="EUN1737" s="663" t="s">
        <v>628</v>
      </c>
      <c r="EUO1737" s="633"/>
      <c r="EUP1737" s="664"/>
      <c r="EUQ1737" s="664"/>
      <c r="EUR1737" s="664"/>
      <c r="EUS1737" s="664"/>
      <c r="EUT1737" s="664"/>
      <c r="EUU1737" s="664"/>
      <c r="EUV1737" s="664"/>
      <c r="EUW1737" s="630"/>
      <c r="EUX1737" s="631"/>
      <c r="EUY1737" s="655"/>
      <c r="EUZ1737" s="734" t="s">
        <v>0</v>
      </c>
      <c r="EVA1737" s="735" t="s">
        <v>1690</v>
      </c>
      <c r="EVB1737" s="843" t="e">
        <f>#REF!</f>
        <v>#REF!</v>
      </c>
      <c r="EVC1737" s="662" t="s">
        <v>799</v>
      </c>
      <c r="EVD1737" s="663" t="s">
        <v>628</v>
      </c>
      <c r="EVE1737" s="633"/>
      <c r="EVF1737" s="664"/>
      <c r="EVG1737" s="664"/>
      <c r="EVH1737" s="664"/>
      <c r="EVI1737" s="664"/>
      <c r="EVJ1737" s="664"/>
      <c r="EVK1737" s="664"/>
      <c r="EVL1737" s="664"/>
      <c r="EVM1737" s="630"/>
      <c r="EVN1737" s="631"/>
      <c r="EVO1737" s="655"/>
      <c r="EVP1737" s="734" t="s">
        <v>0</v>
      </c>
      <c r="EVQ1737" s="735" t="s">
        <v>1690</v>
      </c>
      <c r="EVR1737" s="843" t="e">
        <f>#REF!</f>
        <v>#REF!</v>
      </c>
      <c r="EVS1737" s="662" t="s">
        <v>799</v>
      </c>
      <c r="EVT1737" s="663" t="s">
        <v>628</v>
      </c>
      <c r="EVU1737" s="633"/>
      <c r="EVV1737" s="664"/>
      <c r="EVW1737" s="664"/>
      <c r="EVX1737" s="664"/>
      <c r="EVY1737" s="664"/>
      <c r="EVZ1737" s="664"/>
      <c r="EWA1737" s="664"/>
      <c r="EWB1737" s="664"/>
      <c r="EWC1737" s="630"/>
      <c r="EWD1737" s="631"/>
      <c r="EWE1737" s="655"/>
      <c r="EWF1737" s="734" t="s">
        <v>0</v>
      </c>
      <c r="EWG1737" s="735" t="s">
        <v>1690</v>
      </c>
      <c r="EWH1737" s="843" t="e">
        <f>#REF!</f>
        <v>#REF!</v>
      </c>
      <c r="EWI1737" s="662" t="s">
        <v>799</v>
      </c>
      <c r="EWJ1737" s="663" t="s">
        <v>628</v>
      </c>
      <c r="EWK1737" s="633"/>
      <c r="EWL1737" s="664"/>
      <c r="EWM1737" s="664"/>
      <c r="EWN1737" s="664"/>
      <c r="EWO1737" s="664"/>
      <c r="EWP1737" s="664"/>
      <c r="EWQ1737" s="664"/>
      <c r="EWR1737" s="664"/>
      <c r="EWS1737" s="630"/>
      <c r="EWT1737" s="631"/>
      <c r="EWU1737" s="655"/>
      <c r="EWV1737" s="734" t="s">
        <v>0</v>
      </c>
      <c r="EWW1737" s="735" t="s">
        <v>1690</v>
      </c>
      <c r="EWX1737" s="843" t="e">
        <f>#REF!</f>
        <v>#REF!</v>
      </c>
      <c r="EWY1737" s="662" t="s">
        <v>799</v>
      </c>
      <c r="EWZ1737" s="663" t="s">
        <v>628</v>
      </c>
      <c r="EXA1737" s="633"/>
      <c r="EXB1737" s="664"/>
      <c r="EXC1737" s="664"/>
      <c r="EXD1737" s="664"/>
      <c r="EXE1737" s="664"/>
      <c r="EXF1737" s="664"/>
      <c r="EXG1737" s="664"/>
      <c r="EXH1737" s="664"/>
      <c r="EXI1737" s="630"/>
      <c r="EXJ1737" s="631"/>
      <c r="EXK1737" s="655"/>
      <c r="EXL1737" s="734" t="s">
        <v>0</v>
      </c>
      <c r="EXM1737" s="735" t="s">
        <v>1690</v>
      </c>
      <c r="EXN1737" s="843" t="e">
        <f>#REF!</f>
        <v>#REF!</v>
      </c>
      <c r="EXO1737" s="662" t="s">
        <v>799</v>
      </c>
      <c r="EXP1737" s="663" t="s">
        <v>628</v>
      </c>
      <c r="EXQ1737" s="633"/>
      <c r="EXR1737" s="664"/>
      <c r="EXS1737" s="664"/>
      <c r="EXT1737" s="664"/>
      <c r="EXU1737" s="664"/>
      <c r="EXV1737" s="664"/>
      <c r="EXW1737" s="664"/>
      <c r="EXX1737" s="664"/>
      <c r="EXY1737" s="630"/>
      <c r="EXZ1737" s="631"/>
      <c r="EYA1737" s="655"/>
      <c r="EYB1737" s="734" t="s">
        <v>0</v>
      </c>
      <c r="EYC1737" s="735" t="s">
        <v>1690</v>
      </c>
      <c r="EYD1737" s="843" t="e">
        <f>#REF!</f>
        <v>#REF!</v>
      </c>
      <c r="EYE1737" s="662" t="s">
        <v>799</v>
      </c>
      <c r="EYF1737" s="663" t="s">
        <v>628</v>
      </c>
      <c r="EYG1737" s="633"/>
      <c r="EYH1737" s="664"/>
      <c r="EYI1737" s="664"/>
      <c r="EYJ1737" s="664"/>
      <c r="EYK1737" s="664"/>
      <c r="EYL1737" s="664"/>
      <c r="EYM1737" s="664"/>
      <c r="EYN1737" s="664"/>
      <c r="EYO1737" s="630"/>
      <c r="EYP1737" s="631"/>
      <c r="EYQ1737" s="655"/>
      <c r="EYR1737" s="734" t="s">
        <v>0</v>
      </c>
      <c r="EYS1737" s="735" t="s">
        <v>1690</v>
      </c>
      <c r="EYT1737" s="843" t="e">
        <f>#REF!</f>
        <v>#REF!</v>
      </c>
      <c r="EYU1737" s="662" t="s">
        <v>799</v>
      </c>
      <c r="EYV1737" s="663" t="s">
        <v>628</v>
      </c>
      <c r="EYW1737" s="633"/>
      <c r="EYX1737" s="664"/>
      <c r="EYY1737" s="664"/>
      <c r="EYZ1737" s="664"/>
      <c r="EZA1737" s="664"/>
      <c r="EZB1737" s="664"/>
      <c r="EZC1737" s="664"/>
      <c r="EZD1737" s="664"/>
      <c r="EZE1737" s="630"/>
      <c r="EZF1737" s="631"/>
      <c r="EZG1737" s="655"/>
      <c r="EZH1737" s="734" t="s">
        <v>0</v>
      </c>
      <c r="EZI1737" s="735" t="s">
        <v>1690</v>
      </c>
      <c r="EZJ1737" s="843" t="e">
        <f>#REF!</f>
        <v>#REF!</v>
      </c>
      <c r="EZK1737" s="662" t="s">
        <v>799</v>
      </c>
      <c r="EZL1737" s="663" t="s">
        <v>628</v>
      </c>
      <c r="EZM1737" s="633"/>
      <c r="EZN1737" s="664"/>
      <c r="EZO1737" s="664"/>
      <c r="EZP1737" s="664"/>
      <c r="EZQ1737" s="664"/>
      <c r="EZR1737" s="664"/>
      <c r="EZS1737" s="664"/>
      <c r="EZT1737" s="664"/>
      <c r="EZU1737" s="630"/>
      <c r="EZV1737" s="631"/>
      <c r="EZW1737" s="655"/>
      <c r="EZX1737" s="734" t="s">
        <v>0</v>
      </c>
      <c r="EZY1737" s="735" t="s">
        <v>1690</v>
      </c>
      <c r="EZZ1737" s="843" t="e">
        <f>#REF!</f>
        <v>#REF!</v>
      </c>
      <c r="FAA1737" s="662" t="s">
        <v>799</v>
      </c>
      <c r="FAB1737" s="663" t="s">
        <v>628</v>
      </c>
      <c r="FAC1737" s="633"/>
      <c r="FAD1737" s="664"/>
      <c r="FAE1737" s="664"/>
      <c r="FAF1737" s="664"/>
      <c r="FAG1737" s="664"/>
      <c r="FAH1737" s="664"/>
      <c r="FAI1737" s="664"/>
      <c r="FAJ1737" s="664"/>
      <c r="FAK1737" s="630"/>
      <c r="FAL1737" s="631"/>
      <c r="FAM1737" s="655"/>
      <c r="FAN1737" s="734" t="s">
        <v>0</v>
      </c>
      <c r="FAO1737" s="735" t="s">
        <v>1690</v>
      </c>
      <c r="FAP1737" s="843" t="e">
        <f>#REF!</f>
        <v>#REF!</v>
      </c>
      <c r="FAQ1737" s="662" t="s">
        <v>799</v>
      </c>
      <c r="FAR1737" s="663" t="s">
        <v>628</v>
      </c>
      <c r="FAS1737" s="633"/>
      <c r="FAT1737" s="664"/>
      <c r="FAU1737" s="664"/>
      <c r="FAV1737" s="664"/>
      <c r="FAW1737" s="664"/>
      <c r="FAX1737" s="664"/>
      <c r="FAY1737" s="664"/>
      <c r="FAZ1737" s="664"/>
      <c r="FBA1737" s="630"/>
      <c r="FBB1737" s="631"/>
      <c r="FBC1737" s="655"/>
      <c r="FBD1737" s="734" t="s">
        <v>0</v>
      </c>
      <c r="FBE1737" s="735" t="s">
        <v>1690</v>
      </c>
      <c r="FBF1737" s="843" t="e">
        <f>#REF!</f>
        <v>#REF!</v>
      </c>
      <c r="FBG1737" s="662" t="s">
        <v>799</v>
      </c>
      <c r="FBH1737" s="663" t="s">
        <v>628</v>
      </c>
      <c r="FBI1737" s="633"/>
      <c r="FBJ1737" s="664"/>
      <c r="FBK1737" s="664"/>
      <c r="FBL1737" s="664"/>
      <c r="FBM1737" s="664"/>
      <c r="FBN1737" s="664"/>
      <c r="FBO1737" s="664"/>
      <c r="FBP1737" s="664"/>
      <c r="FBQ1737" s="630"/>
      <c r="FBR1737" s="631"/>
      <c r="FBS1737" s="655"/>
      <c r="FBT1737" s="734" t="s">
        <v>0</v>
      </c>
      <c r="FBU1737" s="735" t="s">
        <v>1690</v>
      </c>
      <c r="FBV1737" s="843" t="e">
        <f>#REF!</f>
        <v>#REF!</v>
      </c>
      <c r="FBW1737" s="662" t="s">
        <v>799</v>
      </c>
      <c r="FBX1737" s="663" t="s">
        <v>628</v>
      </c>
      <c r="FBY1737" s="633"/>
      <c r="FBZ1737" s="664"/>
      <c r="FCA1737" s="664"/>
      <c r="FCB1737" s="664"/>
      <c r="FCC1737" s="664"/>
      <c r="FCD1737" s="664"/>
      <c r="FCE1737" s="664"/>
      <c r="FCF1737" s="664"/>
      <c r="FCG1737" s="630"/>
      <c r="FCH1737" s="631"/>
      <c r="FCI1737" s="655"/>
      <c r="FCJ1737" s="734" t="s">
        <v>0</v>
      </c>
      <c r="FCK1737" s="735" t="s">
        <v>1690</v>
      </c>
      <c r="FCL1737" s="843" t="e">
        <f>#REF!</f>
        <v>#REF!</v>
      </c>
      <c r="FCM1737" s="662" t="s">
        <v>799</v>
      </c>
      <c r="FCN1737" s="663" t="s">
        <v>628</v>
      </c>
      <c r="FCO1737" s="633"/>
      <c r="FCP1737" s="664"/>
      <c r="FCQ1737" s="664"/>
      <c r="FCR1737" s="664"/>
      <c r="FCS1737" s="664"/>
      <c r="FCT1737" s="664"/>
      <c r="FCU1737" s="664"/>
      <c r="FCV1737" s="664"/>
      <c r="FCW1737" s="630"/>
      <c r="FCX1737" s="631"/>
      <c r="FCY1737" s="655"/>
      <c r="FCZ1737" s="734" t="s">
        <v>0</v>
      </c>
      <c r="FDA1737" s="735" t="s">
        <v>1690</v>
      </c>
      <c r="FDB1737" s="843" t="e">
        <f>#REF!</f>
        <v>#REF!</v>
      </c>
      <c r="FDC1737" s="662" t="s">
        <v>799</v>
      </c>
      <c r="FDD1737" s="663" t="s">
        <v>628</v>
      </c>
      <c r="FDE1737" s="633"/>
      <c r="FDF1737" s="664"/>
      <c r="FDG1737" s="664"/>
      <c r="FDH1737" s="664"/>
      <c r="FDI1737" s="664"/>
      <c r="FDJ1737" s="664"/>
      <c r="FDK1737" s="664"/>
      <c r="FDL1737" s="664"/>
      <c r="FDM1737" s="630"/>
      <c r="FDN1737" s="631"/>
      <c r="FDO1737" s="655"/>
      <c r="FDP1737" s="734" t="s">
        <v>0</v>
      </c>
      <c r="FDQ1737" s="735" t="s">
        <v>1690</v>
      </c>
      <c r="FDR1737" s="843" t="e">
        <f>#REF!</f>
        <v>#REF!</v>
      </c>
      <c r="FDS1737" s="662" t="s">
        <v>799</v>
      </c>
      <c r="FDT1737" s="663" t="s">
        <v>628</v>
      </c>
      <c r="FDU1737" s="633"/>
      <c r="FDV1737" s="664"/>
      <c r="FDW1737" s="664"/>
      <c r="FDX1737" s="664"/>
      <c r="FDY1737" s="664"/>
      <c r="FDZ1737" s="664"/>
      <c r="FEA1737" s="664"/>
      <c r="FEB1737" s="664"/>
      <c r="FEC1737" s="630"/>
      <c r="FED1737" s="631"/>
      <c r="FEE1737" s="655"/>
      <c r="FEF1737" s="734" t="s">
        <v>0</v>
      </c>
      <c r="FEG1737" s="735" t="s">
        <v>1690</v>
      </c>
      <c r="FEH1737" s="843" t="e">
        <f>#REF!</f>
        <v>#REF!</v>
      </c>
      <c r="FEI1737" s="662" t="s">
        <v>799</v>
      </c>
      <c r="FEJ1737" s="663" t="s">
        <v>628</v>
      </c>
      <c r="FEK1737" s="633"/>
      <c r="FEL1737" s="664"/>
      <c r="FEM1737" s="664"/>
      <c r="FEN1737" s="664"/>
      <c r="FEO1737" s="664"/>
      <c r="FEP1737" s="664"/>
      <c r="FEQ1737" s="664"/>
      <c r="FER1737" s="664"/>
      <c r="FES1737" s="630"/>
      <c r="FET1737" s="631"/>
      <c r="FEU1737" s="655"/>
      <c r="FEV1737" s="734" t="s">
        <v>0</v>
      </c>
      <c r="FEW1737" s="735" t="s">
        <v>1690</v>
      </c>
      <c r="FEX1737" s="843" t="e">
        <f>#REF!</f>
        <v>#REF!</v>
      </c>
      <c r="FEY1737" s="662" t="s">
        <v>799</v>
      </c>
      <c r="FEZ1737" s="663" t="s">
        <v>628</v>
      </c>
      <c r="FFA1737" s="633"/>
      <c r="FFB1737" s="664"/>
      <c r="FFC1737" s="664"/>
      <c r="FFD1737" s="664"/>
      <c r="FFE1737" s="664"/>
      <c r="FFF1737" s="664"/>
      <c r="FFG1737" s="664"/>
      <c r="FFH1737" s="664"/>
      <c r="FFI1737" s="630"/>
      <c r="FFJ1737" s="631"/>
      <c r="FFK1737" s="655"/>
      <c r="FFL1737" s="734" t="s">
        <v>0</v>
      </c>
      <c r="FFM1737" s="735" t="s">
        <v>1690</v>
      </c>
      <c r="FFN1737" s="843" t="e">
        <f>#REF!</f>
        <v>#REF!</v>
      </c>
      <c r="FFO1737" s="662" t="s">
        <v>799</v>
      </c>
      <c r="FFP1737" s="663" t="s">
        <v>628</v>
      </c>
      <c r="FFQ1737" s="633"/>
      <c r="FFR1737" s="664"/>
      <c r="FFS1737" s="664"/>
      <c r="FFT1737" s="664"/>
      <c r="FFU1737" s="664"/>
      <c r="FFV1737" s="664"/>
      <c r="FFW1737" s="664"/>
      <c r="FFX1737" s="664"/>
      <c r="FFY1737" s="630"/>
      <c r="FFZ1737" s="631"/>
      <c r="FGA1737" s="655"/>
      <c r="FGB1737" s="734" t="s">
        <v>0</v>
      </c>
      <c r="FGC1737" s="735" t="s">
        <v>1690</v>
      </c>
      <c r="FGD1737" s="843" t="e">
        <f>#REF!</f>
        <v>#REF!</v>
      </c>
      <c r="FGE1737" s="662" t="s">
        <v>799</v>
      </c>
      <c r="FGF1737" s="663" t="s">
        <v>628</v>
      </c>
      <c r="FGG1737" s="633"/>
      <c r="FGH1737" s="664"/>
      <c r="FGI1737" s="664"/>
      <c r="FGJ1737" s="664"/>
      <c r="FGK1737" s="664"/>
      <c r="FGL1737" s="664"/>
      <c r="FGM1737" s="664"/>
      <c r="FGN1737" s="664"/>
      <c r="FGO1737" s="630"/>
      <c r="FGP1737" s="631"/>
      <c r="FGQ1737" s="655"/>
      <c r="FGR1737" s="734" t="s">
        <v>0</v>
      </c>
      <c r="FGS1737" s="735" t="s">
        <v>1690</v>
      </c>
      <c r="FGT1737" s="843" t="e">
        <f>#REF!</f>
        <v>#REF!</v>
      </c>
      <c r="FGU1737" s="662" t="s">
        <v>799</v>
      </c>
      <c r="FGV1737" s="663" t="s">
        <v>628</v>
      </c>
      <c r="FGW1737" s="633"/>
      <c r="FGX1737" s="664"/>
      <c r="FGY1737" s="664"/>
      <c r="FGZ1737" s="664"/>
      <c r="FHA1737" s="664"/>
      <c r="FHB1737" s="664"/>
      <c r="FHC1737" s="664"/>
      <c r="FHD1737" s="664"/>
      <c r="FHE1737" s="630"/>
      <c r="FHF1737" s="631"/>
      <c r="FHG1737" s="655"/>
      <c r="FHH1737" s="734" t="s">
        <v>0</v>
      </c>
      <c r="FHI1737" s="735" t="s">
        <v>1690</v>
      </c>
      <c r="FHJ1737" s="843" t="e">
        <f>#REF!</f>
        <v>#REF!</v>
      </c>
      <c r="FHK1737" s="662" t="s">
        <v>799</v>
      </c>
      <c r="FHL1737" s="663" t="s">
        <v>628</v>
      </c>
      <c r="FHM1737" s="633"/>
      <c r="FHN1737" s="664"/>
      <c r="FHO1737" s="664"/>
      <c r="FHP1737" s="664"/>
      <c r="FHQ1737" s="664"/>
      <c r="FHR1737" s="664"/>
      <c r="FHS1737" s="664"/>
      <c r="FHT1737" s="664"/>
      <c r="FHU1737" s="630"/>
      <c r="FHV1737" s="631"/>
      <c r="FHW1737" s="655"/>
      <c r="FHX1737" s="734" t="s">
        <v>0</v>
      </c>
      <c r="FHY1737" s="735" t="s">
        <v>1690</v>
      </c>
      <c r="FHZ1737" s="843" t="e">
        <f>#REF!</f>
        <v>#REF!</v>
      </c>
      <c r="FIA1737" s="662" t="s">
        <v>799</v>
      </c>
      <c r="FIB1737" s="663" t="s">
        <v>628</v>
      </c>
      <c r="FIC1737" s="633"/>
      <c r="FID1737" s="664"/>
      <c r="FIE1737" s="664"/>
      <c r="FIF1737" s="664"/>
      <c r="FIG1737" s="664"/>
      <c r="FIH1737" s="664"/>
      <c r="FII1737" s="664"/>
      <c r="FIJ1737" s="664"/>
      <c r="FIK1737" s="630"/>
      <c r="FIL1737" s="631"/>
      <c r="FIM1737" s="655"/>
      <c r="FIN1737" s="734" t="s">
        <v>0</v>
      </c>
      <c r="FIO1737" s="735" t="s">
        <v>1690</v>
      </c>
      <c r="FIP1737" s="843" t="e">
        <f>#REF!</f>
        <v>#REF!</v>
      </c>
      <c r="FIQ1737" s="662" t="s">
        <v>799</v>
      </c>
      <c r="FIR1737" s="663" t="s">
        <v>628</v>
      </c>
      <c r="FIS1737" s="633"/>
      <c r="FIT1737" s="664"/>
      <c r="FIU1737" s="664"/>
      <c r="FIV1737" s="664"/>
      <c r="FIW1737" s="664"/>
      <c r="FIX1737" s="664"/>
      <c r="FIY1737" s="664"/>
      <c r="FIZ1737" s="664"/>
      <c r="FJA1737" s="630"/>
      <c r="FJB1737" s="631"/>
      <c r="FJC1737" s="655"/>
      <c r="FJD1737" s="734" t="s">
        <v>0</v>
      </c>
      <c r="FJE1737" s="735" t="s">
        <v>1690</v>
      </c>
      <c r="FJF1737" s="843" t="e">
        <f>#REF!</f>
        <v>#REF!</v>
      </c>
      <c r="FJG1737" s="662" t="s">
        <v>799</v>
      </c>
      <c r="FJH1737" s="663" t="s">
        <v>628</v>
      </c>
      <c r="FJI1737" s="633"/>
      <c r="FJJ1737" s="664"/>
      <c r="FJK1737" s="664"/>
      <c r="FJL1737" s="664"/>
      <c r="FJM1737" s="664"/>
      <c r="FJN1737" s="664"/>
      <c r="FJO1737" s="664"/>
      <c r="FJP1737" s="664"/>
      <c r="FJQ1737" s="630"/>
      <c r="FJR1737" s="631"/>
      <c r="FJS1737" s="655"/>
      <c r="FJT1737" s="734" t="s">
        <v>0</v>
      </c>
      <c r="FJU1737" s="735" t="s">
        <v>1690</v>
      </c>
      <c r="FJV1737" s="843" t="e">
        <f>#REF!</f>
        <v>#REF!</v>
      </c>
      <c r="FJW1737" s="662" t="s">
        <v>799</v>
      </c>
      <c r="FJX1737" s="663" t="s">
        <v>628</v>
      </c>
      <c r="FJY1737" s="633"/>
      <c r="FJZ1737" s="664"/>
      <c r="FKA1737" s="664"/>
      <c r="FKB1737" s="664"/>
      <c r="FKC1737" s="664"/>
      <c r="FKD1737" s="664"/>
      <c r="FKE1737" s="664"/>
      <c r="FKF1737" s="664"/>
      <c r="FKG1737" s="630"/>
      <c r="FKH1737" s="631"/>
      <c r="FKI1737" s="655"/>
      <c r="FKJ1737" s="734" t="s">
        <v>0</v>
      </c>
      <c r="FKK1737" s="735" t="s">
        <v>1690</v>
      </c>
      <c r="FKL1737" s="843" t="e">
        <f>#REF!</f>
        <v>#REF!</v>
      </c>
      <c r="FKM1737" s="662" t="s">
        <v>799</v>
      </c>
      <c r="FKN1737" s="663" t="s">
        <v>628</v>
      </c>
      <c r="FKO1737" s="633"/>
      <c r="FKP1737" s="664"/>
      <c r="FKQ1737" s="664"/>
      <c r="FKR1737" s="664"/>
      <c r="FKS1737" s="664"/>
      <c r="FKT1737" s="664"/>
      <c r="FKU1737" s="664"/>
      <c r="FKV1737" s="664"/>
      <c r="FKW1737" s="630"/>
      <c r="FKX1737" s="631"/>
      <c r="FKY1737" s="655"/>
      <c r="FKZ1737" s="734" t="s">
        <v>0</v>
      </c>
      <c r="FLA1737" s="735" t="s">
        <v>1690</v>
      </c>
      <c r="FLB1737" s="843" t="e">
        <f>#REF!</f>
        <v>#REF!</v>
      </c>
      <c r="FLC1737" s="662" t="s">
        <v>799</v>
      </c>
      <c r="FLD1737" s="663" t="s">
        <v>628</v>
      </c>
      <c r="FLE1737" s="633"/>
      <c r="FLF1737" s="664"/>
      <c r="FLG1737" s="664"/>
      <c r="FLH1737" s="664"/>
      <c r="FLI1737" s="664"/>
      <c r="FLJ1737" s="664"/>
      <c r="FLK1737" s="664"/>
      <c r="FLL1737" s="664"/>
      <c r="FLM1737" s="630"/>
      <c r="FLN1737" s="631"/>
      <c r="FLO1737" s="655"/>
      <c r="FLP1737" s="734" t="s">
        <v>0</v>
      </c>
      <c r="FLQ1737" s="735" t="s">
        <v>1690</v>
      </c>
      <c r="FLR1737" s="843" t="e">
        <f>#REF!</f>
        <v>#REF!</v>
      </c>
      <c r="FLS1737" s="662" t="s">
        <v>799</v>
      </c>
      <c r="FLT1737" s="663" t="s">
        <v>628</v>
      </c>
      <c r="FLU1737" s="633"/>
      <c r="FLV1737" s="664"/>
      <c r="FLW1737" s="664"/>
      <c r="FLX1737" s="664"/>
      <c r="FLY1737" s="664"/>
      <c r="FLZ1737" s="664"/>
      <c r="FMA1737" s="664"/>
      <c r="FMB1737" s="664"/>
      <c r="FMC1737" s="630"/>
      <c r="FMD1737" s="631"/>
      <c r="FME1737" s="655"/>
      <c r="FMF1737" s="734" t="s">
        <v>0</v>
      </c>
      <c r="FMG1737" s="735" t="s">
        <v>1690</v>
      </c>
      <c r="FMH1737" s="843" t="e">
        <f>#REF!</f>
        <v>#REF!</v>
      </c>
      <c r="FMI1737" s="662" t="s">
        <v>799</v>
      </c>
      <c r="FMJ1737" s="663" t="s">
        <v>628</v>
      </c>
      <c r="FMK1737" s="633"/>
      <c r="FML1737" s="664"/>
      <c r="FMM1737" s="664"/>
      <c r="FMN1737" s="664"/>
      <c r="FMO1737" s="664"/>
      <c r="FMP1737" s="664"/>
      <c r="FMQ1737" s="664"/>
      <c r="FMR1737" s="664"/>
      <c r="FMS1737" s="630"/>
      <c r="FMT1737" s="631"/>
      <c r="FMU1737" s="655"/>
      <c r="FMV1737" s="734" t="s">
        <v>0</v>
      </c>
      <c r="FMW1737" s="735" t="s">
        <v>1690</v>
      </c>
      <c r="FMX1737" s="843" t="e">
        <f>#REF!</f>
        <v>#REF!</v>
      </c>
      <c r="FMY1737" s="662" t="s">
        <v>799</v>
      </c>
      <c r="FMZ1737" s="663" t="s">
        <v>628</v>
      </c>
      <c r="FNA1737" s="633"/>
      <c r="FNB1737" s="664"/>
      <c r="FNC1737" s="664"/>
      <c r="FND1737" s="664"/>
      <c r="FNE1737" s="664"/>
      <c r="FNF1737" s="664"/>
      <c r="FNG1737" s="664"/>
      <c r="FNH1737" s="664"/>
      <c r="FNI1737" s="630"/>
      <c r="FNJ1737" s="631"/>
      <c r="FNK1737" s="655"/>
      <c r="FNL1737" s="734" t="s">
        <v>0</v>
      </c>
      <c r="FNM1737" s="735" t="s">
        <v>1690</v>
      </c>
      <c r="FNN1737" s="843" t="e">
        <f>#REF!</f>
        <v>#REF!</v>
      </c>
      <c r="FNO1737" s="662" t="s">
        <v>799</v>
      </c>
      <c r="FNP1737" s="663" t="s">
        <v>628</v>
      </c>
      <c r="FNQ1737" s="633"/>
      <c r="FNR1737" s="664"/>
      <c r="FNS1737" s="664"/>
      <c r="FNT1737" s="664"/>
      <c r="FNU1737" s="664"/>
      <c r="FNV1737" s="664"/>
      <c r="FNW1737" s="664"/>
      <c r="FNX1737" s="664"/>
      <c r="FNY1737" s="630"/>
      <c r="FNZ1737" s="631"/>
      <c r="FOA1737" s="655"/>
      <c r="FOB1737" s="734" t="s">
        <v>0</v>
      </c>
      <c r="FOC1737" s="735" t="s">
        <v>1690</v>
      </c>
      <c r="FOD1737" s="843" t="e">
        <f>#REF!</f>
        <v>#REF!</v>
      </c>
      <c r="FOE1737" s="662" t="s">
        <v>799</v>
      </c>
      <c r="FOF1737" s="663" t="s">
        <v>628</v>
      </c>
      <c r="FOG1737" s="633"/>
      <c r="FOH1737" s="664"/>
      <c r="FOI1737" s="664"/>
      <c r="FOJ1737" s="664"/>
      <c r="FOK1737" s="664"/>
      <c r="FOL1737" s="664"/>
      <c r="FOM1737" s="664"/>
      <c r="FON1737" s="664"/>
      <c r="FOO1737" s="630"/>
      <c r="FOP1737" s="631"/>
      <c r="FOQ1737" s="655"/>
      <c r="FOR1737" s="734" t="s">
        <v>0</v>
      </c>
      <c r="FOS1737" s="735" t="s">
        <v>1690</v>
      </c>
      <c r="FOT1737" s="843" t="e">
        <f>#REF!</f>
        <v>#REF!</v>
      </c>
      <c r="FOU1737" s="662" t="s">
        <v>799</v>
      </c>
      <c r="FOV1737" s="663" t="s">
        <v>628</v>
      </c>
      <c r="FOW1737" s="633"/>
      <c r="FOX1737" s="664"/>
      <c r="FOY1737" s="664"/>
      <c r="FOZ1737" s="664"/>
      <c r="FPA1737" s="664"/>
      <c r="FPB1737" s="664"/>
      <c r="FPC1737" s="664"/>
      <c r="FPD1737" s="664"/>
      <c r="FPE1737" s="630"/>
      <c r="FPF1737" s="631"/>
      <c r="FPG1737" s="655"/>
      <c r="FPH1737" s="734" t="s">
        <v>0</v>
      </c>
      <c r="FPI1737" s="735" t="s">
        <v>1690</v>
      </c>
      <c r="FPJ1737" s="843" t="e">
        <f>#REF!</f>
        <v>#REF!</v>
      </c>
      <c r="FPK1737" s="662" t="s">
        <v>799</v>
      </c>
      <c r="FPL1737" s="663" t="s">
        <v>628</v>
      </c>
      <c r="FPM1737" s="633"/>
      <c r="FPN1737" s="664"/>
      <c r="FPO1737" s="664"/>
      <c r="FPP1737" s="664"/>
      <c r="FPQ1737" s="664"/>
      <c r="FPR1737" s="664"/>
      <c r="FPS1737" s="664"/>
      <c r="FPT1737" s="664"/>
      <c r="FPU1737" s="630"/>
      <c r="FPV1737" s="631"/>
      <c r="FPW1737" s="655"/>
      <c r="FPX1737" s="734" t="s">
        <v>0</v>
      </c>
      <c r="FPY1737" s="735" t="s">
        <v>1690</v>
      </c>
      <c r="FPZ1737" s="843" t="e">
        <f>#REF!</f>
        <v>#REF!</v>
      </c>
      <c r="FQA1737" s="662" t="s">
        <v>799</v>
      </c>
      <c r="FQB1737" s="663" t="s">
        <v>628</v>
      </c>
      <c r="FQC1737" s="633"/>
      <c r="FQD1737" s="664"/>
      <c r="FQE1737" s="664"/>
      <c r="FQF1737" s="664"/>
      <c r="FQG1737" s="664"/>
      <c r="FQH1737" s="664"/>
      <c r="FQI1737" s="664"/>
      <c r="FQJ1737" s="664"/>
      <c r="FQK1737" s="630"/>
      <c r="FQL1737" s="631"/>
      <c r="FQM1737" s="655"/>
      <c r="FQN1737" s="734" t="s">
        <v>0</v>
      </c>
      <c r="FQO1737" s="735" t="s">
        <v>1690</v>
      </c>
      <c r="FQP1737" s="843" t="e">
        <f>#REF!</f>
        <v>#REF!</v>
      </c>
      <c r="FQQ1737" s="662" t="s">
        <v>799</v>
      </c>
      <c r="FQR1737" s="663" t="s">
        <v>628</v>
      </c>
      <c r="FQS1737" s="633"/>
      <c r="FQT1737" s="664"/>
      <c r="FQU1737" s="664"/>
      <c r="FQV1737" s="664"/>
      <c r="FQW1737" s="664"/>
      <c r="FQX1737" s="664"/>
      <c r="FQY1737" s="664"/>
      <c r="FQZ1737" s="664"/>
      <c r="FRA1737" s="630"/>
      <c r="FRB1737" s="631"/>
      <c r="FRC1737" s="655"/>
      <c r="FRD1737" s="734" t="s">
        <v>0</v>
      </c>
      <c r="FRE1737" s="735" t="s">
        <v>1690</v>
      </c>
      <c r="FRF1737" s="843" t="e">
        <f>#REF!</f>
        <v>#REF!</v>
      </c>
      <c r="FRG1737" s="662" t="s">
        <v>799</v>
      </c>
      <c r="FRH1737" s="663" t="s">
        <v>628</v>
      </c>
      <c r="FRI1737" s="633"/>
      <c r="FRJ1737" s="664"/>
      <c r="FRK1737" s="664"/>
      <c r="FRL1737" s="664"/>
      <c r="FRM1737" s="664"/>
      <c r="FRN1737" s="664"/>
      <c r="FRO1737" s="664"/>
      <c r="FRP1737" s="664"/>
      <c r="FRQ1737" s="630"/>
      <c r="FRR1737" s="631"/>
      <c r="FRS1737" s="655"/>
      <c r="FRT1737" s="734" t="s">
        <v>0</v>
      </c>
      <c r="FRU1737" s="735" t="s">
        <v>1690</v>
      </c>
      <c r="FRV1737" s="843" t="e">
        <f>#REF!</f>
        <v>#REF!</v>
      </c>
      <c r="FRW1737" s="662" t="s">
        <v>799</v>
      </c>
      <c r="FRX1737" s="663" t="s">
        <v>628</v>
      </c>
      <c r="FRY1737" s="633"/>
      <c r="FRZ1737" s="664"/>
      <c r="FSA1737" s="664"/>
      <c r="FSB1737" s="664"/>
      <c r="FSC1737" s="664"/>
      <c r="FSD1737" s="664"/>
      <c r="FSE1737" s="664"/>
      <c r="FSF1737" s="664"/>
      <c r="FSG1737" s="630"/>
      <c r="FSH1737" s="631"/>
      <c r="FSI1737" s="655"/>
      <c r="FSJ1737" s="734" t="s">
        <v>0</v>
      </c>
      <c r="FSK1737" s="735" t="s">
        <v>1690</v>
      </c>
      <c r="FSL1737" s="843" t="e">
        <f>#REF!</f>
        <v>#REF!</v>
      </c>
      <c r="FSM1737" s="662" t="s">
        <v>799</v>
      </c>
      <c r="FSN1737" s="663" t="s">
        <v>628</v>
      </c>
      <c r="FSO1737" s="633"/>
      <c r="FSP1737" s="664"/>
      <c r="FSQ1737" s="664"/>
      <c r="FSR1737" s="664"/>
      <c r="FSS1737" s="664"/>
      <c r="FST1737" s="664"/>
      <c r="FSU1737" s="664"/>
      <c r="FSV1737" s="664"/>
      <c r="FSW1737" s="630"/>
      <c r="FSX1737" s="631"/>
      <c r="FSY1737" s="655"/>
      <c r="FSZ1737" s="734" t="s">
        <v>0</v>
      </c>
      <c r="FTA1737" s="735" t="s">
        <v>1690</v>
      </c>
      <c r="FTB1737" s="843" t="e">
        <f>#REF!</f>
        <v>#REF!</v>
      </c>
      <c r="FTC1737" s="662" t="s">
        <v>799</v>
      </c>
      <c r="FTD1737" s="663" t="s">
        <v>628</v>
      </c>
      <c r="FTE1737" s="633"/>
      <c r="FTF1737" s="664"/>
      <c r="FTG1737" s="664"/>
      <c r="FTH1737" s="664"/>
      <c r="FTI1737" s="664"/>
      <c r="FTJ1737" s="664"/>
      <c r="FTK1737" s="664"/>
      <c r="FTL1737" s="664"/>
      <c r="FTM1737" s="630"/>
      <c r="FTN1737" s="631"/>
      <c r="FTO1737" s="655"/>
      <c r="FTP1737" s="734" t="s">
        <v>0</v>
      </c>
      <c r="FTQ1737" s="735" t="s">
        <v>1690</v>
      </c>
      <c r="FTR1737" s="843" t="e">
        <f>#REF!</f>
        <v>#REF!</v>
      </c>
      <c r="FTS1737" s="662" t="s">
        <v>799</v>
      </c>
      <c r="FTT1737" s="663" t="s">
        <v>628</v>
      </c>
      <c r="FTU1737" s="633"/>
      <c r="FTV1737" s="664"/>
      <c r="FTW1737" s="664"/>
      <c r="FTX1737" s="664"/>
      <c r="FTY1737" s="664"/>
      <c r="FTZ1737" s="664"/>
      <c r="FUA1737" s="664"/>
      <c r="FUB1737" s="664"/>
      <c r="FUC1737" s="630"/>
      <c r="FUD1737" s="631"/>
      <c r="FUE1737" s="655"/>
      <c r="FUF1737" s="734" t="s">
        <v>0</v>
      </c>
      <c r="FUG1737" s="735" t="s">
        <v>1690</v>
      </c>
      <c r="FUH1737" s="843" t="e">
        <f>#REF!</f>
        <v>#REF!</v>
      </c>
      <c r="FUI1737" s="662" t="s">
        <v>799</v>
      </c>
      <c r="FUJ1737" s="663" t="s">
        <v>628</v>
      </c>
      <c r="FUK1737" s="633"/>
      <c r="FUL1737" s="664"/>
      <c r="FUM1737" s="664"/>
      <c r="FUN1737" s="664"/>
      <c r="FUO1737" s="664"/>
      <c r="FUP1737" s="664"/>
      <c r="FUQ1737" s="664"/>
      <c r="FUR1737" s="664"/>
      <c r="FUS1737" s="630"/>
      <c r="FUT1737" s="631"/>
      <c r="FUU1737" s="655"/>
      <c r="FUV1737" s="734" t="s">
        <v>0</v>
      </c>
      <c r="FUW1737" s="735" t="s">
        <v>1690</v>
      </c>
      <c r="FUX1737" s="843" t="e">
        <f>#REF!</f>
        <v>#REF!</v>
      </c>
      <c r="FUY1737" s="662" t="s">
        <v>799</v>
      </c>
      <c r="FUZ1737" s="663" t="s">
        <v>628</v>
      </c>
      <c r="FVA1737" s="633"/>
      <c r="FVB1737" s="664"/>
      <c r="FVC1737" s="664"/>
      <c r="FVD1737" s="664"/>
      <c r="FVE1737" s="664"/>
      <c r="FVF1737" s="664"/>
      <c r="FVG1737" s="664"/>
      <c r="FVH1737" s="664"/>
      <c r="FVI1737" s="630"/>
      <c r="FVJ1737" s="631"/>
      <c r="FVK1737" s="655"/>
      <c r="FVL1737" s="734" t="s">
        <v>0</v>
      </c>
      <c r="FVM1737" s="735" t="s">
        <v>1690</v>
      </c>
      <c r="FVN1737" s="843" t="e">
        <f>#REF!</f>
        <v>#REF!</v>
      </c>
      <c r="FVO1737" s="662" t="s">
        <v>799</v>
      </c>
      <c r="FVP1737" s="663" t="s">
        <v>628</v>
      </c>
      <c r="FVQ1737" s="633"/>
      <c r="FVR1737" s="664"/>
      <c r="FVS1737" s="664"/>
      <c r="FVT1737" s="664"/>
      <c r="FVU1737" s="664"/>
      <c r="FVV1737" s="664"/>
      <c r="FVW1737" s="664"/>
      <c r="FVX1737" s="664"/>
      <c r="FVY1737" s="630"/>
      <c r="FVZ1737" s="631"/>
      <c r="FWA1737" s="655"/>
      <c r="FWB1737" s="734" t="s">
        <v>0</v>
      </c>
      <c r="FWC1737" s="735" t="s">
        <v>1690</v>
      </c>
      <c r="FWD1737" s="843" t="e">
        <f>#REF!</f>
        <v>#REF!</v>
      </c>
      <c r="FWE1737" s="662" t="s">
        <v>799</v>
      </c>
      <c r="FWF1737" s="663" t="s">
        <v>628</v>
      </c>
      <c r="FWG1737" s="633"/>
      <c r="FWH1737" s="664"/>
      <c r="FWI1737" s="664"/>
      <c r="FWJ1737" s="664"/>
      <c r="FWK1737" s="664"/>
      <c r="FWL1737" s="664"/>
      <c r="FWM1737" s="664"/>
      <c r="FWN1737" s="664"/>
      <c r="FWO1737" s="630"/>
      <c r="FWP1737" s="631"/>
      <c r="FWQ1737" s="655"/>
      <c r="FWR1737" s="734" t="s">
        <v>0</v>
      </c>
      <c r="FWS1737" s="735" t="s">
        <v>1690</v>
      </c>
      <c r="FWT1737" s="843" t="e">
        <f>#REF!</f>
        <v>#REF!</v>
      </c>
      <c r="FWU1737" s="662" t="s">
        <v>799</v>
      </c>
      <c r="FWV1737" s="663" t="s">
        <v>628</v>
      </c>
      <c r="FWW1737" s="633"/>
      <c r="FWX1737" s="664"/>
      <c r="FWY1737" s="664"/>
      <c r="FWZ1737" s="664"/>
      <c r="FXA1737" s="664"/>
      <c r="FXB1737" s="664"/>
      <c r="FXC1737" s="664"/>
      <c r="FXD1737" s="664"/>
      <c r="FXE1737" s="630"/>
      <c r="FXF1737" s="631"/>
      <c r="FXG1737" s="655"/>
      <c r="FXH1737" s="734" t="s">
        <v>0</v>
      </c>
      <c r="FXI1737" s="735" t="s">
        <v>1690</v>
      </c>
      <c r="FXJ1737" s="843" t="e">
        <f>#REF!</f>
        <v>#REF!</v>
      </c>
      <c r="FXK1737" s="662" t="s">
        <v>799</v>
      </c>
      <c r="FXL1737" s="663" t="s">
        <v>628</v>
      </c>
      <c r="FXM1737" s="633"/>
      <c r="FXN1737" s="664"/>
      <c r="FXO1737" s="664"/>
      <c r="FXP1737" s="664"/>
      <c r="FXQ1737" s="664"/>
      <c r="FXR1737" s="664"/>
      <c r="FXS1737" s="664"/>
      <c r="FXT1737" s="664"/>
      <c r="FXU1737" s="630"/>
      <c r="FXV1737" s="631"/>
      <c r="FXW1737" s="655"/>
      <c r="FXX1737" s="734" t="s">
        <v>0</v>
      </c>
      <c r="FXY1737" s="735" t="s">
        <v>1690</v>
      </c>
      <c r="FXZ1737" s="843" t="e">
        <f>#REF!</f>
        <v>#REF!</v>
      </c>
      <c r="FYA1737" s="662" t="s">
        <v>799</v>
      </c>
      <c r="FYB1737" s="663" t="s">
        <v>628</v>
      </c>
      <c r="FYC1737" s="633"/>
      <c r="FYD1737" s="664"/>
      <c r="FYE1737" s="664"/>
      <c r="FYF1737" s="664"/>
      <c r="FYG1737" s="664"/>
      <c r="FYH1737" s="664"/>
      <c r="FYI1737" s="664"/>
      <c r="FYJ1737" s="664"/>
      <c r="FYK1737" s="630"/>
      <c r="FYL1737" s="631"/>
      <c r="FYM1737" s="655"/>
      <c r="FYN1737" s="734" t="s">
        <v>0</v>
      </c>
      <c r="FYO1737" s="735" t="s">
        <v>1690</v>
      </c>
      <c r="FYP1737" s="843" t="e">
        <f>#REF!</f>
        <v>#REF!</v>
      </c>
      <c r="FYQ1737" s="662" t="s">
        <v>799</v>
      </c>
      <c r="FYR1737" s="663" t="s">
        <v>628</v>
      </c>
      <c r="FYS1737" s="633"/>
      <c r="FYT1737" s="664"/>
      <c r="FYU1737" s="664"/>
      <c r="FYV1737" s="664"/>
      <c r="FYW1737" s="664"/>
      <c r="FYX1737" s="664"/>
      <c r="FYY1737" s="664"/>
      <c r="FYZ1737" s="664"/>
      <c r="FZA1737" s="630"/>
      <c r="FZB1737" s="631"/>
      <c r="FZC1737" s="655"/>
      <c r="FZD1737" s="734" t="s">
        <v>0</v>
      </c>
      <c r="FZE1737" s="735" t="s">
        <v>1690</v>
      </c>
      <c r="FZF1737" s="843" t="e">
        <f>#REF!</f>
        <v>#REF!</v>
      </c>
      <c r="FZG1737" s="662" t="s">
        <v>799</v>
      </c>
      <c r="FZH1737" s="663" t="s">
        <v>628</v>
      </c>
      <c r="FZI1737" s="633"/>
      <c r="FZJ1737" s="664"/>
      <c r="FZK1737" s="664"/>
      <c r="FZL1737" s="664"/>
      <c r="FZM1737" s="664"/>
      <c r="FZN1737" s="664"/>
      <c r="FZO1737" s="664"/>
      <c r="FZP1737" s="664"/>
      <c r="FZQ1737" s="630"/>
      <c r="FZR1737" s="631"/>
      <c r="FZS1737" s="655"/>
      <c r="FZT1737" s="734" t="s">
        <v>0</v>
      </c>
      <c r="FZU1737" s="735" t="s">
        <v>1690</v>
      </c>
      <c r="FZV1737" s="843" t="e">
        <f>#REF!</f>
        <v>#REF!</v>
      </c>
      <c r="FZW1737" s="662" t="s">
        <v>799</v>
      </c>
      <c r="FZX1737" s="663" t="s">
        <v>628</v>
      </c>
      <c r="FZY1737" s="633"/>
      <c r="FZZ1737" s="664"/>
      <c r="GAA1737" s="664"/>
      <c r="GAB1737" s="664"/>
      <c r="GAC1737" s="664"/>
      <c r="GAD1737" s="664"/>
      <c r="GAE1737" s="664"/>
      <c r="GAF1737" s="664"/>
      <c r="GAG1737" s="630"/>
      <c r="GAH1737" s="631"/>
      <c r="GAI1737" s="655"/>
      <c r="GAJ1737" s="734" t="s">
        <v>0</v>
      </c>
      <c r="GAK1737" s="735" t="s">
        <v>1690</v>
      </c>
      <c r="GAL1737" s="843" t="e">
        <f>#REF!</f>
        <v>#REF!</v>
      </c>
      <c r="GAM1737" s="662" t="s">
        <v>799</v>
      </c>
      <c r="GAN1737" s="663" t="s">
        <v>628</v>
      </c>
      <c r="GAO1737" s="633"/>
      <c r="GAP1737" s="664"/>
      <c r="GAQ1737" s="664"/>
      <c r="GAR1737" s="664"/>
      <c r="GAS1737" s="664"/>
      <c r="GAT1737" s="664"/>
      <c r="GAU1737" s="664"/>
      <c r="GAV1737" s="664"/>
      <c r="GAW1737" s="630"/>
      <c r="GAX1737" s="631"/>
      <c r="GAY1737" s="655"/>
      <c r="GAZ1737" s="734" t="s">
        <v>0</v>
      </c>
      <c r="GBA1737" s="735" t="s">
        <v>1690</v>
      </c>
      <c r="GBB1737" s="843" t="e">
        <f>#REF!</f>
        <v>#REF!</v>
      </c>
      <c r="GBC1737" s="662" t="s">
        <v>799</v>
      </c>
      <c r="GBD1737" s="663" t="s">
        <v>628</v>
      </c>
      <c r="GBE1737" s="633"/>
      <c r="GBF1737" s="664"/>
      <c r="GBG1737" s="664"/>
      <c r="GBH1737" s="664"/>
      <c r="GBI1737" s="664"/>
      <c r="GBJ1737" s="664"/>
      <c r="GBK1737" s="664"/>
      <c r="GBL1737" s="664"/>
      <c r="GBM1737" s="630"/>
      <c r="GBN1737" s="631"/>
      <c r="GBO1737" s="655"/>
      <c r="GBP1737" s="734" t="s">
        <v>0</v>
      </c>
      <c r="GBQ1737" s="735" t="s">
        <v>1690</v>
      </c>
      <c r="GBR1737" s="843" t="e">
        <f>#REF!</f>
        <v>#REF!</v>
      </c>
      <c r="GBS1737" s="662" t="s">
        <v>799</v>
      </c>
      <c r="GBT1737" s="663" t="s">
        <v>628</v>
      </c>
      <c r="GBU1737" s="633"/>
      <c r="GBV1737" s="664"/>
      <c r="GBW1737" s="664"/>
      <c r="GBX1737" s="664"/>
      <c r="GBY1737" s="664"/>
      <c r="GBZ1737" s="664"/>
      <c r="GCA1737" s="664"/>
      <c r="GCB1737" s="664"/>
      <c r="GCC1737" s="630"/>
      <c r="GCD1737" s="631"/>
      <c r="GCE1737" s="655"/>
      <c r="GCF1737" s="734" t="s">
        <v>0</v>
      </c>
      <c r="GCG1737" s="735" t="s">
        <v>1690</v>
      </c>
      <c r="GCH1737" s="843" t="e">
        <f>#REF!</f>
        <v>#REF!</v>
      </c>
      <c r="GCI1737" s="662" t="s">
        <v>799</v>
      </c>
      <c r="GCJ1737" s="663" t="s">
        <v>628</v>
      </c>
      <c r="GCK1737" s="633"/>
      <c r="GCL1737" s="664"/>
      <c r="GCM1737" s="664"/>
      <c r="GCN1737" s="664"/>
      <c r="GCO1737" s="664"/>
      <c r="GCP1737" s="664"/>
      <c r="GCQ1737" s="664"/>
      <c r="GCR1737" s="664"/>
      <c r="GCS1737" s="630"/>
      <c r="GCT1737" s="631"/>
      <c r="GCU1737" s="655"/>
      <c r="GCV1737" s="734" t="s">
        <v>0</v>
      </c>
      <c r="GCW1737" s="735" t="s">
        <v>1690</v>
      </c>
      <c r="GCX1737" s="843" t="e">
        <f>#REF!</f>
        <v>#REF!</v>
      </c>
      <c r="GCY1737" s="662" t="s">
        <v>799</v>
      </c>
      <c r="GCZ1737" s="663" t="s">
        <v>628</v>
      </c>
      <c r="GDA1737" s="633"/>
      <c r="GDB1737" s="664"/>
      <c r="GDC1737" s="664"/>
      <c r="GDD1737" s="664"/>
      <c r="GDE1737" s="664"/>
      <c r="GDF1737" s="664"/>
      <c r="GDG1737" s="664"/>
      <c r="GDH1737" s="664"/>
      <c r="GDI1737" s="630"/>
      <c r="GDJ1737" s="631"/>
      <c r="GDK1737" s="655"/>
      <c r="GDL1737" s="734" t="s">
        <v>0</v>
      </c>
      <c r="GDM1737" s="735" t="s">
        <v>1690</v>
      </c>
      <c r="GDN1737" s="843" t="e">
        <f>#REF!</f>
        <v>#REF!</v>
      </c>
      <c r="GDO1737" s="662" t="s">
        <v>799</v>
      </c>
      <c r="GDP1737" s="663" t="s">
        <v>628</v>
      </c>
      <c r="GDQ1737" s="633"/>
      <c r="GDR1737" s="664"/>
      <c r="GDS1737" s="664"/>
      <c r="GDT1737" s="664"/>
      <c r="GDU1737" s="664"/>
      <c r="GDV1737" s="664"/>
      <c r="GDW1737" s="664"/>
      <c r="GDX1737" s="664"/>
      <c r="GDY1737" s="630"/>
      <c r="GDZ1737" s="631"/>
      <c r="GEA1737" s="655"/>
      <c r="GEB1737" s="734" t="s">
        <v>0</v>
      </c>
      <c r="GEC1737" s="735" t="s">
        <v>1690</v>
      </c>
      <c r="GED1737" s="843" t="e">
        <f>#REF!</f>
        <v>#REF!</v>
      </c>
      <c r="GEE1737" s="662" t="s">
        <v>799</v>
      </c>
      <c r="GEF1737" s="663" t="s">
        <v>628</v>
      </c>
      <c r="GEG1737" s="633"/>
      <c r="GEH1737" s="664"/>
      <c r="GEI1737" s="664"/>
      <c r="GEJ1737" s="664"/>
      <c r="GEK1737" s="664"/>
      <c r="GEL1737" s="664"/>
      <c r="GEM1737" s="664"/>
      <c r="GEN1737" s="664"/>
      <c r="GEO1737" s="630"/>
      <c r="GEP1737" s="631"/>
      <c r="GEQ1737" s="655"/>
      <c r="GER1737" s="734" t="s">
        <v>0</v>
      </c>
      <c r="GES1737" s="735" t="s">
        <v>1690</v>
      </c>
      <c r="GET1737" s="843" t="e">
        <f>#REF!</f>
        <v>#REF!</v>
      </c>
      <c r="GEU1737" s="662" t="s">
        <v>799</v>
      </c>
      <c r="GEV1737" s="663" t="s">
        <v>628</v>
      </c>
      <c r="GEW1737" s="633"/>
      <c r="GEX1737" s="664"/>
      <c r="GEY1737" s="664"/>
      <c r="GEZ1737" s="664"/>
      <c r="GFA1737" s="664"/>
      <c r="GFB1737" s="664"/>
      <c r="GFC1737" s="664"/>
      <c r="GFD1737" s="664"/>
      <c r="GFE1737" s="630"/>
      <c r="GFF1737" s="631"/>
      <c r="GFG1737" s="655"/>
      <c r="GFH1737" s="734" t="s">
        <v>0</v>
      </c>
      <c r="GFI1737" s="735" t="s">
        <v>1690</v>
      </c>
      <c r="GFJ1737" s="843" t="e">
        <f>#REF!</f>
        <v>#REF!</v>
      </c>
      <c r="GFK1737" s="662" t="s">
        <v>799</v>
      </c>
      <c r="GFL1737" s="663" t="s">
        <v>628</v>
      </c>
      <c r="GFM1737" s="633"/>
      <c r="GFN1737" s="664"/>
      <c r="GFO1737" s="664"/>
      <c r="GFP1737" s="664"/>
      <c r="GFQ1737" s="664"/>
      <c r="GFR1737" s="664"/>
      <c r="GFS1737" s="664"/>
      <c r="GFT1737" s="664"/>
      <c r="GFU1737" s="630"/>
      <c r="GFV1737" s="631"/>
      <c r="GFW1737" s="655"/>
      <c r="GFX1737" s="734" t="s">
        <v>0</v>
      </c>
      <c r="GFY1737" s="735" t="s">
        <v>1690</v>
      </c>
      <c r="GFZ1737" s="843" t="e">
        <f>#REF!</f>
        <v>#REF!</v>
      </c>
      <c r="GGA1737" s="662" t="s">
        <v>799</v>
      </c>
      <c r="GGB1737" s="663" t="s">
        <v>628</v>
      </c>
      <c r="GGC1737" s="633"/>
      <c r="GGD1737" s="664"/>
      <c r="GGE1737" s="664"/>
      <c r="GGF1737" s="664"/>
      <c r="GGG1737" s="664"/>
      <c r="GGH1737" s="664"/>
      <c r="GGI1737" s="664"/>
      <c r="GGJ1737" s="664"/>
      <c r="GGK1737" s="630"/>
      <c r="GGL1737" s="631"/>
      <c r="GGM1737" s="655"/>
      <c r="GGN1737" s="734" t="s">
        <v>0</v>
      </c>
      <c r="GGO1737" s="735" t="s">
        <v>1690</v>
      </c>
      <c r="GGP1737" s="843" t="e">
        <f>#REF!</f>
        <v>#REF!</v>
      </c>
      <c r="GGQ1737" s="662" t="s">
        <v>799</v>
      </c>
      <c r="GGR1737" s="663" t="s">
        <v>628</v>
      </c>
      <c r="GGS1737" s="633"/>
      <c r="GGT1737" s="664"/>
      <c r="GGU1737" s="664"/>
      <c r="GGV1737" s="664"/>
      <c r="GGW1737" s="664"/>
      <c r="GGX1737" s="664"/>
      <c r="GGY1737" s="664"/>
      <c r="GGZ1737" s="664"/>
      <c r="GHA1737" s="630"/>
      <c r="GHB1737" s="631"/>
      <c r="GHC1737" s="655"/>
      <c r="GHD1737" s="734" t="s">
        <v>0</v>
      </c>
      <c r="GHE1737" s="735" t="s">
        <v>1690</v>
      </c>
      <c r="GHF1737" s="843" t="e">
        <f>#REF!</f>
        <v>#REF!</v>
      </c>
      <c r="GHG1737" s="662" t="s">
        <v>799</v>
      </c>
      <c r="GHH1737" s="663" t="s">
        <v>628</v>
      </c>
      <c r="GHI1737" s="633"/>
      <c r="GHJ1737" s="664"/>
      <c r="GHK1737" s="664"/>
      <c r="GHL1737" s="664"/>
      <c r="GHM1737" s="664"/>
      <c r="GHN1737" s="664"/>
      <c r="GHO1737" s="664"/>
      <c r="GHP1737" s="664"/>
      <c r="GHQ1737" s="630"/>
      <c r="GHR1737" s="631"/>
      <c r="GHS1737" s="655"/>
      <c r="GHT1737" s="734" t="s">
        <v>0</v>
      </c>
      <c r="GHU1737" s="735" t="s">
        <v>1690</v>
      </c>
      <c r="GHV1737" s="843" t="e">
        <f>#REF!</f>
        <v>#REF!</v>
      </c>
      <c r="GHW1737" s="662" t="s">
        <v>799</v>
      </c>
      <c r="GHX1737" s="663" t="s">
        <v>628</v>
      </c>
      <c r="GHY1737" s="633"/>
      <c r="GHZ1737" s="664"/>
      <c r="GIA1737" s="664"/>
      <c r="GIB1737" s="664"/>
      <c r="GIC1737" s="664"/>
      <c r="GID1737" s="664"/>
      <c r="GIE1737" s="664"/>
      <c r="GIF1737" s="664"/>
      <c r="GIG1737" s="630"/>
      <c r="GIH1737" s="631"/>
      <c r="GII1737" s="655"/>
      <c r="GIJ1737" s="734" t="s">
        <v>0</v>
      </c>
      <c r="GIK1737" s="735" t="s">
        <v>1690</v>
      </c>
      <c r="GIL1737" s="843" t="e">
        <f>#REF!</f>
        <v>#REF!</v>
      </c>
      <c r="GIM1737" s="662" t="s">
        <v>799</v>
      </c>
      <c r="GIN1737" s="663" t="s">
        <v>628</v>
      </c>
      <c r="GIO1737" s="633"/>
      <c r="GIP1737" s="664"/>
      <c r="GIQ1737" s="664"/>
      <c r="GIR1737" s="664"/>
      <c r="GIS1737" s="664"/>
      <c r="GIT1737" s="664"/>
      <c r="GIU1737" s="664"/>
      <c r="GIV1737" s="664"/>
      <c r="GIW1737" s="630"/>
      <c r="GIX1737" s="631"/>
      <c r="GIY1737" s="655"/>
      <c r="GIZ1737" s="734" t="s">
        <v>0</v>
      </c>
      <c r="GJA1737" s="735" t="s">
        <v>1690</v>
      </c>
      <c r="GJB1737" s="843" t="e">
        <f>#REF!</f>
        <v>#REF!</v>
      </c>
      <c r="GJC1737" s="662" t="s">
        <v>799</v>
      </c>
      <c r="GJD1737" s="663" t="s">
        <v>628</v>
      </c>
      <c r="GJE1737" s="633"/>
      <c r="GJF1737" s="664"/>
      <c r="GJG1737" s="664"/>
      <c r="GJH1737" s="664"/>
      <c r="GJI1737" s="664"/>
      <c r="GJJ1737" s="664"/>
      <c r="GJK1737" s="664"/>
      <c r="GJL1737" s="664"/>
      <c r="GJM1737" s="630"/>
      <c r="GJN1737" s="631"/>
      <c r="GJO1737" s="655"/>
      <c r="GJP1737" s="734" t="s">
        <v>0</v>
      </c>
      <c r="GJQ1737" s="735" t="s">
        <v>1690</v>
      </c>
      <c r="GJR1737" s="843" t="e">
        <f>#REF!</f>
        <v>#REF!</v>
      </c>
      <c r="GJS1737" s="662" t="s">
        <v>799</v>
      </c>
      <c r="GJT1737" s="663" t="s">
        <v>628</v>
      </c>
      <c r="GJU1737" s="633"/>
      <c r="GJV1737" s="664"/>
      <c r="GJW1737" s="664"/>
      <c r="GJX1737" s="664"/>
      <c r="GJY1737" s="664"/>
      <c r="GJZ1737" s="664"/>
      <c r="GKA1737" s="664"/>
      <c r="GKB1737" s="664"/>
      <c r="GKC1737" s="630"/>
      <c r="GKD1737" s="631"/>
      <c r="GKE1737" s="655"/>
      <c r="GKF1737" s="734" t="s">
        <v>0</v>
      </c>
      <c r="GKG1737" s="735" t="s">
        <v>1690</v>
      </c>
      <c r="GKH1737" s="843" t="e">
        <f>#REF!</f>
        <v>#REF!</v>
      </c>
      <c r="GKI1737" s="662" t="s">
        <v>799</v>
      </c>
      <c r="GKJ1737" s="663" t="s">
        <v>628</v>
      </c>
      <c r="GKK1737" s="633"/>
      <c r="GKL1737" s="664"/>
      <c r="GKM1737" s="664"/>
      <c r="GKN1737" s="664"/>
      <c r="GKO1737" s="664"/>
      <c r="GKP1737" s="664"/>
      <c r="GKQ1737" s="664"/>
      <c r="GKR1737" s="664"/>
      <c r="GKS1737" s="630"/>
      <c r="GKT1737" s="631"/>
      <c r="GKU1737" s="655"/>
      <c r="GKV1737" s="734" t="s">
        <v>0</v>
      </c>
      <c r="GKW1737" s="735" t="s">
        <v>1690</v>
      </c>
      <c r="GKX1737" s="843" t="e">
        <f>#REF!</f>
        <v>#REF!</v>
      </c>
      <c r="GKY1737" s="662" t="s">
        <v>799</v>
      </c>
      <c r="GKZ1737" s="663" t="s">
        <v>628</v>
      </c>
      <c r="GLA1737" s="633"/>
      <c r="GLB1737" s="664"/>
      <c r="GLC1737" s="664"/>
      <c r="GLD1737" s="664"/>
      <c r="GLE1737" s="664"/>
      <c r="GLF1737" s="664"/>
      <c r="GLG1737" s="664"/>
      <c r="GLH1737" s="664"/>
      <c r="GLI1737" s="630"/>
      <c r="GLJ1737" s="631"/>
      <c r="GLK1737" s="655"/>
      <c r="GLL1737" s="734" t="s">
        <v>0</v>
      </c>
      <c r="GLM1737" s="735" t="s">
        <v>1690</v>
      </c>
      <c r="GLN1737" s="843" t="e">
        <f>#REF!</f>
        <v>#REF!</v>
      </c>
      <c r="GLO1737" s="662" t="s">
        <v>799</v>
      </c>
      <c r="GLP1737" s="663" t="s">
        <v>628</v>
      </c>
      <c r="GLQ1737" s="633"/>
      <c r="GLR1737" s="664"/>
      <c r="GLS1737" s="664"/>
      <c r="GLT1737" s="664"/>
      <c r="GLU1737" s="664"/>
      <c r="GLV1737" s="664"/>
      <c r="GLW1737" s="664"/>
      <c r="GLX1737" s="664"/>
      <c r="GLY1737" s="630"/>
      <c r="GLZ1737" s="631"/>
      <c r="GMA1737" s="655"/>
      <c r="GMB1737" s="734" t="s">
        <v>0</v>
      </c>
      <c r="GMC1737" s="735" t="s">
        <v>1690</v>
      </c>
      <c r="GMD1737" s="843" t="e">
        <f>#REF!</f>
        <v>#REF!</v>
      </c>
      <c r="GME1737" s="662" t="s">
        <v>799</v>
      </c>
      <c r="GMF1737" s="663" t="s">
        <v>628</v>
      </c>
      <c r="GMG1737" s="633"/>
      <c r="GMH1737" s="664"/>
      <c r="GMI1737" s="664"/>
      <c r="GMJ1737" s="664"/>
      <c r="GMK1737" s="664"/>
      <c r="GML1737" s="664"/>
      <c r="GMM1737" s="664"/>
      <c r="GMN1737" s="664"/>
      <c r="GMO1737" s="630"/>
      <c r="GMP1737" s="631"/>
      <c r="GMQ1737" s="655"/>
      <c r="GMR1737" s="734" t="s">
        <v>0</v>
      </c>
      <c r="GMS1737" s="735" t="s">
        <v>1690</v>
      </c>
      <c r="GMT1737" s="843" t="e">
        <f>#REF!</f>
        <v>#REF!</v>
      </c>
      <c r="GMU1737" s="662" t="s">
        <v>799</v>
      </c>
      <c r="GMV1737" s="663" t="s">
        <v>628</v>
      </c>
      <c r="GMW1737" s="633"/>
      <c r="GMX1737" s="664"/>
      <c r="GMY1737" s="664"/>
      <c r="GMZ1737" s="664"/>
      <c r="GNA1737" s="664"/>
      <c r="GNB1737" s="664"/>
      <c r="GNC1737" s="664"/>
      <c r="GND1737" s="664"/>
      <c r="GNE1737" s="630"/>
      <c r="GNF1737" s="631"/>
      <c r="GNG1737" s="655"/>
      <c r="GNH1737" s="734" t="s">
        <v>0</v>
      </c>
      <c r="GNI1737" s="735" t="s">
        <v>1690</v>
      </c>
      <c r="GNJ1737" s="843" t="e">
        <f>#REF!</f>
        <v>#REF!</v>
      </c>
      <c r="GNK1737" s="662" t="s">
        <v>799</v>
      </c>
      <c r="GNL1737" s="663" t="s">
        <v>628</v>
      </c>
      <c r="GNM1737" s="633"/>
      <c r="GNN1737" s="664"/>
      <c r="GNO1737" s="664"/>
      <c r="GNP1737" s="664"/>
      <c r="GNQ1737" s="664"/>
      <c r="GNR1737" s="664"/>
      <c r="GNS1737" s="664"/>
      <c r="GNT1737" s="664"/>
      <c r="GNU1737" s="630"/>
      <c r="GNV1737" s="631"/>
      <c r="GNW1737" s="655"/>
      <c r="GNX1737" s="734" t="s">
        <v>0</v>
      </c>
      <c r="GNY1737" s="735" t="s">
        <v>1690</v>
      </c>
      <c r="GNZ1737" s="843" t="e">
        <f>#REF!</f>
        <v>#REF!</v>
      </c>
      <c r="GOA1737" s="662" t="s">
        <v>799</v>
      </c>
      <c r="GOB1737" s="663" t="s">
        <v>628</v>
      </c>
      <c r="GOC1737" s="633"/>
      <c r="GOD1737" s="664"/>
      <c r="GOE1737" s="664"/>
      <c r="GOF1737" s="664"/>
      <c r="GOG1737" s="664"/>
      <c r="GOH1737" s="664"/>
      <c r="GOI1737" s="664"/>
      <c r="GOJ1737" s="664"/>
      <c r="GOK1737" s="630"/>
      <c r="GOL1737" s="631"/>
      <c r="GOM1737" s="655"/>
      <c r="GON1737" s="734" t="s">
        <v>0</v>
      </c>
      <c r="GOO1737" s="735" t="s">
        <v>1690</v>
      </c>
      <c r="GOP1737" s="843" t="e">
        <f>#REF!</f>
        <v>#REF!</v>
      </c>
      <c r="GOQ1737" s="662" t="s">
        <v>799</v>
      </c>
      <c r="GOR1737" s="663" t="s">
        <v>628</v>
      </c>
      <c r="GOS1737" s="633"/>
      <c r="GOT1737" s="664"/>
      <c r="GOU1737" s="664"/>
      <c r="GOV1737" s="664"/>
      <c r="GOW1737" s="664"/>
      <c r="GOX1737" s="664"/>
      <c r="GOY1737" s="664"/>
      <c r="GOZ1737" s="664"/>
      <c r="GPA1737" s="630"/>
      <c r="GPB1737" s="631"/>
      <c r="GPC1737" s="655"/>
      <c r="GPD1737" s="734" t="s">
        <v>0</v>
      </c>
      <c r="GPE1737" s="735" t="s">
        <v>1690</v>
      </c>
      <c r="GPF1737" s="843" t="e">
        <f>#REF!</f>
        <v>#REF!</v>
      </c>
      <c r="GPG1737" s="662" t="s">
        <v>799</v>
      </c>
      <c r="GPH1737" s="663" t="s">
        <v>628</v>
      </c>
      <c r="GPI1737" s="633"/>
      <c r="GPJ1737" s="664"/>
      <c r="GPK1737" s="664"/>
      <c r="GPL1737" s="664"/>
      <c r="GPM1737" s="664"/>
      <c r="GPN1737" s="664"/>
      <c r="GPO1737" s="664"/>
      <c r="GPP1737" s="664"/>
      <c r="GPQ1737" s="630"/>
      <c r="GPR1737" s="631"/>
      <c r="GPS1737" s="655"/>
      <c r="GPT1737" s="734" t="s">
        <v>0</v>
      </c>
      <c r="GPU1737" s="735" t="s">
        <v>1690</v>
      </c>
      <c r="GPV1737" s="843" t="e">
        <f>#REF!</f>
        <v>#REF!</v>
      </c>
      <c r="GPW1737" s="662" t="s">
        <v>799</v>
      </c>
      <c r="GPX1737" s="663" t="s">
        <v>628</v>
      </c>
      <c r="GPY1737" s="633"/>
      <c r="GPZ1737" s="664"/>
      <c r="GQA1737" s="664"/>
      <c r="GQB1737" s="664"/>
      <c r="GQC1737" s="664"/>
      <c r="GQD1737" s="664"/>
      <c r="GQE1737" s="664"/>
      <c r="GQF1737" s="664"/>
      <c r="GQG1737" s="630"/>
      <c r="GQH1737" s="631"/>
      <c r="GQI1737" s="655"/>
      <c r="GQJ1737" s="734" t="s">
        <v>0</v>
      </c>
      <c r="GQK1737" s="735" t="s">
        <v>1690</v>
      </c>
      <c r="GQL1737" s="843" t="e">
        <f>#REF!</f>
        <v>#REF!</v>
      </c>
      <c r="GQM1737" s="662" t="s">
        <v>799</v>
      </c>
      <c r="GQN1737" s="663" t="s">
        <v>628</v>
      </c>
      <c r="GQO1737" s="633"/>
      <c r="GQP1737" s="664"/>
      <c r="GQQ1737" s="664"/>
      <c r="GQR1737" s="664"/>
      <c r="GQS1737" s="664"/>
      <c r="GQT1737" s="664"/>
      <c r="GQU1737" s="664"/>
      <c r="GQV1737" s="664"/>
      <c r="GQW1737" s="630"/>
      <c r="GQX1737" s="631"/>
      <c r="GQY1737" s="655"/>
      <c r="GQZ1737" s="734" t="s">
        <v>0</v>
      </c>
      <c r="GRA1737" s="735" t="s">
        <v>1690</v>
      </c>
      <c r="GRB1737" s="843" t="e">
        <f>#REF!</f>
        <v>#REF!</v>
      </c>
      <c r="GRC1737" s="662" t="s">
        <v>799</v>
      </c>
      <c r="GRD1737" s="663" t="s">
        <v>628</v>
      </c>
      <c r="GRE1737" s="633"/>
      <c r="GRF1737" s="664"/>
      <c r="GRG1737" s="664"/>
      <c r="GRH1737" s="664"/>
      <c r="GRI1737" s="664"/>
      <c r="GRJ1737" s="664"/>
      <c r="GRK1737" s="664"/>
      <c r="GRL1737" s="664"/>
      <c r="GRM1737" s="630"/>
      <c r="GRN1737" s="631"/>
      <c r="GRO1737" s="655"/>
      <c r="GRP1737" s="734" t="s">
        <v>0</v>
      </c>
      <c r="GRQ1737" s="735" t="s">
        <v>1690</v>
      </c>
      <c r="GRR1737" s="843" t="e">
        <f>#REF!</f>
        <v>#REF!</v>
      </c>
      <c r="GRS1737" s="662" t="s">
        <v>799</v>
      </c>
      <c r="GRT1737" s="663" t="s">
        <v>628</v>
      </c>
      <c r="GRU1737" s="633"/>
      <c r="GRV1737" s="664"/>
      <c r="GRW1737" s="664"/>
      <c r="GRX1737" s="664"/>
      <c r="GRY1737" s="664"/>
      <c r="GRZ1737" s="664"/>
      <c r="GSA1737" s="664"/>
      <c r="GSB1737" s="664"/>
      <c r="GSC1737" s="630"/>
      <c r="GSD1737" s="631"/>
      <c r="GSE1737" s="655"/>
      <c r="GSF1737" s="734" t="s">
        <v>0</v>
      </c>
      <c r="GSG1737" s="735" t="s">
        <v>1690</v>
      </c>
      <c r="GSH1737" s="843" t="e">
        <f>#REF!</f>
        <v>#REF!</v>
      </c>
      <c r="GSI1737" s="662" t="s">
        <v>799</v>
      </c>
      <c r="GSJ1737" s="663" t="s">
        <v>628</v>
      </c>
      <c r="GSK1737" s="633"/>
      <c r="GSL1737" s="664"/>
      <c r="GSM1737" s="664"/>
      <c r="GSN1737" s="664"/>
      <c r="GSO1737" s="664"/>
      <c r="GSP1737" s="664"/>
      <c r="GSQ1737" s="664"/>
      <c r="GSR1737" s="664"/>
      <c r="GSS1737" s="630"/>
      <c r="GST1737" s="631"/>
      <c r="GSU1737" s="655"/>
      <c r="GSV1737" s="734" t="s">
        <v>0</v>
      </c>
      <c r="GSW1737" s="735" t="s">
        <v>1690</v>
      </c>
      <c r="GSX1737" s="843" t="e">
        <f>#REF!</f>
        <v>#REF!</v>
      </c>
      <c r="GSY1737" s="662" t="s">
        <v>799</v>
      </c>
      <c r="GSZ1737" s="663" t="s">
        <v>628</v>
      </c>
      <c r="GTA1737" s="633"/>
      <c r="GTB1737" s="664"/>
      <c r="GTC1737" s="664"/>
      <c r="GTD1737" s="664"/>
      <c r="GTE1737" s="664"/>
      <c r="GTF1737" s="664"/>
      <c r="GTG1737" s="664"/>
      <c r="GTH1737" s="664"/>
      <c r="GTI1737" s="630"/>
      <c r="GTJ1737" s="631"/>
      <c r="GTK1737" s="655"/>
      <c r="GTL1737" s="734" t="s">
        <v>0</v>
      </c>
      <c r="GTM1737" s="735" t="s">
        <v>1690</v>
      </c>
      <c r="GTN1737" s="843" t="e">
        <f>#REF!</f>
        <v>#REF!</v>
      </c>
      <c r="GTO1737" s="662" t="s">
        <v>799</v>
      </c>
      <c r="GTP1737" s="663" t="s">
        <v>628</v>
      </c>
      <c r="GTQ1737" s="633"/>
      <c r="GTR1737" s="664"/>
      <c r="GTS1737" s="664"/>
      <c r="GTT1737" s="664"/>
      <c r="GTU1737" s="664"/>
      <c r="GTV1737" s="664"/>
      <c r="GTW1737" s="664"/>
      <c r="GTX1737" s="664"/>
      <c r="GTY1737" s="630"/>
      <c r="GTZ1737" s="631"/>
      <c r="GUA1737" s="655"/>
      <c r="GUB1737" s="734" t="s">
        <v>0</v>
      </c>
      <c r="GUC1737" s="735" t="s">
        <v>1690</v>
      </c>
      <c r="GUD1737" s="843" t="e">
        <f>#REF!</f>
        <v>#REF!</v>
      </c>
      <c r="GUE1737" s="662" t="s">
        <v>799</v>
      </c>
      <c r="GUF1737" s="663" t="s">
        <v>628</v>
      </c>
      <c r="GUG1737" s="633"/>
      <c r="GUH1737" s="664"/>
      <c r="GUI1737" s="664"/>
      <c r="GUJ1737" s="664"/>
      <c r="GUK1737" s="664"/>
      <c r="GUL1737" s="664"/>
      <c r="GUM1737" s="664"/>
      <c r="GUN1737" s="664"/>
      <c r="GUO1737" s="630"/>
      <c r="GUP1737" s="631"/>
      <c r="GUQ1737" s="655"/>
      <c r="GUR1737" s="734" t="s">
        <v>0</v>
      </c>
      <c r="GUS1737" s="735" t="s">
        <v>1690</v>
      </c>
      <c r="GUT1737" s="843" t="e">
        <f>#REF!</f>
        <v>#REF!</v>
      </c>
      <c r="GUU1737" s="662" t="s">
        <v>799</v>
      </c>
      <c r="GUV1737" s="663" t="s">
        <v>628</v>
      </c>
      <c r="GUW1737" s="633"/>
      <c r="GUX1737" s="664"/>
      <c r="GUY1737" s="664"/>
      <c r="GUZ1737" s="664"/>
      <c r="GVA1737" s="664"/>
      <c r="GVB1737" s="664"/>
      <c r="GVC1737" s="664"/>
      <c r="GVD1737" s="664"/>
      <c r="GVE1737" s="630"/>
      <c r="GVF1737" s="631"/>
      <c r="GVG1737" s="655"/>
      <c r="GVH1737" s="734" t="s">
        <v>0</v>
      </c>
      <c r="GVI1737" s="735" t="s">
        <v>1690</v>
      </c>
      <c r="GVJ1737" s="843" t="e">
        <f>#REF!</f>
        <v>#REF!</v>
      </c>
      <c r="GVK1737" s="662" t="s">
        <v>799</v>
      </c>
      <c r="GVL1737" s="663" t="s">
        <v>628</v>
      </c>
      <c r="GVM1737" s="633"/>
      <c r="GVN1737" s="664"/>
      <c r="GVO1737" s="664"/>
      <c r="GVP1737" s="664"/>
      <c r="GVQ1737" s="664"/>
      <c r="GVR1737" s="664"/>
      <c r="GVS1737" s="664"/>
      <c r="GVT1737" s="664"/>
      <c r="GVU1737" s="630"/>
      <c r="GVV1737" s="631"/>
      <c r="GVW1737" s="655"/>
      <c r="GVX1737" s="734" t="s">
        <v>0</v>
      </c>
      <c r="GVY1737" s="735" t="s">
        <v>1690</v>
      </c>
      <c r="GVZ1737" s="843" t="e">
        <f>#REF!</f>
        <v>#REF!</v>
      </c>
      <c r="GWA1737" s="662" t="s">
        <v>799</v>
      </c>
      <c r="GWB1737" s="663" t="s">
        <v>628</v>
      </c>
      <c r="GWC1737" s="633"/>
      <c r="GWD1737" s="664"/>
      <c r="GWE1737" s="664"/>
      <c r="GWF1737" s="664"/>
      <c r="GWG1737" s="664"/>
      <c r="GWH1737" s="664"/>
      <c r="GWI1737" s="664"/>
      <c r="GWJ1737" s="664"/>
      <c r="GWK1737" s="630"/>
      <c r="GWL1737" s="631"/>
      <c r="GWM1737" s="655"/>
      <c r="GWN1737" s="734" t="s">
        <v>0</v>
      </c>
      <c r="GWO1737" s="735" t="s">
        <v>1690</v>
      </c>
      <c r="GWP1737" s="843" t="e">
        <f>#REF!</f>
        <v>#REF!</v>
      </c>
      <c r="GWQ1737" s="662" t="s">
        <v>799</v>
      </c>
      <c r="GWR1737" s="663" t="s">
        <v>628</v>
      </c>
      <c r="GWS1737" s="633"/>
      <c r="GWT1737" s="664"/>
      <c r="GWU1737" s="664"/>
      <c r="GWV1737" s="664"/>
      <c r="GWW1737" s="664"/>
      <c r="GWX1737" s="664"/>
      <c r="GWY1737" s="664"/>
      <c r="GWZ1737" s="664"/>
      <c r="GXA1737" s="630"/>
      <c r="GXB1737" s="631"/>
      <c r="GXC1737" s="655"/>
      <c r="GXD1737" s="734" t="s">
        <v>0</v>
      </c>
      <c r="GXE1737" s="735" t="s">
        <v>1690</v>
      </c>
      <c r="GXF1737" s="843" t="e">
        <f>#REF!</f>
        <v>#REF!</v>
      </c>
      <c r="GXG1737" s="662" t="s">
        <v>799</v>
      </c>
      <c r="GXH1737" s="663" t="s">
        <v>628</v>
      </c>
      <c r="GXI1737" s="633"/>
      <c r="GXJ1737" s="664"/>
      <c r="GXK1737" s="664"/>
      <c r="GXL1737" s="664"/>
      <c r="GXM1737" s="664"/>
      <c r="GXN1737" s="664"/>
      <c r="GXO1737" s="664"/>
      <c r="GXP1737" s="664"/>
      <c r="GXQ1737" s="630"/>
      <c r="GXR1737" s="631"/>
      <c r="GXS1737" s="655"/>
      <c r="GXT1737" s="734" t="s">
        <v>0</v>
      </c>
      <c r="GXU1737" s="735" t="s">
        <v>1690</v>
      </c>
      <c r="GXV1737" s="843" t="e">
        <f>#REF!</f>
        <v>#REF!</v>
      </c>
      <c r="GXW1737" s="662" t="s">
        <v>799</v>
      </c>
      <c r="GXX1737" s="663" t="s">
        <v>628</v>
      </c>
      <c r="GXY1737" s="633"/>
      <c r="GXZ1737" s="664"/>
      <c r="GYA1737" s="664"/>
      <c r="GYB1737" s="664"/>
      <c r="GYC1737" s="664"/>
      <c r="GYD1737" s="664"/>
      <c r="GYE1737" s="664"/>
      <c r="GYF1737" s="664"/>
      <c r="GYG1737" s="630"/>
      <c r="GYH1737" s="631"/>
      <c r="GYI1737" s="655"/>
      <c r="GYJ1737" s="734" t="s">
        <v>0</v>
      </c>
      <c r="GYK1737" s="735" t="s">
        <v>1690</v>
      </c>
      <c r="GYL1737" s="843" t="e">
        <f>#REF!</f>
        <v>#REF!</v>
      </c>
      <c r="GYM1737" s="662" t="s">
        <v>799</v>
      </c>
      <c r="GYN1737" s="663" t="s">
        <v>628</v>
      </c>
      <c r="GYO1737" s="633"/>
      <c r="GYP1737" s="664"/>
      <c r="GYQ1737" s="664"/>
      <c r="GYR1737" s="664"/>
      <c r="GYS1737" s="664"/>
      <c r="GYT1737" s="664"/>
      <c r="GYU1737" s="664"/>
      <c r="GYV1737" s="664"/>
      <c r="GYW1737" s="630"/>
      <c r="GYX1737" s="631"/>
      <c r="GYY1737" s="655"/>
      <c r="GYZ1737" s="734" t="s">
        <v>0</v>
      </c>
      <c r="GZA1737" s="735" t="s">
        <v>1690</v>
      </c>
      <c r="GZB1737" s="843" t="e">
        <f>#REF!</f>
        <v>#REF!</v>
      </c>
      <c r="GZC1737" s="662" t="s">
        <v>799</v>
      </c>
      <c r="GZD1737" s="663" t="s">
        <v>628</v>
      </c>
      <c r="GZE1737" s="633"/>
      <c r="GZF1737" s="664"/>
      <c r="GZG1737" s="664"/>
      <c r="GZH1737" s="664"/>
      <c r="GZI1737" s="664"/>
      <c r="GZJ1737" s="664"/>
      <c r="GZK1737" s="664"/>
      <c r="GZL1737" s="664"/>
      <c r="GZM1737" s="630"/>
      <c r="GZN1737" s="631"/>
      <c r="GZO1737" s="655"/>
      <c r="GZP1737" s="734" t="s">
        <v>0</v>
      </c>
      <c r="GZQ1737" s="735" t="s">
        <v>1690</v>
      </c>
      <c r="GZR1737" s="843" t="e">
        <f>#REF!</f>
        <v>#REF!</v>
      </c>
      <c r="GZS1737" s="662" t="s">
        <v>799</v>
      </c>
      <c r="GZT1737" s="663" t="s">
        <v>628</v>
      </c>
      <c r="GZU1737" s="633"/>
      <c r="GZV1737" s="664"/>
      <c r="GZW1737" s="664"/>
      <c r="GZX1737" s="664"/>
      <c r="GZY1737" s="664"/>
      <c r="GZZ1737" s="664"/>
      <c r="HAA1737" s="664"/>
      <c r="HAB1737" s="664"/>
      <c r="HAC1737" s="630"/>
      <c r="HAD1737" s="631"/>
      <c r="HAE1737" s="655"/>
      <c r="HAF1737" s="734" t="s">
        <v>0</v>
      </c>
      <c r="HAG1737" s="735" t="s">
        <v>1690</v>
      </c>
      <c r="HAH1737" s="843" t="e">
        <f>#REF!</f>
        <v>#REF!</v>
      </c>
      <c r="HAI1737" s="662" t="s">
        <v>799</v>
      </c>
      <c r="HAJ1737" s="663" t="s">
        <v>628</v>
      </c>
      <c r="HAK1737" s="633"/>
      <c r="HAL1737" s="664"/>
      <c r="HAM1737" s="664"/>
      <c r="HAN1737" s="664"/>
      <c r="HAO1737" s="664"/>
      <c r="HAP1737" s="664"/>
      <c r="HAQ1737" s="664"/>
      <c r="HAR1737" s="664"/>
      <c r="HAS1737" s="630"/>
      <c r="HAT1737" s="631"/>
      <c r="HAU1737" s="655"/>
      <c r="HAV1737" s="734" t="s">
        <v>0</v>
      </c>
      <c r="HAW1737" s="735" t="s">
        <v>1690</v>
      </c>
      <c r="HAX1737" s="843" t="e">
        <f>#REF!</f>
        <v>#REF!</v>
      </c>
      <c r="HAY1737" s="662" t="s">
        <v>799</v>
      </c>
      <c r="HAZ1737" s="663" t="s">
        <v>628</v>
      </c>
      <c r="HBA1737" s="633"/>
      <c r="HBB1737" s="664"/>
      <c r="HBC1737" s="664"/>
      <c r="HBD1737" s="664"/>
      <c r="HBE1737" s="664"/>
      <c r="HBF1737" s="664"/>
      <c r="HBG1737" s="664"/>
      <c r="HBH1737" s="664"/>
      <c r="HBI1737" s="630"/>
      <c r="HBJ1737" s="631"/>
      <c r="HBK1737" s="655"/>
      <c r="HBL1737" s="734" t="s">
        <v>0</v>
      </c>
      <c r="HBM1737" s="735" t="s">
        <v>1690</v>
      </c>
      <c r="HBN1737" s="843" t="e">
        <f>#REF!</f>
        <v>#REF!</v>
      </c>
      <c r="HBO1737" s="662" t="s">
        <v>799</v>
      </c>
      <c r="HBP1737" s="663" t="s">
        <v>628</v>
      </c>
      <c r="HBQ1737" s="633"/>
      <c r="HBR1737" s="664"/>
      <c r="HBS1737" s="664"/>
      <c r="HBT1737" s="664"/>
      <c r="HBU1737" s="664"/>
      <c r="HBV1737" s="664"/>
      <c r="HBW1737" s="664"/>
      <c r="HBX1737" s="664"/>
      <c r="HBY1737" s="630"/>
      <c r="HBZ1737" s="631"/>
      <c r="HCA1737" s="655"/>
      <c r="HCB1737" s="734" t="s">
        <v>0</v>
      </c>
      <c r="HCC1737" s="735" t="s">
        <v>1690</v>
      </c>
      <c r="HCD1737" s="843" t="e">
        <f>#REF!</f>
        <v>#REF!</v>
      </c>
      <c r="HCE1737" s="662" t="s">
        <v>799</v>
      </c>
      <c r="HCF1737" s="663" t="s">
        <v>628</v>
      </c>
      <c r="HCG1737" s="633"/>
      <c r="HCH1737" s="664"/>
      <c r="HCI1737" s="664"/>
      <c r="HCJ1737" s="664"/>
      <c r="HCK1737" s="664"/>
      <c r="HCL1737" s="664"/>
      <c r="HCM1737" s="664"/>
      <c r="HCN1737" s="664"/>
      <c r="HCO1737" s="630"/>
      <c r="HCP1737" s="631"/>
      <c r="HCQ1737" s="655"/>
      <c r="HCR1737" s="734" t="s">
        <v>0</v>
      </c>
      <c r="HCS1737" s="735" t="s">
        <v>1690</v>
      </c>
      <c r="HCT1737" s="843" t="e">
        <f>#REF!</f>
        <v>#REF!</v>
      </c>
      <c r="HCU1737" s="662" t="s">
        <v>799</v>
      </c>
      <c r="HCV1737" s="663" t="s">
        <v>628</v>
      </c>
      <c r="HCW1737" s="633"/>
      <c r="HCX1737" s="664"/>
      <c r="HCY1737" s="664"/>
      <c r="HCZ1737" s="664"/>
      <c r="HDA1737" s="664"/>
      <c r="HDB1737" s="664"/>
      <c r="HDC1737" s="664"/>
      <c r="HDD1737" s="664"/>
      <c r="HDE1737" s="630"/>
      <c r="HDF1737" s="631"/>
      <c r="HDG1737" s="655"/>
      <c r="HDH1737" s="734" t="s">
        <v>0</v>
      </c>
      <c r="HDI1737" s="735" t="s">
        <v>1690</v>
      </c>
      <c r="HDJ1737" s="843" t="e">
        <f>#REF!</f>
        <v>#REF!</v>
      </c>
      <c r="HDK1737" s="662" t="s">
        <v>799</v>
      </c>
      <c r="HDL1737" s="663" t="s">
        <v>628</v>
      </c>
      <c r="HDM1737" s="633"/>
      <c r="HDN1737" s="664"/>
      <c r="HDO1737" s="664"/>
      <c r="HDP1737" s="664"/>
      <c r="HDQ1737" s="664"/>
      <c r="HDR1737" s="664"/>
      <c r="HDS1737" s="664"/>
      <c r="HDT1737" s="664"/>
      <c r="HDU1737" s="630"/>
      <c r="HDV1737" s="631"/>
      <c r="HDW1737" s="655"/>
      <c r="HDX1737" s="734" t="s">
        <v>0</v>
      </c>
      <c r="HDY1737" s="735" t="s">
        <v>1690</v>
      </c>
      <c r="HDZ1737" s="843" t="e">
        <f>#REF!</f>
        <v>#REF!</v>
      </c>
      <c r="HEA1737" s="662" t="s">
        <v>799</v>
      </c>
      <c r="HEB1737" s="663" t="s">
        <v>628</v>
      </c>
      <c r="HEC1737" s="633"/>
      <c r="HED1737" s="664"/>
      <c r="HEE1737" s="664"/>
      <c r="HEF1737" s="664"/>
      <c r="HEG1737" s="664"/>
      <c r="HEH1737" s="664"/>
      <c r="HEI1737" s="664"/>
      <c r="HEJ1737" s="664"/>
      <c r="HEK1737" s="630"/>
      <c r="HEL1737" s="631"/>
      <c r="HEM1737" s="655"/>
      <c r="HEN1737" s="734" t="s">
        <v>0</v>
      </c>
      <c r="HEO1737" s="735" t="s">
        <v>1690</v>
      </c>
      <c r="HEP1737" s="843" t="e">
        <f>#REF!</f>
        <v>#REF!</v>
      </c>
      <c r="HEQ1737" s="662" t="s">
        <v>799</v>
      </c>
      <c r="HER1737" s="663" t="s">
        <v>628</v>
      </c>
      <c r="HES1737" s="633"/>
      <c r="HET1737" s="664"/>
      <c r="HEU1737" s="664"/>
      <c r="HEV1737" s="664"/>
      <c r="HEW1737" s="664"/>
      <c r="HEX1737" s="664"/>
      <c r="HEY1737" s="664"/>
      <c r="HEZ1737" s="664"/>
      <c r="HFA1737" s="630"/>
      <c r="HFB1737" s="631"/>
      <c r="HFC1737" s="655"/>
      <c r="HFD1737" s="734" t="s">
        <v>0</v>
      </c>
      <c r="HFE1737" s="735" t="s">
        <v>1690</v>
      </c>
      <c r="HFF1737" s="843" t="e">
        <f>#REF!</f>
        <v>#REF!</v>
      </c>
      <c r="HFG1737" s="662" t="s">
        <v>799</v>
      </c>
      <c r="HFH1737" s="663" t="s">
        <v>628</v>
      </c>
      <c r="HFI1737" s="633"/>
      <c r="HFJ1737" s="664"/>
      <c r="HFK1737" s="664"/>
      <c r="HFL1737" s="664"/>
      <c r="HFM1737" s="664"/>
      <c r="HFN1737" s="664"/>
      <c r="HFO1737" s="664"/>
      <c r="HFP1737" s="664"/>
      <c r="HFQ1737" s="630"/>
      <c r="HFR1737" s="631"/>
      <c r="HFS1737" s="655"/>
      <c r="HFT1737" s="734" t="s">
        <v>0</v>
      </c>
      <c r="HFU1737" s="735" t="s">
        <v>1690</v>
      </c>
      <c r="HFV1737" s="843" t="e">
        <f>#REF!</f>
        <v>#REF!</v>
      </c>
      <c r="HFW1737" s="662" t="s">
        <v>799</v>
      </c>
      <c r="HFX1737" s="663" t="s">
        <v>628</v>
      </c>
      <c r="HFY1737" s="633"/>
      <c r="HFZ1737" s="664"/>
      <c r="HGA1737" s="664"/>
      <c r="HGB1737" s="664"/>
      <c r="HGC1737" s="664"/>
      <c r="HGD1737" s="664"/>
      <c r="HGE1737" s="664"/>
      <c r="HGF1737" s="664"/>
      <c r="HGG1737" s="630"/>
      <c r="HGH1737" s="631"/>
      <c r="HGI1737" s="655"/>
      <c r="HGJ1737" s="734" t="s">
        <v>0</v>
      </c>
      <c r="HGK1737" s="735" t="s">
        <v>1690</v>
      </c>
      <c r="HGL1737" s="843" t="e">
        <f>#REF!</f>
        <v>#REF!</v>
      </c>
      <c r="HGM1737" s="662" t="s">
        <v>799</v>
      </c>
      <c r="HGN1737" s="663" t="s">
        <v>628</v>
      </c>
      <c r="HGO1737" s="633"/>
      <c r="HGP1737" s="664"/>
      <c r="HGQ1737" s="664"/>
      <c r="HGR1737" s="664"/>
      <c r="HGS1737" s="664"/>
      <c r="HGT1737" s="664"/>
      <c r="HGU1737" s="664"/>
      <c r="HGV1737" s="664"/>
      <c r="HGW1737" s="630"/>
      <c r="HGX1737" s="631"/>
      <c r="HGY1737" s="655"/>
      <c r="HGZ1737" s="734" t="s">
        <v>0</v>
      </c>
      <c r="HHA1737" s="735" t="s">
        <v>1690</v>
      </c>
      <c r="HHB1737" s="843" t="e">
        <f>#REF!</f>
        <v>#REF!</v>
      </c>
      <c r="HHC1737" s="662" t="s">
        <v>799</v>
      </c>
      <c r="HHD1737" s="663" t="s">
        <v>628</v>
      </c>
      <c r="HHE1737" s="633"/>
      <c r="HHF1737" s="664"/>
      <c r="HHG1737" s="664"/>
      <c r="HHH1737" s="664"/>
      <c r="HHI1737" s="664"/>
      <c r="HHJ1737" s="664"/>
      <c r="HHK1737" s="664"/>
      <c r="HHL1737" s="664"/>
      <c r="HHM1737" s="630"/>
      <c r="HHN1737" s="631"/>
      <c r="HHO1737" s="655"/>
      <c r="HHP1737" s="734" t="s">
        <v>0</v>
      </c>
      <c r="HHQ1737" s="735" t="s">
        <v>1690</v>
      </c>
      <c r="HHR1737" s="843" t="e">
        <f>#REF!</f>
        <v>#REF!</v>
      </c>
      <c r="HHS1737" s="662" t="s">
        <v>799</v>
      </c>
      <c r="HHT1737" s="663" t="s">
        <v>628</v>
      </c>
      <c r="HHU1737" s="633"/>
      <c r="HHV1737" s="664"/>
      <c r="HHW1737" s="664"/>
      <c r="HHX1737" s="664"/>
      <c r="HHY1737" s="664"/>
      <c r="HHZ1737" s="664"/>
      <c r="HIA1737" s="664"/>
      <c r="HIB1737" s="664"/>
      <c r="HIC1737" s="630"/>
      <c r="HID1737" s="631"/>
      <c r="HIE1737" s="655"/>
      <c r="HIF1737" s="734" t="s">
        <v>0</v>
      </c>
      <c r="HIG1737" s="735" t="s">
        <v>1690</v>
      </c>
      <c r="HIH1737" s="843" t="e">
        <f>#REF!</f>
        <v>#REF!</v>
      </c>
      <c r="HII1737" s="662" t="s">
        <v>799</v>
      </c>
      <c r="HIJ1737" s="663" t="s">
        <v>628</v>
      </c>
      <c r="HIK1737" s="633"/>
      <c r="HIL1737" s="664"/>
      <c r="HIM1737" s="664"/>
      <c r="HIN1737" s="664"/>
      <c r="HIO1737" s="664"/>
      <c r="HIP1737" s="664"/>
      <c r="HIQ1737" s="664"/>
      <c r="HIR1737" s="664"/>
      <c r="HIS1737" s="630"/>
      <c r="HIT1737" s="631"/>
      <c r="HIU1737" s="655"/>
      <c r="HIV1737" s="734" t="s">
        <v>0</v>
      </c>
      <c r="HIW1737" s="735" t="s">
        <v>1690</v>
      </c>
      <c r="HIX1737" s="843" t="e">
        <f>#REF!</f>
        <v>#REF!</v>
      </c>
      <c r="HIY1737" s="662" t="s">
        <v>799</v>
      </c>
      <c r="HIZ1737" s="663" t="s">
        <v>628</v>
      </c>
      <c r="HJA1737" s="633"/>
      <c r="HJB1737" s="664"/>
      <c r="HJC1737" s="664"/>
      <c r="HJD1737" s="664"/>
      <c r="HJE1737" s="664"/>
      <c r="HJF1737" s="664"/>
      <c r="HJG1737" s="664"/>
      <c r="HJH1737" s="664"/>
      <c r="HJI1737" s="630"/>
      <c r="HJJ1737" s="631"/>
      <c r="HJK1737" s="655"/>
      <c r="HJL1737" s="734" t="s">
        <v>0</v>
      </c>
      <c r="HJM1737" s="735" t="s">
        <v>1690</v>
      </c>
      <c r="HJN1737" s="843" t="e">
        <f>#REF!</f>
        <v>#REF!</v>
      </c>
      <c r="HJO1737" s="662" t="s">
        <v>799</v>
      </c>
      <c r="HJP1737" s="663" t="s">
        <v>628</v>
      </c>
      <c r="HJQ1737" s="633"/>
      <c r="HJR1737" s="664"/>
      <c r="HJS1737" s="664"/>
      <c r="HJT1737" s="664"/>
      <c r="HJU1737" s="664"/>
      <c r="HJV1737" s="664"/>
      <c r="HJW1737" s="664"/>
      <c r="HJX1737" s="664"/>
      <c r="HJY1737" s="630"/>
      <c r="HJZ1737" s="631"/>
      <c r="HKA1737" s="655"/>
      <c r="HKB1737" s="734" t="s">
        <v>0</v>
      </c>
      <c r="HKC1737" s="735" t="s">
        <v>1690</v>
      </c>
      <c r="HKD1737" s="843" t="e">
        <f>#REF!</f>
        <v>#REF!</v>
      </c>
      <c r="HKE1737" s="662" t="s">
        <v>799</v>
      </c>
      <c r="HKF1737" s="663" t="s">
        <v>628</v>
      </c>
      <c r="HKG1737" s="633"/>
      <c r="HKH1737" s="664"/>
      <c r="HKI1737" s="664"/>
      <c r="HKJ1737" s="664"/>
      <c r="HKK1737" s="664"/>
      <c r="HKL1737" s="664"/>
      <c r="HKM1737" s="664"/>
      <c r="HKN1737" s="664"/>
      <c r="HKO1737" s="630"/>
      <c r="HKP1737" s="631"/>
      <c r="HKQ1737" s="655"/>
      <c r="HKR1737" s="734" t="s">
        <v>0</v>
      </c>
      <c r="HKS1737" s="735" t="s">
        <v>1690</v>
      </c>
      <c r="HKT1737" s="843" t="e">
        <f>#REF!</f>
        <v>#REF!</v>
      </c>
      <c r="HKU1737" s="662" t="s">
        <v>799</v>
      </c>
      <c r="HKV1737" s="663" t="s">
        <v>628</v>
      </c>
      <c r="HKW1737" s="633"/>
      <c r="HKX1737" s="664"/>
      <c r="HKY1737" s="664"/>
      <c r="HKZ1737" s="664"/>
      <c r="HLA1737" s="664"/>
      <c r="HLB1737" s="664"/>
      <c r="HLC1737" s="664"/>
      <c r="HLD1737" s="664"/>
      <c r="HLE1737" s="630"/>
      <c r="HLF1737" s="631"/>
      <c r="HLG1737" s="655"/>
      <c r="HLH1737" s="734" t="s">
        <v>0</v>
      </c>
      <c r="HLI1737" s="735" t="s">
        <v>1690</v>
      </c>
      <c r="HLJ1737" s="843" t="e">
        <f>#REF!</f>
        <v>#REF!</v>
      </c>
      <c r="HLK1737" s="662" t="s">
        <v>799</v>
      </c>
      <c r="HLL1737" s="663" t="s">
        <v>628</v>
      </c>
      <c r="HLM1737" s="633"/>
      <c r="HLN1737" s="664"/>
      <c r="HLO1737" s="664"/>
      <c r="HLP1737" s="664"/>
      <c r="HLQ1737" s="664"/>
      <c r="HLR1737" s="664"/>
      <c r="HLS1737" s="664"/>
      <c r="HLT1737" s="664"/>
      <c r="HLU1737" s="630"/>
      <c r="HLV1737" s="631"/>
      <c r="HLW1737" s="655"/>
      <c r="HLX1737" s="734" t="s">
        <v>0</v>
      </c>
      <c r="HLY1737" s="735" t="s">
        <v>1690</v>
      </c>
      <c r="HLZ1737" s="843" t="e">
        <f>#REF!</f>
        <v>#REF!</v>
      </c>
      <c r="HMA1737" s="662" t="s">
        <v>799</v>
      </c>
      <c r="HMB1737" s="663" t="s">
        <v>628</v>
      </c>
      <c r="HMC1737" s="633"/>
      <c r="HMD1737" s="664"/>
      <c r="HME1737" s="664"/>
      <c r="HMF1737" s="664"/>
      <c r="HMG1737" s="664"/>
      <c r="HMH1737" s="664"/>
      <c r="HMI1737" s="664"/>
      <c r="HMJ1737" s="664"/>
      <c r="HMK1737" s="630"/>
      <c r="HML1737" s="631"/>
      <c r="HMM1737" s="655"/>
      <c r="HMN1737" s="734" t="s">
        <v>0</v>
      </c>
      <c r="HMO1737" s="735" t="s">
        <v>1690</v>
      </c>
      <c r="HMP1737" s="843" t="e">
        <f>#REF!</f>
        <v>#REF!</v>
      </c>
      <c r="HMQ1737" s="662" t="s">
        <v>799</v>
      </c>
      <c r="HMR1737" s="663" t="s">
        <v>628</v>
      </c>
      <c r="HMS1737" s="633"/>
      <c r="HMT1737" s="664"/>
      <c r="HMU1737" s="664"/>
      <c r="HMV1737" s="664"/>
      <c r="HMW1737" s="664"/>
      <c r="HMX1737" s="664"/>
      <c r="HMY1737" s="664"/>
      <c r="HMZ1737" s="664"/>
      <c r="HNA1737" s="630"/>
      <c r="HNB1737" s="631"/>
      <c r="HNC1737" s="655"/>
      <c r="HND1737" s="734" t="s">
        <v>0</v>
      </c>
      <c r="HNE1737" s="735" t="s">
        <v>1690</v>
      </c>
      <c r="HNF1737" s="843" t="e">
        <f>#REF!</f>
        <v>#REF!</v>
      </c>
      <c r="HNG1737" s="662" t="s">
        <v>799</v>
      </c>
      <c r="HNH1737" s="663" t="s">
        <v>628</v>
      </c>
      <c r="HNI1737" s="633"/>
      <c r="HNJ1737" s="664"/>
      <c r="HNK1737" s="664"/>
      <c r="HNL1737" s="664"/>
      <c r="HNM1737" s="664"/>
      <c r="HNN1737" s="664"/>
      <c r="HNO1737" s="664"/>
      <c r="HNP1737" s="664"/>
      <c r="HNQ1737" s="630"/>
      <c r="HNR1737" s="631"/>
      <c r="HNS1737" s="655"/>
      <c r="HNT1737" s="734" t="s">
        <v>0</v>
      </c>
      <c r="HNU1737" s="735" t="s">
        <v>1690</v>
      </c>
      <c r="HNV1737" s="843" t="e">
        <f>#REF!</f>
        <v>#REF!</v>
      </c>
      <c r="HNW1737" s="662" t="s">
        <v>799</v>
      </c>
      <c r="HNX1737" s="663" t="s">
        <v>628</v>
      </c>
      <c r="HNY1737" s="633"/>
      <c r="HNZ1737" s="664"/>
      <c r="HOA1737" s="664"/>
      <c r="HOB1737" s="664"/>
      <c r="HOC1737" s="664"/>
      <c r="HOD1737" s="664"/>
      <c r="HOE1737" s="664"/>
      <c r="HOF1737" s="664"/>
      <c r="HOG1737" s="630"/>
      <c r="HOH1737" s="631"/>
      <c r="HOI1737" s="655"/>
      <c r="HOJ1737" s="734" t="s">
        <v>0</v>
      </c>
      <c r="HOK1737" s="735" t="s">
        <v>1690</v>
      </c>
      <c r="HOL1737" s="843" t="e">
        <f>#REF!</f>
        <v>#REF!</v>
      </c>
      <c r="HOM1737" s="662" t="s">
        <v>799</v>
      </c>
      <c r="HON1737" s="663" t="s">
        <v>628</v>
      </c>
      <c r="HOO1737" s="633"/>
      <c r="HOP1737" s="664"/>
      <c r="HOQ1737" s="664"/>
      <c r="HOR1737" s="664"/>
      <c r="HOS1737" s="664"/>
      <c r="HOT1737" s="664"/>
      <c r="HOU1737" s="664"/>
      <c r="HOV1737" s="664"/>
      <c r="HOW1737" s="630"/>
      <c r="HOX1737" s="631"/>
      <c r="HOY1737" s="655"/>
      <c r="HOZ1737" s="734" t="s">
        <v>0</v>
      </c>
      <c r="HPA1737" s="735" t="s">
        <v>1690</v>
      </c>
      <c r="HPB1737" s="843" t="e">
        <f>#REF!</f>
        <v>#REF!</v>
      </c>
      <c r="HPC1737" s="662" t="s">
        <v>799</v>
      </c>
      <c r="HPD1737" s="663" t="s">
        <v>628</v>
      </c>
      <c r="HPE1737" s="633"/>
      <c r="HPF1737" s="664"/>
      <c r="HPG1737" s="664"/>
      <c r="HPH1737" s="664"/>
      <c r="HPI1737" s="664"/>
      <c r="HPJ1737" s="664"/>
      <c r="HPK1737" s="664"/>
      <c r="HPL1737" s="664"/>
      <c r="HPM1737" s="630"/>
      <c r="HPN1737" s="631"/>
      <c r="HPO1737" s="655"/>
      <c r="HPP1737" s="734" t="s">
        <v>0</v>
      </c>
      <c r="HPQ1737" s="735" t="s">
        <v>1690</v>
      </c>
      <c r="HPR1737" s="843" t="e">
        <f>#REF!</f>
        <v>#REF!</v>
      </c>
      <c r="HPS1737" s="662" t="s">
        <v>799</v>
      </c>
      <c r="HPT1737" s="663" t="s">
        <v>628</v>
      </c>
      <c r="HPU1737" s="633"/>
      <c r="HPV1737" s="664"/>
      <c r="HPW1737" s="664"/>
      <c r="HPX1737" s="664"/>
      <c r="HPY1737" s="664"/>
      <c r="HPZ1737" s="664"/>
      <c r="HQA1737" s="664"/>
      <c r="HQB1737" s="664"/>
      <c r="HQC1737" s="630"/>
      <c r="HQD1737" s="631"/>
      <c r="HQE1737" s="655"/>
      <c r="HQF1737" s="734" t="s">
        <v>0</v>
      </c>
      <c r="HQG1737" s="735" t="s">
        <v>1690</v>
      </c>
      <c r="HQH1737" s="843" t="e">
        <f>#REF!</f>
        <v>#REF!</v>
      </c>
      <c r="HQI1737" s="662" t="s">
        <v>799</v>
      </c>
      <c r="HQJ1737" s="663" t="s">
        <v>628</v>
      </c>
      <c r="HQK1737" s="633"/>
      <c r="HQL1737" s="664"/>
      <c r="HQM1737" s="664"/>
      <c r="HQN1737" s="664"/>
      <c r="HQO1737" s="664"/>
      <c r="HQP1737" s="664"/>
      <c r="HQQ1737" s="664"/>
      <c r="HQR1737" s="664"/>
      <c r="HQS1737" s="630"/>
      <c r="HQT1737" s="631"/>
      <c r="HQU1737" s="655"/>
      <c r="HQV1737" s="734" t="s">
        <v>0</v>
      </c>
      <c r="HQW1737" s="735" t="s">
        <v>1690</v>
      </c>
      <c r="HQX1737" s="843" t="e">
        <f>#REF!</f>
        <v>#REF!</v>
      </c>
      <c r="HQY1737" s="662" t="s">
        <v>799</v>
      </c>
      <c r="HQZ1737" s="663" t="s">
        <v>628</v>
      </c>
      <c r="HRA1737" s="633"/>
      <c r="HRB1737" s="664"/>
      <c r="HRC1737" s="664"/>
      <c r="HRD1737" s="664"/>
      <c r="HRE1737" s="664"/>
      <c r="HRF1737" s="664"/>
      <c r="HRG1737" s="664"/>
      <c r="HRH1737" s="664"/>
      <c r="HRI1737" s="630"/>
      <c r="HRJ1737" s="631"/>
      <c r="HRK1737" s="655"/>
      <c r="HRL1737" s="734" t="s">
        <v>0</v>
      </c>
      <c r="HRM1737" s="735" t="s">
        <v>1690</v>
      </c>
      <c r="HRN1737" s="843" t="e">
        <f>#REF!</f>
        <v>#REF!</v>
      </c>
      <c r="HRO1737" s="662" t="s">
        <v>799</v>
      </c>
      <c r="HRP1737" s="663" t="s">
        <v>628</v>
      </c>
      <c r="HRQ1737" s="633"/>
      <c r="HRR1737" s="664"/>
      <c r="HRS1737" s="664"/>
      <c r="HRT1737" s="664"/>
      <c r="HRU1737" s="664"/>
      <c r="HRV1737" s="664"/>
      <c r="HRW1737" s="664"/>
      <c r="HRX1737" s="664"/>
      <c r="HRY1737" s="630"/>
      <c r="HRZ1737" s="631"/>
      <c r="HSA1737" s="655"/>
      <c r="HSB1737" s="734" t="s">
        <v>0</v>
      </c>
      <c r="HSC1737" s="735" t="s">
        <v>1690</v>
      </c>
      <c r="HSD1737" s="843" t="e">
        <f>#REF!</f>
        <v>#REF!</v>
      </c>
      <c r="HSE1737" s="662" t="s">
        <v>799</v>
      </c>
      <c r="HSF1737" s="663" t="s">
        <v>628</v>
      </c>
      <c r="HSG1737" s="633"/>
      <c r="HSH1737" s="664"/>
      <c r="HSI1737" s="664"/>
      <c r="HSJ1737" s="664"/>
      <c r="HSK1737" s="664"/>
      <c r="HSL1737" s="664"/>
      <c r="HSM1737" s="664"/>
      <c r="HSN1737" s="664"/>
      <c r="HSO1737" s="630"/>
      <c r="HSP1737" s="631"/>
      <c r="HSQ1737" s="655"/>
      <c r="HSR1737" s="734" t="s">
        <v>0</v>
      </c>
      <c r="HSS1737" s="735" t="s">
        <v>1690</v>
      </c>
      <c r="HST1737" s="843" t="e">
        <f>#REF!</f>
        <v>#REF!</v>
      </c>
      <c r="HSU1737" s="662" t="s">
        <v>799</v>
      </c>
      <c r="HSV1737" s="663" t="s">
        <v>628</v>
      </c>
      <c r="HSW1737" s="633"/>
      <c r="HSX1737" s="664"/>
      <c r="HSY1737" s="664"/>
      <c r="HSZ1737" s="664"/>
      <c r="HTA1737" s="664"/>
      <c r="HTB1737" s="664"/>
      <c r="HTC1737" s="664"/>
      <c r="HTD1737" s="664"/>
      <c r="HTE1737" s="630"/>
      <c r="HTF1737" s="631"/>
      <c r="HTG1737" s="655"/>
      <c r="HTH1737" s="734" t="s">
        <v>0</v>
      </c>
      <c r="HTI1737" s="735" t="s">
        <v>1690</v>
      </c>
      <c r="HTJ1737" s="843" t="e">
        <f>#REF!</f>
        <v>#REF!</v>
      </c>
      <c r="HTK1737" s="662" t="s">
        <v>799</v>
      </c>
      <c r="HTL1737" s="663" t="s">
        <v>628</v>
      </c>
      <c r="HTM1737" s="633"/>
      <c r="HTN1737" s="664"/>
      <c r="HTO1737" s="664"/>
      <c r="HTP1737" s="664"/>
      <c r="HTQ1737" s="664"/>
      <c r="HTR1737" s="664"/>
      <c r="HTS1737" s="664"/>
      <c r="HTT1737" s="664"/>
      <c r="HTU1737" s="630"/>
      <c r="HTV1737" s="631"/>
      <c r="HTW1737" s="655"/>
      <c r="HTX1737" s="734" t="s">
        <v>0</v>
      </c>
      <c r="HTY1737" s="735" t="s">
        <v>1690</v>
      </c>
      <c r="HTZ1737" s="843" t="e">
        <f>#REF!</f>
        <v>#REF!</v>
      </c>
      <c r="HUA1737" s="662" t="s">
        <v>799</v>
      </c>
      <c r="HUB1737" s="663" t="s">
        <v>628</v>
      </c>
      <c r="HUC1737" s="633"/>
      <c r="HUD1737" s="664"/>
      <c r="HUE1737" s="664"/>
      <c r="HUF1737" s="664"/>
      <c r="HUG1737" s="664"/>
      <c r="HUH1737" s="664"/>
      <c r="HUI1737" s="664"/>
      <c r="HUJ1737" s="664"/>
      <c r="HUK1737" s="630"/>
      <c r="HUL1737" s="631"/>
      <c r="HUM1737" s="655"/>
      <c r="HUN1737" s="734" t="s">
        <v>0</v>
      </c>
      <c r="HUO1737" s="735" t="s">
        <v>1690</v>
      </c>
      <c r="HUP1737" s="843" t="e">
        <f>#REF!</f>
        <v>#REF!</v>
      </c>
      <c r="HUQ1737" s="662" t="s">
        <v>799</v>
      </c>
      <c r="HUR1737" s="663" t="s">
        <v>628</v>
      </c>
      <c r="HUS1737" s="633"/>
      <c r="HUT1737" s="664"/>
      <c r="HUU1737" s="664"/>
      <c r="HUV1737" s="664"/>
      <c r="HUW1737" s="664"/>
      <c r="HUX1737" s="664"/>
      <c r="HUY1737" s="664"/>
      <c r="HUZ1737" s="664"/>
      <c r="HVA1737" s="630"/>
      <c r="HVB1737" s="631"/>
      <c r="HVC1737" s="655"/>
      <c r="HVD1737" s="734" t="s">
        <v>0</v>
      </c>
      <c r="HVE1737" s="735" t="s">
        <v>1690</v>
      </c>
      <c r="HVF1737" s="843" t="e">
        <f>#REF!</f>
        <v>#REF!</v>
      </c>
      <c r="HVG1737" s="662" t="s">
        <v>799</v>
      </c>
      <c r="HVH1737" s="663" t="s">
        <v>628</v>
      </c>
      <c r="HVI1737" s="633"/>
      <c r="HVJ1737" s="664"/>
      <c r="HVK1737" s="664"/>
      <c r="HVL1737" s="664"/>
      <c r="HVM1737" s="664"/>
      <c r="HVN1737" s="664"/>
      <c r="HVO1737" s="664"/>
      <c r="HVP1737" s="664"/>
      <c r="HVQ1737" s="630"/>
      <c r="HVR1737" s="631"/>
      <c r="HVS1737" s="655"/>
      <c r="HVT1737" s="734" t="s">
        <v>0</v>
      </c>
      <c r="HVU1737" s="735" t="s">
        <v>1690</v>
      </c>
      <c r="HVV1737" s="843" t="e">
        <f>#REF!</f>
        <v>#REF!</v>
      </c>
      <c r="HVW1737" s="662" t="s">
        <v>799</v>
      </c>
      <c r="HVX1737" s="663" t="s">
        <v>628</v>
      </c>
      <c r="HVY1737" s="633"/>
      <c r="HVZ1737" s="664"/>
      <c r="HWA1737" s="664"/>
      <c r="HWB1737" s="664"/>
      <c r="HWC1737" s="664"/>
      <c r="HWD1737" s="664"/>
      <c r="HWE1737" s="664"/>
      <c r="HWF1737" s="664"/>
      <c r="HWG1737" s="630"/>
      <c r="HWH1737" s="631"/>
      <c r="HWI1737" s="655"/>
      <c r="HWJ1737" s="734" t="s">
        <v>0</v>
      </c>
      <c r="HWK1737" s="735" t="s">
        <v>1690</v>
      </c>
      <c r="HWL1737" s="843" t="e">
        <f>#REF!</f>
        <v>#REF!</v>
      </c>
      <c r="HWM1737" s="662" t="s">
        <v>799</v>
      </c>
      <c r="HWN1737" s="663" t="s">
        <v>628</v>
      </c>
      <c r="HWO1737" s="633"/>
      <c r="HWP1737" s="664"/>
      <c r="HWQ1737" s="664"/>
      <c r="HWR1737" s="664"/>
      <c r="HWS1737" s="664"/>
      <c r="HWT1737" s="664"/>
      <c r="HWU1737" s="664"/>
      <c r="HWV1737" s="664"/>
      <c r="HWW1737" s="630"/>
      <c r="HWX1737" s="631"/>
      <c r="HWY1737" s="655"/>
      <c r="HWZ1737" s="734" t="s">
        <v>0</v>
      </c>
      <c r="HXA1737" s="735" t="s">
        <v>1690</v>
      </c>
      <c r="HXB1737" s="843" t="e">
        <f>#REF!</f>
        <v>#REF!</v>
      </c>
      <c r="HXC1737" s="662" t="s">
        <v>799</v>
      </c>
      <c r="HXD1737" s="663" t="s">
        <v>628</v>
      </c>
      <c r="HXE1737" s="633"/>
      <c r="HXF1737" s="664"/>
      <c r="HXG1737" s="664"/>
      <c r="HXH1737" s="664"/>
      <c r="HXI1737" s="664"/>
      <c r="HXJ1737" s="664"/>
      <c r="HXK1737" s="664"/>
      <c r="HXL1737" s="664"/>
      <c r="HXM1737" s="630"/>
      <c r="HXN1737" s="631"/>
      <c r="HXO1737" s="655"/>
      <c r="HXP1737" s="734" t="s">
        <v>0</v>
      </c>
      <c r="HXQ1737" s="735" t="s">
        <v>1690</v>
      </c>
      <c r="HXR1737" s="843" t="e">
        <f>#REF!</f>
        <v>#REF!</v>
      </c>
      <c r="HXS1737" s="662" t="s">
        <v>799</v>
      </c>
      <c r="HXT1737" s="663" t="s">
        <v>628</v>
      </c>
      <c r="HXU1737" s="633"/>
      <c r="HXV1737" s="664"/>
      <c r="HXW1737" s="664"/>
      <c r="HXX1737" s="664"/>
      <c r="HXY1737" s="664"/>
      <c r="HXZ1737" s="664"/>
      <c r="HYA1737" s="664"/>
      <c r="HYB1737" s="664"/>
      <c r="HYC1737" s="630"/>
      <c r="HYD1737" s="631"/>
      <c r="HYE1737" s="655"/>
      <c r="HYF1737" s="734" t="s">
        <v>0</v>
      </c>
      <c r="HYG1737" s="735" t="s">
        <v>1690</v>
      </c>
      <c r="HYH1737" s="843" t="e">
        <f>#REF!</f>
        <v>#REF!</v>
      </c>
      <c r="HYI1737" s="662" t="s">
        <v>799</v>
      </c>
      <c r="HYJ1737" s="663" t="s">
        <v>628</v>
      </c>
      <c r="HYK1737" s="633"/>
      <c r="HYL1737" s="664"/>
      <c r="HYM1737" s="664"/>
      <c r="HYN1737" s="664"/>
      <c r="HYO1737" s="664"/>
      <c r="HYP1737" s="664"/>
      <c r="HYQ1737" s="664"/>
      <c r="HYR1737" s="664"/>
      <c r="HYS1737" s="630"/>
      <c r="HYT1737" s="631"/>
      <c r="HYU1737" s="655"/>
      <c r="HYV1737" s="734" t="s">
        <v>0</v>
      </c>
      <c r="HYW1737" s="735" t="s">
        <v>1690</v>
      </c>
      <c r="HYX1737" s="843" t="e">
        <f>#REF!</f>
        <v>#REF!</v>
      </c>
      <c r="HYY1737" s="662" t="s">
        <v>799</v>
      </c>
      <c r="HYZ1737" s="663" t="s">
        <v>628</v>
      </c>
      <c r="HZA1737" s="633"/>
      <c r="HZB1737" s="664"/>
      <c r="HZC1737" s="664"/>
      <c r="HZD1737" s="664"/>
      <c r="HZE1737" s="664"/>
      <c r="HZF1737" s="664"/>
      <c r="HZG1737" s="664"/>
      <c r="HZH1737" s="664"/>
      <c r="HZI1737" s="630"/>
      <c r="HZJ1737" s="631"/>
      <c r="HZK1737" s="655"/>
      <c r="HZL1737" s="734" t="s">
        <v>0</v>
      </c>
      <c r="HZM1737" s="735" t="s">
        <v>1690</v>
      </c>
      <c r="HZN1737" s="843" t="e">
        <f>#REF!</f>
        <v>#REF!</v>
      </c>
      <c r="HZO1737" s="662" t="s">
        <v>799</v>
      </c>
      <c r="HZP1737" s="663" t="s">
        <v>628</v>
      </c>
      <c r="HZQ1737" s="633"/>
      <c r="HZR1737" s="664"/>
      <c r="HZS1737" s="664"/>
      <c r="HZT1737" s="664"/>
      <c r="HZU1737" s="664"/>
      <c r="HZV1737" s="664"/>
      <c r="HZW1737" s="664"/>
      <c r="HZX1737" s="664"/>
      <c r="HZY1737" s="630"/>
      <c r="HZZ1737" s="631"/>
      <c r="IAA1737" s="655"/>
      <c r="IAB1737" s="734" t="s">
        <v>0</v>
      </c>
      <c r="IAC1737" s="735" t="s">
        <v>1690</v>
      </c>
      <c r="IAD1737" s="843" t="e">
        <f>#REF!</f>
        <v>#REF!</v>
      </c>
      <c r="IAE1737" s="662" t="s">
        <v>799</v>
      </c>
      <c r="IAF1737" s="663" t="s">
        <v>628</v>
      </c>
      <c r="IAG1737" s="633"/>
      <c r="IAH1737" s="664"/>
      <c r="IAI1737" s="664"/>
      <c r="IAJ1737" s="664"/>
      <c r="IAK1737" s="664"/>
      <c r="IAL1737" s="664"/>
      <c r="IAM1737" s="664"/>
      <c r="IAN1737" s="664"/>
      <c r="IAO1737" s="630"/>
      <c r="IAP1737" s="631"/>
      <c r="IAQ1737" s="655"/>
      <c r="IAR1737" s="734" t="s">
        <v>0</v>
      </c>
      <c r="IAS1737" s="735" t="s">
        <v>1690</v>
      </c>
      <c r="IAT1737" s="843" t="e">
        <f>#REF!</f>
        <v>#REF!</v>
      </c>
      <c r="IAU1737" s="662" t="s">
        <v>799</v>
      </c>
      <c r="IAV1737" s="663" t="s">
        <v>628</v>
      </c>
      <c r="IAW1737" s="633"/>
      <c r="IAX1737" s="664"/>
      <c r="IAY1737" s="664"/>
      <c r="IAZ1737" s="664"/>
      <c r="IBA1737" s="664"/>
      <c r="IBB1737" s="664"/>
      <c r="IBC1737" s="664"/>
      <c r="IBD1737" s="664"/>
      <c r="IBE1737" s="630"/>
      <c r="IBF1737" s="631"/>
      <c r="IBG1737" s="655"/>
      <c r="IBH1737" s="734" t="s">
        <v>0</v>
      </c>
      <c r="IBI1737" s="735" t="s">
        <v>1690</v>
      </c>
      <c r="IBJ1737" s="843" t="e">
        <f>#REF!</f>
        <v>#REF!</v>
      </c>
      <c r="IBK1737" s="662" t="s">
        <v>799</v>
      </c>
      <c r="IBL1737" s="663" t="s">
        <v>628</v>
      </c>
      <c r="IBM1737" s="633"/>
      <c r="IBN1737" s="664"/>
      <c r="IBO1737" s="664"/>
      <c r="IBP1737" s="664"/>
      <c r="IBQ1737" s="664"/>
      <c r="IBR1737" s="664"/>
      <c r="IBS1737" s="664"/>
      <c r="IBT1737" s="664"/>
      <c r="IBU1737" s="630"/>
      <c r="IBV1737" s="631"/>
      <c r="IBW1737" s="655"/>
      <c r="IBX1737" s="734" t="s">
        <v>0</v>
      </c>
      <c r="IBY1737" s="735" t="s">
        <v>1690</v>
      </c>
      <c r="IBZ1737" s="843" t="e">
        <f>#REF!</f>
        <v>#REF!</v>
      </c>
      <c r="ICA1737" s="662" t="s">
        <v>799</v>
      </c>
      <c r="ICB1737" s="663" t="s">
        <v>628</v>
      </c>
      <c r="ICC1737" s="633"/>
      <c r="ICD1737" s="664"/>
      <c r="ICE1737" s="664"/>
      <c r="ICF1737" s="664"/>
      <c r="ICG1737" s="664"/>
      <c r="ICH1737" s="664"/>
      <c r="ICI1737" s="664"/>
      <c r="ICJ1737" s="664"/>
      <c r="ICK1737" s="630"/>
      <c r="ICL1737" s="631"/>
      <c r="ICM1737" s="655"/>
      <c r="ICN1737" s="734" t="s">
        <v>0</v>
      </c>
      <c r="ICO1737" s="735" t="s">
        <v>1690</v>
      </c>
      <c r="ICP1737" s="843" t="e">
        <f>#REF!</f>
        <v>#REF!</v>
      </c>
      <c r="ICQ1737" s="662" t="s">
        <v>799</v>
      </c>
      <c r="ICR1737" s="663" t="s">
        <v>628</v>
      </c>
      <c r="ICS1737" s="633"/>
      <c r="ICT1737" s="664"/>
      <c r="ICU1737" s="664"/>
      <c r="ICV1737" s="664"/>
      <c r="ICW1737" s="664"/>
      <c r="ICX1737" s="664"/>
      <c r="ICY1737" s="664"/>
      <c r="ICZ1737" s="664"/>
      <c r="IDA1737" s="630"/>
      <c r="IDB1737" s="631"/>
      <c r="IDC1737" s="655"/>
      <c r="IDD1737" s="734" t="s">
        <v>0</v>
      </c>
      <c r="IDE1737" s="735" t="s">
        <v>1690</v>
      </c>
      <c r="IDF1737" s="843" t="e">
        <f>#REF!</f>
        <v>#REF!</v>
      </c>
      <c r="IDG1737" s="662" t="s">
        <v>799</v>
      </c>
      <c r="IDH1737" s="663" t="s">
        <v>628</v>
      </c>
      <c r="IDI1737" s="633"/>
      <c r="IDJ1737" s="664"/>
      <c r="IDK1737" s="664"/>
      <c r="IDL1737" s="664"/>
      <c r="IDM1737" s="664"/>
      <c r="IDN1737" s="664"/>
      <c r="IDO1737" s="664"/>
      <c r="IDP1737" s="664"/>
      <c r="IDQ1737" s="630"/>
      <c r="IDR1737" s="631"/>
      <c r="IDS1737" s="655"/>
      <c r="IDT1737" s="734" t="s">
        <v>0</v>
      </c>
      <c r="IDU1737" s="735" t="s">
        <v>1690</v>
      </c>
      <c r="IDV1737" s="843" t="e">
        <f>#REF!</f>
        <v>#REF!</v>
      </c>
      <c r="IDW1737" s="662" t="s">
        <v>799</v>
      </c>
      <c r="IDX1737" s="663" t="s">
        <v>628</v>
      </c>
      <c r="IDY1737" s="633"/>
      <c r="IDZ1737" s="664"/>
      <c r="IEA1737" s="664"/>
      <c r="IEB1737" s="664"/>
      <c r="IEC1737" s="664"/>
      <c r="IED1737" s="664"/>
      <c r="IEE1737" s="664"/>
      <c r="IEF1737" s="664"/>
      <c r="IEG1737" s="630"/>
      <c r="IEH1737" s="631"/>
      <c r="IEI1737" s="655"/>
      <c r="IEJ1737" s="734" t="s">
        <v>0</v>
      </c>
      <c r="IEK1737" s="735" t="s">
        <v>1690</v>
      </c>
      <c r="IEL1737" s="843" t="e">
        <f>#REF!</f>
        <v>#REF!</v>
      </c>
      <c r="IEM1737" s="662" t="s">
        <v>799</v>
      </c>
      <c r="IEN1737" s="663" t="s">
        <v>628</v>
      </c>
      <c r="IEO1737" s="633"/>
      <c r="IEP1737" s="664"/>
      <c r="IEQ1737" s="664"/>
      <c r="IER1737" s="664"/>
      <c r="IES1737" s="664"/>
      <c r="IET1737" s="664"/>
      <c r="IEU1737" s="664"/>
      <c r="IEV1737" s="664"/>
      <c r="IEW1737" s="630"/>
      <c r="IEX1737" s="631"/>
      <c r="IEY1737" s="655"/>
      <c r="IEZ1737" s="734" t="s">
        <v>0</v>
      </c>
      <c r="IFA1737" s="735" t="s">
        <v>1690</v>
      </c>
      <c r="IFB1737" s="843" t="e">
        <f>#REF!</f>
        <v>#REF!</v>
      </c>
      <c r="IFC1737" s="662" t="s">
        <v>799</v>
      </c>
      <c r="IFD1737" s="663" t="s">
        <v>628</v>
      </c>
      <c r="IFE1737" s="633"/>
      <c r="IFF1737" s="664"/>
      <c r="IFG1737" s="664"/>
      <c r="IFH1737" s="664"/>
      <c r="IFI1737" s="664"/>
      <c r="IFJ1737" s="664"/>
      <c r="IFK1737" s="664"/>
      <c r="IFL1737" s="664"/>
      <c r="IFM1737" s="630"/>
      <c r="IFN1737" s="631"/>
      <c r="IFO1737" s="655"/>
      <c r="IFP1737" s="734" t="s">
        <v>0</v>
      </c>
      <c r="IFQ1737" s="735" t="s">
        <v>1690</v>
      </c>
      <c r="IFR1737" s="843" t="e">
        <f>#REF!</f>
        <v>#REF!</v>
      </c>
      <c r="IFS1737" s="662" t="s">
        <v>799</v>
      </c>
      <c r="IFT1737" s="663" t="s">
        <v>628</v>
      </c>
      <c r="IFU1737" s="633"/>
      <c r="IFV1737" s="664"/>
      <c r="IFW1737" s="664"/>
      <c r="IFX1737" s="664"/>
      <c r="IFY1737" s="664"/>
      <c r="IFZ1737" s="664"/>
      <c r="IGA1737" s="664"/>
      <c r="IGB1737" s="664"/>
      <c r="IGC1737" s="630"/>
      <c r="IGD1737" s="631"/>
      <c r="IGE1737" s="655"/>
      <c r="IGF1737" s="734" t="s">
        <v>0</v>
      </c>
      <c r="IGG1737" s="735" t="s">
        <v>1690</v>
      </c>
      <c r="IGH1737" s="843" t="e">
        <f>#REF!</f>
        <v>#REF!</v>
      </c>
      <c r="IGI1737" s="662" t="s">
        <v>799</v>
      </c>
      <c r="IGJ1737" s="663" t="s">
        <v>628</v>
      </c>
      <c r="IGK1737" s="633"/>
      <c r="IGL1737" s="664"/>
      <c r="IGM1737" s="664"/>
      <c r="IGN1737" s="664"/>
      <c r="IGO1737" s="664"/>
      <c r="IGP1737" s="664"/>
      <c r="IGQ1737" s="664"/>
      <c r="IGR1737" s="664"/>
      <c r="IGS1737" s="630"/>
      <c r="IGT1737" s="631"/>
      <c r="IGU1737" s="655"/>
      <c r="IGV1737" s="734" t="s">
        <v>0</v>
      </c>
      <c r="IGW1737" s="735" t="s">
        <v>1690</v>
      </c>
      <c r="IGX1737" s="843" t="e">
        <f>#REF!</f>
        <v>#REF!</v>
      </c>
      <c r="IGY1737" s="662" t="s">
        <v>799</v>
      </c>
      <c r="IGZ1737" s="663" t="s">
        <v>628</v>
      </c>
      <c r="IHA1737" s="633"/>
      <c r="IHB1737" s="664"/>
      <c r="IHC1737" s="664"/>
      <c r="IHD1737" s="664"/>
      <c r="IHE1737" s="664"/>
      <c r="IHF1737" s="664"/>
      <c r="IHG1737" s="664"/>
      <c r="IHH1737" s="664"/>
      <c r="IHI1737" s="630"/>
      <c r="IHJ1737" s="631"/>
      <c r="IHK1737" s="655"/>
      <c r="IHL1737" s="734" t="s">
        <v>0</v>
      </c>
      <c r="IHM1737" s="735" t="s">
        <v>1690</v>
      </c>
      <c r="IHN1737" s="843" t="e">
        <f>#REF!</f>
        <v>#REF!</v>
      </c>
      <c r="IHO1737" s="662" t="s">
        <v>799</v>
      </c>
      <c r="IHP1737" s="663" t="s">
        <v>628</v>
      </c>
      <c r="IHQ1737" s="633"/>
      <c r="IHR1737" s="664"/>
      <c r="IHS1737" s="664"/>
      <c r="IHT1737" s="664"/>
      <c r="IHU1737" s="664"/>
      <c r="IHV1737" s="664"/>
      <c r="IHW1737" s="664"/>
      <c r="IHX1737" s="664"/>
      <c r="IHY1737" s="630"/>
      <c r="IHZ1737" s="631"/>
      <c r="IIA1737" s="655"/>
      <c r="IIB1737" s="734" t="s">
        <v>0</v>
      </c>
      <c r="IIC1737" s="735" t="s">
        <v>1690</v>
      </c>
      <c r="IID1737" s="843" t="e">
        <f>#REF!</f>
        <v>#REF!</v>
      </c>
      <c r="IIE1737" s="662" t="s">
        <v>799</v>
      </c>
      <c r="IIF1737" s="663" t="s">
        <v>628</v>
      </c>
      <c r="IIG1737" s="633"/>
      <c r="IIH1737" s="664"/>
      <c r="III1737" s="664"/>
      <c r="IIJ1737" s="664"/>
      <c r="IIK1737" s="664"/>
      <c r="IIL1737" s="664"/>
      <c r="IIM1737" s="664"/>
      <c r="IIN1737" s="664"/>
      <c r="IIO1737" s="630"/>
      <c r="IIP1737" s="631"/>
      <c r="IIQ1737" s="655"/>
      <c r="IIR1737" s="734" t="s">
        <v>0</v>
      </c>
      <c r="IIS1737" s="735" t="s">
        <v>1690</v>
      </c>
      <c r="IIT1737" s="843" t="e">
        <f>#REF!</f>
        <v>#REF!</v>
      </c>
      <c r="IIU1737" s="662" t="s">
        <v>799</v>
      </c>
      <c r="IIV1737" s="663" t="s">
        <v>628</v>
      </c>
      <c r="IIW1737" s="633"/>
      <c r="IIX1737" s="664"/>
      <c r="IIY1737" s="664"/>
      <c r="IIZ1737" s="664"/>
      <c r="IJA1737" s="664"/>
      <c r="IJB1737" s="664"/>
      <c r="IJC1737" s="664"/>
      <c r="IJD1737" s="664"/>
      <c r="IJE1737" s="630"/>
      <c r="IJF1737" s="631"/>
      <c r="IJG1737" s="655"/>
      <c r="IJH1737" s="734" t="s">
        <v>0</v>
      </c>
      <c r="IJI1737" s="735" t="s">
        <v>1690</v>
      </c>
      <c r="IJJ1737" s="843" t="e">
        <f>#REF!</f>
        <v>#REF!</v>
      </c>
      <c r="IJK1737" s="662" t="s">
        <v>799</v>
      </c>
      <c r="IJL1737" s="663" t="s">
        <v>628</v>
      </c>
      <c r="IJM1737" s="633"/>
      <c r="IJN1737" s="664"/>
      <c r="IJO1737" s="664"/>
      <c r="IJP1737" s="664"/>
      <c r="IJQ1737" s="664"/>
      <c r="IJR1737" s="664"/>
      <c r="IJS1737" s="664"/>
      <c r="IJT1737" s="664"/>
      <c r="IJU1737" s="630"/>
      <c r="IJV1737" s="631"/>
      <c r="IJW1737" s="655"/>
      <c r="IJX1737" s="734" t="s">
        <v>0</v>
      </c>
      <c r="IJY1737" s="735" t="s">
        <v>1690</v>
      </c>
      <c r="IJZ1737" s="843" t="e">
        <f>#REF!</f>
        <v>#REF!</v>
      </c>
      <c r="IKA1737" s="662" t="s">
        <v>799</v>
      </c>
      <c r="IKB1737" s="663" t="s">
        <v>628</v>
      </c>
      <c r="IKC1737" s="633"/>
      <c r="IKD1737" s="664"/>
      <c r="IKE1737" s="664"/>
      <c r="IKF1737" s="664"/>
      <c r="IKG1737" s="664"/>
      <c r="IKH1737" s="664"/>
      <c r="IKI1737" s="664"/>
      <c r="IKJ1737" s="664"/>
      <c r="IKK1737" s="630"/>
      <c r="IKL1737" s="631"/>
      <c r="IKM1737" s="655"/>
      <c r="IKN1737" s="734" t="s">
        <v>0</v>
      </c>
      <c r="IKO1737" s="735" t="s">
        <v>1690</v>
      </c>
      <c r="IKP1737" s="843" t="e">
        <f>#REF!</f>
        <v>#REF!</v>
      </c>
      <c r="IKQ1737" s="662" t="s">
        <v>799</v>
      </c>
      <c r="IKR1737" s="663" t="s">
        <v>628</v>
      </c>
      <c r="IKS1737" s="633"/>
      <c r="IKT1737" s="664"/>
      <c r="IKU1737" s="664"/>
      <c r="IKV1737" s="664"/>
      <c r="IKW1737" s="664"/>
      <c r="IKX1737" s="664"/>
      <c r="IKY1737" s="664"/>
      <c r="IKZ1737" s="664"/>
      <c r="ILA1737" s="630"/>
      <c r="ILB1737" s="631"/>
      <c r="ILC1737" s="655"/>
      <c r="ILD1737" s="734" t="s">
        <v>0</v>
      </c>
      <c r="ILE1737" s="735" t="s">
        <v>1690</v>
      </c>
      <c r="ILF1737" s="843" t="e">
        <f>#REF!</f>
        <v>#REF!</v>
      </c>
      <c r="ILG1737" s="662" t="s">
        <v>799</v>
      </c>
      <c r="ILH1737" s="663" t="s">
        <v>628</v>
      </c>
      <c r="ILI1737" s="633"/>
      <c r="ILJ1737" s="664"/>
      <c r="ILK1737" s="664"/>
      <c r="ILL1737" s="664"/>
      <c r="ILM1737" s="664"/>
      <c r="ILN1737" s="664"/>
      <c r="ILO1737" s="664"/>
      <c r="ILP1737" s="664"/>
      <c r="ILQ1737" s="630"/>
      <c r="ILR1737" s="631"/>
      <c r="ILS1737" s="655"/>
      <c r="ILT1737" s="734" t="s">
        <v>0</v>
      </c>
      <c r="ILU1737" s="735" t="s">
        <v>1690</v>
      </c>
      <c r="ILV1737" s="843" t="e">
        <f>#REF!</f>
        <v>#REF!</v>
      </c>
      <c r="ILW1737" s="662" t="s">
        <v>799</v>
      </c>
      <c r="ILX1737" s="663" t="s">
        <v>628</v>
      </c>
      <c r="ILY1737" s="633"/>
      <c r="ILZ1737" s="664"/>
      <c r="IMA1737" s="664"/>
      <c r="IMB1737" s="664"/>
      <c r="IMC1737" s="664"/>
      <c r="IMD1737" s="664"/>
      <c r="IME1737" s="664"/>
      <c r="IMF1737" s="664"/>
      <c r="IMG1737" s="630"/>
      <c r="IMH1737" s="631"/>
      <c r="IMI1737" s="655"/>
      <c r="IMJ1737" s="734" t="s">
        <v>0</v>
      </c>
      <c r="IMK1737" s="735" t="s">
        <v>1690</v>
      </c>
      <c r="IML1737" s="843" t="e">
        <f>#REF!</f>
        <v>#REF!</v>
      </c>
      <c r="IMM1737" s="662" t="s">
        <v>799</v>
      </c>
      <c r="IMN1737" s="663" t="s">
        <v>628</v>
      </c>
      <c r="IMO1737" s="633"/>
      <c r="IMP1737" s="664"/>
      <c r="IMQ1737" s="664"/>
      <c r="IMR1737" s="664"/>
      <c r="IMS1737" s="664"/>
      <c r="IMT1737" s="664"/>
      <c r="IMU1737" s="664"/>
      <c r="IMV1737" s="664"/>
      <c r="IMW1737" s="630"/>
      <c r="IMX1737" s="631"/>
      <c r="IMY1737" s="655"/>
      <c r="IMZ1737" s="734" t="s">
        <v>0</v>
      </c>
      <c r="INA1737" s="735" t="s">
        <v>1690</v>
      </c>
      <c r="INB1737" s="843" t="e">
        <f>#REF!</f>
        <v>#REF!</v>
      </c>
      <c r="INC1737" s="662" t="s">
        <v>799</v>
      </c>
      <c r="IND1737" s="663" t="s">
        <v>628</v>
      </c>
      <c r="INE1737" s="633"/>
      <c r="INF1737" s="664"/>
      <c r="ING1737" s="664"/>
      <c r="INH1737" s="664"/>
      <c r="INI1737" s="664"/>
      <c r="INJ1737" s="664"/>
      <c r="INK1737" s="664"/>
      <c r="INL1737" s="664"/>
      <c r="INM1737" s="630"/>
      <c r="INN1737" s="631"/>
      <c r="INO1737" s="655"/>
      <c r="INP1737" s="734" t="s">
        <v>0</v>
      </c>
      <c r="INQ1737" s="735" t="s">
        <v>1690</v>
      </c>
      <c r="INR1737" s="843" t="e">
        <f>#REF!</f>
        <v>#REF!</v>
      </c>
      <c r="INS1737" s="662" t="s">
        <v>799</v>
      </c>
      <c r="INT1737" s="663" t="s">
        <v>628</v>
      </c>
      <c r="INU1737" s="633"/>
      <c r="INV1737" s="664"/>
      <c r="INW1737" s="664"/>
      <c r="INX1737" s="664"/>
      <c r="INY1737" s="664"/>
      <c r="INZ1737" s="664"/>
      <c r="IOA1737" s="664"/>
      <c r="IOB1737" s="664"/>
      <c r="IOC1737" s="630"/>
      <c r="IOD1737" s="631"/>
      <c r="IOE1737" s="655"/>
      <c r="IOF1737" s="734" t="s">
        <v>0</v>
      </c>
      <c r="IOG1737" s="735" t="s">
        <v>1690</v>
      </c>
      <c r="IOH1737" s="843" t="e">
        <f>#REF!</f>
        <v>#REF!</v>
      </c>
      <c r="IOI1737" s="662" t="s">
        <v>799</v>
      </c>
      <c r="IOJ1737" s="663" t="s">
        <v>628</v>
      </c>
      <c r="IOK1737" s="633"/>
      <c r="IOL1737" s="664"/>
      <c r="IOM1737" s="664"/>
      <c r="ION1737" s="664"/>
      <c r="IOO1737" s="664"/>
      <c r="IOP1737" s="664"/>
      <c r="IOQ1737" s="664"/>
      <c r="IOR1737" s="664"/>
      <c r="IOS1737" s="630"/>
      <c r="IOT1737" s="631"/>
      <c r="IOU1737" s="655"/>
      <c r="IOV1737" s="734" t="s">
        <v>0</v>
      </c>
      <c r="IOW1737" s="735" t="s">
        <v>1690</v>
      </c>
      <c r="IOX1737" s="843" t="e">
        <f>#REF!</f>
        <v>#REF!</v>
      </c>
      <c r="IOY1737" s="662" t="s">
        <v>799</v>
      </c>
      <c r="IOZ1737" s="663" t="s">
        <v>628</v>
      </c>
      <c r="IPA1737" s="633"/>
      <c r="IPB1737" s="664"/>
      <c r="IPC1737" s="664"/>
      <c r="IPD1737" s="664"/>
      <c r="IPE1737" s="664"/>
      <c r="IPF1737" s="664"/>
      <c r="IPG1737" s="664"/>
      <c r="IPH1737" s="664"/>
      <c r="IPI1737" s="630"/>
      <c r="IPJ1737" s="631"/>
      <c r="IPK1737" s="655"/>
      <c r="IPL1737" s="734" t="s">
        <v>0</v>
      </c>
      <c r="IPM1737" s="735" t="s">
        <v>1690</v>
      </c>
      <c r="IPN1737" s="843" t="e">
        <f>#REF!</f>
        <v>#REF!</v>
      </c>
      <c r="IPO1737" s="662" t="s">
        <v>799</v>
      </c>
      <c r="IPP1737" s="663" t="s">
        <v>628</v>
      </c>
      <c r="IPQ1737" s="633"/>
      <c r="IPR1737" s="664"/>
      <c r="IPS1737" s="664"/>
      <c r="IPT1737" s="664"/>
      <c r="IPU1737" s="664"/>
      <c r="IPV1737" s="664"/>
      <c r="IPW1737" s="664"/>
      <c r="IPX1737" s="664"/>
      <c r="IPY1737" s="630"/>
      <c r="IPZ1737" s="631"/>
      <c r="IQA1737" s="655"/>
      <c r="IQB1737" s="734" t="s">
        <v>0</v>
      </c>
      <c r="IQC1737" s="735" t="s">
        <v>1690</v>
      </c>
      <c r="IQD1737" s="843" t="e">
        <f>#REF!</f>
        <v>#REF!</v>
      </c>
      <c r="IQE1737" s="662" t="s">
        <v>799</v>
      </c>
      <c r="IQF1737" s="663" t="s">
        <v>628</v>
      </c>
      <c r="IQG1737" s="633"/>
      <c r="IQH1737" s="664"/>
      <c r="IQI1737" s="664"/>
      <c r="IQJ1737" s="664"/>
      <c r="IQK1737" s="664"/>
      <c r="IQL1737" s="664"/>
      <c r="IQM1737" s="664"/>
      <c r="IQN1737" s="664"/>
      <c r="IQO1737" s="630"/>
      <c r="IQP1737" s="631"/>
      <c r="IQQ1737" s="655"/>
      <c r="IQR1737" s="734" t="s">
        <v>0</v>
      </c>
      <c r="IQS1737" s="735" t="s">
        <v>1690</v>
      </c>
      <c r="IQT1737" s="843" t="e">
        <f>#REF!</f>
        <v>#REF!</v>
      </c>
      <c r="IQU1737" s="662" t="s">
        <v>799</v>
      </c>
      <c r="IQV1737" s="663" t="s">
        <v>628</v>
      </c>
      <c r="IQW1737" s="633"/>
      <c r="IQX1737" s="664"/>
      <c r="IQY1737" s="664"/>
      <c r="IQZ1737" s="664"/>
      <c r="IRA1737" s="664"/>
      <c r="IRB1737" s="664"/>
      <c r="IRC1737" s="664"/>
      <c r="IRD1737" s="664"/>
      <c r="IRE1737" s="630"/>
      <c r="IRF1737" s="631"/>
      <c r="IRG1737" s="655"/>
      <c r="IRH1737" s="734" t="s">
        <v>0</v>
      </c>
      <c r="IRI1737" s="735" t="s">
        <v>1690</v>
      </c>
      <c r="IRJ1737" s="843" t="e">
        <f>#REF!</f>
        <v>#REF!</v>
      </c>
      <c r="IRK1737" s="662" t="s">
        <v>799</v>
      </c>
      <c r="IRL1737" s="663" t="s">
        <v>628</v>
      </c>
      <c r="IRM1737" s="633"/>
      <c r="IRN1737" s="664"/>
      <c r="IRO1737" s="664"/>
      <c r="IRP1737" s="664"/>
      <c r="IRQ1737" s="664"/>
      <c r="IRR1737" s="664"/>
      <c r="IRS1737" s="664"/>
      <c r="IRT1737" s="664"/>
      <c r="IRU1737" s="630"/>
      <c r="IRV1737" s="631"/>
      <c r="IRW1737" s="655"/>
      <c r="IRX1737" s="734" t="s">
        <v>0</v>
      </c>
      <c r="IRY1737" s="735" t="s">
        <v>1690</v>
      </c>
      <c r="IRZ1737" s="843" t="e">
        <f>#REF!</f>
        <v>#REF!</v>
      </c>
      <c r="ISA1737" s="662" t="s">
        <v>799</v>
      </c>
      <c r="ISB1737" s="663" t="s">
        <v>628</v>
      </c>
      <c r="ISC1737" s="633"/>
      <c r="ISD1737" s="664"/>
      <c r="ISE1737" s="664"/>
      <c r="ISF1737" s="664"/>
      <c r="ISG1737" s="664"/>
      <c r="ISH1737" s="664"/>
      <c r="ISI1737" s="664"/>
      <c r="ISJ1737" s="664"/>
      <c r="ISK1737" s="630"/>
      <c r="ISL1737" s="631"/>
      <c r="ISM1737" s="655"/>
      <c r="ISN1737" s="734" t="s">
        <v>0</v>
      </c>
      <c r="ISO1737" s="735" t="s">
        <v>1690</v>
      </c>
      <c r="ISP1737" s="843" t="e">
        <f>#REF!</f>
        <v>#REF!</v>
      </c>
      <c r="ISQ1737" s="662" t="s">
        <v>799</v>
      </c>
      <c r="ISR1737" s="663" t="s">
        <v>628</v>
      </c>
      <c r="ISS1737" s="633"/>
      <c r="IST1737" s="664"/>
      <c r="ISU1737" s="664"/>
      <c r="ISV1737" s="664"/>
      <c r="ISW1737" s="664"/>
      <c r="ISX1737" s="664"/>
      <c r="ISY1737" s="664"/>
      <c r="ISZ1737" s="664"/>
      <c r="ITA1737" s="630"/>
      <c r="ITB1737" s="631"/>
      <c r="ITC1737" s="655"/>
      <c r="ITD1737" s="734" t="s">
        <v>0</v>
      </c>
      <c r="ITE1737" s="735" t="s">
        <v>1690</v>
      </c>
      <c r="ITF1737" s="843" t="e">
        <f>#REF!</f>
        <v>#REF!</v>
      </c>
      <c r="ITG1737" s="662" t="s">
        <v>799</v>
      </c>
      <c r="ITH1737" s="663" t="s">
        <v>628</v>
      </c>
      <c r="ITI1737" s="633"/>
      <c r="ITJ1737" s="664"/>
      <c r="ITK1737" s="664"/>
      <c r="ITL1737" s="664"/>
      <c r="ITM1737" s="664"/>
      <c r="ITN1737" s="664"/>
      <c r="ITO1737" s="664"/>
      <c r="ITP1737" s="664"/>
      <c r="ITQ1737" s="630"/>
      <c r="ITR1737" s="631"/>
      <c r="ITS1737" s="655"/>
      <c r="ITT1737" s="734" t="s">
        <v>0</v>
      </c>
      <c r="ITU1737" s="735" t="s">
        <v>1690</v>
      </c>
      <c r="ITV1737" s="843" t="e">
        <f>#REF!</f>
        <v>#REF!</v>
      </c>
      <c r="ITW1737" s="662" t="s">
        <v>799</v>
      </c>
      <c r="ITX1737" s="663" t="s">
        <v>628</v>
      </c>
      <c r="ITY1737" s="633"/>
      <c r="ITZ1737" s="664"/>
      <c r="IUA1737" s="664"/>
      <c r="IUB1737" s="664"/>
      <c r="IUC1737" s="664"/>
      <c r="IUD1737" s="664"/>
      <c r="IUE1737" s="664"/>
      <c r="IUF1737" s="664"/>
      <c r="IUG1737" s="630"/>
      <c r="IUH1737" s="631"/>
      <c r="IUI1737" s="655"/>
      <c r="IUJ1737" s="734" t="s">
        <v>0</v>
      </c>
      <c r="IUK1737" s="735" t="s">
        <v>1690</v>
      </c>
      <c r="IUL1737" s="843" t="e">
        <f>#REF!</f>
        <v>#REF!</v>
      </c>
      <c r="IUM1737" s="662" t="s">
        <v>799</v>
      </c>
      <c r="IUN1737" s="663" t="s">
        <v>628</v>
      </c>
      <c r="IUO1737" s="633"/>
      <c r="IUP1737" s="664"/>
      <c r="IUQ1737" s="664"/>
      <c r="IUR1737" s="664"/>
      <c r="IUS1737" s="664"/>
      <c r="IUT1737" s="664"/>
      <c r="IUU1737" s="664"/>
      <c r="IUV1737" s="664"/>
      <c r="IUW1737" s="630"/>
      <c r="IUX1737" s="631"/>
      <c r="IUY1737" s="655"/>
      <c r="IUZ1737" s="734" t="s">
        <v>0</v>
      </c>
      <c r="IVA1737" s="735" t="s">
        <v>1690</v>
      </c>
      <c r="IVB1737" s="843" t="e">
        <f>#REF!</f>
        <v>#REF!</v>
      </c>
      <c r="IVC1737" s="662" t="s">
        <v>799</v>
      </c>
      <c r="IVD1737" s="663" t="s">
        <v>628</v>
      </c>
      <c r="IVE1737" s="633"/>
      <c r="IVF1737" s="664"/>
      <c r="IVG1737" s="664"/>
      <c r="IVH1737" s="664"/>
      <c r="IVI1737" s="664"/>
      <c r="IVJ1737" s="664"/>
      <c r="IVK1737" s="664"/>
      <c r="IVL1737" s="664"/>
      <c r="IVM1737" s="630"/>
      <c r="IVN1737" s="631"/>
      <c r="IVO1737" s="655"/>
      <c r="IVP1737" s="734" t="s">
        <v>0</v>
      </c>
      <c r="IVQ1737" s="735" t="s">
        <v>1690</v>
      </c>
      <c r="IVR1737" s="843" t="e">
        <f>#REF!</f>
        <v>#REF!</v>
      </c>
      <c r="IVS1737" s="662" t="s">
        <v>799</v>
      </c>
      <c r="IVT1737" s="663" t="s">
        <v>628</v>
      </c>
      <c r="IVU1737" s="633"/>
      <c r="IVV1737" s="664"/>
      <c r="IVW1737" s="664"/>
      <c r="IVX1737" s="664"/>
      <c r="IVY1737" s="664"/>
      <c r="IVZ1737" s="664"/>
      <c r="IWA1737" s="664"/>
      <c r="IWB1737" s="664"/>
      <c r="IWC1737" s="630"/>
      <c r="IWD1737" s="631"/>
      <c r="IWE1737" s="655"/>
      <c r="IWF1737" s="734" t="s">
        <v>0</v>
      </c>
      <c r="IWG1737" s="735" t="s">
        <v>1690</v>
      </c>
      <c r="IWH1737" s="843" t="e">
        <f>#REF!</f>
        <v>#REF!</v>
      </c>
      <c r="IWI1737" s="662" t="s">
        <v>799</v>
      </c>
      <c r="IWJ1737" s="663" t="s">
        <v>628</v>
      </c>
      <c r="IWK1737" s="633"/>
      <c r="IWL1737" s="664"/>
      <c r="IWM1737" s="664"/>
      <c r="IWN1737" s="664"/>
      <c r="IWO1737" s="664"/>
      <c r="IWP1737" s="664"/>
      <c r="IWQ1737" s="664"/>
      <c r="IWR1737" s="664"/>
      <c r="IWS1737" s="630"/>
      <c r="IWT1737" s="631"/>
      <c r="IWU1737" s="655"/>
      <c r="IWV1737" s="734" t="s">
        <v>0</v>
      </c>
      <c r="IWW1737" s="735" t="s">
        <v>1690</v>
      </c>
      <c r="IWX1737" s="843" t="e">
        <f>#REF!</f>
        <v>#REF!</v>
      </c>
      <c r="IWY1737" s="662" t="s">
        <v>799</v>
      </c>
      <c r="IWZ1737" s="663" t="s">
        <v>628</v>
      </c>
      <c r="IXA1737" s="633"/>
      <c r="IXB1737" s="664"/>
      <c r="IXC1737" s="664"/>
      <c r="IXD1737" s="664"/>
      <c r="IXE1737" s="664"/>
      <c r="IXF1737" s="664"/>
      <c r="IXG1737" s="664"/>
      <c r="IXH1737" s="664"/>
      <c r="IXI1737" s="630"/>
      <c r="IXJ1737" s="631"/>
      <c r="IXK1737" s="655"/>
      <c r="IXL1737" s="734" t="s">
        <v>0</v>
      </c>
      <c r="IXM1737" s="735" t="s">
        <v>1690</v>
      </c>
      <c r="IXN1737" s="843" t="e">
        <f>#REF!</f>
        <v>#REF!</v>
      </c>
      <c r="IXO1737" s="662" t="s">
        <v>799</v>
      </c>
      <c r="IXP1737" s="663" t="s">
        <v>628</v>
      </c>
      <c r="IXQ1737" s="633"/>
      <c r="IXR1737" s="664"/>
      <c r="IXS1737" s="664"/>
      <c r="IXT1737" s="664"/>
      <c r="IXU1737" s="664"/>
      <c r="IXV1737" s="664"/>
      <c r="IXW1737" s="664"/>
      <c r="IXX1737" s="664"/>
      <c r="IXY1737" s="630"/>
      <c r="IXZ1737" s="631"/>
      <c r="IYA1737" s="655"/>
      <c r="IYB1737" s="734" t="s">
        <v>0</v>
      </c>
      <c r="IYC1737" s="735" t="s">
        <v>1690</v>
      </c>
      <c r="IYD1737" s="843" t="e">
        <f>#REF!</f>
        <v>#REF!</v>
      </c>
      <c r="IYE1737" s="662" t="s">
        <v>799</v>
      </c>
      <c r="IYF1737" s="663" t="s">
        <v>628</v>
      </c>
      <c r="IYG1737" s="633"/>
      <c r="IYH1737" s="664"/>
      <c r="IYI1737" s="664"/>
      <c r="IYJ1737" s="664"/>
      <c r="IYK1737" s="664"/>
      <c r="IYL1737" s="664"/>
      <c r="IYM1737" s="664"/>
      <c r="IYN1737" s="664"/>
      <c r="IYO1737" s="630"/>
      <c r="IYP1737" s="631"/>
      <c r="IYQ1737" s="655"/>
      <c r="IYR1737" s="734" t="s">
        <v>0</v>
      </c>
      <c r="IYS1737" s="735" t="s">
        <v>1690</v>
      </c>
      <c r="IYT1737" s="843" t="e">
        <f>#REF!</f>
        <v>#REF!</v>
      </c>
      <c r="IYU1737" s="662" t="s">
        <v>799</v>
      </c>
      <c r="IYV1737" s="663" t="s">
        <v>628</v>
      </c>
      <c r="IYW1737" s="633"/>
      <c r="IYX1737" s="664"/>
      <c r="IYY1737" s="664"/>
      <c r="IYZ1737" s="664"/>
      <c r="IZA1737" s="664"/>
      <c r="IZB1737" s="664"/>
      <c r="IZC1737" s="664"/>
      <c r="IZD1737" s="664"/>
      <c r="IZE1737" s="630"/>
      <c r="IZF1737" s="631"/>
      <c r="IZG1737" s="655"/>
      <c r="IZH1737" s="734" t="s">
        <v>0</v>
      </c>
      <c r="IZI1737" s="735" t="s">
        <v>1690</v>
      </c>
      <c r="IZJ1737" s="843" t="e">
        <f>#REF!</f>
        <v>#REF!</v>
      </c>
      <c r="IZK1737" s="662" t="s">
        <v>799</v>
      </c>
      <c r="IZL1737" s="663" t="s">
        <v>628</v>
      </c>
      <c r="IZM1737" s="633"/>
      <c r="IZN1737" s="664"/>
      <c r="IZO1737" s="664"/>
      <c r="IZP1737" s="664"/>
      <c r="IZQ1737" s="664"/>
      <c r="IZR1737" s="664"/>
      <c r="IZS1737" s="664"/>
      <c r="IZT1737" s="664"/>
      <c r="IZU1737" s="630"/>
      <c r="IZV1737" s="631"/>
      <c r="IZW1737" s="655"/>
      <c r="IZX1737" s="734" t="s">
        <v>0</v>
      </c>
      <c r="IZY1737" s="735" t="s">
        <v>1690</v>
      </c>
      <c r="IZZ1737" s="843" t="e">
        <f>#REF!</f>
        <v>#REF!</v>
      </c>
      <c r="JAA1737" s="662" t="s">
        <v>799</v>
      </c>
      <c r="JAB1737" s="663" t="s">
        <v>628</v>
      </c>
      <c r="JAC1737" s="633"/>
      <c r="JAD1737" s="664"/>
      <c r="JAE1737" s="664"/>
      <c r="JAF1737" s="664"/>
      <c r="JAG1737" s="664"/>
      <c r="JAH1737" s="664"/>
      <c r="JAI1737" s="664"/>
      <c r="JAJ1737" s="664"/>
      <c r="JAK1737" s="630"/>
      <c r="JAL1737" s="631"/>
      <c r="JAM1737" s="655"/>
      <c r="JAN1737" s="734" t="s">
        <v>0</v>
      </c>
      <c r="JAO1737" s="735" t="s">
        <v>1690</v>
      </c>
      <c r="JAP1737" s="843" t="e">
        <f>#REF!</f>
        <v>#REF!</v>
      </c>
      <c r="JAQ1737" s="662" t="s">
        <v>799</v>
      </c>
      <c r="JAR1737" s="663" t="s">
        <v>628</v>
      </c>
      <c r="JAS1737" s="633"/>
      <c r="JAT1737" s="664"/>
      <c r="JAU1737" s="664"/>
      <c r="JAV1737" s="664"/>
      <c r="JAW1737" s="664"/>
      <c r="JAX1737" s="664"/>
      <c r="JAY1737" s="664"/>
      <c r="JAZ1737" s="664"/>
      <c r="JBA1737" s="630"/>
      <c r="JBB1737" s="631"/>
      <c r="JBC1737" s="655"/>
      <c r="JBD1737" s="734" t="s">
        <v>0</v>
      </c>
      <c r="JBE1737" s="735" t="s">
        <v>1690</v>
      </c>
      <c r="JBF1737" s="843" t="e">
        <f>#REF!</f>
        <v>#REF!</v>
      </c>
      <c r="JBG1737" s="662" t="s">
        <v>799</v>
      </c>
      <c r="JBH1737" s="663" t="s">
        <v>628</v>
      </c>
      <c r="JBI1737" s="633"/>
      <c r="JBJ1737" s="664"/>
      <c r="JBK1737" s="664"/>
      <c r="JBL1737" s="664"/>
      <c r="JBM1737" s="664"/>
      <c r="JBN1737" s="664"/>
      <c r="JBO1737" s="664"/>
      <c r="JBP1737" s="664"/>
      <c r="JBQ1737" s="630"/>
      <c r="JBR1737" s="631"/>
      <c r="JBS1737" s="655"/>
      <c r="JBT1737" s="734" t="s">
        <v>0</v>
      </c>
      <c r="JBU1737" s="735" t="s">
        <v>1690</v>
      </c>
      <c r="JBV1737" s="843" t="e">
        <f>#REF!</f>
        <v>#REF!</v>
      </c>
      <c r="JBW1737" s="662" t="s">
        <v>799</v>
      </c>
      <c r="JBX1737" s="663" t="s">
        <v>628</v>
      </c>
      <c r="JBY1737" s="633"/>
      <c r="JBZ1737" s="664"/>
      <c r="JCA1737" s="664"/>
      <c r="JCB1737" s="664"/>
      <c r="JCC1737" s="664"/>
      <c r="JCD1737" s="664"/>
      <c r="JCE1737" s="664"/>
      <c r="JCF1737" s="664"/>
      <c r="JCG1737" s="630"/>
      <c r="JCH1737" s="631"/>
      <c r="JCI1737" s="655"/>
      <c r="JCJ1737" s="734" t="s">
        <v>0</v>
      </c>
      <c r="JCK1737" s="735" t="s">
        <v>1690</v>
      </c>
      <c r="JCL1737" s="843" t="e">
        <f>#REF!</f>
        <v>#REF!</v>
      </c>
      <c r="JCM1737" s="662" t="s">
        <v>799</v>
      </c>
      <c r="JCN1737" s="663" t="s">
        <v>628</v>
      </c>
      <c r="JCO1737" s="633"/>
      <c r="JCP1737" s="664"/>
      <c r="JCQ1737" s="664"/>
      <c r="JCR1737" s="664"/>
      <c r="JCS1737" s="664"/>
      <c r="JCT1737" s="664"/>
      <c r="JCU1737" s="664"/>
      <c r="JCV1737" s="664"/>
      <c r="JCW1737" s="630"/>
      <c r="JCX1737" s="631"/>
      <c r="JCY1737" s="655"/>
      <c r="JCZ1737" s="734" t="s">
        <v>0</v>
      </c>
      <c r="JDA1737" s="735" t="s">
        <v>1690</v>
      </c>
      <c r="JDB1737" s="843" t="e">
        <f>#REF!</f>
        <v>#REF!</v>
      </c>
      <c r="JDC1737" s="662" t="s">
        <v>799</v>
      </c>
      <c r="JDD1737" s="663" t="s">
        <v>628</v>
      </c>
      <c r="JDE1737" s="633"/>
      <c r="JDF1737" s="664"/>
      <c r="JDG1737" s="664"/>
      <c r="JDH1737" s="664"/>
      <c r="JDI1737" s="664"/>
      <c r="JDJ1737" s="664"/>
      <c r="JDK1737" s="664"/>
      <c r="JDL1737" s="664"/>
      <c r="JDM1737" s="630"/>
      <c r="JDN1737" s="631"/>
      <c r="JDO1737" s="655"/>
      <c r="JDP1737" s="734" t="s">
        <v>0</v>
      </c>
      <c r="JDQ1737" s="735" t="s">
        <v>1690</v>
      </c>
      <c r="JDR1737" s="843" t="e">
        <f>#REF!</f>
        <v>#REF!</v>
      </c>
      <c r="JDS1737" s="662" t="s">
        <v>799</v>
      </c>
      <c r="JDT1737" s="663" t="s">
        <v>628</v>
      </c>
      <c r="JDU1737" s="633"/>
      <c r="JDV1737" s="664"/>
      <c r="JDW1737" s="664"/>
      <c r="JDX1737" s="664"/>
      <c r="JDY1737" s="664"/>
      <c r="JDZ1737" s="664"/>
      <c r="JEA1737" s="664"/>
      <c r="JEB1737" s="664"/>
      <c r="JEC1737" s="630"/>
      <c r="JED1737" s="631"/>
      <c r="JEE1737" s="655"/>
      <c r="JEF1737" s="734" t="s">
        <v>0</v>
      </c>
      <c r="JEG1737" s="735" t="s">
        <v>1690</v>
      </c>
      <c r="JEH1737" s="843" t="e">
        <f>#REF!</f>
        <v>#REF!</v>
      </c>
      <c r="JEI1737" s="662" t="s">
        <v>799</v>
      </c>
      <c r="JEJ1737" s="663" t="s">
        <v>628</v>
      </c>
      <c r="JEK1737" s="633"/>
      <c r="JEL1737" s="664"/>
      <c r="JEM1737" s="664"/>
      <c r="JEN1737" s="664"/>
      <c r="JEO1737" s="664"/>
      <c r="JEP1737" s="664"/>
      <c r="JEQ1737" s="664"/>
      <c r="JER1737" s="664"/>
      <c r="JES1737" s="630"/>
      <c r="JET1737" s="631"/>
      <c r="JEU1737" s="655"/>
      <c r="JEV1737" s="734" t="s">
        <v>0</v>
      </c>
      <c r="JEW1737" s="735" t="s">
        <v>1690</v>
      </c>
      <c r="JEX1737" s="843" t="e">
        <f>#REF!</f>
        <v>#REF!</v>
      </c>
      <c r="JEY1737" s="662" t="s">
        <v>799</v>
      </c>
      <c r="JEZ1737" s="663" t="s">
        <v>628</v>
      </c>
      <c r="JFA1737" s="633"/>
      <c r="JFB1737" s="664"/>
      <c r="JFC1737" s="664"/>
      <c r="JFD1737" s="664"/>
      <c r="JFE1737" s="664"/>
      <c r="JFF1737" s="664"/>
      <c r="JFG1737" s="664"/>
      <c r="JFH1737" s="664"/>
      <c r="JFI1737" s="630"/>
      <c r="JFJ1737" s="631"/>
      <c r="JFK1737" s="655"/>
      <c r="JFL1737" s="734" t="s">
        <v>0</v>
      </c>
      <c r="JFM1737" s="735" t="s">
        <v>1690</v>
      </c>
      <c r="JFN1737" s="843" t="e">
        <f>#REF!</f>
        <v>#REF!</v>
      </c>
      <c r="JFO1737" s="662" t="s">
        <v>799</v>
      </c>
      <c r="JFP1737" s="663" t="s">
        <v>628</v>
      </c>
      <c r="JFQ1737" s="633"/>
      <c r="JFR1737" s="664"/>
      <c r="JFS1737" s="664"/>
      <c r="JFT1737" s="664"/>
      <c r="JFU1737" s="664"/>
      <c r="JFV1737" s="664"/>
      <c r="JFW1737" s="664"/>
      <c r="JFX1737" s="664"/>
      <c r="JFY1737" s="630"/>
      <c r="JFZ1737" s="631"/>
      <c r="JGA1737" s="655"/>
      <c r="JGB1737" s="734" t="s">
        <v>0</v>
      </c>
      <c r="JGC1737" s="735" t="s">
        <v>1690</v>
      </c>
      <c r="JGD1737" s="843" t="e">
        <f>#REF!</f>
        <v>#REF!</v>
      </c>
      <c r="JGE1737" s="662" t="s">
        <v>799</v>
      </c>
      <c r="JGF1737" s="663" t="s">
        <v>628</v>
      </c>
      <c r="JGG1737" s="633"/>
      <c r="JGH1737" s="664"/>
      <c r="JGI1737" s="664"/>
      <c r="JGJ1737" s="664"/>
      <c r="JGK1737" s="664"/>
      <c r="JGL1737" s="664"/>
      <c r="JGM1737" s="664"/>
      <c r="JGN1737" s="664"/>
      <c r="JGO1737" s="630"/>
      <c r="JGP1737" s="631"/>
      <c r="JGQ1737" s="655"/>
      <c r="JGR1737" s="734" t="s">
        <v>0</v>
      </c>
      <c r="JGS1737" s="735" t="s">
        <v>1690</v>
      </c>
      <c r="JGT1737" s="843" t="e">
        <f>#REF!</f>
        <v>#REF!</v>
      </c>
      <c r="JGU1737" s="662" t="s">
        <v>799</v>
      </c>
      <c r="JGV1737" s="663" t="s">
        <v>628</v>
      </c>
      <c r="JGW1737" s="633"/>
      <c r="JGX1737" s="664"/>
      <c r="JGY1737" s="664"/>
      <c r="JGZ1737" s="664"/>
      <c r="JHA1737" s="664"/>
      <c r="JHB1737" s="664"/>
      <c r="JHC1737" s="664"/>
      <c r="JHD1737" s="664"/>
      <c r="JHE1737" s="630"/>
      <c r="JHF1737" s="631"/>
      <c r="JHG1737" s="655"/>
      <c r="JHH1737" s="734" t="s">
        <v>0</v>
      </c>
      <c r="JHI1737" s="735" t="s">
        <v>1690</v>
      </c>
      <c r="JHJ1737" s="843" t="e">
        <f>#REF!</f>
        <v>#REF!</v>
      </c>
      <c r="JHK1737" s="662" t="s">
        <v>799</v>
      </c>
      <c r="JHL1737" s="663" t="s">
        <v>628</v>
      </c>
      <c r="JHM1737" s="633"/>
      <c r="JHN1737" s="664"/>
      <c r="JHO1737" s="664"/>
      <c r="JHP1737" s="664"/>
      <c r="JHQ1737" s="664"/>
      <c r="JHR1737" s="664"/>
      <c r="JHS1737" s="664"/>
      <c r="JHT1737" s="664"/>
      <c r="JHU1737" s="630"/>
      <c r="JHV1737" s="631"/>
      <c r="JHW1737" s="655"/>
      <c r="JHX1737" s="734" t="s">
        <v>0</v>
      </c>
      <c r="JHY1737" s="735" t="s">
        <v>1690</v>
      </c>
      <c r="JHZ1737" s="843" t="e">
        <f>#REF!</f>
        <v>#REF!</v>
      </c>
      <c r="JIA1737" s="662" t="s">
        <v>799</v>
      </c>
      <c r="JIB1737" s="663" t="s">
        <v>628</v>
      </c>
      <c r="JIC1737" s="633"/>
      <c r="JID1737" s="664"/>
      <c r="JIE1737" s="664"/>
      <c r="JIF1737" s="664"/>
      <c r="JIG1737" s="664"/>
      <c r="JIH1737" s="664"/>
      <c r="JII1737" s="664"/>
      <c r="JIJ1737" s="664"/>
      <c r="JIK1737" s="630"/>
      <c r="JIL1737" s="631"/>
      <c r="JIM1737" s="655"/>
      <c r="JIN1737" s="734" t="s">
        <v>0</v>
      </c>
      <c r="JIO1737" s="735" t="s">
        <v>1690</v>
      </c>
      <c r="JIP1737" s="843" t="e">
        <f>#REF!</f>
        <v>#REF!</v>
      </c>
      <c r="JIQ1737" s="662" t="s">
        <v>799</v>
      </c>
      <c r="JIR1737" s="663" t="s">
        <v>628</v>
      </c>
      <c r="JIS1737" s="633"/>
      <c r="JIT1737" s="664"/>
      <c r="JIU1737" s="664"/>
      <c r="JIV1737" s="664"/>
      <c r="JIW1737" s="664"/>
      <c r="JIX1737" s="664"/>
      <c r="JIY1737" s="664"/>
      <c r="JIZ1737" s="664"/>
      <c r="JJA1737" s="630"/>
      <c r="JJB1737" s="631"/>
      <c r="JJC1737" s="655"/>
      <c r="JJD1737" s="734" t="s">
        <v>0</v>
      </c>
      <c r="JJE1737" s="735" t="s">
        <v>1690</v>
      </c>
      <c r="JJF1737" s="843" t="e">
        <f>#REF!</f>
        <v>#REF!</v>
      </c>
      <c r="JJG1737" s="662" t="s">
        <v>799</v>
      </c>
      <c r="JJH1737" s="663" t="s">
        <v>628</v>
      </c>
      <c r="JJI1737" s="633"/>
      <c r="JJJ1737" s="664"/>
      <c r="JJK1737" s="664"/>
      <c r="JJL1737" s="664"/>
      <c r="JJM1737" s="664"/>
      <c r="JJN1737" s="664"/>
      <c r="JJO1737" s="664"/>
      <c r="JJP1737" s="664"/>
      <c r="JJQ1737" s="630"/>
      <c r="JJR1737" s="631"/>
      <c r="JJS1737" s="655"/>
      <c r="JJT1737" s="734" t="s">
        <v>0</v>
      </c>
      <c r="JJU1737" s="735" t="s">
        <v>1690</v>
      </c>
      <c r="JJV1737" s="843" t="e">
        <f>#REF!</f>
        <v>#REF!</v>
      </c>
      <c r="JJW1737" s="662" t="s">
        <v>799</v>
      </c>
      <c r="JJX1737" s="663" t="s">
        <v>628</v>
      </c>
      <c r="JJY1737" s="633"/>
      <c r="JJZ1737" s="664"/>
      <c r="JKA1737" s="664"/>
      <c r="JKB1737" s="664"/>
      <c r="JKC1737" s="664"/>
      <c r="JKD1737" s="664"/>
      <c r="JKE1737" s="664"/>
      <c r="JKF1737" s="664"/>
      <c r="JKG1737" s="630"/>
      <c r="JKH1737" s="631"/>
      <c r="JKI1737" s="655"/>
      <c r="JKJ1737" s="734" t="s">
        <v>0</v>
      </c>
      <c r="JKK1737" s="735" t="s">
        <v>1690</v>
      </c>
      <c r="JKL1737" s="843" t="e">
        <f>#REF!</f>
        <v>#REF!</v>
      </c>
      <c r="JKM1737" s="662" t="s">
        <v>799</v>
      </c>
      <c r="JKN1737" s="663" t="s">
        <v>628</v>
      </c>
      <c r="JKO1737" s="633"/>
      <c r="JKP1737" s="664"/>
      <c r="JKQ1737" s="664"/>
      <c r="JKR1737" s="664"/>
      <c r="JKS1737" s="664"/>
      <c r="JKT1737" s="664"/>
      <c r="JKU1737" s="664"/>
      <c r="JKV1737" s="664"/>
      <c r="JKW1737" s="630"/>
      <c r="JKX1737" s="631"/>
      <c r="JKY1737" s="655"/>
      <c r="JKZ1737" s="734" t="s">
        <v>0</v>
      </c>
      <c r="JLA1737" s="735" t="s">
        <v>1690</v>
      </c>
      <c r="JLB1737" s="843" t="e">
        <f>#REF!</f>
        <v>#REF!</v>
      </c>
      <c r="JLC1737" s="662" t="s">
        <v>799</v>
      </c>
      <c r="JLD1737" s="663" t="s">
        <v>628</v>
      </c>
      <c r="JLE1737" s="633"/>
      <c r="JLF1737" s="664"/>
      <c r="JLG1737" s="664"/>
      <c r="JLH1737" s="664"/>
      <c r="JLI1737" s="664"/>
      <c r="JLJ1737" s="664"/>
      <c r="JLK1737" s="664"/>
      <c r="JLL1737" s="664"/>
      <c r="JLM1737" s="630"/>
      <c r="JLN1737" s="631"/>
      <c r="JLO1737" s="655"/>
      <c r="JLP1737" s="734" t="s">
        <v>0</v>
      </c>
      <c r="JLQ1737" s="735" t="s">
        <v>1690</v>
      </c>
      <c r="JLR1737" s="843" t="e">
        <f>#REF!</f>
        <v>#REF!</v>
      </c>
      <c r="JLS1737" s="662" t="s">
        <v>799</v>
      </c>
      <c r="JLT1737" s="663" t="s">
        <v>628</v>
      </c>
      <c r="JLU1737" s="633"/>
      <c r="JLV1737" s="664"/>
      <c r="JLW1737" s="664"/>
      <c r="JLX1737" s="664"/>
      <c r="JLY1737" s="664"/>
      <c r="JLZ1737" s="664"/>
      <c r="JMA1737" s="664"/>
      <c r="JMB1737" s="664"/>
      <c r="JMC1737" s="630"/>
      <c r="JMD1737" s="631"/>
      <c r="JME1737" s="655"/>
      <c r="JMF1737" s="734" t="s">
        <v>0</v>
      </c>
      <c r="JMG1737" s="735" t="s">
        <v>1690</v>
      </c>
      <c r="JMH1737" s="843" t="e">
        <f>#REF!</f>
        <v>#REF!</v>
      </c>
      <c r="JMI1737" s="662" t="s">
        <v>799</v>
      </c>
      <c r="JMJ1737" s="663" t="s">
        <v>628</v>
      </c>
      <c r="JMK1737" s="633"/>
      <c r="JML1737" s="664"/>
      <c r="JMM1737" s="664"/>
      <c r="JMN1737" s="664"/>
      <c r="JMO1737" s="664"/>
      <c r="JMP1737" s="664"/>
      <c r="JMQ1737" s="664"/>
      <c r="JMR1737" s="664"/>
      <c r="JMS1737" s="630"/>
      <c r="JMT1737" s="631"/>
      <c r="JMU1737" s="655"/>
      <c r="JMV1737" s="734" t="s">
        <v>0</v>
      </c>
      <c r="JMW1737" s="735" t="s">
        <v>1690</v>
      </c>
      <c r="JMX1737" s="843" t="e">
        <f>#REF!</f>
        <v>#REF!</v>
      </c>
      <c r="JMY1737" s="662" t="s">
        <v>799</v>
      </c>
      <c r="JMZ1737" s="663" t="s">
        <v>628</v>
      </c>
      <c r="JNA1737" s="633"/>
      <c r="JNB1737" s="664"/>
      <c r="JNC1737" s="664"/>
      <c r="JND1737" s="664"/>
      <c r="JNE1737" s="664"/>
      <c r="JNF1737" s="664"/>
      <c r="JNG1737" s="664"/>
      <c r="JNH1737" s="664"/>
      <c r="JNI1737" s="630"/>
      <c r="JNJ1737" s="631"/>
      <c r="JNK1737" s="655"/>
      <c r="JNL1737" s="734" t="s">
        <v>0</v>
      </c>
      <c r="JNM1737" s="735" t="s">
        <v>1690</v>
      </c>
      <c r="JNN1737" s="843" t="e">
        <f>#REF!</f>
        <v>#REF!</v>
      </c>
      <c r="JNO1737" s="662" t="s">
        <v>799</v>
      </c>
      <c r="JNP1737" s="663" t="s">
        <v>628</v>
      </c>
      <c r="JNQ1737" s="633"/>
      <c r="JNR1737" s="664"/>
      <c r="JNS1737" s="664"/>
      <c r="JNT1737" s="664"/>
      <c r="JNU1737" s="664"/>
      <c r="JNV1737" s="664"/>
      <c r="JNW1737" s="664"/>
      <c r="JNX1737" s="664"/>
      <c r="JNY1737" s="630"/>
      <c r="JNZ1737" s="631"/>
      <c r="JOA1737" s="655"/>
      <c r="JOB1737" s="734" t="s">
        <v>0</v>
      </c>
      <c r="JOC1737" s="735" t="s">
        <v>1690</v>
      </c>
      <c r="JOD1737" s="843" t="e">
        <f>#REF!</f>
        <v>#REF!</v>
      </c>
      <c r="JOE1737" s="662" t="s">
        <v>799</v>
      </c>
      <c r="JOF1737" s="663" t="s">
        <v>628</v>
      </c>
      <c r="JOG1737" s="633"/>
      <c r="JOH1737" s="664"/>
      <c r="JOI1737" s="664"/>
      <c r="JOJ1737" s="664"/>
      <c r="JOK1737" s="664"/>
      <c r="JOL1737" s="664"/>
      <c r="JOM1737" s="664"/>
      <c r="JON1737" s="664"/>
      <c r="JOO1737" s="630"/>
      <c r="JOP1737" s="631"/>
      <c r="JOQ1737" s="655"/>
      <c r="JOR1737" s="734" t="s">
        <v>0</v>
      </c>
      <c r="JOS1737" s="735" t="s">
        <v>1690</v>
      </c>
      <c r="JOT1737" s="843" t="e">
        <f>#REF!</f>
        <v>#REF!</v>
      </c>
      <c r="JOU1737" s="662" t="s">
        <v>799</v>
      </c>
      <c r="JOV1737" s="663" t="s">
        <v>628</v>
      </c>
      <c r="JOW1737" s="633"/>
      <c r="JOX1737" s="664"/>
      <c r="JOY1737" s="664"/>
      <c r="JOZ1737" s="664"/>
      <c r="JPA1737" s="664"/>
      <c r="JPB1737" s="664"/>
      <c r="JPC1737" s="664"/>
      <c r="JPD1737" s="664"/>
      <c r="JPE1737" s="630"/>
      <c r="JPF1737" s="631"/>
      <c r="JPG1737" s="655"/>
      <c r="JPH1737" s="734" t="s">
        <v>0</v>
      </c>
      <c r="JPI1737" s="735" t="s">
        <v>1690</v>
      </c>
      <c r="JPJ1737" s="843" t="e">
        <f>#REF!</f>
        <v>#REF!</v>
      </c>
      <c r="JPK1737" s="662" t="s">
        <v>799</v>
      </c>
      <c r="JPL1737" s="663" t="s">
        <v>628</v>
      </c>
      <c r="JPM1737" s="633"/>
      <c r="JPN1737" s="664"/>
      <c r="JPO1737" s="664"/>
      <c r="JPP1737" s="664"/>
      <c r="JPQ1737" s="664"/>
      <c r="JPR1737" s="664"/>
      <c r="JPS1737" s="664"/>
      <c r="JPT1737" s="664"/>
      <c r="JPU1737" s="630"/>
      <c r="JPV1737" s="631"/>
      <c r="JPW1737" s="655"/>
      <c r="JPX1737" s="734" t="s">
        <v>0</v>
      </c>
      <c r="JPY1737" s="735" t="s">
        <v>1690</v>
      </c>
      <c r="JPZ1737" s="843" t="e">
        <f>#REF!</f>
        <v>#REF!</v>
      </c>
      <c r="JQA1737" s="662" t="s">
        <v>799</v>
      </c>
      <c r="JQB1737" s="663" t="s">
        <v>628</v>
      </c>
      <c r="JQC1737" s="633"/>
      <c r="JQD1737" s="664"/>
      <c r="JQE1737" s="664"/>
      <c r="JQF1737" s="664"/>
      <c r="JQG1737" s="664"/>
      <c r="JQH1737" s="664"/>
      <c r="JQI1737" s="664"/>
      <c r="JQJ1737" s="664"/>
      <c r="JQK1737" s="630"/>
      <c r="JQL1737" s="631"/>
      <c r="JQM1737" s="655"/>
      <c r="JQN1737" s="734" t="s">
        <v>0</v>
      </c>
      <c r="JQO1737" s="735" t="s">
        <v>1690</v>
      </c>
      <c r="JQP1737" s="843" t="e">
        <f>#REF!</f>
        <v>#REF!</v>
      </c>
      <c r="JQQ1737" s="662" t="s">
        <v>799</v>
      </c>
      <c r="JQR1737" s="663" t="s">
        <v>628</v>
      </c>
      <c r="JQS1737" s="633"/>
      <c r="JQT1737" s="664"/>
      <c r="JQU1737" s="664"/>
      <c r="JQV1737" s="664"/>
      <c r="JQW1737" s="664"/>
      <c r="JQX1737" s="664"/>
      <c r="JQY1737" s="664"/>
      <c r="JQZ1737" s="664"/>
      <c r="JRA1737" s="630"/>
      <c r="JRB1737" s="631"/>
      <c r="JRC1737" s="655"/>
      <c r="JRD1737" s="734" t="s">
        <v>0</v>
      </c>
      <c r="JRE1737" s="735" t="s">
        <v>1690</v>
      </c>
      <c r="JRF1737" s="843" t="e">
        <f>#REF!</f>
        <v>#REF!</v>
      </c>
      <c r="JRG1737" s="662" t="s">
        <v>799</v>
      </c>
      <c r="JRH1737" s="663" t="s">
        <v>628</v>
      </c>
      <c r="JRI1737" s="633"/>
      <c r="JRJ1737" s="664"/>
      <c r="JRK1737" s="664"/>
      <c r="JRL1737" s="664"/>
      <c r="JRM1737" s="664"/>
      <c r="JRN1737" s="664"/>
      <c r="JRO1737" s="664"/>
      <c r="JRP1737" s="664"/>
      <c r="JRQ1737" s="630"/>
      <c r="JRR1737" s="631"/>
      <c r="JRS1737" s="655"/>
      <c r="JRT1737" s="734" t="s">
        <v>0</v>
      </c>
      <c r="JRU1737" s="735" t="s">
        <v>1690</v>
      </c>
      <c r="JRV1737" s="843" t="e">
        <f>#REF!</f>
        <v>#REF!</v>
      </c>
      <c r="JRW1737" s="662" t="s">
        <v>799</v>
      </c>
      <c r="JRX1737" s="663" t="s">
        <v>628</v>
      </c>
      <c r="JRY1737" s="633"/>
      <c r="JRZ1737" s="664"/>
      <c r="JSA1737" s="664"/>
      <c r="JSB1737" s="664"/>
      <c r="JSC1737" s="664"/>
      <c r="JSD1737" s="664"/>
      <c r="JSE1737" s="664"/>
      <c r="JSF1737" s="664"/>
      <c r="JSG1737" s="630"/>
      <c r="JSH1737" s="631"/>
      <c r="JSI1737" s="655"/>
      <c r="JSJ1737" s="734" t="s">
        <v>0</v>
      </c>
      <c r="JSK1737" s="735" t="s">
        <v>1690</v>
      </c>
      <c r="JSL1737" s="843" t="e">
        <f>#REF!</f>
        <v>#REF!</v>
      </c>
      <c r="JSM1737" s="662" t="s">
        <v>799</v>
      </c>
      <c r="JSN1737" s="663" t="s">
        <v>628</v>
      </c>
      <c r="JSO1737" s="633"/>
      <c r="JSP1737" s="664"/>
      <c r="JSQ1737" s="664"/>
      <c r="JSR1737" s="664"/>
      <c r="JSS1737" s="664"/>
      <c r="JST1737" s="664"/>
      <c r="JSU1737" s="664"/>
      <c r="JSV1737" s="664"/>
      <c r="JSW1737" s="630"/>
      <c r="JSX1737" s="631"/>
      <c r="JSY1737" s="655"/>
      <c r="JSZ1737" s="734" t="s">
        <v>0</v>
      </c>
      <c r="JTA1737" s="735" t="s">
        <v>1690</v>
      </c>
      <c r="JTB1737" s="843" t="e">
        <f>#REF!</f>
        <v>#REF!</v>
      </c>
      <c r="JTC1737" s="662" t="s">
        <v>799</v>
      </c>
      <c r="JTD1737" s="663" t="s">
        <v>628</v>
      </c>
      <c r="JTE1737" s="633"/>
      <c r="JTF1737" s="664"/>
      <c r="JTG1737" s="664"/>
      <c r="JTH1737" s="664"/>
      <c r="JTI1737" s="664"/>
      <c r="JTJ1737" s="664"/>
      <c r="JTK1737" s="664"/>
      <c r="JTL1737" s="664"/>
      <c r="JTM1737" s="630"/>
      <c r="JTN1737" s="631"/>
      <c r="JTO1737" s="655"/>
      <c r="JTP1737" s="734" t="s">
        <v>0</v>
      </c>
      <c r="JTQ1737" s="735" t="s">
        <v>1690</v>
      </c>
      <c r="JTR1737" s="843" t="e">
        <f>#REF!</f>
        <v>#REF!</v>
      </c>
      <c r="JTS1737" s="662" t="s">
        <v>799</v>
      </c>
      <c r="JTT1737" s="663" t="s">
        <v>628</v>
      </c>
      <c r="JTU1737" s="633"/>
      <c r="JTV1737" s="664"/>
      <c r="JTW1737" s="664"/>
      <c r="JTX1737" s="664"/>
      <c r="JTY1737" s="664"/>
      <c r="JTZ1737" s="664"/>
      <c r="JUA1737" s="664"/>
      <c r="JUB1737" s="664"/>
      <c r="JUC1737" s="630"/>
      <c r="JUD1737" s="631"/>
      <c r="JUE1737" s="655"/>
      <c r="JUF1737" s="734" t="s">
        <v>0</v>
      </c>
      <c r="JUG1737" s="735" t="s">
        <v>1690</v>
      </c>
      <c r="JUH1737" s="843" t="e">
        <f>#REF!</f>
        <v>#REF!</v>
      </c>
      <c r="JUI1737" s="662" t="s">
        <v>799</v>
      </c>
      <c r="JUJ1737" s="663" t="s">
        <v>628</v>
      </c>
      <c r="JUK1737" s="633"/>
      <c r="JUL1737" s="664"/>
      <c r="JUM1737" s="664"/>
      <c r="JUN1737" s="664"/>
      <c r="JUO1737" s="664"/>
      <c r="JUP1737" s="664"/>
      <c r="JUQ1737" s="664"/>
      <c r="JUR1737" s="664"/>
      <c r="JUS1737" s="630"/>
      <c r="JUT1737" s="631"/>
      <c r="JUU1737" s="655"/>
      <c r="JUV1737" s="734" t="s">
        <v>0</v>
      </c>
      <c r="JUW1737" s="735" t="s">
        <v>1690</v>
      </c>
      <c r="JUX1737" s="843" t="e">
        <f>#REF!</f>
        <v>#REF!</v>
      </c>
      <c r="JUY1737" s="662" t="s">
        <v>799</v>
      </c>
      <c r="JUZ1737" s="663" t="s">
        <v>628</v>
      </c>
      <c r="JVA1737" s="633"/>
      <c r="JVB1737" s="664"/>
      <c r="JVC1737" s="664"/>
      <c r="JVD1737" s="664"/>
      <c r="JVE1737" s="664"/>
      <c r="JVF1737" s="664"/>
      <c r="JVG1737" s="664"/>
      <c r="JVH1737" s="664"/>
      <c r="JVI1737" s="630"/>
      <c r="JVJ1737" s="631"/>
      <c r="JVK1737" s="655"/>
      <c r="JVL1737" s="734" t="s">
        <v>0</v>
      </c>
      <c r="JVM1737" s="735" t="s">
        <v>1690</v>
      </c>
      <c r="JVN1737" s="843" t="e">
        <f>#REF!</f>
        <v>#REF!</v>
      </c>
      <c r="JVO1737" s="662" t="s">
        <v>799</v>
      </c>
      <c r="JVP1737" s="663" t="s">
        <v>628</v>
      </c>
      <c r="JVQ1737" s="633"/>
      <c r="JVR1737" s="664"/>
      <c r="JVS1737" s="664"/>
      <c r="JVT1737" s="664"/>
      <c r="JVU1737" s="664"/>
      <c r="JVV1737" s="664"/>
      <c r="JVW1737" s="664"/>
      <c r="JVX1737" s="664"/>
      <c r="JVY1737" s="630"/>
      <c r="JVZ1737" s="631"/>
      <c r="JWA1737" s="655"/>
      <c r="JWB1737" s="734" t="s">
        <v>0</v>
      </c>
      <c r="JWC1737" s="735" t="s">
        <v>1690</v>
      </c>
      <c r="JWD1737" s="843" t="e">
        <f>#REF!</f>
        <v>#REF!</v>
      </c>
      <c r="JWE1737" s="662" t="s">
        <v>799</v>
      </c>
      <c r="JWF1737" s="663" t="s">
        <v>628</v>
      </c>
      <c r="JWG1737" s="633"/>
      <c r="JWH1737" s="664"/>
      <c r="JWI1737" s="664"/>
      <c r="JWJ1737" s="664"/>
      <c r="JWK1737" s="664"/>
      <c r="JWL1737" s="664"/>
      <c r="JWM1737" s="664"/>
      <c r="JWN1737" s="664"/>
      <c r="JWO1737" s="630"/>
      <c r="JWP1737" s="631"/>
      <c r="JWQ1737" s="655"/>
      <c r="JWR1737" s="734" t="s">
        <v>0</v>
      </c>
      <c r="JWS1737" s="735" t="s">
        <v>1690</v>
      </c>
      <c r="JWT1737" s="843" t="e">
        <f>#REF!</f>
        <v>#REF!</v>
      </c>
      <c r="JWU1737" s="662" t="s">
        <v>799</v>
      </c>
      <c r="JWV1737" s="663" t="s">
        <v>628</v>
      </c>
      <c r="JWW1737" s="633"/>
      <c r="JWX1737" s="664"/>
      <c r="JWY1737" s="664"/>
      <c r="JWZ1737" s="664"/>
      <c r="JXA1737" s="664"/>
      <c r="JXB1737" s="664"/>
      <c r="JXC1737" s="664"/>
      <c r="JXD1737" s="664"/>
      <c r="JXE1737" s="630"/>
      <c r="JXF1737" s="631"/>
      <c r="JXG1737" s="655"/>
      <c r="JXH1737" s="734" t="s">
        <v>0</v>
      </c>
      <c r="JXI1737" s="735" t="s">
        <v>1690</v>
      </c>
      <c r="JXJ1737" s="843" t="e">
        <f>#REF!</f>
        <v>#REF!</v>
      </c>
      <c r="JXK1737" s="662" t="s">
        <v>799</v>
      </c>
      <c r="JXL1737" s="663" t="s">
        <v>628</v>
      </c>
      <c r="JXM1737" s="633"/>
      <c r="JXN1737" s="664"/>
      <c r="JXO1737" s="664"/>
      <c r="JXP1737" s="664"/>
      <c r="JXQ1737" s="664"/>
      <c r="JXR1737" s="664"/>
      <c r="JXS1737" s="664"/>
      <c r="JXT1737" s="664"/>
      <c r="JXU1737" s="630"/>
      <c r="JXV1737" s="631"/>
      <c r="JXW1737" s="655"/>
      <c r="JXX1737" s="734" t="s">
        <v>0</v>
      </c>
      <c r="JXY1737" s="735" t="s">
        <v>1690</v>
      </c>
      <c r="JXZ1737" s="843" t="e">
        <f>#REF!</f>
        <v>#REF!</v>
      </c>
      <c r="JYA1737" s="662" t="s">
        <v>799</v>
      </c>
      <c r="JYB1737" s="663" t="s">
        <v>628</v>
      </c>
      <c r="JYC1737" s="633"/>
      <c r="JYD1737" s="664"/>
      <c r="JYE1737" s="664"/>
      <c r="JYF1737" s="664"/>
      <c r="JYG1737" s="664"/>
      <c r="JYH1737" s="664"/>
      <c r="JYI1737" s="664"/>
      <c r="JYJ1737" s="664"/>
      <c r="JYK1737" s="630"/>
      <c r="JYL1737" s="631"/>
      <c r="JYM1737" s="655"/>
      <c r="JYN1737" s="734" t="s">
        <v>0</v>
      </c>
      <c r="JYO1737" s="735" t="s">
        <v>1690</v>
      </c>
      <c r="JYP1737" s="843" t="e">
        <f>#REF!</f>
        <v>#REF!</v>
      </c>
      <c r="JYQ1737" s="662" t="s">
        <v>799</v>
      </c>
      <c r="JYR1737" s="663" t="s">
        <v>628</v>
      </c>
      <c r="JYS1737" s="633"/>
      <c r="JYT1737" s="664"/>
      <c r="JYU1737" s="664"/>
      <c r="JYV1737" s="664"/>
      <c r="JYW1737" s="664"/>
      <c r="JYX1737" s="664"/>
      <c r="JYY1737" s="664"/>
      <c r="JYZ1737" s="664"/>
      <c r="JZA1737" s="630"/>
      <c r="JZB1737" s="631"/>
      <c r="JZC1737" s="655"/>
      <c r="JZD1737" s="734" t="s">
        <v>0</v>
      </c>
      <c r="JZE1737" s="735" t="s">
        <v>1690</v>
      </c>
      <c r="JZF1737" s="843" t="e">
        <f>#REF!</f>
        <v>#REF!</v>
      </c>
      <c r="JZG1737" s="662" t="s">
        <v>799</v>
      </c>
      <c r="JZH1737" s="663" t="s">
        <v>628</v>
      </c>
      <c r="JZI1737" s="633"/>
      <c r="JZJ1737" s="664"/>
      <c r="JZK1737" s="664"/>
      <c r="JZL1737" s="664"/>
      <c r="JZM1737" s="664"/>
      <c r="JZN1737" s="664"/>
      <c r="JZO1737" s="664"/>
      <c r="JZP1737" s="664"/>
      <c r="JZQ1737" s="630"/>
      <c r="JZR1737" s="631"/>
      <c r="JZS1737" s="655"/>
      <c r="JZT1737" s="734" t="s">
        <v>0</v>
      </c>
      <c r="JZU1737" s="735" t="s">
        <v>1690</v>
      </c>
      <c r="JZV1737" s="843" t="e">
        <f>#REF!</f>
        <v>#REF!</v>
      </c>
      <c r="JZW1737" s="662" t="s">
        <v>799</v>
      </c>
      <c r="JZX1737" s="663" t="s">
        <v>628</v>
      </c>
      <c r="JZY1737" s="633"/>
      <c r="JZZ1737" s="664"/>
      <c r="KAA1737" s="664"/>
      <c r="KAB1737" s="664"/>
      <c r="KAC1737" s="664"/>
      <c r="KAD1737" s="664"/>
      <c r="KAE1737" s="664"/>
      <c r="KAF1737" s="664"/>
      <c r="KAG1737" s="630"/>
      <c r="KAH1737" s="631"/>
      <c r="KAI1737" s="655"/>
      <c r="KAJ1737" s="734" t="s">
        <v>0</v>
      </c>
      <c r="KAK1737" s="735" t="s">
        <v>1690</v>
      </c>
      <c r="KAL1737" s="843" t="e">
        <f>#REF!</f>
        <v>#REF!</v>
      </c>
      <c r="KAM1737" s="662" t="s">
        <v>799</v>
      </c>
      <c r="KAN1737" s="663" t="s">
        <v>628</v>
      </c>
      <c r="KAO1737" s="633"/>
      <c r="KAP1737" s="664"/>
      <c r="KAQ1737" s="664"/>
      <c r="KAR1737" s="664"/>
      <c r="KAS1737" s="664"/>
      <c r="KAT1737" s="664"/>
      <c r="KAU1737" s="664"/>
      <c r="KAV1737" s="664"/>
      <c r="KAW1737" s="630"/>
      <c r="KAX1737" s="631"/>
      <c r="KAY1737" s="655"/>
      <c r="KAZ1737" s="734" t="s">
        <v>0</v>
      </c>
      <c r="KBA1737" s="735" t="s">
        <v>1690</v>
      </c>
      <c r="KBB1737" s="843" t="e">
        <f>#REF!</f>
        <v>#REF!</v>
      </c>
      <c r="KBC1737" s="662" t="s">
        <v>799</v>
      </c>
      <c r="KBD1737" s="663" t="s">
        <v>628</v>
      </c>
      <c r="KBE1737" s="633"/>
      <c r="KBF1737" s="664"/>
      <c r="KBG1737" s="664"/>
      <c r="KBH1737" s="664"/>
      <c r="KBI1737" s="664"/>
      <c r="KBJ1737" s="664"/>
      <c r="KBK1737" s="664"/>
      <c r="KBL1737" s="664"/>
      <c r="KBM1737" s="630"/>
      <c r="KBN1737" s="631"/>
      <c r="KBO1737" s="655"/>
      <c r="KBP1737" s="734" t="s">
        <v>0</v>
      </c>
      <c r="KBQ1737" s="735" t="s">
        <v>1690</v>
      </c>
      <c r="KBR1737" s="843" t="e">
        <f>#REF!</f>
        <v>#REF!</v>
      </c>
      <c r="KBS1737" s="662" t="s">
        <v>799</v>
      </c>
      <c r="KBT1737" s="663" t="s">
        <v>628</v>
      </c>
      <c r="KBU1737" s="633"/>
      <c r="KBV1737" s="664"/>
      <c r="KBW1737" s="664"/>
      <c r="KBX1737" s="664"/>
      <c r="KBY1737" s="664"/>
      <c r="KBZ1737" s="664"/>
      <c r="KCA1737" s="664"/>
      <c r="KCB1737" s="664"/>
      <c r="KCC1737" s="630"/>
      <c r="KCD1737" s="631"/>
      <c r="KCE1737" s="655"/>
      <c r="KCF1737" s="734" t="s">
        <v>0</v>
      </c>
      <c r="KCG1737" s="735" t="s">
        <v>1690</v>
      </c>
      <c r="KCH1737" s="843" t="e">
        <f>#REF!</f>
        <v>#REF!</v>
      </c>
      <c r="KCI1737" s="662" t="s">
        <v>799</v>
      </c>
      <c r="KCJ1737" s="663" t="s">
        <v>628</v>
      </c>
      <c r="KCK1737" s="633"/>
      <c r="KCL1737" s="664"/>
      <c r="KCM1737" s="664"/>
      <c r="KCN1737" s="664"/>
      <c r="KCO1737" s="664"/>
      <c r="KCP1737" s="664"/>
      <c r="KCQ1737" s="664"/>
      <c r="KCR1737" s="664"/>
      <c r="KCS1737" s="630"/>
      <c r="KCT1737" s="631"/>
      <c r="KCU1737" s="655"/>
      <c r="KCV1737" s="734" t="s">
        <v>0</v>
      </c>
      <c r="KCW1737" s="735" t="s">
        <v>1690</v>
      </c>
      <c r="KCX1737" s="843" t="e">
        <f>#REF!</f>
        <v>#REF!</v>
      </c>
      <c r="KCY1737" s="662" t="s">
        <v>799</v>
      </c>
      <c r="KCZ1737" s="663" t="s">
        <v>628</v>
      </c>
      <c r="KDA1737" s="633"/>
      <c r="KDB1737" s="664"/>
      <c r="KDC1737" s="664"/>
      <c r="KDD1737" s="664"/>
      <c r="KDE1737" s="664"/>
      <c r="KDF1737" s="664"/>
      <c r="KDG1737" s="664"/>
      <c r="KDH1737" s="664"/>
      <c r="KDI1737" s="630"/>
      <c r="KDJ1737" s="631"/>
      <c r="KDK1737" s="655"/>
      <c r="KDL1737" s="734" t="s">
        <v>0</v>
      </c>
      <c r="KDM1737" s="735" t="s">
        <v>1690</v>
      </c>
      <c r="KDN1737" s="843" t="e">
        <f>#REF!</f>
        <v>#REF!</v>
      </c>
      <c r="KDO1737" s="662" t="s">
        <v>799</v>
      </c>
      <c r="KDP1737" s="663" t="s">
        <v>628</v>
      </c>
      <c r="KDQ1737" s="633"/>
      <c r="KDR1737" s="664"/>
      <c r="KDS1737" s="664"/>
      <c r="KDT1737" s="664"/>
      <c r="KDU1737" s="664"/>
      <c r="KDV1737" s="664"/>
      <c r="KDW1737" s="664"/>
      <c r="KDX1737" s="664"/>
      <c r="KDY1737" s="630"/>
      <c r="KDZ1737" s="631"/>
      <c r="KEA1737" s="655"/>
      <c r="KEB1737" s="734" t="s">
        <v>0</v>
      </c>
      <c r="KEC1737" s="735" t="s">
        <v>1690</v>
      </c>
      <c r="KED1737" s="843" t="e">
        <f>#REF!</f>
        <v>#REF!</v>
      </c>
      <c r="KEE1737" s="662" t="s">
        <v>799</v>
      </c>
      <c r="KEF1737" s="663" t="s">
        <v>628</v>
      </c>
      <c r="KEG1737" s="633"/>
      <c r="KEH1737" s="664"/>
      <c r="KEI1737" s="664"/>
      <c r="KEJ1737" s="664"/>
      <c r="KEK1737" s="664"/>
      <c r="KEL1737" s="664"/>
      <c r="KEM1737" s="664"/>
      <c r="KEN1737" s="664"/>
      <c r="KEO1737" s="630"/>
      <c r="KEP1737" s="631"/>
      <c r="KEQ1737" s="655"/>
      <c r="KER1737" s="734" t="s">
        <v>0</v>
      </c>
      <c r="KES1737" s="735" t="s">
        <v>1690</v>
      </c>
      <c r="KET1737" s="843" t="e">
        <f>#REF!</f>
        <v>#REF!</v>
      </c>
      <c r="KEU1737" s="662" t="s">
        <v>799</v>
      </c>
      <c r="KEV1737" s="663" t="s">
        <v>628</v>
      </c>
      <c r="KEW1737" s="633"/>
      <c r="KEX1737" s="664"/>
      <c r="KEY1737" s="664"/>
      <c r="KEZ1737" s="664"/>
      <c r="KFA1737" s="664"/>
      <c r="KFB1737" s="664"/>
      <c r="KFC1737" s="664"/>
      <c r="KFD1737" s="664"/>
      <c r="KFE1737" s="630"/>
      <c r="KFF1737" s="631"/>
      <c r="KFG1737" s="655"/>
      <c r="KFH1737" s="734" t="s">
        <v>0</v>
      </c>
      <c r="KFI1737" s="735" t="s">
        <v>1690</v>
      </c>
      <c r="KFJ1737" s="843" t="e">
        <f>#REF!</f>
        <v>#REF!</v>
      </c>
      <c r="KFK1737" s="662" t="s">
        <v>799</v>
      </c>
      <c r="KFL1737" s="663" t="s">
        <v>628</v>
      </c>
      <c r="KFM1737" s="633"/>
      <c r="KFN1737" s="664"/>
      <c r="KFO1737" s="664"/>
      <c r="KFP1737" s="664"/>
      <c r="KFQ1737" s="664"/>
      <c r="KFR1737" s="664"/>
      <c r="KFS1737" s="664"/>
      <c r="KFT1737" s="664"/>
      <c r="KFU1737" s="630"/>
      <c r="KFV1737" s="631"/>
      <c r="KFW1737" s="655"/>
      <c r="KFX1737" s="734" t="s">
        <v>0</v>
      </c>
      <c r="KFY1737" s="735" t="s">
        <v>1690</v>
      </c>
      <c r="KFZ1737" s="843" t="e">
        <f>#REF!</f>
        <v>#REF!</v>
      </c>
      <c r="KGA1737" s="662" t="s">
        <v>799</v>
      </c>
      <c r="KGB1737" s="663" t="s">
        <v>628</v>
      </c>
      <c r="KGC1737" s="633"/>
      <c r="KGD1737" s="664"/>
      <c r="KGE1737" s="664"/>
      <c r="KGF1737" s="664"/>
      <c r="KGG1737" s="664"/>
      <c r="KGH1737" s="664"/>
      <c r="KGI1737" s="664"/>
      <c r="KGJ1737" s="664"/>
      <c r="KGK1737" s="630"/>
      <c r="KGL1737" s="631"/>
      <c r="KGM1737" s="655"/>
      <c r="KGN1737" s="734" t="s">
        <v>0</v>
      </c>
      <c r="KGO1737" s="735" t="s">
        <v>1690</v>
      </c>
      <c r="KGP1737" s="843" t="e">
        <f>#REF!</f>
        <v>#REF!</v>
      </c>
      <c r="KGQ1737" s="662" t="s">
        <v>799</v>
      </c>
      <c r="KGR1737" s="663" t="s">
        <v>628</v>
      </c>
      <c r="KGS1737" s="633"/>
      <c r="KGT1737" s="664"/>
      <c r="KGU1737" s="664"/>
      <c r="KGV1737" s="664"/>
      <c r="KGW1737" s="664"/>
      <c r="KGX1737" s="664"/>
      <c r="KGY1737" s="664"/>
      <c r="KGZ1737" s="664"/>
      <c r="KHA1737" s="630"/>
      <c r="KHB1737" s="631"/>
      <c r="KHC1737" s="655"/>
      <c r="KHD1737" s="734" t="s">
        <v>0</v>
      </c>
      <c r="KHE1737" s="735" t="s">
        <v>1690</v>
      </c>
      <c r="KHF1737" s="843" t="e">
        <f>#REF!</f>
        <v>#REF!</v>
      </c>
      <c r="KHG1737" s="662" t="s">
        <v>799</v>
      </c>
      <c r="KHH1737" s="663" t="s">
        <v>628</v>
      </c>
      <c r="KHI1737" s="633"/>
      <c r="KHJ1737" s="664"/>
      <c r="KHK1737" s="664"/>
      <c r="KHL1737" s="664"/>
      <c r="KHM1737" s="664"/>
      <c r="KHN1737" s="664"/>
      <c r="KHO1737" s="664"/>
      <c r="KHP1737" s="664"/>
      <c r="KHQ1737" s="630"/>
      <c r="KHR1737" s="631"/>
      <c r="KHS1737" s="655"/>
      <c r="KHT1737" s="734" t="s">
        <v>0</v>
      </c>
      <c r="KHU1737" s="735" t="s">
        <v>1690</v>
      </c>
      <c r="KHV1737" s="843" t="e">
        <f>#REF!</f>
        <v>#REF!</v>
      </c>
      <c r="KHW1737" s="662" t="s">
        <v>799</v>
      </c>
      <c r="KHX1737" s="663" t="s">
        <v>628</v>
      </c>
      <c r="KHY1737" s="633"/>
      <c r="KHZ1737" s="664"/>
      <c r="KIA1737" s="664"/>
      <c r="KIB1737" s="664"/>
      <c r="KIC1737" s="664"/>
      <c r="KID1737" s="664"/>
      <c r="KIE1737" s="664"/>
      <c r="KIF1737" s="664"/>
      <c r="KIG1737" s="630"/>
      <c r="KIH1737" s="631"/>
      <c r="KII1737" s="655"/>
      <c r="KIJ1737" s="734" t="s">
        <v>0</v>
      </c>
      <c r="KIK1737" s="735" t="s">
        <v>1690</v>
      </c>
      <c r="KIL1737" s="843" t="e">
        <f>#REF!</f>
        <v>#REF!</v>
      </c>
      <c r="KIM1737" s="662" t="s">
        <v>799</v>
      </c>
      <c r="KIN1737" s="663" t="s">
        <v>628</v>
      </c>
      <c r="KIO1737" s="633"/>
      <c r="KIP1737" s="664"/>
      <c r="KIQ1737" s="664"/>
      <c r="KIR1737" s="664"/>
      <c r="KIS1737" s="664"/>
      <c r="KIT1737" s="664"/>
      <c r="KIU1737" s="664"/>
      <c r="KIV1737" s="664"/>
      <c r="KIW1737" s="630"/>
      <c r="KIX1737" s="631"/>
      <c r="KIY1737" s="655"/>
      <c r="KIZ1737" s="734" t="s">
        <v>0</v>
      </c>
      <c r="KJA1737" s="735" t="s">
        <v>1690</v>
      </c>
      <c r="KJB1737" s="843" t="e">
        <f>#REF!</f>
        <v>#REF!</v>
      </c>
      <c r="KJC1737" s="662" t="s">
        <v>799</v>
      </c>
      <c r="KJD1737" s="663" t="s">
        <v>628</v>
      </c>
      <c r="KJE1737" s="633"/>
      <c r="KJF1737" s="664"/>
      <c r="KJG1737" s="664"/>
      <c r="KJH1737" s="664"/>
      <c r="KJI1737" s="664"/>
      <c r="KJJ1737" s="664"/>
      <c r="KJK1737" s="664"/>
      <c r="KJL1737" s="664"/>
      <c r="KJM1737" s="630"/>
      <c r="KJN1737" s="631"/>
      <c r="KJO1737" s="655"/>
      <c r="KJP1737" s="734" t="s">
        <v>0</v>
      </c>
      <c r="KJQ1737" s="735" t="s">
        <v>1690</v>
      </c>
      <c r="KJR1737" s="843" t="e">
        <f>#REF!</f>
        <v>#REF!</v>
      </c>
      <c r="KJS1737" s="662" t="s">
        <v>799</v>
      </c>
      <c r="KJT1737" s="663" t="s">
        <v>628</v>
      </c>
      <c r="KJU1737" s="633"/>
      <c r="KJV1737" s="664"/>
      <c r="KJW1737" s="664"/>
      <c r="KJX1737" s="664"/>
      <c r="KJY1737" s="664"/>
      <c r="KJZ1737" s="664"/>
      <c r="KKA1737" s="664"/>
      <c r="KKB1737" s="664"/>
      <c r="KKC1737" s="630"/>
      <c r="KKD1737" s="631"/>
      <c r="KKE1737" s="655"/>
      <c r="KKF1737" s="734" t="s">
        <v>0</v>
      </c>
      <c r="KKG1737" s="735" t="s">
        <v>1690</v>
      </c>
      <c r="KKH1737" s="843" t="e">
        <f>#REF!</f>
        <v>#REF!</v>
      </c>
      <c r="KKI1737" s="662" t="s">
        <v>799</v>
      </c>
      <c r="KKJ1737" s="663" t="s">
        <v>628</v>
      </c>
      <c r="KKK1737" s="633"/>
      <c r="KKL1737" s="664"/>
      <c r="KKM1737" s="664"/>
      <c r="KKN1737" s="664"/>
      <c r="KKO1737" s="664"/>
      <c r="KKP1737" s="664"/>
      <c r="KKQ1737" s="664"/>
      <c r="KKR1737" s="664"/>
      <c r="KKS1737" s="630"/>
      <c r="KKT1737" s="631"/>
      <c r="KKU1737" s="655"/>
      <c r="KKV1737" s="734" t="s">
        <v>0</v>
      </c>
      <c r="KKW1737" s="735" t="s">
        <v>1690</v>
      </c>
      <c r="KKX1737" s="843" t="e">
        <f>#REF!</f>
        <v>#REF!</v>
      </c>
      <c r="KKY1737" s="662" t="s">
        <v>799</v>
      </c>
      <c r="KKZ1737" s="663" t="s">
        <v>628</v>
      </c>
      <c r="KLA1737" s="633"/>
      <c r="KLB1737" s="664"/>
      <c r="KLC1737" s="664"/>
      <c r="KLD1737" s="664"/>
      <c r="KLE1737" s="664"/>
      <c r="KLF1737" s="664"/>
      <c r="KLG1737" s="664"/>
      <c r="KLH1737" s="664"/>
      <c r="KLI1737" s="630"/>
      <c r="KLJ1737" s="631"/>
      <c r="KLK1737" s="655"/>
      <c r="KLL1737" s="734" t="s">
        <v>0</v>
      </c>
      <c r="KLM1737" s="735" t="s">
        <v>1690</v>
      </c>
      <c r="KLN1737" s="843" t="e">
        <f>#REF!</f>
        <v>#REF!</v>
      </c>
      <c r="KLO1737" s="662" t="s">
        <v>799</v>
      </c>
      <c r="KLP1737" s="663" t="s">
        <v>628</v>
      </c>
      <c r="KLQ1737" s="633"/>
      <c r="KLR1737" s="664"/>
      <c r="KLS1737" s="664"/>
      <c r="KLT1737" s="664"/>
      <c r="KLU1737" s="664"/>
      <c r="KLV1737" s="664"/>
      <c r="KLW1737" s="664"/>
      <c r="KLX1737" s="664"/>
      <c r="KLY1737" s="630"/>
      <c r="KLZ1737" s="631"/>
      <c r="KMA1737" s="655"/>
      <c r="KMB1737" s="734" t="s">
        <v>0</v>
      </c>
      <c r="KMC1737" s="735" t="s">
        <v>1690</v>
      </c>
      <c r="KMD1737" s="843" t="e">
        <f>#REF!</f>
        <v>#REF!</v>
      </c>
      <c r="KME1737" s="662" t="s">
        <v>799</v>
      </c>
      <c r="KMF1737" s="663" t="s">
        <v>628</v>
      </c>
      <c r="KMG1737" s="633"/>
      <c r="KMH1737" s="664"/>
      <c r="KMI1737" s="664"/>
      <c r="KMJ1737" s="664"/>
      <c r="KMK1737" s="664"/>
      <c r="KML1737" s="664"/>
      <c r="KMM1737" s="664"/>
      <c r="KMN1737" s="664"/>
      <c r="KMO1737" s="630"/>
      <c r="KMP1737" s="631"/>
      <c r="KMQ1737" s="655"/>
      <c r="KMR1737" s="734" t="s">
        <v>0</v>
      </c>
      <c r="KMS1737" s="735" t="s">
        <v>1690</v>
      </c>
      <c r="KMT1737" s="843" t="e">
        <f>#REF!</f>
        <v>#REF!</v>
      </c>
      <c r="KMU1737" s="662" t="s">
        <v>799</v>
      </c>
      <c r="KMV1737" s="663" t="s">
        <v>628</v>
      </c>
      <c r="KMW1737" s="633"/>
      <c r="KMX1737" s="664"/>
      <c r="KMY1737" s="664"/>
      <c r="KMZ1737" s="664"/>
      <c r="KNA1737" s="664"/>
      <c r="KNB1737" s="664"/>
      <c r="KNC1737" s="664"/>
      <c r="KND1737" s="664"/>
      <c r="KNE1737" s="630"/>
      <c r="KNF1737" s="631"/>
      <c r="KNG1737" s="655"/>
      <c r="KNH1737" s="734" t="s">
        <v>0</v>
      </c>
      <c r="KNI1737" s="735" t="s">
        <v>1690</v>
      </c>
      <c r="KNJ1737" s="843" t="e">
        <f>#REF!</f>
        <v>#REF!</v>
      </c>
      <c r="KNK1737" s="662" t="s">
        <v>799</v>
      </c>
      <c r="KNL1737" s="663" t="s">
        <v>628</v>
      </c>
      <c r="KNM1737" s="633"/>
      <c r="KNN1737" s="664"/>
      <c r="KNO1737" s="664"/>
      <c r="KNP1737" s="664"/>
      <c r="KNQ1737" s="664"/>
      <c r="KNR1737" s="664"/>
      <c r="KNS1737" s="664"/>
      <c r="KNT1737" s="664"/>
      <c r="KNU1737" s="630"/>
      <c r="KNV1737" s="631"/>
      <c r="KNW1737" s="655"/>
      <c r="KNX1737" s="734" t="s">
        <v>0</v>
      </c>
      <c r="KNY1737" s="735" t="s">
        <v>1690</v>
      </c>
      <c r="KNZ1737" s="843" t="e">
        <f>#REF!</f>
        <v>#REF!</v>
      </c>
      <c r="KOA1737" s="662" t="s">
        <v>799</v>
      </c>
      <c r="KOB1737" s="663" t="s">
        <v>628</v>
      </c>
      <c r="KOC1737" s="633"/>
      <c r="KOD1737" s="664"/>
      <c r="KOE1737" s="664"/>
      <c r="KOF1737" s="664"/>
      <c r="KOG1737" s="664"/>
      <c r="KOH1737" s="664"/>
      <c r="KOI1737" s="664"/>
      <c r="KOJ1737" s="664"/>
      <c r="KOK1737" s="630"/>
      <c r="KOL1737" s="631"/>
      <c r="KOM1737" s="655"/>
      <c r="KON1737" s="734" t="s">
        <v>0</v>
      </c>
      <c r="KOO1737" s="735" t="s">
        <v>1690</v>
      </c>
      <c r="KOP1737" s="843" t="e">
        <f>#REF!</f>
        <v>#REF!</v>
      </c>
      <c r="KOQ1737" s="662" t="s">
        <v>799</v>
      </c>
      <c r="KOR1737" s="663" t="s">
        <v>628</v>
      </c>
      <c r="KOS1737" s="633"/>
      <c r="KOT1737" s="664"/>
      <c r="KOU1737" s="664"/>
      <c r="KOV1737" s="664"/>
      <c r="KOW1737" s="664"/>
      <c r="KOX1737" s="664"/>
      <c r="KOY1737" s="664"/>
      <c r="KOZ1737" s="664"/>
      <c r="KPA1737" s="630"/>
      <c r="KPB1737" s="631"/>
      <c r="KPC1737" s="655"/>
      <c r="KPD1737" s="734" t="s">
        <v>0</v>
      </c>
      <c r="KPE1737" s="735" t="s">
        <v>1690</v>
      </c>
      <c r="KPF1737" s="843" t="e">
        <f>#REF!</f>
        <v>#REF!</v>
      </c>
      <c r="KPG1737" s="662" t="s">
        <v>799</v>
      </c>
      <c r="KPH1737" s="663" t="s">
        <v>628</v>
      </c>
      <c r="KPI1737" s="633"/>
      <c r="KPJ1737" s="664"/>
      <c r="KPK1737" s="664"/>
      <c r="KPL1737" s="664"/>
      <c r="KPM1737" s="664"/>
      <c r="KPN1737" s="664"/>
      <c r="KPO1737" s="664"/>
      <c r="KPP1737" s="664"/>
      <c r="KPQ1737" s="630"/>
      <c r="KPR1737" s="631"/>
      <c r="KPS1737" s="655"/>
      <c r="KPT1737" s="734" t="s">
        <v>0</v>
      </c>
      <c r="KPU1737" s="735" t="s">
        <v>1690</v>
      </c>
      <c r="KPV1737" s="843" t="e">
        <f>#REF!</f>
        <v>#REF!</v>
      </c>
      <c r="KPW1737" s="662" t="s">
        <v>799</v>
      </c>
      <c r="KPX1737" s="663" t="s">
        <v>628</v>
      </c>
      <c r="KPY1737" s="633"/>
      <c r="KPZ1737" s="664"/>
      <c r="KQA1737" s="664"/>
      <c r="KQB1737" s="664"/>
      <c r="KQC1737" s="664"/>
      <c r="KQD1737" s="664"/>
      <c r="KQE1737" s="664"/>
      <c r="KQF1737" s="664"/>
      <c r="KQG1737" s="630"/>
      <c r="KQH1737" s="631"/>
      <c r="KQI1737" s="655"/>
      <c r="KQJ1737" s="734" t="s">
        <v>0</v>
      </c>
      <c r="KQK1737" s="735" t="s">
        <v>1690</v>
      </c>
      <c r="KQL1737" s="843" t="e">
        <f>#REF!</f>
        <v>#REF!</v>
      </c>
      <c r="KQM1737" s="662" t="s">
        <v>799</v>
      </c>
      <c r="KQN1737" s="663" t="s">
        <v>628</v>
      </c>
      <c r="KQO1737" s="633"/>
      <c r="KQP1737" s="664"/>
      <c r="KQQ1737" s="664"/>
      <c r="KQR1737" s="664"/>
      <c r="KQS1737" s="664"/>
      <c r="KQT1737" s="664"/>
      <c r="KQU1737" s="664"/>
      <c r="KQV1737" s="664"/>
      <c r="KQW1737" s="630"/>
      <c r="KQX1737" s="631"/>
      <c r="KQY1737" s="655"/>
      <c r="KQZ1737" s="734" t="s">
        <v>0</v>
      </c>
      <c r="KRA1737" s="735" t="s">
        <v>1690</v>
      </c>
      <c r="KRB1737" s="843" t="e">
        <f>#REF!</f>
        <v>#REF!</v>
      </c>
      <c r="KRC1737" s="662" t="s">
        <v>799</v>
      </c>
      <c r="KRD1737" s="663" t="s">
        <v>628</v>
      </c>
      <c r="KRE1737" s="633"/>
      <c r="KRF1737" s="664"/>
      <c r="KRG1737" s="664"/>
      <c r="KRH1737" s="664"/>
      <c r="KRI1737" s="664"/>
      <c r="KRJ1737" s="664"/>
      <c r="KRK1737" s="664"/>
      <c r="KRL1737" s="664"/>
      <c r="KRM1737" s="630"/>
      <c r="KRN1737" s="631"/>
      <c r="KRO1737" s="655"/>
      <c r="KRP1737" s="734" t="s">
        <v>0</v>
      </c>
      <c r="KRQ1737" s="735" t="s">
        <v>1690</v>
      </c>
      <c r="KRR1737" s="843" t="e">
        <f>#REF!</f>
        <v>#REF!</v>
      </c>
      <c r="KRS1737" s="662" t="s">
        <v>799</v>
      </c>
      <c r="KRT1737" s="663" t="s">
        <v>628</v>
      </c>
      <c r="KRU1737" s="633"/>
      <c r="KRV1737" s="664"/>
      <c r="KRW1737" s="664"/>
      <c r="KRX1737" s="664"/>
      <c r="KRY1737" s="664"/>
      <c r="KRZ1737" s="664"/>
      <c r="KSA1737" s="664"/>
      <c r="KSB1737" s="664"/>
      <c r="KSC1737" s="630"/>
      <c r="KSD1737" s="631"/>
      <c r="KSE1737" s="655"/>
      <c r="KSF1737" s="734" t="s">
        <v>0</v>
      </c>
      <c r="KSG1737" s="735" t="s">
        <v>1690</v>
      </c>
      <c r="KSH1737" s="843" t="e">
        <f>#REF!</f>
        <v>#REF!</v>
      </c>
      <c r="KSI1737" s="662" t="s">
        <v>799</v>
      </c>
      <c r="KSJ1737" s="663" t="s">
        <v>628</v>
      </c>
      <c r="KSK1737" s="633"/>
      <c r="KSL1737" s="664"/>
      <c r="KSM1737" s="664"/>
      <c r="KSN1737" s="664"/>
      <c r="KSO1737" s="664"/>
      <c r="KSP1737" s="664"/>
      <c r="KSQ1737" s="664"/>
      <c r="KSR1737" s="664"/>
      <c r="KSS1737" s="630"/>
      <c r="KST1737" s="631"/>
      <c r="KSU1737" s="655"/>
      <c r="KSV1737" s="734" t="s">
        <v>0</v>
      </c>
      <c r="KSW1737" s="735" t="s">
        <v>1690</v>
      </c>
      <c r="KSX1737" s="843" t="e">
        <f>#REF!</f>
        <v>#REF!</v>
      </c>
      <c r="KSY1737" s="662" t="s">
        <v>799</v>
      </c>
      <c r="KSZ1737" s="663" t="s">
        <v>628</v>
      </c>
      <c r="KTA1737" s="633"/>
      <c r="KTB1737" s="664"/>
      <c r="KTC1737" s="664"/>
      <c r="KTD1737" s="664"/>
      <c r="KTE1737" s="664"/>
      <c r="KTF1737" s="664"/>
      <c r="KTG1737" s="664"/>
      <c r="KTH1737" s="664"/>
      <c r="KTI1737" s="630"/>
      <c r="KTJ1737" s="631"/>
      <c r="KTK1737" s="655"/>
      <c r="KTL1737" s="734" t="s">
        <v>0</v>
      </c>
      <c r="KTM1737" s="735" t="s">
        <v>1690</v>
      </c>
      <c r="KTN1737" s="843" t="e">
        <f>#REF!</f>
        <v>#REF!</v>
      </c>
      <c r="KTO1737" s="662" t="s">
        <v>799</v>
      </c>
      <c r="KTP1737" s="663" t="s">
        <v>628</v>
      </c>
      <c r="KTQ1737" s="633"/>
      <c r="KTR1737" s="664"/>
      <c r="KTS1737" s="664"/>
      <c r="KTT1737" s="664"/>
      <c r="KTU1737" s="664"/>
      <c r="KTV1737" s="664"/>
      <c r="KTW1737" s="664"/>
      <c r="KTX1737" s="664"/>
      <c r="KTY1737" s="630"/>
      <c r="KTZ1737" s="631"/>
      <c r="KUA1737" s="655"/>
      <c r="KUB1737" s="734" t="s">
        <v>0</v>
      </c>
      <c r="KUC1737" s="735" t="s">
        <v>1690</v>
      </c>
      <c r="KUD1737" s="843" t="e">
        <f>#REF!</f>
        <v>#REF!</v>
      </c>
      <c r="KUE1737" s="662" t="s">
        <v>799</v>
      </c>
      <c r="KUF1737" s="663" t="s">
        <v>628</v>
      </c>
      <c r="KUG1737" s="633"/>
      <c r="KUH1737" s="664"/>
      <c r="KUI1737" s="664"/>
      <c r="KUJ1737" s="664"/>
      <c r="KUK1737" s="664"/>
      <c r="KUL1737" s="664"/>
      <c r="KUM1737" s="664"/>
      <c r="KUN1737" s="664"/>
      <c r="KUO1737" s="630"/>
      <c r="KUP1737" s="631"/>
      <c r="KUQ1737" s="655"/>
      <c r="KUR1737" s="734" t="s">
        <v>0</v>
      </c>
      <c r="KUS1737" s="735" t="s">
        <v>1690</v>
      </c>
      <c r="KUT1737" s="843" t="e">
        <f>#REF!</f>
        <v>#REF!</v>
      </c>
      <c r="KUU1737" s="662" t="s">
        <v>799</v>
      </c>
      <c r="KUV1737" s="663" t="s">
        <v>628</v>
      </c>
      <c r="KUW1737" s="633"/>
      <c r="KUX1737" s="664"/>
      <c r="KUY1737" s="664"/>
      <c r="KUZ1737" s="664"/>
      <c r="KVA1737" s="664"/>
      <c r="KVB1737" s="664"/>
      <c r="KVC1737" s="664"/>
      <c r="KVD1737" s="664"/>
      <c r="KVE1737" s="630"/>
      <c r="KVF1737" s="631"/>
      <c r="KVG1737" s="655"/>
      <c r="KVH1737" s="734" t="s">
        <v>0</v>
      </c>
      <c r="KVI1737" s="735" t="s">
        <v>1690</v>
      </c>
      <c r="KVJ1737" s="843" t="e">
        <f>#REF!</f>
        <v>#REF!</v>
      </c>
      <c r="KVK1737" s="662" t="s">
        <v>799</v>
      </c>
      <c r="KVL1737" s="663" t="s">
        <v>628</v>
      </c>
      <c r="KVM1737" s="633"/>
      <c r="KVN1737" s="664"/>
      <c r="KVO1737" s="664"/>
      <c r="KVP1737" s="664"/>
      <c r="KVQ1737" s="664"/>
      <c r="KVR1737" s="664"/>
      <c r="KVS1737" s="664"/>
      <c r="KVT1737" s="664"/>
      <c r="KVU1737" s="630"/>
      <c r="KVV1737" s="631"/>
      <c r="KVW1737" s="655"/>
      <c r="KVX1737" s="734" t="s">
        <v>0</v>
      </c>
      <c r="KVY1737" s="735" t="s">
        <v>1690</v>
      </c>
      <c r="KVZ1737" s="843" t="e">
        <f>#REF!</f>
        <v>#REF!</v>
      </c>
      <c r="KWA1737" s="662" t="s">
        <v>799</v>
      </c>
      <c r="KWB1737" s="663" t="s">
        <v>628</v>
      </c>
      <c r="KWC1737" s="633"/>
      <c r="KWD1737" s="664"/>
      <c r="KWE1737" s="664"/>
      <c r="KWF1737" s="664"/>
      <c r="KWG1737" s="664"/>
      <c r="KWH1737" s="664"/>
      <c r="KWI1737" s="664"/>
      <c r="KWJ1737" s="664"/>
      <c r="KWK1737" s="630"/>
      <c r="KWL1737" s="631"/>
      <c r="KWM1737" s="655"/>
      <c r="KWN1737" s="734" t="s">
        <v>0</v>
      </c>
      <c r="KWO1737" s="735" t="s">
        <v>1690</v>
      </c>
      <c r="KWP1737" s="843" t="e">
        <f>#REF!</f>
        <v>#REF!</v>
      </c>
      <c r="KWQ1737" s="662" t="s">
        <v>799</v>
      </c>
      <c r="KWR1737" s="663" t="s">
        <v>628</v>
      </c>
      <c r="KWS1737" s="633"/>
      <c r="KWT1737" s="664"/>
      <c r="KWU1737" s="664"/>
      <c r="KWV1737" s="664"/>
      <c r="KWW1737" s="664"/>
      <c r="KWX1737" s="664"/>
      <c r="KWY1737" s="664"/>
      <c r="KWZ1737" s="664"/>
      <c r="KXA1737" s="630"/>
      <c r="KXB1737" s="631"/>
      <c r="KXC1737" s="655"/>
      <c r="KXD1737" s="734" t="s">
        <v>0</v>
      </c>
      <c r="KXE1737" s="735" t="s">
        <v>1690</v>
      </c>
      <c r="KXF1737" s="843" t="e">
        <f>#REF!</f>
        <v>#REF!</v>
      </c>
      <c r="KXG1737" s="662" t="s">
        <v>799</v>
      </c>
      <c r="KXH1737" s="663" t="s">
        <v>628</v>
      </c>
      <c r="KXI1737" s="633"/>
      <c r="KXJ1737" s="664"/>
      <c r="KXK1737" s="664"/>
      <c r="KXL1737" s="664"/>
      <c r="KXM1737" s="664"/>
      <c r="KXN1737" s="664"/>
      <c r="KXO1737" s="664"/>
      <c r="KXP1737" s="664"/>
      <c r="KXQ1737" s="630"/>
      <c r="KXR1737" s="631"/>
      <c r="KXS1737" s="655"/>
      <c r="KXT1737" s="734" t="s">
        <v>0</v>
      </c>
      <c r="KXU1737" s="735" t="s">
        <v>1690</v>
      </c>
      <c r="KXV1737" s="843" t="e">
        <f>#REF!</f>
        <v>#REF!</v>
      </c>
      <c r="KXW1737" s="662" t="s">
        <v>799</v>
      </c>
      <c r="KXX1737" s="663" t="s">
        <v>628</v>
      </c>
      <c r="KXY1737" s="633"/>
      <c r="KXZ1737" s="664"/>
      <c r="KYA1737" s="664"/>
      <c r="KYB1737" s="664"/>
      <c r="KYC1737" s="664"/>
      <c r="KYD1737" s="664"/>
      <c r="KYE1737" s="664"/>
      <c r="KYF1737" s="664"/>
      <c r="KYG1737" s="630"/>
      <c r="KYH1737" s="631"/>
      <c r="KYI1737" s="655"/>
      <c r="KYJ1737" s="734" t="s">
        <v>0</v>
      </c>
      <c r="KYK1737" s="735" t="s">
        <v>1690</v>
      </c>
      <c r="KYL1737" s="843" t="e">
        <f>#REF!</f>
        <v>#REF!</v>
      </c>
      <c r="KYM1737" s="662" t="s">
        <v>799</v>
      </c>
      <c r="KYN1737" s="663" t="s">
        <v>628</v>
      </c>
      <c r="KYO1737" s="633"/>
      <c r="KYP1737" s="664"/>
      <c r="KYQ1737" s="664"/>
      <c r="KYR1737" s="664"/>
      <c r="KYS1737" s="664"/>
      <c r="KYT1737" s="664"/>
      <c r="KYU1737" s="664"/>
      <c r="KYV1737" s="664"/>
      <c r="KYW1737" s="630"/>
      <c r="KYX1737" s="631"/>
      <c r="KYY1737" s="655"/>
      <c r="KYZ1737" s="734" t="s">
        <v>0</v>
      </c>
      <c r="KZA1737" s="735" t="s">
        <v>1690</v>
      </c>
      <c r="KZB1737" s="843" t="e">
        <f>#REF!</f>
        <v>#REF!</v>
      </c>
      <c r="KZC1737" s="662" t="s">
        <v>799</v>
      </c>
      <c r="KZD1737" s="663" t="s">
        <v>628</v>
      </c>
      <c r="KZE1737" s="633"/>
      <c r="KZF1737" s="664"/>
      <c r="KZG1737" s="664"/>
      <c r="KZH1737" s="664"/>
      <c r="KZI1737" s="664"/>
      <c r="KZJ1737" s="664"/>
      <c r="KZK1737" s="664"/>
      <c r="KZL1737" s="664"/>
      <c r="KZM1737" s="630"/>
      <c r="KZN1737" s="631"/>
      <c r="KZO1737" s="655"/>
      <c r="KZP1737" s="734" t="s">
        <v>0</v>
      </c>
      <c r="KZQ1737" s="735" t="s">
        <v>1690</v>
      </c>
      <c r="KZR1737" s="843" t="e">
        <f>#REF!</f>
        <v>#REF!</v>
      </c>
      <c r="KZS1737" s="662" t="s">
        <v>799</v>
      </c>
      <c r="KZT1737" s="663" t="s">
        <v>628</v>
      </c>
      <c r="KZU1737" s="633"/>
      <c r="KZV1737" s="664"/>
      <c r="KZW1737" s="664"/>
      <c r="KZX1737" s="664"/>
      <c r="KZY1737" s="664"/>
      <c r="KZZ1737" s="664"/>
      <c r="LAA1737" s="664"/>
      <c r="LAB1737" s="664"/>
      <c r="LAC1737" s="630"/>
      <c r="LAD1737" s="631"/>
      <c r="LAE1737" s="655"/>
      <c r="LAF1737" s="734" t="s">
        <v>0</v>
      </c>
      <c r="LAG1737" s="735" t="s">
        <v>1690</v>
      </c>
      <c r="LAH1737" s="843" t="e">
        <f>#REF!</f>
        <v>#REF!</v>
      </c>
      <c r="LAI1737" s="662" t="s">
        <v>799</v>
      </c>
      <c r="LAJ1737" s="663" t="s">
        <v>628</v>
      </c>
      <c r="LAK1737" s="633"/>
      <c r="LAL1737" s="664"/>
      <c r="LAM1737" s="664"/>
      <c r="LAN1737" s="664"/>
      <c r="LAO1737" s="664"/>
      <c r="LAP1737" s="664"/>
      <c r="LAQ1737" s="664"/>
      <c r="LAR1737" s="664"/>
      <c r="LAS1737" s="630"/>
      <c r="LAT1737" s="631"/>
      <c r="LAU1737" s="655"/>
      <c r="LAV1737" s="734" t="s">
        <v>0</v>
      </c>
      <c r="LAW1737" s="735" t="s">
        <v>1690</v>
      </c>
      <c r="LAX1737" s="843" t="e">
        <f>#REF!</f>
        <v>#REF!</v>
      </c>
      <c r="LAY1737" s="662" t="s">
        <v>799</v>
      </c>
      <c r="LAZ1737" s="663" t="s">
        <v>628</v>
      </c>
      <c r="LBA1737" s="633"/>
      <c r="LBB1737" s="664"/>
      <c r="LBC1737" s="664"/>
      <c r="LBD1737" s="664"/>
      <c r="LBE1737" s="664"/>
      <c r="LBF1737" s="664"/>
      <c r="LBG1737" s="664"/>
      <c r="LBH1737" s="664"/>
      <c r="LBI1737" s="630"/>
      <c r="LBJ1737" s="631"/>
      <c r="LBK1737" s="655"/>
      <c r="LBL1737" s="734" t="s">
        <v>0</v>
      </c>
      <c r="LBM1737" s="735" t="s">
        <v>1690</v>
      </c>
      <c r="LBN1737" s="843" t="e">
        <f>#REF!</f>
        <v>#REF!</v>
      </c>
      <c r="LBO1737" s="662" t="s">
        <v>799</v>
      </c>
      <c r="LBP1737" s="663" t="s">
        <v>628</v>
      </c>
      <c r="LBQ1737" s="633"/>
      <c r="LBR1737" s="664"/>
      <c r="LBS1737" s="664"/>
      <c r="LBT1737" s="664"/>
      <c r="LBU1737" s="664"/>
      <c r="LBV1737" s="664"/>
      <c r="LBW1737" s="664"/>
      <c r="LBX1737" s="664"/>
      <c r="LBY1737" s="630"/>
      <c r="LBZ1737" s="631"/>
      <c r="LCA1737" s="655"/>
      <c r="LCB1737" s="734" t="s">
        <v>0</v>
      </c>
      <c r="LCC1737" s="735" t="s">
        <v>1690</v>
      </c>
      <c r="LCD1737" s="843" t="e">
        <f>#REF!</f>
        <v>#REF!</v>
      </c>
      <c r="LCE1737" s="662" t="s">
        <v>799</v>
      </c>
      <c r="LCF1737" s="663" t="s">
        <v>628</v>
      </c>
      <c r="LCG1737" s="633"/>
      <c r="LCH1737" s="664"/>
      <c r="LCI1737" s="664"/>
      <c r="LCJ1737" s="664"/>
      <c r="LCK1737" s="664"/>
      <c r="LCL1737" s="664"/>
      <c r="LCM1737" s="664"/>
      <c r="LCN1737" s="664"/>
      <c r="LCO1737" s="630"/>
      <c r="LCP1737" s="631"/>
      <c r="LCQ1737" s="655"/>
      <c r="LCR1737" s="734" t="s">
        <v>0</v>
      </c>
      <c r="LCS1737" s="735" t="s">
        <v>1690</v>
      </c>
      <c r="LCT1737" s="843" t="e">
        <f>#REF!</f>
        <v>#REF!</v>
      </c>
      <c r="LCU1737" s="662" t="s">
        <v>799</v>
      </c>
      <c r="LCV1737" s="663" t="s">
        <v>628</v>
      </c>
      <c r="LCW1737" s="633"/>
      <c r="LCX1737" s="664"/>
      <c r="LCY1737" s="664"/>
      <c r="LCZ1737" s="664"/>
      <c r="LDA1737" s="664"/>
      <c r="LDB1737" s="664"/>
      <c r="LDC1737" s="664"/>
      <c r="LDD1737" s="664"/>
      <c r="LDE1737" s="630"/>
      <c r="LDF1737" s="631"/>
      <c r="LDG1737" s="655"/>
      <c r="LDH1737" s="734" t="s">
        <v>0</v>
      </c>
      <c r="LDI1737" s="735" t="s">
        <v>1690</v>
      </c>
      <c r="LDJ1737" s="843" t="e">
        <f>#REF!</f>
        <v>#REF!</v>
      </c>
      <c r="LDK1737" s="662" t="s">
        <v>799</v>
      </c>
      <c r="LDL1737" s="663" t="s">
        <v>628</v>
      </c>
      <c r="LDM1737" s="633"/>
      <c r="LDN1737" s="664"/>
      <c r="LDO1737" s="664"/>
      <c r="LDP1737" s="664"/>
      <c r="LDQ1737" s="664"/>
      <c r="LDR1737" s="664"/>
      <c r="LDS1737" s="664"/>
      <c r="LDT1737" s="664"/>
      <c r="LDU1737" s="630"/>
      <c r="LDV1737" s="631"/>
      <c r="LDW1737" s="655"/>
      <c r="LDX1737" s="734" t="s">
        <v>0</v>
      </c>
      <c r="LDY1737" s="735" t="s">
        <v>1690</v>
      </c>
      <c r="LDZ1737" s="843" t="e">
        <f>#REF!</f>
        <v>#REF!</v>
      </c>
      <c r="LEA1737" s="662" t="s">
        <v>799</v>
      </c>
      <c r="LEB1737" s="663" t="s">
        <v>628</v>
      </c>
      <c r="LEC1737" s="633"/>
      <c r="LED1737" s="664"/>
      <c r="LEE1737" s="664"/>
      <c r="LEF1737" s="664"/>
      <c r="LEG1737" s="664"/>
      <c r="LEH1737" s="664"/>
      <c r="LEI1737" s="664"/>
      <c r="LEJ1737" s="664"/>
      <c r="LEK1737" s="630"/>
      <c r="LEL1737" s="631"/>
      <c r="LEM1737" s="655"/>
      <c r="LEN1737" s="734" t="s">
        <v>0</v>
      </c>
      <c r="LEO1737" s="735" t="s">
        <v>1690</v>
      </c>
      <c r="LEP1737" s="843" t="e">
        <f>#REF!</f>
        <v>#REF!</v>
      </c>
      <c r="LEQ1737" s="662" t="s">
        <v>799</v>
      </c>
      <c r="LER1737" s="663" t="s">
        <v>628</v>
      </c>
      <c r="LES1737" s="633"/>
      <c r="LET1737" s="664"/>
      <c r="LEU1737" s="664"/>
      <c r="LEV1737" s="664"/>
      <c r="LEW1737" s="664"/>
      <c r="LEX1737" s="664"/>
      <c r="LEY1737" s="664"/>
      <c r="LEZ1737" s="664"/>
      <c r="LFA1737" s="630"/>
      <c r="LFB1737" s="631"/>
      <c r="LFC1737" s="655"/>
      <c r="LFD1737" s="734" t="s">
        <v>0</v>
      </c>
      <c r="LFE1737" s="735" t="s">
        <v>1690</v>
      </c>
      <c r="LFF1737" s="843" t="e">
        <f>#REF!</f>
        <v>#REF!</v>
      </c>
      <c r="LFG1737" s="662" t="s">
        <v>799</v>
      </c>
      <c r="LFH1737" s="663" t="s">
        <v>628</v>
      </c>
      <c r="LFI1737" s="633"/>
      <c r="LFJ1737" s="664"/>
      <c r="LFK1737" s="664"/>
      <c r="LFL1737" s="664"/>
      <c r="LFM1737" s="664"/>
      <c r="LFN1737" s="664"/>
      <c r="LFO1737" s="664"/>
      <c r="LFP1737" s="664"/>
      <c r="LFQ1737" s="630"/>
      <c r="LFR1737" s="631"/>
      <c r="LFS1737" s="655"/>
      <c r="LFT1737" s="734" t="s">
        <v>0</v>
      </c>
      <c r="LFU1737" s="735" t="s">
        <v>1690</v>
      </c>
      <c r="LFV1737" s="843" t="e">
        <f>#REF!</f>
        <v>#REF!</v>
      </c>
      <c r="LFW1737" s="662" t="s">
        <v>799</v>
      </c>
      <c r="LFX1737" s="663" t="s">
        <v>628</v>
      </c>
      <c r="LFY1737" s="633"/>
      <c r="LFZ1737" s="664"/>
      <c r="LGA1737" s="664"/>
      <c r="LGB1737" s="664"/>
      <c r="LGC1737" s="664"/>
      <c r="LGD1737" s="664"/>
      <c r="LGE1737" s="664"/>
      <c r="LGF1737" s="664"/>
      <c r="LGG1737" s="630"/>
      <c r="LGH1737" s="631"/>
      <c r="LGI1737" s="655"/>
      <c r="LGJ1737" s="734" t="s">
        <v>0</v>
      </c>
      <c r="LGK1737" s="735" t="s">
        <v>1690</v>
      </c>
      <c r="LGL1737" s="843" t="e">
        <f>#REF!</f>
        <v>#REF!</v>
      </c>
      <c r="LGM1737" s="662" t="s">
        <v>799</v>
      </c>
      <c r="LGN1737" s="663" t="s">
        <v>628</v>
      </c>
      <c r="LGO1737" s="633"/>
      <c r="LGP1737" s="664"/>
      <c r="LGQ1737" s="664"/>
      <c r="LGR1737" s="664"/>
      <c r="LGS1737" s="664"/>
      <c r="LGT1737" s="664"/>
      <c r="LGU1737" s="664"/>
      <c r="LGV1737" s="664"/>
      <c r="LGW1737" s="630"/>
      <c r="LGX1737" s="631"/>
      <c r="LGY1737" s="655"/>
      <c r="LGZ1737" s="734" t="s">
        <v>0</v>
      </c>
      <c r="LHA1737" s="735" t="s">
        <v>1690</v>
      </c>
      <c r="LHB1737" s="843" t="e">
        <f>#REF!</f>
        <v>#REF!</v>
      </c>
      <c r="LHC1737" s="662" t="s">
        <v>799</v>
      </c>
      <c r="LHD1737" s="663" t="s">
        <v>628</v>
      </c>
      <c r="LHE1737" s="633"/>
      <c r="LHF1737" s="664"/>
      <c r="LHG1737" s="664"/>
      <c r="LHH1737" s="664"/>
      <c r="LHI1737" s="664"/>
      <c r="LHJ1737" s="664"/>
      <c r="LHK1737" s="664"/>
      <c r="LHL1737" s="664"/>
      <c r="LHM1737" s="630"/>
      <c r="LHN1737" s="631"/>
      <c r="LHO1737" s="655"/>
      <c r="LHP1737" s="734" t="s">
        <v>0</v>
      </c>
      <c r="LHQ1737" s="735" t="s">
        <v>1690</v>
      </c>
      <c r="LHR1737" s="843" t="e">
        <f>#REF!</f>
        <v>#REF!</v>
      </c>
      <c r="LHS1737" s="662" t="s">
        <v>799</v>
      </c>
      <c r="LHT1737" s="663" t="s">
        <v>628</v>
      </c>
      <c r="LHU1737" s="633"/>
      <c r="LHV1737" s="664"/>
      <c r="LHW1737" s="664"/>
      <c r="LHX1737" s="664"/>
      <c r="LHY1737" s="664"/>
      <c r="LHZ1737" s="664"/>
      <c r="LIA1737" s="664"/>
      <c r="LIB1737" s="664"/>
      <c r="LIC1737" s="630"/>
      <c r="LID1737" s="631"/>
      <c r="LIE1737" s="655"/>
      <c r="LIF1737" s="734" t="s">
        <v>0</v>
      </c>
      <c r="LIG1737" s="735" t="s">
        <v>1690</v>
      </c>
      <c r="LIH1737" s="843" t="e">
        <f>#REF!</f>
        <v>#REF!</v>
      </c>
      <c r="LII1737" s="662" t="s">
        <v>799</v>
      </c>
      <c r="LIJ1737" s="663" t="s">
        <v>628</v>
      </c>
      <c r="LIK1737" s="633"/>
      <c r="LIL1737" s="664"/>
      <c r="LIM1737" s="664"/>
      <c r="LIN1737" s="664"/>
      <c r="LIO1737" s="664"/>
      <c r="LIP1737" s="664"/>
      <c r="LIQ1737" s="664"/>
      <c r="LIR1737" s="664"/>
      <c r="LIS1737" s="630"/>
      <c r="LIT1737" s="631"/>
      <c r="LIU1737" s="655"/>
      <c r="LIV1737" s="734" t="s">
        <v>0</v>
      </c>
      <c r="LIW1737" s="735" t="s">
        <v>1690</v>
      </c>
      <c r="LIX1737" s="843" t="e">
        <f>#REF!</f>
        <v>#REF!</v>
      </c>
      <c r="LIY1737" s="662" t="s">
        <v>799</v>
      </c>
      <c r="LIZ1737" s="663" t="s">
        <v>628</v>
      </c>
      <c r="LJA1737" s="633"/>
      <c r="LJB1737" s="664"/>
      <c r="LJC1737" s="664"/>
      <c r="LJD1737" s="664"/>
      <c r="LJE1737" s="664"/>
      <c r="LJF1737" s="664"/>
      <c r="LJG1737" s="664"/>
      <c r="LJH1737" s="664"/>
      <c r="LJI1737" s="630"/>
      <c r="LJJ1737" s="631"/>
      <c r="LJK1737" s="655"/>
      <c r="LJL1737" s="734" t="s">
        <v>0</v>
      </c>
      <c r="LJM1737" s="735" t="s">
        <v>1690</v>
      </c>
      <c r="LJN1737" s="843" t="e">
        <f>#REF!</f>
        <v>#REF!</v>
      </c>
      <c r="LJO1737" s="662" t="s">
        <v>799</v>
      </c>
      <c r="LJP1737" s="663" t="s">
        <v>628</v>
      </c>
      <c r="LJQ1737" s="633"/>
      <c r="LJR1737" s="664"/>
      <c r="LJS1737" s="664"/>
      <c r="LJT1737" s="664"/>
      <c r="LJU1737" s="664"/>
      <c r="LJV1737" s="664"/>
      <c r="LJW1737" s="664"/>
      <c r="LJX1737" s="664"/>
      <c r="LJY1737" s="630"/>
      <c r="LJZ1737" s="631"/>
      <c r="LKA1737" s="655"/>
      <c r="LKB1737" s="734" t="s">
        <v>0</v>
      </c>
      <c r="LKC1737" s="735" t="s">
        <v>1690</v>
      </c>
      <c r="LKD1737" s="843" t="e">
        <f>#REF!</f>
        <v>#REF!</v>
      </c>
      <c r="LKE1737" s="662" t="s">
        <v>799</v>
      </c>
      <c r="LKF1737" s="663" t="s">
        <v>628</v>
      </c>
      <c r="LKG1737" s="633"/>
      <c r="LKH1737" s="664"/>
      <c r="LKI1737" s="664"/>
      <c r="LKJ1737" s="664"/>
      <c r="LKK1737" s="664"/>
      <c r="LKL1737" s="664"/>
      <c r="LKM1737" s="664"/>
      <c r="LKN1737" s="664"/>
      <c r="LKO1737" s="630"/>
      <c r="LKP1737" s="631"/>
      <c r="LKQ1737" s="655"/>
      <c r="LKR1737" s="734" t="s">
        <v>0</v>
      </c>
      <c r="LKS1737" s="735" t="s">
        <v>1690</v>
      </c>
      <c r="LKT1737" s="843" t="e">
        <f>#REF!</f>
        <v>#REF!</v>
      </c>
      <c r="LKU1737" s="662" t="s">
        <v>799</v>
      </c>
      <c r="LKV1737" s="663" t="s">
        <v>628</v>
      </c>
      <c r="LKW1737" s="633"/>
      <c r="LKX1737" s="664"/>
      <c r="LKY1737" s="664"/>
      <c r="LKZ1737" s="664"/>
      <c r="LLA1737" s="664"/>
      <c r="LLB1737" s="664"/>
      <c r="LLC1737" s="664"/>
      <c r="LLD1737" s="664"/>
      <c r="LLE1737" s="630"/>
      <c r="LLF1737" s="631"/>
      <c r="LLG1737" s="655"/>
      <c r="LLH1737" s="734" t="s">
        <v>0</v>
      </c>
      <c r="LLI1737" s="735" t="s">
        <v>1690</v>
      </c>
      <c r="LLJ1737" s="843" t="e">
        <f>#REF!</f>
        <v>#REF!</v>
      </c>
      <c r="LLK1737" s="662" t="s">
        <v>799</v>
      </c>
      <c r="LLL1737" s="663" t="s">
        <v>628</v>
      </c>
      <c r="LLM1737" s="633"/>
      <c r="LLN1737" s="664"/>
      <c r="LLO1737" s="664"/>
      <c r="LLP1737" s="664"/>
      <c r="LLQ1737" s="664"/>
      <c r="LLR1737" s="664"/>
      <c r="LLS1737" s="664"/>
      <c r="LLT1737" s="664"/>
      <c r="LLU1737" s="630"/>
      <c r="LLV1737" s="631"/>
      <c r="LLW1737" s="655"/>
      <c r="LLX1737" s="734" t="s">
        <v>0</v>
      </c>
      <c r="LLY1737" s="735" t="s">
        <v>1690</v>
      </c>
      <c r="LLZ1737" s="843" t="e">
        <f>#REF!</f>
        <v>#REF!</v>
      </c>
      <c r="LMA1737" s="662" t="s">
        <v>799</v>
      </c>
      <c r="LMB1737" s="663" t="s">
        <v>628</v>
      </c>
      <c r="LMC1737" s="633"/>
      <c r="LMD1737" s="664"/>
      <c r="LME1737" s="664"/>
      <c r="LMF1737" s="664"/>
      <c r="LMG1737" s="664"/>
      <c r="LMH1737" s="664"/>
      <c r="LMI1737" s="664"/>
      <c r="LMJ1737" s="664"/>
      <c r="LMK1737" s="630"/>
      <c r="LML1737" s="631"/>
      <c r="LMM1737" s="655"/>
      <c r="LMN1737" s="734" t="s">
        <v>0</v>
      </c>
      <c r="LMO1737" s="735" t="s">
        <v>1690</v>
      </c>
      <c r="LMP1737" s="843" t="e">
        <f>#REF!</f>
        <v>#REF!</v>
      </c>
      <c r="LMQ1737" s="662" t="s">
        <v>799</v>
      </c>
      <c r="LMR1737" s="663" t="s">
        <v>628</v>
      </c>
      <c r="LMS1737" s="633"/>
      <c r="LMT1737" s="664"/>
      <c r="LMU1737" s="664"/>
      <c r="LMV1737" s="664"/>
      <c r="LMW1737" s="664"/>
      <c r="LMX1737" s="664"/>
      <c r="LMY1737" s="664"/>
      <c r="LMZ1737" s="664"/>
      <c r="LNA1737" s="630"/>
      <c r="LNB1737" s="631"/>
      <c r="LNC1737" s="655"/>
      <c r="LND1737" s="734" t="s">
        <v>0</v>
      </c>
      <c r="LNE1737" s="735" t="s">
        <v>1690</v>
      </c>
      <c r="LNF1737" s="843" t="e">
        <f>#REF!</f>
        <v>#REF!</v>
      </c>
      <c r="LNG1737" s="662" t="s">
        <v>799</v>
      </c>
      <c r="LNH1737" s="663" t="s">
        <v>628</v>
      </c>
      <c r="LNI1737" s="633"/>
      <c r="LNJ1737" s="664"/>
      <c r="LNK1737" s="664"/>
      <c r="LNL1737" s="664"/>
      <c r="LNM1737" s="664"/>
      <c r="LNN1737" s="664"/>
      <c r="LNO1737" s="664"/>
      <c r="LNP1737" s="664"/>
      <c r="LNQ1737" s="630"/>
      <c r="LNR1737" s="631"/>
      <c r="LNS1737" s="655"/>
      <c r="LNT1737" s="734" t="s">
        <v>0</v>
      </c>
      <c r="LNU1737" s="735" t="s">
        <v>1690</v>
      </c>
      <c r="LNV1737" s="843" t="e">
        <f>#REF!</f>
        <v>#REF!</v>
      </c>
      <c r="LNW1737" s="662" t="s">
        <v>799</v>
      </c>
      <c r="LNX1737" s="663" t="s">
        <v>628</v>
      </c>
      <c r="LNY1737" s="633"/>
      <c r="LNZ1737" s="664"/>
      <c r="LOA1737" s="664"/>
      <c r="LOB1737" s="664"/>
      <c r="LOC1737" s="664"/>
      <c r="LOD1737" s="664"/>
      <c r="LOE1737" s="664"/>
      <c r="LOF1737" s="664"/>
      <c r="LOG1737" s="630"/>
      <c r="LOH1737" s="631"/>
      <c r="LOI1737" s="655"/>
      <c r="LOJ1737" s="734" t="s">
        <v>0</v>
      </c>
      <c r="LOK1737" s="735" t="s">
        <v>1690</v>
      </c>
      <c r="LOL1737" s="843" t="e">
        <f>#REF!</f>
        <v>#REF!</v>
      </c>
      <c r="LOM1737" s="662" t="s">
        <v>799</v>
      </c>
      <c r="LON1737" s="663" t="s">
        <v>628</v>
      </c>
      <c r="LOO1737" s="633"/>
      <c r="LOP1737" s="664"/>
      <c r="LOQ1737" s="664"/>
      <c r="LOR1737" s="664"/>
      <c r="LOS1737" s="664"/>
      <c r="LOT1737" s="664"/>
      <c r="LOU1737" s="664"/>
      <c r="LOV1737" s="664"/>
      <c r="LOW1737" s="630"/>
      <c r="LOX1737" s="631"/>
      <c r="LOY1737" s="655"/>
      <c r="LOZ1737" s="734" t="s">
        <v>0</v>
      </c>
      <c r="LPA1737" s="735" t="s">
        <v>1690</v>
      </c>
      <c r="LPB1737" s="843" t="e">
        <f>#REF!</f>
        <v>#REF!</v>
      </c>
      <c r="LPC1737" s="662" t="s">
        <v>799</v>
      </c>
      <c r="LPD1737" s="663" t="s">
        <v>628</v>
      </c>
      <c r="LPE1737" s="633"/>
      <c r="LPF1737" s="664"/>
      <c r="LPG1737" s="664"/>
      <c r="LPH1737" s="664"/>
      <c r="LPI1737" s="664"/>
      <c r="LPJ1737" s="664"/>
      <c r="LPK1737" s="664"/>
      <c r="LPL1737" s="664"/>
      <c r="LPM1737" s="630"/>
      <c r="LPN1737" s="631"/>
      <c r="LPO1737" s="655"/>
      <c r="LPP1737" s="734" t="s">
        <v>0</v>
      </c>
      <c r="LPQ1737" s="735" t="s">
        <v>1690</v>
      </c>
      <c r="LPR1737" s="843" t="e">
        <f>#REF!</f>
        <v>#REF!</v>
      </c>
      <c r="LPS1737" s="662" t="s">
        <v>799</v>
      </c>
      <c r="LPT1737" s="663" t="s">
        <v>628</v>
      </c>
      <c r="LPU1737" s="633"/>
      <c r="LPV1737" s="664"/>
      <c r="LPW1737" s="664"/>
      <c r="LPX1737" s="664"/>
      <c r="LPY1737" s="664"/>
      <c r="LPZ1737" s="664"/>
      <c r="LQA1737" s="664"/>
      <c r="LQB1737" s="664"/>
      <c r="LQC1737" s="630"/>
      <c r="LQD1737" s="631"/>
      <c r="LQE1737" s="655"/>
      <c r="LQF1737" s="734" t="s">
        <v>0</v>
      </c>
      <c r="LQG1737" s="735" t="s">
        <v>1690</v>
      </c>
      <c r="LQH1737" s="843" t="e">
        <f>#REF!</f>
        <v>#REF!</v>
      </c>
      <c r="LQI1737" s="662" t="s">
        <v>799</v>
      </c>
      <c r="LQJ1737" s="663" t="s">
        <v>628</v>
      </c>
      <c r="LQK1737" s="633"/>
      <c r="LQL1737" s="664"/>
      <c r="LQM1737" s="664"/>
      <c r="LQN1737" s="664"/>
      <c r="LQO1737" s="664"/>
      <c r="LQP1737" s="664"/>
      <c r="LQQ1737" s="664"/>
      <c r="LQR1737" s="664"/>
      <c r="LQS1737" s="630"/>
      <c r="LQT1737" s="631"/>
      <c r="LQU1737" s="655"/>
      <c r="LQV1737" s="734" t="s">
        <v>0</v>
      </c>
      <c r="LQW1737" s="735" t="s">
        <v>1690</v>
      </c>
      <c r="LQX1737" s="843" t="e">
        <f>#REF!</f>
        <v>#REF!</v>
      </c>
      <c r="LQY1737" s="662" t="s">
        <v>799</v>
      </c>
      <c r="LQZ1737" s="663" t="s">
        <v>628</v>
      </c>
      <c r="LRA1737" s="633"/>
      <c r="LRB1737" s="664"/>
      <c r="LRC1737" s="664"/>
      <c r="LRD1737" s="664"/>
      <c r="LRE1737" s="664"/>
      <c r="LRF1737" s="664"/>
      <c r="LRG1737" s="664"/>
      <c r="LRH1737" s="664"/>
      <c r="LRI1737" s="630"/>
      <c r="LRJ1737" s="631"/>
      <c r="LRK1737" s="655"/>
      <c r="LRL1737" s="734" t="s">
        <v>0</v>
      </c>
      <c r="LRM1737" s="735" t="s">
        <v>1690</v>
      </c>
      <c r="LRN1737" s="843" t="e">
        <f>#REF!</f>
        <v>#REF!</v>
      </c>
      <c r="LRO1737" s="662" t="s">
        <v>799</v>
      </c>
      <c r="LRP1737" s="663" t="s">
        <v>628</v>
      </c>
      <c r="LRQ1737" s="633"/>
      <c r="LRR1737" s="664"/>
      <c r="LRS1737" s="664"/>
      <c r="LRT1737" s="664"/>
      <c r="LRU1737" s="664"/>
      <c r="LRV1737" s="664"/>
      <c r="LRW1737" s="664"/>
      <c r="LRX1737" s="664"/>
      <c r="LRY1737" s="630"/>
      <c r="LRZ1737" s="631"/>
      <c r="LSA1737" s="655"/>
      <c r="LSB1737" s="734" t="s">
        <v>0</v>
      </c>
      <c r="LSC1737" s="735" t="s">
        <v>1690</v>
      </c>
      <c r="LSD1737" s="843" t="e">
        <f>#REF!</f>
        <v>#REF!</v>
      </c>
      <c r="LSE1737" s="662" t="s">
        <v>799</v>
      </c>
      <c r="LSF1737" s="663" t="s">
        <v>628</v>
      </c>
      <c r="LSG1737" s="633"/>
      <c r="LSH1737" s="664"/>
      <c r="LSI1737" s="664"/>
      <c r="LSJ1737" s="664"/>
      <c r="LSK1737" s="664"/>
      <c r="LSL1737" s="664"/>
      <c r="LSM1737" s="664"/>
      <c r="LSN1737" s="664"/>
      <c r="LSO1737" s="630"/>
      <c r="LSP1737" s="631"/>
      <c r="LSQ1737" s="655"/>
      <c r="LSR1737" s="734" t="s">
        <v>0</v>
      </c>
      <c r="LSS1737" s="735" t="s">
        <v>1690</v>
      </c>
      <c r="LST1737" s="843" t="e">
        <f>#REF!</f>
        <v>#REF!</v>
      </c>
      <c r="LSU1737" s="662" t="s">
        <v>799</v>
      </c>
      <c r="LSV1737" s="663" t="s">
        <v>628</v>
      </c>
      <c r="LSW1737" s="633"/>
      <c r="LSX1737" s="664"/>
      <c r="LSY1737" s="664"/>
      <c r="LSZ1737" s="664"/>
      <c r="LTA1737" s="664"/>
      <c r="LTB1737" s="664"/>
      <c r="LTC1737" s="664"/>
      <c r="LTD1737" s="664"/>
      <c r="LTE1737" s="630"/>
      <c r="LTF1737" s="631"/>
      <c r="LTG1737" s="655"/>
      <c r="LTH1737" s="734" t="s">
        <v>0</v>
      </c>
      <c r="LTI1737" s="735" t="s">
        <v>1690</v>
      </c>
      <c r="LTJ1737" s="843" t="e">
        <f>#REF!</f>
        <v>#REF!</v>
      </c>
      <c r="LTK1737" s="662" t="s">
        <v>799</v>
      </c>
      <c r="LTL1737" s="663" t="s">
        <v>628</v>
      </c>
      <c r="LTM1737" s="633"/>
      <c r="LTN1737" s="664"/>
      <c r="LTO1737" s="664"/>
      <c r="LTP1737" s="664"/>
      <c r="LTQ1737" s="664"/>
      <c r="LTR1737" s="664"/>
      <c r="LTS1737" s="664"/>
      <c r="LTT1737" s="664"/>
      <c r="LTU1737" s="630"/>
      <c r="LTV1737" s="631"/>
      <c r="LTW1737" s="655"/>
      <c r="LTX1737" s="734" t="s">
        <v>0</v>
      </c>
      <c r="LTY1737" s="735" t="s">
        <v>1690</v>
      </c>
      <c r="LTZ1737" s="843" t="e">
        <f>#REF!</f>
        <v>#REF!</v>
      </c>
      <c r="LUA1737" s="662" t="s">
        <v>799</v>
      </c>
      <c r="LUB1737" s="663" t="s">
        <v>628</v>
      </c>
      <c r="LUC1737" s="633"/>
      <c r="LUD1737" s="664"/>
      <c r="LUE1737" s="664"/>
      <c r="LUF1737" s="664"/>
      <c r="LUG1737" s="664"/>
      <c r="LUH1737" s="664"/>
      <c r="LUI1737" s="664"/>
      <c r="LUJ1737" s="664"/>
      <c r="LUK1737" s="630"/>
      <c r="LUL1737" s="631"/>
      <c r="LUM1737" s="655"/>
      <c r="LUN1737" s="734" t="s">
        <v>0</v>
      </c>
      <c r="LUO1737" s="735" t="s">
        <v>1690</v>
      </c>
      <c r="LUP1737" s="843" t="e">
        <f>#REF!</f>
        <v>#REF!</v>
      </c>
      <c r="LUQ1737" s="662" t="s">
        <v>799</v>
      </c>
      <c r="LUR1737" s="663" t="s">
        <v>628</v>
      </c>
      <c r="LUS1737" s="633"/>
      <c r="LUT1737" s="664"/>
      <c r="LUU1737" s="664"/>
      <c r="LUV1737" s="664"/>
      <c r="LUW1737" s="664"/>
      <c r="LUX1737" s="664"/>
      <c r="LUY1737" s="664"/>
      <c r="LUZ1737" s="664"/>
      <c r="LVA1737" s="630"/>
      <c r="LVB1737" s="631"/>
      <c r="LVC1737" s="655"/>
      <c r="LVD1737" s="734" t="s">
        <v>0</v>
      </c>
      <c r="LVE1737" s="735" t="s">
        <v>1690</v>
      </c>
      <c r="LVF1737" s="843" t="e">
        <f>#REF!</f>
        <v>#REF!</v>
      </c>
      <c r="LVG1737" s="662" t="s">
        <v>799</v>
      </c>
      <c r="LVH1737" s="663" t="s">
        <v>628</v>
      </c>
      <c r="LVI1737" s="633"/>
      <c r="LVJ1737" s="664"/>
      <c r="LVK1737" s="664"/>
      <c r="LVL1737" s="664"/>
      <c r="LVM1737" s="664"/>
      <c r="LVN1737" s="664"/>
      <c r="LVO1737" s="664"/>
      <c r="LVP1737" s="664"/>
      <c r="LVQ1737" s="630"/>
      <c r="LVR1737" s="631"/>
      <c r="LVS1737" s="655"/>
      <c r="LVT1737" s="734" t="s">
        <v>0</v>
      </c>
      <c r="LVU1737" s="735" t="s">
        <v>1690</v>
      </c>
      <c r="LVV1737" s="843" t="e">
        <f>#REF!</f>
        <v>#REF!</v>
      </c>
      <c r="LVW1737" s="662" t="s">
        <v>799</v>
      </c>
      <c r="LVX1737" s="663" t="s">
        <v>628</v>
      </c>
      <c r="LVY1737" s="633"/>
      <c r="LVZ1737" s="664"/>
      <c r="LWA1737" s="664"/>
      <c r="LWB1737" s="664"/>
      <c r="LWC1737" s="664"/>
      <c r="LWD1737" s="664"/>
      <c r="LWE1737" s="664"/>
      <c r="LWF1737" s="664"/>
      <c r="LWG1737" s="630"/>
      <c r="LWH1737" s="631"/>
      <c r="LWI1737" s="655"/>
      <c r="LWJ1737" s="734" t="s">
        <v>0</v>
      </c>
      <c r="LWK1737" s="735" t="s">
        <v>1690</v>
      </c>
      <c r="LWL1737" s="843" t="e">
        <f>#REF!</f>
        <v>#REF!</v>
      </c>
      <c r="LWM1737" s="662" t="s">
        <v>799</v>
      </c>
      <c r="LWN1737" s="663" t="s">
        <v>628</v>
      </c>
      <c r="LWO1737" s="633"/>
      <c r="LWP1737" s="664"/>
      <c r="LWQ1737" s="664"/>
      <c r="LWR1737" s="664"/>
      <c r="LWS1737" s="664"/>
      <c r="LWT1737" s="664"/>
      <c r="LWU1737" s="664"/>
      <c r="LWV1737" s="664"/>
      <c r="LWW1737" s="630"/>
      <c r="LWX1737" s="631"/>
      <c r="LWY1737" s="655"/>
      <c r="LWZ1737" s="734" t="s">
        <v>0</v>
      </c>
      <c r="LXA1737" s="735" t="s">
        <v>1690</v>
      </c>
      <c r="LXB1737" s="843" t="e">
        <f>#REF!</f>
        <v>#REF!</v>
      </c>
      <c r="LXC1737" s="662" t="s">
        <v>799</v>
      </c>
      <c r="LXD1737" s="663" t="s">
        <v>628</v>
      </c>
      <c r="LXE1737" s="633"/>
      <c r="LXF1737" s="664"/>
      <c r="LXG1737" s="664"/>
      <c r="LXH1737" s="664"/>
      <c r="LXI1737" s="664"/>
      <c r="LXJ1737" s="664"/>
      <c r="LXK1737" s="664"/>
      <c r="LXL1737" s="664"/>
      <c r="LXM1737" s="630"/>
      <c r="LXN1737" s="631"/>
      <c r="LXO1737" s="655"/>
      <c r="LXP1737" s="734" t="s">
        <v>0</v>
      </c>
      <c r="LXQ1737" s="735" t="s">
        <v>1690</v>
      </c>
      <c r="LXR1737" s="843" t="e">
        <f>#REF!</f>
        <v>#REF!</v>
      </c>
      <c r="LXS1737" s="662" t="s">
        <v>799</v>
      </c>
      <c r="LXT1737" s="663" t="s">
        <v>628</v>
      </c>
      <c r="LXU1737" s="633"/>
      <c r="LXV1737" s="664"/>
      <c r="LXW1737" s="664"/>
      <c r="LXX1737" s="664"/>
      <c r="LXY1737" s="664"/>
      <c r="LXZ1737" s="664"/>
      <c r="LYA1737" s="664"/>
      <c r="LYB1737" s="664"/>
      <c r="LYC1737" s="630"/>
      <c r="LYD1737" s="631"/>
      <c r="LYE1737" s="655"/>
      <c r="LYF1737" s="734" t="s">
        <v>0</v>
      </c>
      <c r="LYG1737" s="735" t="s">
        <v>1690</v>
      </c>
      <c r="LYH1737" s="843" t="e">
        <f>#REF!</f>
        <v>#REF!</v>
      </c>
      <c r="LYI1737" s="662" t="s">
        <v>799</v>
      </c>
      <c r="LYJ1737" s="663" t="s">
        <v>628</v>
      </c>
      <c r="LYK1737" s="633"/>
      <c r="LYL1737" s="664"/>
      <c r="LYM1737" s="664"/>
      <c r="LYN1737" s="664"/>
      <c r="LYO1737" s="664"/>
      <c r="LYP1737" s="664"/>
      <c r="LYQ1737" s="664"/>
      <c r="LYR1737" s="664"/>
      <c r="LYS1737" s="630"/>
      <c r="LYT1737" s="631"/>
      <c r="LYU1737" s="655"/>
      <c r="LYV1737" s="734" t="s">
        <v>0</v>
      </c>
      <c r="LYW1737" s="735" t="s">
        <v>1690</v>
      </c>
      <c r="LYX1737" s="843" t="e">
        <f>#REF!</f>
        <v>#REF!</v>
      </c>
      <c r="LYY1737" s="662" t="s">
        <v>799</v>
      </c>
      <c r="LYZ1737" s="663" t="s">
        <v>628</v>
      </c>
      <c r="LZA1737" s="633"/>
      <c r="LZB1737" s="664"/>
      <c r="LZC1737" s="664"/>
      <c r="LZD1737" s="664"/>
      <c r="LZE1737" s="664"/>
      <c r="LZF1737" s="664"/>
      <c r="LZG1737" s="664"/>
      <c r="LZH1737" s="664"/>
      <c r="LZI1737" s="630"/>
      <c r="LZJ1737" s="631"/>
      <c r="LZK1737" s="655"/>
      <c r="LZL1737" s="734" t="s">
        <v>0</v>
      </c>
      <c r="LZM1737" s="735" t="s">
        <v>1690</v>
      </c>
      <c r="LZN1737" s="843" t="e">
        <f>#REF!</f>
        <v>#REF!</v>
      </c>
      <c r="LZO1737" s="662" t="s">
        <v>799</v>
      </c>
      <c r="LZP1737" s="663" t="s">
        <v>628</v>
      </c>
      <c r="LZQ1737" s="633"/>
      <c r="LZR1737" s="664"/>
      <c r="LZS1737" s="664"/>
      <c r="LZT1737" s="664"/>
      <c r="LZU1737" s="664"/>
      <c r="LZV1737" s="664"/>
      <c r="LZW1737" s="664"/>
      <c r="LZX1737" s="664"/>
      <c r="LZY1737" s="630"/>
      <c r="LZZ1737" s="631"/>
      <c r="MAA1737" s="655"/>
      <c r="MAB1737" s="734" t="s">
        <v>0</v>
      </c>
      <c r="MAC1737" s="735" t="s">
        <v>1690</v>
      </c>
      <c r="MAD1737" s="843" t="e">
        <f>#REF!</f>
        <v>#REF!</v>
      </c>
      <c r="MAE1737" s="662" t="s">
        <v>799</v>
      </c>
      <c r="MAF1737" s="663" t="s">
        <v>628</v>
      </c>
      <c r="MAG1737" s="633"/>
      <c r="MAH1737" s="664"/>
      <c r="MAI1737" s="664"/>
      <c r="MAJ1737" s="664"/>
      <c r="MAK1737" s="664"/>
      <c r="MAL1737" s="664"/>
      <c r="MAM1737" s="664"/>
      <c r="MAN1737" s="664"/>
      <c r="MAO1737" s="630"/>
      <c r="MAP1737" s="631"/>
      <c r="MAQ1737" s="655"/>
      <c r="MAR1737" s="734" t="s">
        <v>0</v>
      </c>
      <c r="MAS1737" s="735" t="s">
        <v>1690</v>
      </c>
      <c r="MAT1737" s="843" t="e">
        <f>#REF!</f>
        <v>#REF!</v>
      </c>
      <c r="MAU1737" s="662" t="s">
        <v>799</v>
      </c>
      <c r="MAV1737" s="663" t="s">
        <v>628</v>
      </c>
      <c r="MAW1737" s="633"/>
      <c r="MAX1737" s="664"/>
      <c r="MAY1737" s="664"/>
      <c r="MAZ1737" s="664"/>
      <c r="MBA1737" s="664"/>
      <c r="MBB1737" s="664"/>
      <c r="MBC1737" s="664"/>
      <c r="MBD1737" s="664"/>
      <c r="MBE1737" s="630"/>
      <c r="MBF1737" s="631"/>
      <c r="MBG1737" s="655"/>
      <c r="MBH1737" s="734" t="s">
        <v>0</v>
      </c>
      <c r="MBI1737" s="735" t="s">
        <v>1690</v>
      </c>
      <c r="MBJ1737" s="843" t="e">
        <f>#REF!</f>
        <v>#REF!</v>
      </c>
      <c r="MBK1737" s="662" t="s">
        <v>799</v>
      </c>
      <c r="MBL1737" s="663" t="s">
        <v>628</v>
      </c>
      <c r="MBM1737" s="633"/>
      <c r="MBN1737" s="664"/>
      <c r="MBO1737" s="664"/>
      <c r="MBP1737" s="664"/>
      <c r="MBQ1737" s="664"/>
      <c r="MBR1737" s="664"/>
      <c r="MBS1737" s="664"/>
      <c r="MBT1737" s="664"/>
      <c r="MBU1737" s="630"/>
      <c r="MBV1737" s="631"/>
      <c r="MBW1737" s="655"/>
      <c r="MBX1737" s="734" t="s">
        <v>0</v>
      </c>
      <c r="MBY1737" s="735" t="s">
        <v>1690</v>
      </c>
      <c r="MBZ1737" s="843" t="e">
        <f>#REF!</f>
        <v>#REF!</v>
      </c>
      <c r="MCA1737" s="662" t="s">
        <v>799</v>
      </c>
      <c r="MCB1737" s="663" t="s">
        <v>628</v>
      </c>
      <c r="MCC1737" s="633"/>
      <c r="MCD1737" s="664"/>
      <c r="MCE1737" s="664"/>
      <c r="MCF1737" s="664"/>
      <c r="MCG1737" s="664"/>
      <c r="MCH1737" s="664"/>
      <c r="MCI1737" s="664"/>
      <c r="MCJ1737" s="664"/>
      <c r="MCK1737" s="630"/>
      <c r="MCL1737" s="631"/>
      <c r="MCM1737" s="655"/>
      <c r="MCN1737" s="734" t="s">
        <v>0</v>
      </c>
      <c r="MCO1737" s="735" t="s">
        <v>1690</v>
      </c>
      <c r="MCP1737" s="843" t="e">
        <f>#REF!</f>
        <v>#REF!</v>
      </c>
      <c r="MCQ1737" s="662" t="s">
        <v>799</v>
      </c>
      <c r="MCR1737" s="663" t="s">
        <v>628</v>
      </c>
      <c r="MCS1737" s="633"/>
      <c r="MCT1737" s="664"/>
      <c r="MCU1737" s="664"/>
      <c r="MCV1737" s="664"/>
      <c r="MCW1737" s="664"/>
      <c r="MCX1737" s="664"/>
      <c r="MCY1737" s="664"/>
      <c r="MCZ1737" s="664"/>
      <c r="MDA1737" s="630"/>
      <c r="MDB1737" s="631"/>
      <c r="MDC1737" s="655"/>
      <c r="MDD1737" s="734" t="s">
        <v>0</v>
      </c>
      <c r="MDE1737" s="735" t="s">
        <v>1690</v>
      </c>
      <c r="MDF1737" s="843" t="e">
        <f>#REF!</f>
        <v>#REF!</v>
      </c>
      <c r="MDG1737" s="662" t="s">
        <v>799</v>
      </c>
      <c r="MDH1737" s="663" t="s">
        <v>628</v>
      </c>
      <c r="MDI1737" s="633"/>
      <c r="MDJ1737" s="664"/>
      <c r="MDK1737" s="664"/>
      <c r="MDL1737" s="664"/>
      <c r="MDM1737" s="664"/>
      <c r="MDN1737" s="664"/>
      <c r="MDO1737" s="664"/>
      <c r="MDP1737" s="664"/>
      <c r="MDQ1737" s="630"/>
      <c r="MDR1737" s="631"/>
      <c r="MDS1737" s="655"/>
      <c r="MDT1737" s="734" t="s">
        <v>0</v>
      </c>
      <c r="MDU1737" s="735" t="s">
        <v>1690</v>
      </c>
      <c r="MDV1737" s="843" t="e">
        <f>#REF!</f>
        <v>#REF!</v>
      </c>
      <c r="MDW1737" s="662" t="s">
        <v>799</v>
      </c>
      <c r="MDX1737" s="663" t="s">
        <v>628</v>
      </c>
      <c r="MDY1737" s="633"/>
      <c r="MDZ1737" s="664"/>
      <c r="MEA1737" s="664"/>
      <c r="MEB1737" s="664"/>
      <c r="MEC1737" s="664"/>
      <c r="MED1737" s="664"/>
      <c r="MEE1737" s="664"/>
      <c r="MEF1737" s="664"/>
      <c r="MEG1737" s="630"/>
      <c r="MEH1737" s="631"/>
      <c r="MEI1737" s="655"/>
      <c r="MEJ1737" s="734" t="s">
        <v>0</v>
      </c>
      <c r="MEK1737" s="735" t="s">
        <v>1690</v>
      </c>
      <c r="MEL1737" s="843" t="e">
        <f>#REF!</f>
        <v>#REF!</v>
      </c>
      <c r="MEM1737" s="662" t="s">
        <v>799</v>
      </c>
      <c r="MEN1737" s="663" t="s">
        <v>628</v>
      </c>
      <c r="MEO1737" s="633"/>
      <c r="MEP1737" s="664"/>
      <c r="MEQ1737" s="664"/>
      <c r="MER1737" s="664"/>
      <c r="MES1737" s="664"/>
      <c r="MET1737" s="664"/>
      <c r="MEU1737" s="664"/>
      <c r="MEV1737" s="664"/>
      <c r="MEW1737" s="630"/>
      <c r="MEX1737" s="631"/>
      <c r="MEY1737" s="655"/>
      <c r="MEZ1737" s="734" t="s">
        <v>0</v>
      </c>
      <c r="MFA1737" s="735" t="s">
        <v>1690</v>
      </c>
      <c r="MFB1737" s="843" t="e">
        <f>#REF!</f>
        <v>#REF!</v>
      </c>
      <c r="MFC1737" s="662" t="s">
        <v>799</v>
      </c>
      <c r="MFD1737" s="663" t="s">
        <v>628</v>
      </c>
      <c r="MFE1737" s="633"/>
      <c r="MFF1737" s="664"/>
      <c r="MFG1737" s="664"/>
      <c r="MFH1737" s="664"/>
      <c r="MFI1737" s="664"/>
      <c r="MFJ1737" s="664"/>
      <c r="MFK1737" s="664"/>
      <c r="MFL1737" s="664"/>
      <c r="MFM1737" s="630"/>
      <c r="MFN1737" s="631"/>
      <c r="MFO1737" s="655"/>
      <c r="MFP1737" s="734" t="s">
        <v>0</v>
      </c>
      <c r="MFQ1737" s="735" t="s">
        <v>1690</v>
      </c>
      <c r="MFR1737" s="843" t="e">
        <f>#REF!</f>
        <v>#REF!</v>
      </c>
      <c r="MFS1737" s="662" t="s">
        <v>799</v>
      </c>
      <c r="MFT1737" s="663" t="s">
        <v>628</v>
      </c>
      <c r="MFU1737" s="633"/>
      <c r="MFV1737" s="664"/>
      <c r="MFW1737" s="664"/>
      <c r="MFX1737" s="664"/>
      <c r="MFY1737" s="664"/>
      <c r="MFZ1737" s="664"/>
      <c r="MGA1737" s="664"/>
      <c r="MGB1737" s="664"/>
      <c r="MGC1737" s="630"/>
      <c r="MGD1737" s="631"/>
      <c r="MGE1737" s="655"/>
      <c r="MGF1737" s="734" t="s">
        <v>0</v>
      </c>
      <c r="MGG1737" s="735" t="s">
        <v>1690</v>
      </c>
      <c r="MGH1737" s="843" t="e">
        <f>#REF!</f>
        <v>#REF!</v>
      </c>
      <c r="MGI1737" s="662" t="s">
        <v>799</v>
      </c>
      <c r="MGJ1737" s="663" t="s">
        <v>628</v>
      </c>
      <c r="MGK1737" s="633"/>
      <c r="MGL1737" s="664"/>
      <c r="MGM1737" s="664"/>
      <c r="MGN1737" s="664"/>
      <c r="MGO1737" s="664"/>
      <c r="MGP1737" s="664"/>
      <c r="MGQ1737" s="664"/>
      <c r="MGR1737" s="664"/>
      <c r="MGS1737" s="630"/>
      <c r="MGT1737" s="631"/>
      <c r="MGU1737" s="655"/>
      <c r="MGV1737" s="734" t="s">
        <v>0</v>
      </c>
      <c r="MGW1737" s="735" t="s">
        <v>1690</v>
      </c>
      <c r="MGX1737" s="843" t="e">
        <f>#REF!</f>
        <v>#REF!</v>
      </c>
      <c r="MGY1737" s="662" t="s">
        <v>799</v>
      </c>
      <c r="MGZ1737" s="663" t="s">
        <v>628</v>
      </c>
      <c r="MHA1737" s="633"/>
      <c r="MHB1737" s="664"/>
      <c r="MHC1737" s="664"/>
      <c r="MHD1737" s="664"/>
      <c r="MHE1737" s="664"/>
      <c r="MHF1737" s="664"/>
      <c r="MHG1737" s="664"/>
      <c r="MHH1737" s="664"/>
      <c r="MHI1737" s="630"/>
      <c r="MHJ1737" s="631"/>
      <c r="MHK1737" s="655"/>
      <c r="MHL1737" s="734" t="s">
        <v>0</v>
      </c>
      <c r="MHM1737" s="735" t="s">
        <v>1690</v>
      </c>
      <c r="MHN1737" s="843" t="e">
        <f>#REF!</f>
        <v>#REF!</v>
      </c>
      <c r="MHO1737" s="662" t="s">
        <v>799</v>
      </c>
      <c r="MHP1737" s="663" t="s">
        <v>628</v>
      </c>
      <c r="MHQ1737" s="633"/>
      <c r="MHR1737" s="664"/>
      <c r="MHS1737" s="664"/>
      <c r="MHT1737" s="664"/>
      <c r="MHU1737" s="664"/>
      <c r="MHV1737" s="664"/>
      <c r="MHW1737" s="664"/>
      <c r="MHX1737" s="664"/>
      <c r="MHY1737" s="630"/>
      <c r="MHZ1737" s="631"/>
      <c r="MIA1737" s="655"/>
      <c r="MIB1737" s="734" t="s">
        <v>0</v>
      </c>
      <c r="MIC1737" s="735" t="s">
        <v>1690</v>
      </c>
      <c r="MID1737" s="843" t="e">
        <f>#REF!</f>
        <v>#REF!</v>
      </c>
      <c r="MIE1737" s="662" t="s">
        <v>799</v>
      </c>
      <c r="MIF1737" s="663" t="s">
        <v>628</v>
      </c>
      <c r="MIG1737" s="633"/>
      <c r="MIH1737" s="664"/>
      <c r="MII1737" s="664"/>
      <c r="MIJ1737" s="664"/>
      <c r="MIK1737" s="664"/>
      <c r="MIL1737" s="664"/>
      <c r="MIM1737" s="664"/>
      <c r="MIN1737" s="664"/>
      <c r="MIO1737" s="630"/>
      <c r="MIP1737" s="631"/>
      <c r="MIQ1737" s="655"/>
      <c r="MIR1737" s="734" t="s">
        <v>0</v>
      </c>
      <c r="MIS1737" s="735" t="s">
        <v>1690</v>
      </c>
      <c r="MIT1737" s="843" t="e">
        <f>#REF!</f>
        <v>#REF!</v>
      </c>
      <c r="MIU1737" s="662" t="s">
        <v>799</v>
      </c>
      <c r="MIV1737" s="663" t="s">
        <v>628</v>
      </c>
      <c r="MIW1737" s="633"/>
      <c r="MIX1737" s="664"/>
      <c r="MIY1737" s="664"/>
      <c r="MIZ1737" s="664"/>
      <c r="MJA1737" s="664"/>
      <c r="MJB1737" s="664"/>
      <c r="MJC1737" s="664"/>
      <c r="MJD1737" s="664"/>
      <c r="MJE1737" s="630"/>
      <c r="MJF1737" s="631"/>
      <c r="MJG1737" s="655"/>
      <c r="MJH1737" s="734" t="s">
        <v>0</v>
      </c>
      <c r="MJI1737" s="735" t="s">
        <v>1690</v>
      </c>
      <c r="MJJ1737" s="843" t="e">
        <f>#REF!</f>
        <v>#REF!</v>
      </c>
      <c r="MJK1737" s="662" t="s">
        <v>799</v>
      </c>
      <c r="MJL1737" s="663" t="s">
        <v>628</v>
      </c>
      <c r="MJM1737" s="633"/>
      <c r="MJN1737" s="664"/>
      <c r="MJO1737" s="664"/>
      <c r="MJP1737" s="664"/>
      <c r="MJQ1737" s="664"/>
      <c r="MJR1737" s="664"/>
      <c r="MJS1737" s="664"/>
      <c r="MJT1737" s="664"/>
      <c r="MJU1737" s="630"/>
      <c r="MJV1737" s="631"/>
      <c r="MJW1737" s="655"/>
      <c r="MJX1737" s="734" t="s">
        <v>0</v>
      </c>
      <c r="MJY1737" s="735" t="s">
        <v>1690</v>
      </c>
      <c r="MJZ1737" s="843" t="e">
        <f>#REF!</f>
        <v>#REF!</v>
      </c>
      <c r="MKA1737" s="662" t="s">
        <v>799</v>
      </c>
      <c r="MKB1737" s="663" t="s">
        <v>628</v>
      </c>
      <c r="MKC1737" s="633"/>
      <c r="MKD1737" s="664"/>
      <c r="MKE1737" s="664"/>
      <c r="MKF1737" s="664"/>
      <c r="MKG1737" s="664"/>
      <c r="MKH1737" s="664"/>
      <c r="MKI1737" s="664"/>
      <c r="MKJ1737" s="664"/>
      <c r="MKK1737" s="630"/>
      <c r="MKL1737" s="631"/>
      <c r="MKM1737" s="655"/>
      <c r="MKN1737" s="734" t="s">
        <v>0</v>
      </c>
      <c r="MKO1737" s="735" t="s">
        <v>1690</v>
      </c>
      <c r="MKP1737" s="843" t="e">
        <f>#REF!</f>
        <v>#REF!</v>
      </c>
      <c r="MKQ1737" s="662" t="s">
        <v>799</v>
      </c>
      <c r="MKR1737" s="663" t="s">
        <v>628</v>
      </c>
      <c r="MKS1737" s="633"/>
      <c r="MKT1737" s="664"/>
      <c r="MKU1737" s="664"/>
      <c r="MKV1737" s="664"/>
      <c r="MKW1737" s="664"/>
      <c r="MKX1737" s="664"/>
      <c r="MKY1737" s="664"/>
      <c r="MKZ1737" s="664"/>
      <c r="MLA1737" s="630"/>
      <c r="MLB1737" s="631"/>
      <c r="MLC1737" s="655"/>
      <c r="MLD1737" s="734" t="s">
        <v>0</v>
      </c>
      <c r="MLE1737" s="735" t="s">
        <v>1690</v>
      </c>
      <c r="MLF1737" s="843" t="e">
        <f>#REF!</f>
        <v>#REF!</v>
      </c>
      <c r="MLG1737" s="662" t="s">
        <v>799</v>
      </c>
      <c r="MLH1737" s="663" t="s">
        <v>628</v>
      </c>
      <c r="MLI1737" s="633"/>
      <c r="MLJ1737" s="664"/>
      <c r="MLK1737" s="664"/>
      <c r="MLL1737" s="664"/>
      <c r="MLM1737" s="664"/>
      <c r="MLN1737" s="664"/>
      <c r="MLO1737" s="664"/>
      <c r="MLP1737" s="664"/>
      <c r="MLQ1737" s="630"/>
      <c r="MLR1737" s="631"/>
      <c r="MLS1737" s="655"/>
      <c r="MLT1737" s="734" t="s">
        <v>0</v>
      </c>
      <c r="MLU1737" s="735" t="s">
        <v>1690</v>
      </c>
      <c r="MLV1737" s="843" t="e">
        <f>#REF!</f>
        <v>#REF!</v>
      </c>
      <c r="MLW1737" s="662" t="s">
        <v>799</v>
      </c>
      <c r="MLX1737" s="663" t="s">
        <v>628</v>
      </c>
      <c r="MLY1737" s="633"/>
      <c r="MLZ1737" s="664"/>
      <c r="MMA1737" s="664"/>
      <c r="MMB1737" s="664"/>
      <c r="MMC1737" s="664"/>
      <c r="MMD1737" s="664"/>
      <c r="MME1737" s="664"/>
      <c r="MMF1737" s="664"/>
      <c r="MMG1737" s="630"/>
      <c r="MMH1737" s="631"/>
      <c r="MMI1737" s="655"/>
      <c r="MMJ1737" s="734" t="s">
        <v>0</v>
      </c>
      <c r="MMK1737" s="735" t="s">
        <v>1690</v>
      </c>
      <c r="MML1737" s="843" t="e">
        <f>#REF!</f>
        <v>#REF!</v>
      </c>
      <c r="MMM1737" s="662" t="s">
        <v>799</v>
      </c>
      <c r="MMN1737" s="663" t="s">
        <v>628</v>
      </c>
      <c r="MMO1737" s="633"/>
      <c r="MMP1737" s="664"/>
      <c r="MMQ1737" s="664"/>
      <c r="MMR1737" s="664"/>
      <c r="MMS1737" s="664"/>
      <c r="MMT1737" s="664"/>
      <c r="MMU1737" s="664"/>
      <c r="MMV1737" s="664"/>
      <c r="MMW1737" s="630"/>
      <c r="MMX1737" s="631"/>
      <c r="MMY1737" s="655"/>
      <c r="MMZ1737" s="734" t="s">
        <v>0</v>
      </c>
      <c r="MNA1737" s="735" t="s">
        <v>1690</v>
      </c>
      <c r="MNB1737" s="843" t="e">
        <f>#REF!</f>
        <v>#REF!</v>
      </c>
      <c r="MNC1737" s="662" t="s">
        <v>799</v>
      </c>
      <c r="MND1737" s="663" t="s">
        <v>628</v>
      </c>
      <c r="MNE1737" s="633"/>
      <c r="MNF1737" s="664"/>
      <c r="MNG1737" s="664"/>
      <c r="MNH1737" s="664"/>
      <c r="MNI1737" s="664"/>
      <c r="MNJ1737" s="664"/>
      <c r="MNK1737" s="664"/>
      <c r="MNL1737" s="664"/>
      <c r="MNM1737" s="630"/>
      <c r="MNN1737" s="631"/>
      <c r="MNO1737" s="655"/>
      <c r="MNP1737" s="734" t="s">
        <v>0</v>
      </c>
      <c r="MNQ1737" s="735" t="s">
        <v>1690</v>
      </c>
      <c r="MNR1737" s="843" t="e">
        <f>#REF!</f>
        <v>#REF!</v>
      </c>
      <c r="MNS1737" s="662" t="s">
        <v>799</v>
      </c>
      <c r="MNT1737" s="663" t="s">
        <v>628</v>
      </c>
      <c r="MNU1737" s="633"/>
      <c r="MNV1737" s="664"/>
      <c r="MNW1737" s="664"/>
      <c r="MNX1737" s="664"/>
      <c r="MNY1737" s="664"/>
      <c r="MNZ1737" s="664"/>
      <c r="MOA1737" s="664"/>
      <c r="MOB1737" s="664"/>
      <c r="MOC1737" s="630"/>
      <c r="MOD1737" s="631"/>
      <c r="MOE1737" s="655"/>
      <c r="MOF1737" s="734" t="s">
        <v>0</v>
      </c>
      <c r="MOG1737" s="735" t="s">
        <v>1690</v>
      </c>
      <c r="MOH1737" s="843" t="e">
        <f>#REF!</f>
        <v>#REF!</v>
      </c>
      <c r="MOI1737" s="662" t="s">
        <v>799</v>
      </c>
      <c r="MOJ1737" s="663" t="s">
        <v>628</v>
      </c>
      <c r="MOK1737" s="633"/>
      <c r="MOL1737" s="664"/>
      <c r="MOM1737" s="664"/>
      <c r="MON1737" s="664"/>
      <c r="MOO1737" s="664"/>
      <c r="MOP1737" s="664"/>
      <c r="MOQ1737" s="664"/>
      <c r="MOR1737" s="664"/>
      <c r="MOS1737" s="630"/>
      <c r="MOT1737" s="631"/>
      <c r="MOU1737" s="655"/>
      <c r="MOV1737" s="734" t="s">
        <v>0</v>
      </c>
      <c r="MOW1737" s="735" t="s">
        <v>1690</v>
      </c>
      <c r="MOX1737" s="843" t="e">
        <f>#REF!</f>
        <v>#REF!</v>
      </c>
      <c r="MOY1737" s="662" t="s">
        <v>799</v>
      </c>
      <c r="MOZ1737" s="663" t="s">
        <v>628</v>
      </c>
      <c r="MPA1737" s="633"/>
      <c r="MPB1737" s="664"/>
      <c r="MPC1737" s="664"/>
      <c r="MPD1737" s="664"/>
      <c r="MPE1737" s="664"/>
      <c r="MPF1737" s="664"/>
      <c r="MPG1737" s="664"/>
      <c r="MPH1737" s="664"/>
      <c r="MPI1737" s="630"/>
      <c r="MPJ1737" s="631"/>
      <c r="MPK1737" s="655"/>
      <c r="MPL1737" s="734" t="s">
        <v>0</v>
      </c>
      <c r="MPM1737" s="735" t="s">
        <v>1690</v>
      </c>
      <c r="MPN1737" s="843" t="e">
        <f>#REF!</f>
        <v>#REF!</v>
      </c>
      <c r="MPO1737" s="662" t="s">
        <v>799</v>
      </c>
      <c r="MPP1737" s="663" t="s">
        <v>628</v>
      </c>
      <c r="MPQ1737" s="633"/>
      <c r="MPR1737" s="664"/>
      <c r="MPS1737" s="664"/>
      <c r="MPT1737" s="664"/>
      <c r="MPU1737" s="664"/>
      <c r="MPV1737" s="664"/>
      <c r="MPW1737" s="664"/>
      <c r="MPX1737" s="664"/>
      <c r="MPY1737" s="630"/>
      <c r="MPZ1737" s="631"/>
      <c r="MQA1737" s="655"/>
      <c r="MQB1737" s="734" t="s">
        <v>0</v>
      </c>
      <c r="MQC1737" s="735" t="s">
        <v>1690</v>
      </c>
      <c r="MQD1737" s="843" t="e">
        <f>#REF!</f>
        <v>#REF!</v>
      </c>
      <c r="MQE1737" s="662" t="s">
        <v>799</v>
      </c>
      <c r="MQF1737" s="663" t="s">
        <v>628</v>
      </c>
      <c r="MQG1737" s="633"/>
      <c r="MQH1737" s="664"/>
      <c r="MQI1737" s="664"/>
      <c r="MQJ1737" s="664"/>
      <c r="MQK1737" s="664"/>
      <c r="MQL1737" s="664"/>
      <c r="MQM1737" s="664"/>
      <c r="MQN1737" s="664"/>
      <c r="MQO1737" s="630"/>
      <c r="MQP1737" s="631"/>
      <c r="MQQ1737" s="655"/>
      <c r="MQR1737" s="734" t="s">
        <v>0</v>
      </c>
      <c r="MQS1737" s="735" t="s">
        <v>1690</v>
      </c>
      <c r="MQT1737" s="843" t="e">
        <f>#REF!</f>
        <v>#REF!</v>
      </c>
      <c r="MQU1737" s="662" t="s">
        <v>799</v>
      </c>
      <c r="MQV1737" s="663" t="s">
        <v>628</v>
      </c>
      <c r="MQW1737" s="633"/>
      <c r="MQX1737" s="664"/>
      <c r="MQY1737" s="664"/>
      <c r="MQZ1737" s="664"/>
      <c r="MRA1737" s="664"/>
      <c r="MRB1737" s="664"/>
      <c r="MRC1737" s="664"/>
      <c r="MRD1737" s="664"/>
      <c r="MRE1737" s="630"/>
      <c r="MRF1737" s="631"/>
      <c r="MRG1737" s="655"/>
      <c r="MRH1737" s="734" t="s">
        <v>0</v>
      </c>
      <c r="MRI1737" s="735" t="s">
        <v>1690</v>
      </c>
      <c r="MRJ1737" s="843" t="e">
        <f>#REF!</f>
        <v>#REF!</v>
      </c>
      <c r="MRK1737" s="662" t="s">
        <v>799</v>
      </c>
      <c r="MRL1737" s="663" t="s">
        <v>628</v>
      </c>
      <c r="MRM1737" s="633"/>
      <c r="MRN1737" s="664"/>
      <c r="MRO1737" s="664"/>
      <c r="MRP1737" s="664"/>
      <c r="MRQ1737" s="664"/>
      <c r="MRR1737" s="664"/>
      <c r="MRS1737" s="664"/>
      <c r="MRT1737" s="664"/>
      <c r="MRU1737" s="630"/>
      <c r="MRV1737" s="631"/>
      <c r="MRW1737" s="655"/>
      <c r="MRX1737" s="734" t="s">
        <v>0</v>
      </c>
      <c r="MRY1737" s="735" t="s">
        <v>1690</v>
      </c>
      <c r="MRZ1737" s="843" t="e">
        <f>#REF!</f>
        <v>#REF!</v>
      </c>
      <c r="MSA1737" s="662" t="s">
        <v>799</v>
      </c>
      <c r="MSB1737" s="663" t="s">
        <v>628</v>
      </c>
      <c r="MSC1737" s="633"/>
      <c r="MSD1737" s="664"/>
      <c r="MSE1737" s="664"/>
      <c r="MSF1737" s="664"/>
      <c r="MSG1737" s="664"/>
      <c r="MSH1737" s="664"/>
      <c r="MSI1737" s="664"/>
      <c r="MSJ1737" s="664"/>
      <c r="MSK1737" s="630"/>
      <c r="MSL1737" s="631"/>
      <c r="MSM1737" s="655"/>
      <c r="MSN1737" s="734" t="s">
        <v>0</v>
      </c>
      <c r="MSO1737" s="735" t="s">
        <v>1690</v>
      </c>
      <c r="MSP1737" s="843" t="e">
        <f>#REF!</f>
        <v>#REF!</v>
      </c>
      <c r="MSQ1737" s="662" t="s">
        <v>799</v>
      </c>
      <c r="MSR1737" s="663" t="s">
        <v>628</v>
      </c>
      <c r="MSS1737" s="633"/>
      <c r="MST1737" s="664"/>
      <c r="MSU1737" s="664"/>
      <c r="MSV1737" s="664"/>
      <c r="MSW1737" s="664"/>
      <c r="MSX1737" s="664"/>
      <c r="MSY1737" s="664"/>
      <c r="MSZ1737" s="664"/>
      <c r="MTA1737" s="630"/>
      <c r="MTB1737" s="631"/>
      <c r="MTC1737" s="655"/>
      <c r="MTD1737" s="734" t="s">
        <v>0</v>
      </c>
      <c r="MTE1737" s="735" t="s">
        <v>1690</v>
      </c>
      <c r="MTF1737" s="843" t="e">
        <f>#REF!</f>
        <v>#REF!</v>
      </c>
      <c r="MTG1737" s="662" t="s">
        <v>799</v>
      </c>
      <c r="MTH1737" s="663" t="s">
        <v>628</v>
      </c>
      <c r="MTI1737" s="633"/>
      <c r="MTJ1737" s="664"/>
      <c r="MTK1737" s="664"/>
      <c r="MTL1737" s="664"/>
      <c r="MTM1737" s="664"/>
      <c r="MTN1737" s="664"/>
      <c r="MTO1737" s="664"/>
      <c r="MTP1737" s="664"/>
      <c r="MTQ1737" s="630"/>
      <c r="MTR1737" s="631"/>
      <c r="MTS1737" s="655"/>
      <c r="MTT1737" s="734" t="s">
        <v>0</v>
      </c>
      <c r="MTU1737" s="735" t="s">
        <v>1690</v>
      </c>
      <c r="MTV1737" s="843" t="e">
        <f>#REF!</f>
        <v>#REF!</v>
      </c>
      <c r="MTW1737" s="662" t="s">
        <v>799</v>
      </c>
      <c r="MTX1737" s="663" t="s">
        <v>628</v>
      </c>
      <c r="MTY1737" s="633"/>
      <c r="MTZ1737" s="664"/>
      <c r="MUA1737" s="664"/>
      <c r="MUB1737" s="664"/>
      <c r="MUC1737" s="664"/>
      <c r="MUD1737" s="664"/>
      <c r="MUE1737" s="664"/>
      <c r="MUF1737" s="664"/>
      <c r="MUG1737" s="630"/>
      <c r="MUH1737" s="631"/>
      <c r="MUI1737" s="655"/>
      <c r="MUJ1737" s="734" t="s">
        <v>0</v>
      </c>
      <c r="MUK1737" s="735" t="s">
        <v>1690</v>
      </c>
      <c r="MUL1737" s="843" t="e">
        <f>#REF!</f>
        <v>#REF!</v>
      </c>
      <c r="MUM1737" s="662" t="s">
        <v>799</v>
      </c>
      <c r="MUN1737" s="663" t="s">
        <v>628</v>
      </c>
      <c r="MUO1737" s="633"/>
      <c r="MUP1737" s="664"/>
      <c r="MUQ1737" s="664"/>
      <c r="MUR1737" s="664"/>
      <c r="MUS1737" s="664"/>
      <c r="MUT1737" s="664"/>
      <c r="MUU1737" s="664"/>
      <c r="MUV1737" s="664"/>
      <c r="MUW1737" s="630"/>
      <c r="MUX1737" s="631"/>
      <c r="MUY1737" s="655"/>
      <c r="MUZ1737" s="734" t="s">
        <v>0</v>
      </c>
      <c r="MVA1737" s="735" t="s">
        <v>1690</v>
      </c>
      <c r="MVB1737" s="843" t="e">
        <f>#REF!</f>
        <v>#REF!</v>
      </c>
      <c r="MVC1737" s="662" t="s">
        <v>799</v>
      </c>
      <c r="MVD1737" s="663" t="s">
        <v>628</v>
      </c>
      <c r="MVE1737" s="633"/>
      <c r="MVF1737" s="664"/>
      <c r="MVG1737" s="664"/>
      <c r="MVH1737" s="664"/>
      <c r="MVI1737" s="664"/>
      <c r="MVJ1737" s="664"/>
      <c r="MVK1737" s="664"/>
      <c r="MVL1737" s="664"/>
      <c r="MVM1737" s="630"/>
      <c r="MVN1737" s="631"/>
      <c r="MVO1737" s="655"/>
      <c r="MVP1737" s="734" t="s">
        <v>0</v>
      </c>
      <c r="MVQ1737" s="735" t="s">
        <v>1690</v>
      </c>
      <c r="MVR1737" s="843" t="e">
        <f>#REF!</f>
        <v>#REF!</v>
      </c>
      <c r="MVS1737" s="662" t="s">
        <v>799</v>
      </c>
      <c r="MVT1737" s="663" t="s">
        <v>628</v>
      </c>
      <c r="MVU1737" s="633"/>
      <c r="MVV1737" s="664"/>
      <c r="MVW1737" s="664"/>
      <c r="MVX1737" s="664"/>
      <c r="MVY1737" s="664"/>
      <c r="MVZ1737" s="664"/>
      <c r="MWA1737" s="664"/>
      <c r="MWB1737" s="664"/>
      <c r="MWC1737" s="630"/>
      <c r="MWD1737" s="631"/>
      <c r="MWE1737" s="655"/>
      <c r="MWF1737" s="734" t="s">
        <v>0</v>
      </c>
      <c r="MWG1737" s="735" t="s">
        <v>1690</v>
      </c>
      <c r="MWH1737" s="843" t="e">
        <f>#REF!</f>
        <v>#REF!</v>
      </c>
      <c r="MWI1737" s="662" t="s">
        <v>799</v>
      </c>
      <c r="MWJ1737" s="663" t="s">
        <v>628</v>
      </c>
      <c r="MWK1737" s="633"/>
      <c r="MWL1737" s="664"/>
      <c r="MWM1737" s="664"/>
      <c r="MWN1737" s="664"/>
      <c r="MWO1737" s="664"/>
      <c r="MWP1737" s="664"/>
      <c r="MWQ1737" s="664"/>
      <c r="MWR1737" s="664"/>
      <c r="MWS1737" s="630"/>
      <c r="MWT1737" s="631"/>
      <c r="MWU1737" s="655"/>
      <c r="MWV1737" s="734" t="s">
        <v>0</v>
      </c>
      <c r="MWW1737" s="735" t="s">
        <v>1690</v>
      </c>
      <c r="MWX1737" s="843" t="e">
        <f>#REF!</f>
        <v>#REF!</v>
      </c>
      <c r="MWY1737" s="662" t="s">
        <v>799</v>
      </c>
      <c r="MWZ1737" s="663" t="s">
        <v>628</v>
      </c>
      <c r="MXA1737" s="633"/>
      <c r="MXB1737" s="664"/>
      <c r="MXC1737" s="664"/>
      <c r="MXD1737" s="664"/>
      <c r="MXE1737" s="664"/>
      <c r="MXF1737" s="664"/>
      <c r="MXG1737" s="664"/>
      <c r="MXH1737" s="664"/>
      <c r="MXI1737" s="630"/>
      <c r="MXJ1737" s="631"/>
      <c r="MXK1737" s="655"/>
      <c r="MXL1737" s="734" t="s">
        <v>0</v>
      </c>
      <c r="MXM1737" s="735" t="s">
        <v>1690</v>
      </c>
      <c r="MXN1737" s="843" t="e">
        <f>#REF!</f>
        <v>#REF!</v>
      </c>
      <c r="MXO1737" s="662" t="s">
        <v>799</v>
      </c>
      <c r="MXP1737" s="663" t="s">
        <v>628</v>
      </c>
      <c r="MXQ1737" s="633"/>
      <c r="MXR1737" s="664"/>
      <c r="MXS1737" s="664"/>
      <c r="MXT1737" s="664"/>
      <c r="MXU1737" s="664"/>
      <c r="MXV1737" s="664"/>
      <c r="MXW1737" s="664"/>
      <c r="MXX1737" s="664"/>
      <c r="MXY1737" s="630"/>
      <c r="MXZ1737" s="631"/>
      <c r="MYA1737" s="655"/>
      <c r="MYB1737" s="734" t="s">
        <v>0</v>
      </c>
      <c r="MYC1737" s="735" t="s">
        <v>1690</v>
      </c>
      <c r="MYD1737" s="843" t="e">
        <f>#REF!</f>
        <v>#REF!</v>
      </c>
      <c r="MYE1737" s="662" t="s">
        <v>799</v>
      </c>
      <c r="MYF1737" s="663" t="s">
        <v>628</v>
      </c>
      <c r="MYG1737" s="633"/>
      <c r="MYH1737" s="664"/>
      <c r="MYI1737" s="664"/>
      <c r="MYJ1737" s="664"/>
      <c r="MYK1737" s="664"/>
      <c r="MYL1737" s="664"/>
      <c r="MYM1737" s="664"/>
      <c r="MYN1737" s="664"/>
      <c r="MYO1737" s="630"/>
      <c r="MYP1737" s="631"/>
      <c r="MYQ1737" s="655"/>
      <c r="MYR1737" s="734" t="s">
        <v>0</v>
      </c>
      <c r="MYS1737" s="735" t="s">
        <v>1690</v>
      </c>
      <c r="MYT1737" s="843" t="e">
        <f>#REF!</f>
        <v>#REF!</v>
      </c>
      <c r="MYU1737" s="662" t="s">
        <v>799</v>
      </c>
      <c r="MYV1737" s="663" t="s">
        <v>628</v>
      </c>
      <c r="MYW1737" s="633"/>
      <c r="MYX1737" s="664"/>
      <c r="MYY1737" s="664"/>
      <c r="MYZ1737" s="664"/>
      <c r="MZA1737" s="664"/>
      <c r="MZB1737" s="664"/>
      <c r="MZC1737" s="664"/>
      <c r="MZD1737" s="664"/>
      <c r="MZE1737" s="630"/>
      <c r="MZF1737" s="631"/>
      <c r="MZG1737" s="655"/>
      <c r="MZH1737" s="734" t="s">
        <v>0</v>
      </c>
      <c r="MZI1737" s="735" t="s">
        <v>1690</v>
      </c>
      <c r="MZJ1737" s="843" t="e">
        <f>#REF!</f>
        <v>#REF!</v>
      </c>
      <c r="MZK1737" s="662" t="s">
        <v>799</v>
      </c>
      <c r="MZL1737" s="663" t="s">
        <v>628</v>
      </c>
      <c r="MZM1737" s="633"/>
      <c r="MZN1737" s="664"/>
      <c r="MZO1737" s="664"/>
      <c r="MZP1737" s="664"/>
      <c r="MZQ1737" s="664"/>
      <c r="MZR1737" s="664"/>
      <c r="MZS1737" s="664"/>
      <c r="MZT1737" s="664"/>
      <c r="MZU1737" s="630"/>
      <c r="MZV1737" s="631"/>
      <c r="MZW1737" s="655"/>
      <c r="MZX1737" s="734" t="s">
        <v>0</v>
      </c>
      <c r="MZY1737" s="735" t="s">
        <v>1690</v>
      </c>
      <c r="MZZ1737" s="843" t="e">
        <f>#REF!</f>
        <v>#REF!</v>
      </c>
      <c r="NAA1737" s="662" t="s">
        <v>799</v>
      </c>
      <c r="NAB1737" s="663" t="s">
        <v>628</v>
      </c>
      <c r="NAC1737" s="633"/>
      <c r="NAD1737" s="664"/>
      <c r="NAE1737" s="664"/>
      <c r="NAF1737" s="664"/>
      <c r="NAG1737" s="664"/>
      <c r="NAH1737" s="664"/>
      <c r="NAI1737" s="664"/>
      <c r="NAJ1737" s="664"/>
      <c r="NAK1737" s="630"/>
      <c r="NAL1737" s="631"/>
      <c r="NAM1737" s="655"/>
      <c r="NAN1737" s="734" t="s">
        <v>0</v>
      </c>
      <c r="NAO1737" s="735" t="s">
        <v>1690</v>
      </c>
      <c r="NAP1737" s="843" t="e">
        <f>#REF!</f>
        <v>#REF!</v>
      </c>
      <c r="NAQ1737" s="662" t="s">
        <v>799</v>
      </c>
      <c r="NAR1737" s="663" t="s">
        <v>628</v>
      </c>
      <c r="NAS1737" s="633"/>
      <c r="NAT1737" s="664"/>
      <c r="NAU1737" s="664"/>
      <c r="NAV1737" s="664"/>
      <c r="NAW1737" s="664"/>
      <c r="NAX1737" s="664"/>
      <c r="NAY1737" s="664"/>
      <c r="NAZ1737" s="664"/>
      <c r="NBA1737" s="630"/>
      <c r="NBB1737" s="631"/>
      <c r="NBC1737" s="655"/>
      <c r="NBD1737" s="734" t="s">
        <v>0</v>
      </c>
      <c r="NBE1737" s="735" t="s">
        <v>1690</v>
      </c>
      <c r="NBF1737" s="843" t="e">
        <f>#REF!</f>
        <v>#REF!</v>
      </c>
      <c r="NBG1737" s="662" t="s">
        <v>799</v>
      </c>
      <c r="NBH1737" s="663" t="s">
        <v>628</v>
      </c>
      <c r="NBI1737" s="633"/>
      <c r="NBJ1737" s="664"/>
      <c r="NBK1737" s="664"/>
      <c r="NBL1737" s="664"/>
      <c r="NBM1737" s="664"/>
      <c r="NBN1737" s="664"/>
      <c r="NBO1737" s="664"/>
      <c r="NBP1737" s="664"/>
      <c r="NBQ1737" s="630"/>
      <c r="NBR1737" s="631"/>
      <c r="NBS1737" s="655"/>
      <c r="NBT1737" s="734" t="s">
        <v>0</v>
      </c>
      <c r="NBU1737" s="735" t="s">
        <v>1690</v>
      </c>
      <c r="NBV1737" s="843" t="e">
        <f>#REF!</f>
        <v>#REF!</v>
      </c>
      <c r="NBW1737" s="662" t="s">
        <v>799</v>
      </c>
      <c r="NBX1737" s="663" t="s">
        <v>628</v>
      </c>
      <c r="NBY1737" s="633"/>
      <c r="NBZ1737" s="664"/>
      <c r="NCA1737" s="664"/>
      <c r="NCB1737" s="664"/>
      <c r="NCC1737" s="664"/>
      <c r="NCD1737" s="664"/>
      <c r="NCE1737" s="664"/>
      <c r="NCF1737" s="664"/>
      <c r="NCG1737" s="630"/>
      <c r="NCH1737" s="631"/>
      <c r="NCI1737" s="655"/>
      <c r="NCJ1737" s="734" t="s">
        <v>0</v>
      </c>
      <c r="NCK1737" s="735" t="s">
        <v>1690</v>
      </c>
      <c r="NCL1737" s="843" t="e">
        <f>#REF!</f>
        <v>#REF!</v>
      </c>
      <c r="NCM1737" s="662" t="s">
        <v>799</v>
      </c>
      <c r="NCN1737" s="663" t="s">
        <v>628</v>
      </c>
      <c r="NCO1737" s="633"/>
      <c r="NCP1737" s="664"/>
      <c r="NCQ1737" s="664"/>
      <c r="NCR1737" s="664"/>
      <c r="NCS1737" s="664"/>
      <c r="NCT1737" s="664"/>
      <c r="NCU1737" s="664"/>
      <c r="NCV1737" s="664"/>
      <c r="NCW1737" s="630"/>
      <c r="NCX1737" s="631"/>
      <c r="NCY1737" s="655"/>
      <c r="NCZ1737" s="734" t="s">
        <v>0</v>
      </c>
      <c r="NDA1737" s="735" t="s">
        <v>1690</v>
      </c>
      <c r="NDB1737" s="843" t="e">
        <f>#REF!</f>
        <v>#REF!</v>
      </c>
      <c r="NDC1737" s="662" t="s">
        <v>799</v>
      </c>
      <c r="NDD1737" s="663" t="s">
        <v>628</v>
      </c>
      <c r="NDE1737" s="633"/>
      <c r="NDF1737" s="664"/>
      <c r="NDG1737" s="664"/>
      <c r="NDH1737" s="664"/>
      <c r="NDI1737" s="664"/>
      <c r="NDJ1737" s="664"/>
      <c r="NDK1737" s="664"/>
      <c r="NDL1737" s="664"/>
      <c r="NDM1737" s="630"/>
      <c r="NDN1737" s="631"/>
      <c r="NDO1737" s="655"/>
      <c r="NDP1737" s="734" t="s">
        <v>0</v>
      </c>
      <c r="NDQ1737" s="735" t="s">
        <v>1690</v>
      </c>
      <c r="NDR1737" s="843" t="e">
        <f>#REF!</f>
        <v>#REF!</v>
      </c>
      <c r="NDS1737" s="662" t="s">
        <v>799</v>
      </c>
      <c r="NDT1737" s="663" t="s">
        <v>628</v>
      </c>
      <c r="NDU1737" s="633"/>
      <c r="NDV1737" s="664"/>
      <c r="NDW1737" s="664"/>
      <c r="NDX1737" s="664"/>
      <c r="NDY1737" s="664"/>
      <c r="NDZ1737" s="664"/>
      <c r="NEA1737" s="664"/>
      <c r="NEB1737" s="664"/>
      <c r="NEC1737" s="630"/>
      <c r="NED1737" s="631"/>
      <c r="NEE1737" s="655"/>
      <c r="NEF1737" s="734" t="s">
        <v>0</v>
      </c>
      <c r="NEG1737" s="735" t="s">
        <v>1690</v>
      </c>
      <c r="NEH1737" s="843" t="e">
        <f>#REF!</f>
        <v>#REF!</v>
      </c>
      <c r="NEI1737" s="662" t="s">
        <v>799</v>
      </c>
      <c r="NEJ1737" s="663" t="s">
        <v>628</v>
      </c>
      <c r="NEK1737" s="633"/>
      <c r="NEL1737" s="664"/>
      <c r="NEM1737" s="664"/>
      <c r="NEN1737" s="664"/>
      <c r="NEO1737" s="664"/>
      <c r="NEP1737" s="664"/>
      <c r="NEQ1737" s="664"/>
      <c r="NER1737" s="664"/>
      <c r="NES1737" s="630"/>
      <c r="NET1737" s="631"/>
      <c r="NEU1737" s="655"/>
      <c r="NEV1737" s="734" t="s">
        <v>0</v>
      </c>
      <c r="NEW1737" s="735" t="s">
        <v>1690</v>
      </c>
      <c r="NEX1737" s="843" t="e">
        <f>#REF!</f>
        <v>#REF!</v>
      </c>
      <c r="NEY1737" s="662" t="s">
        <v>799</v>
      </c>
      <c r="NEZ1737" s="663" t="s">
        <v>628</v>
      </c>
      <c r="NFA1737" s="633"/>
      <c r="NFB1737" s="664"/>
      <c r="NFC1737" s="664"/>
      <c r="NFD1737" s="664"/>
      <c r="NFE1737" s="664"/>
      <c r="NFF1737" s="664"/>
      <c r="NFG1737" s="664"/>
      <c r="NFH1737" s="664"/>
      <c r="NFI1737" s="630"/>
      <c r="NFJ1737" s="631"/>
      <c r="NFK1737" s="655"/>
      <c r="NFL1737" s="734" t="s">
        <v>0</v>
      </c>
      <c r="NFM1737" s="735" t="s">
        <v>1690</v>
      </c>
      <c r="NFN1737" s="843" t="e">
        <f>#REF!</f>
        <v>#REF!</v>
      </c>
      <c r="NFO1737" s="662" t="s">
        <v>799</v>
      </c>
      <c r="NFP1737" s="663" t="s">
        <v>628</v>
      </c>
      <c r="NFQ1737" s="633"/>
      <c r="NFR1737" s="664"/>
      <c r="NFS1737" s="664"/>
      <c r="NFT1737" s="664"/>
      <c r="NFU1737" s="664"/>
      <c r="NFV1737" s="664"/>
      <c r="NFW1737" s="664"/>
      <c r="NFX1737" s="664"/>
      <c r="NFY1737" s="630"/>
      <c r="NFZ1737" s="631"/>
      <c r="NGA1737" s="655"/>
      <c r="NGB1737" s="734" t="s">
        <v>0</v>
      </c>
      <c r="NGC1737" s="735" t="s">
        <v>1690</v>
      </c>
      <c r="NGD1737" s="843" t="e">
        <f>#REF!</f>
        <v>#REF!</v>
      </c>
      <c r="NGE1737" s="662" t="s">
        <v>799</v>
      </c>
      <c r="NGF1737" s="663" t="s">
        <v>628</v>
      </c>
      <c r="NGG1737" s="633"/>
      <c r="NGH1737" s="664"/>
      <c r="NGI1737" s="664"/>
      <c r="NGJ1737" s="664"/>
      <c r="NGK1737" s="664"/>
      <c r="NGL1737" s="664"/>
      <c r="NGM1737" s="664"/>
      <c r="NGN1737" s="664"/>
      <c r="NGO1737" s="630"/>
      <c r="NGP1737" s="631"/>
      <c r="NGQ1737" s="655"/>
      <c r="NGR1737" s="734" t="s">
        <v>0</v>
      </c>
      <c r="NGS1737" s="735" t="s">
        <v>1690</v>
      </c>
      <c r="NGT1737" s="843" t="e">
        <f>#REF!</f>
        <v>#REF!</v>
      </c>
      <c r="NGU1737" s="662" t="s">
        <v>799</v>
      </c>
      <c r="NGV1737" s="663" t="s">
        <v>628</v>
      </c>
      <c r="NGW1737" s="633"/>
      <c r="NGX1737" s="664"/>
      <c r="NGY1737" s="664"/>
      <c r="NGZ1737" s="664"/>
      <c r="NHA1737" s="664"/>
      <c r="NHB1737" s="664"/>
      <c r="NHC1737" s="664"/>
      <c r="NHD1737" s="664"/>
      <c r="NHE1737" s="630"/>
      <c r="NHF1737" s="631"/>
      <c r="NHG1737" s="655"/>
      <c r="NHH1737" s="734" t="s">
        <v>0</v>
      </c>
      <c r="NHI1737" s="735" t="s">
        <v>1690</v>
      </c>
      <c r="NHJ1737" s="843" t="e">
        <f>#REF!</f>
        <v>#REF!</v>
      </c>
      <c r="NHK1737" s="662" t="s">
        <v>799</v>
      </c>
      <c r="NHL1737" s="663" t="s">
        <v>628</v>
      </c>
      <c r="NHM1737" s="633"/>
      <c r="NHN1737" s="664"/>
      <c r="NHO1737" s="664"/>
      <c r="NHP1737" s="664"/>
      <c r="NHQ1737" s="664"/>
      <c r="NHR1737" s="664"/>
      <c r="NHS1737" s="664"/>
      <c r="NHT1737" s="664"/>
      <c r="NHU1737" s="630"/>
      <c r="NHV1737" s="631"/>
      <c r="NHW1737" s="655"/>
      <c r="NHX1737" s="734" t="s">
        <v>0</v>
      </c>
      <c r="NHY1737" s="735" t="s">
        <v>1690</v>
      </c>
      <c r="NHZ1737" s="843" t="e">
        <f>#REF!</f>
        <v>#REF!</v>
      </c>
      <c r="NIA1737" s="662" t="s">
        <v>799</v>
      </c>
      <c r="NIB1737" s="663" t="s">
        <v>628</v>
      </c>
      <c r="NIC1737" s="633"/>
      <c r="NID1737" s="664"/>
      <c r="NIE1737" s="664"/>
      <c r="NIF1737" s="664"/>
      <c r="NIG1737" s="664"/>
      <c r="NIH1737" s="664"/>
      <c r="NII1737" s="664"/>
      <c r="NIJ1737" s="664"/>
      <c r="NIK1737" s="630"/>
      <c r="NIL1737" s="631"/>
      <c r="NIM1737" s="655"/>
      <c r="NIN1737" s="734" t="s">
        <v>0</v>
      </c>
      <c r="NIO1737" s="735" t="s">
        <v>1690</v>
      </c>
      <c r="NIP1737" s="843" t="e">
        <f>#REF!</f>
        <v>#REF!</v>
      </c>
      <c r="NIQ1737" s="662" t="s">
        <v>799</v>
      </c>
      <c r="NIR1737" s="663" t="s">
        <v>628</v>
      </c>
      <c r="NIS1737" s="633"/>
      <c r="NIT1737" s="664"/>
      <c r="NIU1737" s="664"/>
      <c r="NIV1737" s="664"/>
      <c r="NIW1737" s="664"/>
      <c r="NIX1737" s="664"/>
      <c r="NIY1737" s="664"/>
      <c r="NIZ1737" s="664"/>
      <c r="NJA1737" s="630"/>
      <c r="NJB1737" s="631"/>
      <c r="NJC1737" s="655"/>
      <c r="NJD1737" s="734" t="s">
        <v>0</v>
      </c>
      <c r="NJE1737" s="735" t="s">
        <v>1690</v>
      </c>
      <c r="NJF1737" s="843" t="e">
        <f>#REF!</f>
        <v>#REF!</v>
      </c>
      <c r="NJG1737" s="662" t="s">
        <v>799</v>
      </c>
      <c r="NJH1737" s="663" t="s">
        <v>628</v>
      </c>
      <c r="NJI1737" s="633"/>
      <c r="NJJ1737" s="664"/>
      <c r="NJK1737" s="664"/>
      <c r="NJL1737" s="664"/>
      <c r="NJM1737" s="664"/>
      <c r="NJN1737" s="664"/>
      <c r="NJO1737" s="664"/>
      <c r="NJP1737" s="664"/>
      <c r="NJQ1737" s="630"/>
      <c r="NJR1737" s="631"/>
      <c r="NJS1737" s="655"/>
      <c r="NJT1737" s="734" t="s">
        <v>0</v>
      </c>
      <c r="NJU1737" s="735" t="s">
        <v>1690</v>
      </c>
      <c r="NJV1737" s="843" t="e">
        <f>#REF!</f>
        <v>#REF!</v>
      </c>
      <c r="NJW1737" s="662" t="s">
        <v>799</v>
      </c>
      <c r="NJX1737" s="663" t="s">
        <v>628</v>
      </c>
      <c r="NJY1737" s="633"/>
      <c r="NJZ1737" s="664"/>
      <c r="NKA1737" s="664"/>
      <c r="NKB1737" s="664"/>
      <c r="NKC1737" s="664"/>
      <c r="NKD1737" s="664"/>
      <c r="NKE1737" s="664"/>
      <c r="NKF1737" s="664"/>
      <c r="NKG1737" s="630"/>
      <c r="NKH1737" s="631"/>
      <c r="NKI1737" s="655"/>
      <c r="NKJ1737" s="734" t="s">
        <v>0</v>
      </c>
      <c r="NKK1737" s="735" t="s">
        <v>1690</v>
      </c>
      <c r="NKL1737" s="843" t="e">
        <f>#REF!</f>
        <v>#REF!</v>
      </c>
      <c r="NKM1737" s="662" t="s">
        <v>799</v>
      </c>
      <c r="NKN1737" s="663" t="s">
        <v>628</v>
      </c>
      <c r="NKO1737" s="633"/>
      <c r="NKP1737" s="664"/>
      <c r="NKQ1737" s="664"/>
      <c r="NKR1737" s="664"/>
      <c r="NKS1737" s="664"/>
      <c r="NKT1737" s="664"/>
      <c r="NKU1737" s="664"/>
      <c r="NKV1737" s="664"/>
      <c r="NKW1737" s="630"/>
      <c r="NKX1737" s="631"/>
      <c r="NKY1737" s="655"/>
      <c r="NKZ1737" s="734" t="s">
        <v>0</v>
      </c>
      <c r="NLA1737" s="735" t="s">
        <v>1690</v>
      </c>
      <c r="NLB1737" s="843" t="e">
        <f>#REF!</f>
        <v>#REF!</v>
      </c>
      <c r="NLC1737" s="662" t="s">
        <v>799</v>
      </c>
      <c r="NLD1737" s="663" t="s">
        <v>628</v>
      </c>
      <c r="NLE1737" s="633"/>
      <c r="NLF1737" s="664"/>
      <c r="NLG1737" s="664"/>
      <c r="NLH1737" s="664"/>
      <c r="NLI1737" s="664"/>
      <c r="NLJ1737" s="664"/>
      <c r="NLK1737" s="664"/>
      <c r="NLL1737" s="664"/>
      <c r="NLM1737" s="630"/>
      <c r="NLN1737" s="631"/>
      <c r="NLO1737" s="655"/>
      <c r="NLP1737" s="734" t="s">
        <v>0</v>
      </c>
      <c r="NLQ1737" s="735" t="s">
        <v>1690</v>
      </c>
      <c r="NLR1737" s="843" t="e">
        <f>#REF!</f>
        <v>#REF!</v>
      </c>
      <c r="NLS1737" s="662" t="s">
        <v>799</v>
      </c>
      <c r="NLT1737" s="663" t="s">
        <v>628</v>
      </c>
      <c r="NLU1737" s="633"/>
      <c r="NLV1737" s="664"/>
      <c r="NLW1737" s="664"/>
      <c r="NLX1737" s="664"/>
      <c r="NLY1737" s="664"/>
      <c r="NLZ1737" s="664"/>
      <c r="NMA1737" s="664"/>
      <c r="NMB1737" s="664"/>
      <c r="NMC1737" s="630"/>
      <c r="NMD1737" s="631"/>
      <c r="NME1737" s="655"/>
      <c r="NMF1737" s="734" t="s">
        <v>0</v>
      </c>
      <c r="NMG1737" s="735" t="s">
        <v>1690</v>
      </c>
      <c r="NMH1737" s="843" t="e">
        <f>#REF!</f>
        <v>#REF!</v>
      </c>
      <c r="NMI1737" s="662" t="s">
        <v>799</v>
      </c>
      <c r="NMJ1737" s="663" t="s">
        <v>628</v>
      </c>
      <c r="NMK1737" s="633"/>
      <c r="NML1737" s="664"/>
      <c r="NMM1737" s="664"/>
      <c r="NMN1737" s="664"/>
      <c r="NMO1737" s="664"/>
      <c r="NMP1737" s="664"/>
      <c r="NMQ1737" s="664"/>
      <c r="NMR1737" s="664"/>
      <c r="NMS1737" s="630"/>
      <c r="NMT1737" s="631"/>
      <c r="NMU1737" s="655"/>
      <c r="NMV1737" s="734" t="s">
        <v>0</v>
      </c>
      <c r="NMW1737" s="735" t="s">
        <v>1690</v>
      </c>
      <c r="NMX1737" s="843" t="e">
        <f>#REF!</f>
        <v>#REF!</v>
      </c>
      <c r="NMY1737" s="662" t="s">
        <v>799</v>
      </c>
      <c r="NMZ1737" s="663" t="s">
        <v>628</v>
      </c>
      <c r="NNA1737" s="633"/>
      <c r="NNB1737" s="664"/>
      <c r="NNC1737" s="664"/>
      <c r="NND1737" s="664"/>
      <c r="NNE1737" s="664"/>
      <c r="NNF1737" s="664"/>
      <c r="NNG1737" s="664"/>
      <c r="NNH1737" s="664"/>
      <c r="NNI1737" s="630"/>
      <c r="NNJ1737" s="631"/>
      <c r="NNK1737" s="655"/>
      <c r="NNL1737" s="734" t="s">
        <v>0</v>
      </c>
      <c r="NNM1737" s="735" t="s">
        <v>1690</v>
      </c>
      <c r="NNN1737" s="843" t="e">
        <f>#REF!</f>
        <v>#REF!</v>
      </c>
      <c r="NNO1737" s="662" t="s">
        <v>799</v>
      </c>
      <c r="NNP1737" s="663" t="s">
        <v>628</v>
      </c>
      <c r="NNQ1737" s="633"/>
      <c r="NNR1737" s="664"/>
      <c r="NNS1737" s="664"/>
      <c r="NNT1737" s="664"/>
      <c r="NNU1737" s="664"/>
      <c r="NNV1737" s="664"/>
      <c r="NNW1737" s="664"/>
      <c r="NNX1737" s="664"/>
      <c r="NNY1737" s="630"/>
      <c r="NNZ1737" s="631"/>
      <c r="NOA1737" s="655"/>
      <c r="NOB1737" s="734" t="s">
        <v>0</v>
      </c>
      <c r="NOC1737" s="735" t="s">
        <v>1690</v>
      </c>
      <c r="NOD1737" s="843" t="e">
        <f>#REF!</f>
        <v>#REF!</v>
      </c>
      <c r="NOE1737" s="662" t="s">
        <v>799</v>
      </c>
      <c r="NOF1737" s="663" t="s">
        <v>628</v>
      </c>
      <c r="NOG1737" s="633"/>
      <c r="NOH1737" s="664"/>
      <c r="NOI1737" s="664"/>
      <c r="NOJ1737" s="664"/>
      <c r="NOK1737" s="664"/>
      <c r="NOL1737" s="664"/>
      <c r="NOM1737" s="664"/>
      <c r="NON1737" s="664"/>
      <c r="NOO1737" s="630"/>
      <c r="NOP1737" s="631"/>
      <c r="NOQ1737" s="655"/>
      <c r="NOR1737" s="734" t="s">
        <v>0</v>
      </c>
      <c r="NOS1737" s="735" t="s">
        <v>1690</v>
      </c>
      <c r="NOT1737" s="843" t="e">
        <f>#REF!</f>
        <v>#REF!</v>
      </c>
      <c r="NOU1737" s="662" t="s">
        <v>799</v>
      </c>
      <c r="NOV1737" s="663" t="s">
        <v>628</v>
      </c>
      <c r="NOW1737" s="633"/>
      <c r="NOX1737" s="664"/>
      <c r="NOY1737" s="664"/>
      <c r="NOZ1737" s="664"/>
      <c r="NPA1737" s="664"/>
      <c r="NPB1737" s="664"/>
      <c r="NPC1737" s="664"/>
      <c r="NPD1737" s="664"/>
      <c r="NPE1737" s="630"/>
      <c r="NPF1737" s="631"/>
      <c r="NPG1737" s="655"/>
      <c r="NPH1737" s="734" t="s">
        <v>0</v>
      </c>
      <c r="NPI1737" s="735" t="s">
        <v>1690</v>
      </c>
      <c r="NPJ1737" s="843" t="e">
        <f>#REF!</f>
        <v>#REF!</v>
      </c>
      <c r="NPK1737" s="662" t="s">
        <v>799</v>
      </c>
      <c r="NPL1737" s="663" t="s">
        <v>628</v>
      </c>
      <c r="NPM1737" s="633"/>
      <c r="NPN1737" s="664"/>
      <c r="NPO1737" s="664"/>
      <c r="NPP1737" s="664"/>
      <c r="NPQ1737" s="664"/>
      <c r="NPR1737" s="664"/>
      <c r="NPS1737" s="664"/>
      <c r="NPT1737" s="664"/>
      <c r="NPU1737" s="630"/>
      <c r="NPV1737" s="631"/>
      <c r="NPW1737" s="655"/>
      <c r="NPX1737" s="734" t="s">
        <v>0</v>
      </c>
      <c r="NPY1737" s="735" t="s">
        <v>1690</v>
      </c>
      <c r="NPZ1737" s="843" t="e">
        <f>#REF!</f>
        <v>#REF!</v>
      </c>
      <c r="NQA1737" s="662" t="s">
        <v>799</v>
      </c>
      <c r="NQB1737" s="663" t="s">
        <v>628</v>
      </c>
      <c r="NQC1737" s="633"/>
      <c r="NQD1737" s="664"/>
      <c r="NQE1737" s="664"/>
      <c r="NQF1737" s="664"/>
      <c r="NQG1737" s="664"/>
      <c r="NQH1737" s="664"/>
      <c r="NQI1737" s="664"/>
      <c r="NQJ1737" s="664"/>
      <c r="NQK1737" s="630"/>
      <c r="NQL1737" s="631"/>
      <c r="NQM1737" s="655"/>
      <c r="NQN1737" s="734" t="s">
        <v>0</v>
      </c>
      <c r="NQO1737" s="735" t="s">
        <v>1690</v>
      </c>
      <c r="NQP1737" s="843" t="e">
        <f>#REF!</f>
        <v>#REF!</v>
      </c>
      <c r="NQQ1737" s="662" t="s">
        <v>799</v>
      </c>
      <c r="NQR1737" s="663" t="s">
        <v>628</v>
      </c>
      <c r="NQS1737" s="633"/>
      <c r="NQT1737" s="664"/>
      <c r="NQU1737" s="664"/>
      <c r="NQV1737" s="664"/>
      <c r="NQW1737" s="664"/>
      <c r="NQX1737" s="664"/>
      <c r="NQY1737" s="664"/>
      <c r="NQZ1737" s="664"/>
      <c r="NRA1737" s="630"/>
      <c r="NRB1737" s="631"/>
      <c r="NRC1737" s="655"/>
      <c r="NRD1737" s="734" t="s">
        <v>0</v>
      </c>
      <c r="NRE1737" s="735" t="s">
        <v>1690</v>
      </c>
      <c r="NRF1737" s="843" t="e">
        <f>#REF!</f>
        <v>#REF!</v>
      </c>
      <c r="NRG1737" s="662" t="s">
        <v>799</v>
      </c>
      <c r="NRH1737" s="663" t="s">
        <v>628</v>
      </c>
      <c r="NRI1737" s="633"/>
      <c r="NRJ1737" s="664"/>
      <c r="NRK1737" s="664"/>
      <c r="NRL1737" s="664"/>
      <c r="NRM1737" s="664"/>
      <c r="NRN1737" s="664"/>
      <c r="NRO1737" s="664"/>
      <c r="NRP1737" s="664"/>
      <c r="NRQ1737" s="630"/>
      <c r="NRR1737" s="631"/>
      <c r="NRS1737" s="655"/>
      <c r="NRT1737" s="734" t="s">
        <v>0</v>
      </c>
      <c r="NRU1737" s="735" t="s">
        <v>1690</v>
      </c>
      <c r="NRV1737" s="843" t="e">
        <f>#REF!</f>
        <v>#REF!</v>
      </c>
      <c r="NRW1737" s="662" t="s">
        <v>799</v>
      </c>
      <c r="NRX1737" s="663" t="s">
        <v>628</v>
      </c>
      <c r="NRY1737" s="633"/>
      <c r="NRZ1737" s="664"/>
      <c r="NSA1737" s="664"/>
      <c r="NSB1737" s="664"/>
      <c r="NSC1737" s="664"/>
      <c r="NSD1737" s="664"/>
      <c r="NSE1737" s="664"/>
      <c r="NSF1737" s="664"/>
      <c r="NSG1737" s="630"/>
      <c r="NSH1737" s="631"/>
      <c r="NSI1737" s="655"/>
      <c r="NSJ1737" s="734" t="s">
        <v>0</v>
      </c>
      <c r="NSK1737" s="735" t="s">
        <v>1690</v>
      </c>
      <c r="NSL1737" s="843" t="e">
        <f>#REF!</f>
        <v>#REF!</v>
      </c>
      <c r="NSM1737" s="662" t="s">
        <v>799</v>
      </c>
      <c r="NSN1737" s="663" t="s">
        <v>628</v>
      </c>
      <c r="NSO1737" s="633"/>
      <c r="NSP1737" s="664"/>
      <c r="NSQ1737" s="664"/>
      <c r="NSR1737" s="664"/>
      <c r="NSS1737" s="664"/>
      <c r="NST1737" s="664"/>
      <c r="NSU1737" s="664"/>
      <c r="NSV1737" s="664"/>
      <c r="NSW1737" s="630"/>
      <c r="NSX1737" s="631"/>
      <c r="NSY1737" s="655"/>
      <c r="NSZ1737" s="734" t="s">
        <v>0</v>
      </c>
      <c r="NTA1737" s="735" t="s">
        <v>1690</v>
      </c>
      <c r="NTB1737" s="843" t="e">
        <f>#REF!</f>
        <v>#REF!</v>
      </c>
      <c r="NTC1737" s="662" t="s">
        <v>799</v>
      </c>
      <c r="NTD1737" s="663" t="s">
        <v>628</v>
      </c>
      <c r="NTE1737" s="633"/>
      <c r="NTF1737" s="664"/>
      <c r="NTG1737" s="664"/>
      <c r="NTH1737" s="664"/>
      <c r="NTI1737" s="664"/>
      <c r="NTJ1737" s="664"/>
      <c r="NTK1737" s="664"/>
      <c r="NTL1737" s="664"/>
      <c r="NTM1737" s="630"/>
      <c r="NTN1737" s="631"/>
      <c r="NTO1737" s="655"/>
      <c r="NTP1737" s="734" t="s">
        <v>0</v>
      </c>
      <c r="NTQ1737" s="735" t="s">
        <v>1690</v>
      </c>
      <c r="NTR1737" s="843" t="e">
        <f>#REF!</f>
        <v>#REF!</v>
      </c>
      <c r="NTS1737" s="662" t="s">
        <v>799</v>
      </c>
      <c r="NTT1737" s="663" t="s">
        <v>628</v>
      </c>
      <c r="NTU1737" s="633"/>
      <c r="NTV1737" s="664"/>
      <c r="NTW1737" s="664"/>
      <c r="NTX1737" s="664"/>
      <c r="NTY1737" s="664"/>
      <c r="NTZ1737" s="664"/>
      <c r="NUA1737" s="664"/>
      <c r="NUB1737" s="664"/>
      <c r="NUC1737" s="630"/>
      <c r="NUD1737" s="631"/>
      <c r="NUE1737" s="655"/>
      <c r="NUF1737" s="734" t="s">
        <v>0</v>
      </c>
      <c r="NUG1737" s="735" t="s">
        <v>1690</v>
      </c>
      <c r="NUH1737" s="843" t="e">
        <f>#REF!</f>
        <v>#REF!</v>
      </c>
      <c r="NUI1737" s="662" t="s">
        <v>799</v>
      </c>
      <c r="NUJ1737" s="663" t="s">
        <v>628</v>
      </c>
      <c r="NUK1737" s="633"/>
      <c r="NUL1737" s="664"/>
      <c r="NUM1737" s="664"/>
      <c r="NUN1737" s="664"/>
      <c r="NUO1737" s="664"/>
      <c r="NUP1737" s="664"/>
      <c r="NUQ1737" s="664"/>
      <c r="NUR1737" s="664"/>
      <c r="NUS1737" s="630"/>
      <c r="NUT1737" s="631"/>
      <c r="NUU1737" s="655"/>
      <c r="NUV1737" s="734" t="s">
        <v>0</v>
      </c>
      <c r="NUW1737" s="735" t="s">
        <v>1690</v>
      </c>
      <c r="NUX1737" s="843" t="e">
        <f>#REF!</f>
        <v>#REF!</v>
      </c>
      <c r="NUY1737" s="662" t="s">
        <v>799</v>
      </c>
      <c r="NUZ1737" s="663" t="s">
        <v>628</v>
      </c>
      <c r="NVA1737" s="633"/>
      <c r="NVB1737" s="664"/>
      <c r="NVC1737" s="664"/>
      <c r="NVD1737" s="664"/>
      <c r="NVE1737" s="664"/>
      <c r="NVF1737" s="664"/>
      <c r="NVG1737" s="664"/>
      <c r="NVH1737" s="664"/>
      <c r="NVI1737" s="630"/>
      <c r="NVJ1737" s="631"/>
      <c r="NVK1737" s="655"/>
      <c r="NVL1737" s="734" t="s">
        <v>0</v>
      </c>
      <c r="NVM1737" s="735" t="s">
        <v>1690</v>
      </c>
      <c r="NVN1737" s="843" t="e">
        <f>#REF!</f>
        <v>#REF!</v>
      </c>
      <c r="NVO1737" s="662" t="s">
        <v>799</v>
      </c>
      <c r="NVP1737" s="663" t="s">
        <v>628</v>
      </c>
      <c r="NVQ1737" s="633"/>
      <c r="NVR1737" s="664"/>
      <c r="NVS1737" s="664"/>
      <c r="NVT1737" s="664"/>
      <c r="NVU1737" s="664"/>
      <c r="NVV1737" s="664"/>
      <c r="NVW1737" s="664"/>
      <c r="NVX1737" s="664"/>
      <c r="NVY1737" s="630"/>
      <c r="NVZ1737" s="631"/>
      <c r="NWA1737" s="655"/>
      <c r="NWB1737" s="734" t="s">
        <v>0</v>
      </c>
      <c r="NWC1737" s="735" t="s">
        <v>1690</v>
      </c>
      <c r="NWD1737" s="843" t="e">
        <f>#REF!</f>
        <v>#REF!</v>
      </c>
      <c r="NWE1737" s="662" t="s">
        <v>799</v>
      </c>
      <c r="NWF1737" s="663" t="s">
        <v>628</v>
      </c>
      <c r="NWG1737" s="633"/>
      <c r="NWH1737" s="664"/>
      <c r="NWI1737" s="664"/>
      <c r="NWJ1737" s="664"/>
      <c r="NWK1737" s="664"/>
      <c r="NWL1737" s="664"/>
      <c r="NWM1737" s="664"/>
      <c r="NWN1737" s="664"/>
      <c r="NWO1737" s="630"/>
      <c r="NWP1737" s="631"/>
      <c r="NWQ1737" s="655"/>
      <c r="NWR1737" s="734" t="s">
        <v>0</v>
      </c>
      <c r="NWS1737" s="735" t="s">
        <v>1690</v>
      </c>
      <c r="NWT1737" s="843" t="e">
        <f>#REF!</f>
        <v>#REF!</v>
      </c>
      <c r="NWU1737" s="662" t="s">
        <v>799</v>
      </c>
      <c r="NWV1737" s="663" t="s">
        <v>628</v>
      </c>
      <c r="NWW1737" s="633"/>
      <c r="NWX1737" s="664"/>
      <c r="NWY1737" s="664"/>
      <c r="NWZ1737" s="664"/>
      <c r="NXA1737" s="664"/>
      <c r="NXB1737" s="664"/>
      <c r="NXC1737" s="664"/>
      <c r="NXD1737" s="664"/>
      <c r="NXE1737" s="630"/>
      <c r="NXF1737" s="631"/>
      <c r="NXG1737" s="655"/>
      <c r="NXH1737" s="734" t="s">
        <v>0</v>
      </c>
      <c r="NXI1737" s="735" t="s">
        <v>1690</v>
      </c>
      <c r="NXJ1737" s="843" t="e">
        <f>#REF!</f>
        <v>#REF!</v>
      </c>
      <c r="NXK1737" s="662" t="s">
        <v>799</v>
      </c>
      <c r="NXL1737" s="663" t="s">
        <v>628</v>
      </c>
      <c r="NXM1737" s="633"/>
      <c r="NXN1737" s="664"/>
      <c r="NXO1737" s="664"/>
      <c r="NXP1737" s="664"/>
      <c r="NXQ1737" s="664"/>
      <c r="NXR1737" s="664"/>
      <c r="NXS1737" s="664"/>
      <c r="NXT1737" s="664"/>
      <c r="NXU1737" s="630"/>
      <c r="NXV1737" s="631"/>
      <c r="NXW1737" s="655"/>
      <c r="NXX1737" s="734" t="s">
        <v>0</v>
      </c>
      <c r="NXY1737" s="735" t="s">
        <v>1690</v>
      </c>
      <c r="NXZ1737" s="843" t="e">
        <f>#REF!</f>
        <v>#REF!</v>
      </c>
      <c r="NYA1737" s="662" t="s">
        <v>799</v>
      </c>
      <c r="NYB1737" s="663" t="s">
        <v>628</v>
      </c>
      <c r="NYC1737" s="633"/>
      <c r="NYD1737" s="664"/>
      <c r="NYE1737" s="664"/>
      <c r="NYF1737" s="664"/>
      <c r="NYG1737" s="664"/>
      <c r="NYH1737" s="664"/>
      <c r="NYI1737" s="664"/>
      <c r="NYJ1737" s="664"/>
      <c r="NYK1737" s="630"/>
      <c r="NYL1737" s="631"/>
      <c r="NYM1737" s="655"/>
      <c r="NYN1737" s="734" t="s">
        <v>0</v>
      </c>
      <c r="NYO1737" s="735" t="s">
        <v>1690</v>
      </c>
      <c r="NYP1737" s="843" t="e">
        <f>#REF!</f>
        <v>#REF!</v>
      </c>
      <c r="NYQ1737" s="662" t="s">
        <v>799</v>
      </c>
      <c r="NYR1737" s="663" t="s">
        <v>628</v>
      </c>
      <c r="NYS1737" s="633"/>
      <c r="NYT1737" s="664"/>
      <c r="NYU1737" s="664"/>
      <c r="NYV1737" s="664"/>
      <c r="NYW1737" s="664"/>
      <c r="NYX1737" s="664"/>
      <c r="NYY1737" s="664"/>
      <c r="NYZ1737" s="664"/>
      <c r="NZA1737" s="630"/>
      <c r="NZB1737" s="631"/>
      <c r="NZC1737" s="655"/>
      <c r="NZD1737" s="734" t="s">
        <v>0</v>
      </c>
      <c r="NZE1737" s="735" t="s">
        <v>1690</v>
      </c>
      <c r="NZF1737" s="843" t="e">
        <f>#REF!</f>
        <v>#REF!</v>
      </c>
      <c r="NZG1737" s="662" t="s">
        <v>799</v>
      </c>
      <c r="NZH1737" s="663" t="s">
        <v>628</v>
      </c>
      <c r="NZI1737" s="633"/>
      <c r="NZJ1737" s="664"/>
      <c r="NZK1737" s="664"/>
      <c r="NZL1737" s="664"/>
      <c r="NZM1737" s="664"/>
      <c r="NZN1737" s="664"/>
      <c r="NZO1737" s="664"/>
      <c r="NZP1737" s="664"/>
      <c r="NZQ1737" s="630"/>
      <c r="NZR1737" s="631"/>
      <c r="NZS1737" s="655"/>
      <c r="NZT1737" s="734" t="s">
        <v>0</v>
      </c>
      <c r="NZU1737" s="735" t="s">
        <v>1690</v>
      </c>
      <c r="NZV1737" s="843" t="e">
        <f>#REF!</f>
        <v>#REF!</v>
      </c>
      <c r="NZW1737" s="662" t="s">
        <v>799</v>
      </c>
      <c r="NZX1737" s="663" t="s">
        <v>628</v>
      </c>
      <c r="NZY1737" s="633"/>
      <c r="NZZ1737" s="664"/>
      <c r="OAA1737" s="664"/>
      <c r="OAB1737" s="664"/>
      <c r="OAC1737" s="664"/>
      <c r="OAD1737" s="664"/>
      <c r="OAE1737" s="664"/>
      <c r="OAF1737" s="664"/>
      <c r="OAG1737" s="630"/>
      <c r="OAH1737" s="631"/>
      <c r="OAI1737" s="655"/>
      <c r="OAJ1737" s="734" t="s">
        <v>0</v>
      </c>
      <c r="OAK1737" s="735" t="s">
        <v>1690</v>
      </c>
      <c r="OAL1737" s="843" t="e">
        <f>#REF!</f>
        <v>#REF!</v>
      </c>
      <c r="OAM1737" s="662" t="s">
        <v>799</v>
      </c>
      <c r="OAN1737" s="663" t="s">
        <v>628</v>
      </c>
      <c r="OAO1737" s="633"/>
      <c r="OAP1737" s="664"/>
      <c r="OAQ1737" s="664"/>
      <c r="OAR1737" s="664"/>
      <c r="OAS1737" s="664"/>
      <c r="OAT1737" s="664"/>
      <c r="OAU1737" s="664"/>
      <c r="OAV1737" s="664"/>
      <c r="OAW1737" s="630"/>
      <c r="OAX1737" s="631"/>
      <c r="OAY1737" s="655"/>
      <c r="OAZ1737" s="734" t="s">
        <v>0</v>
      </c>
      <c r="OBA1737" s="735" t="s">
        <v>1690</v>
      </c>
      <c r="OBB1737" s="843" t="e">
        <f>#REF!</f>
        <v>#REF!</v>
      </c>
      <c r="OBC1737" s="662" t="s">
        <v>799</v>
      </c>
      <c r="OBD1737" s="663" t="s">
        <v>628</v>
      </c>
      <c r="OBE1737" s="633"/>
      <c r="OBF1737" s="664"/>
      <c r="OBG1737" s="664"/>
      <c r="OBH1737" s="664"/>
      <c r="OBI1737" s="664"/>
      <c r="OBJ1737" s="664"/>
      <c r="OBK1737" s="664"/>
      <c r="OBL1737" s="664"/>
      <c r="OBM1737" s="630"/>
      <c r="OBN1737" s="631"/>
      <c r="OBO1737" s="655"/>
      <c r="OBP1737" s="734" t="s">
        <v>0</v>
      </c>
      <c r="OBQ1737" s="735" t="s">
        <v>1690</v>
      </c>
      <c r="OBR1737" s="843" t="e">
        <f>#REF!</f>
        <v>#REF!</v>
      </c>
      <c r="OBS1737" s="662" t="s">
        <v>799</v>
      </c>
      <c r="OBT1737" s="663" t="s">
        <v>628</v>
      </c>
      <c r="OBU1737" s="633"/>
      <c r="OBV1737" s="664"/>
      <c r="OBW1737" s="664"/>
      <c r="OBX1737" s="664"/>
      <c r="OBY1737" s="664"/>
      <c r="OBZ1737" s="664"/>
      <c r="OCA1737" s="664"/>
      <c r="OCB1737" s="664"/>
      <c r="OCC1737" s="630"/>
      <c r="OCD1737" s="631"/>
      <c r="OCE1737" s="655"/>
      <c r="OCF1737" s="734" t="s">
        <v>0</v>
      </c>
      <c r="OCG1737" s="735" t="s">
        <v>1690</v>
      </c>
      <c r="OCH1737" s="843" t="e">
        <f>#REF!</f>
        <v>#REF!</v>
      </c>
      <c r="OCI1737" s="662" t="s">
        <v>799</v>
      </c>
      <c r="OCJ1737" s="663" t="s">
        <v>628</v>
      </c>
      <c r="OCK1737" s="633"/>
      <c r="OCL1737" s="664"/>
      <c r="OCM1737" s="664"/>
      <c r="OCN1737" s="664"/>
      <c r="OCO1737" s="664"/>
      <c r="OCP1737" s="664"/>
      <c r="OCQ1737" s="664"/>
      <c r="OCR1737" s="664"/>
      <c r="OCS1737" s="630"/>
      <c r="OCT1737" s="631"/>
      <c r="OCU1737" s="655"/>
      <c r="OCV1737" s="734" t="s">
        <v>0</v>
      </c>
      <c r="OCW1737" s="735" t="s">
        <v>1690</v>
      </c>
      <c r="OCX1737" s="843" t="e">
        <f>#REF!</f>
        <v>#REF!</v>
      </c>
      <c r="OCY1737" s="662" t="s">
        <v>799</v>
      </c>
      <c r="OCZ1737" s="663" t="s">
        <v>628</v>
      </c>
      <c r="ODA1737" s="633"/>
      <c r="ODB1737" s="664"/>
      <c r="ODC1737" s="664"/>
      <c r="ODD1737" s="664"/>
      <c r="ODE1737" s="664"/>
      <c r="ODF1737" s="664"/>
      <c r="ODG1737" s="664"/>
      <c r="ODH1737" s="664"/>
      <c r="ODI1737" s="630"/>
      <c r="ODJ1737" s="631"/>
      <c r="ODK1737" s="655"/>
      <c r="ODL1737" s="734" t="s">
        <v>0</v>
      </c>
      <c r="ODM1737" s="735" t="s">
        <v>1690</v>
      </c>
      <c r="ODN1737" s="843" t="e">
        <f>#REF!</f>
        <v>#REF!</v>
      </c>
      <c r="ODO1737" s="662" t="s">
        <v>799</v>
      </c>
      <c r="ODP1737" s="663" t="s">
        <v>628</v>
      </c>
      <c r="ODQ1737" s="633"/>
      <c r="ODR1737" s="664"/>
      <c r="ODS1737" s="664"/>
      <c r="ODT1737" s="664"/>
      <c r="ODU1737" s="664"/>
      <c r="ODV1737" s="664"/>
      <c r="ODW1737" s="664"/>
      <c r="ODX1737" s="664"/>
      <c r="ODY1737" s="630"/>
      <c r="ODZ1737" s="631"/>
      <c r="OEA1737" s="655"/>
      <c r="OEB1737" s="734" t="s">
        <v>0</v>
      </c>
      <c r="OEC1737" s="735" t="s">
        <v>1690</v>
      </c>
      <c r="OED1737" s="843" t="e">
        <f>#REF!</f>
        <v>#REF!</v>
      </c>
      <c r="OEE1737" s="662" t="s">
        <v>799</v>
      </c>
      <c r="OEF1737" s="663" t="s">
        <v>628</v>
      </c>
      <c r="OEG1737" s="633"/>
      <c r="OEH1737" s="664"/>
      <c r="OEI1737" s="664"/>
      <c r="OEJ1737" s="664"/>
      <c r="OEK1737" s="664"/>
      <c r="OEL1737" s="664"/>
      <c r="OEM1737" s="664"/>
      <c r="OEN1737" s="664"/>
      <c r="OEO1737" s="630"/>
      <c r="OEP1737" s="631"/>
      <c r="OEQ1737" s="655"/>
      <c r="OER1737" s="734" t="s">
        <v>0</v>
      </c>
      <c r="OES1737" s="735" t="s">
        <v>1690</v>
      </c>
      <c r="OET1737" s="843" t="e">
        <f>#REF!</f>
        <v>#REF!</v>
      </c>
      <c r="OEU1737" s="662" t="s">
        <v>799</v>
      </c>
      <c r="OEV1737" s="663" t="s">
        <v>628</v>
      </c>
      <c r="OEW1737" s="633"/>
      <c r="OEX1737" s="664"/>
      <c r="OEY1737" s="664"/>
      <c r="OEZ1737" s="664"/>
      <c r="OFA1737" s="664"/>
      <c r="OFB1737" s="664"/>
      <c r="OFC1737" s="664"/>
      <c r="OFD1737" s="664"/>
      <c r="OFE1737" s="630"/>
      <c r="OFF1737" s="631"/>
      <c r="OFG1737" s="655"/>
      <c r="OFH1737" s="734" t="s">
        <v>0</v>
      </c>
      <c r="OFI1737" s="735" t="s">
        <v>1690</v>
      </c>
      <c r="OFJ1737" s="843" t="e">
        <f>#REF!</f>
        <v>#REF!</v>
      </c>
      <c r="OFK1737" s="662" t="s">
        <v>799</v>
      </c>
      <c r="OFL1737" s="663" t="s">
        <v>628</v>
      </c>
      <c r="OFM1737" s="633"/>
      <c r="OFN1737" s="664"/>
      <c r="OFO1737" s="664"/>
      <c r="OFP1737" s="664"/>
      <c r="OFQ1737" s="664"/>
      <c r="OFR1737" s="664"/>
      <c r="OFS1737" s="664"/>
      <c r="OFT1737" s="664"/>
      <c r="OFU1737" s="630"/>
      <c r="OFV1737" s="631"/>
      <c r="OFW1737" s="655"/>
      <c r="OFX1737" s="734" t="s">
        <v>0</v>
      </c>
      <c r="OFY1737" s="735" t="s">
        <v>1690</v>
      </c>
      <c r="OFZ1737" s="843" t="e">
        <f>#REF!</f>
        <v>#REF!</v>
      </c>
      <c r="OGA1737" s="662" t="s">
        <v>799</v>
      </c>
      <c r="OGB1737" s="663" t="s">
        <v>628</v>
      </c>
      <c r="OGC1737" s="633"/>
      <c r="OGD1737" s="664"/>
      <c r="OGE1737" s="664"/>
      <c r="OGF1737" s="664"/>
      <c r="OGG1737" s="664"/>
      <c r="OGH1737" s="664"/>
      <c r="OGI1737" s="664"/>
      <c r="OGJ1737" s="664"/>
      <c r="OGK1737" s="630"/>
      <c r="OGL1737" s="631"/>
      <c r="OGM1737" s="655"/>
      <c r="OGN1737" s="734" t="s">
        <v>0</v>
      </c>
      <c r="OGO1737" s="735" t="s">
        <v>1690</v>
      </c>
      <c r="OGP1737" s="843" t="e">
        <f>#REF!</f>
        <v>#REF!</v>
      </c>
      <c r="OGQ1737" s="662" t="s">
        <v>799</v>
      </c>
      <c r="OGR1737" s="663" t="s">
        <v>628</v>
      </c>
      <c r="OGS1737" s="633"/>
      <c r="OGT1737" s="664"/>
      <c r="OGU1737" s="664"/>
      <c r="OGV1737" s="664"/>
      <c r="OGW1737" s="664"/>
      <c r="OGX1737" s="664"/>
      <c r="OGY1737" s="664"/>
      <c r="OGZ1737" s="664"/>
      <c r="OHA1737" s="630"/>
      <c r="OHB1737" s="631"/>
      <c r="OHC1737" s="655"/>
      <c r="OHD1737" s="734" t="s">
        <v>0</v>
      </c>
      <c r="OHE1737" s="735" t="s">
        <v>1690</v>
      </c>
      <c r="OHF1737" s="843" t="e">
        <f>#REF!</f>
        <v>#REF!</v>
      </c>
      <c r="OHG1737" s="662" t="s">
        <v>799</v>
      </c>
      <c r="OHH1737" s="663" t="s">
        <v>628</v>
      </c>
      <c r="OHI1737" s="633"/>
      <c r="OHJ1737" s="664"/>
      <c r="OHK1737" s="664"/>
      <c r="OHL1737" s="664"/>
      <c r="OHM1737" s="664"/>
      <c r="OHN1737" s="664"/>
      <c r="OHO1737" s="664"/>
      <c r="OHP1737" s="664"/>
      <c r="OHQ1737" s="630"/>
      <c r="OHR1737" s="631"/>
      <c r="OHS1737" s="655"/>
      <c r="OHT1737" s="734" t="s">
        <v>0</v>
      </c>
      <c r="OHU1737" s="735" t="s">
        <v>1690</v>
      </c>
      <c r="OHV1737" s="843" t="e">
        <f>#REF!</f>
        <v>#REF!</v>
      </c>
      <c r="OHW1737" s="662" t="s">
        <v>799</v>
      </c>
      <c r="OHX1737" s="663" t="s">
        <v>628</v>
      </c>
      <c r="OHY1737" s="633"/>
      <c r="OHZ1737" s="664"/>
      <c r="OIA1737" s="664"/>
      <c r="OIB1737" s="664"/>
      <c r="OIC1737" s="664"/>
      <c r="OID1737" s="664"/>
      <c r="OIE1737" s="664"/>
      <c r="OIF1737" s="664"/>
      <c r="OIG1737" s="630"/>
      <c r="OIH1737" s="631"/>
      <c r="OII1737" s="655"/>
      <c r="OIJ1737" s="734" t="s">
        <v>0</v>
      </c>
      <c r="OIK1737" s="735" t="s">
        <v>1690</v>
      </c>
      <c r="OIL1737" s="843" t="e">
        <f>#REF!</f>
        <v>#REF!</v>
      </c>
      <c r="OIM1737" s="662" t="s">
        <v>799</v>
      </c>
      <c r="OIN1737" s="663" t="s">
        <v>628</v>
      </c>
      <c r="OIO1737" s="633"/>
      <c r="OIP1737" s="664"/>
      <c r="OIQ1737" s="664"/>
      <c r="OIR1737" s="664"/>
      <c r="OIS1737" s="664"/>
      <c r="OIT1737" s="664"/>
      <c r="OIU1737" s="664"/>
      <c r="OIV1737" s="664"/>
      <c r="OIW1737" s="630"/>
      <c r="OIX1737" s="631"/>
      <c r="OIY1737" s="655"/>
      <c r="OIZ1737" s="734" t="s">
        <v>0</v>
      </c>
      <c r="OJA1737" s="735" t="s">
        <v>1690</v>
      </c>
      <c r="OJB1737" s="843" t="e">
        <f>#REF!</f>
        <v>#REF!</v>
      </c>
      <c r="OJC1737" s="662" t="s">
        <v>799</v>
      </c>
      <c r="OJD1737" s="663" t="s">
        <v>628</v>
      </c>
      <c r="OJE1737" s="633"/>
      <c r="OJF1737" s="664"/>
      <c r="OJG1737" s="664"/>
      <c r="OJH1737" s="664"/>
      <c r="OJI1737" s="664"/>
      <c r="OJJ1737" s="664"/>
      <c r="OJK1737" s="664"/>
      <c r="OJL1737" s="664"/>
      <c r="OJM1737" s="630"/>
      <c r="OJN1737" s="631"/>
      <c r="OJO1737" s="655"/>
      <c r="OJP1737" s="734" t="s">
        <v>0</v>
      </c>
      <c r="OJQ1737" s="735" t="s">
        <v>1690</v>
      </c>
      <c r="OJR1737" s="843" t="e">
        <f>#REF!</f>
        <v>#REF!</v>
      </c>
      <c r="OJS1737" s="662" t="s">
        <v>799</v>
      </c>
      <c r="OJT1737" s="663" t="s">
        <v>628</v>
      </c>
      <c r="OJU1737" s="633"/>
      <c r="OJV1737" s="664"/>
      <c r="OJW1737" s="664"/>
      <c r="OJX1737" s="664"/>
      <c r="OJY1737" s="664"/>
      <c r="OJZ1737" s="664"/>
      <c r="OKA1737" s="664"/>
      <c r="OKB1737" s="664"/>
      <c r="OKC1737" s="630"/>
      <c r="OKD1737" s="631"/>
      <c r="OKE1737" s="655"/>
      <c r="OKF1737" s="734" t="s">
        <v>0</v>
      </c>
      <c r="OKG1737" s="735" t="s">
        <v>1690</v>
      </c>
      <c r="OKH1737" s="843" t="e">
        <f>#REF!</f>
        <v>#REF!</v>
      </c>
      <c r="OKI1737" s="662" t="s">
        <v>799</v>
      </c>
      <c r="OKJ1737" s="663" t="s">
        <v>628</v>
      </c>
      <c r="OKK1737" s="633"/>
      <c r="OKL1737" s="664"/>
      <c r="OKM1737" s="664"/>
      <c r="OKN1737" s="664"/>
      <c r="OKO1737" s="664"/>
      <c r="OKP1737" s="664"/>
      <c r="OKQ1737" s="664"/>
      <c r="OKR1737" s="664"/>
      <c r="OKS1737" s="630"/>
      <c r="OKT1737" s="631"/>
      <c r="OKU1737" s="655"/>
      <c r="OKV1737" s="734" t="s">
        <v>0</v>
      </c>
      <c r="OKW1737" s="735" t="s">
        <v>1690</v>
      </c>
      <c r="OKX1737" s="843" t="e">
        <f>#REF!</f>
        <v>#REF!</v>
      </c>
      <c r="OKY1737" s="662" t="s">
        <v>799</v>
      </c>
      <c r="OKZ1737" s="663" t="s">
        <v>628</v>
      </c>
      <c r="OLA1737" s="633"/>
      <c r="OLB1737" s="664"/>
      <c r="OLC1737" s="664"/>
      <c r="OLD1737" s="664"/>
      <c r="OLE1737" s="664"/>
      <c r="OLF1737" s="664"/>
      <c r="OLG1737" s="664"/>
      <c r="OLH1737" s="664"/>
      <c r="OLI1737" s="630"/>
      <c r="OLJ1737" s="631"/>
      <c r="OLK1737" s="655"/>
      <c r="OLL1737" s="734" t="s">
        <v>0</v>
      </c>
      <c r="OLM1737" s="735" t="s">
        <v>1690</v>
      </c>
      <c r="OLN1737" s="843" t="e">
        <f>#REF!</f>
        <v>#REF!</v>
      </c>
      <c r="OLO1737" s="662" t="s">
        <v>799</v>
      </c>
      <c r="OLP1737" s="663" t="s">
        <v>628</v>
      </c>
      <c r="OLQ1737" s="633"/>
      <c r="OLR1737" s="664"/>
      <c r="OLS1737" s="664"/>
      <c r="OLT1737" s="664"/>
      <c r="OLU1737" s="664"/>
      <c r="OLV1737" s="664"/>
      <c r="OLW1737" s="664"/>
      <c r="OLX1737" s="664"/>
      <c r="OLY1737" s="630"/>
      <c r="OLZ1737" s="631"/>
      <c r="OMA1737" s="655"/>
      <c r="OMB1737" s="734" t="s">
        <v>0</v>
      </c>
      <c r="OMC1737" s="735" t="s">
        <v>1690</v>
      </c>
      <c r="OMD1737" s="843" t="e">
        <f>#REF!</f>
        <v>#REF!</v>
      </c>
      <c r="OME1737" s="662" t="s">
        <v>799</v>
      </c>
      <c r="OMF1737" s="663" t="s">
        <v>628</v>
      </c>
      <c r="OMG1737" s="633"/>
      <c r="OMH1737" s="664"/>
      <c r="OMI1737" s="664"/>
      <c r="OMJ1737" s="664"/>
      <c r="OMK1737" s="664"/>
      <c r="OML1737" s="664"/>
      <c r="OMM1737" s="664"/>
      <c r="OMN1737" s="664"/>
      <c r="OMO1737" s="630"/>
      <c r="OMP1737" s="631"/>
      <c r="OMQ1737" s="655"/>
      <c r="OMR1737" s="734" t="s">
        <v>0</v>
      </c>
      <c r="OMS1737" s="735" t="s">
        <v>1690</v>
      </c>
      <c r="OMT1737" s="843" t="e">
        <f>#REF!</f>
        <v>#REF!</v>
      </c>
      <c r="OMU1737" s="662" t="s">
        <v>799</v>
      </c>
      <c r="OMV1737" s="663" t="s">
        <v>628</v>
      </c>
      <c r="OMW1737" s="633"/>
      <c r="OMX1737" s="664"/>
      <c r="OMY1737" s="664"/>
      <c r="OMZ1737" s="664"/>
      <c r="ONA1737" s="664"/>
      <c r="ONB1737" s="664"/>
      <c r="ONC1737" s="664"/>
      <c r="OND1737" s="664"/>
      <c r="ONE1737" s="630"/>
      <c r="ONF1737" s="631"/>
      <c r="ONG1737" s="655"/>
      <c r="ONH1737" s="734" t="s">
        <v>0</v>
      </c>
      <c r="ONI1737" s="735" t="s">
        <v>1690</v>
      </c>
      <c r="ONJ1737" s="843" t="e">
        <f>#REF!</f>
        <v>#REF!</v>
      </c>
      <c r="ONK1737" s="662" t="s">
        <v>799</v>
      </c>
      <c r="ONL1737" s="663" t="s">
        <v>628</v>
      </c>
      <c r="ONM1737" s="633"/>
      <c r="ONN1737" s="664"/>
      <c r="ONO1737" s="664"/>
      <c r="ONP1737" s="664"/>
      <c r="ONQ1737" s="664"/>
      <c r="ONR1737" s="664"/>
      <c r="ONS1737" s="664"/>
      <c r="ONT1737" s="664"/>
      <c r="ONU1737" s="630"/>
      <c r="ONV1737" s="631"/>
      <c r="ONW1737" s="655"/>
      <c r="ONX1737" s="734" t="s">
        <v>0</v>
      </c>
      <c r="ONY1737" s="735" t="s">
        <v>1690</v>
      </c>
      <c r="ONZ1737" s="843" t="e">
        <f>#REF!</f>
        <v>#REF!</v>
      </c>
      <c r="OOA1737" s="662" t="s">
        <v>799</v>
      </c>
      <c r="OOB1737" s="663" t="s">
        <v>628</v>
      </c>
      <c r="OOC1737" s="633"/>
      <c r="OOD1737" s="664"/>
      <c r="OOE1737" s="664"/>
      <c r="OOF1737" s="664"/>
      <c r="OOG1737" s="664"/>
      <c r="OOH1737" s="664"/>
      <c r="OOI1737" s="664"/>
      <c r="OOJ1737" s="664"/>
      <c r="OOK1737" s="630"/>
      <c r="OOL1737" s="631"/>
      <c r="OOM1737" s="655"/>
      <c r="OON1737" s="734" t="s">
        <v>0</v>
      </c>
      <c r="OOO1737" s="735" t="s">
        <v>1690</v>
      </c>
      <c r="OOP1737" s="843" t="e">
        <f>#REF!</f>
        <v>#REF!</v>
      </c>
      <c r="OOQ1737" s="662" t="s">
        <v>799</v>
      </c>
      <c r="OOR1737" s="663" t="s">
        <v>628</v>
      </c>
      <c r="OOS1737" s="633"/>
      <c r="OOT1737" s="664"/>
      <c r="OOU1737" s="664"/>
      <c r="OOV1737" s="664"/>
      <c r="OOW1737" s="664"/>
      <c r="OOX1737" s="664"/>
      <c r="OOY1737" s="664"/>
      <c r="OOZ1737" s="664"/>
      <c r="OPA1737" s="630"/>
      <c r="OPB1737" s="631"/>
      <c r="OPC1737" s="655"/>
      <c r="OPD1737" s="734" t="s">
        <v>0</v>
      </c>
      <c r="OPE1737" s="735" t="s">
        <v>1690</v>
      </c>
      <c r="OPF1737" s="843" t="e">
        <f>#REF!</f>
        <v>#REF!</v>
      </c>
      <c r="OPG1737" s="662" t="s">
        <v>799</v>
      </c>
      <c r="OPH1737" s="663" t="s">
        <v>628</v>
      </c>
      <c r="OPI1737" s="633"/>
      <c r="OPJ1737" s="664"/>
      <c r="OPK1737" s="664"/>
      <c r="OPL1737" s="664"/>
      <c r="OPM1737" s="664"/>
      <c r="OPN1737" s="664"/>
      <c r="OPO1737" s="664"/>
      <c r="OPP1737" s="664"/>
      <c r="OPQ1737" s="630"/>
      <c r="OPR1737" s="631"/>
      <c r="OPS1737" s="655"/>
      <c r="OPT1737" s="734" t="s">
        <v>0</v>
      </c>
      <c r="OPU1737" s="735" t="s">
        <v>1690</v>
      </c>
      <c r="OPV1737" s="843" t="e">
        <f>#REF!</f>
        <v>#REF!</v>
      </c>
      <c r="OPW1737" s="662" t="s">
        <v>799</v>
      </c>
      <c r="OPX1737" s="663" t="s">
        <v>628</v>
      </c>
      <c r="OPY1737" s="633"/>
      <c r="OPZ1737" s="664"/>
      <c r="OQA1737" s="664"/>
      <c r="OQB1737" s="664"/>
      <c r="OQC1737" s="664"/>
      <c r="OQD1737" s="664"/>
      <c r="OQE1737" s="664"/>
      <c r="OQF1737" s="664"/>
      <c r="OQG1737" s="630"/>
      <c r="OQH1737" s="631"/>
      <c r="OQI1737" s="655"/>
      <c r="OQJ1737" s="734" t="s">
        <v>0</v>
      </c>
      <c r="OQK1737" s="735" t="s">
        <v>1690</v>
      </c>
      <c r="OQL1737" s="843" t="e">
        <f>#REF!</f>
        <v>#REF!</v>
      </c>
      <c r="OQM1737" s="662" t="s">
        <v>799</v>
      </c>
      <c r="OQN1737" s="663" t="s">
        <v>628</v>
      </c>
      <c r="OQO1737" s="633"/>
      <c r="OQP1737" s="664"/>
      <c r="OQQ1737" s="664"/>
      <c r="OQR1737" s="664"/>
      <c r="OQS1737" s="664"/>
      <c r="OQT1737" s="664"/>
      <c r="OQU1737" s="664"/>
      <c r="OQV1737" s="664"/>
      <c r="OQW1737" s="630"/>
      <c r="OQX1737" s="631"/>
      <c r="OQY1737" s="655"/>
      <c r="OQZ1737" s="734" t="s">
        <v>0</v>
      </c>
      <c r="ORA1737" s="735" t="s">
        <v>1690</v>
      </c>
      <c r="ORB1737" s="843" t="e">
        <f>#REF!</f>
        <v>#REF!</v>
      </c>
      <c r="ORC1737" s="662" t="s">
        <v>799</v>
      </c>
      <c r="ORD1737" s="663" t="s">
        <v>628</v>
      </c>
      <c r="ORE1737" s="633"/>
      <c r="ORF1737" s="664"/>
      <c r="ORG1737" s="664"/>
      <c r="ORH1737" s="664"/>
      <c r="ORI1737" s="664"/>
      <c r="ORJ1737" s="664"/>
      <c r="ORK1737" s="664"/>
      <c r="ORL1737" s="664"/>
      <c r="ORM1737" s="630"/>
      <c r="ORN1737" s="631"/>
      <c r="ORO1737" s="655"/>
      <c r="ORP1737" s="734" t="s">
        <v>0</v>
      </c>
      <c r="ORQ1737" s="735" t="s">
        <v>1690</v>
      </c>
      <c r="ORR1737" s="843" t="e">
        <f>#REF!</f>
        <v>#REF!</v>
      </c>
      <c r="ORS1737" s="662" t="s">
        <v>799</v>
      </c>
      <c r="ORT1737" s="663" t="s">
        <v>628</v>
      </c>
      <c r="ORU1737" s="633"/>
      <c r="ORV1737" s="664"/>
      <c r="ORW1737" s="664"/>
      <c r="ORX1737" s="664"/>
      <c r="ORY1737" s="664"/>
      <c r="ORZ1737" s="664"/>
      <c r="OSA1737" s="664"/>
      <c r="OSB1737" s="664"/>
      <c r="OSC1737" s="630"/>
      <c r="OSD1737" s="631"/>
      <c r="OSE1737" s="655"/>
      <c r="OSF1737" s="734" t="s">
        <v>0</v>
      </c>
      <c r="OSG1737" s="735" t="s">
        <v>1690</v>
      </c>
      <c r="OSH1737" s="843" t="e">
        <f>#REF!</f>
        <v>#REF!</v>
      </c>
      <c r="OSI1737" s="662" t="s">
        <v>799</v>
      </c>
      <c r="OSJ1737" s="663" t="s">
        <v>628</v>
      </c>
      <c r="OSK1737" s="633"/>
      <c r="OSL1737" s="664"/>
      <c r="OSM1737" s="664"/>
      <c r="OSN1737" s="664"/>
      <c r="OSO1737" s="664"/>
      <c r="OSP1737" s="664"/>
      <c r="OSQ1737" s="664"/>
      <c r="OSR1737" s="664"/>
      <c r="OSS1737" s="630"/>
      <c r="OST1737" s="631"/>
      <c r="OSU1737" s="655"/>
      <c r="OSV1737" s="734" t="s">
        <v>0</v>
      </c>
      <c r="OSW1737" s="735" t="s">
        <v>1690</v>
      </c>
      <c r="OSX1737" s="843" t="e">
        <f>#REF!</f>
        <v>#REF!</v>
      </c>
      <c r="OSY1737" s="662" t="s">
        <v>799</v>
      </c>
      <c r="OSZ1737" s="663" t="s">
        <v>628</v>
      </c>
      <c r="OTA1737" s="633"/>
      <c r="OTB1737" s="664"/>
      <c r="OTC1737" s="664"/>
      <c r="OTD1737" s="664"/>
      <c r="OTE1737" s="664"/>
      <c r="OTF1737" s="664"/>
      <c r="OTG1737" s="664"/>
      <c r="OTH1737" s="664"/>
      <c r="OTI1737" s="630"/>
      <c r="OTJ1737" s="631"/>
      <c r="OTK1737" s="655"/>
      <c r="OTL1737" s="734" t="s">
        <v>0</v>
      </c>
      <c r="OTM1737" s="735" t="s">
        <v>1690</v>
      </c>
      <c r="OTN1737" s="843" t="e">
        <f>#REF!</f>
        <v>#REF!</v>
      </c>
      <c r="OTO1737" s="662" t="s">
        <v>799</v>
      </c>
      <c r="OTP1737" s="663" t="s">
        <v>628</v>
      </c>
      <c r="OTQ1737" s="633"/>
      <c r="OTR1737" s="664"/>
      <c r="OTS1737" s="664"/>
      <c r="OTT1737" s="664"/>
      <c r="OTU1737" s="664"/>
      <c r="OTV1737" s="664"/>
      <c r="OTW1737" s="664"/>
      <c r="OTX1737" s="664"/>
      <c r="OTY1737" s="630"/>
      <c r="OTZ1737" s="631"/>
      <c r="OUA1737" s="655"/>
      <c r="OUB1737" s="734" t="s">
        <v>0</v>
      </c>
      <c r="OUC1737" s="735" t="s">
        <v>1690</v>
      </c>
      <c r="OUD1737" s="843" t="e">
        <f>#REF!</f>
        <v>#REF!</v>
      </c>
      <c r="OUE1737" s="662" t="s">
        <v>799</v>
      </c>
      <c r="OUF1737" s="663" t="s">
        <v>628</v>
      </c>
      <c r="OUG1737" s="633"/>
      <c r="OUH1737" s="664"/>
      <c r="OUI1737" s="664"/>
      <c r="OUJ1737" s="664"/>
      <c r="OUK1737" s="664"/>
      <c r="OUL1737" s="664"/>
      <c r="OUM1737" s="664"/>
      <c r="OUN1737" s="664"/>
      <c r="OUO1737" s="630"/>
      <c r="OUP1737" s="631"/>
      <c r="OUQ1737" s="655"/>
      <c r="OUR1737" s="734" t="s">
        <v>0</v>
      </c>
      <c r="OUS1737" s="735" t="s">
        <v>1690</v>
      </c>
      <c r="OUT1737" s="843" t="e">
        <f>#REF!</f>
        <v>#REF!</v>
      </c>
      <c r="OUU1737" s="662" t="s">
        <v>799</v>
      </c>
      <c r="OUV1737" s="663" t="s">
        <v>628</v>
      </c>
      <c r="OUW1737" s="633"/>
      <c r="OUX1737" s="664"/>
      <c r="OUY1737" s="664"/>
      <c r="OUZ1737" s="664"/>
      <c r="OVA1737" s="664"/>
      <c r="OVB1737" s="664"/>
      <c r="OVC1737" s="664"/>
      <c r="OVD1737" s="664"/>
      <c r="OVE1737" s="630"/>
      <c r="OVF1737" s="631"/>
      <c r="OVG1737" s="655"/>
      <c r="OVH1737" s="734" t="s">
        <v>0</v>
      </c>
      <c r="OVI1737" s="735" t="s">
        <v>1690</v>
      </c>
      <c r="OVJ1737" s="843" t="e">
        <f>#REF!</f>
        <v>#REF!</v>
      </c>
      <c r="OVK1737" s="662" t="s">
        <v>799</v>
      </c>
      <c r="OVL1737" s="663" t="s">
        <v>628</v>
      </c>
      <c r="OVM1737" s="633"/>
      <c r="OVN1737" s="664"/>
      <c r="OVO1737" s="664"/>
      <c r="OVP1737" s="664"/>
      <c r="OVQ1737" s="664"/>
      <c r="OVR1737" s="664"/>
      <c r="OVS1737" s="664"/>
      <c r="OVT1737" s="664"/>
      <c r="OVU1737" s="630"/>
      <c r="OVV1737" s="631"/>
      <c r="OVW1737" s="655"/>
      <c r="OVX1737" s="734" t="s">
        <v>0</v>
      </c>
      <c r="OVY1737" s="735" t="s">
        <v>1690</v>
      </c>
      <c r="OVZ1737" s="843" t="e">
        <f>#REF!</f>
        <v>#REF!</v>
      </c>
      <c r="OWA1737" s="662" t="s">
        <v>799</v>
      </c>
      <c r="OWB1737" s="663" t="s">
        <v>628</v>
      </c>
      <c r="OWC1737" s="633"/>
      <c r="OWD1737" s="664"/>
      <c r="OWE1737" s="664"/>
      <c r="OWF1737" s="664"/>
      <c r="OWG1737" s="664"/>
      <c r="OWH1737" s="664"/>
      <c r="OWI1737" s="664"/>
      <c r="OWJ1737" s="664"/>
      <c r="OWK1737" s="630"/>
      <c r="OWL1737" s="631"/>
      <c r="OWM1737" s="655"/>
      <c r="OWN1737" s="734" t="s">
        <v>0</v>
      </c>
      <c r="OWO1737" s="735" t="s">
        <v>1690</v>
      </c>
      <c r="OWP1737" s="843" t="e">
        <f>#REF!</f>
        <v>#REF!</v>
      </c>
      <c r="OWQ1737" s="662" t="s">
        <v>799</v>
      </c>
      <c r="OWR1737" s="663" t="s">
        <v>628</v>
      </c>
      <c r="OWS1737" s="633"/>
      <c r="OWT1737" s="664"/>
      <c r="OWU1737" s="664"/>
      <c r="OWV1737" s="664"/>
      <c r="OWW1737" s="664"/>
      <c r="OWX1737" s="664"/>
      <c r="OWY1737" s="664"/>
      <c r="OWZ1737" s="664"/>
      <c r="OXA1737" s="630"/>
      <c r="OXB1737" s="631"/>
      <c r="OXC1737" s="655"/>
      <c r="OXD1737" s="734" t="s">
        <v>0</v>
      </c>
      <c r="OXE1737" s="735" t="s">
        <v>1690</v>
      </c>
      <c r="OXF1737" s="843" t="e">
        <f>#REF!</f>
        <v>#REF!</v>
      </c>
      <c r="OXG1737" s="662" t="s">
        <v>799</v>
      </c>
      <c r="OXH1737" s="663" t="s">
        <v>628</v>
      </c>
      <c r="OXI1737" s="633"/>
      <c r="OXJ1737" s="664"/>
      <c r="OXK1737" s="664"/>
      <c r="OXL1737" s="664"/>
      <c r="OXM1737" s="664"/>
      <c r="OXN1737" s="664"/>
      <c r="OXO1737" s="664"/>
      <c r="OXP1737" s="664"/>
      <c r="OXQ1737" s="630"/>
      <c r="OXR1737" s="631"/>
      <c r="OXS1737" s="655"/>
      <c r="OXT1737" s="734" t="s">
        <v>0</v>
      </c>
      <c r="OXU1737" s="735" t="s">
        <v>1690</v>
      </c>
      <c r="OXV1737" s="843" t="e">
        <f>#REF!</f>
        <v>#REF!</v>
      </c>
      <c r="OXW1737" s="662" t="s">
        <v>799</v>
      </c>
      <c r="OXX1737" s="663" t="s">
        <v>628</v>
      </c>
      <c r="OXY1737" s="633"/>
      <c r="OXZ1737" s="664"/>
      <c r="OYA1737" s="664"/>
      <c r="OYB1737" s="664"/>
      <c r="OYC1737" s="664"/>
      <c r="OYD1737" s="664"/>
      <c r="OYE1737" s="664"/>
      <c r="OYF1737" s="664"/>
      <c r="OYG1737" s="630"/>
      <c r="OYH1737" s="631"/>
      <c r="OYI1737" s="655"/>
      <c r="OYJ1737" s="734" t="s">
        <v>0</v>
      </c>
      <c r="OYK1737" s="735" t="s">
        <v>1690</v>
      </c>
      <c r="OYL1737" s="843" t="e">
        <f>#REF!</f>
        <v>#REF!</v>
      </c>
      <c r="OYM1737" s="662" t="s">
        <v>799</v>
      </c>
      <c r="OYN1737" s="663" t="s">
        <v>628</v>
      </c>
      <c r="OYO1737" s="633"/>
      <c r="OYP1737" s="664"/>
      <c r="OYQ1737" s="664"/>
      <c r="OYR1737" s="664"/>
      <c r="OYS1737" s="664"/>
      <c r="OYT1737" s="664"/>
      <c r="OYU1737" s="664"/>
      <c r="OYV1737" s="664"/>
      <c r="OYW1737" s="630"/>
      <c r="OYX1737" s="631"/>
      <c r="OYY1737" s="655"/>
      <c r="OYZ1737" s="734" t="s">
        <v>0</v>
      </c>
      <c r="OZA1737" s="735" t="s">
        <v>1690</v>
      </c>
      <c r="OZB1737" s="843" t="e">
        <f>#REF!</f>
        <v>#REF!</v>
      </c>
      <c r="OZC1737" s="662" t="s">
        <v>799</v>
      </c>
      <c r="OZD1737" s="663" t="s">
        <v>628</v>
      </c>
      <c r="OZE1737" s="633"/>
      <c r="OZF1737" s="664"/>
      <c r="OZG1737" s="664"/>
      <c r="OZH1737" s="664"/>
      <c r="OZI1737" s="664"/>
      <c r="OZJ1737" s="664"/>
      <c r="OZK1737" s="664"/>
      <c r="OZL1737" s="664"/>
      <c r="OZM1737" s="630"/>
      <c r="OZN1737" s="631"/>
      <c r="OZO1737" s="655"/>
      <c r="OZP1737" s="734" t="s">
        <v>0</v>
      </c>
      <c r="OZQ1737" s="735" t="s">
        <v>1690</v>
      </c>
      <c r="OZR1737" s="843" t="e">
        <f>#REF!</f>
        <v>#REF!</v>
      </c>
      <c r="OZS1737" s="662" t="s">
        <v>799</v>
      </c>
      <c r="OZT1737" s="663" t="s">
        <v>628</v>
      </c>
      <c r="OZU1737" s="633"/>
      <c r="OZV1737" s="664"/>
      <c r="OZW1737" s="664"/>
      <c r="OZX1737" s="664"/>
      <c r="OZY1737" s="664"/>
      <c r="OZZ1737" s="664"/>
      <c r="PAA1737" s="664"/>
      <c r="PAB1737" s="664"/>
      <c r="PAC1737" s="630"/>
      <c r="PAD1737" s="631"/>
      <c r="PAE1737" s="655"/>
      <c r="PAF1737" s="734" t="s">
        <v>0</v>
      </c>
      <c r="PAG1737" s="735" t="s">
        <v>1690</v>
      </c>
      <c r="PAH1737" s="843" t="e">
        <f>#REF!</f>
        <v>#REF!</v>
      </c>
      <c r="PAI1737" s="662" t="s">
        <v>799</v>
      </c>
      <c r="PAJ1737" s="663" t="s">
        <v>628</v>
      </c>
      <c r="PAK1737" s="633"/>
      <c r="PAL1737" s="664"/>
      <c r="PAM1737" s="664"/>
      <c r="PAN1737" s="664"/>
      <c r="PAO1737" s="664"/>
      <c r="PAP1737" s="664"/>
      <c r="PAQ1737" s="664"/>
      <c r="PAR1737" s="664"/>
      <c r="PAS1737" s="630"/>
      <c r="PAT1737" s="631"/>
      <c r="PAU1737" s="655"/>
      <c r="PAV1737" s="734" t="s">
        <v>0</v>
      </c>
      <c r="PAW1737" s="735" t="s">
        <v>1690</v>
      </c>
      <c r="PAX1737" s="843" t="e">
        <f>#REF!</f>
        <v>#REF!</v>
      </c>
      <c r="PAY1737" s="662" t="s">
        <v>799</v>
      </c>
      <c r="PAZ1737" s="663" t="s">
        <v>628</v>
      </c>
      <c r="PBA1737" s="633"/>
      <c r="PBB1737" s="664"/>
      <c r="PBC1737" s="664"/>
      <c r="PBD1737" s="664"/>
      <c r="PBE1737" s="664"/>
      <c r="PBF1737" s="664"/>
      <c r="PBG1737" s="664"/>
      <c r="PBH1737" s="664"/>
      <c r="PBI1737" s="630"/>
      <c r="PBJ1737" s="631"/>
      <c r="PBK1737" s="655"/>
      <c r="PBL1737" s="734" t="s">
        <v>0</v>
      </c>
      <c r="PBM1737" s="735" t="s">
        <v>1690</v>
      </c>
      <c r="PBN1737" s="843" t="e">
        <f>#REF!</f>
        <v>#REF!</v>
      </c>
      <c r="PBO1737" s="662" t="s">
        <v>799</v>
      </c>
      <c r="PBP1737" s="663" t="s">
        <v>628</v>
      </c>
      <c r="PBQ1737" s="633"/>
      <c r="PBR1737" s="664"/>
      <c r="PBS1737" s="664"/>
      <c r="PBT1737" s="664"/>
      <c r="PBU1737" s="664"/>
      <c r="PBV1737" s="664"/>
      <c r="PBW1737" s="664"/>
      <c r="PBX1737" s="664"/>
      <c r="PBY1737" s="630"/>
      <c r="PBZ1737" s="631"/>
      <c r="PCA1737" s="655"/>
      <c r="PCB1737" s="734" t="s">
        <v>0</v>
      </c>
      <c r="PCC1737" s="735" t="s">
        <v>1690</v>
      </c>
      <c r="PCD1737" s="843" t="e">
        <f>#REF!</f>
        <v>#REF!</v>
      </c>
      <c r="PCE1737" s="662" t="s">
        <v>799</v>
      </c>
      <c r="PCF1737" s="663" t="s">
        <v>628</v>
      </c>
      <c r="PCG1737" s="633"/>
      <c r="PCH1737" s="664"/>
      <c r="PCI1737" s="664"/>
      <c r="PCJ1737" s="664"/>
      <c r="PCK1737" s="664"/>
      <c r="PCL1737" s="664"/>
      <c r="PCM1737" s="664"/>
      <c r="PCN1737" s="664"/>
      <c r="PCO1737" s="630"/>
      <c r="PCP1737" s="631"/>
      <c r="PCQ1737" s="655"/>
      <c r="PCR1737" s="734" t="s">
        <v>0</v>
      </c>
      <c r="PCS1737" s="735" t="s">
        <v>1690</v>
      </c>
      <c r="PCT1737" s="843" t="e">
        <f>#REF!</f>
        <v>#REF!</v>
      </c>
      <c r="PCU1737" s="662" t="s">
        <v>799</v>
      </c>
      <c r="PCV1737" s="663" t="s">
        <v>628</v>
      </c>
      <c r="PCW1737" s="633"/>
      <c r="PCX1737" s="664"/>
      <c r="PCY1737" s="664"/>
      <c r="PCZ1737" s="664"/>
      <c r="PDA1737" s="664"/>
      <c r="PDB1737" s="664"/>
      <c r="PDC1737" s="664"/>
      <c r="PDD1737" s="664"/>
      <c r="PDE1737" s="630"/>
      <c r="PDF1737" s="631"/>
      <c r="PDG1737" s="655"/>
      <c r="PDH1737" s="734" t="s">
        <v>0</v>
      </c>
      <c r="PDI1737" s="735" t="s">
        <v>1690</v>
      </c>
      <c r="PDJ1737" s="843" t="e">
        <f>#REF!</f>
        <v>#REF!</v>
      </c>
      <c r="PDK1737" s="662" t="s">
        <v>799</v>
      </c>
      <c r="PDL1737" s="663" t="s">
        <v>628</v>
      </c>
      <c r="PDM1737" s="633"/>
      <c r="PDN1737" s="664"/>
      <c r="PDO1737" s="664"/>
      <c r="PDP1737" s="664"/>
      <c r="PDQ1737" s="664"/>
      <c r="PDR1737" s="664"/>
      <c r="PDS1737" s="664"/>
      <c r="PDT1737" s="664"/>
      <c r="PDU1737" s="630"/>
      <c r="PDV1737" s="631"/>
      <c r="PDW1737" s="655"/>
      <c r="PDX1737" s="734" t="s">
        <v>0</v>
      </c>
      <c r="PDY1737" s="735" t="s">
        <v>1690</v>
      </c>
      <c r="PDZ1737" s="843" t="e">
        <f>#REF!</f>
        <v>#REF!</v>
      </c>
      <c r="PEA1737" s="662" t="s">
        <v>799</v>
      </c>
      <c r="PEB1737" s="663" t="s">
        <v>628</v>
      </c>
      <c r="PEC1737" s="633"/>
      <c r="PED1737" s="664"/>
      <c r="PEE1737" s="664"/>
      <c r="PEF1737" s="664"/>
      <c r="PEG1737" s="664"/>
      <c r="PEH1737" s="664"/>
      <c r="PEI1737" s="664"/>
      <c r="PEJ1737" s="664"/>
      <c r="PEK1737" s="630"/>
      <c r="PEL1737" s="631"/>
      <c r="PEM1737" s="655"/>
      <c r="PEN1737" s="734" t="s">
        <v>0</v>
      </c>
      <c r="PEO1737" s="735" t="s">
        <v>1690</v>
      </c>
      <c r="PEP1737" s="843" t="e">
        <f>#REF!</f>
        <v>#REF!</v>
      </c>
      <c r="PEQ1737" s="662" t="s">
        <v>799</v>
      </c>
      <c r="PER1737" s="663" t="s">
        <v>628</v>
      </c>
      <c r="PES1737" s="633"/>
      <c r="PET1737" s="664"/>
      <c r="PEU1737" s="664"/>
      <c r="PEV1737" s="664"/>
      <c r="PEW1737" s="664"/>
      <c r="PEX1737" s="664"/>
      <c r="PEY1737" s="664"/>
      <c r="PEZ1737" s="664"/>
      <c r="PFA1737" s="630"/>
      <c r="PFB1737" s="631"/>
      <c r="PFC1737" s="655"/>
      <c r="PFD1737" s="734" t="s">
        <v>0</v>
      </c>
      <c r="PFE1737" s="735" t="s">
        <v>1690</v>
      </c>
      <c r="PFF1737" s="843" t="e">
        <f>#REF!</f>
        <v>#REF!</v>
      </c>
      <c r="PFG1737" s="662" t="s">
        <v>799</v>
      </c>
      <c r="PFH1737" s="663" t="s">
        <v>628</v>
      </c>
      <c r="PFI1737" s="633"/>
      <c r="PFJ1737" s="664"/>
      <c r="PFK1737" s="664"/>
      <c r="PFL1737" s="664"/>
      <c r="PFM1737" s="664"/>
      <c r="PFN1737" s="664"/>
      <c r="PFO1737" s="664"/>
      <c r="PFP1737" s="664"/>
      <c r="PFQ1737" s="630"/>
      <c r="PFR1737" s="631"/>
      <c r="PFS1737" s="655"/>
      <c r="PFT1737" s="734" t="s">
        <v>0</v>
      </c>
      <c r="PFU1737" s="735" t="s">
        <v>1690</v>
      </c>
      <c r="PFV1737" s="843" t="e">
        <f>#REF!</f>
        <v>#REF!</v>
      </c>
      <c r="PFW1737" s="662" t="s">
        <v>799</v>
      </c>
      <c r="PFX1737" s="663" t="s">
        <v>628</v>
      </c>
      <c r="PFY1737" s="633"/>
      <c r="PFZ1737" s="664"/>
      <c r="PGA1737" s="664"/>
      <c r="PGB1737" s="664"/>
      <c r="PGC1737" s="664"/>
      <c r="PGD1737" s="664"/>
      <c r="PGE1737" s="664"/>
      <c r="PGF1737" s="664"/>
      <c r="PGG1737" s="630"/>
      <c r="PGH1737" s="631"/>
      <c r="PGI1737" s="655"/>
      <c r="PGJ1737" s="734" t="s">
        <v>0</v>
      </c>
      <c r="PGK1737" s="735" t="s">
        <v>1690</v>
      </c>
      <c r="PGL1737" s="843" t="e">
        <f>#REF!</f>
        <v>#REF!</v>
      </c>
      <c r="PGM1737" s="662" t="s">
        <v>799</v>
      </c>
      <c r="PGN1737" s="663" t="s">
        <v>628</v>
      </c>
      <c r="PGO1737" s="633"/>
      <c r="PGP1737" s="664"/>
      <c r="PGQ1737" s="664"/>
      <c r="PGR1737" s="664"/>
      <c r="PGS1737" s="664"/>
      <c r="PGT1737" s="664"/>
      <c r="PGU1737" s="664"/>
      <c r="PGV1737" s="664"/>
      <c r="PGW1737" s="630"/>
      <c r="PGX1737" s="631"/>
      <c r="PGY1737" s="655"/>
      <c r="PGZ1737" s="734" t="s">
        <v>0</v>
      </c>
      <c r="PHA1737" s="735" t="s">
        <v>1690</v>
      </c>
      <c r="PHB1737" s="843" t="e">
        <f>#REF!</f>
        <v>#REF!</v>
      </c>
      <c r="PHC1737" s="662" t="s">
        <v>799</v>
      </c>
      <c r="PHD1737" s="663" t="s">
        <v>628</v>
      </c>
      <c r="PHE1737" s="633"/>
      <c r="PHF1737" s="664"/>
      <c r="PHG1737" s="664"/>
      <c r="PHH1737" s="664"/>
      <c r="PHI1737" s="664"/>
      <c r="PHJ1737" s="664"/>
      <c r="PHK1737" s="664"/>
      <c r="PHL1737" s="664"/>
      <c r="PHM1737" s="630"/>
      <c r="PHN1737" s="631"/>
      <c r="PHO1737" s="655"/>
      <c r="PHP1737" s="734" t="s">
        <v>0</v>
      </c>
      <c r="PHQ1737" s="735" t="s">
        <v>1690</v>
      </c>
      <c r="PHR1737" s="843" t="e">
        <f>#REF!</f>
        <v>#REF!</v>
      </c>
      <c r="PHS1737" s="662" t="s">
        <v>799</v>
      </c>
      <c r="PHT1737" s="663" t="s">
        <v>628</v>
      </c>
      <c r="PHU1737" s="633"/>
      <c r="PHV1737" s="664"/>
      <c r="PHW1737" s="664"/>
      <c r="PHX1737" s="664"/>
      <c r="PHY1737" s="664"/>
      <c r="PHZ1737" s="664"/>
      <c r="PIA1737" s="664"/>
      <c r="PIB1737" s="664"/>
      <c r="PIC1737" s="630"/>
      <c r="PID1737" s="631"/>
      <c r="PIE1737" s="655"/>
      <c r="PIF1737" s="734" t="s">
        <v>0</v>
      </c>
      <c r="PIG1737" s="735" t="s">
        <v>1690</v>
      </c>
      <c r="PIH1737" s="843" t="e">
        <f>#REF!</f>
        <v>#REF!</v>
      </c>
      <c r="PII1737" s="662" t="s">
        <v>799</v>
      </c>
      <c r="PIJ1737" s="663" t="s">
        <v>628</v>
      </c>
      <c r="PIK1737" s="633"/>
      <c r="PIL1737" s="664"/>
      <c r="PIM1737" s="664"/>
      <c r="PIN1737" s="664"/>
      <c r="PIO1737" s="664"/>
      <c r="PIP1737" s="664"/>
      <c r="PIQ1737" s="664"/>
      <c r="PIR1737" s="664"/>
      <c r="PIS1737" s="630"/>
      <c r="PIT1737" s="631"/>
      <c r="PIU1737" s="655"/>
      <c r="PIV1737" s="734" t="s">
        <v>0</v>
      </c>
      <c r="PIW1737" s="735" t="s">
        <v>1690</v>
      </c>
      <c r="PIX1737" s="843" t="e">
        <f>#REF!</f>
        <v>#REF!</v>
      </c>
      <c r="PIY1737" s="662" t="s">
        <v>799</v>
      </c>
      <c r="PIZ1737" s="663" t="s">
        <v>628</v>
      </c>
      <c r="PJA1737" s="633"/>
      <c r="PJB1737" s="664"/>
      <c r="PJC1737" s="664"/>
      <c r="PJD1737" s="664"/>
      <c r="PJE1737" s="664"/>
      <c r="PJF1737" s="664"/>
      <c r="PJG1737" s="664"/>
      <c r="PJH1737" s="664"/>
      <c r="PJI1737" s="630"/>
      <c r="PJJ1737" s="631"/>
      <c r="PJK1737" s="655"/>
      <c r="PJL1737" s="734" t="s">
        <v>0</v>
      </c>
      <c r="PJM1737" s="735" t="s">
        <v>1690</v>
      </c>
      <c r="PJN1737" s="843" t="e">
        <f>#REF!</f>
        <v>#REF!</v>
      </c>
      <c r="PJO1737" s="662" t="s">
        <v>799</v>
      </c>
      <c r="PJP1737" s="663" t="s">
        <v>628</v>
      </c>
      <c r="PJQ1737" s="633"/>
      <c r="PJR1737" s="664"/>
      <c r="PJS1737" s="664"/>
      <c r="PJT1737" s="664"/>
      <c r="PJU1737" s="664"/>
      <c r="PJV1737" s="664"/>
      <c r="PJW1737" s="664"/>
      <c r="PJX1737" s="664"/>
      <c r="PJY1737" s="630"/>
      <c r="PJZ1737" s="631"/>
      <c r="PKA1737" s="655"/>
      <c r="PKB1737" s="734" t="s">
        <v>0</v>
      </c>
      <c r="PKC1737" s="735" t="s">
        <v>1690</v>
      </c>
      <c r="PKD1737" s="843" t="e">
        <f>#REF!</f>
        <v>#REF!</v>
      </c>
      <c r="PKE1737" s="662" t="s">
        <v>799</v>
      </c>
      <c r="PKF1737" s="663" t="s">
        <v>628</v>
      </c>
      <c r="PKG1737" s="633"/>
      <c r="PKH1737" s="664"/>
      <c r="PKI1737" s="664"/>
      <c r="PKJ1737" s="664"/>
      <c r="PKK1737" s="664"/>
      <c r="PKL1737" s="664"/>
      <c r="PKM1737" s="664"/>
      <c r="PKN1737" s="664"/>
      <c r="PKO1737" s="630"/>
      <c r="PKP1737" s="631"/>
      <c r="PKQ1737" s="655"/>
      <c r="PKR1737" s="734" t="s">
        <v>0</v>
      </c>
      <c r="PKS1737" s="735" t="s">
        <v>1690</v>
      </c>
      <c r="PKT1737" s="843" t="e">
        <f>#REF!</f>
        <v>#REF!</v>
      </c>
      <c r="PKU1737" s="662" t="s">
        <v>799</v>
      </c>
      <c r="PKV1737" s="663" t="s">
        <v>628</v>
      </c>
      <c r="PKW1737" s="633"/>
      <c r="PKX1737" s="664"/>
      <c r="PKY1737" s="664"/>
      <c r="PKZ1737" s="664"/>
      <c r="PLA1737" s="664"/>
      <c r="PLB1737" s="664"/>
      <c r="PLC1737" s="664"/>
      <c r="PLD1737" s="664"/>
      <c r="PLE1737" s="630"/>
      <c r="PLF1737" s="631"/>
      <c r="PLG1737" s="655"/>
      <c r="PLH1737" s="734" t="s">
        <v>0</v>
      </c>
      <c r="PLI1737" s="735" t="s">
        <v>1690</v>
      </c>
      <c r="PLJ1737" s="843" t="e">
        <f>#REF!</f>
        <v>#REF!</v>
      </c>
      <c r="PLK1737" s="662" t="s">
        <v>799</v>
      </c>
      <c r="PLL1737" s="663" t="s">
        <v>628</v>
      </c>
      <c r="PLM1737" s="633"/>
      <c r="PLN1737" s="664"/>
      <c r="PLO1737" s="664"/>
      <c r="PLP1737" s="664"/>
      <c r="PLQ1737" s="664"/>
      <c r="PLR1737" s="664"/>
      <c r="PLS1737" s="664"/>
      <c r="PLT1737" s="664"/>
      <c r="PLU1737" s="630"/>
      <c r="PLV1737" s="631"/>
      <c r="PLW1737" s="655"/>
      <c r="PLX1737" s="734" t="s">
        <v>0</v>
      </c>
      <c r="PLY1737" s="735" t="s">
        <v>1690</v>
      </c>
      <c r="PLZ1737" s="843" t="e">
        <f>#REF!</f>
        <v>#REF!</v>
      </c>
      <c r="PMA1737" s="662" t="s">
        <v>799</v>
      </c>
      <c r="PMB1737" s="663" t="s">
        <v>628</v>
      </c>
      <c r="PMC1737" s="633"/>
      <c r="PMD1737" s="664"/>
      <c r="PME1737" s="664"/>
      <c r="PMF1737" s="664"/>
      <c r="PMG1737" s="664"/>
      <c r="PMH1737" s="664"/>
      <c r="PMI1737" s="664"/>
      <c r="PMJ1737" s="664"/>
      <c r="PMK1737" s="630"/>
      <c r="PML1737" s="631"/>
      <c r="PMM1737" s="655"/>
      <c r="PMN1737" s="734" t="s">
        <v>0</v>
      </c>
      <c r="PMO1737" s="735" t="s">
        <v>1690</v>
      </c>
      <c r="PMP1737" s="843" t="e">
        <f>#REF!</f>
        <v>#REF!</v>
      </c>
      <c r="PMQ1737" s="662" t="s">
        <v>799</v>
      </c>
      <c r="PMR1737" s="663" t="s">
        <v>628</v>
      </c>
      <c r="PMS1737" s="633"/>
      <c r="PMT1737" s="664"/>
      <c r="PMU1737" s="664"/>
      <c r="PMV1737" s="664"/>
      <c r="PMW1737" s="664"/>
      <c r="PMX1737" s="664"/>
      <c r="PMY1737" s="664"/>
      <c r="PMZ1737" s="664"/>
      <c r="PNA1737" s="630"/>
      <c r="PNB1737" s="631"/>
      <c r="PNC1737" s="655"/>
      <c r="PND1737" s="734" t="s">
        <v>0</v>
      </c>
      <c r="PNE1737" s="735" t="s">
        <v>1690</v>
      </c>
      <c r="PNF1737" s="843" t="e">
        <f>#REF!</f>
        <v>#REF!</v>
      </c>
      <c r="PNG1737" s="662" t="s">
        <v>799</v>
      </c>
      <c r="PNH1737" s="663" t="s">
        <v>628</v>
      </c>
      <c r="PNI1737" s="633"/>
      <c r="PNJ1737" s="664"/>
      <c r="PNK1737" s="664"/>
      <c r="PNL1737" s="664"/>
      <c r="PNM1737" s="664"/>
      <c r="PNN1737" s="664"/>
      <c r="PNO1737" s="664"/>
      <c r="PNP1737" s="664"/>
      <c r="PNQ1737" s="630"/>
      <c r="PNR1737" s="631"/>
      <c r="PNS1737" s="655"/>
      <c r="PNT1737" s="734" t="s">
        <v>0</v>
      </c>
      <c r="PNU1737" s="735" t="s">
        <v>1690</v>
      </c>
      <c r="PNV1737" s="843" t="e">
        <f>#REF!</f>
        <v>#REF!</v>
      </c>
      <c r="PNW1737" s="662" t="s">
        <v>799</v>
      </c>
      <c r="PNX1737" s="663" t="s">
        <v>628</v>
      </c>
      <c r="PNY1737" s="633"/>
      <c r="PNZ1737" s="664"/>
      <c r="POA1737" s="664"/>
      <c r="POB1737" s="664"/>
      <c r="POC1737" s="664"/>
      <c r="POD1737" s="664"/>
      <c r="POE1737" s="664"/>
      <c r="POF1737" s="664"/>
      <c r="POG1737" s="630"/>
      <c r="POH1737" s="631"/>
      <c r="POI1737" s="655"/>
      <c r="POJ1737" s="734" t="s">
        <v>0</v>
      </c>
      <c r="POK1737" s="735" t="s">
        <v>1690</v>
      </c>
      <c r="POL1737" s="843" t="e">
        <f>#REF!</f>
        <v>#REF!</v>
      </c>
      <c r="POM1737" s="662" t="s">
        <v>799</v>
      </c>
      <c r="PON1737" s="663" t="s">
        <v>628</v>
      </c>
      <c r="POO1737" s="633"/>
      <c r="POP1737" s="664"/>
      <c r="POQ1737" s="664"/>
      <c r="POR1737" s="664"/>
      <c r="POS1737" s="664"/>
      <c r="POT1737" s="664"/>
      <c r="POU1737" s="664"/>
      <c r="POV1737" s="664"/>
      <c r="POW1737" s="630"/>
      <c r="POX1737" s="631"/>
      <c r="POY1737" s="655"/>
      <c r="POZ1737" s="734" t="s">
        <v>0</v>
      </c>
      <c r="PPA1737" s="735" t="s">
        <v>1690</v>
      </c>
      <c r="PPB1737" s="843" t="e">
        <f>#REF!</f>
        <v>#REF!</v>
      </c>
      <c r="PPC1737" s="662" t="s">
        <v>799</v>
      </c>
      <c r="PPD1737" s="663" t="s">
        <v>628</v>
      </c>
      <c r="PPE1737" s="633"/>
      <c r="PPF1737" s="664"/>
      <c r="PPG1737" s="664"/>
      <c r="PPH1737" s="664"/>
      <c r="PPI1737" s="664"/>
      <c r="PPJ1737" s="664"/>
      <c r="PPK1737" s="664"/>
      <c r="PPL1737" s="664"/>
      <c r="PPM1737" s="630"/>
      <c r="PPN1737" s="631"/>
      <c r="PPO1737" s="655"/>
      <c r="PPP1737" s="734" t="s">
        <v>0</v>
      </c>
      <c r="PPQ1737" s="735" t="s">
        <v>1690</v>
      </c>
      <c r="PPR1737" s="843" t="e">
        <f>#REF!</f>
        <v>#REF!</v>
      </c>
      <c r="PPS1737" s="662" t="s">
        <v>799</v>
      </c>
      <c r="PPT1737" s="663" t="s">
        <v>628</v>
      </c>
      <c r="PPU1737" s="633"/>
      <c r="PPV1737" s="664"/>
      <c r="PPW1737" s="664"/>
      <c r="PPX1737" s="664"/>
      <c r="PPY1737" s="664"/>
      <c r="PPZ1737" s="664"/>
      <c r="PQA1737" s="664"/>
      <c r="PQB1737" s="664"/>
      <c r="PQC1737" s="630"/>
      <c r="PQD1737" s="631"/>
      <c r="PQE1737" s="655"/>
      <c r="PQF1737" s="734" t="s">
        <v>0</v>
      </c>
      <c r="PQG1737" s="735" t="s">
        <v>1690</v>
      </c>
      <c r="PQH1737" s="843" t="e">
        <f>#REF!</f>
        <v>#REF!</v>
      </c>
      <c r="PQI1737" s="662" t="s">
        <v>799</v>
      </c>
      <c r="PQJ1737" s="663" t="s">
        <v>628</v>
      </c>
      <c r="PQK1737" s="633"/>
      <c r="PQL1737" s="664"/>
      <c r="PQM1737" s="664"/>
      <c r="PQN1737" s="664"/>
      <c r="PQO1737" s="664"/>
      <c r="PQP1737" s="664"/>
      <c r="PQQ1737" s="664"/>
      <c r="PQR1737" s="664"/>
      <c r="PQS1737" s="630"/>
      <c r="PQT1737" s="631"/>
      <c r="PQU1737" s="655"/>
      <c r="PQV1737" s="734" t="s">
        <v>0</v>
      </c>
      <c r="PQW1737" s="735" t="s">
        <v>1690</v>
      </c>
      <c r="PQX1737" s="843" t="e">
        <f>#REF!</f>
        <v>#REF!</v>
      </c>
      <c r="PQY1737" s="662" t="s">
        <v>799</v>
      </c>
      <c r="PQZ1737" s="663" t="s">
        <v>628</v>
      </c>
      <c r="PRA1737" s="633"/>
      <c r="PRB1737" s="664"/>
      <c r="PRC1737" s="664"/>
      <c r="PRD1737" s="664"/>
      <c r="PRE1737" s="664"/>
      <c r="PRF1737" s="664"/>
      <c r="PRG1737" s="664"/>
      <c r="PRH1737" s="664"/>
      <c r="PRI1737" s="630"/>
      <c r="PRJ1737" s="631"/>
      <c r="PRK1737" s="655"/>
      <c r="PRL1737" s="734" t="s">
        <v>0</v>
      </c>
      <c r="PRM1737" s="735" t="s">
        <v>1690</v>
      </c>
      <c r="PRN1737" s="843" t="e">
        <f>#REF!</f>
        <v>#REF!</v>
      </c>
      <c r="PRO1737" s="662" t="s">
        <v>799</v>
      </c>
      <c r="PRP1737" s="663" t="s">
        <v>628</v>
      </c>
      <c r="PRQ1737" s="633"/>
      <c r="PRR1737" s="664"/>
      <c r="PRS1737" s="664"/>
      <c r="PRT1737" s="664"/>
      <c r="PRU1737" s="664"/>
      <c r="PRV1737" s="664"/>
      <c r="PRW1737" s="664"/>
      <c r="PRX1737" s="664"/>
      <c r="PRY1737" s="630"/>
      <c r="PRZ1737" s="631"/>
      <c r="PSA1737" s="655"/>
      <c r="PSB1737" s="734" t="s">
        <v>0</v>
      </c>
      <c r="PSC1737" s="735" t="s">
        <v>1690</v>
      </c>
      <c r="PSD1737" s="843" t="e">
        <f>#REF!</f>
        <v>#REF!</v>
      </c>
      <c r="PSE1737" s="662" t="s">
        <v>799</v>
      </c>
      <c r="PSF1737" s="663" t="s">
        <v>628</v>
      </c>
      <c r="PSG1737" s="633"/>
      <c r="PSH1737" s="664"/>
      <c r="PSI1737" s="664"/>
      <c r="PSJ1737" s="664"/>
      <c r="PSK1737" s="664"/>
      <c r="PSL1737" s="664"/>
      <c r="PSM1737" s="664"/>
      <c r="PSN1737" s="664"/>
      <c r="PSO1737" s="630"/>
      <c r="PSP1737" s="631"/>
      <c r="PSQ1737" s="655"/>
      <c r="PSR1737" s="734" t="s">
        <v>0</v>
      </c>
      <c r="PSS1737" s="735" t="s">
        <v>1690</v>
      </c>
      <c r="PST1737" s="843" t="e">
        <f>#REF!</f>
        <v>#REF!</v>
      </c>
      <c r="PSU1737" s="662" t="s">
        <v>799</v>
      </c>
      <c r="PSV1737" s="663" t="s">
        <v>628</v>
      </c>
      <c r="PSW1737" s="633"/>
      <c r="PSX1737" s="664"/>
      <c r="PSY1737" s="664"/>
      <c r="PSZ1737" s="664"/>
      <c r="PTA1737" s="664"/>
      <c r="PTB1737" s="664"/>
      <c r="PTC1737" s="664"/>
      <c r="PTD1737" s="664"/>
      <c r="PTE1737" s="630"/>
      <c r="PTF1737" s="631"/>
      <c r="PTG1737" s="655"/>
      <c r="PTH1737" s="734" t="s">
        <v>0</v>
      </c>
      <c r="PTI1737" s="735" t="s">
        <v>1690</v>
      </c>
      <c r="PTJ1737" s="843" t="e">
        <f>#REF!</f>
        <v>#REF!</v>
      </c>
      <c r="PTK1737" s="662" t="s">
        <v>799</v>
      </c>
      <c r="PTL1737" s="663" t="s">
        <v>628</v>
      </c>
      <c r="PTM1737" s="633"/>
      <c r="PTN1737" s="664"/>
      <c r="PTO1737" s="664"/>
      <c r="PTP1737" s="664"/>
      <c r="PTQ1737" s="664"/>
      <c r="PTR1737" s="664"/>
      <c r="PTS1737" s="664"/>
      <c r="PTT1737" s="664"/>
      <c r="PTU1737" s="630"/>
      <c r="PTV1737" s="631"/>
      <c r="PTW1737" s="655"/>
      <c r="PTX1737" s="734" t="s">
        <v>0</v>
      </c>
      <c r="PTY1737" s="735" t="s">
        <v>1690</v>
      </c>
      <c r="PTZ1737" s="843" t="e">
        <f>#REF!</f>
        <v>#REF!</v>
      </c>
      <c r="PUA1737" s="662" t="s">
        <v>799</v>
      </c>
      <c r="PUB1737" s="663" t="s">
        <v>628</v>
      </c>
      <c r="PUC1737" s="633"/>
      <c r="PUD1737" s="664"/>
      <c r="PUE1737" s="664"/>
      <c r="PUF1737" s="664"/>
      <c r="PUG1737" s="664"/>
      <c r="PUH1737" s="664"/>
      <c r="PUI1737" s="664"/>
      <c r="PUJ1737" s="664"/>
      <c r="PUK1737" s="630"/>
      <c r="PUL1737" s="631"/>
      <c r="PUM1737" s="655"/>
      <c r="PUN1737" s="734" t="s">
        <v>0</v>
      </c>
      <c r="PUO1737" s="735" t="s">
        <v>1690</v>
      </c>
      <c r="PUP1737" s="843" t="e">
        <f>#REF!</f>
        <v>#REF!</v>
      </c>
      <c r="PUQ1737" s="662" t="s">
        <v>799</v>
      </c>
      <c r="PUR1737" s="663" t="s">
        <v>628</v>
      </c>
      <c r="PUS1737" s="633"/>
      <c r="PUT1737" s="664"/>
      <c r="PUU1737" s="664"/>
      <c r="PUV1737" s="664"/>
      <c r="PUW1737" s="664"/>
      <c r="PUX1737" s="664"/>
      <c r="PUY1737" s="664"/>
      <c r="PUZ1737" s="664"/>
      <c r="PVA1737" s="630"/>
      <c r="PVB1737" s="631"/>
      <c r="PVC1737" s="655"/>
      <c r="PVD1737" s="734" t="s">
        <v>0</v>
      </c>
      <c r="PVE1737" s="735" t="s">
        <v>1690</v>
      </c>
      <c r="PVF1737" s="843" t="e">
        <f>#REF!</f>
        <v>#REF!</v>
      </c>
      <c r="PVG1737" s="662" t="s">
        <v>799</v>
      </c>
      <c r="PVH1737" s="663" t="s">
        <v>628</v>
      </c>
      <c r="PVI1737" s="633"/>
      <c r="PVJ1737" s="664"/>
      <c r="PVK1737" s="664"/>
      <c r="PVL1737" s="664"/>
      <c r="PVM1737" s="664"/>
      <c r="PVN1737" s="664"/>
      <c r="PVO1737" s="664"/>
      <c r="PVP1737" s="664"/>
      <c r="PVQ1737" s="630"/>
      <c r="PVR1737" s="631"/>
      <c r="PVS1737" s="655"/>
      <c r="PVT1737" s="734" t="s">
        <v>0</v>
      </c>
      <c r="PVU1737" s="735" t="s">
        <v>1690</v>
      </c>
      <c r="PVV1737" s="843" t="e">
        <f>#REF!</f>
        <v>#REF!</v>
      </c>
      <c r="PVW1737" s="662" t="s">
        <v>799</v>
      </c>
      <c r="PVX1737" s="663" t="s">
        <v>628</v>
      </c>
      <c r="PVY1737" s="633"/>
      <c r="PVZ1737" s="664"/>
      <c r="PWA1737" s="664"/>
      <c r="PWB1737" s="664"/>
      <c r="PWC1737" s="664"/>
      <c r="PWD1737" s="664"/>
      <c r="PWE1737" s="664"/>
      <c r="PWF1737" s="664"/>
      <c r="PWG1737" s="630"/>
      <c r="PWH1737" s="631"/>
      <c r="PWI1737" s="655"/>
      <c r="PWJ1737" s="734" t="s">
        <v>0</v>
      </c>
      <c r="PWK1737" s="735" t="s">
        <v>1690</v>
      </c>
      <c r="PWL1737" s="843" t="e">
        <f>#REF!</f>
        <v>#REF!</v>
      </c>
      <c r="PWM1737" s="662" t="s">
        <v>799</v>
      </c>
      <c r="PWN1737" s="663" t="s">
        <v>628</v>
      </c>
      <c r="PWO1737" s="633"/>
      <c r="PWP1737" s="664"/>
      <c r="PWQ1737" s="664"/>
      <c r="PWR1737" s="664"/>
      <c r="PWS1737" s="664"/>
      <c r="PWT1737" s="664"/>
      <c r="PWU1737" s="664"/>
      <c r="PWV1737" s="664"/>
      <c r="PWW1737" s="630"/>
      <c r="PWX1737" s="631"/>
      <c r="PWY1737" s="655"/>
      <c r="PWZ1737" s="734" t="s">
        <v>0</v>
      </c>
      <c r="PXA1737" s="735" t="s">
        <v>1690</v>
      </c>
      <c r="PXB1737" s="843" t="e">
        <f>#REF!</f>
        <v>#REF!</v>
      </c>
      <c r="PXC1737" s="662" t="s">
        <v>799</v>
      </c>
      <c r="PXD1737" s="663" t="s">
        <v>628</v>
      </c>
      <c r="PXE1737" s="633"/>
      <c r="PXF1737" s="664"/>
      <c r="PXG1737" s="664"/>
      <c r="PXH1737" s="664"/>
      <c r="PXI1737" s="664"/>
      <c r="PXJ1737" s="664"/>
      <c r="PXK1737" s="664"/>
      <c r="PXL1737" s="664"/>
      <c r="PXM1737" s="630"/>
      <c r="PXN1737" s="631"/>
      <c r="PXO1737" s="655"/>
      <c r="PXP1737" s="734" t="s">
        <v>0</v>
      </c>
      <c r="PXQ1737" s="735" t="s">
        <v>1690</v>
      </c>
      <c r="PXR1737" s="843" t="e">
        <f>#REF!</f>
        <v>#REF!</v>
      </c>
      <c r="PXS1737" s="662" t="s">
        <v>799</v>
      </c>
      <c r="PXT1737" s="663" t="s">
        <v>628</v>
      </c>
      <c r="PXU1737" s="633"/>
      <c r="PXV1737" s="664"/>
      <c r="PXW1737" s="664"/>
      <c r="PXX1737" s="664"/>
      <c r="PXY1737" s="664"/>
      <c r="PXZ1737" s="664"/>
      <c r="PYA1737" s="664"/>
      <c r="PYB1737" s="664"/>
      <c r="PYC1737" s="630"/>
      <c r="PYD1737" s="631"/>
      <c r="PYE1737" s="655"/>
      <c r="PYF1737" s="734" t="s">
        <v>0</v>
      </c>
      <c r="PYG1737" s="735" t="s">
        <v>1690</v>
      </c>
      <c r="PYH1737" s="843" t="e">
        <f>#REF!</f>
        <v>#REF!</v>
      </c>
      <c r="PYI1737" s="662" t="s">
        <v>799</v>
      </c>
      <c r="PYJ1737" s="663" t="s">
        <v>628</v>
      </c>
      <c r="PYK1737" s="633"/>
      <c r="PYL1737" s="664"/>
      <c r="PYM1737" s="664"/>
      <c r="PYN1737" s="664"/>
      <c r="PYO1737" s="664"/>
      <c r="PYP1737" s="664"/>
      <c r="PYQ1737" s="664"/>
      <c r="PYR1737" s="664"/>
      <c r="PYS1737" s="630"/>
      <c r="PYT1737" s="631"/>
      <c r="PYU1737" s="655"/>
      <c r="PYV1737" s="734" t="s">
        <v>0</v>
      </c>
      <c r="PYW1737" s="735" t="s">
        <v>1690</v>
      </c>
      <c r="PYX1737" s="843" t="e">
        <f>#REF!</f>
        <v>#REF!</v>
      </c>
      <c r="PYY1737" s="662" t="s">
        <v>799</v>
      </c>
      <c r="PYZ1737" s="663" t="s">
        <v>628</v>
      </c>
      <c r="PZA1737" s="633"/>
      <c r="PZB1737" s="664"/>
      <c r="PZC1737" s="664"/>
      <c r="PZD1737" s="664"/>
      <c r="PZE1737" s="664"/>
      <c r="PZF1737" s="664"/>
      <c r="PZG1737" s="664"/>
      <c r="PZH1737" s="664"/>
      <c r="PZI1737" s="630"/>
      <c r="PZJ1737" s="631"/>
      <c r="PZK1737" s="655"/>
      <c r="PZL1737" s="734" t="s">
        <v>0</v>
      </c>
      <c r="PZM1737" s="735" t="s">
        <v>1690</v>
      </c>
      <c r="PZN1737" s="843" t="e">
        <f>#REF!</f>
        <v>#REF!</v>
      </c>
      <c r="PZO1737" s="662" t="s">
        <v>799</v>
      </c>
      <c r="PZP1737" s="663" t="s">
        <v>628</v>
      </c>
      <c r="PZQ1737" s="633"/>
      <c r="PZR1737" s="664"/>
      <c r="PZS1737" s="664"/>
      <c r="PZT1737" s="664"/>
      <c r="PZU1737" s="664"/>
      <c r="PZV1737" s="664"/>
      <c r="PZW1737" s="664"/>
      <c r="PZX1737" s="664"/>
      <c r="PZY1737" s="630"/>
      <c r="PZZ1737" s="631"/>
      <c r="QAA1737" s="655"/>
      <c r="QAB1737" s="734" t="s">
        <v>0</v>
      </c>
      <c r="QAC1737" s="735" t="s">
        <v>1690</v>
      </c>
      <c r="QAD1737" s="843" t="e">
        <f>#REF!</f>
        <v>#REF!</v>
      </c>
      <c r="QAE1737" s="662" t="s">
        <v>799</v>
      </c>
      <c r="QAF1737" s="663" t="s">
        <v>628</v>
      </c>
      <c r="QAG1737" s="633"/>
      <c r="QAH1737" s="664"/>
      <c r="QAI1737" s="664"/>
      <c r="QAJ1737" s="664"/>
      <c r="QAK1737" s="664"/>
      <c r="QAL1737" s="664"/>
      <c r="QAM1737" s="664"/>
      <c r="QAN1737" s="664"/>
      <c r="QAO1737" s="630"/>
      <c r="QAP1737" s="631"/>
      <c r="QAQ1737" s="655"/>
      <c r="QAR1737" s="734" t="s">
        <v>0</v>
      </c>
      <c r="QAS1737" s="735" t="s">
        <v>1690</v>
      </c>
      <c r="QAT1737" s="843" t="e">
        <f>#REF!</f>
        <v>#REF!</v>
      </c>
      <c r="QAU1737" s="662" t="s">
        <v>799</v>
      </c>
      <c r="QAV1737" s="663" t="s">
        <v>628</v>
      </c>
      <c r="QAW1737" s="633"/>
      <c r="QAX1737" s="664"/>
      <c r="QAY1737" s="664"/>
      <c r="QAZ1737" s="664"/>
      <c r="QBA1737" s="664"/>
      <c r="QBB1737" s="664"/>
      <c r="QBC1737" s="664"/>
      <c r="QBD1737" s="664"/>
      <c r="QBE1737" s="630"/>
      <c r="QBF1737" s="631"/>
      <c r="QBG1737" s="655"/>
      <c r="QBH1737" s="734" t="s">
        <v>0</v>
      </c>
      <c r="QBI1737" s="735" t="s">
        <v>1690</v>
      </c>
      <c r="QBJ1737" s="843" t="e">
        <f>#REF!</f>
        <v>#REF!</v>
      </c>
      <c r="QBK1737" s="662" t="s">
        <v>799</v>
      </c>
      <c r="QBL1737" s="663" t="s">
        <v>628</v>
      </c>
      <c r="QBM1737" s="633"/>
      <c r="QBN1737" s="664"/>
      <c r="QBO1737" s="664"/>
      <c r="QBP1737" s="664"/>
      <c r="QBQ1737" s="664"/>
      <c r="QBR1737" s="664"/>
      <c r="QBS1737" s="664"/>
      <c r="QBT1737" s="664"/>
      <c r="QBU1737" s="630"/>
      <c r="QBV1737" s="631"/>
      <c r="QBW1737" s="655"/>
      <c r="QBX1737" s="734" t="s">
        <v>0</v>
      </c>
      <c r="QBY1737" s="735" t="s">
        <v>1690</v>
      </c>
      <c r="QBZ1737" s="843" t="e">
        <f>#REF!</f>
        <v>#REF!</v>
      </c>
      <c r="QCA1737" s="662" t="s">
        <v>799</v>
      </c>
      <c r="QCB1737" s="663" t="s">
        <v>628</v>
      </c>
      <c r="QCC1737" s="633"/>
      <c r="QCD1737" s="664"/>
      <c r="QCE1737" s="664"/>
      <c r="QCF1737" s="664"/>
      <c r="QCG1737" s="664"/>
      <c r="QCH1737" s="664"/>
      <c r="QCI1737" s="664"/>
      <c r="QCJ1737" s="664"/>
      <c r="QCK1737" s="630"/>
      <c r="QCL1737" s="631"/>
      <c r="QCM1737" s="655"/>
      <c r="QCN1737" s="734" t="s">
        <v>0</v>
      </c>
      <c r="QCO1737" s="735" t="s">
        <v>1690</v>
      </c>
      <c r="QCP1737" s="843" t="e">
        <f>#REF!</f>
        <v>#REF!</v>
      </c>
      <c r="QCQ1737" s="662" t="s">
        <v>799</v>
      </c>
      <c r="QCR1737" s="663" t="s">
        <v>628</v>
      </c>
      <c r="QCS1737" s="633"/>
      <c r="QCT1737" s="664"/>
      <c r="QCU1737" s="664"/>
      <c r="QCV1737" s="664"/>
      <c r="QCW1737" s="664"/>
      <c r="QCX1737" s="664"/>
      <c r="QCY1737" s="664"/>
      <c r="QCZ1737" s="664"/>
      <c r="QDA1737" s="630"/>
      <c r="QDB1737" s="631"/>
      <c r="QDC1737" s="655"/>
      <c r="QDD1737" s="734" t="s">
        <v>0</v>
      </c>
      <c r="QDE1737" s="735" t="s">
        <v>1690</v>
      </c>
      <c r="QDF1737" s="843" t="e">
        <f>#REF!</f>
        <v>#REF!</v>
      </c>
      <c r="QDG1737" s="662" t="s">
        <v>799</v>
      </c>
      <c r="QDH1737" s="663" t="s">
        <v>628</v>
      </c>
      <c r="QDI1737" s="633"/>
      <c r="QDJ1737" s="664"/>
      <c r="QDK1737" s="664"/>
      <c r="QDL1737" s="664"/>
      <c r="QDM1737" s="664"/>
      <c r="QDN1737" s="664"/>
      <c r="QDO1737" s="664"/>
      <c r="QDP1737" s="664"/>
      <c r="QDQ1737" s="630"/>
      <c r="QDR1737" s="631"/>
      <c r="QDS1737" s="655"/>
      <c r="QDT1737" s="734" t="s">
        <v>0</v>
      </c>
      <c r="QDU1737" s="735" t="s">
        <v>1690</v>
      </c>
      <c r="QDV1737" s="843" t="e">
        <f>#REF!</f>
        <v>#REF!</v>
      </c>
      <c r="QDW1737" s="662" t="s">
        <v>799</v>
      </c>
      <c r="QDX1737" s="663" t="s">
        <v>628</v>
      </c>
      <c r="QDY1737" s="633"/>
      <c r="QDZ1737" s="664"/>
      <c r="QEA1737" s="664"/>
      <c r="QEB1737" s="664"/>
      <c r="QEC1737" s="664"/>
      <c r="QED1737" s="664"/>
      <c r="QEE1737" s="664"/>
      <c r="QEF1737" s="664"/>
      <c r="QEG1737" s="630"/>
      <c r="QEH1737" s="631"/>
      <c r="QEI1737" s="655"/>
      <c r="QEJ1737" s="734" t="s">
        <v>0</v>
      </c>
      <c r="QEK1737" s="735" t="s">
        <v>1690</v>
      </c>
      <c r="QEL1737" s="843" t="e">
        <f>#REF!</f>
        <v>#REF!</v>
      </c>
      <c r="QEM1737" s="662" t="s">
        <v>799</v>
      </c>
      <c r="QEN1737" s="663" t="s">
        <v>628</v>
      </c>
      <c r="QEO1737" s="633"/>
      <c r="QEP1737" s="664"/>
      <c r="QEQ1737" s="664"/>
      <c r="QER1737" s="664"/>
      <c r="QES1737" s="664"/>
      <c r="QET1737" s="664"/>
      <c r="QEU1737" s="664"/>
      <c r="QEV1737" s="664"/>
      <c r="QEW1737" s="630"/>
      <c r="QEX1737" s="631"/>
      <c r="QEY1737" s="655"/>
      <c r="QEZ1737" s="734" t="s">
        <v>0</v>
      </c>
      <c r="QFA1737" s="735" t="s">
        <v>1690</v>
      </c>
      <c r="QFB1737" s="843" t="e">
        <f>#REF!</f>
        <v>#REF!</v>
      </c>
      <c r="QFC1737" s="662" t="s">
        <v>799</v>
      </c>
      <c r="QFD1737" s="663" t="s">
        <v>628</v>
      </c>
      <c r="QFE1737" s="633"/>
      <c r="QFF1737" s="664"/>
      <c r="QFG1737" s="664"/>
      <c r="QFH1737" s="664"/>
      <c r="QFI1737" s="664"/>
      <c r="QFJ1737" s="664"/>
      <c r="QFK1737" s="664"/>
      <c r="QFL1737" s="664"/>
      <c r="QFM1737" s="630"/>
      <c r="QFN1737" s="631"/>
      <c r="QFO1737" s="655"/>
      <c r="QFP1737" s="734" t="s">
        <v>0</v>
      </c>
      <c r="QFQ1737" s="735" t="s">
        <v>1690</v>
      </c>
      <c r="QFR1737" s="843" t="e">
        <f>#REF!</f>
        <v>#REF!</v>
      </c>
      <c r="QFS1737" s="662" t="s">
        <v>799</v>
      </c>
      <c r="QFT1737" s="663" t="s">
        <v>628</v>
      </c>
      <c r="QFU1737" s="633"/>
      <c r="QFV1737" s="664"/>
      <c r="QFW1737" s="664"/>
      <c r="QFX1737" s="664"/>
      <c r="QFY1737" s="664"/>
      <c r="QFZ1737" s="664"/>
      <c r="QGA1737" s="664"/>
      <c r="QGB1737" s="664"/>
      <c r="QGC1737" s="630"/>
      <c r="QGD1737" s="631"/>
      <c r="QGE1737" s="655"/>
      <c r="QGF1737" s="734" t="s">
        <v>0</v>
      </c>
      <c r="QGG1737" s="735" t="s">
        <v>1690</v>
      </c>
      <c r="QGH1737" s="843" t="e">
        <f>#REF!</f>
        <v>#REF!</v>
      </c>
      <c r="QGI1737" s="662" t="s">
        <v>799</v>
      </c>
      <c r="QGJ1737" s="663" t="s">
        <v>628</v>
      </c>
      <c r="QGK1737" s="633"/>
      <c r="QGL1737" s="664"/>
      <c r="QGM1737" s="664"/>
      <c r="QGN1737" s="664"/>
      <c r="QGO1737" s="664"/>
      <c r="QGP1737" s="664"/>
      <c r="QGQ1737" s="664"/>
      <c r="QGR1737" s="664"/>
      <c r="QGS1737" s="630"/>
      <c r="QGT1737" s="631"/>
      <c r="QGU1737" s="655"/>
      <c r="QGV1737" s="734" t="s">
        <v>0</v>
      </c>
      <c r="QGW1737" s="735" t="s">
        <v>1690</v>
      </c>
      <c r="QGX1737" s="843" t="e">
        <f>#REF!</f>
        <v>#REF!</v>
      </c>
      <c r="QGY1737" s="662" t="s">
        <v>799</v>
      </c>
      <c r="QGZ1737" s="663" t="s">
        <v>628</v>
      </c>
      <c r="QHA1737" s="633"/>
      <c r="QHB1737" s="664"/>
      <c r="QHC1737" s="664"/>
      <c r="QHD1737" s="664"/>
      <c r="QHE1737" s="664"/>
      <c r="QHF1737" s="664"/>
      <c r="QHG1737" s="664"/>
      <c r="QHH1737" s="664"/>
      <c r="QHI1737" s="630"/>
      <c r="QHJ1737" s="631"/>
      <c r="QHK1737" s="655"/>
      <c r="QHL1737" s="734" t="s">
        <v>0</v>
      </c>
      <c r="QHM1737" s="735" t="s">
        <v>1690</v>
      </c>
      <c r="QHN1737" s="843" t="e">
        <f>#REF!</f>
        <v>#REF!</v>
      </c>
      <c r="QHO1737" s="662" t="s">
        <v>799</v>
      </c>
      <c r="QHP1737" s="663" t="s">
        <v>628</v>
      </c>
      <c r="QHQ1737" s="633"/>
      <c r="QHR1737" s="664"/>
      <c r="QHS1737" s="664"/>
      <c r="QHT1737" s="664"/>
      <c r="QHU1737" s="664"/>
      <c r="QHV1737" s="664"/>
      <c r="QHW1737" s="664"/>
      <c r="QHX1737" s="664"/>
      <c r="QHY1737" s="630"/>
      <c r="QHZ1737" s="631"/>
      <c r="QIA1737" s="655"/>
      <c r="QIB1737" s="734" t="s">
        <v>0</v>
      </c>
      <c r="QIC1737" s="735" t="s">
        <v>1690</v>
      </c>
      <c r="QID1737" s="843" t="e">
        <f>#REF!</f>
        <v>#REF!</v>
      </c>
      <c r="QIE1737" s="662" t="s">
        <v>799</v>
      </c>
      <c r="QIF1737" s="663" t="s">
        <v>628</v>
      </c>
      <c r="QIG1737" s="633"/>
      <c r="QIH1737" s="664"/>
      <c r="QII1737" s="664"/>
      <c r="QIJ1737" s="664"/>
      <c r="QIK1737" s="664"/>
      <c r="QIL1737" s="664"/>
      <c r="QIM1737" s="664"/>
      <c r="QIN1737" s="664"/>
      <c r="QIO1737" s="630"/>
      <c r="QIP1737" s="631"/>
      <c r="QIQ1737" s="655"/>
      <c r="QIR1737" s="734" t="s">
        <v>0</v>
      </c>
      <c r="QIS1737" s="735" t="s">
        <v>1690</v>
      </c>
      <c r="QIT1737" s="843" t="e">
        <f>#REF!</f>
        <v>#REF!</v>
      </c>
      <c r="QIU1737" s="662" t="s">
        <v>799</v>
      </c>
      <c r="QIV1737" s="663" t="s">
        <v>628</v>
      </c>
      <c r="QIW1737" s="633"/>
      <c r="QIX1737" s="664"/>
      <c r="QIY1737" s="664"/>
      <c r="QIZ1737" s="664"/>
      <c r="QJA1737" s="664"/>
      <c r="QJB1737" s="664"/>
      <c r="QJC1737" s="664"/>
      <c r="QJD1737" s="664"/>
      <c r="QJE1737" s="630"/>
      <c r="QJF1737" s="631"/>
      <c r="QJG1737" s="655"/>
      <c r="QJH1737" s="734" t="s">
        <v>0</v>
      </c>
      <c r="QJI1737" s="735" t="s">
        <v>1690</v>
      </c>
      <c r="QJJ1737" s="843" t="e">
        <f>#REF!</f>
        <v>#REF!</v>
      </c>
      <c r="QJK1737" s="662" t="s">
        <v>799</v>
      </c>
      <c r="QJL1737" s="663" t="s">
        <v>628</v>
      </c>
      <c r="QJM1737" s="633"/>
      <c r="QJN1737" s="664"/>
      <c r="QJO1737" s="664"/>
      <c r="QJP1737" s="664"/>
      <c r="QJQ1737" s="664"/>
      <c r="QJR1737" s="664"/>
      <c r="QJS1737" s="664"/>
      <c r="QJT1737" s="664"/>
      <c r="QJU1737" s="630"/>
      <c r="QJV1737" s="631"/>
      <c r="QJW1737" s="655"/>
      <c r="QJX1737" s="734" t="s">
        <v>0</v>
      </c>
      <c r="QJY1737" s="735" t="s">
        <v>1690</v>
      </c>
      <c r="QJZ1737" s="843" t="e">
        <f>#REF!</f>
        <v>#REF!</v>
      </c>
      <c r="QKA1737" s="662" t="s">
        <v>799</v>
      </c>
      <c r="QKB1737" s="663" t="s">
        <v>628</v>
      </c>
      <c r="QKC1737" s="633"/>
      <c r="QKD1737" s="664"/>
      <c r="QKE1737" s="664"/>
      <c r="QKF1737" s="664"/>
      <c r="QKG1737" s="664"/>
      <c r="QKH1737" s="664"/>
      <c r="QKI1737" s="664"/>
      <c r="QKJ1737" s="664"/>
      <c r="QKK1737" s="630"/>
      <c r="QKL1737" s="631"/>
      <c r="QKM1737" s="655"/>
      <c r="QKN1737" s="734" t="s">
        <v>0</v>
      </c>
      <c r="QKO1737" s="735" t="s">
        <v>1690</v>
      </c>
      <c r="QKP1737" s="843" t="e">
        <f>#REF!</f>
        <v>#REF!</v>
      </c>
      <c r="QKQ1737" s="662" t="s">
        <v>799</v>
      </c>
      <c r="QKR1737" s="663" t="s">
        <v>628</v>
      </c>
      <c r="QKS1737" s="633"/>
      <c r="QKT1737" s="664"/>
      <c r="QKU1737" s="664"/>
      <c r="QKV1737" s="664"/>
      <c r="QKW1737" s="664"/>
      <c r="QKX1737" s="664"/>
      <c r="QKY1737" s="664"/>
      <c r="QKZ1737" s="664"/>
      <c r="QLA1737" s="630"/>
      <c r="QLB1737" s="631"/>
      <c r="QLC1737" s="655"/>
      <c r="QLD1737" s="734" t="s">
        <v>0</v>
      </c>
      <c r="QLE1737" s="735" t="s">
        <v>1690</v>
      </c>
      <c r="QLF1737" s="843" t="e">
        <f>#REF!</f>
        <v>#REF!</v>
      </c>
      <c r="QLG1737" s="662" t="s">
        <v>799</v>
      </c>
      <c r="QLH1737" s="663" t="s">
        <v>628</v>
      </c>
      <c r="QLI1737" s="633"/>
      <c r="QLJ1737" s="664"/>
      <c r="QLK1737" s="664"/>
      <c r="QLL1737" s="664"/>
      <c r="QLM1737" s="664"/>
      <c r="QLN1737" s="664"/>
      <c r="QLO1737" s="664"/>
      <c r="QLP1737" s="664"/>
      <c r="QLQ1737" s="630"/>
      <c r="QLR1737" s="631"/>
      <c r="QLS1737" s="655"/>
      <c r="QLT1737" s="734" t="s">
        <v>0</v>
      </c>
      <c r="QLU1737" s="735" t="s">
        <v>1690</v>
      </c>
      <c r="QLV1737" s="843" t="e">
        <f>#REF!</f>
        <v>#REF!</v>
      </c>
      <c r="QLW1737" s="662" t="s">
        <v>799</v>
      </c>
      <c r="QLX1737" s="663" t="s">
        <v>628</v>
      </c>
      <c r="QLY1737" s="633"/>
      <c r="QLZ1737" s="664"/>
      <c r="QMA1737" s="664"/>
      <c r="QMB1737" s="664"/>
      <c r="QMC1737" s="664"/>
      <c r="QMD1737" s="664"/>
      <c r="QME1737" s="664"/>
      <c r="QMF1737" s="664"/>
      <c r="QMG1737" s="630"/>
      <c r="QMH1737" s="631"/>
      <c r="QMI1737" s="655"/>
      <c r="QMJ1737" s="734" t="s">
        <v>0</v>
      </c>
      <c r="QMK1737" s="735" t="s">
        <v>1690</v>
      </c>
      <c r="QML1737" s="843" t="e">
        <f>#REF!</f>
        <v>#REF!</v>
      </c>
      <c r="QMM1737" s="662" t="s">
        <v>799</v>
      </c>
      <c r="QMN1737" s="663" t="s">
        <v>628</v>
      </c>
      <c r="QMO1737" s="633"/>
      <c r="QMP1737" s="664"/>
      <c r="QMQ1737" s="664"/>
      <c r="QMR1737" s="664"/>
      <c r="QMS1737" s="664"/>
      <c r="QMT1737" s="664"/>
      <c r="QMU1737" s="664"/>
      <c r="QMV1737" s="664"/>
      <c r="QMW1737" s="630"/>
      <c r="QMX1737" s="631"/>
      <c r="QMY1737" s="655"/>
      <c r="QMZ1737" s="734" t="s">
        <v>0</v>
      </c>
      <c r="QNA1737" s="735" t="s">
        <v>1690</v>
      </c>
      <c r="QNB1737" s="843" t="e">
        <f>#REF!</f>
        <v>#REF!</v>
      </c>
      <c r="QNC1737" s="662" t="s">
        <v>799</v>
      </c>
      <c r="QND1737" s="663" t="s">
        <v>628</v>
      </c>
      <c r="QNE1737" s="633"/>
      <c r="QNF1737" s="664"/>
      <c r="QNG1737" s="664"/>
      <c r="QNH1737" s="664"/>
      <c r="QNI1737" s="664"/>
      <c r="QNJ1737" s="664"/>
      <c r="QNK1737" s="664"/>
      <c r="QNL1737" s="664"/>
      <c r="QNM1737" s="630"/>
      <c r="QNN1737" s="631"/>
      <c r="QNO1737" s="655"/>
      <c r="QNP1737" s="734" t="s">
        <v>0</v>
      </c>
      <c r="QNQ1737" s="735" t="s">
        <v>1690</v>
      </c>
      <c r="QNR1737" s="843" t="e">
        <f>#REF!</f>
        <v>#REF!</v>
      </c>
      <c r="QNS1737" s="662" t="s">
        <v>799</v>
      </c>
      <c r="QNT1737" s="663" t="s">
        <v>628</v>
      </c>
      <c r="QNU1737" s="633"/>
      <c r="QNV1737" s="664"/>
      <c r="QNW1737" s="664"/>
      <c r="QNX1737" s="664"/>
      <c r="QNY1737" s="664"/>
      <c r="QNZ1737" s="664"/>
      <c r="QOA1737" s="664"/>
      <c r="QOB1737" s="664"/>
      <c r="QOC1737" s="630"/>
      <c r="QOD1737" s="631"/>
      <c r="QOE1737" s="655"/>
      <c r="QOF1737" s="734" t="s">
        <v>0</v>
      </c>
      <c r="QOG1737" s="735" t="s">
        <v>1690</v>
      </c>
      <c r="QOH1737" s="843" t="e">
        <f>#REF!</f>
        <v>#REF!</v>
      </c>
      <c r="QOI1737" s="662" t="s">
        <v>799</v>
      </c>
      <c r="QOJ1737" s="663" t="s">
        <v>628</v>
      </c>
      <c r="QOK1737" s="633"/>
      <c r="QOL1737" s="664"/>
      <c r="QOM1737" s="664"/>
      <c r="QON1737" s="664"/>
      <c r="QOO1737" s="664"/>
      <c r="QOP1737" s="664"/>
      <c r="QOQ1737" s="664"/>
      <c r="QOR1737" s="664"/>
      <c r="QOS1737" s="630"/>
      <c r="QOT1737" s="631"/>
      <c r="QOU1737" s="655"/>
      <c r="QOV1737" s="734" t="s">
        <v>0</v>
      </c>
      <c r="QOW1737" s="735" t="s">
        <v>1690</v>
      </c>
      <c r="QOX1737" s="843" t="e">
        <f>#REF!</f>
        <v>#REF!</v>
      </c>
      <c r="QOY1737" s="662" t="s">
        <v>799</v>
      </c>
      <c r="QOZ1737" s="663" t="s">
        <v>628</v>
      </c>
      <c r="QPA1737" s="633"/>
      <c r="QPB1737" s="664"/>
      <c r="QPC1737" s="664"/>
      <c r="QPD1737" s="664"/>
      <c r="QPE1737" s="664"/>
      <c r="QPF1737" s="664"/>
      <c r="QPG1737" s="664"/>
      <c r="QPH1737" s="664"/>
      <c r="QPI1737" s="630"/>
      <c r="QPJ1737" s="631"/>
      <c r="QPK1737" s="655"/>
      <c r="QPL1737" s="734" t="s">
        <v>0</v>
      </c>
      <c r="QPM1737" s="735" t="s">
        <v>1690</v>
      </c>
      <c r="QPN1737" s="843" t="e">
        <f>#REF!</f>
        <v>#REF!</v>
      </c>
      <c r="QPO1737" s="662" t="s">
        <v>799</v>
      </c>
      <c r="QPP1737" s="663" t="s">
        <v>628</v>
      </c>
      <c r="QPQ1737" s="633"/>
      <c r="QPR1737" s="664"/>
      <c r="QPS1737" s="664"/>
      <c r="QPT1737" s="664"/>
      <c r="QPU1737" s="664"/>
      <c r="QPV1737" s="664"/>
      <c r="QPW1737" s="664"/>
      <c r="QPX1737" s="664"/>
      <c r="QPY1737" s="630"/>
      <c r="QPZ1737" s="631"/>
      <c r="QQA1737" s="655"/>
      <c r="QQB1737" s="734" t="s">
        <v>0</v>
      </c>
      <c r="QQC1737" s="735" t="s">
        <v>1690</v>
      </c>
      <c r="QQD1737" s="843" t="e">
        <f>#REF!</f>
        <v>#REF!</v>
      </c>
      <c r="QQE1737" s="662" t="s">
        <v>799</v>
      </c>
      <c r="QQF1737" s="663" t="s">
        <v>628</v>
      </c>
      <c r="QQG1737" s="633"/>
      <c r="QQH1737" s="664"/>
      <c r="QQI1737" s="664"/>
      <c r="QQJ1737" s="664"/>
      <c r="QQK1737" s="664"/>
      <c r="QQL1737" s="664"/>
      <c r="QQM1737" s="664"/>
      <c r="QQN1737" s="664"/>
      <c r="QQO1737" s="630"/>
      <c r="QQP1737" s="631"/>
      <c r="QQQ1737" s="655"/>
      <c r="QQR1737" s="734" t="s">
        <v>0</v>
      </c>
      <c r="QQS1737" s="735" t="s">
        <v>1690</v>
      </c>
      <c r="QQT1737" s="843" t="e">
        <f>#REF!</f>
        <v>#REF!</v>
      </c>
      <c r="QQU1737" s="662" t="s">
        <v>799</v>
      </c>
      <c r="QQV1737" s="663" t="s">
        <v>628</v>
      </c>
      <c r="QQW1737" s="633"/>
      <c r="QQX1737" s="664"/>
      <c r="QQY1737" s="664"/>
      <c r="QQZ1737" s="664"/>
      <c r="QRA1737" s="664"/>
      <c r="QRB1737" s="664"/>
      <c r="QRC1737" s="664"/>
      <c r="QRD1737" s="664"/>
      <c r="QRE1737" s="630"/>
      <c r="QRF1737" s="631"/>
      <c r="QRG1737" s="655"/>
      <c r="QRH1737" s="734" t="s">
        <v>0</v>
      </c>
      <c r="QRI1737" s="735" t="s">
        <v>1690</v>
      </c>
      <c r="QRJ1737" s="843" t="e">
        <f>#REF!</f>
        <v>#REF!</v>
      </c>
      <c r="QRK1737" s="662" t="s">
        <v>799</v>
      </c>
      <c r="QRL1737" s="663" t="s">
        <v>628</v>
      </c>
      <c r="QRM1737" s="633"/>
      <c r="QRN1737" s="664"/>
      <c r="QRO1737" s="664"/>
      <c r="QRP1737" s="664"/>
      <c r="QRQ1737" s="664"/>
      <c r="QRR1737" s="664"/>
      <c r="QRS1737" s="664"/>
      <c r="QRT1737" s="664"/>
      <c r="QRU1737" s="630"/>
      <c r="QRV1737" s="631"/>
      <c r="QRW1737" s="655"/>
      <c r="QRX1737" s="734" t="s">
        <v>0</v>
      </c>
      <c r="QRY1737" s="735" t="s">
        <v>1690</v>
      </c>
      <c r="QRZ1737" s="843" t="e">
        <f>#REF!</f>
        <v>#REF!</v>
      </c>
      <c r="QSA1737" s="662" t="s">
        <v>799</v>
      </c>
      <c r="QSB1737" s="663" t="s">
        <v>628</v>
      </c>
      <c r="QSC1737" s="633"/>
      <c r="QSD1737" s="664"/>
      <c r="QSE1737" s="664"/>
      <c r="QSF1737" s="664"/>
      <c r="QSG1737" s="664"/>
      <c r="QSH1737" s="664"/>
      <c r="QSI1737" s="664"/>
      <c r="QSJ1737" s="664"/>
      <c r="QSK1737" s="630"/>
      <c r="QSL1737" s="631"/>
      <c r="QSM1737" s="655"/>
      <c r="QSN1737" s="734" t="s">
        <v>0</v>
      </c>
      <c r="QSO1737" s="735" t="s">
        <v>1690</v>
      </c>
      <c r="QSP1737" s="843" t="e">
        <f>#REF!</f>
        <v>#REF!</v>
      </c>
      <c r="QSQ1737" s="662" t="s">
        <v>799</v>
      </c>
      <c r="QSR1737" s="663" t="s">
        <v>628</v>
      </c>
      <c r="QSS1737" s="633"/>
      <c r="QST1737" s="664"/>
      <c r="QSU1737" s="664"/>
      <c r="QSV1737" s="664"/>
      <c r="QSW1737" s="664"/>
      <c r="QSX1737" s="664"/>
      <c r="QSY1737" s="664"/>
      <c r="QSZ1737" s="664"/>
      <c r="QTA1737" s="630"/>
      <c r="QTB1737" s="631"/>
      <c r="QTC1737" s="655"/>
      <c r="QTD1737" s="734" t="s">
        <v>0</v>
      </c>
      <c r="QTE1737" s="735" t="s">
        <v>1690</v>
      </c>
      <c r="QTF1737" s="843" t="e">
        <f>#REF!</f>
        <v>#REF!</v>
      </c>
      <c r="QTG1737" s="662" t="s">
        <v>799</v>
      </c>
      <c r="QTH1737" s="663" t="s">
        <v>628</v>
      </c>
      <c r="QTI1737" s="633"/>
      <c r="QTJ1737" s="664"/>
      <c r="QTK1737" s="664"/>
      <c r="QTL1737" s="664"/>
      <c r="QTM1737" s="664"/>
      <c r="QTN1737" s="664"/>
      <c r="QTO1737" s="664"/>
      <c r="QTP1737" s="664"/>
      <c r="QTQ1737" s="630"/>
      <c r="QTR1737" s="631"/>
      <c r="QTS1737" s="655"/>
      <c r="QTT1737" s="734" t="s">
        <v>0</v>
      </c>
      <c r="QTU1737" s="735" t="s">
        <v>1690</v>
      </c>
      <c r="QTV1737" s="843" t="e">
        <f>#REF!</f>
        <v>#REF!</v>
      </c>
      <c r="QTW1737" s="662" t="s">
        <v>799</v>
      </c>
      <c r="QTX1737" s="663" t="s">
        <v>628</v>
      </c>
      <c r="QTY1737" s="633"/>
      <c r="QTZ1737" s="664"/>
      <c r="QUA1737" s="664"/>
      <c r="QUB1737" s="664"/>
      <c r="QUC1737" s="664"/>
      <c r="QUD1737" s="664"/>
      <c r="QUE1737" s="664"/>
      <c r="QUF1737" s="664"/>
      <c r="QUG1737" s="630"/>
      <c r="QUH1737" s="631"/>
      <c r="QUI1737" s="655"/>
      <c r="QUJ1737" s="734" t="s">
        <v>0</v>
      </c>
      <c r="QUK1737" s="735" t="s">
        <v>1690</v>
      </c>
      <c r="QUL1737" s="843" t="e">
        <f>#REF!</f>
        <v>#REF!</v>
      </c>
      <c r="QUM1737" s="662" t="s">
        <v>799</v>
      </c>
      <c r="QUN1737" s="663" t="s">
        <v>628</v>
      </c>
      <c r="QUO1737" s="633"/>
      <c r="QUP1737" s="664"/>
      <c r="QUQ1737" s="664"/>
      <c r="QUR1737" s="664"/>
      <c r="QUS1737" s="664"/>
      <c r="QUT1737" s="664"/>
      <c r="QUU1737" s="664"/>
      <c r="QUV1737" s="664"/>
      <c r="QUW1737" s="630"/>
      <c r="QUX1737" s="631"/>
      <c r="QUY1737" s="655"/>
      <c r="QUZ1737" s="734" t="s">
        <v>0</v>
      </c>
      <c r="QVA1737" s="735" t="s">
        <v>1690</v>
      </c>
      <c r="QVB1737" s="843" t="e">
        <f>#REF!</f>
        <v>#REF!</v>
      </c>
      <c r="QVC1737" s="662" t="s">
        <v>799</v>
      </c>
      <c r="QVD1737" s="663" t="s">
        <v>628</v>
      </c>
      <c r="QVE1737" s="633"/>
      <c r="QVF1737" s="664"/>
      <c r="QVG1737" s="664"/>
      <c r="QVH1737" s="664"/>
      <c r="QVI1737" s="664"/>
      <c r="QVJ1737" s="664"/>
      <c r="QVK1737" s="664"/>
      <c r="QVL1737" s="664"/>
      <c r="QVM1737" s="630"/>
      <c r="QVN1737" s="631"/>
      <c r="QVO1737" s="655"/>
      <c r="QVP1737" s="734" t="s">
        <v>0</v>
      </c>
      <c r="QVQ1737" s="735" t="s">
        <v>1690</v>
      </c>
      <c r="QVR1737" s="843" t="e">
        <f>#REF!</f>
        <v>#REF!</v>
      </c>
      <c r="QVS1737" s="662" t="s">
        <v>799</v>
      </c>
      <c r="QVT1737" s="663" t="s">
        <v>628</v>
      </c>
      <c r="QVU1737" s="633"/>
      <c r="QVV1737" s="664"/>
      <c r="QVW1737" s="664"/>
      <c r="QVX1737" s="664"/>
      <c r="QVY1737" s="664"/>
      <c r="QVZ1737" s="664"/>
      <c r="QWA1737" s="664"/>
      <c r="QWB1737" s="664"/>
      <c r="QWC1737" s="630"/>
      <c r="QWD1737" s="631"/>
      <c r="QWE1737" s="655"/>
      <c r="QWF1737" s="734" t="s">
        <v>0</v>
      </c>
      <c r="QWG1737" s="735" t="s">
        <v>1690</v>
      </c>
      <c r="QWH1737" s="843" t="e">
        <f>#REF!</f>
        <v>#REF!</v>
      </c>
      <c r="QWI1737" s="662" t="s">
        <v>799</v>
      </c>
      <c r="QWJ1737" s="663" t="s">
        <v>628</v>
      </c>
      <c r="QWK1737" s="633"/>
      <c r="QWL1737" s="664"/>
      <c r="QWM1737" s="664"/>
      <c r="QWN1737" s="664"/>
      <c r="QWO1737" s="664"/>
      <c r="QWP1737" s="664"/>
      <c r="QWQ1737" s="664"/>
      <c r="QWR1737" s="664"/>
      <c r="QWS1737" s="630"/>
      <c r="QWT1737" s="631"/>
      <c r="QWU1737" s="655"/>
      <c r="QWV1737" s="734" t="s">
        <v>0</v>
      </c>
      <c r="QWW1737" s="735" t="s">
        <v>1690</v>
      </c>
      <c r="QWX1737" s="843" t="e">
        <f>#REF!</f>
        <v>#REF!</v>
      </c>
      <c r="QWY1737" s="662" t="s">
        <v>799</v>
      </c>
      <c r="QWZ1737" s="663" t="s">
        <v>628</v>
      </c>
      <c r="QXA1737" s="633"/>
      <c r="QXB1737" s="664"/>
      <c r="QXC1737" s="664"/>
      <c r="QXD1737" s="664"/>
      <c r="QXE1737" s="664"/>
      <c r="QXF1737" s="664"/>
      <c r="QXG1737" s="664"/>
      <c r="QXH1737" s="664"/>
      <c r="QXI1737" s="630"/>
      <c r="QXJ1737" s="631"/>
      <c r="QXK1737" s="655"/>
      <c r="QXL1737" s="734" t="s">
        <v>0</v>
      </c>
      <c r="QXM1737" s="735" t="s">
        <v>1690</v>
      </c>
      <c r="QXN1737" s="843" t="e">
        <f>#REF!</f>
        <v>#REF!</v>
      </c>
      <c r="QXO1737" s="662" t="s">
        <v>799</v>
      </c>
      <c r="QXP1737" s="663" t="s">
        <v>628</v>
      </c>
      <c r="QXQ1737" s="633"/>
      <c r="QXR1737" s="664"/>
      <c r="QXS1737" s="664"/>
      <c r="QXT1737" s="664"/>
      <c r="QXU1737" s="664"/>
      <c r="QXV1737" s="664"/>
      <c r="QXW1737" s="664"/>
      <c r="QXX1737" s="664"/>
      <c r="QXY1737" s="630"/>
      <c r="QXZ1737" s="631"/>
      <c r="QYA1737" s="655"/>
      <c r="QYB1737" s="734" t="s">
        <v>0</v>
      </c>
      <c r="QYC1737" s="735" t="s">
        <v>1690</v>
      </c>
      <c r="QYD1737" s="843" t="e">
        <f>#REF!</f>
        <v>#REF!</v>
      </c>
      <c r="QYE1737" s="662" t="s">
        <v>799</v>
      </c>
      <c r="QYF1737" s="663" t="s">
        <v>628</v>
      </c>
      <c r="QYG1737" s="633"/>
      <c r="QYH1737" s="664"/>
      <c r="QYI1737" s="664"/>
      <c r="QYJ1737" s="664"/>
      <c r="QYK1737" s="664"/>
      <c r="QYL1737" s="664"/>
      <c r="QYM1737" s="664"/>
      <c r="QYN1737" s="664"/>
      <c r="QYO1737" s="630"/>
      <c r="QYP1737" s="631"/>
      <c r="QYQ1737" s="655"/>
      <c r="QYR1737" s="734" t="s">
        <v>0</v>
      </c>
      <c r="QYS1737" s="735" t="s">
        <v>1690</v>
      </c>
      <c r="QYT1737" s="843" t="e">
        <f>#REF!</f>
        <v>#REF!</v>
      </c>
      <c r="QYU1737" s="662" t="s">
        <v>799</v>
      </c>
      <c r="QYV1737" s="663" t="s">
        <v>628</v>
      </c>
      <c r="QYW1737" s="633"/>
      <c r="QYX1737" s="664"/>
      <c r="QYY1737" s="664"/>
      <c r="QYZ1737" s="664"/>
      <c r="QZA1737" s="664"/>
      <c r="QZB1737" s="664"/>
      <c r="QZC1737" s="664"/>
      <c r="QZD1737" s="664"/>
      <c r="QZE1737" s="630"/>
      <c r="QZF1737" s="631"/>
      <c r="QZG1737" s="655"/>
      <c r="QZH1737" s="734" t="s">
        <v>0</v>
      </c>
      <c r="QZI1737" s="735" t="s">
        <v>1690</v>
      </c>
      <c r="QZJ1737" s="843" t="e">
        <f>#REF!</f>
        <v>#REF!</v>
      </c>
      <c r="QZK1737" s="662" t="s">
        <v>799</v>
      </c>
      <c r="QZL1737" s="663" t="s">
        <v>628</v>
      </c>
      <c r="QZM1737" s="633"/>
      <c r="QZN1737" s="664"/>
      <c r="QZO1737" s="664"/>
      <c r="QZP1737" s="664"/>
      <c r="QZQ1737" s="664"/>
      <c r="QZR1737" s="664"/>
      <c r="QZS1737" s="664"/>
      <c r="QZT1737" s="664"/>
      <c r="QZU1737" s="630"/>
      <c r="QZV1737" s="631"/>
      <c r="QZW1737" s="655"/>
      <c r="QZX1737" s="734" t="s">
        <v>0</v>
      </c>
      <c r="QZY1737" s="735" t="s">
        <v>1690</v>
      </c>
      <c r="QZZ1737" s="843" t="e">
        <f>#REF!</f>
        <v>#REF!</v>
      </c>
      <c r="RAA1737" s="662" t="s">
        <v>799</v>
      </c>
      <c r="RAB1737" s="663" t="s">
        <v>628</v>
      </c>
      <c r="RAC1737" s="633"/>
      <c r="RAD1737" s="664"/>
      <c r="RAE1737" s="664"/>
      <c r="RAF1737" s="664"/>
      <c r="RAG1737" s="664"/>
      <c r="RAH1737" s="664"/>
      <c r="RAI1737" s="664"/>
      <c r="RAJ1737" s="664"/>
      <c r="RAK1737" s="630"/>
      <c r="RAL1737" s="631"/>
      <c r="RAM1737" s="655"/>
      <c r="RAN1737" s="734" t="s">
        <v>0</v>
      </c>
      <c r="RAO1737" s="735" t="s">
        <v>1690</v>
      </c>
      <c r="RAP1737" s="843" t="e">
        <f>#REF!</f>
        <v>#REF!</v>
      </c>
      <c r="RAQ1737" s="662" t="s">
        <v>799</v>
      </c>
      <c r="RAR1737" s="663" t="s">
        <v>628</v>
      </c>
      <c r="RAS1737" s="633"/>
      <c r="RAT1737" s="664"/>
      <c r="RAU1737" s="664"/>
      <c r="RAV1737" s="664"/>
      <c r="RAW1737" s="664"/>
      <c r="RAX1737" s="664"/>
      <c r="RAY1737" s="664"/>
      <c r="RAZ1737" s="664"/>
      <c r="RBA1737" s="630"/>
      <c r="RBB1737" s="631"/>
      <c r="RBC1737" s="655"/>
      <c r="RBD1737" s="734" t="s">
        <v>0</v>
      </c>
      <c r="RBE1737" s="735" t="s">
        <v>1690</v>
      </c>
      <c r="RBF1737" s="843" t="e">
        <f>#REF!</f>
        <v>#REF!</v>
      </c>
      <c r="RBG1737" s="662" t="s">
        <v>799</v>
      </c>
      <c r="RBH1737" s="663" t="s">
        <v>628</v>
      </c>
      <c r="RBI1737" s="633"/>
      <c r="RBJ1737" s="664"/>
      <c r="RBK1737" s="664"/>
      <c r="RBL1737" s="664"/>
      <c r="RBM1737" s="664"/>
      <c r="RBN1737" s="664"/>
      <c r="RBO1737" s="664"/>
      <c r="RBP1737" s="664"/>
      <c r="RBQ1737" s="630"/>
      <c r="RBR1737" s="631"/>
      <c r="RBS1737" s="655"/>
      <c r="RBT1737" s="734" t="s">
        <v>0</v>
      </c>
      <c r="RBU1737" s="735" t="s">
        <v>1690</v>
      </c>
      <c r="RBV1737" s="843" t="e">
        <f>#REF!</f>
        <v>#REF!</v>
      </c>
      <c r="RBW1737" s="662" t="s">
        <v>799</v>
      </c>
      <c r="RBX1737" s="663" t="s">
        <v>628</v>
      </c>
      <c r="RBY1737" s="633"/>
      <c r="RBZ1737" s="664"/>
      <c r="RCA1737" s="664"/>
      <c r="RCB1737" s="664"/>
      <c r="RCC1737" s="664"/>
      <c r="RCD1737" s="664"/>
      <c r="RCE1737" s="664"/>
      <c r="RCF1737" s="664"/>
      <c r="RCG1737" s="630"/>
      <c r="RCH1737" s="631"/>
      <c r="RCI1737" s="655"/>
      <c r="RCJ1737" s="734" t="s">
        <v>0</v>
      </c>
      <c r="RCK1737" s="735" t="s">
        <v>1690</v>
      </c>
      <c r="RCL1737" s="843" t="e">
        <f>#REF!</f>
        <v>#REF!</v>
      </c>
      <c r="RCM1737" s="662" t="s">
        <v>799</v>
      </c>
      <c r="RCN1737" s="663" t="s">
        <v>628</v>
      </c>
      <c r="RCO1737" s="633"/>
      <c r="RCP1737" s="664"/>
      <c r="RCQ1737" s="664"/>
      <c r="RCR1737" s="664"/>
      <c r="RCS1737" s="664"/>
      <c r="RCT1737" s="664"/>
      <c r="RCU1737" s="664"/>
      <c r="RCV1737" s="664"/>
      <c r="RCW1737" s="630"/>
      <c r="RCX1737" s="631"/>
      <c r="RCY1737" s="655"/>
      <c r="RCZ1737" s="734" t="s">
        <v>0</v>
      </c>
      <c r="RDA1737" s="735" t="s">
        <v>1690</v>
      </c>
      <c r="RDB1737" s="843" t="e">
        <f>#REF!</f>
        <v>#REF!</v>
      </c>
      <c r="RDC1737" s="662" t="s">
        <v>799</v>
      </c>
      <c r="RDD1737" s="663" t="s">
        <v>628</v>
      </c>
      <c r="RDE1737" s="633"/>
      <c r="RDF1737" s="664"/>
      <c r="RDG1737" s="664"/>
      <c r="RDH1737" s="664"/>
      <c r="RDI1737" s="664"/>
      <c r="RDJ1737" s="664"/>
      <c r="RDK1737" s="664"/>
      <c r="RDL1737" s="664"/>
      <c r="RDM1737" s="630"/>
      <c r="RDN1737" s="631"/>
      <c r="RDO1737" s="655"/>
      <c r="RDP1737" s="734" t="s">
        <v>0</v>
      </c>
      <c r="RDQ1737" s="735" t="s">
        <v>1690</v>
      </c>
      <c r="RDR1737" s="843" t="e">
        <f>#REF!</f>
        <v>#REF!</v>
      </c>
      <c r="RDS1737" s="662" t="s">
        <v>799</v>
      </c>
      <c r="RDT1737" s="663" t="s">
        <v>628</v>
      </c>
      <c r="RDU1737" s="633"/>
      <c r="RDV1737" s="664"/>
      <c r="RDW1737" s="664"/>
      <c r="RDX1737" s="664"/>
      <c r="RDY1737" s="664"/>
      <c r="RDZ1737" s="664"/>
      <c r="REA1737" s="664"/>
      <c r="REB1737" s="664"/>
      <c r="REC1737" s="630"/>
      <c r="RED1737" s="631"/>
      <c r="REE1737" s="655"/>
      <c r="REF1737" s="734" t="s">
        <v>0</v>
      </c>
      <c r="REG1737" s="735" t="s">
        <v>1690</v>
      </c>
      <c r="REH1737" s="843" t="e">
        <f>#REF!</f>
        <v>#REF!</v>
      </c>
      <c r="REI1737" s="662" t="s">
        <v>799</v>
      </c>
      <c r="REJ1737" s="663" t="s">
        <v>628</v>
      </c>
      <c r="REK1737" s="633"/>
      <c r="REL1737" s="664"/>
      <c r="REM1737" s="664"/>
      <c r="REN1737" s="664"/>
      <c r="REO1737" s="664"/>
      <c r="REP1737" s="664"/>
      <c r="REQ1737" s="664"/>
      <c r="RER1737" s="664"/>
      <c r="RES1737" s="630"/>
      <c r="RET1737" s="631"/>
      <c r="REU1737" s="655"/>
      <c r="REV1737" s="734" t="s">
        <v>0</v>
      </c>
      <c r="REW1737" s="735" t="s">
        <v>1690</v>
      </c>
      <c r="REX1737" s="843" t="e">
        <f>#REF!</f>
        <v>#REF!</v>
      </c>
      <c r="REY1737" s="662" t="s">
        <v>799</v>
      </c>
      <c r="REZ1737" s="663" t="s">
        <v>628</v>
      </c>
      <c r="RFA1737" s="633"/>
      <c r="RFB1737" s="664"/>
      <c r="RFC1737" s="664"/>
      <c r="RFD1737" s="664"/>
      <c r="RFE1737" s="664"/>
      <c r="RFF1737" s="664"/>
      <c r="RFG1737" s="664"/>
      <c r="RFH1737" s="664"/>
      <c r="RFI1737" s="630"/>
      <c r="RFJ1737" s="631"/>
      <c r="RFK1737" s="655"/>
      <c r="RFL1737" s="734" t="s">
        <v>0</v>
      </c>
      <c r="RFM1737" s="735" t="s">
        <v>1690</v>
      </c>
      <c r="RFN1737" s="843" t="e">
        <f>#REF!</f>
        <v>#REF!</v>
      </c>
      <c r="RFO1737" s="662" t="s">
        <v>799</v>
      </c>
      <c r="RFP1737" s="663" t="s">
        <v>628</v>
      </c>
      <c r="RFQ1737" s="633"/>
      <c r="RFR1737" s="664"/>
      <c r="RFS1737" s="664"/>
      <c r="RFT1737" s="664"/>
      <c r="RFU1737" s="664"/>
      <c r="RFV1737" s="664"/>
      <c r="RFW1737" s="664"/>
      <c r="RFX1737" s="664"/>
      <c r="RFY1737" s="630"/>
      <c r="RFZ1737" s="631"/>
      <c r="RGA1737" s="655"/>
      <c r="RGB1737" s="734" t="s">
        <v>0</v>
      </c>
      <c r="RGC1737" s="735" t="s">
        <v>1690</v>
      </c>
      <c r="RGD1737" s="843" t="e">
        <f>#REF!</f>
        <v>#REF!</v>
      </c>
      <c r="RGE1737" s="662" t="s">
        <v>799</v>
      </c>
      <c r="RGF1737" s="663" t="s">
        <v>628</v>
      </c>
      <c r="RGG1737" s="633"/>
      <c r="RGH1737" s="664"/>
      <c r="RGI1737" s="664"/>
      <c r="RGJ1737" s="664"/>
      <c r="RGK1737" s="664"/>
      <c r="RGL1737" s="664"/>
      <c r="RGM1737" s="664"/>
      <c r="RGN1737" s="664"/>
      <c r="RGO1737" s="630"/>
      <c r="RGP1737" s="631"/>
      <c r="RGQ1737" s="655"/>
      <c r="RGR1737" s="734" t="s">
        <v>0</v>
      </c>
      <c r="RGS1737" s="735" t="s">
        <v>1690</v>
      </c>
      <c r="RGT1737" s="843" t="e">
        <f>#REF!</f>
        <v>#REF!</v>
      </c>
      <c r="RGU1737" s="662" t="s">
        <v>799</v>
      </c>
      <c r="RGV1737" s="663" t="s">
        <v>628</v>
      </c>
      <c r="RGW1737" s="633"/>
      <c r="RGX1737" s="664"/>
      <c r="RGY1737" s="664"/>
      <c r="RGZ1737" s="664"/>
      <c r="RHA1737" s="664"/>
      <c r="RHB1737" s="664"/>
      <c r="RHC1737" s="664"/>
      <c r="RHD1737" s="664"/>
      <c r="RHE1737" s="630"/>
      <c r="RHF1737" s="631"/>
      <c r="RHG1737" s="655"/>
      <c r="RHH1737" s="734" t="s">
        <v>0</v>
      </c>
      <c r="RHI1737" s="735" t="s">
        <v>1690</v>
      </c>
      <c r="RHJ1737" s="843" t="e">
        <f>#REF!</f>
        <v>#REF!</v>
      </c>
      <c r="RHK1737" s="662" t="s">
        <v>799</v>
      </c>
      <c r="RHL1737" s="663" t="s">
        <v>628</v>
      </c>
      <c r="RHM1737" s="633"/>
      <c r="RHN1737" s="664"/>
      <c r="RHO1737" s="664"/>
      <c r="RHP1737" s="664"/>
      <c r="RHQ1737" s="664"/>
      <c r="RHR1737" s="664"/>
      <c r="RHS1737" s="664"/>
      <c r="RHT1737" s="664"/>
      <c r="RHU1737" s="630"/>
      <c r="RHV1737" s="631"/>
      <c r="RHW1737" s="655"/>
      <c r="RHX1737" s="734" t="s">
        <v>0</v>
      </c>
      <c r="RHY1737" s="735" t="s">
        <v>1690</v>
      </c>
      <c r="RHZ1737" s="843" t="e">
        <f>#REF!</f>
        <v>#REF!</v>
      </c>
      <c r="RIA1737" s="662" t="s">
        <v>799</v>
      </c>
      <c r="RIB1737" s="663" t="s">
        <v>628</v>
      </c>
      <c r="RIC1737" s="633"/>
      <c r="RID1737" s="664"/>
      <c r="RIE1737" s="664"/>
      <c r="RIF1737" s="664"/>
      <c r="RIG1737" s="664"/>
      <c r="RIH1737" s="664"/>
      <c r="RII1737" s="664"/>
      <c r="RIJ1737" s="664"/>
      <c r="RIK1737" s="630"/>
      <c r="RIL1737" s="631"/>
      <c r="RIM1737" s="655"/>
      <c r="RIN1737" s="734" t="s">
        <v>0</v>
      </c>
      <c r="RIO1737" s="735" t="s">
        <v>1690</v>
      </c>
      <c r="RIP1737" s="843" t="e">
        <f>#REF!</f>
        <v>#REF!</v>
      </c>
      <c r="RIQ1737" s="662" t="s">
        <v>799</v>
      </c>
      <c r="RIR1737" s="663" t="s">
        <v>628</v>
      </c>
      <c r="RIS1737" s="633"/>
      <c r="RIT1737" s="664"/>
      <c r="RIU1737" s="664"/>
      <c r="RIV1737" s="664"/>
      <c r="RIW1737" s="664"/>
      <c r="RIX1737" s="664"/>
      <c r="RIY1737" s="664"/>
      <c r="RIZ1737" s="664"/>
      <c r="RJA1737" s="630"/>
      <c r="RJB1737" s="631"/>
      <c r="RJC1737" s="655"/>
      <c r="RJD1737" s="734" t="s">
        <v>0</v>
      </c>
      <c r="RJE1737" s="735" t="s">
        <v>1690</v>
      </c>
      <c r="RJF1737" s="843" t="e">
        <f>#REF!</f>
        <v>#REF!</v>
      </c>
      <c r="RJG1737" s="662" t="s">
        <v>799</v>
      </c>
      <c r="RJH1737" s="663" t="s">
        <v>628</v>
      </c>
      <c r="RJI1737" s="633"/>
      <c r="RJJ1737" s="664"/>
      <c r="RJK1737" s="664"/>
      <c r="RJL1737" s="664"/>
      <c r="RJM1737" s="664"/>
      <c r="RJN1737" s="664"/>
      <c r="RJO1737" s="664"/>
      <c r="RJP1737" s="664"/>
      <c r="RJQ1737" s="630"/>
      <c r="RJR1737" s="631"/>
      <c r="RJS1737" s="655"/>
      <c r="RJT1737" s="734" t="s">
        <v>0</v>
      </c>
      <c r="RJU1737" s="735" t="s">
        <v>1690</v>
      </c>
      <c r="RJV1737" s="843" t="e">
        <f>#REF!</f>
        <v>#REF!</v>
      </c>
      <c r="RJW1737" s="662" t="s">
        <v>799</v>
      </c>
      <c r="RJX1737" s="663" t="s">
        <v>628</v>
      </c>
      <c r="RJY1737" s="633"/>
      <c r="RJZ1737" s="664"/>
      <c r="RKA1737" s="664"/>
      <c r="RKB1737" s="664"/>
      <c r="RKC1737" s="664"/>
      <c r="RKD1737" s="664"/>
      <c r="RKE1737" s="664"/>
      <c r="RKF1737" s="664"/>
      <c r="RKG1737" s="630"/>
      <c r="RKH1737" s="631"/>
      <c r="RKI1737" s="655"/>
      <c r="RKJ1737" s="734" t="s">
        <v>0</v>
      </c>
      <c r="RKK1737" s="735" t="s">
        <v>1690</v>
      </c>
      <c r="RKL1737" s="843" t="e">
        <f>#REF!</f>
        <v>#REF!</v>
      </c>
      <c r="RKM1737" s="662" t="s">
        <v>799</v>
      </c>
      <c r="RKN1737" s="663" t="s">
        <v>628</v>
      </c>
      <c r="RKO1737" s="633"/>
      <c r="RKP1737" s="664"/>
      <c r="RKQ1737" s="664"/>
      <c r="RKR1737" s="664"/>
      <c r="RKS1737" s="664"/>
      <c r="RKT1737" s="664"/>
      <c r="RKU1737" s="664"/>
      <c r="RKV1737" s="664"/>
      <c r="RKW1737" s="630"/>
      <c r="RKX1737" s="631"/>
      <c r="RKY1737" s="655"/>
      <c r="RKZ1737" s="734" t="s">
        <v>0</v>
      </c>
      <c r="RLA1737" s="735" t="s">
        <v>1690</v>
      </c>
      <c r="RLB1737" s="843" t="e">
        <f>#REF!</f>
        <v>#REF!</v>
      </c>
      <c r="RLC1737" s="662" t="s">
        <v>799</v>
      </c>
      <c r="RLD1737" s="663" t="s">
        <v>628</v>
      </c>
      <c r="RLE1737" s="633"/>
      <c r="RLF1737" s="664"/>
      <c r="RLG1737" s="664"/>
      <c r="RLH1737" s="664"/>
      <c r="RLI1737" s="664"/>
      <c r="RLJ1737" s="664"/>
      <c r="RLK1737" s="664"/>
      <c r="RLL1737" s="664"/>
      <c r="RLM1737" s="630"/>
      <c r="RLN1737" s="631"/>
      <c r="RLO1737" s="655"/>
      <c r="RLP1737" s="734" t="s">
        <v>0</v>
      </c>
      <c r="RLQ1737" s="735" t="s">
        <v>1690</v>
      </c>
      <c r="RLR1737" s="843" t="e">
        <f>#REF!</f>
        <v>#REF!</v>
      </c>
      <c r="RLS1737" s="662" t="s">
        <v>799</v>
      </c>
      <c r="RLT1737" s="663" t="s">
        <v>628</v>
      </c>
      <c r="RLU1737" s="633"/>
      <c r="RLV1737" s="664"/>
      <c r="RLW1737" s="664"/>
      <c r="RLX1737" s="664"/>
      <c r="RLY1737" s="664"/>
      <c r="RLZ1737" s="664"/>
      <c r="RMA1737" s="664"/>
      <c r="RMB1737" s="664"/>
      <c r="RMC1737" s="630"/>
      <c r="RMD1737" s="631"/>
      <c r="RME1737" s="655"/>
      <c r="RMF1737" s="734" t="s">
        <v>0</v>
      </c>
      <c r="RMG1737" s="735" t="s">
        <v>1690</v>
      </c>
      <c r="RMH1737" s="843" t="e">
        <f>#REF!</f>
        <v>#REF!</v>
      </c>
      <c r="RMI1737" s="662" t="s">
        <v>799</v>
      </c>
      <c r="RMJ1737" s="663" t="s">
        <v>628</v>
      </c>
      <c r="RMK1737" s="633"/>
      <c r="RML1737" s="664"/>
      <c r="RMM1737" s="664"/>
      <c r="RMN1737" s="664"/>
      <c r="RMO1737" s="664"/>
      <c r="RMP1737" s="664"/>
      <c r="RMQ1737" s="664"/>
      <c r="RMR1737" s="664"/>
      <c r="RMS1737" s="630"/>
      <c r="RMT1737" s="631"/>
      <c r="RMU1737" s="655"/>
      <c r="RMV1737" s="734" t="s">
        <v>0</v>
      </c>
      <c r="RMW1737" s="735" t="s">
        <v>1690</v>
      </c>
      <c r="RMX1737" s="843" t="e">
        <f>#REF!</f>
        <v>#REF!</v>
      </c>
      <c r="RMY1737" s="662" t="s">
        <v>799</v>
      </c>
      <c r="RMZ1737" s="663" t="s">
        <v>628</v>
      </c>
      <c r="RNA1737" s="633"/>
      <c r="RNB1737" s="664"/>
      <c r="RNC1737" s="664"/>
      <c r="RND1737" s="664"/>
      <c r="RNE1737" s="664"/>
      <c r="RNF1737" s="664"/>
      <c r="RNG1737" s="664"/>
      <c r="RNH1737" s="664"/>
      <c r="RNI1737" s="630"/>
      <c r="RNJ1737" s="631"/>
      <c r="RNK1737" s="655"/>
      <c r="RNL1737" s="734" t="s">
        <v>0</v>
      </c>
      <c r="RNM1737" s="735" t="s">
        <v>1690</v>
      </c>
      <c r="RNN1737" s="843" t="e">
        <f>#REF!</f>
        <v>#REF!</v>
      </c>
      <c r="RNO1737" s="662" t="s">
        <v>799</v>
      </c>
      <c r="RNP1737" s="663" t="s">
        <v>628</v>
      </c>
      <c r="RNQ1737" s="633"/>
      <c r="RNR1737" s="664"/>
      <c r="RNS1737" s="664"/>
      <c r="RNT1737" s="664"/>
      <c r="RNU1737" s="664"/>
      <c r="RNV1737" s="664"/>
      <c r="RNW1737" s="664"/>
      <c r="RNX1737" s="664"/>
      <c r="RNY1737" s="630"/>
      <c r="RNZ1737" s="631"/>
      <c r="ROA1737" s="655"/>
      <c r="ROB1737" s="734" t="s">
        <v>0</v>
      </c>
      <c r="ROC1737" s="735" t="s">
        <v>1690</v>
      </c>
      <c r="ROD1737" s="843" t="e">
        <f>#REF!</f>
        <v>#REF!</v>
      </c>
      <c r="ROE1737" s="662" t="s">
        <v>799</v>
      </c>
      <c r="ROF1737" s="663" t="s">
        <v>628</v>
      </c>
      <c r="ROG1737" s="633"/>
      <c r="ROH1737" s="664"/>
      <c r="ROI1737" s="664"/>
      <c r="ROJ1737" s="664"/>
      <c r="ROK1737" s="664"/>
      <c r="ROL1737" s="664"/>
      <c r="ROM1737" s="664"/>
      <c r="RON1737" s="664"/>
      <c r="ROO1737" s="630"/>
      <c r="ROP1737" s="631"/>
      <c r="ROQ1737" s="655"/>
      <c r="ROR1737" s="734" t="s">
        <v>0</v>
      </c>
      <c r="ROS1737" s="735" t="s">
        <v>1690</v>
      </c>
      <c r="ROT1737" s="843" t="e">
        <f>#REF!</f>
        <v>#REF!</v>
      </c>
      <c r="ROU1737" s="662" t="s">
        <v>799</v>
      </c>
      <c r="ROV1737" s="663" t="s">
        <v>628</v>
      </c>
      <c r="ROW1737" s="633"/>
      <c r="ROX1737" s="664"/>
      <c r="ROY1737" s="664"/>
      <c r="ROZ1737" s="664"/>
      <c r="RPA1737" s="664"/>
      <c r="RPB1737" s="664"/>
      <c r="RPC1737" s="664"/>
      <c r="RPD1737" s="664"/>
      <c r="RPE1737" s="630"/>
      <c r="RPF1737" s="631"/>
      <c r="RPG1737" s="655"/>
      <c r="RPH1737" s="734" t="s">
        <v>0</v>
      </c>
      <c r="RPI1737" s="735" t="s">
        <v>1690</v>
      </c>
      <c r="RPJ1737" s="843" t="e">
        <f>#REF!</f>
        <v>#REF!</v>
      </c>
      <c r="RPK1737" s="662" t="s">
        <v>799</v>
      </c>
      <c r="RPL1737" s="663" t="s">
        <v>628</v>
      </c>
      <c r="RPM1737" s="633"/>
      <c r="RPN1737" s="664"/>
      <c r="RPO1737" s="664"/>
      <c r="RPP1737" s="664"/>
      <c r="RPQ1737" s="664"/>
      <c r="RPR1737" s="664"/>
      <c r="RPS1737" s="664"/>
      <c r="RPT1737" s="664"/>
      <c r="RPU1737" s="630"/>
      <c r="RPV1737" s="631"/>
      <c r="RPW1737" s="655"/>
      <c r="RPX1737" s="734" t="s">
        <v>0</v>
      </c>
      <c r="RPY1737" s="735" t="s">
        <v>1690</v>
      </c>
      <c r="RPZ1737" s="843" t="e">
        <f>#REF!</f>
        <v>#REF!</v>
      </c>
      <c r="RQA1737" s="662" t="s">
        <v>799</v>
      </c>
      <c r="RQB1737" s="663" t="s">
        <v>628</v>
      </c>
      <c r="RQC1737" s="633"/>
      <c r="RQD1737" s="664"/>
      <c r="RQE1737" s="664"/>
      <c r="RQF1737" s="664"/>
      <c r="RQG1737" s="664"/>
      <c r="RQH1737" s="664"/>
      <c r="RQI1737" s="664"/>
      <c r="RQJ1737" s="664"/>
      <c r="RQK1737" s="630"/>
      <c r="RQL1737" s="631"/>
      <c r="RQM1737" s="655"/>
      <c r="RQN1737" s="734" t="s">
        <v>0</v>
      </c>
      <c r="RQO1737" s="735" t="s">
        <v>1690</v>
      </c>
      <c r="RQP1737" s="843" t="e">
        <f>#REF!</f>
        <v>#REF!</v>
      </c>
      <c r="RQQ1737" s="662" t="s">
        <v>799</v>
      </c>
      <c r="RQR1737" s="663" t="s">
        <v>628</v>
      </c>
      <c r="RQS1737" s="633"/>
      <c r="RQT1737" s="664"/>
      <c r="RQU1737" s="664"/>
      <c r="RQV1737" s="664"/>
      <c r="RQW1737" s="664"/>
      <c r="RQX1737" s="664"/>
      <c r="RQY1737" s="664"/>
      <c r="RQZ1737" s="664"/>
      <c r="RRA1737" s="630"/>
      <c r="RRB1737" s="631"/>
      <c r="RRC1737" s="655"/>
      <c r="RRD1737" s="734" t="s">
        <v>0</v>
      </c>
      <c r="RRE1737" s="735" t="s">
        <v>1690</v>
      </c>
      <c r="RRF1737" s="843" t="e">
        <f>#REF!</f>
        <v>#REF!</v>
      </c>
      <c r="RRG1737" s="662" t="s">
        <v>799</v>
      </c>
      <c r="RRH1737" s="663" t="s">
        <v>628</v>
      </c>
      <c r="RRI1737" s="633"/>
      <c r="RRJ1737" s="664"/>
      <c r="RRK1737" s="664"/>
      <c r="RRL1737" s="664"/>
      <c r="RRM1737" s="664"/>
      <c r="RRN1737" s="664"/>
      <c r="RRO1737" s="664"/>
      <c r="RRP1737" s="664"/>
      <c r="RRQ1737" s="630"/>
      <c r="RRR1737" s="631"/>
      <c r="RRS1737" s="655"/>
      <c r="RRT1737" s="734" t="s">
        <v>0</v>
      </c>
      <c r="RRU1737" s="735" t="s">
        <v>1690</v>
      </c>
      <c r="RRV1737" s="843" t="e">
        <f>#REF!</f>
        <v>#REF!</v>
      </c>
      <c r="RRW1737" s="662" t="s">
        <v>799</v>
      </c>
      <c r="RRX1737" s="663" t="s">
        <v>628</v>
      </c>
      <c r="RRY1737" s="633"/>
      <c r="RRZ1737" s="664"/>
      <c r="RSA1737" s="664"/>
      <c r="RSB1737" s="664"/>
      <c r="RSC1737" s="664"/>
      <c r="RSD1737" s="664"/>
      <c r="RSE1737" s="664"/>
      <c r="RSF1737" s="664"/>
      <c r="RSG1737" s="630"/>
      <c r="RSH1737" s="631"/>
      <c r="RSI1737" s="655"/>
      <c r="RSJ1737" s="734" t="s">
        <v>0</v>
      </c>
      <c r="RSK1737" s="735" t="s">
        <v>1690</v>
      </c>
      <c r="RSL1737" s="843" t="e">
        <f>#REF!</f>
        <v>#REF!</v>
      </c>
      <c r="RSM1737" s="662" t="s">
        <v>799</v>
      </c>
      <c r="RSN1737" s="663" t="s">
        <v>628</v>
      </c>
      <c r="RSO1737" s="633"/>
      <c r="RSP1737" s="664"/>
      <c r="RSQ1737" s="664"/>
      <c r="RSR1737" s="664"/>
      <c r="RSS1737" s="664"/>
      <c r="RST1737" s="664"/>
      <c r="RSU1737" s="664"/>
      <c r="RSV1737" s="664"/>
      <c r="RSW1737" s="630"/>
      <c r="RSX1737" s="631"/>
      <c r="RSY1737" s="655"/>
      <c r="RSZ1737" s="734" t="s">
        <v>0</v>
      </c>
      <c r="RTA1737" s="735" t="s">
        <v>1690</v>
      </c>
      <c r="RTB1737" s="843" t="e">
        <f>#REF!</f>
        <v>#REF!</v>
      </c>
      <c r="RTC1737" s="662" t="s">
        <v>799</v>
      </c>
      <c r="RTD1737" s="663" t="s">
        <v>628</v>
      </c>
      <c r="RTE1737" s="633"/>
      <c r="RTF1737" s="664"/>
      <c r="RTG1737" s="664"/>
      <c r="RTH1737" s="664"/>
      <c r="RTI1737" s="664"/>
      <c r="RTJ1737" s="664"/>
      <c r="RTK1737" s="664"/>
      <c r="RTL1737" s="664"/>
      <c r="RTM1737" s="630"/>
      <c r="RTN1737" s="631"/>
      <c r="RTO1737" s="655"/>
      <c r="RTP1737" s="734" t="s">
        <v>0</v>
      </c>
      <c r="RTQ1737" s="735" t="s">
        <v>1690</v>
      </c>
      <c r="RTR1737" s="843" t="e">
        <f>#REF!</f>
        <v>#REF!</v>
      </c>
      <c r="RTS1737" s="662" t="s">
        <v>799</v>
      </c>
      <c r="RTT1737" s="663" t="s">
        <v>628</v>
      </c>
      <c r="RTU1737" s="633"/>
      <c r="RTV1737" s="664"/>
      <c r="RTW1737" s="664"/>
      <c r="RTX1737" s="664"/>
      <c r="RTY1737" s="664"/>
      <c r="RTZ1737" s="664"/>
      <c r="RUA1737" s="664"/>
      <c r="RUB1737" s="664"/>
      <c r="RUC1737" s="630"/>
      <c r="RUD1737" s="631"/>
      <c r="RUE1737" s="655"/>
      <c r="RUF1737" s="734" t="s">
        <v>0</v>
      </c>
      <c r="RUG1737" s="735" t="s">
        <v>1690</v>
      </c>
      <c r="RUH1737" s="843" t="e">
        <f>#REF!</f>
        <v>#REF!</v>
      </c>
      <c r="RUI1737" s="662" t="s">
        <v>799</v>
      </c>
      <c r="RUJ1737" s="663" t="s">
        <v>628</v>
      </c>
      <c r="RUK1737" s="633"/>
      <c r="RUL1737" s="664"/>
      <c r="RUM1737" s="664"/>
      <c r="RUN1737" s="664"/>
      <c r="RUO1737" s="664"/>
      <c r="RUP1737" s="664"/>
      <c r="RUQ1737" s="664"/>
      <c r="RUR1737" s="664"/>
      <c r="RUS1737" s="630"/>
      <c r="RUT1737" s="631"/>
      <c r="RUU1737" s="655"/>
      <c r="RUV1737" s="734" t="s">
        <v>0</v>
      </c>
      <c r="RUW1737" s="735" t="s">
        <v>1690</v>
      </c>
      <c r="RUX1737" s="843" t="e">
        <f>#REF!</f>
        <v>#REF!</v>
      </c>
      <c r="RUY1737" s="662" t="s">
        <v>799</v>
      </c>
      <c r="RUZ1737" s="663" t="s">
        <v>628</v>
      </c>
      <c r="RVA1737" s="633"/>
      <c r="RVB1737" s="664"/>
      <c r="RVC1737" s="664"/>
      <c r="RVD1737" s="664"/>
      <c r="RVE1737" s="664"/>
      <c r="RVF1737" s="664"/>
      <c r="RVG1737" s="664"/>
      <c r="RVH1737" s="664"/>
      <c r="RVI1737" s="630"/>
      <c r="RVJ1737" s="631"/>
      <c r="RVK1737" s="655"/>
      <c r="RVL1737" s="734" t="s">
        <v>0</v>
      </c>
      <c r="RVM1737" s="735" t="s">
        <v>1690</v>
      </c>
      <c r="RVN1737" s="843" t="e">
        <f>#REF!</f>
        <v>#REF!</v>
      </c>
      <c r="RVO1737" s="662" t="s">
        <v>799</v>
      </c>
      <c r="RVP1737" s="663" t="s">
        <v>628</v>
      </c>
      <c r="RVQ1737" s="633"/>
      <c r="RVR1737" s="664"/>
      <c r="RVS1737" s="664"/>
      <c r="RVT1737" s="664"/>
      <c r="RVU1737" s="664"/>
      <c r="RVV1737" s="664"/>
      <c r="RVW1737" s="664"/>
      <c r="RVX1737" s="664"/>
      <c r="RVY1737" s="630"/>
      <c r="RVZ1737" s="631"/>
      <c r="RWA1737" s="655"/>
      <c r="RWB1737" s="734" t="s">
        <v>0</v>
      </c>
      <c r="RWC1737" s="735" t="s">
        <v>1690</v>
      </c>
      <c r="RWD1737" s="843" t="e">
        <f>#REF!</f>
        <v>#REF!</v>
      </c>
      <c r="RWE1737" s="662" t="s">
        <v>799</v>
      </c>
      <c r="RWF1737" s="663" t="s">
        <v>628</v>
      </c>
      <c r="RWG1737" s="633"/>
      <c r="RWH1737" s="664"/>
      <c r="RWI1737" s="664"/>
      <c r="RWJ1737" s="664"/>
      <c r="RWK1737" s="664"/>
      <c r="RWL1737" s="664"/>
      <c r="RWM1737" s="664"/>
      <c r="RWN1737" s="664"/>
      <c r="RWO1737" s="630"/>
      <c r="RWP1737" s="631"/>
      <c r="RWQ1737" s="655"/>
      <c r="RWR1737" s="734" t="s">
        <v>0</v>
      </c>
      <c r="RWS1737" s="735" t="s">
        <v>1690</v>
      </c>
      <c r="RWT1737" s="843" t="e">
        <f>#REF!</f>
        <v>#REF!</v>
      </c>
      <c r="RWU1737" s="662" t="s">
        <v>799</v>
      </c>
      <c r="RWV1737" s="663" t="s">
        <v>628</v>
      </c>
      <c r="RWW1737" s="633"/>
      <c r="RWX1737" s="664"/>
      <c r="RWY1737" s="664"/>
      <c r="RWZ1737" s="664"/>
      <c r="RXA1737" s="664"/>
      <c r="RXB1737" s="664"/>
      <c r="RXC1737" s="664"/>
      <c r="RXD1737" s="664"/>
      <c r="RXE1737" s="630"/>
      <c r="RXF1737" s="631"/>
      <c r="RXG1737" s="655"/>
      <c r="RXH1737" s="734" t="s">
        <v>0</v>
      </c>
      <c r="RXI1737" s="735" t="s">
        <v>1690</v>
      </c>
      <c r="RXJ1737" s="843" t="e">
        <f>#REF!</f>
        <v>#REF!</v>
      </c>
      <c r="RXK1737" s="662" t="s">
        <v>799</v>
      </c>
      <c r="RXL1737" s="663" t="s">
        <v>628</v>
      </c>
      <c r="RXM1737" s="633"/>
      <c r="RXN1737" s="664"/>
      <c r="RXO1737" s="664"/>
      <c r="RXP1737" s="664"/>
      <c r="RXQ1737" s="664"/>
      <c r="RXR1737" s="664"/>
      <c r="RXS1737" s="664"/>
      <c r="RXT1737" s="664"/>
      <c r="RXU1737" s="630"/>
      <c r="RXV1737" s="631"/>
      <c r="RXW1737" s="655"/>
      <c r="RXX1737" s="734" t="s">
        <v>0</v>
      </c>
      <c r="RXY1737" s="735" t="s">
        <v>1690</v>
      </c>
      <c r="RXZ1737" s="843" t="e">
        <f>#REF!</f>
        <v>#REF!</v>
      </c>
      <c r="RYA1737" s="662" t="s">
        <v>799</v>
      </c>
      <c r="RYB1737" s="663" t="s">
        <v>628</v>
      </c>
      <c r="RYC1737" s="633"/>
      <c r="RYD1737" s="664"/>
      <c r="RYE1737" s="664"/>
      <c r="RYF1737" s="664"/>
      <c r="RYG1737" s="664"/>
      <c r="RYH1737" s="664"/>
      <c r="RYI1737" s="664"/>
      <c r="RYJ1737" s="664"/>
      <c r="RYK1737" s="630"/>
      <c r="RYL1737" s="631"/>
      <c r="RYM1737" s="655"/>
      <c r="RYN1737" s="734" t="s">
        <v>0</v>
      </c>
      <c r="RYO1737" s="735" t="s">
        <v>1690</v>
      </c>
      <c r="RYP1737" s="843" t="e">
        <f>#REF!</f>
        <v>#REF!</v>
      </c>
      <c r="RYQ1737" s="662" t="s">
        <v>799</v>
      </c>
      <c r="RYR1737" s="663" t="s">
        <v>628</v>
      </c>
      <c r="RYS1737" s="633"/>
      <c r="RYT1737" s="664"/>
      <c r="RYU1737" s="664"/>
      <c r="RYV1737" s="664"/>
      <c r="RYW1737" s="664"/>
      <c r="RYX1737" s="664"/>
      <c r="RYY1737" s="664"/>
      <c r="RYZ1737" s="664"/>
      <c r="RZA1737" s="630"/>
      <c r="RZB1737" s="631"/>
      <c r="RZC1737" s="655"/>
      <c r="RZD1737" s="734" t="s">
        <v>0</v>
      </c>
      <c r="RZE1737" s="735" t="s">
        <v>1690</v>
      </c>
      <c r="RZF1737" s="843" t="e">
        <f>#REF!</f>
        <v>#REF!</v>
      </c>
      <c r="RZG1737" s="662" t="s">
        <v>799</v>
      </c>
      <c r="RZH1737" s="663" t="s">
        <v>628</v>
      </c>
      <c r="RZI1737" s="633"/>
      <c r="RZJ1737" s="664"/>
      <c r="RZK1737" s="664"/>
      <c r="RZL1737" s="664"/>
      <c r="RZM1737" s="664"/>
      <c r="RZN1737" s="664"/>
      <c r="RZO1737" s="664"/>
      <c r="RZP1737" s="664"/>
      <c r="RZQ1737" s="630"/>
      <c r="RZR1737" s="631"/>
      <c r="RZS1737" s="655"/>
      <c r="RZT1737" s="734" t="s">
        <v>0</v>
      </c>
      <c r="RZU1737" s="735" t="s">
        <v>1690</v>
      </c>
      <c r="RZV1737" s="843" t="e">
        <f>#REF!</f>
        <v>#REF!</v>
      </c>
      <c r="RZW1737" s="662" t="s">
        <v>799</v>
      </c>
      <c r="RZX1737" s="663" t="s">
        <v>628</v>
      </c>
      <c r="RZY1737" s="633"/>
      <c r="RZZ1737" s="664"/>
      <c r="SAA1737" s="664"/>
      <c r="SAB1737" s="664"/>
      <c r="SAC1737" s="664"/>
      <c r="SAD1737" s="664"/>
      <c r="SAE1737" s="664"/>
      <c r="SAF1737" s="664"/>
      <c r="SAG1737" s="630"/>
      <c r="SAH1737" s="631"/>
      <c r="SAI1737" s="655"/>
      <c r="SAJ1737" s="734" t="s">
        <v>0</v>
      </c>
      <c r="SAK1737" s="735" t="s">
        <v>1690</v>
      </c>
      <c r="SAL1737" s="843" t="e">
        <f>#REF!</f>
        <v>#REF!</v>
      </c>
      <c r="SAM1737" s="662" t="s">
        <v>799</v>
      </c>
      <c r="SAN1737" s="663" t="s">
        <v>628</v>
      </c>
      <c r="SAO1737" s="633"/>
      <c r="SAP1737" s="664"/>
      <c r="SAQ1737" s="664"/>
      <c r="SAR1737" s="664"/>
      <c r="SAS1737" s="664"/>
      <c r="SAT1737" s="664"/>
      <c r="SAU1737" s="664"/>
      <c r="SAV1737" s="664"/>
      <c r="SAW1737" s="630"/>
      <c r="SAX1737" s="631"/>
      <c r="SAY1737" s="655"/>
      <c r="SAZ1737" s="734" t="s">
        <v>0</v>
      </c>
      <c r="SBA1737" s="735" t="s">
        <v>1690</v>
      </c>
      <c r="SBB1737" s="843" t="e">
        <f>#REF!</f>
        <v>#REF!</v>
      </c>
      <c r="SBC1737" s="662" t="s">
        <v>799</v>
      </c>
      <c r="SBD1737" s="663" t="s">
        <v>628</v>
      </c>
      <c r="SBE1737" s="633"/>
      <c r="SBF1737" s="664"/>
      <c r="SBG1737" s="664"/>
      <c r="SBH1737" s="664"/>
      <c r="SBI1737" s="664"/>
      <c r="SBJ1737" s="664"/>
      <c r="SBK1737" s="664"/>
      <c r="SBL1737" s="664"/>
      <c r="SBM1737" s="630"/>
      <c r="SBN1737" s="631"/>
      <c r="SBO1737" s="655"/>
      <c r="SBP1737" s="734" t="s">
        <v>0</v>
      </c>
      <c r="SBQ1737" s="735" t="s">
        <v>1690</v>
      </c>
      <c r="SBR1737" s="843" t="e">
        <f>#REF!</f>
        <v>#REF!</v>
      </c>
      <c r="SBS1737" s="662" t="s">
        <v>799</v>
      </c>
      <c r="SBT1737" s="663" t="s">
        <v>628</v>
      </c>
      <c r="SBU1737" s="633"/>
      <c r="SBV1737" s="664"/>
      <c r="SBW1737" s="664"/>
      <c r="SBX1737" s="664"/>
      <c r="SBY1737" s="664"/>
      <c r="SBZ1737" s="664"/>
      <c r="SCA1737" s="664"/>
      <c r="SCB1737" s="664"/>
      <c r="SCC1737" s="630"/>
      <c r="SCD1737" s="631"/>
      <c r="SCE1737" s="655"/>
      <c r="SCF1737" s="734" t="s">
        <v>0</v>
      </c>
      <c r="SCG1737" s="735" t="s">
        <v>1690</v>
      </c>
      <c r="SCH1737" s="843" t="e">
        <f>#REF!</f>
        <v>#REF!</v>
      </c>
      <c r="SCI1737" s="662" t="s">
        <v>799</v>
      </c>
      <c r="SCJ1737" s="663" t="s">
        <v>628</v>
      </c>
      <c r="SCK1737" s="633"/>
      <c r="SCL1737" s="664"/>
      <c r="SCM1737" s="664"/>
      <c r="SCN1737" s="664"/>
      <c r="SCO1737" s="664"/>
      <c r="SCP1737" s="664"/>
      <c r="SCQ1737" s="664"/>
      <c r="SCR1737" s="664"/>
      <c r="SCS1737" s="630"/>
      <c r="SCT1737" s="631"/>
      <c r="SCU1737" s="655"/>
      <c r="SCV1737" s="734" t="s">
        <v>0</v>
      </c>
      <c r="SCW1737" s="735" t="s">
        <v>1690</v>
      </c>
      <c r="SCX1737" s="843" t="e">
        <f>#REF!</f>
        <v>#REF!</v>
      </c>
      <c r="SCY1737" s="662" t="s">
        <v>799</v>
      </c>
      <c r="SCZ1737" s="663" t="s">
        <v>628</v>
      </c>
      <c r="SDA1737" s="633"/>
      <c r="SDB1737" s="664"/>
      <c r="SDC1737" s="664"/>
      <c r="SDD1737" s="664"/>
      <c r="SDE1737" s="664"/>
      <c r="SDF1737" s="664"/>
      <c r="SDG1737" s="664"/>
      <c r="SDH1737" s="664"/>
      <c r="SDI1737" s="630"/>
      <c r="SDJ1737" s="631"/>
      <c r="SDK1737" s="655"/>
      <c r="SDL1737" s="734" t="s">
        <v>0</v>
      </c>
      <c r="SDM1737" s="735" t="s">
        <v>1690</v>
      </c>
      <c r="SDN1737" s="843" t="e">
        <f>#REF!</f>
        <v>#REF!</v>
      </c>
      <c r="SDO1737" s="662" t="s">
        <v>799</v>
      </c>
      <c r="SDP1737" s="663" t="s">
        <v>628</v>
      </c>
      <c r="SDQ1737" s="633"/>
      <c r="SDR1737" s="664"/>
      <c r="SDS1737" s="664"/>
      <c r="SDT1737" s="664"/>
      <c r="SDU1737" s="664"/>
      <c r="SDV1737" s="664"/>
      <c r="SDW1737" s="664"/>
      <c r="SDX1737" s="664"/>
      <c r="SDY1737" s="630"/>
      <c r="SDZ1737" s="631"/>
      <c r="SEA1737" s="655"/>
      <c r="SEB1737" s="734" t="s">
        <v>0</v>
      </c>
      <c r="SEC1737" s="735" t="s">
        <v>1690</v>
      </c>
      <c r="SED1737" s="843" t="e">
        <f>#REF!</f>
        <v>#REF!</v>
      </c>
      <c r="SEE1737" s="662" t="s">
        <v>799</v>
      </c>
      <c r="SEF1737" s="663" t="s">
        <v>628</v>
      </c>
      <c r="SEG1737" s="633"/>
      <c r="SEH1737" s="664"/>
      <c r="SEI1737" s="664"/>
      <c r="SEJ1737" s="664"/>
      <c r="SEK1737" s="664"/>
      <c r="SEL1737" s="664"/>
      <c r="SEM1737" s="664"/>
      <c r="SEN1737" s="664"/>
      <c r="SEO1737" s="630"/>
      <c r="SEP1737" s="631"/>
      <c r="SEQ1737" s="655"/>
      <c r="SER1737" s="734" t="s">
        <v>0</v>
      </c>
      <c r="SES1737" s="735" t="s">
        <v>1690</v>
      </c>
      <c r="SET1737" s="843" t="e">
        <f>#REF!</f>
        <v>#REF!</v>
      </c>
      <c r="SEU1737" s="662" t="s">
        <v>799</v>
      </c>
      <c r="SEV1737" s="663" t="s">
        <v>628</v>
      </c>
      <c r="SEW1737" s="633"/>
      <c r="SEX1737" s="664"/>
      <c r="SEY1737" s="664"/>
      <c r="SEZ1737" s="664"/>
      <c r="SFA1737" s="664"/>
      <c r="SFB1737" s="664"/>
      <c r="SFC1737" s="664"/>
      <c r="SFD1737" s="664"/>
      <c r="SFE1737" s="630"/>
      <c r="SFF1737" s="631"/>
      <c r="SFG1737" s="655"/>
      <c r="SFH1737" s="734" t="s">
        <v>0</v>
      </c>
      <c r="SFI1737" s="735" t="s">
        <v>1690</v>
      </c>
      <c r="SFJ1737" s="843" t="e">
        <f>#REF!</f>
        <v>#REF!</v>
      </c>
      <c r="SFK1737" s="662" t="s">
        <v>799</v>
      </c>
      <c r="SFL1737" s="663" t="s">
        <v>628</v>
      </c>
      <c r="SFM1737" s="633"/>
      <c r="SFN1737" s="664"/>
      <c r="SFO1737" s="664"/>
      <c r="SFP1737" s="664"/>
      <c r="SFQ1737" s="664"/>
      <c r="SFR1737" s="664"/>
      <c r="SFS1737" s="664"/>
      <c r="SFT1737" s="664"/>
      <c r="SFU1737" s="630"/>
      <c r="SFV1737" s="631"/>
      <c r="SFW1737" s="655"/>
      <c r="SFX1737" s="734" t="s">
        <v>0</v>
      </c>
      <c r="SFY1737" s="735" t="s">
        <v>1690</v>
      </c>
      <c r="SFZ1737" s="843" t="e">
        <f>#REF!</f>
        <v>#REF!</v>
      </c>
      <c r="SGA1737" s="662" t="s">
        <v>799</v>
      </c>
      <c r="SGB1737" s="663" t="s">
        <v>628</v>
      </c>
      <c r="SGC1737" s="633"/>
      <c r="SGD1737" s="664"/>
      <c r="SGE1737" s="664"/>
      <c r="SGF1737" s="664"/>
      <c r="SGG1737" s="664"/>
      <c r="SGH1737" s="664"/>
      <c r="SGI1737" s="664"/>
      <c r="SGJ1737" s="664"/>
      <c r="SGK1737" s="630"/>
      <c r="SGL1737" s="631"/>
      <c r="SGM1737" s="655"/>
      <c r="SGN1737" s="734" t="s">
        <v>0</v>
      </c>
      <c r="SGO1737" s="735" t="s">
        <v>1690</v>
      </c>
      <c r="SGP1737" s="843" t="e">
        <f>#REF!</f>
        <v>#REF!</v>
      </c>
      <c r="SGQ1737" s="662" t="s">
        <v>799</v>
      </c>
      <c r="SGR1737" s="663" t="s">
        <v>628</v>
      </c>
      <c r="SGS1737" s="633"/>
      <c r="SGT1737" s="664"/>
      <c r="SGU1737" s="664"/>
      <c r="SGV1737" s="664"/>
      <c r="SGW1737" s="664"/>
      <c r="SGX1737" s="664"/>
      <c r="SGY1737" s="664"/>
      <c r="SGZ1737" s="664"/>
      <c r="SHA1737" s="630"/>
      <c r="SHB1737" s="631"/>
      <c r="SHC1737" s="655"/>
      <c r="SHD1737" s="734" t="s">
        <v>0</v>
      </c>
      <c r="SHE1737" s="735" t="s">
        <v>1690</v>
      </c>
      <c r="SHF1737" s="843" t="e">
        <f>#REF!</f>
        <v>#REF!</v>
      </c>
      <c r="SHG1737" s="662" t="s">
        <v>799</v>
      </c>
      <c r="SHH1737" s="663" t="s">
        <v>628</v>
      </c>
      <c r="SHI1737" s="633"/>
      <c r="SHJ1737" s="664"/>
      <c r="SHK1737" s="664"/>
      <c r="SHL1737" s="664"/>
      <c r="SHM1737" s="664"/>
      <c r="SHN1737" s="664"/>
      <c r="SHO1737" s="664"/>
      <c r="SHP1737" s="664"/>
      <c r="SHQ1737" s="630"/>
      <c r="SHR1737" s="631"/>
      <c r="SHS1737" s="655"/>
      <c r="SHT1737" s="734" t="s">
        <v>0</v>
      </c>
      <c r="SHU1737" s="735" t="s">
        <v>1690</v>
      </c>
      <c r="SHV1737" s="843" t="e">
        <f>#REF!</f>
        <v>#REF!</v>
      </c>
      <c r="SHW1737" s="662" t="s">
        <v>799</v>
      </c>
      <c r="SHX1737" s="663" t="s">
        <v>628</v>
      </c>
      <c r="SHY1737" s="633"/>
      <c r="SHZ1737" s="664"/>
      <c r="SIA1737" s="664"/>
      <c r="SIB1737" s="664"/>
      <c r="SIC1737" s="664"/>
      <c r="SID1737" s="664"/>
      <c r="SIE1737" s="664"/>
      <c r="SIF1737" s="664"/>
      <c r="SIG1737" s="630"/>
      <c r="SIH1737" s="631"/>
      <c r="SII1737" s="655"/>
      <c r="SIJ1737" s="734" t="s">
        <v>0</v>
      </c>
      <c r="SIK1737" s="735" t="s">
        <v>1690</v>
      </c>
      <c r="SIL1737" s="843" t="e">
        <f>#REF!</f>
        <v>#REF!</v>
      </c>
      <c r="SIM1737" s="662" t="s">
        <v>799</v>
      </c>
      <c r="SIN1737" s="663" t="s">
        <v>628</v>
      </c>
      <c r="SIO1737" s="633"/>
      <c r="SIP1737" s="664"/>
      <c r="SIQ1737" s="664"/>
      <c r="SIR1737" s="664"/>
      <c r="SIS1737" s="664"/>
      <c r="SIT1737" s="664"/>
      <c r="SIU1737" s="664"/>
      <c r="SIV1737" s="664"/>
      <c r="SIW1737" s="630"/>
      <c r="SIX1737" s="631"/>
      <c r="SIY1737" s="655"/>
      <c r="SIZ1737" s="734" t="s">
        <v>0</v>
      </c>
      <c r="SJA1737" s="735" t="s">
        <v>1690</v>
      </c>
      <c r="SJB1737" s="843" t="e">
        <f>#REF!</f>
        <v>#REF!</v>
      </c>
      <c r="SJC1737" s="662" t="s">
        <v>799</v>
      </c>
      <c r="SJD1737" s="663" t="s">
        <v>628</v>
      </c>
      <c r="SJE1737" s="633"/>
      <c r="SJF1737" s="664"/>
      <c r="SJG1737" s="664"/>
      <c r="SJH1737" s="664"/>
      <c r="SJI1737" s="664"/>
      <c r="SJJ1737" s="664"/>
      <c r="SJK1737" s="664"/>
      <c r="SJL1737" s="664"/>
      <c r="SJM1737" s="630"/>
      <c r="SJN1737" s="631"/>
      <c r="SJO1737" s="655"/>
      <c r="SJP1737" s="734" t="s">
        <v>0</v>
      </c>
      <c r="SJQ1737" s="735" t="s">
        <v>1690</v>
      </c>
      <c r="SJR1737" s="843" t="e">
        <f>#REF!</f>
        <v>#REF!</v>
      </c>
      <c r="SJS1737" s="662" t="s">
        <v>799</v>
      </c>
      <c r="SJT1737" s="663" t="s">
        <v>628</v>
      </c>
      <c r="SJU1737" s="633"/>
      <c r="SJV1737" s="664"/>
      <c r="SJW1737" s="664"/>
      <c r="SJX1737" s="664"/>
      <c r="SJY1737" s="664"/>
      <c r="SJZ1737" s="664"/>
      <c r="SKA1737" s="664"/>
      <c r="SKB1737" s="664"/>
      <c r="SKC1737" s="630"/>
      <c r="SKD1737" s="631"/>
      <c r="SKE1737" s="655"/>
      <c r="SKF1737" s="734" t="s">
        <v>0</v>
      </c>
      <c r="SKG1737" s="735" t="s">
        <v>1690</v>
      </c>
      <c r="SKH1737" s="843" t="e">
        <f>#REF!</f>
        <v>#REF!</v>
      </c>
      <c r="SKI1737" s="662" t="s">
        <v>799</v>
      </c>
      <c r="SKJ1737" s="663" t="s">
        <v>628</v>
      </c>
      <c r="SKK1737" s="633"/>
      <c r="SKL1737" s="664"/>
      <c r="SKM1737" s="664"/>
      <c r="SKN1737" s="664"/>
      <c r="SKO1737" s="664"/>
      <c r="SKP1737" s="664"/>
      <c r="SKQ1737" s="664"/>
      <c r="SKR1737" s="664"/>
      <c r="SKS1737" s="630"/>
      <c r="SKT1737" s="631"/>
      <c r="SKU1737" s="655"/>
      <c r="SKV1737" s="734" t="s">
        <v>0</v>
      </c>
      <c r="SKW1737" s="735" t="s">
        <v>1690</v>
      </c>
      <c r="SKX1737" s="843" t="e">
        <f>#REF!</f>
        <v>#REF!</v>
      </c>
      <c r="SKY1737" s="662" t="s">
        <v>799</v>
      </c>
      <c r="SKZ1737" s="663" t="s">
        <v>628</v>
      </c>
      <c r="SLA1737" s="633"/>
      <c r="SLB1737" s="664"/>
      <c r="SLC1737" s="664"/>
      <c r="SLD1737" s="664"/>
      <c r="SLE1737" s="664"/>
      <c r="SLF1737" s="664"/>
      <c r="SLG1737" s="664"/>
      <c r="SLH1737" s="664"/>
      <c r="SLI1737" s="630"/>
      <c r="SLJ1737" s="631"/>
      <c r="SLK1737" s="655"/>
      <c r="SLL1737" s="734" t="s">
        <v>0</v>
      </c>
      <c r="SLM1737" s="735" t="s">
        <v>1690</v>
      </c>
      <c r="SLN1737" s="843" t="e">
        <f>#REF!</f>
        <v>#REF!</v>
      </c>
      <c r="SLO1737" s="662" t="s">
        <v>799</v>
      </c>
      <c r="SLP1737" s="663" t="s">
        <v>628</v>
      </c>
      <c r="SLQ1737" s="633"/>
      <c r="SLR1737" s="664"/>
      <c r="SLS1737" s="664"/>
      <c r="SLT1737" s="664"/>
      <c r="SLU1737" s="664"/>
      <c r="SLV1737" s="664"/>
      <c r="SLW1737" s="664"/>
      <c r="SLX1737" s="664"/>
      <c r="SLY1737" s="630"/>
      <c r="SLZ1737" s="631"/>
      <c r="SMA1737" s="655"/>
      <c r="SMB1737" s="734" t="s">
        <v>0</v>
      </c>
      <c r="SMC1737" s="735" t="s">
        <v>1690</v>
      </c>
      <c r="SMD1737" s="843" t="e">
        <f>#REF!</f>
        <v>#REF!</v>
      </c>
      <c r="SME1737" s="662" t="s">
        <v>799</v>
      </c>
      <c r="SMF1737" s="663" t="s">
        <v>628</v>
      </c>
      <c r="SMG1737" s="633"/>
      <c r="SMH1737" s="664"/>
      <c r="SMI1737" s="664"/>
      <c r="SMJ1737" s="664"/>
      <c r="SMK1737" s="664"/>
      <c r="SML1737" s="664"/>
      <c r="SMM1737" s="664"/>
      <c r="SMN1737" s="664"/>
      <c r="SMO1737" s="630"/>
      <c r="SMP1737" s="631"/>
      <c r="SMQ1737" s="655"/>
      <c r="SMR1737" s="734" t="s">
        <v>0</v>
      </c>
      <c r="SMS1737" s="735" t="s">
        <v>1690</v>
      </c>
      <c r="SMT1737" s="843" t="e">
        <f>#REF!</f>
        <v>#REF!</v>
      </c>
      <c r="SMU1737" s="662" t="s">
        <v>799</v>
      </c>
      <c r="SMV1737" s="663" t="s">
        <v>628</v>
      </c>
      <c r="SMW1737" s="633"/>
      <c r="SMX1737" s="664"/>
      <c r="SMY1737" s="664"/>
      <c r="SMZ1737" s="664"/>
      <c r="SNA1737" s="664"/>
      <c r="SNB1737" s="664"/>
      <c r="SNC1737" s="664"/>
      <c r="SND1737" s="664"/>
      <c r="SNE1737" s="630"/>
      <c r="SNF1737" s="631"/>
      <c r="SNG1737" s="655"/>
      <c r="SNH1737" s="734" t="s">
        <v>0</v>
      </c>
      <c r="SNI1737" s="735" t="s">
        <v>1690</v>
      </c>
      <c r="SNJ1737" s="843" t="e">
        <f>#REF!</f>
        <v>#REF!</v>
      </c>
      <c r="SNK1737" s="662" t="s">
        <v>799</v>
      </c>
      <c r="SNL1737" s="663" t="s">
        <v>628</v>
      </c>
      <c r="SNM1737" s="633"/>
      <c r="SNN1737" s="664"/>
      <c r="SNO1737" s="664"/>
      <c r="SNP1737" s="664"/>
      <c r="SNQ1737" s="664"/>
      <c r="SNR1737" s="664"/>
      <c r="SNS1737" s="664"/>
      <c r="SNT1737" s="664"/>
      <c r="SNU1737" s="630"/>
      <c r="SNV1737" s="631"/>
      <c r="SNW1737" s="655"/>
      <c r="SNX1737" s="734" t="s">
        <v>0</v>
      </c>
      <c r="SNY1737" s="735" t="s">
        <v>1690</v>
      </c>
      <c r="SNZ1737" s="843" t="e">
        <f>#REF!</f>
        <v>#REF!</v>
      </c>
      <c r="SOA1737" s="662" t="s">
        <v>799</v>
      </c>
      <c r="SOB1737" s="663" t="s">
        <v>628</v>
      </c>
      <c r="SOC1737" s="633"/>
      <c r="SOD1737" s="664"/>
      <c r="SOE1737" s="664"/>
      <c r="SOF1737" s="664"/>
      <c r="SOG1737" s="664"/>
      <c r="SOH1737" s="664"/>
      <c r="SOI1737" s="664"/>
      <c r="SOJ1737" s="664"/>
      <c r="SOK1737" s="630"/>
      <c r="SOL1737" s="631"/>
      <c r="SOM1737" s="655"/>
      <c r="SON1737" s="734" t="s">
        <v>0</v>
      </c>
      <c r="SOO1737" s="735" t="s">
        <v>1690</v>
      </c>
      <c r="SOP1737" s="843" t="e">
        <f>#REF!</f>
        <v>#REF!</v>
      </c>
      <c r="SOQ1737" s="662" t="s">
        <v>799</v>
      </c>
      <c r="SOR1737" s="663" t="s">
        <v>628</v>
      </c>
      <c r="SOS1737" s="633"/>
      <c r="SOT1737" s="664"/>
      <c r="SOU1737" s="664"/>
      <c r="SOV1737" s="664"/>
      <c r="SOW1737" s="664"/>
      <c r="SOX1737" s="664"/>
      <c r="SOY1737" s="664"/>
      <c r="SOZ1737" s="664"/>
      <c r="SPA1737" s="630"/>
      <c r="SPB1737" s="631"/>
      <c r="SPC1737" s="655"/>
      <c r="SPD1737" s="734" t="s">
        <v>0</v>
      </c>
      <c r="SPE1737" s="735" t="s">
        <v>1690</v>
      </c>
      <c r="SPF1737" s="843" t="e">
        <f>#REF!</f>
        <v>#REF!</v>
      </c>
      <c r="SPG1737" s="662" t="s">
        <v>799</v>
      </c>
      <c r="SPH1737" s="663" t="s">
        <v>628</v>
      </c>
      <c r="SPI1737" s="633"/>
      <c r="SPJ1737" s="664"/>
      <c r="SPK1737" s="664"/>
      <c r="SPL1737" s="664"/>
      <c r="SPM1737" s="664"/>
      <c r="SPN1737" s="664"/>
      <c r="SPO1737" s="664"/>
      <c r="SPP1737" s="664"/>
      <c r="SPQ1737" s="630"/>
      <c r="SPR1737" s="631"/>
      <c r="SPS1737" s="655"/>
      <c r="SPT1737" s="734" t="s">
        <v>0</v>
      </c>
      <c r="SPU1737" s="735" t="s">
        <v>1690</v>
      </c>
      <c r="SPV1737" s="843" t="e">
        <f>#REF!</f>
        <v>#REF!</v>
      </c>
      <c r="SPW1737" s="662" t="s">
        <v>799</v>
      </c>
      <c r="SPX1737" s="663" t="s">
        <v>628</v>
      </c>
      <c r="SPY1737" s="633"/>
      <c r="SPZ1737" s="664"/>
      <c r="SQA1737" s="664"/>
      <c r="SQB1737" s="664"/>
      <c r="SQC1737" s="664"/>
      <c r="SQD1737" s="664"/>
      <c r="SQE1737" s="664"/>
      <c r="SQF1737" s="664"/>
      <c r="SQG1737" s="630"/>
      <c r="SQH1737" s="631"/>
      <c r="SQI1737" s="655"/>
      <c r="SQJ1737" s="734" t="s">
        <v>0</v>
      </c>
      <c r="SQK1737" s="735" t="s">
        <v>1690</v>
      </c>
      <c r="SQL1737" s="843" t="e">
        <f>#REF!</f>
        <v>#REF!</v>
      </c>
      <c r="SQM1737" s="662" t="s">
        <v>799</v>
      </c>
      <c r="SQN1737" s="663" t="s">
        <v>628</v>
      </c>
      <c r="SQO1737" s="633"/>
      <c r="SQP1737" s="664"/>
      <c r="SQQ1737" s="664"/>
      <c r="SQR1737" s="664"/>
      <c r="SQS1737" s="664"/>
      <c r="SQT1737" s="664"/>
      <c r="SQU1737" s="664"/>
      <c r="SQV1737" s="664"/>
      <c r="SQW1737" s="630"/>
      <c r="SQX1737" s="631"/>
      <c r="SQY1737" s="655"/>
      <c r="SQZ1737" s="734" t="s">
        <v>0</v>
      </c>
      <c r="SRA1737" s="735" t="s">
        <v>1690</v>
      </c>
      <c r="SRB1737" s="843" t="e">
        <f>#REF!</f>
        <v>#REF!</v>
      </c>
      <c r="SRC1737" s="662" t="s">
        <v>799</v>
      </c>
      <c r="SRD1737" s="663" t="s">
        <v>628</v>
      </c>
      <c r="SRE1737" s="633"/>
      <c r="SRF1737" s="664"/>
      <c r="SRG1737" s="664"/>
      <c r="SRH1737" s="664"/>
      <c r="SRI1737" s="664"/>
      <c r="SRJ1737" s="664"/>
      <c r="SRK1737" s="664"/>
      <c r="SRL1737" s="664"/>
      <c r="SRM1737" s="630"/>
      <c r="SRN1737" s="631"/>
      <c r="SRO1737" s="655"/>
      <c r="SRP1737" s="734" t="s">
        <v>0</v>
      </c>
      <c r="SRQ1737" s="735" t="s">
        <v>1690</v>
      </c>
      <c r="SRR1737" s="843" t="e">
        <f>#REF!</f>
        <v>#REF!</v>
      </c>
      <c r="SRS1737" s="662" t="s">
        <v>799</v>
      </c>
      <c r="SRT1737" s="663" t="s">
        <v>628</v>
      </c>
      <c r="SRU1737" s="633"/>
      <c r="SRV1737" s="664"/>
      <c r="SRW1737" s="664"/>
      <c r="SRX1737" s="664"/>
      <c r="SRY1737" s="664"/>
      <c r="SRZ1737" s="664"/>
      <c r="SSA1737" s="664"/>
      <c r="SSB1737" s="664"/>
      <c r="SSC1737" s="630"/>
      <c r="SSD1737" s="631"/>
      <c r="SSE1737" s="655"/>
      <c r="SSF1737" s="734" t="s">
        <v>0</v>
      </c>
      <c r="SSG1737" s="735" t="s">
        <v>1690</v>
      </c>
      <c r="SSH1737" s="843" t="e">
        <f>#REF!</f>
        <v>#REF!</v>
      </c>
      <c r="SSI1737" s="662" t="s">
        <v>799</v>
      </c>
      <c r="SSJ1737" s="663" t="s">
        <v>628</v>
      </c>
      <c r="SSK1737" s="633"/>
      <c r="SSL1737" s="664"/>
      <c r="SSM1737" s="664"/>
      <c r="SSN1737" s="664"/>
      <c r="SSO1737" s="664"/>
      <c r="SSP1737" s="664"/>
      <c r="SSQ1737" s="664"/>
      <c r="SSR1737" s="664"/>
      <c r="SSS1737" s="630"/>
      <c r="SST1737" s="631"/>
      <c r="SSU1737" s="655"/>
      <c r="SSV1737" s="734" t="s">
        <v>0</v>
      </c>
      <c r="SSW1737" s="735" t="s">
        <v>1690</v>
      </c>
      <c r="SSX1737" s="843" t="e">
        <f>#REF!</f>
        <v>#REF!</v>
      </c>
      <c r="SSY1737" s="662" t="s">
        <v>799</v>
      </c>
      <c r="SSZ1737" s="663" t="s">
        <v>628</v>
      </c>
      <c r="STA1737" s="633"/>
      <c r="STB1737" s="664"/>
      <c r="STC1737" s="664"/>
      <c r="STD1737" s="664"/>
      <c r="STE1737" s="664"/>
      <c r="STF1737" s="664"/>
      <c r="STG1737" s="664"/>
      <c r="STH1737" s="664"/>
      <c r="STI1737" s="630"/>
      <c r="STJ1737" s="631"/>
      <c r="STK1737" s="655"/>
      <c r="STL1737" s="734" t="s">
        <v>0</v>
      </c>
      <c r="STM1737" s="735" t="s">
        <v>1690</v>
      </c>
      <c r="STN1737" s="843" t="e">
        <f>#REF!</f>
        <v>#REF!</v>
      </c>
      <c r="STO1737" s="662" t="s">
        <v>799</v>
      </c>
      <c r="STP1737" s="663" t="s">
        <v>628</v>
      </c>
      <c r="STQ1737" s="633"/>
      <c r="STR1737" s="664"/>
      <c r="STS1737" s="664"/>
      <c r="STT1737" s="664"/>
      <c r="STU1737" s="664"/>
      <c r="STV1737" s="664"/>
      <c r="STW1737" s="664"/>
      <c r="STX1737" s="664"/>
      <c r="STY1737" s="630"/>
      <c r="STZ1737" s="631"/>
      <c r="SUA1737" s="655"/>
      <c r="SUB1737" s="734" t="s">
        <v>0</v>
      </c>
      <c r="SUC1737" s="735" t="s">
        <v>1690</v>
      </c>
      <c r="SUD1737" s="843" t="e">
        <f>#REF!</f>
        <v>#REF!</v>
      </c>
      <c r="SUE1737" s="662" t="s">
        <v>799</v>
      </c>
      <c r="SUF1737" s="663" t="s">
        <v>628</v>
      </c>
      <c r="SUG1737" s="633"/>
      <c r="SUH1737" s="664"/>
      <c r="SUI1737" s="664"/>
      <c r="SUJ1737" s="664"/>
      <c r="SUK1737" s="664"/>
      <c r="SUL1737" s="664"/>
      <c r="SUM1737" s="664"/>
      <c r="SUN1737" s="664"/>
      <c r="SUO1737" s="630"/>
      <c r="SUP1737" s="631"/>
      <c r="SUQ1737" s="655"/>
      <c r="SUR1737" s="734" t="s">
        <v>0</v>
      </c>
      <c r="SUS1737" s="735" t="s">
        <v>1690</v>
      </c>
      <c r="SUT1737" s="843" t="e">
        <f>#REF!</f>
        <v>#REF!</v>
      </c>
      <c r="SUU1737" s="662" t="s">
        <v>799</v>
      </c>
      <c r="SUV1737" s="663" t="s">
        <v>628</v>
      </c>
      <c r="SUW1737" s="633"/>
      <c r="SUX1737" s="664"/>
      <c r="SUY1737" s="664"/>
      <c r="SUZ1737" s="664"/>
      <c r="SVA1737" s="664"/>
      <c r="SVB1737" s="664"/>
      <c r="SVC1737" s="664"/>
      <c r="SVD1737" s="664"/>
      <c r="SVE1737" s="630"/>
      <c r="SVF1737" s="631"/>
      <c r="SVG1737" s="655"/>
      <c r="SVH1737" s="734" t="s">
        <v>0</v>
      </c>
      <c r="SVI1737" s="735" t="s">
        <v>1690</v>
      </c>
      <c r="SVJ1737" s="843" t="e">
        <f>#REF!</f>
        <v>#REF!</v>
      </c>
      <c r="SVK1737" s="662" t="s">
        <v>799</v>
      </c>
      <c r="SVL1737" s="663" t="s">
        <v>628</v>
      </c>
      <c r="SVM1737" s="633"/>
      <c r="SVN1737" s="664"/>
      <c r="SVO1737" s="664"/>
      <c r="SVP1737" s="664"/>
      <c r="SVQ1737" s="664"/>
      <c r="SVR1737" s="664"/>
      <c r="SVS1737" s="664"/>
      <c r="SVT1737" s="664"/>
      <c r="SVU1737" s="630"/>
      <c r="SVV1737" s="631"/>
      <c r="SVW1737" s="655"/>
      <c r="SVX1737" s="734" t="s">
        <v>0</v>
      </c>
      <c r="SVY1737" s="735" t="s">
        <v>1690</v>
      </c>
      <c r="SVZ1737" s="843" t="e">
        <f>#REF!</f>
        <v>#REF!</v>
      </c>
      <c r="SWA1737" s="662" t="s">
        <v>799</v>
      </c>
      <c r="SWB1737" s="663" t="s">
        <v>628</v>
      </c>
      <c r="SWC1737" s="633"/>
      <c r="SWD1737" s="664"/>
      <c r="SWE1737" s="664"/>
      <c r="SWF1737" s="664"/>
      <c r="SWG1737" s="664"/>
      <c r="SWH1737" s="664"/>
      <c r="SWI1737" s="664"/>
      <c r="SWJ1737" s="664"/>
      <c r="SWK1737" s="630"/>
      <c r="SWL1737" s="631"/>
      <c r="SWM1737" s="655"/>
      <c r="SWN1737" s="734" t="s">
        <v>0</v>
      </c>
      <c r="SWO1737" s="735" t="s">
        <v>1690</v>
      </c>
      <c r="SWP1737" s="843" t="e">
        <f>#REF!</f>
        <v>#REF!</v>
      </c>
      <c r="SWQ1737" s="662" t="s">
        <v>799</v>
      </c>
      <c r="SWR1737" s="663" t="s">
        <v>628</v>
      </c>
      <c r="SWS1737" s="633"/>
      <c r="SWT1737" s="664"/>
      <c r="SWU1737" s="664"/>
      <c r="SWV1737" s="664"/>
      <c r="SWW1737" s="664"/>
      <c r="SWX1737" s="664"/>
      <c r="SWY1737" s="664"/>
      <c r="SWZ1737" s="664"/>
      <c r="SXA1737" s="630"/>
      <c r="SXB1737" s="631"/>
      <c r="SXC1737" s="655"/>
      <c r="SXD1737" s="734" t="s">
        <v>0</v>
      </c>
      <c r="SXE1737" s="735" t="s">
        <v>1690</v>
      </c>
      <c r="SXF1737" s="843" t="e">
        <f>#REF!</f>
        <v>#REF!</v>
      </c>
      <c r="SXG1737" s="662" t="s">
        <v>799</v>
      </c>
      <c r="SXH1737" s="663" t="s">
        <v>628</v>
      </c>
      <c r="SXI1737" s="633"/>
      <c r="SXJ1737" s="664"/>
      <c r="SXK1737" s="664"/>
      <c r="SXL1737" s="664"/>
      <c r="SXM1737" s="664"/>
      <c r="SXN1737" s="664"/>
      <c r="SXO1737" s="664"/>
      <c r="SXP1737" s="664"/>
      <c r="SXQ1737" s="630"/>
      <c r="SXR1737" s="631"/>
      <c r="SXS1737" s="655"/>
      <c r="SXT1737" s="734" t="s">
        <v>0</v>
      </c>
      <c r="SXU1737" s="735" t="s">
        <v>1690</v>
      </c>
      <c r="SXV1737" s="843" t="e">
        <f>#REF!</f>
        <v>#REF!</v>
      </c>
      <c r="SXW1737" s="662" t="s">
        <v>799</v>
      </c>
      <c r="SXX1737" s="663" t="s">
        <v>628</v>
      </c>
      <c r="SXY1737" s="633"/>
      <c r="SXZ1737" s="664"/>
      <c r="SYA1737" s="664"/>
      <c r="SYB1737" s="664"/>
      <c r="SYC1737" s="664"/>
      <c r="SYD1737" s="664"/>
      <c r="SYE1737" s="664"/>
      <c r="SYF1737" s="664"/>
      <c r="SYG1737" s="630"/>
      <c r="SYH1737" s="631"/>
      <c r="SYI1737" s="655"/>
      <c r="SYJ1737" s="734" t="s">
        <v>0</v>
      </c>
      <c r="SYK1737" s="735" t="s">
        <v>1690</v>
      </c>
      <c r="SYL1737" s="843" t="e">
        <f>#REF!</f>
        <v>#REF!</v>
      </c>
      <c r="SYM1737" s="662" t="s">
        <v>799</v>
      </c>
      <c r="SYN1737" s="663" t="s">
        <v>628</v>
      </c>
      <c r="SYO1737" s="633"/>
      <c r="SYP1737" s="664"/>
      <c r="SYQ1737" s="664"/>
      <c r="SYR1737" s="664"/>
      <c r="SYS1737" s="664"/>
      <c r="SYT1737" s="664"/>
      <c r="SYU1737" s="664"/>
      <c r="SYV1737" s="664"/>
      <c r="SYW1737" s="630"/>
      <c r="SYX1737" s="631"/>
      <c r="SYY1737" s="655"/>
      <c r="SYZ1737" s="734" t="s">
        <v>0</v>
      </c>
      <c r="SZA1737" s="735" t="s">
        <v>1690</v>
      </c>
      <c r="SZB1737" s="843" t="e">
        <f>#REF!</f>
        <v>#REF!</v>
      </c>
      <c r="SZC1737" s="662" t="s">
        <v>799</v>
      </c>
      <c r="SZD1737" s="663" t="s">
        <v>628</v>
      </c>
      <c r="SZE1737" s="633"/>
      <c r="SZF1737" s="664"/>
      <c r="SZG1737" s="664"/>
      <c r="SZH1737" s="664"/>
      <c r="SZI1737" s="664"/>
      <c r="SZJ1737" s="664"/>
      <c r="SZK1737" s="664"/>
      <c r="SZL1737" s="664"/>
      <c r="SZM1737" s="630"/>
      <c r="SZN1737" s="631"/>
      <c r="SZO1737" s="655"/>
      <c r="SZP1737" s="734" t="s">
        <v>0</v>
      </c>
      <c r="SZQ1737" s="735" t="s">
        <v>1690</v>
      </c>
      <c r="SZR1737" s="843" t="e">
        <f>#REF!</f>
        <v>#REF!</v>
      </c>
      <c r="SZS1737" s="662" t="s">
        <v>799</v>
      </c>
      <c r="SZT1737" s="663" t="s">
        <v>628</v>
      </c>
      <c r="SZU1737" s="633"/>
      <c r="SZV1737" s="664"/>
      <c r="SZW1737" s="664"/>
      <c r="SZX1737" s="664"/>
      <c r="SZY1737" s="664"/>
      <c r="SZZ1737" s="664"/>
      <c r="TAA1737" s="664"/>
      <c r="TAB1737" s="664"/>
      <c r="TAC1737" s="630"/>
      <c r="TAD1737" s="631"/>
      <c r="TAE1737" s="655"/>
      <c r="TAF1737" s="734" t="s">
        <v>0</v>
      </c>
      <c r="TAG1737" s="735" t="s">
        <v>1690</v>
      </c>
      <c r="TAH1737" s="843" t="e">
        <f>#REF!</f>
        <v>#REF!</v>
      </c>
      <c r="TAI1737" s="662" t="s">
        <v>799</v>
      </c>
      <c r="TAJ1737" s="663" t="s">
        <v>628</v>
      </c>
      <c r="TAK1737" s="633"/>
      <c r="TAL1737" s="664"/>
      <c r="TAM1737" s="664"/>
      <c r="TAN1737" s="664"/>
      <c r="TAO1737" s="664"/>
      <c r="TAP1737" s="664"/>
      <c r="TAQ1737" s="664"/>
      <c r="TAR1737" s="664"/>
      <c r="TAS1737" s="630"/>
      <c r="TAT1737" s="631"/>
      <c r="TAU1737" s="655"/>
      <c r="TAV1737" s="734" t="s">
        <v>0</v>
      </c>
      <c r="TAW1737" s="735" t="s">
        <v>1690</v>
      </c>
      <c r="TAX1737" s="843" t="e">
        <f>#REF!</f>
        <v>#REF!</v>
      </c>
      <c r="TAY1737" s="662" t="s">
        <v>799</v>
      </c>
      <c r="TAZ1737" s="663" t="s">
        <v>628</v>
      </c>
      <c r="TBA1737" s="633"/>
      <c r="TBB1737" s="664"/>
      <c r="TBC1737" s="664"/>
      <c r="TBD1737" s="664"/>
      <c r="TBE1737" s="664"/>
      <c r="TBF1737" s="664"/>
      <c r="TBG1737" s="664"/>
      <c r="TBH1737" s="664"/>
      <c r="TBI1737" s="630"/>
      <c r="TBJ1737" s="631"/>
      <c r="TBK1737" s="655"/>
      <c r="TBL1737" s="734" t="s">
        <v>0</v>
      </c>
      <c r="TBM1737" s="735" t="s">
        <v>1690</v>
      </c>
      <c r="TBN1737" s="843" t="e">
        <f>#REF!</f>
        <v>#REF!</v>
      </c>
      <c r="TBO1737" s="662" t="s">
        <v>799</v>
      </c>
      <c r="TBP1737" s="663" t="s">
        <v>628</v>
      </c>
      <c r="TBQ1737" s="633"/>
      <c r="TBR1737" s="664"/>
      <c r="TBS1737" s="664"/>
      <c r="TBT1737" s="664"/>
      <c r="TBU1737" s="664"/>
      <c r="TBV1737" s="664"/>
      <c r="TBW1737" s="664"/>
      <c r="TBX1737" s="664"/>
      <c r="TBY1737" s="630"/>
      <c r="TBZ1737" s="631"/>
      <c r="TCA1737" s="655"/>
      <c r="TCB1737" s="734" t="s">
        <v>0</v>
      </c>
      <c r="TCC1737" s="735" t="s">
        <v>1690</v>
      </c>
      <c r="TCD1737" s="843" t="e">
        <f>#REF!</f>
        <v>#REF!</v>
      </c>
      <c r="TCE1737" s="662" t="s">
        <v>799</v>
      </c>
      <c r="TCF1737" s="663" t="s">
        <v>628</v>
      </c>
      <c r="TCG1737" s="633"/>
      <c r="TCH1737" s="664"/>
      <c r="TCI1737" s="664"/>
      <c r="TCJ1737" s="664"/>
      <c r="TCK1737" s="664"/>
      <c r="TCL1737" s="664"/>
      <c r="TCM1737" s="664"/>
      <c r="TCN1737" s="664"/>
      <c r="TCO1737" s="630"/>
      <c r="TCP1737" s="631"/>
      <c r="TCQ1737" s="655"/>
      <c r="TCR1737" s="734" t="s">
        <v>0</v>
      </c>
      <c r="TCS1737" s="735" t="s">
        <v>1690</v>
      </c>
      <c r="TCT1737" s="843" t="e">
        <f>#REF!</f>
        <v>#REF!</v>
      </c>
      <c r="TCU1737" s="662" t="s">
        <v>799</v>
      </c>
      <c r="TCV1737" s="663" t="s">
        <v>628</v>
      </c>
      <c r="TCW1737" s="633"/>
      <c r="TCX1737" s="664"/>
      <c r="TCY1737" s="664"/>
      <c r="TCZ1737" s="664"/>
      <c r="TDA1737" s="664"/>
      <c r="TDB1737" s="664"/>
      <c r="TDC1737" s="664"/>
      <c r="TDD1737" s="664"/>
      <c r="TDE1737" s="630"/>
      <c r="TDF1737" s="631"/>
      <c r="TDG1737" s="655"/>
      <c r="TDH1737" s="734" t="s">
        <v>0</v>
      </c>
      <c r="TDI1737" s="735" t="s">
        <v>1690</v>
      </c>
      <c r="TDJ1737" s="843" t="e">
        <f>#REF!</f>
        <v>#REF!</v>
      </c>
      <c r="TDK1737" s="662" t="s">
        <v>799</v>
      </c>
      <c r="TDL1737" s="663" t="s">
        <v>628</v>
      </c>
      <c r="TDM1737" s="633"/>
      <c r="TDN1737" s="664"/>
      <c r="TDO1737" s="664"/>
      <c r="TDP1737" s="664"/>
      <c r="TDQ1737" s="664"/>
      <c r="TDR1737" s="664"/>
      <c r="TDS1737" s="664"/>
      <c r="TDT1737" s="664"/>
      <c r="TDU1737" s="630"/>
      <c r="TDV1737" s="631"/>
      <c r="TDW1737" s="655"/>
      <c r="TDX1737" s="734" t="s">
        <v>0</v>
      </c>
      <c r="TDY1737" s="735" t="s">
        <v>1690</v>
      </c>
      <c r="TDZ1737" s="843" t="e">
        <f>#REF!</f>
        <v>#REF!</v>
      </c>
      <c r="TEA1737" s="662" t="s">
        <v>799</v>
      </c>
      <c r="TEB1737" s="663" t="s">
        <v>628</v>
      </c>
      <c r="TEC1737" s="633"/>
      <c r="TED1737" s="664"/>
      <c r="TEE1737" s="664"/>
      <c r="TEF1737" s="664"/>
      <c r="TEG1737" s="664"/>
      <c r="TEH1737" s="664"/>
      <c r="TEI1737" s="664"/>
      <c r="TEJ1737" s="664"/>
      <c r="TEK1737" s="630"/>
      <c r="TEL1737" s="631"/>
      <c r="TEM1737" s="655"/>
      <c r="TEN1737" s="734" t="s">
        <v>0</v>
      </c>
      <c r="TEO1737" s="735" t="s">
        <v>1690</v>
      </c>
      <c r="TEP1737" s="843" t="e">
        <f>#REF!</f>
        <v>#REF!</v>
      </c>
      <c r="TEQ1737" s="662" t="s">
        <v>799</v>
      </c>
      <c r="TER1737" s="663" t="s">
        <v>628</v>
      </c>
      <c r="TES1737" s="633"/>
      <c r="TET1737" s="664"/>
      <c r="TEU1737" s="664"/>
      <c r="TEV1737" s="664"/>
      <c r="TEW1737" s="664"/>
      <c r="TEX1737" s="664"/>
      <c r="TEY1737" s="664"/>
      <c r="TEZ1737" s="664"/>
      <c r="TFA1737" s="630"/>
      <c r="TFB1737" s="631"/>
      <c r="TFC1737" s="655"/>
      <c r="TFD1737" s="734" t="s">
        <v>0</v>
      </c>
      <c r="TFE1737" s="735" t="s">
        <v>1690</v>
      </c>
      <c r="TFF1737" s="843" t="e">
        <f>#REF!</f>
        <v>#REF!</v>
      </c>
      <c r="TFG1737" s="662" t="s">
        <v>799</v>
      </c>
      <c r="TFH1737" s="663" t="s">
        <v>628</v>
      </c>
      <c r="TFI1737" s="633"/>
      <c r="TFJ1737" s="664"/>
      <c r="TFK1737" s="664"/>
      <c r="TFL1737" s="664"/>
      <c r="TFM1737" s="664"/>
      <c r="TFN1737" s="664"/>
      <c r="TFO1737" s="664"/>
      <c r="TFP1737" s="664"/>
      <c r="TFQ1737" s="630"/>
      <c r="TFR1737" s="631"/>
      <c r="TFS1737" s="655"/>
      <c r="TFT1737" s="734" t="s">
        <v>0</v>
      </c>
      <c r="TFU1737" s="735" t="s">
        <v>1690</v>
      </c>
      <c r="TFV1737" s="843" t="e">
        <f>#REF!</f>
        <v>#REF!</v>
      </c>
      <c r="TFW1737" s="662" t="s">
        <v>799</v>
      </c>
      <c r="TFX1737" s="663" t="s">
        <v>628</v>
      </c>
      <c r="TFY1737" s="633"/>
      <c r="TFZ1737" s="664"/>
      <c r="TGA1737" s="664"/>
      <c r="TGB1737" s="664"/>
      <c r="TGC1737" s="664"/>
      <c r="TGD1737" s="664"/>
      <c r="TGE1737" s="664"/>
      <c r="TGF1737" s="664"/>
      <c r="TGG1737" s="630"/>
      <c r="TGH1737" s="631"/>
      <c r="TGI1737" s="655"/>
      <c r="TGJ1737" s="734" t="s">
        <v>0</v>
      </c>
      <c r="TGK1737" s="735" t="s">
        <v>1690</v>
      </c>
      <c r="TGL1737" s="843" t="e">
        <f>#REF!</f>
        <v>#REF!</v>
      </c>
      <c r="TGM1737" s="662" t="s">
        <v>799</v>
      </c>
      <c r="TGN1737" s="663" t="s">
        <v>628</v>
      </c>
      <c r="TGO1737" s="633"/>
      <c r="TGP1737" s="664"/>
      <c r="TGQ1737" s="664"/>
      <c r="TGR1737" s="664"/>
      <c r="TGS1737" s="664"/>
      <c r="TGT1737" s="664"/>
      <c r="TGU1737" s="664"/>
      <c r="TGV1737" s="664"/>
      <c r="TGW1737" s="630"/>
      <c r="TGX1737" s="631"/>
      <c r="TGY1737" s="655"/>
      <c r="TGZ1737" s="734" t="s">
        <v>0</v>
      </c>
      <c r="THA1737" s="735" t="s">
        <v>1690</v>
      </c>
      <c r="THB1737" s="843" t="e">
        <f>#REF!</f>
        <v>#REF!</v>
      </c>
      <c r="THC1737" s="662" t="s">
        <v>799</v>
      </c>
      <c r="THD1737" s="663" t="s">
        <v>628</v>
      </c>
      <c r="THE1737" s="633"/>
      <c r="THF1737" s="664"/>
      <c r="THG1737" s="664"/>
      <c r="THH1737" s="664"/>
      <c r="THI1737" s="664"/>
      <c r="THJ1737" s="664"/>
      <c r="THK1737" s="664"/>
      <c r="THL1737" s="664"/>
      <c r="THM1737" s="630"/>
      <c r="THN1737" s="631"/>
      <c r="THO1737" s="655"/>
      <c r="THP1737" s="734" t="s">
        <v>0</v>
      </c>
      <c r="THQ1737" s="735" t="s">
        <v>1690</v>
      </c>
      <c r="THR1737" s="843" t="e">
        <f>#REF!</f>
        <v>#REF!</v>
      </c>
      <c r="THS1737" s="662" t="s">
        <v>799</v>
      </c>
      <c r="THT1737" s="663" t="s">
        <v>628</v>
      </c>
      <c r="THU1737" s="633"/>
      <c r="THV1737" s="664"/>
      <c r="THW1737" s="664"/>
      <c r="THX1737" s="664"/>
      <c r="THY1737" s="664"/>
      <c r="THZ1737" s="664"/>
      <c r="TIA1737" s="664"/>
      <c r="TIB1737" s="664"/>
      <c r="TIC1737" s="630"/>
      <c r="TID1737" s="631"/>
      <c r="TIE1737" s="655"/>
      <c r="TIF1737" s="734" t="s">
        <v>0</v>
      </c>
      <c r="TIG1737" s="735" t="s">
        <v>1690</v>
      </c>
      <c r="TIH1737" s="843" t="e">
        <f>#REF!</f>
        <v>#REF!</v>
      </c>
      <c r="TII1737" s="662" t="s">
        <v>799</v>
      </c>
      <c r="TIJ1737" s="663" t="s">
        <v>628</v>
      </c>
      <c r="TIK1737" s="633"/>
      <c r="TIL1737" s="664"/>
      <c r="TIM1737" s="664"/>
      <c r="TIN1737" s="664"/>
      <c r="TIO1737" s="664"/>
      <c r="TIP1737" s="664"/>
      <c r="TIQ1737" s="664"/>
      <c r="TIR1737" s="664"/>
      <c r="TIS1737" s="630"/>
      <c r="TIT1737" s="631"/>
      <c r="TIU1737" s="655"/>
      <c r="TIV1737" s="734" t="s">
        <v>0</v>
      </c>
      <c r="TIW1737" s="735" t="s">
        <v>1690</v>
      </c>
      <c r="TIX1737" s="843" t="e">
        <f>#REF!</f>
        <v>#REF!</v>
      </c>
      <c r="TIY1737" s="662" t="s">
        <v>799</v>
      </c>
      <c r="TIZ1737" s="663" t="s">
        <v>628</v>
      </c>
      <c r="TJA1737" s="633"/>
      <c r="TJB1737" s="664"/>
      <c r="TJC1737" s="664"/>
      <c r="TJD1737" s="664"/>
      <c r="TJE1737" s="664"/>
      <c r="TJF1737" s="664"/>
      <c r="TJG1737" s="664"/>
      <c r="TJH1737" s="664"/>
      <c r="TJI1737" s="630"/>
      <c r="TJJ1737" s="631"/>
      <c r="TJK1737" s="655"/>
      <c r="TJL1737" s="734" t="s">
        <v>0</v>
      </c>
      <c r="TJM1737" s="735" t="s">
        <v>1690</v>
      </c>
      <c r="TJN1737" s="843" t="e">
        <f>#REF!</f>
        <v>#REF!</v>
      </c>
      <c r="TJO1737" s="662" t="s">
        <v>799</v>
      </c>
      <c r="TJP1737" s="663" t="s">
        <v>628</v>
      </c>
      <c r="TJQ1737" s="633"/>
      <c r="TJR1737" s="664"/>
      <c r="TJS1737" s="664"/>
      <c r="TJT1737" s="664"/>
      <c r="TJU1737" s="664"/>
      <c r="TJV1737" s="664"/>
      <c r="TJW1737" s="664"/>
      <c r="TJX1737" s="664"/>
      <c r="TJY1737" s="630"/>
      <c r="TJZ1737" s="631"/>
      <c r="TKA1737" s="655"/>
      <c r="TKB1737" s="734" t="s">
        <v>0</v>
      </c>
      <c r="TKC1737" s="735" t="s">
        <v>1690</v>
      </c>
      <c r="TKD1737" s="843" t="e">
        <f>#REF!</f>
        <v>#REF!</v>
      </c>
      <c r="TKE1737" s="662" t="s">
        <v>799</v>
      </c>
      <c r="TKF1737" s="663" t="s">
        <v>628</v>
      </c>
      <c r="TKG1737" s="633"/>
      <c r="TKH1737" s="664"/>
      <c r="TKI1737" s="664"/>
      <c r="TKJ1737" s="664"/>
      <c r="TKK1737" s="664"/>
      <c r="TKL1737" s="664"/>
      <c r="TKM1737" s="664"/>
      <c r="TKN1737" s="664"/>
      <c r="TKO1737" s="630"/>
      <c r="TKP1737" s="631"/>
      <c r="TKQ1737" s="655"/>
      <c r="TKR1737" s="734" t="s">
        <v>0</v>
      </c>
      <c r="TKS1737" s="735" t="s">
        <v>1690</v>
      </c>
      <c r="TKT1737" s="843" t="e">
        <f>#REF!</f>
        <v>#REF!</v>
      </c>
      <c r="TKU1737" s="662" t="s">
        <v>799</v>
      </c>
      <c r="TKV1737" s="663" t="s">
        <v>628</v>
      </c>
      <c r="TKW1737" s="633"/>
      <c r="TKX1737" s="664"/>
      <c r="TKY1737" s="664"/>
      <c r="TKZ1737" s="664"/>
      <c r="TLA1737" s="664"/>
      <c r="TLB1737" s="664"/>
      <c r="TLC1737" s="664"/>
      <c r="TLD1737" s="664"/>
      <c r="TLE1737" s="630"/>
      <c r="TLF1737" s="631"/>
      <c r="TLG1737" s="655"/>
      <c r="TLH1737" s="734" t="s">
        <v>0</v>
      </c>
      <c r="TLI1737" s="735" t="s">
        <v>1690</v>
      </c>
      <c r="TLJ1737" s="843" t="e">
        <f>#REF!</f>
        <v>#REF!</v>
      </c>
      <c r="TLK1737" s="662" t="s">
        <v>799</v>
      </c>
      <c r="TLL1737" s="663" t="s">
        <v>628</v>
      </c>
      <c r="TLM1737" s="633"/>
      <c r="TLN1737" s="664"/>
      <c r="TLO1737" s="664"/>
      <c r="TLP1737" s="664"/>
      <c r="TLQ1737" s="664"/>
      <c r="TLR1737" s="664"/>
      <c r="TLS1737" s="664"/>
      <c r="TLT1737" s="664"/>
      <c r="TLU1737" s="630"/>
      <c r="TLV1737" s="631"/>
      <c r="TLW1737" s="655"/>
      <c r="TLX1737" s="734" t="s">
        <v>0</v>
      </c>
      <c r="TLY1737" s="735" t="s">
        <v>1690</v>
      </c>
      <c r="TLZ1737" s="843" t="e">
        <f>#REF!</f>
        <v>#REF!</v>
      </c>
      <c r="TMA1737" s="662" t="s">
        <v>799</v>
      </c>
      <c r="TMB1737" s="663" t="s">
        <v>628</v>
      </c>
      <c r="TMC1737" s="633"/>
      <c r="TMD1737" s="664"/>
      <c r="TME1737" s="664"/>
      <c r="TMF1737" s="664"/>
      <c r="TMG1737" s="664"/>
      <c r="TMH1737" s="664"/>
      <c r="TMI1737" s="664"/>
      <c r="TMJ1737" s="664"/>
      <c r="TMK1737" s="630"/>
      <c r="TML1737" s="631"/>
      <c r="TMM1737" s="655"/>
      <c r="TMN1737" s="734" t="s">
        <v>0</v>
      </c>
      <c r="TMO1737" s="735" t="s">
        <v>1690</v>
      </c>
      <c r="TMP1737" s="843" t="e">
        <f>#REF!</f>
        <v>#REF!</v>
      </c>
      <c r="TMQ1737" s="662" t="s">
        <v>799</v>
      </c>
      <c r="TMR1737" s="663" t="s">
        <v>628</v>
      </c>
      <c r="TMS1737" s="633"/>
      <c r="TMT1737" s="664"/>
      <c r="TMU1737" s="664"/>
      <c r="TMV1737" s="664"/>
      <c r="TMW1737" s="664"/>
      <c r="TMX1737" s="664"/>
      <c r="TMY1737" s="664"/>
      <c r="TMZ1737" s="664"/>
      <c r="TNA1737" s="630"/>
      <c r="TNB1737" s="631"/>
      <c r="TNC1737" s="655"/>
      <c r="TND1737" s="734" t="s">
        <v>0</v>
      </c>
      <c r="TNE1737" s="735" t="s">
        <v>1690</v>
      </c>
      <c r="TNF1737" s="843" t="e">
        <f>#REF!</f>
        <v>#REF!</v>
      </c>
      <c r="TNG1737" s="662" t="s">
        <v>799</v>
      </c>
      <c r="TNH1737" s="663" t="s">
        <v>628</v>
      </c>
      <c r="TNI1737" s="633"/>
      <c r="TNJ1737" s="664"/>
      <c r="TNK1737" s="664"/>
      <c r="TNL1737" s="664"/>
      <c r="TNM1737" s="664"/>
      <c r="TNN1737" s="664"/>
      <c r="TNO1737" s="664"/>
      <c r="TNP1737" s="664"/>
      <c r="TNQ1737" s="630"/>
      <c r="TNR1737" s="631"/>
      <c r="TNS1737" s="655"/>
      <c r="TNT1737" s="734" t="s">
        <v>0</v>
      </c>
      <c r="TNU1737" s="735" t="s">
        <v>1690</v>
      </c>
      <c r="TNV1737" s="843" t="e">
        <f>#REF!</f>
        <v>#REF!</v>
      </c>
      <c r="TNW1737" s="662" t="s">
        <v>799</v>
      </c>
      <c r="TNX1737" s="663" t="s">
        <v>628</v>
      </c>
      <c r="TNY1737" s="633"/>
      <c r="TNZ1737" s="664"/>
      <c r="TOA1737" s="664"/>
      <c r="TOB1737" s="664"/>
      <c r="TOC1737" s="664"/>
      <c r="TOD1737" s="664"/>
      <c r="TOE1737" s="664"/>
      <c r="TOF1737" s="664"/>
      <c r="TOG1737" s="630"/>
      <c r="TOH1737" s="631"/>
      <c r="TOI1737" s="655"/>
      <c r="TOJ1737" s="734" t="s">
        <v>0</v>
      </c>
      <c r="TOK1737" s="735" t="s">
        <v>1690</v>
      </c>
      <c r="TOL1737" s="843" t="e">
        <f>#REF!</f>
        <v>#REF!</v>
      </c>
      <c r="TOM1737" s="662" t="s">
        <v>799</v>
      </c>
      <c r="TON1737" s="663" t="s">
        <v>628</v>
      </c>
      <c r="TOO1737" s="633"/>
      <c r="TOP1737" s="664"/>
      <c r="TOQ1737" s="664"/>
      <c r="TOR1737" s="664"/>
      <c r="TOS1737" s="664"/>
      <c r="TOT1737" s="664"/>
      <c r="TOU1737" s="664"/>
      <c r="TOV1737" s="664"/>
      <c r="TOW1737" s="630"/>
      <c r="TOX1737" s="631"/>
      <c r="TOY1737" s="655"/>
      <c r="TOZ1737" s="734" t="s">
        <v>0</v>
      </c>
      <c r="TPA1737" s="735" t="s">
        <v>1690</v>
      </c>
      <c r="TPB1737" s="843" t="e">
        <f>#REF!</f>
        <v>#REF!</v>
      </c>
      <c r="TPC1737" s="662" t="s">
        <v>799</v>
      </c>
      <c r="TPD1737" s="663" t="s">
        <v>628</v>
      </c>
      <c r="TPE1737" s="633"/>
      <c r="TPF1737" s="664"/>
      <c r="TPG1737" s="664"/>
      <c r="TPH1737" s="664"/>
      <c r="TPI1737" s="664"/>
      <c r="TPJ1737" s="664"/>
      <c r="TPK1737" s="664"/>
      <c r="TPL1737" s="664"/>
      <c r="TPM1737" s="630"/>
      <c r="TPN1737" s="631"/>
      <c r="TPO1737" s="655"/>
      <c r="TPP1737" s="734" t="s">
        <v>0</v>
      </c>
      <c r="TPQ1737" s="735" t="s">
        <v>1690</v>
      </c>
      <c r="TPR1737" s="843" t="e">
        <f>#REF!</f>
        <v>#REF!</v>
      </c>
      <c r="TPS1737" s="662" t="s">
        <v>799</v>
      </c>
      <c r="TPT1737" s="663" t="s">
        <v>628</v>
      </c>
      <c r="TPU1737" s="633"/>
      <c r="TPV1737" s="664"/>
      <c r="TPW1737" s="664"/>
      <c r="TPX1737" s="664"/>
      <c r="TPY1737" s="664"/>
      <c r="TPZ1737" s="664"/>
      <c r="TQA1737" s="664"/>
      <c r="TQB1737" s="664"/>
      <c r="TQC1737" s="630"/>
      <c r="TQD1737" s="631"/>
      <c r="TQE1737" s="655"/>
      <c r="TQF1737" s="734" t="s">
        <v>0</v>
      </c>
      <c r="TQG1737" s="735" t="s">
        <v>1690</v>
      </c>
      <c r="TQH1737" s="843" t="e">
        <f>#REF!</f>
        <v>#REF!</v>
      </c>
      <c r="TQI1737" s="662" t="s">
        <v>799</v>
      </c>
      <c r="TQJ1737" s="663" t="s">
        <v>628</v>
      </c>
      <c r="TQK1737" s="633"/>
      <c r="TQL1737" s="664"/>
      <c r="TQM1737" s="664"/>
      <c r="TQN1737" s="664"/>
      <c r="TQO1737" s="664"/>
      <c r="TQP1737" s="664"/>
      <c r="TQQ1737" s="664"/>
      <c r="TQR1737" s="664"/>
      <c r="TQS1737" s="630"/>
      <c r="TQT1737" s="631"/>
      <c r="TQU1737" s="655"/>
      <c r="TQV1737" s="734" t="s">
        <v>0</v>
      </c>
      <c r="TQW1737" s="735" t="s">
        <v>1690</v>
      </c>
      <c r="TQX1737" s="843" t="e">
        <f>#REF!</f>
        <v>#REF!</v>
      </c>
      <c r="TQY1737" s="662" t="s">
        <v>799</v>
      </c>
      <c r="TQZ1737" s="663" t="s">
        <v>628</v>
      </c>
      <c r="TRA1737" s="633"/>
      <c r="TRB1737" s="664"/>
      <c r="TRC1737" s="664"/>
      <c r="TRD1737" s="664"/>
      <c r="TRE1737" s="664"/>
      <c r="TRF1737" s="664"/>
      <c r="TRG1737" s="664"/>
      <c r="TRH1737" s="664"/>
      <c r="TRI1737" s="630"/>
      <c r="TRJ1737" s="631"/>
      <c r="TRK1737" s="655"/>
      <c r="TRL1737" s="734" t="s">
        <v>0</v>
      </c>
      <c r="TRM1737" s="735" t="s">
        <v>1690</v>
      </c>
      <c r="TRN1737" s="843" t="e">
        <f>#REF!</f>
        <v>#REF!</v>
      </c>
      <c r="TRO1737" s="662" t="s">
        <v>799</v>
      </c>
      <c r="TRP1737" s="663" t="s">
        <v>628</v>
      </c>
      <c r="TRQ1737" s="633"/>
      <c r="TRR1737" s="664"/>
      <c r="TRS1737" s="664"/>
      <c r="TRT1737" s="664"/>
      <c r="TRU1737" s="664"/>
      <c r="TRV1737" s="664"/>
      <c r="TRW1737" s="664"/>
      <c r="TRX1737" s="664"/>
      <c r="TRY1737" s="630"/>
      <c r="TRZ1737" s="631"/>
      <c r="TSA1737" s="655"/>
      <c r="TSB1737" s="734" t="s">
        <v>0</v>
      </c>
      <c r="TSC1737" s="735" t="s">
        <v>1690</v>
      </c>
      <c r="TSD1737" s="843" t="e">
        <f>#REF!</f>
        <v>#REF!</v>
      </c>
      <c r="TSE1737" s="662" t="s">
        <v>799</v>
      </c>
      <c r="TSF1737" s="663" t="s">
        <v>628</v>
      </c>
      <c r="TSG1737" s="633"/>
      <c r="TSH1737" s="664"/>
      <c r="TSI1737" s="664"/>
      <c r="TSJ1737" s="664"/>
      <c r="TSK1737" s="664"/>
      <c r="TSL1737" s="664"/>
      <c r="TSM1737" s="664"/>
      <c r="TSN1737" s="664"/>
      <c r="TSO1737" s="630"/>
      <c r="TSP1737" s="631"/>
      <c r="TSQ1737" s="655"/>
      <c r="TSR1737" s="734" t="s">
        <v>0</v>
      </c>
      <c r="TSS1737" s="735" t="s">
        <v>1690</v>
      </c>
      <c r="TST1737" s="843" t="e">
        <f>#REF!</f>
        <v>#REF!</v>
      </c>
      <c r="TSU1737" s="662" t="s">
        <v>799</v>
      </c>
      <c r="TSV1737" s="663" t="s">
        <v>628</v>
      </c>
      <c r="TSW1737" s="633"/>
      <c r="TSX1737" s="664"/>
      <c r="TSY1737" s="664"/>
      <c r="TSZ1737" s="664"/>
      <c r="TTA1737" s="664"/>
      <c r="TTB1737" s="664"/>
      <c r="TTC1737" s="664"/>
      <c r="TTD1737" s="664"/>
      <c r="TTE1737" s="630"/>
      <c r="TTF1737" s="631"/>
      <c r="TTG1737" s="655"/>
      <c r="TTH1737" s="734" t="s">
        <v>0</v>
      </c>
      <c r="TTI1737" s="735" t="s">
        <v>1690</v>
      </c>
      <c r="TTJ1737" s="843" t="e">
        <f>#REF!</f>
        <v>#REF!</v>
      </c>
      <c r="TTK1737" s="662" t="s">
        <v>799</v>
      </c>
      <c r="TTL1737" s="663" t="s">
        <v>628</v>
      </c>
      <c r="TTM1737" s="633"/>
      <c r="TTN1737" s="664"/>
      <c r="TTO1737" s="664"/>
      <c r="TTP1737" s="664"/>
      <c r="TTQ1737" s="664"/>
      <c r="TTR1737" s="664"/>
      <c r="TTS1737" s="664"/>
      <c r="TTT1737" s="664"/>
      <c r="TTU1737" s="630"/>
      <c r="TTV1737" s="631"/>
      <c r="TTW1737" s="655"/>
      <c r="TTX1737" s="734" t="s">
        <v>0</v>
      </c>
      <c r="TTY1737" s="735" t="s">
        <v>1690</v>
      </c>
      <c r="TTZ1737" s="843" t="e">
        <f>#REF!</f>
        <v>#REF!</v>
      </c>
      <c r="TUA1737" s="662" t="s">
        <v>799</v>
      </c>
      <c r="TUB1737" s="663" t="s">
        <v>628</v>
      </c>
      <c r="TUC1737" s="633"/>
      <c r="TUD1737" s="664"/>
      <c r="TUE1737" s="664"/>
      <c r="TUF1737" s="664"/>
      <c r="TUG1737" s="664"/>
      <c r="TUH1737" s="664"/>
      <c r="TUI1737" s="664"/>
      <c r="TUJ1737" s="664"/>
      <c r="TUK1737" s="630"/>
      <c r="TUL1737" s="631"/>
      <c r="TUM1737" s="655"/>
      <c r="TUN1737" s="734" t="s">
        <v>0</v>
      </c>
      <c r="TUO1737" s="735" t="s">
        <v>1690</v>
      </c>
      <c r="TUP1737" s="843" t="e">
        <f>#REF!</f>
        <v>#REF!</v>
      </c>
      <c r="TUQ1737" s="662" t="s">
        <v>799</v>
      </c>
      <c r="TUR1737" s="663" t="s">
        <v>628</v>
      </c>
      <c r="TUS1737" s="633"/>
      <c r="TUT1737" s="664"/>
      <c r="TUU1737" s="664"/>
      <c r="TUV1737" s="664"/>
      <c r="TUW1737" s="664"/>
      <c r="TUX1737" s="664"/>
      <c r="TUY1737" s="664"/>
      <c r="TUZ1737" s="664"/>
      <c r="TVA1737" s="630"/>
      <c r="TVB1737" s="631"/>
      <c r="TVC1737" s="655"/>
      <c r="TVD1737" s="734" t="s">
        <v>0</v>
      </c>
      <c r="TVE1737" s="735" t="s">
        <v>1690</v>
      </c>
      <c r="TVF1737" s="843" t="e">
        <f>#REF!</f>
        <v>#REF!</v>
      </c>
      <c r="TVG1737" s="662" t="s">
        <v>799</v>
      </c>
      <c r="TVH1737" s="663" t="s">
        <v>628</v>
      </c>
      <c r="TVI1737" s="633"/>
      <c r="TVJ1737" s="664"/>
      <c r="TVK1737" s="664"/>
      <c r="TVL1737" s="664"/>
      <c r="TVM1737" s="664"/>
      <c r="TVN1737" s="664"/>
      <c r="TVO1737" s="664"/>
      <c r="TVP1737" s="664"/>
      <c r="TVQ1737" s="630"/>
      <c r="TVR1737" s="631"/>
      <c r="TVS1737" s="655"/>
      <c r="TVT1737" s="734" t="s">
        <v>0</v>
      </c>
      <c r="TVU1737" s="735" t="s">
        <v>1690</v>
      </c>
      <c r="TVV1737" s="843" t="e">
        <f>#REF!</f>
        <v>#REF!</v>
      </c>
      <c r="TVW1737" s="662" t="s">
        <v>799</v>
      </c>
      <c r="TVX1737" s="663" t="s">
        <v>628</v>
      </c>
      <c r="TVY1737" s="633"/>
      <c r="TVZ1737" s="664"/>
      <c r="TWA1737" s="664"/>
      <c r="TWB1737" s="664"/>
      <c r="TWC1737" s="664"/>
      <c r="TWD1737" s="664"/>
      <c r="TWE1737" s="664"/>
      <c r="TWF1737" s="664"/>
      <c r="TWG1737" s="630"/>
      <c r="TWH1737" s="631"/>
      <c r="TWI1737" s="655"/>
      <c r="TWJ1737" s="734" t="s">
        <v>0</v>
      </c>
      <c r="TWK1737" s="735" t="s">
        <v>1690</v>
      </c>
      <c r="TWL1737" s="843" t="e">
        <f>#REF!</f>
        <v>#REF!</v>
      </c>
      <c r="TWM1737" s="662" t="s">
        <v>799</v>
      </c>
      <c r="TWN1737" s="663" t="s">
        <v>628</v>
      </c>
      <c r="TWO1737" s="633"/>
      <c r="TWP1737" s="664"/>
      <c r="TWQ1737" s="664"/>
      <c r="TWR1737" s="664"/>
      <c r="TWS1737" s="664"/>
      <c r="TWT1737" s="664"/>
      <c r="TWU1737" s="664"/>
      <c r="TWV1737" s="664"/>
      <c r="TWW1737" s="630"/>
      <c r="TWX1737" s="631"/>
      <c r="TWY1737" s="655"/>
      <c r="TWZ1737" s="734" t="s">
        <v>0</v>
      </c>
      <c r="TXA1737" s="735" t="s">
        <v>1690</v>
      </c>
      <c r="TXB1737" s="843" t="e">
        <f>#REF!</f>
        <v>#REF!</v>
      </c>
      <c r="TXC1737" s="662" t="s">
        <v>799</v>
      </c>
      <c r="TXD1737" s="663" t="s">
        <v>628</v>
      </c>
      <c r="TXE1737" s="633"/>
      <c r="TXF1737" s="664"/>
      <c r="TXG1737" s="664"/>
      <c r="TXH1737" s="664"/>
      <c r="TXI1737" s="664"/>
      <c r="TXJ1737" s="664"/>
      <c r="TXK1737" s="664"/>
      <c r="TXL1737" s="664"/>
      <c r="TXM1737" s="630"/>
      <c r="TXN1737" s="631"/>
      <c r="TXO1737" s="655"/>
      <c r="TXP1737" s="734" t="s">
        <v>0</v>
      </c>
      <c r="TXQ1737" s="735" t="s">
        <v>1690</v>
      </c>
      <c r="TXR1737" s="843" t="e">
        <f>#REF!</f>
        <v>#REF!</v>
      </c>
      <c r="TXS1737" s="662" t="s">
        <v>799</v>
      </c>
      <c r="TXT1737" s="663" t="s">
        <v>628</v>
      </c>
      <c r="TXU1737" s="633"/>
      <c r="TXV1737" s="664"/>
      <c r="TXW1737" s="664"/>
      <c r="TXX1737" s="664"/>
      <c r="TXY1737" s="664"/>
      <c r="TXZ1737" s="664"/>
      <c r="TYA1737" s="664"/>
      <c r="TYB1737" s="664"/>
      <c r="TYC1737" s="630"/>
      <c r="TYD1737" s="631"/>
      <c r="TYE1737" s="655"/>
      <c r="TYF1737" s="734" t="s">
        <v>0</v>
      </c>
      <c r="TYG1737" s="735" t="s">
        <v>1690</v>
      </c>
      <c r="TYH1737" s="843" t="e">
        <f>#REF!</f>
        <v>#REF!</v>
      </c>
      <c r="TYI1737" s="662" t="s">
        <v>799</v>
      </c>
      <c r="TYJ1737" s="663" t="s">
        <v>628</v>
      </c>
      <c r="TYK1737" s="633"/>
      <c r="TYL1737" s="664"/>
      <c r="TYM1737" s="664"/>
      <c r="TYN1737" s="664"/>
      <c r="TYO1737" s="664"/>
      <c r="TYP1737" s="664"/>
      <c r="TYQ1737" s="664"/>
      <c r="TYR1737" s="664"/>
      <c r="TYS1737" s="630"/>
      <c r="TYT1737" s="631"/>
      <c r="TYU1737" s="655"/>
      <c r="TYV1737" s="734" t="s">
        <v>0</v>
      </c>
      <c r="TYW1737" s="735" t="s">
        <v>1690</v>
      </c>
      <c r="TYX1737" s="843" t="e">
        <f>#REF!</f>
        <v>#REF!</v>
      </c>
      <c r="TYY1737" s="662" t="s">
        <v>799</v>
      </c>
      <c r="TYZ1737" s="663" t="s">
        <v>628</v>
      </c>
      <c r="TZA1737" s="633"/>
      <c r="TZB1737" s="664"/>
      <c r="TZC1737" s="664"/>
      <c r="TZD1737" s="664"/>
      <c r="TZE1737" s="664"/>
      <c r="TZF1737" s="664"/>
      <c r="TZG1737" s="664"/>
      <c r="TZH1737" s="664"/>
      <c r="TZI1737" s="630"/>
      <c r="TZJ1737" s="631"/>
      <c r="TZK1737" s="655"/>
      <c r="TZL1737" s="734" t="s">
        <v>0</v>
      </c>
      <c r="TZM1737" s="735" t="s">
        <v>1690</v>
      </c>
      <c r="TZN1737" s="843" t="e">
        <f>#REF!</f>
        <v>#REF!</v>
      </c>
      <c r="TZO1737" s="662" t="s">
        <v>799</v>
      </c>
      <c r="TZP1737" s="663" t="s">
        <v>628</v>
      </c>
      <c r="TZQ1737" s="633"/>
      <c r="TZR1737" s="664"/>
      <c r="TZS1737" s="664"/>
      <c r="TZT1737" s="664"/>
      <c r="TZU1737" s="664"/>
      <c r="TZV1737" s="664"/>
      <c r="TZW1737" s="664"/>
      <c r="TZX1737" s="664"/>
      <c r="TZY1737" s="630"/>
      <c r="TZZ1737" s="631"/>
      <c r="UAA1737" s="655"/>
      <c r="UAB1737" s="734" t="s">
        <v>0</v>
      </c>
      <c r="UAC1737" s="735" t="s">
        <v>1690</v>
      </c>
      <c r="UAD1737" s="843" t="e">
        <f>#REF!</f>
        <v>#REF!</v>
      </c>
      <c r="UAE1737" s="662" t="s">
        <v>799</v>
      </c>
      <c r="UAF1737" s="663" t="s">
        <v>628</v>
      </c>
      <c r="UAG1737" s="633"/>
      <c r="UAH1737" s="664"/>
      <c r="UAI1737" s="664"/>
      <c r="UAJ1737" s="664"/>
      <c r="UAK1737" s="664"/>
      <c r="UAL1737" s="664"/>
      <c r="UAM1737" s="664"/>
      <c r="UAN1737" s="664"/>
      <c r="UAO1737" s="630"/>
      <c r="UAP1737" s="631"/>
      <c r="UAQ1737" s="655"/>
      <c r="UAR1737" s="734" t="s">
        <v>0</v>
      </c>
      <c r="UAS1737" s="735" t="s">
        <v>1690</v>
      </c>
      <c r="UAT1737" s="843" t="e">
        <f>#REF!</f>
        <v>#REF!</v>
      </c>
      <c r="UAU1737" s="662" t="s">
        <v>799</v>
      </c>
      <c r="UAV1737" s="663" t="s">
        <v>628</v>
      </c>
      <c r="UAW1737" s="633"/>
      <c r="UAX1737" s="664"/>
      <c r="UAY1737" s="664"/>
      <c r="UAZ1737" s="664"/>
      <c r="UBA1737" s="664"/>
      <c r="UBB1737" s="664"/>
      <c r="UBC1737" s="664"/>
      <c r="UBD1737" s="664"/>
      <c r="UBE1737" s="630"/>
      <c r="UBF1737" s="631"/>
      <c r="UBG1737" s="655"/>
      <c r="UBH1737" s="734" t="s">
        <v>0</v>
      </c>
      <c r="UBI1737" s="735" t="s">
        <v>1690</v>
      </c>
      <c r="UBJ1737" s="843" t="e">
        <f>#REF!</f>
        <v>#REF!</v>
      </c>
      <c r="UBK1737" s="662" t="s">
        <v>799</v>
      </c>
      <c r="UBL1737" s="663" t="s">
        <v>628</v>
      </c>
      <c r="UBM1737" s="633"/>
      <c r="UBN1737" s="664"/>
      <c r="UBO1737" s="664"/>
      <c r="UBP1737" s="664"/>
      <c r="UBQ1737" s="664"/>
      <c r="UBR1737" s="664"/>
      <c r="UBS1737" s="664"/>
      <c r="UBT1737" s="664"/>
      <c r="UBU1737" s="630"/>
      <c r="UBV1737" s="631"/>
      <c r="UBW1737" s="655"/>
      <c r="UBX1737" s="734" t="s">
        <v>0</v>
      </c>
      <c r="UBY1737" s="735" t="s">
        <v>1690</v>
      </c>
      <c r="UBZ1737" s="843" t="e">
        <f>#REF!</f>
        <v>#REF!</v>
      </c>
      <c r="UCA1737" s="662" t="s">
        <v>799</v>
      </c>
      <c r="UCB1737" s="663" t="s">
        <v>628</v>
      </c>
      <c r="UCC1737" s="633"/>
      <c r="UCD1737" s="664"/>
      <c r="UCE1737" s="664"/>
      <c r="UCF1737" s="664"/>
      <c r="UCG1737" s="664"/>
      <c r="UCH1737" s="664"/>
      <c r="UCI1737" s="664"/>
      <c r="UCJ1737" s="664"/>
      <c r="UCK1737" s="630"/>
      <c r="UCL1737" s="631"/>
      <c r="UCM1737" s="655"/>
      <c r="UCN1737" s="734" t="s">
        <v>0</v>
      </c>
      <c r="UCO1737" s="735" t="s">
        <v>1690</v>
      </c>
      <c r="UCP1737" s="843" t="e">
        <f>#REF!</f>
        <v>#REF!</v>
      </c>
      <c r="UCQ1737" s="662" t="s">
        <v>799</v>
      </c>
      <c r="UCR1737" s="663" t="s">
        <v>628</v>
      </c>
      <c r="UCS1737" s="633"/>
      <c r="UCT1737" s="664"/>
      <c r="UCU1737" s="664"/>
      <c r="UCV1737" s="664"/>
      <c r="UCW1737" s="664"/>
      <c r="UCX1737" s="664"/>
      <c r="UCY1737" s="664"/>
      <c r="UCZ1737" s="664"/>
      <c r="UDA1737" s="630"/>
      <c r="UDB1737" s="631"/>
      <c r="UDC1737" s="655"/>
      <c r="UDD1737" s="734" t="s">
        <v>0</v>
      </c>
      <c r="UDE1737" s="735" t="s">
        <v>1690</v>
      </c>
      <c r="UDF1737" s="843" t="e">
        <f>#REF!</f>
        <v>#REF!</v>
      </c>
      <c r="UDG1737" s="662" t="s">
        <v>799</v>
      </c>
      <c r="UDH1737" s="663" t="s">
        <v>628</v>
      </c>
      <c r="UDI1737" s="633"/>
      <c r="UDJ1737" s="664"/>
      <c r="UDK1737" s="664"/>
      <c r="UDL1737" s="664"/>
      <c r="UDM1737" s="664"/>
      <c r="UDN1737" s="664"/>
      <c r="UDO1737" s="664"/>
      <c r="UDP1737" s="664"/>
      <c r="UDQ1737" s="630"/>
      <c r="UDR1737" s="631"/>
      <c r="UDS1737" s="655"/>
      <c r="UDT1737" s="734" t="s">
        <v>0</v>
      </c>
      <c r="UDU1737" s="735" t="s">
        <v>1690</v>
      </c>
      <c r="UDV1737" s="843" t="e">
        <f>#REF!</f>
        <v>#REF!</v>
      </c>
      <c r="UDW1737" s="662" t="s">
        <v>799</v>
      </c>
      <c r="UDX1737" s="663" t="s">
        <v>628</v>
      </c>
      <c r="UDY1737" s="633"/>
      <c r="UDZ1737" s="664"/>
      <c r="UEA1737" s="664"/>
      <c r="UEB1737" s="664"/>
      <c r="UEC1737" s="664"/>
      <c r="UED1737" s="664"/>
      <c r="UEE1737" s="664"/>
      <c r="UEF1737" s="664"/>
      <c r="UEG1737" s="630"/>
      <c r="UEH1737" s="631"/>
      <c r="UEI1737" s="655"/>
      <c r="UEJ1737" s="734" t="s">
        <v>0</v>
      </c>
      <c r="UEK1737" s="735" t="s">
        <v>1690</v>
      </c>
      <c r="UEL1737" s="843" t="e">
        <f>#REF!</f>
        <v>#REF!</v>
      </c>
      <c r="UEM1737" s="662" t="s">
        <v>799</v>
      </c>
      <c r="UEN1737" s="663" t="s">
        <v>628</v>
      </c>
      <c r="UEO1737" s="633"/>
      <c r="UEP1737" s="664"/>
      <c r="UEQ1737" s="664"/>
      <c r="UER1737" s="664"/>
      <c r="UES1737" s="664"/>
      <c r="UET1737" s="664"/>
      <c r="UEU1737" s="664"/>
      <c r="UEV1737" s="664"/>
      <c r="UEW1737" s="630"/>
      <c r="UEX1737" s="631"/>
      <c r="UEY1737" s="655"/>
      <c r="UEZ1737" s="734" t="s">
        <v>0</v>
      </c>
      <c r="UFA1737" s="735" t="s">
        <v>1690</v>
      </c>
      <c r="UFB1737" s="843" t="e">
        <f>#REF!</f>
        <v>#REF!</v>
      </c>
      <c r="UFC1737" s="662" t="s">
        <v>799</v>
      </c>
      <c r="UFD1737" s="663" t="s">
        <v>628</v>
      </c>
      <c r="UFE1737" s="633"/>
      <c r="UFF1737" s="664"/>
      <c r="UFG1737" s="664"/>
      <c r="UFH1737" s="664"/>
      <c r="UFI1737" s="664"/>
      <c r="UFJ1737" s="664"/>
      <c r="UFK1737" s="664"/>
      <c r="UFL1737" s="664"/>
      <c r="UFM1737" s="630"/>
      <c r="UFN1737" s="631"/>
      <c r="UFO1737" s="655"/>
      <c r="UFP1737" s="734" t="s">
        <v>0</v>
      </c>
      <c r="UFQ1737" s="735" t="s">
        <v>1690</v>
      </c>
      <c r="UFR1737" s="843" t="e">
        <f>#REF!</f>
        <v>#REF!</v>
      </c>
      <c r="UFS1737" s="662" t="s">
        <v>799</v>
      </c>
      <c r="UFT1737" s="663" t="s">
        <v>628</v>
      </c>
      <c r="UFU1737" s="633"/>
      <c r="UFV1737" s="664"/>
      <c r="UFW1737" s="664"/>
      <c r="UFX1737" s="664"/>
      <c r="UFY1737" s="664"/>
      <c r="UFZ1737" s="664"/>
      <c r="UGA1737" s="664"/>
      <c r="UGB1737" s="664"/>
      <c r="UGC1737" s="630"/>
      <c r="UGD1737" s="631"/>
      <c r="UGE1737" s="655"/>
      <c r="UGF1737" s="734" t="s">
        <v>0</v>
      </c>
      <c r="UGG1737" s="735" t="s">
        <v>1690</v>
      </c>
      <c r="UGH1737" s="843" t="e">
        <f>#REF!</f>
        <v>#REF!</v>
      </c>
      <c r="UGI1737" s="662" t="s">
        <v>799</v>
      </c>
      <c r="UGJ1737" s="663" t="s">
        <v>628</v>
      </c>
      <c r="UGK1737" s="633"/>
      <c r="UGL1737" s="664"/>
      <c r="UGM1737" s="664"/>
      <c r="UGN1737" s="664"/>
      <c r="UGO1737" s="664"/>
      <c r="UGP1737" s="664"/>
      <c r="UGQ1737" s="664"/>
      <c r="UGR1737" s="664"/>
      <c r="UGS1737" s="630"/>
      <c r="UGT1737" s="631"/>
      <c r="UGU1737" s="655"/>
      <c r="UGV1737" s="734" t="s">
        <v>0</v>
      </c>
      <c r="UGW1737" s="735" t="s">
        <v>1690</v>
      </c>
      <c r="UGX1737" s="843" t="e">
        <f>#REF!</f>
        <v>#REF!</v>
      </c>
      <c r="UGY1737" s="662" t="s">
        <v>799</v>
      </c>
      <c r="UGZ1737" s="663" t="s">
        <v>628</v>
      </c>
      <c r="UHA1737" s="633"/>
      <c r="UHB1737" s="664"/>
      <c r="UHC1737" s="664"/>
      <c r="UHD1737" s="664"/>
      <c r="UHE1737" s="664"/>
      <c r="UHF1737" s="664"/>
      <c r="UHG1737" s="664"/>
      <c r="UHH1737" s="664"/>
      <c r="UHI1737" s="630"/>
      <c r="UHJ1737" s="631"/>
      <c r="UHK1737" s="655"/>
      <c r="UHL1737" s="734" t="s">
        <v>0</v>
      </c>
      <c r="UHM1737" s="735" t="s">
        <v>1690</v>
      </c>
      <c r="UHN1737" s="843" t="e">
        <f>#REF!</f>
        <v>#REF!</v>
      </c>
      <c r="UHO1737" s="662" t="s">
        <v>799</v>
      </c>
      <c r="UHP1737" s="663" t="s">
        <v>628</v>
      </c>
      <c r="UHQ1737" s="633"/>
      <c r="UHR1737" s="664"/>
      <c r="UHS1737" s="664"/>
      <c r="UHT1737" s="664"/>
      <c r="UHU1737" s="664"/>
      <c r="UHV1737" s="664"/>
      <c r="UHW1737" s="664"/>
      <c r="UHX1737" s="664"/>
      <c r="UHY1737" s="630"/>
      <c r="UHZ1737" s="631"/>
      <c r="UIA1737" s="655"/>
      <c r="UIB1737" s="734" t="s">
        <v>0</v>
      </c>
      <c r="UIC1737" s="735" t="s">
        <v>1690</v>
      </c>
      <c r="UID1737" s="843" t="e">
        <f>#REF!</f>
        <v>#REF!</v>
      </c>
      <c r="UIE1737" s="662" t="s">
        <v>799</v>
      </c>
      <c r="UIF1737" s="663" t="s">
        <v>628</v>
      </c>
      <c r="UIG1737" s="633"/>
      <c r="UIH1737" s="664"/>
      <c r="UII1737" s="664"/>
      <c r="UIJ1737" s="664"/>
      <c r="UIK1737" s="664"/>
      <c r="UIL1737" s="664"/>
      <c r="UIM1737" s="664"/>
      <c r="UIN1737" s="664"/>
      <c r="UIO1737" s="630"/>
      <c r="UIP1737" s="631"/>
      <c r="UIQ1737" s="655"/>
      <c r="UIR1737" s="734" t="s">
        <v>0</v>
      </c>
      <c r="UIS1737" s="735" t="s">
        <v>1690</v>
      </c>
      <c r="UIT1737" s="843" t="e">
        <f>#REF!</f>
        <v>#REF!</v>
      </c>
      <c r="UIU1737" s="662" t="s">
        <v>799</v>
      </c>
      <c r="UIV1737" s="663" t="s">
        <v>628</v>
      </c>
      <c r="UIW1737" s="633"/>
      <c r="UIX1737" s="664"/>
      <c r="UIY1737" s="664"/>
      <c r="UIZ1737" s="664"/>
      <c r="UJA1737" s="664"/>
      <c r="UJB1737" s="664"/>
      <c r="UJC1737" s="664"/>
      <c r="UJD1737" s="664"/>
      <c r="UJE1737" s="630"/>
      <c r="UJF1737" s="631"/>
      <c r="UJG1737" s="655"/>
      <c r="UJH1737" s="734" t="s">
        <v>0</v>
      </c>
      <c r="UJI1737" s="735" t="s">
        <v>1690</v>
      </c>
      <c r="UJJ1737" s="843" t="e">
        <f>#REF!</f>
        <v>#REF!</v>
      </c>
      <c r="UJK1737" s="662" t="s">
        <v>799</v>
      </c>
      <c r="UJL1737" s="663" t="s">
        <v>628</v>
      </c>
      <c r="UJM1737" s="633"/>
      <c r="UJN1737" s="664"/>
      <c r="UJO1737" s="664"/>
      <c r="UJP1737" s="664"/>
      <c r="UJQ1737" s="664"/>
      <c r="UJR1737" s="664"/>
      <c r="UJS1737" s="664"/>
      <c r="UJT1737" s="664"/>
      <c r="UJU1737" s="630"/>
      <c r="UJV1737" s="631"/>
      <c r="UJW1737" s="655"/>
      <c r="UJX1737" s="734" t="s">
        <v>0</v>
      </c>
      <c r="UJY1737" s="735" t="s">
        <v>1690</v>
      </c>
      <c r="UJZ1737" s="843" t="e">
        <f>#REF!</f>
        <v>#REF!</v>
      </c>
      <c r="UKA1737" s="662" t="s">
        <v>799</v>
      </c>
      <c r="UKB1737" s="663" t="s">
        <v>628</v>
      </c>
      <c r="UKC1737" s="633"/>
      <c r="UKD1737" s="664"/>
      <c r="UKE1737" s="664"/>
      <c r="UKF1737" s="664"/>
      <c r="UKG1737" s="664"/>
      <c r="UKH1737" s="664"/>
      <c r="UKI1737" s="664"/>
      <c r="UKJ1737" s="664"/>
      <c r="UKK1737" s="630"/>
      <c r="UKL1737" s="631"/>
      <c r="UKM1737" s="655"/>
      <c r="UKN1737" s="734" t="s">
        <v>0</v>
      </c>
      <c r="UKO1737" s="735" t="s">
        <v>1690</v>
      </c>
      <c r="UKP1737" s="843" t="e">
        <f>#REF!</f>
        <v>#REF!</v>
      </c>
      <c r="UKQ1737" s="662" t="s">
        <v>799</v>
      </c>
      <c r="UKR1737" s="663" t="s">
        <v>628</v>
      </c>
      <c r="UKS1737" s="633"/>
      <c r="UKT1737" s="664"/>
      <c r="UKU1737" s="664"/>
      <c r="UKV1737" s="664"/>
      <c r="UKW1737" s="664"/>
      <c r="UKX1737" s="664"/>
      <c r="UKY1737" s="664"/>
      <c r="UKZ1737" s="664"/>
      <c r="ULA1737" s="630"/>
      <c r="ULB1737" s="631"/>
      <c r="ULC1737" s="655"/>
      <c r="ULD1737" s="734" t="s">
        <v>0</v>
      </c>
      <c r="ULE1737" s="735" t="s">
        <v>1690</v>
      </c>
      <c r="ULF1737" s="843" t="e">
        <f>#REF!</f>
        <v>#REF!</v>
      </c>
      <c r="ULG1737" s="662" t="s">
        <v>799</v>
      </c>
      <c r="ULH1737" s="663" t="s">
        <v>628</v>
      </c>
      <c r="ULI1737" s="633"/>
      <c r="ULJ1737" s="664"/>
      <c r="ULK1737" s="664"/>
      <c r="ULL1737" s="664"/>
      <c r="ULM1737" s="664"/>
      <c r="ULN1737" s="664"/>
      <c r="ULO1737" s="664"/>
      <c r="ULP1737" s="664"/>
      <c r="ULQ1737" s="630"/>
      <c r="ULR1737" s="631"/>
      <c r="ULS1737" s="655"/>
      <c r="ULT1737" s="734" t="s">
        <v>0</v>
      </c>
      <c r="ULU1737" s="735" t="s">
        <v>1690</v>
      </c>
      <c r="ULV1737" s="843" t="e">
        <f>#REF!</f>
        <v>#REF!</v>
      </c>
      <c r="ULW1737" s="662" t="s">
        <v>799</v>
      </c>
      <c r="ULX1737" s="663" t="s">
        <v>628</v>
      </c>
      <c r="ULY1737" s="633"/>
      <c r="ULZ1737" s="664"/>
      <c r="UMA1737" s="664"/>
      <c r="UMB1737" s="664"/>
      <c r="UMC1737" s="664"/>
      <c r="UMD1737" s="664"/>
      <c r="UME1737" s="664"/>
      <c r="UMF1737" s="664"/>
      <c r="UMG1737" s="630"/>
      <c r="UMH1737" s="631"/>
      <c r="UMI1737" s="655"/>
      <c r="UMJ1737" s="734" t="s">
        <v>0</v>
      </c>
      <c r="UMK1737" s="735" t="s">
        <v>1690</v>
      </c>
      <c r="UML1737" s="843" t="e">
        <f>#REF!</f>
        <v>#REF!</v>
      </c>
      <c r="UMM1737" s="662" t="s">
        <v>799</v>
      </c>
      <c r="UMN1737" s="663" t="s">
        <v>628</v>
      </c>
      <c r="UMO1737" s="633"/>
      <c r="UMP1737" s="664"/>
      <c r="UMQ1737" s="664"/>
      <c r="UMR1737" s="664"/>
      <c r="UMS1737" s="664"/>
      <c r="UMT1737" s="664"/>
      <c r="UMU1737" s="664"/>
      <c r="UMV1737" s="664"/>
      <c r="UMW1737" s="630"/>
      <c r="UMX1737" s="631"/>
      <c r="UMY1737" s="655"/>
      <c r="UMZ1737" s="734" t="s">
        <v>0</v>
      </c>
      <c r="UNA1737" s="735" t="s">
        <v>1690</v>
      </c>
      <c r="UNB1737" s="843" t="e">
        <f>#REF!</f>
        <v>#REF!</v>
      </c>
      <c r="UNC1737" s="662" t="s">
        <v>799</v>
      </c>
      <c r="UND1737" s="663" t="s">
        <v>628</v>
      </c>
      <c r="UNE1737" s="633"/>
      <c r="UNF1737" s="664"/>
      <c r="UNG1737" s="664"/>
      <c r="UNH1737" s="664"/>
      <c r="UNI1737" s="664"/>
      <c r="UNJ1737" s="664"/>
      <c r="UNK1737" s="664"/>
      <c r="UNL1737" s="664"/>
      <c r="UNM1737" s="630"/>
      <c r="UNN1737" s="631"/>
      <c r="UNO1737" s="655"/>
      <c r="UNP1737" s="734" t="s">
        <v>0</v>
      </c>
      <c r="UNQ1737" s="735" t="s">
        <v>1690</v>
      </c>
      <c r="UNR1737" s="843" t="e">
        <f>#REF!</f>
        <v>#REF!</v>
      </c>
      <c r="UNS1737" s="662" t="s">
        <v>799</v>
      </c>
      <c r="UNT1737" s="663" t="s">
        <v>628</v>
      </c>
      <c r="UNU1737" s="633"/>
      <c r="UNV1737" s="664"/>
      <c r="UNW1737" s="664"/>
      <c r="UNX1737" s="664"/>
      <c r="UNY1737" s="664"/>
      <c r="UNZ1737" s="664"/>
      <c r="UOA1737" s="664"/>
      <c r="UOB1737" s="664"/>
      <c r="UOC1737" s="630"/>
      <c r="UOD1737" s="631"/>
      <c r="UOE1737" s="655"/>
      <c r="UOF1737" s="734" t="s">
        <v>0</v>
      </c>
      <c r="UOG1737" s="735" t="s">
        <v>1690</v>
      </c>
      <c r="UOH1737" s="843" t="e">
        <f>#REF!</f>
        <v>#REF!</v>
      </c>
      <c r="UOI1737" s="662" t="s">
        <v>799</v>
      </c>
      <c r="UOJ1737" s="663" t="s">
        <v>628</v>
      </c>
      <c r="UOK1737" s="633"/>
      <c r="UOL1737" s="664"/>
      <c r="UOM1737" s="664"/>
      <c r="UON1737" s="664"/>
      <c r="UOO1737" s="664"/>
      <c r="UOP1737" s="664"/>
      <c r="UOQ1737" s="664"/>
      <c r="UOR1737" s="664"/>
      <c r="UOS1737" s="630"/>
      <c r="UOT1737" s="631"/>
      <c r="UOU1737" s="655"/>
      <c r="UOV1737" s="734" t="s">
        <v>0</v>
      </c>
      <c r="UOW1737" s="735" t="s">
        <v>1690</v>
      </c>
      <c r="UOX1737" s="843" t="e">
        <f>#REF!</f>
        <v>#REF!</v>
      </c>
      <c r="UOY1737" s="662" t="s">
        <v>799</v>
      </c>
      <c r="UOZ1737" s="663" t="s">
        <v>628</v>
      </c>
      <c r="UPA1737" s="633"/>
      <c r="UPB1737" s="664"/>
      <c r="UPC1737" s="664"/>
      <c r="UPD1737" s="664"/>
      <c r="UPE1737" s="664"/>
      <c r="UPF1737" s="664"/>
      <c r="UPG1737" s="664"/>
      <c r="UPH1737" s="664"/>
      <c r="UPI1737" s="630"/>
      <c r="UPJ1737" s="631"/>
      <c r="UPK1737" s="655"/>
      <c r="UPL1737" s="734" t="s">
        <v>0</v>
      </c>
      <c r="UPM1737" s="735" t="s">
        <v>1690</v>
      </c>
      <c r="UPN1737" s="843" t="e">
        <f>#REF!</f>
        <v>#REF!</v>
      </c>
      <c r="UPO1737" s="662" t="s">
        <v>799</v>
      </c>
      <c r="UPP1737" s="663" t="s">
        <v>628</v>
      </c>
      <c r="UPQ1737" s="633"/>
      <c r="UPR1737" s="664"/>
      <c r="UPS1737" s="664"/>
      <c r="UPT1737" s="664"/>
      <c r="UPU1737" s="664"/>
      <c r="UPV1737" s="664"/>
      <c r="UPW1737" s="664"/>
      <c r="UPX1737" s="664"/>
      <c r="UPY1737" s="630"/>
      <c r="UPZ1737" s="631"/>
      <c r="UQA1737" s="655"/>
      <c r="UQB1737" s="734" t="s">
        <v>0</v>
      </c>
      <c r="UQC1737" s="735" t="s">
        <v>1690</v>
      </c>
      <c r="UQD1737" s="843" t="e">
        <f>#REF!</f>
        <v>#REF!</v>
      </c>
      <c r="UQE1737" s="662" t="s">
        <v>799</v>
      </c>
      <c r="UQF1737" s="663" t="s">
        <v>628</v>
      </c>
      <c r="UQG1737" s="633"/>
      <c r="UQH1737" s="664"/>
      <c r="UQI1737" s="664"/>
      <c r="UQJ1737" s="664"/>
      <c r="UQK1737" s="664"/>
      <c r="UQL1737" s="664"/>
      <c r="UQM1737" s="664"/>
      <c r="UQN1737" s="664"/>
      <c r="UQO1737" s="630"/>
      <c r="UQP1737" s="631"/>
      <c r="UQQ1737" s="655"/>
      <c r="UQR1737" s="734" t="s">
        <v>0</v>
      </c>
      <c r="UQS1737" s="735" t="s">
        <v>1690</v>
      </c>
      <c r="UQT1737" s="843" t="e">
        <f>#REF!</f>
        <v>#REF!</v>
      </c>
      <c r="UQU1737" s="662" t="s">
        <v>799</v>
      </c>
      <c r="UQV1737" s="663" t="s">
        <v>628</v>
      </c>
      <c r="UQW1737" s="633"/>
      <c r="UQX1737" s="664"/>
      <c r="UQY1737" s="664"/>
      <c r="UQZ1737" s="664"/>
      <c r="URA1737" s="664"/>
      <c r="URB1737" s="664"/>
      <c r="URC1737" s="664"/>
      <c r="URD1737" s="664"/>
      <c r="URE1737" s="630"/>
      <c r="URF1737" s="631"/>
      <c r="URG1737" s="655"/>
      <c r="URH1737" s="734" t="s">
        <v>0</v>
      </c>
      <c r="URI1737" s="735" t="s">
        <v>1690</v>
      </c>
      <c r="URJ1737" s="843" t="e">
        <f>#REF!</f>
        <v>#REF!</v>
      </c>
      <c r="URK1737" s="662" t="s">
        <v>799</v>
      </c>
      <c r="URL1737" s="663" t="s">
        <v>628</v>
      </c>
      <c r="URM1737" s="633"/>
      <c r="URN1737" s="664"/>
      <c r="URO1737" s="664"/>
      <c r="URP1737" s="664"/>
      <c r="URQ1737" s="664"/>
      <c r="URR1737" s="664"/>
      <c r="URS1737" s="664"/>
      <c r="URT1737" s="664"/>
      <c r="URU1737" s="630"/>
      <c r="URV1737" s="631"/>
      <c r="URW1737" s="655"/>
      <c r="URX1737" s="734" t="s">
        <v>0</v>
      </c>
      <c r="URY1737" s="735" t="s">
        <v>1690</v>
      </c>
      <c r="URZ1737" s="843" t="e">
        <f>#REF!</f>
        <v>#REF!</v>
      </c>
      <c r="USA1737" s="662" t="s">
        <v>799</v>
      </c>
      <c r="USB1737" s="663" t="s">
        <v>628</v>
      </c>
      <c r="USC1737" s="633"/>
      <c r="USD1737" s="664"/>
      <c r="USE1737" s="664"/>
      <c r="USF1737" s="664"/>
      <c r="USG1737" s="664"/>
      <c r="USH1737" s="664"/>
      <c r="USI1737" s="664"/>
      <c r="USJ1737" s="664"/>
      <c r="USK1737" s="630"/>
      <c r="USL1737" s="631"/>
      <c r="USM1737" s="655"/>
      <c r="USN1737" s="734" t="s">
        <v>0</v>
      </c>
      <c r="USO1737" s="735" t="s">
        <v>1690</v>
      </c>
      <c r="USP1737" s="843" t="e">
        <f>#REF!</f>
        <v>#REF!</v>
      </c>
      <c r="USQ1737" s="662" t="s">
        <v>799</v>
      </c>
      <c r="USR1737" s="663" t="s">
        <v>628</v>
      </c>
      <c r="USS1737" s="633"/>
      <c r="UST1737" s="664"/>
      <c r="USU1737" s="664"/>
      <c r="USV1737" s="664"/>
      <c r="USW1737" s="664"/>
      <c r="USX1737" s="664"/>
      <c r="USY1737" s="664"/>
      <c r="USZ1737" s="664"/>
      <c r="UTA1737" s="630"/>
      <c r="UTB1737" s="631"/>
      <c r="UTC1737" s="655"/>
      <c r="UTD1737" s="734" t="s">
        <v>0</v>
      </c>
      <c r="UTE1737" s="735" t="s">
        <v>1690</v>
      </c>
      <c r="UTF1737" s="843" t="e">
        <f>#REF!</f>
        <v>#REF!</v>
      </c>
      <c r="UTG1737" s="662" t="s">
        <v>799</v>
      </c>
      <c r="UTH1737" s="663" t="s">
        <v>628</v>
      </c>
      <c r="UTI1737" s="633"/>
      <c r="UTJ1737" s="664"/>
      <c r="UTK1737" s="664"/>
      <c r="UTL1737" s="664"/>
      <c r="UTM1737" s="664"/>
      <c r="UTN1737" s="664"/>
      <c r="UTO1737" s="664"/>
      <c r="UTP1737" s="664"/>
      <c r="UTQ1737" s="630"/>
      <c r="UTR1737" s="631"/>
      <c r="UTS1737" s="655"/>
      <c r="UTT1737" s="734" t="s">
        <v>0</v>
      </c>
      <c r="UTU1737" s="735" t="s">
        <v>1690</v>
      </c>
      <c r="UTV1737" s="843" t="e">
        <f>#REF!</f>
        <v>#REF!</v>
      </c>
      <c r="UTW1737" s="662" t="s">
        <v>799</v>
      </c>
      <c r="UTX1737" s="663" t="s">
        <v>628</v>
      </c>
      <c r="UTY1737" s="633"/>
      <c r="UTZ1737" s="664"/>
      <c r="UUA1737" s="664"/>
      <c r="UUB1737" s="664"/>
      <c r="UUC1737" s="664"/>
      <c r="UUD1737" s="664"/>
      <c r="UUE1737" s="664"/>
      <c r="UUF1737" s="664"/>
      <c r="UUG1737" s="630"/>
      <c r="UUH1737" s="631"/>
      <c r="UUI1737" s="655"/>
      <c r="UUJ1737" s="734" t="s">
        <v>0</v>
      </c>
      <c r="UUK1737" s="735" t="s">
        <v>1690</v>
      </c>
      <c r="UUL1737" s="843" t="e">
        <f>#REF!</f>
        <v>#REF!</v>
      </c>
      <c r="UUM1737" s="662" t="s">
        <v>799</v>
      </c>
      <c r="UUN1737" s="663" t="s">
        <v>628</v>
      </c>
      <c r="UUO1737" s="633"/>
      <c r="UUP1737" s="664"/>
      <c r="UUQ1737" s="664"/>
      <c r="UUR1737" s="664"/>
      <c r="UUS1737" s="664"/>
      <c r="UUT1737" s="664"/>
      <c r="UUU1737" s="664"/>
      <c r="UUV1737" s="664"/>
      <c r="UUW1737" s="630"/>
      <c r="UUX1737" s="631"/>
      <c r="UUY1737" s="655"/>
      <c r="UUZ1737" s="734" t="s">
        <v>0</v>
      </c>
      <c r="UVA1737" s="735" t="s">
        <v>1690</v>
      </c>
      <c r="UVB1737" s="843" t="e">
        <f>#REF!</f>
        <v>#REF!</v>
      </c>
      <c r="UVC1737" s="662" t="s">
        <v>799</v>
      </c>
      <c r="UVD1737" s="663" t="s">
        <v>628</v>
      </c>
      <c r="UVE1737" s="633"/>
      <c r="UVF1737" s="664"/>
      <c r="UVG1737" s="664"/>
      <c r="UVH1737" s="664"/>
      <c r="UVI1737" s="664"/>
      <c r="UVJ1737" s="664"/>
      <c r="UVK1737" s="664"/>
      <c r="UVL1737" s="664"/>
      <c r="UVM1737" s="630"/>
      <c r="UVN1737" s="631"/>
      <c r="UVO1737" s="655"/>
      <c r="UVP1737" s="734" t="s">
        <v>0</v>
      </c>
      <c r="UVQ1737" s="735" t="s">
        <v>1690</v>
      </c>
      <c r="UVR1737" s="843" t="e">
        <f>#REF!</f>
        <v>#REF!</v>
      </c>
      <c r="UVS1737" s="662" t="s">
        <v>799</v>
      </c>
      <c r="UVT1737" s="663" t="s">
        <v>628</v>
      </c>
      <c r="UVU1737" s="633"/>
      <c r="UVV1737" s="664"/>
      <c r="UVW1737" s="664"/>
      <c r="UVX1737" s="664"/>
      <c r="UVY1737" s="664"/>
      <c r="UVZ1737" s="664"/>
      <c r="UWA1737" s="664"/>
      <c r="UWB1737" s="664"/>
      <c r="UWC1737" s="630"/>
      <c r="UWD1737" s="631"/>
      <c r="UWE1737" s="655"/>
      <c r="UWF1737" s="734" t="s">
        <v>0</v>
      </c>
      <c r="UWG1737" s="735" t="s">
        <v>1690</v>
      </c>
      <c r="UWH1737" s="843" t="e">
        <f>#REF!</f>
        <v>#REF!</v>
      </c>
      <c r="UWI1737" s="662" t="s">
        <v>799</v>
      </c>
      <c r="UWJ1737" s="663" t="s">
        <v>628</v>
      </c>
      <c r="UWK1737" s="633"/>
      <c r="UWL1737" s="664"/>
      <c r="UWM1737" s="664"/>
      <c r="UWN1737" s="664"/>
      <c r="UWO1737" s="664"/>
      <c r="UWP1737" s="664"/>
      <c r="UWQ1737" s="664"/>
      <c r="UWR1737" s="664"/>
      <c r="UWS1737" s="630"/>
      <c r="UWT1737" s="631"/>
      <c r="UWU1737" s="655"/>
      <c r="UWV1737" s="734" t="s">
        <v>0</v>
      </c>
      <c r="UWW1737" s="735" t="s">
        <v>1690</v>
      </c>
      <c r="UWX1737" s="843" t="e">
        <f>#REF!</f>
        <v>#REF!</v>
      </c>
      <c r="UWY1737" s="662" t="s">
        <v>799</v>
      </c>
      <c r="UWZ1737" s="663" t="s">
        <v>628</v>
      </c>
      <c r="UXA1737" s="633"/>
      <c r="UXB1737" s="664"/>
      <c r="UXC1737" s="664"/>
      <c r="UXD1737" s="664"/>
      <c r="UXE1737" s="664"/>
      <c r="UXF1737" s="664"/>
      <c r="UXG1737" s="664"/>
      <c r="UXH1737" s="664"/>
      <c r="UXI1737" s="630"/>
      <c r="UXJ1737" s="631"/>
      <c r="UXK1737" s="655"/>
      <c r="UXL1737" s="734" t="s">
        <v>0</v>
      </c>
      <c r="UXM1737" s="735" t="s">
        <v>1690</v>
      </c>
      <c r="UXN1737" s="843" t="e">
        <f>#REF!</f>
        <v>#REF!</v>
      </c>
      <c r="UXO1737" s="662" t="s">
        <v>799</v>
      </c>
      <c r="UXP1737" s="663" t="s">
        <v>628</v>
      </c>
      <c r="UXQ1737" s="633"/>
      <c r="UXR1737" s="664"/>
      <c r="UXS1737" s="664"/>
      <c r="UXT1737" s="664"/>
      <c r="UXU1737" s="664"/>
      <c r="UXV1737" s="664"/>
      <c r="UXW1737" s="664"/>
      <c r="UXX1737" s="664"/>
      <c r="UXY1737" s="630"/>
      <c r="UXZ1737" s="631"/>
      <c r="UYA1737" s="655"/>
      <c r="UYB1737" s="734" t="s">
        <v>0</v>
      </c>
      <c r="UYC1737" s="735" t="s">
        <v>1690</v>
      </c>
      <c r="UYD1737" s="843" t="e">
        <f>#REF!</f>
        <v>#REF!</v>
      </c>
      <c r="UYE1737" s="662" t="s">
        <v>799</v>
      </c>
      <c r="UYF1737" s="663" t="s">
        <v>628</v>
      </c>
      <c r="UYG1737" s="633"/>
      <c r="UYH1737" s="664"/>
      <c r="UYI1737" s="664"/>
      <c r="UYJ1737" s="664"/>
      <c r="UYK1737" s="664"/>
      <c r="UYL1737" s="664"/>
      <c r="UYM1737" s="664"/>
      <c r="UYN1737" s="664"/>
      <c r="UYO1737" s="630"/>
      <c r="UYP1737" s="631"/>
      <c r="UYQ1737" s="655"/>
      <c r="UYR1737" s="734" t="s">
        <v>0</v>
      </c>
      <c r="UYS1737" s="735" t="s">
        <v>1690</v>
      </c>
      <c r="UYT1737" s="843" t="e">
        <f>#REF!</f>
        <v>#REF!</v>
      </c>
      <c r="UYU1737" s="662" t="s">
        <v>799</v>
      </c>
      <c r="UYV1737" s="663" t="s">
        <v>628</v>
      </c>
      <c r="UYW1737" s="633"/>
      <c r="UYX1737" s="664"/>
      <c r="UYY1737" s="664"/>
      <c r="UYZ1737" s="664"/>
      <c r="UZA1737" s="664"/>
      <c r="UZB1737" s="664"/>
      <c r="UZC1737" s="664"/>
      <c r="UZD1737" s="664"/>
      <c r="UZE1737" s="630"/>
      <c r="UZF1737" s="631"/>
      <c r="UZG1737" s="655"/>
      <c r="UZH1737" s="734" t="s">
        <v>0</v>
      </c>
      <c r="UZI1737" s="735" t="s">
        <v>1690</v>
      </c>
      <c r="UZJ1737" s="843" t="e">
        <f>#REF!</f>
        <v>#REF!</v>
      </c>
      <c r="UZK1737" s="662" t="s">
        <v>799</v>
      </c>
      <c r="UZL1737" s="663" t="s">
        <v>628</v>
      </c>
      <c r="UZM1737" s="633"/>
      <c r="UZN1737" s="664"/>
      <c r="UZO1737" s="664"/>
      <c r="UZP1737" s="664"/>
      <c r="UZQ1737" s="664"/>
      <c r="UZR1737" s="664"/>
      <c r="UZS1737" s="664"/>
      <c r="UZT1737" s="664"/>
      <c r="UZU1737" s="630"/>
      <c r="UZV1737" s="631"/>
      <c r="UZW1737" s="655"/>
      <c r="UZX1737" s="734" t="s">
        <v>0</v>
      </c>
      <c r="UZY1737" s="735" t="s">
        <v>1690</v>
      </c>
      <c r="UZZ1737" s="843" t="e">
        <f>#REF!</f>
        <v>#REF!</v>
      </c>
      <c r="VAA1737" s="662" t="s">
        <v>799</v>
      </c>
      <c r="VAB1737" s="663" t="s">
        <v>628</v>
      </c>
      <c r="VAC1737" s="633"/>
      <c r="VAD1737" s="664"/>
      <c r="VAE1737" s="664"/>
      <c r="VAF1737" s="664"/>
      <c r="VAG1737" s="664"/>
      <c r="VAH1737" s="664"/>
      <c r="VAI1737" s="664"/>
      <c r="VAJ1737" s="664"/>
      <c r="VAK1737" s="630"/>
      <c r="VAL1737" s="631"/>
      <c r="VAM1737" s="655"/>
      <c r="VAN1737" s="734" t="s">
        <v>0</v>
      </c>
      <c r="VAO1737" s="735" t="s">
        <v>1690</v>
      </c>
      <c r="VAP1737" s="843" t="e">
        <f>#REF!</f>
        <v>#REF!</v>
      </c>
      <c r="VAQ1737" s="662" t="s">
        <v>799</v>
      </c>
      <c r="VAR1737" s="663" t="s">
        <v>628</v>
      </c>
      <c r="VAS1737" s="633"/>
      <c r="VAT1737" s="664"/>
      <c r="VAU1737" s="664"/>
      <c r="VAV1737" s="664"/>
      <c r="VAW1737" s="664"/>
      <c r="VAX1737" s="664"/>
      <c r="VAY1737" s="664"/>
      <c r="VAZ1737" s="664"/>
      <c r="VBA1737" s="630"/>
      <c r="VBB1737" s="631"/>
      <c r="VBC1737" s="655"/>
      <c r="VBD1737" s="734" t="s">
        <v>0</v>
      </c>
      <c r="VBE1737" s="735" t="s">
        <v>1690</v>
      </c>
      <c r="VBF1737" s="843" t="e">
        <f>#REF!</f>
        <v>#REF!</v>
      </c>
      <c r="VBG1737" s="662" t="s">
        <v>799</v>
      </c>
      <c r="VBH1737" s="663" t="s">
        <v>628</v>
      </c>
      <c r="VBI1737" s="633"/>
      <c r="VBJ1737" s="664"/>
      <c r="VBK1737" s="664"/>
      <c r="VBL1737" s="664"/>
      <c r="VBM1737" s="664"/>
      <c r="VBN1737" s="664"/>
      <c r="VBO1737" s="664"/>
      <c r="VBP1737" s="664"/>
      <c r="VBQ1737" s="630"/>
      <c r="VBR1737" s="631"/>
      <c r="VBS1737" s="655"/>
      <c r="VBT1737" s="734" t="s">
        <v>0</v>
      </c>
      <c r="VBU1737" s="735" t="s">
        <v>1690</v>
      </c>
      <c r="VBV1737" s="843" t="e">
        <f>#REF!</f>
        <v>#REF!</v>
      </c>
      <c r="VBW1737" s="662" t="s">
        <v>799</v>
      </c>
      <c r="VBX1737" s="663" t="s">
        <v>628</v>
      </c>
      <c r="VBY1737" s="633"/>
      <c r="VBZ1737" s="664"/>
      <c r="VCA1737" s="664"/>
      <c r="VCB1737" s="664"/>
      <c r="VCC1737" s="664"/>
      <c r="VCD1737" s="664"/>
      <c r="VCE1737" s="664"/>
      <c r="VCF1737" s="664"/>
      <c r="VCG1737" s="630"/>
      <c r="VCH1737" s="631"/>
      <c r="VCI1737" s="655"/>
      <c r="VCJ1737" s="734" t="s">
        <v>0</v>
      </c>
      <c r="VCK1737" s="735" t="s">
        <v>1690</v>
      </c>
      <c r="VCL1737" s="843" t="e">
        <f>#REF!</f>
        <v>#REF!</v>
      </c>
      <c r="VCM1737" s="662" t="s">
        <v>799</v>
      </c>
      <c r="VCN1737" s="663" t="s">
        <v>628</v>
      </c>
      <c r="VCO1737" s="633"/>
      <c r="VCP1737" s="664"/>
      <c r="VCQ1737" s="664"/>
      <c r="VCR1737" s="664"/>
      <c r="VCS1737" s="664"/>
      <c r="VCT1737" s="664"/>
      <c r="VCU1737" s="664"/>
      <c r="VCV1737" s="664"/>
      <c r="VCW1737" s="630"/>
      <c r="VCX1737" s="631"/>
      <c r="VCY1737" s="655"/>
      <c r="VCZ1737" s="734" t="s">
        <v>0</v>
      </c>
      <c r="VDA1737" s="735" t="s">
        <v>1690</v>
      </c>
      <c r="VDB1737" s="843" t="e">
        <f>#REF!</f>
        <v>#REF!</v>
      </c>
      <c r="VDC1737" s="662" t="s">
        <v>799</v>
      </c>
      <c r="VDD1737" s="663" t="s">
        <v>628</v>
      </c>
      <c r="VDE1737" s="633"/>
      <c r="VDF1737" s="664"/>
      <c r="VDG1737" s="664"/>
      <c r="VDH1737" s="664"/>
      <c r="VDI1737" s="664"/>
      <c r="VDJ1737" s="664"/>
      <c r="VDK1737" s="664"/>
      <c r="VDL1737" s="664"/>
      <c r="VDM1737" s="630"/>
      <c r="VDN1737" s="631"/>
      <c r="VDO1737" s="655"/>
      <c r="VDP1737" s="734" t="s">
        <v>0</v>
      </c>
      <c r="VDQ1737" s="735" t="s">
        <v>1690</v>
      </c>
      <c r="VDR1737" s="843" t="e">
        <f>#REF!</f>
        <v>#REF!</v>
      </c>
      <c r="VDS1737" s="662" t="s">
        <v>799</v>
      </c>
      <c r="VDT1737" s="663" t="s">
        <v>628</v>
      </c>
      <c r="VDU1737" s="633"/>
      <c r="VDV1737" s="664"/>
      <c r="VDW1737" s="664"/>
      <c r="VDX1737" s="664"/>
      <c r="VDY1737" s="664"/>
      <c r="VDZ1737" s="664"/>
      <c r="VEA1737" s="664"/>
      <c r="VEB1737" s="664"/>
      <c r="VEC1737" s="630"/>
      <c r="VED1737" s="631"/>
      <c r="VEE1737" s="655"/>
      <c r="VEF1737" s="734" t="s">
        <v>0</v>
      </c>
      <c r="VEG1737" s="735" t="s">
        <v>1690</v>
      </c>
      <c r="VEH1737" s="843" t="e">
        <f>#REF!</f>
        <v>#REF!</v>
      </c>
      <c r="VEI1737" s="662" t="s">
        <v>799</v>
      </c>
      <c r="VEJ1737" s="663" t="s">
        <v>628</v>
      </c>
      <c r="VEK1737" s="633"/>
      <c r="VEL1737" s="664"/>
      <c r="VEM1737" s="664"/>
      <c r="VEN1737" s="664"/>
      <c r="VEO1737" s="664"/>
      <c r="VEP1737" s="664"/>
      <c r="VEQ1737" s="664"/>
      <c r="VER1737" s="664"/>
      <c r="VES1737" s="630"/>
      <c r="VET1737" s="631"/>
      <c r="VEU1737" s="655"/>
      <c r="VEV1737" s="734" t="s">
        <v>0</v>
      </c>
      <c r="VEW1737" s="735" t="s">
        <v>1690</v>
      </c>
      <c r="VEX1737" s="843" t="e">
        <f>#REF!</f>
        <v>#REF!</v>
      </c>
      <c r="VEY1737" s="662" t="s">
        <v>799</v>
      </c>
      <c r="VEZ1737" s="663" t="s">
        <v>628</v>
      </c>
      <c r="VFA1737" s="633"/>
      <c r="VFB1737" s="664"/>
      <c r="VFC1737" s="664"/>
      <c r="VFD1737" s="664"/>
      <c r="VFE1737" s="664"/>
      <c r="VFF1737" s="664"/>
      <c r="VFG1737" s="664"/>
      <c r="VFH1737" s="664"/>
      <c r="VFI1737" s="630"/>
      <c r="VFJ1737" s="631"/>
      <c r="VFK1737" s="655"/>
      <c r="VFL1737" s="734" t="s">
        <v>0</v>
      </c>
      <c r="VFM1737" s="735" t="s">
        <v>1690</v>
      </c>
      <c r="VFN1737" s="843" t="e">
        <f>#REF!</f>
        <v>#REF!</v>
      </c>
      <c r="VFO1737" s="662" t="s">
        <v>799</v>
      </c>
      <c r="VFP1737" s="663" t="s">
        <v>628</v>
      </c>
      <c r="VFQ1737" s="633"/>
      <c r="VFR1737" s="664"/>
      <c r="VFS1737" s="664"/>
      <c r="VFT1737" s="664"/>
      <c r="VFU1737" s="664"/>
      <c r="VFV1737" s="664"/>
      <c r="VFW1737" s="664"/>
      <c r="VFX1737" s="664"/>
      <c r="VFY1737" s="630"/>
      <c r="VFZ1737" s="631"/>
      <c r="VGA1737" s="655"/>
      <c r="VGB1737" s="734" t="s">
        <v>0</v>
      </c>
      <c r="VGC1737" s="735" t="s">
        <v>1690</v>
      </c>
      <c r="VGD1737" s="843" t="e">
        <f>#REF!</f>
        <v>#REF!</v>
      </c>
      <c r="VGE1737" s="662" t="s">
        <v>799</v>
      </c>
      <c r="VGF1737" s="663" t="s">
        <v>628</v>
      </c>
      <c r="VGG1737" s="633"/>
      <c r="VGH1737" s="664"/>
      <c r="VGI1737" s="664"/>
      <c r="VGJ1737" s="664"/>
      <c r="VGK1737" s="664"/>
      <c r="VGL1737" s="664"/>
      <c r="VGM1737" s="664"/>
      <c r="VGN1737" s="664"/>
      <c r="VGO1737" s="630"/>
      <c r="VGP1737" s="631"/>
      <c r="VGQ1737" s="655"/>
      <c r="VGR1737" s="734" t="s">
        <v>0</v>
      </c>
      <c r="VGS1737" s="735" t="s">
        <v>1690</v>
      </c>
      <c r="VGT1737" s="843" t="e">
        <f>#REF!</f>
        <v>#REF!</v>
      </c>
      <c r="VGU1737" s="662" t="s">
        <v>799</v>
      </c>
      <c r="VGV1737" s="663" t="s">
        <v>628</v>
      </c>
      <c r="VGW1737" s="633"/>
      <c r="VGX1737" s="664"/>
      <c r="VGY1737" s="664"/>
      <c r="VGZ1737" s="664"/>
      <c r="VHA1737" s="664"/>
      <c r="VHB1737" s="664"/>
      <c r="VHC1737" s="664"/>
      <c r="VHD1737" s="664"/>
      <c r="VHE1737" s="630"/>
      <c r="VHF1737" s="631"/>
      <c r="VHG1737" s="655"/>
      <c r="VHH1737" s="734" t="s">
        <v>0</v>
      </c>
      <c r="VHI1737" s="735" t="s">
        <v>1690</v>
      </c>
      <c r="VHJ1737" s="843" t="e">
        <f>#REF!</f>
        <v>#REF!</v>
      </c>
      <c r="VHK1737" s="662" t="s">
        <v>799</v>
      </c>
      <c r="VHL1737" s="663" t="s">
        <v>628</v>
      </c>
      <c r="VHM1737" s="633"/>
      <c r="VHN1737" s="664"/>
      <c r="VHO1737" s="664"/>
      <c r="VHP1737" s="664"/>
      <c r="VHQ1737" s="664"/>
      <c r="VHR1737" s="664"/>
      <c r="VHS1737" s="664"/>
      <c r="VHT1737" s="664"/>
      <c r="VHU1737" s="630"/>
      <c r="VHV1737" s="631"/>
      <c r="VHW1737" s="655"/>
      <c r="VHX1737" s="734" t="s">
        <v>0</v>
      </c>
      <c r="VHY1737" s="735" t="s">
        <v>1690</v>
      </c>
      <c r="VHZ1737" s="843" t="e">
        <f>#REF!</f>
        <v>#REF!</v>
      </c>
      <c r="VIA1737" s="662" t="s">
        <v>799</v>
      </c>
      <c r="VIB1737" s="663" t="s">
        <v>628</v>
      </c>
      <c r="VIC1737" s="633"/>
      <c r="VID1737" s="664"/>
      <c r="VIE1737" s="664"/>
      <c r="VIF1737" s="664"/>
      <c r="VIG1737" s="664"/>
      <c r="VIH1737" s="664"/>
      <c r="VII1737" s="664"/>
      <c r="VIJ1737" s="664"/>
      <c r="VIK1737" s="630"/>
      <c r="VIL1737" s="631"/>
      <c r="VIM1737" s="655"/>
      <c r="VIN1737" s="734" t="s">
        <v>0</v>
      </c>
      <c r="VIO1737" s="735" t="s">
        <v>1690</v>
      </c>
      <c r="VIP1737" s="843" t="e">
        <f>#REF!</f>
        <v>#REF!</v>
      </c>
      <c r="VIQ1737" s="662" t="s">
        <v>799</v>
      </c>
      <c r="VIR1737" s="663" t="s">
        <v>628</v>
      </c>
      <c r="VIS1737" s="633"/>
      <c r="VIT1737" s="664"/>
      <c r="VIU1737" s="664"/>
      <c r="VIV1737" s="664"/>
      <c r="VIW1737" s="664"/>
      <c r="VIX1737" s="664"/>
      <c r="VIY1737" s="664"/>
      <c r="VIZ1737" s="664"/>
      <c r="VJA1737" s="630"/>
      <c r="VJB1737" s="631"/>
      <c r="VJC1737" s="655"/>
      <c r="VJD1737" s="734" t="s">
        <v>0</v>
      </c>
      <c r="VJE1737" s="735" t="s">
        <v>1690</v>
      </c>
      <c r="VJF1737" s="843" t="e">
        <f>#REF!</f>
        <v>#REF!</v>
      </c>
      <c r="VJG1737" s="662" t="s">
        <v>799</v>
      </c>
      <c r="VJH1737" s="663" t="s">
        <v>628</v>
      </c>
      <c r="VJI1737" s="633"/>
      <c r="VJJ1737" s="664"/>
      <c r="VJK1737" s="664"/>
      <c r="VJL1737" s="664"/>
      <c r="VJM1737" s="664"/>
      <c r="VJN1737" s="664"/>
      <c r="VJO1737" s="664"/>
      <c r="VJP1737" s="664"/>
      <c r="VJQ1737" s="630"/>
      <c r="VJR1737" s="631"/>
      <c r="VJS1737" s="655"/>
      <c r="VJT1737" s="734" t="s">
        <v>0</v>
      </c>
      <c r="VJU1737" s="735" t="s">
        <v>1690</v>
      </c>
      <c r="VJV1737" s="843" t="e">
        <f>#REF!</f>
        <v>#REF!</v>
      </c>
      <c r="VJW1737" s="662" t="s">
        <v>799</v>
      </c>
      <c r="VJX1737" s="663" t="s">
        <v>628</v>
      </c>
      <c r="VJY1737" s="633"/>
      <c r="VJZ1737" s="664"/>
      <c r="VKA1737" s="664"/>
      <c r="VKB1737" s="664"/>
      <c r="VKC1737" s="664"/>
      <c r="VKD1737" s="664"/>
      <c r="VKE1737" s="664"/>
      <c r="VKF1737" s="664"/>
      <c r="VKG1737" s="630"/>
      <c r="VKH1737" s="631"/>
      <c r="VKI1737" s="655"/>
      <c r="VKJ1737" s="734" t="s">
        <v>0</v>
      </c>
      <c r="VKK1737" s="735" t="s">
        <v>1690</v>
      </c>
      <c r="VKL1737" s="843" t="e">
        <f>#REF!</f>
        <v>#REF!</v>
      </c>
      <c r="VKM1737" s="662" t="s">
        <v>799</v>
      </c>
      <c r="VKN1737" s="663" t="s">
        <v>628</v>
      </c>
      <c r="VKO1737" s="633"/>
      <c r="VKP1737" s="664"/>
      <c r="VKQ1737" s="664"/>
      <c r="VKR1737" s="664"/>
      <c r="VKS1737" s="664"/>
      <c r="VKT1737" s="664"/>
      <c r="VKU1737" s="664"/>
      <c r="VKV1737" s="664"/>
      <c r="VKW1737" s="630"/>
      <c r="VKX1737" s="631"/>
      <c r="VKY1737" s="655"/>
      <c r="VKZ1737" s="734" t="s">
        <v>0</v>
      </c>
      <c r="VLA1737" s="735" t="s">
        <v>1690</v>
      </c>
      <c r="VLB1737" s="843" t="e">
        <f>#REF!</f>
        <v>#REF!</v>
      </c>
      <c r="VLC1737" s="662" t="s">
        <v>799</v>
      </c>
      <c r="VLD1737" s="663" t="s">
        <v>628</v>
      </c>
      <c r="VLE1737" s="633"/>
      <c r="VLF1737" s="664"/>
      <c r="VLG1737" s="664"/>
      <c r="VLH1737" s="664"/>
      <c r="VLI1737" s="664"/>
      <c r="VLJ1737" s="664"/>
      <c r="VLK1737" s="664"/>
      <c r="VLL1737" s="664"/>
      <c r="VLM1737" s="630"/>
      <c r="VLN1737" s="631"/>
      <c r="VLO1737" s="655"/>
      <c r="VLP1737" s="734" t="s">
        <v>0</v>
      </c>
      <c r="VLQ1737" s="735" t="s">
        <v>1690</v>
      </c>
      <c r="VLR1737" s="843" t="e">
        <f>#REF!</f>
        <v>#REF!</v>
      </c>
      <c r="VLS1737" s="662" t="s">
        <v>799</v>
      </c>
      <c r="VLT1737" s="663" t="s">
        <v>628</v>
      </c>
      <c r="VLU1737" s="633"/>
      <c r="VLV1737" s="664"/>
      <c r="VLW1737" s="664"/>
      <c r="VLX1737" s="664"/>
      <c r="VLY1737" s="664"/>
      <c r="VLZ1737" s="664"/>
      <c r="VMA1737" s="664"/>
      <c r="VMB1737" s="664"/>
      <c r="VMC1737" s="630"/>
      <c r="VMD1737" s="631"/>
      <c r="VME1737" s="655"/>
      <c r="VMF1737" s="734" t="s">
        <v>0</v>
      </c>
      <c r="VMG1737" s="735" t="s">
        <v>1690</v>
      </c>
      <c r="VMH1737" s="843" t="e">
        <f>#REF!</f>
        <v>#REF!</v>
      </c>
      <c r="VMI1737" s="662" t="s">
        <v>799</v>
      </c>
      <c r="VMJ1737" s="663" t="s">
        <v>628</v>
      </c>
      <c r="VMK1737" s="633"/>
      <c r="VML1737" s="664"/>
      <c r="VMM1737" s="664"/>
      <c r="VMN1737" s="664"/>
      <c r="VMO1737" s="664"/>
      <c r="VMP1737" s="664"/>
      <c r="VMQ1737" s="664"/>
      <c r="VMR1737" s="664"/>
      <c r="VMS1737" s="630"/>
      <c r="VMT1737" s="631"/>
      <c r="VMU1737" s="655"/>
      <c r="VMV1737" s="734" t="s">
        <v>0</v>
      </c>
      <c r="VMW1737" s="735" t="s">
        <v>1690</v>
      </c>
      <c r="VMX1737" s="843" t="e">
        <f>#REF!</f>
        <v>#REF!</v>
      </c>
      <c r="VMY1737" s="662" t="s">
        <v>799</v>
      </c>
      <c r="VMZ1737" s="663" t="s">
        <v>628</v>
      </c>
      <c r="VNA1737" s="633"/>
      <c r="VNB1737" s="664"/>
      <c r="VNC1737" s="664"/>
      <c r="VND1737" s="664"/>
      <c r="VNE1737" s="664"/>
      <c r="VNF1737" s="664"/>
      <c r="VNG1737" s="664"/>
      <c r="VNH1737" s="664"/>
      <c r="VNI1737" s="630"/>
      <c r="VNJ1737" s="631"/>
      <c r="VNK1737" s="655"/>
      <c r="VNL1737" s="734" t="s">
        <v>0</v>
      </c>
      <c r="VNM1737" s="735" t="s">
        <v>1690</v>
      </c>
      <c r="VNN1737" s="843" t="e">
        <f>#REF!</f>
        <v>#REF!</v>
      </c>
      <c r="VNO1737" s="662" t="s">
        <v>799</v>
      </c>
      <c r="VNP1737" s="663" t="s">
        <v>628</v>
      </c>
      <c r="VNQ1737" s="633"/>
      <c r="VNR1737" s="664"/>
      <c r="VNS1737" s="664"/>
      <c r="VNT1737" s="664"/>
      <c r="VNU1737" s="664"/>
      <c r="VNV1737" s="664"/>
      <c r="VNW1737" s="664"/>
      <c r="VNX1737" s="664"/>
      <c r="VNY1737" s="630"/>
      <c r="VNZ1737" s="631"/>
      <c r="VOA1737" s="655"/>
      <c r="VOB1737" s="734" t="s">
        <v>0</v>
      </c>
      <c r="VOC1737" s="735" t="s">
        <v>1690</v>
      </c>
      <c r="VOD1737" s="843" t="e">
        <f>#REF!</f>
        <v>#REF!</v>
      </c>
      <c r="VOE1737" s="662" t="s">
        <v>799</v>
      </c>
      <c r="VOF1737" s="663" t="s">
        <v>628</v>
      </c>
      <c r="VOG1737" s="633"/>
      <c r="VOH1737" s="664"/>
      <c r="VOI1737" s="664"/>
      <c r="VOJ1737" s="664"/>
      <c r="VOK1737" s="664"/>
      <c r="VOL1737" s="664"/>
      <c r="VOM1737" s="664"/>
      <c r="VON1737" s="664"/>
      <c r="VOO1737" s="630"/>
      <c r="VOP1737" s="631"/>
      <c r="VOQ1737" s="655"/>
      <c r="VOR1737" s="734" t="s">
        <v>0</v>
      </c>
      <c r="VOS1737" s="735" t="s">
        <v>1690</v>
      </c>
      <c r="VOT1737" s="843" t="e">
        <f>#REF!</f>
        <v>#REF!</v>
      </c>
      <c r="VOU1737" s="662" t="s">
        <v>799</v>
      </c>
      <c r="VOV1737" s="663" t="s">
        <v>628</v>
      </c>
      <c r="VOW1737" s="633"/>
      <c r="VOX1737" s="664"/>
      <c r="VOY1737" s="664"/>
      <c r="VOZ1737" s="664"/>
      <c r="VPA1737" s="664"/>
      <c r="VPB1737" s="664"/>
      <c r="VPC1737" s="664"/>
      <c r="VPD1737" s="664"/>
      <c r="VPE1737" s="630"/>
      <c r="VPF1737" s="631"/>
      <c r="VPG1737" s="655"/>
      <c r="VPH1737" s="734" t="s">
        <v>0</v>
      </c>
      <c r="VPI1737" s="735" t="s">
        <v>1690</v>
      </c>
      <c r="VPJ1737" s="843" t="e">
        <f>#REF!</f>
        <v>#REF!</v>
      </c>
      <c r="VPK1737" s="662" t="s">
        <v>799</v>
      </c>
      <c r="VPL1737" s="663" t="s">
        <v>628</v>
      </c>
      <c r="VPM1737" s="633"/>
      <c r="VPN1737" s="664"/>
      <c r="VPO1737" s="664"/>
      <c r="VPP1737" s="664"/>
      <c r="VPQ1737" s="664"/>
      <c r="VPR1737" s="664"/>
      <c r="VPS1737" s="664"/>
      <c r="VPT1737" s="664"/>
      <c r="VPU1737" s="630"/>
      <c r="VPV1737" s="631"/>
      <c r="VPW1737" s="655"/>
      <c r="VPX1737" s="734" t="s">
        <v>0</v>
      </c>
      <c r="VPY1737" s="735" t="s">
        <v>1690</v>
      </c>
      <c r="VPZ1737" s="843" t="e">
        <f>#REF!</f>
        <v>#REF!</v>
      </c>
      <c r="VQA1737" s="662" t="s">
        <v>799</v>
      </c>
      <c r="VQB1737" s="663" t="s">
        <v>628</v>
      </c>
      <c r="VQC1737" s="633"/>
      <c r="VQD1737" s="664"/>
      <c r="VQE1737" s="664"/>
      <c r="VQF1737" s="664"/>
      <c r="VQG1737" s="664"/>
      <c r="VQH1737" s="664"/>
      <c r="VQI1737" s="664"/>
      <c r="VQJ1737" s="664"/>
      <c r="VQK1737" s="630"/>
      <c r="VQL1737" s="631"/>
      <c r="VQM1737" s="655"/>
      <c r="VQN1737" s="734" t="s">
        <v>0</v>
      </c>
      <c r="VQO1737" s="735" t="s">
        <v>1690</v>
      </c>
      <c r="VQP1737" s="843" t="e">
        <f>#REF!</f>
        <v>#REF!</v>
      </c>
      <c r="VQQ1737" s="662" t="s">
        <v>799</v>
      </c>
      <c r="VQR1737" s="663" t="s">
        <v>628</v>
      </c>
      <c r="VQS1737" s="633"/>
      <c r="VQT1737" s="664"/>
      <c r="VQU1737" s="664"/>
      <c r="VQV1737" s="664"/>
      <c r="VQW1737" s="664"/>
      <c r="VQX1737" s="664"/>
      <c r="VQY1737" s="664"/>
      <c r="VQZ1737" s="664"/>
      <c r="VRA1737" s="630"/>
      <c r="VRB1737" s="631"/>
      <c r="VRC1737" s="655"/>
      <c r="VRD1737" s="734" t="s">
        <v>0</v>
      </c>
      <c r="VRE1737" s="735" t="s">
        <v>1690</v>
      </c>
      <c r="VRF1737" s="843" t="e">
        <f>#REF!</f>
        <v>#REF!</v>
      </c>
      <c r="VRG1737" s="662" t="s">
        <v>799</v>
      </c>
      <c r="VRH1737" s="663" t="s">
        <v>628</v>
      </c>
      <c r="VRI1737" s="633"/>
      <c r="VRJ1737" s="664"/>
      <c r="VRK1737" s="664"/>
      <c r="VRL1737" s="664"/>
      <c r="VRM1737" s="664"/>
      <c r="VRN1737" s="664"/>
      <c r="VRO1737" s="664"/>
      <c r="VRP1737" s="664"/>
      <c r="VRQ1737" s="630"/>
      <c r="VRR1737" s="631"/>
      <c r="VRS1737" s="655"/>
      <c r="VRT1737" s="734" t="s">
        <v>0</v>
      </c>
      <c r="VRU1737" s="735" t="s">
        <v>1690</v>
      </c>
      <c r="VRV1737" s="843" t="e">
        <f>#REF!</f>
        <v>#REF!</v>
      </c>
      <c r="VRW1737" s="662" t="s">
        <v>799</v>
      </c>
      <c r="VRX1737" s="663" t="s">
        <v>628</v>
      </c>
      <c r="VRY1737" s="633"/>
      <c r="VRZ1737" s="664"/>
      <c r="VSA1737" s="664"/>
      <c r="VSB1737" s="664"/>
      <c r="VSC1737" s="664"/>
      <c r="VSD1737" s="664"/>
      <c r="VSE1737" s="664"/>
      <c r="VSF1737" s="664"/>
      <c r="VSG1737" s="630"/>
      <c r="VSH1737" s="631"/>
      <c r="VSI1737" s="655"/>
      <c r="VSJ1737" s="734" t="s">
        <v>0</v>
      </c>
      <c r="VSK1737" s="735" t="s">
        <v>1690</v>
      </c>
      <c r="VSL1737" s="843" t="e">
        <f>#REF!</f>
        <v>#REF!</v>
      </c>
      <c r="VSM1737" s="662" t="s">
        <v>799</v>
      </c>
      <c r="VSN1737" s="663" t="s">
        <v>628</v>
      </c>
      <c r="VSO1737" s="633"/>
      <c r="VSP1737" s="664"/>
      <c r="VSQ1737" s="664"/>
      <c r="VSR1737" s="664"/>
      <c r="VSS1737" s="664"/>
      <c r="VST1737" s="664"/>
      <c r="VSU1737" s="664"/>
      <c r="VSV1737" s="664"/>
      <c r="VSW1737" s="630"/>
      <c r="VSX1737" s="631"/>
      <c r="VSY1737" s="655"/>
      <c r="VSZ1737" s="734" t="s">
        <v>0</v>
      </c>
      <c r="VTA1737" s="735" t="s">
        <v>1690</v>
      </c>
      <c r="VTB1737" s="843" t="e">
        <f>#REF!</f>
        <v>#REF!</v>
      </c>
      <c r="VTC1737" s="662" t="s">
        <v>799</v>
      </c>
      <c r="VTD1737" s="663" t="s">
        <v>628</v>
      </c>
      <c r="VTE1737" s="633"/>
      <c r="VTF1737" s="664"/>
      <c r="VTG1737" s="664"/>
      <c r="VTH1737" s="664"/>
      <c r="VTI1737" s="664"/>
      <c r="VTJ1737" s="664"/>
      <c r="VTK1737" s="664"/>
      <c r="VTL1737" s="664"/>
      <c r="VTM1737" s="630"/>
      <c r="VTN1737" s="631"/>
      <c r="VTO1737" s="655"/>
      <c r="VTP1737" s="734" t="s">
        <v>0</v>
      </c>
      <c r="VTQ1737" s="735" t="s">
        <v>1690</v>
      </c>
      <c r="VTR1737" s="843" t="e">
        <f>#REF!</f>
        <v>#REF!</v>
      </c>
      <c r="VTS1737" s="662" t="s">
        <v>799</v>
      </c>
      <c r="VTT1737" s="663" t="s">
        <v>628</v>
      </c>
      <c r="VTU1737" s="633"/>
      <c r="VTV1737" s="664"/>
      <c r="VTW1737" s="664"/>
      <c r="VTX1737" s="664"/>
      <c r="VTY1737" s="664"/>
      <c r="VTZ1737" s="664"/>
      <c r="VUA1737" s="664"/>
      <c r="VUB1737" s="664"/>
      <c r="VUC1737" s="630"/>
      <c r="VUD1737" s="631"/>
      <c r="VUE1737" s="655"/>
      <c r="VUF1737" s="734" t="s">
        <v>0</v>
      </c>
      <c r="VUG1737" s="735" t="s">
        <v>1690</v>
      </c>
      <c r="VUH1737" s="843" t="e">
        <f>#REF!</f>
        <v>#REF!</v>
      </c>
      <c r="VUI1737" s="662" t="s">
        <v>799</v>
      </c>
      <c r="VUJ1737" s="663" t="s">
        <v>628</v>
      </c>
      <c r="VUK1737" s="633"/>
      <c r="VUL1737" s="664"/>
      <c r="VUM1737" s="664"/>
      <c r="VUN1737" s="664"/>
      <c r="VUO1737" s="664"/>
      <c r="VUP1737" s="664"/>
      <c r="VUQ1737" s="664"/>
      <c r="VUR1737" s="664"/>
      <c r="VUS1737" s="630"/>
      <c r="VUT1737" s="631"/>
      <c r="VUU1737" s="655"/>
      <c r="VUV1737" s="734" t="s">
        <v>0</v>
      </c>
      <c r="VUW1737" s="735" t="s">
        <v>1690</v>
      </c>
      <c r="VUX1737" s="843" t="e">
        <f>#REF!</f>
        <v>#REF!</v>
      </c>
      <c r="VUY1737" s="662" t="s">
        <v>799</v>
      </c>
      <c r="VUZ1737" s="663" t="s">
        <v>628</v>
      </c>
      <c r="VVA1737" s="633"/>
      <c r="VVB1737" s="664"/>
      <c r="VVC1737" s="664"/>
      <c r="VVD1737" s="664"/>
      <c r="VVE1737" s="664"/>
      <c r="VVF1737" s="664"/>
      <c r="VVG1737" s="664"/>
      <c r="VVH1737" s="664"/>
      <c r="VVI1737" s="630"/>
      <c r="VVJ1737" s="631"/>
      <c r="VVK1737" s="655"/>
      <c r="VVL1737" s="734" t="s">
        <v>0</v>
      </c>
      <c r="VVM1737" s="735" t="s">
        <v>1690</v>
      </c>
      <c r="VVN1737" s="843" t="e">
        <f>#REF!</f>
        <v>#REF!</v>
      </c>
      <c r="VVO1737" s="662" t="s">
        <v>799</v>
      </c>
      <c r="VVP1737" s="663" t="s">
        <v>628</v>
      </c>
      <c r="VVQ1737" s="633"/>
      <c r="VVR1737" s="664"/>
      <c r="VVS1737" s="664"/>
      <c r="VVT1737" s="664"/>
      <c r="VVU1737" s="664"/>
      <c r="VVV1737" s="664"/>
      <c r="VVW1737" s="664"/>
      <c r="VVX1737" s="664"/>
      <c r="VVY1737" s="630"/>
      <c r="VVZ1737" s="631"/>
      <c r="VWA1737" s="655"/>
      <c r="VWB1737" s="734" t="s">
        <v>0</v>
      </c>
      <c r="VWC1737" s="735" t="s">
        <v>1690</v>
      </c>
      <c r="VWD1737" s="843" t="e">
        <f>#REF!</f>
        <v>#REF!</v>
      </c>
      <c r="VWE1737" s="662" t="s">
        <v>799</v>
      </c>
      <c r="VWF1737" s="663" t="s">
        <v>628</v>
      </c>
      <c r="VWG1737" s="633"/>
      <c r="VWH1737" s="664"/>
      <c r="VWI1737" s="664"/>
      <c r="VWJ1737" s="664"/>
      <c r="VWK1737" s="664"/>
      <c r="VWL1737" s="664"/>
      <c r="VWM1737" s="664"/>
      <c r="VWN1737" s="664"/>
      <c r="VWO1737" s="630"/>
      <c r="VWP1737" s="631"/>
      <c r="VWQ1737" s="655"/>
      <c r="VWR1737" s="734" t="s">
        <v>0</v>
      </c>
      <c r="VWS1737" s="735" t="s">
        <v>1690</v>
      </c>
      <c r="VWT1737" s="843" t="e">
        <f>#REF!</f>
        <v>#REF!</v>
      </c>
      <c r="VWU1737" s="662" t="s">
        <v>799</v>
      </c>
      <c r="VWV1737" s="663" t="s">
        <v>628</v>
      </c>
      <c r="VWW1737" s="633"/>
      <c r="VWX1737" s="664"/>
      <c r="VWY1737" s="664"/>
      <c r="VWZ1737" s="664"/>
      <c r="VXA1737" s="664"/>
      <c r="VXB1737" s="664"/>
      <c r="VXC1737" s="664"/>
      <c r="VXD1737" s="664"/>
      <c r="VXE1737" s="630"/>
      <c r="VXF1737" s="631"/>
      <c r="VXG1737" s="655"/>
      <c r="VXH1737" s="734" t="s">
        <v>0</v>
      </c>
      <c r="VXI1737" s="735" t="s">
        <v>1690</v>
      </c>
      <c r="VXJ1737" s="843" t="e">
        <f>#REF!</f>
        <v>#REF!</v>
      </c>
      <c r="VXK1737" s="662" t="s">
        <v>799</v>
      </c>
      <c r="VXL1737" s="663" t="s">
        <v>628</v>
      </c>
      <c r="VXM1737" s="633"/>
      <c r="VXN1737" s="664"/>
      <c r="VXO1737" s="664"/>
      <c r="VXP1737" s="664"/>
      <c r="VXQ1737" s="664"/>
      <c r="VXR1737" s="664"/>
      <c r="VXS1737" s="664"/>
      <c r="VXT1737" s="664"/>
      <c r="VXU1737" s="630"/>
      <c r="VXV1737" s="631"/>
      <c r="VXW1737" s="655"/>
      <c r="VXX1737" s="734" t="s">
        <v>0</v>
      </c>
      <c r="VXY1737" s="735" t="s">
        <v>1690</v>
      </c>
      <c r="VXZ1737" s="843" t="e">
        <f>#REF!</f>
        <v>#REF!</v>
      </c>
      <c r="VYA1737" s="662" t="s">
        <v>799</v>
      </c>
      <c r="VYB1737" s="663" t="s">
        <v>628</v>
      </c>
      <c r="VYC1737" s="633"/>
      <c r="VYD1737" s="664"/>
      <c r="VYE1737" s="664"/>
      <c r="VYF1737" s="664"/>
      <c r="VYG1737" s="664"/>
      <c r="VYH1737" s="664"/>
      <c r="VYI1737" s="664"/>
      <c r="VYJ1737" s="664"/>
      <c r="VYK1737" s="630"/>
      <c r="VYL1737" s="631"/>
      <c r="VYM1737" s="655"/>
      <c r="VYN1737" s="734" t="s">
        <v>0</v>
      </c>
      <c r="VYO1737" s="735" t="s">
        <v>1690</v>
      </c>
      <c r="VYP1737" s="843" t="e">
        <f>#REF!</f>
        <v>#REF!</v>
      </c>
      <c r="VYQ1737" s="662" t="s">
        <v>799</v>
      </c>
      <c r="VYR1737" s="663" t="s">
        <v>628</v>
      </c>
      <c r="VYS1737" s="633"/>
      <c r="VYT1737" s="664"/>
      <c r="VYU1737" s="664"/>
      <c r="VYV1737" s="664"/>
      <c r="VYW1737" s="664"/>
      <c r="VYX1737" s="664"/>
      <c r="VYY1737" s="664"/>
      <c r="VYZ1737" s="664"/>
      <c r="VZA1737" s="630"/>
      <c r="VZB1737" s="631"/>
      <c r="VZC1737" s="655"/>
      <c r="VZD1737" s="734" t="s">
        <v>0</v>
      </c>
      <c r="VZE1737" s="735" t="s">
        <v>1690</v>
      </c>
      <c r="VZF1737" s="843" t="e">
        <f>#REF!</f>
        <v>#REF!</v>
      </c>
      <c r="VZG1737" s="662" t="s">
        <v>799</v>
      </c>
      <c r="VZH1737" s="663" t="s">
        <v>628</v>
      </c>
      <c r="VZI1737" s="633"/>
      <c r="VZJ1737" s="664"/>
      <c r="VZK1737" s="664"/>
      <c r="VZL1737" s="664"/>
      <c r="VZM1737" s="664"/>
      <c r="VZN1737" s="664"/>
      <c r="VZO1737" s="664"/>
      <c r="VZP1737" s="664"/>
      <c r="VZQ1737" s="630"/>
      <c r="VZR1737" s="631"/>
      <c r="VZS1737" s="655"/>
      <c r="VZT1737" s="734" t="s">
        <v>0</v>
      </c>
      <c r="VZU1737" s="735" t="s">
        <v>1690</v>
      </c>
      <c r="VZV1737" s="843" t="e">
        <f>#REF!</f>
        <v>#REF!</v>
      </c>
      <c r="VZW1737" s="662" t="s">
        <v>799</v>
      </c>
      <c r="VZX1737" s="663" t="s">
        <v>628</v>
      </c>
      <c r="VZY1737" s="633"/>
      <c r="VZZ1737" s="664"/>
      <c r="WAA1737" s="664"/>
      <c r="WAB1737" s="664"/>
      <c r="WAC1737" s="664"/>
      <c r="WAD1737" s="664"/>
      <c r="WAE1737" s="664"/>
      <c r="WAF1737" s="664"/>
      <c r="WAG1737" s="630"/>
      <c r="WAH1737" s="631"/>
      <c r="WAI1737" s="655"/>
      <c r="WAJ1737" s="734" t="s">
        <v>0</v>
      </c>
      <c r="WAK1737" s="735" t="s">
        <v>1690</v>
      </c>
      <c r="WAL1737" s="843" t="e">
        <f>#REF!</f>
        <v>#REF!</v>
      </c>
      <c r="WAM1737" s="662" t="s">
        <v>799</v>
      </c>
      <c r="WAN1737" s="663" t="s">
        <v>628</v>
      </c>
      <c r="WAO1737" s="633"/>
      <c r="WAP1737" s="664"/>
      <c r="WAQ1737" s="664"/>
      <c r="WAR1737" s="664"/>
      <c r="WAS1737" s="664"/>
      <c r="WAT1737" s="664"/>
      <c r="WAU1737" s="664"/>
      <c r="WAV1737" s="664"/>
      <c r="WAW1737" s="630"/>
      <c r="WAX1737" s="631"/>
      <c r="WAY1737" s="655"/>
      <c r="WAZ1737" s="734" t="s">
        <v>0</v>
      </c>
      <c r="WBA1737" s="735" t="s">
        <v>1690</v>
      </c>
      <c r="WBB1737" s="843" t="e">
        <f>#REF!</f>
        <v>#REF!</v>
      </c>
      <c r="WBC1737" s="662" t="s">
        <v>799</v>
      </c>
      <c r="WBD1737" s="663" t="s">
        <v>628</v>
      </c>
      <c r="WBE1737" s="633"/>
      <c r="WBF1737" s="664"/>
      <c r="WBG1737" s="664"/>
      <c r="WBH1737" s="664"/>
      <c r="WBI1737" s="664"/>
      <c r="WBJ1737" s="664"/>
      <c r="WBK1737" s="664"/>
      <c r="WBL1737" s="664"/>
      <c r="WBM1737" s="630"/>
      <c r="WBN1737" s="631"/>
      <c r="WBO1737" s="655"/>
      <c r="WBP1737" s="734" t="s">
        <v>0</v>
      </c>
      <c r="WBQ1737" s="735" t="s">
        <v>1690</v>
      </c>
      <c r="WBR1737" s="843" t="e">
        <f>#REF!</f>
        <v>#REF!</v>
      </c>
      <c r="WBS1737" s="662" t="s">
        <v>799</v>
      </c>
      <c r="WBT1737" s="663" t="s">
        <v>628</v>
      </c>
      <c r="WBU1737" s="633"/>
      <c r="WBV1737" s="664"/>
      <c r="WBW1737" s="664"/>
      <c r="WBX1737" s="664"/>
      <c r="WBY1737" s="664"/>
      <c r="WBZ1737" s="664"/>
      <c r="WCA1737" s="664"/>
      <c r="WCB1737" s="664"/>
      <c r="WCC1737" s="630"/>
      <c r="WCD1737" s="631"/>
      <c r="WCE1737" s="655"/>
      <c r="WCF1737" s="734" t="s">
        <v>0</v>
      </c>
      <c r="WCG1737" s="735" t="s">
        <v>1690</v>
      </c>
      <c r="WCH1737" s="843" t="e">
        <f>#REF!</f>
        <v>#REF!</v>
      </c>
      <c r="WCI1737" s="662" t="s">
        <v>799</v>
      </c>
      <c r="WCJ1737" s="663" t="s">
        <v>628</v>
      </c>
      <c r="WCK1737" s="633"/>
      <c r="WCL1737" s="664"/>
      <c r="WCM1737" s="664"/>
      <c r="WCN1737" s="664"/>
      <c r="WCO1737" s="664"/>
      <c r="WCP1737" s="664"/>
      <c r="WCQ1737" s="664"/>
      <c r="WCR1737" s="664"/>
      <c r="WCS1737" s="630"/>
      <c r="WCT1737" s="631"/>
      <c r="WCU1737" s="655"/>
      <c r="WCV1737" s="734" t="s">
        <v>0</v>
      </c>
      <c r="WCW1737" s="735" t="s">
        <v>1690</v>
      </c>
      <c r="WCX1737" s="843" t="e">
        <f>#REF!</f>
        <v>#REF!</v>
      </c>
      <c r="WCY1737" s="662" t="s">
        <v>799</v>
      </c>
      <c r="WCZ1737" s="663" t="s">
        <v>628</v>
      </c>
      <c r="WDA1737" s="633"/>
      <c r="WDB1737" s="664"/>
      <c r="WDC1737" s="664"/>
      <c r="WDD1737" s="664"/>
      <c r="WDE1737" s="664"/>
      <c r="WDF1737" s="664"/>
      <c r="WDG1737" s="664"/>
      <c r="WDH1737" s="664"/>
      <c r="WDI1737" s="630"/>
      <c r="WDJ1737" s="631"/>
      <c r="WDK1737" s="655"/>
      <c r="WDL1737" s="734" t="s">
        <v>0</v>
      </c>
      <c r="WDM1737" s="735" t="s">
        <v>1690</v>
      </c>
      <c r="WDN1737" s="843" t="e">
        <f>#REF!</f>
        <v>#REF!</v>
      </c>
      <c r="WDO1737" s="662" t="s">
        <v>799</v>
      </c>
      <c r="WDP1737" s="663" t="s">
        <v>628</v>
      </c>
      <c r="WDQ1737" s="633"/>
      <c r="WDR1737" s="664"/>
      <c r="WDS1737" s="664"/>
      <c r="WDT1737" s="664"/>
      <c r="WDU1737" s="664"/>
      <c r="WDV1737" s="664"/>
      <c r="WDW1737" s="664"/>
      <c r="WDX1737" s="664"/>
      <c r="WDY1737" s="630"/>
      <c r="WDZ1737" s="631"/>
      <c r="WEA1737" s="655"/>
      <c r="WEB1737" s="734" t="s">
        <v>0</v>
      </c>
      <c r="WEC1737" s="735" t="s">
        <v>1690</v>
      </c>
      <c r="WED1737" s="843" t="e">
        <f>#REF!</f>
        <v>#REF!</v>
      </c>
      <c r="WEE1737" s="662" t="s">
        <v>799</v>
      </c>
      <c r="WEF1737" s="663" t="s">
        <v>628</v>
      </c>
      <c r="WEG1737" s="633"/>
      <c r="WEH1737" s="664"/>
      <c r="WEI1737" s="664"/>
      <c r="WEJ1737" s="664"/>
      <c r="WEK1737" s="664"/>
      <c r="WEL1737" s="664"/>
      <c r="WEM1737" s="664"/>
      <c r="WEN1737" s="664"/>
      <c r="WEO1737" s="630"/>
      <c r="WEP1737" s="631"/>
      <c r="WEQ1737" s="655"/>
      <c r="WER1737" s="734" t="s">
        <v>0</v>
      </c>
      <c r="WES1737" s="735" t="s">
        <v>1690</v>
      </c>
      <c r="WET1737" s="843" t="e">
        <f>#REF!</f>
        <v>#REF!</v>
      </c>
      <c r="WEU1737" s="662" t="s">
        <v>799</v>
      </c>
      <c r="WEV1737" s="663" t="s">
        <v>628</v>
      </c>
      <c r="WEW1737" s="633"/>
      <c r="WEX1737" s="664"/>
      <c r="WEY1737" s="664"/>
      <c r="WEZ1737" s="664"/>
      <c r="WFA1737" s="664"/>
      <c r="WFB1737" s="664"/>
      <c r="WFC1737" s="664"/>
      <c r="WFD1737" s="664"/>
      <c r="WFE1737" s="630"/>
      <c r="WFF1737" s="631"/>
      <c r="WFG1737" s="655"/>
      <c r="WFH1737" s="734" t="s">
        <v>0</v>
      </c>
      <c r="WFI1737" s="735" t="s">
        <v>1690</v>
      </c>
      <c r="WFJ1737" s="843" t="e">
        <f>#REF!</f>
        <v>#REF!</v>
      </c>
      <c r="WFK1737" s="662" t="s">
        <v>799</v>
      </c>
      <c r="WFL1737" s="663" t="s">
        <v>628</v>
      </c>
      <c r="WFM1737" s="633"/>
      <c r="WFN1737" s="664"/>
      <c r="WFO1737" s="664"/>
      <c r="WFP1737" s="664"/>
      <c r="WFQ1737" s="664"/>
      <c r="WFR1737" s="664"/>
      <c r="WFS1737" s="664"/>
      <c r="WFT1737" s="664"/>
      <c r="WFU1737" s="630"/>
      <c r="WFV1737" s="631"/>
      <c r="WFW1737" s="655"/>
      <c r="WFX1737" s="734" t="s">
        <v>0</v>
      </c>
      <c r="WFY1737" s="735" t="s">
        <v>1690</v>
      </c>
      <c r="WFZ1737" s="843" t="e">
        <f>#REF!</f>
        <v>#REF!</v>
      </c>
      <c r="WGA1737" s="662" t="s">
        <v>799</v>
      </c>
      <c r="WGB1737" s="663" t="s">
        <v>628</v>
      </c>
      <c r="WGC1737" s="633"/>
      <c r="WGD1737" s="664"/>
      <c r="WGE1737" s="664"/>
      <c r="WGF1737" s="664"/>
      <c r="WGG1737" s="664"/>
      <c r="WGH1737" s="664"/>
      <c r="WGI1737" s="664"/>
      <c r="WGJ1737" s="664"/>
      <c r="WGK1737" s="630"/>
      <c r="WGL1737" s="631"/>
      <c r="WGM1737" s="655"/>
      <c r="WGN1737" s="734" t="s">
        <v>0</v>
      </c>
      <c r="WGO1737" s="735" t="s">
        <v>1690</v>
      </c>
      <c r="WGP1737" s="843" t="e">
        <f>#REF!</f>
        <v>#REF!</v>
      </c>
      <c r="WGQ1737" s="662" t="s">
        <v>799</v>
      </c>
      <c r="WGR1737" s="663" t="s">
        <v>628</v>
      </c>
      <c r="WGS1737" s="633"/>
      <c r="WGT1737" s="664"/>
      <c r="WGU1737" s="664"/>
      <c r="WGV1737" s="664"/>
      <c r="WGW1737" s="664"/>
      <c r="WGX1737" s="664"/>
      <c r="WGY1737" s="664"/>
      <c r="WGZ1737" s="664"/>
      <c r="WHA1737" s="630"/>
      <c r="WHB1737" s="631"/>
      <c r="WHC1737" s="655"/>
      <c r="WHD1737" s="734" t="s">
        <v>0</v>
      </c>
      <c r="WHE1737" s="735" t="s">
        <v>1690</v>
      </c>
      <c r="WHF1737" s="843" t="e">
        <f>#REF!</f>
        <v>#REF!</v>
      </c>
      <c r="WHG1737" s="662" t="s">
        <v>799</v>
      </c>
      <c r="WHH1737" s="663" t="s">
        <v>628</v>
      </c>
      <c r="WHI1737" s="633"/>
      <c r="WHJ1737" s="664"/>
      <c r="WHK1737" s="664"/>
      <c r="WHL1737" s="664"/>
      <c r="WHM1737" s="664"/>
      <c r="WHN1737" s="664"/>
      <c r="WHO1737" s="664"/>
      <c r="WHP1737" s="664"/>
      <c r="WHQ1737" s="630"/>
      <c r="WHR1737" s="631"/>
      <c r="WHS1737" s="655"/>
      <c r="WHT1737" s="734" t="s">
        <v>0</v>
      </c>
      <c r="WHU1737" s="735" t="s">
        <v>1690</v>
      </c>
      <c r="WHV1737" s="843" t="e">
        <f>#REF!</f>
        <v>#REF!</v>
      </c>
      <c r="WHW1737" s="662" t="s">
        <v>799</v>
      </c>
      <c r="WHX1737" s="663" t="s">
        <v>628</v>
      </c>
      <c r="WHY1737" s="633"/>
      <c r="WHZ1737" s="664"/>
      <c r="WIA1737" s="664"/>
      <c r="WIB1737" s="664"/>
      <c r="WIC1737" s="664"/>
      <c r="WID1737" s="664"/>
      <c r="WIE1737" s="664"/>
      <c r="WIF1737" s="664"/>
      <c r="WIG1737" s="630"/>
      <c r="WIH1737" s="631"/>
      <c r="WII1737" s="655"/>
      <c r="WIJ1737" s="734" t="s">
        <v>0</v>
      </c>
      <c r="WIK1737" s="735" t="s">
        <v>1690</v>
      </c>
      <c r="WIL1737" s="843" t="e">
        <f>#REF!</f>
        <v>#REF!</v>
      </c>
      <c r="WIM1737" s="662" t="s">
        <v>799</v>
      </c>
      <c r="WIN1737" s="663" t="s">
        <v>628</v>
      </c>
      <c r="WIO1737" s="633"/>
      <c r="WIP1737" s="664"/>
      <c r="WIQ1737" s="664"/>
      <c r="WIR1737" s="664"/>
      <c r="WIS1737" s="664"/>
      <c r="WIT1737" s="664"/>
      <c r="WIU1737" s="664"/>
      <c r="WIV1737" s="664"/>
      <c r="WIW1737" s="630"/>
      <c r="WIX1737" s="631"/>
      <c r="WIY1737" s="655"/>
      <c r="WIZ1737" s="734" t="s">
        <v>0</v>
      </c>
      <c r="WJA1737" s="735" t="s">
        <v>1690</v>
      </c>
      <c r="WJB1737" s="843" t="e">
        <f>#REF!</f>
        <v>#REF!</v>
      </c>
      <c r="WJC1737" s="662" t="s">
        <v>799</v>
      </c>
      <c r="WJD1737" s="663" t="s">
        <v>628</v>
      </c>
      <c r="WJE1737" s="633"/>
      <c r="WJF1737" s="664"/>
      <c r="WJG1737" s="664"/>
      <c r="WJH1737" s="664"/>
      <c r="WJI1737" s="664"/>
      <c r="WJJ1737" s="664"/>
      <c r="WJK1737" s="664"/>
      <c r="WJL1737" s="664"/>
      <c r="WJM1737" s="630"/>
      <c r="WJN1737" s="631"/>
      <c r="WJO1737" s="655"/>
      <c r="WJP1737" s="734" t="s">
        <v>0</v>
      </c>
      <c r="WJQ1737" s="735" t="s">
        <v>1690</v>
      </c>
      <c r="WJR1737" s="843" t="e">
        <f>#REF!</f>
        <v>#REF!</v>
      </c>
      <c r="WJS1737" s="662" t="s">
        <v>799</v>
      </c>
      <c r="WJT1737" s="663" t="s">
        <v>628</v>
      </c>
      <c r="WJU1737" s="633"/>
      <c r="WJV1737" s="664"/>
      <c r="WJW1737" s="664"/>
      <c r="WJX1737" s="664"/>
      <c r="WJY1737" s="664"/>
      <c r="WJZ1737" s="664"/>
      <c r="WKA1737" s="664"/>
      <c r="WKB1737" s="664"/>
      <c r="WKC1737" s="630"/>
      <c r="WKD1737" s="631"/>
      <c r="WKE1737" s="655"/>
      <c r="WKF1737" s="734" t="s">
        <v>0</v>
      </c>
      <c r="WKG1737" s="735" t="s">
        <v>1690</v>
      </c>
      <c r="WKH1737" s="843" t="e">
        <f>#REF!</f>
        <v>#REF!</v>
      </c>
      <c r="WKI1737" s="662" t="s">
        <v>799</v>
      </c>
      <c r="WKJ1737" s="663" t="s">
        <v>628</v>
      </c>
      <c r="WKK1737" s="633"/>
      <c r="WKL1737" s="664"/>
      <c r="WKM1737" s="664"/>
      <c r="WKN1737" s="664"/>
      <c r="WKO1737" s="664"/>
      <c r="WKP1737" s="664"/>
      <c r="WKQ1737" s="664"/>
      <c r="WKR1737" s="664"/>
      <c r="WKS1737" s="630"/>
      <c r="WKT1737" s="631"/>
      <c r="WKU1737" s="655"/>
      <c r="WKV1737" s="734" t="s">
        <v>0</v>
      </c>
      <c r="WKW1737" s="735" t="s">
        <v>1690</v>
      </c>
      <c r="WKX1737" s="843" t="e">
        <f>#REF!</f>
        <v>#REF!</v>
      </c>
      <c r="WKY1737" s="662" t="s">
        <v>799</v>
      </c>
      <c r="WKZ1737" s="663" t="s">
        <v>628</v>
      </c>
      <c r="WLA1737" s="633"/>
      <c r="WLB1737" s="664"/>
      <c r="WLC1737" s="664"/>
      <c r="WLD1737" s="664"/>
      <c r="WLE1737" s="664"/>
      <c r="WLF1737" s="664"/>
      <c r="WLG1737" s="664"/>
      <c r="WLH1737" s="664"/>
      <c r="WLI1737" s="630"/>
      <c r="WLJ1737" s="631"/>
      <c r="WLK1737" s="655"/>
      <c r="WLL1737" s="734" t="s">
        <v>0</v>
      </c>
      <c r="WLM1737" s="735" t="s">
        <v>1690</v>
      </c>
      <c r="WLN1737" s="843" t="e">
        <f>#REF!</f>
        <v>#REF!</v>
      </c>
      <c r="WLO1737" s="662" t="s">
        <v>799</v>
      </c>
      <c r="WLP1737" s="663" t="s">
        <v>628</v>
      </c>
      <c r="WLQ1737" s="633"/>
      <c r="WLR1737" s="664"/>
      <c r="WLS1737" s="664"/>
      <c r="WLT1737" s="664"/>
      <c r="WLU1737" s="664"/>
      <c r="WLV1737" s="664"/>
      <c r="WLW1737" s="664"/>
      <c r="WLX1737" s="664"/>
      <c r="WLY1737" s="630"/>
      <c r="WLZ1737" s="631"/>
      <c r="WMA1737" s="655"/>
      <c r="WMB1737" s="734" t="s">
        <v>0</v>
      </c>
      <c r="WMC1737" s="735" t="s">
        <v>1690</v>
      </c>
      <c r="WMD1737" s="843" t="e">
        <f>#REF!</f>
        <v>#REF!</v>
      </c>
      <c r="WME1737" s="662" t="s">
        <v>799</v>
      </c>
      <c r="WMF1737" s="663" t="s">
        <v>628</v>
      </c>
      <c r="WMG1737" s="633"/>
      <c r="WMH1737" s="664"/>
      <c r="WMI1737" s="664"/>
      <c r="WMJ1737" s="664"/>
      <c r="WMK1737" s="664"/>
      <c r="WML1737" s="664"/>
      <c r="WMM1737" s="664"/>
      <c r="WMN1737" s="664"/>
      <c r="WMO1737" s="630"/>
      <c r="WMP1737" s="631"/>
      <c r="WMQ1737" s="655"/>
      <c r="WMR1737" s="734" t="s">
        <v>0</v>
      </c>
      <c r="WMS1737" s="735" t="s">
        <v>1690</v>
      </c>
      <c r="WMT1737" s="843" t="e">
        <f>#REF!</f>
        <v>#REF!</v>
      </c>
      <c r="WMU1737" s="662" t="s">
        <v>799</v>
      </c>
      <c r="WMV1737" s="663" t="s">
        <v>628</v>
      </c>
      <c r="WMW1737" s="633"/>
      <c r="WMX1737" s="664"/>
      <c r="WMY1737" s="664"/>
      <c r="WMZ1737" s="664"/>
      <c r="WNA1737" s="664"/>
      <c r="WNB1737" s="664"/>
      <c r="WNC1737" s="664"/>
      <c r="WND1737" s="664"/>
      <c r="WNE1737" s="630"/>
      <c r="WNF1737" s="631"/>
      <c r="WNG1737" s="655"/>
      <c r="WNH1737" s="734" t="s">
        <v>0</v>
      </c>
      <c r="WNI1737" s="735" t="s">
        <v>1690</v>
      </c>
      <c r="WNJ1737" s="843" t="e">
        <f>#REF!</f>
        <v>#REF!</v>
      </c>
      <c r="WNK1737" s="662" t="s">
        <v>799</v>
      </c>
      <c r="WNL1737" s="663" t="s">
        <v>628</v>
      </c>
      <c r="WNM1737" s="633"/>
      <c r="WNN1737" s="664"/>
      <c r="WNO1737" s="664"/>
      <c r="WNP1737" s="664"/>
      <c r="WNQ1737" s="664"/>
      <c r="WNR1737" s="664"/>
      <c r="WNS1737" s="664"/>
      <c r="WNT1737" s="664"/>
      <c r="WNU1737" s="630"/>
      <c r="WNV1737" s="631"/>
      <c r="WNW1737" s="655"/>
      <c r="WNX1737" s="734" t="s">
        <v>0</v>
      </c>
      <c r="WNY1737" s="735" t="s">
        <v>1690</v>
      </c>
      <c r="WNZ1737" s="843" t="e">
        <f>#REF!</f>
        <v>#REF!</v>
      </c>
      <c r="WOA1737" s="662" t="s">
        <v>799</v>
      </c>
      <c r="WOB1737" s="663" t="s">
        <v>628</v>
      </c>
      <c r="WOC1737" s="633"/>
      <c r="WOD1737" s="664"/>
      <c r="WOE1737" s="664"/>
      <c r="WOF1737" s="664"/>
      <c r="WOG1737" s="664"/>
      <c r="WOH1737" s="664"/>
      <c r="WOI1737" s="664"/>
      <c r="WOJ1737" s="664"/>
      <c r="WOK1737" s="630"/>
      <c r="WOL1737" s="631"/>
      <c r="WOM1737" s="655"/>
      <c r="WON1737" s="734" t="s">
        <v>0</v>
      </c>
      <c r="WOO1737" s="735" t="s">
        <v>1690</v>
      </c>
      <c r="WOP1737" s="843" t="e">
        <f>#REF!</f>
        <v>#REF!</v>
      </c>
      <c r="WOQ1737" s="662" t="s">
        <v>799</v>
      </c>
      <c r="WOR1737" s="663" t="s">
        <v>628</v>
      </c>
      <c r="WOS1737" s="633"/>
      <c r="WOT1737" s="664"/>
      <c r="WOU1737" s="664"/>
      <c r="WOV1737" s="664"/>
      <c r="WOW1737" s="664"/>
      <c r="WOX1737" s="664"/>
      <c r="WOY1737" s="664"/>
      <c r="WOZ1737" s="664"/>
      <c r="WPA1737" s="630"/>
      <c r="WPB1737" s="631"/>
      <c r="WPC1737" s="655"/>
      <c r="WPD1737" s="734" t="s">
        <v>0</v>
      </c>
      <c r="WPE1737" s="735" t="s">
        <v>1690</v>
      </c>
      <c r="WPF1737" s="843" t="e">
        <f>#REF!</f>
        <v>#REF!</v>
      </c>
      <c r="WPG1737" s="662" t="s">
        <v>799</v>
      </c>
      <c r="WPH1737" s="663" t="s">
        <v>628</v>
      </c>
      <c r="WPI1737" s="633"/>
      <c r="WPJ1737" s="664"/>
      <c r="WPK1737" s="664"/>
      <c r="WPL1737" s="664"/>
      <c r="WPM1737" s="664"/>
      <c r="WPN1737" s="664"/>
      <c r="WPO1737" s="664"/>
      <c r="WPP1737" s="664"/>
      <c r="WPQ1737" s="630"/>
      <c r="WPR1737" s="631"/>
      <c r="WPS1737" s="655"/>
      <c r="WPT1737" s="734" t="s">
        <v>0</v>
      </c>
      <c r="WPU1737" s="735" t="s">
        <v>1690</v>
      </c>
      <c r="WPV1737" s="843" t="e">
        <f>#REF!</f>
        <v>#REF!</v>
      </c>
      <c r="WPW1737" s="662" t="s">
        <v>799</v>
      </c>
      <c r="WPX1737" s="663" t="s">
        <v>628</v>
      </c>
      <c r="WPY1737" s="633"/>
      <c r="WPZ1737" s="664"/>
      <c r="WQA1737" s="664"/>
      <c r="WQB1737" s="664"/>
      <c r="WQC1737" s="664"/>
      <c r="WQD1737" s="664"/>
      <c r="WQE1737" s="664"/>
      <c r="WQF1737" s="664"/>
      <c r="WQG1737" s="630"/>
      <c r="WQH1737" s="631"/>
      <c r="WQI1737" s="655"/>
      <c r="WQJ1737" s="734" t="s">
        <v>0</v>
      </c>
      <c r="WQK1737" s="735" t="s">
        <v>1690</v>
      </c>
      <c r="WQL1737" s="843" t="e">
        <f>#REF!</f>
        <v>#REF!</v>
      </c>
      <c r="WQM1737" s="662" t="s">
        <v>799</v>
      </c>
      <c r="WQN1737" s="663" t="s">
        <v>628</v>
      </c>
      <c r="WQO1737" s="633"/>
      <c r="WQP1737" s="664"/>
      <c r="WQQ1737" s="664"/>
      <c r="WQR1737" s="664"/>
      <c r="WQS1737" s="664"/>
      <c r="WQT1737" s="664"/>
      <c r="WQU1737" s="664"/>
      <c r="WQV1737" s="664"/>
      <c r="WQW1737" s="630"/>
      <c r="WQX1737" s="631"/>
      <c r="WQY1737" s="655"/>
    </row>
    <row r="1738" spans="1:16015" ht="13.5" thickBot="1" x14ac:dyDescent="0.25">
      <c r="A1738" s="736"/>
      <c r="B1738" s="737"/>
      <c r="C1738" s="665" t="s">
        <v>1413</v>
      </c>
      <c r="E1738" s="629">
        <v>1</v>
      </c>
      <c r="F1738" s="662"/>
      <c r="G1738" s="631"/>
      <c r="H1738" s="631"/>
      <c r="I1738" s="631"/>
      <c r="J1738" s="631"/>
      <c r="K1738" s="631"/>
      <c r="L1738" s="631"/>
      <c r="M1738" s="631"/>
      <c r="N1738" s="666" t="s">
        <v>799</v>
      </c>
      <c r="O1738" s="631">
        <f t="shared" ref="O1738" si="114">E1738</f>
        <v>1</v>
      </c>
      <c r="P1738" s="657" t="s">
        <v>2</v>
      </c>
      <c r="Q1738" s="631"/>
      <c r="R1738" s="631"/>
      <c r="S1738" s="631"/>
      <c r="T1738" s="631"/>
      <c r="U1738" s="631"/>
      <c r="V1738" s="631"/>
      <c r="W1738" s="631"/>
      <c r="X1738" s="631"/>
      <c r="Y1738" s="631"/>
      <c r="Z1738" s="631"/>
      <c r="AA1738" s="631"/>
      <c r="AB1738" s="670"/>
      <c r="AC1738" s="666"/>
      <c r="AD1738" s="670"/>
      <c r="AE1738" s="657"/>
      <c r="AF1738" s="736"/>
      <c r="AG1738" s="737"/>
      <c r="AH1738" s="665"/>
      <c r="AJ1738" s="629"/>
      <c r="AK1738" s="662"/>
      <c r="AL1738" s="670"/>
      <c r="AM1738" s="670"/>
      <c r="AN1738" s="670"/>
      <c r="AO1738" s="670"/>
      <c r="AP1738" s="670"/>
      <c r="AQ1738" s="670"/>
      <c r="AR1738" s="670"/>
      <c r="AS1738" s="666"/>
      <c r="AT1738" s="670"/>
      <c r="AU1738" s="657"/>
      <c r="AV1738" s="736"/>
      <c r="AW1738" s="737"/>
      <c r="AX1738" s="665"/>
      <c r="AZ1738" s="629"/>
      <c r="BA1738" s="662"/>
      <c r="BB1738" s="670"/>
      <c r="BC1738" s="670"/>
      <c r="BD1738" s="670"/>
      <c r="BE1738" s="670"/>
      <c r="BF1738" s="670"/>
      <c r="BG1738" s="670"/>
      <c r="BH1738" s="670"/>
      <c r="BI1738" s="666"/>
      <c r="BJ1738" s="670"/>
      <c r="BK1738" s="657"/>
      <c r="BL1738" s="736"/>
      <c r="BM1738" s="737"/>
      <c r="BN1738" s="665"/>
      <c r="BP1738" s="629"/>
      <c r="BQ1738" s="662"/>
      <c r="BR1738" s="670"/>
      <c r="BS1738" s="670"/>
      <c r="BT1738" s="670"/>
      <c r="BU1738" s="670"/>
      <c r="BV1738" s="670"/>
      <c r="BW1738" s="670"/>
      <c r="BX1738" s="670"/>
      <c r="BY1738" s="666"/>
      <c r="BZ1738" s="670"/>
      <c r="CA1738" s="657"/>
      <c r="CB1738" s="736"/>
      <c r="CC1738" s="737"/>
      <c r="CD1738" s="665"/>
      <c r="CF1738" s="629"/>
      <c r="CG1738" s="662"/>
      <c r="CH1738" s="670"/>
      <c r="CI1738" s="670"/>
      <c r="CJ1738" s="670"/>
      <c r="CK1738" s="670"/>
      <c r="CL1738" s="670"/>
      <c r="CM1738" s="670"/>
      <c r="CN1738" s="670"/>
      <c r="CO1738" s="666"/>
      <c r="CP1738" s="670"/>
      <c r="CQ1738" s="657"/>
      <c r="CR1738" s="736"/>
      <c r="CS1738" s="737"/>
      <c r="CT1738" s="665" t="s">
        <v>1413</v>
      </c>
      <c r="CV1738" s="629">
        <v>8</v>
      </c>
      <c r="CW1738" s="662"/>
      <c r="CX1738" s="631"/>
      <c r="CY1738" s="631"/>
      <c r="CZ1738" s="631"/>
      <c r="DA1738" s="631"/>
      <c r="DB1738" s="631"/>
      <c r="DC1738" s="631"/>
      <c r="DD1738" s="631"/>
      <c r="DE1738" s="666" t="s">
        <v>799</v>
      </c>
      <c r="DF1738" s="631">
        <f t="shared" ref="DF1738" si="115">CV1738</f>
        <v>8</v>
      </c>
      <c r="DG1738" s="657" t="s">
        <v>2</v>
      </c>
      <c r="DH1738" s="736"/>
      <c r="DI1738" s="737"/>
      <c r="DJ1738" s="665" t="s">
        <v>1413</v>
      </c>
      <c r="DL1738" s="629">
        <v>8</v>
      </c>
      <c r="DM1738" s="662"/>
      <c r="DN1738" s="631"/>
      <c r="DO1738" s="631"/>
      <c r="DP1738" s="631"/>
      <c r="DQ1738" s="631"/>
      <c r="DR1738" s="631"/>
      <c r="DS1738" s="631"/>
      <c r="DT1738" s="631"/>
      <c r="DU1738" s="666" t="s">
        <v>799</v>
      </c>
      <c r="DV1738" s="631">
        <f t="shared" ref="DV1738" si="116">DL1738</f>
        <v>8</v>
      </c>
      <c r="DW1738" s="657" t="s">
        <v>2</v>
      </c>
      <c r="DX1738" s="736"/>
      <c r="DY1738" s="737"/>
      <c r="DZ1738" s="665" t="s">
        <v>1413</v>
      </c>
      <c r="EB1738" s="629">
        <v>8</v>
      </c>
      <c r="EC1738" s="662"/>
      <c r="ED1738" s="631"/>
      <c r="EE1738" s="631"/>
      <c r="EF1738" s="631"/>
      <c r="EG1738" s="631"/>
      <c r="EH1738" s="631"/>
      <c r="EI1738" s="631"/>
      <c r="EJ1738" s="631"/>
      <c r="EK1738" s="666" t="s">
        <v>799</v>
      </c>
      <c r="EL1738" s="631">
        <f t="shared" ref="EL1738" si="117">EB1738</f>
        <v>8</v>
      </c>
      <c r="EM1738" s="657" t="s">
        <v>2</v>
      </c>
      <c r="EN1738" s="736"/>
      <c r="EO1738" s="737"/>
      <c r="EP1738" s="665" t="s">
        <v>1413</v>
      </c>
      <c r="ER1738" s="629">
        <v>8</v>
      </c>
      <c r="ES1738" s="662"/>
      <c r="ET1738" s="631"/>
      <c r="EU1738" s="631"/>
      <c r="EV1738" s="631"/>
      <c r="EW1738" s="631"/>
      <c r="EX1738" s="631"/>
      <c r="EY1738" s="631"/>
      <c r="EZ1738" s="631"/>
      <c r="FA1738" s="666" t="s">
        <v>799</v>
      </c>
      <c r="FB1738" s="631">
        <f t="shared" ref="FB1738" si="118">ER1738</f>
        <v>8</v>
      </c>
      <c r="FC1738" s="657" t="s">
        <v>2</v>
      </c>
      <c r="FD1738" s="736"/>
      <c r="FE1738" s="737"/>
      <c r="FF1738" s="665" t="s">
        <v>1413</v>
      </c>
      <c r="FH1738" s="629">
        <v>8</v>
      </c>
      <c r="FI1738" s="662"/>
      <c r="FJ1738" s="631"/>
      <c r="FK1738" s="631"/>
      <c r="FL1738" s="631"/>
      <c r="FM1738" s="631"/>
      <c r="FN1738" s="631"/>
      <c r="FO1738" s="631"/>
      <c r="FP1738" s="631"/>
      <c r="FQ1738" s="666" t="s">
        <v>799</v>
      </c>
      <c r="FR1738" s="631">
        <f t="shared" ref="FR1738" si="119">FH1738</f>
        <v>8</v>
      </c>
      <c r="FS1738" s="657" t="s">
        <v>2</v>
      </c>
      <c r="FT1738" s="736"/>
      <c r="FU1738" s="737"/>
      <c r="FV1738" s="665" t="s">
        <v>1413</v>
      </c>
      <c r="FX1738" s="629">
        <v>8</v>
      </c>
      <c r="FY1738" s="662"/>
      <c r="FZ1738" s="631"/>
      <c r="GA1738" s="631"/>
      <c r="GB1738" s="631"/>
      <c r="GC1738" s="631"/>
      <c r="GD1738" s="631"/>
      <c r="GE1738" s="631"/>
      <c r="GF1738" s="631"/>
      <c r="GG1738" s="666" t="s">
        <v>799</v>
      </c>
      <c r="GH1738" s="631">
        <f t="shared" ref="GH1738" si="120">FX1738</f>
        <v>8</v>
      </c>
      <c r="GI1738" s="657" t="s">
        <v>2</v>
      </c>
      <c r="GJ1738" s="736"/>
      <c r="GK1738" s="737"/>
      <c r="GL1738" s="665" t="s">
        <v>1413</v>
      </c>
      <c r="GN1738" s="629">
        <v>8</v>
      </c>
      <c r="GO1738" s="662"/>
      <c r="GP1738" s="631"/>
      <c r="GQ1738" s="631"/>
      <c r="GR1738" s="631"/>
      <c r="GS1738" s="631"/>
      <c r="GT1738" s="631"/>
      <c r="GU1738" s="631"/>
      <c r="GV1738" s="631"/>
      <c r="GW1738" s="666" t="s">
        <v>799</v>
      </c>
      <c r="GX1738" s="631">
        <f t="shared" ref="GX1738" si="121">GN1738</f>
        <v>8</v>
      </c>
      <c r="GY1738" s="657" t="s">
        <v>2</v>
      </c>
      <c r="GZ1738" s="736"/>
      <c r="HA1738" s="737"/>
      <c r="HB1738" s="665" t="s">
        <v>1413</v>
      </c>
      <c r="HD1738" s="629">
        <v>8</v>
      </c>
      <c r="HE1738" s="662"/>
      <c r="HF1738" s="631"/>
      <c r="HG1738" s="631"/>
      <c r="HH1738" s="631"/>
      <c r="HI1738" s="631"/>
      <c r="HJ1738" s="631"/>
      <c r="HK1738" s="631"/>
      <c r="HL1738" s="631"/>
      <c r="HM1738" s="666" t="s">
        <v>799</v>
      </c>
      <c r="HN1738" s="631">
        <f t="shared" ref="HN1738" si="122">HD1738</f>
        <v>8</v>
      </c>
      <c r="HO1738" s="657" t="s">
        <v>2</v>
      </c>
      <c r="HP1738" s="736"/>
      <c r="HQ1738" s="737"/>
      <c r="HR1738" s="665" t="s">
        <v>1413</v>
      </c>
      <c r="HT1738" s="629">
        <v>8</v>
      </c>
      <c r="HU1738" s="662"/>
      <c r="HV1738" s="631"/>
      <c r="HW1738" s="631"/>
      <c r="HX1738" s="631"/>
      <c r="HY1738" s="631"/>
      <c r="HZ1738" s="631"/>
      <c r="IA1738" s="631"/>
      <c r="IB1738" s="631"/>
      <c r="IC1738" s="666" t="s">
        <v>799</v>
      </c>
      <c r="ID1738" s="631">
        <f t="shared" ref="ID1738" si="123">HT1738</f>
        <v>8</v>
      </c>
      <c r="IE1738" s="657" t="s">
        <v>2</v>
      </c>
      <c r="IF1738" s="736"/>
      <c r="IG1738" s="737"/>
      <c r="IH1738" s="665" t="s">
        <v>1413</v>
      </c>
      <c r="IJ1738" s="629">
        <v>8</v>
      </c>
      <c r="IK1738" s="662"/>
      <c r="IL1738" s="631"/>
      <c r="IM1738" s="631"/>
      <c r="IN1738" s="631"/>
      <c r="IO1738" s="631"/>
      <c r="IP1738" s="631"/>
      <c r="IQ1738" s="631"/>
      <c r="IR1738" s="631"/>
      <c r="IS1738" s="666" t="s">
        <v>799</v>
      </c>
      <c r="IT1738" s="631">
        <f t="shared" ref="IT1738" si="124">IJ1738</f>
        <v>8</v>
      </c>
      <c r="IU1738" s="657" t="s">
        <v>2</v>
      </c>
      <c r="IV1738" s="736"/>
      <c r="IW1738" s="737"/>
      <c r="IX1738" s="665" t="s">
        <v>1413</v>
      </c>
      <c r="IZ1738" s="629">
        <v>8</v>
      </c>
      <c r="JA1738" s="662"/>
      <c r="JB1738" s="631"/>
      <c r="JC1738" s="631"/>
      <c r="JD1738" s="631"/>
      <c r="JE1738" s="631"/>
      <c r="JF1738" s="631"/>
      <c r="JG1738" s="631"/>
      <c r="JH1738" s="631"/>
      <c r="JI1738" s="666" t="s">
        <v>799</v>
      </c>
      <c r="JJ1738" s="631">
        <f t="shared" ref="JJ1738" si="125">IZ1738</f>
        <v>8</v>
      </c>
      <c r="JK1738" s="657" t="s">
        <v>2</v>
      </c>
      <c r="JL1738" s="736"/>
      <c r="JM1738" s="737"/>
      <c r="JN1738" s="665" t="s">
        <v>1413</v>
      </c>
      <c r="JP1738" s="629">
        <v>8</v>
      </c>
      <c r="JQ1738" s="662"/>
      <c r="JR1738" s="631"/>
      <c r="JS1738" s="631"/>
      <c r="JT1738" s="631"/>
      <c r="JU1738" s="631"/>
      <c r="JV1738" s="631"/>
      <c r="JW1738" s="631"/>
      <c r="JX1738" s="631"/>
      <c r="JY1738" s="666" t="s">
        <v>799</v>
      </c>
      <c r="JZ1738" s="631">
        <f t="shared" ref="JZ1738" si="126">JP1738</f>
        <v>8</v>
      </c>
      <c r="KA1738" s="657" t="s">
        <v>2</v>
      </c>
      <c r="KB1738" s="736"/>
      <c r="KC1738" s="737"/>
      <c r="KD1738" s="665" t="s">
        <v>1413</v>
      </c>
      <c r="KF1738" s="629">
        <v>8</v>
      </c>
      <c r="KG1738" s="662"/>
      <c r="KH1738" s="631"/>
      <c r="KI1738" s="631"/>
      <c r="KJ1738" s="631"/>
      <c r="KK1738" s="631"/>
      <c r="KL1738" s="631"/>
      <c r="KM1738" s="631"/>
      <c r="KN1738" s="631"/>
      <c r="KO1738" s="666" t="s">
        <v>799</v>
      </c>
      <c r="KP1738" s="631">
        <f t="shared" ref="KP1738" si="127">KF1738</f>
        <v>8</v>
      </c>
      <c r="KQ1738" s="657" t="s">
        <v>2</v>
      </c>
      <c r="KR1738" s="736"/>
      <c r="KS1738" s="737"/>
      <c r="KT1738" s="665" t="s">
        <v>1413</v>
      </c>
      <c r="KV1738" s="629">
        <v>8</v>
      </c>
      <c r="KW1738" s="662"/>
      <c r="KX1738" s="631"/>
      <c r="KY1738" s="631"/>
      <c r="KZ1738" s="631"/>
      <c r="LA1738" s="631"/>
      <c r="LB1738" s="631"/>
      <c r="LC1738" s="631"/>
      <c r="LD1738" s="631"/>
      <c r="LE1738" s="666" t="s">
        <v>799</v>
      </c>
      <c r="LF1738" s="631">
        <f t="shared" ref="LF1738" si="128">KV1738</f>
        <v>8</v>
      </c>
      <c r="LG1738" s="657" t="s">
        <v>2</v>
      </c>
      <c r="LH1738" s="736"/>
      <c r="LI1738" s="737"/>
      <c r="LJ1738" s="665" t="s">
        <v>1413</v>
      </c>
      <c r="LL1738" s="629">
        <v>8</v>
      </c>
      <c r="LM1738" s="662"/>
      <c r="LN1738" s="631"/>
      <c r="LO1738" s="631"/>
      <c r="LP1738" s="631"/>
      <c r="LQ1738" s="631"/>
      <c r="LR1738" s="631"/>
      <c r="LS1738" s="631"/>
      <c r="LT1738" s="631"/>
      <c r="LU1738" s="666" t="s">
        <v>799</v>
      </c>
      <c r="LV1738" s="631">
        <f t="shared" ref="LV1738" si="129">LL1738</f>
        <v>8</v>
      </c>
      <c r="LW1738" s="657" t="s">
        <v>2</v>
      </c>
      <c r="LX1738" s="736"/>
      <c r="LY1738" s="737"/>
      <c r="LZ1738" s="665" t="s">
        <v>1413</v>
      </c>
      <c r="MB1738" s="629">
        <v>8</v>
      </c>
      <c r="MC1738" s="662"/>
      <c r="MD1738" s="631"/>
      <c r="ME1738" s="631"/>
      <c r="MF1738" s="631"/>
      <c r="MG1738" s="631"/>
      <c r="MH1738" s="631"/>
      <c r="MI1738" s="631"/>
      <c r="MJ1738" s="631"/>
      <c r="MK1738" s="666" t="s">
        <v>799</v>
      </c>
      <c r="ML1738" s="631">
        <f t="shared" ref="ML1738" si="130">MB1738</f>
        <v>8</v>
      </c>
      <c r="MM1738" s="657" t="s">
        <v>2</v>
      </c>
      <c r="MN1738" s="736"/>
      <c r="MO1738" s="737"/>
      <c r="MP1738" s="665" t="s">
        <v>1413</v>
      </c>
      <c r="MR1738" s="629">
        <v>8</v>
      </c>
      <c r="MS1738" s="662"/>
      <c r="MT1738" s="631"/>
      <c r="MU1738" s="631"/>
      <c r="MV1738" s="631"/>
      <c r="MW1738" s="631"/>
      <c r="MX1738" s="631"/>
      <c r="MY1738" s="631"/>
      <c r="MZ1738" s="631"/>
      <c r="NA1738" s="666" t="s">
        <v>799</v>
      </c>
      <c r="NB1738" s="631">
        <f t="shared" ref="NB1738" si="131">MR1738</f>
        <v>8</v>
      </c>
      <c r="NC1738" s="657" t="s">
        <v>2</v>
      </c>
      <c r="ND1738" s="736"/>
      <c r="NE1738" s="737"/>
      <c r="NF1738" s="665" t="s">
        <v>1413</v>
      </c>
      <c r="NH1738" s="629">
        <v>8</v>
      </c>
      <c r="NI1738" s="662"/>
      <c r="NJ1738" s="631"/>
      <c r="NK1738" s="631"/>
      <c r="NL1738" s="631"/>
      <c r="NM1738" s="631"/>
      <c r="NN1738" s="631"/>
      <c r="NO1738" s="631"/>
      <c r="NP1738" s="631"/>
      <c r="NQ1738" s="666" t="s">
        <v>799</v>
      </c>
      <c r="NR1738" s="631">
        <f t="shared" ref="NR1738" si="132">NH1738</f>
        <v>8</v>
      </c>
      <c r="NS1738" s="657" t="s">
        <v>2</v>
      </c>
      <c r="NT1738" s="736"/>
      <c r="NU1738" s="737"/>
      <c r="NV1738" s="665" t="s">
        <v>1413</v>
      </c>
      <c r="NX1738" s="629">
        <v>8</v>
      </c>
      <c r="NY1738" s="662"/>
      <c r="NZ1738" s="631"/>
      <c r="OA1738" s="631"/>
      <c r="OB1738" s="631"/>
      <c r="OC1738" s="631"/>
      <c r="OD1738" s="631"/>
      <c r="OE1738" s="631"/>
      <c r="OF1738" s="631"/>
      <c r="OG1738" s="666" t="s">
        <v>799</v>
      </c>
      <c r="OH1738" s="631">
        <f t="shared" ref="OH1738" si="133">NX1738</f>
        <v>8</v>
      </c>
      <c r="OI1738" s="657" t="s">
        <v>2</v>
      </c>
      <c r="OJ1738" s="736"/>
      <c r="OK1738" s="737"/>
      <c r="OL1738" s="665" t="s">
        <v>1413</v>
      </c>
      <c r="ON1738" s="629">
        <v>8</v>
      </c>
      <c r="OO1738" s="662"/>
      <c r="OP1738" s="631"/>
      <c r="OQ1738" s="631"/>
      <c r="OR1738" s="631"/>
      <c r="OS1738" s="631"/>
      <c r="OT1738" s="631"/>
      <c r="OU1738" s="631"/>
      <c r="OV1738" s="631"/>
      <c r="OW1738" s="666" t="s">
        <v>799</v>
      </c>
      <c r="OX1738" s="631">
        <f t="shared" ref="OX1738" si="134">ON1738</f>
        <v>8</v>
      </c>
      <c r="OY1738" s="657" t="s">
        <v>2</v>
      </c>
      <c r="OZ1738" s="736"/>
      <c r="PA1738" s="737"/>
      <c r="PB1738" s="665" t="s">
        <v>1413</v>
      </c>
      <c r="PD1738" s="629">
        <v>8</v>
      </c>
      <c r="PE1738" s="662"/>
      <c r="PF1738" s="631"/>
      <c r="PG1738" s="631"/>
      <c r="PH1738" s="631"/>
      <c r="PI1738" s="631"/>
      <c r="PJ1738" s="631"/>
      <c r="PK1738" s="631"/>
      <c r="PL1738" s="631"/>
      <c r="PM1738" s="666" t="s">
        <v>799</v>
      </c>
      <c r="PN1738" s="631">
        <f t="shared" ref="PN1738" si="135">PD1738</f>
        <v>8</v>
      </c>
      <c r="PO1738" s="657" t="s">
        <v>2</v>
      </c>
      <c r="PP1738" s="736"/>
      <c r="PQ1738" s="737"/>
      <c r="PR1738" s="665" t="s">
        <v>1413</v>
      </c>
      <c r="PT1738" s="629">
        <v>8</v>
      </c>
      <c r="PU1738" s="662"/>
      <c r="PV1738" s="631"/>
      <c r="PW1738" s="631"/>
      <c r="PX1738" s="631"/>
      <c r="PY1738" s="631"/>
      <c r="PZ1738" s="631"/>
      <c r="QA1738" s="631"/>
      <c r="QB1738" s="631"/>
      <c r="QC1738" s="666" t="s">
        <v>799</v>
      </c>
      <c r="QD1738" s="631">
        <f t="shared" ref="QD1738" si="136">PT1738</f>
        <v>8</v>
      </c>
      <c r="QE1738" s="657" t="s">
        <v>2</v>
      </c>
      <c r="QF1738" s="736"/>
      <c r="QG1738" s="737"/>
      <c r="QH1738" s="665" t="s">
        <v>1413</v>
      </c>
      <c r="QJ1738" s="629">
        <v>8</v>
      </c>
      <c r="QK1738" s="662"/>
      <c r="QL1738" s="631"/>
      <c r="QM1738" s="631"/>
      <c r="QN1738" s="631"/>
      <c r="QO1738" s="631"/>
      <c r="QP1738" s="631"/>
      <c r="QQ1738" s="631"/>
      <c r="QR1738" s="631"/>
      <c r="QS1738" s="666" t="s">
        <v>799</v>
      </c>
      <c r="QT1738" s="631">
        <f t="shared" ref="QT1738" si="137">QJ1738</f>
        <v>8</v>
      </c>
      <c r="QU1738" s="657" t="s">
        <v>2</v>
      </c>
      <c r="QV1738" s="736"/>
      <c r="QW1738" s="737"/>
      <c r="QX1738" s="665" t="s">
        <v>1413</v>
      </c>
      <c r="QZ1738" s="629">
        <v>8</v>
      </c>
      <c r="RA1738" s="662"/>
      <c r="RB1738" s="631"/>
      <c r="RC1738" s="631"/>
      <c r="RD1738" s="631"/>
      <c r="RE1738" s="631"/>
      <c r="RF1738" s="631"/>
      <c r="RG1738" s="631"/>
      <c r="RH1738" s="631"/>
      <c r="RI1738" s="666" t="s">
        <v>799</v>
      </c>
      <c r="RJ1738" s="631">
        <f t="shared" ref="RJ1738" si="138">QZ1738</f>
        <v>8</v>
      </c>
      <c r="RK1738" s="657" t="s">
        <v>2</v>
      </c>
      <c r="RL1738" s="736"/>
      <c r="RM1738" s="737"/>
      <c r="RN1738" s="665" t="s">
        <v>1413</v>
      </c>
      <c r="RP1738" s="629">
        <v>8</v>
      </c>
      <c r="RQ1738" s="662"/>
      <c r="RR1738" s="631"/>
      <c r="RS1738" s="631"/>
      <c r="RT1738" s="631"/>
      <c r="RU1738" s="631"/>
      <c r="RV1738" s="631"/>
      <c r="RW1738" s="631"/>
      <c r="RX1738" s="631"/>
      <c r="RY1738" s="666" t="s">
        <v>799</v>
      </c>
      <c r="RZ1738" s="631">
        <f t="shared" ref="RZ1738" si="139">RP1738</f>
        <v>8</v>
      </c>
      <c r="SA1738" s="657" t="s">
        <v>2</v>
      </c>
      <c r="SB1738" s="736"/>
      <c r="SC1738" s="737"/>
      <c r="SD1738" s="665" t="s">
        <v>1413</v>
      </c>
      <c r="SF1738" s="629">
        <v>8</v>
      </c>
      <c r="SG1738" s="662"/>
      <c r="SH1738" s="631"/>
      <c r="SI1738" s="631"/>
      <c r="SJ1738" s="631"/>
      <c r="SK1738" s="631"/>
      <c r="SL1738" s="631"/>
      <c r="SM1738" s="631"/>
      <c r="SN1738" s="631"/>
      <c r="SO1738" s="666" t="s">
        <v>799</v>
      </c>
      <c r="SP1738" s="631">
        <f t="shared" ref="SP1738" si="140">SF1738</f>
        <v>8</v>
      </c>
      <c r="SQ1738" s="657" t="s">
        <v>2</v>
      </c>
      <c r="SR1738" s="736"/>
      <c r="SS1738" s="737"/>
      <c r="ST1738" s="665" t="s">
        <v>1413</v>
      </c>
      <c r="SV1738" s="629">
        <v>8</v>
      </c>
      <c r="SW1738" s="662"/>
      <c r="SX1738" s="631"/>
      <c r="SY1738" s="631"/>
      <c r="SZ1738" s="631"/>
      <c r="TA1738" s="631"/>
      <c r="TB1738" s="631"/>
      <c r="TC1738" s="631"/>
      <c r="TD1738" s="631"/>
      <c r="TE1738" s="666" t="s">
        <v>799</v>
      </c>
      <c r="TF1738" s="631">
        <f t="shared" ref="TF1738" si="141">SV1738</f>
        <v>8</v>
      </c>
      <c r="TG1738" s="657" t="s">
        <v>2</v>
      </c>
      <c r="TH1738" s="736"/>
      <c r="TI1738" s="737"/>
      <c r="TJ1738" s="665" t="s">
        <v>1413</v>
      </c>
      <c r="TL1738" s="629">
        <v>8</v>
      </c>
      <c r="TM1738" s="662"/>
      <c r="TN1738" s="631"/>
      <c r="TO1738" s="631"/>
      <c r="TP1738" s="631"/>
      <c r="TQ1738" s="631"/>
      <c r="TR1738" s="631"/>
      <c r="TS1738" s="631"/>
      <c r="TT1738" s="631"/>
      <c r="TU1738" s="666" t="s">
        <v>799</v>
      </c>
      <c r="TV1738" s="631">
        <f t="shared" ref="TV1738" si="142">TL1738</f>
        <v>8</v>
      </c>
      <c r="TW1738" s="657" t="s">
        <v>2</v>
      </c>
      <c r="TX1738" s="736"/>
      <c r="TY1738" s="737"/>
      <c r="TZ1738" s="665" t="s">
        <v>1413</v>
      </c>
      <c r="UB1738" s="629">
        <v>8</v>
      </c>
      <c r="UC1738" s="662"/>
      <c r="UD1738" s="631"/>
      <c r="UE1738" s="631"/>
      <c r="UF1738" s="631"/>
      <c r="UG1738" s="631"/>
      <c r="UH1738" s="631"/>
      <c r="UI1738" s="631"/>
      <c r="UJ1738" s="631"/>
      <c r="UK1738" s="666" t="s">
        <v>799</v>
      </c>
      <c r="UL1738" s="631">
        <f t="shared" ref="UL1738" si="143">UB1738</f>
        <v>8</v>
      </c>
      <c r="UM1738" s="657" t="s">
        <v>2</v>
      </c>
      <c r="UN1738" s="736"/>
      <c r="UO1738" s="737"/>
      <c r="UP1738" s="665" t="s">
        <v>1413</v>
      </c>
      <c r="UR1738" s="629">
        <v>8</v>
      </c>
      <c r="US1738" s="662"/>
      <c r="UT1738" s="631"/>
      <c r="UU1738" s="631"/>
      <c r="UV1738" s="631"/>
      <c r="UW1738" s="631"/>
      <c r="UX1738" s="631"/>
      <c r="UY1738" s="631"/>
      <c r="UZ1738" s="631"/>
      <c r="VA1738" s="666" t="s">
        <v>799</v>
      </c>
      <c r="VB1738" s="631">
        <f t="shared" ref="VB1738" si="144">UR1738</f>
        <v>8</v>
      </c>
      <c r="VC1738" s="657" t="s">
        <v>2</v>
      </c>
      <c r="VD1738" s="736"/>
      <c r="VE1738" s="737"/>
      <c r="VF1738" s="665" t="s">
        <v>1413</v>
      </c>
      <c r="VH1738" s="629">
        <v>8</v>
      </c>
      <c r="VI1738" s="662"/>
      <c r="VJ1738" s="631"/>
      <c r="VK1738" s="631"/>
      <c r="VL1738" s="631"/>
      <c r="VM1738" s="631"/>
      <c r="VN1738" s="631"/>
      <c r="VO1738" s="631"/>
      <c r="VP1738" s="631"/>
      <c r="VQ1738" s="666" t="s">
        <v>799</v>
      </c>
      <c r="VR1738" s="631">
        <f t="shared" ref="VR1738" si="145">VH1738</f>
        <v>8</v>
      </c>
      <c r="VS1738" s="657" t="s">
        <v>2</v>
      </c>
      <c r="VT1738" s="736"/>
      <c r="VU1738" s="737"/>
      <c r="VV1738" s="665" t="s">
        <v>1413</v>
      </c>
      <c r="VX1738" s="629">
        <v>8</v>
      </c>
      <c r="VY1738" s="662"/>
      <c r="VZ1738" s="631"/>
      <c r="WA1738" s="631"/>
      <c r="WB1738" s="631"/>
      <c r="WC1738" s="631"/>
      <c r="WD1738" s="631"/>
      <c r="WE1738" s="631"/>
      <c r="WF1738" s="631"/>
      <c r="WG1738" s="666" t="s">
        <v>799</v>
      </c>
      <c r="WH1738" s="631">
        <f t="shared" ref="WH1738" si="146">VX1738</f>
        <v>8</v>
      </c>
      <c r="WI1738" s="657" t="s">
        <v>2</v>
      </c>
      <c r="WJ1738" s="736"/>
      <c r="WK1738" s="737"/>
      <c r="WL1738" s="665" t="s">
        <v>1413</v>
      </c>
      <c r="WN1738" s="629">
        <v>8</v>
      </c>
      <c r="WO1738" s="662"/>
      <c r="WP1738" s="631"/>
      <c r="WQ1738" s="631"/>
      <c r="WR1738" s="631"/>
      <c r="WS1738" s="631"/>
      <c r="WT1738" s="631"/>
      <c r="WU1738" s="631"/>
      <c r="WV1738" s="631"/>
      <c r="WW1738" s="666" t="s">
        <v>799</v>
      </c>
      <c r="WX1738" s="631">
        <f t="shared" ref="WX1738" si="147">WN1738</f>
        <v>8</v>
      </c>
      <c r="WY1738" s="657" t="s">
        <v>2</v>
      </c>
      <c r="WZ1738" s="736"/>
      <c r="XA1738" s="737"/>
      <c r="XB1738" s="665" t="s">
        <v>1413</v>
      </c>
      <c r="XD1738" s="629">
        <v>8</v>
      </c>
      <c r="XE1738" s="662"/>
      <c r="XF1738" s="631"/>
      <c r="XG1738" s="631"/>
      <c r="XH1738" s="631"/>
      <c r="XI1738" s="631"/>
      <c r="XJ1738" s="631"/>
      <c r="XK1738" s="631"/>
      <c r="XL1738" s="631"/>
      <c r="XM1738" s="666" t="s">
        <v>799</v>
      </c>
      <c r="XN1738" s="631">
        <f t="shared" ref="XN1738" si="148">XD1738</f>
        <v>8</v>
      </c>
      <c r="XO1738" s="657" t="s">
        <v>2</v>
      </c>
      <c r="XP1738" s="736"/>
      <c r="XQ1738" s="737"/>
      <c r="XR1738" s="665" t="s">
        <v>1413</v>
      </c>
      <c r="XT1738" s="629">
        <v>8</v>
      </c>
      <c r="XU1738" s="662"/>
      <c r="XV1738" s="631"/>
      <c r="XW1738" s="631"/>
      <c r="XX1738" s="631"/>
      <c r="XY1738" s="631"/>
      <c r="XZ1738" s="631"/>
      <c r="YA1738" s="631"/>
      <c r="YB1738" s="631"/>
      <c r="YC1738" s="666" t="s">
        <v>799</v>
      </c>
      <c r="YD1738" s="631">
        <f t="shared" ref="YD1738" si="149">XT1738</f>
        <v>8</v>
      </c>
      <c r="YE1738" s="657" t="s">
        <v>2</v>
      </c>
      <c r="YF1738" s="736"/>
      <c r="YG1738" s="737"/>
      <c r="YH1738" s="665" t="s">
        <v>1413</v>
      </c>
      <c r="YJ1738" s="629">
        <v>8</v>
      </c>
      <c r="YK1738" s="662"/>
      <c r="YL1738" s="631"/>
      <c r="YM1738" s="631"/>
      <c r="YN1738" s="631"/>
      <c r="YO1738" s="631"/>
      <c r="YP1738" s="631"/>
      <c r="YQ1738" s="631"/>
      <c r="YR1738" s="631"/>
      <c r="YS1738" s="666" t="s">
        <v>799</v>
      </c>
      <c r="YT1738" s="631">
        <f t="shared" ref="YT1738" si="150">YJ1738</f>
        <v>8</v>
      </c>
      <c r="YU1738" s="657" t="s">
        <v>2</v>
      </c>
      <c r="YV1738" s="736"/>
      <c r="YW1738" s="737"/>
      <c r="YX1738" s="665" t="s">
        <v>1413</v>
      </c>
      <c r="YZ1738" s="629">
        <v>8</v>
      </c>
      <c r="ZA1738" s="662"/>
      <c r="ZB1738" s="631"/>
      <c r="ZC1738" s="631"/>
      <c r="ZD1738" s="631"/>
      <c r="ZE1738" s="631"/>
      <c r="ZF1738" s="631"/>
      <c r="ZG1738" s="631"/>
      <c r="ZH1738" s="631"/>
      <c r="ZI1738" s="666" t="s">
        <v>799</v>
      </c>
      <c r="ZJ1738" s="631">
        <f t="shared" ref="ZJ1738" si="151">YZ1738</f>
        <v>8</v>
      </c>
      <c r="ZK1738" s="657" t="s">
        <v>2</v>
      </c>
      <c r="ZL1738" s="736"/>
      <c r="ZM1738" s="737"/>
      <c r="ZN1738" s="665" t="s">
        <v>1413</v>
      </c>
      <c r="ZP1738" s="629">
        <v>8</v>
      </c>
      <c r="ZQ1738" s="662"/>
      <c r="ZR1738" s="631"/>
      <c r="ZS1738" s="631"/>
      <c r="ZT1738" s="631"/>
      <c r="ZU1738" s="631"/>
      <c r="ZV1738" s="631"/>
      <c r="ZW1738" s="631"/>
      <c r="ZX1738" s="631"/>
      <c r="ZY1738" s="666" t="s">
        <v>799</v>
      </c>
      <c r="ZZ1738" s="631">
        <f t="shared" ref="ZZ1738" si="152">ZP1738</f>
        <v>8</v>
      </c>
      <c r="AAA1738" s="657" t="s">
        <v>2</v>
      </c>
      <c r="AAB1738" s="736"/>
      <c r="AAC1738" s="737"/>
      <c r="AAD1738" s="665" t="s">
        <v>1413</v>
      </c>
      <c r="AAF1738" s="629">
        <v>8</v>
      </c>
      <c r="AAG1738" s="662"/>
      <c r="AAH1738" s="631"/>
      <c r="AAI1738" s="631"/>
      <c r="AAJ1738" s="631"/>
      <c r="AAK1738" s="631"/>
      <c r="AAL1738" s="631"/>
      <c r="AAM1738" s="631"/>
      <c r="AAN1738" s="631"/>
      <c r="AAO1738" s="666" t="s">
        <v>799</v>
      </c>
      <c r="AAP1738" s="631">
        <f t="shared" ref="AAP1738" si="153">AAF1738</f>
        <v>8</v>
      </c>
      <c r="AAQ1738" s="657" t="s">
        <v>2</v>
      </c>
      <c r="AAR1738" s="736"/>
      <c r="AAS1738" s="737"/>
      <c r="AAT1738" s="665" t="s">
        <v>1413</v>
      </c>
      <c r="AAV1738" s="629">
        <v>8</v>
      </c>
      <c r="AAW1738" s="662"/>
      <c r="AAX1738" s="631"/>
      <c r="AAY1738" s="631"/>
      <c r="AAZ1738" s="631"/>
      <c r="ABA1738" s="631"/>
      <c r="ABB1738" s="631"/>
      <c r="ABC1738" s="631"/>
      <c r="ABD1738" s="631"/>
      <c r="ABE1738" s="666" t="s">
        <v>799</v>
      </c>
      <c r="ABF1738" s="631">
        <f t="shared" ref="ABF1738" si="154">AAV1738</f>
        <v>8</v>
      </c>
      <c r="ABG1738" s="657" t="s">
        <v>2</v>
      </c>
      <c r="ABH1738" s="736"/>
      <c r="ABI1738" s="737"/>
      <c r="ABJ1738" s="665" t="s">
        <v>1413</v>
      </c>
      <c r="ABL1738" s="629">
        <v>8</v>
      </c>
      <c r="ABM1738" s="662"/>
      <c r="ABN1738" s="631"/>
      <c r="ABO1738" s="631"/>
      <c r="ABP1738" s="631"/>
      <c r="ABQ1738" s="631"/>
      <c r="ABR1738" s="631"/>
      <c r="ABS1738" s="631"/>
      <c r="ABT1738" s="631"/>
      <c r="ABU1738" s="666" t="s">
        <v>799</v>
      </c>
      <c r="ABV1738" s="631">
        <f t="shared" ref="ABV1738" si="155">ABL1738</f>
        <v>8</v>
      </c>
      <c r="ABW1738" s="657" t="s">
        <v>2</v>
      </c>
      <c r="ABX1738" s="736"/>
      <c r="ABY1738" s="737"/>
      <c r="ABZ1738" s="665" t="s">
        <v>1413</v>
      </c>
      <c r="ACB1738" s="629">
        <v>8</v>
      </c>
      <c r="ACC1738" s="662"/>
      <c r="ACD1738" s="631"/>
      <c r="ACE1738" s="631"/>
      <c r="ACF1738" s="631"/>
      <c r="ACG1738" s="631"/>
      <c r="ACH1738" s="631"/>
      <c r="ACI1738" s="631"/>
      <c r="ACJ1738" s="631"/>
      <c r="ACK1738" s="666" t="s">
        <v>799</v>
      </c>
      <c r="ACL1738" s="631">
        <f t="shared" ref="ACL1738" si="156">ACB1738</f>
        <v>8</v>
      </c>
      <c r="ACM1738" s="657" t="s">
        <v>2</v>
      </c>
      <c r="ACN1738" s="736"/>
      <c r="ACO1738" s="737"/>
      <c r="ACP1738" s="665" t="s">
        <v>1413</v>
      </c>
      <c r="ACR1738" s="629">
        <v>8</v>
      </c>
      <c r="ACS1738" s="662"/>
      <c r="ACT1738" s="631"/>
      <c r="ACU1738" s="631"/>
      <c r="ACV1738" s="631"/>
      <c r="ACW1738" s="631"/>
      <c r="ACX1738" s="631"/>
      <c r="ACY1738" s="631"/>
      <c r="ACZ1738" s="631"/>
      <c r="ADA1738" s="666" t="s">
        <v>799</v>
      </c>
      <c r="ADB1738" s="631">
        <f t="shared" ref="ADB1738" si="157">ACR1738</f>
        <v>8</v>
      </c>
      <c r="ADC1738" s="657" t="s">
        <v>2</v>
      </c>
      <c r="ADD1738" s="736"/>
      <c r="ADE1738" s="737"/>
      <c r="ADF1738" s="665" t="s">
        <v>1413</v>
      </c>
      <c r="ADH1738" s="629">
        <v>8</v>
      </c>
      <c r="ADI1738" s="662"/>
      <c r="ADJ1738" s="631"/>
      <c r="ADK1738" s="631"/>
      <c r="ADL1738" s="631"/>
      <c r="ADM1738" s="631"/>
      <c r="ADN1738" s="631"/>
      <c r="ADO1738" s="631"/>
      <c r="ADP1738" s="631"/>
      <c r="ADQ1738" s="666" t="s">
        <v>799</v>
      </c>
      <c r="ADR1738" s="631">
        <f t="shared" ref="ADR1738" si="158">ADH1738</f>
        <v>8</v>
      </c>
      <c r="ADS1738" s="657" t="s">
        <v>2</v>
      </c>
      <c r="ADT1738" s="736"/>
      <c r="ADU1738" s="737"/>
      <c r="ADV1738" s="665" t="s">
        <v>1413</v>
      </c>
      <c r="ADX1738" s="629">
        <v>8</v>
      </c>
      <c r="ADY1738" s="662"/>
      <c r="ADZ1738" s="631"/>
      <c r="AEA1738" s="631"/>
      <c r="AEB1738" s="631"/>
      <c r="AEC1738" s="631"/>
      <c r="AED1738" s="631"/>
      <c r="AEE1738" s="631"/>
      <c r="AEF1738" s="631"/>
      <c r="AEG1738" s="666" t="s">
        <v>799</v>
      </c>
      <c r="AEH1738" s="631">
        <f t="shared" ref="AEH1738" si="159">ADX1738</f>
        <v>8</v>
      </c>
      <c r="AEI1738" s="657" t="s">
        <v>2</v>
      </c>
      <c r="AEJ1738" s="736"/>
      <c r="AEK1738" s="737"/>
      <c r="AEL1738" s="665" t="s">
        <v>1413</v>
      </c>
      <c r="AEN1738" s="629">
        <v>8</v>
      </c>
      <c r="AEO1738" s="662"/>
      <c r="AEP1738" s="631"/>
      <c r="AEQ1738" s="631"/>
      <c r="AER1738" s="631"/>
      <c r="AES1738" s="631"/>
      <c r="AET1738" s="631"/>
      <c r="AEU1738" s="631"/>
      <c r="AEV1738" s="631"/>
      <c r="AEW1738" s="666" t="s">
        <v>799</v>
      </c>
      <c r="AEX1738" s="631">
        <f t="shared" ref="AEX1738" si="160">AEN1738</f>
        <v>8</v>
      </c>
      <c r="AEY1738" s="657" t="s">
        <v>2</v>
      </c>
      <c r="AEZ1738" s="736"/>
      <c r="AFA1738" s="737"/>
      <c r="AFB1738" s="665" t="s">
        <v>1413</v>
      </c>
      <c r="AFD1738" s="629">
        <v>8</v>
      </c>
      <c r="AFE1738" s="662"/>
      <c r="AFF1738" s="631"/>
      <c r="AFG1738" s="631"/>
      <c r="AFH1738" s="631"/>
      <c r="AFI1738" s="631"/>
      <c r="AFJ1738" s="631"/>
      <c r="AFK1738" s="631"/>
      <c r="AFL1738" s="631"/>
      <c r="AFM1738" s="666" t="s">
        <v>799</v>
      </c>
      <c r="AFN1738" s="631">
        <f t="shared" ref="AFN1738" si="161">AFD1738</f>
        <v>8</v>
      </c>
      <c r="AFO1738" s="657" t="s">
        <v>2</v>
      </c>
      <c r="AFP1738" s="736"/>
      <c r="AFQ1738" s="737"/>
      <c r="AFR1738" s="665" t="s">
        <v>1413</v>
      </c>
      <c r="AFT1738" s="629">
        <v>8</v>
      </c>
      <c r="AFU1738" s="662"/>
      <c r="AFV1738" s="631"/>
      <c r="AFW1738" s="631"/>
      <c r="AFX1738" s="631"/>
      <c r="AFY1738" s="631"/>
      <c r="AFZ1738" s="631"/>
      <c r="AGA1738" s="631"/>
      <c r="AGB1738" s="631"/>
      <c r="AGC1738" s="666" t="s">
        <v>799</v>
      </c>
      <c r="AGD1738" s="631">
        <f t="shared" ref="AGD1738" si="162">AFT1738</f>
        <v>8</v>
      </c>
      <c r="AGE1738" s="657" t="s">
        <v>2</v>
      </c>
      <c r="AGF1738" s="736"/>
      <c r="AGG1738" s="737"/>
      <c r="AGH1738" s="665" t="s">
        <v>1413</v>
      </c>
      <c r="AGJ1738" s="629">
        <v>8</v>
      </c>
      <c r="AGK1738" s="662"/>
      <c r="AGL1738" s="631"/>
      <c r="AGM1738" s="631"/>
      <c r="AGN1738" s="631"/>
      <c r="AGO1738" s="631"/>
      <c r="AGP1738" s="631"/>
      <c r="AGQ1738" s="631"/>
      <c r="AGR1738" s="631"/>
      <c r="AGS1738" s="666" t="s">
        <v>799</v>
      </c>
      <c r="AGT1738" s="631">
        <f t="shared" ref="AGT1738" si="163">AGJ1738</f>
        <v>8</v>
      </c>
      <c r="AGU1738" s="657" t="s">
        <v>2</v>
      </c>
      <c r="AGV1738" s="736"/>
      <c r="AGW1738" s="737"/>
      <c r="AGX1738" s="665" t="s">
        <v>1413</v>
      </c>
      <c r="AGZ1738" s="629">
        <v>8</v>
      </c>
      <c r="AHA1738" s="662"/>
      <c r="AHB1738" s="631"/>
      <c r="AHC1738" s="631"/>
      <c r="AHD1738" s="631"/>
      <c r="AHE1738" s="631"/>
      <c r="AHF1738" s="631"/>
      <c r="AHG1738" s="631"/>
      <c r="AHH1738" s="631"/>
      <c r="AHI1738" s="666" t="s">
        <v>799</v>
      </c>
      <c r="AHJ1738" s="631">
        <f t="shared" ref="AHJ1738" si="164">AGZ1738</f>
        <v>8</v>
      </c>
      <c r="AHK1738" s="657" t="s">
        <v>2</v>
      </c>
      <c r="AHL1738" s="736"/>
      <c r="AHM1738" s="737"/>
      <c r="AHN1738" s="665" t="s">
        <v>1413</v>
      </c>
      <c r="AHP1738" s="629">
        <v>8</v>
      </c>
      <c r="AHQ1738" s="662"/>
      <c r="AHR1738" s="631"/>
      <c r="AHS1738" s="631"/>
      <c r="AHT1738" s="631"/>
      <c r="AHU1738" s="631"/>
      <c r="AHV1738" s="631"/>
      <c r="AHW1738" s="631"/>
      <c r="AHX1738" s="631"/>
      <c r="AHY1738" s="666" t="s">
        <v>799</v>
      </c>
      <c r="AHZ1738" s="631">
        <f t="shared" ref="AHZ1738" si="165">AHP1738</f>
        <v>8</v>
      </c>
      <c r="AIA1738" s="657" t="s">
        <v>2</v>
      </c>
      <c r="AIB1738" s="736"/>
      <c r="AIC1738" s="737"/>
      <c r="AID1738" s="665" t="s">
        <v>1413</v>
      </c>
      <c r="AIF1738" s="629">
        <v>8</v>
      </c>
      <c r="AIG1738" s="662"/>
      <c r="AIH1738" s="631"/>
      <c r="AII1738" s="631"/>
      <c r="AIJ1738" s="631"/>
      <c r="AIK1738" s="631"/>
      <c r="AIL1738" s="631"/>
      <c r="AIM1738" s="631"/>
      <c r="AIN1738" s="631"/>
      <c r="AIO1738" s="666" t="s">
        <v>799</v>
      </c>
      <c r="AIP1738" s="631">
        <f t="shared" ref="AIP1738" si="166">AIF1738</f>
        <v>8</v>
      </c>
      <c r="AIQ1738" s="657" t="s">
        <v>2</v>
      </c>
      <c r="AIR1738" s="736"/>
      <c r="AIS1738" s="737"/>
      <c r="AIT1738" s="665" t="s">
        <v>1413</v>
      </c>
      <c r="AIV1738" s="629">
        <v>8</v>
      </c>
      <c r="AIW1738" s="662"/>
      <c r="AIX1738" s="631"/>
      <c r="AIY1738" s="631"/>
      <c r="AIZ1738" s="631"/>
      <c r="AJA1738" s="631"/>
      <c r="AJB1738" s="631"/>
      <c r="AJC1738" s="631"/>
      <c r="AJD1738" s="631"/>
      <c r="AJE1738" s="666" t="s">
        <v>799</v>
      </c>
      <c r="AJF1738" s="631">
        <f t="shared" ref="AJF1738" si="167">AIV1738</f>
        <v>8</v>
      </c>
      <c r="AJG1738" s="657" t="s">
        <v>2</v>
      </c>
      <c r="AJH1738" s="736"/>
      <c r="AJI1738" s="737"/>
      <c r="AJJ1738" s="665" t="s">
        <v>1413</v>
      </c>
      <c r="AJL1738" s="629">
        <v>8</v>
      </c>
      <c r="AJM1738" s="662"/>
      <c r="AJN1738" s="631"/>
      <c r="AJO1738" s="631"/>
      <c r="AJP1738" s="631"/>
      <c r="AJQ1738" s="631"/>
      <c r="AJR1738" s="631"/>
      <c r="AJS1738" s="631"/>
      <c r="AJT1738" s="631"/>
      <c r="AJU1738" s="666" t="s">
        <v>799</v>
      </c>
      <c r="AJV1738" s="631">
        <f t="shared" ref="AJV1738" si="168">AJL1738</f>
        <v>8</v>
      </c>
      <c r="AJW1738" s="657" t="s">
        <v>2</v>
      </c>
      <c r="AJX1738" s="736"/>
      <c r="AJY1738" s="737"/>
      <c r="AJZ1738" s="665" t="s">
        <v>1413</v>
      </c>
      <c r="AKB1738" s="629">
        <v>8</v>
      </c>
      <c r="AKC1738" s="662"/>
      <c r="AKD1738" s="631"/>
      <c r="AKE1738" s="631"/>
      <c r="AKF1738" s="631"/>
      <c r="AKG1738" s="631"/>
      <c r="AKH1738" s="631"/>
      <c r="AKI1738" s="631"/>
      <c r="AKJ1738" s="631"/>
      <c r="AKK1738" s="666" t="s">
        <v>799</v>
      </c>
      <c r="AKL1738" s="631">
        <f t="shared" ref="AKL1738" si="169">AKB1738</f>
        <v>8</v>
      </c>
      <c r="AKM1738" s="657" t="s">
        <v>2</v>
      </c>
      <c r="AKN1738" s="736"/>
      <c r="AKO1738" s="737"/>
      <c r="AKP1738" s="665" t="s">
        <v>1413</v>
      </c>
      <c r="AKR1738" s="629">
        <v>8</v>
      </c>
      <c r="AKS1738" s="662"/>
      <c r="AKT1738" s="631"/>
      <c r="AKU1738" s="631"/>
      <c r="AKV1738" s="631"/>
      <c r="AKW1738" s="631"/>
      <c r="AKX1738" s="631"/>
      <c r="AKY1738" s="631"/>
      <c r="AKZ1738" s="631"/>
      <c r="ALA1738" s="666" t="s">
        <v>799</v>
      </c>
      <c r="ALB1738" s="631">
        <f t="shared" ref="ALB1738" si="170">AKR1738</f>
        <v>8</v>
      </c>
      <c r="ALC1738" s="657" t="s">
        <v>2</v>
      </c>
      <c r="ALD1738" s="736"/>
      <c r="ALE1738" s="737"/>
      <c r="ALF1738" s="665" t="s">
        <v>1413</v>
      </c>
      <c r="ALH1738" s="629">
        <v>8</v>
      </c>
      <c r="ALI1738" s="662"/>
      <c r="ALJ1738" s="631"/>
      <c r="ALK1738" s="631"/>
      <c r="ALL1738" s="631"/>
      <c r="ALM1738" s="631"/>
      <c r="ALN1738" s="631"/>
      <c r="ALO1738" s="631"/>
      <c r="ALP1738" s="631"/>
      <c r="ALQ1738" s="666" t="s">
        <v>799</v>
      </c>
      <c r="ALR1738" s="631">
        <f t="shared" ref="ALR1738" si="171">ALH1738</f>
        <v>8</v>
      </c>
      <c r="ALS1738" s="657" t="s">
        <v>2</v>
      </c>
      <c r="ALT1738" s="736"/>
      <c r="ALU1738" s="737"/>
      <c r="ALV1738" s="665" t="s">
        <v>1413</v>
      </c>
      <c r="ALX1738" s="629">
        <v>8</v>
      </c>
      <c r="ALY1738" s="662"/>
      <c r="ALZ1738" s="631"/>
      <c r="AMA1738" s="631"/>
      <c r="AMB1738" s="631"/>
      <c r="AMC1738" s="631"/>
      <c r="AMD1738" s="631"/>
      <c r="AME1738" s="631"/>
      <c r="AMF1738" s="631"/>
      <c r="AMG1738" s="666" t="s">
        <v>799</v>
      </c>
      <c r="AMH1738" s="631">
        <f t="shared" ref="AMH1738" si="172">ALX1738</f>
        <v>8</v>
      </c>
      <c r="AMI1738" s="657" t="s">
        <v>2</v>
      </c>
      <c r="AMJ1738" s="736"/>
      <c r="AMK1738" s="737"/>
      <c r="AML1738" s="665" t="s">
        <v>1413</v>
      </c>
      <c r="AMN1738" s="629">
        <v>8</v>
      </c>
      <c r="AMO1738" s="662"/>
      <c r="AMP1738" s="631"/>
      <c r="AMQ1738" s="631"/>
      <c r="AMR1738" s="631"/>
      <c r="AMS1738" s="631"/>
      <c r="AMT1738" s="631"/>
      <c r="AMU1738" s="631"/>
      <c r="AMV1738" s="631"/>
      <c r="AMW1738" s="666" t="s">
        <v>799</v>
      </c>
      <c r="AMX1738" s="631">
        <f t="shared" ref="AMX1738" si="173">AMN1738</f>
        <v>8</v>
      </c>
      <c r="AMY1738" s="657" t="s">
        <v>2</v>
      </c>
      <c r="AMZ1738" s="736"/>
      <c r="ANA1738" s="737"/>
      <c r="ANB1738" s="665" t="s">
        <v>1413</v>
      </c>
      <c r="AND1738" s="629">
        <v>8</v>
      </c>
      <c r="ANE1738" s="662"/>
      <c r="ANF1738" s="631"/>
      <c r="ANG1738" s="631"/>
      <c r="ANH1738" s="631"/>
      <c r="ANI1738" s="631"/>
      <c r="ANJ1738" s="631"/>
      <c r="ANK1738" s="631"/>
      <c r="ANL1738" s="631"/>
      <c r="ANM1738" s="666" t="s">
        <v>799</v>
      </c>
      <c r="ANN1738" s="631">
        <f t="shared" ref="ANN1738" si="174">AND1738</f>
        <v>8</v>
      </c>
      <c r="ANO1738" s="657" t="s">
        <v>2</v>
      </c>
      <c r="ANP1738" s="736"/>
      <c r="ANQ1738" s="737"/>
      <c r="ANR1738" s="665" t="s">
        <v>1413</v>
      </c>
      <c r="ANT1738" s="629">
        <v>8</v>
      </c>
      <c r="ANU1738" s="662"/>
      <c r="ANV1738" s="631"/>
      <c r="ANW1738" s="631"/>
      <c r="ANX1738" s="631"/>
      <c r="ANY1738" s="631"/>
      <c r="ANZ1738" s="631"/>
      <c r="AOA1738" s="631"/>
      <c r="AOB1738" s="631"/>
      <c r="AOC1738" s="666" t="s">
        <v>799</v>
      </c>
      <c r="AOD1738" s="631">
        <f t="shared" ref="AOD1738" si="175">ANT1738</f>
        <v>8</v>
      </c>
      <c r="AOE1738" s="657" t="s">
        <v>2</v>
      </c>
      <c r="AOF1738" s="736"/>
      <c r="AOG1738" s="737"/>
      <c r="AOH1738" s="665" t="s">
        <v>1413</v>
      </c>
      <c r="AOJ1738" s="629">
        <v>8</v>
      </c>
      <c r="AOK1738" s="662"/>
      <c r="AOL1738" s="631"/>
      <c r="AOM1738" s="631"/>
      <c r="AON1738" s="631"/>
      <c r="AOO1738" s="631"/>
      <c r="AOP1738" s="631"/>
      <c r="AOQ1738" s="631"/>
      <c r="AOR1738" s="631"/>
      <c r="AOS1738" s="666" t="s">
        <v>799</v>
      </c>
      <c r="AOT1738" s="631">
        <f t="shared" ref="AOT1738" si="176">AOJ1738</f>
        <v>8</v>
      </c>
      <c r="AOU1738" s="657" t="s">
        <v>2</v>
      </c>
      <c r="AOV1738" s="736"/>
      <c r="AOW1738" s="737"/>
      <c r="AOX1738" s="665" t="s">
        <v>1413</v>
      </c>
      <c r="AOZ1738" s="629">
        <v>8</v>
      </c>
      <c r="APA1738" s="662"/>
      <c r="APB1738" s="631"/>
      <c r="APC1738" s="631"/>
      <c r="APD1738" s="631"/>
      <c r="APE1738" s="631"/>
      <c r="APF1738" s="631"/>
      <c r="APG1738" s="631"/>
      <c r="APH1738" s="631"/>
      <c r="API1738" s="666" t="s">
        <v>799</v>
      </c>
      <c r="APJ1738" s="631">
        <f t="shared" ref="APJ1738" si="177">AOZ1738</f>
        <v>8</v>
      </c>
      <c r="APK1738" s="657" t="s">
        <v>2</v>
      </c>
      <c r="APL1738" s="736"/>
      <c r="APM1738" s="737"/>
      <c r="APN1738" s="665" t="s">
        <v>1413</v>
      </c>
      <c r="APP1738" s="629">
        <v>8</v>
      </c>
      <c r="APQ1738" s="662"/>
      <c r="APR1738" s="631"/>
      <c r="APS1738" s="631"/>
      <c r="APT1738" s="631"/>
      <c r="APU1738" s="631"/>
      <c r="APV1738" s="631"/>
      <c r="APW1738" s="631"/>
      <c r="APX1738" s="631"/>
      <c r="APY1738" s="666" t="s">
        <v>799</v>
      </c>
      <c r="APZ1738" s="631">
        <f t="shared" ref="APZ1738" si="178">APP1738</f>
        <v>8</v>
      </c>
      <c r="AQA1738" s="657" t="s">
        <v>2</v>
      </c>
      <c r="AQB1738" s="736"/>
      <c r="AQC1738" s="737"/>
      <c r="AQD1738" s="665" t="s">
        <v>1413</v>
      </c>
      <c r="AQF1738" s="629">
        <v>8</v>
      </c>
      <c r="AQG1738" s="662"/>
      <c r="AQH1738" s="631"/>
      <c r="AQI1738" s="631"/>
      <c r="AQJ1738" s="631"/>
      <c r="AQK1738" s="631"/>
      <c r="AQL1738" s="631"/>
      <c r="AQM1738" s="631"/>
      <c r="AQN1738" s="631"/>
      <c r="AQO1738" s="666" t="s">
        <v>799</v>
      </c>
      <c r="AQP1738" s="631">
        <f t="shared" ref="AQP1738" si="179">AQF1738</f>
        <v>8</v>
      </c>
      <c r="AQQ1738" s="657" t="s">
        <v>2</v>
      </c>
      <c r="AQR1738" s="736"/>
      <c r="AQS1738" s="737"/>
      <c r="AQT1738" s="665" t="s">
        <v>1413</v>
      </c>
      <c r="AQV1738" s="629">
        <v>8</v>
      </c>
      <c r="AQW1738" s="662"/>
      <c r="AQX1738" s="631"/>
      <c r="AQY1738" s="631"/>
      <c r="AQZ1738" s="631"/>
      <c r="ARA1738" s="631"/>
      <c r="ARB1738" s="631"/>
      <c r="ARC1738" s="631"/>
      <c r="ARD1738" s="631"/>
      <c r="ARE1738" s="666" t="s">
        <v>799</v>
      </c>
      <c r="ARF1738" s="631">
        <f t="shared" ref="ARF1738" si="180">AQV1738</f>
        <v>8</v>
      </c>
      <c r="ARG1738" s="657" t="s">
        <v>2</v>
      </c>
      <c r="ARH1738" s="736"/>
      <c r="ARI1738" s="737"/>
      <c r="ARJ1738" s="665" t="s">
        <v>1413</v>
      </c>
      <c r="ARL1738" s="629">
        <v>8</v>
      </c>
      <c r="ARM1738" s="662"/>
      <c r="ARN1738" s="631"/>
      <c r="ARO1738" s="631"/>
      <c r="ARP1738" s="631"/>
      <c r="ARQ1738" s="631"/>
      <c r="ARR1738" s="631"/>
      <c r="ARS1738" s="631"/>
      <c r="ART1738" s="631"/>
      <c r="ARU1738" s="666" t="s">
        <v>799</v>
      </c>
      <c r="ARV1738" s="631">
        <f t="shared" ref="ARV1738" si="181">ARL1738</f>
        <v>8</v>
      </c>
      <c r="ARW1738" s="657" t="s">
        <v>2</v>
      </c>
      <c r="ARX1738" s="736"/>
      <c r="ARY1738" s="737"/>
      <c r="ARZ1738" s="665" t="s">
        <v>1413</v>
      </c>
      <c r="ASB1738" s="629">
        <v>8</v>
      </c>
      <c r="ASC1738" s="662"/>
      <c r="ASD1738" s="631"/>
      <c r="ASE1738" s="631"/>
      <c r="ASF1738" s="631"/>
      <c r="ASG1738" s="631"/>
      <c r="ASH1738" s="631"/>
      <c r="ASI1738" s="631"/>
      <c r="ASJ1738" s="631"/>
      <c r="ASK1738" s="666" t="s">
        <v>799</v>
      </c>
      <c r="ASL1738" s="631">
        <f t="shared" ref="ASL1738" si="182">ASB1738</f>
        <v>8</v>
      </c>
      <c r="ASM1738" s="657" t="s">
        <v>2</v>
      </c>
      <c r="ASN1738" s="736"/>
      <c r="ASO1738" s="737"/>
      <c r="ASP1738" s="665" t="s">
        <v>1413</v>
      </c>
      <c r="ASR1738" s="629">
        <v>8</v>
      </c>
      <c r="ASS1738" s="662"/>
      <c r="AST1738" s="631"/>
      <c r="ASU1738" s="631"/>
      <c r="ASV1738" s="631"/>
      <c r="ASW1738" s="631"/>
      <c r="ASX1738" s="631"/>
      <c r="ASY1738" s="631"/>
      <c r="ASZ1738" s="631"/>
      <c r="ATA1738" s="666" t="s">
        <v>799</v>
      </c>
      <c r="ATB1738" s="631">
        <f t="shared" ref="ATB1738" si="183">ASR1738</f>
        <v>8</v>
      </c>
      <c r="ATC1738" s="657" t="s">
        <v>2</v>
      </c>
      <c r="ATD1738" s="736"/>
      <c r="ATE1738" s="737"/>
      <c r="ATF1738" s="665" t="s">
        <v>1413</v>
      </c>
      <c r="ATH1738" s="629">
        <v>8</v>
      </c>
      <c r="ATI1738" s="662"/>
      <c r="ATJ1738" s="631"/>
      <c r="ATK1738" s="631"/>
      <c r="ATL1738" s="631"/>
      <c r="ATM1738" s="631"/>
      <c r="ATN1738" s="631"/>
      <c r="ATO1738" s="631"/>
      <c r="ATP1738" s="631"/>
      <c r="ATQ1738" s="666" t="s">
        <v>799</v>
      </c>
      <c r="ATR1738" s="631">
        <f t="shared" ref="ATR1738" si="184">ATH1738</f>
        <v>8</v>
      </c>
      <c r="ATS1738" s="657" t="s">
        <v>2</v>
      </c>
      <c r="ATT1738" s="736"/>
      <c r="ATU1738" s="737"/>
      <c r="ATV1738" s="665" t="s">
        <v>1413</v>
      </c>
      <c r="ATX1738" s="629">
        <v>8</v>
      </c>
      <c r="ATY1738" s="662"/>
      <c r="ATZ1738" s="631"/>
      <c r="AUA1738" s="631"/>
      <c r="AUB1738" s="631"/>
      <c r="AUC1738" s="631"/>
      <c r="AUD1738" s="631"/>
      <c r="AUE1738" s="631"/>
      <c r="AUF1738" s="631"/>
      <c r="AUG1738" s="666" t="s">
        <v>799</v>
      </c>
      <c r="AUH1738" s="631">
        <f t="shared" ref="AUH1738" si="185">ATX1738</f>
        <v>8</v>
      </c>
      <c r="AUI1738" s="657" t="s">
        <v>2</v>
      </c>
      <c r="AUJ1738" s="736"/>
      <c r="AUK1738" s="737"/>
      <c r="AUL1738" s="665" t="s">
        <v>1413</v>
      </c>
      <c r="AUN1738" s="629">
        <v>8</v>
      </c>
      <c r="AUO1738" s="662"/>
      <c r="AUP1738" s="631"/>
      <c r="AUQ1738" s="631"/>
      <c r="AUR1738" s="631"/>
      <c r="AUS1738" s="631"/>
      <c r="AUT1738" s="631"/>
      <c r="AUU1738" s="631"/>
      <c r="AUV1738" s="631"/>
      <c r="AUW1738" s="666" t="s">
        <v>799</v>
      </c>
      <c r="AUX1738" s="631">
        <f t="shared" ref="AUX1738" si="186">AUN1738</f>
        <v>8</v>
      </c>
      <c r="AUY1738" s="657" t="s">
        <v>2</v>
      </c>
      <c r="AUZ1738" s="736"/>
      <c r="AVA1738" s="737"/>
      <c r="AVB1738" s="665" t="s">
        <v>1413</v>
      </c>
      <c r="AVD1738" s="629">
        <v>8</v>
      </c>
      <c r="AVE1738" s="662"/>
      <c r="AVF1738" s="631"/>
      <c r="AVG1738" s="631"/>
      <c r="AVH1738" s="631"/>
      <c r="AVI1738" s="631"/>
      <c r="AVJ1738" s="631"/>
      <c r="AVK1738" s="631"/>
      <c r="AVL1738" s="631"/>
      <c r="AVM1738" s="666" t="s">
        <v>799</v>
      </c>
      <c r="AVN1738" s="631">
        <f t="shared" ref="AVN1738" si="187">AVD1738</f>
        <v>8</v>
      </c>
      <c r="AVO1738" s="657" t="s">
        <v>2</v>
      </c>
      <c r="AVP1738" s="736"/>
      <c r="AVQ1738" s="737"/>
      <c r="AVR1738" s="665" t="s">
        <v>1413</v>
      </c>
      <c r="AVT1738" s="629">
        <v>8</v>
      </c>
      <c r="AVU1738" s="662"/>
      <c r="AVV1738" s="631"/>
      <c r="AVW1738" s="631"/>
      <c r="AVX1738" s="631"/>
      <c r="AVY1738" s="631"/>
      <c r="AVZ1738" s="631"/>
      <c r="AWA1738" s="631"/>
      <c r="AWB1738" s="631"/>
      <c r="AWC1738" s="666" t="s">
        <v>799</v>
      </c>
      <c r="AWD1738" s="631">
        <f t="shared" ref="AWD1738" si="188">AVT1738</f>
        <v>8</v>
      </c>
      <c r="AWE1738" s="657" t="s">
        <v>2</v>
      </c>
      <c r="AWF1738" s="736"/>
      <c r="AWG1738" s="737"/>
      <c r="AWH1738" s="665" t="s">
        <v>1413</v>
      </c>
      <c r="AWJ1738" s="629">
        <v>8</v>
      </c>
      <c r="AWK1738" s="662"/>
      <c r="AWL1738" s="631"/>
      <c r="AWM1738" s="631"/>
      <c r="AWN1738" s="631"/>
      <c r="AWO1738" s="631"/>
      <c r="AWP1738" s="631"/>
      <c r="AWQ1738" s="631"/>
      <c r="AWR1738" s="631"/>
      <c r="AWS1738" s="666" t="s">
        <v>799</v>
      </c>
      <c r="AWT1738" s="631">
        <f t="shared" ref="AWT1738" si="189">AWJ1738</f>
        <v>8</v>
      </c>
      <c r="AWU1738" s="657" t="s">
        <v>2</v>
      </c>
      <c r="AWV1738" s="736"/>
      <c r="AWW1738" s="737"/>
      <c r="AWX1738" s="665" t="s">
        <v>1413</v>
      </c>
      <c r="AWZ1738" s="629">
        <v>8</v>
      </c>
      <c r="AXA1738" s="662"/>
      <c r="AXB1738" s="631"/>
      <c r="AXC1738" s="631"/>
      <c r="AXD1738" s="631"/>
      <c r="AXE1738" s="631"/>
      <c r="AXF1738" s="631"/>
      <c r="AXG1738" s="631"/>
      <c r="AXH1738" s="631"/>
      <c r="AXI1738" s="666" t="s">
        <v>799</v>
      </c>
      <c r="AXJ1738" s="631">
        <f t="shared" ref="AXJ1738" si="190">AWZ1738</f>
        <v>8</v>
      </c>
      <c r="AXK1738" s="657" t="s">
        <v>2</v>
      </c>
      <c r="AXL1738" s="736"/>
      <c r="AXM1738" s="737"/>
      <c r="AXN1738" s="665" t="s">
        <v>1413</v>
      </c>
      <c r="AXP1738" s="629">
        <v>8</v>
      </c>
      <c r="AXQ1738" s="662"/>
      <c r="AXR1738" s="631"/>
      <c r="AXS1738" s="631"/>
      <c r="AXT1738" s="631"/>
      <c r="AXU1738" s="631"/>
      <c r="AXV1738" s="631"/>
      <c r="AXW1738" s="631"/>
      <c r="AXX1738" s="631"/>
      <c r="AXY1738" s="666" t="s">
        <v>799</v>
      </c>
      <c r="AXZ1738" s="631">
        <f t="shared" ref="AXZ1738" si="191">AXP1738</f>
        <v>8</v>
      </c>
      <c r="AYA1738" s="657" t="s">
        <v>2</v>
      </c>
      <c r="AYB1738" s="736"/>
      <c r="AYC1738" s="737"/>
      <c r="AYD1738" s="665" t="s">
        <v>1413</v>
      </c>
      <c r="AYF1738" s="629">
        <v>8</v>
      </c>
      <c r="AYG1738" s="662"/>
      <c r="AYH1738" s="631"/>
      <c r="AYI1738" s="631"/>
      <c r="AYJ1738" s="631"/>
      <c r="AYK1738" s="631"/>
      <c r="AYL1738" s="631"/>
      <c r="AYM1738" s="631"/>
      <c r="AYN1738" s="631"/>
      <c r="AYO1738" s="666" t="s">
        <v>799</v>
      </c>
      <c r="AYP1738" s="631">
        <f t="shared" ref="AYP1738" si="192">AYF1738</f>
        <v>8</v>
      </c>
      <c r="AYQ1738" s="657" t="s">
        <v>2</v>
      </c>
      <c r="AYR1738" s="736"/>
      <c r="AYS1738" s="737"/>
      <c r="AYT1738" s="665" t="s">
        <v>1413</v>
      </c>
      <c r="AYV1738" s="629">
        <v>8</v>
      </c>
      <c r="AYW1738" s="662"/>
      <c r="AYX1738" s="631"/>
      <c r="AYY1738" s="631"/>
      <c r="AYZ1738" s="631"/>
      <c r="AZA1738" s="631"/>
      <c r="AZB1738" s="631"/>
      <c r="AZC1738" s="631"/>
      <c r="AZD1738" s="631"/>
      <c r="AZE1738" s="666" t="s">
        <v>799</v>
      </c>
      <c r="AZF1738" s="631">
        <f t="shared" ref="AZF1738" si="193">AYV1738</f>
        <v>8</v>
      </c>
      <c r="AZG1738" s="657" t="s">
        <v>2</v>
      </c>
      <c r="AZH1738" s="736"/>
      <c r="AZI1738" s="737"/>
      <c r="AZJ1738" s="665" t="s">
        <v>1413</v>
      </c>
      <c r="AZL1738" s="629">
        <v>8</v>
      </c>
      <c r="AZM1738" s="662"/>
      <c r="AZN1738" s="631"/>
      <c r="AZO1738" s="631"/>
      <c r="AZP1738" s="631"/>
      <c r="AZQ1738" s="631"/>
      <c r="AZR1738" s="631"/>
      <c r="AZS1738" s="631"/>
      <c r="AZT1738" s="631"/>
      <c r="AZU1738" s="666" t="s">
        <v>799</v>
      </c>
      <c r="AZV1738" s="631">
        <f t="shared" ref="AZV1738" si="194">AZL1738</f>
        <v>8</v>
      </c>
      <c r="AZW1738" s="657" t="s">
        <v>2</v>
      </c>
      <c r="AZX1738" s="736"/>
      <c r="AZY1738" s="737"/>
      <c r="AZZ1738" s="665" t="s">
        <v>1413</v>
      </c>
      <c r="BAB1738" s="629">
        <v>8</v>
      </c>
      <c r="BAC1738" s="662"/>
      <c r="BAD1738" s="631"/>
      <c r="BAE1738" s="631"/>
      <c r="BAF1738" s="631"/>
      <c r="BAG1738" s="631"/>
      <c r="BAH1738" s="631"/>
      <c r="BAI1738" s="631"/>
      <c r="BAJ1738" s="631"/>
      <c r="BAK1738" s="666" t="s">
        <v>799</v>
      </c>
      <c r="BAL1738" s="631">
        <f t="shared" ref="BAL1738" si="195">BAB1738</f>
        <v>8</v>
      </c>
      <c r="BAM1738" s="657" t="s">
        <v>2</v>
      </c>
      <c r="BAN1738" s="736"/>
      <c r="BAO1738" s="737"/>
      <c r="BAP1738" s="665" t="s">
        <v>1413</v>
      </c>
      <c r="BAR1738" s="629">
        <v>8</v>
      </c>
      <c r="BAS1738" s="662"/>
      <c r="BAT1738" s="631"/>
      <c r="BAU1738" s="631"/>
      <c r="BAV1738" s="631"/>
      <c r="BAW1738" s="631"/>
      <c r="BAX1738" s="631"/>
      <c r="BAY1738" s="631"/>
      <c r="BAZ1738" s="631"/>
      <c r="BBA1738" s="666" t="s">
        <v>799</v>
      </c>
      <c r="BBB1738" s="631">
        <f t="shared" ref="BBB1738" si="196">BAR1738</f>
        <v>8</v>
      </c>
      <c r="BBC1738" s="657" t="s">
        <v>2</v>
      </c>
      <c r="BBD1738" s="736"/>
      <c r="BBE1738" s="737"/>
      <c r="BBF1738" s="665" t="s">
        <v>1413</v>
      </c>
      <c r="BBH1738" s="629">
        <v>8</v>
      </c>
      <c r="BBI1738" s="662"/>
      <c r="BBJ1738" s="631"/>
      <c r="BBK1738" s="631"/>
      <c r="BBL1738" s="631"/>
      <c r="BBM1738" s="631"/>
      <c r="BBN1738" s="631"/>
      <c r="BBO1738" s="631"/>
      <c r="BBP1738" s="631"/>
      <c r="BBQ1738" s="666" t="s">
        <v>799</v>
      </c>
      <c r="BBR1738" s="631">
        <f t="shared" ref="BBR1738" si="197">BBH1738</f>
        <v>8</v>
      </c>
      <c r="BBS1738" s="657" t="s">
        <v>2</v>
      </c>
      <c r="BBT1738" s="736"/>
      <c r="BBU1738" s="737"/>
      <c r="BBV1738" s="665" t="s">
        <v>1413</v>
      </c>
      <c r="BBX1738" s="629">
        <v>8</v>
      </c>
      <c r="BBY1738" s="662"/>
      <c r="BBZ1738" s="631"/>
      <c r="BCA1738" s="631"/>
      <c r="BCB1738" s="631"/>
      <c r="BCC1738" s="631"/>
      <c r="BCD1738" s="631"/>
      <c r="BCE1738" s="631"/>
      <c r="BCF1738" s="631"/>
      <c r="BCG1738" s="666" t="s">
        <v>799</v>
      </c>
      <c r="BCH1738" s="631">
        <f t="shared" ref="BCH1738" si="198">BBX1738</f>
        <v>8</v>
      </c>
      <c r="BCI1738" s="657" t="s">
        <v>2</v>
      </c>
      <c r="BCJ1738" s="736"/>
      <c r="BCK1738" s="737"/>
      <c r="BCL1738" s="665" t="s">
        <v>1413</v>
      </c>
      <c r="BCN1738" s="629">
        <v>8</v>
      </c>
      <c r="BCO1738" s="662"/>
      <c r="BCP1738" s="631"/>
      <c r="BCQ1738" s="631"/>
      <c r="BCR1738" s="631"/>
      <c r="BCS1738" s="631"/>
      <c r="BCT1738" s="631"/>
      <c r="BCU1738" s="631"/>
      <c r="BCV1738" s="631"/>
      <c r="BCW1738" s="666" t="s">
        <v>799</v>
      </c>
      <c r="BCX1738" s="631">
        <f t="shared" ref="BCX1738" si="199">BCN1738</f>
        <v>8</v>
      </c>
      <c r="BCY1738" s="657" t="s">
        <v>2</v>
      </c>
      <c r="BCZ1738" s="736"/>
      <c r="BDA1738" s="737"/>
      <c r="BDB1738" s="665" t="s">
        <v>1413</v>
      </c>
      <c r="BDD1738" s="629">
        <v>8</v>
      </c>
      <c r="BDE1738" s="662"/>
      <c r="BDF1738" s="631"/>
      <c r="BDG1738" s="631"/>
      <c r="BDH1738" s="631"/>
      <c r="BDI1738" s="631"/>
      <c r="BDJ1738" s="631"/>
      <c r="BDK1738" s="631"/>
      <c r="BDL1738" s="631"/>
      <c r="BDM1738" s="666" t="s">
        <v>799</v>
      </c>
      <c r="BDN1738" s="631">
        <f t="shared" ref="BDN1738" si="200">BDD1738</f>
        <v>8</v>
      </c>
      <c r="BDO1738" s="657" t="s">
        <v>2</v>
      </c>
      <c r="BDP1738" s="736"/>
      <c r="BDQ1738" s="737"/>
      <c r="BDR1738" s="665" t="s">
        <v>1413</v>
      </c>
      <c r="BDT1738" s="629">
        <v>8</v>
      </c>
      <c r="BDU1738" s="662"/>
      <c r="BDV1738" s="631"/>
      <c r="BDW1738" s="631"/>
      <c r="BDX1738" s="631"/>
      <c r="BDY1738" s="631"/>
      <c r="BDZ1738" s="631"/>
      <c r="BEA1738" s="631"/>
      <c r="BEB1738" s="631"/>
      <c r="BEC1738" s="666" t="s">
        <v>799</v>
      </c>
      <c r="BED1738" s="631">
        <f t="shared" ref="BED1738" si="201">BDT1738</f>
        <v>8</v>
      </c>
      <c r="BEE1738" s="657" t="s">
        <v>2</v>
      </c>
      <c r="BEF1738" s="736"/>
      <c r="BEG1738" s="737"/>
      <c r="BEH1738" s="665" t="s">
        <v>1413</v>
      </c>
      <c r="BEJ1738" s="629">
        <v>8</v>
      </c>
      <c r="BEK1738" s="662"/>
      <c r="BEL1738" s="631"/>
      <c r="BEM1738" s="631"/>
      <c r="BEN1738" s="631"/>
      <c r="BEO1738" s="631"/>
      <c r="BEP1738" s="631"/>
      <c r="BEQ1738" s="631"/>
      <c r="BER1738" s="631"/>
      <c r="BES1738" s="666" t="s">
        <v>799</v>
      </c>
      <c r="BET1738" s="631">
        <f t="shared" ref="BET1738" si="202">BEJ1738</f>
        <v>8</v>
      </c>
      <c r="BEU1738" s="657" t="s">
        <v>2</v>
      </c>
      <c r="BEV1738" s="736"/>
      <c r="BEW1738" s="737"/>
      <c r="BEX1738" s="665" t="s">
        <v>1413</v>
      </c>
      <c r="BEZ1738" s="629">
        <v>8</v>
      </c>
      <c r="BFA1738" s="662"/>
      <c r="BFB1738" s="631"/>
      <c r="BFC1738" s="631"/>
      <c r="BFD1738" s="631"/>
      <c r="BFE1738" s="631"/>
      <c r="BFF1738" s="631"/>
      <c r="BFG1738" s="631"/>
      <c r="BFH1738" s="631"/>
      <c r="BFI1738" s="666" t="s">
        <v>799</v>
      </c>
      <c r="BFJ1738" s="631">
        <f t="shared" ref="BFJ1738" si="203">BEZ1738</f>
        <v>8</v>
      </c>
      <c r="BFK1738" s="657" t="s">
        <v>2</v>
      </c>
      <c r="BFL1738" s="736"/>
      <c r="BFM1738" s="737"/>
      <c r="BFN1738" s="665" t="s">
        <v>1413</v>
      </c>
      <c r="BFP1738" s="629">
        <v>8</v>
      </c>
      <c r="BFQ1738" s="662"/>
      <c r="BFR1738" s="631"/>
      <c r="BFS1738" s="631"/>
      <c r="BFT1738" s="631"/>
      <c r="BFU1738" s="631"/>
      <c r="BFV1738" s="631"/>
      <c r="BFW1738" s="631"/>
      <c r="BFX1738" s="631"/>
      <c r="BFY1738" s="666" t="s">
        <v>799</v>
      </c>
      <c r="BFZ1738" s="631">
        <f t="shared" ref="BFZ1738" si="204">BFP1738</f>
        <v>8</v>
      </c>
      <c r="BGA1738" s="657" t="s">
        <v>2</v>
      </c>
      <c r="BGB1738" s="736"/>
      <c r="BGC1738" s="737"/>
      <c r="BGD1738" s="665" t="s">
        <v>1413</v>
      </c>
      <c r="BGF1738" s="629">
        <v>8</v>
      </c>
      <c r="BGG1738" s="662"/>
      <c r="BGH1738" s="631"/>
      <c r="BGI1738" s="631"/>
      <c r="BGJ1738" s="631"/>
      <c r="BGK1738" s="631"/>
      <c r="BGL1738" s="631"/>
      <c r="BGM1738" s="631"/>
      <c r="BGN1738" s="631"/>
      <c r="BGO1738" s="666" t="s">
        <v>799</v>
      </c>
      <c r="BGP1738" s="631">
        <f t="shared" ref="BGP1738" si="205">BGF1738</f>
        <v>8</v>
      </c>
      <c r="BGQ1738" s="657" t="s">
        <v>2</v>
      </c>
      <c r="BGR1738" s="736"/>
      <c r="BGS1738" s="737"/>
      <c r="BGT1738" s="665" t="s">
        <v>1413</v>
      </c>
      <c r="BGV1738" s="629">
        <v>8</v>
      </c>
      <c r="BGW1738" s="662"/>
      <c r="BGX1738" s="631"/>
      <c r="BGY1738" s="631"/>
      <c r="BGZ1738" s="631"/>
      <c r="BHA1738" s="631"/>
      <c r="BHB1738" s="631"/>
      <c r="BHC1738" s="631"/>
      <c r="BHD1738" s="631"/>
      <c r="BHE1738" s="666" t="s">
        <v>799</v>
      </c>
      <c r="BHF1738" s="631">
        <f t="shared" ref="BHF1738" si="206">BGV1738</f>
        <v>8</v>
      </c>
      <c r="BHG1738" s="657" t="s">
        <v>2</v>
      </c>
      <c r="BHH1738" s="736"/>
      <c r="BHI1738" s="737"/>
      <c r="BHJ1738" s="665" t="s">
        <v>1413</v>
      </c>
      <c r="BHL1738" s="629">
        <v>8</v>
      </c>
      <c r="BHM1738" s="662"/>
      <c r="BHN1738" s="631"/>
      <c r="BHO1738" s="631"/>
      <c r="BHP1738" s="631"/>
      <c r="BHQ1738" s="631"/>
      <c r="BHR1738" s="631"/>
      <c r="BHS1738" s="631"/>
      <c r="BHT1738" s="631"/>
      <c r="BHU1738" s="666" t="s">
        <v>799</v>
      </c>
      <c r="BHV1738" s="631">
        <f t="shared" ref="BHV1738" si="207">BHL1738</f>
        <v>8</v>
      </c>
      <c r="BHW1738" s="657" t="s">
        <v>2</v>
      </c>
      <c r="BHX1738" s="736"/>
      <c r="BHY1738" s="737"/>
      <c r="BHZ1738" s="665" t="s">
        <v>1413</v>
      </c>
      <c r="BIB1738" s="629">
        <v>8</v>
      </c>
      <c r="BIC1738" s="662"/>
      <c r="BID1738" s="631"/>
      <c r="BIE1738" s="631"/>
      <c r="BIF1738" s="631"/>
      <c r="BIG1738" s="631"/>
      <c r="BIH1738" s="631"/>
      <c r="BII1738" s="631"/>
      <c r="BIJ1738" s="631"/>
      <c r="BIK1738" s="666" t="s">
        <v>799</v>
      </c>
      <c r="BIL1738" s="631">
        <f t="shared" ref="BIL1738" si="208">BIB1738</f>
        <v>8</v>
      </c>
      <c r="BIM1738" s="657" t="s">
        <v>2</v>
      </c>
      <c r="BIN1738" s="736"/>
      <c r="BIO1738" s="737"/>
      <c r="BIP1738" s="665" t="s">
        <v>1413</v>
      </c>
      <c r="BIR1738" s="629">
        <v>8</v>
      </c>
      <c r="BIS1738" s="662"/>
      <c r="BIT1738" s="631"/>
      <c r="BIU1738" s="631"/>
      <c r="BIV1738" s="631"/>
      <c r="BIW1738" s="631"/>
      <c r="BIX1738" s="631"/>
      <c r="BIY1738" s="631"/>
      <c r="BIZ1738" s="631"/>
      <c r="BJA1738" s="666" t="s">
        <v>799</v>
      </c>
      <c r="BJB1738" s="631">
        <f t="shared" ref="BJB1738" si="209">BIR1738</f>
        <v>8</v>
      </c>
      <c r="BJC1738" s="657" t="s">
        <v>2</v>
      </c>
      <c r="BJD1738" s="736"/>
      <c r="BJE1738" s="737"/>
      <c r="BJF1738" s="665" t="s">
        <v>1413</v>
      </c>
      <c r="BJH1738" s="629">
        <v>8</v>
      </c>
      <c r="BJI1738" s="662"/>
      <c r="BJJ1738" s="631"/>
      <c r="BJK1738" s="631"/>
      <c r="BJL1738" s="631"/>
      <c r="BJM1738" s="631"/>
      <c r="BJN1738" s="631"/>
      <c r="BJO1738" s="631"/>
      <c r="BJP1738" s="631"/>
      <c r="BJQ1738" s="666" t="s">
        <v>799</v>
      </c>
      <c r="BJR1738" s="631">
        <f t="shared" ref="BJR1738" si="210">BJH1738</f>
        <v>8</v>
      </c>
      <c r="BJS1738" s="657" t="s">
        <v>2</v>
      </c>
      <c r="BJT1738" s="736"/>
      <c r="BJU1738" s="737"/>
      <c r="BJV1738" s="665" t="s">
        <v>1413</v>
      </c>
      <c r="BJX1738" s="629">
        <v>8</v>
      </c>
      <c r="BJY1738" s="662"/>
      <c r="BJZ1738" s="631"/>
      <c r="BKA1738" s="631"/>
      <c r="BKB1738" s="631"/>
      <c r="BKC1738" s="631"/>
      <c r="BKD1738" s="631"/>
      <c r="BKE1738" s="631"/>
      <c r="BKF1738" s="631"/>
      <c r="BKG1738" s="666" t="s">
        <v>799</v>
      </c>
      <c r="BKH1738" s="631">
        <f t="shared" ref="BKH1738" si="211">BJX1738</f>
        <v>8</v>
      </c>
      <c r="BKI1738" s="657" t="s">
        <v>2</v>
      </c>
      <c r="BKJ1738" s="736"/>
      <c r="BKK1738" s="737"/>
      <c r="BKL1738" s="665" t="s">
        <v>1413</v>
      </c>
      <c r="BKN1738" s="629">
        <v>8</v>
      </c>
      <c r="BKO1738" s="662"/>
      <c r="BKP1738" s="631"/>
      <c r="BKQ1738" s="631"/>
      <c r="BKR1738" s="631"/>
      <c r="BKS1738" s="631"/>
      <c r="BKT1738" s="631"/>
      <c r="BKU1738" s="631"/>
      <c r="BKV1738" s="631"/>
      <c r="BKW1738" s="666" t="s">
        <v>799</v>
      </c>
      <c r="BKX1738" s="631">
        <f t="shared" ref="BKX1738" si="212">BKN1738</f>
        <v>8</v>
      </c>
      <c r="BKY1738" s="657" t="s">
        <v>2</v>
      </c>
      <c r="BKZ1738" s="736"/>
      <c r="BLA1738" s="737"/>
      <c r="BLB1738" s="665" t="s">
        <v>1413</v>
      </c>
      <c r="BLD1738" s="629">
        <v>8</v>
      </c>
      <c r="BLE1738" s="662"/>
      <c r="BLF1738" s="631"/>
      <c r="BLG1738" s="631"/>
      <c r="BLH1738" s="631"/>
      <c r="BLI1738" s="631"/>
      <c r="BLJ1738" s="631"/>
      <c r="BLK1738" s="631"/>
      <c r="BLL1738" s="631"/>
      <c r="BLM1738" s="666" t="s">
        <v>799</v>
      </c>
      <c r="BLN1738" s="631">
        <f t="shared" ref="BLN1738" si="213">BLD1738</f>
        <v>8</v>
      </c>
      <c r="BLO1738" s="657" t="s">
        <v>2</v>
      </c>
      <c r="BLP1738" s="736"/>
      <c r="BLQ1738" s="737"/>
      <c r="BLR1738" s="665" t="s">
        <v>1413</v>
      </c>
      <c r="BLT1738" s="629">
        <v>8</v>
      </c>
      <c r="BLU1738" s="662"/>
      <c r="BLV1738" s="631"/>
      <c r="BLW1738" s="631"/>
      <c r="BLX1738" s="631"/>
      <c r="BLY1738" s="631"/>
      <c r="BLZ1738" s="631"/>
      <c r="BMA1738" s="631"/>
      <c r="BMB1738" s="631"/>
      <c r="BMC1738" s="666" t="s">
        <v>799</v>
      </c>
      <c r="BMD1738" s="631">
        <f t="shared" ref="BMD1738" si="214">BLT1738</f>
        <v>8</v>
      </c>
      <c r="BME1738" s="657" t="s">
        <v>2</v>
      </c>
      <c r="BMF1738" s="736"/>
      <c r="BMG1738" s="737"/>
      <c r="BMH1738" s="665" t="s">
        <v>1413</v>
      </c>
      <c r="BMJ1738" s="629">
        <v>8</v>
      </c>
      <c r="BMK1738" s="662"/>
      <c r="BML1738" s="631"/>
      <c r="BMM1738" s="631"/>
      <c r="BMN1738" s="631"/>
      <c r="BMO1738" s="631"/>
      <c r="BMP1738" s="631"/>
      <c r="BMQ1738" s="631"/>
      <c r="BMR1738" s="631"/>
      <c r="BMS1738" s="666" t="s">
        <v>799</v>
      </c>
      <c r="BMT1738" s="631">
        <f t="shared" ref="BMT1738" si="215">BMJ1738</f>
        <v>8</v>
      </c>
      <c r="BMU1738" s="657" t="s">
        <v>2</v>
      </c>
      <c r="BMV1738" s="736"/>
      <c r="BMW1738" s="737"/>
      <c r="BMX1738" s="665" t="s">
        <v>1413</v>
      </c>
      <c r="BMZ1738" s="629">
        <v>8</v>
      </c>
      <c r="BNA1738" s="662"/>
      <c r="BNB1738" s="631"/>
      <c r="BNC1738" s="631"/>
      <c r="BND1738" s="631"/>
      <c r="BNE1738" s="631"/>
      <c r="BNF1738" s="631"/>
      <c r="BNG1738" s="631"/>
      <c r="BNH1738" s="631"/>
      <c r="BNI1738" s="666" t="s">
        <v>799</v>
      </c>
      <c r="BNJ1738" s="631">
        <f t="shared" ref="BNJ1738" si="216">BMZ1738</f>
        <v>8</v>
      </c>
      <c r="BNK1738" s="657" t="s">
        <v>2</v>
      </c>
      <c r="BNL1738" s="736"/>
      <c r="BNM1738" s="737"/>
      <c r="BNN1738" s="665" t="s">
        <v>1413</v>
      </c>
      <c r="BNP1738" s="629">
        <v>8</v>
      </c>
      <c r="BNQ1738" s="662"/>
      <c r="BNR1738" s="631"/>
      <c r="BNS1738" s="631"/>
      <c r="BNT1738" s="631"/>
      <c r="BNU1738" s="631"/>
      <c r="BNV1738" s="631"/>
      <c r="BNW1738" s="631"/>
      <c r="BNX1738" s="631"/>
      <c r="BNY1738" s="666" t="s">
        <v>799</v>
      </c>
      <c r="BNZ1738" s="631">
        <f t="shared" ref="BNZ1738" si="217">BNP1738</f>
        <v>8</v>
      </c>
      <c r="BOA1738" s="657" t="s">
        <v>2</v>
      </c>
      <c r="BOB1738" s="736"/>
      <c r="BOC1738" s="737"/>
      <c r="BOD1738" s="665" t="s">
        <v>1413</v>
      </c>
      <c r="BOF1738" s="629">
        <v>8</v>
      </c>
      <c r="BOG1738" s="662"/>
      <c r="BOH1738" s="631"/>
      <c r="BOI1738" s="631"/>
      <c r="BOJ1738" s="631"/>
      <c r="BOK1738" s="631"/>
      <c r="BOL1738" s="631"/>
      <c r="BOM1738" s="631"/>
      <c r="BON1738" s="631"/>
      <c r="BOO1738" s="666" t="s">
        <v>799</v>
      </c>
      <c r="BOP1738" s="631">
        <f t="shared" ref="BOP1738" si="218">BOF1738</f>
        <v>8</v>
      </c>
      <c r="BOQ1738" s="657" t="s">
        <v>2</v>
      </c>
      <c r="BOR1738" s="736"/>
      <c r="BOS1738" s="737"/>
      <c r="BOT1738" s="665" t="s">
        <v>1413</v>
      </c>
      <c r="BOV1738" s="629">
        <v>8</v>
      </c>
      <c r="BOW1738" s="662"/>
      <c r="BOX1738" s="631"/>
      <c r="BOY1738" s="631"/>
      <c r="BOZ1738" s="631"/>
      <c r="BPA1738" s="631"/>
      <c r="BPB1738" s="631"/>
      <c r="BPC1738" s="631"/>
      <c r="BPD1738" s="631"/>
      <c r="BPE1738" s="666" t="s">
        <v>799</v>
      </c>
      <c r="BPF1738" s="631">
        <f t="shared" ref="BPF1738" si="219">BOV1738</f>
        <v>8</v>
      </c>
      <c r="BPG1738" s="657" t="s">
        <v>2</v>
      </c>
      <c r="BPH1738" s="736"/>
      <c r="BPI1738" s="737"/>
      <c r="BPJ1738" s="665" t="s">
        <v>1413</v>
      </c>
      <c r="BPL1738" s="629">
        <v>8</v>
      </c>
      <c r="BPM1738" s="662"/>
      <c r="BPN1738" s="631"/>
      <c r="BPO1738" s="631"/>
      <c r="BPP1738" s="631"/>
      <c r="BPQ1738" s="631"/>
      <c r="BPR1738" s="631"/>
      <c r="BPS1738" s="631"/>
      <c r="BPT1738" s="631"/>
      <c r="BPU1738" s="666" t="s">
        <v>799</v>
      </c>
      <c r="BPV1738" s="631">
        <f t="shared" ref="BPV1738" si="220">BPL1738</f>
        <v>8</v>
      </c>
      <c r="BPW1738" s="657" t="s">
        <v>2</v>
      </c>
      <c r="BPX1738" s="736"/>
      <c r="BPY1738" s="737"/>
      <c r="BPZ1738" s="665" t="s">
        <v>1413</v>
      </c>
      <c r="BQB1738" s="629">
        <v>8</v>
      </c>
      <c r="BQC1738" s="662"/>
      <c r="BQD1738" s="631"/>
      <c r="BQE1738" s="631"/>
      <c r="BQF1738" s="631"/>
      <c r="BQG1738" s="631"/>
      <c r="BQH1738" s="631"/>
      <c r="BQI1738" s="631"/>
      <c r="BQJ1738" s="631"/>
      <c r="BQK1738" s="666" t="s">
        <v>799</v>
      </c>
      <c r="BQL1738" s="631">
        <f t="shared" ref="BQL1738" si="221">BQB1738</f>
        <v>8</v>
      </c>
      <c r="BQM1738" s="657" t="s">
        <v>2</v>
      </c>
      <c r="BQN1738" s="736"/>
      <c r="BQO1738" s="737"/>
      <c r="BQP1738" s="665" t="s">
        <v>1413</v>
      </c>
      <c r="BQR1738" s="629">
        <v>8</v>
      </c>
      <c r="BQS1738" s="662"/>
      <c r="BQT1738" s="631"/>
      <c r="BQU1738" s="631"/>
      <c r="BQV1738" s="631"/>
      <c r="BQW1738" s="631"/>
      <c r="BQX1738" s="631"/>
      <c r="BQY1738" s="631"/>
      <c r="BQZ1738" s="631"/>
      <c r="BRA1738" s="666" t="s">
        <v>799</v>
      </c>
      <c r="BRB1738" s="631">
        <f t="shared" ref="BRB1738" si="222">BQR1738</f>
        <v>8</v>
      </c>
      <c r="BRC1738" s="657" t="s">
        <v>2</v>
      </c>
      <c r="BRD1738" s="736"/>
      <c r="BRE1738" s="737"/>
      <c r="BRF1738" s="665" t="s">
        <v>1413</v>
      </c>
      <c r="BRH1738" s="629">
        <v>8</v>
      </c>
      <c r="BRI1738" s="662"/>
      <c r="BRJ1738" s="631"/>
      <c r="BRK1738" s="631"/>
      <c r="BRL1738" s="631"/>
      <c r="BRM1738" s="631"/>
      <c r="BRN1738" s="631"/>
      <c r="BRO1738" s="631"/>
      <c r="BRP1738" s="631"/>
      <c r="BRQ1738" s="666" t="s">
        <v>799</v>
      </c>
      <c r="BRR1738" s="631">
        <f t="shared" ref="BRR1738" si="223">BRH1738</f>
        <v>8</v>
      </c>
      <c r="BRS1738" s="657" t="s">
        <v>2</v>
      </c>
      <c r="BRT1738" s="736"/>
      <c r="BRU1738" s="737"/>
      <c r="BRV1738" s="665" t="s">
        <v>1413</v>
      </c>
      <c r="BRX1738" s="629">
        <v>8</v>
      </c>
      <c r="BRY1738" s="662"/>
      <c r="BRZ1738" s="631"/>
      <c r="BSA1738" s="631"/>
      <c r="BSB1738" s="631"/>
      <c r="BSC1738" s="631"/>
      <c r="BSD1738" s="631"/>
      <c r="BSE1738" s="631"/>
      <c r="BSF1738" s="631"/>
      <c r="BSG1738" s="666" t="s">
        <v>799</v>
      </c>
      <c r="BSH1738" s="631">
        <f t="shared" ref="BSH1738" si="224">BRX1738</f>
        <v>8</v>
      </c>
      <c r="BSI1738" s="657" t="s">
        <v>2</v>
      </c>
      <c r="BSJ1738" s="736"/>
      <c r="BSK1738" s="737"/>
      <c r="BSL1738" s="665" t="s">
        <v>1413</v>
      </c>
      <c r="BSN1738" s="629">
        <v>8</v>
      </c>
      <c r="BSO1738" s="662"/>
      <c r="BSP1738" s="631"/>
      <c r="BSQ1738" s="631"/>
      <c r="BSR1738" s="631"/>
      <c r="BSS1738" s="631"/>
      <c r="BST1738" s="631"/>
      <c r="BSU1738" s="631"/>
      <c r="BSV1738" s="631"/>
      <c r="BSW1738" s="666" t="s">
        <v>799</v>
      </c>
      <c r="BSX1738" s="631">
        <f t="shared" ref="BSX1738" si="225">BSN1738</f>
        <v>8</v>
      </c>
      <c r="BSY1738" s="657" t="s">
        <v>2</v>
      </c>
      <c r="BSZ1738" s="736"/>
      <c r="BTA1738" s="737"/>
      <c r="BTB1738" s="665" t="s">
        <v>1413</v>
      </c>
      <c r="BTD1738" s="629">
        <v>8</v>
      </c>
      <c r="BTE1738" s="662"/>
      <c r="BTF1738" s="631"/>
      <c r="BTG1738" s="631"/>
      <c r="BTH1738" s="631"/>
      <c r="BTI1738" s="631"/>
      <c r="BTJ1738" s="631"/>
      <c r="BTK1738" s="631"/>
      <c r="BTL1738" s="631"/>
      <c r="BTM1738" s="666" t="s">
        <v>799</v>
      </c>
      <c r="BTN1738" s="631">
        <f t="shared" ref="BTN1738" si="226">BTD1738</f>
        <v>8</v>
      </c>
      <c r="BTO1738" s="657" t="s">
        <v>2</v>
      </c>
      <c r="BTP1738" s="736"/>
      <c r="BTQ1738" s="737"/>
      <c r="BTR1738" s="665" t="s">
        <v>1413</v>
      </c>
      <c r="BTT1738" s="629">
        <v>8</v>
      </c>
      <c r="BTU1738" s="662"/>
      <c r="BTV1738" s="631"/>
      <c r="BTW1738" s="631"/>
      <c r="BTX1738" s="631"/>
      <c r="BTY1738" s="631"/>
      <c r="BTZ1738" s="631"/>
      <c r="BUA1738" s="631"/>
      <c r="BUB1738" s="631"/>
      <c r="BUC1738" s="666" t="s">
        <v>799</v>
      </c>
      <c r="BUD1738" s="631">
        <f t="shared" ref="BUD1738" si="227">BTT1738</f>
        <v>8</v>
      </c>
      <c r="BUE1738" s="657" t="s">
        <v>2</v>
      </c>
      <c r="BUF1738" s="736"/>
      <c r="BUG1738" s="737"/>
      <c r="BUH1738" s="665" t="s">
        <v>1413</v>
      </c>
      <c r="BUJ1738" s="629">
        <v>8</v>
      </c>
      <c r="BUK1738" s="662"/>
      <c r="BUL1738" s="631"/>
      <c r="BUM1738" s="631"/>
      <c r="BUN1738" s="631"/>
      <c r="BUO1738" s="631"/>
      <c r="BUP1738" s="631"/>
      <c r="BUQ1738" s="631"/>
      <c r="BUR1738" s="631"/>
      <c r="BUS1738" s="666" t="s">
        <v>799</v>
      </c>
      <c r="BUT1738" s="631">
        <f t="shared" ref="BUT1738" si="228">BUJ1738</f>
        <v>8</v>
      </c>
      <c r="BUU1738" s="657" t="s">
        <v>2</v>
      </c>
      <c r="BUV1738" s="736"/>
      <c r="BUW1738" s="737"/>
      <c r="BUX1738" s="665" t="s">
        <v>1413</v>
      </c>
      <c r="BUZ1738" s="629">
        <v>8</v>
      </c>
      <c r="BVA1738" s="662"/>
      <c r="BVB1738" s="631"/>
      <c r="BVC1738" s="631"/>
      <c r="BVD1738" s="631"/>
      <c r="BVE1738" s="631"/>
      <c r="BVF1738" s="631"/>
      <c r="BVG1738" s="631"/>
      <c r="BVH1738" s="631"/>
      <c r="BVI1738" s="666" t="s">
        <v>799</v>
      </c>
      <c r="BVJ1738" s="631">
        <f t="shared" ref="BVJ1738" si="229">BUZ1738</f>
        <v>8</v>
      </c>
      <c r="BVK1738" s="657" t="s">
        <v>2</v>
      </c>
      <c r="BVL1738" s="736"/>
      <c r="BVM1738" s="737"/>
      <c r="BVN1738" s="665" t="s">
        <v>1413</v>
      </c>
      <c r="BVP1738" s="629">
        <v>8</v>
      </c>
      <c r="BVQ1738" s="662"/>
      <c r="BVR1738" s="631"/>
      <c r="BVS1738" s="631"/>
      <c r="BVT1738" s="631"/>
      <c r="BVU1738" s="631"/>
      <c r="BVV1738" s="631"/>
      <c r="BVW1738" s="631"/>
      <c r="BVX1738" s="631"/>
      <c r="BVY1738" s="666" t="s">
        <v>799</v>
      </c>
      <c r="BVZ1738" s="631">
        <f t="shared" ref="BVZ1738" si="230">BVP1738</f>
        <v>8</v>
      </c>
      <c r="BWA1738" s="657" t="s">
        <v>2</v>
      </c>
      <c r="BWB1738" s="736"/>
      <c r="BWC1738" s="737"/>
      <c r="BWD1738" s="665" t="s">
        <v>1413</v>
      </c>
      <c r="BWF1738" s="629">
        <v>8</v>
      </c>
      <c r="BWG1738" s="662"/>
      <c r="BWH1738" s="631"/>
      <c r="BWI1738" s="631"/>
      <c r="BWJ1738" s="631"/>
      <c r="BWK1738" s="631"/>
      <c r="BWL1738" s="631"/>
      <c r="BWM1738" s="631"/>
      <c r="BWN1738" s="631"/>
      <c r="BWO1738" s="666" t="s">
        <v>799</v>
      </c>
      <c r="BWP1738" s="631">
        <f t="shared" ref="BWP1738" si="231">BWF1738</f>
        <v>8</v>
      </c>
      <c r="BWQ1738" s="657" t="s">
        <v>2</v>
      </c>
      <c r="BWR1738" s="736"/>
      <c r="BWS1738" s="737"/>
      <c r="BWT1738" s="665" t="s">
        <v>1413</v>
      </c>
      <c r="BWV1738" s="629">
        <v>8</v>
      </c>
      <c r="BWW1738" s="662"/>
      <c r="BWX1738" s="631"/>
      <c r="BWY1738" s="631"/>
      <c r="BWZ1738" s="631"/>
      <c r="BXA1738" s="631"/>
      <c r="BXB1738" s="631"/>
      <c r="BXC1738" s="631"/>
      <c r="BXD1738" s="631"/>
      <c r="BXE1738" s="666" t="s">
        <v>799</v>
      </c>
      <c r="BXF1738" s="631">
        <f t="shared" ref="BXF1738" si="232">BWV1738</f>
        <v>8</v>
      </c>
      <c r="BXG1738" s="657" t="s">
        <v>2</v>
      </c>
      <c r="BXH1738" s="736"/>
      <c r="BXI1738" s="737"/>
      <c r="BXJ1738" s="665" t="s">
        <v>1413</v>
      </c>
      <c r="BXL1738" s="629">
        <v>8</v>
      </c>
      <c r="BXM1738" s="662"/>
      <c r="BXN1738" s="631"/>
      <c r="BXO1738" s="631"/>
      <c r="BXP1738" s="631"/>
      <c r="BXQ1738" s="631"/>
      <c r="BXR1738" s="631"/>
      <c r="BXS1738" s="631"/>
      <c r="BXT1738" s="631"/>
      <c r="BXU1738" s="666" t="s">
        <v>799</v>
      </c>
      <c r="BXV1738" s="631">
        <f t="shared" ref="BXV1738" si="233">BXL1738</f>
        <v>8</v>
      </c>
      <c r="BXW1738" s="657" t="s">
        <v>2</v>
      </c>
      <c r="BXX1738" s="736"/>
      <c r="BXY1738" s="737"/>
      <c r="BXZ1738" s="665" t="s">
        <v>1413</v>
      </c>
      <c r="BYB1738" s="629">
        <v>8</v>
      </c>
      <c r="BYC1738" s="662"/>
      <c r="BYD1738" s="631"/>
      <c r="BYE1738" s="631"/>
      <c r="BYF1738" s="631"/>
      <c r="BYG1738" s="631"/>
      <c r="BYH1738" s="631"/>
      <c r="BYI1738" s="631"/>
      <c r="BYJ1738" s="631"/>
      <c r="BYK1738" s="666" t="s">
        <v>799</v>
      </c>
      <c r="BYL1738" s="631">
        <f t="shared" ref="BYL1738" si="234">BYB1738</f>
        <v>8</v>
      </c>
      <c r="BYM1738" s="657" t="s">
        <v>2</v>
      </c>
      <c r="BYN1738" s="736"/>
      <c r="BYO1738" s="737"/>
      <c r="BYP1738" s="665" t="s">
        <v>1413</v>
      </c>
      <c r="BYR1738" s="629">
        <v>8</v>
      </c>
      <c r="BYS1738" s="662"/>
      <c r="BYT1738" s="631"/>
      <c r="BYU1738" s="631"/>
      <c r="BYV1738" s="631"/>
      <c r="BYW1738" s="631"/>
      <c r="BYX1738" s="631"/>
      <c r="BYY1738" s="631"/>
      <c r="BYZ1738" s="631"/>
      <c r="BZA1738" s="666" t="s">
        <v>799</v>
      </c>
      <c r="BZB1738" s="631">
        <f t="shared" ref="BZB1738" si="235">BYR1738</f>
        <v>8</v>
      </c>
      <c r="BZC1738" s="657" t="s">
        <v>2</v>
      </c>
      <c r="BZD1738" s="736"/>
      <c r="BZE1738" s="737"/>
      <c r="BZF1738" s="665" t="s">
        <v>1413</v>
      </c>
      <c r="BZH1738" s="629">
        <v>8</v>
      </c>
      <c r="BZI1738" s="662"/>
      <c r="BZJ1738" s="631"/>
      <c r="BZK1738" s="631"/>
      <c r="BZL1738" s="631"/>
      <c r="BZM1738" s="631"/>
      <c r="BZN1738" s="631"/>
      <c r="BZO1738" s="631"/>
      <c r="BZP1738" s="631"/>
      <c r="BZQ1738" s="666" t="s">
        <v>799</v>
      </c>
      <c r="BZR1738" s="631">
        <f t="shared" ref="BZR1738" si="236">BZH1738</f>
        <v>8</v>
      </c>
      <c r="BZS1738" s="657" t="s">
        <v>2</v>
      </c>
      <c r="BZT1738" s="736"/>
      <c r="BZU1738" s="737"/>
      <c r="BZV1738" s="665" t="s">
        <v>1413</v>
      </c>
      <c r="BZX1738" s="629">
        <v>8</v>
      </c>
      <c r="BZY1738" s="662"/>
      <c r="BZZ1738" s="631"/>
      <c r="CAA1738" s="631"/>
      <c r="CAB1738" s="631"/>
      <c r="CAC1738" s="631"/>
      <c r="CAD1738" s="631"/>
      <c r="CAE1738" s="631"/>
      <c r="CAF1738" s="631"/>
      <c r="CAG1738" s="666" t="s">
        <v>799</v>
      </c>
      <c r="CAH1738" s="631">
        <f t="shared" ref="CAH1738" si="237">BZX1738</f>
        <v>8</v>
      </c>
      <c r="CAI1738" s="657" t="s">
        <v>2</v>
      </c>
      <c r="CAJ1738" s="736"/>
      <c r="CAK1738" s="737"/>
      <c r="CAL1738" s="665" t="s">
        <v>1413</v>
      </c>
      <c r="CAN1738" s="629">
        <v>8</v>
      </c>
      <c r="CAO1738" s="662"/>
      <c r="CAP1738" s="631"/>
      <c r="CAQ1738" s="631"/>
      <c r="CAR1738" s="631"/>
      <c r="CAS1738" s="631"/>
      <c r="CAT1738" s="631"/>
      <c r="CAU1738" s="631"/>
      <c r="CAV1738" s="631"/>
      <c r="CAW1738" s="666" t="s">
        <v>799</v>
      </c>
      <c r="CAX1738" s="631">
        <f t="shared" ref="CAX1738" si="238">CAN1738</f>
        <v>8</v>
      </c>
      <c r="CAY1738" s="657" t="s">
        <v>2</v>
      </c>
      <c r="CAZ1738" s="736"/>
      <c r="CBA1738" s="737"/>
      <c r="CBB1738" s="665" t="s">
        <v>1413</v>
      </c>
      <c r="CBD1738" s="629">
        <v>8</v>
      </c>
      <c r="CBE1738" s="662"/>
      <c r="CBF1738" s="631"/>
      <c r="CBG1738" s="631"/>
      <c r="CBH1738" s="631"/>
      <c r="CBI1738" s="631"/>
      <c r="CBJ1738" s="631"/>
      <c r="CBK1738" s="631"/>
      <c r="CBL1738" s="631"/>
      <c r="CBM1738" s="666" t="s">
        <v>799</v>
      </c>
      <c r="CBN1738" s="631">
        <f t="shared" ref="CBN1738" si="239">CBD1738</f>
        <v>8</v>
      </c>
      <c r="CBO1738" s="657" t="s">
        <v>2</v>
      </c>
      <c r="CBP1738" s="736"/>
      <c r="CBQ1738" s="737"/>
      <c r="CBR1738" s="665" t="s">
        <v>1413</v>
      </c>
      <c r="CBT1738" s="629">
        <v>8</v>
      </c>
      <c r="CBU1738" s="662"/>
      <c r="CBV1738" s="631"/>
      <c r="CBW1738" s="631"/>
      <c r="CBX1738" s="631"/>
      <c r="CBY1738" s="631"/>
      <c r="CBZ1738" s="631"/>
      <c r="CCA1738" s="631"/>
      <c r="CCB1738" s="631"/>
      <c r="CCC1738" s="666" t="s">
        <v>799</v>
      </c>
      <c r="CCD1738" s="631">
        <f t="shared" ref="CCD1738" si="240">CBT1738</f>
        <v>8</v>
      </c>
      <c r="CCE1738" s="657" t="s">
        <v>2</v>
      </c>
      <c r="CCF1738" s="736"/>
      <c r="CCG1738" s="737"/>
      <c r="CCH1738" s="665" t="s">
        <v>1413</v>
      </c>
      <c r="CCJ1738" s="629">
        <v>8</v>
      </c>
      <c r="CCK1738" s="662"/>
      <c r="CCL1738" s="631"/>
      <c r="CCM1738" s="631"/>
      <c r="CCN1738" s="631"/>
      <c r="CCO1738" s="631"/>
      <c r="CCP1738" s="631"/>
      <c r="CCQ1738" s="631"/>
      <c r="CCR1738" s="631"/>
      <c r="CCS1738" s="666" t="s">
        <v>799</v>
      </c>
      <c r="CCT1738" s="631">
        <f t="shared" ref="CCT1738" si="241">CCJ1738</f>
        <v>8</v>
      </c>
      <c r="CCU1738" s="657" t="s">
        <v>2</v>
      </c>
      <c r="CCV1738" s="736"/>
      <c r="CCW1738" s="737"/>
      <c r="CCX1738" s="665" t="s">
        <v>1413</v>
      </c>
      <c r="CCZ1738" s="629">
        <v>8</v>
      </c>
      <c r="CDA1738" s="662"/>
      <c r="CDB1738" s="631"/>
      <c r="CDC1738" s="631"/>
      <c r="CDD1738" s="631"/>
      <c r="CDE1738" s="631"/>
      <c r="CDF1738" s="631"/>
      <c r="CDG1738" s="631"/>
      <c r="CDH1738" s="631"/>
      <c r="CDI1738" s="666" t="s">
        <v>799</v>
      </c>
      <c r="CDJ1738" s="631">
        <f t="shared" ref="CDJ1738" si="242">CCZ1738</f>
        <v>8</v>
      </c>
      <c r="CDK1738" s="657" t="s">
        <v>2</v>
      </c>
      <c r="CDL1738" s="736"/>
      <c r="CDM1738" s="737"/>
      <c r="CDN1738" s="665" t="s">
        <v>1413</v>
      </c>
      <c r="CDP1738" s="629">
        <v>8</v>
      </c>
      <c r="CDQ1738" s="662"/>
      <c r="CDR1738" s="631"/>
      <c r="CDS1738" s="631"/>
      <c r="CDT1738" s="631"/>
      <c r="CDU1738" s="631"/>
      <c r="CDV1738" s="631"/>
      <c r="CDW1738" s="631"/>
      <c r="CDX1738" s="631"/>
      <c r="CDY1738" s="666" t="s">
        <v>799</v>
      </c>
      <c r="CDZ1738" s="631">
        <f t="shared" ref="CDZ1738" si="243">CDP1738</f>
        <v>8</v>
      </c>
      <c r="CEA1738" s="657" t="s">
        <v>2</v>
      </c>
      <c r="CEB1738" s="736"/>
      <c r="CEC1738" s="737"/>
      <c r="CED1738" s="665" t="s">
        <v>1413</v>
      </c>
      <c r="CEF1738" s="629">
        <v>8</v>
      </c>
      <c r="CEG1738" s="662"/>
      <c r="CEH1738" s="631"/>
      <c r="CEI1738" s="631"/>
      <c r="CEJ1738" s="631"/>
      <c r="CEK1738" s="631"/>
      <c r="CEL1738" s="631"/>
      <c r="CEM1738" s="631"/>
      <c r="CEN1738" s="631"/>
      <c r="CEO1738" s="666" t="s">
        <v>799</v>
      </c>
      <c r="CEP1738" s="631">
        <f t="shared" ref="CEP1738" si="244">CEF1738</f>
        <v>8</v>
      </c>
      <c r="CEQ1738" s="657" t="s">
        <v>2</v>
      </c>
      <c r="CER1738" s="736"/>
      <c r="CES1738" s="737"/>
      <c r="CET1738" s="665" t="s">
        <v>1413</v>
      </c>
      <c r="CEV1738" s="629">
        <v>8</v>
      </c>
      <c r="CEW1738" s="662"/>
      <c r="CEX1738" s="631"/>
      <c r="CEY1738" s="631"/>
      <c r="CEZ1738" s="631"/>
      <c r="CFA1738" s="631"/>
      <c r="CFB1738" s="631"/>
      <c r="CFC1738" s="631"/>
      <c r="CFD1738" s="631"/>
      <c r="CFE1738" s="666" t="s">
        <v>799</v>
      </c>
      <c r="CFF1738" s="631">
        <f t="shared" ref="CFF1738" si="245">CEV1738</f>
        <v>8</v>
      </c>
      <c r="CFG1738" s="657" t="s">
        <v>2</v>
      </c>
      <c r="CFH1738" s="736"/>
      <c r="CFI1738" s="737"/>
      <c r="CFJ1738" s="665" t="s">
        <v>1413</v>
      </c>
      <c r="CFL1738" s="629">
        <v>8</v>
      </c>
      <c r="CFM1738" s="662"/>
      <c r="CFN1738" s="631"/>
      <c r="CFO1738" s="631"/>
      <c r="CFP1738" s="631"/>
      <c r="CFQ1738" s="631"/>
      <c r="CFR1738" s="631"/>
      <c r="CFS1738" s="631"/>
      <c r="CFT1738" s="631"/>
      <c r="CFU1738" s="666" t="s">
        <v>799</v>
      </c>
      <c r="CFV1738" s="631">
        <f t="shared" ref="CFV1738" si="246">CFL1738</f>
        <v>8</v>
      </c>
      <c r="CFW1738" s="657" t="s">
        <v>2</v>
      </c>
      <c r="CFX1738" s="736"/>
      <c r="CFY1738" s="737"/>
      <c r="CFZ1738" s="665" t="s">
        <v>1413</v>
      </c>
      <c r="CGB1738" s="629">
        <v>8</v>
      </c>
      <c r="CGC1738" s="662"/>
      <c r="CGD1738" s="631"/>
      <c r="CGE1738" s="631"/>
      <c r="CGF1738" s="631"/>
      <c r="CGG1738" s="631"/>
      <c r="CGH1738" s="631"/>
      <c r="CGI1738" s="631"/>
      <c r="CGJ1738" s="631"/>
      <c r="CGK1738" s="666" t="s">
        <v>799</v>
      </c>
      <c r="CGL1738" s="631">
        <f t="shared" ref="CGL1738" si="247">CGB1738</f>
        <v>8</v>
      </c>
      <c r="CGM1738" s="657" t="s">
        <v>2</v>
      </c>
      <c r="CGN1738" s="736"/>
      <c r="CGO1738" s="737"/>
      <c r="CGP1738" s="665" t="s">
        <v>1413</v>
      </c>
      <c r="CGR1738" s="629">
        <v>8</v>
      </c>
      <c r="CGS1738" s="662"/>
      <c r="CGT1738" s="631"/>
      <c r="CGU1738" s="631"/>
      <c r="CGV1738" s="631"/>
      <c r="CGW1738" s="631"/>
      <c r="CGX1738" s="631"/>
      <c r="CGY1738" s="631"/>
      <c r="CGZ1738" s="631"/>
      <c r="CHA1738" s="666" t="s">
        <v>799</v>
      </c>
      <c r="CHB1738" s="631">
        <f t="shared" ref="CHB1738" si="248">CGR1738</f>
        <v>8</v>
      </c>
      <c r="CHC1738" s="657" t="s">
        <v>2</v>
      </c>
      <c r="CHD1738" s="736"/>
      <c r="CHE1738" s="737"/>
      <c r="CHF1738" s="665" t="s">
        <v>1413</v>
      </c>
      <c r="CHH1738" s="629">
        <v>8</v>
      </c>
      <c r="CHI1738" s="662"/>
      <c r="CHJ1738" s="631"/>
      <c r="CHK1738" s="631"/>
      <c r="CHL1738" s="631"/>
      <c r="CHM1738" s="631"/>
      <c r="CHN1738" s="631"/>
      <c r="CHO1738" s="631"/>
      <c r="CHP1738" s="631"/>
      <c r="CHQ1738" s="666" t="s">
        <v>799</v>
      </c>
      <c r="CHR1738" s="631">
        <f t="shared" ref="CHR1738" si="249">CHH1738</f>
        <v>8</v>
      </c>
      <c r="CHS1738" s="657" t="s">
        <v>2</v>
      </c>
      <c r="CHT1738" s="736"/>
      <c r="CHU1738" s="737"/>
      <c r="CHV1738" s="665" t="s">
        <v>1413</v>
      </c>
      <c r="CHX1738" s="629">
        <v>8</v>
      </c>
      <c r="CHY1738" s="662"/>
      <c r="CHZ1738" s="631"/>
      <c r="CIA1738" s="631"/>
      <c r="CIB1738" s="631"/>
      <c r="CIC1738" s="631"/>
      <c r="CID1738" s="631"/>
      <c r="CIE1738" s="631"/>
      <c r="CIF1738" s="631"/>
      <c r="CIG1738" s="666" t="s">
        <v>799</v>
      </c>
      <c r="CIH1738" s="631">
        <f t="shared" ref="CIH1738" si="250">CHX1738</f>
        <v>8</v>
      </c>
      <c r="CII1738" s="657" t="s">
        <v>2</v>
      </c>
      <c r="CIJ1738" s="736"/>
      <c r="CIK1738" s="737"/>
      <c r="CIL1738" s="665" t="s">
        <v>1413</v>
      </c>
      <c r="CIN1738" s="629">
        <v>8</v>
      </c>
      <c r="CIO1738" s="662"/>
      <c r="CIP1738" s="631"/>
      <c r="CIQ1738" s="631"/>
      <c r="CIR1738" s="631"/>
      <c r="CIS1738" s="631"/>
      <c r="CIT1738" s="631"/>
      <c r="CIU1738" s="631"/>
      <c r="CIV1738" s="631"/>
      <c r="CIW1738" s="666" t="s">
        <v>799</v>
      </c>
      <c r="CIX1738" s="631">
        <f t="shared" ref="CIX1738" si="251">CIN1738</f>
        <v>8</v>
      </c>
      <c r="CIY1738" s="657" t="s">
        <v>2</v>
      </c>
      <c r="CIZ1738" s="736"/>
      <c r="CJA1738" s="737"/>
      <c r="CJB1738" s="665" t="s">
        <v>1413</v>
      </c>
      <c r="CJD1738" s="629">
        <v>8</v>
      </c>
      <c r="CJE1738" s="662"/>
      <c r="CJF1738" s="631"/>
      <c r="CJG1738" s="631"/>
      <c r="CJH1738" s="631"/>
      <c r="CJI1738" s="631"/>
      <c r="CJJ1738" s="631"/>
      <c r="CJK1738" s="631"/>
      <c r="CJL1738" s="631"/>
      <c r="CJM1738" s="666" t="s">
        <v>799</v>
      </c>
      <c r="CJN1738" s="631">
        <f t="shared" ref="CJN1738" si="252">CJD1738</f>
        <v>8</v>
      </c>
      <c r="CJO1738" s="657" t="s">
        <v>2</v>
      </c>
      <c r="CJP1738" s="736"/>
      <c r="CJQ1738" s="737"/>
      <c r="CJR1738" s="665" t="s">
        <v>1413</v>
      </c>
      <c r="CJT1738" s="629">
        <v>8</v>
      </c>
      <c r="CJU1738" s="662"/>
      <c r="CJV1738" s="631"/>
      <c r="CJW1738" s="631"/>
      <c r="CJX1738" s="631"/>
      <c r="CJY1738" s="631"/>
      <c r="CJZ1738" s="631"/>
      <c r="CKA1738" s="631"/>
      <c r="CKB1738" s="631"/>
      <c r="CKC1738" s="666" t="s">
        <v>799</v>
      </c>
      <c r="CKD1738" s="631">
        <f t="shared" ref="CKD1738" si="253">CJT1738</f>
        <v>8</v>
      </c>
      <c r="CKE1738" s="657" t="s">
        <v>2</v>
      </c>
      <c r="CKF1738" s="736"/>
      <c r="CKG1738" s="737"/>
      <c r="CKH1738" s="665" t="s">
        <v>1413</v>
      </c>
      <c r="CKJ1738" s="629">
        <v>8</v>
      </c>
      <c r="CKK1738" s="662"/>
      <c r="CKL1738" s="631"/>
      <c r="CKM1738" s="631"/>
      <c r="CKN1738" s="631"/>
      <c r="CKO1738" s="631"/>
      <c r="CKP1738" s="631"/>
      <c r="CKQ1738" s="631"/>
      <c r="CKR1738" s="631"/>
      <c r="CKS1738" s="666" t="s">
        <v>799</v>
      </c>
      <c r="CKT1738" s="631">
        <f t="shared" ref="CKT1738" si="254">CKJ1738</f>
        <v>8</v>
      </c>
      <c r="CKU1738" s="657" t="s">
        <v>2</v>
      </c>
      <c r="CKV1738" s="736"/>
      <c r="CKW1738" s="737"/>
      <c r="CKX1738" s="665" t="s">
        <v>1413</v>
      </c>
      <c r="CKZ1738" s="629">
        <v>8</v>
      </c>
      <c r="CLA1738" s="662"/>
      <c r="CLB1738" s="631"/>
      <c r="CLC1738" s="631"/>
      <c r="CLD1738" s="631"/>
      <c r="CLE1738" s="631"/>
      <c r="CLF1738" s="631"/>
      <c r="CLG1738" s="631"/>
      <c r="CLH1738" s="631"/>
      <c r="CLI1738" s="666" t="s">
        <v>799</v>
      </c>
      <c r="CLJ1738" s="631">
        <f t="shared" ref="CLJ1738" si="255">CKZ1738</f>
        <v>8</v>
      </c>
      <c r="CLK1738" s="657" t="s">
        <v>2</v>
      </c>
      <c r="CLL1738" s="736"/>
      <c r="CLM1738" s="737"/>
      <c r="CLN1738" s="665" t="s">
        <v>1413</v>
      </c>
      <c r="CLP1738" s="629">
        <v>8</v>
      </c>
      <c r="CLQ1738" s="662"/>
      <c r="CLR1738" s="631"/>
      <c r="CLS1738" s="631"/>
      <c r="CLT1738" s="631"/>
      <c r="CLU1738" s="631"/>
      <c r="CLV1738" s="631"/>
      <c r="CLW1738" s="631"/>
      <c r="CLX1738" s="631"/>
      <c r="CLY1738" s="666" t="s">
        <v>799</v>
      </c>
      <c r="CLZ1738" s="631">
        <f t="shared" ref="CLZ1738" si="256">CLP1738</f>
        <v>8</v>
      </c>
      <c r="CMA1738" s="657" t="s">
        <v>2</v>
      </c>
      <c r="CMB1738" s="736"/>
      <c r="CMC1738" s="737"/>
      <c r="CMD1738" s="665" t="s">
        <v>1413</v>
      </c>
      <c r="CMF1738" s="629">
        <v>8</v>
      </c>
      <c r="CMG1738" s="662"/>
      <c r="CMH1738" s="631"/>
      <c r="CMI1738" s="631"/>
      <c r="CMJ1738" s="631"/>
      <c r="CMK1738" s="631"/>
      <c r="CML1738" s="631"/>
      <c r="CMM1738" s="631"/>
      <c r="CMN1738" s="631"/>
      <c r="CMO1738" s="666" t="s">
        <v>799</v>
      </c>
      <c r="CMP1738" s="631">
        <f t="shared" ref="CMP1738" si="257">CMF1738</f>
        <v>8</v>
      </c>
      <c r="CMQ1738" s="657" t="s">
        <v>2</v>
      </c>
      <c r="CMR1738" s="736"/>
      <c r="CMS1738" s="737"/>
      <c r="CMT1738" s="665" t="s">
        <v>1413</v>
      </c>
      <c r="CMV1738" s="629">
        <v>8</v>
      </c>
      <c r="CMW1738" s="662"/>
      <c r="CMX1738" s="631"/>
      <c r="CMY1738" s="631"/>
      <c r="CMZ1738" s="631"/>
      <c r="CNA1738" s="631"/>
      <c r="CNB1738" s="631"/>
      <c r="CNC1738" s="631"/>
      <c r="CND1738" s="631"/>
      <c r="CNE1738" s="666" t="s">
        <v>799</v>
      </c>
      <c r="CNF1738" s="631">
        <f t="shared" ref="CNF1738" si="258">CMV1738</f>
        <v>8</v>
      </c>
      <c r="CNG1738" s="657" t="s">
        <v>2</v>
      </c>
      <c r="CNH1738" s="736"/>
      <c r="CNI1738" s="737"/>
      <c r="CNJ1738" s="665" t="s">
        <v>1413</v>
      </c>
      <c r="CNL1738" s="629">
        <v>8</v>
      </c>
      <c r="CNM1738" s="662"/>
      <c r="CNN1738" s="631"/>
      <c r="CNO1738" s="631"/>
      <c r="CNP1738" s="631"/>
      <c r="CNQ1738" s="631"/>
      <c r="CNR1738" s="631"/>
      <c r="CNS1738" s="631"/>
      <c r="CNT1738" s="631"/>
      <c r="CNU1738" s="666" t="s">
        <v>799</v>
      </c>
      <c r="CNV1738" s="631">
        <f t="shared" ref="CNV1738" si="259">CNL1738</f>
        <v>8</v>
      </c>
      <c r="CNW1738" s="657" t="s">
        <v>2</v>
      </c>
      <c r="CNX1738" s="736"/>
      <c r="CNY1738" s="737"/>
      <c r="CNZ1738" s="665" t="s">
        <v>1413</v>
      </c>
      <c r="COB1738" s="629">
        <v>8</v>
      </c>
      <c r="COC1738" s="662"/>
      <c r="COD1738" s="631"/>
      <c r="COE1738" s="631"/>
      <c r="COF1738" s="631"/>
      <c r="COG1738" s="631"/>
      <c r="COH1738" s="631"/>
      <c r="COI1738" s="631"/>
      <c r="COJ1738" s="631"/>
      <c r="COK1738" s="666" t="s">
        <v>799</v>
      </c>
      <c r="COL1738" s="631">
        <f t="shared" ref="COL1738" si="260">COB1738</f>
        <v>8</v>
      </c>
      <c r="COM1738" s="657" t="s">
        <v>2</v>
      </c>
      <c r="CON1738" s="736"/>
      <c r="COO1738" s="737"/>
      <c r="COP1738" s="665" t="s">
        <v>1413</v>
      </c>
      <c r="COR1738" s="629">
        <v>8</v>
      </c>
      <c r="COS1738" s="662"/>
      <c r="COT1738" s="631"/>
      <c r="COU1738" s="631"/>
      <c r="COV1738" s="631"/>
      <c r="COW1738" s="631"/>
      <c r="COX1738" s="631"/>
      <c r="COY1738" s="631"/>
      <c r="COZ1738" s="631"/>
      <c r="CPA1738" s="666" t="s">
        <v>799</v>
      </c>
      <c r="CPB1738" s="631">
        <f t="shared" ref="CPB1738" si="261">COR1738</f>
        <v>8</v>
      </c>
      <c r="CPC1738" s="657" t="s">
        <v>2</v>
      </c>
      <c r="CPD1738" s="736"/>
      <c r="CPE1738" s="737"/>
      <c r="CPF1738" s="665" t="s">
        <v>1413</v>
      </c>
      <c r="CPH1738" s="629">
        <v>8</v>
      </c>
      <c r="CPI1738" s="662"/>
      <c r="CPJ1738" s="631"/>
      <c r="CPK1738" s="631"/>
      <c r="CPL1738" s="631"/>
      <c r="CPM1738" s="631"/>
      <c r="CPN1738" s="631"/>
      <c r="CPO1738" s="631"/>
      <c r="CPP1738" s="631"/>
      <c r="CPQ1738" s="666" t="s">
        <v>799</v>
      </c>
      <c r="CPR1738" s="631">
        <f t="shared" ref="CPR1738" si="262">CPH1738</f>
        <v>8</v>
      </c>
      <c r="CPS1738" s="657" t="s">
        <v>2</v>
      </c>
      <c r="CPT1738" s="736"/>
      <c r="CPU1738" s="737"/>
      <c r="CPV1738" s="665" t="s">
        <v>1413</v>
      </c>
      <c r="CPX1738" s="629">
        <v>8</v>
      </c>
      <c r="CPY1738" s="662"/>
      <c r="CPZ1738" s="631"/>
      <c r="CQA1738" s="631"/>
      <c r="CQB1738" s="631"/>
      <c r="CQC1738" s="631"/>
      <c r="CQD1738" s="631"/>
      <c r="CQE1738" s="631"/>
      <c r="CQF1738" s="631"/>
      <c r="CQG1738" s="666" t="s">
        <v>799</v>
      </c>
      <c r="CQH1738" s="631">
        <f t="shared" ref="CQH1738" si="263">CPX1738</f>
        <v>8</v>
      </c>
      <c r="CQI1738" s="657" t="s">
        <v>2</v>
      </c>
      <c r="CQJ1738" s="736"/>
      <c r="CQK1738" s="737"/>
      <c r="CQL1738" s="665" t="s">
        <v>1413</v>
      </c>
      <c r="CQN1738" s="629">
        <v>8</v>
      </c>
      <c r="CQO1738" s="662"/>
      <c r="CQP1738" s="631"/>
      <c r="CQQ1738" s="631"/>
      <c r="CQR1738" s="631"/>
      <c r="CQS1738" s="631"/>
      <c r="CQT1738" s="631"/>
      <c r="CQU1738" s="631"/>
      <c r="CQV1738" s="631"/>
      <c r="CQW1738" s="666" t="s">
        <v>799</v>
      </c>
      <c r="CQX1738" s="631">
        <f t="shared" ref="CQX1738" si="264">CQN1738</f>
        <v>8</v>
      </c>
      <c r="CQY1738" s="657" t="s">
        <v>2</v>
      </c>
      <c r="CQZ1738" s="736"/>
      <c r="CRA1738" s="737"/>
      <c r="CRB1738" s="665" t="s">
        <v>1413</v>
      </c>
      <c r="CRD1738" s="629">
        <v>8</v>
      </c>
      <c r="CRE1738" s="662"/>
      <c r="CRF1738" s="631"/>
      <c r="CRG1738" s="631"/>
      <c r="CRH1738" s="631"/>
      <c r="CRI1738" s="631"/>
      <c r="CRJ1738" s="631"/>
      <c r="CRK1738" s="631"/>
      <c r="CRL1738" s="631"/>
      <c r="CRM1738" s="666" t="s">
        <v>799</v>
      </c>
      <c r="CRN1738" s="631">
        <f t="shared" ref="CRN1738" si="265">CRD1738</f>
        <v>8</v>
      </c>
      <c r="CRO1738" s="657" t="s">
        <v>2</v>
      </c>
      <c r="CRP1738" s="736"/>
      <c r="CRQ1738" s="737"/>
      <c r="CRR1738" s="665" t="s">
        <v>1413</v>
      </c>
      <c r="CRT1738" s="629">
        <v>8</v>
      </c>
      <c r="CRU1738" s="662"/>
      <c r="CRV1738" s="631"/>
      <c r="CRW1738" s="631"/>
      <c r="CRX1738" s="631"/>
      <c r="CRY1738" s="631"/>
      <c r="CRZ1738" s="631"/>
      <c r="CSA1738" s="631"/>
      <c r="CSB1738" s="631"/>
      <c r="CSC1738" s="666" t="s">
        <v>799</v>
      </c>
      <c r="CSD1738" s="631">
        <f t="shared" ref="CSD1738" si="266">CRT1738</f>
        <v>8</v>
      </c>
      <c r="CSE1738" s="657" t="s">
        <v>2</v>
      </c>
      <c r="CSF1738" s="736"/>
      <c r="CSG1738" s="737"/>
      <c r="CSH1738" s="665" t="s">
        <v>1413</v>
      </c>
      <c r="CSJ1738" s="629">
        <v>8</v>
      </c>
      <c r="CSK1738" s="662"/>
      <c r="CSL1738" s="631"/>
      <c r="CSM1738" s="631"/>
      <c r="CSN1738" s="631"/>
      <c r="CSO1738" s="631"/>
      <c r="CSP1738" s="631"/>
      <c r="CSQ1738" s="631"/>
      <c r="CSR1738" s="631"/>
      <c r="CSS1738" s="666" t="s">
        <v>799</v>
      </c>
      <c r="CST1738" s="631">
        <f t="shared" ref="CST1738" si="267">CSJ1738</f>
        <v>8</v>
      </c>
      <c r="CSU1738" s="657" t="s">
        <v>2</v>
      </c>
      <c r="CSV1738" s="736"/>
      <c r="CSW1738" s="737"/>
      <c r="CSX1738" s="665" t="s">
        <v>1413</v>
      </c>
      <c r="CSZ1738" s="629">
        <v>8</v>
      </c>
      <c r="CTA1738" s="662"/>
      <c r="CTB1738" s="631"/>
      <c r="CTC1738" s="631"/>
      <c r="CTD1738" s="631"/>
      <c r="CTE1738" s="631"/>
      <c r="CTF1738" s="631"/>
      <c r="CTG1738" s="631"/>
      <c r="CTH1738" s="631"/>
      <c r="CTI1738" s="666" t="s">
        <v>799</v>
      </c>
      <c r="CTJ1738" s="631">
        <f t="shared" ref="CTJ1738" si="268">CSZ1738</f>
        <v>8</v>
      </c>
      <c r="CTK1738" s="657" t="s">
        <v>2</v>
      </c>
      <c r="CTL1738" s="736"/>
      <c r="CTM1738" s="737"/>
      <c r="CTN1738" s="665" t="s">
        <v>1413</v>
      </c>
      <c r="CTP1738" s="629">
        <v>8</v>
      </c>
      <c r="CTQ1738" s="662"/>
      <c r="CTR1738" s="631"/>
      <c r="CTS1738" s="631"/>
      <c r="CTT1738" s="631"/>
      <c r="CTU1738" s="631"/>
      <c r="CTV1738" s="631"/>
      <c r="CTW1738" s="631"/>
      <c r="CTX1738" s="631"/>
      <c r="CTY1738" s="666" t="s">
        <v>799</v>
      </c>
      <c r="CTZ1738" s="631">
        <f t="shared" ref="CTZ1738" si="269">CTP1738</f>
        <v>8</v>
      </c>
      <c r="CUA1738" s="657" t="s">
        <v>2</v>
      </c>
      <c r="CUB1738" s="736"/>
      <c r="CUC1738" s="737"/>
      <c r="CUD1738" s="665" t="s">
        <v>1413</v>
      </c>
      <c r="CUF1738" s="629">
        <v>8</v>
      </c>
      <c r="CUG1738" s="662"/>
      <c r="CUH1738" s="631"/>
      <c r="CUI1738" s="631"/>
      <c r="CUJ1738" s="631"/>
      <c r="CUK1738" s="631"/>
      <c r="CUL1738" s="631"/>
      <c r="CUM1738" s="631"/>
      <c r="CUN1738" s="631"/>
      <c r="CUO1738" s="666" t="s">
        <v>799</v>
      </c>
      <c r="CUP1738" s="631">
        <f t="shared" ref="CUP1738" si="270">CUF1738</f>
        <v>8</v>
      </c>
      <c r="CUQ1738" s="657" t="s">
        <v>2</v>
      </c>
      <c r="CUR1738" s="736"/>
      <c r="CUS1738" s="737"/>
      <c r="CUT1738" s="665" t="s">
        <v>1413</v>
      </c>
      <c r="CUV1738" s="629">
        <v>8</v>
      </c>
      <c r="CUW1738" s="662"/>
      <c r="CUX1738" s="631"/>
      <c r="CUY1738" s="631"/>
      <c r="CUZ1738" s="631"/>
      <c r="CVA1738" s="631"/>
      <c r="CVB1738" s="631"/>
      <c r="CVC1738" s="631"/>
      <c r="CVD1738" s="631"/>
      <c r="CVE1738" s="666" t="s">
        <v>799</v>
      </c>
      <c r="CVF1738" s="631">
        <f t="shared" ref="CVF1738" si="271">CUV1738</f>
        <v>8</v>
      </c>
      <c r="CVG1738" s="657" t="s">
        <v>2</v>
      </c>
      <c r="CVH1738" s="736"/>
      <c r="CVI1738" s="737"/>
      <c r="CVJ1738" s="665" t="s">
        <v>1413</v>
      </c>
      <c r="CVL1738" s="629">
        <v>8</v>
      </c>
      <c r="CVM1738" s="662"/>
      <c r="CVN1738" s="631"/>
      <c r="CVO1738" s="631"/>
      <c r="CVP1738" s="631"/>
      <c r="CVQ1738" s="631"/>
      <c r="CVR1738" s="631"/>
      <c r="CVS1738" s="631"/>
      <c r="CVT1738" s="631"/>
      <c r="CVU1738" s="666" t="s">
        <v>799</v>
      </c>
      <c r="CVV1738" s="631">
        <f t="shared" ref="CVV1738" si="272">CVL1738</f>
        <v>8</v>
      </c>
      <c r="CVW1738" s="657" t="s">
        <v>2</v>
      </c>
      <c r="CVX1738" s="736"/>
      <c r="CVY1738" s="737"/>
      <c r="CVZ1738" s="665" t="s">
        <v>1413</v>
      </c>
      <c r="CWB1738" s="629">
        <v>8</v>
      </c>
      <c r="CWC1738" s="662"/>
      <c r="CWD1738" s="631"/>
      <c r="CWE1738" s="631"/>
      <c r="CWF1738" s="631"/>
      <c r="CWG1738" s="631"/>
      <c r="CWH1738" s="631"/>
      <c r="CWI1738" s="631"/>
      <c r="CWJ1738" s="631"/>
      <c r="CWK1738" s="666" t="s">
        <v>799</v>
      </c>
      <c r="CWL1738" s="631">
        <f t="shared" ref="CWL1738" si="273">CWB1738</f>
        <v>8</v>
      </c>
      <c r="CWM1738" s="657" t="s">
        <v>2</v>
      </c>
      <c r="CWN1738" s="736"/>
      <c r="CWO1738" s="737"/>
      <c r="CWP1738" s="665" t="s">
        <v>1413</v>
      </c>
      <c r="CWR1738" s="629">
        <v>8</v>
      </c>
      <c r="CWS1738" s="662"/>
      <c r="CWT1738" s="631"/>
      <c r="CWU1738" s="631"/>
      <c r="CWV1738" s="631"/>
      <c r="CWW1738" s="631"/>
      <c r="CWX1738" s="631"/>
      <c r="CWY1738" s="631"/>
      <c r="CWZ1738" s="631"/>
      <c r="CXA1738" s="666" t="s">
        <v>799</v>
      </c>
      <c r="CXB1738" s="631">
        <f t="shared" ref="CXB1738" si="274">CWR1738</f>
        <v>8</v>
      </c>
      <c r="CXC1738" s="657" t="s">
        <v>2</v>
      </c>
      <c r="CXD1738" s="736"/>
      <c r="CXE1738" s="737"/>
      <c r="CXF1738" s="665" t="s">
        <v>1413</v>
      </c>
      <c r="CXH1738" s="629">
        <v>8</v>
      </c>
      <c r="CXI1738" s="662"/>
      <c r="CXJ1738" s="631"/>
      <c r="CXK1738" s="631"/>
      <c r="CXL1738" s="631"/>
      <c r="CXM1738" s="631"/>
      <c r="CXN1738" s="631"/>
      <c r="CXO1738" s="631"/>
      <c r="CXP1738" s="631"/>
      <c r="CXQ1738" s="666" t="s">
        <v>799</v>
      </c>
      <c r="CXR1738" s="631">
        <f t="shared" ref="CXR1738" si="275">CXH1738</f>
        <v>8</v>
      </c>
      <c r="CXS1738" s="657" t="s">
        <v>2</v>
      </c>
      <c r="CXT1738" s="736"/>
      <c r="CXU1738" s="737"/>
      <c r="CXV1738" s="665" t="s">
        <v>1413</v>
      </c>
      <c r="CXX1738" s="629">
        <v>8</v>
      </c>
      <c r="CXY1738" s="662"/>
      <c r="CXZ1738" s="631"/>
      <c r="CYA1738" s="631"/>
      <c r="CYB1738" s="631"/>
      <c r="CYC1738" s="631"/>
      <c r="CYD1738" s="631"/>
      <c r="CYE1738" s="631"/>
      <c r="CYF1738" s="631"/>
      <c r="CYG1738" s="666" t="s">
        <v>799</v>
      </c>
      <c r="CYH1738" s="631">
        <f t="shared" ref="CYH1738" si="276">CXX1738</f>
        <v>8</v>
      </c>
      <c r="CYI1738" s="657" t="s">
        <v>2</v>
      </c>
      <c r="CYJ1738" s="736"/>
      <c r="CYK1738" s="737"/>
      <c r="CYL1738" s="665" t="s">
        <v>1413</v>
      </c>
      <c r="CYN1738" s="629">
        <v>8</v>
      </c>
      <c r="CYO1738" s="662"/>
      <c r="CYP1738" s="631"/>
      <c r="CYQ1738" s="631"/>
      <c r="CYR1738" s="631"/>
      <c r="CYS1738" s="631"/>
      <c r="CYT1738" s="631"/>
      <c r="CYU1738" s="631"/>
      <c r="CYV1738" s="631"/>
      <c r="CYW1738" s="666" t="s">
        <v>799</v>
      </c>
      <c r="CYX1738" s="631">
        <f t="shared" ref="CYX1738" si="277">CYN1738</f>
        <v>8</v>
      </c>
      <c r="CYY1738" s="657" t="s">
        <v>2</v>
      </c>
      <c r="CYZ1738" s="736"/>
      <c r="CZA1738" s="737"/>
      <c r="CZB1738" s="665" t="s">
        <v>1413</v>
      </c>
      <c r="CZD1738" s="629">
        <v>8</v>
      </c>
      <c r="CZE1738" s="662"/>
      <c r="CZF1738" s="631"/>
      <c r="CZG1738" s="631"/>
      <c r="CZH1738" s="631"/>
      <c r="CZI1738" s="631"/>
      <c r="CZJ1738" s="631"/>
      <c r="CZK1738" s="631"/>
      <c r="CZL1738" s="631"/>
      <c r="CZM1738" s="666" t="s">
        <v>799</v>
      </c>
      <c r="CZN1738" s="631">
        <f t="shared" ref="CZN1738" si="278">CZD1738</f>
        <v>8</v>
      </c>
      <c r="CZO1738" s="657" t="s">
        <v>2</v>
      </c>
      <c r="CZP1738" s="736"/>
      <c r="CZQ1738" s="737"/>
      <c r="CZR1738" s="665" t="s">
        <v>1413</v>
      </c>
      <c r="CZT1738" s="629">
        <v>8</v>
      </c>
      <c r="CZU1738" s="662"/>
      <c r="CZV1738" s="631"/>
      <c r="CZW1738" s="631"/>
      <c r="CZX1738" s="631"/>
      <c r="CZY1738" s="631"/>
      <c r="CZZ1738" s="631"/>
      <c r="DAA1738" s="631"/>
      <c r="DAB1738" s="631"/>
      <c r="DAC1738" s="666" t="s">
        <v>799</v>
      </c>
      <c r="DAD1738" s="631">
        <f t="shared" ref="DAD1738" si="279">CZT1738</f>
        <v>8</v>
      </c>
      <c r="DAE1738" s="657" t="s">
        <v>2</v>
      </c>
      <c r="DAF1738" s="736"/>
      <c r="DAG1738" s="737"/>
      <c r="DAH1738" s="665" t="s">
        <v>1413</v>
      </c>
      <c r="DAJ1738" s="629">
        <v>8</v>
      </c>
      <c r="DAK1738" s="662"/>
      <c r="DAL1738" s="631"/>
      <c r="DAM1738" s="631"/>
      <c r="DAN1738" s="631"/>
      <c r="DAO1738" s="631"/>
      <c r="DAP1738" s="631"/>
      <c r="DAQ1738" s="631"/>
      <c r="DAR1738" s="631"/>
      <c r="DAS1738" s="666" t="s">
        <v>799</v>
      </c>
      <c r="DAT1738" s="631">
        <f t="shared" ref="DAT1738" si="280">DAJ1738</f>
        <v>8</v>
      </c>
      <c r="DAU1738" s="657" t="s">
        <v>2</v>
      </c>
      <c r="DAV1738" s="736"/>
      <c r="DAW1738" s="737"/>
      <c r="DAX1738" s="665" t="s">
        <v>1413</v>
      </c>
      <c r="DAZ1738" s="629">
        <v>8</v>
      </c>
      <c r="DBA1738" s="662"/>
      <c r="DBB1738" s="631"/>
      <c r="DBC1738" s="631"/>
      <c r="DBD1738" s="631"/>
      <c r="DBE1738" s="631"/>
      <c r="DBF1738" s="631"/>
      <c r="DBG1738" s="631"/>
      <c r="DBH1738" s="631"/>
      <c r="DBI1738" s="666" t="s">
        <v>799</v>
      </c>
      <c r="DBJ1738" s="631">
        <f t="shared" ref="DBJ1738" si="281">DAZ1738</f>
        <v>8</v>
      </c>
      <c r="DBK1738" s="657" t="s">
        <v>2</v>
      </c>
      <c r="DBL1738" s="736"/>
      <c r="DBM1738" s="737"/>
      <c r="DBN1738" s="665" t="s">
        <v>1413</v>
      </c>
      <c r="DBP1738" s="629">
        <v>8</v>
      </c>
      <c r="DBQ1738" s="662"/>
      <c r="DBR1738" s="631"/>
      <c r="DBS1738" s="631"/>
      <c r="DBT1738" s="631"/>
      <c r="DBU1738" s="631"/>
      <c r="DBV1738" s="631"/>
      <c r="DBW1738" s="631"/>
      <c r="DBX1738" s="631"/>
      <c r="DBY1738" s="666" t="s">
        <v>799</v>
      </c>
      <c r="DBZ1738" s="631">
        <f t="shared" ref="DBZ1738" si="282">DBP1738</f>
        <v>8</v>
      </c>
      <c r="DCA1738" s="657" t="s">
        <v>2</v>
      </c>
      <c r="DCB1738" s="736"/>
      <c r="DCC1738" s="737"/>
      <c r="DCD1738" s="665" t="s">
        <v>1413</v>
      </c>
      <c r="DCF1738" s="629">
        <v>8</v>
      </c>
      <c r="DCG1738" s="662"/>
      <c r="DCH1738" s="631"/>
      <c r="DCI1738" s="631"/>
      <c r="DCJ1738" s="631"/>
      <c r="DCK1738" s="631"/>
      <c r="DCL1738" s="631"/>
      <c r="DCM1738" s="631"/>
      <c r="DCN1738" s="631"/>
      <c r="DCO1738" s="666" t="s">
        <v>799</v>
      </c>
      <c r="DCP1738" s="631">
        <f t="shared" ref="DCP1738" si="283">DCF1738</f>
        <v>8</v>
      </c>
      <c r="DCQ1738" s="657" t="s">
        <v>2</v>
      </c>
      <c r="DCR1738" s="736"/>
      <c r="DCS1738" s="737"/>
      <c r="DCT1738" s="665" t="s">
        <v>1413</v>
      </c>
      <c r="DCV1738" s="629">
        <v>8</v>
      </c>
      <c r="DCW1738" s="662"/>
      <c r="DCX1738" s="631"/>
      <c r="DCY1738" s="631"/>
      <c r="DCZ1738" s="631"/>
      <c r="DDA1738" s="631"/>
      <c r="DDB1738" s="631"/>
      <c r="DDC1738" s="631"/>
      <c r="DDD1738" s="631"/>
      <c r="DDE1738" s="666" t="s">
        <v>799</v>
      </c>
      <c r="DDF1738" s="631">
        <f t="shared" ref="DDF1738" si="284">DCV1738</f>
        <v>8</v>
      </c>
      <c r="DDG1738" s="657" t="s">
        <v>2</v>
      </c>
      <c r="DDH1738" s="736"/>
      <c r="DDI1738" s="737"/>
      <c r="DDJ1738" s="665" t="s">
        <v>1413</v>
      </c>
      <c r="DDL1738" s="629">
        <v>8</v>
      </c>
      <c r="DDM1738" s="662"/>
      <c r="DDN1738" s="631"/>
      <c r="DDO1738" s="631"/>
      <c r="DDP1738" s="631"/>
      <c r="DDQ1738" s="631"/>
      <c r="DDR1738" s="631"/>
      <c r="DDS1738" s="631"/>
      <c r="DDT1738" s="631"/>
      <c r="DDU1738" s="666" t="s">
        <v>799</v>
      </c>
      <c r="DDV1738" s="631">
        <f t="shared" ref="DDV1738" si="285">DDL1738</f>
        <v>8</v>
      </c>
      <c r="DDW1738" s="657" t="s">
        <v>2</v>
      </c>
      <c r="DDX1738" s="736"/>
      <c r="DDY1738" s="737"/>
      <c r="DDZ1738" s="665" t="s">
        <v>1413</v>
      </c>
      <c r="DEB1738" s="629">
        <v>8</v>
      </c>
      <c r="DEC1738" s="662"/>
      <c r="DED1738" s="631"/>
      <c r="DEE1738" s="631"/>
      <c r="DEF1738" s="631"/>
      <c r="DEG1738" s="631"/>
      <c r="DEH1738" s="631"/>
      <c r="DEI1738" s="631"/>
      <c r="DEJ1738" s="631"/>
      <c r="DEK1738" s="666" t="s">
        <v>799</v>
      </c>
      <c r="DEL1738" s="631">
        <f t="shared" ref="DEL1738" si="286">DEB1738</f>
        <v>8</v>
      </c>
      <c r="DEM1738" s="657" t="s">
        <v>2</v>
      </c>
      <c r="DEN1738" s="736"/>
      <c r="DEO1738" s="737"/>
      <c r="DEP1738" s="665" t="s">
        <v>1413</v>
      </c>
      <c r="DER1738" s="629">
        <v>8</v>
      </c>
      <c r="DES1738" s="662"/>
      <c r="DET1738" s="631"/>
      <c r="DEU1738" s="631"/>
      <c r="DEV1738" s="631"/>
      <c r="DEW1738" s="631"/>
      <c r="DEX1738" s="631"/>
      <c r="DEY1738" s="631"/>
      <c r="DEZ1738" s="631"/>
      <c r="DFA1738" s="666" t="s">
        <v>799</v>
      </c>
      <c r="DFB1738" s="631">
        <f t="shared" ref="DFB1738" si="287">DER1738</f>
        <v>8</v>
      </c>
      <c r="DFC1738" s="657" t="s">
        <v>2</v>
      </c>
      <c r="DFD1738" s="736"/>
      <c r="DFE1738" s="737"/>
      <c r="DFF1738" s="665" t="s">
        <v>1413</v>
      </c>
      <c r="DFH1738" s="629">
        <v>8</v>
      </c>
      <c r="DFI1738" s="662"/>
      <c r="DFJ1738" s="631"/>
      <c r="DFK1738" s="631"/>
      <c r="DFL1738" s="631"/>
      <c r="DFM1738" s="631"/>
      <c r="DFN1738" s="631"/>
      <c r="DFO1738" s="631"/>
      <c r="DFP1738" s="631"/>
      <c r="DFQ1738" s="666" t="s">
        <v>799</v>
      </c>
      <c r="DFR1738" s="631">
        <f t="shared" ref="DFR1738" si="288">DFH1738</f>
        <v>8</v>
      </c>
      <c r="DFS1738" s="657" t="s">
        <v>2</v>
      </c>
      <c r="DFT1738" s="736"/>
      <c r="DFU1738" s="737"/>
      <c r="DFV1738" s="665" t="s">
        <v>1413</v>
      </c>
      <c r="DFX1738" s="629">
        <v>8</v>
      </c>
      <c r="DFY1738" s="662"/>
      <c r="DFZ1738" s="631"/>
      <c r="DGA1738" s="631"/>
      <c r="DGB1738" s="631"/>
      <c r="DGC1738" s="631"/>
      <c r="DGD1738" s="631"/>
      <c r="DGE1738" s="631"/>
      <c r="DGF1738" s="631"/>
      <c r="DGG1738" s="666" t="s">
        <v>799</v>
      </c>
      <c r="DGH1738" s="631">
        <f t="shared" ref="DGH1738" si="289">DFX1738</f>
        <v>8</v>
      </c>
      <c r="DGI1738" s="657" t="s">
        <v>2</v>
      </c>
      <c r="DGJ1738" s="736"/>
      <c r="DGK1738" s="737"/>
      <c r="DGL1738" s="665" t="s">
        <v>1413</v>
      </c>
      <c r="DGN1738" s="629">
        <v>8</v>
      </c>
      <c r="DGO1738" s="662"/>
      <c r="DGP1738" s="631"/>
      <c r="DGQ1738" s="631"/>
      <c r="DGR1738" s="631"/>
      <c r="DGS1738" s="631"/>
      <c r="DGT1738" s="631"/>
      <c r="DGU1738" s="631"/>
      <c r="DGV1738" s="631"/>
      <c r="DGW1738" s="666" t="s">
        <v>799</v>
      </c>
      <c r="DGX1738" s="631">
        <f t="shared" ref="DGX1738" si="290">DGN1738</f>
        <v>8</v>
      </c>
      <c r="DGY1738" s="657" t="s">
        <v>2</v>
      </c>
      <c r="DGZ1738" s="736"/>
      <c r="DHA1738" s="737"/>
      <c r="DHB1738" s="665" t="s">
        <v>1413</v>
      </c>
      <c r="DHD1738" s="629">
        <v>8</v>
      </c>
      <c r="DHE1738" s="662"/>
      <c r="DHF1738" s="631"/>
      <c r="DHG1738" s="631"/>
      <c r="DHH1738" s="631"/>
      <c r="DHI1738" s="631"/>
      <c r="DHJ1738" s="631"/>
      <c r="DHK1738" s="631"/>
      <c r="DHL1738" s="631"/>
      <c r="DHM1738" s="666" t="s">
        <v>799</v>
      </c>
      <c r="DHN1738" s="631">
        <f t="shared" ref="DHN1738" si="291">DHD1738</f>
        <v>8</v>
      </c>
      <c r="DHO1738" s="657" t="s">
        <v>2</v>
      </c>
      <c r="DHP1738" s="736"/>
      <c r="DHQ1738" s="737"/>
      <c r="DHR1738" s="665" t="s">
        <v>1413</v>
      </c>
      <c r="DHT1738" s="629">
        <v>8</v>
      </c>
      <c r="DHU1738" s="662"/>
      <c r="DHV1738" s="631"/>
      <c r="DHW1738" s="631"/>
      <c r="DHX1738" s="631"/>
      <c r="DHY1738" s="631"/>
      <c r="DHZ1738" s="631"/>
      <c r="DIA1738" s="631"/>
      <c r="DIB1738" s="631"/>
      <c r="DIC1738" s="666" t="s">
        <v>799</v>
      </c>
      <c r="DID1738" s="631">
        <f t="shared" ref="DID1738" si="292">DHT1738</f>
        <v>8</v>
      </c>
      <c r="DIE1738" s="657" t="s">
        <v>2</v>
      </c>
      <c r="DIF1738" s="736"/>
      <c r="DIG1738" s="737"/>
      <c r="DIH1738" s="665" t="s">
        <v>1413</v>
      </c>
      <c r="DIJ1738" s="629">
        <v>8</v>
      </c>
      <c r="DIK1738" s="662"/>
      <c r="DIL1738" s="631"/>
      <c r="DIM1738" s="631"/>
      <c r="DIN1738" s="631"/>
      <c r="DIO1738" s="631"/>
      <c r="DIP1738" s="631"/>
      <c r="DIQ1738" s="631"/>
      <c r="DIR1738" s="631"/>
      <c r="DIS1738" s="666" t="s">
        <v>799</v>
      </c>
      <c r="DIT1738" s="631">
        <f t="shared" ref="DIT1738" si="293">DIJ1738</f>
        <v>8</v>
      </c>
      <c r="DIU1738" s="657" t="s">
        <v>2</v>
      </c>
      <c r="DIV1738" s="736"/>
      <c r="DIW1738" s="737"/>
      <c r="DIX1738" s="665" t="s">
        <v>1413</v>
      </c>
      <c r="DIZ1738" s="629">
        <v>8</v>
      </c>
      <c r="DJA1738" s="662"/>
      <c r="DJB1738" s="631"/>
      <c r="DJC1738" s="631"/>
      <c r="DJD1738" s="631"/>
      <c r="DJE1738" s="631"/>
      <c r="DJF1738" s="631"/>
      <c r="DJG1738" s="631"/>
      <c r="DJH1738" s="631"/>
      <c r="DJI1738" s="666" t="s">
        <v>799</v>
      </c>
      <c r="DJJ1738" s="631">
        <f t="shared" ref="DJJ1738" si="294">DIZ1738</f>
        <v>8</v>
      </c>
      <c r="DJK1738" s="657" t="s">
        <v>2</v>
      </c>
      <c r="DJL1738" s="736"/>
      <c r="DJM1738" s="737"/>
      <c r="DJN1738" s="665" t="s">
        <v>1413</v>
      </c>
      <c r="DJP1738" s="629">
        <v>8</v>
      </c>
      <c r="DJQ1738" s="662"/>
      <c r="DJR1738" s="631"/>
      <c r="DJS1738" s="631"/>
      <c r="DJT1738" s="631"/>
      <c r="DJU1738" s="631"/>
      <c r="DJV1738" s="631"/>
      <c r="DJW1738" s="631"/>
      <c r="DJX1738" s="631"/>
      <c r="DJY1738" s="666" t="s">
        <v>799</v>
      </c>
      <c r="DJZ1738" s="631">
        <f t="shared" ref="DJZ1738" si="295">DJP1738</f>
        <v>8</v>
      </c>
      <c r="DKA1738" s="657" t="s">
        <v>2</v>
      </c>
      <c r="DKB1738" s="736"/>
      <c r="DKC1738" s="737"/>
      <c r="DKD1738" s="665" t="s">
        <v>1413</v>
      </c>
      <c r="DKF1738" s="629">
        <v>8</v>
      </c>
      <c r="DKG1738" s="662"/>
      <c r="DKH1738" s="631"/>
      <c r="DKI1738" s="631"/>
      <c r="DKJ1738" s="631"/>
      <c r="DKK1738" s="631"/>
      <c r="DKL1738" s="631"/>
      <c r="DKM1738" s="631"/>
      <c r="DKN1738" s="631"/>
      <c r="DKO1738" s="666" t="s">
        <v>799</v>
      </c>
      <c r="DKP1738" s="631">
        <f t="shared" ref="DKP1738" si="296">DKF1738</f>
        <v>8</v>
      </c>
      <c r="DKQ1738" s="657" t="s">
        <v>2</v>
      </c>
      <c r="DKR1738" s="736"/>
      <c r="DKS1738" s="737"/>
      <c r="DKT1738" s="665" t="s">
        <v>1413</v>
      </c>
      <c r="DKV1738" s="629">
        <v>8</v>
      </c>
      <c r="DKW1738" s="662"/>
      <c r="DKX1738" s="631"/>
      <c r="DKY1738" s="631"/>
      <c r="DKZ1738" s="631"/>
      <c r="DLA1738" s="631"/>
      <c r="DLB1738" s="631"/>
      <c r="DLC1738" s="631"/>
      <c r="DLD1738" s="631"/>
      <c r="DLE1738" s="666" t="s">
        <v>799</v>
      </c>
      <c r="DLF1738" s="631">
        <f t="shared" ref="DLF1738" si="297">DKV1738</f>
        <v>8</v>
      </c>
      <c r="DLG1738" s="657" t="s">
        <v>2</v>
      </c>
      <c r="DLH1738" s="736"/>
      <c r="DLI1738" s="737"/>
      <c r="DLJ1738" s="665" t="s">
        <v>1413</v>
      </c>
      <c r="DLL1738" s="629">
        <v>8</v>
      </c>
      <c r="DLM1738" s="662"/>
      <c r="DLN1738" s="631"/>
      <c r="DLO1738" s="631"/>
      <c r="DLP1738" s="631"/>
      <c r="DLQ1738" s="631"/>
      <c r="DLR1738" s="631"/>
      <c r="DLS1738" s="631"/>
      <c r="DLT1738" s="631"/>
      <c r="DLU1738" s="666" t="s">
        <v>799</v>
      </c>
      <c r="DLV1738" s="631">
        <f t="shared" ref="DLV1738" si="298">DLL1738</f>
        <v>8</v>
      </c>
      <c r="DLW1738" s="657" t="s">
        <v>2</v>
      </c>
      <c r="DLX1738" s="736"/>
      <c r="DLY1738" s="737"/>
      <c r="DLZ1738" s="665" t="s">
        <v>1413</v>
      </c>
      <c r="DMB1738" s="629">
        <v>8</v>
      </c>
      <c r="DMC1738" s="662"/>
      <c r="DMD1738" s="631"/>
      <c r="DME1738" s="631"/>
      <c r="DMF1738" s="631"/>
      <c r="DMG1738" s="631"/>
      <c r="DMH1738" s="631"/>
      <c r="DMI1738" s="631"/>
      <c r="DMJ1738" s="631"/>
      <c r="DMK1738" s="666" t="s">
        <v>799</v>
      </c>
      <c r="DML1738" s="631">
        <f t="shared" ref="DML1738" si="299">DMB1738</f>
        <v>8</v>
      </c>
      <c r="DMM1738" s="657" t="s">
        <v>2</v>
      </c>
      <c r="DMN1738" s="736"/>
      <c r="DMO1738" s="737"/>
      <c r="DMP1738" s="665" t="s">
        <v>1413</v>
      </c>
      <c r="DMR1738" s="629">
        <v>8</v>
      </c>
      <c r="DMS1738" s="662"/>
      <c r="DMT1738" s="631"/>
      <c r="DMU1738" s="631"/>
      <c r="DMV1738" s="631"/>
      <c r="DMW1738" s="631"/>
      <c r="DMX1738" s="631"/>
      <c r="DMY1738" s="631"/>
      <c r="DMZ1738" s="631"/>
      <c r="DNA1738" s="666" t="s">
        <v>799</v>
      </c>
      <c r="DNB1738" s="631">
        <f t="shared" ref="DNB1738" si="300">DMR1738</f>
        <v>8</v>
      </c>
      <c r="DNC1738" s="657" t="s">
        <v>2</v>
      </c>
      <c r="DND1738" s="736"/>
      <c r="DNE1738" s="737"/>
      <c r="DNF1738" s="665" t="s">
        <v>1413</v>
      </c>
      <c r="DNH1738" s="629">
        <v>8</v>
      </c>
      <c r="DNI1738" s="662"/>
      <c r="DNJ1738" s="631"/>
      <c r="DNK1738" s="631"/>
      <c r="DNL1738" s="631"/>
      <c r="DNM1738" s="631"/>
      <c r="DNN1738" s="631"/>
      <c r="DNO1738" s="631"/>
      <c r="DNP1738" s="631"/>
      <c r="DNQ1738" s="666" t="s">
        <v>799</v>
      </c>
      <c r="DNR1738" s="631">
        <f t="shared" ref="DNR1738" si="301">DNH1738</f>
        <v>8</v>
      </c>
      <c r="DNS1738" s="657" t="s">
        <v>2</v>
      </c>
      <c r="DNT1738" s="736"/>
      <c r="DNU1738" s="737"/>
      <c r="DNV1738" s="665" t="s">
        <v>1413</v>
      </c>
      <c r="DNX1738" s="629">
        <v>8</v>
      </c>
      <c r="DNY1738" s="662"/>
      <c r="DNZ1738" s="631"/>
      <c r="DOA1738" s="631"/>
      <c r="DOB1738" s="631"/>
      <c r="DOC1738" s="631"/>
      <c r="DOD1738" s="631"/>
      <c r="DOE1738" s="631"/>
      <c r="DOF1738" s="631"/>
      <c r="DOG1738" s="666" t="s">
        <v>799</v>
      </c>
      <c r="DOH1738" s="631">
        <f t="shared" ref="DOH1738" si="302">DNX1738</f>
        <v>8</v>
      </c>
      <c r="DOI1738" s="657" t="s">
        <v>2</v>
      </c>
      <c r="DOJ1738" s="736"/>
      <c r="DOK1738" s="737"/>
      <c r="DOL1738" s="665" t="s">
        <v>1413</v>
      </c>
      <c r="DON1738" s="629">
        <v>8</v>
      </c>
      <c r="DOO1738" s="662"/>
      <c r="DOP1738" s="631"/>
      <c r="DOQ1738" s="631"/>
      <c r="DOR1738" s="631"/>
      <c r="DOS1738" s="631"/>
      <c r="DOT1738" s="631"/>
      <c r="DOU1738" s="631"/>
      <c r="DOV1738" s="631"/>
      <c r="DOW1738" s="666" t="s">
        <v>799</v>
      </c>
      <c r="DOX1738" s="631">
        <f t="shared" ref="DOX1738" si="303">DON1738</f>
        <v>8</v>
      </c>
      <c r="DOY1738" s="657" t="s">
        <v>2</v>
      </c>
      <c r="DOZ1738" s="736"/>
      <c r="DPA1738" s="737"/>
      <c r="DPB1738" s="665" t="s">
        <v>1413</v>
      </c>
      <c r="DPD1738" s="629">
        <v>8</v>
      </c>
      <c r="DPE1738" s="662"/>
      <c r="DPF1738" s="631"/>
      <c r="DPG1738" s="631"/>
      <c r="DPH1738" s="631"/>
      <c r="DPI1738" s="631"/>
      <c r="DPJ1738" s="631"/>
      <c r="DPK1738" s="631"/>
      <c r="DPL1738" s="631"/>
      <c r="DPM1738" s="666" t="s">
        <v>799</v>
      </c>
      <c r="DPN1738" s="631">
        <f t="shared" ref="DPN1738" si="304">DPD1738</f>
        <v>8</v>
      </c>
      <c r="DPO1738" s="657" t="s">
        <v>2</v>
      </c>
      <c r="DPP1738" s="736"/>
      <c r="DPQ1738" s="737"/>
      <c r="DPR1738" s="665" t="s">
        <v>1413</v>
      </c>
      <c r="DPT1738" s="629">
        <v>8</v>
      </c>
      <c r="DPU1738" s="662"/>
      <c r="DPV1738" s="631"/>
      <c r="DPW1738" s="631"/>
      <c r="DPX1738" s="631"/>
      <c r="DPY1738" s="631"/>
      <c r="DPZ1738" s="631"/>
      <c r="DQA1738" s="631"/>
      <c r="DQB1738" s="631"/>
      <c r="DQC1738" s="666" t="s">
        <v>799</v>
      </c>
      <c r="DQD1738" s="631">
        <f t="shared" ref="DQD1738" si="305">DPT1738</f>
        <v>8</v>
      </c>
      <c r="DQE1738" s="657" t="s">
        <v>2</v>
      </c>
      <c r="DQF1738" s="736"/>
      <c r="DQG1738" s="737"/>
      <c r="DQH1738" s="665" t="s">
        <v>1413</v>
      </c>
      <c r="DQJ1738" s="629">
        <v>8</v>
      </c>
      <c r="DQK1738" s="662"/>
      <c r="DQL1738" s="631"/>
      <c r="DQM1738" s="631"/>
      <c r="DQN1738" s="631"/>
      <c r="DQO1738" s="631"/>
      <c r="DQP1738" s="631"/>
      <c r="DQQ1738" s="631"/>
      <c r="DQR1738" s="631"/>
      <c r="DQS1738" s="666" t="s">
        <v>799</v>
      </c>
      <c r="DQT1738" s="631">
        <f t="shared" ref="DQT1738" si="306">DQJ1738</f>
        <v>8</v>
      </c>
      <c r="DQU1738" s="657" t="s">
        <v>2</v>
      </c>
      <c r="DQV1738" s="736"/>
      <c r="DQW1738" s="737"/>
      <c r="DQX1738" s="665" t="s">
        <v>1413</v>
      </c>
      <c r="DQZ1738" s="629">
        <v>8</v>
      </c>
      <c r="DRA1738" s="662"/>
      <c r="DRB1738" s="631"/>
      <c r="DRC1738" s="631"/>
      <c r="DRD1738" s="631"/>
      <c r="DRE1738" s="631"/>
      <c r="DRF1738" s="631"/>
      <c r="DRG1738" s="631"/>
      <c r="DRH1738" s="631"/>
      <c r="DRI1738" s="666" t="s">
        <v>799</v>
      </c>
      <c r="DRJ1738" s="631">
        <f t="shared" ref="DRJ1738" si="307">DQZ1738</f>
        <v>8</v>
      </c>
      <c r="DRK1738" s="657" t="s">
        <v>2</v>
      </c>
      <c r="DRL1738" s="736"/>
      <c r="DRM1738" s="737"/>
      <c r="DRN1738" s="665" t="s">
        <v>1413</v>
      </c>
      <c r="DRP1738" s="629">
        <v>8</v>
      </c>
      <c r="DRQ1738" s="662"/>
      <c r="DRR1738" s="631"/>
      <c r="DRS1738" s="631"/>
      <c r="DRT1738" s="631"/>
      <c r="DRU1738" s="631"/>
      <c r="DRV1738" s="631"/>
      <c r="DRW1738" s="631"/>
      <c r="DRX1738" s="631"/>
      <c r="DRY1738" s="666" t="s">
        <v>799</v>
      </c>
      <c r="DRZ1738" s="631">
        <f t="shared" ref="DRZ1738" si="308">DRP1738</f>
        <v>8</v>
      </c>
      <c r="DSA1738" s="657" t="s">
        <v>2</v>
      </c>
      <c r="DSB1738" s="736"/>
      <c r="DSC1738" s="737"/>
      <c r="DSD1738" s="665" t="s">
        <v>1413</v>
      </c>
      <c r="DSF1738" s="629">
        <v>8</v>
      </c>
      <c r="DSG1738" s="662"/>
      <c r="DSH1738" s="631"/>
      <c r="DSI1738" s="631"/>
      <c r="DSJ1738" s="631"/>
      <c r="DSK1738" s="631"/>
      <c r="DSL1738" s="631"/>
      <c r="DSM1738" s="631"/>
      <c r="DSN1738" s="631"/>
      <c r="DSO1738" s="666" t="s">
        <v>799</v>
      </c>
      <c r="DSP1738" s="631">
        <f t="shared" ref="DSP1738" si="309">DSF1738</f>
        <v>8</v>
      </c>
      <c r="DSQ1738" s="657" t="s">
        <v>2</v>
      </c>
      <c r="DSR1738" s="736"/>
      <c r="DSS1738" s="737"/>
      <c r="DST1738" s="665" t="s">
        <v>1413</v>
      </c>
      <c r="DSV1738" s="629">
        <v>8</v>
      </c>
      <c r="DSW1738" s="662"/>
      <c r="DSX1738" s="631"/>
      <c r="DSY1738" s="631"/>
      <c r="DSZ1738" s="631"/>
      <c r="DTA1738" s="631"/>
      <c r="DTB1738" s="631"/>
      <c r="DTC1738" s="631"/>
      <c r="DTD1738" s="631"/>
      <c r="DTE1738" s="666" t="s">
        <v>799</v>
      </c>
      <c r="DTF1738" s="631">
        <f t="shared" ref="DTF1738" si="310">DSV1738</f>
        <v>8</v>
      </c>
      <c r="DTG1738" s="657" t="s">
        <v>2</v>
      </c>
      <c r="DTH1738" s="736"/>
      <c r="DTI1738" s="737"/>
      <c r="DTJ1738" s="665" t="s">
        <v>1413</v>
      </c>
      <c r="DTL1738" s="629">
        <v>8</v>
      </c>
      <c r="DTM1738" s="662"/>
      <c r="DTN1738" s="631"/>
      <c r="DTO1738" s="631"/>
      <c r="DTP1738" s="631"/>
      <c r="DTQ1738" s="631"/>
      <c r="DTR1738" s="631"/>
      <c r="DTS1738" s="631"/>
      <c r="DTT1738" s="631"/>
      <c r="DTU1738" s="666" t="s">
        <v>799</v>
      </c>
      <c r="DTV1738" s="631">
        <f t="shared" ref="DTV1738" si="311">DTL1738</f>
        <v>8</v>
      </c>
      <c r="DTW1738" s="657" t="s">
        <v>2</v>
      </c>
      <c r="DTX1738" s="736"/>
      <c r="DTY1738" s="737"/>
      <c r="DTZ1738" s="665" t="s">
        <v>1413</v>
      </c>
      <c r="DUB1738" s="629">
        <v>8</v>
      </c>
      <c r="DUC1738" s="662"/>
      <c r="DUD1738" s="631"/>
      <c r="DUE1738" s="631"/>
      <c r="DUF1738" s="631"/>
      <c r="DUG1738" s="631"/>
      <c r="DUH1738" s="631"/>
      <c r="DUI1738" s="631"/>
      <c r="DUJ1738" s="631"/>
      <c r="DUK1738" s="666" t="s">
        <v>799</v>
      </c>
      <c r="DUL1738" s="631">
        <f t="shared" ref="DUL1738" si="312">DUB1738</f>
        <v>8</v>
      </c>
      <c r="DUM1738" s="657" t="s">
        <v>2</v>
      </c>
      <c r="DUN1738" s="736"/>
      <c r="DUO1738" s="737"/>
      <c r="DUP1738" s="665" t="s">
        <v>1413</v>
      </c>
      <c r="DUR1738" s="629">
        <v>8</v>
      </c>
      <c r="DUS1738" s="662"/>
      <c r="DUT1738" s="631"/>
      <c r="DUU1738" s="631"/>
      <c r="DUV1738" s="631"/>
      <c r="DUW1738" s="631"/>
      <c r="DUX1738" s="631"/>
      <c r="DUY1738" s="631"/>
      <c r="DUZ1738" s="631"/>
      <c r="DVA1738" s="666" t="s">
        <v>799</v>
      </c>
      <c r="DVB1738" s="631">
        <f t="shared" ref="DVB1738" si="313">DUR1738</f>
        <v>8</v>
      </c>
      <c r="DVC1738" s="657" t="s">
        <v>2</v>
      </c>
      <c r="DVD1738" s="736"/>
      <c r="DVE1738" s="737"/>
      <c r="DVF1738" s="665" t="s">
        <v>1413</v>
      </c>
      <c r="DVH1738" s="629">
        <v>8</v>
      </c>
      <c r="DVI1738" s="662"/>
      <c r="DVJ1738" s="631"/>
      <c r="DVK1738" s="631"/>
      <c r="DVL1738" s="631"/>
      <c r="DVM1738" s="631"/>
      <c r="DVN1738" s="631"/>
      <c r="DVO1738" s="631"/>
      <c r="DVP1738" s="631"/>
      <c r="DVQ1738" s="666" t="s">
        <v>799</v>
      </c>
      <c r="DVR1738" s="631">
        <f t="shared" ref="DVR1738" si="314">DVH1738</f>
        <v>8</v>
      </c>
      <c r="DVS1738" s="657" t="s">
        <v>2</v>
      </c>
      <c r="DVT1738" s="736"/>
      <c r="DVU1738" s="737"/>
      <c r="DVV1738" s="665" t="s">
        <v>1413</v>
      </c>
      <c r="DVX1738" s="629">
        <v>8</v>
      </c>
      <c r="DVY1738" s="662"/>
      <c r="DVZ1738" s="631"/>
      <c r="DWA1738" s="631"/>
      <c r="DWB1738" s="631"/>
      <c r="DWC1738" s="631"/>
      <c r="DWD1738" s="631"/>
      <c r="DWE1738" s="631"/>
      <c r="DWF1738" s="631"/>
      <c r="DWG1738" s="666" t="s">
        <v>799</v>
      </c>
      <c r="DWH1738" s="631">
        <f t="shared" ref="DWH1738" si="315">DVX1738</f>
        <v>8</v>
      </c>
      <c r="DWI1738" s="657" t="s">
        <v>2</v>
      </c>
      <c r="DWJ1738" s="736"/>
      <c r="DWK1738" s="737"/>
      <c r="DWL1738" s="665" t="s">
        <v>1413</v>
      </c>
      <c r="DWN1738" s="629">
        <v>8</v>
      </c>
      <c r="DWO1738" s="662"/>
      <c r="DWP1738" s="631"/>
      <c r="DWQ1738" s="631"/>
      <c r="DWR1738" s="631"/>
      <c r="DWS1738" s="631"/>
      <c r="DWT1738" s="631"/>
      <c r="DWU1738" s="631"/>
      <c r="DWV1738" s="631"/>
      <c r="DWW1738" s="666" t="s">
        <v>799</v>
      </c>
      <c r="DWX1738" s="631">
        <f t="shared" ref="DWX1738" si="316">DWN1738</f>
        <v>8</v>
      </c>
      <c r="DWY1738" s="657" t="s">
        <v>2</v>
      </c>
      <c r="DWZ1738" s="736"/>
      <c r="DXA1738" s="737"/>
      <c r="DXB1738" s="665" t="s">
        <v>1413</v>
      </c>
      <c r="DXD1738" s="629">
        <v>8</v>
      </c>
      <c r="DXE1738" s="662"/>
      <c r="DXF1738" s="631"/>
      <c r="DXG1738" s="631"/>
      <c r="DXH1738" s="631"/>
      <c r="DXI1738" s="631"/>
      <c r="DXJ1738" s="631"/>
      <c r="DXK1738" s="631"/>
      <c r="DXL1738" s="631"/>
      <c r="DXM1738" s="666" t="s">
        <v>799</v>
      </c>
      <c r="DXN1738" s="631">
        <f t="shared" ref="DXN1738" si="317">DXD1738</f>
        <v>8</v>
      </c>
      <c r="DXO1738" s="657" t="s">
        <v>2</v>
      </c>
      <c r="DXP1738" s="736"/>
      <c r="DXQ1738" s="737"/>
      <c r="DXR1738" s="665" t="s">
        <v>1413</v>
      </c>
      <c r="DXT1738" s="629">
        <v>8</v>
      </c>
      <c r="DXU1738" s="662"/>
      <c r="DXV1738" s="631"/>
      <c r="DXW1738" s="631"/>
      <c r="DXX1738" s="631"/>
      <c r="DXY1738" s="631"/>
      <c r="DXZ1738" s="631"/>
      <c r="DYA1738" s="631"/>
      <c r="DYB1738" s="631"/>
      <c r="DYC1738" s="666" t="s">
        <v>799</v>
      </c>
      <c r="DYD1738" s="631">
        <f t="shared" ref="DYD1738" si="318">DXT1738</f>
        <v>8</v>
      </c>
      <c r="DYE1738" s="657" t="s">
        <v>2</v>
      </c>
      <c r="DYF1738" s="736"/>
      <c r="DYG1738" s="737"/>
      <c r="DYH1738" s="665" t="s">
        <v>1413</v>
      </c>
      <c r="DYJ1738" s="629">
        <v>8</v>
      </c>
      <c r="DYK1738" s="662"/>
      <c r="DYL1738" s="631"/>
      <c r="DYM1738" s="631"/>
      <c r="DYN1738" s="631"/>
      <c r="DYO1738" s="631"/>
      <c r="DYP1738" s="631"/>
      <c r="DYQ1738" s="631"/>
      <c r="DYR1738" s="631"/>
      <c r="DYS1738" s="666" t="s">
        <v>799</v>
      </c>
      <c r="DYT1738" s="631">
        <f t="shared" ref="DYT1738" si="319">DYJ1738</f>
        <v>8</v>
      </c>
      <c r="DYU1738" s="657" t="s">
        <v>2</v>
      </c>
      <c r="DYV1738" s="736"/>
      <c r="DYW1738" s="737"/>
      <c r="DYX1738" s="665" t="s">
        <v>1413</v>
      </c>
      <c r="DYZ1738" s="629">
        <v>8</v>
      </c>
      <c r="DZA1738" s="662"/>
      <c r="DZB1738" s="631"/>
      <c r="DZC1738" s="631"/>
      <c r="DZD1738" s="631"/>
      <c r="DZE1738" s="631"/>
      <c r="DZF1738" s="631"/>
      <c r="DZG1738" s="631"/>
      <c r="DZH1738" s="631"/>
      <c r="DZI1738" s="666" t="s">
        <v>799</v>
      </c>
      <c r="DZJ1738" s="631">
        <f t="shared" ref="DZJ1738" si="320">DYZ1738</f>
        <v>8</v>
      </c>
      <c r="DZK1738" s="657" t="s">
        <v>2</v>
      </c>
      <c r="DZL1738" s="736"/>
      <c r="DZM1738" s="737"/>
      <c r="DZN1738" s="665" t="s">
        <v>1413</v>
      </c>
      <c r="DZP1738" s="629">
        <v>8</v>
      </c>
      <c r="DZQ1738" s="662"/>
      <c r="DZR1738" s="631"/>
      <c r="DZS1738" s="631"/>
      <c r="DZT1738" s="631"/>
      <c r="DZU1738" s="631"/>
      <c r="DZV1738" s="631"/>
      <c r="DZW1738" s="631"/>
      <c r="DZX1738" s="631"/>
      <c r="DZY1738" s="666" t="s">
        <v>799</v>
      </c>
      <c r="DZZ1738" s="631">
        <f t="shared" ref="DZZ1738" si="321">DZP1738</f>
        <v>8</v>
      </c>
      <c r="EAA1738" s="657" t="s">
        <v>2</v>
      </c>
      <c r="EAB1738" s="736"/>
      <c r="EAC1738" s="737"/>
      <c r="EAD1738" s="665" t="s">
        <v>1413</v>
      </c>
      <c r="EAF1738" s="629">
        <v>8</v>
      </c>
      <c r="EAG1738" s="662"/>
      <c r="EAH1738" s="631"/>
      <c r="EAI1738" s="631"/>
      <c r="EAJ1738" s="631"/>
      <c r="EAK1738" s="631"/>
      <c r="EAL1738" s="631"/>
      <c r="EAM1738" s="631"/>
      <c r="EAN1738" s="631"/>
      <c r="EAO1738" s="666" t="s">
        <v>799</v>
      </c>
      <c r="EAP1738" s="631">
        <f t="shared" ref="EAP1738" si="322">EAF1738</f>
        <v>8</v>
      </c>
      <c r="EAQ1738" s="657" t="s">
        <v>2</v>
      </c>
      <c r="EAR1738" s="736"/>
      <c r="EAS1738" s="737"/>
      <c r="EAT1738" s="665" t="s">
        <v>1413</v>
      </c>
      <c r="EAV1738" s="629">
        <v>8</v>
      </c>
      <c r="EAW1738" s="662"/>
      <c r="EAX1738" s="631"/>
      <c r="EAY1738" s="631"/>
      <c r="EAZ1738" s="631"/>
      <c r="EBA1738" s="631"/>
      <c r="EBB1738" s="631"/>
      <c r="EBC1738" s="631"/>
      <c r="EBD1738" s="631"/>
      <c r="EBE1738" s="666" t="s">
        <v>799</v>
      </c>
      <c r="EBF1738" s="631">
        <f t="shared" ref="EBF1738" si="323">EAV1738</f>
        <v>8</v>
      </c>
      <c r="EBG1738" s="657" t="s">
        <v>2</v>
      </c>
      <c r="EBH1738" s="736"/>
      <c r="EBI1738" s="737"/>
      <c r="EBJ1738" s="665" t="s">
        <v>1413</v>
      </c>
      <c r="EBL1738" s="629">
        <v>8</v>
      </c>
      <c r="EBM1738" s="662"/>
      <c r="EBN1738" s="631"/>
      <c r="EBO1738" s="631"/>
      <c r="EBP1738" s="631"/>
      <c r="EBQ1738" s="631"/>
      <c r="EBR1738" s="631"/>
      <c r="EBS1738" s="631"/>
      <c r="EBT1738" s="631"/>
      <c r="EBU1738" s="666" t="s">
        <v>799</v>
      </c>
      <c r="EBV1738" s="631">
        <f t="shared" ref="EBV1738" si="324">EBL1738</f>
        <v>8</v>
      </c>
      <c r="EBW1738" s="657" t="s">
        <v>2</v>
      </c>
      <c r="EBX1738" s="736"/>
      <c r="EBY1738" s="737"/>
      <c r="EBZ1738" s="665" t="s">
        <v>1413</v>
      </c>
      <c r="ECB1738" s="629">
        <v>8</v>
      </c>
      <c r="ECC1738" s="662"/>
      <c r="ECD1738" s="631"/>
      <c r="ECE1738" s="631"/>
      <c r="ECF1738" s="631"/>
      <c r="ECG1738" s="631"/>
      <c r="ECH1738" s="631"/>
      <c r="ECI1738" s="631"/>
      <c r="ECJ1738" s="631"/>
      <c r="ECK1738" s="666" t="s">
        <v>799</v>
      </c>
      <c r="ECL1738" s="631">
        <f t="shared" ref="ECL1738" si="325">ECB1738</f>
        <v>8</v>
      </c>
      <c r="ECM1738" s="657" t="s">
        <v>2</v>
      </c>
      <c r="ECN1738" s="736"/>
      <c r="ECO1738" s="737"/>
      <c r="ECP1738" s="665" t="s">
        <v>1413</v>
      </c>
      <c r="ECR1738" s="629">
        <v>8</v>
      </c>
      <c r="ECS1738" s="662"/>
      <c r="ECT1738" s="631"/>
      <c r="ECU1738" s="631"/>
      <c r="ECV1738" s="631"/>
      <c r="ECW1738" s="631"/>
      <c r="ECX1738" s="631"/>
      <c r="ECY1738" s="631"/>
      <c r="ECZ1738" s="631"/>
      <c r="EDA1738" s="666" t="s">
        <v>799</v>
      </c>
      <c r="EDB1738" s="631">
        <f t="shared" ref="EDB1738" si="326">ECR1738</f>
        <v>8</v>
      </c>
      <c r="EDC1738" s="657" t="s">
        <v>2</v>
      </c>
      <c r="EDD1738" s="736"/>
      <c r="EDE1738" s="737"/>
      <c r="EDF1738" s="665" t="s">
        <v>1413</v>
      </c>
      <c r="EDH1738" s="629">
        <v>8</v>
      </c>
      <c r="EDI1738" s="662"/>
      <c r="EDJ1738" s="631"/>
      <c r="EDK1738" s="631"/>
      <c r="EDL1738" s="631"/>
      <c r="EDM1738" s="631"/>
      <c r="EDN1738" s="631"/>
      <c r="EDO1738" s="631"/>
      <c r="EDP1738" s="631"/>
      <c r="EDQ1738" s="666" t="s">
        <v>799</v>
      </c>
      <c r="EDR1738" s="631">
        <f t="shared" ref="EDR1738" si="327">EDH1738</f>
        <v>8</v>
      </c>
      <c r="EDS1738" s="657" t="s">
        <v>2</v>
      </c>
      <c r="EDT1738" s="736"/>
      <c r="EDU1738" s="737"/>
      <c r="EDV1738" s="665" t="s">
        <v>1413</v>
      </c>
      <c r="EDX1738" s="629">
        <v>8</v>
      </c>
      <c r="EDY1738" s="662"/>
      <c r="EDZ1738" s="631"/>
      <c r="EEA1738" s="631"/>
      <c r="EEB1738" s="631"/>
      <c r="EEC1738" s="631"/>
      <c r="EED1738" s="631"/>
      <c r="EEE1738" s="631"/>
      <c r="EEF1738" s="631"/>
      <c r="EEG1738" s="666" t="s">
        <v>799</v>
      </c>
      <c r="EEH1738" s="631">
        <f t="shared" ref="EEH1738" si="328">EDX1738</f>
        <v>8</v>
      </c>
      <c r="EEI1738" s="657" t="s">
        <v>2</v>
      </c>
      <c r="EEJ1738" s="736"/>
      <c r="EEK1738" s="737"/>
      <c r="EEL1738" s="665" t="s">
        <v>1413</v>
      </c>
      <c r="EEN1738" s="629">
        <v>8</v>
      </c>
      <c r="EEO1738" s="662"/>
      <c r="EEP1738" s="631"/>
      <c r="EEQ1738" s="631"/>
      <c r="EER1738" s="631"/>
      <c r="EES1738" s="631"/>
      <c r="EET1738" s="631"/>
      <c r="EEU1738" s="631"/>
      <c r="EEV1738" s="631"/>
      <c r="EEW1738" s="666" t="s">
        <v>799</v>
      </c>
      <c r="EEX1738" s="631">
        <f t="shared" ref="EEX1738" si="329">EEN1738</f>
        <v>8</v>
      </c>
      <c r="EEY1738" s="657" t="s">
        <v>2</v>
      </c>
      <c r="EEZ1738" s="736"/>
      <c r="EFA1738" s="737"/>
      <c r="EFB1738" s="665" t="s">
        <v>1413</v>
      </c>
      <c r="EFD1738" s="629">
        <v>8</v>
      </c>
      <c r="EFE1738" s="662"/>
      <c r="EFF1738" s="631"/>
      <c r="EFG1738" s="631"/>
      <c r="EFH1738" s="631"/>
      <c r="EFI1738" s="631"/>
      <c r="EFJ1738" s="631"/>
      <c r="EFK1738" s="631"/>
      <c r="EFL1738" s="631"/>
      <c r="EFM1738" s="666" t="s">
        <v>799</v>
      </c>
      <c r="EFN1738" s="631">
        <f t="shared" ref="EFN1738" si="330">EFD1738</f>
        <v>8</v>
      </c>
      <c r="EFO1738" s="657" t="s">
        <v>2</v>
      </c>
      <c r="EFP1738" s="736"/>
      <c r="EFQ1738" s="737"/>
      <c r="EFR1738" s="665" t="s">
        <v>1413</v>
      </c>
      <c r="EFT1738" s="629">
        <v>8</v>
      </c>
      <c r="EFU1738" s="662"/>
      <c r="EFV1738" s="631"/>
      <c r="EFW1738" s="631"/>
      <c r="EFX1738" s="631"/>
      <c r="EFY1738" s="631"/>
      <c r="EFZ1738" s="631"/>
      <c r="EGA1738" s="631"/>
      <c r="EGB1738" s="631"/>
      <c r="EGC1738" s="666" t="s">
        <v>799</v>
      </c>
      <c r="EGD1738" s="631">
        <f t="shared" ref="EGD1738" si="331">EFT1738</f>
        <v>8</v>
      </c>
      <c r="EGE1738" s="657" t="s">
        <v>2</v>
      </c>
      <c r="EGF1738" s="736"/>
      <c r="EGG1738" s="737"/>
      <c r="EGH1738" s="665" t="s">
        <v>1413</v>
      </c>
      <c r="EGJ1738" s="629">
        <v>8</v>
      </c>
      <c r="EGK1738" s="662"/>
      <c r="EGL1738" s="631"/>
      <c r="EGM1738" s="631"/>
      <c r="EGN1738" s="631"/>
      <c r="EGO1738" s="631"/>
      <c r="EGP1738" s="631"/>
      <c r="EGQ1738" s="631"/>
      <c r="EGR1738" s="631"/>
      <c r="EGS1738" s="666" t="s">
        <v>799</v>
      </c>
      <c r="EGT1738" s="631">
        <f t="shared" ref="EGT1738" si="332">EGJ1738</f>
        <v>8</v>
      </c>
      <c r="EGU1738" s="657" t="s">
        <v>2</v>
      </c>
      <c r="EGV1738" s="736"/>
      <c r="EGW1738" s="737"/>
      <c r="EGX1738" s="665" t="s">
        <v>1413</v>
      </c>
      <c r="EGZ1738" s="629">
        <v>8</v>
      </c>
      <c r="EHA1738" s="662"/>
      <c r="EHB1738" s="631"/>
      <c r="EHC1738" s="631"/>
      <c r="EHD1738" s="631"/>
      <c r="EHE1738" s="631"/>
      <c r="EHF1738" s="631"/>
      <c r="EHG1738" s="631"/>
      <c r="EHH1738" s="631"/>
      <c r="EHI1738" s="666" t="s">
        <v>799</v>
      </c>
      <c r="EHJ1738" s="631">
        <f t="shared" ref="EHJ1738" si="333">EGZ1738</f>
        <v>8</v>
      </c>
      <c r="EHK1738" s="657" t="s">
        <v>2</v>
      </c>
      <c r="EHL1738" s="736"/>
      <c r="EHM1738" s="737"/>
      <c r="EHN1738" s="665" t="s">
        <v>1413</v>
      </c>
      <c r="EHP1738" s="629">
        <v>8</v>
      </c>
      <c r="EHQ1738" s="662"/>
      <c r="EHR1738" s="631"/>
      <c r="EHS1738" s="631"/>
      <c r="EHT1738" s="631"/>
      <c r="EHU1738" s="631"/>
      <c r="EHV1738" s="631"/>
      <c r="EHW1738" s="631"/>
      <c r="EHX1738" s="631"/>
      <c r="EHY1738" s="666" t="s">
        <v>799</v>
      </c>
      <c r="EHZ1738" s="631">
        <f t="shared" ref="EHZ1738" si="334">EHP1738</f>
        <v>8</v>
      </c>
      <c r="EIA1738" s="657" t="s">
        <v>2</v>
      </c>
      <c r="EIB1738" s="736"/>
      <c r="EIC1738" s="737"/>
      <c r="EID1738" s="665" t="s">
        <v>1413</v>
      </c>
      <c r="EIF1738" s="629">
        <v>8</v>
      </c>
      <c r="EIG1738" s="662"/>
      <c r="EIH1738" s="631"/>
      <c r="EII1738" s="631"/>
      <c r="EIJ1738" s="631"/>
      <c r="EIK1738" s="631"/>
      <c r="EIL1738" s="631"/>
      <c r="EIM1738" s="631"/>
      <c r="EIN1738" s="631"/>
      <c r="EIO1738" s="666" t="s">
        <v>799</v>
      </c>
      <c r="EIP1738" s="631">
        <f t="shared" ref="EIP1738" si="335">EIF1738</f>
        <v>8</v>
      </c>
      <c r="EIQ1738" s="657" t="s">
        <v>2</v>
      </c>
      <c r="EIR1738" s="736"/>
      <c r="EIS1738" s="737"/>
      <c r="EIT1738" s="665" t="s">
        <v>1413</v>
      </c>
      <c r="EIV1738" s="629">
        <v>8</v>
      </c>
      <c r="EIW1738" s="662"/>
      <c r="EIX1738" s="631"/>
      <c r="EIY1738" s="631"/>
      <c r="EIZ1738" s="631"/>
      <c r="EJA1738" s="631"/>
      <c r="EJB1738" s="631"/>
      <c r="EJC1738" s="631"/>
      <c r="EJD1738" s="631"/>
      <c r="EJE1738" s="666" t="s">
        <v>799</v>
      </c>
      <c r="EJF1738" s="631">
        <f t="shared" ref="EJF1738" si="336">EIV1738</f>
        <v>8</v>
      </c>
      <c r="EJG1738" s="657" t="s">
        <v>2</v>
      </c>
      <c r="EJH1738" s="736"/>
      <c r="EJI1738" s="737"/>
      <c r="EJJ1738" s="665" t="s">
        <v>1413</v>
      </c>
      <c r="EJL1738" s="629">
        <v>8</v>
      </c>
      <c r="EJM1738" s="662"/>
      <c r="EJN1738" s="631"/>
      <c r="EJO1738" s="631"/>
      <c r="EJP1738" s="631"/>
      <c r="EJQ1738" s="631"/>
      <c r="EJR1738" s="631"/>
      <c r="EJS1738" s="631"/>
      <c r="EJT1738" s="631"/>
      <c r="EJU1738" s="666" t="s">
        <v>799</v>
      </c>
      <c r="EJV1738" s="631">
        <f t="shared" ref="EJV1738" si="337">EJL1738</f>
        <v>8</v>
      </c>
      <c r="EJW1738" s="657" t="s">
        <v>2</v>
      </c>
      <c r="EJX1738" s="736"/>
      <c r="EJY1738" s="737"/>
      <c r="EJZ1738" s="665" t="s">
        <v>1413</v>
      </c>
      <c r="EKB1738" s="629">
        <v>8</v>
      </c>
      <c r="EKC1738" s="662"/>
      <c r="EKD1738" s="631"/>
      <c r="EKE1738" s="631"/>
      <c r="EKF1738" s="631"/>
      <c r="EKG1738" s="631"/>
      <c r="EKH1738" s="631"/>
      <c r="EKI1738" s="631"/>
      <c r="EKJ1738" s="631"/>
      <c r="EKK1738" s="666" t="s">
        <v>799</v>
      </c>
      <c r="EKL1738" s="631">
        <f t="shared" ref="EKL1738" si="338">EKB1738</f>
        <v>8</v>
      </c>
      <c r="EKM1738" s="657" t="s">
        <v>2</v>
      </c>
      <c r="EKN1738" s="736"/>
      <c r="EKO1738" s="737"/>
      <c r="EKP1738" s="665" t="s">
        <v>1413</v>
      </c>
      <c r="EKR1738" s="629">
        <v>8</v>
      </c>
      <c r="EKS1738" s="662"/>
      <c r="EKT1738" s="631"/>
      <c r="EKU1738" s="631"/>
      <c r="EKV1738" s="631"/>
      <c r="EKW1738" s="631"/>
      <c r="EKX1738" s="631"/>
      <c r="EKY1738" s="631"/>
      <c r="EKZ1738" s="631"/>
      <c r="ELA1738" s="666" t="s">
        <v>799</v>
      </c>
      <c r="ELB1738" s="631">
        <f t="shared" ref="ELB1738" si="339">EKR1738</f>
        <v>8</v>
      </c>
      <c r="ELC1738" s="657" t="s">
        <v>2</v>
      </c>
      <c r="ELD1738" s="736"/>
      <c r="ELE1738" s="737"/>
      <c r="ELF1738" s="665" t="s">
        <v>1413</v>
      </c>
      <c r="ELH1738" s="629">
        <v>8</v>
      </c>
      <c r="ELI1738" s="662"/>
      <c r="ELJ1738" s="631"/>
      <c r="ELK1738" s="631"/>
      <c r="ELL1738" s="631"/>
      <c r="ELM1738" s="631"/>
      <c r="ELN1738" s="631"/>
      <c r="ELO1738" s="631"/>
      <c r="ELP1738" s="631"/>
      <c r="ELQ1738" s="666" t="s">
        <v>799</v>
      </c>
      <c r="ELR1738" s="631">
        <f t="shared" ref="ELR1738" si="340">ELH1738</f>
        <v>8</v>
      </c>
      <c r="ELS1738" s="657" t="s">
        <v>2</v>
      </c>
      <c r="ELT1738" s="736"/>
      <c r="ELU1738" s="737"/>
      <c r="ELV1738" s="665" t="s">
        <v>1413</v>
      </c>
      <c r="ELX1738" s="629">
        <v>8</v>
      </c>
      <c r="ELY1738" s="662"/>
      <c r="ELZ1738" s="631"/>
      <c r="EMA1738" s="631"/>
      <c r="EMB1738" s="631"/>
      <c r="EMC1738" s="631"/>
      <c r="EMD1738" s="631"/>
      <c r="EME1738" s="631"/>
      <c r="EMF1738" s="631"/>
      <c r="EMG1738" s="666" t="s">
        <v>799</v>
      </c>
      <c r="EMH1738" s="631">
        <f t="shared" ref="EMH1738" si="341">ELX1738</f>
        <v>8</v>
      </c>
      <c r="EMI1738" s="657" t="s">
        <v>2</v>
      </c>
      <c r="EMJ1738" s="736"/>
      <c r="EMK1738" s="737"/>
      <c r="EML1738" s="665" t="s">
        <v>1413</v>
      </c>
      <c r="EMN1738" s="629">
        <v>8</v>
      </c>
      <c r="EMO1738" s="662"/>
      <c r="EMP1738" s="631"/>
      <c r="EMQ1738" s="631"/>
      <c r="EMR1738" s="631"/>
      <c r="EMS1738" s="631"/>
      <c r="EMT1738" s="631"/>
      <c r="EMU1738" s="631"/>
      <c r="EMV1738" s="631"/>
      <c r="EMW1738" s="666" t="s">
        <v>799</v>
      </c>
      <c r="EMX1738" s="631">
        <f t="shared" ref="EMX1738" si="342">EMN1738</f>
        <v>8</v>
      </c>
      <c r="EMY1738" s="657" t="s">
        <v>2</v>
      </c>
      <c r="EMZ1738" s="736"/>
      <c r="ENA1738" s="737"/>
      <c r="ENB1738" s="665" t="s">
        <v>1413</v>
      </c>
      <c r="END1738" s="629">
        <v>8</v>
      </c>
      <c r="ENE1738" s="662"/>
      <c r="ENF1738" s="631"/>
      <c r="ENG1738" s="631"/>
      <c r="ENH1738" s="631"/>
      <c r="ENI1738" s="631"/>
      <c r="ENJ1738" s="631"/>
      <c r="ENK1738" s="631"/>
      <c r="ENL1738" s="631"/>
      <c r="ENM1738" s="666" t="s">
        <v>799</v>
      </c>
      <c r="ENN1738" s="631">
        <f t="shared" ref="ENN1738" si="343">END1738</f>
        <v>8</v>
      </c>
      <c r="ENO1738" s="657" t="s">
        <v>2</v>
      </c>
      <c r="ENP1738" s="736"/>
      <c r="ENQ1738" s="737"/>
      <c r="ENR1738" s="665" t="s">
        <v>1413</v>
      </c>
      <c r="ENT1738" s="629">
        <v>8</v>
      </c>
      <c r="ENU1738" s="662"/>
      <c r="ENV1738" s="631"/>
      <c r="ENW1738" s="631"/>
      <c r="ENX1738" s="631"/>
      <c r="ENY1738" s="631"/>
      <c r="ENZ1738" s="631"/>
      <c r="EOA1738" s="631"/>
      <c r="EOB1738" s="631"/>
      <c r="EOC1738" s="666" t="s">
        <v>799</v>
      </c>
      <c r="EOD1738" s="631">
        <f t="shared" ref="EOD1738" si="344">ENT1738</f>
        <v>8</v>
      </c>
      <c r="EOE1738" s="657" t="s">
        <v>2</v>
      </c>
      <c r="EOF1738" s="736"/>
      <c r="EOG1738" s="737"/>
      <c r="EOH1738" s="665" t="s">
        <v>1413</v>
      </c>
      <c r="EOJ1738" s="629">
        <v>8</v>
      </c>
      <c r="EOK1738" s="662"/>
      <c r="EOL1738" s="631"/>
      <c r="EOM1738" s="631"/>
      <c r="EON1738" s="631"/>
      <c r="EOO1738" s="631"/>
      <c r="EOP1738" s="631"/>
      <c r="EOQ1738" s="631"/>
      <c r="EOR1738" s="631"/>
      <c r="EOS1738" s="666" t="s">
        <v>799</v>
      </c>
      <c r="EOT1738" s="631">
        <f t="shared" ref="EOT1738" si="345">EOJ1738</f>
        <v>8</v>
      </c>
      <c r="EOU1738" s="657" t="s">
        <v>2</v>
      </c>
      <c r="EOV1738" s="736"/>
      <c r="EOW1738" s="737"/>
      <c r="EOX1738" s="665" t="s">
        <v>1413</v>
      </c>
      <c r="EOZ1738" s="629">
        <v>8</v>
      </c>
      <c r="EPA1738" s="662"/>
      <c r="EPB1738" s="631"/>
      <c r="EPC1738" s="631"/>
      <c r="EPD1738" s="631"/>
      <c r="EPE1738" s="631"/>
      <c r="EPF1738" s="631"/>
      <c r="EPG1738" s="631"/>
      <c r="EPH1738" s="631"/>
      <c r="EPI1738" s="666" t="s">
        <v>799</v>
      </c>
      <c r="EPJ1738" s="631">
        <f t="shared" ref="EPJ1738" si="346">EOZ1738</f>
        <v>8</v>
      </c>
      <c r="EPK1738" s="657" t="s">
        <v>2</v>
      </c>
      <c r="EPL1738" s="736"/>
      <c r="EPM1738" s="737"/>
      <c r="EPN1738" s="665" t="s">
        <v>1413</v>
      </c>
      <c r="EPP1738" s="629">
        <v>8</v>
      </c>
      <c r="EPQ1738" s="662"/>
      <c r="EPR1738" s="631"/>
      <c r="EPS1738" s="631"/>
      <c r="EPT1738" s="631"/>
      <c r="EPU1738" s="631"/>
      <c r="EPV1738" s="631"/>
      <c r="EPW1738" s="631"/>
      <c r="EPX1738" s="631"/>
      <c r="EPY1738" s="666" t="s">
        <v>799</v>
      </c>
      <c r="EPZ1738" s="631">
        <f t="shared" ref="EPZ1738" si="347">EPP1738</f>
        <v>8</v>
      </c>
      <c r="EQA1738" s="657" t="s">
        <v>2</v>
      </c>
      <c r="EQB1738" s="736"/>
      <c r="EQC1738" s="737"/>
      <c r="EQD1738" s="665" t="s">
        <v>1413</v>
      </c>
      <c r="EQF1738" s="629">
        <v>8</v>
      </c>
      <c r="EQG1738" s="662"/>
      <c r="EQH1738" s="631"/>
      <c r="EQI1738" s="631"/>
      <c r="EQJ1738" s="631"/>
      <c r="EQK1738" s="631"/>
      <c r="EQL1738" s="631"/>
      <c r="EQM1738" s="631"/>
      <c r="EQN1738" s="631"/>
      <c r="EQO1738" s="666" t="s">
        <v>799</v>
      </c>
      <c r="EQP1738" s="631">
        <f t="shared" ref="EQP1738" si="348">EQF1738</f>
        <v>8</v>
      </c>
      <c r="EQQ1738" s="657" t="s">
        <v>2</v>
      </c>
      <c r="EQR1738" s="736"/>
      <c r="EQS1738" s="737"/>
      <c r="EQT1738" s="665" t="s">
        <v>1413</v>
      </c>
      <c r="EQV1738" s="629">
        <v>8</v>
      </c>
      <c r="EQW1738" s="662"/>
      <c r="EQX1738" s="631"/>
      <c r="EQY1738" s="631"/>
      <c r="EQZ1738" s="631"/>
      <c r="ERA1738" s="631"/>
      <c r="ERB1738" s="631"/>
      <c r="ERC1738" s="631"/>
      <c r="ERD1738" s="631"/>
      <c r="ERE1738" s="666" t="s">
        <v>799</v>
      </c>
      <c r="ERF1738" s="631">
        <f t="shared" ref="ERF1738" si="349">EQV1738</f>
        <v>8</v>
      </c>
      <c r="ERG1738" s="657" t="s">
        <v>2</v>
      </c>
      <c r="ERH1738" s="736"/>
      <c r="ERI1738" s="737"/>
      <c r="ERJ1738" s="665" t="s">
        <v>1413</v>
      </c>
      <c r="ERL1738" s="629">
        <v>8</v>
      </c>
      <c r="ERM1738" s="662"/>
      <c r="ERN1738" s="631"/>
      <c r="ERO1738" s="631"/>
      <c r="ERP1738" s="631"/>
      <c r="ERQ1738" s="631"/>
      <c r="ERR1738" s="631"/>
      <c r="ERS1738" s="631"/>
      <c r="ERT1738" s="631"/>
      <c r="ERU1738" s="666" t="s">
        <v>799</v>
      </c>
      <c r="ERV1738" s="631">
        <f t="shared" ref="ERV1738" si="350">ERL1738</f>
        <v>8</v>
      </c>
      <c r="ERW1738" s="657" t="s">
        <v>2</v>
      </c>
      <c r="ERX1738" s="736"/>
      <c r="ERY1738" s="737"/>
      <c r="ERZ1738" s="665" t="s">
        <v>1413</v>
      </c>
      <c r="ESB1738" s="629">
        <v>8</v>
      </c>
      <c r="ESC1738" s="662"/>
      <c r="ESD1738" s="631"/>
      <c r="ESE1738" s="631"/>
      <c r="ESF1738" s="631"/>
      <c r="ESG1738" s="631"/>
      <c r="ESH1738" s="631"/>
      <c r="ESI1738" s="631"/>
      <c r="ESJ1738" s="631"/>
      <c r="ESK1738" s="666" t="s">
        <v>799</v>
      </c>
      <c r="ESL1738" s="631">
        <f t="shared" ref="ESL1738" si="351">ESB1738</f>
        <v>8</v>
      </c>
      <c r="ESM1738" s="657" t="s">
        <v>2</v>
      </c>
      <c r="ESN1738" s="736"/>
      <c r="ESO1738" s="737"/>
      <c r="ESP1738" s="665" t="s">
        <v>1413</v>
      </c>
      <c r="ESR1738" s="629">
        <v>8</v>
      </c>
      <c r="ESS1738" s="662"/>
      <c r="EST1738" s="631"/>
      <c r="ESU1738" s="631"/>
      <c r="ESV1738" s="631"/>
      <c r="ESW1738" s="631"/>
      <c r="ESX1738" s="631"/>
      <c r="ESY1738" s="631"/>
      <c r="ESZ1738" s="631"/>
      <c r="ETA1738" s="666" t="s">
        <v>799</v>
      </c>
      <c r="ETB1738" s="631">
        <f t="shared" ref="ETB1738" si="352">ESR1738</f>
        <v>8</v>
      </c>
      <c r="ETC1738" s="657" t="s">
        <v>2</v>
      </c>
      <c r="ETD1738" s="736"/>
      <c r="ETE1738" s="737"/>
      <c r="ETF1738" s="665" t="s">
        <v>1413</v>
      </c>
      <c r="ETH1738" s="629">
        <v>8</v>
      </c>
      <c r="ETI1738" s="662"/>
      <c r="ETJ1738" s="631"/>
      <c r="ETK1738" s="631"/>
      <c r="ETL1738" s="631"/>
      <c r="ETM1738" s="631"/>
      <c r="ETN1738" s="631"/>
      <c r="ETO1738" s="631"/>
      <c r="ETP1738" s="631"/>
      <c r="ETQ1738" s="666" t="s">
        <v>799</v>
      </c>
      <c r="ETR1738" s="631">
        <f t="shared" ref="ETR1738" si="353">ETH1738</f>
        <v>8</v>
      </c>
      <c r="ETS1738" s="657" t="s">
        <v>2</v>
      </c>
      <c r="ETT1738" s="736"/>
      <c r="ETU1738" s="737"/>
      <c r="ETV1738" s="665" t="s">
        <v>1413</v>
      </c>
      <c r="ETX1738" s="629">
        <v>8</v>
      </c>
      <c r="ETY1738" s="662"/>
      <c r="ETZ1738" s="631"/>
      <c r="EUA1738" s="631"/>
      <c r="EUB1738" s="631"/>
      <c r="EUC1738" s="631"/>
      <c r="EUD1738" s="631"/>
      <c r="EUE1738" s="631"/>
      <c r="EUF1738" s="631"/>
      <c r="EUG1738" s="666" t="s">
        <v>799</v>
      </c>
      <c r="EUH1738" s="631">
        <f t="shared" ref="EUH1738" si="354">ETX1738</f>
        <v>8</v>
      </c>
      <c r="EUI1738" s="657" t="s">
        <v>2</v>
      </c>
      <c r="EUJ1738" s="736"/>
      <c r="EUK1738" s="737"/>
      <c r="EUL1738" s="665" t="s">
        <v>1413</v>
      </c>
      <c r="EUN1738" s="629">
        <v>8</v>
      </c>
      <c r="EUO1738" s="662"/>
      <c r="EUP1738" s="631"/>
      <c r="EUQ1738" s="631"/>
      <c r="EUR1738" s="631"/>
      <c r="EUS1738" s="631"/>
      <c r="EUT1738" s="631"/>
      <c r="EUU1738" s="631"/>
      <c r="EUV1738" s="631"/>
      <c r="EUW1738" s="666" t="s">
        <v>799</v>
      </c>
      <c r="EUX1738" s="631">
        <f t="shared" ref="EUX1738" si="355">EUN1738</f>
        <v>8</v>
      </c>
      <c r="EUY1738" s="657" t="s">
        <v>2</v>
      </c>
      <c r="EUZ1738" s="736"/>
      <c r="EVA1738" s="737"/>
      <c r="EVB1738" s="665" t="s">
        <v>1413</v>
      </c>
      <c r="EVD1738" s="629">
        <v>8</v>
      </c>
      <c r="EVE1738" s="662"/>
      <c r="EVF1738" s="631"/>
      <c r="EVG1738" s="631"/>
      <c r="EVH1738" s="631"/>
      <c r="EVI1738" s="631"/>
      <c r="EVJ1738" s="631"/>
      <c r="EVK1738" s="631"/>
      <c r="EVL1738" s="631"/>
      <c r="EVM1738" s="666" t="s">
        <v>799</v>
      </c>
      <c r="EVN1738" s="631">
        <f t="shared" ref="EVN1738" si="356">EVD1738</f>
        <v>8</v>
      </c>
      <c r="EVO1738" s="657" t="s">
        <v>2</v>
      </c>
      <c r="EVP1738" s="736"/>
      <c r="EVQ1738" s="737"/>
      <c r="EVR1738" s="665" t="s">
        <v>1413</v>
      </c>
      <c r="EVT1738" s="629">
        <v>8</v>
      </c>
      <c r="EVU1738" s="662"/>
      <c r="EVV1738" s="631"/>
      <c r="EVW1738" s="631"/>
      <c r="EVX1738" s="631"/>
      <c r="EVY1738" s="631"/>
      <c r="EVZ1738" s="631"/>
      <c r="EWA1738" s="631"/>
      <c r="EWB1738" s="631"/>
      <c r="EWC1738" s="666" t="s">
        <v>799</v>
      </c>
      <c r="EWD1738" s="631">
        <f t="shared" ref="EWD1738" si="357">EVT1738</f>
        <v>8</v>
      </c>
      <c r="EWE1738" s="657" t="s">
        <v>2</v>
      </c>
      <c r="EWF1738" s="736"/>
      <c r="EWG1738" s="737"/>
      <c r="EWH1738" s="665" t="s">
        <v>1413</v>
      </c>
      <c r="EWJ1738" s="629">
        <v>8</v>
      </c>
      <c r="EWK1738" s="662"/>
      <c r="EWL1738" s="631"/>
      <c r="EWM1738" s="631"/>
      <c r="EWN1738" s="631"/>
      <c r="EWO1738" s="631"/>
      <c r="EWP1738" s="631"/>
      <c r="EWQ1738" s="631"/>
      <c r="EWR1738" s="631"/>
      <c r="EWS1738" s="666" t="s">
        <v>799</v>
      </c>
      <c r="EWT1738" s="631">
        <f t="shared" ref="EWT1738" si="358">EWJ1738</f>
        <v>8</v>
      </c>
      <c r="EWU1738" s="657" t="s">
        <v>2</v>
      </c>
      <c r="EWV1738" s="736"/>
      <c r="EWW1738" s="737"/>
      <c r="EWX1738" s="665" t="s">
        <v>1413</v>
      </c>
      <c r="EWZ1738" s="629">
        <v>8</v>
      </c>
      <c r="EXA1738" s="662"/>
      <c r="EXB1738" s="631"/>
      <c r="EXC1738" s="631"/>
      <c r="EXD1738" s="631"/>
      <c r="EXE1738" s="631"/>
      <c r="EXF1738" s="631"/>
      <c r="EXG1738" s="631"/>
      <c r="EXH1738" s="631"/>
      <c r="EXI1738" s="666" t="s">
        <v>799</v>
      </c>
      <c r="EXJ1738" s="631">
        <f t="shared" ref="EXJ1738" si="359">EWZ1738</f>
        <v>8</v>
      </c>
      <c r="EXK1738" s="657" t="s">
        <v>2</v>
      </c>
      <c r="EXL1738" s="736"/>
      <c r="EXM1738" s="737"/>
      <c r="EXN1738" s="665" t="s">
        <v>1413</v>
      </c>
      <c r="EXP1738" s="629">
        <v>8</v>
      </c>
      <c r="EXQ1738" s="662"/>
      <c r="EXR1738" s="631"/>
      <c r="EXS1738" s="631"/>
      <c r="EXT1738" s="631"/>
      <c r="EXU1738" s="631"/>
      <c r="EXV1738" s="631"/>
      <c r="EXW1738" s="631"/>
      <c r="EXX1738" s="631"/>
      <c r="EXY1738" s="666" t="s">
        <v>799</v>
      </c>
      <c r="EXZ1738" s="631">
        <f t="shared" ref="EXZ1738" si="360">EXP1738</f>
        <v>8</v>
      </c>
      <c r="EYA1738" s="657" t="s">
        <v>2</v>
      </c>
      <c r="EYB1738" s="736"/>
      <c r="EYC1738" s="737"/>
      <c r="EYD1738" s="665" t="s">
        <v>1413</v>
      </c>
      <c r="EYF1738" s="629">
        <v>8</v>
      </c>
      <c r="EYG1738" s="662"/>
      <c r="EYH1738" s="631"/>
      <c r="EYI1738" s="631"/>
      <c r="EYJ1738" s="631"/>
      <c r="EYK1738" s="631"/>
      <c r="EYL1738" s="631"/>
      <c r="EYM1738" s="631"/>
      <c r="EYN1738" s="631"/>
      <c r="EYO1738" s="666" t="s">
        <v>799</v>
      </c>
      <c r="EYP1738" s="631">
        <f t="shared" ref="EYP1738" si="361">EYF1738</f>
        <v>8</v>
      </c>
      <c r="EYQ1738" s="657" t="s">
        <v>2</v>
      </c>
      <c r="EYR1738" s="736"/>
      <c r="EYS1738" s="737"/>
      <c r="EYT1738" s="665" t="s">
        <v>1413</v>
      </c>
      <c r="EYV1738" s="629">
        <v>8</v>
      </c>
      <c r="EYW1738" s="662"/>
      <c r="EYX1738" s="631"/>
      <c r="EYY1738" s="631"/>
      <c r="EYZ1738" s="631"/>
      <c r="EZA1738" s="631"/>
      <c r="EZB1738" s="631"/>
      <c r="EZC1738" s="631"/>
      <c r="EZD1738" s="631"/>
      <c r="EZE1738" s="666" t="s">
        <v>799</v>
      </c>
      <c r="EZF1738" s="631">
        <f t="shared" ref="EZF1738" si="362">EYV1738</f>
        <v>8</v>
      </c>
      <c r="EZG1738" s="657" t="s">
        <v>2</v>
      </c>
      <c r="EZH1738" s="736"/>
      <c r="EZI1738" s="737"/>
      <c r="EZJ1738" s="665" t="s">
        <v>1413</v>
      </c>
      <c r="EZL1738" s="629">
        <v>8</v>
      </c>
      <c r="EZM1738" s="662"/>
      <c r="EZN1738" s="631"/>
      <c r="EZO1738" s="631"/>
      <c r="EZP1738" s="631"/>
      <c r="EZQ1738" s="631"/>
      <c r="EZR1738" s="631"/>
      <c r="EZS1738" s="631"/>
      <c r="EZT1738" s="631"/>
      <c r="EZU1738" s="666" t="s">
        <v>799</v>
      </c>
      <c r="EZV1738" s="631">
        <f t="shared" ref="EZV1738" si="363">EZL1738</f>
        <v>8</v>
      </c>
      <c r="EZW1738" s="657" t="s">
        <v>2</v>
      </c>
      <c r="EZX1738" s="736"/>
      <c r="EZY1738" s="737"/>
      <c r="EZZ1738" s="665" t="s">
        <v>1413</v>
      </c>
      <c r="FAB1738" s="629">
        <v>8</v>
      </c>
      <c r="FAC1738" s="662"/>
      <c r="FAD1738" s="631"/>
      <c r="FAE1738" s="631"/>
      <c r="FAF1738" s="631"/>
      <c r="FAG1738" s="631"/>
      <c r="FAH1738" s="631"/>
      <c r="FAI1738" s="631"/>
      <c r="FAJ1738" s="631"/>
      <c r="FAK1738" s="666" t="s">
        <v>799</v>
      </c>
      <c r="FAL1738" s="631">
        <f t="shared" ref="FAL1738" si="364">FAB1738</f>
        <v>8</v>
      </c>
      <c r="FAM1738" s="657" t="s">
        <v>2</v>
      </c>
      <c r="FAN1738" s="736"/>
      <c r="FAO1738" s="737"/>
      <c r="FAP1738" s="665" t="s">
        <v>1413</v>
      </c>
      <c r="FAR1738" s="629">
        <v>8</v>
      </c>
      <c r="FAS1738" s="662"/>
      <c r="FAT1738" s="631"/>
      <c r="FAU1738" s="631"/>
      <c r="FAV1738" s="631"/>
      <c r="FAW1738" s="631"/>
      <c r="FAX1738" s="631"/>
      <c r="FAY1738" s="631"/>
      <c r="FAZ1738" s="631"/>
      <c r="FBA1738" s="666" t="s">
        <v>799</v>
      </c>
      <c r="FBB1738" s="631">
        <f t="shared" ref="FBB1738" si="365">FAR1738</f>
        <v>8</v>
      </c>
      <c r="FBC1738" s="657" t="s">
        <v>2</v>
      </c>
      <c r="FBD1738" s="736"/>
      <c r="FBE1738" s="737"/>
      <c r="FBF1738" s="665" t="s">
        <v>1413</v>
      </c>
      <c r="FBH1738" s="629">
        <v>8</v>
      </c>
      <c r="FBI1738" s="662"/>
      <c r="FBJ1738" s="631"/>
      <c r="FBK1738" s="631"/>
      <c r="FBL1738" s="631"/>
      <c r="FBM1738" s="631"/>
      <c r="FBN1738" s="631"/>
      <c r="FBO1738" s="631"/>
      <c r="FBP1738" s="631"/>
      <c r="FBQ1738" s="666" t="s">
        <v>799</v>
      </c>
      <c r="FBR1738" s="631">
        <f t="shared" ref="FBR1738" si="366">FBH1738</f>
        <v>8</v>
      </c>
      <c r="FBS1738" s="657" t="s">
        <v>2</v>
      </c>
      <c r="FBT1738" s="736"/>
      <c r="FBU1738" s="737"/>
      <c r="FBV1738" s="665" t="s">
        <v>1413</v>
      </c>
      <c r="FBX1738" s="629">
        <v>8</v>
      </c>
      <c r="FBY1738" s="662"/>
      <c r="FBZ1738" s="631"/>
      <c r="FCA1738" s="631"/>
      <c r="FCB1738" s="631"/>
      <c r="FCC1738" s="631"/>
      <c r="FCD1738" s="631"/>
      <c r="FCE1738" s="631"/>
      <c r="FCF1738" s="631"/>
      <c r="FCG1738" s="666" t="s">
        <v>799</v>
      </c>
      <c r="FCH1738" s="631">
        <f t="shared" ref="FCH1738" si="367">FBX1738</f>
        <v>8</v>
      </c>
      <c r="FCI1738" s="657" t="s">
        <v>2</v>
      </c>
      <c r="FCJ1738" s="736"/>
      <c r="FCK1738" s="737"/>
      <c r="FCL1738" s="665" t="s">
        <v>1413</v>
      </c>
      <c r="FCN1738" s="629">
        <v>8</v>
      </c>
      <c r="FCO1738" s="662"/>
      <c r="FCP1738" s="631"/>
      <c r="FCQ1738" s="631"/>
      <c r="FCR1738" s="631"/>
      <c r="FCS1738" s="631"/>
      <c r="FCT1738" s="631"/>
      <c r="FCU1738" s="631"/>
      <c r="FCV1738" s="631"/>
      <c r="FCW1738" s="666" t="s">
        <v>799</v>
      </c>
      <c r="FCX1738" s="631">
        <f t="shared" ref="FCX1738" si="368">FCN1738</f>
        <v>8</v>
      </c>
      <c r="FCY1738" s="657" t="s">
        <v>2</v>
      </c>
      <c r="FCZ1738" s="736"/>
      <c r="FDA1738" s="737"/>
      <c r="FDB1738" s="665" t="s">
        <v>1413</v>
      </c>
      <c r="FDD1738" s="629">
        <v>8</v>
      </c>
      <c r="FDE1738" s="662"/>
      <c r="FDF1738" s="631"/>
      <c r="FDG1738" s="631"/>
      <c r="FDH1738" s="631"/>
      <c r="FDI1738" s="631"/>
      <c r="FDJ1738" s="631"/>
      <c r="FDK1738" s="631"/>
      <c r="FDL1738" s="631"/>
      <c r="FDM1738" s="666" t="s">
        <v>799</v>
      </c>
      <c r="FDN1738" s="631">
        <f t="shared" ref="FDN1738" si="369">FDD1738</f>
        <v>8</v>
      </c>
      <c r="FDO1738" s="657" t="s">
        <v>2</v>
      </c>
      <c r="FDP1738" s="736"/>
      <c r="FDQ1738" s="737"/>
      <c r="FDR1738" s="665" t="s">
        <v>1413</v>
      </c>
      <c r="FDT1738" s="629">
        <v>8</v>
      </c>
      <c r="FDU1738" s="662"/>
      <c r="FDV1738" s="631"/>
      <c r="FDW1738" s="631"/>
      <c r="FDX1738" s="631"/>
      <c r="FDY1738" s="631"/>
      <c r="FDZ1738" s="631"/>
      <c r="FEA1738" s="631"/>
      <c r="FEB1738" s="631"/>
      <c r="FEC1738" s="666" t="s">
        <v>799</v>
      </c>
      <c r="FED1738" s="631">
        <f t="shared" ref="FED1738" si="370">FDT1738</f>
        <v>8</v>
      </c>
      <c r="FEE1738" s="657" t="s">
        <v>2</v>
      </c>
      <c r="FEF1738" s="736"/>
      <c r="FEG1738" s="737"/>
      <c r="FEH1738" s="665" t="s">
        <v>1413</v>
      </c>
      <c r="FEJ1738" s="629">
        <v>8</v>
      </c>
      <c r="FEK1738" s="662"/>
      <c r="FEL1738" s="631"/>
      <c r="FEM1738" s="631"/>
      <c r="FEN1738" s="631"/>
      <c r="FEO1738" s="631"/>
      <c r="FEP1738" s="631"/>
      <c r="FEQ1738" s="631"/>
      <c r="FER1738" s="631"/>
      <c r="FES1738" s="666" t="s">
        <v>799</v>
      </c>
      <c r="FET1738" s="631">
        <f t="shared" ref="FET1738" si="371">FEJ1738</f>
        <v>8</v>
      </c>
      <c r="FEU1738" s="657" t="s">
        <v>2</v>
      </c>
      <c r="FEV1738" s="736"/>
      <c r="FEW1738" s="737"/>
      <c r="FEX1738" s="665" t="s">
        <v>1413</v>
      </c>
      <c r="FEZ1738" s="629">
        <v>8</v>
      </c>
      <c r="FFA1738" s="662"/>
      <c r="FFB1738" s="631"/>
      <c r="FFC1738" s="631"/>
      <c r="FFD1738" s="631"/>
      <c r="FFE1738" s="631"/>
      <c r="FFF1738" s="631"/>
      <c r="FFG1738" s="631"/>
      <c r="FFH1738" s="631"/>
      <c r="FFI1738" s="666" t="s">
        <v>799</v>
      </c>
      <c r="FFJ1738" s="631">
        <f t="shared" ref="FFJ1738" si="372">FEZ1738</f>
        <v>8</v>
      </c>
      <c r="FFK1738" s="657" t="s">
        <v>2</v>
      </c>
      <c r="FFL1738" s="736"/>
      <c r="FFM1738" s="737"/>
      <c r="FFN1738" s="665" t="s">
        <v>1413</v>
      </c>
      <c r="FFP1738" s="629">
        <v>8</v>
      </c>
      <c r="FFQ1738" s="662"/>
      <c r="FFR1738" s="631"/>
      <c r="FFS1738" s="631"/>
      <c r="FFT1738" s="631"/>
      <c r="FFU1738" s="631"/>
      <c r="FFV1738" s="631"/>
      <c r="FFW1738" s="631"/>
      <c r="FFX1738" s="631"/>
      <c r="FFY1738" s="666" t="s">
        <v>799</v>
      </c>
      <c r="FFZ1738" s="631">
        <f t="shared" ref="FFZ1738" si="373">FFP1738</f>
        <v>8</v>
      </c>
      <c r="FGA1738" s="657" t="s">
        <v>2</v>
      </c>
      <c r="FGB1738" s="736"/>
      <c r="FGC1738" s="737"/>
      <c r="FGD1738" s="665" t="s">
        <v>1413</v>
      </c>
      <c r="FGF1738" s="629">
        <v>8</v>
      </c>
      <c r="FGG1738" s="662"/>
      <c r="FGH1738" s="631"/>
      <c r="FGI1738" s="631"/>
      <c r="FGJ1738" s="631"/>
      <c r="FGK1738" s="631"/>
      <c r="FGL1738" s="631"/>
      <c r="FGM1738" s="631"/>
      <c r="FGN1738" s="631"/>
      <c r="FGO1738" s="666" t="s">
        <v>799</v>
      </c>
      <c r="FGP1738" s="631">
        <f t="shared" ref="FGP1738" si="374">FGF1738</f>
        <v>8</v>
      </c>
      <c r="FGQ1738" s="657" t="s">
        <v>2</v>
      </c>
      <c r="FGR1738" s="736"/>
      <c r="FGS1738" s="737"/>
      <c r="FGT1738" s="665" t="s">
        <v>1413</v>
      </c>
      <c r="FGV1738" s="629">
        <v>8</v>
      </c>
      <c r="FGW1738" s="662"/>
      <c r="FGX1738" s="631"/>
      <c r="FGY1738" s="631"/>
      <c r="FGZ1738" s="631"/>
      <c r="FHA1738" s="631"/>
      <c r="FHB1738" s="631"/>
      <c r="FHC1738" s="631"/>
      <c r="FHD1738" s="631"/>
      <c r="FHE1738" s="666" t="s">
        <v>799</v>
      </c>
      <c r="FHF1738" s="631">
        <f t="shared" ref="FHF1738" si="375">FGV1738</f>
        <v>8</v>
      </c>
      <c r="FHG1738" s="657" t="s">
        <v>2</v>
      </c>
      <c r="FHH1738" s="736"/>
      <c r="FHI1738" s="737"/>
      <c r="FHJ1738" s="665" t="s">
        <v>1413</v>
      </c>
      <c r="FHL1738" s="629">
        <v>8</v>
      </c>
      <c r="FHM1738" s="662"/>
      <c r="FHN1738" s="631"/>
      <c r="FHO1738" s="631"/>
      <c r="FHP1738" s="631"/>
      <c r="FHQ1738" s="631"/>
      <c r="FHR1738" s="631"/>
      <c r="FHS1738" s="631"/>
      <c r="FHT1738" s="631"/>
      <c r="FHU1738" s="666" t="s">
        <v>799</v>
      </c>
      <c r="FHV1738" s="631">
        <f t="shared" ref="FHV1738" si="376">FHL1738</f>
        <v>8</v>
      </c>
      <c r="FHW1738" s="657" t="s">
        <v>2</v>
      </c>
      <c r="FHX1738" s="736"/>
      <c r="FHY1738" s="737"/>
      <c r="FHZ1738" s="665" t="s">
        <v>1413</v>
      </c>
      <c r="FIB1738" s="629">
        <v>8</v>
      </c>
      <c r="FIC1738" s="662"/>
      <c r="FID1738" s="631"/>
      <c r="FIE1738" s="631"/>
      <c r="FIF1738" s="631"/>
      <c r="FIG1738" s="631"/>
      <c r="FIH1738" s="631"/>
      <c r="FII1738" s="631"/>
      <c r="FIJ1738" s="631"/>
      <c r="FIK1738" s="666" t="s">
        <v>799</v>
      </c>
      <c r="FIL1738" s="631">
        <f t="shared" ref="FIL1738" si="377">FIB1738</f>
        <v>8</v>
      </c>
      <c r="FIM1738" s="657" t="s">
        <v>2</v>
      </c>
      <c r="FIN1738" s="736"/>
      <c r="FIO1738" s="737"/>
      <c r="FIP1738" s="665" t="s">
        <v>1413</v>
      </c>
      <c r="FIR1738" s="629">
        <v>8</v>
      </c>
      <c r="FIS1738" s="662"/>
      <c r="FIT1738" s="631"/>
      <c r="FIU1738" s="631"/>
      <c r="FIV1738" s="631"/>
      <c r="FIW1738" s="631"/>
      <c r="FIX1738" s="631"/>
      <c r="FIY1738" s="631"/>
      <c r="FIZ1738" s="631"/>
      <c r="FJA1738" s="666" t="s">
        <v>799</v>
      </c>
      <c r="FJB1738" s="631">
        <f t="shared" ref="FJB1738" si="378">FIR1738</f>
        <v>8</v>
      </c>
      <c r="FJC1738" s="657" t="s">
        <v>2</v>
      </c>
      <c r="FJD1738" s="736"/>
      <c r="FJE1738" s="737"/>
      <c r="FJF1738" s="665" t="s">
        <v>1413</v>
      </c>
      <c r="FJH1738" s="629">
        <v>8</v>
      </c>
      <c r="FJI1738" s="662"/>
      <c r="FJJ1738" s="631"/>
      <c r="FJK1738" s="631"/>
      <c r="FJL1738" s="631"/>
      <c r="FJM1738" s="631"/>
      <c r="FJN1738" s="631"/>
      <c r="FJO1738" s="631"/>
      <c r="FJP1738" s="631"/>
      <c r="FJQ1738" s="666" t="s">
        <v>799</v>
      </c>
      <c r="FJR1738" s="631">
        <f t="shared" ref="FJR1738" si="379">FJH1738</f>
        <v>8</v>
      </c>
      <c r="FJS1738" s="657" t="s">
        <v>2</v>
      </c>
      <c r="FJT1738" s="736"/>
      <c r="FJU1738" s="737"/>
      <c r="FJV1738" s="665" t="s">
        <v>1413</v>
      </c>
      <c r="FJX1738" s="629">
        <v>8</v>
      </c>
      <c r="FJY1738" s="662"/>
      <c r="FJZ1738" s="631"/>
      <c r="FKA1738" s="631"/>
      <c r="FKB1738" s="631"/>
      <c r="FKC1738" s="631"/>
      <c r="FKD1738" s="631"/>
      <c r="FKE1738" s="631"/>
      <c r="FKF1738" s="631"/>
      <c r="FKG1738" s="666" t="s">
        <v>799</v>
      </c>
      <c r="FKH1738" s="631">
        <f t="shared" ref="FKH1738" si="380">FJX1738</f>
        <v>8</v>
      </c>
      <c r="FKI1738" s="657" t="s">
        <v>2</v>
      </c>
      <c r="FKJ1738" s="736"/>
      <c r="FKK1738" s="737"/>
      <c r="FKL1738" s="665" t="s">
        <v>1413</v>
      </c>
      <c r="FKN1738" s="629">
        <v>8</v>
      </c>
      <c r="FKO1738" s="662"/>
      <c r="FKP1738" s="631"/>
      <c r="FKQ1738" s="631"/>
      <c r="FKR1738" s="631"/>
      <c r="FKS1738" s="631"/>
      <c r="FKT1738" s="631"/>
      <c r="FKU1738" s="631"/>
      <c r="FKV1738" s="631"/>
      <c r="FKW1738" s="666" t="s">
        <v>799</v>
      </c>
      <c r="FKX1738" s="631">
        <f t="shared" ref="FKX1738" si="381">FKN1738</f>
        <v>8</v>
      </c>
      <c r="FKY1738" s="657" t="s">
        <v>2</v>
      </c>
      <c r="FKZ1738" s="736"/>
      <c r="FLA1738" s="737"/>
      <c r="FLB1738" s="665" t="s">
        <v>1413</v>
      </c>
      <c r="FLD1738" s="629">
        <v>8</v>
      </c>
      <c r="FLE1738" s="662"/>
      <c r="FLF1738" s="631"/>
      <c r="FLG1738" s="631"/>
      <c r="FLH1738" s="631"/>
      <c r="FLI1738" s="631"/>
      <c r="FLJ1738" s="631"/>
      <c r="FLK1738" s="631"/>
      <c r="FLL1738" s="631"/>
      <c r="FLM1738" s="666" t="s">
        <v>799</v>
      </c>
      <c r="FLN1738" s="631">
        <f t="shared" ref="FLN1738" si="382">FLD1738</f>
        <v>8</v>
      </c>
      <c r="FLO1738" s="657" t="s">
        <v>2</v>
      </c>
      <c r="FLP1738" s="736"/>
      <c r="FLQ1738" s="737"/>
      <c r="FLR1738" s="665" t="s">
        <v>1413</v>
      </c>
      <c r="FLT1738" s="629">
        <v>8</v>
      </c>
      <c r="FLU1738" s="662"/>
      <c r="FLV1738" s="631"/>
      <c r="FLW1738" s="631"/>
      <c r="FLX1738" s="631"/>
      <c r="FLY1738" s="631"/>
      <c r="FLZ1738" s="631"/>
      <c r="FMA1738" s="631"/>
      <c r="FMB1738" s="631"/>
      <c r="FMC1738" s="666" t="s">
        <v>799</v>
      </c>
      <c r="FMD1738" s="631">
        <f t="shared" ref="FMD1738" si="383">FLT1738</f>
        <v>8</v>
      </c>
      <c r="FME1738" s="657" t="s">
        <v>2</v>
      </c>
      <c r="FMF1738" s="736"/>
      <c r="FMG1738" s="737"/>
      <c r="FMH1738" s="665" t="s">
        <v>1413</v>
      </c>
      <c r="FMJ1738" s="629">
        <v>8</v>
      </c>
      <c r="FMK1738" s="662"/>
      <c r="FML1738" s="631"/>
      <c r="FMM1738" s="631"/>
      <c r="FMN1738" s="631"/>
      <c r="FMO1738" s="631"/>
      <c r="FMP1738" s="631"/>
      <c r="FMQ1738" s="631"/>
      <c r="FMR1738" s="631"/>
      <c r="FMS1738" s="666" t="s">
        <v>799</v>
      </c>
      <c r="FMT1738" s="631">
        <f t="shared" ref="FMT1738" si="384">FMJ1738</f>
        <v>8</v>
      </c>
      <c r="FMU1738" s="657" t="s">
        <v>2</v>
      </c>
      <c r="FMV1738" s="736"/>
      <c r="FMW1738" s="737"/>
      <c r="FMX1738" s="665" t="s">
        <v>1413</v>
      </c>
      <c r="FMZ1738" s="629">
        <v>8</v>
      </c>
      <c r="FNA1738" s="662"/>
      <c r="FNB1738" s="631"/>
      <c r="FNC1738" s="631"/>
      <c r="FND1738" s="631"/>
      <c r="FNE1738" s="631"/>
      <c r="FNF1738" s="631"/>
      <c r="FNG1738" s="631"/>
      <c r="FNH1738" s="631"/>
      <c r="FNI1738" s="666" t="s">
        <v>799</v>
      </c>
      <c r="FNJ1738" s="631">
        <f t="shared" ref="FNJ1738" si="385">FMZ1738</f>
        <v>8</v>
      </c>
      <c r="FNK1738" s="657" t="s">
        <v>2</v>
      </c>
      <c r="FNL1738" s="736"/>
      <c r="FNM1738" s="737"/>
      <c r="FNN1738" s="665" t="s">
        <v>1413</v>
      </c>
      <c r="FNP1738" s="629">
        <v>8</v>
      </c>
      <c r="FNQ1738" s="662"/>
      <c r="FNR1738" s="631"/>
      <c r="FNS1738" s="631"/>
      <c r="FNT1738" s="631"/>
      <c r="FNU1738" s="631"/>
      <c r="FNV1738" s="631"/>
      <c r="FNW1738" s="631"/>
      <c r="FNX1738" s="631"/>
      <c r="FNY1738" s="666" t="s">
        <v>799</v>
      </c>
      <c r="FNZ1738" s="631">
        <f t="shared" ref="FNZ1738" si="386">FNP1738</f>
        <v>8</v>
      </c>
      <c r="FOA1738" s="657" t="s">
        <v>2</v>
      </c>
      <c r="FOB1738" s="736"/>
      <c r="FOC1738" s="737"/>
      <c r="FOD1738" s="665" t="s">
        <v>1413</v>
      </c>
      <c r="FOF1738" s="629">
        <v>8</v>
      </c>
      <c r="FOG1738" s="662"/>
      <c r="FOH1738" s="631"/>
      <c r="FOI1738" s="631"/>
      <c r="FOJ1738" s="631"/>
      <c r="FOK1738" s="631"/>
      <c r="FOL1738" s="631"/>
      <c r="FOM1738" s="631"/>
      <c r="FON1738" s="631"/>
      <c r="FOO1738" s="666" t="s">
        <v>799</v>
      </c>
      <c r="FOP1738" s="631">
        <f t="shared" ref="FOP1738" si="387">FOF1738</f>
        <v>8</v>
      </c>
      <c r="FOQ1738" s="657" t="s">
        <v>2</v>
      </c>
      <c r="FOR1738" s="736"/>
      <c r="FOS1738" s="737"/>
      <c r="FOT1738" s="665" t="s">
        <v>1413</v>
      </c>
      <c r="FOV1738" s="629">
        <v>8</v>
      </c>
      <c r="FOW1738" s="662"/>
      <c r="FOX1738" s="631"/>
      <c r="FOY1738" s="631"/>
      <c r="FOZ1738" s="631"/>
      <c r="FPA1738" s="631"/>
      <c r="FPB1738" s="631"/>
      <c r="FPC1738" s="631"/>
      <c r="FPD1738" s="631"/>
      <c r="FPE1738" s="666" t="s">
        <v>799</v>
      </c>
      <c r="FPF1738" s="631">
        <f t="shared" ref="FPF1738" si="388">FOV1738</f>
        <v>8</v>
      </c>
      <c r="FPG1738" s="657" t="s">
        <v>2</v>
      </c>
      <c r="FPH1738" s="736"/>
      <c r="FPI1738" s="737"/>
      <c r="FPJ1738" s="665" t="s">
        <v>1413</v>
      </c>
      <c r="FPL1738" s="629">
        <v>8</v>
      </c>
      <c r="FPM1738" s="662"/>
      <c r="FPN1738" s="631"/>
      <c r="FPO1738" s="631"/>
      <c r="FPP1738" s="631"/>
      <c r="FPQ1738" s="631"/>
      <c r="FPR1738" s="631"/>
      <c r="FPS1738" s="631"/>
      <c r="FPT1738" s="631"/>
      <c r="FPU1738" s="666" t="s">
        <v>799</v>
      </c>
      <c r="FPV1738" s="631">
        <f t="shared" ref="FPV1738" si="389">FPL1738</f>
        <v>8</v>
      </c>
      <c r="FPW1738" s="657" t="s">
        <v>2</v>
      </c>
      <c r="FPX1738" s="736"/>
      <c r="FPY1738" s="737"/>
      <c r="FPZ1738" s="665" t="s">
        <v>1413</v>
      </c>
      <c r="FQB1738" s="629">
        <v>8</v>
      </c>
      <c r="FQC1738" s="662"/>
      <c r="FQD1738" s="631"/>
      <c r="FQE1738" s="631"/>
      <c r="FQF1738" s="631"/>
      <c r="FQG1738" s="631"/>
      <c r="FQH1738" s="631"/>
      <c r="FQI1738" s="631"/>
      <c r="FQJ1738" s="631"/>
      <c r="FQK1738" s="666" t="s">
        <v>799</v>
      </c>
      <c r="FQL1738" s="631">
        <f t="shared" ref="FQL1738" si="390">FQB1738</f>
        <v>8</v>
      </c>
      <c r="FQM1738" s="657" t="s">
        <v>2</v>
      </c>
      <c r="FQN1738" s="736"/>
      <c r="FQO1738" s="737"/>
      <c r="FQP1738" s="665" t="s">
        <v>1413</v>
      </c>
      <c r="FQR1738" s="629">
        <v>8</v>
      </c>
      <c r="FQS1738" s="662"/>
      <c r="FQT1738" s="631"/>
      <c r="FQU1738" s="631"/>
      <c r="FQV1738" s="631"/>
      <c r="FQW1738" s="631"/>
      <c r="FQX1738" s="631"/>
      <c r="FQY1738" s="631"/>
      <c r="FQZ1738" s="631"/>
      <c r="FRA1738" s="666" t="s">
        <v>799</v>
      </c>
      <c r="FRB1738" s="631">
        <f t="shared" ref="FRB1738" si="391">FQR1738</f>
        <v>8</v>
      </c>
      <c r="FRC1738" s="657" t="s">
        <v>2</v>
      </c>
      <c r="FRD1738" s="736"/>
      <c r="FRE1738" s="737"/>
      <c r="FRF1738" s="665" t="s">
        <v>1413</v>
      </c>
      <c r="FRH1738" s="629">
        <v>8</v>
      </c>
      <c r="FRI1738" s="662"/>
      <c r="FRJ1738" s="631"/>
      <c r="FRK1738" s="631"/>
      <c r="FRL1738" s="631"/>
      <c r="FRM1738" s="631"/>
      <c r="FRN1738" s="631"/>
      <c r="FRO1738" s="631"/>
      <c r="FRP1738" s="631"/>
      <c r="FRQ1738" s="666" t="s">
        <v>799</v>
      </c>
      <c r="FRR1738" s="631">
        <f t="shared" ref="FRR1738" si="392">FRH1738</f>
        <v>8</v>
      </c>
      <c r="FRS1738" s="657" t="s">
        <v>2</v>
      </c>
      <c r="FRT1738" s="736"/>
      <c r="FRU1738" s="737"/>
      <c r="FRV1738" s="665" t="s">
        <v>1413</v>
      </c>
      <c r="FRX1738" s="629">
        <v>8</v>
      </c>
      <c r="FRY1738" s="662"/>
      <c r="FRZ1738" s="631"/>
      <c r="FSA1738" s="631"/>
      <c r="FSB1738" s="631"/>
      <c r="FSC1738" s="631"/>
      <c r="FSD1738" s="631"/>
      <c r="FSE1738" s="631"/>
      <c r="FSF1738" s="631"/>
      <c r="FSG1738" s="666" t="s">
        <v>799</v>
      </c>
      <c r="FSH1738" s="631">
        <f t="shared" ref="FSH1738" si="393">FRX1738</f>
        <v>8</v>
      </c>
      <c r="FSI1738" s="657" t="s">
        <v>2</v>
      </c>
      <c r="FSJ1738" s="736"/>
      <c r="FSK1738" s="737"/>
      <c r="FSL1738" s="665" t="s">
        <v>1413</v>
      </c>
      <c r="FSN1738" s="629">
        <v>8</v>
      </c>
      <c r="FSO1738" s="662"/>
      <c r="FSP1738" s="631"/>
      <c r="FSQ1738" s="631"/>
      <c r="FSR1738" s="631"/>
      <c r="FSS1738" s="631"/>
      <c r="FST1738" s="631"/>
      <c r="FSU1738" s="631"/>
      <c r="FSV1738" s="631"/>
      <c r="FSW1738" s="666" t="s">
        <v>799</v>
      </c>
      <c r="FSX1738" s="631">
        <f t="shared" ref="FSX1738" si="394">FSN1738</f>
        <v>8</v>
      </c>
      <c r="FSY1738" s="657" t="s">
        <v>2</v>
      </c>
      <c r="FSZ1738" s="736"/>
      <c r="FTA1738" s="737"/>
      <c r="FTB1738" s="665" t="s">
        <v>1413</v>
      </c>
      <c r="FTD1738" s="629">
        <v>8</v>
      </c>
      <c r="FTE1738" s="662"/>
      <c r="FTF1738" s="631"/>
      <c r="FTG1738" s="631"/>
      <c r="FTH1738" s="631"/>
      <c r="FTI1738" s="631"/>
      <c r="FTJ1738" s="631"/>
      <c r="FTK1738" s="631"/>
      <c r="FTL1738" s="631"/>
      <c r="FTM1738" s="666" t="s">
        <v>799</v>
      </c>
      <c r="FTN1738" s="631">
        <f t="shared" ref="FTN1738" si="395">FTD1738</f>
        <v>8</v>
      </c>
      <c r="FTO1738" s="657" t="s">
        <v>2</v>
      </c>
      <c r="FTP1738" s="736"/>
      <c r="FTQ1738" s="737"/>
      <c r="FTR1738" s="665" t="s">
        <v>1413</v>
      </c>
      <c r="FTT1738" s="629">
        <v>8</v>
      </c>
      <c r="FTU1738" s="662"/>
      <c r="FTV1738" s="631"/>
      <c r="FTW1738" s="631"/>
      <c r="FTX1738" s="631"/>
      <c r="FTY1738" s="631"/>
      <c r="FTZ1738" s="631"/>
      <c r="FUA1738" s="631"/>
      <c r="FUB1738" s="631"/>
      <c r="FUC1738" s="666" t="s">
        <v>799</v>
      </c>
      <c r="FUD1738" s="631">
        <f t="shared" ref="FUD1738" si="396">FTT1738</f>
        <v>8</v>
      </c>
      <c r="FUE1738" s="657" t="s">
        <v>2</v>
      </c>
      <c r="FUF1738" s="736"/>
      <c r="FUG1738" s="737"/>
      <c r="FUH1738" s="665" t="s">
        <v>1413</v>
      </c>
      <c r="FUJ1738" s="629">
        <v>8</v>
      </c>
      <c r="FUK1738" s="662"/>
      <c r="FUL1738" s="631"/>
      <c r="FUM1738" s="631"/>
      <c r="FUN1738" s="631"/>
      <c r="FUO1738" s="631"/>
      <c r="FUP1738" s="631"/>
      <c r="FUQ1738" s="631"/>
      <c r="FUR1738" s="631"/>
      <c r="FUS1738" s="666" t="s">
        <v>799</v>
      </c>
      <c r="FUT1738" s="631">
        <f t="shared" ref="FUT1738" si="397">FUJ1738</f>
        <v>8</v>
      </c>
      <c r="FUU1738" s="657" t="s">
        <v>2</v>
      </c>
      <c r="FUV1738" s="736"/>
      <c r="FUW1738" s="737"/>
      <c r="FUX1738" s="665" t="s">
        <v>1413</v>
      </c>
      <c r="FUZ1738" s="629">
        <v>8</v>
      </c>
      <c r="FVA1738" s="662"/>
      <c r="FVB1738" s="631"/>
      <c r="FVC1738" s="631"/>
      <c r="FVD1738" s="631"/>
      <c r="FVE1738" s="631"/>
      <c r="FVF1738" s="631"/>
      <c r="FVG1738" s="631"/>
      <c r="FVH1738" s="631"/>
      <c r="FVI1738" s="666" t="s">
        <v>799</v>
      </c>
      <c r="FVJ1738" s="631">
        <f t="shared" ref="FVJ1738" si="398">FUZ1738</f>
        <v>8</v>
      </c>
      <c r="FVK1738" s="657" t="s">
        <v>2</v>
      </c>
      <c r="FVL1738" s="736"/>
      <c r="FVM1738" s="737"/>
      <c r="FVN1738" s="665" t="s">
        <v>1413</v>
      </c>
      <c r="FVP1738" s="629">
        <v>8</v>
      </c>
      <c r="FVQ1738" s="662"/>
      <c r="FVR1738" s="631"/>
      <c r="FVS1738" s="631"/>
      <c r="FVT1738" s="631"/>
      <c r="FVU1738" s="631"/>
      <c r="FVV1738" s="631"/>
      <c r="FVW1738" s="631"/>
      <c r="FVX1738" s="631"/>
      <c r="FVY1738" s="666" t="s">
        <v>799</v>
      </c>
      <c r="FVZ1738" s="631">
        <f t="shared" ref="FVZ1738" si="399">FVP1738</f>
        <v>8</v>
      </c>
      <c r="FWA1738" s="657" t="s">
        <v>2</v>
      </c>
      <c r="FWB1738" s="736"/>
      <c r="FWC1738" s="737"/>
      <c r="FWD1738" s="665" t="s">
        <v>1413</v>
      </c>
      <c r="FWF1738" s="629">
        <v>8</v>
      </c>
      <c r="FWG1738" s="662"/>
      <c r="FWH1738" s="631"/>
      <c r="FWI1738" s="631"/>
      <c r="FWJ1738" s="631"/>
      <c r="FWK1738" s="631"/>
      <c r="FWL1738" s="631"/>
      <c r="FWM1738" s="631"/>
      <c r="FWN1738" s="631"/>
      <c r="FWO1738" s="666" t="s">
        <v>799</v>
      </c>
      <c r="FWP1738" s="631">
        <f t="shared" ref="FWP1738" si="400">FWF1738</f>
        <v>8</v>
      </c>
      <c r="FWQ1738" s="657" t="s">
        <v>2</v>
      </c>
      <c r="FWR1738" s="736"/>
      <c r="FWS1738" s="737"/>
      <c r="FWT1738" s="665" t="s">
        <v>1413</v>
      </c>
      <c r="FWV1738" s="629">
        <v>8</v>
      </c>
      <c r="FWW1738" s="662"/>
      <c r="FWX1738" s="631"/>
      <c r="FWY1738" s="631"/>
      <c r="FWZ1738" s="631"/>
      <c r="FXA1738" s="631"/>
      <c r="FXB1738" s="631"/>
      <c r="FXC1738" s="631"/>
      <c r="FXD1738" s="631"/>
      <c r="FXE1738" s="666" t="s">
        <v>799</v>
      </c>
      <c r="FXF1738" s="631">
        <f t="shared" ref="FXF1738" si="401">FWV1738</f>
        <v>8</v>
      </c>
      <c r="FXG1738" s="657" t="s">
        <v>2</v>
      </c>
      <c r="FXH1738" s="736"/>
      <c r="FXI1738" s="737"/>
      <c r="FXJ1738" s="665" t="s">
        <v>1413</v>
      </c>
      <c r="FXL1738" s="629">
        <v>8</v>
      </c>
      <c r="FXM1738" s="662"/>
      <c r="FXN1738" s="631"/>
      <c r="FXO1738" s="631"/>
      <c r="FXP1738" s="631"/>
      <c r="FXQ1738" s="631"/>
      <c r="FXR1738" s="631"/>
      <c r="FXS1738" s="631"/>
      <c r="FXT1738" s="631"/>
      <c r="FXU1738" s="666" t="s">
        <v>799</v>
      </c>
      <c r="FXV1738" s="631">
        <f t="shared" ref="FXV1738" si="402">FXL1738</f>
        <v>8</v>
      </c>
      <c r="FXW1738" s="657" t="s">
        <v>2</v>
      </c>
      <c r="FXX1738" s="736"/>
      <c r="FXY1738" s="737"/>
      <c r="FXZ1738" s="665" t="s">
        <v>1413</v>
      </c>
      <c r="FYB1738" s="629">
        <v>8</v>
      </c>
      <c r="FYC1738" s="662"/>
      <c r="FYD1738" s="631"/>
      <c r="FYE1738" s="631"/>
      <c r="FYF1738" s="631"/>
      <c r="FYG1738" s="631"/>
      <c r="FYH1738" s="631"/>
      <c r="FYI1738" s="631"/>
      <c r="FYJ1738" s="631"/>
      <c r="FYK1738" s="666" t="s">
        <v>799</v>
      </c>
      <c r="FYL1738" s="631">
        <f t="shared" ref="FYL1738" si="403">FYB1738</f>
        <v>8</v>
      </c>
      <c r="FYM1738" s="657" t="s">
        <v>2</v>
      </c>
      <c r="FYN1738" s="736"/>
      <c r="FYO1738" s="737"/>
      <c r="FYP1738" s="665" t="s">
        <v>1413</v>
      </c>
      <c r="FYR1738" s="629">
        <v>8</v>
      </c>
      <c r="FYS1738" s="662"/>
      <c r="FYT1738" s="631"/>
      <c r="FYU1738" s="631"/>
      <c r="FYV1738" s="631"/>
      <c r="FYW1738" s="631"/>
      <c r="FYX1738" s="631"/>
      <c r="FYY1738" s="631"/>
      <c r="FYZ1738" s="631"/>
      <c r="FZA1738" s="666" t="s">
        <v>799</v>
      </c>
      <c r="FZB1738" s="631">
        <f t="shared" ref="FZB1738" si="404">FYR1738</f>
        <v>8</v>
      </c>
      <c r="FZC1738" s="657" t="s">
        <v>2</v>
      </c>
      <c r="FZD1738" s="736"/>
      <c r="FZE1738" s="737"/>
      <c r="FZF1738" s="665" t="s">
        <v>1413</v>
      </c>
      <c r="FZH1738" s="629">
        <v>8</v>
      </c>
      <c r="FZI1738" s="662"/>
      <c r="FZJ1738" s="631"/>
      <c r="FZK1738" s="631"/>
      <c r="FZL1738" s="631"/>
      <c r="FZM1738" s="631"/>
      <c r="FZN1738" s="631"/>
      <c r="FZO1738" s="631"/>
      <c r="FZP1738" s="631"/>
      <c r="FZQ1738" s="666" t="s">
        <v>799</v>
      </c>
      <c r="FZR1738" s="631">
        <f t="shared" ref="FZR1738" si="405">FZH1738</f>
        <v>8</v>
      </c>
      <c r="FZS1738" s="657" t="s">
        <v>2</v>
      </c>
      <c r="FZT1738" s="736"/>
      <c r="FZU1738" s="737"/>
      <c r="FZV1738" s="665" t="s">
        <v>1413</v>
      </c>
      <c r="FZX1738" s="629">
        <v>8</v>
      </c>
      <c r="FZY1738" s="662"/>
      <c r="FZZ1738" s="631"/>
      <c r="GAA1738" s="631"/>
      <c r="GAB1738" s="631"/>
      <c r="GAC1738" s="631"/>
      <c r="GAD1738" s="631"/>
      <c r="GAE1738" s="631"/>
      <c r="GAF1738" s="631"/>
      <c r="GAG1738" s="666" t="s">
        <v>799</v>
      </c>
      <c r="GAH1738" s="631">
        <f t="shared" ref="GAH1738" si="406">FZX1738</f>
        <v>8</v>
      </c>
      <c r="GAI1738" s="657" t="s">
        <v>2</v>
      </c>
      <c r="GAJ1738" s="736"/>
      <c r="GAK1738" s="737"/>
      <c r="GAL1738" s="665" t="s">
        <v>1413</v>
      </c>
      <c r="GAN1738" s="629">
        <v>8</v>
      </c>
      <c r="GAO1738" s="662"/>
      <c r="GAP1738" s="631"/>
      <c r="GAQ1738" s="631"/>
      <c r="GAR1738" s="631"/>
      <c r="GAS1738" s="631"/>
      <c r="GAT1738" s="631"/>
      <c r="GAU1738" s="631"/>
      <c r="GAV1738" s="631"/>
      <c r="GAW1738" s="666" t="s">
        <v>799</v>
      </c>
      <c r="GAX1738" s="631">
        <f t="shared" ref="GAX1738" si="407">GAN1738</f>
        <v>8</v>
      </c>
      <c r="GAY1738" s="657" t="s">
        <v>2</v>
      </c>
      <c r="GAZ1738" s="736"/>
      <c r="GBA1738" s="737"/>
      <c r="GBB1738" s="665" t="s">
        <v>1413</v>
      </c>
      <c r="GBD1738" s="629">
        <v>8</v>
      </c>
      <c r="GBE1738" s="662"/>
      <c r="GBF1738" s="631"/>
      <c r="GBG1738" s="631"/>
      <c r="GBH1738" s="631"/>
      <c r="GBI1738" s="631"/>
      <c r="GBJ1738" s="631"/>
      <c r="GBK1738" s="631"/>
      <c r="GBL1738" s="631"/>
      <c r="GBM1738" s="666" t="s">
        <v>799</v>
      </c>
      <c r="GBN1738" s="631">
        <f t="shared" ref="GBN1738" si="408">GBD1738</f>
        <v>8</v>
      </c>
      <c r="GBO1738" s="657" t="s">
        <v>2</v>
      </c>
      <c r="GBP1738" s="736"/>
      <c r="GBQ1738" s="737"/>
      <c r="GBR1738" s="665" t="s">
        <v>1413</v>
      </c>
      <c r="GBT1738" s="629">
        <v>8</v>
      </c>
      <c r="GBU1738" s="662"/>
      <c r="GBV1738" s="631"/>
      <c r="GBW1738" s="631"/>
      <c r="GBX1738" s="631"/>
      <c r="GBY1738" s="631"/>
      <c r="GBZ1738" s="631"/>
      <c r="GCA1738" s="631"/>
      <c r="GCB1738" s="631"/>
      <c r="GCC1738" s="666" t="s">
        <v>799</v>
      </c>
      <c r="GCD1738" s="631">
        <f t="shared" ref="GCD1738" si="409">GBT1738</f>
        <v>8</v>
      </c>
      <c r="GCE1738" s="657" t="s">
        <v>2</v>
      </c>
      <c r="GCF1738" s="736"/>
      <c r="GCG1738" s="737"/>
      <c r="GCH1738" s="665" t="s">
        <v>1413</v>
      </c>
      <c r="GCJ1738" s="629">
        <v>8</v>
      </c>
      <c r="GCK1738" s="662"/>
      <c r="GCL1738" s="631"/>
      <c r="GCM1738" s="631"/>
      <c r="GCN1738" s="631"/>
      <c r="GCO1738" s="631"/>
      <c r="GCP1738" s="631"/>
      <c r="GCQ1738" s="631"/>
      <c r="GCR1738" s="631"/>
      <c r="GCS1738" s="666" t="s">
        <v>799</v>
      </c>
      <c r="GCT1738" s="631">
        <f t="shared" ref="GCT1738" si="410">GCJ1738</f>
        <v>8</v>
      </c>
      <c r="GCU1738" s="657" t="s">
        <v>2</v>
      </c>
      <c r="GCV1738" s="736"/>
      <c r="GCW1738" s="737"/>
      <c r="GCX1738" s="665" t="s">
        <v>1413</v>
      </c>
      <c r="GCZ1738" s="629">
        <v>8</v>
      </c>
      <c r="GDA1738" s="662"/>
      <c r="GDB1738" s="631"/>
      <c r="GDC1738" s="631"/>
      <c r="GDD1738" s="631"/>
      <c r="GDE1738" s="631"/>
      <c r="GDF1738" s="631"/>
      <c r="GDG1738" s="631"/>
      <c r="GDH1738" s="631"/>
      <c r="GDI1738" s="666" t="s">
        <v>799</v>
      </c>
      <c r="GDJ1738" s="631">
        <f t="shared" ref="GDJ1738" si="411">GCZ1738</f>
        <v>8</v>
      </c>
      <c r="GDK1738" s="657" t="s">
        <v>2</v>
      </c>
      <c r="GDL1738" s="736"/>
      <c r="GDM1738" s="737"/>
      <c r="GDN1738" s="665" t="s">
        <v>1413</v>
      </c>
      <c r="GDP1738" s="629">
        <v>8</v>
      </c>
      <c r="GDQ1738" s="662"/>
      <c r="GDR1738" s="631"/>
      <c r="GDS1738" s="631"/>
      <c r="GDT1738" s="631"/>
      <c r="GDU1738" s="631"/>
      <c r="GDV1738" s="631"/>
      <c r="GDW1738" s="631"/>
      <c r="GDX1738" s="631"/>
      <c r="GDY1738" s="666" t="s">
        <v>799</v>
      </c>
      <c r="GDZ1738" s="631">
        <f t="shared" ref="GDZ1738" si="412">GDP1738</f>
        <v>8</v>
      </c>
      <c r="GEA1738" s="657" t="s">
        <v>2</v>
      </c>
      <c r="GEB1738" s="736"/>
      <c r="GEC1738" s="737"/>
      <c r="GED1738" s="665" t="s">
        <v>1413</v>
      </c>
      <c r="GEF1738" s="629">
        <v>8</v>
      </c>
      <c r="GEG1738" s="662"/>
      <c r="GEH1738" s="631"/>
      <c r="GEI1738" s="631"/>
      <c r="GEJ1738" s="631"/>
      <c r="GEK1738" s="631"/>
      <c r="GEL1738" s="631"/>
      <c r="GEM1738" s="631"/>
      <c r="GEN1738" s="631"/>
      <c r="GEO1738" s="666" t="s">
        <v>799</v>
      </c>
      <c r="GEP1738" s="631">
        <f t="shared" ref="GEP1738" si="413">GEF1738</f>
        <v>8</v>
      </c>
      <c r="GEQ1738" s="657" t="s">
        <v>2</v>
      </c>
      <c r="GER1738" s="736"/>
      <c r="GES1738" s="737"/>
      <c r="GET1738" s="665" t="s">
        <v>1413</v>
      </c>
      <c r="GEV1738" s="629">
        <v>8</v>
      </c>
      <c r="GEW1738" s="662"/>
      <c r="GEX1738" s="631"/>
      <c r="GEY1738" s="631"/>
      <c r="GEZ1738" s="631"/>
      <c r="GFA1738" s="631"/>
      <c r="GFB1738" s="631"/>
      <c r="GFC1738" s="631"/>
      <c r="GFD1738" s="631"/>
      <c r="GFE1738" s="666" t="s">
        <v>799</v>
      </c>
      <c r="GFF1738" s="631">
        <f t="shared" ref="GFF1738" si="414">GEV1738</f>
        <v>8</v>
      </c>
      <c r="GFG1738" s="657" t="s">
        <v>2</v>
      </c>
      <c r="GFH1738" s="736"/>
      <c r="GFI1738" s="737"/>
      <c r="GFJ1738" s="665" t="s">
        <v>1413</v>
      </c>
      <c r="GFL1738" s="629">
        <v>8</v>
      </c>
      <c r="GFM1738" s="662"/>
      <c r="GFN1738" s="631"/>
      <c r="GFO1738" s="631"/>
      <c r="GFP1738" s="631"/>
      <c r="GFQ1738" s="631"/>
      <c r="GFR1738" s="631"/>
      <c r="GFS1738" s="631"/>
      <c r="GFT1738" s="631"/>
      <c r="GFU1738" s="666" t="s">
        <v>799</v>
      </c>
      <c r="GFV1738" s="631">
        <f t="shared" ref="GFV1738" si="415">GFL1738</f>
        <v>8</v>
      </c>
      <c r="GFW1738" s="657" t="s">
        <v>2</v>
      </c>
      <c r="GFX1738" s="736"/>
      <c r="GFY1738" s="737"/>
      <c r="GFZ1738" s="665" t="s">
        <v>1413</v>
      </c>
      <c r="GGB1738" s="629">
        <v>8</v>
      </c>
      <c r="GGC1738" s="662"/>
      <c r="GGD1738" s="631"/>
      <c r="GGE1738" s="631"/>
      <c r="GGF1738" s="631"/>
      <c r="GGG1738" s="631"/>
      <c r="GGH1738" s="631"/>
      <c r="GGI1738" s="631"/>
      <c r="GGJ1738" s="631"/>
      <c r="GGK1738" s="666" t="s">
        <v>799</v>
      </c>
      <c r="GGL1738" s="631">
        <f t="shared" ref="GGL1738" si="416">GGB1738</f>
        <v>8</v>
      </c>
      <c r="GGM1738" s="657" t="s">
        <v>2</v>
      </c>
      <c r="GGN1738" s="736"/>
      <c r="GGO1738" s="737"/>
      <c r="GGP1738" s="665" t="s">
        <v>1413</v>
      </c>
      <c r="GGR1738" s="629">
        <v>8</v>
      </c>
      <c r="GGS1738" s="662"/>
      <c r="GGT1738" s="631"/>
      <c r="GGU1738" s="631"/>
      <c r="GGV1738" s="631"/>
      <c r="GGW1738" s="631"/>
      <c r="GGX1738" s="631"/>
      <c r="GGY1738" s="631"/>
      <c r="GGZ1738" s="631"/>
      <c r="GHA1738" s="666" t="s">
        <v>799</v>
      </c>
      <c r="GHB1738" s="631">
        <f t="shared" ref="GHB1738" si="417">GGR1738</f>
        <v>8</v>
      </c>
      <c r="GHC1738" s="657" t="s">
        <v>2</v>
      </c>
      <c r="GHD1738" s="736"/>
      <c r="GHE1738" s="737"/>
      <c r="GHF1738" s="665" t="s">
        <v>1413</v>
      </c>
      <c r="GHH1738" s="629">
        <v>8</v>
      </c>
      <c r="GHI1738" s="662"/>
      <c r="GHJ1738" s="631"/>
      <c r="GHK1738" s="631"/>
      <c r="GHL1738" s="631"/>
      <c r="GHM1738" s="631"/>
      <c r="GHN1738" s="631"/>
      <c r="GHO1738" s="631"/>
      <c r="GHP1738" s="631"/>
      <c r="GHQ1738" s="666" t="s">
        <v>799</v>
      </c>
      <c r="GHR1738" s="631">
        <f t="shared" ref="GHR1738" si="418">GHH1738</f>
        <v>8</v>
      </c>
      <c r="GHS1738" s="657" t="s">
        <v>2</v>
      </c>
      <c r="GHT1738" s="736"/>
      <c r="GHU1738" s="737"/>
      <c r="GHV1738" s="665" t="s">
        <v>1413</v>
      </c>
      <c r="GHX1738" s="629">
        <v>8</v>
      </c>
      <c r="GHY1738" s="662"/>
      <c r="GHZ1738" s="631"/>
      <c r="GIA1738" s="631"/>
      <c r="GIB1738" s="631"/>
      <c r="GIC1738" s="631"/>
      <c r="GID1738" s="631"/>
      <c r="GIE1738" s="631"/>
      <c r="GIF1738" s="631"/>
      <c r="GIG1738" s="666" t="s">
        <v>799</v>
      </c>
      <c r="GIH1738" s="631">
        <f t="shared" ref="GIH1738" si="419">GHX1738</f>
        <v>8</v>
      </c>
      <c r="GII1738" s="657" t="s">
        <v>2</v>
      </c>
      <c r="GIJ1738" s="736"/>
      <c r="GIK1738" s="737"/>
      <c r="GIL1738" s="665" t="s">
        <v>1413</v>
      </c>
      <c r="GIN1738" s="629">
        <v>8</v>
      </c>
      <c r="GIO1738" s="662"/>
      <c r="GIP1738" s="631"/>
      <c r="GIQ1738" s="631"/>
      <c r="GIR1738" s="631"/>
      <c r="GIS1738" s="631"/>
      <c r="GIT1738" s="631"/>
      <c r="GIU1738" s="631"/>
      <c r="GIV1738" s="631"/>
      <c r="GIW1738" s="666" t="s">
        <v>799</v>
      </c>
      <c r="GIX1738" s="631">
        <f t="shared" ref="GIX1738" si="420">GIN1738</f>
        <v>8</v>
      </c>
      <c r="GIY1738" s="657" t="s">
        <v>2</v>
      </c>
      <c r="GIZ1738" s="736"/>
      <c r="GJA1738" s="737"/>
      <c r="GJB1738" s="665" t="s">
        <v>1413</v>
      </c>
      <c r="GJD1738" s="629">
        <v>8</v>
      </c>
      <c r="GJE1738" s="662"/>
      <c r="GJF1738" s="631"/>
      <c r="GJG1738" s="631"/>
      <c r="GJH1738" s="631"/>
      <c r="GJI1738" s="631"/>
      <c r="GJJ1738" s="631"/>
      <c r="GJK1738" s="631"/>
      <c r="GJL1738" s="631"/>
      <c r="GJM1738" s="666" t="s">
        <v>799</v>
      </c>
      <c r="GJN1738" s="631">
        <f t="shared" ref="GJN1738" si="421">GJD1738</f>
        <v>8</v>
      </c>
      <c r="GJO1738" s="657" t="s">
        <v>2</v>
      </c>
      <c r="GJP1738" s="736"/>
      <c r="GJQ1738" s="737"/>
      <c r="GJR1738" s="665" t="s">
        <v>1413</v>
      </c>
      <c r="GJT1738" s="629">
        <v>8</v>
      </c>
      <c r="GJU1738" s="662"/>
      <c r="GJV1738" s="631"/>
      <c r="GJW1738" s="631"/>
      <c r="GJX1738" s="631"/>
      <c r="GJY1738" s="631"/>
      <c r="GJZ1738" s="631"/>
      <c r="GKA1738" s="631"/>
      <c r="GKB1738" s="631"/>
      <c r="GKC1738" s="666" t="s">
        <v>799</v>
      </c>
      <c r="GKD1738" s="631">
        <f t="shared" ref="GKD1738" si="422">GJT1738</f>
        <v>8</v>
      </c>
      <c r="GKE1738" s="657" t="s">
        <v>2</v>
      </c>
      <c r="GKF1738" s="736"/>
      <c r="GKG1738" s="737"/>
      <c r="GKH1738" s="665" t="s">
        <v>1413</v>
      </c>
      <c r="GKJ1738" s="629">
        <v>8</v>
      </c>
      <c r="GKK1738" s="662"/>
      <c r="GKL1738" s="631"/>
      <c r="GKM1738" s="631"/>
      <c r="GKN1738" s="631"/>
      <c r="GKO1738" s="631"/>
      <c r="GKP1738" s="631"/>
      <c r="GKQ1738" s="631"/>
      <c r="GKR1738" s="631"/>
      <c r="GKS1738" s="666" t="s">
        <v>799</v>
      </c>
      <c r="GKT1738" s="631">
        <f t="shared" ref="GKT1738" si="423">GKJ1738</f>
        <v>8</v>
      </c>
      <c r="GKU1738" s="657" t="s">
        <v>2</v>
      </c>
      <c r="GKV1738" s="736"/>
      <c r="GKW1738" s="737"/>
      <c r="GKX1738" s="665" t="s">
        <v>1413</v>
      </c>
      <c r="GKZ1738" s="629">
        <v>8</v>
      </c>
      <c r="GLA1738" s="662"/>
      <c r="GLB1738" s="631"/>
      <c r="GLC1738" s="631"/>
      <c r="GLD1738" s="631"/>
      <c r="GLE1738" s="631"/>
      <c r="GLF1738" s="631"/>
      <c r="GLG1738" s="631"/>
      <c r="GLH1738" s="631"/>
      <c r="GLI1738" s="666" t="s">
        <v>799</v>
      </c>
      <c r="GLJ1738" s="631">
        <f t="shared" ref="GLJ1738" si="424">GKZ1738</f>
        <v>8</v>
      </c>
      <c r="GLK1738" s="657" t="s">
        <v>2</v>
      </c>
      <c r="GLL1738" s="736"/>
      <c r="GLM1738" s="737"/>
      <c r="GLN1738" s="665" t="s">
        <v>1413</v>
      </c>
      <c r="GLP1738" s="629">
        <v>8</v>
      </c>
      <c r="GLQ1738" s="662"/>
      <c r="GLR1738" s="631"/>
      <c r="GLS1738" s="631"/>
      <c r="GLT1738" s="631"/>
      <c r="GLU1738" s="631"/>
      <c r="GLV1738" s="631"/>
      <c r="GLW1738" s="631"/>
      <c r="GLX1738" s="631"/>
      <c r="GLY1738" s="666" t="s">
        <v>799</v>
      </c>
      <c r="GLZ1738" s="631">
        <f t="shared" ref="GLZ1738" si="425">GLP1738</f>
        <v>8</v>
      </c>
      <c r="GMA1738" s="657" t="s">
        <v>2</v>
      </c>
      <c r="GMB1738" s="736"/>
      <c r="GMC1738" s="737"/>
      <c r="GMD1738" s="665" t="s">
        <v>1413</v>
      </c>
      <c r="GMF1738" s="629">
        <v>8</v>
      </c>
      <c r="GMG1738" s="662"/>
      <c r="GMH1738" s="631"/>
      <c r="GMI1738" s="631"/>
      <c r="GMJ1738" s="631"/>
      <c r="GMK1738" s="631"/>
      <c r="GML1738" s="631"/>
      <c r="GMM1738" s="631"/>
      <c r="GMN1738" s="631"/>
      <c r="GMO1738" s="666" t="s">
        <v>799</v>
      </c>
      <c r="GMP1738" s="631">
        <f t="shared" ref="GMP1738" si="426">GMF1738</f>
        <v>8</v>
      </c>
      <c r="GMQ1738" s="657" t="s">
        <v>2</v>
      </c>
      <c r="GMR1738" s="736"/>
      <c r="GMS1738" s="737"/>
      <c r="GMT1738" s="665" t="s">
        <v>1413</v>
      </c>
      <c r="GMV1738" s="629">
        <v>8</v>
      </c>
      <c r="GMW1738" s="662"/>
      <c r="GMX1738" s="631"/>
      <c r="GMY1738" s="631"/>
      <c r="GMZ1738" s="631"/>
      <c r="GNA1738" s="631"/>
      <c r="GNB1738" s="631"/>
      <c r="GNC1738" s="631"/>
      <c r="GND1738" s="631"/>
      <c r="GNE1738" s="666" t="s">
        <v>799</v>
      </c>
      <c r="GNF1738" s="631">
        <f t="shared" ref="GNF1738" si="427">GMV1738</f>
        <v>8</v>
      </c>
      <c r="GNG1738" s="657" t="s">
        <v>2</v>
      </c>
      <c r="GNH1738" s="736"/>
      <c r="GNI1738" s="737"/>
      <c r="GNJ1738" s="665" t="s">
        <v>1413</v>
      </c>
      <c r="GNL1738" s="629">
        <v>8</v>
      </c>
      <c r="GNM1738" s="662"/>
      <c r="GNN1738" s="631"/>
      <c r="GNO1738" s="631"/>
      <c r="GNP1738" s="631"/>
      <c r="GNQ1738" s="631"/>
      <c r="GNR1738" s="631"/>
      <c r="GNS1738" s="631"/>
      <c r="GNT1738" s="631"/>
      <c r="GNU1738" s="666" t="s">
        <v>799</v>
      </c>
      <c r="GNV1738" s="631">
        <f t="shared" ref="GNV1738" si="428">GNL1738</f>
        <v>8</v>
      </c>
      <c r="GNW1738" s="657" t="s">
        <v>2</v>
      </c>
      <c r="GNX1738" s="736"/>
      <c r="GNY1738" s="737"/>
      <c r="GNZ1738" s="665" t="s">
        <v>1413</v>
      </c>
      <c r="GOB1738" s="629">
        <v>8</v>
      </c>
      <c r="GOC1738" s="662"/>
      <c r="GOD1738" s="631"/>
      <c r="GOE1738" s="631"/>
      <c r="GOF1738" s="631"/>
      <c r="GOG1738" s="631"/>
      <c r="GOH1738" s="631"/>
      <c r="GOI1738" s="631"/>
      <c r="GOJ1738" s="631"/>
      <c r="GOK1738" s="666" t="s">
        <v>799</v>
      </c>
      <c r="GOL1738" s="631">
        <f t="shared" ref="GOL1738" si="429">GOB1738</f>
        <v>8</v>
      </c>
      <c r="GOM1738" s="657" t="s">
        <v>2</v>
      </c>
      <c r="GON1738" s="736"/>
      <c r="GOO1738" s="737"/>
      <c r="GOP1738" s="665" t="s">
        <v>1413</v>
      </c>
      <c r="GOR1738" s="629">
        <v>8</v>
      </c>
      <c r="GOS1738" s="662"/>
      <c r="GOT1738" s="631"/>
      <c r="GOU1738" s="631"/>
      <c r="GOV1738" s="631"/>
      <c r="GOW1738" s="631"/>
      <c r="GOX1738" s="631"/>
      <c r="GOY1738" s="631"/>
      <c r="GOZ1738" s="631"/>
      <c r="GPA1738" s="666" t="s">
        <v>799</v>
      </c>
      <c r="GPB1738" s="631">
        <f t="shared" ref="GPB1738" si="430">GOR1738</f>
        <v>8</v>
      </c>
      <c r="GPC1738" s="657" t="s">
        <v>2</v>
      </c>
      <c r="GPD1738" s="736"/>
      <c r="GPE1738" s="737"/>
      <c r="GPF1738" s="665" t="s">
        <v>1413</v>
      </c>
      <c r="GPH1738" s="629">
        <v>8</v>
      </c>
      <c r="GPI1738" s="662"/>
      <c r="GPJ1738" s="631"/>
      <c r="GPK1738" s="631"/>
      <c r="GPL1738" s="631"/>
      <c r="GPM1738" s="631"/>
      <c r="GPN1738" s="631"/>
      <c r="GPO1738" s="631"/>
      <c r="GPP1738" s="631"/>
      <c r="GPQ1738" s="666" t="s">
        <v>799</v>
      </c>
      <c r="GPR1738" s="631">
        <f t="shared" ref="GPR1738" si="431">GPH1738</f>
        <v>8</v>
      </c>
      <c r="GPS1738" s="657" t="s">
        <v>2</v>
      </c>
      <c r="GPT1738" s="736"/>
      <c r="GPU1738" s="737"/>
      <c r="GPV1738" s="665" t="s">
        <v>1413</v>
      </c>
      <c r="GPX1738" s="629">
        <v>8</v>
      </c>
      <c r="GPY1738" s="662"/>
      <c r="GPZ1738" s="631"/>
      <c r="GQA1738" s="631"/>
      <c r="GQB1738" s="631"/>
      <c r="GQC1738" s="631"/>
      <c r="GQD1738" s="631"/>
      <c r="GQE1738" s="631"/>
      <c r="GQF1738" s="631"/>
      <c r="GQG1738" s="666" t="s">
        <v>799</v>
      </c>
      <c r="GQH1738" s="631">
        <f t="shared" ref="GQH1738" si="432">GPX1738</f>
        <v>8</v>
      </c>
      <c r="GQI1738" s="657" t="s">
        <v>2</v>
      </c>
      <c r="GQJ1738" s="736"/>
      <c r="GQK1738" s="737"/>
      <c r="GQL1738" s="665" t="s">
        <v>1413</v>
      </c>
      <c r="GQN1738" s="629">
        <v>8</v>
      </c>
      <c r="GQO1738" s="662"/>
      <c r="GQP1738" s="631"/>
      <c r="GQQ1738" s="631"/>
      <c r="GQR1738" s="631"/>
      <c r="GQS1738" s="631"/>
      <c r="GQT1738" s="631"/>
      <c r="GQU1738" s="631"/>
      <c r="GQV1738" s="631"/>
      <c r="GQW1738" s="666" t="s">
        <v>799</v>
      </c>
      <c r="GQX1738" s="631">
        <f t="shared" ref="GQX1738" si="433">GQN1738</f>
        <v>8</v>
      </c>
      <c r="GQY1738" s="657" t="s">
        <v>2</v>
      </c>
      <c r="GQZ1738" s="736"/>
      <c r="GRA1738" s="737"/>
      <c r="GRB1738" s="665" t="s">
        <v>1413</v>
      </c>
      <c r="GRD1738" s="629">
        <v>8</v>
      </c>
      <c r="GRE1738" s="662"/>
      <c r="GRF1738" s="631"/>
      <c r="GRG1738" s="631"/>
      <c r="GRH1738" s="631"/>
      <c r="GRI1738" s="631"/>
      <c r="GRJ1738" s="631"/>
      <c r="GRK1738" s="631"/>
      <c r="GRL1738" s="631"/>
      <c r="GRM1738" s="666" t="s">
        <v>799</v>
      </c>
      <c r="GRN1738" s="631">
        <f t="shared" ref="GRN1738" si="434">GRD1738</f>
        <v>8</v>
      </c>
      <c r="GRO1738" s="657" t="s">
        <v>2</v>
      </c>
      <c r="GRP1738" s="736"/>
      <c r="GRQ1738" s="737"/>
      <c r="GRR1738" s="665" t="s">
        <v>1413</v>
      </c>
      <c r="GRT1738" s="629">
        <v>8</v>
      </c>
      <c r="GRU1738" s="662"/>
      <c r="GRV1738" s="631"/>
      <c r="GRW1738" s="631"/>
      <c r="GRX1738" s="631"/>
      <c r="GRY1738" s="631"/>
      <c r="GRZ1738" s="631"/>
      <c r="GSA1738" s="631"/>
      <c r="GSB1738" s="631"/>
      <c r="GSC1738" s="666" t="s">
        <v>799</v>
      </c>
      <c r="GSD1738" s="631">
        <f t="shared" ref="GSD1738" si="435">GRT1738</f>
        <v>8</v>
      </c>
      <c r="GSE1738" s="657" t="s">
        <v>2</v>
      </c>
      <c r="GSF1738" s="736"/>
      <c r="GSG1738" s="737"/>
      <c r="GSH1738" s="665" t="s">
        <v>1413</v>
      </c>
      <c r="GSJ1738" s="629">
        <v>8</v>
      </c>
      <c r="GSK1738" s="662"/>
      <c r="GSL1738" s="631"/>
      <c r="GSM1738" s="631"/>
      <c r="GSN1738" s="631"/>
      <c r="GSO1738" s="631"/>
      <c r="GSP1738" s="631"/>
      <c r="GSQ1738" s="631"/>
      <c r="GSR1738" s="631"/>
      <c r="GSS1738" s="666" t="s">
        <v>799</v>
      </c>
      <c r="GST1738" s="631">
        <f t="shared" ref="GST1738" si="436">GSJ1738</f>
        <v>8</v>
      </c>
      <c r="GSU1738" s="657" t="s">
        <v>2</v>
      </c>
      <c r="GSV1738" s="736"/>
      <c r="GSW1738" s="737"/>
      <c r="GSX1738" s="665" t="s">
        <v>1413</v>
      </c>
      <c r="GSZ1738" s="629">
        <v>8</v>
      </c>
      <c r="GTA1738" s="662"/>
      <c r="GTB1738" s="631"/>
      <c r="GTC1738" s="631"/>
      <c r="GTD1738" s="631"/>
      <c r="GTE1738" s="631"/>
      <c r="GTF1738" s="631"/>
      <c r="GTG1738" s="631"/>
      <c r="GTH1738" s="631"/>
      <c r="GTI1738" s="666" t="s">
        <v>799</v>
      </c>
      <c r="GTJ1738" s="631">
        <f t="shared" ref="GTJ1738" si="437">GSZ1738</f>
        <v>8</v>
      </c>
      <c r="GTK1738" s="657" t="s">
        <v>2</v>
      </c>
      <c r="GTL1738" s="736"/>
      <c r="GTM1738" s="737"/>
      <c r="GTN1738" s="665" t="s">
        <v>1413</v>
      </c>
      <c r="GTP1738" s="629">
        <v>8</v>
      </c>
      <c r="GTQ1738" s="662"/>
      <c r="GTR1738" s="631"/>
      <c r="GTS1738" s="631"/>
      <c r="GTT1738" s="631"/>
      <c r="GTU1738" s="631"/>
      <c r="GTV1738" s="631"/>
      <c r="GTW1738" s="631"/>
      <c r="GTX1738" s="631"/>
      <c r="GTY1738" s="666" t="s">
        <v>799</v>
      </c>
      <c r="GTZ1738" s="631">
        <f t="shared" ref="GTZ1738" si="438">GTP1738</f>
        <v>8</v>
      </c>
      <c r="GUA1738" s="657" t="s">
        <v>2</v>
      </c>
      <c r="GUB1738" s="736"/>
      <c r="GUC1738" s="737"/>
      <c r="GUD1738" s="665" t="s">
        <v>1413</v>
      </c>
      <c r="GUF1738" s="629">
        <v>8</v>
      </c>
      <c r="GUG1738" s="662"/>
      <c r="GUH1738" s="631"/>
      <c r="GUI1738" s="631"/>
      <c r="GUJ1738" s="631"/>
      <c r="GUK1738" s="631"/>
      <c r="GUL1738" s="631"/>
      <c r="GUM1738" s="631"/>
      <c r="GUN1738" s="631"/>
      <c r="GUO1738" s="666" t="s">
        <v>799</v>
      </c>
      <c r="GUP1738" s="631">
        <f t="shared" ref="GUP1738" si="439">GUF1738</f>
        <v>8</v>
      </c>
      <c r="GUQ1738" s="657" t="s">
        <v>2</v>
      </c>
      <c r="GUR1738" s="736"/>
      <c r="GUS1738" s="737"/>
      <c r="GUT1738" s="665" t="s">
        <v>1413</v>
      </c>
      <c r="GUV1738" s="629">
        <v>8</v>
      </c>
      <c r="GUW1738" s="662"/>
      <c r="GUX1738" s="631"/>
      <c r="GUY1738" s="631"/>
      <c r="GUZ1738" s="631"/>
      <c r="GVA1738" s="631"/>
      <c r="GVB1738" s="631"/>
      <c r="GVC1738" s="631"/>
      <c r="GVD1738" s="631"/>
      <c r="GVE1738" s="666" t="s">
        <v>799</v>
      </c>
      <c r="GVF1738" s="631">
        <f t="shared" ref="GVF1738" si="440">GUV1738</f>
        <v>8</v>
      </c>
      <c r="GVG1738" s="657" t="s">
        <v>2</v>
      </c>
      <c r="GVH1738" s="736"/>
      <c r="GVI1738" s="737"/>
      <c r="GVJ1738" s="665" t="s">
        <v>1413</v>
      </c>
      <c r="GVL1738" s="629">
        <v>8</v>
      </c>
      <c r="GVM1738" s="662"/>
      <c r="GVN1738" s="631"/>
      <c r="GVO1738" s="631"/>
      <c r="GVP1738" s="631"/>
      <c r="GVQ1738" s="631"/>
      <c r="GVR1738" s="631"/>
      <c r="GVS1738" s="631"/>
      <c r="GVT1738" s="631"/>
      <c r="GVU1738" s="666" t="s">
        <v>799</v>
      </c>
      <c r="GVV1738" s="631">
        <f t="shared" ref="GVV1738" si="441">GVL1738</f>
        <v>8</v>
      </c>
      <c r="GVW1738" s="657" t="s">
        <v>2</v>
      </c>
      <c r="GVX1738" s="736"/>
      <c r="GVY1738" s="737"/>
      <c r="GVZ1738" s="665" t="s">
        <v>1413</v>
      </c>
      <c r="GWB1738" s="629">
        <v>8</v>
      </c>
      <c r="GWC1738" s="662"/>
      <c r="GWD1738" s="631"/>
      <c r="GWE1738" s="631"/>
      <c r="GWF1738" s="631"/>
      <c r="GWG1738" s="631"/>
      <c r="GWH1738" s="631"/>
      <c r="GWI1738" s="631"/>
      <c r="GWJ1738" s="631"/>
      <c r="GWK1738" s="666" t="s">
        <v>799</v>
      </c>
      <c r="GWL1738" s="631">
        <f t="shared" ref="GWL1738" si="442">GWB1738</f>
        <v>8</v>
      </c>
      <c r="GWM1738" s="657" t="s">
        <v>2</v>
      </c>
      <c r="GWN1738" s="736"/>
      <c r="GWO1738" s="737"/>
      <c r="GWP1738" s="665" t="s">
        <v>1413</v>
      </c>
      <c r="GWR1738" s="629">
        <v>8</v>
      </c>
      <c r="GWS1738" s="662"/>
      <c r="GWT1738" s="631"/>
      <c r="GWU1738" s="631"/>
      <c r="GWV1738" s="631"/>
      <c r="GWW1738" s="631"/>
      <c r="GWX1738" s="631"/>
      <c r="GWY1738" s="631"/>
      <c r="GWZ1738" s="631"/>
      <c r="GXA1738" s="666" t="s">
        <v>799</v>
      </c>
      <c r="GXB1738" s="631">
        <f t="shared" ref="GXB1738" si="443">GWR1738</f>
        <v>8</v>
      </c>
      <c r="GXC1738" s="657" t="s">
        <v>2</v>
      </c>
      <c r="GXD1738" s="736"/>
      <c r="GXE1738" s="737"/>
      <c r="GXF1738" s="665" t="s">
        <v>1413</v>
      </c>
      <c r="GXH1738" s="629">
        <v>8</v>
      </c>
      <c r="GXI1738" s="662"/>
      <c r="GXJ1738" s="631"/>
      <c r="GXK1738" s="631"/>
      <c r="GXL1738" s="631"/>
      <c r="GXM1738" s="631"/>
      <c r="GXN1738" s="631"/>
      <c r="GXO1738" s="631"/>
      <c r="GXP1738" s="631"/>
      <c r="GXQ1738" s="666" t="s">
        <v>799</v>
      </c>
      <c r="GXR1738" s="631">
        <f t="shared" ref="GXR1738" si="444">GXH1738</f>
        <v>8</v>
      </c>
      <c r="GXS1738" s="657" t="s">
        <v>2</v>
      </c>
      <c r="GXT1738" s="736"/>
      <c r="GXU1738" s="737"/>
      <c r="GXV1738" s="665" t="s">
        <v>1413</v>
      </c>
      <c r="GXX1738" s="629">
        <v>8</v>
      </c>
      <c r="GXY1738" s="662"/>
      <c r="GXZ1738" s="631"/>
      <c r="GYA1738" s="631"/>
      <c r="GYB1738" s="631"/>
      <c r="GYC1738" s="631"/>
      <c r="GYD1738" s="631"/>
      <c r="GYE1738" s="631"/>
      <c r="GYF1738" s="631"/>
      <c r="GYG1738" s="666" t="s">
        <v>799</v>
      </c>
      <c r="GYH1738" s="631">
        <f t="shared" ref="GYH1738" si="445">GXX1738</f>
        <v>8</v>
      </c>
      <c r="GYI1738" s="657" t="s">
        <v>2</v>
      </c>
      <c r="GYJ1738" s="736"/>
      <c r="GYK1738" s="737"/>
      <c r="GYL1738" s="665" t="s">
        <v>1413</v>
      </c>
      <c r="GYN1738" s="629">
        <v>8</v>
      </c>
      <c r="GYO1738" s="662"/>
      <c r="GYP1738" s="631"/>
      <c r="GYQ1738" s="631"/>
      <c r="GYR1738" s="631"/>
      <c r="GYS1738" s="631"/>
      <c r="GYT1738" s="631"/>
      <c r="GYU1738" s="631"/>
      <c r="GYV1738" s="631"/>
      <c r="GYW1738" s="666" t="s">
        <v>799</v>
      </c>
      <c r="GYX1738" s="631">
        <f t="shared" ref="GYX1738" si="446">GYN1738</f>
        <v>8</v>
      </c>
      <c r="GYY1738" s="657" t="s">
        <v>2</v>
      </c>
      <c r="GYZ1738" s="736"/>
      <c r="GZA1738" s="737"/>
      <c r="GZB1738" s="665" t="s">
        <v>1413</v>
      </c>
      <c r="GZD1738" s="629">
        <v>8</v>
      </c>
      <c r="GZE1738" s="662"/>
      <c r="GZF1738" s="631"/>
      <c r="GZG1738" s="631"/>
      <c r="GZH1738" s="631"/>
      <c r="GZI1738" s="631"/>
      <c r="GZJ1738" s="631"/>
      <c r="GZK1738" s="631"/>
      <c r="GZL1738" s="631"/>
      <c r="GZM1738" s="666" t="s">
        <v>799</v>
      </c>
      <c r="GZN1738" s="631">
        <f t="shared" ref="GZN1738" si="447">GZD1738</f>
        <v>8</v>
      </c>
      <c r="GZO1738" s="657" t="s">
        <v>2</v>
      </c>
      <c r="GZP1738" s="736"/>
      <c r="GZQ1738" s="737"/>
      <c r="GZR1738" s="665" t="s">
        <v>1413</v>
      </c>
      <c r="GZT1738" s="629">
        <v>8</v>
      </c>
      <c r="GZU1738" s="662"/>
      <c r="GZV1738" s="631"/>
      <c r="GZW1738" s="631"/>
      <c r="GZX1738" s="631"/>
      <c r="GZY1738" s="631"/>
      <c r="GZZ1738" s="631"/>
      <c r="HAA1738" s="631"/>
      <c r="HAB1738" s="631"/>
      <c r="HAC1738" s="666" t="s">
        <v>799</v>
      </c>
      <c r="HAD1738" s="631">
        <f t="shared" ref="HAD1738" si="448">GZT1738</f>
        <v>8</v>
      </c>
      <c r="HAE1738" s="657" t="s">
        <v>2</v>
      </c>
      <c r="HAF1738" s="736"/>
      <c r="HAG1738" s="737"/>
      <c r="HAH1738" s="665" t="s">
        <v>1413</v>
      </c>
      <c r="HAJ1738" s="629">
        <v>8</v>
      </c>
      <c r="HAK1738" s="662"/>
      <c r="HAL1738" s="631"/>
      <c r="HAM1738" s="631"/>
      <c r="HAN1738" s="631"/>
      <c r="HAO1738" s="631"/>
      <c r="HAP1738" s="631"/>
      <c r="HAQ1738" s="631"/>
      <c r="HAR1738" s="631"/>
      <c r="HAS1738" s="666" t="s">
        <v>799</v>
      </c>
      <c r="HAT1738" s="631">
        <f t="shared" ref="HAT1738" si="449">HAJ1738</f>
        <v>8</v>
      </c>
      <c r="HAU1738" s="657" t="s">
        <v>2</v>
      </c>
      <c r="HAV1738" s="736"/>
      <c r="HAW1738" s="737"/>
      <c r="HAX1738" s="665" t="s">
        <v>1413</v>
      </c>
      <c r="HAZ1738" s="629">
        <v>8</v>
      </c>
      <c r="HBA1738" s="662"/>
      <c r="HBB1738" s="631"/>
      <c r="HBC1738" s="631"/>
      <c r="HBD1738" s="631"/>
      <c r="HBE1738" s="631"/>
      <c r="HBF1738" s="631"/>
      <c r="HBG1738" s="631"/>
      <c r="HBH1738" s="631"/>
      <c r="HBI1738" s="666" t="s">
        <v>799</v>
      </c>
      <c r="HBJ1738" s="631">
        <f t="shared" ref="HBJ1738" si="450">HAZ1738</f>
        <v>8</v>
      </c>
      <c r="HBK1738" s="657" t="s">
        <v>2</v>
      </c>
      <c r="HBL1738" s="736"/>
      <c r="HBM1738" s="737"/>
      <c r="HBN1738" s="665" t="s">
        <v>1413</v>
      </c>
      <c r="HBP1738" s="629">
        <v>8</v>
      </c>
      <c r="HBQ1738" s="662"/>
      <c r="HBR1738" s="631"/>
      <c r="HBS1738" s="631"/>
      <c r="HBT1738" s="631"/>
      <c r="HBU1738" s="631"/>
      <c r="HBV1738" s="631"/>
      <c r="HBW1738" s="631"/>
      <c r="HBX1738" s="631"/>
      <c r="HBY1738" s="666" t="s">
        <v>799</v>
      </c>
      <c r="HBZ1738" s="631">
        <f t="shared" ref="HBZ1738" si="451">HBP1738</f>
        <v>8</v>
      </c>
      <c r="HCA1738" s="657" t="s">
        <v>2</v>
      </c>
      <c r="HCB1738" s="736"/>
      <c r="HCC1738" s="737"/>
      <c r="HCD1738" s="665" t="s">
        <v>1413</v>
      </c>
      <c r="HCF1738" s="629">
        <v>8</v>
      </c>
      <c r="HCG1738" s="662"/>
      <c r="HCH1738" s="631"/>
      <c r="HCI1738" s="631"/>
      <c r="HCJ1738" s="631"/>
      <c r="HCK1738" s="631"/>
      <c r="HCL1738" s="631"/>
      <c r="HCM1738" s="631"/>
      <c r="HCN1738" s="631"/>
      <c r="HCO1738" s="666" t="s">
        <v>799</v>
      </c>
      <c r="HCP1738" s="631">
        <f t="shared" ref="HCP1738" si="452">HCF1738</f>
        <v>8</v>
      </c>
      <c r="HCQ1738" s="657" t="s">
        <v>2</v>
      </c>
      <c r="HCR1738" s="736"/>
      <c r="HCS1738" s="737"/>
      <c r="HCT1738" s="665" t="s">
        <v>1413</v>
      </c>
      <c r="HCV1738" s="629">
        <v>8</v>
      </c>
      <c r="HCW1738" s="662"/>
      <c r="HCX1738" s="631"/>
      <c r="HCY1738" s="631"/>
      <c r="HCZ1738" s="631"/>
      <c r="HDA1738" s="631"/>
      <c r="HDB1738" s="631"/>
      <c r="HDC1738" s="631"/>
      <c r="HDD1738" s="631"/>
      <c r="HDE1738" s="666" t="s">
        <v>799</v>
      </c>
      <c r="HDF1738" s="631">
        <f t="shared" ref="HDF1738" si="453">HCV1738</f>
        <v>8</v>
      </c>
      <c r="HDG1738" s="657" t="s">
        <v>2</v>
      </c>
      <c r="HDH1738" s="736"/>
      <c r="HDI1738" s="737"/>
      <c r="HDJ1738" s="665" t="s">
        <v>1413</v>
      </c>
      <c r="HDL1738" s="629">
        <v>8</v>
      </c>
      <c r="HDM1738" s="662"/>
      <c r="HDN1738" s="631"/>
      <c r="HDO1738" s="631"/>
      <c r="HDP1738" s="631"/>
      <c r="HDQ1738" s="631"/>
      <c r="HDR1738" s="631"/>
      <c r="HDS1738" s="631"/>
      <c r="HDT1738" s="631"/>
      <c r="HDU1738" s="666" t="s">
        <v>799</v>
      </c>
      <c r="HDV1738" s="631">
        <f t="shared" ref="HDV1738" si="454">HDL1738</f>
        <v>8</v>
      </c>
      <c r="HDW1738" s="657" t="s">
        <v>2</v>
      </c>
      <c r="HDX1738" s="736"/>
      <c r="HDY1738" s="737"/>
      <c r="HDZ1738" s="665" t="s">
        <v>1413</v>
      </c>
      <c r="HEB1738" s="629">
        <v>8</v>
      </c>
      <c r="HEC1738" s="662"/>
      <c r="HED1738" s="631"/>
      <c r="HEE1738" s="631"/>
      <c r="HEF1738" s="631"/>
      <c r="HEG1738" s="631"/>
      <c r="HEH1738" s="631"/>
      <c r="HEI1738" s="631"/>
      <c r="HEJ1738" s="631"/>
      <c r="HEK1738" s="666" t="s">
        <v>799</v>
      </c>
      <c r="HEL1738" s="631">
        <f t="shared" ref="HEL1738" si="455">HEB1738</f>
        <v>8</v>
      </c>
      <c r="HEM1738" s="657" t="s">
        <v>2</v>
      </c>
      <c r="HEN1738" s="736"/>
      <c r="HEO1738" s="737"/>
      <c r="HEP1738" s="665" t="s">
        <v>1413</v>
      </c>
      <c r="HER1738" s="629">
        <v>8</v>
      </c>
      <c r="HES1738" s="662"/>
      <c r="HET1738" s="631"/>
      <c r="HEU1738" s="631"/>
      <c r="HEV1738" s="631"/>
      <c r="HEW1738" s="631"/>
      <c r="HEX1738" s="631"/>
      <c r="HEY1738" s="631"/>
      <c r="HEZ1738" s="631"/>
      <c r="HFA1738" s="666" t="s">
        <v>799</v>
      </c>
      <c r="HFB1738" s="631">
        <f t="shared" ref="HFB1738" si="456">HER1738</f>
        <v>8</v>
      </c>
      <c r="HFC1738" s="657" t="s">
        <v>2</v>
      </c>
      <c r="HFD1738" s="736"/>
      <c r="HFE1738" s="737"/>
      <c r="HFF1738" s="665" t="s">
        <v>1413</v>
      </c>
      <c r="HFH1738" s="629">
        <v>8</v>
      </c>
      <c r="HFI1738" s="662"/>
      <c r="HFJ1738" s="631"/>
      <c r="HFK1738" s="631"/>
      <c r="HFL1738" s="631"/>
      <c r="HFM1738" s="631"/>
      <c r="HFN1738" s="631"/>
      <c r="HFO1738" s="631"/>
      <c r="HFP1738" s="631"/>
      <c r="HFQ1738" s="666" t="s">
        <v>799</v>
      </c>
      <c r="HFR1738" s="631">
        <f t="shared" ref="HFR1738" si="457">HFH1738</f>
        <v>8</v>
      </c>
      <c r="HFS1738" s="657" t="s">
        <v>2</v>
      </c>
      <c r="HFT1738" s="736"/>
      <c r="HFU1738" s="737"/>
      <c r="HFV1738" s="665" t="s">
        <v>1413</v>
      </c>
      <c r="HFX1738" s="629">
        <v>8</v>
      </c>
      <c r="HFY1738" s="662"/>
      <c r="HFZ1738" s="631"/>
      <c r="HGA1738" s="631"/>
      <c r="HGB1738" s="631"/>
      <c r="HGC1738" s="631"/>
      <c r="HGD1738" s="631"/>
      <c r="HGE1738" s="631"/>
      <c r="HGF1738" s="631"/>
      <c r="HGG1738" s="666" t="s">
        <v>799</v>
      </c>
      <c r="HGH1738" s="631">
        <f t="shared" ref="HGH1738" si="458">HFX1738</f>
        <v>8</v>
      </c>
      <c r="HGI1738" s="657" t="s">
        <v>2</v>
      </c>
      <c r="HGJ1738" s="736"/>
      <c r="HGK1738" s="737"/>
      <c r="HGL1738" s="665" t="s">
        <v>1413</v>
      </c>
      <c r="HGN1738" s="629">
        <v>8</v>
      </c>
      <c r="HGO1738" s="662"/>
      <c r="HGP1738" s="631"/>
      <c r="HGQ1738" s="631"/>
      <c r="HGR1738" s="631"/>
      <c r="HGS1738" s="631"/>
      <c r="HGT1738" s="631"/>
      <c r="HGU1738" s="631"/>
      <c r="HGV1738" s="631"/>
      <c r="HGW1738" s="666" t="s">
        <v>799</v>
      </c>
      <c r="HGX1738" s="631">
        <f t="shared" ref="HGX1738" si="459">HGN1738</f>
        <v>8</v>
      </c>
      <c r="HGY1738" s="657" t="s">
        <v>2</v>
      </c>
      <c r="HGZ1738" s="736"/>
      <c r="HHA1738" s="737"/>
      <c r="HHB1738" s="665" t="s">
        <v>1413</v>
      </c>
      <c r="HHD1738" s="629">
        <v>8</v>
      </c>
      <c r="HHE1738" s="662"/>
      <c r="HHF1738" s="631"/>
      <c r="HHG1738" s="631"/>
      <c r="HHH1738" s="631"/>
      <c r="HHI1738" s="631"/>
      <c r="HHJ1738" s="631"/>
      <c r="HHK1738" s="631"/>
      <c r="HHL1738" s="631"/>
      <c r="HHM1738" s="666" t="s">
        <v>799</v>
      </c>
      <c r="HHN1738" s="631">
        <f t="shared" ref="HHN1738" si="460">HHD1738</f>
        <v>8</v>
      </c>
      <c r="HHO1738" s="657" t="s">
        <v>2</v>
      </c>
      <c r="HHP1738" s="736"/>
      <c r="HHQ1738" s="737"/>
      <c r="HHR1738" s="665" t="s">
        <v>1413</v>
      </c>
      <c r="HHT1738" s="629">
        <v>8</v>
      </c>
      <c r="HHU1738" s="662"/>
      <c r="HHV1738" s="631"/>
      <c r="HHW1738" s="631"/>
      <c r="HHX1738" s="631"/>
      <c r="HHY1738" s="631"/>
      <c r="HHZ1738" s="631"/>
      <c r="HIA1738" s="631"/>
      <c r="HIB1738" s="631"/>
      <c r="HIC1738" s="666" t="s">
        <v>799</v>
      </c>
      <c r="HID1738" s="631">
        <f t="shared" ref="HID1738" si="461">HHT1738</f>
        <v>8</v>
      </c>
      <c r="HIE1738" s="657" t="s">
        <v>2</v>
      </c>
      <c r="HIF1738" s="736"/>
      <c r="HIG1738" s="737"/>
      <c r="HIH1738" s="665" t="s">
        <v>1413</v>
      </c>
      <c r="HIJ1738" s="629">
        <v>8</v>
      </c>
      <c r="HIK1738" s="662"/>
      <c r="HIL1738" s="631"/>
      <c r="HIM1738" s="631"/>
      <c r="HIN1738" s="631"/>
      <c r="HIO1738" s="631"/>
      <c r="HIP1738" s="631"/>
      <c r="HIQ1738" s="631"/>
      <c r="HIR1738" s="631"/>
      <c r="HIS1738" s="666" t="s">
        <v>799</v>
      </c>
      <c r="HIT1738" s="631">
        <f t="shared" ref="HIT1738" si="462">HIJ1738</f>
        <v>8</v>
      </c>
      <c r="HIU1738" s="657" t="s">
        <v>2</v>
      </c>
      <c r="HIV1738" s="736"/>
      <c r="HIW1738" s="737"/>
      <c r="HIX1738" s="665" t="s">
        <v>1413</v>
      </c>
      <c r="HIZ1738" s="629">
        <v>8</v>
      </c>
      <c r="HJA1738" s="662"/>
      <c r="HJB1738" s="631"/>
      <c r="HJC1738" s="631"/>
      <c r="HJD1738" s="631"/>
      <c r="HJE1738" s="631"/>
      <c r="HJF1738" s="631"/>
      <c r="HJG1738" s="631"/>
      <c r="HJH1738" s="631"/>
      <c r="HJI1738" s="666" t="s">
        <v>799</v>
      </c>
      <c r="HJJ1738" s="631">
        <f t="shared" ref="HJJ1738" si="463">HIZ1738</f>
        <v>8</v>
      </c>
      <c r="HJK1738" s="657" t="s">
        <v>2</v>
      </c>
      <c r="HJL1738" s="736"/>
      <c r="HJM1738" s="737"/>
      <c r="HJN1738" s="665" t="s">
        <v>1413</v>
      </c>
      <c r="HJP1738" s="629">
        <v>8</v>
      </c>
      <c r="HJQ1738" s="662"/>
      <c r="HJR1738" s="631"/>
      <c r="HJS1738" s="631"/>
      <c r="HJT1738" s="631"/>
      <c r="HJU1738" s="631"/>
      <c r="HJV1738" s="631"/>
      <c r="HJW1738" s="631"/>
      <c r="HJX1738" s="631"/>
      <c r="HJY1738" s="666" t="s">
        <v>799</v>
      </c>
      <c r="HJZ1738" s="631">
        <f t="shared" ref="HJZ1738" si="464">HJP1738</f>
        <v>8</v>
      </c>
      <c r="HKA1738" s="657" t="s">
        <v>2</v>
      </c>
      <c r="HKB1738" s="736"/>
      <c r="HKC1738" s="737"/>
      <c r="HKD1738" s="665" t="s">
        <v>1413</v>
      </c>
      <c r="HKF1738" s="629">
        <v>8</v>
      </c>
      <c r="HKG1738" s="662"/>
      <c r="HKH1738" s="631"/>
      <c r="HKI1738" s="631"/>
      <c r="HKJ1738" s="631"/>
      <c r="HKK1738" s="631"/>
      <c r="HKL1738" s="631"/>
      <c r="HKM1738" s="631"/>
      <c r="HKN1738" s="631"/>
      <c r="HKO1738" s="666" t="s">
        <v>799</v>
      </c>
      <c r="HKP1738" s="631">
        <f t="shared" ref="HKP1738" si="465">HKF1738</f>
        <v>8</v>
      </c>
      <c r="HKQ1738" s="657" t="s">
        <v>2</v>
      </c>
      <c r="HKR1738" s="736"/>
      <c r="HKS1738" s="737"/>
      <c r="HKT1738" s="665" t="s">
        <v>1413</v>
      </c>
      <c r="HKV1738" s="629">
        <v>8</v>
      </c>
      <c r="HKW1738" s="662"/>
      <c r="HKX1738" s="631"/>
      <c r="HKY1738" s="631"/>
      <c r="HKZ1738" s="631"/>
      <c r="HLA1738" s="631"/>
      <c r="HLB1738" s="631"/>
      <c r="HLC1738" s="631"/>
      <c r="HLD1738" s="631"/>
      <c r="HLE1738" s="666" t="s">
        <v>799</v>
      </c>
      <c r="HLF1738" s="631">
        <f t="shared" ref="HLF1738" si="466">HKV1738</f>
        <v>8</v>
      </c>
      <c r="HLG1738" s="657" t="s">
        <v>2</v>
      </c>
      <c r="HLH1738" s="736"/>
      <c r="HLI1738" s="737"/>
      <c r="HLJ1738" s="665" t="s">
        <v>1413</v>
      </c>
      <c r="HLL1738" s="629">
        <v>8</v>
      </c>
      <c r="HLM1738" s="662"/>
      <c r="HLN1738" s="631"/>
      <c r="HLO1738" s="631"/>
      <c r="HLP1738" s="631"/>
      <c r="HLQ1738" s="631"/>
      <c r="HLR1738" s="631"/>
      <c r="HLS1738" s="631"/>
      <c r="HLT1738" s="631"/>
      <c r="HLU1738" s="666" t="s">
        <v>799</v>
      </c>
      <c r="HLV1738" s="631">
        <f t="shared" ref="HLV1738" si="467">HLL1738</f>
        <v>8</v>
      </c>
      <c r="HLW1738" s="657" t="s">
        <v>2</v>
      </c>
      <c r="HLX1738" s="736"/>
      <c r="HLY1738" s="737"/>
      <c r="HLZ1738" s="665" t="s">
        <v>1413</v>
      </c>
      <c r="HMB1738" s="629">
        <v>8</v>
      </c>
      <c r="HMC1738" s="662"/>
      <c r="HMD1738" s="631"/>
      <c r="HME1738" s="631"/>
      <c r="HMF1738" s="631"/>
      <c r="HMG1738" s="631"/>
      <c r="HMH1738" s="631"/>
      <c r="HMI1738" s="631"/>
      <c r="HMJ1738" s="631"/>
      <c r="HMK1738" s="666" t="s">
        <v>799</v>
      </c>
      <c r="HML1738" s="631">
        <f t="shared" ref="HML1738" si="468">HMB1738</f>
        <v>8</v>
      </c>
      <c r="HMM1738" s="657" t="s">
        <v>2</v>
      </c>
      <c r="HMN1738" s="736"/>
      <c r="HMO1738" s="737"/>
      <c r="HMP1738" s="665" t="s">
        <v>1413</v>
      </c>
      <c r="HMR1738" s="629">
        <v>8</v>
      </c>
      <c r="HMS1738" s="662"/>
      <c r="HMT1738" s="631"/>
      <c r="HMU1738" s="631"/>
      <c r="HMV1738" s="631"/>
      <c r="HMW1738" s="631"/>
      <c r="HMX1738" s="631"/>
      <c r="HMY1738" s="631"/>
      <c r="HMZ1738" s="631"/>
      <c r="HNA1738" s="666" t="s">
        <v>799</v>
      </c>
      <c r="HNB1738" s="631">
        <f t="shared" ref="HNB1738" si="469">HMR1738</f>
        <v>8</v>
      </c>
      <c r="HNC1738" s="657" t="s">
        <v>2</v>
      </c>
      <c r="HND1738" s="736"/>
      <c r="HNE1738" s="737"/>
      <c r="HNF1738" s="665" t="s">
        <v>1413</v>
      </c>
      <c r="HNH1738" s="629">
        <v>8</v>
      </c>
      <c r="HNI1738" s="662"/>
      <c r="HNJ1738" s="631"/>
      <c r="HNK1738" s="631"/>
      <c r="HNL1738" s="631"/>
      <c r="HNM1738" s="631"/>
      <c r="HNN1738" s="631"/>
      <c r="HNO1738" s="631"/>
      <c r="HNP1738" s="631"/>
      <c r="HNQ1738" s="666" t="s">
        <v>799</v>
      </c>
      <c r="HNR1738" s="631">
        <f t="shared" ref="HNR1738" si="470">HNH1738</f>
        <v>8</v>
      </c>
      <c r="HNS1738" s="657" t="s">
        <v>2</v>
      </c>
      <c r="HNT1738" s="736"/>
      <c r="HNU1738" s="737"/>
      <c r="HNV1738" s="665" t="s">
        <v>1413</v>
      </c>
      <c r="HNX1738" s="629">
        <v>8</v>
      </c>
      <c r="HNY1738" s="662"/>
      <c r="HNZ1738" s="631"/>
      <c r="HOA1738" s="631"/>
      <c r="HOB1738" s="631"/>
      <c r="HOC1738" s="631"/>
      <c r="HOD1738" s="631"/>
      <c r="HOE1738" s="631"/>
      <c r="HOF1738" s="631"/>
      <c r="HOG1738" s="666" t="s">
        <v>799</v>
      </c>
      <c r="HOH1738" s="631">
        <f t="shared" ref="HOH1738" si="471">HNX1738</f>
        <v>8</v>
      </c>
      <c r="HOI1738" s="657" t="s">
        <v>2</v>
      </c>
      <c r="HOJ1738" s="736"/>
      <c r="HOK1738" s="737"/>
      <c r="HOL1738" s="665" t="s">
        <v>1413</v>
      </c>
      <c r="HON1738" s="629">
        <v>8</v>
      </c>
      <c r="HOO1738" s="662"/>
      <c r="HOP1738" s="631"/>
      <c r="HOQ1738" s="631"/>
      <c r="HOR1738" s="631"/>
      <c r="HOS1738" s="631"/>
      <c r="HOT1738" s="631"/>
      <c r="HOU1738" s="631"/>
      <c r="HOV1738" s="631"/>
      <c r="HOW1738" s="666" t="s">
        <v>799</v>
      </c>
      <c r="HOX1738" s="631">
        <f t="shared" ref="HOX1738" si="472">HON1738</f>
        <v>8</v>
      </c>
      <c r="HOY1738" s="657" t="s">
        <v>2</v>
      </c>
      <c r="HOZ1738" s="736"/>
      <c r="HPA1738" s="737"/>
      <c r="HPB1738" s="665" t="s">
        <v>1413</v>
      </c>
      <c r="HPD1738" s="629">
        <v>8</v>
      </c>
      <c r="HPE1738" s="662"/>
      <c r="HPF1738" s="631"/>
      <c r="HPG1738" s="631"/>
      <c r="HPH1738" s="631"/>
      <c r="HPI1738" s="631"/>
      <c r="HPJ1738" s="631"/>
      <c r="HPK1738" s="631"/>
      <c r="HPL1738" s="631"/>
      <c r="HPM1738" s="666" t="s">
        <v>799</v>
      </c>
      <c r="HPN1738" s="631">
        <f t="shared" ref="HPN1738" si="473">HPD1738</f>
        <v>8</v>
      </c>
      <c r="HPO1738" s="657" t="s">
        <v>2</v>
      </c>
      <c r="HPP1738" s="736"/>
      <c r="HPQ1738" s="737"/>
      <c r="HPR1738" s="665" t="s">
        <v>1413</v>
      </c>
      <c r="HPT1738" s="629">
        <v>8</v>
      </c>
      <c r="HPU1738" s="662"/>
      <c r="HPV1738" s="631"/>
      <c r="HPW1738" s="631"/>
      <c r="HPX1738" s="631"/>
      <c r="HPY1738" s="631"/>
      <c r="HPZ1738" s="631"/>
      <c r="HQA1738" s="631"/>
      <c r="HQB1738" s="631"/>
      <c r="HQC1738" s="666" t="s">
        <v>799</v>
      </c>
      <c r="HQD1738" s="631">
        <f t="shared" ref="HQD1738" si="474">HPT1738</f>
        <v>8</v>
      </c>
      <c r="HQE1738" s="657" t="s">
        <v>2</v>
      </c>
      <c r="HQF1738" s="736"/>
      <c r="HQG1738" s="737"/>
      <c r="HQH1738" s="665" t="s">
        <v>1413</v>
      </c>
      <c r="HQJ1738" s="629">
        <v>8</v>
      </c>
      <c r="HQK1738" s="662"/>
      <c r="HQL1738" s="631"/>
      <c r="HQM1738" s="631"/>
      <c r="HQN1738" s="631"/>
      <c r="HQO1738" s="631"/>
      <c r="HQP1738" s="631"/>
      <c r="HQQ1738" s="631"/>
      <c r="HQR1738" s="631"/>
      <c r="HQS1738" s="666" t="s">
        <v>799</v>
      </c>
      <c r="HQT1738" s="631">
        <f t="shared" ref="HQT1738" si="475">HQJ1738</f>
        <v>8</v>
      </c>
      <c r="HQU1738" s="657" t="s">
        <v>2</v>
      </c>
      <c r="HQV1738" s="736"/>
      <c r="HQW1738" s="737"/>
      <c r="HQX1738" s="665" t="s">
        <v>1413</v>
      </c>
      <c r="HQZ1738" s="629">
        <v>8</v>
      </c>
      <c r="HRA1738" s="662"/>
      <c r="HRB1738" s="631"/>
      <c r="HRC1738" s="631"/>
      <c r="HRD1738" s="631"/>
      <c r="HRE1738" s="631"/>
      <c r="HRF1738" s="631"/>
      <c r="HRG1738" s="631"/>
      <c r="HRH1738" s="631"/>
      <c r="HRI1738" s="666" t="s">
        <v>799</v>
      </c>
      <c r="HRJ1738" s="631">
        <f t="shared" ref="HRJ1738" si="476">HQZ1738</f>
        <v>8</v>
      </c>
      <c r="HRK1738" s="657" t="s">
        <v>2</v>
      </c>
      <c r="HRL1738" s="736"/>
      <c r="HRM1738" s="737"/>
      <c r="HRN1738" s="665" t="s">
        <v>1413</v>
      </c>
      <c r="HRP1738" s="629">
        <v>8</v>
      </c>
      <c r="HRQ1738" s="662"/>
      <c r="HRR1738" s="631"/>
      <c r="HRS1738" s="631"/>
      <c r="HRT1738" s="631"/>
      <c r="HRU1738" s="631"/>
      <c r="HRV1738" s="631"/>
      <c r="HRW1738" s="631"/>
      <c r="HRX1738" s="631"/>
      <c r="HRY1738" s="666" t="s">
        <v>799</v>
      </c>
      <c r="HRZ1738" s="631">
        <f t="shared" ref="HRZ1738" si="477">HRP1738</f>
        <v>8</v>
      </c>
      <c r="HSA1738" s="657" t="s">
        <v>2</v>
      </c>
      <c r="HSB1738" s="736"/>
      <c r="HSC1738" s="737"/>
      <c r="HSD1738" s="665" t="s">
        <v>1413</v>
      </c>
      <c r="HSF1738" s="629">
        <v>8</v>
      </c>
      <c r="HSG1738" s="662"/>
      <c r="HSH1738" s="631"/>
      <c r="HSI1738" s="631"/>
      <c r="HSJ1738" s="631"/>
      <c r="HSK1738" s="631"/>
      <c r="HSL1738" s="631"/>
      <c r="HSM1738" s="631"/>
      <c r="HSN1738" s="631"/>
      <c r="HSO1738" s="666" t="s">
        <v>799</v>
      </c>
      <c r="HSP1738" s="631">
        <f t="shared" ref="HSP1738" si="478">HSF1738</f>
        <v>8</v>
      </c>
      <c r="HSQ1738" s="657" t="s">
        <v>2</v>
      </c>
      <c r="HSR1738" s="736"/>
      <c r="HSS1738" s="737"/>
      <c r="HST1738" s="665" t="s">
        <v>1413</v>
      </c>
      <c r="HSV1738" s="629">
        <v>8</v>
      </c>
      <c r="HSW1738" s="662"/>
      <c r="HSX1738" s="631"/>
      <c r="HSY1738" s="631"/>
      <c r="HSZ1738" s="631"/>
      <c r="HTA1738" s="631"/>
      <c r="HTB1738" s="631"/>
      <c r="HTC1738" s="631"/>
      <c r="HTD1738" s="631"/>
      <c r="HTE1738" s="666" t="s">
        <v>799</v>
      </c>
      <c r="HTF1738" s="631">
        <f t="shared" ref="HTF1738" si="479">HSV1738</f>
        <v>8</v>
      </c>
      <c r="HTG1738" s="657" t="s">
        <v>2</v>
      </c>
      <c r="HTH1738" s="736"/>
      <c r="HTI1738" s="737"/>
      <c r="HTJ1738" s="665" t="s">
        <v>1413</v>
      </c>
      <c r="HTL1738" s="629">
        <v>8</v>
      </c>
      <c r="HTM1738" s="662"/>
      <c r="HTN1738" s="631"/>
      <c r="HTO1738" s="631"/>
      <c r="HTP1738" s="631"/>
      <c r="HTQ1738" s="631"/>
      <c r="HTR1738" s="631"/>
      <c r="HTS1738" s="631"/>
      <c r="HTT1738" s="631"/>
      <c r="HTU1738" s="666" t="s">
        <v>799</v>
      </c>
      <c r="HTV1738" s="631">
        <f t="shared" ref="HTV1738" si="480">HTL1738</f>
        <v>8</v>
      </c>
      <c r="HTW1738" s="657" t="s">
        <v>2</v>
      </c>
      <c r="HTX1738" s="736"/>
      <c r="HTY1738" s="737"/>
      <c r="HTZ1738" s="665" t="s">
        <v>1413</v>
      </c>
      <c r="HUB1738" s="629">
        <v>8</v>
      </c>
      <c r="HUC1738" s="662"/>
      <c r="HUD1738" s="631"/>
      <c r="HUE1738" s="631"/>
      <c r="HUF1738" s="631"/>
      <c r="HUG1738" s="631"/>
      <c r="HUH1738" s="631"/>
      <c r="HUI1738" s="631"/>
      <c r="HUJ1738" s="631"/>
      <c r="HUK1738" s="666" t="s">
        <v>799</v>
      </c>
      <c r="HUL1738" s="631">
        <f t="shared" ref="HUL1738" si="481">HUB1738</f>
        <v>8</v>
      </c>
      <c r="HUM1738" s="657" t="s">
        <v>2</v>
      </c>
      <c r="HUN1738" s="736"/>
      <c r="HUO1738" s="737"/>
      <c r="HUP1738" s="665" t="s">
        <v>1413</v>
      </c>
      <c r="HUR1738" s="629">
        <v>8</v>
      </c>
      <c r="HUS1738" s="662"/>
      <c r="HUT1738" s="631"/>
      <c r="HUU1738" s="631"/>
      <c r="HUV1738" s="631"/>
      <c r="HUW1738" s="631"/>
      <c r="HUX1738" s="631"/>
      <c r="HUY1738" s="631"/>
      <c r="HUZ1738" s="631"/>
      <c r="HVA1738" s="666" t="s">
        <v>799</v>
      </c>
      <c r="HVB1738" s="631">
        <f t="shared" ref="HVB1738" si="482">HUR1738</f>
        <v>8</v>
      </c>
      <c r="HVC1738" s="657" t="s">
        <v>2</v>
      </c>
      <c r="HVD1738" s="736"/>
      <c r="HVE1738" s="737"/>
      <c r="HVF1738" s="665" t="s">
        <v>1413</v>
      </c>
      <c r="HVH1738" s="629">
        <v>8</v>
      </c>
      <c r="HVI1738" s="662"/>
      <c r="HVJ1738" s="631"/>
      <c r="HVK1738" s="631"/>
      <c r="HVL1738" s="631"/>
      <c r="HVM1738" s="631"/>
      <c r="HVN1738" s="631"/>
      <c r="HVO1738" s="631"/>
      <c r="HVP1738" s="631"/>
      <c r="HVQ1738" s="666" t="s">
        <v>799</v>
      </c>
      <c r="HVR1738" s="631">
        <f t="shared" ref="HVR1738" si="483">HVH1738</f>
        <v>8</v>
      </c>
      <c r="HVS1738" s="657" t="s">
        <v>2</v>
      </c>
      <c r="HVT1738" s="736"/>
      <c r="HVU1738" s="737"/>
      <c r="HVV1738" s="665" t="s">
        <v>1413</v>
      </c>
      <c r="HVX1738" s="629">
        <v>8</v>
      </c>
      <c r="HVY1738" s="662"/>
      <c r="HVZ1738" s="631"/>
      <c r="HWA1738" s="631"/>
      <c r="HWB1738" s="631"/>
      <c r="HWC1738" s="631"/>
      <c r="HWD1738" s="631"/>
      <c r="HWE1738" s="631"/>
      <c r="HWF1738" s="631"/>
      <c r="HWG1738" s="666" t="s">
        <v>799</v>
      </c>
      <c r="HWH1738" s="631">
        <f t="shared" ref="HWH1738" si="484">HVX1738</f>
        <v>8</v>
      </c>
      <c r="HWI1738" s="657" t="s">
        <v>2</v>
      </c>
      <c r="HWJ1738" s="736"/>
      <c r="HWK1738" s="737"/>
      <c r="HWL1738" s="665" t="s">
        <v>1413</v>
      </c>
      <c r="HWN1738" s="629">
        <v>8</v>
      </c>
      <c r="HWO1738" s="662"/>
      <c r="HWP1738" s="631"/>
      <c r="HWQ1738" s="631"/>
      <c r="HWR1738" s="631"/>
      <c r="HWS1738" s="631"/>
      <c r="HWT1738" s="631"/>
      <c r="HWU1738" s="631"/>
      <c r="HWV1738" s="631"/>
      <c r="HWW1738" s="666" t="s">
        <v>799</v>
      </c>
      <c r="HWX1738" s="631">
        <f t="shared" ref="HWX1738" si="485">HWN1738</f>
        <v>8</v>
      </c>
      <c r="HWY1738" s="657" t="s">
        <v>2</v>
      </c>
      <c r="HWZ1738" s="736"/>
      <c r="HXA1738" s="737"/>
      <c r="HXB1738" s="665" t="s">
        <v>1413</v>
      </c>
      <c r="HXD1738" s="629">
        <v>8</v>
      </c>
      <c r="HXE1738" s="662"/>
      <c r="HXF1738" s="631"/>
      <c r="HXG1738" s="631"/>
      <c r="HXH1738" s="631"/>
      <c r="HXI1738" s="631"/>
      <c r="HXJ1738" s="631"/>
      <c r="HXK1738" s="631"/>
      <c r="HXL1738" s="631"/>
      <c r="HXM1738" s="666" t="s">
        <v>799</v>
      </c>
      <c r="HXN1738" s="631">
        <f t="shared" ref="HXN1738" si="486">HXD1738</f>
        <v>8</v>
      </c>
      <c r="HXO1738" s="657" t="s">
        <v>2</v>
      </c>
      <c r="HXP1738" s="736"/>
      <c r="HXQ1738" s="737"/>
      <c r="HXR1738" s="665" t="s">
        <v>1413</v>
      </c>
      <c r="HXT1738" s="629">
        <v>8</v>
      </c>
      <c r="HXU1738" s="662"/>
      <c r="HXV1738" s="631"/>
      <c r="HXW1738" s="631"/>
      <c r="HXX1738" s="631"/>
      <c r="HXY1738" s="631"/>
      <c r="HXZ1738" s="631"/>
      <c r="HYA1738" s="631"/>
      <c r="HYB1738" s="631"/>
      <c r="HYC1738" s="666" t="s">
        <v>799</v>
      </c>
      <c r="HYD1738" s="631">
        <f t="shared" ref="HYD1738" si="487">HXT1738</f>
        <v>8</v>
      </c>
      <c r="HYE1738" s="657" t="s">
        <v>2</v>
      </c>
      <c r="HYF1738" s="736"/>
      <c r="HYG1738" s="737"/>
      <c r="HYH1738" s="665" t="s">
        <v>1413</v>
      </c>
      <c r="HYJ1738" s="629">
        <v>8</v>
      </c>
      <c r="HYK1738" s="662"/>
      <c r="HYL1738" s="631"/>
      <c r="HYM1738" s="631"/>
      <c r="HYN1738" s="631"/>
      <c r="HYO1738" s="631"/>
      <c r="HYP1738" s="631"/>
      <c r="HYQ1738" s="631"/>
      <c r="HYR1738" s="631"/>
      <c r="HYS1738" s="666" t="s">
        <v>799</v>
      </c>
      <c r="HYT1738" s="631">
        <f t="shared" ref="HYT1738" si="488">HYJ1738</f>
        <v>8</v>
      </c>
      <c r="HYU1738" s="657" t="s">
        <v>2</v>
      </c>
      <c r="HYV1738" s="736"/>
      <c r="HYW1738" s="737"/>
      <c r="HYX1738" s="665" t="s">
        <v>1413</v>
      </c>
      <c r="HYZ1738" s="629">
        <v>8</v>
      </c>
      <c r="HZA1738" s="662"/>
      <c r="HZB1738" s="631"/>
      <c r="HZC1738" s="631"/>
      <c r="HZD1738" s="631"/>
      <c r="HZE1738" s="631"/>
      <c r="HZF1738" s="631"/>
      <c r="HZG1738" s="631"/>
      <c r="HZH1738" s="631"/>
      <c r="HZI1738" s="666" t="s">
        <v>799</v>
      </c>
      <c r="HZJ1738" s="631">
        <f t="shared" ref="HZJ1738" si="489">HYZ1738</f>
        <v>8</v>
      </c>
      <c r="HZK1738" s="657" t="s">
        <v>2</v>
      </c>
      <c r="HZL1738" s="736"/>
      <c r="HZM1738" s="737"/>
      <c r="HZN1738" s="665" t="s">
        <v>1413</v>
      </c>
      <c r="HZP1738" s="629">
        <v>8</v>
      </c>
      <c r="HZQ1738" s="662"/>
      <c r="HZR1738" s="631"/>
      <c r="HZS1738" s="631"/>
      <c r="HZT1738" s="631"/>
      <c r="HZU1738" s="631"/>
      <c r="HZV1738" s="631"/>
      <c r="HZW1738" s="631"/>
      <c r="HZX1738" s="631"/>
      <c r="HZY1738" s="666" t="s">
        <v>799</v>
      </c>
      <c r="HZZ1738" s="631">
        <f t="shared" ref="HZZ1738" si="490">HZP1738</f>
        <v>8</v>
      </c>
      <c r="IAA1738" s="657" t="s">
        <v>2</v>
      </c>
      <c r="IAB1738" s="736"/>
      <c r="IAC1738" s="737"/>
      <c r="IAD1738" s="665" t="s">
        <v>1413</v>
      </c>
      <c r="IAF1738" s="629">
        <v>8</v>
      </c>
      <c r="IAG1738" s="662"/>
      <c r="IAH1738" s="631"/>
      <c r="IAI1738" s="631"/>
      <c r="IAJ1738" s="631"/>
      <c r="IAK1738" s="631"/>
      <c r="IAL1738" s="631"/>
      <c r="IAM1738" s="631"/>
      <c r="IAN1738" s="631"/>
      <c r="IAO1738" s="666" t="s">
        <v>799</v>
      </c>
      <c r="IAP1738" s="631">
        <f t="shared" ref="IAP1738" si="491">IAF1738</f>
        <v>8</v>
      </c>
      <c r="IAQ1738" s="657" t="s">
        <v>2</v>
      </c>
      <c r="IAR1738" s="736"/>
      <c r="IAS1738" s="737"/>
      <c r="IAT1738" s="665" t="s">
        <v>1413</v>
      </c>
      <c r="IAV1738" s="629">
        <v>8</v>
      </c>
      <c r="IAW1738" s="662"/>
      <c r="IAX1738" s="631"/>
      <c r="IAY1738" s="631"/>
      <c r="IAZ1738" s="631"/>
      <c r="IBA1738" s="631"/>
      <c r="IBB1738" s="631"/>
      <c r="IBC1738" s="631"/>
      <c r="IBD1738" s="631"/>
      <c r="IBE1738" s="666" t="s">
        <v>799</v>
      </c>
      <c r="IBF1738" s="631">
        <f t="shared" ref="IBF1738" si="492">IAV1738</f>
        <v>8</v>
      </c>
      <c r="IBG1738" s="657" t="s">
        <v>2</v>
      </c>
      <c r="IBH1738" s="736"/>
      <c r="IBI1738" s="737"/>
      <c r="IBJ1738" s="665" t="s">
        <v>1413</v>
      </c>
      <c r="IBL1738" s="629">
        <v>8</v>
      </c>
      <c r="IBM1738" s="662"/>
      <c r="IBN1738" s="631"/>
      <c r="IBO1738" s="631"/>
      <c r="IBP1738" s="631"/>
      <c r="IBQ1738" s="631"/>
      <c r="IBR1738" s="631"/>
      <c r="IBS1738" s="631"/>
      <c r="IBT1738" s="631"/>
      <c r="IBU1738" s="666" t="s">
        <v>799</v>
      </c>
      <c r="IBV1738" s="631">
        <f t="shared" ref="IBV1738" si="493">IBL1738</f>
        <v>8</v>
      </c>
      <c r="IBW1738" s="657" t="s">
        <v>2</v>
      </c>
      <c r="IBX1738" s="736"/>
      <c r="IBY1738" s="737"/>
      <c r="IBZ1738" s="665" t="s">
        <v>1413</v>
      </c>
      <c r="ICB1738" s="629">
        <v>8</v>
      </c>
      <c r="ICC1738" s="662"/>
      <c r="ICD1738" s="631"/>
      <c r="ICE1738" s="631"/>
      <c r="ICF1738" s="631"/>
      <c r="ICG1738" s="631"/>
      <c r="ICH1738" s="631"/>
      <c r="ICI1738" s="631"/>
      <c r="ICJ1738" s="631"/>
      <c r="ICK1738" s="666" t="s">
        <v>799</v>
      </c>
      <c r="ICL1738" s="631">
        <f t="shared" ref="ICL1738" si="494">ICB1738</f>
        <v>8</v>
      </c>
      <c r="ICM1738" s="657" t="s">
        <v>2</v>
      </c>
      <c r="ICN1738" s="736"/>
      <c r="ICO1738" s="737"/>
      <c r="ICP1738" s="665" t="s">
        <v>1413</v>
      </c>
      <c r="ICR1738" s="629">
        <v>8</v>
      </c>
      <c r="ICS1738" s="662"/>
      <c r="ICT1738" s="631"/>
      <c r="ICU1738" s="631"/>
      <c r="ICV1738" s="631"/>
      <c r="ICW1738" s="631"/>
      <c r="ICX1738" s="631"/>
      <c r="ICY1738" s="631"/>
      <c r="ICZ1738" s="631"/>
      <c r="IDA1738" s="666" t="s">
        <v>799</v>
      </c>
      <c r="IDB1738" s="631">
        <f t="shared" ref="IDB1738" si="495">ICR1738</f>
        <v>8</v>
      </c>
      <c r="IDC1738" s="657" t="s">
        <v>2</v>
      </c>
      <c r="IDD1738" s="736"/>
      <c r="IDE1738" s="737"/>
      <c r="IDF1738" s="665" t="s">
        <v>1413</v>
      </c>
      <c r="IDH1738" s="629">
        <v>8</v>
      </c>
      <c r="IDI1738" s="662"/>
      <c r="IDJ1738" s="631"/>
      <c r="IDK1738" s="631"/>
      <c r="IDL1738" s="631"/>
      <c r="IDM1738" s="631"/>
      <c r="IDN1738" s="631"/>
      <c r="IDO1738" s="631"/>
      <c r="IDP1738" s="631"/>
      <c r="IDQ1738" s="666" t="s">
        <v>799</v>
      </c>
      <c r="IDR1738" s="631">
        <f t="shared" ref="IDR1738" si="496">IDH1738</f>
        <v>8</v>
      </c>
      <c r="IDS1738" s="657" t="s">
        <v>2</v>
      </c>
      <c r="IDT1738" s="736"/>
      <c r="IDU1738" s="737"/>
      <c r="IDV1738" s="665" t="s">
        <v>1413</v>
      </c>
      <c r="IDX1738" s="629">
        <v>8</v>
      </c>
      <c r="IDY1738" s="662"/>
      <c r="IDZ1738" s="631"/>
      <c r="IEA1738" s="631"/>
      <c r="IEB1738" s="631"/>
      <c r="IEC1738" s="631"/>
      <c r="IED1738" s="631"/>
      <c r="IEE1738" s="631"/>
      <c r="IEF1738" s="631"/>
      <c r="IEG1738" s="666" t="s">
        <v>799</v>
      </c>
      <c r="IEH1738" s="631">
        <f t="shared" ref="IEH1738" si="497">IDX1738</f>
        <v>8</v>
      </c>
      <c r="IEI1738" s="657" t="s">
        <v>2</v>
      </c>
      <c r="IEJ1738" s="736"/>
      <c r="IEK1738" s="737"/>
      <c r="IEL1738" s="665" t="s">
        <v>1413</v>
      </c>
      <c r="IEN1738" s="629">
        <v>8</v>
      </c>
      <c r="IEO1738" s="662"/>
      <c r="IEP1738" s="631"/>
      <c r="IEQ1738" s="631"/>
      <c r="IER1738" s="631"/>
      <c r="IES1738" s="631"/>
      <c r="IET1738" s="631"/>
      <c r="IEU1738" s="631"/>
      <c r="IEV1738" s="631"/>
      <c r="IEW1738" s="666" t="s">
        <v>799</v>
      </c>
      <c r="IEX1738" s="631">
        <f t="shared" ref="IEX1738" si="498">IEN1738</f>
        <v>8</v>
      </c>
      <c r="IEY1738" s="657" t="s">
        <v>2</v>
      </c>
      <c r="IEZ1738" s="736"/>
      <c r="IFA1738" s="737"/>
      <c r="IFB1738" s="665" t="s">
        <v>1413</v>
      </c>
      <c r="IFD1738" s="629">
        <v>8</v>
      </c>
      <c r="IFE1738" s="662"/>
      <c r="IFF1738" s="631"/>
      <c r="IFG1738" s="631"/>
      <c r="IFH1738" s="631"/>
      <c r="IFI1738" s="631"/>
      <c r="IFJ1738" s="631"/>
      <c r="IFK1738" s="631"/>
      <c r="IFL1738" s="631"/>
      <c r="IFM1738" s="666" t="s">
        <v>799</v>
      </c>
      <c r="IFN1738" s="631">
        <f t="shared" ref="IFN1738" si="499">IFD1738</f>
        <v>8</v>
      </c>
      <c r="IFO1738" s="657" t="s">
        <v>2</v>
      </c>
      <c r="IFP1738" s="736"/>
      <c r="IFQ1738" s="737"/>
      <c r="IFR1738" s="665" t="s">
        <v>1413</v>
      </c>
      <c r="IFT1738" s="629">
        <v>8</v>
      </c>
      <c r="IFU1738" s="662"/>
      <c r="IFV1738" s="631"/>
      <c r="IFW1738" s="631"/>
      <c r="IFX1738" s="631"/>
      <c r="IFY1738" s="631"/>
      <c r="IFZ1738" s="631"/>
      <c r="IGA1738" s="631"/>
      <c r="IGB1738" s="631"/>
      <c r="IGC1738" s="666" t="s">
        <v>799</v>
      </c>
      <c r="IGD1738" s="631">
        <f t="shared" ref="IGD1738" si="500">IFT1738</f>
        <v>8</v>
      </c>
      <c r="IGE1738" s="657" t="s">
        <v>2</v>
      </c>
      <c r="IGF1738" s="736"/>
      <c r="IGG1738" s="737"/>
      <c r="IGH1738" s="665" t="s">
        <v>1413</v>
      </c>
      <c r="IGJ1738" s="629">
        <v>8</v>
      </c>
      <c r="IGK1738" s="662"/>
      <c r="IGL1738" s="631"/>
      <c r="IGM1738" s="631"/>
      <c r="IGN1738" s="631"/>
      <c r="IGO1738" s="631"/>
      <c r="IGP1738" s="631"/>
      <c r="IGQ1738" s="631"/>
      <c r="IGR1738" s="631"/>
      <c r="IGS1738" s="666" t="s">
        <v>799</v>
      </c>
      <c r="IGT1738" s="631">
        <f t="shared" ref="IGT1738" si="501">IGJ1738</f>
        <v>8</v>
      </c>
      <c r="IGU1738" s="657" t="s">
        <v>2</v>
      </c>
      <c r="IGV1738" s="736"/>
      <c r="IGW1738" s="737"/>
      <c r="IGX1738" s="665" t="s">
        <v>1413</v>
      </c>
      <c r="IGZ1738" s="629">
        <v>8</v>
      </c>
      <c r="IHA1738" s="662"/>
      <c r="IHB1738" s="631"/>
      <c r="IHC1738" s="631"/>
      <c r="IHD1738" s="631"/>
      <c r="IHE1738" s="631"/>
      <c r="IHF1738" s="631"/>
      <c r="IHG1738" s="631"/>
      <c r="IHH1738" s="631"/>
      <c r="IHI1738" s="666" t="s">
        <v>799</v>
      </c>
      <c r="IHJ1738" s="631">
        <f t="shared" ref="IHJ1738" si="502">IGZ1738</f>
        <v>8</v>
      </c>
      <c r="IHK1738" s="657" t="s">
        <v>2</v>
      </c>
      <c r="IHL1738" s="736"/>
      <c r="IHM1738" s="737"/>
      <c r="IHN1738" s="665" t="s">
        <v>1413</v>
      </c>
      <c r="IHP1738" s="629">
        <v>8</v>
      </c>
      <c r="IHQ1738" s="662"/>
      <c r="IHR1738" s="631"/>
      <c r="IHS1738" s="631"/>
      <c r="IHT1738" s="631"/>
      <c r="IHU1738" s="631"/>
      <c r="IHV1738" s="631"/>
      <c r="IHW1738" s="631"/>
      <c r="IHX1738" s="631"/>
      <c r="IHY1738" s="666" t="s">
        <v>799</v>
      </c>
      <c r="IHZ1738" s="631">
        <f t="shared" ref="IHZ1738" si="503">IHP1738</f>
        <v>8</v>
      </c>
      <c r="IIA1738" s="657" t="s">
        <v>2</v>
      </c>
      <c r="IIB1738" s="736"/>
      <c r="IIC1738" s="737"/>
      <c r="IID1738" s="665" t="s">
        <v>1413</v>
      </c>
      <c r="IIF1738" s="629">
        <v>8</v>
      </c>
      <c r="IIG1738" s="662"/>
      <c r="IIH1738" s="631"/>
      <c r="III1738" s="631"/>
      <c r="IIJ1738" s="631"/>
      <c r="IIK1738" s="631"/>
      <c r="IIL1738" s="631"/>
      <c r="IIM1738" s="631"/>
      <c r="IIN1738" s="631"/>
      <c r="IIO1738" s="666" t="s">
        <v>799</v>
      </c>
      <c r="IIP1738" s="631">
        <f t="shared" ref="IIP1738" si="504">IIF1738</f>
        <v>8</v>
      </c>
      <c r="IIQ1738" s="657" t="s">
        <v>2</v>
      </c>
      <c r="IIR1738" s="736"/>
      <c r="IIS1738" s="737"/>
      <c r="IIT1738" s="665" t="s">
        <v>1413</v>
      </c>
      <c r="IIV1738" s="629">
        <v>8</v>
      </c>
      <c r="IIW1738" s="662"/>
      <c r="IIX1738" s="631"/>
      <c r="IIY1738" s="631"/>
      <c r="IIZ1738" s="631"/>
      <c r="IJA1738" s="631"/>
      <c r="IJB1738" s="631"/>
      <c r="IJC1738" s="631"/>
      <c r="IJD1738" s="631"/>
      <c r="IJE1738" s="666" t="s">
        <v>799</v>
      </c>
      <c r="IJF1738" s="631">
        <f t="shared" ref="IJF1738" si="505">IIV1738</f>
        <v>8</v>
      </c>
      <c r="IJG1738" s="657" t="s">
        <v>2</v>
      </c>
      <c r="IJH1738" s="736"/>
      <c r="IJI1738" s="737"/>
      <c r="IJJ1738" s="665" t="s">
        <v>1413</v>
      </c>
      <c r="IJL1738" s="629">
        <v>8</v>
      </c>
      <c r="IJM1738" s="662"/>
      <c r="IJN1738" s="631"/>
      <c r="IJO1738" s="631"/>
      <c r="IJP1738" s="631"/>
      <c r="IJQ1738" s="631"/>
      <c r="IJR1738" s="631"/>
      <c r="IJS1738" s="631"/>
      <c r="IJT1738" s="631"/>
      <c r="IJU1738" s="666" t="s">
        <v>799</v>
      </c>
      <c r="IJV1738" s="631">
        <f t="shared" ref="IJV1738" si="506">IJL1738</f>
        <v>8</v>
      </c>
      <c r="IJW1738" s="657" t="s">
        <v>2</v>
      </c>
      <c r="IJX1738" s="736"/>
      <c r="IJY1738" s="737"/>
      <c r="IJZ1738" s="665" t="s">
        <v>1413</v>
      </c>
      <c r="IKB1738" s="629">
        <v>8</v>
      </c>
      <c r="IKC1738" s="662"/>
      <c r="IKD1738" s="631"/>
      <c r="IKE1738" s="631"/>
      <c r="IKF1738" s="631"/>
      <c r="IKG1738" s="631"/>
      <c r="IKH1738" s="631"/>
      <c r="IKI1738" s="631"/>
      <c r="IKJ1738" s="631"/>
      <c r="IKK1738" s="666" t="s">
        <v>799</v>
      </c>
      <c r="IKL1738" s="631">
        <f t="shared" ref="IKL1738" si="507">IKB1738</f>
        <v>8</v>
      </c>
      <c r="IKM1738" s="657" t="s">
        <v>2</v>
      </c>
      <c r="IKN1738" s="736"/>
      <c r="IKO1738" s="737"/>
      <c r="IKP1738" s="665" t="s">
        <v>1413</v>
      </c>
      <c r="IKR1738" s="629">
        <v>8</v>
      </c>
      <c r="IKS1738" s="662"/>
      <c r="IKT1738" s="631"/>
      <c r="IKU1738" s="631"/>
      <c r="IKV1738" s="631"/>
      <c r="IKW1738" s="631"/>
      <c r="IKX1738" s="631"/>
      <c r="IKY1738" s="631"/>
      <c r="IKZ1738" s="631"/>
      <c r="ILA1738" s="666" t="s">
        <v>799</v>
      </c>
      <c r="ILB1738" s="631">
        <f t="shared" ref="ILB1738" si="508">IKR1738</f>
        <v>8</v>
      </c>
      <c r="ILC1738" s="657" t="s">
        <v>2</v>
      </c>
      <c r="ILD1738" s="736"/>
      <c r="ILE1738" s="737"/>
      <c r="ILF1738" s="665" t="s">
        <v>1413</v>
      </c>
      <c r="ILH1738" s="629">
        <v>8</v>
      </c>
      <c r="ILI1738" s="662"/>
      <c r="ILJ1738" s="631"/>
      <c r="ILK1738" s="631"/>
      <c r="ILL1738" s="631"/>
      <c r="ILM1738" s="631"/>
      <c r="ILN1738" s="631"/>
      <c r="ILO1738" s="631"/>
      <c r="ILP1738" s="631"/>
      <c r="ILQ1738" s="666" t="s">
        <v>799</v>
      </c>
      <c r="ILR1738" s="631">
        <f t="shared" ref="ILR1738" si="509">ILH1738</f>
        <v>8</v>
      </c>
      <c r="ILS1738" s="657" t="s">
        <v>2</v>
      </c>
      <c r="ILT1738" s="736"/>
      <c r="ILU1738" s="737"/>
      <c r="ILV1738" s="665" t="s">
        <v>1413</v>
      </c>
      <c r="ILX1738" s="629">
        <v>8</v>
      </c>
      <c r="ILY1738" s="662"/>
      <c r="ILZ1738" s="631"/>
      <c r="IMA1738" s="631"/>
      <c r="IMB1738" s="631"/>
      <c r="IMC1738" s="631"/>
      <c r="IMD1738" s="631"/>
      <c r="IME1738" s="631"/>
      <c r="IMF1738" s="631"/>
      <c r="IMG1738" s="666" t="s">
        <v>799</v>
      </c>
      <c r="IMH1738" s="631">
        <f t="shared" ref="IMH1738" si="510">ILX1738</f>
        <v>8</v>
      </c>
      <c r="IMI1738" s="657" t="s">
        <v>2</v>
      </c>
      <c r="IMJ1738" s="736"/>
      <c r="IMK1738" s="737"/>
      <c r="IML1738" s="665" t="s">
        <v>1413</v>
      </c>
      <c r="IMN1738" s="629">
        <v>8</v>
      </c>
      <c r="IMO1738" s="662"/>
      <c r="IMP1738" s="631"/>
      <c r="IMQ1738" s="631"/>
      <c r="IMR1738" s="631"/>
      <c r="IMS1738" s="631"/>
      <c r="IMT1738" s="631"/>
      <c r="IMU1738" s="631"/>
      <c r="IMV1738" s="631"/>
      <c r="IMW1738" s="666" t="s">
        <v>799</v>
      </c>
      <c r="IMX1738" s="631">
        <f t="shared" ref="IMX1738" si="511">IMN1738</f>
        <v>8</v>
      </c>
      <c r="IMY1738" s="657" t="s">
        <v>2</v>
      </c>
      <c r="IMZ1738" s="736"/>
      <c r="INA1738" s="737"/>
      <c r="INB1738" s="665" t="s">
        <v>1413</v>
      </c>
      <c r="IND1738" s="629">
        <v>8</v>
      </c>
      <c r="INE1738" s="662"/>
      <c r="INF1738" s="631"/>
      <c r="ING1738" s="631"/>
      <c r="INH1738" s="631"/>
      <c r="INI1738" s="631"/>
      <c r="INJ1738" s="631"/>
      <c r="INK1738" s="631"/>
      <c r="INL1738" s="631"/>
      <c r="INM1738" s="666" t="s">
        <v>799</v>
      </c>
      <c r="INN1738" s="631">
        <f t="shared" ref="INN1738" si="512">IND1738</f>
        <v>8</v>
      </c>
      <c r="INO1738" s="657" t="s">
        <v>2</v>
      </c>
      <c r="INP1738" s="736"/>
      <c r="INQ1738" s="737"/>
      <c r="INR1738" s="665" t="s">
        <v>1413</v>
      </c>
      <c r="INT1738" s="629">
        <v>8</v>
      </c>
      <c r="INU1738" s="662"/>
      <c r="INV1738" s="631"/>
      <c r="INW1738" s="631"/>
      <c r="INX1738" s="631"/>
      <c r="INY1738" s="631"/>
      <c r="INZ1738" s="631"/>
      <c r="IOA1738" s="631"/>
      <c r="IOB1738" s="631"/>
      <c r="IOC1738" s="666" t="s">
        <v>799</v>
      </c>
      <c r="IOD1738" s="631">
        <f t="shared" ref="IOD1738" si="513">INT1738</f>
        <v>8</v>
      </c>
      <c r="IOE1738" s="657" t="s">
        <v>2</v>
      </c>
      <c r="IOF1738" s="736"/>
      <c r="IOG1738" s="737"/>
      <c r="IOH1738" s="665" t="s">
        <v>1413</v>
      </c>
      <c r="IOJ1738" s="629">
        <v>8</v>
      </c>
      <c r="IOK1738" s="662"/>
      <c r="IOL1738" s="631"/>
      <c r="IOM1738" s="631"/>
      <c r="ION1738" s="631"/>
      <c r="IOO1738" s="631"/>
      <c r="IOP1738" s="631"/>
      <c r="IOQ1738" s="631"/>
      <c r="IOR1738" s="631"/>
      <c r="IOS1738" s="666" t="s">
        <v>799</v>
      </c>
      <c r="IOT1738" s="631">
        <f t="shared" ref="IOT1738" si="514">IOJ1738</f>
        <v>8</v>
      </c>
      <c r="IOU1738" s="657" t="s">
        <v>2</v>
      </c>
      <c r="IOV1738" s="736"/>
      <c r="IOW1738" s="737"/>
      <c r="IOX1738" s="665" t="s">
        <v>1413</v>
      </c>
      <c r="IOZ1738" s="629">
        <v>8</v>
      </c>
      <c r="IPA1738" s="662"/>
      <c r="IPB1738" s="631"/>
      <c r="IPC1738" s="631"/>
      <c r="IPD1738" s="631"/>
      <c r="IPE1738" s="631"/>
      <c r="IPF1738" s="631"/>
      <c r="IPG1738" s="631"/>
      <c r="IPH1738" s="631"/>
      <c r="IPI1738" s="666" t="s">
        <v>799</v>
      </c>
      <c r="IPJ1738" s="631">
        <f t="shared" ref="IPJ1738" si="515">IOZ1738</f>
        <v>8</v>
      </c>
      <c r="IPK1738" s="657" t="s">
        <v>2</v>
      </c>
      <c r="IPL1738" s="736"/>
      <c r="IPM1738" s="737"/>
      <c r="IPN1738" s="665" t="s">
        <v>1413</v>
      </c>
      <c r="IPP1738" s="629">
        <v>8</v>
      </c>
      <c r="IPQ1738" s="662"/>
      <c r="IPR1738" s="631"/>
      <c r="IPS1738" s="631"/>
      <c r="IPT1738" s="631"/>
      <c r="IPU1738" s="631"/>
      <c r="IPV1738" s="631"/>
      <c r="IPW1738" s="631"/>
      <c r="IPX1738" s="631"/>
      <c r="IPY1738" s="666" t="s">
        <v>799</v>
      </c>
      <c r="IPZ1738" s="631">
        <f t="shared" ref="IPZ1738" si="516">IPP1738</f>
        <v>8</v>
      </c>
      <c r="IQA1738" s="657" t="s">
        <v>2</v>
      </c>
      <c r="IQB1738" s="736"/>
      <c r="IQC1738" s="737"/>
      <c r="IQD1738" s="665" t="s">
        <v>1413</v>
      </c>
      <c r="IQF1738" s="629">
        <v>8</v>
      </c>
      <c r="IQG1738" s="662"/>
      <c r="IQH1738" s="631"/>
      <c r="IQI1738" s="631"/>
      <c r="IQJ1738" s="631"/>
      <c r="IQK1738" s="631"/>
      <c r="IQL1738" s="631"/>
      <c r="IQM1738" s="631"/>
      <c r="IQN1738" s="631"/>
      <c r="IQO1738" s="666" t="s">
        <v>799</v>
      </c>
      <c r="IQP1738" s="631">
        <f t="shared" ref="IQP1738" si="517">IQF1738</f>
        <v>8</v>
      </c>
      <c r="IQQ1738" s="657" t="s">
        <v>2</v>
      </c>
      <c r="IQR1738" s="736"/>
      <c r="IQS1738" s="737"/>
      <c r="IQT1738" s="665" t="s">
        <v>1413</v>
      </c>
      <c r="IQV1738" s="629">
        <v>8</v>
      </c>
      <c r="IQW1738" s="662"/>
      <c r="IQX1738" s="631"/>
      <c r="IQY1738" s="631"/>
      <c r="IQZ1738" s="631"/>
      <c r="IRA1738" s="631"/>
      <c r="IRB1738" s="631"/>
      <c r="IRC1738" s="631"/>
      <c r="IRD1738" s="631"/>
      <c r="IRE1738" s="666" t="s">
        <v>799</v>
      </c>
      <c r="IRF1738" s="631">
        <f t="shared" ref="IRF1738" si="518">IQV1738</f>
        <v>8</v>
      </c>
      <c r="IRG1738" s="657" t="s">
        <v>2</v>
      </c>
      <c r="IRH1738" s="736"/>
      <c r="IRI1738" s="737"/>
      <c r="IRJ1738" s="665" t="s">
        <v>1413</v>
      </c>
      <c r="IRL1738" s="629">
        <v>8</v>
      </c>
      <c r="IRM1738" s="662"/>
      <c r="IRN1738" s="631"/>
      <c r="IRO1738" s="631"/>
      <c r="IRP1738" s="631"/>
      <c r="IRQ1738" s="631"/>
      <c r="IRR1738" s="631"/>
      <c r="IRS1738" s="631"/>
      <c r="IRT1738" s="631"/>
      <c r="IRU1738" s="666" t="s">
        <v>799</v>
      </c>
      <c r="IRV1738" s="631">
        <f t="shared" ref="IRV1738" si="519">IRL1738</f>
        <v>8</v>
      </c>
      <c r="IRW1738" s="657" t="s">
        <v>2</v>
      </c>
      <c r="IRX1738" s="736"/>
      <c r="IRY1738" s="737"/>
      <c r="IRZ1738" s="665" t="s">
        <v>1413</v>
      </c>
      <c r="ISB1738" s="629">
        <v>8</v>
      </c>
      <c r="ISC1738" s="662"/>
      <c r="ISD1738" s="631"/>
      <c r="ISE1738" s="631"/>
      <c r="ISF1738" s="631"/>
      <c r="ISG1738" s="631"/>
      <c r="ISH1738" s="631"/>
      <c r="ISI1738" s="631"/>
      <c r="ISJ1738" s="631"/>
      <c r="ISK1738" s="666" t="s">
        <v>799</v>
      </c>
      <c r="ISL1738" s="631">
        <f t="shared" ref="ISL1738" si="520">ISB1738</f>
        <v>8</v>
      </c>
      <c r="ISM1738" s="657" t="s">
        <v>2</v>
      </c>
      <c r="ISN1738" s="736"/>
      <c r="ISO1738" s="737"/>
      <c r="ISP1738" s="665" t="s">
        <v>1413</v>
      </c>
      <c r="ISR1738" s="629">
        <v>8</v>
      </c>
      <c r="ISS1738" s="662"/>
      <c r="IST1738" s="631"/>
      <c r="ISU1738" s="631"/>
      <c r="ISV1738" s="631"/>
      <c r="ISW1738" s="631"/>
      <c r="ISX1738" s="631"/>
      <c r="ISY1738" s="631"/>
      <c r="ISZ1738" s="631"/>
      <c r="ITA1738" s="666" t="s">
        <v>799</v>
      </c>
      <c r="ITB1738" s="631">
        <f t="shared" ref="ITB1738" si="521">ISR1738</f>
        <v>8</v>
      </c>
      <c r="ITC1738" s="657" t="s">
        <v>2</v>
      </c>
      <c r="ITD1738" s="736"/>
      <c r="ITE1738" s="737"/>
      <c r="ITF1738" s="665" t="s">
        <v>1413</v>
      </c>
      <c r="ITH1738" s="629">
        <v>8</v>
      </c>
      <c r="ITI1738" s="662"/>
      <c r="ITJ1738" s="631"/>
      <c r="ITK1738" s="631"/>
      <c r="ITL1738" s="631"/>
      <c r="ITM1738" s="631"/>
      <c r="ITN1738" s="631"/>
      <c r="ITO1738" s="631"/>
      <c r="ITP1738" s="631"/>
      <c r="ITQ1738" s="666" t="s">
        <v>799</v>
      </c>
      <c r="ITR1738" s="631">
        <f t="shared" ref="ITR1738" si="522">ITH1738</f>
        <v>8</v>
      </c>
      <c r="ITS1738" s="657" t="s">
        <v>2</v>
      </c>
      <c r="ITT1738" s="736"/>
      <c r="ITU1738" s="737"/>
      <c r="ITV1738" s="665" t="s">
        <v>1413</v>
      </c>
      <c r="ITX1738" s="629">
        <v>8</v>
      </c>
      <c r="ITY1738" s="662"/>
      <c r="ITZ1738" s="631"/>
      <c r="IUA1738" s="631"/>
      <c r="IUB1738" s="631"/>
      <c r="IUC1738" s="631"/>
      <c r="IUD1738" s="631"/>
      <c r="IUE1738" s="631"/>
      <c r="IUF1738" s="631"/>
      <c r="IUG1738" s="666" t="s">
        <v>799</v>
      </c>
      <c r="IUH1738" s="631">
        <f t="shared" ref="IUH1738" si="523">ITX1738</f>
        <v>8</v>
      </c>
      <c r="IUI1738" s="657" t="s">
        <v>2</v>
      </c>
      <c r="IUJ1738" s="736"/>
      <c r="IUK1738" s="737"/>
      <c r="IUL1738" s="665" t="s">
        <v>1413</v>
      </c>
      <c r="IUN1738" s="629">
        <v>8</v>
      </c>
      <c r="IUO1738" s="662"/>
      <c r="IUP1738" s="631"/>
      <c r="IUQ1738" s="631"/>
      <c r="IUR1738" s="631"/>
      <c r="IUS1738" s="631"/>
      <c r="IUT1738" s="631"/>
      <c r="IUU1738" s="631"/>
      <c r="IUV1738" s="631"/>
      <c r="IUW1738" s="666" t="s">
        <v>799</v>
      </c>
      <c r="IUX1738" s="631">
        <f t="shared" ref="IUX1738" si="524">IUN1738</f>
        <v>8</v>
      </c>
      <c r="IUY1738" s="657" t="s">
        <v>2</v>
      </c>
      <c r="IUZ1738" s="736"/>
      <c r="IVA1738" s="737"/>
      <c r="IVB1738" s="665" t="s">
        <v>1413</v>
      </c>
      <c r="IVD1738" s="629">
        <v>8</v>
      </c>
      <c r="IVE1738" s="662"/>
      <c r="IVF1738" s="631"/>
      <c r="IVG1738" s="631"/>
      <c r="IVH1738" s="631"/>
      <c r="IVI1738" s="631"/>
      <c r="IVJ1738" s="631"/>
      <c r="IVK1738" s="631"/>
      <c r="IVL1738" s="631"/>
      <c r="IVM1738" s="666" t="s">
        <v>799</v>
      </c>
      <c r="IVN1738" s="631">
        <f t="shared" ref="IVN1738" si="525">IVD1738</f>
        <v>8</v>
      </c>
      <c r="IVO1738" s="657" t="s">
        <v>2</v>
      </c>
      <c r="IVP1738" s="736"/>
      <c r="IVQ1738" s="737"/>
      <c r="IVR1738" s="665" t="s">
        <v>1413</v>
      </c>
      <c r="IVT1738" s="629">
        <v>8</v>
      </c>
      <c r="IVU1738" s="662"/>
      <c r="IVV1738" s="631"/>
      <c r="IVW1738" s="631"/>
      <c r="IVX1738" s="631"/>
      <c r="IVY1738" s="631"/>
      <c r="IVZ1738" s="631"/>
      <c r="IWA1738" s="631"/>
      <c r="IWB1738" s="631"/>
      <c r="IWC1738" s="666" t="s">
        <v>799</v>
      </c>
      <c r="IWD1738" s="631">
        <f t="shared" ref="IWD1738" si="526">IVT1738</f>
        <v>8</v>
      </c>
      <c r="IWE1738" s="657" t="s">
        <v>2</v>
      </c>
      <c r="IWF1738" s="736"/>
      <c r="IWG1738" s="737"/>
      <c r="IWH1738" s="665" t="s">
        <v>1413</v>
      </c>
      <c r="IWJ1738" s="629">
        <v>8</v>
      </c>
      <c r="IWK1738" s="662"/>
      <c r="IWL1738" s="631"/>
      <c r="IWM1738" s="631"/>
      <c r="IWN1738" s="631"/>
      <c r="IWO1738" s="631"/>
      <c r="IWP1738" s="631"/>
      <c r="IWQ1738" s="631"/>
      <c r="IWR1738" s="631"/>
      <c r="IWS1738" s="666" t="s">
        <v>799</v>
      </c>
      <c r="IWT1738" s="631">
        <f t="shared" ref="IWT1738" si="527">IWJ1738</f>
        <v>8</v>
      </c>
      <c r="IWU1738" s="657" t="s">
        <v>2</v>
      </c>
      <c r="IWV1738" s="736"/>
      <c r="IWW1738" s="737"/>
      <c r="IWX1738" s="665" t="s">
        <v>1413</v>
      </c>
      <c r="IWZ1738" s="629">
        <v>8</v>
      </c>
      <c r="IXA1738" s="662"/>
      <c r="IXB1738" s="631"/>
      <c r="IXC1738" s="631"/>
      <c r="IXD1738" s="631"/>
      <c r="IXE1738" s="631"/>
      <c r="IXF1738" s="631"/>
      <c r="IXG1738" s="631"/>
      <c r="IXH1738" s="631"/>
      <c r="IXI1738" s="666" t="s">
        <v>799</v>
      </c>
      <c r="IXJ1738" s="631">
        <f t="shared" ref="IXJ1738" si="528">IWZ1738</f>
        <v>8</v>
      </c>
      <c r="IXK1738" s="657" t="s">
        <v>2</v>
      </c>
      <c r="IXL1738" s="736"/>
      <c r="IXM1738" s="737"/>
      <c r="IXN1738" s="665" t="s">
        <v>1413</v>
      </c>
      <c r="IXP1738" s="629">
        <v>8</v>
      </c>
      <c r="IXQ1738" s="662"/>
      <c r="IXR1738" s="631"/>
      <c r="IXS1738" s="631"/>
      <c r="IXT1738" s="631"/>
      <c r="IXU1738" s="631"/>
      <c r="IXV1738" s="631"/>
      <c r="IXW1738" s="631"/>
      <c r="IXX1738" s="631"/>
      <c r="IXY1738" s="666" t="s">
        <v>799</v>
      </c>
      <c r="IXZ1738" s="631">
        <f t="shared" ref="IXZ1738" si="529">IXP1738</f>
        <v>8</v>
      </c>
      <c r="IYA1738" s="657" t="s">
        <v>2</v>
      </c>
      <c r="IYB1738" s="736"/>
      <c r="IYC1738" s="737"/>
      <c r="IYD1738" s="665" t="s">
        <v>1413</v>
      </c>
      <c r="IYF1738" s="629">
        <v>8</v>
      </c>
      <c r="IYG1738" s="662"/>
      <c r="IYH1738" s="631"/>
      <c r="IYI1738" s="631"/>
      <c r="IYJ1738" s="631"/>
      <c r="IYK1738" s="631"/>
      <c r="IYL1738" s="631"/>
      <c r="IYM1738" s="631"/>
      <c r="IYN1738" s="631"/>
      <c r="IYO1738" s="666" t="s">
        <v>799</v>
      </c>
      <c r="IYP1738" s="631">
        <f t="shared" ref="IYP1738" si="530">IYF1738</f>
        <v>8</v>
      </c>
      <c r="IYQ1738" s="657" t="s">
        <v>2</v>
      </c>
      <c r="IYR1738" s="736"/>
      <c r="IYS1738" s="737"/>
      <c r="IYT1738" s="665" t="s">
        <v>1413</v>
      </c>
      <c r="IYV1738" s="629">
        <v>8</v>
      </c>
      <c r="IYW1738" s="662"/>
      <c r="IYX1738" s="631"/>
      <c r="IYY1738" s="631"/>
      <c r="IYZ1738" s="631"/>
      <c r="IZA1738" s="631"/>
      <c r="IZB1738" s="631"/>
      <c r="IZC1738" s="631"/>
      <c r="IZD1738" s="631"/>
      <c r="IZE1738" s="666" t="s">
        <v>799</v>
      </c>
      <c r="IZF1738" s="631">
        <f t="shared" ref="IZF1738" si="531">IYV1738</f>
        <v>8</v>
      </c>
      <c r="IZG1738" s="657" t="s">
        <v>2</v>
      </c>
      <c r="IZH1738" s="736"/>
      <c r="IZI1738" s="737"/>
      <c r="IZJ1738" s="665" t="s">
        <v>1413</v>
      </c>
      <c r="IZL1738" s="629">
        <v>8</v>
      </c>
      <c r="IZM1738" s="662"/>
      <c r="IZN1738" s="631"/>
      <c r="IZO1738" s="631"/>
      <c r="IZP1738" s="631"/>
      <c r="IZQ1738" s="631"/>
      <c r="IZR1738" s="631"/>
      <c r="IZS1738" s="631"/>
      <c r="IZT1738" s="631"/>
      <c r="IZU1738" s="666" t="s">
        <v>799</v>
      </c>
      <c r="IZV1738" s="631">
        <f t="shared" ref="IZV1738" si="532">IZL1738</f>
        <v>8</v>
      </c>
      <c r="IZW1738" s="657" t="s">
        <v>2</v>
      </c>
      <c r="IZX1738" s="736"/>
      <c r="IZY1738" s="737"/>
      <c r="IZZ1738" s="665" t="s">
        <v>1413</v>
      </c>
      <c r="JAB1738" s="629">
        <v>8</v>
      </c>
      <c r="JAC1738" s="662"/>
      <c r="JAD1738" s="631"/>
      <c r="JAE1738" s="631"/>
      <c r="JAF1738" s="631"/>
      <c r="JAG1738" s="631"/>
      <c r="JAH1738" s="631"/>
      <c r="JAI1738" s="631"/>
      <c r="JAJ1738" s="631"/>
      <c r="JAK1738" s="666" t="s">
        <v>799</v>
      </c>
      <c r="JAL1738" s="631">
        <f t="shared" ref="JAL1738" si="533">JAB1738</f>
        <v>8</v>
      </c>
      <c r="JAM1738" s="657" t="s">
        <v>2</v>
      </c>
      <c r="JAN1738" s="736"/>
      <c r="JAO1738" s="737"/>
      <c r="JAP1738" s="665" t="s">
        <v>1413</v>
      </c>
      <c r="JAR1738" s="629">
        <v>8</v>
      </c>
      <c r="JAS1738" s="662"/>
      <c r="JAT1738" s="631"/>
      <c r="JAU1738" s="631"/>
      <c r="JAV1738" s="631"/>
      <c r="JAW1738" s="631"/>
      <c r="JAX1738" s="631"/>
      <c r="JAY1738" s="631"/>
      <c r="JAZ1738" s="631"/>
      <c r="JBA1738" s="666" t="s">
        <v>799</v>
      </c>
      <c r="JBB1738" s="631">
        <f t="shared" ref="JBB1738" si="534">JAR1738</f>
        <v>8</v>
      </c>
      <c r="JBC1738" s="657" t="s">
        <v>2</v>
      </c>
      <c r="JBD1738" s="736"/>
      <c r="JBE1738" s="737"/>
      <c r="JBF1738" s="665" t="s">
        <v>1413</v>
      </c>
      <c r="JBH1738" s="629">
        <v>8</v>
      </c>
      <c r="JBI1738" s="662"/>
      <c r="JBJ1738" s="631"/>
      <c r="JBK1738" s="631"/>
      <c r="JBL1738" s="631"/>
      <c r="JBM1738" s="631"/>
      <c r="JBN1738" s="631"/>
      <c r="JBO1738" s="631"/>
      <c r="JBP1738" s="631"/>
      <c r="JBQ1738" s="666" t="s">
        <v>799</v>
      </c>
      <c r="JBR1738" s="631">
        <f t="shared" ref="JBR1738" si="535">JBH1738</f>
        <v>8</v>
      </c>
      <c r="JBS1738" s="657" t="s">
        <v>2</v>
      </c>
      <c r="JBT1738" s="736"/>
      <c r="JBU1738" s="737"/>
      <c r="JBV1738" s="665" t="s">
        <v>1413</v>
      </c>
      <c r="JBX1738" s="629">
        <v>8</v>
      </c>
      <c r="JBY1738" s="662"/>
      <c r="JBZ1738" s="631"/>
      <c r="JCA1738" s="631"/>
      <c r="JCB1738" s="631"/>
      <c r="JCC1738" s="631"/>
      <c r="JCD1738" s="631"/>
      <c r="JCE1738" s="631"/>
      <c r="JCF1738" s="631"/>
      <c r="JCG1738" s="666" t="s">
        <v>799</v>
      </c>
      <c r="JCH1738" s="631">
        <f t="shared" ref="JCH1738" si="536">JBX1738</f>
        <v>8</v>
      </c>
      <c r="JCI1738" s="657" t="s">
        <v>2</v>
      </c>
      <c r="JCJ1738" s="736"/>
      <c r="JCK1738" s="737"/>
      <c r="JCL1738" s="665" t="s">
        <v>1413</v>
      </c>
      <c r="JCN1738" s="629">
        <v>8</v>
      </c>
      <c r="JCO1738" s="662"/>
      <c r="JCP1738" s="631"/>
      <c r="JCQ1738" s="631"/>
      <c r="JCR1738" s="631"/>
      <c r="JCS1738" s="631"/>
      <c r="JCT1738" s="631"/>
      <c r="JCU1738" s="631"/>
      <c r="JCV1738" s="631"/>
      <c r="JCW1738" s="666" t="s">
        <v>799</v>
      </c>
      <c r="JCX1738" s="631">
        <f t="shared" ref="JCX1738" si="537">JCN1738</f>
        <v>8</v>
      </c>
      <c r="JCY1738" s="657" t="s">
        <v>2</v>
      </c>
      <c r="JCZ1738" s="736"/>
      <c r="JDA1738" s="737"/>
      <c r="JDB1738" s="665" t="s">
        <v>1413</v>
      </c>
      <c r="JDD1738" s="629">
        <v>8</v>
      </c>
      <c r="JDE1738" s="662"/>
      <c r="JDF1738" s="631"/>
      <c r="JDG1738" s="631"/>
      <c r="JDH1738" s="631"/>
      <c r="JDI1738" s="631"/>
      <c r="JDJ1738" s="631"/>
      <c r="JDK1738" s="631"/>
      <c r="JDL1738" s="631"/>
      <c r="JDM1738" s="666" t="s">
        <v>799</v>
      </c>
      <c r="JDN1738" s="631">
        <f t="shared" ref="JDN1738" si="538">JDD1738</f>
        <v>8</v>
      </c>
      <c r="JDO1738" s="657" t="s">
        <v>2</v>
      </c>
      <c r="JDP1738" s="736"/>
      <c r="JDQ1738" s="737"/>
      <c r="JDR1738" s="665" t="s">
        <v>1413</v>
      </c>
      <c r="JDT1738" s="629">
        <v>8</v>
      </c>
      <c r="JDU1738" s="662"/>
      <c r="JDV1738" s="631"/>
      <c r="JDW1738" s="631"/>
      <c r="JDX1738" s="631"/>
      <c r="JDY1738" s="631"/>
      <c r="JDZ1738" s="631"/>
      <c r="JEA1738" s="631"/>
      <c r="JEB1738" s="631"/>
      <c r="JEC1738" s="666" t="s">
        <v>799</v>
      </c>
      <c r="JED1738" s="631">
        <f t="shared" ref="JED1738" si="539">JDT1738</f>
        <v>8</v>
      </c>
      <c r="JEE1738" s="657" t="s">
        <v>2</v>
      </c>
      <c r="JEF1738" s="736"/>
      <c r="JEG1738" s="737"/>
      <c r="JEH1738" s="665" t="s">
        <v>1413</v>
      </c>
      <c r="JEJ1738" s="629">
        <v>8</v>
      </c>
      <c r="JEK1738" s="662"/>
      <c r="JEL1738" s="631"/>
      <c r="JEM1738" s="631"/>
      <c r="JEN1738" s="631"/>
      <c r="JEO1738" s="631"/>
      <c r="JEP1738" s="631"/>
      <c r="JEQ1738" s="631"/>
      <c r="JER1738" s="631"/>
      <c r="JES1738" s="666" t="s">
        <v>799</v>
      </c>
      <c r="JET1738" s="631">
        <f t="shared" ref="JET1738" si="540">JEJ1738</f>
        <v>8</v>
      </c>
      <c r="JEU1738" s="657" t="s">
        <v>2</v>
      </c>
      <c r="JEV1738" s="736"/>
      <c r="JEW1738" s="737"/>
      <c r="JEX1738" s="665" t="s">
        <v>1413</v>
      </c>
      <c r="JEZ1738" s="629">
        <v>8</v>
      </c>
      <c r="JFA1738" s="662"/>
      <c r="JFB1738" s="631"/>
      <c r="JFC1738" s="631"/>
      <c r="JFD1738" s="631"/>
      <c r="JFE1738" s="631"/>
      <c r="JFF1738" s="631"/>
      <c r="JFG1738" s="631"/>
      <c r="JFH1738" s="631"/>
      <c r="JFI1738" s="666" t="s">
        <v>799</v>
      </c>
      <c r="JFJ1738" s="631">
        <f t="shared" ref="JFJ1738" si="541">JEZ1738</f>
        <v>8</v>
      </c>
      <c r="JFK1738" s="657" t="s">
        <v>2</v>
      </c>
      <c r="JFL1738" s="736"/>
      <c r="JFM1738" s="737"/>
      <c r="JFN1738" s="665" t="s">
        <v>1413</v>
      </c>
      <c r="JFP1738" s="629">
        <v>8</v>
      </c>
      <c r="JFQ1738" s="662"/>
      <c r="JFR1738" s="631"/>
      <c r="JFS1738" s="631"/>
      <c r="JFT1738" s="631"/>
      <c r="JFU1738" s="631"/>
      <c r="JFV1738" s="631"/>
      <c r="JFW1738" s="631"/>
      <c r="JFX1738" s="631"/>
      <c r="JFY1738" s="666" t="s">
        <v>799</v>
      </c>
      <c r="JFZ1738" s="631">
        <f t="shared" ref="JFZ1738" si="542">JFP1738</f>
        <v>8</v>
      </c>
      <c r="JGA1738" s="657" t="s">
        <v>2</v>
      </c>
      <c r="JGB1738" s="736"/>
      <c r="JGC1738" s="737"/>
      <c r="JGD1738" s="665" t="s">
        <v>1413</v>
      </c>
      <c r="JGF1738" s="629">
        <v>8</v>
      </c>
      <c r="JGG1738" s="662"/>
      <c r="JGH1738" s="631"/>
      <c r="JGI1738" s="631"/>
      <c r="JGJ1738" s="631"/>
      <c r="JGK1738" s="631"/>
      <c r="JGL1738" s="631"/>
      <c r="JGM1738" s="631"/>
      <c r="JGN1738" s="631"/>
      <c r="JGO1738" s="666" t="s">
        <v>799</v>
      </c>
      <c r="JGP1738" s="631">
        <f t="shared" ref="JGP1738" si="543">JGF1738</f>
        <v>8</v>
      </c>
      <c r="JGQ1738" s="657" t="s">
        <v>2</v>
      </c>
      <c r="JGR1738" s="736"/>
      <c r="JGS1738" s="737"/>
      <c r="JGT1738" s="665" t="s">
        <v>1413</v>
      </c>
      <c r="JGV1738" s="629">
        <v>8</v>
      </c>
      <c r="JGW1738" s="662"/>
      <c r="JGX1738" s="631"/>
      <c r="JGY1738" s="631"/>
      <c r="JGZ1738" s="631"/>
      <c r="JHA1738" s="631"/>
      <c r="JHB1738" s="631"/>
      <c r="JHC1738" s="631"/>
      <c r="JHD1738" s="631"/>
      <c r="JHE1738" s="666" t="s">
        <v>799</v>
      </c>
      <c r="JHF1738" s="631">
        <f t="shared" ref="JHF1738" si="544">JGV1738</f>
        <v>8</v>
      </c>
      <c r="JHG1738" s="657" t="s">
        <v>2</v>
      </c>
      <c r="JHH1738" s="736"/>
      <c r="JHI1738" s="737"/>
      <c r="JHJ1738" s="665" t="s">
        <v>1413</v>
      </c>
      <c r="JHL1738" s="629">
        <v>8</v>
      </c>
      <c r="JHM1738" s="662"/>
      <c r="JHN1738" s="631"/>
      <c r="JHO1738" s="631"/>
      <c r="JHP1738" s="631"/>
      <c r="JHQ1738" s="631"/>
      <c r="JHR1738" s="631"/>
      <c r="JHS1738" s="631"/>
      <c r="JHT1738" s="631"/>
      <c r="JHU1738" s="666" t="s">
        <v>799</v>
      </c>
      <c r="JHV1738" s="631">
        <f t="shared" ref="JHV1738" si="545">JHL1738</f>
        <v>8</v>
      </c>
      <c r="JHW1738" s="657" t="s">
        <v>2</v>
      </c>
      <c r="JHX1738" s="736"/>
      <c r="JHY1738" s="737"/>
      <c r="JHZ1738" s="665" t="s">
        <v>1413</v>
      </c>
      <c r="JIB1738" s="629">
        <v>8</v>
      </c>
      <c r="JIC1738" s="662"/>
      <c r="JID1738" s="631"/>
      <c r="JIE1738" s="631"/>
      <c r="JIF1738" s="631"/>
      <c r="JIG1738" s="631"/>
      <c r="JIH1738" s="631"/>
      <c r="JII1738" s="631"/>
      <c r="JIJ1738" s="631"/>
      <c r="JIK1738" s="666" t="s">
        <v>799</v>
      </c>
      <c r="JIL1738" s="631">
        <f t="shared" ref="JIL1738" si="546">JIB1738</f>
        <v>8</v>
      </c>
      <c r="JIM1738" s="657" t="s">
        <v>2</v>
      </c>
      <c r="JIN1738" s="736"/>
      <c r="JIO1738" s="737"/>
      <c r="JIP1738" s="665" t="s">
        <v>1413</v>
      </c>
      <c r="JIR1738" s="629">
        <v>8</v>
      </c>
      <c r="JIS1738" s="662"/>
      <c r="JIT1738" s="631"/>
      <c r="JIU1738" s="631"/>
      <c r="JIV1738" s="631"/>
      <c r="JIW1738" s="631"/>
      <c r="JIX1738" s="631"/>
      <c r="JIY1738" s="631"/>
      <c r="JIZ1738" s="631"/>
      <c r="JJA1738" s="666" t="s">
        <v>799</v>
      </c>
      <c r="JJB1738" s="631">
        <f t="shared" ref="JJB1738" si="547">JIR1738</f>
        <v>8</v>
      </c>
      <c r="JJC1738" s="657" t="s">
        <v>2</v>
      </c>
      <c r="JJD1738" s="736"/>
      <c r="JJE1738" s="737"/>
      <c r="JJF1738" s="665" t="s">
        <v>1413</v>
      </c>
      <c r="JJH1738" s="629">
        <v>8</v>
      </c>
      <c r="JJI1738" s="662"/>
      <c r="JJJ1738" s="631"/>
      <c r="JJK1738" s="631"/>
      <c r="JJL1738" s="631"/>
      <c r="JJM1738" s="631"/>
      <c r="JJN1738" s="631"/>
      <c r="JJO1738" s="631"/>
      <c r="JJP1738" s="631"/>
      <c r="JJQ1738" s="666" t="s">
        <v>799</v>
      </c>
      <c r="JJR1738" s="631">
        <f t="shared" ref="JJR1738" si="548">JJH1738</f>
        <v>8</v>
      </c>
      <c r="JJS1738" s="657" t="s">
        <v>2</v>
      </c>
      <c r="JJT1738" s="736"/>
      <c r="JJU1738" s="737"/>
      <c r="JJV1738" s="665" t="s">
        <v>1413</v>
      </c>
      <c r="JJX1738" s="629">
        <v>8</v>
      </c>
      <c r="JJY1738" s="662"/>
      <c r="JJZ1738" s="631"/>
      <c r="JKA1738" s="631"/>
      <c r="JKB1738" s="631"/>
      <c r="JKC1738" s="631"/>
      <c r="JKD1738" s="631"/>
      <c r="JKE1738" s="631"/>
      <c r="JKF1738" s="631"/>
      <c r="JKG1738" s="666" t="s">
        <v>799</v>
      </c>
      <c r="JKH1738" s="631">
        <f t="shared" ref="JKH1738" si="549">JJX1738</f>
        <v>8</v>
      </c>
      <c r="JKI1738" s="657" t="s">
        <v>2</v>
      </c>
      <c r="JKJ1738" s="736"/>
      <c r="JKK1738" s="737"/>
      <c r="JKL1738" s="665" t="s">
        <v>1413</v>
      </c>
      <c r="JKN1738" s="629">
        <v>8</v>
      </c>
      <c r="JKO1738" s="662"/>
      <c r="JKP1738" s="631"/>
      <c r="JKQ1738" s="631"/>
      <c r="JKR1738" s="631"/>
      <c r="JKS1738" s="631"/>
      <c r="JKT1738" s="631"/>
      <c r="JKU1738" s="631"/>
      <c r="JKV1738" s="631"/>
      <c r="JKW1738" s="666" t="s">
        <v>799</v>
      </c>
      <c r="JKX1738" s="631">
        <f t="shared" ref="JKX1738" si="550">JKN1738</f>
        <v>8</v>
      </c>
      <c r="JKY1738" s="657" t="s">
        <v>2</v>
      </c>
      <c r="JKZ1738" s="736"/>
      <c r="JLA1738" s="737"/>
      <c r="JLB1738" s="665" t="s">
        <v>1413</v>
      </c>
      <c r="JLD1738" s="629">
        <v>8</v>
      </c>
      <c r="JLE1738" s="662"/>
      <c r="JLF1738" s="631"/>
      <c r="JLG1738" s="631"/>
      <c r="JLH1738" s="631"/>
      <c r="JLI1738" s="631"/>
      <c r="JLJ1738" s="631"/>
      <c r="JLK1738" s="631"/>
      <c r="JLL1738" s="631"/>
      <c r="JLM1738" s="666" t="s">
        <v>799</v>
      </c>
      <c r="JLN1738" s="631">
        <f t="shared" ref="JLN1738" si="551">JLD1738</f>
        <v>8</v>
      </c>
      <c r="JLO1738" s="657" t="s">
        <v>2</v>
      </c>
      <c r="JLP1738" s="736"/>
      <c r="JLQ1738" s="737"/>
      <c r="JLR1738" s="665" t="s">
        <v>1413</v>
      </c>
      <c r="JLT1738" s="629">
        <v>8</v>
      </c>
      <c r="JLU1738" s="662"/>
      <c r="JLV1738" s="631"/>
      <c r="JLW1738" s="631"/>
      <c r="JLX1738" s="631"/>
      <c r="JLY1738" s="631"/>
      <c r="JLZ1738" s="631"/>
      <c r="JMA1738" s="631"/>
      <c r="JMB1738" s="631"/>
      <c r="JMC1738" s="666" t="s">
        <v>799</v>
      </c>
      <c r="JMD1738" s="631">
        <f t="shared" ref="JMD1738" si="552">JLT1738</f>
        <v>8</v>
      </c>
      <c r="JME1738" s="657" t="s">
        <v>2</v>
      </c>
      <c r="JMF1738" s="736"/>
      <c r="JMG1738" s="737"/>
      <c r="JMH1738" s="665" t="s">
        <v>1413</v>
      </c>
      <c r="JMJ1738" s="629">
        <v>8</v>
      </c>
      <c r="JMK1738" s="662"/>
      <c r="JML1738" s="631"/>
      <c r="JMM1738" s="631"/>
      <c r="JMN1738" s="631"/>
      <c r="JMO1738" s="631"/>
      <c r="JMP1738" s="631"/>
      <c r="JMQ1738" s="631"/>
      <c r="JMR1738" s="631"/>
      <c r="JMS1738" s="666" t="s">
        <v>799</v>
      </c>
      <c r="JMT1738" s="631">
        <f t="shared" ref="JMT1738" si="553">JMJ1738</f>
        <v>8</v>
      </c>
      <c r="JMU1738" s="657" t="s">
        <v>2</v>
      </c>
      <c r="JMV1738" s="736"/>
      <c r="JMW1738" s="737"/>
      <c r="JMX1738" s="665" t="s">
        <v>1413</v>
      </c>
      <c r="JMZ1738" s="629">
        <v>8</v>
      </c>
      <c r="JNA1738" s="662"/>
      <c r="JNB1738" s="631"/>
      <c r="JNC1738" s="631"/>
      <c r="JND1738" s="631"/>
      <c r="JNE1738" s="631"/>
      <c r="JNF1738" s="631"/>
      <c r="JNG1738" s="631"/>
      <c r="JNH1738" s="631"/>
      <c r="JNI1738" s="666" t="s">
        <v>799</v>
      </c>
      <c r="JNJ1738" s="631">
        <f t="shared" ref="JNJ1738" si="554">JMZ1738</f>
        <v>8</v>
      </c>
      <c r="JNK1738" s="657" t="s">
        <v>2</v>
      </c>
      <c r="JNL1738" s="736"/>
      <c r="JNM1738" s="737"/>
      <c r="JNN1738" s="665" t="s">
        <v>1413</v>
      </c>
      <c r="JNP1738" s="629">
        <v>8</v>
      </c>
      <c r="JNQ1738" s="662"/>
      <c r="JNR1738" s="631"/>
      <c r="JNS1738" s="631"/>
      <c r="JNT1738" s="631"/>
      <c r="JNU1738" s="631"/>
      <c r="JNV1738" s="631"/>
      <c r="JNW1738" s="631"/>
      <c r="JNX1738" s="631"/>
      <c r="JNY1738" s="666" t="s">
        <v>799</v>
      </c>
      <c r="JNZ1738" s="631">
        <f t="shared" ref="JNZ1738" si="555">JNP1738</f>
        <v>8</v>
      </c>
      <c r="JOA1738" s="657" t="s">
        <v>2</v>
      </c>
      <c r="JOB1738" s="736"/>
      <c r="JOC1738" s="737"/>
      <c r="JOD1738" s="665" t="s">
        <v>1413</v>
      </c>
      <c r="JOF1738" s="629">
        <v>8</v>
      </c>
      <c r="JOG1738" s="662"/>
      <c r="JOH1738" s="631"/>
      <c r="JOI1738" s="631"/>
      <c r="JOJ1738" s="631"/>
      <c r="JOK1738" s="631"/>
      <c r="JOL1738" s="631"/>
      <c r="JOM1738" s="631"/>
      <c r="JON1738" s="631"/>
      <c r="JOO1738" s="666" t="s">
        <v>799</v>
      </c>
      <c r="JOP1738" s="631">
        <f t="shared" ref="JOP1738" si="556">JOF1738</f>
        <v>8</v>
      </c>
      <c r="JOQ1738" s="657" t="s">
        <v>2</v>
      </c>
      <c r="JOR1738" s="736"/>
      <c r="JOS1738" s="737"/>
      <c r="JOT1738" s="665" t="s">
        <v>1413</v>
      </c>
      <c r="JOV1738" s="629">
        <v>8</v>
      </c>
      <c r="JOW1738" s="662"/>
      <c r="JOX1738" s="631"/>
      <c r="JOY1738" s="631"/>
      <c r="JOZ1738" s="631"/>
      <c r="JPA1738" s="631"/>
      <c r="JPB1738" s="631"/>
      <c r="JPC1738" s="631"/>
      <c r="JPD1738" s="631"/>
      <c r="JPE1738" s="666" t="s">
        <v>799</v>
      </c>
      <c r="JPF1738" s="631">
        <f t="shared" ref="JPF1738" si="557">JOV1738</f>
        <v>8</v>
      </c>
      <c r="JPG1738" s="657" t="s">
        <v>2</v>
      </c>
      <c r="JPH1738" s="736"/>
      <c r="JPI1738" s="737"/>
      <c r="JPJ1738" s="665" t="s">
        <v>1413</v>
      </c>
      <c r="JPL1738" s="629">
        <v>8</v>
      </c>
      <c r="JPM1738" s="662"/>
      <c r="JPN1738" s="631"/>
      <c r="JPO1738" s="631"/>
      <c r="JPP1738" s="631"/>
      <c r="JPQ1738" s="631"/>
      <c r="JPR1738" s="631"/>
      <c r="JPS1738" s="631"/>
      <c r="JPT1738" s="631"/>
      <c r="JPU1738" s="666" t="s">
        <v>799</v>
      </c>
      <c r="JPV1738" s="631">
        <f t="shared" ref="JPV1738" si="558">JPL1738</f>
        <v>8</v>
      </c>
      <c r="JPW1738" s="657" t="s">
        <v>2</v>
      </c>
      <c r="JPX1738" s="736"/>
      <c r="JPY1738" s="737"/>
      <c r="JPZ1738" s="665" t="s">
        <v>1413</v>
      </c>
      <c r="JQB1738" s="629">
        <v>8</v>
      </c>
      <c r="JQC1738" s="662"/>
      <c r="JQD1738" s="631"/>
      <c r="JQE1738" s="631"/>
      <c r="JQF1738" s="631"/>
      <c r="JQG1738" s="631"/>
      <c r="JQH1738" s="631"/>
      <c r="JQI1738" s="631"/>
      <c r="JQJ1738" s="631"/>
      <c r="JQK1738" s="666" t="s">
        <v>799</v>
      </c>
      <c r="JQL1738" s="631">
        <f t="shared" ref="JQL1738" si="559">JQB1738</f>
        <v>8</v>
      </c>
      <c r="JQM1738" s="657" t="s">
        <v>2</v>
      </c>
      <c r="JQN1738" s="736"/>
      <c r="JQO1738" s="737"/>
      <c r="JQP1738" s="665" t="s">
        <v>1413</v>
      </c>
      <c r="JQR1738" s="629">
        <v>8</v>
      </c>
      <c r="JQS1738" s="662"/>
      <c r="JQT1738" s="631"/>
      <c r="JQU1738" s="631"/>
      <c r="JQV1738" s="631"/>
      <c r="JQW1738" s="631"/>
      <c r="JQX1738" s="631"/>
      <c r="JQY1738" s="631"/>
      <c r="JQZ1738" s="631"/>
      <c r="JRA1738" s="666" t="s">
        <v>799</v>
      </c>
      <c r="JRB1738" s="631">
        <f t="shared" ref="JRB1738" si="560">JQR1738</f>
        <v>8</v>
      </c>
      <c r="JRC1738" s="657" t="s">
        <v>2</v>
      </c>
      <c r="JRD1738" s="736"/>
      <c r="JRE1738" s="737"/>
      <c r="JRF1738" s="665" t="s">
        <v>1413</v>
      </c>
      <c r="JRH1738" s="629">
        <v>8</v>
      </c>
      <c r="JRI1738" s="662"/>
      <c r="JRJ1738" s="631"/>
      <c r="JRK1738" s="631"/>
      <c r="JRL1738" s="631"/>
      <c r="JRM1738" s="631"/>
      <c r="JRN1738" s="631"/>
      <c r="JRO1738" s="631"/>
      <c r="JRP1738" s="631"/>
      <c r="JRQ1738" s="666" t="s">
        <v>799</v>
      </c>
      <c r="JRR1738" s="631">
        <f t="shared" ref="JRR1738" si="561">JRH1738</f>
        <v>8</v>
      </c>
      <c r="JRS1738" s="657" t="s">
        <v>2</v>
      </c>
      <c r="JRT1738" s="736"/>
      <c r="JRU1738" s="737"/>
      <c r="JRV1738" s="665" t="s">
        <v>1413</v>
      </c>
      <c r="JRX1738" s="629">
        <v>8</v>
      </c>
      <c r="JRY1738" s="662"/>
      <c r="JRZ1738" s="631"/>
      <c r="JSA1738" s="631"/>
      <c r="JSB1738" s="631"/>
      <c r="JSC1738" s="631"/>
      <c r="JSD1738" s="631"/>
      <c r="JSE1738" s="631"/>
      <c r="JSF1738" s="631"/>
      <c r="JSG1738" s="666" t="s">
        <v>799</v>
      </c>
      <c r="JSH1738" s="631">
        <f t="shared" ref="JSH1738" si="562">JRX1738</f>
        <v>8</v>
      </c>
      <c r="JSI1738" s="657" t="s">
        <v>2</v>
      </c>
      <c r="JSJ1738" s="736"/>
      <c r="JSK1738" s="737"/>
      <c r="JSL1738" s="665" t="s">
        <v>1413</v>
      </c>
      <c r="JSN1738" s="629">
        <v>8</v>
      </c>
      <c r="JSO1738" s="662"/>
      <c r="JSP1738" s="631"/>
      <c r="JSQ1738" s="631"/>
      <c r="JSR1738" s="631"/>
      <c r="JSS1738" s="631"/>
      <c r="JST1738" s="631"/>
      <c r="JSU1738" s="631"/>
      <c r="JSV1738" s="631"/>
      <c r="JSW1738" s="666" t="s">
        <v>799</v>
      </c>
      <c r="JSX1738" s="631">
        <f t="shared" ref="JSX1738" si="563">JSN1738</f>
        <v>8</v>
      </c>
      <c r="JSY1738" s="657" t="s">
        <v>2</v>
      </c>
      <c r="JSZ1738" s="736"/>
      <c r="JTA1738" s="737"/>
      <c r="JTB1738" s="665" t="s">
        <v>1413</v>
      </c>
      <c r="JTD1738" s="629">
        <v>8</v>
      </c>
      <c r="JTE1738" s="662"/>
      <c r="JTF1738" s="631"/>
      <c r="JTG1738" s="631"/>
      <c r="JTH1738" s="631"/>
      <c r="JTI1738" s="631"/>
      <c r="JTJ1738" s="631"/>
      <c r="JTK1738" s="631"/>
      <c r="JTL1738" s="631"/>
      <c r="JTM1738" s="666" t="s">
        <v>799</v>
      </c>
      <c r="JTN1738" s="631">
        <f t="shared" ref="JTN1738" si="564">JTD1738</f>
        <v>8</v>
      </c>
      <c r="JTO1738" s="657" t="s">
        <v>2</v>
      </c>
      <c r="JTP1738" s="736"/>
      <c r="JTQ1738" s="737"/>
      <c r="JTR1738" s="665" t="s">
        <v>1413</v>
      </c>
      <c r="JTT1738" s="629">
        <v>8</v>
      </c>
      <c r="JTU1738" s="662"/>
      <c r="JTV1738" s="631"/>
      <c r="JTW1738" s="631"/>
      <c r="JTX1738" s="631"/>
      <c r="JTY1738" s="631"/>
      <c r="JTZ1738" s="631"/>
      <c r="JUA1738" s="631"/>
      <c r="JUB1738" s="631"/>
      <c r="JUC1738" s="666" t="s">
        <v>799</v>
      </c>
      <c r="JUD1738" s="631">
        <f t="shared" ref="JUD1738" si="565">JTT1738</f>
        <v>8</v>
      </c>
      <c r="JUE1738" s="657" t="s">
        <v>2</v>
      </c>
      <c r="JUF1738" s="736"/>
      <c r="JUG1738" s="737"/>
      <c r="JUH1738" s="665" t="s">
        <v>1413</v>
      </c>
      <c r="JUJ1738" s="629">
        <v>8</v>
      </c>
      <c r="JUK1738" s="662"/>
      <c r="JUL1738" s="631"/>
      <c r="JUM1738" s="631"/>
      <c r="JUN1738" s="631"/>
      <c r="JUO1738" s="631"/>
      <c r="JUP1738" s="631"/>
      <c r="JUQ1738" s="631"/>
      <c r="JUR1738" s="631"/>
      <c r="JUS1738" s="666" t="s">
        <v>799</v>
      </c>
      <c r="JUT1738" s="631">
        <f t="shared" ref="JUT1738" si="566">JUJ1738</f>
        <v>8</v>
      </c>
      <c r="JUU1738" s="657" t="s">
        <v>2</v>
      </c>
      <c r="JUV1738" s="736"/>
      <c r="JUW1738" s="737"/>
      <c r="JUX1738" s="665" t="s">
        <v>1413</v>
      </c>
      <c r="JUZ1738" s="629">
        <v>8</v>
      </c>
      <c r="JVA1738" s="662"/>
      <c r="JVB1738" s="631"/>
      <c r="JVC1738" s="631"/>
      <c r="JVD1738" s="631"/>
      <c r="JVE1738" s="631"/>
      <c r="JVF1738" s="631"/>
      <c r="JVG1738" s="631"/>
      <c r="JVH1738" s="631"/>
      <c r="JVI1738" s="666" t="s">
        <v>799</v>
      </c>
      <c r="JVJ1738" s="631">
        <f t="shared" ref="JVJ1738" si="567">JUZ1738</f>
        <v>8</v>
      </c>
      <c r="JVK1738" s="657" t="s">
        <v>2</v>
      </c>
      <c r="JVL1738" s="736"/>
      <c r="JVM1738" s="737"/>
      <c r="JVN1738" s="665" t="s">
        <v>1413</v>
      </c>
      <c r="JVP1738" s="629">
        <v>8</v>
      </c>
      <c r="JVQ1738" s="662"/>
      <c r="JVR1738" s="631"/>
      <c r="JVS1738" s="631"/>
      <c r="JVT1738" s="631"/>
      <c r="JVU1738" s="631"/>
      <c r="JVV1738" s="631"/>
      <c r="JVW1738" s="631"/>
      <c r="JVX1738" s="631"/>
      <c r="JVY1738" s="666" t="s">
        <v>799</v>
      </c>
      <c r="JVZ1738" s="631">
        <f t="shared" ref="JVZ1738" si="568">JVP1738</f>
        <v>8</v>
      </c>
      <c r="JWA1738" s="657" t="s">
        <v>2</v>
      </c>
      <c r="JWB1738" s="736"/>
      <c r="JWC1738" s="737"/>
      <c r="JWD1738" s="665" t="s">
        <v>1413</v>
      </c>
      <c r="JWF1738" s="629">
        <v>8</v>
      </c>
      <c r="JWG1738" s="662"/>
      <c r="JWH1738" s="631"/>
      <c r="JWI1738" s="631"/>
      <c r="JWJ1738" s="631"/>
      <c r="JWK1738" s="631"/>
      <c r="JWL1738" s="631"/>
      <c r="JWM1738" s="631"/>
      <c r="JWN1738" s="631"/>
      <c r="JWO1738" s="666" t="s">
        <v>799</v>
      </c>
      <c r="JWP1738" s="631">
        <f t="shared" ref="JWP1738" si="569">JWF1738</f>
        <v>8</v>
      </c>
      <c r="JWQ1738" s="657" t="s">
        <v>2</v>
      </c>
      <c r="JWR1738" s="736"/>
      <c r="JWS1738" s="737"/>
      <c r="JWT1738" s="665" t="s">
        <v>1413</v>
      </c>
      <c r="JWV1738" s="629">
        <v>8</v>
      </c>
      <c r="JWW1738" s="662"/>
      <c r="JWX1738" s="631"/>
      <c r="JWY1738" s="631"/>
      <c r="JWZ1738" s="631"/>
      <c r="JXA1738" s="631"/>
      <c r="JXB1738" s="631"/>
      <c r="JXC1738" s="631"/>
      <c r="JXD1738" s="631"/>
      <c r="JXE1738" s="666" t="s">
        <v>799</v>
      </c>
      <c r="JXF1738" s="631">
        <f t="shared" ref="JXF1738" si="570">JWV1738</f>
        <v>8</v>
      </c>
      <c r="JXG1738" s="657" t="s">
        <v>2</v>
      </c>
      <c r="JXH1738" s="736"/>
      <c r="JXI1738" s="737"/>
      <c r="JXJ1738" s="665" t="s">
        <v>1413</v>
      </c>
      <c r="JXL1738" s="629">
        <v>8</v>
      </c>
      <c r="JXM1738" s="662"/>
      <c r="JXN1738" s="631"/>
      <c r="JXO1738" s="631"/>
      <c r="JXP1738" s="631"/>
      <c r="JXQ1738" s="631"/>
      <c r="JXR1738" s="631"/>
      <c r="JXS1738" s="631"/>
      <c r="JXT1738" s="631"/>
      <c r="JXU1738" s="666" t="s">
        <v>799</v>
      </c>
      <c r="JXV1738" s="631">
        <f t="shared" ref="JXV1738" si="571">JXL1738</f>
        <v>8</v>
      </c>
      <c r="JXW1738" s="657" t="s">
        <v>2</v>
      </c>
      <c r="JXX1738" s="736"/>
      <c r="JXY1738" s="737"/>
      <c r="JXZ1738" s="665" t="s">
        <v>1413</v>
      </c>
      <c r="JYB1738" s="629">
        <v>8</v>
      </c>
      <c r="JYC1738" s="662"/>
      <c r="JYD1738" s="631"/>
      <c r="JYE1738" s="631"/>
      <c r="JYF1738" s="631"/>
      <c r="JYG1738" s="631"/>
      <c r="JYH1738" s="631"/>
      <c r="JYI1738" s="631"/>
      <c r="JYJ1738" s="631"/>
      <c r="JYK1738" s="666" t="s">
        <v>799</v>
      </c>
      <c r="JYL1738" s="631">
        <f t="shared" ref="JYL1738" si="572">JYB1738</f>
        <v>8</v>
      </c>
      <c r="JYM1738" s="657" t="s">
        <v>2</v>
      </c>
      <c r="JYN1738" s="736"/>
      <c r="JYO1738" s="737"/>
      <c r="JYP1738" s="665" t="s">
        <v>1413</v>
      </c>
      <c r="JYR1738" s="629">
        <v>8</v>
      </c>
      <c r="JYS1738" s="662"/>
      <c r="JYT1738" s="631"/>
      <c r="JYU1738" s="631"/>
      <c r="JYV1738" s="631"/>
      <c r="JYW1738" s="631"/>
      <c r="JYX1738" s="631"/>
      <c r="JYY1738" s="631"/>
      <c r="JYZ1738" s="631"/>
      <c r="JZA1738" s="666" t="s">
        <v>799</v>
      </c>
      <c r="JZB1738" s="631">
        <f t="shared" ref="JZB1738" si="573">JYR1738</f>
        <v>8</v>
      </c>
      <c r="JZC1738" s="657" t="s">
        <v>2</v>
      </c>
      <c r="JZD1738" s="736"/>
      <c r="JZE1738" s="737"/>
      <c r="JZF1738" s="665" t="s">
        <v>1413</v>
      </c>
      <c r="JZH1738" s="629">
        <v>8</v>
      </c>
      <c r="JZI1738" s="662"/>
      <c r="JZJ1738" s="631"/>
      <c r="JZK1738" s="631"/>
      <c r="JZL1738" s="631"/>
      <c r="JZM1738" s="631"/>
      <c r="JZN1738" s="631"/>
      <c r="JZO1738" s="631"/>
      <c r="JZP1738" s="631"/>
      <c r="JZQ1738" s="666" t="s">
        <v>799</v>
      </c>
      <c r="JZR1738" s="631">
        <f t="shared" ref="JZR1738" si="574">JZH1738</f>
        <v>8</v>
      </c>
      <c r="JZS1738" s="657" t="s">
        <v>2</v>
      </c>
      <c r="JZT1738" s="736"/>
      <c r="JZU1738" s="737"/>
      <c r="JZV1738" s="665" t="s">
        <v>1413</v>
      </c>
      <c r="JZX1738" s="629">
        <v>8</v>
      </c>
      <c r="JZY1738" s="662"/>
      <c r="JZZ1738" s="631"/>
      <c r="KAA1738" s="631"/>
      <c r="KAB1738" s="631"/>
      <c r="KAC1738" s="631"/>
      <c r="KAD1738" s="631"/>
      <c r="KAE1738" s="631"/>
      <c r="KAF1738" s="631"/>
      <c r="KAG1738" s="666" t="s">
        <v>799</v>
      </c>
      <c r="KAH1738" s="631">
        <f t="shared" ref="KAH1738" si="575">JZX1738</f>
        <v>8</v>
      </c>
      <c r="KAI1738" s="657" t="s">
        <v>2</v>
      </c>
      <c r="KAJ1738" s="736"/>
      <c r="KAK1738" s="737"/>
      <c r="KAL1738" s="665" t="s">
        <v>1413</v>
      </c>
      <c r="KAN1738" s="629">
        <v>8</v>
      </c>
      <c r="KAO1738" s="662"/>
      <c r="KAP1738" s="631"/>
      <c r="KAQ1738" s="631"/>
      <c r="KAR1738" s="631"/>
      <c r="KAS1738" s="631"/>
      <c r="KAT1738" s="631"/>
      <c r="KAU1738" s="631"/>
      <c r="KAV1738" s="631"/>
      <c r="KAW1738" s="666" t="s">
        <v>799</v>
      </c>
      <c r="KAX1738" s="631">
        <f t="shared" ref="KAX1738" si="576">KAN1738</f>
        <v>8</v>
      </c>
      <c r="KAY1738" s="657" t="s">
        <v>2</v>
      </c>
      <c r="KAZ1738" s="736"/>
      <c r="KBA1738" s="737"/>
      <c r="KBB1738" s="665" t="s">
        <v>1413</v>
      </c>
      <c r="KBD1738" s="629">
        <v>8</v>
      </c>
      <c r="KBE1738" s="662"/>
      <c r="KBF1738" s="631"/>
      <c r="KBG1738" s="631"/>
      <c r="KBH1738" s="631"/>
      <c r="KBI1738" s="631"/>
      <c r="KBJ1738" s="631"/>
      <c r="KBK1738" s="631"/>
      <c r="KBL1738" s="631"/>
      <c r="KBM1738" s="666" t="s">
        <v>799</v>
      </c>
      <c r="KBN1738" s="631">
        <f t="shared" ref="KBN1738" si="577">KBD1738</f>
        <v>8</v>
      </c>
      <c r="KBO1738" s="657" t="s">
        <v>2</v>
      </c>
      <c r="KBP1738" s="736"/>
      <c r="KBQ1738" s="737"/>
      <c r="KBR1738" s="665" t="s">
        <v>1413</v>
      </c>
      <c r="KBT1738" s="629">
        <v>8</v>
      </c>
      <c r="KBU1738" s="662"/>
      <c r="KBV1738" s="631"/>
      <c r="KBW1738" s="631"/>
      <c r="KBX1738" s="631"/>
      <c r="KBY1738" s="631"/>
      <c r="KBZ1738" s="631"/>
      <c r="KCA1738" s="631"/>
      <c r="KCB1738" s="631"/>
      <c r="KCC1738" s="666" t="s">
        <v>799</v>
      </c>
      <c r="KCD1738" s="631">
        <f t="shared" ref="KCD1738" si="578">KBT1738</f>
        <v>8</v>
      </c>
      <c r="KCE1738" s="657" t="s">
        <v>2</v>
      </c>
      <c r="KCF1738" s="736"/>
      <c r="KCG1738" s="737"/>
      <c r="KCH1738" s="665" t="s">
        <v>1413</v>
      </c>
      <c r="KCJ1738" s="629">
        <v>8</v>
      </c>
      <c r="KCK1738" s="662"/>
      <c r="KCL1738" s="631"/>
      <c r="KCM1738" s="631"/>
      <c r="KCN1738" s="631"/>
      <c r="KCO1738" s="631"/>
      <c r="KCP1738" s="631"/>
      <c r="KCQ1738" s="631"/>
      <c r="KCR1738" s="631"/>
      <c r="KCS1738" s="666" t="s">
        <v>799</v>
      </c>
      <c r="KCT1738" s="631">
        <f t="shared" ref="KCT1738" si="579">KCJ1738</f>
        <v>8</v>
      </c>
      <c r="KCU1738" s="657" t="s">
        <v>2</v>
      </c>
      <c r="KCV1738" s="736"/>
      <c r="KCW1738" s="737"/>
      <c r="KCX1738" s="665" t="s">
        <v>1413</v>
      </c>
      <c r="KCZ1738" s="629">
        <v>8</v>
      </c>
      <c r="KDA1738" s="662"/>
      <c r="KDB1738" s="631"/>
      <c r="KDC1738" s="631"/>
      <c r="KDD1738" s="631"/>
      <c r="KDE1738" s="631"/>
      <c r="KDF1738" s="631"/>
      <c r="KDG1738" s="631"/>
      <c r="KDH1738" s="631"/>
      <c r="KDI1738" s="666" t="s">
        <v>799</v>
      </c>
      <c r="KDJ1738" s="631">
        <f t="shared" ref="KDJ1738" si="580">KCZ1738</f>
        <v>8</v>
      </c>
      <c r="KDK1738" s="657" t="s">
        <v>2</v>
      </c>
      <c r="KDL1738" s="736"/>
      <c r="KDM1738" s="737"/>
      <c r="KDN1738" s="665" t="s">
        <v>1413</v>
      </c>
      <c r="KDP1738" s="629">
        <v>8</v>
      </c>
      <c r="KDQ1738" s="662"/>
      <c r="KDR1738" s="631"/>
      <c r="KDS1738" s="631"/>
      <c r="KDT1738" s="631"/>
      <c r="KDU1738" s="631"/>
      <c r="KDV1738" s="631"/>
      <c r="KDW1738" s="631"/>
      <c r="KDX1738" s="631"/>
      <c r="KDY1738" s="666" t="s">
        <v>799</v>
      </c>
      <c r="KDZ1738" s="631">
        <f t="shared" ref="KDZ1738" si="581">KDP1738</f>
        <v>8</v>
      </c>
      <c r="KEA1738" s="657" t="s">
        <v>2</v>
      </c>
      <c r="KEB1738" s="736"/>
      <c r="KEC1738" s="737"/>
      <c r="KED1738" s="665" t="s">
        <v>1413</v>
      </c>
      <c r="KEF1738" s="629">
        <v>8</v>
      </c>
      <c r="KEG1738" s="662"/>
      <c r="KEH1738" s="631"/>
      <c r="KEI1738" s="631"/>
      <c r="KEJ1738" s="631"/>
      <c r="KEK1738" s="631"/>
      <c r="KEL1738" s="631"/>
      <c r="KEM1738" s="631"/>
      <c r="KEN1738" s="631"/>
      <c r="KEO1738" s="666" t="s">
        <v>799</v>
      </c>
      <c r="KEP1738" s="631">
        <f t="shared" ref="KEP1738" si="582">KEF1738</f>
        <v>8</v>
      </c>
      <c r="KEQ1738" s="657" t="s">
        <v>2</v>
      </c>
      <c r="KER1738" s="736"/>
      <c r="KES1738" s="737"/>
      <c r="KET1738" s="665" t="s">
        <v>1413</v>
      </c>
      <c r="KEV1738" s="629">
        <v>8</v>
      </c>
      <c r="KEW1738" s="662"/>
      <c r="KEX1738" s="631"/>
      <c r="KEY1738" s="631"/>
      <c r="KEZ1738" s="631"/>
      <c r="KFA1738" s="631"/>
      <c r="KFB1738" s="631"/>
      <c r="KFC1738" s="631"/>
      <c r="KFD1738" s="631"/>
      <c r="KFE1738" s="666" t="s">
        <v>799</v>
      </c>
      <c r="KFF1738" s="631">
        <f t="shared" ref="KFF1738" si="583">KEV1738</f>
        <v>8</v>
      </c>
      <c r="KFG1738" s="657" t="s">
        <v>2</v>
      </c>
      <c r="KFH1738" s="736"/>
      <c r="KFI1738" s="737"/>
      <c r="KFJ1738" s="665" t="s">
        <v>1413</v>
      </c>
      <c r="KFL1738" s="629">
        <v>8</v>
      </c>
      <c r="KFM1738" s="662"/>
      <c r="KFN1738" s="631"/>
      <c r="KFO1738" s="631"/>
      <c r="KFP1738" s="631"/>
      <c r="KFQ1738" s="631"/>
      <c r="KFR1738" s="631"/>
      <c r="KFS1738" s="631"/>
      <c r="KFT1738" s="631"/>
      <c r="KFU1738" s="666" t="s">
        <v>799</v>
      </c>
      <c r="KFV1738" s="631">
        <f t="shared" ref="KFV1738" si="584">KFL1738</f>
        <v>8</v>
      </c>
      <c r="KFW1738" s="657" t="s">
        <v>2</v>
      </c>
      <c r="KFX1738" s="736"/>
      <c r="KFY1738" s="737"/>
      <c r="KFZ1738" s="665" t="s">
        <v>1413</v>
      </c>
      <c r="KGB1738" s="629">
        <v>8</v>
      </c>
      <c r="KGC1738" s="662"/>
      <c r="KGD1738" s="631"/>
      <c r="KGE1738" s="631"/>
      <c r="KGF1738" s="631"/>
      <c r="KGG1738" s="631"/>
      <c r="KGH1738" s="631"/>
      <c r="KGI1738" s="631"/>
      <c r="KGJ1738" s="631"/>
      <c r="KGK1738" s="666" t="s">
        <v>799</v>
      </c>
      <c r="KGL1738" s="631">
        <f t="shared" ref="KGL1738" si="585">KGB1738</f>
        <v>8</v>
      </c>
      <c r="KGM1738" s="657" t="s">
        <v>2</v>
      </c>
      <c r="KGN1738" s="736"/>
      <c r="KGO1738" s="737"/>
      <c r="KGP1738" s="665" t="s">
        <v>1413</v>
      </c>
      <c r="KGR1738" s="629">
        <v>8</v>
      </c>
      <c r="KGS1738" s="662"/>
      <c r="KGT1738" s="631"/>
      <c r="KGU1738" s="631"/>
      <c r="KGV1738" s="631"/>
      <c r="KGW1738" s="631"/>
      <c r="KGX1738" s="631"/>
      <c r="KGY1738" s="631"/>
      <c r="KGZ1738" s="631"/>
      <c r="KHA1738" s="666" t="s">
        <v>799</v>
      </c>
      <c r="KHB1738" s="631">
        <f t="shared" ref="KHB1738" si="586">KGR1738</f>
        <v>8</v>
      </c>
      <c r="KHC1738" s="657" t="s">
        <v>2</v>
      </c>
      <c r="KHD1738" s="736"/>
      <c r="KHE1738" s="737"/>
      <c r="KHF1738" s="665" t="s">
        <v>1413</v>
      </c>
      <c r="KHH1738" s="629">
        <v>8</v>
      </c>
      <c r="KHI1738" s="662"/>
      <c r="KHJ1738" s="631"/>
      <c r="KHK1738" s="631"/>
      <c r="KHL1738" s="631"/>
      <c r="KHM1738" s="631"/>
      <c r="KHN1738" s="631"/>
      <c r="KHO1738" s="631"/>
      <c r="KHP1738" s="631"/>
      <c r="KHQ1738" s="666" t="s">
        <v>799</v>
      </c>
      <c r="KHR1738" s="631">
        <f t="shared" ref="KHR1738" si="587">KHH1738</f>
        <v>8</v>
      </c>
      <c r="KHS1738" s="657" t="s">
        <v>2</v>
      </c>
      <c r="KHT1738" s="736"/>
      <c r="KHU1738" s="737"/>
      <c r="KHV1738" s="665" t="s">
        <v>1413</v>
      </c>
      <c r="KHX1738" s="629">
        <v>8</v>
      </c>
      <c r="KHY1738" s="662"/>
      <c r="KHZ1738" s="631"/>
      <c r="KIA1738" s="631"/>
      <c r="KIB1738" s="631"/>
      <c r="KIC1738" s="631"/>
      <c r="KID1738" s="631"/>
      <c r="KIE1738" s="631"/>
      <c r="KIF1738" s="631"/>
      <c r="KIG1738" s="666" t="s">
        <v>799</v>
      </c>
      <c r="KIH1738" s="631">
        <f t="shared" ref="KIH1738" si="588">KHX1738</f>
        <v>8</v>
      </c>
      <c r="KII1738" s="657" t="s">
        <v>2</v>
      </c>
      <c r="KIJ1738" s="736"/>
      <c r="KIK1738" s="737"/>
      <c r="KIL1738" s="665" t="s">
        <v>1413</v>
      </c>
      <c r="KIN1738" s="629">
        <v>8</v>
      </c>
      <c r="KIO1738" s="662"/>
      <c r="KIP1738" s="631"/>
      <c r="KIQ1738" s="631"/>
      <c r="KIR1738" s="631"/>
      <c r="KIS1738" s="631"/>
      <c r="KIT1738" s="631"/>
      <c r="KIU1738" s="631"/>
      <c r="KIV1738" s="631"/>
      <c r="KIW1738" s="666" t="s">
        <v>799</v>
      </c>
      <c r="KIX1738" s="631">
        <f t="shared" ref="KIX1738" si="589">KIN1738</f>
        <v>8</v>
      </c>
      <c r="KIY1738" s="657" t="s">
        <v>2</v>
      </c>
      <c r="KIZ1738" s="736"/>
      <c r="KJA1738" s="737"/>
      <c r="KJB1738" s="665" t="s">
        <v>1413</v>
      </c>
      <c r="KJD1738" s="629">
        <v>8</v>
      </c>
      <c r="KJE1738" s="662"/>
      <c r="KJF1738" s="631"/>
      <c r="KJG1738" s="631"/>
      <c r="KJH1738" s="631"/>
      <c r="KJI1738" s="631"/>
      <c r="KJJ1738" s="631"/>
      <c r="KJK1738" s="631"/>
      <c r="KJL1738" s="631"/>
      <c r="KJM1738" s="666" t="s">
        <v>799</v>
      </c>
      <c r="KJN1738" s="631">
        <f t="shared" ref="KJN1738" si="590">KJD1738</f>
        <v>8</v>
      </c>
      <c r="KJO1738" s="657" t="s">
        <v>2</v>
      </c>
      <c r="KJP1738" s="736"/>
      <c r="KJQ1738" s="737"/>
      <c r="KJR1738" s="665" t="s">
        <v>1413</v>
      </c>
      <c r="KJT1738" s="629">
        <v>8</v>
      </c>
      <c r="KJU1738" s="662"/>
      <c r="KJV1738" s="631"/>
      <c r="KJW1738" s="631"/>
      <c r="KJX1738" s="631"/>
      <c r="KJY1738" s="631"/>
      <c r="KJZ1738" s="631"/>
      <c r="KKA1738" s="631"/>
      <c r="KKB1738" s="631"/>
      <c r="KKC1738" s="666" t="s">
        <v>799</v>
      </c>
      <c r="KKD1738" s="631">
        <f t="shared" ref="KKD1738" si="591">KJT1738</f>
        <v>8</v>
      </c>
      <c r="KKE1738" s="657" t="s">
        <v>2</v>
      </c>
      <c r="KKF1738" s="736"/>
      <c r="KKG1738" s="737"/>
      <c r="KKH1738" s="665" t="s">
        <v>1413</v>
      </c>
      <c r="KKJ1738" s="629">
        <v>8</v>
      </c>
      <c r="KKK1738" s="662"/>
      <c r="KKL1738" s="631"/>
      <c r="KKM1738" s="631"/>
      <c r="KKN1738" s="631"/>
      <c r="KKO1738" s="631"/>
      <c r="KKP1738" s="631"/>
      <c r="KKQ1738" s="631"/>
      <c r="KKR1738" s="631"/>
      <c r="KKS1738" s="666" t="s">
        <v>799</v>
      </c>
      <c r="KKT1738" s="631">
        <f t="shared" ref="KKT1738" si="592">KKJ1738</f>
        <v>8</v>
      </c>
      <c r="KKU1738" s="657" t="s">
        <v>2</v>
      </c>
      <c r="KKV1738" s="736"/>
      <c r="KKW1738" s="737"/>
      <c r="KKX1738" s="665" t="s">
        <v>1413</v>
      </c>
      <c r="KKZ1738" s="629">
        <v>8</v>
      </c>
      <c r="KLA1738" s="662"/>
      <c r="KLB1738" s="631"/>
      <c r="KLC1738" s="631"/>
      <c r="KLD1738" s="631"/>
      <c r="KLE1738" s="631"/>
      <c r="KLF1738" s="631"/>
      <c r="KLG1738" s="631"/>
      <c r="KLH1738" s="631"/>
      <c r="KLI1738" s="666" t="s">
        <v>799</v>
      </c>
      <c r="KLJ1738" s="631">
        <f t="shared" ref="KLJ1738" si="593">KKZ1738</f>
        <v>8</v>
      </c>
      <c r="KLK1738" s="657" t="s">
        <v>2</v>
      </c>
      <c r="KLL1738" s="736"/>
      <c r="KLM1738" s="737"/>
      <c r="KLN1738" s="665" t="s">
        <v>1413</v>
      </c>
      <c r="KLP1738" s="629">
        <v>8</v>
      </c>
      <c r="KLQ1738" s="662"/>
      <c r="KLR1738" s="631"/>
      <c r="KLS1738" s="631"/>
      <c r="KLT1738" s="631"/>
      <c r="KLU1738" s="631"/>
      <c r="KLV1738" s="631"/>
      <c r="KLW1738" s="631"/>
      <c r="KLX1738" s="631"/>
      <c r="KLY1738" s="666" t="s">
        <v>799</v>
      </c>
      <c r="KLZ1738" s="631">
        <f t="shared" ref="KLZ1738" si="594">KLP1738</f>
        <v>8</v>
      </c>
      <c r="KMA1738" s="657" t="s">
        <v>2</v>
      </c>
      <c r="KMB1738" s="736"/>
      <c r="KMC1738" s="737"/>
      <c r="KMD1738" s="665" t="s">
        <v>1413</v>
      </c>
      <c r="KMF1738" s="629">
        <v>8</v>
      </c>
      <c r="KMG1738" s="662"/>
      <c r="KMH1738" s="631"/>
      <c r="KMI1738" s="631"/>
      <c r="KMJ1738" s="631"/>
      <c r="KMK1738" s="631"/>
      <c r="KML1738" s="631"/>
      <c r="KMM1738" s="631"/>
      <c r="KMN1738" s="631"/>
      <c r="KMO1738" s="666" t="s">
        <v>799</v>
      </c>
      <c r="KMP1738" s="631">
        <f t="shared" ref="KMP1738" si="595">KMF1738</f>
        <v>8</v>
      </c>
      <c r="KMQ1738" s="657" t="s">
        <v>2</v>
      </c>
      <c r="KMR1738" s="736"/>
      <c r="KMS1738" s="737"/>
      <c r="KMT1738" s="665" t="s">
        <v>1413</v>
      </c>
      <c r="KMV1738" s="629">
        <v>8</v>
      </c>
      <c r="KMW1738" s="662"/>
      <c r="KMX1738" s="631"/>
      <c r="KMY1738" s="631"/>
      <c r="KMZ1738" s="631"/>
      <c r="KNA1738" s="631"/>
      <c r="KNB1738" s="631"/>
      <c r="KNC1738" s="631"/>
      <c r="KND1738" s="631"/>
      <c r="KNE1738" s="666" t="s">
        <v>799</v>
      </c>
      <c r="KNF1738" s="631">
        <f t="shared" ref="KNF1738" si="596">KMV1738</f>
        <v>8</v>
      </c>
      <c r="KNG1738" s="657" t="s">
        <v>2</v>
      </c>
      <c r="KNH1738" s="736"/>
      <c r="KNI1738" s="737"/>
      <c r="KNJ1738" s="665" t="s">
        <v>1413</v>
      </c>
      <c r="KNL1738" s="629">
        <v>8</v>
      </c>
      <c r="KNM1738" s="662"/>
      <c r="KNN1738" s="631"/>
      <c r="KNO1738" s="631"/>
      <c r="KNP1738" s="631"/>
      <c r="KNQ1738" s="631"/>
      <c r="KNR1738" s="631"/>
      <c r="KNS1738" s="631"/>
      <c r="KNT1738" s="631"/>
      <c r="KNU1738" s="666" t="s">
        <v>799</v>
      </c>
      <c r="KNV1738" s="631">
        <f t="shared" ref="KNV1738" si="597">KNL1738</f>
        <v>8</v>
      </c>
      <c r="KNW1738" s="657" t="s">
        <v>2</v>
      </c>
      <c r="KNX1738" s="736"/>
      <c r="KNY1738" s="737"/>
      <c r="KNZ1738" s="665" t="s">
        <v>1413</v>
      </c>
      <c r="KOB1738" s="629">
        <v>8</v>
      </c>
      <c r="KOC1738" s="662"/>
      <c r="KOD1738" s="631"/>
      <c r="KOE1738" s="631"/>
      <c r="KOF1738" s="631"/>
      <c r="KOG1738" s="631"/>
      <c r="KOH1738" s="631"/>
      <c r="KOI1738" s="631"/>
      <c r="KOJ1738" s="631"/>
      <c r="KOK1738" s="666" t="s">
        <v>799</v>
      </c>
      <c r="KOL1738" s="631">
        <f t="shared" ref="KOL1738" si="598">KOB1738</f>
        <v>8</v>
      </c>
      <c r="KOM1738" s="657" t="s">
        <v>2</v>
      </c>
      <c r="KON1738" s="736"/>
      <c r="KOO1738" s="737"/>
      <c r="KOP1738" s="665" t="s">
        <v>1413</v>
      </c>
      <c r="KOR1738" s="629">
        <v>8</v>
      </c>
      <c r="KOS1738" s="662"/>
      <c r="KOT1738" s="631"/>
      <c r="KOU1738" s="631"/>
      <c r="KOV1738" s="631"/>
      <c r="KOW1738" s="631"/>
      <c r="KOX1738" s="631"/>
      <c r="KOY1738" s="631"/>
      <c r="KOZ1738" s="631"/>
      <c r="KPA1738" s="666" t="s">
        <v>799</v>
      </c>
      <c r="KPB1738" s="631">
        <f t="shared" ref="KPB1738" si="599">KOR1738</f>
        <v>8</v>
      </c>
      <c r="KPC1738" s="657" t="s">
        <v>2</v>
      </c>
      <c r="KPD1738" s="736"/>
      <c r="KPE1738" s="737"/>
      <c r="KPF1738" s="665" t="s">
        <v>1413</v>
      </c>
      <c r="KPH1738" s="629">
        <v>8</v>
      </c>
      <c r="KPI1738" s="662"/>
      <c r="KPJ1738" s="631"/>
      <c r="KPK1738" s="631"/>
      <c r="KPL1738" s="631"/>
      <c r="KPM1738" s="631"/>
      <c r="KPN1738" s="631"/>
      <c r="KPO1738" s="631"/>
      <c r="KPP1738" s="631"/>
      <c r="KPQ1738" s="666" t="s">
        <v>799</v>
      </c>
      <c r="KPR1738" s="631">
        <f t="shared" ref="KPR1738" si="600">KPH1738</f>
        <v>8</v>
      </c>
      <c r="KPS1738" s="657" t="s">
        <v>2</v>
      </c>
      <c r="KPT1738" s="736"/>
      <c r="KPU1738" s="737"/>
      <c r="KPV1738" s="665" t="s">
        <v>1413</v>
      </c>
      <c r="KPX1738" s="629">
        <v>8</v>
      </c>
      <c r="KPY1738" s="662"/>
      <c r="KPZ1738" s="631"/>
      <c r="KQA1738" s="631"/>
      <c r="KQB1738" s="631"/>
      <c r="KQC1738" s="631"/>
      <c r="KQD1738" s="631"/>
      <c r="KQE1738" s="631"/>
      <c r="KQF1738" s="631"/>
      <c r="KQG1738" s="666" t="s">
        <v>799</v>
      </c>
      <c r="KQH1738" s="631">
        <f t="shared" ref="KQH1738" si="601">KPX1738</f>
        <v>8</v>
      </c>
      <c r="KQI1738" s="657" t="s">
        <v>2</v>
      </c>
      <c r="KQJ1738" s="736"/>
      <c r="KQK1738" s="737"/>
      <c r="KQL1738" s="665" t="s">
        <v>1413</v>
      </c>
      <c r="KQN1738" s="629">
        <v>8</v>
      </c>
      <c r="KQO1738" s="662"/>
      <c r="KQP1738" s="631"/>
      <c r="KQQ1738" s="631"/>
      <c r="KQR1738" s="631"/>
      <c r="KQS1738" s="631"/>
      <c r="KQT1738" s="631"/>
      <c r="KQU1738" s="631"/>
      <c r="KQV1738" s="631"/>
      <c r="KQW1738" s="666" t="s">
        <v>799</v>
      </c>
      <c r="KQX1738" s="631">
        <f t="shared" ref="KQX1738" si="602">KQN1738</f>
        <v>8</v>
      </c>
      <c r="KQY1738" s="657" t="s">
        <v>2</v>
      </c>
      <c r="KQZ1738" s="736"/>
      <c r="KRA1738" s="737"/>
      <c r="KRB1738" s="665" t="s">
        <v>1413</v>
      </c>
      <c r="KRD1738" s="629">
        <v>8</v>
      </c>
      <c r="KRE1738" s="662"/>
      <c r="KRF1738" s="631"/>
      <c r="KRG1738" s="631"/>
      <c r="KRH1738" s="631"/>
      <c r="KRI1738" s="631"/>
      <c r="KRJ1738" s="631"/>
      <c r="KRK1738" s="631"/>
      <c r="KRL1738" s="631"/>
      <c r="KRM1738" s="666" t="s">
        <v>799</v>
      </c>
      <c r="KRN1738" s="631">
        <f t="shared" ref="KRN1738" si="603">KRD1738</f>
        <v>8</v>
      </c>
      <c r="KRO1738" s="657" t="s">
        <v>2</v>
      </c>
      <c r="KRP1738" s="736"/>
      <c r="KRQ1738" s="737"/>
      <c r="KRR1738" s="665" t="s">
        <v>1413</v>
      </c>
      <c r="KRT1738" s="629">
        <v>8</v>
      </c>
      <c r="KRU1738" s="662"/>
      <c r="KRV1738" s="631"/>
      <c r="KRW1738" s="631"/>
      <c r="KRX1738" s="631"/>
      <c r="KRY1738" s="631"/>
      <c r="KRZ1738" s="631"/>
      <c r="KSA1738" s="631"/>
      <c r="KSB1738" s="631"/>
      <c r="KSC1738" s="666" t="s">
        <v>799</v>
      </c>
      <c r="KSD1738" s="631">
        <f t="shared" ref="KSD1738" si="604">KRT1738</f>
        <v>8</v>
      </c>
      <c r="KSE1738" s="657" t="s">
        <v>2</v>
      </c>
      <c r="KSF1738" s="736"/>
      <c r="KSG1738" s="737"/>
      <c r="KSH1738" s="665" t="s">
        <v>1413</v>
      </c>
      <c r="KSJ1738" s="629">
        <v>8</v>
      </c>
      <c r="KSK1738" s="662"/>
      <c r="KSL1738" s="631"/>
      <c r="KSM1738" s="631"/>
      <c r="KSN1738" s="631"/>
      <c r="KSO1738" s="631"/>
      <c r="KSP1738" s="631"/>
      <c r="KSQ1738" s="631"/>
      <c r="KSR1738" s="631"/>
      <c r="KSS1738" s="666" t="s">
        <v>799</v>
      </c>
      <c r="KST1738" s="631">
        <f t="shared" ref="KST1738" si="605">KSJ1738</f>
        <v>8</v>
      </c>
      <c r="KSU1738" s="657" t="s">
        <v>2</v>
      </c>
      <c r="KSV1738" s="736"/>
      <c r="KSW1738" s="737"/>
      <c r="KSX1738" s="665" t="s">
        <v>1413</v>
      </c>
      <c r="KSZ1738" s="629">
        <v>8</v>
      </c>
      <c r="KTA1738" s="662"/>
      <c r="KTB1738" s="631"/>
      <c r="KTC1738" s="631"/>
      <c r="KTD1738" s="631"/>
      <c r="KTE1738" s="631"/>
      <c r="KTF1738" s="631"/>
      <c r="KTG1738" s="631"/>
      <c r="KTH1738" s="631"/>
      <c r="KTI1738" s="666" t="s">
        <v>799</v>
      </c>
      <c r="KTJ1738" s="631">
        <f t="shared" ref="KTJ1738" si="606">KSZ1738</f>
        <v>8</v>
      </c>
      <c r="KTK1738" s="657" t="s">
        <v>2</v>
      </c>
      <c r="KTL1738" s="736"/>
      <c r="KTM1738" s="737"/>
      <c r="KTN1738" s="665" t="s">
        <v>1413</v>
      </c>
      <c r="KTP1738" s="629">
        <v>8</v>
      </c>
      <c r="KTQ1738" s="662"/>
      <c r="KTR1738" s="631"/>
      <c r="KTS1738" s="631"/>
      <c r="KTT1738" s="631"/>
      <c r="KTU1738" s="631"/>
      <c r="KTV1738" s="631"/>
      <c r="KTW1738" s="631"/>
      <c r="KTX1738" s="631"/>
      <c r="KTY1738" s="666" t="s">
        <v>799</v>
      </c>
      <c r="KTZ1738" s="631">
        <f t="shared" ref="KTZ1738" si="607">KTP1738</f>
        <v>8</v>
      </c>
      <c r="KUA1738" s="657" t="s">
        <v>2</v>
      </c>
      <c r="KUB1738" s="736"/>
      <c r="KUC1738" s="737"/>
      <c r="KUD1738" s="665" t="s">
        <v>1413</v>
      </c>
      <c r="KUF1738" s="629">
        <v>8</v>
      </c>
      <c r="KUG1738" s="662"/>
      <c r="KUH1738" s="631"/>
      <c r="KUI1738" s="631"/>
      <c r="KUJ1738" s="631"/>
      <c r="KUK1738" s="631"/>
      <c r="KUL1738" s="631"/>
      <c r="KUM1738" s="631"/>
      <c r="KUN1738" s="631"/>
      <c r="KUO1738" s="666" t="s">
        <v>799</v>
      </c>
      <c r="KUP1738" s="631">
        <f t="shared" ref="KUP1738" si="608">KUF1738</f>
        <v>8</v>
      </c>
      <c r="KUQ1738" s="657" t="s">
        <v>2</v>
      </c>
      <c r="KUR1738" s="736"/>
      <c r="KUS1738" s="737"/>
      <c r="KUT1738" s="665" t="s">
        <v>1413</v>
      </c>
      <c r="KUV1738" s="629">
        <v>8</v>
      </c>
      <c r="KUW1738" s="662"/>
      <c r="KUX1738" s="631"/>
      <c r="KUY1738" s="631"/>
      <c r="KUZ1738" s="631"/>
      <c r="KVA1738" s="631"/>
      <c r="KVB1738" s="631"/>
      <c r="KVC1738" s="631"/>
      <c r="KVD1738" s="631"/>
      <c r="KVE1738" s="666" t="s">
        <v>799</v>
      </c>
      <c r="KVF1738" s="631">
        <f t="shared" ref="KVF1738" si="609">KUV1738</f>
        <v>8</v>
      </c>
      <c r="KVG1738" s="657" t="s">
        <v>2</v>
      </c>
      <c r="KVH1738" s="736"/>
      <c r="KVI1738" s="737"/>
      <c r="KVJ1738" s="665" t="s">
        <v>1413</v>
      </c>
      <c r="KVL1738" s="629">
        <v>8</v>
      </c>
      <c r="KVM1738" s="662"/>
      <c r="KVN1738" s="631"/>
      <c r="KVO1738" s="631"/>
      <c r="KVP1738" s="631"/>
      <c r="KVQ1738" s="631"/>
      <c r="KVR1738" s="631"/>
      <c r="KVS1738" s="631"/>
      <c r="KVT1738" s="631"/>
      <c r="KVU1738" s="666" t="s">
        <v>799</v>
      </c>
      <c r="KVV1738" s="631">
        <f t="shared" ref="KVV1738" si="610">KVL1738</f>
        <v>8</v>
      </c>
      <c r="KVW1738" s="657" t="s">
        <v>2</v>
      </c>
      <c r="KVX1738" s="736"/>
      <c r="KVY1738" s="737"/>
      <c r="KVZ1738" s="665" t="s">
        <v>1413</v>
      </c>
      <c r="KWB1738" s="629">
        <v>8</v>
      </c>
      <c r="KWC1738" s="662"/>
      <c r="KWD1738" s="631"/>
      <c r="KWE1738" s="631"/>
      <c r="KWF1738" s="631"/>
      <c r="KWG1738" s="631"/>
      <c r="KWH1738" s="631"/>
      <c r="KWI1738" s="631"/>
      <c r="KWJ1738" s="631"/>
      <c r="KWK1738" s="666" t="s">
        <v>799</v>
      </c>
      <c r="KWL1738" s="631">
        <f t="shared" ref="KWL1738" si="611">KWB1738</f>
        <v>8</v>
      </c>
      <c r="KWM1738" s="657" t="s">
        <v>2</v>
      </c>
      <c r="KWN1738" s="736"/>
      <c r="KWO1738" s="737"/>
      <c r="KWP1738" s="665" t="s">
        <v>1413</v>
      </c>
      <c r="KWR1738" s="629">
        <v>8</v>
      </c>
      <c r="KWS1738" s="662"/>
      <c r="KWT1738" s="631"/>
      <c r="KWU1738" s="631"/>
      <c r="KWV1738" s="631"/>
      <c r="KWW1738" s="631"/>
      <c r="KWX1738" s="631"/>
      <c r="KWY1738" s="631"/>
      <c r="KWZ1738" s="631"/>
      <c r="KXA1738" s="666" t="s">
        <v>799</v>
      </c>
      <c r="KXB1738" s="631">
        <f t="shared" ref="KXB1738" si="612">KWR1738</f>
        <v>8</v>
      </c>
      <c r="KXC1738" s="657" t="s">
        <v>2</v>
      </c>
      <c r="KXD1738" s="736"/>
      <c r="KXE1738" s="737"/>
      <c r="KXF1738" s="665" t="s">
        <v>1413</v>
      </c>
      <c r="KXH1738" s="629">
        <v>8</v>
      </c>
      <c r="KXI1738" s="662"/>
      <c r="KXJ1738" s="631"/>
      <c r="KXK1738" s="631"/>
      <c r="KXL1738" s="631"/>
      <c r="KXM1738" s="631"/>
      <c r="KXN1738" s="631"/>
      <c r="KXO1738" s="631"/>
      <c r="KXP1738" s="631"/>
      <c r="KXQ1738" s="666" t="s">
        <v>799</v>
      </c>
      <c r="KXR1738" s="631">
        <f t="shared" ref="KXR1738" si="613">KXH1738</f>
        <v>8</v>
      </c>
      <c r="KXS1738" s="657" t="s">
        <v>2</v>
      </c>
      <c r="KXT1738" s="736"/>
      <c r="KXU1738" s="737"/>
      <c r="KXV1738" s="665" t="s">
        <v>1413</v>
      </c>
      <c r="KXX1738" s="629">
        <v>8</v>
      </c>
      <c r="KXY1738" s="662"/>
      <c r="KXZ1738" s="631"/>
      <c r="KYA1738" s="631"/>
      <c r="KYB1738" s="631"/>
      <c r="KYC1738" s="631"/>
      <c r="KYD1738" s="631"/>
      <c r="KYE1738" s="631"/>
      <c r="KYF1738" s="631"/>
      <c r="KYG1738" s="666" t="s">
        <v>799</v>
      </c>
      <c r="KYH1738" s="631">
        <f t="shared" ref="KYH1738" si="614">KXX1738</f>
        <v>8</v>
      </c>
      <c r="KYI1738" s="657" t="s">
        <v>2</v>
      </c>
      <c r="KYJ1738" s="736"/>
      <c r="KYK1738" s="737"/>
      <c r="KYL1738" s="665" t="s">
        <v>1413</v>
      </c>
      <c r="KYN1738" s="629">
        <v>8</v>
      </c>
      <c r="KYO1738" s="662"/>
      <c r="KYP1738" s="631"/>
      <c r="KYQ1738" s="631"/>
      <c r="KYR1738" s="631"/>
      <c r="KYS1738" s="631"/>
      <c r="KYT1738" s="631"/>
      <c r="KYU1738" s="631"/>
      <c r="KYV1738" s="631"/>
      <c r="KYW1738" s="666" t="s">
        <v>799</v>
      </c>
      <c r="KYX1738" s="631">
        <f t="shared" ref="KYX1738" si="615">KYN1738</f>
        <v>8</v>
      </c>
      <c r="KYY1738" s="657" t="s">
        <v>2</v>
      </c>
      <c r="KYZ1738" s="736"/>
      <c r="KZA1738" s="737"/>
      <c r="KZB1738" s="665" t="s">
        <v>1413</v>
      </c>
      <c r="KZD1738" s="629">
        <v>8</v>
      </c>
      <c r="KZE1738" s="662"/>
      <c r="KZF1738" s="631"/>
      <c r="KZG1738" s="631"/>
      <c r="KZH1738" s="631"/>
      <c r="KZI1738" s="631"/>
      <c r="KZJ1738" s="631"/>
      <c r="KZK1738" s="631"/>
      <c r="KZL1738" s="631"/>
      <c r="KZM1738" s="666" t="s">
        <v>799</v>
      </c>
      <c r="KZN1738" s="631">
        <f t="shared" ref="KZN1738" si="616">KZD1738</f>
        <v>8</v>
      </c>
      <c r="KZO1738" s="657" t="s">
        <v>2</v>
      </c>
      <c r="KZP1738" s="736"/>
      <c r="KZQ1738" s="737"/>
      <c r="KZR1738" s="665" t="s">
        <v>1413</v>
      </c>
      <c r="KZT1738" s="629">
        <v>8</v>
      </c>
      <c r="KZU1738" s="662"/>
      <c r="KZV1738" s="631"/>
      <c r="KZW1738" s="631"/>
      <c r="KZX1738" s="631"/>
      <c r="KZY1738" s="631"/>
      <c r="KZZ1738" s="631"/>
      <c r="LAA1738" s="631"/>
      <c r="LAB1738" s="631"/>
      <c r="LAC1738" s="666" t="s">
        <v>799</v>
      </c>
      <c r="LAD1738" s="631">
        <f t="shared" ref="LAD1738" si="617">KZT1738</f>
        <v>8</v>
      </c>
      <c r="LAE1738" s="657" t="s">
        <v>2</v>
      </c>
      <c r="LAF1738" s="736"/>
      <c r="LAG1738" s="737"/>
      <c r="LAH1738" s="665" t="s">
        <v>1413</v>
      </c>
      <c r="LAJ1738" s="629">
        <v>8</v>
      </c>
      <c r="LAK1738" s="662"/>
      <c r="LAL1738" s="631"/>
      <c r="LAM1738" s="631"/>
      <c r="LAN1738" s="631"/>
      <c r="LAO1738" s="631"/>
      <c r="LAP1738" s="631"/>
      <c r="LAQ1738" s="631"/>
      <c r="LAR1738" s="631"/>
      <c r="LAS1738" s="666" t="s">
        <v>799</v>
      </c>
      <c r="LAT1738" s="631">
        <f t="shared" ref="LAT1738" si="618">LAJ1738</f>
        <v>8</v>
      </c>
      <c r="LAU1738" s="657" t="s">
        <v>2</v>
      </c>
      <c r="LAV1738" s="736"/>
      <c r="LAW1738" s="737"/>
      <c r="LAX1738" s="665" t="s">
        <v>1413</v>
      </c>
      <c r="LAZ1738" s="629">
        <v>8</v>
      </c>
      <c r="LBA1738" s="662"/>
      <c r="LBB1738" s="631"/>
      <c r="LBC1738" s="631"/>
      <c r="LBD1738" s="631"/>
      <c r="LBE1738" s="631"/>
      <c r="LBF1738" s="631"/>
      <c r="LBG1738" s="631"/>
      <c r="LBH1738" s="631"/>
      <c r="LBI1738" s="666" t="s">
        <v>799</v>
      </c>
      <c r="LBJ1738" s="631">
        <f t="shared" ref="LBJ1738" si="619">LAZ1738</f>
        <v>8</v>
      </c>
      <c r="LBK1738" s="657" t="s">
        <v>2</v>
      </c>
      <c r="LBL1738" s="736"/>
      <c r="LBM1738" s="737"/>
      <c r="LBN1738" s="665" t="s">
        <v>1413</v>
      </c>
      <c r="LBP1738" s="629">
        <v>8</v>
      </c>
      <c r="LBQ1738" s="662"/>
      <c r="LBR1738" s="631"/>
      <c r="LBS1738" s="631"/>
      <c r="LBT1738" s="631"/>
      <c r="LBU1738" s="631"/>
      <c r="LBV1738" s="631"/>
      <c r="LBW1738" s="631"/>
      <c r="LBX1738" s="631"/>
      <c r="LBY1738" s="666" t="s">
        <v>799</v>
      </c>
      <c r="LBZ1738" s="631">
        <f t="shared" ref="LBZ1738" si="620">LBP1738</f>
        <v>8</v>
      </c>
      <c r="LCA1738" s="657" t="s">
        <v>2</v>
      </c>
      <c r="LCB1738" s="736"/>
      <c r="LCC1738" s="737"/>
      <c r="LCD1738" s="665" t="s">
        <v>1413</v>
      </c>
      <c r="LCF1738" s="629">
        <v>8</v>
      </c>
      <c r="LCG1738" s="662"/>
      <c r="LCH1738" s="631"/>
      <c r="LCI1738" s="631"/>
      <c r="LCJ1738" s="631"/>
      <c r="LCK1738" s="631"/>
      <c r="LCL1738" s="631"/>
      <c r="LCM1738" s="631"/>
      <c r="LCN1738" s="631"/>
      <c r="LCO1738" s="666" t="s">
        <v>799</v>
      </c>
      <c r="LCP1738" s="631">
        <f t="shared" ref="LCP1738" si="621">LCF1738</f>
        <v>8</v>
      </c>
      <c r="LCQ1738" s="657" t="s">
        <v>2</v>
      </c>
      <c r="LCR1738" s="736"/>
      <c r="LCS1738" s="737"/>
      <c r="LCT1738" s="665" t="s">
        <v>1413</v>
      </c>
      <c r="LCV1738" s="629">
        <v>8</v>
      </c>
      <c r="LCW1738" s="662"/>
      <c r="LCX1738" s="631"/>
      <c r="LCY1738" s="631"/>
      <c r="LCZ1738" s="631"/>
      <c r="LDA1738" s="631"/>
      <c r="LDB1738" s="631"/>
      <c r="LDC1738" s="631"/>
      <c r="LDD1738" s="631"/>
      <c r="LDE1738" s="666" t="s">
        <v>799</v>
      </c>
      <c r="LDF1738" s="631">
        <f t="shared" ref="LDF1738" si="622">LCV1738</f>
        <v>8</v>
      </c>
      <c r="LDG1738" s="657" t="s">
        <v>2</v>
      </c>
      <c r="LDH1738" s="736"/>
      <c r="LDI1738" s="737"/>
      <c r="LDJ1738" s="665" t="s">
        <v>1413</v>
      </c>
      <c r="LDL1738" s="629">
        <v>8</v>
      </c>
      <c r="LDM1738" s="662"/>
      <c r="LDN1738" s="631"/>
      <c r="LDO1738" s="631"/>
      <c r="LDP1738" s="631"/>
      <c r="LDQ1738" s="631"/>
      <c r="LDR1738" s="631"/>
      <c r="LDS1738" s="631"/>
      <c r="LDT1738" s="631"/>
      <c r="LDU1738" s="666" t="s">
        <v>799</v>
      </c>
      <c r="LDV1738" s="631">
        <f t="shared" ref="LDV1738" si="623">LDL1738</f>
        <v>8</v>
      </c>
      <c r="LDW1738" s="657" t="s">
        <v>2</v>
      </c>
      <c r="LDX1738" s="736"/>
      <c r="LDY1738" s="737"/>
      <c r="LDZ1738" s="665" t="s">
        <v>1413</v>
      </c>
      <c r="LEB1738" s="629">
        <v>8</v>
      </c>
      <c r="LEC1738" s="662"/>
      <c r="LED1738" s="631"/>
      <c r="LEE1738" s="631"/>
      <c r="LEF1738" s="631"/>
      <c r="LEG1738" s="631"/>
      <c r="LEH1738" s="631"/>
      <c r="LEI1738" s="631"/>
      <c r="LEJ1738" s="631"/>
      <c r="LEK1738" s="666" t="s">
        <v>799</v>
      </c>
      <c r="LEL1738" s="631">
        <f t="shared" ref="LEL1738" si="624">LEB1738</f>
        <v>8</v>
      </c>
      <c r="LEM1738" s="657" t="s">
        <v>2</v>
      </c>
      <c r="LEN1738" s="736"/>
      <c r="LEO1738" s="737"/>
      <c r="LEP1738" s="665" t="s">
        <v>1413</v>
      </c>
      <c r="LER1738" s="629">
        <v>8</v>
      </c>
      <c r="LES1738" s="662"/>
      <c r="LET1738" s="631"/>
      <c r="LEU1738" s="631"/>
      <c r="LEV1738" s="631"/>
      <c r="LEW1738" s="631"/>
      <c r="LEX1738" s="631"/>
      <c r="LEY1738" s="631"/>
      <c r="LEZ1738" s="631"/>
      <c r="LFA1738" s="666" t="s">
        <v>799</v>
      </c>
      <c r="LFB1738" s="631">
        <f t="shared" ref="LFB1738" si="625">LER1738</f>
        <v>8</v>
      </c>
      <c r="LFC1738" s="657" t="s">
        <v>2</v>
      </c>
      <c r="LFD1738" s="736"/>
      <c r="LFE1738" s="737"/>
      <c r="LFF1738" s="665" t="s">
        <v>1413</v>
      </c>
      <c r="LFH1738" s="629">
        <v>8</v>
      </c>
      <c r="LFI1738" s="662"/>
      <c r="LFJ1738" s="631"/>
      <c r="LFK1738" s="631"/>
      <c r="LFL1738" s="631"/>
      <c r="LFM1738" s="631"/>
      <c r="LFN1738" s="631"/>
      <c r="LFO1738" s="631"/>
      <c r="LFP1738" s="631"/>
      <c r="LFQ1738" s="666" t="s">
        <v>799</v>
      </c>
      <c r="LFR1738" s="631">
        <f t="shared" ref="LFR1738" si="626">LFH1738</f>
        <v>8</v>
      </c>
      <c r="LFS1738" s="657" t="s">
        <v>2</v>
      </c>
      <c r="LFT1738" s="736"/>
      <c r="LFU1738" s="737"/>
      <c r="LFV1738" s="665" t="s">
        <v>1413</v>
      </c>
      <c r="LFX1738" s="629">
        <v>8</v>
      </c>
      <c r="LFY1738" s="662"/>
      <c r="LFZ1738" s="631"/>
      <c r="LGA1738" s="631"/>
      <c r="LGB1738" s="631"/>
      <c r="LGC1738" s="631"/>
      <c r="LGD1738" s="631"/>
      <c r="LGE1738" s="631"/>
      <c r="LGF1738" s="631"/>
      <c r="LGG1738" s="666" t="s">
        <v>799</v>
      </c>
      <c r="LGH1738" s="631">
        <f t="shared" ref="LGH1738" si="627">LFX1738</f>
        <v>8</v>
      </c>
      <c r="LGI1738" s="657" t="s">
        <v>2</v>
      </c>
      <c r="LGJ1738" s="736"/>
      <c r="LGK1738" s="737"/>
      <c r="LGL1738" s="665" t="s">
        <v>1413</v>
      </c>
      <c r="LGN1738" s="629">
        <v>8</v>
      </c>
      <c r="LGO1738" s="662"/>
      <c r="LGP1738" s="631"/>
      <c r="LGQ1738" s="631"/>
      <c r="LGR1738" s="631"/>
      <c r="LGS1738" s="631"/>
      <c r="LGT1738" s="631"/>
      <c r="LGU1738" s="631"/>
      <c r="LGV1738" s="631"/>
      <c r="LGW1738" s="666" t="s">
        <v>799</v>
      </c>
      <c r="LGX1738" s="631">
        <f t="shared" ref="LGX1738" si="628">LGN1738</f>
        <v>8</v>
      </c>
      <c r="LGY1738" s="657" t="s">
        <v>2</v>
      </c>
      <c r="LGZ1738" s="736"/>
      <c r="LHA1738" s="737"/>
      <c r="LHB1738" s="665" t="s">
        <v>1413</v>
      </c>
      <c r="LHD1738" s="629">
        <v>8</v>
      </c>
      <c r="LHE1738" s="662"/>
      <c r="LHF1738" s="631"/>
      <c r="LHG1738" s="631"/>
      <c r="LHH1738" s="631"/>
      <c r="LHI1738" s="631"/>
      <c r="LHJ1738" s="631"/>
      <c r="LHK1738" s="631"/>
      <c r="LHL1738" s="631"/>
      <c r="LHM1738" s="666" t="s">
        <v>799</v>
      </c>
      <c r="LHN1738" s="631">
        <f t="shared" ref="LHN1738" si="629">LHD1738</f>
        <v>8</v>
      </c>
      <c r="LHO1738" s="657" t="s">
        <v>2</v>
      </c>
      <c r="LHP1738" s="736"/>
      <c r="LHQ1738" s="737"/>
      <c r="LHR1738" s="665" t="s">
        <v>1413</v>
      </c>
      <c r="LHT1738" s="629">
        <v>8</v>
      </c>
      <c r="LHU1738" s="662"/>
      <c r="LHV1738" s="631"/>
      <c r="LHW1738" s="631"/>
      <c r="LHX1738" s="631"/>
      <c r="LHY1738" s="631"/>
      <c r="LHZ1738" s="631"/>
      <c r="LIA1738" s="631"/>
      <c r="LIB1738" s="631"/>
      <c r="LIC1738" s="666" t="s">
        <v>799</v>
      </c>
      <c r="LID1738" s="631">
        <f t="shared" ref="LID1738" si="630">LHT1738</f>
        <v>8</v>
      </c>
      <c r="LIE1738" s="657" t="s">
        <v>2</v>
      </c>
      <c r="LIF1738" s="736"/>
      <c r="LIG1738" s="737"/>
      <c r="LIH1738" s="665" t="s">
        <v>1413</v>
      </c>
      <c r="LIJ1738" s="629">
        <v>8</v>
      </c>
      <c r="LIK1738" s="662"/>
      <c r="LIL1738" s="631"/>
      <c r="LIM1738" s="631"/>
      <c r="LIN1738" s="631"/>
      <c r="LIO1738" s="631"/>
      <c r="LIP1738" s="631"/>
      <c r="LIQ1738" s="631"/>
      <c r="LIR1738" s="631"/>
      <c r="LIS1738" s="666" t="s">
        <v>799</v>
      </c>
      <c r="LIT1738" s="631">
        <f t="shared" ref="LIT1738" si="631">LIJ1738</f>
        <v>8</v>
      </c>
      <c r="LIU1738" s="657" t="s">
        <v>2</v>
      </c>
      <c r="LIV1738" s="736"/>
      <c r="LIW1738" s="737"/>
      <c r="LIX1738" s="665" t="s">
        <v>1413</v>
      </c>
      <c r="LIZ1738" s="629">
        <v>8</v>
      </c>
      <c r="LJA1738" s="662"/>
      <c r="LJB1738" s="631"/>
      <c r="LJC1738" s="631"/>
      <c r="LJD1738" s="631"/>
      <c r="LJE1738" s="631"/>
      <c r="LJF1738" s="631"/>
      <c r="LJG1738" s="631"/>
      <c r="LJH1738" s="631"/>
      <c r="LJI1738" s="666" t="s">
        <v>799</v>
      </c>
      <c r="LJJ1738" s="631">
        <f t="shared" ref="LJJ1738" si="632">LIZ1738</f>
        <v>8</v>
      </c>
      <c r="LJK1738" s="657" t="s">
        <v>2</v>
      </c>
      <c r="LJL1738" s="736"/>
      <c r="LJM1738" s="737"/>
      <c r="LJN1738" s="665" t="s">
        <v>1413</v>
      </c>
      <c r="LJP1738" s="629">
        <v>8</v>
      </c>
      <c r="LJQ1738" s="662"/>
      <c r="LJR1738" s="631"/>
      <c r="LJS1738" s="631"/>
      <c r="LJT1738" s="631"/>
      <c r="LJU1738" s="631"/>
      <c r="LJV1738" s="631"/>
      <c r="LJW1738" s="631"/>
      <c r="LJX1738" s="631"/>
      <c r="LJY1738" s="666" t="s">
        <v>799</v>
      </c>
      <c r="LJZ1738" s="631">
        <f t="shared" ref="LJZ1738" si="633">LJP1738</f>
        <v>8</v>
      </c>
      <c r="LKA1738" s="657" t="s">
        <v>2</v>
      </c>
      <c r="LKB1738" s="736"/>
      <c r="LKC1738" s="737"/>
      <c r="LKD1738" s="665" t="s">
        <v>1413</v>
      </c>
      <c r="LKF1738" s="629">
        <v>8</v>
      </c>
      <c r="LKG1738" s="662"/>
      <c r="LKH1738" s="631"/>
      <c r="LKI1738" s="631"/>
      <c r="LKJ1738" s="631"/>
      <c r="LKK1738" s="631"/>
      <c r="LKL1738" s="631"/>
      <c r="LKM1738" s="631"/>
      <c r="LKN1738" s="631"/>
      <c r="LKO1738" s="666" t="s">
        <v>799</v>
      </c>
      <c r="LKP1738" s="631">
        <f t="shared" ref="LKP1738" si="634">LKF1738</f>
        <v>8</v>
      </c>
      <c r="LKQ1738" s="657" t="s">
        <v>2</v>
      </c>
      <c r="LKR1738" s="736"/>
      <c r="LKS1738" s="737"/>
      <c r="LKT1738" s="665" t="s">
        <v>1413</v>
      </c>
      <c r="LKV1738" s="629">
        <v>8</v>
      </c>
      <c r="LKW1738" s="662"/>
      <c r="LKX1738" s="631"/>
      <c r="LKY1738" s="631"/>
      <c r="LKZ1738" s="631"/>
      <c r="LLA1738" s="631"/>
      <c r="LLB1738" s="631"/>
      <c r="LLC1738" s="631"/>
      <c r="LLD1738" s="631"/>
      <c r="LLE1738" s="666" t="s">
        <v>799</v>
      </c>
      <c r="LLF1738" s="631">
        <f t="shared" ref="LLF1738" si="635">LKV1738</f>
        <v>8</v>
      </c>
      <c r="LLG1738" s="657" t="s">
        <v>2</v>
      </c>
      <c r="LLH1738" s="736"/>
      <c r="LLI1738" s="737"/>
      <c r="LLJ1738" s="665" t="s">
        <v>1413</v>
      </c>
      <c r="LLL1738" s="629">
        <v>8</v>
      </c>
      <c r="LLM1738" s="662"/>
      <c r="LLN1738" s="631"/>
      <c r="LLO1738" s="631"/>
      <c r="LLP1738" s="631"/>
      <c r="LLQ1738" s="631"/>
      <c r="LLR1738" s="631"/>
      <c r="LLS1738" s="631"/>
      <c r="LLT1738" s="631"/>
      <c r="LLU1738" s="666" t="s">
        <v>799</v>
      </c>
      <c r="LLV1738" s="631">
        <f t="shared" ref="LLV1738" si="636">LLL1738</f>
        <v>8</v>
      </c>
      <c r="LLW1738" s="657" t="s">
        <v>2</v>
      </c>
      <c r="LLX1738" s="736"/>
      <c r="LLY1738" s="737"/>
      <c r="LLZ1738" s="665" t="s">
        <v>1413</v>
      </c>
      <c r="LMB1738" s="629">
        <v>8</v>
      </c>
      <c r="LMC1738" s="662"/>
      <c r="LMD1738" s="631"/>
      <c r="LME1738" s="631"/>
      <c r="LMF1738" s="631"/>
      <c r="LMG1738" s="631"/>
      <c r="LMH1738" s="631"/>
      <c r="LMI1738" s="631"/>
      <c r="LMJ1738" s="631"/>
      <c r="LMK1738" s="666" t="s">
        <v>799</v>
      </c>
      <c r="LML1738" s="631">
        <f t="shared" ref="LML1738" si="637">LMB1738</f>
        <v>8</v>
      </c>
      <c r="LMM1738" s="657" t="s">
        <v>2</v>
      </c>
      <c r="LMN1738" s="736"/>
      <c r="LMO1738" s="737"/>
      <c r="LMP1738" s="665" t="s">
        <v>1413</v>
      </c>
      <c r="LMR1738" s="629">
        <v>8</v>
      </c>
      <c r="LMS1738" s="662"/>
      <c r="LMT1738" s="631"/>
      <c r="LMU1738" s="631"/>
      <c r="LMV1738" s="631"/>
      <c r="LMW1738" s="631"/>
      <c r="LMX1738" s="631"/>
      <c r="LMY1738" s="631"/>
      <c r="LMZ1738" s="631"/>
      <c r="LNA1738" s="666" t="s">
        <v>799</v>
      </c>
      <c r="LNB1738" s="631">
        <f t="shared" ref="LNB1738" si="638">LMR1738</f>
        <v>8</v>
      </c>
      <c r="LNC1738" s="657" t="s">
        <v>2</v>
      </c>
      <c r="LND1738" s="736"/>
      <c r="LNE1738" s="737"/>
      <c r="LNF1738" s="665" t="s">
        <v>1413</v>
      </c>
      <c r="LNH1738" s="629">
        <v>8</v>
      </c>
      <c r="LNI1738" s="662"/>
      <c r="LNJ1738" s="631"/>
      <c r="LNK1738" s="631"/>
      <c r="LNL1738" s="631"/>
      <c r="LNM1738" s="631"/>
      <c r="LNN1738" s="631"/>
      <c r="LNO1738" s="631"/>
      <c r="LNP1738" s="631"/>
      <c r="LNQ1738" s="666" t="s">
        <v>799</v>
      </c>
      <c r="LNR1738" s="631">
        <f t="shared" ref="LNR1738" si="639">LNH1738</f>
        <v>8</v>
      </c>
      <c r="LNS1738" s="657" t="s">
        <v>2</v>
      </c>
      <c r="LNT1738" s="736"/>
      <c r="LNU1738" s="737"/>
      <c r="LNV1738" s="665" t="s">
        <v>1413</v>
      </c>
      <c r="LNX1738" s="629">
        <v>8</v>
      </c>
      <c r="LNY1738" s="662"/>
      <c r="LNZ1738" s="631"/>
      <c r="LOA1738" s="631"/>
      <c r="LOB1738" s="631"/>
      <c r="LOC1738" s="631"/>
      <c r="LOD1738" s="631"/>
      <c r="LOE1738" s="631"/>
      <c r="LOF1738" s="631"/>
      <c r="LOG1738" s="666" t="s">
        <v>799</v>
      </c>
      <c r="LOH1738" s="631">
        <f t="shared" ref="LOH1738" si="640">LNX1738</f>
        <v>8</v>
      </c>
      <c r="LOI1738" s="657" t="s">
        <v>2</v>
      </c>
      <c r="LOJ1738" s="736"/>
      <c r="LOK1738" s="737"/>
      <c r="LOL1738" s="665" t="s">
        <v>1413</v>
      </c>
      <c r="LON1738" s="629">
        <v>8</v>
      </c>
      <c r="LOO1738" s="662"/>
      <c r="LOP1738" s="631"/>
      <c r="LOQ1738" s="631"/>
      <c r="LOR1738" s="631"/>
      <c r="LOS1738" s="631"/>
      <c r="LOT1738" s="631"/>
      <c r="LOU1738" s="631"/>
      <c r="LOV1738" s="631"/>
      <c r="LOW1738" s="666" t="s">
        <v>799</v>
      </c>
      <c r="LOX1738" s="631">
        <f t="shared" ref="LOX1738" si="641">LON1738</f>
        <v>8</v>
      </c>
      <c r="LOY1738" s="657" t="s">
        <v>2</v>
      </c>
      <c r="LOZ1738" s="736"/>
      <c r="LPA1738" s="737"/>
      <c r="LPB1738" s="665" t="s">
        <v>1413</v>
      </c>
      <c r="LPD1738" s="629">
        <v>8</v>
      </c>
      <c r="LPE1738" s="662"/>
      <c r="LPF1738" s="631"/>
      <c r="LPG1738" s="631"/>
      <c r="LPH1738" s="631"/>
      <c r="LPI1738" s="631"/>
      <c r="LPJ1738" s="631"/>
      <c r="LPK1738" s="631"/>
      <c r="LPL1738" s="631"/>
      <c r="LPM1738" s="666" t="s">
        <v>799</v>
      </c>
      <c r="LPN1738" s="631">
        <f t="shared" ref="LPN1738" si="642">LPD1738</f>
        <v>8</v>
      </c>
      <c r="LPO1738" s="657" t="s">
        <v>2</v>
      </c>
      <c r="LPP1738" s="736"/>
      <c r="LPQ1738" s="737"/>
      <c r="LPR1738" s="665" t="s">
        <v>1413</v>
      </c>
      <c r="LPT1738" s="629">
        <v>8</v>
      </c>
      <c r="LPU1738" s="662"/>
      <c r="LPV1738" s="631"/>
      <c r="LPW1738" s="631"/>
      <c r="LPX1738" s="631"/>
      <c r="LPY1738" s="631"/>
      <c r="LPZ1738" s="631"/>
      <c r="LQA1738" s="631"/>
      <c r="LQB1738" s="631"/>
      <c r="LQC1738" s="666" t="s">
        <v>799</v>
      </c>
      <c r="LQD1738" s="631">
        <f t="shared" ref="LQD1738" si="643">LPT1738</f>
        <v>8</v>
      </c>
      <c r="LQE1738" s="657" t="s">
        <v>2</v>
      </c>
      <c r="LQF1738" s="736"/>
      <c r="LQG1738" s="737"/>
      <c r="LQH1738" s="665" t="s">
        <v>1413</v>
      </c>
      <c r="LQJ1738" s="629">
        <v>8</v>
      </c>
      <c r="LQK1738" s="662"/>
      <c r="LQL1738" s="631"/>
      <c r="LQM1738" s="631"/>
      <c r="LQN1738" s="631"/>
      <c r="LQO1738" s="631"/>
      <c r="LQP1738" s="631"/>
      <c r="LQQ1738" s="631"/>
      <c r="LQR1738" s="631"/>
      <c r="LQS1738" s="666" t="s">
        <v>799</v>
      </c>
      <c r="LQT1738" s="631">
        <f t="shared" ref="LQT1738" si="644">LQJ1738</f>
        <v>8</v>
      </c>
      <c r="LQU1738" s="657" t="s">
        <v>2</v>
      </c>
      <c r="LQV1738" s="736"/>
      <c r="LQW1738" s="737"/>
      <c r="LQX1738" s="665" t="s">
        <v>1413</v>
      </c>
      <c r="LQZ1738" s="629">
        <v>8</v>
      </c>
      <c r="LRA1738" s="662"/>
      <c r="LRB1738" s="631"/>
      <c r="LRC1738" s="631"/>
      <c r="LRD1738" s="631"/>
      <c r="LRE1738" s="631"/>
      <c r="LRF1738" s="631"/>
      <c r="LRG1738" s="631"/>
      <c r="LRH1738" s="631"/>
      <c r="LRI1738" s="666" t="s">
        <v>799</v>
      </c>
      <c r="LRJ1738" s="631">
        <f t="shared" ref="LRJ1738" si="645">LQZ1738</f>
        <v>8</v>
      </c>
      <c r="LRK1738" s="657" t="s">
        <v>2</v>
      </c>
      <c r="LRL1738" s="736"/>
      <c r="LRM1738" s="737"/>
      <c r="LRN1738" s="665" t="s">
        <v>1413</v>
      </c>
      <c r="LRP1738" s="629">
        <v>8</v>
      </c>
      <c r="LRQ1738" s="662"/>
      <c r="LRR1738" s="631"/>
      <c r="LRS1738" s="631"/>
      <c r="LRT1738" s="631"/>
      <c r="LRU1738" s="631"/>
      <c r="LRV1738" s="631"/>
      <c r="LRW1738" s="631"/>
      <c r="LRX1738" s="631"/>
      <c r="LRY1738" s="666" t="s">
        <v>799</v>
      </c>
      <c r="LRZ1738" s="631">
        <f t="shared" ref="LRZ1738" si="646">LRP1738</f>
        <v>8</v>
      </c>
      <c r="LSA1738" s="657" t="s">
        <v>2</v>
      </c>
      <c r="LSB1738" s="736"/>
      <c r="LSC1738" s="737"/>
      <c r="LSD1738" s="665" t="s">
        <v>1413</v>
      </c>
      <c r="LSF1738" s="629">
        <v>8</v>
      </c>
      <c r="LSG1738" s="662"/>
      <c r="LSH1738" s="631"/>
      <c r="LSI1738" s="631"/>
      <c r="LSJ1738" s="631"/>
      <c r="LSK1738" s="631"/>
      <c r="LSL1738" s="631"/>
      <c r="LSM1738" s="631"/>
      <c r="LSN1738" s="631"/>
      <c r="LSO1738" s="666" t="s">
        <v>799</v>
      </c>
      <c r="LSP1738" s="631">
        <f t="shared" ref="LSP1738" si="647">LSF1738</f>
        <v>8</v>
      </c>
      <c r="LSQ1738" s="657" t="s">
        <v>2</v>
      </c>
      <c r="LSR1738" s="736"/>
      <c r="LSS1738" s="737"/>
      <c r="LST1738" s="665" t="s">
        <v>1413</v>
      </c>
      <c r="LSV1738" s="629">
        <v>8</v>
      </c>
      <c r="LSW1738" s="662"/>
      <c r="LSX1738" s="631"/>
      <c r="LSY1738" s="631"/>
      <c r="LSZ1738" s="631"/>
      <c r="LTA1738" s="631"/>
      <c r="LTB1738" s="631"/>
      <c r="LTC1738" s="631"/>
      <c r="LTD1738" s="631"/>
      <c r="LTE1738" s="666" t="s">
        <v>799</v>
      </c>
      <c r="LTF1738" s="631">
        <f t="shared" ref="LTF1738" si="648">LSV1738</f>
        <v>8</v>
      </c>
      <c r="LTG1738" s="657" t="s">
        <v>2</v>
      </c>
      <c r="LTH1738" s="736"/>
      <c r="LTI1738" s="737"/>
      <c r="LTJ1738" s="665" t="s">
        <v>1413</v>
      </c>
      <c r="LTL1738" s="629">
        <v>8</v>
      </c>
      <c r="LTM1738" s="662"/>
      <c r="LTN1738" s="631"/>
      <c r="LTO1738" s="631"/>
      <c r="LTP1738" s="631"/>
      <c r="LTQ1738" s="631"/>
      <c r="LTR1738" s="631"/>
      <c r="LTS1738" s="631"/>
      <c r="LTT1738" s="631"/>
      <c r="LTU1738" s="666" t="s">
        <v>799</v>
      </c>
      <c r="LTV1738" s="631">
        <f t="shared" ref="LTV1738" si="649">LTL1738</f>
        <v>8</v>
      </c>
      <c r="LTW1738" s="657" t="s">
        <v>2</v>
      </c>
      <c r="LTX1738" s="736"/>
      <c r="LTY1738" s="737"/>
      <c r="LTZ1738" s="665" t="s">
        <v>1413</v>
      </c>
      <c r="LUB1738" s="629">
        <v>8</v>
      </c>
      <c r="LUC1738" s="662"/>
      <c r="LUD1738" s="631"/>
      <c r="LUE1738" s="631"/>
      <c r="LUF1738" s="631"/>
      <c r="LUG1738" s="631"/>
      <c r="LUH1738" s="631"/>
      <c r="LUI1738" s="631"/>
      <c r="LUJ1738" s="631"/>
      <c r="LUK1738" s="666" t="s">
        <v>799</v>
      </c>
      <c r="LUL1738" s="631">
        <f t="shared" ref="LUL1738" si="650">LUB1738</f>
        <v>8</v>
      </c>
      <c r="LUM1738" s="657" t="s">
        <v>2</v>
      </c>
      <c r="LUN1738" s="736"/>
      <c r="LUO1738" s="737"/>
      <c r="LUP1738" s="665" t="s">
        <v>1413</v>
      </c>
      <c r="LUR1738" s="629">
        <v>8</v>
      </c>
      <c r="LUS1738" s="662"/>
      <c r="LUT1738" s="631"/>
      <c r="LUU1738" s="631"/>
      <c r="LUV1738" s="631"/>
      <c r="LUW1738" s="631"/>
      <c r="LUX1738" s="631"/>
      <c r="LUY1738" s="631"/>
      <c r="LUZ1738" s="631"/>
      <c r="LVA1738" s="666" t="s">
        <v>799</v>
      </c>
      <c r="LVB1738" s="631">
        <f t="shared" ref="LVB1738" si="651">LUR1738</f>
        <v>8</v>
      </c>
      <c r="LVC1738" s="657" t="s">
        <v>2</v>
      </c>
      <c r="LVD1738" s="736"/>
      <c r="LVE1738" s="737"/>
      <c r="LVF1738" s="665" t="s">
        <v>1413</v>
      </c>
      <c r="LVH1738" s="629">
        <v>8</v>
      </c>
      <c r="LVI1738" s="662"/>
      <c r="LVJ1738" s="631"/>
      <c r="LVK1738" s="631"/>
      <c r="LVL1738" s="631"/>
      <c r="LVM1738" s="631"/>
      <c r="LVN1738" s="631"/>
      <c r="LVO1738" s="631"/>
      <c r="LVP1738" s="631"/>
      <c r="LVQ1738" s="666" t="s">
        <v>799</v>
      </c>
      <c r="LVR1738" s="631">
        <f t="shared" ref="LVR1738" si="652">LVH1738</f>
        <v>8</v>
      </c>
      <c r="LVS1738" s="657" t="s">
        <v>2</v>
      </c>
      <c r="LVT1738" s="736"/>
      <c r="LVU1738" s="737"/>
      <c r="LVV1738" s="665" t="s">
        <v>1413</v>
      </c>
      <c r="LVX1738" s="629">
        <v>8</v>
      </c>
      <c r="LVY1738" s="662"/>
      <c r="LVZ1738" s="631"/>
      <c r="LWA1738" s="631"/>
      <c r="LWB1738" s="631"/>
      <c r="LWC1738" s="631"/>
      <c r="LWD1738" s="631"/>
      <c r="LWE1738" s="631"/>
      <c r="LWF1738" s="631"/>
      <c r="LWG1738" s="666" t="s">
        <v>799</v>
      </c>
      <c r="LWH1738" s="631">
        <f t="shared" ref="LWH1738" si="653">LVX1738</f>
        <v>8</v>
      </c>
      <c r="LWI1738" s="657" t="s">
        <v>2</v>
      </c>
      <c r="LWJ1738" s="736"/>
      <c r="LWK1738" s="737"/>
      <c r="LWL1738" s="665" t="s">
        <v>1413</v>
      </c>
      <c r="LWN1738" s="629">
        <v>8</v>
      </c>
      <c r="LWO1738" s="662"/>
      <c r="LWP1738" s="631"/>
      <c r="LWQ1738" s="631"/>
      <c r="LWR1738" s="631"/>
      <c r="LWS1738" s="631"/>
      <c r="LWT1738" s="631"/>
      <c r="LWU1738" s="631"/>
      <c r="LWV1738" s="631"/>
      <c r="LWW1738" s="666" t="s">
        <v>799</v>
      </c>
      <c r="LWX1738" s="631">
        <f t="shared" ref="LWX1738" si="654">LWN1738</f>
        <v>8</v>
      </c>
      <c r="LWY1738" s="657" t="s">
        <v>2</v>
      </c>
      <c r="LWZ1738" s="736"/>
      <c r="LXA1738" s="737"/>
      <c r="LXB1738" s="665" t="s">
        <v>1413</v>
      </c>
      <c r="LXD1738" s="629">
        <v>8</v>
      </c>
      <c r="LXE1738" s="662"/>
      <c r="LXF1738" s="631"/>
      <c r="LXG1738" s="631"/>
      <c r="LXH1738" s="631"/>
      <c r="LXI1738" s="631"/>
      <c r="LXJ1738" s="631"/>
      <c r="LXK1738" s="631"/>
      <c r="LXL1738" s="631"/>
      <c r="LXM1738" s="666" t="s">
        <v>799</v>
      </c>
      <c r="LXN1738" s="631">
        <f t="shared" ref="LXN1738" si="655">LXD1738</f>
        <v>8</v>
      </c>
      <c r="LXO1738" s="657" t="s">
        <v>2</v>
      </c>
      <c r="LXP1738" s="736"/>
      <c r="LXQ1738" s="737"/>
      <c r="LXR1738" s="665" t="s">
        <v>1413</v>
      </c>
      <c r="LXT1738" s="629">
        <v>8</v>
      </c>
      <c r="LXU1738" s="662"/>
      <c r="LXV1738" s="631"/>
      <c r="LXW1738" s="631"/>
      <c r="LXX1738" s="631"/>
      <c r="LXY1738" s="631"/>
      <c r="LXZ1738" s="631"/>
      <c r="LYA1738" s="631"/>
      <c r="LYB1738" s="631"/>
      <c r="LYC1738" s="666" t="s">
        <v>799</v>
      </c>
      <c r="LYD1738" s="631">
        <f t="shared" ref="LYD1738" si="656">LXT1738</f>
        <v>8</v>
      </c>
      <c r="LYE1738" s="657" t="s">
        <v>2</v>
      </c>
      <c r="LYF1738" s="736"/>
      <c r="LYG1738" s="737"/>
      <c r="LYH1738" s="665" t="s">
        <v>1413</v>
      </c>
      <c r="LYJ1738" s="629">
        <v>8</v>
      </c>
      <c r="LYK1738" s="662"/>
      <c r="LYL1738" s="631"/>
      <c r="LYM1738" s="631"/>
      <c r="LYN1738" s="631"/>
      <c r="LYO1738" s="631"/>
      <c r="LYP1738" s="631"/>
      <c r="LYQ1738" s="631"/>
      <c r="LYR1738" s="631"/>
      <c r="LYS1738" s="666" t="s">
        <v>799</v>
      </c>
      <c r="LYT1738" s="631">
        <f t="shared" ref="LYT1738" si="657">LYJ1738</f>
        <v>8</v>
      </c>
      <c r="LYU1738" s="657" t="s">
        <v>2</v>
      </c>
      <c r="LYV1738" s="736"/>
      <c r="LYW1738" s="737"/>
      <c r="LYX1738" s="665" t="s">
        <v>1413</v>
      </c>
      <c r="LYZ1738" s="629">
        <v>8</v>
      </c>
      <c r="LZA1738" s="662"/>
      <c r="LZB1738" s="631"/>
      <c r="LZC1738" s="631"/>
      <c r="LZD1738" s="631"/>
      <c r="LZE1738" s="631"/>
      <c r="LZF1738" s="631"/>
      <c r="LZG1738" s="631"/>
      <c r="LZH1738" s="631"/>
      <c r="LZI1738" s="666" t="s">
        <v>799</v>
      </c>
      <c r="LZJ1738" s="631">
        <f t="shared" ref="LZJ1738" si="658">LYZ1738</f>
        <v>8</v>
      </c>
      <c r="LZK1738" s="657" t="s">
        <v>2</v>
      </c>
      <c r="LZL1738" s="736"/>
      <c r="LZM1738" s="737"/>
      <c r="LZN1738" s="665" t="s">
        <v>1413</v>
      </c>
      <c r="LZP1738" s="629">
        <v>8</v>
      </c>
      <c r="LZQ1738" s="662"/>
      <c r="LZR1738" s="631"/>
      <c r="LZS1738" s="631"/>
      <c r="LZT1738" s="631"/>
      <c r="LZU1738" s="631"/>
      <c r="LZV1738" s="631"/>
      <c r="LZW1738" s="631"/>
      <c r="LZX1738" s="631"/>
      <c r="LZY1738" s="666" t="s">
        <v>799</v>
      </c>
      <c r="LZZ1738" s="631">
        <f t="shared" ref="LZZ1738" si="659">LZP1738</f>
        <v>8</v>
      </c>
      <c r="MAA1738" s="657" t="s">
        <v>2</v>
      </c>
      <c r="MAB1738" s="736"/>
      <c r="MAC1738" s="737"/>
      <c r="MAD1738" s="665" t="s">
        <v>1413</v>
      </c>
      <c r="MAF1738" s="629">
        <v>8</v>
      </c>
      <c r="MAG1738" s="662"/>
      <c r="MAH1738" s="631"/>
      <c r="MAI1738" s="631"/>
      <c r="MAJ1738" s="631"/>
      <c r="MAK1738" s="631"/>
      <c r="MAL1738" s="631"/>
      <c r="MAM1738" s="631"/>
      <c r="MAN1738" s="631"/>
      <c r="MAO1738" s="666" t="s">
        <v>799</v>
      </c>
      <c r="MAP1738" s="631">
        <f t="shared" ref="MAP1738" si="660">MAF1738</f>
        <v>8</v>
      </c>
      <c r="MAQ1738" s="657" t="s">
        <v>2</v>
      </c>
      <c r="MAR1738" s="736"/>
      <c r="MAS1738" s="737"/>
      <c r="MAT1738" s="665" t="s">
        <v>1413</v>
      </c>
      <c r="MAV1738" s="629">
        <v>8</v>
      </c>
      <c r="MAW1738" s="662"/>
      <c r="MAX1738" s="631"/>
      <c r="MAY1738" s="631"/>
      <c r="MAZ1738" s="631"/>
      <c r="MBA1738" s="631"/>
      <c r="MBB1738" s="631"/>
      <c r="MBC1738" s="631"/>
      <c r="MBD1738" s="631"/>
      <c r="MBE1738" s="666" t="s">
        <v>799</v>
      </c>
      <c r="MBF1738" s="631">
        <f t="shared" ref="MBF1738" si="661">MAV1738</f>
        <v>8</v>
      </c>
      <c r="MBG1738" s="657" t="s">
        <v>2</v>
      </c>
      <c r="MBH1738" s="736"/>
      <c r="MBI1738" s="737"/>
      <c r="MBJ1738" s="665" t="s">
        <v>1413</v>
      </c>
      <c r="MBL1738" s="629">
        <v>8</v>
      </c>
      <c r="MBM1738" s="662"/>
      <c r="MBN1738" s="631"/>
      <c r="MBO1738" s="631"/>
      <c r="MBP1738" s="631"/>
      <c r="MBQ1738" s="631"/>
      <c r="MBR1738" s="631"/>
      <c r="MBS1738" s="631"/>
      <c r="MBT1738" s="631"/>
      <c r="MBU1738" s="666" t="s">
        <v>799</v>
      </c>
      <c r="MBV1738" s="631">
        <f t="shared" ref="MBV1738" si="662">MBL1738</f>
        <v>8</v>
      </c>
      <c r="MBW1738" s="657" t="s">
        <v>2</v>
      </c>
      <c r="MBX1738" s="736"/>
      <c r="MBY1738" s="737"/>
      <c r="MBZ1738" s="665" t="s">
        <v>1413</v>
      </c>
      <c r="MCB1738" s="629">
        <v>8</v>
      </c>
      <c r="MCC1738" s="662"/>
      <c r="MCD1738" s="631"/>
      <c r="MCE1738" s="631"/>
      <c r="MCF1738" s="631"/>
      <c r="MCG1738" s="631"/>
      <c r="MCH1738" s="631"/>
      <c r="MCI1738" s="631"/>
      <c r="MCJ1738" s="631"/>
      <c r="MCK1738" s="666" t="s">
        <v>799</v>
      </c>
      <c r="MCL1738" s="631">
        <f t="shared" ref="MCL1738" si="663">MCB1738</f>
        <v>8</v>
      </c>
      <c r="MCM1738" s="657" t="s">
        <v>2</v>
      </c>
      <c r="MCN1738" s="736"/>
      <c r="MCO1738" s="737"/>
      <c r="MCP1738" s="665" t="s">
        <v>1413</v>
      </c>
      <c r="MCR1738" s="629">
        <v>8</v>
      </c>
      <c r="MCS1738" s="662"/>
      <c r="MCT1738" s="631"/>
      <c r="MCU1738" s="631"/>
      <c r="MCV1738" s="631"/>
      <c r="MCW1738" s="631"/>
      <c r="MCX1738" s="631"/>
      <c r="MCY1738" s="631"/>
      <c r="MCZ1738" s="631"/>
      <c r="MDA1738" s="666" t="s">
        <v>799</v>
      </c>
      <c r="MDB1738" s="631">
        <f t="shared" ref="MDB1738" si="664">MCR1738</f>
        <v>8</v>
      </c>
      <c r="MDC1738" s="657" t="s">
        <v>2</v>
      </c>
      <c r="MDD1738" s="736"/>
      <c r="MDE1738" s="737"/>
      <c r="MDF1738" s="665" t="s">
        <v>1413</v>
      </c>
      <c r="MDH1738" s="629">
        <v>8</v>
      </c>
      <c r="MDI1738" s="662"/>
      <c r="MDJ1738" s="631"/>
      <c r="MDK1738" s="631"/>
      <c r="MDL1738" s="631"/>
      <c r="MDM1738" s="631"/>
      <c r="MDN1738" s="631"/>
      <c r="MDO1738" s="631"/>
      <c r="MDP1738" s="631"/>
      <c r="MDQ1738" s="666" t="s">
        <v>799</v>
      </c>
      <c r="MDR1738" s="631">
        <f t="shared" ref="MDR1738" si="665">MDH1738</f>
        <v>8</v>
      </c>
      <c r="MDS1738" s="657" t="s">
        <v>2</v>
      </c>
      <c r="MDT1738" s="736"/>
      <c r="MDU1738" s="737"/>
      <c r="MDV1738" s="665" t="s">
        <v>1413</v>
      </c>
      <c r="MDX1738" s="629">
        <v>8</v>
      </c>
      <c r="MDY1738" s="662"/>
      <c r="MDZ1738" s="631"/>
      <c r="MEA1738" s="631"/>
      <c r="MEB1738" s="631"/>
      <c r="MEC1738" s="631"/>
      <c r="MED1738" s="631"/>
      <c r="MEE1738" s="631"/>
      <c r="MEF1738" s="631"/>
      <c r="MEG1738" s="666" t="s">
        <v>799</v>
      </c>
      <c r="MEH1738" s="631">
        <f t="shared" ref="MEH1738" si="666">MDX1738</f>
        <v>8</v>
      </c>
      <c r="MEI1738" s="657" t="s">
        <v>2</v>
      </c>
      <c r="MEJ1738" s="736"/>
      <c r="MEK1738" s="737"/>
      <c r="MEL1738" s="665" t="s">
        <v>1413</v>
      </c>
      <c r="MEN1738" s="629">
        <v>8</v>
      </c>
      <c r="MEO1738" s="662"/>
      <c r="MEP1738" s="631"/>
      <c r="MEQ1738" s="631"/>
      <c r="MER1738" s="631"/>
      <c r="MES1738" s="631"/>
      <c r="MET1738" s="631"/>
      <c r="MEU1738" s="631"/>
      <c r="MEV1738" s="631"/>
      <c r="MEW1738" s="666" t="s">
        <v>799</v>
      </c>
      <c r="MEX1738" s="631">
        <f t="shared" ref="MEX1738" si="667">MEN1738</f>
        <v>8</v>
      </c>
      <c r="MEY1738" s="657" t="s">
        <v>2</v>
      </c>
      <c r="MEZ1738" s="736"/>
      <c r="MFA1738" s="737"/>
      <c r="MFB1738" s="665" t="s">
        <v>1413</v>
      </c>
      <c r="MFD1738" s="629">
        <v>8</v>
      </c>
      <c r="MFE1738" s="662"/>
      <c r="MFF1738" s="631"/>
      <c r="MFG1738" s="631"/>
      <c r="MFH1738" s="631"/>
      <c r="MFI1738" s="631"/>
      <c r="MFJ1738" s="631"/>
      <c r="MFK1738" s="631"/>
      <c r="MFL1738" s="631"/>
      <c r="MFM1738" s="666" t="s">
        <v>799</v>
      </c>
      <c r="MFN1738" s="631">
        <f t="shared" ref="MFN1738" si="668">MFD1738</f>
        <v>8</v>
      </c>
      <c r="MFO1738" s="657" t="s">
        <v>2</v>
      </c>
      <c r="MFP1738" s="736"/>
      <c r="MFQ1738" s="737"/>
      <c r="MFR1738" s="665" t="s">
        <v>1413</v>
      </c>
      <c r="MFT1738" s="629">
        <v>8</v>
      </c>
      <c r="MFU1738" s="662"/>
      <c r="MFV1738" s="631"/>
      <c r="MFW1738" s="631"/>
      <c r="MFX1738" s="631"/>
      <c r="MFY1738" s="631"/>
      <c r="MFZ1738" s="631"/>
      <c r="MGA1738" s="631"/>
      <c r="MGB1738" s="631"/>
      <c r="MGC1738" s="666" t="s">
        <v>799</v>
      </c>
      <c r="MGD1738" s="631">
        <f t="shared" ref="MGD1738" si="669">MFT1738</f>
        <v>8</v>
      </c>
      <c r="MGE1738" s="657" t="s">
        <v>2</v>
      </c>
      <c r="MGF1738" s="736"/>
      <c r="MGG1738" s="737"/>
      <c r="MGH1738" s="665" t="s">
        <v>1413</v>
      </c>
      <c r="MGJ1738" s="629">
        <v>8</v>
      </c>
      <c r="MGK1738" s="662"/>
      <c r="MGL1738" s="631"/>
      <c r="MGM1738" s="631"/>
      <c r="MGN1738" s="631"/>
      <c r="MGO1738" s="631"/>
      <c r="MGP1738" s="631"/>
      <c r="MGQ1738" s="631"/>
      <c r="MGR1738" s="631"/>
      <c r="MGS1738" s="666" t="s">
        <v>799</v>
      </c>
      <c r="MGT1738" s="631">
        <f t="shared" ref="MGT1738" si="670">MGJ1738</f>
        <v>8</v>
      </c>
      <c r="MGU1738" s="657" t="s">
        <v>2</v>
      </c>
      <c r="MGV1738" s="736"/>
      <c r="MGW1738" s="737"/>
      <c r="MGX1738" s="665" t="s">
        <v>1413</v>
      </c>
      <c r="MGZ1738" s="629">
        <v>8</v>
      </c>
      <c r="MHA1738" s="662"/>
      <c r="MHB1738" s="631"/>
      <c r="MHC1738" s="631"/>
      <c r="MHD1738" s="631"/>
      <c r="MHE1738" s="631"/>
      <c r="MHF1738" s="631"/>
      <c r="MHG1738" s="631"/>
      <c r="MHH1738" s="631"/>
      <c r="MHI1738" s="666" t="s">
        <v>799</v>
      </c>
      <c r="MHJ1738" s="631">
        <f t="shared" ref="MHJ1738" si="671">MGZ1738</f>
        <v>8</v>
      </c>
      <c r="MHK1738" s="657" t="s">
        <v>2</v>
      </c>
      <c r="MHL1738" s="736"/>
      <c r="MHM1738" s="737"/>
      <c r="MHN1738" s="665" t="s">
        <v>1413</v>
      </c>
      <c r="MHP1738" s="629">
        <v>8</v>
      </c>
      <c r="MHQ1738" s="662"/>
      <c r="MHR1738" s="631"/>
      <c r="MHS1738" s="631"/>
      <c r="MHT1738" s="631"/>
      <c r="MHU1738" s="631"/>
      <c r="MHV1738" s="631"/>
      <c r="MHW1738" s="631"/>
      <c r="MHX1738" s="631"/>
      <c r="MHY1738" s="666" t="s">
        <v>799</v>
      </c>
      <c r="MHZ1738" s="631">
        <f t="shared" ref="MHZ1738" si="672">MHP1738</f>
        <v>8</v>
      </c>
      <c r="MIA1738" s="657" t="s">
        <v>2</v>
      </c>
      <c r="MIB1738" s="736"/>
      <c r="MIC1738" s="737"/>
      <c r="MID1738" s="665" t="s">
        <v>1413</v>
      </c>
      <c r="MIF1738" s="629">
        <v>8</v>
      </c>
      <c r="MIG1738" s="662"/>
      <c r="MIH1738" s="631"/>
      <c r="MII1738" s="631"/>
      <c r="MIJ1738" s="631"/>
      <c r="MIK1738" s="631"/>
      <c r="MIL1738" s="631"/>
      <c r="MIM1738" s="631"/>
      <c r="MIN1738" s="631"/>
      <c r="MIO1738" s="666" t="s">
        <v>799</v>
      </c>
      <c r="MIP1738" s="631">
        <f t="shared" ref="MIP1738" si="673">MIF1738</f>
        <v>8</v>
      </c>
      <c r="MIQ1738" s="657" t="s">
        <v>2</v>
      </c>
      <c r="MIR1738" s="736"/>
      <c r="MIS1738" s="737"/>
      <c r="MIT1738" s="665" t="s">
        <v>1413</v>
      </c>
      <c r="MIV1738" s="629">
        <v>8</v>
      </c>
      <c r="MIW1738" s="662"/>
      <c r="MIX1738" s="631"/>
      <c r="MIY1738" s="631"/>
      <c r="MIZ1738" s="631"/>
      <c r="MJA1738" s="631"/>
      <c r="MJB1738" s="631"/>
      <c r="MJC1738" s="631"/>
      <c r="MJD1738" s="631"/>
      <c r="MJE1738" s="666" t="s">
        <v>799</v>
      </c>
      <c r="MJF1738" s="631">
        <f t="shared" ref="MJF1738" si="674">MIV1738</f>
        <v>8</v>
      </c>
      <c r="MJG1738" s="657" t="s">
        <v>2</v>
      </c>
      <c r="MJH1738" s="736"/>
      <c r="MJI1738" s="737"/>
      <c r="MJJ1738" s="665" t="s">
        <v>1413</v>
      </c>
      <c r="MJL1738" s="629">
        <v>8</v>
      </c>
      <c r="MJM1738" s="662"/>
      <c r="MJN1738" s="631"/>
      <c r="MJO1738" s="631"/>
      <c r="MJP1738" s="631"/>
      <c r="MJQ1738" s="631"/>
      <c r="MJR1738" s="631"/>
      <c r="MJS1738" s="631"/>
      <c r="MJT1738" s="631"/>
      <c r="MJU1738" s="666" t="s">
        <v>799</v>
      </c>
      <c r="MJV1738" s="631">
        <f t="shared" ref="MJV1738" si="675">MJL1738</f>
        <v>8</v>
      </c>
      <c r="MJW1738" s="657" t="s">
        <v>2</v>
      </c>
      <c r="MJX1738" s="736"/>
      <c r="MJY1738" s="737"/>
      <c r="MJZ1738" s="665" t="s">
        <v>1413</v>
      </c>
      <c r="MKB1738" s="629">
        <v>8</v>
      </c>
      <c r="MKC1738" s="662"/>
      <c r="MKD1738" s="631"/>
      <c r="MKE1738" s="631"/>
      <c r="MKF1738" s="631"/>
      <c r="MKG1738" s="631"/>
      <c r="MKH1738" s="631"/>
      <c r="MKI1738" s="631"/>
      <c r="MKJ1738" s="631"/>
      <c r="MKK1738" s="666" t="s">
        <v>799</v>
      </c>
      <c r="MKL1738" s="631">
        <f t="shared" ref="MKL1738" si="676">MKB1738</f>
        <v>8</v>
      </c>
      <c r="MKM1738" s="657" t="s">
        <v>2</v>
      </c>
      <c r="MKN1738" s="736"/>
      <c r="MKO1738" s="737"/>
      <c r="MKP1738" s="665" t="s">
        <v>1413</v>
      </c>
      <c r="MKR1738" s="629">
        <v>8</v>
      </c>
      <c r="MKS1738" s="662"/>
      <c r="MKT1738" s="631"/>
      <c r="MKU1738" s="631"/>
      <c r="MKV1738" s="631"/>
      <c r="MKW1738" s="631"/>
      <c r="MKX1738" s="631"/>
      <c r="MKY1738" s="631"/>
      <c r="MKZ1738" s="631"/>
      <c r="MLA1738" s="666" t="s">
        <v>799</v>
      </c>
      <c r="MLB1738" s="631">
        <f t="shared" ref="MLB1738" si="677">MKR1738</f>
        <v>8</v>
      </c>
      <c r="MLC1738" s="657" t="s">
        <v>2</v>
      </c>
      <c r="MLD1738" s="736"/>
      <c r="MLE1738" s="737"/>
      <c r="MLF1738" s="665" t="s">
        <v>1413</v>
      </c>
      <c r="MLH1738" s="629">
        <v>8</v>
      </c>
      <c r="MLI1738" s="662"/>
      <c r="MLJ1738" s="631"/>
      <c r="MLK1738" s="631"/>
      <c r="MLL1738" s="631"/>
      <c r="MLM1738" s="631"/>
      <c r="MLN1738" s="631"/>
      <c r="MLO1738" s="631"/>
      <c r="MLP1738" s="631"/>
      <c r="MLQ1738" s="666" t="s">
        <v>799</v>
      </c>
      <c r="MLR1738" s="631">
        <f t="shared" ref="MLR1738" si="678">MLH1738</f>
        <v>8</v>
      </c>
      <c r="MLS1738" s="657" t="s">
        <v>2</v>
      </c>
      <c r="MLT1738" s="736"/>
      <c r="MLU1738" s="737"/>
      <c r="MLV1738" s="665" t="s">
        <v>1413</v>
      </c>
      <c r="MLX1738" s="629">
        <v>8</v>
      </c>
      <c r="MLY1738" s="662"/>
      <c r="MLZ1738" s="631"/>
      <c r="MMA1738" s="631"/>
      <c r="MMB1738" s="631"/>
      <c r="MMC1738" s="631"/>
      <c r="MMD1738" s="631"/>
      <c r="MME1738" s="631"/>
      <c r="MMF1738" s="631"/>
      <c r="MMG1738" s="666" t="s">
        <v>799</v>
      </c>
      <c r="MMH1738" s="631">
        <f t="shared" ref="MMH1738" si="679">MLX1738</f>
        <v>8</v>
      </c>
      <c r="MMI1738" s="657" t="s">
        <v>2</v>
      </c>
      <c r="MMJ1738" s="736"/>
      <c r="MMK1738" s="737"/>
      <c r="MML1738" s="665" t="s">
        <v>1413</v>
      </c>
      <c r="MMN1738" s="629">
        <v>8</v>
      </c>
      <c r="MMO1738" s="662"/>
      <c r="MMP1738" s="631"/>
      <c r="MMQ1738" s="631"/>
      <c r="MMR1738" s="631"/>
      <c r="MMS1738" s="631"/>
      <c r="MMT1738" s="631"/>
      <c r="MMU1738" s="631"/>
      <c r="MMV1738" s="631"/>
      <c r="MMW1738" s="666" t="s">
        <v>799</v>
      </c>
      <c r="MMX1738" s="631">
        <f t="shared" ref="MMX1738" si="680">MMN1738</f>
        <v>8</v>
      </c>
      <c r="MMY1738" s="657" t="s">
        <v>2</v>
      </c>
      <c r="MMZ1738" s="736"/>
      <c r="MNA1738" s="737"/>
      <c r="MNB1738" s="665" t="s">
        <v>1413</v>
      </c>
      <c r="MND1738" s="629">
        <v>8</v>
      </c>
      <c r="MNE1738" s="662"/>
      <c r="MNF1738" s="631"/>
      <c r="MNG1738" s="631"/>
      <c r="MNH1738" s="631"/>
      <c r="MNI1738" s="631"/>
      <c r="MNJ1738" s="631"/>
      <c r="MNK1738" s="631"/>
      <c r="MNL1738" s="631"/>
      <c r="MNM1738" s="666" t="s">
        <v>799</v>
      </c>
      <c r="MNN1738" s="631">
        <f t="shared" ref="MNN1738" si="681">MND1738</f>
        <v>8</v>
      </c>
      <c r="MNO1738" s="657" t="s">
        <v>2</v>
      </c>
      <c r="MNP1738" s="736"/>
      <c r="MNQ1738" s="737"/>
      <c r="MNR1738" s="665" t="s">
        <v>1413</v>
      </c>
      <c r="MNT1738" s="629">
        <v>8</v>
      </c>
      <c r="MNU1738" s="662"/>
      <c r="MNV1738" s="631"/>
      <c r="MNW1738" s="631"/>
      <c r="MNX1738" s="631"/>
      <c r="MNY1738" s="631"/>
      <c r="MNZ1738" s="631"/>
      <c r="MOA1738" s="631"/>
      <c r="MOB1738" s="631"/>
      <c r="MOC1738" s="666" t="s">
        <v>799</v>
      </c>
      <c r="MOD1738" s="631">
        <f t="shared" ref="MOD1738" si="682">MNT1738</f>
        <v>8</v>
      </c>
      <c r="MOE1738" s="657" t="s">
        <v>2</v>
      </c>
      <c r="MOF1738" s="736"/>
      <c r="MOG1738" s="737"/>
      <c r="MOH1738" s="665" t="s">
        <v>1413</v>
      </c>
      <c r="MOJ1738" s="629">
        <v>8</v>
      </c>
      <c r="MOK1738" s="662"/>
      <c r="MOL1738" s="631"/>
      <c r="MOM1738" s="631"/>
      <c r="MON1738" s="631"/>
      <c r="MOO1738" s="631"/>
      <c r="MOP1738" s="631"/>
      <c r="MOQ1738" s="631"/>
      <c r="MOR1738" s="631"/>
      <c r="MOS1738" s="666" t="s">
        <v>799</v>
      </c>
      <c r="MOT1738" s="631">
        <f t="shared" ref="MOT1738" si="683">MOJ1738</f>
        <v>8</v>
      </c>
      <c r="MOU1738" s="657" t="s">
        <v>2</v>
      </c>
      <c r="MOV1738" s="736"/>
      <c r="MOW1738" s="737"/>
      <c r="MOX1738" s="665" t="s">
        <v>1413</v>
      </c>
      <c r="MOZ1738" s="629">
        <v>8</v>
      </c>
      <c r="MPA1738" s="662"/>
      <c r="MPB1738" s="631"/>
      <c r="MPC1738" s="631"/>
      <c r="MPD1738" s="631"/>
      <c r="MPE1738" s="631"/>
      <c r="MPF1738" s="631"/>
      <c r="MPG1738" s="631"/>
      <c r="MPH1738" s="631"/>
      <c r="MPI1738" s="666" t="s">
        <v>799</v>
      </c>
      <c r="MPJ1738" s="631">
        <f t="shared" ref="MPJ1738" si="684">MOZ1738</f>
        <v>8</v>
      </c>
      <c r="MPK1738" s="657" t="s">
        <v>2</v>
      </c>
      <c r="MPL1738" s="736"/>
      <c r="MPM1738" s="737"/>
      <c r="MPN1738" s="665" t="s">
        <v>1413</v>
      </c>
      <c r="MPP1738" s="629">
        <v>8</v>
      </c>
      <c r="MPQ1738" s="662"/>
      <c r="MPR1738" s="631"/>
      <c r="MPS1738" s="631"/>
      <c r="MPT1738" s="631"/>
      <c r="MPU1738" s="631"/>
      <c r="MPV1738" s="631"/>
      <c r="MPW1738" s="631"/>
      <c r="MPX1738" s="631"/>
      <c r="MPY1738" s="666" t="s">
        <v>799</v>
      </c>
      <c r="MPZ1738" s="631">
        <f t="shared" ref="MPZ1738" si="685">MPP1738</f>
        <v>8</v>
      </c>
      <c r="MQA1738" s="657" t="s">
        <v>2</v>
      </c>
      <c r="MQB1738" s="736"/>
      <c r="MQC1738" s="737"/>
      <c r="MQD1738" s="665" t="s">
        <v>1413</v>
      </c>
      <c r="MQF1738" s="629">
        <v>8</v>
      </c>
      <c r="MQG1738" s="662"/>
      <c r="MQH1738" s="631"/>
      <c r="MQI1738" s="631"/>
      <c r="MQJ1738" s="631"/>
      <c r="MQK1738" s="631"/>
      <c r="MQL1738" s="631"/>
      <c r="MQM1738" s="631"/>
      <c r="MQN1738" s="631"/>
      <c r="MQO1738" s="666" t="s">
        <v>799</v>
      </c>
      <c r="MQP1738" s="631">
        <f t="shared" ref="MQP1738" si="686">MQF1738</f>
        <v>8</v>
      </c>
      <c r="MQQ1738" s="657" t="s">
        <v>2</v>
      </c>
      <c r="MQR1738" s="736"/>
      <c r="MQS1738" s="737"/>
      <c r="MQT1738" s="665" t="s">
        <v>1413</v>
      </c>
      <c r="MQV1738" s="629">
        <v>8</v>
      </c>
      <c r="MQW1738" s="662"/>
      <c r="MQX1738" s="631"/>
      <c r="MQY1738" s="631"/>
      <c r="MQZ1738" s="631"/>
      <c r="MRA1738" s="631"/>
      <c r="MRB1738" s="631"/>
      <c r="MRC1738" s="631"/>
      <c r="MRD1738" s="631"/>
      <c r="MRE1738" s="666" t="s">
        <v>799</v>
      </c>
      <c r="MRF1738" s="631">
        <f t="shared" ref="MRF1738" si="687">MQV1738</f>
        <v>8</v>
      </c>
      <c r="MRG1738" s="657" t="s">
        <v>2</v>
      </c>
      <c r="MRH1738" s="736"/>
      <c r="MRI1738" s="737"/>
      <c r="MRJ1738" s="665" t="s">
        <v>1413</v>
      </c>
      <c r="MRL1738" s="629">
        <v>8</v>
      </c>
      <c r="MRM1738" s="662"/>
      <c r="MRN1738" s="631"/>
      <c r="MRO1738" s="631"/>
      <c r="MRP1738" s="631"/>
      <c r="MRQ1738" s="631"/>
      <c r="MRR1738" s="631"/>
      <c r="MRS1738" s="631"/>
      <c r="MRT1738" s="631"/>
      <c r="MRU1738" s="666" t="s">
        <v>799</v>
      </c>
      <c r="MRV1738" s="631">
        <f t="shared" ref="MRV1738" si="688">MRL1738</f>
        <v>8</v>
      </c>
      <c r="MRW1738" s="657" t="s">
        <v>2</v>
      </c>
      <c r="MRX1738" s="736"/>
      <c r="MRY1738" s="737"/>
      <c r="MRZ1738" s="665" t="s">
        <v>1413</v>
      </c>
      <c r="MSB1738" s="629">
        <v>8</v>
      </c>
      <c r="MSC1738" s="662"/>
      <c r="MSD1738" s="631"/>
      <c r="MSE1738" s="631"/>
      <c r="MSF1738" s="631"/>
      <c r="MSG1738" s="631"/>
      <c r="MSH1738" s="631"/>
      <c r="MSI1738" s="631"/>
      <c r="MSJ1738" s="631"/>
      <c r="MSK1738" s="666" t="s">
        <v>799</v>
      </c>
      <c r="MSL1738" s="631">
        <f t="shared" ref="MSL1738" si="689">MSB1738</f>
        <v>8</v>
      </c>
      <c r="MSM1738" s="657" t="s">
        <v>2</v>
      </c>
      <c r="MSN1738" s="736"/>
      <c r="MSO1738" s="737"/>
      <c r="MSP1738" s="665" t="s">
        <v>1413</v>
      </c>
      <c r="MSR1738" s="629">
        <v>8</v>
      </c>
      <c r="MSS1738" s="662"/>
      <c r="MST1738" s="631"/>
      <c r="MSU1738" s="631"/>
      <c r="MSV1738" s="631"/>
      <c r="MSW1738" s="631"/>
      <c r="MSX1738" s="631"/>
      <c r="MSY1738" s="631"/>
      <c r="MSZ1738" s="631"/>
      <c r="MTA1738" s="666" t="s">
        <v>799</v>
      </c>
      <c r="MTB1738" s="631">
        <f t="shared" ref="MTB1738" si="690">MSR1738</f>
        <v>8</v>
      </c>
      <c r="MTC1738" s="657" t="s">
        <v>2</v>
      </c>
      <c r="MTD1738" s="736"/>
      <c r="MTE1738" s="737"/>
      <c r="MTF1738" s="665" t="s">
        <v>1413</v>
      </c>
      <c r="MTH1738" s="629">
        <v>8</v>
      </c>
      <c r="MTI1738" s="662"/>
      <c r="MTJ1738" s="631"/>
      <c r="MTK1738" s="631"/>
      <c r="MTL1738" s="631"/>
      <c r="MTM1738" s="631"/>
      <c r="MTN1738" s="631"/>
      <c r="MTO1738" s="631"/>
      <c r="MTP1738" s="631"/>
      <c r="MTQ1738" s="666" t="s">
        <v>799</v>
      </c>
      <c r="MTR1738" s="631">
        <f t="shared" ref="MTR1738" si="691">MTH1738</f>
        <v>8</v>
      </c>
      <c r="MTS1738" s="657" t="s">
        <v>2</v>
      </c>
      <c r="MTT1738" s="736"/>
      <c r="MTU1738" s="737"/>
      <c r="MTV1738" s="665" t="s">
        <v>1413</v>
      </c>
      <c r="MTX1738" s="629">
        <v>8</v>
      </c>
      <c r="MTY1738" s="662"/>
      <c r="MTZ1738" s="631"/>
      <c r="MUA1738" s="631"/>
      <c r="MUB1738" s="631"/>
      <c r="MUC1738" s="631"/>
      <c r="MUD1738" s="631"/>
      <c r="MUE1738" s="631"/>
      <c r="MUF1738" s="631"/>
      <c r="MUG1738" s="666" t="s">
        <v>799</v>
      </c>
      <c r="MUH1738" s="631">
        <f t="shared" ref="MUH1738" si="692">MTX1738</f>
        <v>8</v>
      </c>
      <c r="MUI1738" s="657" t="s">
        <v>2</v>
      </c>
      <c r="MUJ1738" s="736"/>
      <c r="MUK1738" s="737"/>
      <c r="MUL1738" s="665" t="s">
        <v>1413</v>
      </c>
      <c r="MUN1738" s="629">
        <v>8</v>
      </c>
      <c r="MUO1738" s="662"/>
      <c r="MUP1738" s="631"/>
      <c r="MUQ1738" s="631"/>
      <c r="MUR1738" s="631"/>
      <c r="MUS1738" s="631"/>
      <c r="MUT1738" s="631"/>
      <c r="MUU1738" s="631"/>
      <c r="MUV1738" s="631"/>
      <c r="MUW1738" s="666" t="s">
        <v>799</v>
      </c>
      <c r="MUX1738" s="631">
        <f t="shared" ref="MUX1738" si="693">MUN1738</f>
        <v>8</v>
      </c>
      <c r="MUY1738" s="657" t="s">
        <v>2</v>
      </c>
      <c r="MUZ1738" s="736"/>
      <c r="MVA1738" s="737"/>
      <c r="MVB1738" s="665" t="s">
        <v>1413</v>
      </c>
      <c r="MVD1738" s="629">
        <v>8</v>
      </c>
      <c r="MVE1738" s="662"/>
      <c r="MVF1738" s="631"/>
      <c r="MVG1738" s="631"/>
      <c r="MVH1738" s="631"/>
      <c r="MVI1738" s="631"/>
      <c r="MVJ1738" s="631"/>
      <c r="MVK1738" s="631"/>
      <c r="MVL1738" s="631"/>
      <c r="MVM1738" s="666" t="s">
        <v>799</v>
      </c>
      <c r="MVN1738" s="631">
        <f t="shared" ref="MVN1738" si="694">MVD1738</f>
        <v>8</v>
      </c>
      <c r="MVO1738" s="657" t="s">
        <v>2</v>
      </c>
      <c r="MVP1738" s="736"/>
      <c r="MVQ1738" s="737"/>
      <c r="MVR1738" s="665" t="s">
        <v>1413</v>
      </c>
      <c r="MVT1738" s="629">
        <v>8</v>
      </c>
      <c r="MVU1738" s="662"/>
      <c r="MVV1738" s="631"/>
      <c r="MVW1738" s="631"/>
      <c r="MVX1738" s="631"/>
      <c r="MVY1738" s="631"/>
      <c r="MVZ1738" s="631"/>
      <c r="MWA1738" s="631"/>
      <c r="MWB1738" s="631"/>
      <c r="MWC1738" s="666" t="s">
        <v>799</v>
      </c>
      <c r="MWD1738" s="631">
        <f t="shared" ref="MWD1738" si="695">MVT1738</f>
        <v>8</v>
      </c>
      <c r="MWE1738" s="657" t="s">
        <v>2</v>
      </c>
      <c r="MWF1738" s="736"/>
      <c r="MWG1738" s="737"/>
      <c r="MWH1738" s="665" t="s">
        <v>1413</v>
      </c>
      <c r="MWJ1738" s="629">
        <v>8</v>
      </c>
      <c r="MWK1738" s="662"/>
      <c r="MWL1738" s="631"/>
      <c r="MWM1738" s="631"/>
      <c r="MWN1738" s="631"/>
      <c r="MWO1738" s="631"/>
      <c r="MWP1738" s="631"/>
      <c r="MWQ1738" s="631"/>
      <c r="MWR1738" s="631"/>
      <c r="MWS1738" s="666" t="s">
        <v>799</v>
      </c>
      <c r="MWT1738" s="631">
        <f t="shared" ref="MWT1738" si="696">MWJ1738</f>
        <v>8</v>
      </c>
      <c r="MWU1738" s="657" t="s">
        <v>2</v>
      </c>
      <c r="MWV1738" s="736"/>
      <c r="MWW1738" s="737"/>
      <c r="MWX1738" s="665" t="s">
        <v>1413</v>
      </c>
      <c r="MWZ1738" s="629">
        <v>8</v>
      </c>
      <c r="MXA1738" s="662"/>
      <c r="MXB1738" s="631"/>
      <c r="MXC1738" s="631"/>
      <c r="MXD1738" s="631"/>
      <c r="MXE1738" s="631"/>
      <c r="MXF1738" s="631"/>
      <c r="MXG1738" s="631"/>
      <c r="MXH1738" s="631"/>
      <c r="MXI1738" s="666" t="s">
        <v>799</v>
      </c>
      <c r="MXJ1738" s="631">
        <f t="shared" ref="MXJ1738" si="697">MWZ1738</f>
        <v>8</v>
      </c>
      <c r="MXK1738" s="657" t="s">
        <v>2</v>
      </c>
      <c r="MXL1738" s="736"/>
      <c r="MXM1738" s="737"/>
      <c r="MXN1738" s="665" t="s">
        <v>1413</v>
      </c>
      <c r="MXP1738" s="629">
        <v>8</v>
      </c>
      <c r="MXQ1738" s="662"/>
      <c r="MXR1738" s="631"/>
      <c r="MXS1738" s="631"/>
      <c r="MXT1738" s="631"/>
      <c r="MXU1738" s="631"/>
      <c r="MXV1738" s="631"/>
      <c r="MXW1738" s="631"/>
      <c r="MXX1738" s="631"/>
      <c r="MXY1738" s="666" t="s">
        <v>799</v>
      </c>
      <c r="MXZ1738" s="631">
        <f t="shared" ref="MXZ1738" si="698">MXP1738</f>
        <v>8</v>
      </c>
      <c r="MYA1738" s="657" t="s">
        <v>2</v>
      </c>
      <c r="MYB1738" s="736"/>
      <c r="MYC1738" s="737"/>
      <c r="MYD1738" s="665" t="s">
        <v>1413</v>
      </c>
      <c r="MYF1738" s="629">
        <v>8</v>
      </c>
      <c r="MYG1738" s="662"/>
      <c r="MYH1738" s="631"/>
      <c r="MYI1738" s="631"/>
      <c r="MYJ1738" s="631"/>
      <c r="MYK1738" s="631"/>
      <c r="MYL1738" s="631"/>
      <c r="MYM1738" s="631"/>
      <c r="MYN1738" s="631"/>
      <c r="MYO1738" s="666" t="s">
        <v>799</v>
      </c>
      <c r="MYP1738" s="631">
        <f t="shared" ref="MYP1738" si="699">MYF1738</f>
        <v>8</v>
      </c>
      <c r="MYQ1738" s="657" t="s">
        <v>2</v>
      </c>
      <c r="MYR1738" s="736"/>
      <c r="MYS1738" s="737"/>
      <c r="MYT1738" s="665" t="s">
        <v>1413</v>
      </c>
      <c r="MYV1738" s="629">
        <v>8</v>
      </c>
      <c r="MYW1738" s="662"/>
      <c r="MYX1738" s="631"/>
      <c r="MYY1738" s="631"/>
      <c r="MYZ1738" s="631"/>
      <c r="MZA1738" s="631"/>
      <c r="MZB1738" s="631"/>
      <c r="MZC1738" s="631"/>
      <c r="MZD1738" s="631"/>
      <c r="MZE1738" s="666" t="s">
        <v>799</v>
      </c>
      <c r="MZF1738" s="631">
        <f t="shared" ref="MZF1738" si="700">MYV1738</f>
        <v>8</v>
      </c>
      <c r="MZG1738" s="657" t="s">
        <v>2</v>
      </c>
      <c r="MZH1738" s="736"/>
      <c r="MZI1738" s="737"/>
      <c r="MZJ1738" s="665" t="s">
        <v>1413</v>
      </c>
      <c r="MZL1738" s="629">
        <v>8</v>
      </c>
      <c r="MZM1738" s="662"/>
      <c r="MZN1738" s="631"/>
      <c r="MZO1738" s="631"/>
      <c r="MZP1738" s="631"/>
      <c r="MZQ1738" s="631"/>
      <c r="MZR1738" s="631"/>
      <c r="MZS1738" s="631"/>
      <c r="MZT1738" s="631"/>
      <c r="MZU1738" s="666" t="s">
        <v>799</v>
      </c>
      <c r="MZV1738" s="631">
        <f t="shared" ref="MZV1738" si="701">MZL1738</f>
        <v>8</v>
      </c>
      <c r="MZW1738" s="657" t="s">
        <v>2</v>
      </c>
      <c r="MZX1738" s="736"/>
      <c r="MZY1738" s="737"/>
      <c r="MZZ1738" s="665" t="s">
        <v>1413</v>
      </c>
      <c r="NAB1738" s="629">
        <v>8</v>
      </c>
      <c r="NAC1738" s="662"/>
      <c r="NAD1738" s="631"/>
      <c r="NAE1738" s="631"/>
      <c r="NAF1738" s="631"/>
      <c r="NAG1738" s="631"/>
      <c r="NAH1738" s="631"/>
      <c r="NAI1738" s="631"/>
      <c r="NAJ1738" s="631"/>
      <c r="NAK1738" s="666" t="s">
        <v>799</v>
      </c>
      <c r="NAL1738" s="631">
        <f t="shared" ref="NAL1738" si="702">NAB1738</f>
        <v>8</v>
      </c>
      <c r="NAM1738" s="657" t="s">
        <v>2</v>
      </c>
      <c r="NAN1738" s="736"/>
      <c r="NAO1738" s="737"/>
      <c r="NAP1738" s="665" t="s">
        <v>1413</v>
      </c>
      <c r="NAR1738" s="629">
        <v>8</v>
      </c>
      <c r="NAS1738" s="662"/>
      <c r="NAT1738" s="631"/>
      <c r="NAU1738" s="631"/>
      <c r="NAV1738" s="631"/>
      <c r="NAW1738" s="631"/>
      <c r="NAX1738" s="631"/>
      <c r="NAY1738" s="631"/>
      <c r="NAZ1738" s="631"/>
      <c r="NBA1738" s="666" t="s">
        <v>799</v>
      </c>
      <c r="NBB1738" s="631">
        <f t="shared" ref="NBB1738" si="703">NAR1738</f>
        <v>8</v>
      </c>
      <c r="NBC1738" s="657" t="s">
        <v>2</v>
      </c>
      <c r="NBD1738" s="736"/>
      <c r="NBE1738" s="737"/>
      <c r="NBF1738" s="665" t="s">
        <v>1413</v>
      </c>
      <c r="NBH1738" s="629">
        <v>8</v>
      </c>
      <c r="NBI1738" s="662"/>
      <c r="NBJ1738" s="631"/>
      <c r="NBK1738" s="631"/>
      <c r="NBL1738" s="631"/>
      <c r="NBM1738" s="631"/>
      <c r="NBN1738" s="631"/>
      <c r="NBO1738" s="631"/>
      <c r="NBP1738" s="631"/>
      <c r="NBQ1738" s="666" t="s">
        <v>799</v>
      </c>
      <c r="NBR1738" s="631">
        <f t="shared" ref="NBR1738" si="704">NBH1738</f>
        <v>8</v>
      </c>
      <c r="NBS1738" s="657" t="s">
        <v>2</v>
      </c>
      <c r="NBT1738" s="736"/>
      <c r="NBU1738" s="737"/>
      <c r="NBV1738" s="665" t="s">
        <v>1413</v>
      </c>
      <c r="NBX1738" s="629">
        <v>8</v>
      </c>
      <c r="NBY1738" s="662"/>
      <c r="NBZ1738" s="631"/>
      <c r="NCA1738" s="631"/>
      <c r="NCB1738" s="631"/>
      <c r="NCC1738" s="631"/>
      <c r="NCD1738" s="631"/>
      <c r="NCE1738" s="631"/>
      <c r="NCF1738" s="631"/>
      <c r="NCG1738" s="666" t="s">
        <v>799</v>
      </c>
      <c r="NCH1738" s="631">
        <f t="shared" ref="NCH1738" si="705">NBX1738</f>
        <v>8</v>
      </c>
      <c r="NCI1738" s="657" t="s">
        <v>2</v>
      </c>
      <c r="NCJ1738" s="736"/>
      <c r="NCK1738" s="737"/>
      <c r="NCL1738" s="665" t="s">
        <v>1413</v>
      </c>
      <c r="NCN1738" s="629">
        <v>8</v>
      </c>
      <c r="NCO1738" s="662"/>
      <c r="NCP1738" s="631"/>
      <c r="NCQ1738" s="631"/>
      <c r="NCR1738" s="631"/>
      <c r="NCS1738" s="631"/>
      <c r="NCT1738" s="631"/>
      <c r="NCU1738" s="631"/>
      <c r="NCV1738" s="631"/>
      <c r="NCW1738" s="666" t="s">
        <v>799</v>
      </c>
      <c r="NCX1738" s="631">
        <f t="shared" ref="NCX1738" si="706">NCN1738</f>
        <v>8</v>
      </c>
      <c r="NCY1738" s="657" t="s">
        <v>2</v>
      </c>
      <c r="NCZ1738" s="736"/>
      <c r="NDA1738" s="737"/>
      <c r="NDB1738" s="665" t="s">
        <v>1413</v>
      </c>
      <c r="NDD1738" s="629">
        <v>8</v>
      </c>
      <c r="NDE1738" s="662"/>
      <c r="NDF1738" s="631"/>
      <c r="NDG1738" s="631"/>
      <c r="NDH1738" s="631"/>
      <c r="NDI1738" s="631"/>
      <c r="NDJ1738" s="631"/>
      <c r="NDK1738" s="631"/>
      <c r="NDL1738" s="631"/>
      <c r="NDM1738" s="666" t="s">
        <v>799</v>
      </c>
      <c r="NDN1738" s="631">
        <f t="shared" ref="NDN1738" si="707">NDD1738</f>
        <v>8</v>
      </c>
      <c r="NDO1738" s="657" t="s">
        <v>2</v>
      </c>
      <c r="NDP1738" s="736"/>
      <c r="NDQ1738" s="737"/>
      <c r="NDR1738" s="665" t="s">
        <v>1413</v>
      </c>
      <c r="NDT1738" s="629">
        <v>8</v>
      </c>
      <c r="NDU1738" s="662"/>
      <c r="NDV1738" s="631"/>
      <c r="NDW1738" s="631"/>
      <c r="NDX1738" s="631"/>
      <c r="NDY1738" s="631"/>
      <c r="NDZ1738" s="631"/>
      <c r="NEA1738" s="631"/>
      <c r="NEB1738" s="631"/>
      <c r="NEC1738" s="666" t="s">
        <v>799</v>
      </c>
      <c r="NED1738" s="631">
        <f t="shared" ref="NED1738" si="708">NDT1738</f>
        <v>8</v>
      </c>
      <c r="NEE1738" s="657" t="s">
        <v>2</v>
      </c>
      <c r="NEF1738" s="736"/>
      <c r="NEG1738" s="737"/>
      <c r="NEH1738" s="665" t="s">
        <v>1413</v>
      </c>
      <c r="NEJ1738" s="629">
        <v>8</v>
      </c>
      <c r="NEK1738" s="662"/>
      <c r="NEL1738" s="631"/>
      <c r="NEM1738" s="631"/>
      <c r="NEN1738" s="631"/>
      <c r="NEO1738" s="631"/>
      <c r="NEP1738" s="631"/>
      <c r="NEQ1738" s="631"/>
      <c r="NER1738" s="631"/>
      <c r="NES1738" s="666" t="s">
        <v>799</v>
      </c>
      <c r="NET1738" s="631">
        <f t="shared" ref="NET1738" si="709">NEJ1738</f>
        <v>8</v>
      </c>
      <c r="NEU1738" s="657" t="s">
        <v>2</v>
      </c>
      <c r="NEV1738" s="736"/>
      <c r="NEW1738" s="737"/>
      <c r="NEX1738" s="665" t="s">
        <v>1413</v>
      </c>
      <c r="NEZ1738" s="629">
        <v>8</v>
      </c>
      <c r="NFA1738" s="662"/>
      <c r="NFB1738" s="631"/>
      <c r="NFC1738" s="631"/>
      <c r="NFD1738" s="631"/>
      <c r="NFE1738" s="631"/>
      <c r="NFF1738" s="631"/>
      <c r="NFG1738" s="631"/>
      <c r="NFH1738" s="631"/>
      <c r="NFI1738" s="666" t="s">
        <v>799</v>
      </c>
      <c r="NFJ1738" s="631">
        <f t="shared" ref="NFJ1738" si="710">NEZ1738</f>
        <v>8</v>
      </c>
      <c r="NFK1738" s="657" t="s">
        <v>2</v>
      </c>
      <c r="NFL1738" s="736"/>
      <c r="NFM1738" s="737"/>
      <c r="NFN1738" s="665" t="s">
        <v>1413</v>
      </c>
      <c r="NFP1738" s="629">
        <v>8</v>
      </c>
      <c r="NFQ1738" s="662"/>
      <c r="NFR1738" s="631"/>
      <c r="NFS1738" s="631"/>
      <c r="NFT1738" s="631"/>
      <c r="NFU1738" s="631"/>
      <c r="NFV1738" s="631"/>
      <c r="NFW1738" s="631"/>
      <c r="NFX1738" s="631"/>
      <c r="NFY1738" s="666" t="s">
        <v>799</v>
      </c>
      <c r="NFZ1738" s="631">
        <f t="shared" ref="NFZ1738" si="711">NFP1738</f>
        <v>8</v>
      </c>
      <c r="NGA1738" s="657" t="s">
        <v>2</v>
      </c>
      <c r="NGB1738" s="736"/>
      <c r="NGC1738" s="737"/>
      <c r="NGD1738" s="665" t="s">
        <v>1413</v>
      </c>
      <c r="NGF1738" s="629">
        <v>8</v>
      </c>
      <c r="NGG1738" s="662"/>
      <c r="NGH1738" s="631"/>
      <c r="NGI1738" s="631"/>
      <c r="NGJ1738" s="631"/>
      <c r="NGK1738" s="631"/>
      <c r="NGL1738" s="631"/>
      <c r="NGM1738" s="631"/>
      <c r="NGN1738" s="631"/>
      <c r="NGO1738" s="666" t="s">
        <v>799</v>
      </c>
      <c r="NGP1738" s="631">
        <f t="shared" ref="NGP1738" si="712">NGF1738</f>
        <v>8</v>
      </c>
      <c r="NGQ1738" s="657" t="s">
        <v>2</v>
      </c>
      <c r="NGR1738" s="736"/>
      <c r="NGS1738" s="737"/>
      <c r="NGT1738" s="665" t="s">
        <v>1413</v>
      </c>
      <c r="NGV1738" s="629">
        <v>8</v>
      </c>
      <c r="NGW1738" s="662"/>
      <c r="NGX1738" s="631"/>
      <c r="NGY1738" s="631"/>
      <c r="NGZ1738" s="631"/>
      <c r="NHA1738" s="631"/>
      <c r="NHB1738" s="631"/>
      <c r="NHC1738" s="631"/>
      <c r="NHD1738" s="631"/>
      <c r="NHE1738" s="666" t="s">
        <v>799</v>
      </c>
      <c r="NHF1738" s="631">
        <f t="shared" ref="NHF1738" si="713">NGV1738</f>
        <v>8</v>
      </c>
      <c r="NHG1738" s="657" t="s">
        <v>2</v>
      </c>
      <c r="NHH1738" s="736"/>
      <c r="NHI1738" s="737"/>
      <c r="NHJ1738" s="665" t="s">
        <v>1413</v>
      </c>
      <c r="NHL1738" s="629">
        <v>8</v>
      </c>
      <c r="NHM1738" s="662"/>
      <c r="NHN1738" s="631"/>
      <c r="NHO1738" s="631"/>
      <c r="NHP1738" s="631"/>
      <c r="NHQ1738" s="631"/>
      <c r="NHR1738" s="631"/>
      <c r="NHS1738" s="631"/>
      <c r="NHT1738" s="631"/>
      <c r="NHU1738" s="666" t="s">
        <v>799</v>
      </c>
      <c r="NHV1738" s="631">
        <f t="shared" ref="NHV1738" si="714">NHL1738</f>
        <v>8</v>
      </c>
      <c r="NHW1738" s="657" t="s">
        <v>2</v>
      </c>
      <c r="NHX1738" s="736"/>
      <c r="NHY1738" s="737"/>
      <c r="NHZ1738" s="665" t="s">
        <v>1413</v>
      </c>
      <c r="NIB1738" s="629">
        <v>8</v>
      </c>
      <c r="NIC1738" s="662"/>
      <c r="NID1738" s="631"/>
      <c r="NIE1738" s="631"/>
      <c r="NIF1738" s="631"/>
      <c r="NIG1738" s="631"/>
      <c r="NIH1738" s="631"/>
      <c r="NII1738" s="631"/>
      <c r="NIJ1738" s="631"/>
      <c r="NIK1738" s="666" t="s">
        <v>799</v>
      </c>
      <c r="NIL1738" s="631">
        <f t="shared" ref="NIL1738" si="715">NIB1738</f>
        <v>8</v>
      </c>
      <c r="NIM1738" s="657" t="s">
        <v>2</v>
      </c>
      <c r="NIN1738" s="736"/>
      <c r="NIO1738" s="737"/>
      <c r="NIP1738" s="665" t="s">
        <v>1413</v>
      </c>
      <c r="NIR1738" s="629">
        <v>8</v>
      </c>
      <c r="NIS1738" s="662"/>
      <c r="NIT1738" s="631"/>
      <c r="NIU1738" s="631"/>
      <c r="NIV1738" s="631"/>
      <c r="NIW1738" s="631"/>
      <c r="NIX1738" s="631"/>
      <c r="NIY1738" s="631"/>
      <c r="NIZ1738" s="631"/>
      <c r="NJA1738" s="666" t="s">
        <v>799</v>
      </c>
      <c r="NJB1738" s="631">
        <f t="shared" ref="NJB1738" si="716">NIR1738</f>
        <v>8</v>
      </c>
      <c r="NJC1738" s="657" t="s">
        <v>2</v>
      </c>
      <c r="NJD1738" s="736"/>
      <c r="NJE1738" s="737"/>
      <c r="NJF1738" s="665" t="s">
        <v>1413</v>
      </c>
      <c r="NJH1738" s="629">
        <v>8</v>
      </c>
      <c r="NJI1738" s="662"/>
      <c r="NJJ1738" s="631"/>
      <c r="NJK1738" s="631"/>
      <c r="NJL1738" s="631"/>
      <c r="NJM1738" s="631"/>
      <c r="NJN1738" s="631"/>
      <c r="NJO1738" s="631"/>
      <c r="NJP1738" s="631"/>
      <c r="NJQ1738" s="666" t="s">
        <v>799</v>
      </c>
      <c r="NJR1738" s="631">
        <f t="shared" ref="NJR1738" si="717">NJH1738</f>
        <v>8</v>
      </c>
      <c r="NJS1738" s="657" t="s">
        <v>2</v>
      </c>
      <c r="NJT1738" s="736"/>
      <c r="NJU1738" s="737"/>
      <c r="NJV1738" s="665" t="s">
        <v>1413</v>
      </c>
      <c r="NJX1738" s="629">
        <v>8</v>
      </c>
      <c r="NJY1738" s="662"/>
      <c r="NJZ1738" s="631"/>
      <c r="NKA1738" s="631"/>
      <c r="NKB1738" s="631"/>
      <c r="NKC1738" s="631"/>
      <c r="NKD1738" s="631"/>
      <c r="NKE1738" s="631"/>
      <c r="NKF1738" s="631"/>
      <c r="NKG1738" s="666" t="s">
        <v>799</v>
      </c>
      <c r="NKH1738" s="631">
        <f t="shared" ref="NKH1738" si="718">NJX1738</f>
        <v>8</v>
      </c>
      <c r="NKI1738" s="657" t="s">
        <v>2</v>
      </c>
      <c r="NKJ1738" s="736"/>
      <c r="NKK1738" s="737"/>
      <c r="NKL1738" s="665" t="s">
        <v>1413</v>
      </c>
      <c r="NKN1738" s="629">
        <v>8</v>
      </c>
      <c r="NKO1738" s="662"/>
      <c r="NKP1738" s="631"/>
      <c r="NKQ1738" s="631"/>
      <c r="NKR1738" s="631"/>
      <c r="NKS1738" s="631"/>
      <c r="NKT1738" s="631"/>
      <c r="NKU1738" s="631"/>
      <c r="NKV1738" s="631"/>
      <c r="NKW1738" s="666" t="s">
        <v>799</v>
      </c>
      <c r="NKX1738" s="631">
        <f t="shared" ref="NKX1738" si="719">NKN1738</f>
        <v>8</v>
      </c>
      <c r="NKY1738" s="657" t="s">
        <v>2</v>
      </c>
      <c r="NKZ1738" s="736"/>
      <c r="NLA1738" s="737"/>
      <c r="NLB1738" s="665" t="s">
        <v>1413</v>
      </c>
      <c r="NLD1738" s="629">
        <v>8</v>
      </c>
      <c r="NLE1738" s="662"/>
      <c r="NLF1738" s="631"/>
      <c r="NLG1738" s="631"/>
      <c r="NLH1738" s="631"/>
      <c r="NLI1738" s="631"/>
      <c r="NLJ1738" s="631"/>
      <c r="NLK1738" s="631"/>
      <c r="NLL1738" s="631"/>
      <c r="NLM1738" s="666" t="s">
        <v>799</v>
      </c>
      <c r="NLN1738" s="631">
        <f t="shared" ref="NLN1738" si="720">NLD1738</f>
        <v>8</v>
      </c>
      <c r="NLO1738" s="657" t="s">
        <v>2</v>
      </c>
      <c r="NLP1738" s="736"/>
      <c r="NLQ1738" s="737"/>
      <c r="NLR1738" s="665" t="s">
        <v>1413</v>
      </c>
      <c r="NLT1738" s="629">
        <v>8</v>
      </c>
      <c r="NLU1738" s="662"/>
      <c r="NLV1738" s="631"/>
      <c r="NLW1738" s="631"/>
      <c r="NLX1738" s="631"/>
      <c r="NLY1738" s="631"/>
      <c r="NLZ1738" s="631"/>
      <c r="NMA1738" s="631"/>
      <c r="NMB1738" s="631"/>
      <c r="NMC1738" s="666" t="s">
        <v>799</v>
      </c>
      <c r="NMD1738" s="631">
        <f t="shared" ref="NMD1738" si="721">NLT1738</f>
        <v>8</v>
      </c>
      <c r="NME1738" s="657" t="s">
        <v>2</v>
      </c>
      <c r="NMF1738" s="736"/>
      <c r="NMG1738" s="737"/>
      <c r="NMH1738" s="665" t="s">
        <v>1413</v>
      </c>
      <c r="NMJ1738" s="629">
        <v>8</v>
      </c>
      <c r="NMK1738" s="662"/>
      <c r="NML1738" s="631"/>
      <c r="NMM1738" s="631"/>
      <c r="NMN1738" s="631"/>
      <c r="NMO1738" s="631"/>
      <c r="NMP1738" s="631"/>
      <c r="NMQ1738" s="631"/>
      <c r="NMR1738" s="631"/>
      <c r="NMS1738" s="666" t="s">
        <v>799</v>
      </c>
      <c r="NMT1738" s="631">
        <f t="shared" ref="NMT1738" si="722">NMJ1738</f>
        <v>8</v>
      </c>
      <c r="NMU1738" s="657" t="s">
        <v>2</v>
      </c>
      <c r="NMV1738" s="736"/>
      <c r="NMW1738" s="737"/>
      <c r="NMX1738" s="665" t="s">
        <v>1413</v>
      </c>
      <c r="NMZ1738" s="629">
        <v>8</v>
      </c>
      <c r="NNA1738" s="662"/>
      <c r="NNB1738" s="631"/>
      <c r="NNC1738" s="631"/>
      <c r="NND1738" s="631"/>
      <c r="NNE1738" s="631"/>
      <c r="NNF1738" s="631"/>
      <c r="NNG1738" s="631"/>
      <c r="NNH1738" s="631"/>
      <c r="NNI1738" s="666" t="s">
        <v>799</v>
      </c>
      <c r="NNJ1738" s="631">
        <f t="shared" ref="NNJ1738" si="723">NMZ1738</f>
        <v>8</v>
      </c>
      <c r="NNK1738" s="657" t="s">
        <v>2</v>
      </c>
      <c r="NNL1738" s="736"/>
      <c r="NNM1738" s="737"/>
      <c r="NNN1738" s="665" t="s">
        <v>1413</v>
      </c>
      <c r="NNP1738" s="629">
        <v>8</v>
      </c>
      <c r="NNQ1738" s="662"/>
      <c r="NNR1738" s="631"/>
      <c r="NNS1738" s="631"/>
      <c r="NNT1738" s="631"/>
      <c r="NNU1738" s="631"/>
      <c r="NNV1738" s="631"/>
      <c r="NNW1738" s="631"/>
      <c r="NNX1738" s="631"/>
      <c r="NNY1738" s="666" t="s">
        <v>799</v>
      </c>
      <c r="NNZ1738" s="631">
        <f t="shared" ref="NNZ1738" si="724">NNP1738</f>
        <v>8</v>
      </c>
      <c r="NOA1738" s="657" t="s">
        <v>2</v>
      </c>
      <c r="NOB1738" s="736"/>
      <c r="NOC1738" s="737"/>
      <c r="NOD1738" s="665" t="s">
        <v>1413</v>
      </c>
      <c r="NOF1738" s="629">
        <v>8</v>
      </c>
      <c r="NOG1738" s="662"/>
      <c r="NOH1738" s="631"/>
      <c r="NOI1738" s="631"/>
      <c r="NOJ1738" s="631"/>
      <c r="NOK1738" s="631"/>
      <c r="NOL1738" s="631"/>
      <c r="NOM1738" s="631"/>
      <c r="NON1738" s="631"/>
      <c r="NOO1738" s="666" t="s">
        <v>799</v>
      </c>
      <c r="NOP1738" s="631">
        <f t="shared" ref="NOP1738" si="725">NOF1738</f>
        <v>8</v>
      </c>
      <c r="NOQ1738" s="657" t="s">
        <v>2</v>
      </c>
      <c r="NOR1738" s="736"/>
      <c r="NOS1738" s="737"/>
      <c r="NOT1738" s="665" t="s">
        <v>1413</v>
      </c>
      <c r="NOV1738" s="629">
        <v>8</v>
      </c>
      <c r="NOW1738" s="662"/>
      <c r="NOX1738" s="631"/>
      <c r="NOY1738" s="631"/>
      <c r="NOZ1738" s="631"/>
      <c r="NPA1738" s="631"/>
      <c r="NPB1738" s="631"/>
      <c r="NPC1738" s="631"/>
      <c r="NPD1738" s="631"/>
      <c r="NPE1738" s="666" t="s">
        <v>799</v>
      </c>
      <c r="NPF1738" s="631">
        <f t="shared" ref="NPF1738" si="726">NOV1738</f>
        <v>8</v>
      </c>
      <c r="NPG1738" s="657" t="s">
        <v>2</v>
      </c>
      <c r="NPH1738" s="736"/>
      <c r="NPI1738" s="737"/>
      <c r="NPJ1738" s="665" t="s">
        <v>1413</v>
      </c>
      <c r="NPL1738" s="629">
        <v>8</v>
      </c>
      <c r="NPM1738" s="662"/>
      <c r="NPN1738" s="631"/>
      <c r="NPO1738" s="631"/>
      <c r="NPP1738" s="631"/>
      <c r="NPQ1738" s="631"/>
      <c r="NPR1738" s="631"/>
      <c r="NPS1738" s="631"/>
      <c r="NPT1738" s="631"/>
      <c r="NPU1738" s="666" t="s">
        <v>799</v>
      </c>
      <c r="NPV1738" s="631">
        <f t="shared" ref="NPV1738" si="727">NPL1738</f>
        <v>8</v>
      </c>
      <c r="NPW1738" s="657" t="s">
        <v>2</v>
      </c>
      <c r="NPX1738" s="736"/>
      <c r="NPY1738" s="737"/>
      <c r="NPZ1738" s="665" t="s">
        <v>1413</v>
      </c>
      <c r="NQB1738" s="629">
        <v>8</v>
      </c>
      <c r="NQC1738" s="662"/>
      <c r="NQD1738" s="631"/>
      <c r="NQE1738" s="631"/>
      <c r="NQF1738" s="631"/>
      <c r="NQG1738" s="631"/>
      <c r="NQH1738" s="631"/>
      <c r="NQI1738" s="631"/>
      <c r="NQJ1738" s="631"/>
      <c r="NQK1738" s="666" t="s">
        <v>799</v>
      </c>
      <c r="NQL1738" s="631">
        <f t="shared" ref="NQL1738" si="728">NQB1738</f>
        <v>8</v>
      </c>
      <c r="NQM1738" s="657" t="s">
        <v>2</v>
      </c>
      <c r="NQN1738" s="736"/>
      <c r="NQO1738" s="737"/>
      <c r="NQP1738" s="665" t="s">
        <v>1413</v>
      </c>
      <c r="NQR1738" s="629">
        <v>8</v>
      </c>
      <c r="NQS1738" s="662"/>
      <c r="NQT1738" s="631"/>
      <c r="NQU1738" s="631"/>
      <c r="NQV1738" s="631"/>
      <c r="NQW1738" s="631"/>
      <c r="NQX1738" s="631"/>
      <c r="NQY1738" s="631"/>
      <c r="NQZ1738" s="631"/>
      <c r="NRA1738" s="666" t="s">
        <v>799</v>
      </c>
      <c r="NRB1738" s="631">
        <f t="shared" ref="NRB1738" si="729">NQR1738</f>
        <v>8</v>
      </c>
      <c r="NRC1738" s="657" t="s">
        <v>2</v>
      </c>
      <c r="NRD1738" s="736"/>
      <c r="NRE1738" s="737"/>
      <c r="NRF1738" s="665" t="s">
        <v>1413</v>
      </c>
      <c r="NRH1738" s="629">
        <v>8</v>
      </c>
      <c r="NRI1738" s="662"/>
      <c r="NRJ1738" s="631"/>
      <c r="NRK1738" s="631"/>
      <c r="NRL1738" s="631"/>
      <c r="NRM1738" s="631"/>
      <c r="NRN1738" s="631"/>
      <c r="NRO1738" s="631"/>
      <c r="NRP1738" s="631"/>
      <c r="NRQ1738" s="666" t="s">
        <v>799</v>
      </c>
      <c r="NRR1738" s="631">
        <f t="shared" ref="NRR1738" si="730">NRH1738</f>
        <v>8</v>
      </c>
      <c r="NRS1738" s="657" t="s">
        <v>2</v>
      </c>
      <c r="NRT1738" s="736"/>
      <c r="NRU1738" s="737"/>
      <c r="NRV1738" s="665" t="s">
        <v>1413</v>
      </c>
      <c r="NRX1738" s="629">
        <v>8</v>
      </c>
      <c r="NRY1738" s="662"/>
      <c r="NRZ1738" s="631"/>
      <c r="NSA1738" s="631"/>
      <c r="NSB1738" s="631"/>
      <c r="NSC1738" s="631"/>
      <c r="NSD1738" s="631"/>
      <c r="NSE1738" s="631"/>
      <c r="NSF1738" s="631"/>
      <c r="NSG1738" s="666" t="s">
        <v>799</v>
      </c>
      <c r="NSH1738" s="631">
        <f t="shared" ref="NSH1738" si="731">NRX1738</f>
        <v>8</v>
      </c>
      <c r="NSI1738" s="657" t="s">
        <v>2</v>
      </c>
      <c r="NSJ1738" s="736"/>
      <c r="NSK1738" s="737"/>
      <c r="NSL1738" s="665" t="s">
        <v>1413</v>
      </c>
      <c r="NSN1738" s="629">
        <v>8</v>
      </c>
      <c r="NSO1738" s="662"/>
      <c r="NSP1738" s="631"/>
      <c r="NSQ1738" s="631"/>
      <c r="NSR1738" s="631"/>
      <c r="NSS1738" s="631"/>
      <c r="NST1738" s="631"/>
      <c r="NSU1738" s="631"/>
      <c r="NSV1738" s="631"/>
      <c r="NSW1738" s="666" t="s">
        <v>799</v>
      </c>
      <c r="NSX1738" s="631">
        <f t="shared" ref="NSX1738" si="732">NSN1738</f>
        <v>8</v>
      </c>
      <c r="NSY1738" s="657" t="s">
        <v>2</v>
      </c>
      <c r="NSZ1738" s="736"/>
      <c r="NTA1738" s="737"/>
      <c r="NTB1738" s="665" t="s">
        <v>1413</v>
      </c>
      <c r="NTD1738" s="629">
        <v>8</v>
      </c>
      <c r="NTE1738" s="662"/>
      <c r="NTF1738" s="631"/>
      <c r="NTG1738" s="631"/>
      <c r="NTH1738" s="631"/>
      <c r="NTI1738" s="631"/>
      <c r="NTJ1738" s="631"/>
      <c r="NTK1738" s="631"/>
      <c r="NTL1738" s="631"/>
      <c r="NTM1738" s="666" t="s">
        <v>799</v>
      </c>
      <c r="NTN1738" s="631">
        <f t="shared" ref="NTN1738" si="733">NTD1738</f>
        <v>8</v>
      </c>
      <c r="NTO1738" s="657" t="s">
        <v>2</v>
      </c>
      <c r="NTP1738" s="736"/>
      <c r="NTQ1738" s="737"/>
      <c r="NTR1738" s="665" t="s">
        <v>1413</v>
      </c>
      <c r="NTT1738" s="629">
        <v>8</v>
      </c>
      <c r="NTU1738" s="662"/>
      <c r="NTV1738" s="631"/>
      <c r="NTW1738" s="631"/>
      <c r="NTX1738" s="631"/>
      <c r="NTY1738" s="631"/>
      <c r="NTZ1738" s="631"/>
      <c r="NUA1738" s="631"/>
      <c r="NUB1738" s="631"/>
      <c r="NUC1738" s="666" t="s">
        <v>799</v>
      </c>
      <c r="NUD1738" s="631">
        <f t="shared" ref="NUD1738" si="734">NTT1738</f>
        <v>8</v>
      </c>
      <c r="NUE1738" s="657" t="s">
        <v>2</v>
      </c>
      <c r="NUF1738" s="736"/>
      <c r="NUG1738" s="737"/>
      <c r="NUH1738" s="665" t="s">
        <v>1413</v>
      </c>
      <c r="NUJ1738" s="629">
        <v>8</v>
      </c>
      <c r="NUK1738" s="662"/>
      <c r="NUL1738" s="631"/>
      <c r="NUM1738" s="631"/>
      <c r="NUN1738" s="631"/>
      <c r="NUO1738" s="631"/>
      <c r="NUP1738" s="631"/>
      <c r="NUQ1738" s="631"/>
      <c r="NUR1738" s="631"/>
      <c r="NUS1738" s="666" t="s">
        <v>799</v>
      </c>
      <c r="NUT1738" s="631">
        <f t="shared" ref="NUT1738" si="735">NUJ1738</f>
        <v>8</v>
      </c>
      <c r="NUU1738" s="657" t="s">
        <v>2</v>
      </c>
      <c r="NUV1738" s="736"/>
      <c r="NUW1738" s="737"/>
      <c r="NUX1738" s="665" t="s">
        <v>1413</v>
      </c>
      <c r="NUZ1738" s="629">
        <v>8</v>
      </c>
      <c r="NVA1738" s="662"/>
      <c r="NVB1738" s="631"/>
      <c r="NVC1738" s="631"/>
      <c r="NVD1738" s="631"/>
      <c r="NVE1738" s="631"/>
      <c r="NVF1738" s="631"/>
      <c r="NVG1738" s="631"/>
      <c r="NVH1738" s="631"/>
      <c r="NVI1738" s="666" t="s">
        <v>799</v>
      </c>
      <c r="NVJ1738" s="631">
        <f t="shared" ref="NVJ1738" si="736">NUZ1738</f>
        <v>8</v>
      </c>
      <c r="NVK1738" s="657" t="s">
        <v>2</v>
      </c>
      <c r="NVL1738" s="736"/>
      <c r="NVM1738" s="737"/>
      <c r="NVN1738" s="665" t="s">
        <v>1413</v>
      </c>
      <c r="NVP1738" s="629">
        <v>8</v>
      </c>
      <c r="NVQ1738" s="662"/>
      <c r="NVR1738" s="631"/>
      <c r="NVS1738" s="631"/>
      <c r="NVT1738" s="631"/>
      <c r="NVU1738" s="631"/>
      <c r="NVV1738" s="631"/>
      <c r="NVW1738" s="631"/>
      <c r="NVX1738" s="631"/>
      <c r="NVY1738" s="666" t="s">
        <v>799</v>
      </c>
      <c r="NVZ1738" s="631">
        <f t="shared" ref="NVZ1738" si="737">NVP1738</f>
        <v>8</v>
      </c>
      <c r="NWA1738" s="657" t="s">
        <v>2</v>
      </c>
      <c r="NWB1738" s="736"/>
      <c r="NWC1738" s="737"/>
      <c r="NWD1738" s="665" t="s">
        <v>1413</v>
      </c>
      <c r="NWF1738" s="629">
        <v>8</v>
      </c>
      <c r="NWG1738" s="662"/>
      <c r="NWH1738" s="631"/>
      <c r="NWI1738" s="631"/>
      <c r="NWJ1738" s="631"/>
      <c r="NWK1738" s="631"/>
      <c r="NWL1738" s="631"/>
      <c r="NWM1738" s="631"/>
      <c r="NWN1738" s="631"/>
      <c r="NWO1738" s="666" t="s">
        <v>799</v>
      </c>
      <c r="NWP1738" s="631">
        <f t="shared" ref="NWP1738" si="738">NWF1738</f>
        <v>8</v>
      </c>
      <c r="NWQ1738" s="657" t="s">
        <v>2</v>
      </c>
      <c r="NWR1738" s="736"/>
      <c r="NWS1738" s="737"/>
      <c r="NWT1738" s="665" t="s">
        <v>1413</v>
      </c>
      <c r="NWV1738" s="629">
        <v>8</v>
      </c>
      <c r="NWW1738" s="662"/>
      <c r="NWX1738" s="631"/>
      <c r="NWY1738" s="631"/>
      <c r="NWZ1738" s="631"/>
      <c r="NXA1738" s="631"/>
      <c r="NXB1738" s="631"/>
      <c r="NXC1738" s="631"/>
      <c r="NXD1738" s="631"/>
      <c r="NXE1738" s="666" t="s">
        <v>799</v>
      </c>
      <c r="NXF1738" s="631">
        <f t="shared" ref="NXF1738" si="739">NWV1738</f>
        <v>8</v>
      </c>
      <c r="NXG1738" s="657" t="s">
        <v>2</v>
      </c>
      <c r="NXH1738" s="736"/>
      <c r="NXI1738" s="737"/>
      <c r="NXJ1738" s="665" t="s">
        <v>1413</v>
      </c>
      <c r="NXL1738" s="629">
        <v>8</v>
      </c>
      <c r="NXM1738" s="662"/>
      <c r="NXN1738" s="631"/>
      <c r="NXO1738" s="631"/>
      <c r="NXP1738" s="631"/>
      <c r="NXQ1738" s="631"/>
      <c r="NXR1738" s="631"/>
      <c r="NXS1738" s="631"/>
      <c r="NXT1738" s="631"/>
      <c r="NXU1738" s="666" t="s">
        <v>799</v>
      </c>
      <c r="NXV1738" s="631">
        <f t="shared" ref="NXV1738" si="740">NXL1738</f>
        <v>8</v>
      </c>
      <c r="NXW1738" s="657" t="s">
        <v>2</v>
      </c>
      <c r="NXX1738" s="736"/>
      <c r="NXY1738" s="737"/>
      <c r="NXZ1738" s="665" t="s">
        <v>1413</v>
      </c>
      <c r="NYB1738" s="629">
        <v>8</v>
      </c>
      <c r="NYC1738" s="662"/>
      <c r="NYD1738" s="631"/>
      <c r="NYE1738" s="631"/>
      <c r="NYF1738" s="631"/>
      <c r="NYG1738" s="631"/>
      <c r="NYH1738" s="631"/>
      <c r="NYI1738" s="631"/>
      <c r="NYJ1738" s="631"/>
      <c r="NYK1738" s="666" t="s">
        <v>799</v>
      </c>
      <c r="NYL1738" s="631">
        <f t="shared" ref="NYL1738" si="741">NYB1738</f>
        <v>8</v>
      </c>
      <c r="NYM1738" s="657" t="s">
        <v>2</v>
      </c>
      <c r="NYN1738" s="736"/>
      <c r="NYO1738" s="737"/>
      <c r="NYP1738" s="665" t="s">
        <v>1413</v>
      </c>
      <c r="NYR1738" s="629">
        <v>8</v>
      </c>
      <c r="NYS1738" s="662"/>
      <c r="NYT1738" s="631"/>
      <c r="NYU1738" s="631"/>
      <c r="NYV1738" s="631"/>
      <c r="NYW1738" s="631"/>
      <c r="NYX1738" s="631"/>
      <c r="NYY1738" s="631"/>
      <c r="NYZ1738" s="631"/>
      <c r="NZA1738" s="666" t="s">
        <v>799</v>
      </c>
      <c r="NZB1738" s="631">
        <f t="shared" ref="NZB1738" si="742">NYR1738</f>
        <v>8</v>
      </c>
      <c r="NZC1738" s="657" t="s">
        <v>2</v>
      </c>
      <c r="NZD1738" s="736"/>
      <c r="NZE1738" s="737"/>
      <c r="NZF1738" s="665" t="s">
        <v>1413</v>
      </c>
      <c r="NZH1738" s="629">
        <v>8</v>
      </c>
      <c r="NZI1738" s="662"/>
      <c r="NZJ1738" s="631"/>
      <c r="NZK1738" s="631"/>
      <c r="NZL1738" s="631"/>
      <c r="NZM1738" s="631"/>
      <c r="NZN1738" s="631"/>
      <c r="NZO1738" s="631"/>
      <c r="NZP1738" s="631"/>
      <c r="NZQ1738" s="666" t="s">
        <v>799</v>
      </c>
      <c r="NZR1738" s="631">
        <f t="shared" ref="NZR1738" si="743">NZH1738</f>
        <v>8</v>
      </c>
      <c r="NZS1738" s="657" t="s">
        <v>2</v>
      </c>
      <c r="NZT1738" s="736"/>
      <c r="NZU1738" s="737"/>
      <c r="NZV1738" s="665" t="s">
        <v>1413</v>
      </c>
      <c r="NZX1738" s="629">
        <v>8</v>
      </c>
      <c r="NZY1738" s="662"/>
      <c r="NZZ1738" s="631"/>
      <c r="OAA1738" s="631"/>
      <c r="OAB1738" s="631"/>
      <c r="OAC1738" s="631"/>
      <c r="OAD1738" s="631"/>
      <c r="OAE1738" s="631"/>
      <c r="OAF1738" s="631"/>
      <c r="OAG1738" s="666" t="s">
        <v>799</v>
      </c>
      <c r="OAH1738" s="631">
        <f t="shared" ref="OAH1738" si="744">NZX1738</f>
        <v>8</v>
      </c>
      <c r="OAI1738" s="657" t="s">
        <v>2</v>
      </c>
      <c r="OAJ1738" s="736"/>
      <c r="OAK1738" s="737"/>
      <c r="OAL1738" s="665" t="s">
        <v>1413</v>
      </c>
      <c r="OAN1738" s="629">
        <v>8</v>
      </c>
      <c r="OAO1738" s="662"/>
      <c r="OAP1738" s="631"/>
      <c r="OAQ1738" s="631"/>
      <c r="OAR1738" s="631"/>
      <c r="OAS1738" s="631"/>
      <c r="OAT1738" s="631"/>
      <c r="OAU1738" s="631"/>
      <c r="OAV1738" s="631"/>
      <c r="OAW1738" s="666" t="s">
        <v>799</v>
      </c>
      <c r="OAX1738" s="631">
        <f t="shared" ref="OAX1738" si="745">OAN1738</f>
        <v>8</v>
      </c>
      <c r="OAY1738" s="657" t="s">
        <v>2</v>
      </c>
      <c r="OAZ1738" s="736"/>
      <c r="OBA1738" s="737"/>
      <c r="OBB1738" s="665" t="s">
        <v>1413</v>
      </c>
      <c r="OBD1738" s="629">
        <v>8</v>
      </c>
      <c r="OBE1738" s="662"/>
      <c r="OBF1738" s="631"/>
      <c r="OBG1738" s="631"/>
      <c r="OBH1738" s="631"/>
      <c r="OBI1738" s="631"/>
      <c r="OBJ1738" s="631"/>
      <c r="OBK1738" s="631"/>
      <c r="OBL1738" s="631"/>
      <c r="OBM1738" s="666" t="s">
        <v>799</v>
      </c>
      <c r="OBN1738" s="631">
        <f t="shared" ref="OBN1738" si="746">OBD1738</f>
        <v>8</v>
      </c>
      <c r="OBO1738" s="657" t="s">
        <v>2</v>
      </c>
      <c r="OBP1738" s="736"/>
      <c r="OBQ1738" s="737"/>
      <c r="OBR1738" s="665" t="s">
        <v>1413</v>
      </c>
      <c r="OBT1738" s="629">
        <v>8</v>
      </c>
      <c r="OBU1738" s="662"/>
      <c r="OBV1738" s="631"/>
      <c r="OBW1738" s="631"/>
      <c r="OBX1738" s="631"/>
      <c r="OBY1738" s="631"/>
      <c r="OBZ1738" s="631"/>
      <c r="OCA1738" s="631"/>
      <c r="OCB1738" s="631"/>
      <c r="OCC1738" s="666" t="s">
        <v>799</v>
      </c>
      <c r="OCD1738" s="631">
        <f t="shared" ref="OCD1738" si="747">OBT1738</f>
        <v>8</v>
      </c>
      <c r="OCE1738" s="657" t="s">
        <v>2</v>
      </c>
      <c r="OCF1738" s="736"/>
      <c r="OCG1738" s="737"/>
      <c r="OCH1738" s="665" t="s">
        <v>1413</v>
      </c>
      <c r="OCJ1738" s="629">
        <v>8</v>
      </c>
      <c r="OCK1738" s="662"/>
      <c r="OCL1738" s="631"/>
      <c r="OCM1738" s="631"/>
      <c r="OCN1738" s="631"/>
      <c r="OCO1738" s="631"/>
      <c r="OCP1738" s="631"/>
      <c r="OCQ1738" s="631"/>
      <c r="OCR1738" s="631"/>
      <c r="OCS1738" s="666" t="s">
        <v>799</v>
      </c>
      <c r="OCT1738" s="631">
        <f t="shared" ref="OCT1738" si="748">OCJ1738</f>
        <v>8</v>
      </c>
      <c r="OCU1738" s="657" t="s">
        <v>2</v>
      </c>
      <c r="OCV1738" s="736"/>
      <c r="OCW1738" s="737"/>
      <c r="OCX1738" s="665" t="s">
        <v>1413</v>
      </c>
      <c r="OCZ1738" s="629">
        <v>8</v>
      </c>
      <c r="ODA1738" s="662"/>
      <c r="ODB1738" s="631"/>
      <c r="ODC1738" s="631"/>
      <c r="ODD1738" s="631"/>
      <c r="ODE1738" s="631"/>
      <c r="ODF1738" s="631"/>
      <c r="ODG1738" s="631"/>
      <c r="ODH1738" s="631"/>
      <c r="ODI1738" s="666" t="s">
        <v>799</v>
      </c>
      <c r="ODJ1738" s="631">
        <f t="shared" ref="ODJ1738" si="749">OCZ1738</f>
        <v>8</v>
      </c>
      <c r="ODK1738" s="657" t="s">
        <v>2</v>
      </c>
      <c r="ODL1738" s="736"/>
      <c r="ODM1738" s="737"/>
      <c r="ODN1738" s="665" t="s">
        <v>1413</v>
      </c>
      <c r="ODP1738" s="629">
        <v>8</v>
      </c>
      <c r="ODQ1738" s="662"/>
      <c r="ODR1738" s="631"/>
      <c r="ODS1738" s="631"/>
      <c r="ODT1738" s="631"/>
      <c r="ODU1738" s="631"/>
      <c r="ODV1738" s="631"/>
      <c r="ODW1738" s="631"/>
      <c r="ODX1738" s="631"/>
      <c r="ODY1738" s="666" t="s">
        <v>799</v>
      </c>
      <c r="ODZ1738" s="631">
        <f t="shared" ref="ODZ1738" si="750">ODP1738</f>
        <v>8</v>
      </c>
      <c r="OEA1738" s="657" t="s">
        <v>2</v>
      </c>
      <c r="OEB1738" s="736"/>
      <c r="OEC1738" s="737"/>
      <c r="OED1738" s="665" t="s">
        <v>1413</v>
      </c>
      <c r="OEF1738" s="629">
        <v>8</v>
      </c>
      <c r="OEG1738" s="662"/>
      <c r="OEH1738" s="631"/>
      <c r="OEI1738" s="631"/>
      <c r="OEJ1738" s="631"/>
      <c r="OEK1738" s="631"/>
      <c r="OEL1738" s="631"/>
      <c r="OEM1738" s="631"/>
      <c r="OEN1738" s="631"/>
      <c r="OEO1738" s="666" t="s">
        <v>799</v>
      </c>
      <c r="OEP1738" s="631">
        <f t="shared" ref="OEP1738" si="751">OEF1738</f>
        <v>8</v>
      </c>
      <c r="OEQ1738" s="657" t="s">
        <v>2</v>
      </c>
      <c r="OER1738" s="736"/>
      <c r="OES1738" s="737"/>
      <c r="OET1738" s="665" t="s">
        <v>1413</v>
      </c>
      <c r="OEV1738" s="629">
        <v>8</v>
      </c>
      <c r="OEW1738" s="662"/>
      <c r="OEX1738" s="631"/>
      <c r="OEY1738" s="631"/>
      <c r="OEZ1738" s="631"/>
      <c r="OFA1738" s="631"/>
      <c r="OFB1738" s="631"/>
      <c r="OFC1738" s="631"/>
      <c r="OFD1738" s="631"/>
      <c r="OFE1738" s="666" t="s">
        <v>799</v>
      </c>
      <c r="OFF1738" s="631">
        <f t="shared" ref="OFF1738" si="752">OEV1738</f>
        <v>8</v>
      </c>
      <c r="OFG1738" s="657" t="s">
        <v>2</v>
      </c>
      <c r="OFH1738" s="736"/>
      <c r="OFI1738" s="737"/>
      <c r="OFJ1738" s="665" t="s">
        <v>1413</v>
      </c>
      <c r="OFL1738" s="629">
        <v>8</v>
      </c>
      <c r="OFM1738" s="662"/>
      <c r="OFN1738" s="631"/>
      <c r="OFO1738" s="631"/>
      <c r="OFP1738" s="631"/>
      <c r="OFQ1738" s="631"/>
      <c r="OFR1738" s="631"/>
      <c r="OFS1738" s="631"/>
      <c r="OFT1738" s="631"/>
      <c r="OFU1738" s="666" t="s">
        <v>799</v>
      </c>
      <c r="OFV1738" s="631">
        <f t="shared" ref="OFV1738" si="753">OFL1738</f>
        <v>8</v>
      </c>
      <c r="OFW1738" s="657" t="s">
        <v>2</v>
      </c>
      <c r="OFX1738" s="736"/>
      <c r="OFY1738" s="737"/>
      <c r="OFZ1738" s="665" t="s">
        <v>1413</v>
      </c>
      <c r="OGB1738" s="629">
        <v>8</v>
      </c>
      <c r="OGC1738" s="662"/>
      <c r="OGD1738" s="631"/>
      <c r="OGE1738" s="631"/>
      <c r="OGF1738" s="631"/>
      <c r="OGG1738" s="631"/>
      <c r="OGH1738" s="631"/>
      <c r="OGI1738" s="631"/>
      <c r="OGJ1738" s="631"/>
      <c r="OGK1738" s="666" t="s">
        <v>799</v>
      </c>
      <c r="OGL1738" s="631">
        <f t="shared" ref="OGL1738" si="754">OGB1738</f>
        <v>8</v>
      </c>
      <c r="OGM1738" s="657" t="s">
        <v>2</v>
      </c>
      <c r="OGN1738" s="736"/>
      <c r="OGO1738" s="737"/>
      <c r="OGP1738" s="665" t="s">
        <v>1413</v>
      </c>
      <c r="OGR1738" s="629">
        <v>8</v>
      </c>
      <c r="OGS1738" s="662"/>
      <c r="OGT1738" s="631"/>
      <c r="OGU1738" s="631"/>
      <c r="OGV1738" s="631"/>
      <c r="OGW1738" s="631"/>
      <c r="OGX1738" s="631"/>
      <c r="OGY1738" s="631"/>
      <c r="OGZ1738" s="631"/>
      <c r="OHA1738" s="666" t="s">
        <v>799</v>
      </c>
      <c r="OHB1738" s="631">
        <f t="shared" ref="OHB1738" si="755">OGR1738</f>
        <v>8</v>
      </c>
      <c r="OHC1738" s="657" t="s">
        <v>2</v>
      </c>
      <c r="OHD1738" s="736"/>
      <c r="OHE1738" s="737"/>
      <c r="OHF1738" s="665" t="s">
        <v>1413</v>
      </c>
      <c r="OHH1738" s="629">
        <v>8</v>
      </c>
      <c r="OHI1738" s="662"/>
      <c r="OHJ1738" s="631"/>
      <c r="OHK1738" s="631"/>
      <c r="OHL1738" s="631"/>
      <c r="OHM1738" s="631"/>
      <c r="OHN1738" s="631"/>
      <c r="OHO1738" s="631"/>
      <c r="OHP1738" s="631"/>
      <c r="OHQ1738" s="666" t="s">
        <v>799</v>
      </c>
      <c r="OHR1738" s="631">
        <f t="shared" ref="OHR1738" si="756">OHH1738</f>
        <v>8</v>
      </c>
      <c r="OHS1738" s="657" t="s">
        <v>2</v>
      </c>
      <c r="OHT1738" s="736"/>
      <c r="OHU1738" s="737"/>
      <c r="OHV1738" s="665" t="s">
        <v>1413</v>
      </c>
      <c r="OHX1738" s="629">
        <v>8</v>
      </c>
      <c r="OHY1738" s="662"/>
      <c r="OHZ1738" s="631"/>
      <c r="OIA1738" s="631"/>
      <c r="OIB1738" s="631"/>
      <c r="OIC1738" s="631"/>
      <c r="OID1738" s="631"/>
      <c r="OIE1738" s="631"/>
      <c r="OIF1738" s="631"/>
      <c r="OIG1738" s="666" t="s">
        <v>799</v>
      </c>
      <c r="OIH1738" s="631">
        <f t="shared" ref="OIH1738" si="757">OHX1738</f>
        <v>8</v>
      </c>
      <c r="OII1738" s="657" t="s">
        <v>2</v>
      </c>
      <c r="OIJ1738" s="736"/>
      <c r="OIK1738" s="737"/>
      <c r="OIL1738" s="665" t="s">
        <v>1413</v>
      </c>
      <c r="OIN1738" s="629">
        <v>8</v>
      </c>
      <c r="OIO1738" s="662"/>
      <c r="OIP1738" s="631"/>
      <c r="OIQ1738" s="631"/>
      <c r="OIR1738" s="631"/>
      <c r="OIS1738" s="631"/>
      <c r="OIT1738" s="631"/>
      <c r="OIU1738" s="631"/>
      <c r="OIV1738" s="631"/>
      <c r="OIW1738" s="666" t="s">
        <v>799</v>
      </c>
      <c r="OIX1738" s="631">
        <f t="shared" ref="OIX1738" si="758">OIN1738</f>
        <v>8</v>
      </c>
      <c r="OIY1738" s="657" t="s">
        <v>2</v>
      </c>
      <c r="OIZ1738" s="736"/>
      <c r="OJA1738" s="737"/>
      <c r="OJB1738" s="665" t="s">
        <v>1413</v>
      </c>
      <c r="OJD1738" s="629">
        <v>8</v>
      </c>
      <c r="OJE1738" s="662"/>
      <c r="OJF1738" s="631"/>
      <c r="OJG1738" s="631"/>
      <c r="OJH1738" s="631"/>
      <c r="OJI1738" s="631"/>
      <c r="OJJ1738" s="631"/>
      <c r="OJK1738" s="631"/>
      <c r="OJL1738" s="631"/>
      <c r="OJM1738" s="666" t="s">
        <v>799</v>
      </c>
      <c r="OJN1738" s="631">
        <f t="shared" ref="OJN1738" si="759">OJD1738</f>
        <v>8</v>
      </c>
      <c r="OJO1738" s="657" t="s">
        <v>2</v>
      </c>
      <c r="OJP1738" s="736"/>
      <c r="OJQ1738" s="737"/>
      <c r="OJR1738" s="665" t="s">
        <v>1413</v>
      </c>
      <c r="OJT1738" s="629">
        <v>8</v>
      </c>
      <c r="OJU1738" s="662"/>
      <c r="OJV1738" s="631"/>
      <c r="OJW1738" s="631"/>
      <c r="OJX1738" s="631"/>
      <c r="OJY1738" s="631"/>
      <c r="OJZ1738" s="631"/>
      <c r="OKA1738" s="631"/>
      <c r="OKB1738" s="631"/>
      <c r="OKC1738" s="666" t="s">
        <v>799</v>
      </c>
      <c r="OKD1738" s="631">
        <f t="shared" ref="OKD1738" si="760">OJT1738</f>
        <v>8</v>
      </c>
      <c r="OKE1738" s="657" t="s">
        <v>2</v>
      </c>
      <c r="OKF1738" s="736"/>
      <c r="OKG1738" s="737"/>
      <c r="OKH1738" s="665" t="s">
        <v>1413</v>
      </c>
      <c r="OKJ1738" s="629">
        <v>8</v>
      </c>
      <c r="OKK1738" s="662"/>
      <c r="OKL1738" s="631"/>
      <c r="OKM1738" s="631"/>
      <c r="OKN1738" s="631"/>
      <c r="OKO1738" s="631"/>
      <c r="OKP1738" s="631"/>
      <c r="OKQ1738" s="631"/>
      <c r="OKR1738" s="631"/>
      <c r="OKS1738" s="666" t="s">
        <v>799</v>
      </c>
      <c r="OKT1738" s="631">
        <f t="shared" ref="OKT1738" si="761">OKJ1738</f>
        <v>8</v>
      </c>
      <c r="OKU1738" s="657" t="s">
        <v>2</v>
      </c>
      <c r="OKV1738" s="736"/>
      <c r="OKW1738" s="737"/>
      <c r="OKX1738" s="665" t="s">
        <v>1413</v>
      </c>
      <c r="OKZ1738" s="629">
        <v>8</v>
      </c>
      <c r="OLA1738" s="662"/>
      <c r="OLB1738" s="631"/>
      <c r="OLC1738" s="631"/>
      <c r="OLD1738" s="631"/>
      <c r="OLE1738" s="631"/>
      <c r="OLF1738" s="631"/>
      <c r="OLG1738" s="631"/>
      <c r="OLH1738" s="631"/>
      <c r="OLI1738" s="666" t="s">
        <v>799</v>
      </c>
      <c r="OLJ1738" s="631">
        <f t="shared" ref="OLJ1738" si="762">OKZ1738</f>
        <v>8</v>
      </c>
      <c r="OLK1738" s="657" t="s">
        <v>2</v>
      </c>
      <c r="OLL1738" s="736"/>
      <c r="OLM1738" s="737"/>
      <c r="OLN1738" s="665" t="s">
        <v>1413</v>
      </c>
      <c r="OLP1738" s="629">
        <v>8</v>
      </c>
      <c r="OLQ1738" s="662"/>
      <c r="OLR1738" s="631"/>
      <c r="OLS1738" s="631"/>
      <c r="OLT1738" s="631"/>
      <c r="OLU1738" s="631"/>
      <c r="OLV1738" s="631"/>
      <c r="OLW1738" s="631"/>
      <c r="OLX1738" s="631"/>
      <c r="OLY1738" s="666" t="s">
        <v>799</v>
      </c>
      <c r="OLZ1738" s="631">
        <f t="shared" ref="OLZ1738" si="763">OLP1738</f>
        <v>8</v>
      </c>
      <c r="OMA1738" s="657" t="s">
        <v>2</v>
      </c>
      <c r="OMB1738" s="736"/>
      <c r="OMC1738" s="737"/>
      <c r="OMD1738" s="665" t="s">
        <v>1413</v>
      </c>
      <c r="OMF1738" s="629">
        <v>8</v>
      </c>
      <c r="OMG1738" s="662"/>
      <c r="OMH1738" s="631"/>
      <c r="OMI1738" s="631"/>
      <c r="OMJ1738" s="631"/>
      <c r="OMK1738" s="631"/>
      <c r="OML1738" s="631"/>
      <c r="OMM1738" s="631"/>
      <c r="OMN1738" s="631"/>
      <c r="OMO1738" s="666" t="s">
        <v>799</v>
      </c>
      <c r="OMP1738" s="631">
        <f t="shared" ref="OMP1738" si="764">OMF1738</f>
        <v>8</v>
      </c>
      <c r="OMQ1738" s="657" t="s">
        <v>2</v>
      </c>
      <c r="OMR1738" s="736"/>
      <c r="OMS1738" s="737"/>
      <c r="OMT1738" s="665" t="s">
        <v>1413</v>
      </c>
      <c r="OMV1738" s="629">
        <v>8</v>
      </c>
      <c r="OMW1738" s="662"/>
      <c r="OMX1738" s="631"/>
      <c r="OMY1738" s="631"/>
      <c r="OMZ1738" s="631"/>
      <c r="ONA1738" s="631"/>
      <c r="ONB1738" s="631"/>
      <c r="ONC1738" s="631"/>
      <c r="OND1738" s="631"/>
      <c r="ONE1738" s="666" t="s">
        <v>799</v>
      </c>
      <c r="ONF1738" s="631">
        <f t="shared" ref="ONF1738" si="765">OMV1738</f>
        <v>8</v>
      </c>
      <c r="ONG1738" s="657" t="s">
        <v>2</v>
      </c>
      <c r="ONH1738" s="736"/>
      <c r="ONI1738" s="737"/>
      <c r="ONJ1738" s="665" t="s">
        <v>1413</v>
      </c>
      <c r="ONL1738" s="629">
        <v>8</v>
      </c>
      <c r="ONM1738" s="662"/>
      <c r="ONN1738" s="631"/>
      <c r="ONO1738" s="631"/>
      <c r="ONP1738" s="631"/>
      <c r="ONQ1738" s="631"/>
      <c r="ONR1738" s="631"/>
      <c r="ONS1738" s="631"/>
      <c r="ONT1738" s="631"/>
      <c r="ONU1738" s="666" t="s">
        <v>799</v>
      </c>
      <c r="ONV1738" s="631">
        <f t="shared" ref="ONV1738" si="766">ONL1738</f>
        <v>8</v>
      </c>
      <c r="ONW1738" s="657" t="s">
        <v>2</v>
      </c>
      <c r="ONX1738" s="736"/>
      <c r="ONY1738" s="737"/>
      <c r="ONZ1738" s="665" t="s">
        <v>1413</v>
      </c>
      <c r="OOB1738" s="629">
        <v>8</v>
      </c>
      <c r="OOC1738" s="662"/>
      <c r="OOD1738" s="631"/>
      <c r="OOE1738" s="631"/>
      <c r="OOF1738" s="631"/>
      <c r="OOG1738" s="631"/>
      <c r="OOH1738" s="631"/>
      <c r="OOI1738" s="631"/>
      <c r="OOJ1738" s="631"/>
      <c r="OOK1738" s="666" t="s">
        <v>799</v>
      </c>
      <c r="OOL1738" s="631">
        <f t="shared" ref="OOL1738" si="767">OOB1738</f>
        <v>8</v>
      </c>
      <c r="OOM1738" s="657" t="s">
        <v>2</v>
      </c>
      <c r="OON1738" s="736"/>
      <c r="OOO1738" s="737"/>
      <c r="OOP1738" s="665" t="s">
        <v>1413</v>
      </c>
      <c r="OOR1738" s="629">
        <v>8</v>
      </c>
      <c r="OOS1738" s="662"/>
      <c r="OOT1738" s="631"/>
      <c r="OOU1738" s="631"/>
      <c r="OOV1738" s="631"/>
      <c r="OOW1738" s="631"/>
      <c r="OOX1738" s="631"/>
      <c r="OOY1738" s="631"/>
      <c r="OOZ1738" s="631"/>
      <c r="OPA1738" s="666" t="s">
        <v>799</v>
      </c>
      <c r="OPB1738" s="631">
        <f t="shared" ref="OPB1738" si="768">OOR1738</f>
        <v>8</v>
      </c>
      <c r="OPC1738" s="657" t="s">
        <v>2</v>
      </c>
      <c r="OPD1738" s="736"/>
      <c r="OPE1738" s="737"/>
      <c r="OPF1738" s="665" t="s">
        <v>1413</v>
      </c>
      <c r="OPH1738" s="629">
        <v>8</v>
      </c>
      <c r="OPI1738" s="662"/>
      <c r="OPJ1738" s="631"/>
      <c r="OPK1738" s="631"/>
      <c r="OPL1738" s="631"/>
      <c r="OPM1738" s="631"/>
      <c r="OPN1738" s="631"/>
      <c r="OPO1738" s="631"/>
      <c r="OPP1738" s="631"/>
      <c r="OPQ1738" s="666" t="s">
        <v>799</v>
      </c>
      <c r="OPR1738" s="631">
        <f t="shared" ref="OPR1738" si="769">OPH1738</f>
        <v>8</v>
      </c>
      <c r="OPS1738" s="657" t="s">
        <v>2</v>
      </c>
      <c r="OPT1738" s="736"/>
      <c r="OPU1738" s="737"/>
      <c r="OPV1738" s="665" t="s">
        <v>1413</v>
      </c>
      <c r="OPX1738" s="629">
        <v>8</v>
      </c>
      <c r="OPY1738" s="662"/>
      <c r="OPZ1738" s="631"/>
      <c r="OQA1738" s="631"/>
      <c r="OQB1738" s="631"/>
      <c r="OQC1738" s="631"/>
      <c r="OQD1738" s="631"/>
      <c r="OQE1738" s="631"/>
      <c r="OQF1738" s="631"/>
      <c r="OQG1738" s="666" t="s">
        <v>799</v>
      </c>
      <c r="OQH1738" s="631">
        <f t="shared" ref="OQH1738" si="770">OPX1738</f>
        <v>8</v>
      </c>
      <c r="OQI1738" s="657" t="s">
        <v>2</v>
      </c>
      <c r="OQJ1738" s="736"/>
      <c r="OQK1738" s="737"/>
      <c r="OQL1738" s="665" t="s">
        <v>1413</v>
      </c>
      <c r="OQN1738" s="629">
        <v>8</v>
      </c>
      <c r="OQO1738" s="662"/>
      <c r="OQP1738" s="631"/>
      <c r="OQQ1738" s="631"/>
      <c r="OQR1738" s="631"/>
      <c r="OQS1738" s="631"/>
      <c r="OQT1738" s="631"/>
      <c r="OQU1738" s="631"/>
      <c r="OQV1738" s="631"/>
      <c r="OQW1738" s="666" t="s">
        <v>799</v>
      </c>
      <c r="OQX1738" s="631">
        <f t="shared" ref="OQX1738" si="771">OQN1738</f>
        <v>8</v>
      </c>
      <c r="OQY1738" s="657" t="s">
        <v>2</v>
      </c>
      <c r="OQZ1738" s="736"/>
      <c r="ORA1738" s="737"/>
      <c r="ORB1738" s="665" t="s">
        <v>1413</v>
      </c>
      <c r="ORD1738" s="629">
        <v>8</v>
      </c>
      <c r="ORE1738" s="662"/>
      <c r="ORF1738" s="631"/>
      <c r="ORG1738" s="631"/>
      <c r="ORH1738" s="631"/>
      <c r="ORI1738" s="631"/>
      <c r="ORJ1738" s="631"/>
      <c r="ORK1738" s="631"/>
      <c r="ORL1738" s="631"/>
      <c r="ORM1738" s="666" t="s">
        <v>799</v>
      </c>
      <c r="ORN1738" s="631">
        <f t="shared" ref="ORN1738" si="772">ORD1738</f>
        <v>8</v>
      </c>
      <c r="ORO1738" s="657" t="s">
        <v>2</v>
      </c>
      <c r="ORP1738" s="736"/>
      <c r="ORQ1738" s="737"/>
      <c r="ORR1738" s="665" t="s">
        <v>1413</v>
      </c>
      <c r="ORT1738" s="629">
        <v>8</v>
      </c>
      <c r="ORU1738" s="662"/>
      <c r="ORV1738" s="631"/>
      <c r="ORW1738" s="631"/>
      <c r="ORX1738" s="631"/>
      <c r="ORY1738" s="631"/>
      <c r="ORZ1738" s="631"/>
      <c r="OSA1738" s="631"/>
      <c r="OSB1738" s="631"/>
      <c r="OSC1738" s="666" t="s">
        <v>799</v>
      </c>
      <c r="OSD1738" s="631">
        <f t="shared" ref="OSD1738" si="773">ORT1738</f>
        <v>8</v>
      </c>
      <c r="OSE1738" s="657" t="s">
        <v>2</v>
      </c>
      <c r="OSF1738" s="736"/>
      <c r="OSG1738" s="737"/>
      <c r="OSH1738" s="665" t="s">
        <v>1413</v>
      </c>
      <c r="OSJ1738" s="629">
        <v>8</v>
      </c>
      <c r="OSK1738" s="662"/>
      <c r="OSL1738" s="631"/>
      <c r="OSM1738" s="631"/>
      <c r="OSN1738" s="631"/>
      <c r="OSO1738" s="631"/>
      <c r="OSP1738" s="631"/>
      <c r="OSQ1738" s="631"/>
      <c r="OSR1738" s="631"/>
      <c r="OSS1738" s="666" t="s">
        <v>799</v>
      </c>
      <c r="OST1738" s="631">
        <f t="shared" ref="OST1738" si="774">OSJ1738</f>
        <v>8</v>
      </c>
      <c r="OSU1738" s="657" t="s">
        <v>2</v>
      </c>
      <c r="OSV1738" s="736"/>
      <c r="OSW1738" s="737"/>
      <c r="OSX1738" s="665" t="s">
        <v>1413</v>
      </c>
      <c r="OSZ1738" s="629">
        <v>8</v>
      </c>
      <c r="OTA1738" s="662"/>
      <c r="OTB1738" s="631"/>
      <c r="OTC1738" s="631"/>
      <c r="OTD1738" s="631"/>
      <c r="OTE1738" s="631"/>
      <c r="OTF1738" s="631"/>
      <c r="OTG1738" s="631"/>
      <c r="OTH1738" s="631"/>
      <c r="OTI1738" s="666" t="s">
        <v>799</v>
      </c>
      <c r="OTJ1738" s="631">
        <f t="shared" ref="OTJ1738" si="775">OSZ1738</f>
        <v>8</v>
      </c>
      <c r="OTK1738" s="657" t="s">
        <v>2</v>
      </c>
      <c r="OTL1738" s="736"/>
      <c r="OTM1738" s="737"/>
      <c r="OTN1738" s="665" t="s">
        <v>1413</v>
      </c>
      <c r="OTP1738" s="629">
        <v>8</v>
      </c>
      <c r="OTQ1738" s="662"/>
      <c r="OTR1738" s="631"/>
      <c r="OTS1738" s="631"/>
      <c r="OTT1738" s="631"/>
      <c r="OTU1738" s="631"/>
      <c r="OTV1738" s="631"/>
      <c r="OTW1738" s="631"/>
      <c r="OTX1738" s="631"/>
      <c r="OTY1738" s="666" t="s">
        <v>799</v>
      </c>
      <c r="OTZ1738" s="631">
        <f t="shared" ref="OTZ1738" si="776">OTP1738</f>
        <v>8</v>
      </c>
      <c r="OUA1738" s="657" t="s">
        <v>2</v>
      </c>
      <c r="OUB1738" s="736"/>
      <c r="OUC1738" s="737"/>
      <c r="OUD1738" s="665" t="s">
        <v>1413</v>
      </c>
      <c r="OUF1738" s="629">
        <v>8</v>
      </c>
      <c r="OUG1738" s="662"/>
      <c r="OUH1738" s="631"/>
      <c r="OUI1738" s="631"/>
      <c r="OUJ1738" s="631"/>
      <c r="OUK1738" s="631"/>
      <c r="OUL1738" s="631"/>
      <c r="OUM1738" s="631"/>
      <c r="OUN1738" s="631"/>
      <c r="OUO1738" s="666" t="s">
        <v>799</v>
      </c>
      <c r="OUP1738" s="631">
        <f t="shared" ref="OUP1738" si="777">OUF1738</f>
        <v>8</v>
      </c>
      <c r="OUQ1738" s="657" t="s">
        <v>2</v>
      </c>
      <c r="OUR1738" s="736"/>
      <c r="OUS1738" s="737"/>
      <c r="OUT1738" s="665" t="s">
        <v>1413</v>
      </c>
      <c r="OUV1738" s="629">
        <v>8</v>
      </c>
      <c r="OUW1738" s="662"/>
      <c r="OUX1738" s="631"/>
      <c r="OUY1738" s="631"/>
      <c r="OUZ1738" s="631"/>
      <c r="OVA1738" s="631"/>
      <c r="OVB1738" s="631"/>
      <c r="OVC1738" s="631"/>
      <c r="OVD1738" s="631"/>
      <c r="OVE1738" s="666" t="s">
        <v>799</v>
      </c>
      <c r="OVF1738" s="631">
        <f t="shared" ref="OVF1738" si="778">OUV1738</f>
        <v>8</v>
      </c>
      <c r="OVG1738" s="657" t="s">
        <v>2</v>
      </c>
      <c r="OVH1738" s="736"/>
      <c r="OVI1738" s="737"/>
      <c r="OVJ1738" s="665" t="s">
        <v>1413</v>
      </c>
      <c r="OVL1738" s="629">
        <v>8</v>
      </c>
      <c r="OVM1738" s="662"/>
      <c r="OVN1738" s="631"/>
      <c r="OVO1738" s="631"/>
      <c r="OVP1738" s="631"/>
      <c r="OVQ1738" s="631"/>
      <c r="OVR1738" s="631"/>
      <c r="OVS1738" s="631"/>
      <c r="OVT1738" s="631"/>
      <c r="OVU1738" s="666" t="s">
        <v>799</v>
      </c>
      <c r="OVV1738" s="631">
        <f t="shared" ref="OVV1738" si="779">OVL1738</f>
        <v>8</v>
      </c>
      <c r="OVW1738" s="657" t="s">
        <v>2</v>
      </c>
      <c r="OVX1738" s="736"/>
      <c r="OVY1738" s="737"/>
      <c r="OVZ1738" s="665" t="s">
        <v>1413</v>
      </c>
      <c r="OWB1738" s="629">
        <v>8</v>
      </c>
      <c r="OWC1738" s="662"/>
      <c r="OWD1738" s="631"/>
      <c r="OWE1738" s="631"/>
      <c r="OWF1738" s="631"/>
      <c r="OWG1738" s="631"/>
      <c r="OWH1738" s="631"/>
      <c r="OWI1738" s="631"/>
      <c r="OWJ1738" s="631"/>
      <c r="OWK1738" s="666" t="s">
        <v>799</v>
      </c>
      <c r="OWL1738" s="631">
        <f t="shared" ref="OWL1738" si="780">OWB1738</f>
        <v>8</v>
      </c>
      <c r="OWM1738" s="657" t="s">
        <v>2</v>
      </c>
      <c r="OWN1738" s="736"/>
      <c r="OWO1738" s="737"/>
      <c r="OWP1738" s="665" t="s">
        <v>1413</v>
      </c>
      <c r="OWR1738" s="629">
        <v>8</v>
      </c>
      <c r="OWS1738" s="662"/>
      <c r="OWT1738" s="631"/>
      <c r="OWU1738" s="631"/>
      <c r="OWV1738" s="631"/>
      <c r="OWW1738" s="631"/>
      <c r="OWX1738" s="631"/>
      <c r="OWY1738" s="631"/>
      <c r="OWZ1738" s="631"/>
      <c r="OXA1738" s="666" t="s">
        <v>799</v>
      </c>
      <c r="OXB1738" s="631">
        <f t="shared" ref="OXB1738" si="781">OWR1738</f>
        <v>8</v>
      </c>
      <c r="OXC1738" s="657" t="s">
        <v>2</v>
      </c>
      <c r="OXD1738" s="736"/>
      <c r="OXE1738" s="737"/>
      <c r="OXF1738" s="665" t="s">
        <v>1413</v>
      </c>
      <c r="OXH1738" s="629">
        <v>8</v>
      </c>
      <c r="OXI1738" s="662"/>
      <c r="OXJ1738" s="631"/>
      <c r="OXK1738" s="631"/>
      <c r="OXL1738" s="631"/>
      <c r="OXM1738" s="631"/>
      <c r="OXN1738" s="631"/>
      <c r="OXO1738" s="631"/>
      <c r="OXP1738" s="631"/>
      <c r="OXQ1738" s="666" t="s">
        <v>799</v>
      </c>
      <c r="OXR1738" s="631">
        <f t="shared" ref="OXR1738" si="782">OXH1738</f>
        <v>8</v>
      </c>
      <c r="OXS1738" s="657" t="s">
        <v>2</v>
      </c>
      <c r="OXT1738" s="736"/>
      <c r="OXU1738" s="737"/>
      <c r="OXV1738" s="665" t="s">
        <v>1413</v>
      </c>
      <c r="OXX1738" s="629">
        <v>8</v>
      </c>
      <c r="OXY1738" s="662"/>
      <c r="OXZ1738" s="631"/>
      <c r="OYA1738" s="631"/>
      <c r="OYB1738" s="631"/>
      <c r="OYC1738" s="631"/>
      <c r="OYD1738" s="631"/>
      <c r="OYE1738" s="631"/>
      <c r="OYF1738" s="631"/>
      <c r="OYG1738" s="666" t="s">
        <v>799</v>
      </c>
      <c r="OYH1738" s="631">
        <f t="shared" ref="OYH1738" si="783">OXX1738</f>
        <v>8</v>
      </c>
      <c r="OYI1738" s="657" t="s">
        <v>2</v>
      </c>
      <c r="OYJ1738" s="736"/>
      <c r="OYK1738" s="737"/>
      <c r="OYL1738" s="665" t="s">
        <v>1413</v>
      </c>
      <c r="OYN1738" s="629">
        <v>8</v>
      </c>
      <c r="OYO1738" s="662"/>
      <c r="OYP1738" s="631"/>
      <c r="OYQ1738" s="631"/>
      <c r="OYR1738" s="631"/>
      <c r="OYS1738" s="631"/>
      <c r="OYT1738" s="631"/>
      <c r="OYU1738" s="631"/>
      <c r="OYV1738" s="631"/>
      <c r="OYW1738" s="666" t="s">
        <v>799</v>
      </c>
      <c r="OYX1738" s="631">
        <f t="shared" ref="OYX1738" si="784">OYN1738</f>
        <v>8</v>
      </c>
      <c r="OYY1738" s="657" t="s">
        <v>2</v>
      </c>
      <c r="OYZ1738" s="736"/>
      <c r="OZA1738" s="737"/>
      <c r="OZB1738" s="665" t="s">
        <v>1413</v>
      </c>
      <c r="OZD1738" s="629">
        <v>8</v>
      </c>
      <c r="OZE1738" s="662"/>
      <c r="OZF1738" s="631"/>
      <c r="OZG1738" s="631"/>
      <c r="OZH1738" s="631"/>
      <c r="OZI1738" s="631"/>
      <c r="OZJ1738" s="631"/>
      <c r="OZK1738" s="631"/>
      <c r="OZL1738" s="631"/>
      <c r="OZM1738" s="666" t="s">
        <v>799</v>
      </c>
      <c r="OZN1738" s="631">
        <f t="shared" ref="OZN1738" si="785">OZD1738</f>
        <v>8</v>
      </c>
      <c r="OZO1738" s="657" t="s">
        <v>2</v>
      </c>
      <c r="OZP1738" s="736"/>
      <c r="OZQ1738" s="737"/>
      <c r="OZR1738" s="665" t="s">
        <v>1413</v>
      </c>
      <c r="OZT1738" s="629">
        <v>8</v>
      </c>
      <c r="OZU1738" s="662"/>
      <c r="OZV1738" s="631"/>
      <c r="OZW1738" s="631"/>
      <c r="OZX1738" s="631"/>
      <c r="OZY1738" s="631"/>
      <c r="OZZ1738" s="631"/>
      <c r="PAA1738" s="631"/>
      <c r="PAB1738" s="631"/>
      <c r="PAC1738" s="666" t="s">
        <v>799</v>
      </c>
      <c r="PAD1738" s="631">
        <f t="shared" ref="PAD1738" si="786">OZT1738</f>
        <v>8</v>
      </c>
      <c r="PAE1738" s="657" t="s">
        <v>2</v>
      </c>
      <c r="PAF1738" s="736"/>
      <c r="PAG1738" s="737"/>
      <c r="PAH1738" s="665" t="s">
        <v>1413</v>
      </c>
      <c r="PAJ1738" s="629">
        <v>8</v>
      </c>
      <c r="PAK1738" s="662"/>
      <c r="PAL1738" s="631"/>
      <c r="PAM1738" s="631"/>
      <c r="PAN1738" s="631"/>
      <c r="PAO1738" s="631"/>
      <c r="PAP1738" s="631"/>
      <c r="PAQ1738" s="631"/>
      <c r="PAR1738" s="631"/>
      <c r="PAS1738" s="666" t="s">
        <v>799</v>
      </c>
      <c r="PAT1738" s="631">
        <f t="shared" ref="PAT1738" si="787">PAJ1738</f>
        <v>8</v>
      </c>
      <c r="PAU1738" s="657" t="s">
        <v>2</v>
      </c>
      <c r="PAV1738" s="736"/>
      <c r="PAW1738" s="737"/>
      <c r="PAX1738" s="665" t="s">
        <v>1413</v>
      </c>
      <c r="PAZ1738" s="629">
        <v>8</v>
      </c>
      <c r="PBA1738" s="662"/>
      <c r="PBB1738" s="631"/>
      <c r="PBC1738" s="631"/>
      <c r="PBD1738" s="631"/>
      <c r="PBE1738" s="631"/>
      <c r="PBF1738" s="631"/>
      <c r="PBG1738" s="631"/>
      <c r="PBH1738" s="631"/>
      <c r="PBI1738" s="666" t="s">
        <v>799</v>
      </c>
      <c r="PBJ1738" s="631">
        <f t="shared" ref="PBJ1738" si="788">PAZ1738</f>
        <v>8</v>
      </c>
      <c r="PBK1738" s="657" t="s">
        <v>2</v>
      </c>
      <c r="PBL1738" s="736"/>
      <c r="PBM1738" s="737"/>
      <c r="PBN1738" s="665" t="s">
        <v>1413</v>
      </c>
      <c r="PBP1738" s="629">
        <v>8</v>
      </c>
      <c r="PBQ1738" s="662"/>
      <c r="PBR1738" s="631"/>
      <c r="PBS1738" s="631"/>
      <c r="PBT1738" s="631"/>
      <c r="PBU1738" s="631"/>
      <c r="PBV1738" s="631"/>
      <c r="PBW1738" s="631"/>
      <c r="PBX1738" s="631"/>
      <c r="PBY1738" s="666" t="s">
        <v>799</v>
      </c>
      <c r="PBZ1738" s="631">
        <f t="shared" ref="PBZ1738" si="789">PBP1738</f>
        <v>8</v>
      </c>
      <c r="PCA1738" s="657" t="s">
        <v>2</v>
      </c>
      <c r="PCB1738" s="736"/>
      <c r="PCC1738" s="737"/>
      <c r="PCD1738" s="665" t="s">
        <v>1413</v>
      </c>
      <c r="PCF1738" s="629">
        <v>8</v>
      </c>
      <c r="PCG1738" s="662"/>
      <c r="PCH1738" s="631"/>
      <c r="PCI1738" s="631"/>
      <c r="PCJ1738" s="631"/>
      <c r="PCK1738" s="631"/>
      <c r="PCL1738" s="631"/>
      <c r="PCM1738" s="631"/>
      <c r="PCN1738" s="631"/>
      <c r="PCO1738" s="666" t="s">
        <v>799</v>
      </c>
      <c r="PCP1738" s="631">
        <f t="shared" ref="PCP1738" si="790">PCF1738</f>
        <v>8</v>
      </c>
      <c r="PCQ1738" s="657" t="s">
        <v>2</v>
      </c>
      <c r="PCR1738" s="736"/>
      <c r="PCS1738" s="737"/>
      <c r="PCT1738" s="665" t="s">
        <v>1413</v>
      </c>
      <c r="PCV1738" s="629">
        <v>8</v>
      </c>
      <c r="PCW1738" s="662"/>
      <c r="PCX1738" s="631"/>
      <c r="PCY1738" s="631"/>
      <c r="PCZ1738" s="631"/>
      <c r="PDA1738" s="631"/>
      <c r="PDB1738" s="631"/>
      <c r="PDC1738" s="631"/>
      <c r="PDD1738" s="631"/>
      <c r="PDE1738" s="666" t="s">
        <v>799</v>
      </c>
      <c r="PDF1738" s="631">
        <f t="shared" ref="PDF1738" si="791">PCV1738</f>
        <v>8</v>
      </c>
      <c r="PDG1738" s="657" t="s">
        <v>2</v>
      </c>
      <c r="PDH1738" s="736"/>
      <c r="PDI1738" s="737"/>
      <c r="PDJ1738" s="665" t="s">
        <v>1413</v>
      </c>
      <c r="PDL1738" s="629">
        <v>8</v>
      </c>
      <c r="PDM1738" s="662"/>
      <c r="PDN1738" s="631"/>
      <c r="PDO1738" s="631"/>
      <c r="PDP1738" s="631"/>
      <c r="PDQ1738" s="631"/>
      <c r="PDR1738" s="631"/>
      <c r="PDS1738" s="631"/>
      <c r="PDT1738" s="631"/>
      <c r="PDU1738" s="666" t="s">
        <v>799</v>
      </c>
      <c r="PDV1738" s="631">
        <f t="shared" ref="PDV1738" si="792">PDL1738</f>
        <v>8</v>
      </c>
      <c r="PDW1738" s="657" t="s">
        <v>2</v>
      </c>
      <c r="PDX1738" s="736"/>
      <c r="PDY1738" s="737"/>
      <c r="PDZ1738" s="665" t="s">
        <v>1413</v>
      </c>
      <c r="PEB1738" s="629">
        <v>8</v>
      </c>
      <c r="PEC1738" s="662"/>
      <c r="PED1738" s="631"/>
      <c r="PEE1738" s="631"/>
      <c r="PEF1738" s="631"/>
      <c r="PEG1738" s="631"/>
      <c r="PEH1738" s="631"/>
      <c r="PEI1738" s="631"/>
      <c r="PEJ1738" s="631"/>
      <c r="PEK1738" s="666" t="s">
        <v>799</v>
      </c>
      <c r="PEL1738" s="631">
        <f t="shared" ref="PEL1738" si="793">PEB1738</f>
        <v>8</v>
      </c>
      <c r="PEM1738" s="657" t="s">
        <v>2</v>
      </c>
      <c r="PEN1738" s="736"/>
      <c r="PEO1738" s="737"/>
      <c r="PEP1738" s="665" t="s">
        <v>1413</v>
      </c>
      <c r="PER1738" s="629">
        <v>8</v>
      </c>
      <c r="PES1738" s="662"/>
      <c r="PET1738" s="631"/>
      <c r="PEU1738" s="631"/>
      <c r="PEV1738" s="631"/>
      <c r="PEW1738" s="631"/>
      <c r="PEX1738" s="631"/>
      <c r="PEY1738" s="631"/>
      <c r="PEZ1738" s="631"/>
      <c r="PFA1738" s="666" t="s">
        <v>799</v>
      </c>
      <c r="PFB1738" s="631">
        <f t="shared" ref="PFB1738" si="794">PER1738</f>
        <v>8</v>
      </c>
      <c r="PFC1738" s="657" t="s">
        <v>2</v>
      </c>
      <c r="PFD1738" s="736"/>
      <c r="PFE1738" s="737"/>
      <c r="PFF1738" s="665" t="s">
        <v>1413</v>
      </c>
      <c r="PFH1738" s="629">
        <v>8</v>
      </c>
      <c r="PFI1738" s="662"/>
      <c r="PFJ1738" s="631"/>
      <c r="PFK1738" s="631"/>
      <c r="PFL1738" s="631"/>
      <c r="PFM1738" s="631"/>
      <c r="PFN1738" s="631"/>
      <c r="PFO1738" s="631"/>
      <c r="PFP1738" s="631"/>
      <c r="PFQ1738" s="666" t="s">
        <v>799</v>
      </c>
      <c r="PFR1738" s="631">
        <f t="shared" ref="PFR1738" si="795">PFH1738</f>
        <v>8</v>
      </c>
      <c r="PFS1738" s="657" t="s">
        <v>2</v>
      </c>
      <c r="PFT1738" s="736"/>
      <c r="PFU1738" s="737"/>
      <c r="PFV1738" s="665" t="s">
        <v>1413</v>
      </c>
      <c r="PFX1738" s="629">
        <v>8</v>
      </c>
      <c r="PFY1738" s="662"/>
      <c r="PFZ1738" s="631"/>
      <c r="PGA1738" s="631"/>
      <c r="PGB1738" s="631"/>
      <c r="PGC1738" s="631"/>
      <c r="PGD1738" s="631"/>
      <c r="PGE1738" s="631"/>
      <c r="PGF1738" s="631"/>
      <c r="PGG1738" s="666" t="s">
        <v>799</v>
      </c>
      <c r="PGH1738" s="631">
        <f t="shared" ref="PGH1738" si="796">PFX1738</f>
        <v>8</v>
      </c>
      <c r="PGI1738" s="657" t="s">
        <v>2</v>
      </c>
      <c r="PGJ1738" s="736"/>
      <c r="PGK1738" s="737"/>
      <c r="PGL1738" s="665" t="s">
        <v>1413</v>
      </c>
      <c r="PGN1738" s="629">
        <v>8</v>
      </c>
      <c r="PGO1738" s="662"/>
      <c r="PGP1738" s="631"/>
      <c r="PGQ1738" s="631"/>
      <c r="PGR1738" s="631"/>
      <c r="PGS1738" s="631"/>
      <c r="PGT1738" s="631"/>
      <c r="PGU1738" s="631"/>
      <c r="PGV1738" s="631"/>
      <c r="PGW1738" s="666" t="s">
        <v>799</v>
      </c>
      <c r="PGX1738" s="631">
        <f t="shared" ref="PGX1738" si="797">PGN1738</f>
        <v>8</v>
      </c>
      <c r="PGY1738" s="657" t="s">
        <v>2</v>
      </c>
      <c r="PGZ1738" s="736"/>
      <c r="PHA1738" s="737"/>
      <c r="PHB1738" s="665" t="s">
        <v>1413</v>
      </c>
      <c r="PHD1738" s="629">
        <v>8</v>
      </c>
      <c r="PHE1738" s="662"/>
      <c r="PHF1738" s="631"/>
      <c r="PHG1738" s="631"/>
      <c r="PHH1738" s="631"/>
      <c r="PHI1738" s="631"/>
      <c r="PHJ1738" s="631"/>
      <c r="PHK1738" s="631"/>
      <c r="PHL1738" s="631"/>
      <c r="PHM1738" s="666" t="s">
        <v>799</v>
      </c>
      <c r="PHN1738" s="631">
        <f t="shared" ref="PHN1738" si="798">PHD1738</f>
        <v>8</v>
      </c>
      <c r="PHO1738" s="657" t="s">
        <v>2</v>
      </c>
      <c r="PHP1738" s="736"/>
      <c r="PHQ1738" s="737"/>
      <c r="PHR1738" s="665" t="s">
        <v>1413</v>
      </c>
      <c r="PHT1738" s="629">
        <v>8</v>
      </c>
      <c r="PHU1738" s="662"/>
      <c r="PHV1738" s="631"/>
      <c r="PHW1738" s="631"/>
      <c r="PHX1738" s="631"/>
      <c r="PHY1738" s="631"/>
      <c r="PHZ1738" s="631"/>
      <c r="PIA1738" s="631"/>
      <c r="PIB1738" s="631"/>
      <c r="PIC1738" s="666" t="s">
        <v>799</v>
      </c>
      <c r="PID1738" s="631">
        <f t="shared" ref="PID1738" si="799">PHT1738</f>
        <v>8</v>
      </c>
      <c r="PIE1738" s="657" t="s">
        <v>2</v>
      </c>
      <c r="PIF1738" s="736"/>
      <c r="PIG1738" s="737"/>
      <c r="PIH1738" s="665" t="s">
        <v>1413</v>
      </c>
      <c r="PIJ1738" s="629">
        <v>8</v>
      </c>
      <c r="PIK1738" s="662"/>
      <c r="PIL1738" s="631"/>
      <c r="PIM1738" s="631"/>
      <c r="PIN1738" s="631"/>
      <c r="PIO1738" s="631"/>
      <c r="PIP1738" s="631"/>
      <c r="PIQ1738" s="631"/>
      <c r="PIR1738" s="631"/>
      <c r="PIS1738" s="666" t="s">
        <v>799</v>
      </c>
      <c r="PIT1738" s="631">
        <f t="shared" ref="PIT1738" si="800">PIJ1738</f>
        <v>8</v>
      </c>
      <c r="PIU1738" s="657" t="s">
        <v>2</v>
      </c>
      <c r="PIV1738" s="736"/>
      <c r="PIW1738" s="737"/>
      <c r="PIX1738" s="665" t="s">
        <v>1413</v>
      </c>
      <c r="PIZ1738" s="629">
        <v>8</v>
      </c>
      <c r="PJA1738" s="662"/>
      <c r="PJB1738" s="631"/>
      <c r="PJC1738" s="631"/>
      <c r="PJD1738" s="631"/>
      <c r="PJE1738" s="631"/>
      <c r="PJF1738" s="631"/>
      <c r="PJG1738" s="631"/>
      <c r="PJH1738" s="631"/>
      <c r="PJI1738" s="666" t="s">
        <v>799</v>
      </c>
      <c r="PJJ1738" s="631">
        <f t="shared" ref="PJJ1738" si="801">PIZ1738</f>
        <v>8</v>
      </c>
      <c r="PJK1738" s="657" t="s">
        <v>2</v>
      </c>
      <c r="PJL1738" s="736"/>
      <c r="PJM1738" s="737"/>
      <c r="PJN1738" s="665" t="s">
        <v>1413</v>
      </c>
      <c r="PJP1738" s="629">
        <v>8</v>
      </c>
      <c r="PJQ1738" s="662"/>
      <c r="PJR1738" s="631"/>
      <c r="PJS1738" s="631"/>
      <c r="PJT1738" s="631"/>
      <c r="PJU1738" s="631"/>
      <c r="PJV1738" s="631"/>
      <c r="PJW1738" s="631"/>
      <c r="PJX1738" s="631"/>
      <c r="PJY1738" s="666" t="s">
        <v>799</v>
      </c>
      <c r="PJZ1738" s="631">
        <f t="shared" ref="PJZ1738" si="802">PJP1738</f>
        <v>8</v>
      </c>
      <c r="PKA1738" s="657" t="s">
        <v>2</v>
      </c>
      <c r="PKB1738" s="736"/>
      <c r="PKC1738" s="737"/>
      <c r="PKD1738" s="665" t="s">
        <v>1413</v>
      </c>
      <c r="PKF1738" s="629">
        <v>8</v>
      </c>
      <c r="PKG1738" s="662"/>
      <c r="PKH1738" s="631"/>
      <c r="PKI1738" s="631"/>
      <c r="PKJ1738" s="631"/>
      <c r="PKK1738" s="631"/>
      <c r="PKL1738" s="631"/>
      <c r="PKM1738" s="631"/>
      <c r="PKN1738" s="631"/>
      <c r="PKO1738" s="666" t="s">
        <v>799</v>
      </c>
      <c r="PKP1738" s="631">
        <f t="shared" ref="PKP1738" si="803">PKF1738</f>
        <v>8</v>
      </c>
      <c r="PKQ1738" s="657" t="s">
        <v>2</v>
      </c>
      <c r="PKR1738" s="736"/>
      <c r="PKS1738" s="737"/>
      <c r="PKT1738" s="665" t="s">
        <v>1413</v>
      </c>
      <c r="PKV1738" s="629">
        <v>8</v>
      </c>
      <c r="PKW1738" s="662"/>
      <c r="PKX1738" s="631"/>
      <c r="PKY1738" s="631"/>
      <c r="PKZ1738" s="631"/>
      <c r="PLA1738" s="631"/>
      <c r="PLB1738" s="631"/>
      <c r="PLC1738" s="631"/>
      <c r="PLD1738" s="631"/>
      <c r="PLE1738" s="666" t="s">
        <v>799</v>
      </c>
      <c r="PLF1738" s="631">
        <f t="shared" ref="PLF1738" si="804">PKV1738</f>
        <v>8</v>
      </c>
      <c r="PLG1738" s="657" t="s">
        <v>2</v>
      </c>
      <c r="PLH1738" s="736"/>
      <c r="PLI1738" s="737"/>
      <c r="PLJ1738" s="665" t="s">
        <v>1413</v>
      </c>
      <c r="PLL1738" s="629">
        <v>8</v>
      </c>
      <c r="PLM1738" s="662"/>
      <c r="PLN1738" s="631"/>
      <c r="PLO1738" s="631"/>
      <c r="PLP1738" s="631"/>
      <c r="PLQ1738" s="631"/>
      <c r="PLR1738" s="631"/>
      <c r="PLS1738" s="631"/>
      <c r="PLT1738" s="631"/>
      <c r="PLU1738" s="666" t="s">
        <v>799</v>
      </c>
      <c r="PLV1738" s="631">
        <f t="shared" ref="PLV1738" si="805">PLL1738</f>
        <v>8</v>
      </c>
      <c r="PLW1738" s="657" t="s">
        <v>2</v>
      </c>
      <c r="PLX1738" s="736"/>
      <c r="PLY1738" s="737"/>
      <c r="PLZ1738" s="665" t="s">
        <v>1413</v>
      </c>
      <c r="PMB1738" s="629">
        <v>8</v>
      </c>
      <c r="PMC1738" s="662"/>
      <c r="PMD1738" s="631"/>
      <c r="PME1738" s="631"/>
      <c r="PMF1738" s="631"/>
      <c r="PMG1738" s="631"/>
      <c r="PMH1738" s="631"/>
      <c r="PMI1738" s="631"/>
      <c r="PMJ1738" s="631"/>
      <c r="PMK1738" s="666" t="s">
        <v>799</v>
      </c>
      <c r="PML1738" s="631">
        <f t="shared" ref="PML1738" si="806">PMB1738</f>
        <v>8</v>
      </c>
      <c r="PMM1738" s="657" t="s">
        <v>2</v>
      </c>
      <c r="PMN1738" s="736"/>
      <c r="PMO1738" s="737"/>
      <c r="PMP1738" s="665" t="s">
        <v>1413</v>
      </c>
      <c r="PMR1738" s="629">
        <v>8</v>
      </c>
      <c r="PMS1738" s="662"/>
      <c r="PMT1738" s="631"/>
      <c r="PMU1738" s="631"/>
      <c r="PMV1738" s="631"/>
      <c r="PMW1738" s="631"/>
      <c r="PMX1738" s="631"/>
      <c r="PMY1738" s="631"/>
      <c r="PMZ1738" s="631"/>
      <c r="PNA1738" s="666" t="s">
        <v>799</v>
      </c>
      <c r="PNB1738" s="631">
        <f t="shared" ref="PNB1738" si="807">PMR1738</f>
        <v>8</v>
      </c>
      <c r="PNC1738" s="657" t="s">
        <v>2</v>
      </c>
      <c r="PND1738" s="736"/>
      <c r="PNE1738" s="737"/>
      <c r="PNF1738" s="665" t="s">
        <v>1413</v>
      </c>
      <c r="PNH1738" s="629">
        <v>8</v>
      </c>
      <c r="PNI1738" s="662"/>
      <c r="PNJ1738" s="631"/>
      <c r="PNK1738" s="631"/>
      <c r="PNL1738" s="631"/>
      <c r="PNM1738" s="631"/>
      <c r="PNN1738" s="631"/>
      <c r="PNO1738" s="631"/>
      <c r="PNP1738" s="631"/>
      <c r="PNQ1738" s="666" t="s">
        <v>799</v>
      </c>
      <c r="PNR1738" s="631">
        <f t="shared" ref="PNR1738" si="808">PNH1738</f>
        <v>8</v>
      </c>
      <c r="PNS1738" s="657" t="s">
        <v>2</v>
      </c>
      <c r="PNT1738" s="736"/>
      <c r="PNU1738" s="737"/>
      <c r="PNV1738" s="665" t="s">
        <v>1413</v>
      </c>
      <c r="PNX1738" s="629">
        <v>8</v>
      </c>
      <c r="PNY1738" s="662"/>
      <c r="PNZ1738" s="631"/>
      <c r="POA1738" s="631"/>
      <c r="POB1738" s="631"/>
      <c r="POC1738" s="631"/>
      <c r="POD1738" s="631"/>
      <c r="POE1738" s="631"/>
      <c r="POF1738" s="631"/>
      <c r="POG1738" s="666" t="s">
        <v>799</v>
      </c>
      <c r="POH1738" s="631">
        <f t="shared" ref="POH1738" si="809">PNX1738</f>
        <v>8</v>
      </c>
      <c r="POI1738" s="657" t="s">
        <v>2</v>
      </c>
      <c r="POJ1738" s="736"/>
      <c r="POK1738" s="737"/>
      <c r="POL1738" s="665" t="s">
        <v>1413</v>
      </c>
      <c r="PON1738" s="629">
        <v>8</v>
      </c>
      <c r="POO1738" s="662"/>
      <c r="POP1738" s="631"/>
      <c r="POQ1738" s="631"/>
      <c r="POR1738" s="631"/>
      <c r="POS1738" s="631"/>
      <c r="POT1738" s="631"/>
      <c r="POU1738" s="631"/>
      <c r="POV1738" s="631"/>
      <c r="POW1738" s="666" t="s">
        <v>799</v>
      </c>
      <c r="POX1738" s="631">
        <f t="shared" ref="POX1738" si="810">PON1738</f>
        <v>8</v>
      </c>
      <c r="POY1738" s="657" t="s">
        <v>2</v>
      </c>
      <c r="POZ1738" s="736"/>
      <c r="PPA1738" s="737"/>
      <c r="PPB1738" s="665" t="s">
        <v>1413</v>
      </c>
      <c r="PPD1738" s="629">
        <v>8</v>
      </c>
      <c r="PPE1738" s="662"/>
      <c r="PPF1738" s="631"/>
      <c r="PPG1738" s="631"/>
      <c r="PPH1738" s="631"/>
      <c r="PPI1738" s="631"/>
      <c r="PPJ1738" s="631"/>
      <c r="PPK1738" s="631"/>
      <c r="PPL1738" s="631"/>
      <c r="PPM1738" s="666" t="s">
        <v>799</v>
      </c>
      <c r="PPN1738" s="631">
        <f t="shared" ref="PPN1738" si="811">PPD1738</f>
        <v>8</v>
      </c>
      <c r="PPO1738" s="657" t="s">
        <v>2</v>
      </c>
      <c r="PPP1738" s="736"/>
      <c r="PPQ1738" s="737"/>
      <c r="PPR1738" s="665" t="s">
        <v>1413</v>
      </c>
      <c r="PPT1738" s="629">
        <v>8</v>
      </c>
      <c r="PPU1738" s="662"/>
      <c r="PPV1738" s="631"/>
      <c r="PPW1738" s="631"/>
      <c r="PPX1738" s="631"/>
      <c r="PPY1738" s="631"/>
      <c r="PPZ1738" s="631"/>
      <c r="PQA1738" s="631"/>
      <c r="PQB1738" s="631"/>
      <c r="PQC1738" s="666" t="s">
        <v>799</v>
      </c>
      <c r="PQD1738" s="631">
        <f t="shared" ref="PQD1738" si="812">PPT1738</f>
        <v>8</v>
      </c>
      <c r="PQE1738" s="657" t="s">
        <v>2</v>
      </c>
      <c r="PQF1738" s="736"/>
      <c r="PQG1738" s="737"/>
      <c r="PQH1738" s="665" t="s">
        <v>1413</v>
      </c>
      <c r="PQJ1738" s="629">
        <v>8</v>
      </c>
      <c r="PQK1738" s="662"/>
      <c r="PQL1738" s="631"/>
      <c r="PQM1738" s="631"/>
      <c r="PQN1738" s="631"/>
      <c r="PQO1738" s="631"/>
      <c r="PQP1738" s="631"/>
      <c r="PQQ1738" s="631"/>
      <c r="PQR1738" s="631"/>
      <c r="PQS1738" s="666" t="s">
        <v>799</v>
      </c>
      <c r="PQT1738" s="631">
        <f t="shared" ref="PQT1738" si="813">PQJ1738</f>
        <v>8</v>
      </c>
      <c r="PQU1738" s="657" t="s">
        <v>2</v>
      </c>
      <c r="PQV1738" s="736"/>
      <c r="PQW1738" s="737"/>
      <c r="PQX1738" s="665" t="s">
        <v>1413</v>
      </c>
      <c r="PQZ1738" s="629">
        <v>8</v>
      </c>
      <c r="PRA1738" s="662"/>
      <c r="PRB1738" s="631"/>
      <c r="PRC1738" s="631"/>
      <c r="PRD1738" s="631"/>
      <c r="PRE1738" s="631"/>
      <c r="PRF1738" s="631"/>
      <c r="PRG1738" s="631"/>
      <c r="PRH1738" s="631"/>
      <c r="PRI1738" s="666" t="s">
        <v>799</v>
      </c>
      <c r="PRJ1738" s="631">
        <f t="shared" ref="PRJ1738" si="814">PQZ1738</f>
        <v>8</v>
      </c>
      <c r="PRK1738" s="657" t="s">
        <v>2</v>
      </c>
      <c r="PRL1738" s="736"/>
      <c r="PRM1738" s="737"/>
      <c r="PRN1738" s="665" t="s">
        <v>1413</v>
      </c>
      <c r="PRP1738" s="629">
        <v>8</v>
      </c>
      <c r="PRQ1738" s="662"/>
      <c r="PRR1738" s="631"/>
      <c r="PRS1738" s="631"/>
      <c r="PRT1738" s="631"/>
      <c r="PRU1738" s="631"/>
      <c r="PRV1738" s="631"/>
      <c r="PRW1738" s="631"/>
      <c r="PRX1738" s="631"/>
      <c r="PRY1738" s="666" t="s">
        <v>799</v>
      </c>
      <c r="PRZ1738" s="631">
        <f t="shared" ref="PRZ1738" si="815">PRP1738</f>
        <v>8</v>
      </c>
      <c r="PSA1738" s="657" t="s">
        <v>2</v>
      </c>
      <c r="PSB1738" s="736"/>
      <c r="PSC1738" s="737"/>
      <c r="PSD1738" s="665" t="s">
        <v>1413</v>
      </c>
      <c r="PSF1738" s="629">
        <v>8</v>
      </c>
      <c r="PSG1738" s="662"/>
      <c r="PSH1738" s="631"/>
      <c r="PSI1738" s="631"/>
      <c r="PSJ1738" s="631"/>
      <c r="PSK1738" s="631"/>
      <c r="PSL1738" s="631"/>
      <c r="PSM1738" s="631"/>
      <c r="PSN1738" s="631"/>
      <c r="PSO1738" s="666" t="s">
        <v>799</v>
      </c>
      <c r="PSP1738" s="631">
        <f t="shared" ref="PSP1738" si="816">PSF1738</f>
        <v>8</v>
      </c>
      <c r="PSQ1738" s="657" t="s">
        <v>2</v>
      </c>
      <c r="PSR1738" s="736"/>
      <c r="PSS1738" s="737"/>
      <c r="PST1738" s="665" t="s">
        <v>1413</v>
      </c>
      <c r="PSV1738" s="629">
        <v>8</v>
      </c>
      <c r="PSW1738" s="662"/>
      <c r="PSX1738" s="631"/>
      <c r="PSY1738" s="631"/>
      <c r="PSZ1738" s="631"/>
      <c r="PTA1738" s="631"/>
      <c r="PTB1738" s="631"/>
      <c r="PTC1738" s="631"/>
      <c r="PTD1738" s="631"/>
      <c r="PTE1738" s="666" t="s">
        <v>799</v>
      </c>
      <c r="PTF1738" s="631">
        <f t="shared" ref="PTF1738" si="817">PSV1738</f>
        <v>8</v>
      </c>
      <c r="PTG1738" s="657" t="s">
        <v>2</v>
      </c>
      <c r="PTH1738" s="736"/>
      <c r="PTI1738" s="737"/>
      <c r="PTJ1738" s="665" t="s">
        <v>1413</v>
      </c>
      <c r="PTL1738" s="629">
        <v>8</v>
      </c>
      <c r="PTM1738" s="662"/>
      <c r="PTN1738" s="631"/>
      <c r="PTO1738" s="631"/>
      <c r="PTP1738" s="631"/>
      <c r="PTQ1738" s="631"/>
      <c r="PTR1738" s="631"/>
      <c r="PTS1738" s="631"/>
      <c r="PTT1738" s="631"/>
      <c r="PTU1738" s="666" t="s">
        <v>799</v>
      </c>
      <c r="PTV1738" s="631">
        <f t="shared" ref="PTV1738" si="818">PTL1738</f>
        <v>8</v>
      </c>
      <c r="PTW1738" s="657" t="s">
        <v>2</v>
      </c>
      <c r="PTX1738" s="736"/>
      <c r="PTY1738" s="737"/>
      <c r="PTZ1738" s="665" t="s">
        <v>1413</v>
      </c>
      <c r="PUB1738" s="629">
        <v>8</v>
      </c>
      <c r="PUC1738" s="662"/>
      <c r="PUD1738" s="631"/>
      <c r="PUE1738" s="631"/>
      <c r="PUF1738" s="631"/>
      <c r="PUG1738" s="631"/>
      <c r="PUH1738" s="631"/>
      <c r="PUI1738" s="631"/>
      <c r="PUJ1738" s="631"/>
      <c r="PUK1738" s="666" t="s">
        <v>799</v>
      </c>
      <c r="PUL1738" s="631">
        <f t="shared" ref="PUL1738" si="819">PUB1738</f>
        <v>8</v>
      </c>
      <c r="PUM1738" s="657" t="s">
        <v>2</v>
      </c>
      <c r="PUN1738" s="736"/>
      <c r="PUO1738" s="737"/>
      <c r="PUP1738" s="665" t="s">
        <v>1413</v>
      </c>
      <c r="PUR1738" s="629">
        <v>8</v>
      </c>
      <c r="PUS1738" s="662"/>
      <c r="PUT1738" s="631"/>
      <c r="PUU1738" s="631"/>
      <c r="PUV1738" s="631"/>
      <c r="PUW1738" s="631"/>
      <c r="PUX1738" s="631"/>
      <c r="PUY1738" s="631"/>
      <c r="PUZ1738" s="631"/>
      <c r="PVA1738" s="666" t="s">
        <v>799</v>
      </c>
      <c r="PVB1738" s="631">
        <f t="shared" ref="PVB1738" si="820">PUR1738</f>
        <v>8</v>
      </c>
      <c r="PVC1738" s="657" t="s">
        <v>2</v>
      </c>
      <c r="PVD1738" s="736"/>
      <c r="PVE1738" s="737"/>
      <c r="PVF1738" s="665" t="s">
        <v>1413</v>
      </c>
      <c r="PVH1738" s="629">
        <v>8</v>
      </c>
      <c r="PVI1738" s="662"/>
      <c r="PVJ1738" s="631"/>
      <c r="PVK1738" s="631"/>
      <c r="PVL1738" s="631"/>
      <c r="PVM1738" s="631"/>
      <c r="PVN1738" s="631"/>
      <c r="PVO1738" s="631"/>
      <c r="PVP1738" s="631"/>
      <c r="PVQ1738" s="666" t="s">
        <v>799</v>
      </c>
      <c r="PVR1738" s="631">
        <f t="shared" ref="PVR1738" si="821">PVH1738</f>
        <v>8</v>
      </c>
      <c r="PVS1738" s="657" t="s">
        <v>2</v>
      </c>
      <c r="PVT1738" s="736"/>
      <c r="PVU1738" s="737"/>
      <c r="PVV1738" s="665" t="s">
        <v>1413</v>
      </c>
      <c r="PVX1738" s="629">
        <v>8</v>
      </c>
      <c r="PVY1738" s="662"/>
      <c r="PVZ1738" s="631"/>
      <c r="PWA1738" s="631"/>
      <c r="PWB1738" s="631"/>
      <c r="PWC1738" s="631"/>
      <c r="PWD1738" s="631"/>
      <c r="PWE1738" s="631"/>
      <c r="PWF1738" s="631"/>
      <c r="PWG1738" s="666" t="s">
        <v>799</v>
      </c>
      <c r="PWH1738" s="631">
        <f t="shared" ref="PWH1738" si="822">PVX1738</f>
        <v>8</v>
      </c>
      <c r="PWI1738" s="657" t="s">
        <v>2</v>
      </c>
      <c r="PWJ1738" s="736"/>
      <c r="PWK1738" s="737"/>
      <c r="PWL1738" s="665" t="s">
        <v>1413</v>
      </c>
      <c r="PWN1738" s="629">
        <v>8</v>
      </c>
      <c r="PWO1738" s="662"/>
      <c r="PWP1738" s="631"/>
      <c r="PWQ1738" s="631"/>
      <c r="PWR1738" s="631"/>
      <c r="PWS1738" s="631"/>
      <c r="PWT1738" s="631"/>
      <c r="PWU1738" s="631"/>
      <c r="PWV1738" s="631"/>
      <c r="PWW1738" s="666" t="s">
        <v>799</v>
      </c>
      <c r="PWX1738" s="631">
        <f t="shared" ref="PWX1738" si="823">PWN1738</f>
        <v>8</v>
      </c>
      <c r="PWY1738" s="657" t="s">
        <v>2</v>
      </c>
      <c r="PWZ1738" s="736"/>
      <c r="PXA1738" s="737"/>
      <c r="PXB1738" s="665" t="s">
        <v>1413</v>
      </c>
      <c r="PXD1738" s="629">
        <v>8</v>
      </c>
      <c r="PXE1738" s="662"/>
      <c r="PXF1738" s="631"/>
      <c r="PXG1738" s="631"/>
      <c r="PXH1738" s="631"/>
      <c r="PXI1738" s="631"/>
      <c r="PXJ1738" s="631"/>
      <c r="PXK1738" s="631"/>
      <c r="PXL1738" s="631"/>
      <c r="PXM1738" s="666" t="s">
        <v>799</v>
      </c>
      <c r="PXN1738" s="631">
        <f t="shared" ref="PXN1738" si="824">PXD1738</f>
        <v>8</v>
      </c>
      <c r="PXO1738" s="657" t="s">
        <v>2</v>
      </c>
      <c r="PXP1738" s="736"/>
      <c r="PXQ1738" s="737"/>
      <c r="PXR1738" s="665" t="s">
        <v>1413</v>
      </c>
      <c r="PXT1738" s="629">
        <v>8</v>
      </c>
      <c r="PXU1738" s="662"/>
      <c r="PXV1738" s="631"/>
      <c r="PXW1738" s="631"/>
      <c r="PXX1738" s="631"/>
      <c r="PXY1738" s="631"/>
      <c r="PXZ1738" s="631"/>
      <c r="PYA1738" s="631"/>
      <c r="PYB1738" s="631"/>
      <c r="PYC1738" s="666" t="s">
        <v>799</v>
      </c>
      <c r="PYD1738" s="631">
        <f t="shared" ref="PYD1738" si="825">PXT1738</f>
        <v>8</v>
      </c>
      <c r="PYE1738" s="657" t="s">
        <v>2</v>
      </c>
      <c r="PYF1738" s="736"/>
      <c r="PYG1738" s="737"/>
      <c r="PYH1738" s="665" t="s">
        <v>1413</v>
      </c>
      <c r="PYJ1738" s="629">
        <v>8</v>
      </c>
      <c r="PYK1738" s="662"/>
      <c r="PYL1738" s="631"/>
      <c r="PYM1738" s="631"/>
      <c r="PYN1738" s="631"/>
      <c r="PYO1738" s="631"/>
      <c r="PYP1738" s="631"/>
      <c r="PYQ1738" s="631"/>
      <c r="PYR1738" s="631"/>
      <c r="PYS1738" s="666" t="s">
        <v>799</v>
      </c>
      <c r="PYT1738" s="631">
        <f t="shared" ref="PYT1738" si="826">PYJ1738</f>
        <v>8</v>
      </c>
      <c r="PYU1738" s="657" t="s">
        <v>2</v>
      </c>
      <c r="PYV1738" s="736"/>
      <c r="PYW1738" s="737"/>
      <c r="PYX1738" s="665" t="s">
        <v>1413</v>
      </c>
      <c r="PYZ1738" s="629">
        <v>8</v>
      </c>
      <c r="PZA1738" s="662"/>
      <c r="PZB1738" s="631"/>
      <c r="PZC1738" s="631"/>
      <c r="PZD1738" s="631"/>
      <c r="PZE1738" s="631"/>
      <c r="PZF1738" s="631"/>
      <c r="PZG1738" s="631"/>
      <c r="PZH1738" s="631"/>
      <c r="PZI1738" s="666" t="s">
        <v>799</v>
      </c>
      <c r="PZJ1738" s="631">
        <f t="shared" ref="PZJ1738" si="827">PYZ1738</f>
        <v>8</v>
      </c>
      <c r="PZK1738" s="657" t="s">
        <v>2</v>
      </c>
      <c r="PZL1738" s="736"/>
      <c r="PZM1738" s="737"/>
      <c r="PZN1738" s="665" t="s">
        <v>1413</v>
      </c>
      <c r="PZP1738" s="629">
        <v>8</v>
      </c>
      <c r="PZQ1738" s="662"/>
      <c r="PZR1738" s="631"/>
      <c r="PZS1738" s="631"/>
      <c r="PZT1738" s="631"/>
      <c r="PZU1738" s="631"/>
      <c r="PZV1738" s="631"/>
      <c r="PZW1738" s="631"/>
      <c r="PZX1738" s="631"/>
      <c r="PZY1738" s="666" t="s">
        <v>799</v>
      </c>
      <c r="PZZ1738" s="631">
        <f t="shared" ref="PZZ1738" si="828">PZP1738</f>
        <v>8</v>
      </c>
      <c r="QAA1738" s="657" t="s">
        <v>2</v>
      </c>
      <c r="QAB1738" s="736"/>
      <c r="QAC1738" s="737"/>
      <c r="QAD1738" s="665" t="s">
        <v>1413</v>
      </c>
      <c r="QAF1738" s="629">
        <v>8</v>
      </c>
      <c r="QAG1738" s="662"/>
      <c r="QAH1738" s="631"/>
      <c r="QAI1738" s="631"/>
      <c r="QAJ1738" s="631"/>
      <c r="QAK1738" s="631"/>
      <c r="QAL1738" s="631"/>
      <c r="QAM1738" s="631"/>
      <c r="QAN1738" s="631"/>
      <c r="QAO1738" s="666" t="s">
        <v>799</v>
      </c>
      <c r="QAP1738" s="631">
        <f t="shared" ref="QAP1738" si="829">QAF1738</f>
        <v>8</v>
      </c>
      <c r="QAQ1738" s="657" t="s">
        <v>2</v>
      </c>
      <c r="QAR1738" s="736"/>
      <c r="QAS1738" s="737"/>
      <c r="QAT1738" s="665" t="s">
        <v>1413</v>
      </c>
      <c r="QAV1738" s="629">
        <v>8</v>
      </c>
      <c r="QAW1738" s="662"/>
      <c r="QAX1738" s="631"/>
      <c r="QAY1738" s="631"/>
      <c r="QAZ1738" s="631"/>
      <c r="QBA1738" s="631"/>
      <c r="QBB1738" s="631"/>
      <c r="QBC1738" s="631"/>
      <c r="QBD1738" s="631"/>
      <c r="QBE1738" s="666" t="s">
        <v>799</v>
      </c>
      <c r="QBF1738" s="631">
        <f t="shared" ref="QBF1738" si="830">QAV1738</f>
        <v>8</v>
      </c>
      <c r="QBG1738" s="657" t="s">
        <v>2</v>
      </c>
      <c r="QBH1738" s="736"/>
      <c r="QBI1738" s="737"/>
      <c r="QBJ1738" s="665" t="s">
        <v>1413</v>
      </c>
      <c r="QBL1738" s="629">
        <v>8</v>
      </c>
      <c r="QBM1738" s="662"/>
      <c r="QBN1738" s="631"/>
      <c r="QBO1738" s="631"/>
      <c r="QBP1738" s="631"/>
      <c r="QBQ1738" s="631"/>
      <c r="QBR1738" s="631"/>
      <c r="QBS1738" s="631"/>
      <c r="QBT1738" s="631"/>
      <c r="QBU1738" s="666" t="s">
        <v>799</v>
      </c>
      <c r="QBV1738" s="631">
        <f t="shared" ref="QBV1738" si="831">QBL1738</f>
        <v>8</v>
      </c>
      <c r="QBW1738" s="657" t="s">
        <v>2</v>
      </c>
      <c r="QBX1738" s="736"/>
      <c r="QBY1738" s="737"/>
      <c r="QBZ1738" s="665" t="s">
        <v>1413</v>
      </c>
      <c r="QCB1738" s="629">
        <v>8</v>
      </c>
      <c r="QCC1738" s="662"/>
      <c r="QCD1738" s="631"/>
      <c r="QCE1738" s="631"/>
      <c r="QCF1738" s="631"/>
      <c r="QCG1738" s="631"/>
      <c r="QCH1738" s="631"/>
      <c r="QCI1738" s="631"/>
      <c r="QCJ1738" s="631"/>
      <c r="QCK1738" s="666" t="s">
        <v>799</v>
      </c>
      <c r="QCL1738" s="631">
        <f t="shared" ref="QCL1738" si="832">QCB1738</f>
        <v>8</v>
      </c>
      <c r="QCM1738" s="657" t="s">
        <v>2</v>
      </c>
      <c r="QCN1738" s="736"/>
      <c r="QCO1738" s="737"/>
      <c r="QCP1738" s="665" t="s">
        <v>1413</v>
      </c>
      <c r="QCR1738" s="629">
        <v>8</v>
      </c>
      <c r="QCS1738" s="662"/>
      <c r="QCT1738" s="631"/>
      <c r="QCU1738" s="631"/>
      <c r="QCV1738" s="631"/>
      <c r="QCW1738" s="631"/>
      <c r="QCX1738" s="631"/>
      <c r="QCY1738" s="631"/>
      <c r="QCZ1738" s="631"/>
      <c r="QDA1738" s="666" t="s">
        <v>799</v>
      </c>
      <c r="QDB1738" s="631">
        <f t="shared" ref="QDB1738" si="833">QCR1738</f>
        <v>8</v>
      </c>
      <c r="QDC1738" s="657" t="s">
        <v>2</v>
      </c>
      <c r="QDD1738" s="736"/>
      <c r="QDE1738" s="737"/>
      <c r="QDF1738" s="665" t="s">
        <v>1413</v>
      </c>
      <c r="QDH1738" s="629">
        <v>8</v>
      </c>
      <c r="QDI1738" s="662"/>
      <c r="QDJ1738" s="631"/>
      <c r="QDK1738" s="631"/>
      <c r="QDL1738" s="631"/>
      <c r="QDM1738" s="631"/>
      <c r="QDN1738" s="631"/>
      <c r="QDO1738" s="631"/>
      <c r="QDP1738" s="631"/>
      <c r="QDQ1738" s="666" t="s">
        <v>799</v>
      </c>
      <c r="QDR1738" s="631">
        <f t="shared" ref="QDR1738" si="834">QDH1738</f>
        <v>8</v>
      </c>
      <c r="QDS1738" s="657" t="s">
        <v>2</v>
      </c>
      <c r="QDT1738" s="736"/>
      <c r="QDU1738" s="737"/>
      <c r="QDV1738" s="665" t="s">
        <v>1413</v>
      </c>
      <c r="QDX1738" s="629">
        <v>8</v>
      </c>
      <c r="QDY1738" s="662"/>
      <c r="QDZ1738" s="631"/>
      <c r="QEA1738" s="631"/>
      <c r="QEB1738" s="631"/>
      <c r="QEC1738" s="631"/>
      <c r="QED1738" s="631"/>
      <c r="QEE1738" s="631"/>
      <c r="QEF1738" s="631"/>
      <c r="QEG1738" s="666" t="s">
        <v>799</v>
      </c>
      <c r="QEH1738" s="631">
        <f t="shared" ref="QEH1738" si="835">QDX1738</f>
        <v>8</v>
      </c>
      <c r="QEI1738" s="657" t="s">
        <v>2</v>
      </c>
      <c r="QEJ1738" s="736"/>
      <c r="QEK1738" s="737"/>
      <c r="QEL1738" s="665" t="s">
        <v>1413</v>
      </c>
      <c r="QEN1738" s="629">
        <v>8</v>
      </c>
      <c r="QEO1738" s="662"/>
      <c r="QEP1738" s="631"/>
      <c r="QEQ1738" s="631"/>
      <c r="QER1738" s="631"/>
      <c r="QES1738" s="631"/>
      <c r="QET1738" s="631"/>
      <c r="QEU1738" s="631"/>
      <c r="QEV1738" s="631"/>
      <c r="QEW1738" s="666" t="s">
        <v>799</v>
      </c>
      <c r="QEX1738" s="631">
        <f t="shared" ref="QEX1738" si="836">QEN1738</f>
        <v>8</v>
      </c>
      <c r="QEY1738" s="657" t="s">
        <v>2</v>
      </c>
      <c r="QEZ1738" s="736"/>
      <c r="QFA1738" s="737"/>
      <c r="QFB1738" s="665" t="s">
        <v>1413</v>
      </c>
      <c r="QFD1738" s="629">
        <v>8</v>
      </c>
      <c r="QFE1738" s="662"/>
      <c r="QFF1738" s="631"/>
      <c r="QFG1738" s="631"/>
      <c r="QFH1738" s="631"/>
      <c r="QFI1738" s="631"/>
      <c r="QFJ1738" s="631"/>
      <c r="QFK1738" s="631"/>
      <c r="QFL1738" s="631"/>
      <c r="QFM1738" s="666" t="s">
        <v>799</v>
      </c>
      <c r="QFN1738" s="631">
        <f t="shared" ref="QFN1738" si="837">QFD1738</f>
        <v>8</v>
      </c>
      <c r="QFO1738" s="657" t="s">
        <v>2</v>
      </c>
      <c r="QFP1738" s="736"/>
      <c r="QFQ1738" s="737"/>
      <c r="QFR1738" s="665" t="s">
        <v>1413</v>
      </c>
      <c r="QFT1738" s="629">
        <v>8</v>
      </c>
      <c r="QFU1738" s="662"/>
      <c r="QFV1738" s="631"/>
      <c r="QFW1738" s="631"/>
      <c r="QFX1738" s="631"/>
      <c r="QFY1738" s="631"/>
      <c r="QFZ1738" s="631"/>
      <c r="QGA1738" s="631"/>
      <c r="QGB1738" s="631"/>
      <c r="QGC1738" s="666" t="s">
        <v>799</v>
      </c>
      <c r="QGD1738" s="631">
        <f t="shared" ref="QGD1738" si="838">QFT1738</f>
        <v>8</v>
      </c>
      <c r="QGE1738" s="657" t="s">
        <v>2</v>
      </c>
      <c r="QGF1738" s="736"/>
      <c r="QGG1738" s="737"/>
      <c r="QGH1738" s="665" t="s">
        <v>1413</v>
      </c>
      <c r="QGJ1738" s="629">
        <v>8</v>
      </c>
      <c r="QGK1738" s="662"/>
      <c r="QGL1738" s="631"/>
      <c r="QGM1738" s="631"/>
      <c r="QGN1738" s="631"/>
      <c r="QGO1738" s="631"/>
      <c r="QGP1738" s="631"/>
      <c r="QGQ1738" s="631"/>
      <c r="QGR1738" s="631"/>
      <c r="QGS1738" s="666" t="s">
        <v>799</v>
      </c>
      <c r="QGT1738" s="631">
        <f t="shared" ref="QGT1738" si="839">QGJ1738</f>
        <v>8</v>
      </c>
      <c r="QGU1738" s="657" t="s">
        <v>2</v>
      </c>
      <c r="QGV1738" s="736"/>
      <c r="QGW1738" s="737"/>
      <c r="QGX1738" s="665" t="s">
        <v>1413</v>
      </c>
      <c r="QGZ1738" s="629">
        <v>8</v>
      </c>
      <c r="QHA1738" s="662"/>
      <c r="QHB1738" s="631"/>
      <c r="QHC1738" s="631"/>
      <c r="QHD1738" s="631"/>
      <c r="QHE1738" s="631"/>
      <c r="QHF1738" s="631"/>
      <c r="QHG1738" s="631"/>
      <c r="QHH1738" s="631"/>
      <c r="QHI1738" s="666" t="s">
        <v>799</v>
      </c>
      <c r="QHJ1738" s="631">
        <f t="shared" ref="QHJ1738" si="840">QGZ1738</f>
        <v>8</v>
      </c>
      <c r="QHK1738" s="657" t="s">
        <v>2</v>
      </c>
      <c r="QHL1738" s="736"/>
      <c r="QHM1738" s="737"/>
      <c r="QHN1738" s="665" t="s">
        <v>1413</v>
      </c>
      <c r="QHP1738" s="629">
        <v>8</v>
      </c>
      <c r="QHQ1738" s="662"/>
      <c r="QHR1738" s="631"/>
      <c r="QHS1738" s="631"/>
      <c r="QHT1738" s="631"/>
      <c r="QHU1738" s="631"/>
      <c r="QHV1738" s="631"/>
      <c r="QHW1738" s="631"/>
      <c r="QHX1738" s="631"/>
      <c r="QHY1738" s="666" t="s">
        <v>799</v>
      </c>
      <c r="QHZ1738" s="631">
        <f t="shared" ref="QHZ1738" si="841">QHP1738</f>
        <v>8</v>
      </c>
      <c r="QIA1738" s="657" t="s">
        <v>2</v>
      </c>
      <c r="QIB1738" s="736"/>
      <c r="QIC1738" s="737"/>
      <c r="QID1738" s="665" t="s">
        <v>1413</v>
      </c>
      <c r="QIF1738" s="629">
        <v>8</v>
      </c>
      <c r="QIG1738" s="662"/>
      <c r="QIH1738" s="631"/>
      <c r="QII1738" s="631"/>
      <c r="QIJ1738" s="631"/>
      <c r="QIK1738" s="631"/>
      <c r="QIL1738" s="631"/>
      <c r="QIM1738" s="631"/>
      <c r="QIN1738" s="631"/>
      <c r="QIO1738" s="666" t="s">
        <v>799</v>
      </c>
      <c r="QIP1738" s="631">
        <f t="shared" ref="QIP1738" si="842">QIF1738</f>
        <v>8</v>
      </c>
      <c r="QIQ1738" s="657" t="s">
        <v>2</v>
      </c>
      <c r="QIR1738" s="736"/>
      <c r="QIS1738" s="737"/>
      <c r="QIT1738" s="665" t="s">
        <v>1413</v>
      </c>
      <c r="QIV1738" s="629">
        <v>8</v>
      </c>
      <c r="QIW1738" s="662"/>
      <c r="QIX1738" s="631"/>
      <c r="QIY1738" s="631"/>
      <c r="QIZ1738" s="631"/>
      <c r="QJA1738" s="631"/>
      <c r="QJB1738" s="631"/>
      <c r="QJC1738" s="631"/>
      <c r="QJD1738" s="631"/>
      <c r="QJE1738" s="666" t="s">
        <v>799</v>
      </c>
      <c r="QJF1738" s="631">
        <f t="shared" ref="QJF1738" si="843">QIV1738</f>
        <v>8</v>
      </c>
      <c r="QJG1738" s="657" t="s">
        <v>2</v>
      </c>
      <c r="QJH1738" s="736"/>
      <c r="QJI1738" s="737"/>
      <c r="QJJ1738" s="665" t="s">
        <v>1413</v>
      </c>
      <c r="QJL1738" s="629">
        <v>8</v>
      </c>
      <c r="QJM1738" s="662"/>
      <c r="QJN1738" s="631"/>
      <c r="QJO1738" s="631"/>
      <c r="QJP1738" s="631"/>
      <c r="QJQ1738" s="631"/>
      <c r="QJR1738" s="631"/>
      <c r="QJS1738" s="631"/>
      <c r="QJT1738" s="631"/>
      <c r="QJU1738" s="666" t="s">
        <v>799</v>
      </c>
      <c r="QJV1738" s="631">
        <f t="shared" ref="QJV1738" si="844">QJL1738</f>
        <v>8</v>
      </c>
      <c r="QJW1738" s="657" t="s">
        <v>2</v>
      </c>
      <c r="QJX1738" s="736"/>
      <c r="QJY1738" s="737"/>
      <c r="QJZ1738" s="665" t="s">
        <v>1413</v>
      </c>
      <c r="QKB1738" s="629">
        <v>8</v>
      </c>
      <c r="QKC1738" s="662"/>
      <c r="QKD1738" s="631"/>
      <c r="QKE1738" s="631"/>
      <c r="QKF1738" s="631"/>
      <c r="QKG1738" s="631"/>
      <c r="QKH1738" s="631"/>
      <c r="QKI1738" s="631"/>
      <c r="QKJ1738" s="631"/>
      <c r="QKK1738" s="666" t="s">
        <v>799</v>
      </c>
      <c r="QKL1738" s="631">
        <f t="shared" ref="QKL1738" si="845">QKB1738</f>
        <v>8</v>
      </c>
      <c r="QKM1738" s="657" t="s">
        <v>2</v>
      </c>
      <c r="QKN1738" s="736"/>
      <c r="QKO1738" s="737"/>
      <c r="QKP1738" s="665" t="s">
        <v>1413</v>
      </c>
      <c r="QKR1738" s="629">
        <v>8</v>
      </c>
      <c r="QKS1738" s="662"/>
      <c r="QKT1738" s="631"/>
      <c r="QKU1738" s="631"/>
      <c r="QKV1738" s="631"/>
      <c r="QKW1738" s="631"/>
      <c r="QKX1738" s="631"/>
      <c r="QKY1738" s="631"/>
      <c r="QKZ1738" s="631"/>
      <c r="QLA1738" s="666" t="s">
        <v>799</v>
      </c>
      <c r="QLB1738" s="631">
        <f t="shared" ref="QLB1738" si="846">QKR1738</f>
        <v>8</v>
      </c>
      <c r="QLC1738" s="657" t="s">
        <v>2</v>
      </c>
      <c r="QLD1738" s="736"/>
      <c r="QLE1738" s="737"/>
      <c r="QLF1738" s="665" t="s">
        <v>1413</v>
      </c>
      <c r="QLH1738" s="629">
        <v>8</v>
      </c>
      <c r="QLI1738" s="662"/>
      <c r="QLJ1738" s="631"/>
      <c r="QLK1738" s="631"/>
      <c r="QLL1738" s="631"/>
      <c r="QLM1738" s="631"/>
      <c r="QLN1738" s="631"/>
      <c r="QLO1738" s="631"/>
      <c r="QLP1738" s="631"/>
      <c r="QLQ1738" s="666" t="s">
        <v>799</v>
      </c>
      <c r="QLR1738" s="631">
        <f t="shared" ref="QLR1738" si="847">QLH1738</f>
        <v>8</v>
      </c>
      <c r="QLS1738" s="657" t="s">
        <v>2</v>
      </c>
      <c r="QLT1738" s="736"/>
      <c r="QLU1738" s="737"/>
      <c r="QLV1738" s="665" t="s">
        <v>1413</v>
      </c>
      <c r="QLX1738" s="629">
        <v>8</v>
      </c>
      <c r="QLY1738" s="662"/>
      <c r="QLZ1738" s="631"/>
      <c r="QMA1738" s="631"/>
      <c r="QMB1738" s="631"/>
      <c r="QMC1738" s="631"/>
      <c r="QMD1738" s="631"/>
      <c r="QME1738" s="631"/>
      <c r="QMF1738" s="631"/>
      <c r="QMG1738" s="666" t="s">
        <v>799</v>
      </c>
      <c r="QMH1738" s="631">
        <f t="shared" ref="QMH1738" si="848">QLX1738</f>
        <v>8</v>
      </c>
      <c r="QMI1738" s="657" t="s">
        <v>2</v>
      </c>
      <c r="QMJ1738" s="736"/>
      <c r="QMK1738" s="737"/>
      <c r="QML1738" s="665" t="s">
        <v>1413</v>
      </c>
      <c r="QMN1738" s="629">
        <v>8</v>
      </c>
      <c r="QMO1738" s="662"/>
      <c r="QMP1738" s="631"/>
      <c r="QMQ1738" s="631"/>
      <c r="QMR1738" s="631"/>
      <c r="QMS1738" s="631"/>
      <c r="QMT1738" s="631"/>
      <c r="QMU1738" s="631"/>
      <c r="QMV1738" s="631"/>
      <c r="QMW1738" s="666" t="s">
        <v>799</v>
      </c>
      <c r="QMX1738" s="631">
        <f t="shared" ref="QMX1738" si="849">QMN1738</f>
        <v>8</v>
      </c>
      <c r="QMY1738" s="657" t="s">
        <v>2</v>
      </c>
      <c r="QMZ1738" s="736"/>
      <c r="QNA1738" s="737"/>
      <c r="QNB1738" s="665" t="s">
        <v>1413</v>
      </c>
      <c r="QND1738" s="629">
        <v>8</v>
      </c>
      <c r="QNE1738" s="662"/>
      <c r="QNF1738" s="631"/>
      <c r="QNG1738" s="631"/>
      <c r="QNH1738" s="631"/>
      <c r="QNI1738" s="631"/>
      <c r="QNJ1738" s="631"/>
      <c r="QNK1738" s="631"/>
      <c r="QNL1738" s="631"/>
      <c r="QNM1738" s="666" t="s">
        <v>799</v>
      </c>
      <c r="QNN1738" s="631">
        <f t="shared" ref="QNN1738" si="850">QND1738</f>
        <v>8</v>
      </c>
      <c r="QNO1738" s="657" t="s">
        <v>2</v>
      </c>
      <c r="QNP1738" s="736"/>
      <c r="QNQ1738" s="737"/>
      <c r="QNR1738" s="665" t="s">
        <v>1413</v>
      </c>
      <c r="QNT1738" s="629">
        <v>8</v>
      </c>
      <c r="QNU1738" s="662"/>
      <c r="QNV1738" s="631"/>
      <c r="QNW1738" s="631"/>
      <c r="QNX1738" s="631"/>
      <c r="QNY1738" s="631"/>
      <c r="QNZ1738" s="631"/>
      <c r="QOA1738" s="631"/>
      <c r="QOB1738" s="631"/>
      <c r="QOC1738" s="666" t="s">
        <v>799</v>
      </c>
      <c r="QOD1738" s="631">
        <f t="shared" ref="QOD1738" si="851">QNT1738</f>
        <v>8</v>
      </c>
      <c r="QOE1738" s="657" t="s">
        <v>2</v>
      </c>
      <c r="QOF1738" s="736"/>
      <c r="QOG1738" s="737"/>
      <c r="QOH1738" s="665" t="s">
        <v>1413</v>
      </c>
      <c r="QOJ1738" s="629">
        <v>8</v>
      </c>
      <c r="QOK1738" s="662"/>
      <c r="QOL1738" s="631"/>
      <c r="QOM1738" s="631"/>
      <c r="QON1738" s="631"/>
      <c r="QOO1738" s="631"/>
      <c r="QOP1738" s="631"/>
      <c r="QOQ1738" s="631"/>
      <c r="QOR1738" s="631"/>
      <c r="QOS1738" s="666" t="s">
        <v>799</v>
      </c>
      <c r="QOT1738" s="631">
        <f t="shared" ref="QOT1738" si="852">QOJ1738</f>
        <v>8</v>
      </c>
      <c r="QOU1738" s="657" t="s">
        <v>2</v>
      </c>
      <c r="QOV1738" s="736"/>
      <c r="QOW1738" s="737"/>
      <c r="QOX1738" s="665" t="s">
        <v>1413</v>
      </c>
      <c r="QOZ1738" s="629">
        <v>8</v>
      </c>
      <c r="QPA1738" s="662"/>
      <c r="QPB1738" s="631"/>
      <c r="QPC1738" s="631"/>
      <c r="QPD1738" s="631"/>
      <c r="QPE1738" s="631"/>
      <c r="QPF1738" s="631"/>
      <c r="QPG1738" s="631"/>
      <c r="QPH1738" s="631"/>
      <c r="QPI1738" s="666" t="s">
        <v>799</v>
      </c>
      <c r="QPJ1738" s="631">
        <f t="shared" ref="QPJ1738" si="853">QOZ1738</f>
        <v>8</v>
      </c>
      <c r="QPK1738" s="657" t="s">
        <v>2</v>
      </c>
      <c r="QPL1738" s="736"/>
      <c r="QPM1738" s="737"/>
      <c r="QPN1738" s="665" t="s">
        <v>1413</v>
      </c>
      <c r="QPP1738" s="629">
        <v>8</v>
      </c>
      <c r="QPQ1738" s="662"/>
      <c r="QPR1738" s="631"/>
      <c r="QPS1738" s="631"/>
      <c r="QPT1738" s="631"/>
      <c r="QPU1738" s="631"/>
      <c r="QPV1738" s="631"/>
      <c r="QPW1738" s="631"/>
      <c r="QPX1738" s="631"/>
      <c r="QPY1738" s="666" t="s">
        <v>799</v>
      </c>
      <c r="QPZ1738" s="631">
        <f t="shared" ref="QPZ1738" si="854">QPP1738</f>
        <v>8</v>
      </c>
      <c r="QQA1738" s="657" t="s">
        <v>2</v>
      </c>
      <c r="QQB1738" s="736"/>
      <c r="QQC1738" s="737"/>
      <c r="QQD1738" s="665" t="s">
        <v>1413</v>
      </c>
      <c r="QQF1738" s="629">
        <v>8</v>
      </c>
      <c r="QQG1738" s="662"/>
      <c r="QQH1738" s="631"/>
      <c r="QQI1738" s="631"/>
      <c r="QQJ1738" s="631"/>
      <c r="QQK1738" s="631"/>
      <c r="QQL1738" s="631"/>
      <c r="QQM1738" s="631"/>
      <c r="QQN1738" s="631"/>
      <c r="QQO1738" s="666" t="s">
        <v>799</v>
      </c>
      <c r="QQP1738" s="631">
        <f t="shared" ref="QQP1738" si="855">QQF1738</f>
        <v>8</v>
      </c>
      <c r="QQQ1738" s="657" t="s">
        <v>2</v>
      </c>
      <c r="QQR1738" s="736"/>
      <c r="QQS1738" s="737"/>
      <c r="QQT1738" s="665" t="s">
        <v>1413</v>
      </c>
      <c r="QQV1738" s="629">
        <v>8</v>
      </c>
      <c r="QQW1738" s="662"/>
      <c r="QQX1738" s="631"/>
      <c r="QQY1738" s="631"/>
      <c r="QQZ1738" s="631"/>
      <c r="QRA1738" s="631"/>
      <c r="QRB1738" s="631"/>
      <c r="QRC1738" s="631"/>
      <c r="QRD1738" s="631"/>
      <c r="QRE1738" s="666" t="s">
        <v>799</v>
      </c>
      <c r="QRF1738" s="631">
        <f t="shared" ref="QRF1738" si="856">QQV1738</f>
        <v>8</v>
      </c>
      <c r="QRG1738" s="657" t="s">
        <v>2</v>
      </c>
      <c r="QRH1738" s="736"/>
      <c r="QRI1738" s="737"/>
      <c r="QRJ1738" s="665" t="s">
        <v>1413</v>
      </c>
      <c r="QRL1738" s="629">
        <v>8</v>
      </c>
      <c r="QRM1738" s="662"/>
      <c r="QRN1738" s="631"/>
      <c r="QRO1738" s="631"/>
      <c r="QRP1738" s="631"/>
      <c r="QRQ1738" s="631"/>
      <c r="QRR1738" s="631"/>
      <c r="QRS1738" s="631"/>
      <c r="QRT1738" s="631"/>
      <c r="QRU1738" s="666" t="s">
        <v>799</v>
      </c>
      <c r="QRV1738" s="631">
        <f t="shared" ref="QRV1738" si="857">QRL1738</f>
        <v>8</v>
      </c>
      <c r="QRW1738" s="657" t="s">
        <v>2</v>
      </c>
      <c r="QRX1738" s="736"/>
      <c r="QRY1738" s="737"/>
      <c r="QRZ1738" s="665" t="s">
        <v>1413</v>
      </c>
      <c r="QSB1738" s="629">
        <v>8</v>
      </c>
      <c r="QSC1738" s="662"/>
      <c r="QSD1738" s="631"/>
      <c r="QSE1738" s="631"/>
      <c r="QSF1738" s="631"/>
      <c r="QSG1738" s="631"/>
      <c r="QSH1738" s="631"/>
      <c r="QSI1738" s="631"/>
      <c r="QSJ1738" s="631"/>
      <c r="QSK1738" s="666" t="s">
        <v>799</v>
      </c>
      <c r="QSL1738" s="631">
        <f t="shared" ref="QSL1738" si="858">QSB1738</f>
        <v>8</v>
      </c>
      <c r="QSM1738" s="657" t="s">
        <v>2</v>
      </c>
      <c r="QSN1738" s="736"/>
      <c r="QSO1738" s="737"/>
      <c r="QSP1738" s="665" t="s">
        <v>1413</v>
      </c>
      <c r="QSR1738" s="629">
        <v>8</v>
      </c>
      <c r="QSS1738" s="662"/>
      <c r="QST1738" s="631"/>
      <c r="QSU1738" s="631"/>
      <c r="QSV1738" s="631"/>
      <c r="QSW1738" s="631"/>
      <c r="QSX1738" s="631"/>
      <c r="QSY1738" s="631"/>
      <c r="QSZ1738" s="631"/>
      <c r="QTA1738" s="666" t="s">
        <v>799</v>
      </c>
      <c r="QTB1738" s="631">
        <f t="shared" ref="QTB1738" si="859">QSR1738</f>
        <v>8</v>
      </c>
      <c r="QTC1738" s="657" t="s">
        <v>2</v>
      </c>
      <c r="QTD1738" s="736"/>
      <c r="QTE1738" s="737"/>
      <c r="QTF1738" s="665" t="s">
        <v>1413</v>
      </c>
      <c r="QTH1738" s="629">
        <v>8</v>
      </c>
      <c r="QTI1738" s="662"/>
      <c r="QTJ1738" s="631"/>
      <c r="QTK1738" s="631"/>
      <c r="QTL1738" s="631"/>
      <c r="QTM1738" s="631"/>
      <c r="QTN1738" s="631"/>
      <c r="QTO1738" s="631"/>
      <c r="QTP1738" s="631"/>
      <c r="QTQ1738" s="666" t="s">
        <v>799</v>
      </c>
      <c r="QTR1738" s="631">
        <f t="shared" ref="QTR1738" si="860">QTH1738</f>
        <v>8</v>
      </c>
      <c r="QTS1738" s="657" t="s">
        <v>2</v>
      </c>
      <c r="QTT1738" s="736"/>
      <c r="QTU1738" s="737"/>
      <c r="QTV1738" s="665" t="s">
        <v>1413</v>
      </c>
      <c r="QTX1738" s="629">
        <v>8</v>
      </c>
      <c r="QTY1738" s="662"/>
      <c r="QTZ1738" s="631"/>
      <c r="QUA1738" s="631"/>
      <c r="QUB1738" s="631"/>
      <c r="QUC1738" s="631"/>
      <c r="QUD1738" s="631"/>
      <c r="QUE1738" s="631"/>
      <c r="QUF1738" s="631"/>
      <c r="QUG1738" s="666" t="s">
        <v>799</v>
      </c>
      <c r="QUH1738" s="631">
        <f t="shared" ref="QUH1738" si="861">QTX1738</f>
        <v>8</v>
      </c>
      <c r="QUI1738" s="657" t="s">
        <v>2</v>
      </c>
      <c r="QUJ1738" s="736"/>
      <c r="QUK1738" s="737"/>
      <c r="QUL1738" s="665" t="s">
        <v>1413</v>
      </c>
      <c r="QUN1738" s="629">
        <v>8</v>
      </c>
      <c r="QUO1738" s="662"/>
      <c r="QUP1738" s="631"/>
      <c r="QUQ1738" s="631"/>
      <c r="QUR1738" s="631"/>
      <c r="QUS1738" s="631"/>
      <c r="QUT1738" s="631"/>
      <c r="QUU1738" s="631"/>
      <c r="QUV1738" s="631"/>
      <c r="QUW1738" s="666" t="s">
        <v>799</v>
      </c>
      <c r="QUX1738" s="631">
        <f t="shared" ref="QUX1738" si="862">QUN1738</f>
        <v>8</v>
      </c>
      <c r="QUY1738" s="657" t="s">
        <v>2</v>
      </c>
      <c r="QUZ1738" s="736"/>
      <c r="QVA1738" s="737"/>
      <c r="QVB1738" s="665" t="s">
        <v>1413</v>
      </c>
      <c r="QVD1738" s="629">
        <v>8</v>
      </c>
      <c r="QVE1738" s="662"/>
      <c r="QVF1738" s="631"/>
      <c r="QVG1738" s="631"/>
      <c r="QVH1738" s="631"/>
      <c r="QVI1738" s="631"/>
      <c r="QVJ1738" s="631"/>
      <c r="QVK1738" s="631"/>
      <c r="QVL1738" s="631"/>
      <c r="QVM1738" s="666" t="s">
        <v>799</v>
      </c>
      <c r="QVN1738" s="631">
        <f t="shared" ref="QVN1738" si="863">QVD1738</f>
        <v>8</v>
      </c>
      <c r="QVO1738" s="657" t="s">
        <v>2</v>
      </c>
      <c r="QVP1738" s="736"/>
      <c r="QVQ1738" s="737"/>
      <c r="QVR1738" s="665" t="s">
        <v>1413</v>
      </c>
      <c r="QVT1738" s="629">
        <v>8</v>
      </c>
      <c r="QVU1738" s="662"/>
      <c r="QVV1738" s="631"/>
      <c r="QVW1738" s="631"/>
      <c r="QVX1738" s="631"/>
      <c r="QVY1738" s="631"/>
      <c r="QVZ1738" s="631"/>
      <c r="QWA1738" s="631"/>
      <c r="QWB1738" s="631"/>
      <c r="QWC1738" s="666" t="s">
        <v>799</v>
      </c>
      <c r="QWD1738" s="631">
        <f t="shared" ref="QWD1738" si="864">QVT1738</f>
        <v>8</v>
      </c>
      <c r="QWE1738" s="657" t="s">
        <v>2</v>
      </c>
      <c r="QWF1738" s="736"/>
      <c r="QWG1738" s="737"/>
      <c r="QWH1738" s="665" t="s">
        <v>1413</v>
      </c>
      <c r="QWJ1738" s="629">
        <v>8</v>
      </c>
      <c r="QWK1738" s="662"/>
      <c r="QWL1738" s="631"/>
      <c r="QWM1738" s="631"/>
      <c r="QWN1738" s="631"/>
      <c r="QWO1738" s="631"/>
      <c r="QWP1738" s="631"/>
      <c r="QWQ1738" s="631"/>
      <c r="QWR1738" s="631"/>
      <c r="QWS1738" s="666" t="s">
        <v>799</v>
      </c>
      <c r="QWT1738" s="631">
        <f t="shared" ref="QWT1738" si="865">QWJ1738</f>
        <v>8</v>
      </c>
      <c r="QWU1738" s="657" t="s">
        <v>2</v>
      </c>
      <c r="QWV1738" s="736"/>
      <c r="QWW1738" s="737"/>
      <c r="QWX1738" s="665" t="s">
        <v>1413</v>
      </c>
      <c r="QWZ1738" s="629">
        <v>8</v>
      </c>
      <c r="QXA1738" s="662"/>
      <c r="QXB1738" s="631"/>
      <c r="QXC1738" s="631"/>
      <c r="QXD1738" s="631"/>
      <c r="QXE1738" s="631"/>
      <c r="QXF1738" s="631"/>
      <c r="QXG1738" s="631"/>
      <c r="QXH1738" s="631"/>
      <c r="QXI1738" s="666" t="s">
        <v>799</v>
      </c>
      <c r="QXJ1738" s="631">
        <f t="shared" ref="QXJ1738" si="866">QWZ1738</f>
        <v>8</v>
      </c>
      <c r="QXK1738" s="657" t="s">
        <v>2</v>
      </c>
      <c r="QXL1738" s="736"/>
      <c r="QXM1738" s="737"/>
      <c r="QXN1738" s="665" t="s">
        <v>1413</v>
      </c>
      <c r="QXP1738" s="629">
        <v>8</v>
      </c>
      <c r="QXQ1738" s="662"/>
      <c r="QXR1738" s="631"/>
      <c r="QXS1738" s="631"/>
      <c r="QXT1738" s="631"/>
      <c r="QXU1738" s="631"/>
      <c r="QXV1738" s="631"/>
      <c r="QXW1738" s="631"/>
      <c r="QXX1738" s="631"/>
      <c r="QXY1738" s="666" t="s">
        <v>799</v>
      </c>
      <c r="QXZ1738" s="631">
        <f t="shared" ref="QXZ1738" si="867">QXP1738</f>
        <v>8</v>
      </c>
      <c r="QYA1738" s="657" t="s">
        <v>2</v>
      </c>
      <c r="QYB1738" s="736"/>
      <c r="QYC1738" s="737"/>
      <c r="QYD1738" s="665" t="s">
        <v>1413</v>
      </c>
      <c r="QYF1738" s="629">
        <v>8</v>
      </c>
      <c r="QYG1738" s="662"/>
      <c r="QYH1738" s="631"/>
      <c r="QYI1738" s="631"/>
      <c r="QYJ1738" s="631"/>
      <c r="QYK1738" s="631"/>
      <c r="QYL1738" s="631"/>
      <c r="QYM1738" s="631"/>
      <c r="QYN1738" s="631"/>
      <c r="QYO1738" s="666" t="s">
        <v>799</v>
      </c>
      <c r="QYP1738" s="631">
        <f t="shared" ref="QYP1738" si="868">QYF1738</f>
        <v>8</v>
      </c>
      <c r="QYQ1738" s="657" t="s">
        <v>2</v>
      </c>
      <c r="QYR1738" s="736"/>
      <c r="QYS1738" s="737"/>
      <c r="QYT1738" s="665" t="s">
        <v>1413</v>
      </c>
      <c r="QYV1738" s="629">
        <v>8</v>
      </c>
      <c r="QYW1738" s="662"/>
      <c r="QYX1738" s="631"/>
      <c r="QYY1738" s="631"/>
      <c r="QYZ1738" s="631"/>
      <c r="QZA1738" s="631"/>
      <c r="QZB1738" s="631"/>
      <c r="QZC1738" s="631"/>
      <c r="QZD1738" s="631"/>
      <c r="QZE1738" s="666" t="s">
        <v>799</v>
      </c>
      <c r="QZF1738" s="631">
        <f t="shared" ref="QZF1738" si="869">QYV1738</f>
        <v>8</v>
      </c>
      <c r="QZG1738" s="657" t="s">
        <v>2</v>
      </c>
      <c r="QZH1738" s="736"/>
      <c r="QZI1738" s="737"/>
      <c r="QZJ1738" s="665" t="s">
        <v>1413</v>
      </c>
      <c r="QZL1738" s="629">
        <v>8</v>
      </c>
      <c r="QZM1738" s="662"/>
      <c r="QZN1738" s="631"/>
      <c r="QZO1738" s="631"/>
      <c r="QZP1738" s="631"/>
      <c r="QZQ1738" s="631"/>
      <c r="QZR1738" s="631"/>
      <c r="QZS1738" s="631"/>
      <c r="QZT1738" s="631"/>
      <c r="QZU1738" s="666" t="s">
        <v>799</v>
      </c>
      <c r="QZV1738" s="631">
        <f t="shared" ref="QZV1738" si="870">QZL1738</f>
        <v>8</v>
      </c>
      <c r="QZW1738" s="657" t="s">
        <v>2</v>
      </c>
      <c r="QZX1738" s="736"/>
      <c r="QZY1738" s="737"/>
      <c r="QZZ1738" s="665" t="s">
        <v>1413</v>
      </c>
      <c r="RAB1738" s="629">
        <v>8</v>
      </c>
      <c r="RAC1738" s="662"/>
      <c r="RAD1738" s="631"/>
      <c r="RAE1738" s="631"/>
      <c r="RAF1738" s="631"/>
      <c r="RAG1738" s="631"/>
      <c r="RAH1738" s="631"/>
      <c r="RAI1738" s="631"/>
      <c r="RAJ1738" s="631"/>
      <c r="RAK1738" s="666" t="s">
        <v>799</v>
      </c>
      <c r="RAL1738" s="631">
        <f t="shared" ref="RAL1738" si="871">RAB1738</f>
        <v>8</v>
      </c>
      <c r="RAM1738" s="657" t="s">
        <v>2</v>
      </c>
      <c r="RAN1738" s="736"/>
      <c r="RAO1738" s="737"/>
      <c r="RAP1738" s="665" t="s">
        <v>1413</v>
      </c>
      <c r="RAR1738" s="629">
        <v>8</v>
      </c>
      <c r="RAS1738" s="662"/>
      <c r="RAT1738" s="631"/>
      <c r="RAU1738" s="631"/>
      <c r="RAV1738" s="631"/>
      <c r="RAW1738" s="631"/>
      <c r="RAX1738" s="631"/>
      <c r="RAY1738" s="631"/>
      <c r="RAZ1738" s="631"/>
      <c r="RBA1738" s="666" t="s">
        <v>799</v>
      </c>
      <c r="RBB1738" s="631">
        <f t="shared" ref="RBB1738" si="872">RAR1738</f>
        <v>8</v>
      </c>
      <c r="RBC1738" s="657" t="s">
        <v>2</v>
      </c>
      <c r="RBD1738" s="736"/>
      <c r="RBE1738" s="737"/>
      <c r="RBF1738" s="665" t="s">
        <v>1413</v>
      </c>
      <c r="RBH1738" s="629">
        <v>8</v>
      </c>
      <c r="RBI1738" s="662"/>
      <c r="RBJ1738" s="631"/>
      <c r="RBK1738" s="631"/>
      <c r="RBL1738" s="631"/>
      <c r="RBM1738" s="631"/>
      <c r="RBN1738" s="631"/>
      <c r="RBO1738" s="631"/>
      <c r="RBP1738" s="631"/>
      <c r="RBQ1738" s="666" t="s">
        <v>799</v>
      </c>
      <c r="RBR1738" s="631">
        <f t="shared" ref="RBR1738" si="873">RBH1738</f>
        <v>8</v>
      </c>
      <c r="RBS1738" s="657" t="s">
        <v>2</v>
      </c>
      <c r="RBT1738" s="736"/>
      <c r="RBU1738" s="737"/>
      <c r="RBV1738" s="665" t="s">
        <v>1413</v>
      </c>
      <c r="RBX1738" s="629">
        <v>8</v>
      </c>
      <c r="RBY1738" s="662"/>
      <c r="RBZ1738" s="631"/>
      <c r="RCA1738" s="631"/>
      <c r="RCB1738" s="631"/>
      <c r="RCC1738" s="631"/>
      <c r="RCD1738" s="631"/>
      <c r="RCE1738" s="631"/>
      <c r="RCF1738" s="631"/>
      <c r="RCG1738" s="666" t="s">
        <v>799</v>
      </c>
      <c r="RCH1738" s="631">
        <f t="shared" ref="RCH1738" si="874">RBX1738</f>
        <v>8</v>
      </c>
      <c r="RCI1738" s="657" t="s">
        <v>2</v>
      </c>
      <c r="RCJ1738" s="736"/>
      <c r="RCK1738" s="737"/>
      <c r="RCL1738" s="665" t="s">
        <v>1413</v>
      </c>
      <c r="RCN1738" s="629">
        <v>8</v>
      </c>
      <c r="RCO1738" s="662"/>
      <c r="RCP1738" s="631"/>
      <c r="RCQ1738" s="631"/>
      <c r="RCR1738" s="631"/>
      <c r="RCS1738" s="631"/>
      <c r="RCT1738" s="631"/>
      <c r="RCU1738" s="631"/>
      <c r="RCV1738" s="631"/>
      <c r="RCW1738" s="666" t="s">
        <v>799</v>
      </c>
      <c r="RCX1738" s="631">
        <f t="shared" ref="RCX1738" si="875">RCN1738</f>
        <v>8</v>
      </c>
      <c r="RCY1738" s="657" t="s">
        <v>2</v>
      </c>
      <c r="RCZ1738" s="736"/>
      <c r="RDA1738" s="737"/>
      <c r="RDB1738" s="665" t="s">
        <v>1413</v>
      </c>
      <c r="RDD1738" s="629">
        <v>8</v>
      </c>
      <c r="RDE1738" s="662"/>
      <c r="RDF1738" s="631"/>
      <c r="RDG1738" s="631"/>
      <c r="RDH1738" s="631"/>
      <c r="RDI1738" s="631"/>
      <c r="RDJ1738" s="631"/>
      <c r="RDK1738" s="631"/>
      <c r="RDL1738" s="631"/>
      <c r="RDM1738" s="666" t="s">
        <v>799</v>
      </c>
      <c r="RDN1738" s="631">
        <f t="shared" ref="RDN1738" si="876">RDD1738</f>
        <v>8</v>
      </c>
      <c r="RDO1738" s="657" t="s">
        <v>2</v>
      </c>
      <c r="RDP1738" s="736"/>
      <c r="RDQ1738" s="737"/>
      <c r="RDR1738" s="665" t="s">
        <v>1413</v>
      </c>
      <c r="RDT1738" s="629">
        <v>8</v>
      </c>
      <c r="RDU1738" s="662"/>
      <c r="RDV1738" s="631"/>
      <c r="RDW1738" s="631"/>
      <c r="RDX1738" s="631"/>
      <c r="RDY1738" s="631"/>
      <c r="RDZ1738" s="631"/>
      <c r="REA1738" s="631"/>
      <c r="REB1738" s="631"/>
      <c r="REC1738" s="666" t="s">
        <v>799</v>
      </c>
      <c r="RED1738" s="631">
        <f t="shared" ref="RED1738" si="877">RDT1738</f>
        <v>8</v>
      </c>
      <c r="REE1738" s="657" t="s">
        <v>2</v>
      </c>
      <c r="REF1738" s="736"/>
      <c r="REG1738" s="737"/>
      <c r="REH1738" s="665" t="s">
        <v>1413</v>
      </c>
      <c r="REJ1738" s="629">
        <v>8</v>
      </c>
      <c r="REK1738" s="662"/>
      <c r="REL1738" s="631"/>
      <c r="REM1738" s="631"/>
      <c r="REN1738" s="631"/>
      <c r="REO1738" s="631"/>
      <c r="REP1738" s="631"/>
      <c r="REQ1738" s="631"/>
      <c r="RER1738" s="631"/>
      <c r="RES1738" s="666" t="s">
        <v>799</v>
      </c>
      <c r="RET1738" s="631">
        <f t="shared" ref="RET1738" si="878">REJ1738</f>
        <v>8</v>
      </c>
      <c r="REU1738" s="657" t="s">
        <v>2</v>
      </c>
      <c r="REV1738" s="736"/>
      <c r="REW1738" s="737"/>
      <c r="REX1738" s="665" t="s">
        <v>1413</v>
      </c>
      <c r="REZ1738" s="629">
        <v>8</v>
      </c>
      <c r="RFA1738" s="662"/>
      <c r="RFB1738" s="631"/>
      <c r="RFC1738" s="631"/>
      <c r="RFD1738" s="631"/>
      <c r="RFE1738" s="631"/>
      <c r="RFF1738" s="631"/>
      <c r="RFG1738" s="631"/>
      <c r="RFH1738" s="631"/>
      <c r="RFI1738" s="666" t="s">
        <v>799</v>
      </c>
      <c r="RFJ1738" s="631">
        <f t="shared" ref="RFJ1738" si="879">REZ1738</f>
        <v>8</v>
      </c>
      <c r="RFK1738" s="657" t="s">
        <v>2</v>
      </c>
      <c r="RFL1738" s="736"/>
      <c r="RFM1738" s="737"/>
      <c r="RFN1738" s="665" t="s">
        <v>1413</v>
      </c>
      <c r="RFP1738" s="629">
        <v>8</v>
      </c>
      <c r="RFQ1738" s="662"/>
      <c r="RFR1738" s="631"/>
      <c r="RFS1738" s="631"/>
      <c r="RFT1738" s="631"/>
      <c r="RFU1738" s="631"/>
      <c r="RFV1738" s="631"/>
      <c r="RFW1738" s="631"/>
      <c r="RFX1738" s="631"/>
      <c r="RFY1738" s="666" t="s">
        <v>799</v>
      </c>
      <c r="RFZ1738" s="631">
        <f t="shared" ref="RFZ1738" si="880">RFP1738</f>
        <v>8</v>
      </c>
      <c r="RGA1738" s="657" t="s">
        <v>2</v>
      </c>
      <c r="RGB1738" s="736"/>
      <c r="RGC1738" s="737"/>
      <c r="RGD1738" s="665" t="s">
        <v>1413</v>
      </c>
      <c r="RGF1738" s="629">
        <v>8</v>
      </c>
      <c r="RGG1738" s="662"/>
      <c r="RGH1738" s="631"/>
      <c r="RGI1738" s="631"/>
      <c r="RGJ1738" s="631"/>
      <c r="RGK1738" s="631"/>
      <c r="RGL1738" s="631"/>
      <c r="RGM1738" s="631"/>
      <c r="RGN1738" s="631"/>
      <c r="RGO1738" s="666" t="s">
        <v>799</v>
      </c>
      <c r="RGP1738" s="631">
        <f t="shared" ref="RGP1738" si="881">RGF1738</f>
        <v>8</v>
      </c>
      <c r="RGQ1738" s="657" t="s">
        <v>2</v>
      </c>
      <c r="RGR1738" s="736"/>
      <c r="RGS1738" s="737"/>
      <c r="RGT1738" s="665" t="s">
        <v>1413</v>
      </c>
      <c r="RGV1738" s="629">
        <v>8</v>
      </c>
      <c r="RGW1738" s="662"/>
      <c r="RGX1738" s="631"/>
      <c r="RGY1738" s="631"/>
      <c r="RGZ1738" s="631"/>
      <c r="RHA1738" s="631"/>
      <c r="RHB1738" s="631"/>
      <c r="RHC1738" s="631"/>
      <c r="RHD1738" s="631"/>
      <c r="RHE1738" s="666" t="s">
        <v>799</v>
      </c>
      <c r="RHF1738" s="631">
        <f t="shared" ref="RHF1738" si="882">RGV1738</f>
        <v>8</v>
      </c>
      <c r="RHG1738" s="657" t="s">
        <v>2</v>
      </c>
      <c r="RHH1738" s="736"/>
      <c r="RHI1738" s="737"/>
      <c r="RHJ1738" s="665" t="s">
        <v>1413</v>
      </c>
      <c r="RHL1738" s="629">
        <v>8</v>
      </c>
      <c r="RHM1738" s="662"/>
      <c r="RHN1738" s="631"/>
      <c r="RHO1738" s="631"/>
      <c r="RHP1738" s="631"/>
      <c r="RHQ1738" s="631"/>
      <c r="RHR1738" s="631"/>
      <c r="RHS1738" s="631"/>
      <c r="RHT1738" s="631"/>
      <c r="RHU1738" s="666" t="s">
        <v>799</v>
      </c>
      <c r="RHV1738" s="631">
        <f t="shared" ref="RHV1738" si="883">RHL1738</f>
        <v>8</v>
      </c>
      <c r="RHW1738" s="657" t="s">
        <v>2</v>
      </c>
      <c r="RHX1738" s="736"/>
      <c r="RHY1738" s="737"/>
      <c r="RHZ1738" s="665" t="s">
        <v>1413</v>
      </c>
      <c r="RIB1738" s="629">
        <v>8</v>
      </c>
      <c r="RIC1738" s="662"/>
      <c r="RID1738" s="631"/>
      <c r="RIE1738" s="631"/>
      <c r="RIF1738" s="631"/>
      <c r="RIG1738" s="631"/>
      <c r="RIH1738" s="631"/>
      <c r="RII1738" s="631"/>
      <c r="RIJ1738" s="631"/>
      <c r="RIK1738" s="666" t="s">
        <v>799</v>
      </c>
      <c r="RIL1738" s="631">
        <f t="shared" ref="RIL1738" si="884">RIB1738</f>
        <v>8</v>
      </c>
      <c r="RIM1738" s="657" t="s">
        <v>2</v>
      </c>
      <c r="RIN1738" s="736"/>
      <c r="RIO1738" s="737"/>
      <c r="RIP1738" s="665" t="s">
        <v>1413</v>
      </c>
      <c r="RIR1738" s="629">
        <v>8</v>
      </c>
      <c r="RIS1738" s="662"/>
      <c r="RIT1738" s="631"/>
      <c r="RIU1738" s="631"/>
      <c r="RIV1738" s="631"/>
      <c r="RIW1738" s="631"/>
      <c r="RIX1738" s="631"/>
      <c r="RIY1738" s="631"/>
      <c r="RIZ1738" s="631"/>
      <c r="RJA1738" s="666" t="s">
        <v>799</v>
      </c>
      <c r="RJB1738" s="631">
        <f t="shared" ref="RJB1738" si="885">RIR1738</f>
        <v>8</v>
      </c>
      <c r="RJC1738" s="657" t="s">
        <v>2</v>
      </c>
      <c r="RJD1738" s="736"/>
      <c r="RJE1738" s="737"/>
      <c r="RJF1738" s="665" t="s">
        <v>1413</v>
      </c>
      <c r="RJH1738" s="629">
        <v>8</v>
      </c>
      <c r="RJI1738" s="662"/>
      <c r="RJJ1738" s="631"/>
      <c r="RJK1738" s="631"/>
      <c r="RJL1738" s="631"/>
      <c r="RJM1738" s="631"/>
      <c r="RJN1738" s="631"/>
      <c r="RJO1738" s="631"/>
      <c r="RJP1738" s="631"/>
      <c r="RJQ1738" s="666" t="s">
        <v>799</v>
      </c>
      <c r="RJR1738" s="631">
        <f t="shared" ref="RJR1738" si="886">RJH1738</f>
        <v>8</v>
      </c>
      <c r="RJS1738" s="657" t="s">
        <v>2</v>
      </c>
      <c r="RJT1738" s="736"/>
      <c r="RJU1738" s="737"/>
      <c r="RJV1738" s="665" t="s">
        <v>1413</v>
      </c>
      <c r="RJX1738" s="629">
        <v>8</v>
      </c>
      <c r="RJY1738" s="662"/>
      <c r="RJZ1738" s="631"/>
      <c r="RKA1738" s="631"/>
      <c r="RKB1738" s="631"/>
      <c r="RKC1738" s="631"/>
      <c r="RKD1738" s="631"/>
      <c r="RKE1738" s="631"/>
      <c r="RKF1738" s="631"/>
      <c r="RKG1738" s="666" t="s">
        <v>799</v>
      </c>
      <c r="RKH1738" s="631">
        <f t="shared" ref="RKH1738" si="887">RJX1738</f>
        <v>8</v>
      </c>
      <c r="RKI1738" s="657" t="s">
        <v>2</v>
      </c>
      <c r="RKJ1738" s="736"/>
      <c r="RKK1738" s="737"/>
      <c r="RKL1738" s="665" t="s">
        <v>1413</v>
      </c>
      <c r="RKN1738" s="629">
        <v>8</v>
      </c>
      <c r="RKO1738" s="662"/>
      <c r="RKP1738" s="631"/>
      <c r="RKQ1738" s="631"/>
      <c r="RKR1738" s="631"/>
      <c r="RKS1738" s="631"/>
      <c r="RKT1738" s="631"/>
      <c r="RKU1738" s="631"/>
      <c r="RKV1738" s="631"/>
      <c r="RKW1738" s="666" t="s">
        <v>799</v>
      </c>
      <c r="RKX1738" s="631">
        <f t="shared" ref="RKX1738" si="888">RKN1738</f>
        <v>8</v>
      </c>
      <c r="RKY1738" s="657" t="s">
        <v>2</v>
      </c>
      <c r="RKZ1738" s="736"/>
      <c r="RLA1738" s="737"/>
      <c r="RLB1738" s="665" t="s">
        <v>1413</v>
      </c>
      <c r="RLD1738" s="629">
        <v>8</v>
      </c>
      <c r="RLE1738" s="662"/>
      <c r="RLF1738" s="631"/>
      <c r="RLG1738" s="631"/>
      <c r="RLH1738" s="631"/>
      <c r="RLI1738" s="631"/>
      <c r="RLJ1738" s="631"/>
      <c r="RLK1738" s="631"/>
      <c r="RLL1738" s="631"/>
      <c r="RLM1738" s="666" t="s">
        <v>799</v>
      </c>
      <c r="RLN1738" s="631">
        <f t="shared" ref="RLN1738" si="889">RLD1738</f>
        <v>8</v>
      </c>
      <c r="RLO1738" s="657" t="s">
        <v>2</v>
      </c>
      <c r="RLP1738" s="736"/>
      <c r="RLQ1738" s="737"/>
      <c r="RLR1738" s="665" t="s">
        <v>1413</v>
      </c>
      <c r="RLT1738" s="629">
        <v>8</v>
      </c>
      <c r="RLU1738" s="662"/>
      <c r="RLV1738" s="631"/>
      <c r="RLW1738" s="631"/>
      <c r="RLX1738" s="631"/>
      <c r="RLY1738" s="631"/>
      <c r="RLZ1738" s="631"/>
      <c r="RMA1738" s="631"/>
      <c r="RMB1738" s="631"/>
      <c r="RMC1738" s="666" t="s">
        <v>799</v>
      </c>
      <c r="RMD1738" s="631">
        <f t="shared" ref="RMD1738" si="890">RLT1738</f>
        <v>8</v>
      </c>
      <c r="RME1738" s="657" t="s">
        <v>2</v>
      </c>
      <c r="RMF1738" s="736"/>
      <c r="RMG1738" s="737"/>
      <c r="RMH1738" s="665" t="s">
        <v>1413</v>
      </c>
      <c r="RMJ1738" s="629">
        <v>8</v>
      </c>
      <c r="RMK1738" s="662"/>
      <c r="RML1738" s="631"/>
      <c r="RMM1738" s="631"/>
      <c r="RMN1738" s="631"/>
      <c r="RMO1738" s="631"/>
      <c r="RMP1738" s="631"/>
      <c r="RMQ1738" s="631"/>
      <c r="RMR1738" s="631"/>
      <c r="RMS1738" s="666" t="s">
        <v>799</v>
      </c>
      <c r="RMT1738" s="631">
        <f t="shared" ref="RMT1738" si="891">RMJ1738</f>
        <v>8</v>
      </c>
      <c r="RMU1738" s="657" t="s">
        <v>2</v>
      </c>
      <c r="RMV1738" s="736"/>
      <c r="RMW1738" s="737"/>
      <c r="RMX1738" s="665" t="s">
        <v>1413</v>
      </c>
      <c r="RMZ1738" s="629">
        <v>8</v>
      </c>
      <c r="RNA1738" s="662"/>
      <c r="RNB1738" s="631"/>
      <c r="RNC1738" s="631"/>
      <c r="RND1738" s="631"/>
      <c r="RNE1738" s="631"/>
      <c r="RNF1738" s="631"/>
      <c r="RNG1738" s="631"/>
      <c r="RNH1738" s="631"/>
      <c r="RNI1738" s="666" t="s">
        <v>799</v>
      </c>
      <c r="RNJ1738" s="631">
        <f t="shared" ref="RNJ1738" si="892">RMZ1738</f>
        <v>8</v>
      </c>
      <c r="RNK1738" s="657" t="s">
        <v>2</v>
      </c>
      <c r="RNL1738" s="736"/>
      <c r="RNM1738" s="737"/>
      <c r="RNN1738" s="665" t="s">
        <v>1413</v>
      </c>
      <c r="RNP1738" s="629">
        <v>8</v>
      </c>
      <c r="RNQ1738" s="662"/>
      <c r="RNR1738" s="631"/>
      <c r="RNS1738" s="631"/>
      <c r="RNT1738" s="631"/>
      <c r="RNU1738" s="631"/>
      <c r="RNV1738" s="631"/>
      <c r="RNW1738" s="631"/>
      <c r="RNX1738" s="631"/>
      <c r="RNY1738" s="666" t="s">
        <v>799</v>
      </c>
      <c r="RNZ1738" s="631">
        <f t="shared" ref="RNZ1738" si="893">RNP1738</f>
        <v>8</v>
      </c>
      <c r="ROA1738" s="657" t="s">
        <v>2</v>
      </c>
      <c r="ROB1738" s="736"/>
      <c r="ROC1738" s="737"/>
      <c r="ROD1738" s="665" t="s">
        <v>1413</v>
      </c>
      <c r="ROF1738" s="629">
        <v>8</v>
      </c>
      <c r="ROG1738" s="662"/>
      <c r="ROH1738" s="631"/>
      <c r="ROI1738" s="631"/>
      <c r="ROJ1738" s="631"/>
      <c r="ROK1738" s="631"/>
      <c r="ROL1738" s="631"/>
      <c r="ROM1738" s="631"/>
      <c r="RON1738" s="631"/>
      <c r="ROO1738" s="666" t="s">
        <v>799</v>
      </c>
      <c r="ROP1738" s="631">
        <f t="shared" ref="ROP1738" si="894">ROF1738</f>
        <v>8</v>
      </c>
      <c r="ROQ1738" s="657" t="s">
        <v>2</v>
      </c>
      <c r="ROR1738" s="736"/>
      <c r="ROS1738" s="737"/>
      <c r="ROT1738" s="665" t="s">
        <v>1413</v>
      </c>
      <c r="ROV1738" s="629">
        <v>8</v>
      </c>
      <c r="ROW1738" s="662"/>
      <c r="ROX1738" s="631"/>
      <c r="ROY1738" s="631"/>
      <c r="ROZ1738" s="631"/>
      <c r="RPA1738" s="631"/>
      <c r="RPB1738" s="631"/>
      <c r="RPC1738" s="631"/>
      <c r="RPD1738" s="631"/>
      <c r="RPE1738" s="666" t="s">
        <v>799</v>
      </c>
      <c r="RPF1738" s="631">
        <f t="shared" ref="RPF1738" si="895">ROV1738</f>
        <v>8</v>
      </c>
      <c r="RPG1738" s="657" t="s">
        <v>2</v>
      </c>
      <c r="RPH1738" s="736"/>
      <c r="RPI1738" s="737"/>
      <c r="RPJ1738" s="665" t="s">
        <v>1413</v>
      </c>
      <c r="RPL1738" s="629">
        <v>8</v>
      </c>
      <c r="RPM1738" s="662"/>
      <c r="RPN1738" s="631"/>
      <c r="RPO1738" s="631"/>
      <c r="RPP1738" s="631"/>
      <c r="RPQ1738" s="631"/>
      <c r="RPR1738" s="631"/>
      <c r="RPS1738" s="631"/>
      <c r="RPT1738" s="631"/>
      <c r="RPU1738" s="666" t="s">
        <v>799</v>
      </c>
      <c r="RPV1738" s="631">
        <f t="shared" ref="RPV1738" si="896">RPL1738</f>
        <v>8</v>
      </c>
      <c r="RPW1738" s="657" t="s">
        <v>2</v>
      </c>
      <c r="RPX1738" s="736"/>
      <c r="RPY1738" s="737"/>
      <c r="RPZ1738" s="665" t="s">
        <v>1413</v>
      </c>
      <c r="RQB1738" s="629">
        <v>8</v>
      </c>
      <c r="RQC1738" s="662"/>
      <c r="RQD1738" s="631"/>
      <c r="RQE1738" s="631"/>
      <c r="RQF1738" s="631"/>
      <c r="RQG1738" s="631"/>
      <c r="RQH1738" s="631"/>
      <c r="RQI1738" s="631"/>
      <c r="RQJ1738" s="631"/>
      <c r="RQK1738" s="666" t="s">
        <v>799</v>
      </c>
      <c r="RQL1738" s="631">
        <f t="shared" ref="RQL1738" si="897">RQB1738</f>
        <v>8</v>
      </c>
      <c r="RQM1738" s="657" t="s">
        <v>2</v>
      </c>
      <c r="RQN1738" s="736"/>
      <c r="RQO1738" s="737"/>
      <c r="RQP1738" s="665" t="s">
        <v>1413</v>
      </c>
      <c r="RQR1738" s="629">
        <v>8</v>
      </c>
      <c r="RQS1738" s="662"/>
      <c r="RQT1738" s="631"/>
      <c r="RQU1738" s="631"/>
      <c r="RQV1738" s="631"/>
      <c r="RQW1738" s="631"/>
      <c r="RQX1738" s="631"/>
      <c r="RQY1738" s="631"/>
      <c r="RQZ1738" s="631"/>
      <c r="RRA1738" s="666" t="s">
        <v>799</v>
      </c>
      <c r="RRB1738" s="631">
        <f t="shared" ref="RRB1738" si="898">RQR1738</f>
        <v>8</v>
      </c>
      <c r="RRC1738" s="657" t="s">
        <v>2</v>
      </c>
      <c r="RRD1738" s="736"/>
      <c r="RRE1738" s="737"/>
      <c r="RRF1738" s="665" t="s">
        <v>1413</v>
      </c>
      <c r="RRH1738" s="629">
        <v>8</v>
      </c>
      <c r="RRI1738" s="662"/>
      <c r="RRJ1738" s="631"/>
      <c r="RRK1738" s="631"/>
      <c r="RRL1738" s="631"/>
      <c r="RRM1738" s="631"/>
      <c r="RRN1738" s="631"/>
      <c r="RRO1738" s="631"/>
      <c r="RRP1738" s="631"/>
      <c r="RRQ1738" s="666" t="s">
        <v>799</v>
      </c>
      <c r="RRR1738" s="631">
        <f t="shared" ref="RRR1738" si="899">RRH1738</f>
        <v>8</v>
      </c>
      <c r="RRS1738" s="657" t="s">
        <v>2</v>
      </c>
      <c r="RRT1738" s="736"/>
      <c r="RRU1738" s="737"/>
      <c r="RRV1738" s="665" t="s">
        <v>1413</v>
      </c>
      <c r="RRX1738" s="629">
        <v>8</v>
      </c>
      <c r="RRY1738" s="662"/>
      <c r="RRZ1738" s="631"/>
      <c r="RSA1738" s="631"/>
      <c r="RSB1738" s="631"/>
      <c r="RSC1738" s="631"/>
      <c r="RSD1738" s="631"/>
      <c r="RSE1738" s="631"/>
      <c r="RSF1738" s="631"/>
      <c r="RSG1738" s="666" t="s">
        <v>799</v>
      </c>
      <c r="RSH1738" s="631">
        <f t="shared" ref="RSH1738" si="900">RRX1738</f>
        <v>8</v>
      </c>
      <c r="RSI1738" s="657" t="s">
        <v>2</v>
      </c>
      <c r="RSJ1738" s="736"/>
      <c r="RSK1738" s="737"/>
      <c r="RSL1738" s="665" t="s">
        <v>1413</v>
      </c>
      <c r="RSN1738" s="629">
        <v>8</v>
      </c>
      <c r="RSO1738" s="662"/>
      <c r="RSP1738" s="631"/>
      <c r="RSQ1738" s="631"/>
      <c r="RSR1738" s="631"/>
      <c r="RSS1738" s="631"/>
      <c r="RST1738" s="631"/>
      <c r="RSU1738" s="631"/>
      <c r="RSV1738" s="631"/>
      <c r="RSW1738" s="666" t="s">
        <v>799</v>
      </c>
      <c r="RSX1738" s="631">
        <f t="shared" ref="RSX1738" si="901">RSN1738</f>
        <v>8</v>
      </c>
      <c r="RSY1738" s="657" t="s">
        <v>2</v>
      </c>
      <c r="RSZ1738" s="736"/>
      <c r="RTA1738" s="737"/>
      <c r="RTB1738" s="665" t="s">
        <v>1413</v>
      </c>
      <c r="RTD1738" s="629">
        <v>8</v>
      </c>
      <c r="RTE1738" s="662"/>
      <c r="RTF1738" s="631"/>
      <c r="RTG1738" s="631"/>
      <c r="RTH1738" s="631"/>
      <c r="RTI1738" s="631"/>
      <c r="RTJ1738" s="631"/>
      <c r="RTK1738" s="631"/>
      <c r="RTL1738" s="631"/>
      <c r="RTM1738" s="666" t="s">
        <v>799</v>
      </c>
      <c r="RTN1738" s="631">
        <f t="shared" ref="RTN1738" si="902">RTD1738</f>
        <v>8</v>
      </c>
      <c r="RTO1738" s="657" t="s">
        <v>2</v>
      </c>
      <c r="RTP1738" s="736"/>
      <c r="RTQ1738" s="737"/>
      <c r="RTR1738" s="665" t="s">
        <v>1413</v>
      </c>
      <c r="RTT1738" s="629">
        <v>8</v>
      </c>
      <c r="RTU1738" s="662"/>
      <c r="RTV1738" s="631"/>
      <c r="RTW1738" s="631"/>
      <c r="RTX1738" s="631"/>
      <c r="RTY1738" s="631"/>
      <c r="RTZ1738" s="631"/>
      <c r="RUA1738" s="631"/>
      <c r="RUB1738" s="631"/>
      <c r="RUC1738" s="666" t="s">
        <v>799</v>
      </c>
      <c r="RUD1738" s="631">
        <f t="shared" ref="RUD1738" si="903">RTT1738</f>
        <v>8</v>
      </c>
      <c r="RUE1738" s="657" t="s">
        <v>2</v>
      </c>
      <c r="RUF1738" s="736"/>
      <c r="RUG1738" s="737"/>
      <c r="RUH1738" s="665" t="s">
        <v>1413</v>
      </c>
      <c r="RUJ1738" s="629">
        <v>8</v>
      </c>
      <c r="RUK1738" s="662"/>
      <c r="RUL1738" s="631"/>
      <c r="RUM1738" s="631"/>
      <c r="RUN1738" s="631"/>
      <c r="RUO1738" s="631"/>
      <c r="RUP1738" s="631"/>
      <c r="RUQ1738" s="631"/>
      <c r="RUR1738" s="631"/>
      <c r="RUS1738" s="666" t="s">
        <v>799</v>
      </c>
      <c r="RUT1738" s="631">
        <f t="shared" ref="RUT1738" si="904">RUJ1738</f>
        <v>8</v>
      </c>
      <c r="RUU1738" s="657" t="s">
        <v>2</v>
      </c>
      <c r="RUV1738" s="736"/>
      <c r="RUW1738" s="737"/>
      <c r="RUX1738" s="665" t="s">
        <v>1413</v>
      </c>
      <c r="RUZ1738" s="629">
        <v>8</v>
      </c>
      <c r="RVA1738" s="662"/>
      <c r="RVB1738" s="631"/>
      <c r="RVC1738" s="631"/>
      <c r="RVD1738" s="631"/>
      <c r="RVE1738" s="631"/>
      <c r="RVF1738" s="631"/>
      <c r="RVG1738" s="631"/>
      <c r="RVH1738" s="631"/>
      <c r="RVI1738" s="666" t="s">
        <v>799</v>
      </c>
      <c r="RVJ1738" s="631">
        <f t="shared" ref="RVJ1738" si="905">RUZ1738</f>
        <v>8</v>
      </c>
      <c r="RVK1738" s="657" t="s">
        <v>2</v>
      </c>
      <c r="RVL1738" s="736"/>
      <c r="RVM1738" s="737"/>
      <c r="RVN1738" s="665" t="s">
        <v>1413</v>
      </c>
      <c r="RVP1738" s="629">
        <v>8</v>
      </c>
      <c r="RVQ1738" s="662"/>
      <c r="RVR1738" s="631"/>
      <c r="RVS1738" s="631"/>
      <c r="RVT1738" s="631"/>
      <c r="RVU1738" s="631"/>
      <c r="RVV1738" s="631"/>
      <c r="RVW1738" s="631"/>
      <c r="RVX1738" s="631"/>
      <c r="RVY1738" s="666" t="s">
        <v>799</v>
      </c>
      <c r="RVZ1738" s="631">
        <f t="shared" ref="RVZ1738" si="906">RVP1738</f>
        <v>8</v>
      </c>
      <c r="RWA1738" s="657" t="s">
        <v>2</v>
      </c>
      <c r="RWB1738" s="736"/>
      <c r="RWC1738" s="737"/>
      <c r="RWD1738" s="665" t="s">
        <v>1413</v>
      </c>
      <c r="RWF1738" s="629">
        <v>8</v>
      </c>
      <c r="RWG1738" s="662"/>
      <c r="RWH1738" s="631"/>
      <c r="RWI1738" s="631"/>
      <c r="RWJ1738" s="631"/>
      <c r="RWK1738" s="631"/>
      <c r="RWL1738" s="631"/>
      <c r="RWM1738" s="631"/>
      <c r="RWN1738" s="631"/>
      <c r="RWO1738" s="666" t="s">
        <v>799</v>
      </c>
      <c r="RWP1738" s="631">
        <f t="shared" ref="RWP1738" si="907">RWF1738</f>
        <v>8</v>
      </c>
      <c r="RWQ1738" s="657" t="s">
        <v>2</v>
      </c>
      <c r="RWR1738" s="736"/>
      <c r="RWS1738" s="737"/>
      <c r="RWT1738" s="665" t="s">
        <v>1413</v>
      </c>
      <c r="RWV1738" s="629">
        <v>8</v>
      </c>
      <c r="RWW1738" s="662"/>
      <c r="RWX1738" s="631"/>
      <c r="RWY1738" s="631"/>
      <c r="RWZ1738" s="631"/>
      <c r="RXA1738" s="631"/>
      <c r="RXB1738" s="631"/>
      <c r="RXC1738" s="631"/>
      <c r="RXD1738" s="631"/>
      <c r="RXE1738" s="666" t="s">
        <v>799</v>
      </c>
      <c r="RXF1738" s="631">
        <f t="shared" ref="RXF1738" si="908">RWV1738</f>
        <v>8</v>
      </c>
      <c r="RXG1738" s="657" t="s">
        <v>2</v>
      </c>
      <c r="RXH1738" s="736"/>
      <c r="RXI1738" s="737"/>
      <c r="RXJ1738" s="665" t="s">
        <v>1413</v>
      </c>
      <c r="RXL1738" s="629">
        <v>8</v>
      </c>
      <c r="RXM1738" s="662"/>
      <c r="RXN1738" s="631"/>
      <c r="RXO1738" s="631"/>
      <c r="RXP1738" s="631"/>
      <c r="RXQ1738" s="631"/>
      <c r="RXR1738" s="631"/>
      <c r="RXS1738" s="631"/>
      <c r="RXT1738" s="631"/>
      <c r="RXU1738" s="666" t="s">
        <v>799</v>
      </c>
      <c r="RXV1738" s="631">
        <f t="shared" ref="RXV1738" si="909">RXL1738</f>
        <v>8</v>
      </c>
      <c r="RXW1738" s="657" t="s">
        <v>2</v>
      </c>
      <c r="RXX1738" s="736"/>
      <c r="RXY1738" s="737"/>
      <c r="RXZ1738" s="665" t="s">
        <v>1413</v>
      </c>
      <c r="RYB1738" s="629">
        <v>8</v>
      </c>
      <c r="RYC1738" s="662"/>
      <c r="RYD1738" s="631"/>
      <c r="RYE1738" s="631"/>
      <c r="RYF1738" s="631"/>
      <c r="RYG1738" s="631"/>
      <c r="RYH1738" s="631"/>
      <c r="RYI1738" s="631"/>
      <c r="RYJ1738" s="631"/>
      <c r="RYK1738" s="666" t="s">
        <v>799</v>
      </c>
      <c r="RYL1738" s="631">
        <f t="shared" ref="RYL1738" si="910">RYB1738</f>
        <v>8</v>
      </c>
      <c r="RYM1738" s="657" t="s">
        <v>2</v>
      </c>
      <c r="RYN1738" s="736"/>
      <c r="RYO1738" s="737"/>
      <c r="RYP1738" s="665" t="s">
        <v>1413</v>
      </c>
      <c r="RYR1738" s="629">
        <v>8</v>
      </c>
      <c r="RYS1738" s="662"/>
      <c r="RYT1738" s="631"/>
      <c r="RYU1738" s="631"/>
      <c r="RYV1738" s="631"/>
      <c r="RYW1738" s="631"/>
      <c r="RYX1738" s="631"/>
      <c r="RYY1738" s="631"/>
      <c r="RYZ1738" s="631"/>
      <c r="RZA1738" s="666" t="s">
        <v>799</v>
      </c>
      <c r="RZB1738" s="631">
        <f t="shared" ref="RZB1738" si="911">RYR1738</f>
        <v>8</v>
      </c>
      <c r="RZC1738" s="657" t="s">
        <v>2</v>
      </c>
      <c r="RZD1738" s="736"/>
      <c r="RZE1738" s="737"/>
      <c r="RZF1738" s="665" t="s">
        <v>1413</v>
      </c>
      <c r="RZH1738" s="629">
        <v>8</v>
      </c>
      <c r="RZI1738" s="662"/>
      <c r="RZJ1738" s="631"/>
      <c r="RZK1738" s="631"/>
      <c r="RZL1738" s="631"/>
      <c r="RZM1738" s="631"/>
      <c r="RZN1738" s="631"/>
      <c r="RZO1738" s="631"/>
      <c r="RZP1738" s="631"/>
      <c r="RZQ1738" s="666" t="s">
        <v>799</v>
      </c>
      <c r="RZR1738" s="631">
        <f t="shared" ref="RZR1738" si="912">RZH1738</f>
        <v>8</v>
      </c>
      <c r="RZS1738" s="657" t="s">
        <v>2</v>
      </c>
      <c r="RZT1738" s="736"/>
      <c r="RZU1738" s="737"/>
      <c r="RZV1738" s="665" t="s">
        <v>1413</v>
      </c>
      <c r="RZX1738" s="629">
        <v>8</v>
      </c>
      <c r="RZY1738" s="662"/>
      <c r="RZZ1738" s="631"/>
      <c r="SAA1738" s="631"/>
      <c r="SAB1738" s="631"/>
      <c r="SAC1738" s="631"/>
      <c r="SAD1738" s="631"/>
      <c r="SAE1738" s="631"/>
      <c r="SAF1738" s="631"/>
      <c r="SAG1738" s="666" t="s">
        <v>799</v>
      </c>
      <c r="SAH1738" s="631">
        <f t="shared" ref="SAH1738" si="913">RZX1738</f>
        <v>8</v>
      </c>
      <c r="SAI1738" s="657" t="s">
        <v>2</v>
      </c>
      <c r="SAJ1738" s="736"/>
      <c r="SAK1738" s="737"/>
      <c r="SAL1738" s="665" t="s">
        <v>1413</v>
      </c>
      <c r="SAN1738" s="629">
        <v>8</v>
      </c>
      <c r="SAO1738" s="662"/>
      <c r="SAP1738" s="631"/>
      <c r="SAQ1738" s="631"/>
      <c r="SAR1738" s="631"/>
      <c r="SAS1738" s="631"/>
      <c r="SAT1738" s="631"/>
      <c r="SAU1738" s="631"/>
      <c r="SAV1738" s="631"/>
      <c r="SAW1738" s="666" t="s">
        <v>799</v>
      </c>
      <c r="SAX1738" s="631">
        <f t="shared" ref="SAX1738" si="914">SAN1738</f>
        <v>8</v>
      </c>
      <c r="SAY1738" s="657" t="s">
        <v>2</v>
      </c>
      <c r="SAZ1738" s="736"/>
      <c r="SBA1738" s="737"/>
      <c r="SBB1738" s="665" t="s">
        <v>1413</v>
      </c>
      <c r="SBD1738" s="629">
        <v>8</v>
      </c>
      <c r="SBE1738" s="662"/>
      <c r="SBF1738" s="631"/>
      <c r="SBG1738" s="631"/>
      <c r="SBH1738" s="631"/>
      <c r="SBI1738" s="631"/>
      <c r="SBJ1738" s="631"/>
      <c r="SBK1738" s="631"/>
      <c r="SBL1738" s="631"/>
      <c r="SBM1738" s="666" t="s">
        <v>799</v>
      </c>
      <c r="SBN1738" s="631">
        <f t="shared" ref="SBN1738" si="915">SBD1738</f>
        <v>8</v>
      </c>
      <c r="SBO1738" s="657" t="s">
        <v>2</v>
      </c>
      <c r="SBP1738" s="736"/>
      <c r="SBQ1738" s="737"/>
      <c r="SBR1738" s="665" t="s">
        <v>1413</v>
      </c>
      <c r="SBT1738" s="629">
        <v>8</v>
      </c>
      <c r="SBU1738" s="662"/>
      <c r="SBV1738" s="631"/>
      <c r="SBW1738" s="631"/>
      <c r="SBX1738" s="631"/>
      <c r="SBY1738" s="631"/>
      <c r="SBZ1738" s="631"/>
      <c r="SCA1738" s="631"/>
      <c r="SCB1738" s="631"/>
      <c r="SCC1738" s="666" t="s">
        <v>799</v>
      </c>
      <c r="SCD1738" s="631">
        <f t="shared" ref="SCD1738" si="916">SBT1738</f>
        <v>8</v>
      </c>
      <c r="SCE1738" s="657" t="s">
        <v>2</v>
      </c>
      <c r="SCF1738" s="736"/>
      <c r="SCG1738" s="737"/>
      <c r="SCH1738" s="665" t="s">
        <v>1413</v>
      </c>
      <c r="SCJ1738" s="629">
        <v>8</v>
      </c>
      <c r="SCK1738" s="662"/>
      <c r="SCL1738" s="631"/>
      <c r="SCM1738" s="631"/>
      <c r="SCN1738" s="631"/>
      <c r="SCO1738" s="631"/>
      <c r="SCP1738" s="631"/>
      <c r="SCQ1738" s="631"/>
      <c r="SCR1738" s="631"/>
      <c r="SCS1738" s="666" t="s">
        <v>799</v>
      </c>
      <c r="SCT1738" s="631">
        <f t="shared" ref="SCT1738" si="917">SCJ1738</f>
        <v>8</v>
      </c>
      <c r="SCU1738" s="657" t="s">
        <v>2</v>
      </c>
      <c r="SCV1738" s="736"/>
      <c r="SCW1738" s="737"/>
      <c r="SCX1738" s="665" t="s">
        <v>1413</v>
      </c>
      <c r="SCZ1738" s="629">
        <v>8</v>
      </c>
      <c r="SDA1738" s="662"/>
      <c r="SDB1738" s="631"/>
      <c r="SDC1738" s="631"/>
      <c r="SDD1738" s="631"/>
      <c r="SDE1738" s="631"/>
      <c r="SDF1738" s="631"/>
      <c r="SDG1738" s="631"/>
      <c r="SDH1738" s="631"/>
      <c r="SDI1738" s="666" t="s">
        <v>799</v>
      </c>
      <c r="SDJ1738" s="631">
        <f t="shared" ref="SDJ1738" si="918">SCZ1738</f>
        <v>8</v>
      </c>
      <c r="SDK1738" s="657" t="s">
        <v>2</v>
      </c>
      <c r="SDL1738" s="736"/>
      <c r="SDM1738" s="737"/>
      <c r="SDN1738" s="665" t="s">
        <v>1413</v>
      </c>
      <c r="SDP1738" s="629">
        <v>8</v>
      </c>
      <c r="SDQ1738" s="662"/>
      <c r="SDR1738" s="631"/>
      <c r="SDS1738" s="631"/>
      <c r="SDT1738" s="631"/>
      <c r="SDU1738" s="631"/>
      <c r="SDV1738" s="631"/>
      <c r="SDW1738" s="631"/>
      <c r="SDX1738" s="631"/>
      <c r="SDY1738" s="666" t="s">
        <v>799</v>
      </c>
      <c r="SDZ1738" s="631">
        <f t="shared" ref="SDZ1738" si="919">SDP1738</f>
        <v>8</v>
      </c>
      <c r="SEA1738" s="657" t="s">
        <v>2</v>
      </c>
      <c r="SEB1738" s="736"/>
      <c r="SEC1738" s="737"/>
      <c r="SED1738" s="665" t="s">
        <v>1413</v>
      </c>
      <c r="SEF1738" s="629">
        <v>8</v>
      </c>
      <c r="SEG1738" s="662"/>
      <c r="SEH1738" s="631"/>
      <c r="SEI1738" s="631"/>
      <c r="SEJ1738" s="631"/>
      <c r="SEK1738" s="631"/>
      <c r="SEL1738" s="631"/>
      <c r="SEM1738" s="631"/>
      <c r="SEN1738" s="631"/>
      <c r="SEO1738" s="666" t="s">
        <v>799</v>
      </c>
      <c r="SEP1738" s="631">
        <f t="shared" ref="SEP1738" si="920">SEF1738</f>
        <v>8</v>
      </c>
      <c r="SEQ1738" s="657" t="s">
        <v>2</v>
      </c>
      <c r="SER1738" s="736"/>
      <c r="SES1738" s="737"/>
      <c r="SET1738" s="665" t="s">
        <v>1413</v>
      </c>
      <c r="SEV1738" s="629">
        <v>8</v>
      </c>
      <c r="SEW1738" s="662"/>
      <c r="SEX1738" s="631"/>
      <c r="SEY1738" s="631"/>
      <c r="SEZ1738" s="631"/>
      <c r="SFA1738" s="631"/>
      <c r="SFB1738" s="631"/>
      <c r="SFC1738" s="631"/>
      <c r="SFD1738" s="631"/>
      <c r="SFE1738" s="666" t="s">
        <v>799</v>
      </c>
      <c r="SFF1738" s="631">
        <f t="shared" ref="SFF1738" si="921">SEV1738</f>
        <v>8</v>
      </c>
      <c r="SFG1738" s="657" t="s">
        <v>2</v>
      </c>
      <c r="SFH1738" s="736"/>
      <c r="SFI1738" s="737"/>
      <c r="SFJ1738" s="665" t="s">
        <v>1413</v>
      </c>
      <c r="SFL1738" s="629">
        <v>8</v>
      </c>
      <c r="SFM1738" s="662"/>
      <c r="SFN1738" s="631"/>
      <c r="SFO1738" s="631"/>
      <c r="SFP1738" s="631"/>
      <c r="SFQ1738" s="631"/>
      <c r="SFR1738" s="631"/>
      <c r="SFS1738" s="631"/>
      <c r="SFT1738" s="631"/>
      <c r="SFU1738" s="666" t="s">
        <v>799</v>
      </c>
      <c r="SFV1738" s="631">
        <f t="shared" ref="SFV1738" si="922">SFL1738</f>
        <v>8</v>
      </c>
      <c r="SFW1738" s="657" t="s">
        <v>2</v>
      </c>
      <c r="SFX1738" s="736"/>
      <c r="SFY1738" s="737"/>
      <c r="SFZ1738" s="665" t="s">
        <v>1413</v>
      </c>
      <c r="SGB1738" s="629">
        <v>8</v>
      </c>
      <c r="SGC1738" s="662"/>
      <c r="SGD1738" s="631"/>
      <c r="SGE1738" s="631"/>
      <c r="SGF1738" s="631"/>
      <c r="SGG1738" s="631"/>
      <c r="SGH1738" s="631"/>
      <c r="SGI1738" s="631"/>
      <c r="SGJ1738" s="631"/>
      <c r="SGK1738" s="666" t="s">
        <v>799</v>
      </c>
      <c r="SGL1738" s="631">
        <f t="shared" ref="SGL1738" si="923">SGB1738</f>
        <v>8</v>
      </c>
      <c r="SGM1738" s="657" t="s">
        <v>2</v>
      </c>
      <c r="SGN1738" s="736"/>
      <c r="SGO1738" s="737"/>
      <c r="SGP1738" s="665" t="s">
        <v>1413</v>
      </c>
      <c r="SGR1738" s="629">
        <v>8</v>
      </c>
      <c r="SGS1738" s="662"/>
      <c r="SGT1738" s="631"/>
      <c r="SGU1738" s="631"/>
      <c r="SGV1738" s="631"/>
      <c r="SGW1738" s="631"/>
      <c r="SGX1738" s="631"/>
      <c r="SGY1738" s="631"/>
      <c r="SGZ1738" s="631"/>
      <c r="SHA1738" s="666" t="s">
        <v>799</v>
      </c>
      <c r="SHB1738" s="631">
        <f t="shared" ref="SHB1738" si="924">SGR1738</f>
        <v>8</v>
      </c>
      <c r="SHC1738" s="657" t="s">
        <v>2</v>
      </c>
      <c r="SHD1738" s="736"/>
      <c r="SHE1738" s="737"/>
      <c r="SHF1738" s="665" t="s">
        <v>1413</v>
      </c>
      <c r="SHH1738" s="629">
        <v>8</v>
      </c>
      <c r="SHI1738" s="662"/>
      <c r="SHJ1738" s="631"/>
      <c r="SHK1738" s="631"/>
      <c r="SHL1738" s="631"/>
      <c r="SHM1738" s="631"/>
      <c r="SHN1738" s="631"/>
      <c r="SHO1738" s="631"/>
      <c r="SHP1738" s="631"/>
      <c r="SHQ1738" s="666" t="s">
        <v>799</v>
      </c>
      <c r="SHR1738" s="631">
        <f t="shared" ref="SHR1738" si="925">SHH1738</f>
        <v>8</v>
      </c>
      <c r="SHS1738" s="657" t="s">
        <v>2</v>
      </c>
      <c r="SHT1738" s="736"/>
      <c r="SHU1738" s="737"/>
      <c r="SHV1738" s="665" t="s">
        <v>1413</v>
      </c>
      <c r="SHX1738" s="629">
        <v>8</v>
      </c>
      <c r="SHY1738" s="662"/>
      <c r="SHZ1738" s="631"/>
      <c r="SIA1738" s="631"/>
      <c r="SIB1738" s="631"/>
      <c r="SIC1738" s="631"/>
      <c r="SID1738" s="631"/>
      <c r="SIE1738" s="631"/>
      <c r="SIF1738" s="631"/>
      <c r="SIG1738" s="666" t="s">
        <v>799</v>
      </c>
      <c r="SIH1738" s="631">
        <f t="shared" ref="SIH1738" si="926">SHX1738</f>
        <v>8</v>
      </c>
      <c r="SII1738" s="657" t="s">
        <v>2</v>
      </c>
      <c r="SIJ1738" s="736"/>
      <c r="SIK1738" s="737"/>
      <c r="SIL1738" s="665" t="s">
        <v>1413</v>
      </c>
      <c r="SIN1738" s="629">
        <v>8</v>
      </c>
      <c r="SIO1738" s="662"/>
      <c r="SIP1738" s="631"/>
      <c r="SIQ1738" s="631"/>
      <c r="SIR1738" s="631"/>
      <c r="SIS1738" s="631"/>
      <c r="SIT1738" s="631"/>
      <c r="SIU1738" s="631"/>
      <c r="SIV1738" s="631"/>
      <c r="SIW1738" s="666" t="s">
        <v>799</v>
      </c>
      <c r="SIX1738" s="631">
        <f t="shared" ref="SIX1738" si="927">SIN1738</f>
        <v>8</v>
      </c>
      <c r="SIY1738" s="657" t="s">
        <v>2</v>
      </c>
      <c r="SIZ1738" s="736"/>
      <c r="SJA1738" s="737"/>
      <c r="SJB1738" s="665" t="s">
        <v>1413</v>
      </c>
      <c r="SJD1738" s="629">
        <v>8</v>
      </c>
      <c r="SJE1738" s="662"/>
      <c r="SJF1738" s="631"/>
      <c r="SJG1738" s="631"/>
      <c r="SJH1738" s="631"/>
      <c r="SJI1738" s="631"/>
      <c r="SJJ1738" s="631"/>
      <c r="SJK1738" s="631"/>
      <c r="SJL1738" s="631"/>
      <c r="SJM1738" s="666" t="s">
        <v>799</v>
      </c>
      <c r="SJN1738" s="631">
        <f t="shared" ref="SJN1738" si="928">SJD1738</f>
        <v>8</v>
      </c>
      <c r="SJO1738" s="657" t="s">
        <v>2</v>
      </c>
      <c r="SJP1738" s="736"/>
      <c r="SJQ1738" s="737"/>
      <c r="SJR1738" s="665" t="s">
        <v>1413</v>
      </c>
      <c r="SJT1738" s="629">
        <v>8</v>
      </c>
      <c r="SJU1738" s="662"/>
      <c r="SJV1738" s="631"/>
      <c r="SJW1738" s="631"/>
      <c r="SJX1738" s="631"/>
      <c r="SJY1738" s="631"/>
      <c r="SJZ1738" s="631"/>
      <c r="SKA1738" s="631"/>
      <c r="SKB1738" s="631"/>
      <c r="SKC1738" s="666" t="s">
        <v>799</v>
      </c>
      <c r="SKD1738" s="631">
        <f t="shared" ref="SKD1738" si="929">SJT1738</f>
        <v>8</v>
      </c>
      <c r="SKE1738" s="657" t="s">
        <v>2</v>
      </c>
      <c r="SKF1738" s="736"/>
      <c r="SKG1738" s="737"/>
      <c r="SKH1738" s="665" t="s">
        <v>1413</v>
      </c>
      <c r="SKJ1738" s="629">
        <v>8</v>
      </c>
      <c r="SKK1738" s="662"/>
      <c r="SKL1738" s="631"/>
      <c r="SKM1738" s="631"/>
      <c r="SKN1738" s="631"/>
      <c r="SKO1738" s="631"/>
      <c r="SKP1738" s="631"/>
      <c r="SKQ1738" s="631"/>
      <c r="SKR1738" s="631"/>
      <c r="SKS1738" s="666" t="s">
        <v>799</v>
      </c>
      <c r="SKT1738" s="631">
        <f t="shared" ref="SKT1738" si="930">SKJ1738</f>
        <v>8</v>
      </c>
      <c r="SKU1738" s="657" t="s">
        <v>2</v>
      </c>
      <c r="SKV1738" s="736"/>
      <c r="SKW1738" s="737"/>
      <c r="SKX1738" s="665" t="s">
        <v>1413</v>
      </c>
      <c r="SKZ1738" s="629">
        <v>8</v>
      </c>
      <c r="SLA1738" s="662"/>
      <c r="SLB1738" s="631"/>
      <c r="SLC1738" s="631"/>
      <c r="SLD1738" s="631"/>
      <c r="SLE1738" s="631"/>
      <c r="SLF1738" s="631"/>
      <c r="SLG1738" s="631"/>
      <c r="SLH1738" s="631"/>
      <c r="SLI1738" s="666" t="s">
        <v>799</v>
      </c>
      <c r="SLJ1738" s="631">
        <f t="shared" ref="SLJ1738" si="931">SKZ1738</f>
        <v>8</v>
      </c>
      <c r="SLK1738" s="657" t="s">
        <v>2</v>
      </c>
      <c r="SLL1738" s="736"/>
      <c r="SLM1738" s="737"/>
      <c r="SLN1738" s="665" t="s">
        <v>1413</v>
      </c>
      <c r="SLP1738" s="629">
        <v>8</v>
      </c>
      <c r="SLQ1738" s="662"/>
      <c r="SLR1738" s="631"/>
      <c r="SLS1738" s="631"/>
      <c r="SLT1738" s="631"/>
      <c r="SLU1738" s="631"/>
      <c r="SLV1738" s="631"/>
      <c r="SLW1738" s="631"/>
      <c r="SLX1738" s="631"/>
      <c r="SLY1738" s="666" t="s">
        <v>799</v>
      </c>
      <c r="SLZ1738" s="631">
        <f t="shared" ref="SLZ1738" si="932">SLP1738</f>
        <v>8</v>
      </c>
      <c r="SMA1738" s="657" t="s">
        <v>2</v>
      </c>
      <c r="SMB1738" s="736"/>
      <c r="SMC1738" s="737"/>
      <c r="SMD1738" s="665" t="s">
        <v>1413</v>
      </c>
      <c r="SMF1738" s="629">
        <v>8</v>
      </c>
      <c r="SMG1738" s="662"/>
      <c r="SMH1738" s="631"/>
      <c r="SMI1738" s="631"/>
      <c r="SMJ1738" s="631"/>
      <c r="SMK1738" s="631"/>
      <c r="SML1738" s="631"/>
      <c r="SMM1738" s="631"/>
      <c r="SMN1738" s="631"/>
      <c r="SMO1738" s="666" t="s">
        <v>799</v>
      </c>
      <c r="SMP1738" s="631">
        <f t="shared" ref="SMP1738" si="933">SMF1738</f>
        <v>8</v>
      </c>
      <c r="SMQ1738" s="657" t="s">
        <v>2</v>
      </c>
      <c r="SMR1738" s="736"/>
      <c r="SMS1738" s="737"/>
      <c r="SMT1738" s="665" t="s">
        <v>1413</v>
      </c>
      <c r="SMV1738" s="629">
        <v>8</v>
      </c>
      <c r="SMW1738" s="662"/>
      <c r="SMX1738" s="631"/>
      <c r="SMY1738" s="631"/>
      <c r="SMZ1738" s="631"/>
      <c r="SNA1738" s="631"/>
      <c r="SNB1738" s="631"/>
      <c r="SNC1738" s="631"/>
      <c r="SND1738" s="631"/>
      <c r="SNE1738" s="666" t="s">
        <v>799</v>
      </c>
      <c r="SNF1738" s="631">
        <f t="shared" ref="SNF1738" si="934">SMV1738</f>
        <v>8</v>
      </c>
      <c r="SNG1738" s="657" t="s">
        <v>2</v>
      </c>
      <c r="SNH1738" s="736"/>
      <c r="SNI1738" s="737"/>
      <c r="SNJ1738" s="665" t="s">
        <v>1413</v>
      </c>
      <c r="SNL1738" s="629">
        <v>8</v>
      </c>
      <c r="SNM1738" s="662"/>
      <c r="SNN1738" s="631"/>
      <c r="SNO1738" s="631"/>
      <c r="SNP1738" s="631"/>
      <c r="SNQ1738" s="631"/>
      <c r="SNR1738" s="631"/>
      <c r="SNS1738" s="631"/>
      <c r="SNT1738" s="631"/>
      <c r="SNU1738" s="666" t="s">
        <v>799</v>
      </c>
      <c r="SNV1738" s="631">
        <f t="shared" ref="SNV1738" si="935">SNL1738</f>
        <v>8</v>
      </c>
      <c r="SNW1738" s="657" t="s">
        <v>2</v>
      </c>
      <c r="SNX1738" s="736"/>
      <c r="SNY1738" s="737"/>
      <c r="SNZ1738" s="665" t="s">
        <v>1413</v>
      </c>
      <c r="SOB1738" s="629">
        <v>8</v>
      </c>
      <c r="SOC1738" s="662"/>
      <c r="SOD1738" s="631"/>
      <c r="SOE1738" s="631"/>
      <c r="SOF1738" s="631"/>
      <c r="SOG1738" s="631"/>
      <c r="SOH1738" s="631"/>
      <c r="SOI1738" s="631"/>
      <c r="SOJ1738" s="631"/>
      <c r="SOK1738" s="666" t="s">
        <v>799</v>
      </c>
      <c r="SOL1738" s="631">
        <f t="shared" ref="SOL1738" si="936">SOB1738</f>
        <v>8</v>
      </c>
      <c r="SOM1738" s="657" t="s">
        <v>2</v>
      </c>
      <c r="SON1738" s="736"/>
      <c r="SOO1738" s="737"/>
      <c r="SOP1738" s="665" t="s">
        <v>1413</v>
      </c>
      <c r="SOR1738" s="629">
        <v>8</v>
      </c>
      <c r="SOS1738" s="662"/>
      <c r="SOT1738" s="631"/>
      <c r="SOU1738" s="631"/>
      <c r="SOV1738" s="631"/>
      <c r="SOW1738" s="631"/>
      <c r="SOX1738" s="631"/>
      <c r="SOY1738" s="631"/>
      <c r="SOZ1738" s="631"/>
      <c r="SPA1738" s="666" t="s">
        <v>799</v>
      </c>
      <c r="SPB1738" s="631">
        <f t="shared" ref="SPB1738" si="937">SOR1738</f>
        <v>8</v>
      </c>
      <c r="SPC1738" s="657" t="s">
        <v>2</v>
      </c>
      <c r="SPD1738" s="736"/>
      <c r="SPE1738" s="737"/>
      <c r="SPF1738" s="665" t="s">
        <v>1413</v>
      </c>
      <c r="SPH1738" s="629">
        <v>8</v>
      </c>
      <c r="SPI1738" s="662"/>
      <c r="SPJ1738" s="631"/>
      <c r="SPK1738" s="631"/>
      <c r="SPL1738" s="631"/>
      <c r="SPM1738" s="631"/>
      <c r="SPN1738" s="631"/>
      <c r="SPO1738" s="631"/>
      <c r="SPP1738" s="631"/>
      <c r="SPQ1738" s="666" t="s">
        <v>799</v>
      </c>
      <c r="SPR1738" s="631">
        <f t="shared" ref="SPR1738" si="938">SPH1738</f>
        <v>8</v>
      </c>
      <c r="SPS1738" s="657" t="s">
        <v>2</v>
      </c>
      <c r="SPT1738" s="736"/>
      <c r="SPU1738" s="737"/>
      <c r="SPV1738" s="665" t="s">
        <v>1413</v>
      </c>
      <c r="SPX1738" s="629">
        <v>8</v>
      </c>
      <c r="SPY1738" s="662"/>
      <c r="SPZ1738" s="631"/>
      <c r="SQA1738" s="631"/>
      <c r="SQB1738" s="631"/>
      <c r="SQC1738" s="631"/>
      <c r="SQD1738" s="631"/>
      <c r="SQE1738" s="631"/>
      <c r="SQF1738" s="631"/>
      <c r="SQG1738" s="666" t="s">
        <v>799</v>
      </c>
      <c r="SQH1738" s="631">
        <f t="shared" ref="SQH1738" si="939">SPX1738</f>
        <v>8</v>
      </c>
      <c r="SQI1738" s="657" t="s">
        <v>2</v>
      </c>
      <c r="SQJ1738" s="736"/>
      <c r="SQK1738" s="737"/>
      <c r="SQL1738" s="665" t="s">
        <v>1413</v>
      </c>
      <c r="SQN1738" s="629">
        <v>8</v>
      </c>
      <c r="SQO1738" s="662"/>
      <c r="SQP1738" s="631"/>
      <c r="SQQ1738" s="631"/>
      <c r="SQR1738" s="631"/>
      <c r="SQS1738" s="631"/>
      <c r="SQT1738" s="631"/>
      <c r="SQU1738" s="631"/>
      <c r="SQV1738" s="631"/>
      <c r="SQW1738" s="666" t="s">
        <v>799</v>
      </c>
      <c r="SQX1738" s="631">
        <f t="shared" ref="SQX1738" si="940">SQN1738</f>
        <v>8</v>
      </c>
      <c r="SQY1738" s="657" t="s">
        <v>2</v>
      </c>
      <c r="SQZ1738" s="736"/>
      <c r="SRA1738" s="737"/>
      <c r="SRB1738" s="665" t="s">
        <v>1413</v>
      </c>
      <c r="SRD1738" s="629">
        <v>8</v>
      </c>
      <c r="SRE1738" s="662"/>
      <c r="SRF1738" s="631"/>
      <c r="SRG1738" s="631"/>
      <c r="SRH1738" s="631"/>
      <c r="SRI1738" s="631"/>
      <c r="SRJ1738" s="631"/>
      <c r="SRK1738" s="631"/>
      <c r="SRL1738" s="631"/>
      <c r="SRM1738" s="666" t="s">
        <v>799</v>
      </c>
      <c r="SRN1738" s="631">
        <f t="shared" ref="SRN1738" si="941">SRD1738</f>
        <v>8</v>
      </c>
      <c r="SRO1738" s="657" t="s">
        <v>2</v>
      </c>
      <c r="SRP1738" s="736"/>
      <c r="SRQ1738" s="737"/>
      <c r="SRR1738" s="665" t="s">
        <v>1413</v>
      </c>
      <c r="SRT1738" s="629">
        <v>8</v>
      </c>
      <c r="SRU1738" s="662"/>
      <c r="SRV1738" s="631"/>
      <c r="SRW1738" s="631"/>
      <c r="SRX1738" s="631"/>
      <c r="SRY1738" s="631"/>
      <c r="SRZ1738" s="631"/>
      <c r="SSA1738" s="631"/>
      <c r="SSB1738" s="631"/>
      <c r="SSC1738" s="666" t="s">
        <v>799</v>
      </c>
      <c r="SSD1738" s="631">
        <f t="shared" ref="SSD1738" si="942">SRT1738</f>
        <v>8</v>
      </c>
      <c r="SSE1738" s="657" t="s">
        <v>2</v>
      </c>
      <c r="SSF1738" s="736"/>
      <c r="SSG1738" s="737"/>
      <c r="SSH1738" s="665" t="s">
        <v>1413</v>
      </c>
      <c r="SSJ1738" s="629">
        <v>8</v>
      </c>
      <c r="SSK1738" s="662"/>
      <c r="SSL1738" s="631"/>
      <c r="SSM1738" s="631"/>
      <c r="SSN1738" s="631"/>
      <c r="SSO1738" s="631"/>
      <c r="SSP1738" s="631"/>
      <c r="SSQ1738" s="631"/>
      <c r="SSR1738" s="631"/>
      <c r="SSS1738" s="666" t="s">
        <v>799</v>
      </c>
      <c r="SST1738" s="631">
        <f t="shared" ref="SST1738" si="943">SSJ1738</f>
        <v>8</v>
      </c>
      <c r="SSU1738" s="657" t="s">
        <v>2</v>
      </c>
      <c r="SSV1738" s="736"/>
      <c r="SSW1738" s="737"/>
      <c r="SSX1738" s="665" t="s">
        <v>1413</v>
      </c>
      <c r="SSZ1738" s="629">
        <v>8</v>
      </c>
      <c r="STA1738" s="662"/>
      <c r="STB1738" s="631"/>
      <c r="STC1738" s="631"/>
      <c r="STD1738" s="631"/>
      <c r="STE1738" s="631"/>
      <c r="STF1738" s="631"/>
      <c r="STG1738" s="631"/>
      <c r="STH1738" s="631"/>
      <c r="STI1738" s="666" t="s">
        <v>799</v>
      </c>
      <c r="STJ1738" s="631">
        <f t="shared" ref="STJ1738" si="944">SSZ1738</f>
        <v>8</v>
      </c>
      <c r="STK1738" s="657" t="s">
        <v>2</v>
      </c>
      <c r="STL1738" s="736"/>
      <c r="STM1738" s="737"/>
      <c r="STN1738" s="665" t="s">
        <v>1413</v>
      </c>
      <c r="STP1738" s="629">
        <v>8</v>
      </c>
      <c r="STQ1738" s="662"/>
      <c r="STR1738" s="631"/>
      <c r="STS1738" s="631"/>
      <c r="STT1738" s="631"/>
      <c r="STU1738" s="631"/>
      <c r="STV1738" s="631"/>
      <c r="STW1738" s="631"/>
      <c r="STX1738" s="631"/>
      <c r="STY1738" s="666" t="s">
        <v>799</v>
      </c>
      <c r="STZ1738" s="631">
        <f t="shared" ref="STZ1738" si="945">STP1738</f>
        <v>8</v>
      </c>
      <c r="SUA1738" s="657" t="s">
        <v>2</v>
      </c>
      <c r="SUB1738" s="736"/>
      <c r="SUC1738" s="737"/>
      <c r="SUD1738" s="665" t="s">
        <v>1413</v>
      </c>
      <c r="SUF1738" s="629">
        <v>8</v>
      </c>
      <c r="SUG1738" s="662"/>
      <c r="SUH1738" s="631"/>
      <c r="SUI1738" s="631"/>
      <c r="SUJ1738" s="631"/>
      <c r="SUK1738" s="631"/>
      <c r="SUL1738" s="631"/>
      <c r="SUM1738" s="631"/>
      <c r="SUN1738" s="631"/>
      <c r="SUO1738" s="666" t="s">
        <v>799</v>
      </c>
      <c r="SUP1738" s="631">
        <f t="shared" ref="SUP1738" si="946">SUF1738</f>
        <v>8</v>
      </c>
      <c r="SUQ1738" s="657" t="s">
        <v>2</v>
      </c>
      <c r="SUR1738" s="736"/>
      <c r="SUS1738" s="737"/>
      <c r="SUT1738" s="665" t="s">
        <v>1413</v>
      </c>
      <c r="SUV1738" s="629">
        <v>8</v>
      </c>
      <c r="SUW1738" s="662"/>
      <c r="SUX1738" s="631"/>
      <c r="SUY1738" s="631"/>
      <c r="SUZ1738" s="631"/>
      <c r="SVA1738" s="631"/>
      <c r="SVB1738" s="631"/>
      <c r="SVC1738" s="631"/>
      <c r="SVD1738" s="631"/>
      <c r="SVE1738" s="666" t="s">
        <v>799</v>
      </c>
      <c r="SVF1738" s="631">
        <f t="shared" ref="SVF1738" si="947">SUV1738</f>
        <v>8</v>
      </c>
      <c r="SVG1738" s="657" t="s">
        <v>2</v>
      </c>
      <c r="SVH1738" s="736"/>
      <c r="SVI1738" s="737"/>
      <c r="SVJ1738" s="665" t="s">
        <v>1413</v>
      </c>
      <c r="SVL1738" s="629">
        <v>8</v>
      </c>
      <c r="SVM1738" s="662"/>
      <c r="SVN1738" s="631"/>
      <c r="SVO1738" s="631"/>
      <c r="SVP1738" s="631"/>
      <c r="SVQ1738" s="631"/>
      <c r="SVR1738" s="631"/>
      <c r="SVS1738" s="631"/>
      <c r="SVT1738" s="631"/>
      <c r="SVU1738" s="666" t="s">
        <v>799</v>
      </c>
      <c r="SVV1738" s="631">
        <f t="shared" ref="SVV1738" si="948">SVL1738</f>
        <v>8</v>
      </c>
      <c r="SVW1738" s="657" t="s">
        <v>2</v>
      </c>
      <c r="SVX1738" s="736"/>
      <c r="SVY1738" s="737"/>
      <c r="SVZ1738" s="665" t="s">
        <v>1413</v>
      </c>
      <c r="SWB1738" s="629">
        <v>8</v>
      </c>
      <c r="SWC1738" s="662"/>
      <c r="SWD1738" s="631"/>
      <c r="SWE1738" s="631"/>
      <c r="SWF1738" s="631"/>
      <c r="SWG1738" s="631"/>
      <c r="SWH1738" s="631"/>
      <c r="SWI1738" s="631"/>
      <c r="SWJ1738" s="631"/>
      <c r="SWK1738" s="666" t="s">
        <v>799</v>
      </c>
      <c r="SWL1738" s="631">
        <f t="shared" ref="SWL1738" si="949">SWB1738</f>
        <v>8</v>
      </c>
      <c r="SWM1738" s="657" t="s">
        <v>2</v>
      </c>
      <c r="SWN1738" s="736"/>
      <c r="SWO1738" s="737"/>
      <c r="SWP1738" s="665" t="s">
        <v>1413</v>
      </c>
      <c r="SWR1738" s="629">
        <v>8</v>
      </c>
      <c r="SWS1738" s="662"/>
      <c r="SWT1738" s="631"/>
      <c r="SWU1738" s="631"/>
      <c r="SWV1738" s="631"/>
      <c r="SWW1738" s="631"/>
      <c r="SWX1738" s="631"/>
      <c r="SWY1738" s="631"/>
      <c r="SWZ1738" s="631"/>
      <c r="SXA1738" s="666" t="s">
        <v>799</v>
      </c>
      <c r="SXB1738" s="631">
        <f t="shared" ref="SXB1738" si="950">SWR1738</f>
        <v>8</v>
      </c>
      <c r="SXC1738" s="657" t="s">
        <v>2</v>
      </c>
      <c r="SXD1738" s="736"/>
      <c r="SXE1738" s="737"/>
      <c r="SXF1738" s="665" t="s">
        <v>1413</v>
      </c>
      <c r="SXH1738" s="629">
        <v>8</v>
      </c>
      <c r="SXI1738" s="662"/>
      <c r="SXJ1738" s="631"/>
      <c r="SXK1738" s="631"/>
      <c r="SXL1738" s="631"/>
      <c r="SXM1738" s="631"/>
      <c r="SXN1738" s="631"/>
      <c r="SXO1738" s="631"/>
      <c r="SXP1738" s="631"/>
      <c r="SXQ1738" s="666" t="s">
        <v>799</v>
      </c>
      <c r="SXR1738" s="631">
        <f t="shared" ref="SXR1738" si="951">SXH1738</f>
        <v>8</v>
      </c>
      <c r="SXS1738" s="657" t="s">
        <v>2</v>
      </c>
      <c r="SXT1738" s="736"/>
      <c r="SXU1738" s="737"/>
      <c r="SXV1738" s="665" t="s">
        <v>1413</v>
      </c>
      <c r="SXX1738" s="629">
        <v>8</v>
      </c>
      <c r="SXY1738" s="662"/>
      <c r="SXZ1738" s="631"/>
      <c r="SYA1738" s="631"/>
      <c r="SYB1738" s="631"/>
      <c r="SYC1738" s="631"/>
      <c r="SYD1738" s="631"/>
      <c r="SYE1738" s="631"/>
      <c r="SYF1738" s="631"/>
      <c r="SYG1738" s="666" t="s">
        <v>799</v>
      </c>
      <c r="SYH1738" s="631">
        <f t="shared" ref="SYH1738" si="952">SXX1738</f>
        <v>8</v>
      </c>
      <c r="SYI1738" s="657" t="s">
        <v>2</v>
      </c>
      <c r="SYJ1738" s="736"/>
      <c r="SYK1738" s="737"/>
      <c r="SYL1738" s="665" t="s">
        <v>1413</v>
      </c>
      <c r="SYN1738" s="629">
        <v>8</v>
      </c>
      <c r="SYO1738" s="662"/>
      <c r="SYP1738" s="631"/>
      <c r="SYQ1738" s="631"/>
      <c r="SYR1738" s="631"/>
      <c r="SYS1738" s="631"/>
      <c r="SYT1738" s="631"/>
      <c r="SYU1738" s="631"/>
      <c r="SYV1738" s="631"/>
      <c r="SYW1738" s="666" t="s">
        <v>799</v>
      </c>
      <c r="SYX1738" s="631">
        <f t="shared" ref="SYX1738" si="953">SYN1738</f>
        <v>8</v>
      </c>
      <c r="SYY1738" s="657" t="s">
        <v>2</v>
      </c>
      <c r="SYZ1738" s="736"/>
      <c r="SZA1738" s="737"/>
      <c r="SZB1738" s="665" t="s">
        <v>1413</v>
      </c>
      <c r="SZD1738" s="629">
        <v>8</v>
      </c>
      <c r="SZE1738" s="662"/>
      <c r="SZF1738" s="631"/>
      <c r="SZG1738" s="631"/>
      <c r="SZH1738" s="631"/>
      <c r="SZI1738" s="631"/>
      <c r="SZJ1738" s="631"/>
      <c r="SZK1738" s="631"/>
      <c r="SZL1738" s="631"/>
      <c r="SZM1738" s="666" t="s">
        <v>799</v>
      </c>
      <c r="SZN1738" s="631">
        <f t="shared" ref="SZN1738" si="954">SZD1738</f>
        <v>8</v>
      </c>
      <c r="SZO1738" s="657" t="s">
        <v>2</v>
      </c>
      <c r="SZP1738" s="736"/>
      <c r="SZQ1738" s="737"/>
      <c r="SZR1738" s="665" t="s">
        <v>1413</v>
      </c>
      <c r="SZT1738" s="629">
        <v>8</v>
      </c>
      <c r="SZU1738" s="662"/>
      <c r="SZV1738" s="631"/>
      <c r="SZW1738" s="631"/>
      <c r="SZX1738" s="631"/>
      <c r="SZY1738" s="631"/>
      <c r="SZZ1738" s="631"/>
      <c r="TAA1738" s="631"/>
      <c r="TAB1738" s="631"/>
      <c r="TAC1738" s="666" t="s">
        <v>799</v>
      </c>
      <c r="TAD1738" s="631">
        <f t="shared" ref="TAD1738" si="955">SZT1738</f>
        <v>8</v>
      </c>
      <c r="TAE1738" s="657" t="s">
        <v>2</v>
      </c>
      <c r="TAF1738" s="736"/>
      <c r="TAG1738" s="737"/>
      <c r="TAH1738" s="665" t="s">
        <v>1413</v>
      </c>
      <c r="TAJ1738" s="629">
        <v>8</v>
      </c>
      <c r="TAK1738" s="662"/>
      <c r="TAL1738" s="631"/>
      <c r="TAM1738" s="631"/>
      <c r="TAN1738" s="631"/>
      <c r="TAO1738" s="631"/>
      <c r="TAP1738" s="631"/>
      <c r="TAQ1738" s="631"/>
      <c r="TAR1738" s="631"/>
      <c r="TAS1738" s="666" t="s">
        <v>799</v>
      </c>
      <c r="TAT1738" s="631">
        <f t="shared" ref="TAT1738" si="956">TAJ1738</f>
        <v>8</v>
      </c>
      <c r="TAU1738" s="657" t="s">
        <v>2</v>
      </c>
      <c r="TAV1738" s="736"/>
      <c r="TAW1738" s="737"/>
      <c r="TAX1738" s="665" t="s">
        <v>1413</v>
      </c>
      <c r="TAZ1738" s="629">
        <v>8</v>
      </c>
      <c r="TBA1738" s="662"/>
      <c r="TBB1738" s="631"/>
      <c r="TBC1738" s="631"/>
      <c r="TBD1738" s="631"/>
      <c r="TBE1738" s="631"/>
      <c r="TBF1738" s="631"/>
      <c r="TBG1738" s="631"/>
      <c r="TBH1738" s="631"/>
      <c r="TBI1738" s="666" t="s">
        <v>799</v>
      </c>
      <c r="TBJ1738" s="631">
        <f t="shared" ref="TBJ1738" si="957">TAZ1738</f>
        <v>8</v>
      </c>
      <c r="TBK1738" s="657" t="s">
        <v>2</v>
      </c>
      <c r="TBL1738" s="736"/>
      <c r="TBM1738" s="737"/>
      <c r="TBN1738" s="665" t="s">
        <v>1413</v>
      </c>
      <c r="TBP1738" s="629">
        <v>8</v>
      </c>
      <c r="TBQ1738" s="662"/>
      <c r="TBR1738" s="631"/>
      <c r="TBS1738" s="631"/>
      <c r="TBT1738" s="631"/>
      <c r="TBU1738" s="631"/>
      <c r="TBV1738" s="631"/>
      <c r="TBW1738" s="631"/>
      <c r="TBX1738" s="631"/>
      <c r="TBY1738" s="666" t="s">
        <v>799</v>
      </c>
      <c r="TBZ1738" s="631">
        <f t="shared" ref="TBZ1738" si="958">TBP1738</f>
        <v>8</v>
      </c>
      <c r="TCA1738" s="657" t="s">
        <v>2</v>
      </c>
      <c r="TCB1738" s="736"/>
      <c r="TCC1738" s="737"/>
      <c r="TCD1738" s="665" t="s">
        <v>1413</v>
      </c>
      <c r="TCF1738" s="629">
        <v>8</v>
      </c>
      <c r="TCG1738" s="662"/>
      <c r="TCH1738" s="631"/>
      <c r="TCI1738" s="631"/>
      <c r="TCJ1738" s="631"/>
      <c r="TCK1738" s="631"/>
      <c r="TCL1738" s="631"/>
      <c r="TCM1738" s="631"/>
      <c r="TCN1738" s="631"/>
      <c r="TCO1738" s="666" t="s">
        <v>799</v>
      </c>
      <c r="TCP1738" s="631">
        <f t="shared" ref="TCP1738" si="959">TCF1738</f>
        <v>8</v>
      </c>
      <c r="TCQ1738" s="657" t="s">
        <v>2</v>
      </c>
      <c r="TCR1738" s="736"/>
      <c r="TCS1738" s="737"/>
      <c r="TCT1738" s="665" t="s">
        <v>1413</v>
      </c>
      <c r="TCV1738" s="629">
        <v>8</v>
      </c>
      <c r="TCW1738" s="662"/>
      <c r="TCX1738" s="631"/>
      <c r="TCY1738" s="631"/>
      <c r="TCZ1738" s="631"/>
      <c r="TDA1738" s="631"/>
      <c r="TDB1738" s="631"/>
      <c r="TDC1738" s="631"/>
      <c r="TDD1738" s="631"/>
      <c r="TDE1738" s="666" t="s">
        <v>799</v>
      </c>
      <c r="TDF1738" s="631">
        <f t="shared" ref="TDF1738" si="960">TCV1738</f>
        <v>8</v>
      </c>
      <c r="TDG1738" s="657" t="s">
        <v>2</v>
      </c>
      <c r="TDH1738" s="736"/>
      <c r="TDI1738" s="737"/>
      <c r="TDJ1738" s="665" t="s">
        <v>1413</v>
      </c>
      <c r="TDL1738" s="629">
        <v>8</v>
      </c>
      <c r="TDM1738" s="662"/>
      <c r="TDN1738" s="631"/>
      <c r="TDO1738" s="631"/>
      <c r="TDP1738" s="631"/>
      <c r="TDQ1738" s="631"/>
      <c r="TDR1738" s="631"/>
      <c r="TDS1738" s="631"/>
      <c r="TDT1738" s="631"/>
      <c r="TDU1738" s="666" t="s">
        <v>799</v>
      </c>
      <c r="TDV1738" s="631">
        <f t="shared" ref="TDV1738" si="961">TDL1738</f>
        <v>8</v>
      </c>
      <c r="TDW1738" s="657" t="s">
        <v>2</v>
      </c>
      <c r="TDX1738" s="736"/>
      <c r="TDY1738" s="737"/>
      <c r="TDZ1738" s="665" t="s">
        <v>1413</v>
      </c>
      <c r="TEB1738" s="629">
        <v>8</v>
      </c>
      <c r="TEC1738" s="662"/>
      <c r="TED1738" s="631"/>
      <c r="TEE1738" s="631"/>
      <c r="TEF1738" s="631"/>
      <c r="TEG1738" s="631"/>
      <c r="TEH1738" s="631"/>
      <c r="TEI1738" s="631"/>
      <c r="TEJ1738" s="631"/>
      <c r="TEK1738" s="666" t="s">
        <v>799</v>
      </c>
      <c r="TEL1738" s="631">
        <f t="shared" ref="TEL1738" si="962">TEB1738</f>
        <v>8</v>
      </c>
      <c r="TEM1738" s="657" t="s">
        <v>2</v>
      </c>
      <c r="TEN1738" s="736"/>
      <c r="TEO1738" s="737"/>
      <c r="TEP1738" s="665" t="s">
        <v>1413</v>
      </c>
      <c r="TER1738" s="629">
        <v>8</v>
      </c>
      <c r="TES1738" s="662"/>
      <c r="TET1738" s="631"/>
      <c r="TEU1738" s="631"/>
      <c r="TEV1738" s="631"/>
      <c r="TEW1738" s="631"/>
      <c r="TEX1738" s="631"/>
      <c r="TEY1738" s="631"/>
      <c r="TEZ1738" s="631"/>
      <c r="TFA1738" s="666" t="s">
        <v>799</v>
      </c>
      <c r="TFB1738" s="631">
        <f t="shared" ref="TFB1738" si="963">TER1738</f>
        <v>8</v>
      </c>
      <c r="TFC1738" s="657" t="s">
        <v>2</v>
      </c>
      <c r="TFD1738" s="736"/>
      <c r="TFE1738" s="737"/>
      <c r="TFF1738" s="665" t="s">
        <v>1413</v>
      </c>
      <c r="TFH1738" s="629">
        <v>8</v>
      </c>
      <c r="TFI1738" s="662"/>
      <c r="TFJ1738" s="631"/>
      <c r="TFK1738" s="631"/>
      <c r="TFL1738" s="631"/>
      <c r="TFM1738" s="631"/>
      <c r="TFN1738" s="631"/>
      <c r="TFO1738" s="631"/>
      <c r="TFP1738" s="631"/>
      <c r="TFQ1738" s="666" t="s">
        <v>799</v>
      </c>
      <c r="TFR1738" s="631">
        <f t="shared" ref="TFR1738" si="964">TFH1738</f>
        <v>8</v>
      </c>
      <c r="TFS1738" s="657" t="s">
        <v>2</v>
      </c>
      <c r="TFT1738" s="736"/>
      <c r="TFU1738" s="737"/>
      <c r="TFV1738" s="665" t="s">
        <v>1413</v>
      </c>
      <c r="TFX1738" s="629">
        <v>8</v>
      </c>
      <c r="TFY1738" s="662"/>
      <c r="TFZ1738" s="631"/>
      <c r="TGA1738" s="631"/>
      <c r="TGB1738" s="631"/>
      <c r="TGC1738" s="631"/>
      <c r="TGD1738" s="631"/>
      <c r="TGE1738" s="631"/>
      <c r="TGF1738" s="631"/>
      <c r="TGG1738" s="666" t="s">
        <v>799</v>
      </c>
      <c r="TGH1738" s="631">
        <f t="shared" ref="TGH1738" si="965">TFX1738</f>
        <v>8</v>
      </c>
      <c r="TGI1738" s="657" t="s">
        <v>2</v>
      </c>
      <c r="TGJ1738" s="736"/>
      <c r="TGK1738" s="737"/>
      <c r="TGL1738" s="665" t="s">
        <v>1413</v>
      </c>
      <c r="TGN1738" s="629">
        <v>8</v>
      </c>
      <c r="TGO1738" s="662"/>
      <c r="TGP1738" s="631"/>
      <c r="TGQ1738" s="631"/>
      <c r="TGR1738" s="631"/>
      <c r="TGS1738" s="631"/>
      <c r="TGT1738" s="631"/>
      <c r="TGU1738" s="631"/>
      <c r="TGV1738" s="631"/>
      <c r="TGW1738" s="666" t="s">
        <v>799</v>
      </c>
      <c r="TGX1738" s="631">
        <f t="shared" ref="TGX1738" si="966">TGN1738</f>
        <v>8</v>
      </c>
      <c r="TGY1738" s="657" t="s">
        <v>2</v>
      </c>
      <c r="TGZ1738" s="736"/>
      <c r="THA1738" s="737"/>
      <c r="THB1738" s="665" t="s">
        <v>1413</v>
      </c>
      <c r="THD1738" s="629">
        <v>8</v>
      </c>
      <c r="THE1738" s="662"/>
      <c r="THF1738" s="631"/>
      <c r="THG1738" s="631"/>
      <c r="THH1738" s="631"/>
      <c r="THI1738" s="631"/>
      <c r="THJ1738" s="631"/>
      <c r="THK1738" s="631"/>
      <c r="THL1738" s="631"/>
      <c r="THM1738" s="666" t="s">
        <v>799</v>
      </c>
      <c r="THN1738" s="631">
        <f t="shared" ref="THN1738" si="967">THD1738</f>
        <v>8</v>
      </c>
      <c r="THO1738" s="657" t="s">
        <v>2</v>
      </c>
      <c r="THP1738" s="736"/>
      <c r="THQ1738" s="737"/>
      <c r="THR1738" s="665" t="s">
        <v>1413</v>
      </c>
      <c r="THT1738" s="629">
        <v>8</v>
      </c>
      <c r="THU1738" s="662"/>
      <c r="THV1738" s="631"/>
      <c r="THW1738" s="631"/>
      <c r="THX1738" s="631"/>
      <c r="THY1738" s="631"/>
      <c r="THZ1738" s="631"/>
      <c r="TIA1738" s="631"/>
      <c r="TIB1738" s="631"/>
      <c r="TIC1738" s="666" t="s">
        <v>799</v>
      </c>
      <c r="TID1738" s="631">
        <f t="shared" ref="TID1738" si="968">THT1738</f>
        <v>8</v>
      </c>
      <c r="TIE1738" s="657" t="s">
        <v>2</v>
      </c>
      <c r="TIF1738" s="736"/>
      <c r="TIG1738" s="737"/>
      <c r="TIH1738" s="665" t="s">
        <v>1413</v>
      </c>
      <c r="TIJ1738" s="629">
        <v>8</v>
      </c>
      <c r="TIK1738" s="662"/>
      <c r="TIL1738" s="631"/>
      <c r="TIM1738" s="631"/>
      <c r="TIN1738" s="631"/>
      <c r="TIO1738" s="631"/>
      <c r="TIP1738" s="631"/>
      <c r="TIQ1738" s="631"/>
      <c r="TIR1738" s="631"/>
      <c r="TIS1738" s="666" t="s">
        <v>799</v>
      </c>
      <c r="TIT1738" s="631">
        <f t="shared" ref="TIT1738" si="969">TIJ1738</f>
        <v>8</v>
      </c>
      <c r="TIU1738" s="657" t="s">
        <v>2</v>
      </c>
      <c r="TIV1738" s="736"/>
      <c r="TIW1738" s="737"/>
      <c r="TIX1738" s="665" t="s">
        <v>1413</v>
      </c>
      <c r="TIZ1738" s="629">
        <v>8</v>
      </c>
      <c r="TJA1738" s="662"/>
      <c r="TJB1738" s="631"/>
      <c r="TJC1738" s="631"/>
      <c r="TJD1738" s="631"/>
      <c r="TJE1738" s="631"/>
      <c r="TJF1738" s="631"/>
      <c r="TJG1738" s="631"/>
      <c r="TJH1738" s="631"/>
      <c r="TJI1738" s="666" t="s">
        <v>799</v>
      </c>
      <c r="TJJ1738" s="631">
        <f t="shared" ref="TJJ1738" si="970">TIZ1738</f>
        <v>8</v>
      </c>
      <c r="TJK1738" s="657" t="s">
        <v>2</v>
      </c>
      <c r="TJL1738" s="736"/>
      <c r="TJM1738" s="737"/>
      <c r="TJN1738" s="665" t="s">
        <v>1413</v>
      </c>
      <c r="TJP1738" s="629">
        <v>8</v>
      </c>
      <c r="TJQ1738" s="662"/>
      <c r="TJR1738" s="631"/>
      <c r="TJS1738" s="631"/>
      <c r="TJT1738" s="631"/>
      <c r="TJU1738" s="631"/>
      <c r="TJV1738" s="631"/>
      <c r="TJW1738" s="631"/>
      <c r="TJX1738" s="631"/>
      <c r="TJY1738" s="666" t="s">
        <v>799</v>
      </c>
      <c r="TJZ1738" s="631">
        <f t="shared" ref="TJZ1738" si="971">TJP1738</f>
        <v>8</v>
      </c>
      <c r="TKA1738" s="657" t="s">
        <v>2</v>
      </c>
      <c r="TKB1738" s="736"/>
      <c r="TKC1738" s="737"/>
      <c r="TKD1738" s="665" t="s">
        <v>1413</v>
      </c>
      <c r="TKF1738" s="629">
        <v>8</v>
      </c>
      <c r="TKG1738" s="662"/>
      <c r="TKH1738" s="631"/>
      <c r="TKI1738" s="631"/>
      <c r="TKJ1738" s="631"/>
      <c r="TKK1738" s="631"/>
      <c r="TKL1738" s="631"/>
      <c r="TKM1738" s="631"/>
      <c r="TKN1738" s="631"/>
      <c r="TKO1738" s="666" t="s">
        <v>799</v>
      </c>
      <c r="TKP1738" s="631">
        <f t="shared" ref="TKP1738" si="972">TKF1738</f>
        <v>8</v>
      </c>
      <c r="TKQ1738" s="657" t="s">
        <v>2</v>
      </c>
      <c r="TKR1738" s="736"/>
      <c r="TKS1738" s="737"/>
      <c r="TKT1738" s="665" t="s">
        <v>1413</v>
      </c>
      <c r="TKV1738" s="629">
        <v>8</v>
      </c>
      <c r="TKW1738" s="662"/>
      <c r="TKX1738" s="631"/>
      <c r="TKY1738" s="631"/>
      <c r="TKZ1738" s="631"/>
      <c r="TLA1738" s="631"/>
      <c r="TLB1738" s="631"/>
      <c r="TLC1738" s="631"/>
      <c r="TLD1738" s="631"/>
      <c r="TLE1738" s="666" t="s">
        <v>799</v>
      </c>
      <c r="TLF1738" s="631">
        <f t="shared" ref="TLF1738" si="973">TKV1738</f>
        <v>8</v>
      </c>
      <c r="TLG1738" s="657" t="s">
        <v>2</v>
      </c>
      <c r="TLH1738" s="736"/>
      <c r="TLI1738" s="737"/>
      <c r="TLJ1738" s="665" t="s">
        <v>1413</v>
      </c>
      <c r="TLL1738" s="629">
        <v>8</v>
      </c>
      <c r="TLM1738" s="662"/>
      <c r="TLN1738" s="631"/>
      <c r="TLO1738" s="631"/>
      <c r="TLP1738" s="631"/>
      <c r="TLQ1738" s="631"/>
      <c r="TLR1738" s="631"/>
      <c r="TLS1738" s="631"/>
      <c r="TLT1738" s="631"/>
      <c r="TLU1738" s="666" t="s">
        <v>799</v>
      </c>
      <c r="TLV1738" s="631">
        <f t="shared" ref="TLV1738" si="974">TLL1738</f>
        <v>8</v>
      </c>
      <c r="TLW1738" s="657" t="s">
        <v>2</v>
      </c>
      <c r="TLX1738" s="736"/>
      <c r="TLY1738" s="737"/>
      <c r="TLZ1738" s="665" t="s">
        <v>1413</v>
      </c>
      <c r="TMB1738" s="629">
        <v>8</v>
      </c>
      <c r="TMC1738" s="662"/>
      <c r="TMD1738" s="631"/>
      <c r="TME1738" s="631"/>
      <c r="TMF1738" s="631"/>
      <c r="TMG1738" s="631"/>
      <c r="TMH1738" s="631"/>
      <c r="TMI1738" s="631"/>
      <c r="TMJ1738" s="631"/>
      <c r="TMK1738" s="666" t="s">
        <v>799</v>
      </c>
      <c r="TML1738" s="631">
        <f t="shared" ref="TML1738" si="975">TMB1738</f>
        <v>8</v>
      </c>
      <c r="TMM1738" s="657" t="s">
        <v>2</v>
      </c>
      <c r="TMN1738" s="736"/>
      <c r="TMO1738" s="737"/>
      <c r="TMP1738" s="665" t="s">
        <v>1413</v>
      </c>
      <c r="TMR1738" s="629">
        <v>8</v>
      </c>
      <c r="TMS1738" s="662"/>
      <c r="TMT1738" s="631"/>
      <c r="TMU1738" s="631"/>
      <c r="TMV1738" s="631"/>
      <c r="TMW1738" s="631"/>
      <c r="TMX1738" s="631"/>
      <c r="TMY1738" s="631"/>
      <c r="TMZ1738" s="631"/>
      <c r="TNA1738" s="666" t="s">
        <v>799</v>
      </c>
      <c r="TNB1738" s="631">
        <f t="shared" ref="TNB1738" si="976">TMR1738</f>
        <v>8</v>
      </c>
      <c r="TNC1738" s="657" t="s">
        <v>2</v>
      </c>
      <c r="TND1738" s="736"/>
      <c r="TNE1738" s="737"/>
      <c r="TNF1738" s="665" t="s">
        <v>1413</v>
      </c>
      <c r="TNH1738" s="629">
        <v>8</v>
      </c>
      <c r="TNI1738" s="662"/>
      <c r="TNJ1738" s="631"/>
      <c r="TNK1738" s="631"/>
      <c r="TNL1738" s="631"/>
      <c r="TNM1738" s="631"/>
      <c r="TNN1738" s="631"/>
      <c r="TNO1738" s="631"/>
      <c r="TNP1738" s="631"/>
      <c r="TNQ1738" s="666" t="s">
        <v>799</v>
      </c>
      <c r="TNR1738" s="631">
        <f t="shared" ref="TNR1738" si="977">TNH1738</f>
        <v>8</v>
      </c>
      <c r="TNS1738" s="657" t="s">
        <v>2</v>
      </c>
      <c r="TNT1738" s="736"/>
      <c r="TNU1738" s="737"/>
      <c r="TNV1738" s="665" t="s">
        <v>1413</v>
      </c>
      <c r="TNX1738" s="629">
        <v>8</v>
      </c>
      <c r="TNY1738" s="662"/>
      <c r="TNZ1738" s="631"/>
      <c r="TOA1738" s="631"/>
      <c r="TOB1738" s="631"/>
      <c r="TOC1738" s="631"/>
      <c r="TOD1738" s="631"/>
      <c r="TOE1738" s="631"/>
      <c r="TOF1738" s="631"/>
      <c r="TOG1738" s="666" t="s">
        <v>799</v>
      </c>
      <c r="TOH1738" s="631">
        <f t="shared" ref="TOH1738" si="978">TNX1738</f>
        <v>8</v>
      </c>
      <c r="TOI1738" s="657" t="s">
        <v>2</v>
      </c>
      <c r="TOJ1738" s="736"/>
      <c r="TOK1738" s="737"/>
      <c r="TOL1738" s="665" t="s">
        <v>1413</v>
      </c>
      <c r="TON1738" s="629">
        <v>8</v>
      </c>
      <c r="TOO1738" s="662"/>
      <c r="TOP1738" s="631"/>
      <c r="TOQ1738" s="631"/>
      <c r="TOR1738" s="631"/>
      <c r="TOS1738" s="631"/>
      <c r="TOT1738" s="631"/>
      <c r="TOU1738" s="631"/>
      <c r="TOV1738" s="631"/>
      <c r="TOW1738" s="666" t="s">
        <v>799</v>
      </c>
      <c r="TOX1738" s="631">
        <f t="shared" ref="TOX1738" si="979">TON1738</f>
        <v>8</v>
      </c>
      <c r="TOY1738" s="657" t="s">
        <v>2</v>
      </c>
      <c r="TOZ1738" s="736"/>
      <c r="TPA1738" s="737"/>
      <c r="TPB1738" s="665" t="s">
        <v>1413</v>
      </c>
      <c r="TPD1738" s="629">
        <v>8</v>
      </c>
      <c r="TPE1738" s="662"/>
      <c r="TPF1738" s="631"/>
      <c r="TPG1738" s="631"/>
      <c r="TPH1738" s="631"/>
      <c r="TPI1738" s="631"/>
      <c r="TPJ1738" s="631"/>
      <c r="TPK1738" s="631"/>
      <c r="TPL1738" s="631"/>
      <c r="TPM1738" s="666" t="s">
        <v>799</v>
      </c>
      <c r="TPN1738" s="631">
        <f t="shared" ref="TPN1738" si="980">TPD1738</f>
        <v>8</v>
      </c>
      <c r="TPO1738" s="657" t="s">
        <v>2</v>
      </c>
      <c r="TPP1738" s="736"/>
      <c r="TPQ1738" s="737"/>
      <c r="TPR1738" s="665" t="s">
        <v>1413</v>
      </c>
      <c r="TPT1738" s="629">
        <v>8</v>
      </c>
      <c r="TPU1738" s="662"/>
      <c r="TPV1738" s="631"/>
      <c r="TPW1738" s="631"/>
      <c r="TPX1738" s="631"/>
      <c r="TPY1738" s="631"/>
      <c r="TPZ1738" s="631"/>
      <c r="TQA1738" s="631"/>
      <c r="TQB1738" s="631"/>
      <c r="TQC1738" s="666" t="s">
        <v>799</v>
      </c>
      <c r="TQD1738" s="631">
        <f t="shared" ref="TQD1738" si="981">TPT1738</f>
        <v>8</v>
      </c>
      <c r="TQE1738" s="657" t="s">
        <v>2</v>
      </c>
      <c r="TQF1738" s="736"/>
      <c r="TQG1738" s="737"/>
      <c r="TQH1738" s="665" t="s">
        <v>1413</v>
      </c>
      <c r="TQJ1738" s="629">
        <v>8</v>
      </c>
      <c r="TQK1738" s="662"/>
      <c r="TQL1738" s="631"/>
      <c r="TQM1738" s="631"/>
      <c r="TQN1738" s="631"/>
      <c r="TQO1738" s="631"/>
      <c r="TQP1738" s="631"/>
      <c r="TQQ1738" s="631"/>
      <c r="TQR1738" s="631"/>
      <c r="TQS1738" s="666" t="s">
        <v>799</v>
      </c>
      <c r="TQT1738" s="631">
        <f t="shared" ref="TQT1738" si="982">TQJ1738</f>
        <v>8</v>
      </c>
      <c r="TQU1738" s="657" t="s">
        <v>2</v>
      </c>
      <c r="TQV1738" s="736"/>
      <c r="TQW1738" s="737"/>
      <c r="TQX1738" s="665" t="s">
        <v>1413</v>
      </c>
      <c r="TQZ1738" s="629">
        <v>8</v>
      </c>
      <c r="TRA1738" s="662"/>
      <c r="TRB1738" s="631"/>
      <c r="TRC1738" s="631"/>
      <c r="TRD1738" s="631"/>
      <c r="TRE1738" s="631"/>
      <c r="TRF1738" s="631"/>
      <c r="TRG1738" s="631"/>
      <c r="TRH1738" s="631"/>
      <c r="TRI1738" s="666" t="s">
        <v>799</v>
      </c>
      <c r="TRJ1738" s="631">
        <f t="shared" ref="TRJ1738" si="983">TQZ1738</f>
        <v>8</v>
      </c>
      <c r="TRK1738" s="657" t="s">
        <v>2</v>
      </c>
      <c r="TRL1738" s="736"/>
      <c r="TRM1738" s="737"/>
      <c r="TRN1738" s="665" t="s">
        <v>1413</v>
      </c>
      <c r="TRP1738" s="629">
        <v>8</v>
      </c>
      <c r="TRQ1738" s="662"/>
      <c r="TRR1738" s="631"/>
      <c r="TRS1738" s="631"/>
      <c r="TRT1738" s="631"/>
      <c r="TRU1738" s="631"/>
      <c r="TRV1738" s="631"/>
      <c r="TRW1738" s="631"/>
      <c r="TRX1738" s="631"/>
      <c r="TRY1738" s="666" t="s">
        <v>799</v>
      </c>
      <c r="TRZ1738" s="631">
        <f t="shared" ref="TRZ1738" si="984">TRP1738</f>
        <v>8</v>
      </c>
      <c r="TSA1738" s="657" t="s">
        <v>2</v>
      </c>
      <c r="TSB1738" s="736"/>
      <c r="TSC1738" s="737"/>
      <c r="TSD1738" s="665" t="s">
        <v>1413</v>
      </c>
      <c r="TSF1738" s="629">
        <v>8</v>
      </c>
      <c r="TSG1738" s="662"/>
      <c r="TSH1738" s="631"/>
      <c r="TSI1738" s="631"/>
      <c r="TSJ1738" s="631"/>
      <c r="TSK1738" s="631"/>
      <c r="TSL1738" s="631"/>
      <c r="TSM1738" s="631"/>
      <c r="TSN1738" s="631"/>
      <c r="TSO1738" s="666" t="s">
        <v>799</v>
      </c>
      <c r="TSP1738" s="631">
        <f t="shared" ref="TSP1738" si="985">TSF1738</f>
        <v>8</v>
      </c>
      <c r="TSQ1738" s="657" t="s">
        <v>2</v>
      </c>
      <c r="TSR1738" s="736"/>
      <c r="TSS1738" s="737"/>
      <c r="TST1738" s="665" t="s">
        <v>1413</v>
      </c>
      <c r="TSV1738" s="629">
        <v>8</v>
      </c>
      <c r="TSW1738" s="662"/>
      <c r="TSX1738" s="631"/>
      <c r="TSY1738" s="631"/>
      <c r="TSZ1738" s="631"/>
      <c r="TTA1738" s="631"/>
      <c r="TTB1738" s="631"/>
      <c r="TTC1738" s="631"/>
      <c r="TTD1738" s="631"/>
      <c r="TTE1738" s="666" t="s">
        <v>799</v>
      </c>
      <c r="TTF1738" s="631">
        <f t="shared" ref="TTF1738" si="986">TSV1738</f>
        <v>8</v>
      </c>
      <c r="TTG1738" s="657" t="s">
        <v>2</v>
      </c>
      <c r="TTH1738" s="736"/>
      <c r="TTI1738" s="737"/>
      <c r="TTJ1738" s="665" t="s">
        <v>1413</v>
      </c>
      <c r="TTL1738" s="629">
        <v>8</v>
      </c>
      <c r="TTM1738" s="662"/>
      <c r="TTN1738" s="631"/>
      <c r="TTO1738" s="631"/>
      <c r="TTP1738" s="631"/>
      <c r="TTQ1738" s="631"/>
      <c r="TTR1738" s="631"/>
      <c r="TTS1738" s="631"/>
      <c r="TTT1738" s="631"/>
      <c r="TTU1738" s="666" t="s">
        <v>799</v>
      </c>
      <c r="TTV1738" s="631">
        <f t="shared" ref="TTV1738" si="987">TTL1738</f>
        <v>8</v>
      </c>
      <c r="TTW1738" s="657" t="s">
        <v>2</v>
      </c>
      <c r="TTX1738" s="736"/>
      <c r="TTY1738" s="737"/>
      <c r="TTZ1738" s="665" t="s">
        <v>1413</v>
      </c>
      <c r="TUB1738" s="629">
        <v>8</v>
      </c>
      <c r="TUC1738" s="662"/>
      <c r="TUD1738" s="631"/>
      <c r="TUE1738" s="631"/>
      <c r="TUF1738" s="631"/>
      <c r="TUG1738" s="631"/>
      <c r="TUH1738" s="631"/>
      <c r="TUI1738" s="631"/>
      <c r="TUJ1738" s="631"/>
      <c r="TUK1738" s="666" t="s">
        <v>799</v>
      </c>
      <c r="TUL1738" s="631">
        <f t="shared" ref="TUL1738" si="988">TUB1738</f>
        <v>8</v>
      </c>
      <c r="TUM1738" s="657" t="s">
        <v>2</v>
      </c>
      <c r="TUN1738" s="736"/>
      <c r="TUO1738" s="737"/>
      <c r="TUP1738" s="665" t="s">
        <v>1413</v>
      </c>
      <c r="TUR1738" s="629">
        <v>8</v>
      </c>
      <c r="TUS1738" s="662"/>
      <c r="TUT1738" s="631"/>
      <c r="TUU1738" s="631"/>
      <c r="TUV1738" s="631"/>
      <c r="TUW1738" s="631"/>
      <c r="TUX1738" s="631"/>
      <c r="TUY1738" s="631"/>
      <c r="TUZ1738" s="631"/>
      <c r="TVA1738" s="666" t="s">
        <v>799</v>
      </c>
      <c r="TVB1738" s="631">
        <f t="shared" ref="TVB1738" si="989">TUR1738</f>
        <v>8</v>
      </c>
      <c r="TVC1738" s="657" t="s">
        <v>2</v>
      </c>
      <c r="TVD1738" s="736"/>
      <c r="TVE1738" s="737"/>
      <c r="TVF1738" s="665" t="s">
        <v>1413</v>
      </c>
      <c r="TVH1738" s="629">
        <v>8</v>
      </c>
      <c r="TVI1738" s="662"/>
      <c r="TVJ1738" s="631"/>
      <c r="TVK1738" s="631"/>
      <c r="TVL1738" s="631"/>
      <c r="TVM1738" s="631"/>
      <c r="TVN1738" s="631"/>
      <c r="TVO1738" s="631"/>
      <c r="TVP1738" s="631"/>
      <c r="TVQ1738" s="666" t="s">
        <v>799</v>
      </c>
      <c r="TVR1738" s="631">
        <f t="shared" ref="TVR1738" si="990">TVH1738</f>
        <v>8</v>
      </c>
      <c r="TVS1738" s="657" t="s">
        <v>2</v>
      </c>
      <c r="TVT1738" s="736"/>
      <c r="TVU1738" s="737"/>
      <c r="TVV1738" s="665" t="s">
        <v>1413</v>
      </c>
      <c r="TVX1738" s="629">
        <v>8</v>
      </c>
      <c r="TVY1738" s="662"/>
      <c r="TVZ1738" s="631"/>
      <c r="TWA1738" s="631"/>
      <c r="TWB1738" s="631"/>
      <c r="TWC1738" s="631"/>
      <c r="TWD1738" s="631"/>
      <c r="TWE1738" s="631"/>
      <c r="TWF1738" s="631"/>
      <c r="TWG1738" s="666" t="s">
        <v>799</v>
      </c>
      <c r="TWH1738" s="631">
        <f t="shared" ref="TWH1738" si="991">TVX1738</f>
        <v>8</v>
      </c>
      <c r="TWI1738" s="657" t="s">
        <v>2</v>
      </c>
      <c r="TWJ1738" s="736"/>
      <c r="TWK1738" s="737"/>
      <c r="TWL1738" s="665" t="s">
        <v>1413</v>
      </c>
      <c r="TWN1738" s="629">
        <v>8</v>
      </c>
      <c r="TWO1738" s="662"/>
      <c r="TWP1738" s="631"/>
      <c r="TWQ1738" s="631"/>
      <c r="TWR1738" s="631"/>
      <c r="TWS1738" s="631"/>
      <c r="TWT1738" s="631"/>
      <c r="TWU1738" s="631"/>
      <c r="TWV1738" s="631"/>
      <c r="TWW1738" s="666" t="s">
        <v>799</v>
      </c>
      <c r="TWX1738" s="631">
        <f t="shared" ref="TWX1738" si="992">TWN1738</f>
        <v>8</v>
      </c>
      <c r="TWY1738" s="657" t="s">
        <v>2</v>
      </c>
      <c r="TWZ1738" s="736"/>
      <c r="TXA1738" s="737"/>
      <c r="TXB1738" s="665" t="s">
        <v>1413</v>
      </c>
      <c r="TXD1738" s="629">
        <v>8</v>
      </c>
      <c r="TXE1738" s="662"/>
      <c r="TXF1738" s="631"/>
      <c r="TXG1738" s="631"/>
      <c r="TXH1738" s="631"/>
      <c r="TXI1738" s="631"/>
      <c r="TXJ1738" s="631"/>
      <c r="TXK1738" s="631"/>
      <c r="TXL1738" s="631"/>
      <c r="TXM1738" s="666" t="s">
        <v>799</v>
      </c>
      <c r="TXN1738" s="631">
        <f t="shared" ref="TXN1738" si="993">TXD1738</f>
        <v>8</v>
      </c>
      <c r="TXO1738" s="657" t="s">
        <v>2</v>
      </c>
      <c r="TXP1738" s="736"/>
      <c r="TXQ1738" s="737"/>
      <c r="TXR1738" s="665" t="s">
        <v>1413</v>
      </c>
      <c r="TXT1738" s="629">
        <v>8</v>
      </c>
      <c r="TXU1738" s="662"/>
      <c r="TXV1738" s="631"/>
      <c r="TXW1738" s="631"/>
      <c r="TXX1738" s="631"/>
      <c r="TXY1738" s="631"/>
      <c r="TXZ1738" s="631"/>
      <c r="TYA1738" s="631"/>
      <c r="TYB1738" s="631"/>
      <c r="TYC1738" s="666" t="s">
        <v>799</v>
      </c>
      <c r="TYD1738" s="631">
        <f t="shared" ref="TYD1738" si="994">TXT1738</f>
        <v>8</v>
      </c>
      <c r="TYE1738" s="657" t="s">
        <v>2</v>
      </c>
      <c r="TYF1738" s="736"/>
      <c r="TYG1738" s="737"/>
      <c r="TYH1738" s="665" t="s">
        <v>1413</v>
      </c>
      <c r="TYJ1738" s="629">
        <v>8</v>
      </c>
      <c r="TYK1738" s="662"/>
      <c r="TYL1738" s="631"/>
      <c r="TYM1738" s="631"/>
      <c r="TYN1738" s="631"/>
      <c r="TYO1738" s="631"/>
      <c r="TYP1738" s="631"/>
      <c r="TYQ1738" s="631"/>
      <c r="TYR1738" s="631"/>
      <c r="TYS1738" s="666" t="s">
        <v>799</v>
      </c>
      <c r="TYT1738" s="631">
        <f t="shared" ref="TYT1738" si="995">TYJ1738</f>
        <v>8</v>
      </c>
      <c r="TYU1738" s="657" t="s">
        <v>2</v>
      </c>
      <c r="TYV1738" s="736"/>
      <c r="TYW1738" s="737"/>
      <c r="TYX1738" s="665" t="s">
        <v>1413</v>
      </c>
      <c r="TYZ1738" s="629">
        <v>8</v>
      </c>
      <c r="TZA1738" s="662"/>
      <c r="TZB1738" s="631"/>
      <c r="TZC1738" s="631"/>
      <c r="TZD1738" s="631"/>
      <c r="TZE1738" s="631"/>
      <c r="TZF1738" s="631"/>
      <c r="TZG1738" s="631"/>
      <c r="TZH1738" s="631"/>
      <c r="TZI1738" s="666" t="s">
        <v>799</v>
      </c>
      <c r="TZJ1738" s="631">
        <f t="shared" ref="TZJ1738" si="996">TYZ1738</f>
        <v>8</v>
      </c>
      <c r="TZK1738" s="657" t="s">
        <v>2</v>
      </c>
      <c r="TZL1738" s="736"/>
      <c r="TZM1738" s="737"/>
      <c r="TZN1738" s="665" t="s">
        <v>1413</v>
      </c>
      <c r="TZP1738" s="629">
        <v>8</v>
      </c>
      <c r="TZQ1738" s="662"/>
      <c r="TZR1738" s="631"/>
      <c r="TZS1738" s="631"/>
      <c r="TZT1738" s="631"/>
      <c r="TZU1738" s="631"/>
      <c r="TZV1738" s="631"/>
      <c r="TZW1738" s="631"/>
      <c r="TZX1738" s="631"/>
      <c r="TZY1738" s="666" t="s">
        <v>799</v>
      </c>
      <c r="TZZ1738" s="631">
        <f t="shared" ref="TZZ1738" si="997">TZP1738</f>
        <v>8</v>
      </c>
      <c r="UAA1738" s="657" t="s">
        <v>2</v>
      </c>
      <c r="UAB1738" s="736"/>
      <c r="UAC1738" s="737"/>
      <c r="UAD1738" s="665" t="s">
        <v>1413</v>
      </c>
      <c r="UAF1738" s="629">
        <v>8</v>
      </c>
      <c r="UAG1738" s="662"/>
      <c r="UAH1738" s="631"/>
      <c r="UAI1738" s="631"/>
      <c r="UAJ1738" s="631"/>
      <c r="UAK1738" s="631"/>
      <c r="UAL1738" s="631"/>
      <c r="UAM1738" s="631"/>
      <c r="UAN1738" s="631"/>
      <c r="UAO1738" s="666" t="s">
        <v>799</v>
      </c>
      <c r="UAP1738" s="631">
        <f t="shared" ref="UAP1738" si="998">UAF1738</f>
        <v>8</v>
      </c>
      <c r="UAQ1738" s="657" t="s">
        <v>2</v>
      </c>
      <c r="UAR1738" s="736"/>
      <c r="UAS1738" s="737"/>
      <c r="UAT1738" s="665" t="s">
        <v>1413</v>
      </c>
      <c r="UAV1738" s="629">
        <v>8</v>
      </c>
      <c r="UAW1738" s="662"/>
      <c r="UAX1738" s="631"/>
      <c r="UAY1738" s="631"/>
      <c r="UAZ1738" s="631"/>
      <c r="UBA1738" s="631"/>
      <c r="UBB1738" s="631"/>
      <c r="UBC1738" s="631"/>
      <c r="UBD1738" s="631"/>
      <c r="UBE1738" s="666" t="s">
        <v>799</v>
      </c>
      <c r="UBF1738" s="631">
        <f t="shared" ref="UBF1738" si="999">UAV1738</f>
        <v>8</v>
      </c>
      <c r="UBG1738" s="657" t="s">
        <v>2</v>
      </c>
      <c r="UBH1738" s="736"/>
      <c r="UBI1738" s="737"/>
      <c r="UBJ1738" s="665" t="s">
        <v>1413</v>
      </c>
      <c r="UBL1738" s="629">
        <v>8</v>
      </c>
      <c r="UBM1738" s="662"/>
      <c r="UBN1738" s="631"/>
      <c r="UBO1738" s="631"/>
      <c r="UBP1738" s="631"/>
      <c r="UBQ1738" s="631"/>
      <c r="UBR1738" s="631"/>
      <c r="UBS1738" s="631"/>
      <c r="UBT1738" s="631"/>
      <c r="UBU1738" s="666" t="s">
        <v>799</v>
      </c>
      <c r="UBV1738" s="631">
        <f t="shared" ref="UBV1738" si="1000">UBL1738</f>
        <v>8</v>
      </c>
      <c r="UBW1738" s="657" t="s">
        <v>2</v>
      </c>
      <c r="UBX1738" s="736"/>
      <c r="UBY1738" s="737"/>
      <c r="UBZ1738" s="665" t="s">
        <v>1413</v>
      </c>
      <c r="UCB1738" s="629">
        <v>8</v>
      </c>
      <c r="UCC1738" s="662"/>
      <c r="UCD1738" s="631"/>
      <c r="UCE1738" s="631"/>
      <c r="UCF1738" s="631"/>
      <c r="UCG1738" s="631"/>
      <c r="UCH1738" s="631"/>
      <c r="UCI1738" s="631"/>
      <c r="UCJ1738" s="631"/>
      <c r="UCK1738" s="666" t="s">
        <v>799</v>
      </c>
      <c r="UCL1738" s="631">
        <f t="shared" ref="UCL1738" si="1001">UCB1738</f>
        <v>8</v>
      </c>
      <c r="UCM1738" s="657" t="s">
        <v>2</v>
      </c>
      <c r="UCN1738" s="736"/>
      <c r="UCO1738" s="737"/>
      <c r="UCP1738" s="665" t="s">
        <v>1413</v>
      </c>
      <c r="UCR1738" s="629">
        <v>8</v>
      </c>
      <c r="UCS1738" s="662"/>
      <c r="UCT1738" s="631"/>
      <c r="UCU1738" s="631"/>
      <c r="UCV1738" s="631"/>
      <c r="UCW1738" s="631"/>
      <c r="UCX1738" s="631"/>
      <c r="UCY1738" s="631"/>
      <c r="UCZ1738" s="631"/>
      <c r="UDA1738" s="666" t="s">
        <v>799</v>
      </c>
      <c r="UDB1738" s="631">
        <f t="shared" ref="UDB1738" si="1002">UCR1738</f>
        <v>8</v>
      </c>
      <c r="UDC1738" s="657" t="s">
        <v>2</v>
      </c>
      <c r="UDD1738" s="736"/>
      <c r="UDE1738" s="737"/>
      <c r="UDF1738" s="665" t="s">
        <v>1413</v>
      </c>
      <c r="UDH1738" s="629">
        <v>8</v>
      </c>
      <c r="UDI1738" s="662"/>
      <c r="UDJ1738" s="631"/>
      <c r="UDK1738" s="631"/>
      <c r="UDL1738" s="631"/>
      <c r="UDM1738" s="631"/>
      <c r="UDN1738" s="631"/>
      <c r="UDO1738" s="631"/>
      <c r="UDP1738" s="631"/>
      <c r="UDQ1738" s="666" t="s">
        <v>799</v>
      </c>
      <c r="UDR1738" s="631">
        <f t="shared" ref="UDR1738" si="1003">UDH1738</f>
        <v>8</v>
      </c>
      <c r="UDS1738" s="657" t="s">
        <v>2</v>
      </c>
      <c r="UDT1738" s="736"/>
      <c r="UDU1738" s="737"/>
      <c r="UDV1738" s="665" t="s">
        <v>1413</v>
      </c>
      <c r="UDX1738" s="629">
        <v>8</v>
      </c>
      <c r="UDY1738" s="662"/>
      <c r="UDZ1738" s="631"/>
      <c r="UEA1738" s="631"/>
      <c r="UEB1738" s="631"/>
      <c r="UEC1738" s="631"/>
      <c r="UED1738" s="631"/>
      <c r="UEE1738" s="631"/>
      <c r="UEF1738" s="631"/>
      <c r="UEG1738" s="666" t="s">
        <v>799</v>
      </c>
      <c r="UEH1738" s="631">
        <f t="shared" ref="UEH1738" si="1004">UDX1738</f>
        <v>8</v>
      </c>
      <c r="UEI1738" s="657" t="s">
        <v>2</v>
      </c>
      <c r="UEJ1738" s="736"/>
      <c r="UEK1738" s="737"/>
      <c r="UEL1738" s="665" t="s">
        <v>1413</v>
      </c>
      <c r="UEN1738" s="629">
        <v>8</v>
      </c>
      <c r="UEO1738" s="662"/>
      <c r="UEP1738" s="631"/>
      <c r="UEQ1738" s="631"/>
      <c r="UER1738" s="631"/>
      <c r="UES1738" s="631"/>
      <c r="UET1738" s="631"/>
      <c r="UEU1738" s="631"/>
      <c r="UEV1738" s="631"/>
      <c r="UEW1738" s="666" t="s">
        <v>799</v>
      </c>
      <c r="UEX1738" s="631">
        <f t="shared" ref="UEX1738" si="1005">UEN1738</f>
        <v>8</v>
      </c>
      <c r="UEY1738" s="657" t="s">
        <v>2</v>
      </c>
      <c r="UEZ1738" s="736"/>
      <c r="UFA1738" s="737"/>
      <c r="UFB1738" s="665" t="s">
        <v>1413</v>
      </c>
      <c r="UFD1738" s="629">
        <v>8</v>
      </c>
      <c r="UFE1738" s="662"/>
      <c r="UFF1738" s="631"/>
      <c r="UFG1738" s="631"/>
      <c r="UFH1738" s="631"/>
      <c r="UFI1738" s="631"/>
      <c r="UFJ1738" s="631"/>
      <c r="UFK1738" s="631"/>
      <c r="UFL1738" s="631"/>
      <c r="UFM1738" s="666" t="s">
        <v>799</v>
      </c>
      <c r="UFN1738" s="631">
        <f t="shared" ref="UFN1738" si="1006">UFD1738</f>
        <v>8</v>
      </c>
      <c r="UFO1738" s="657" t="s">
        <v>2</v>
      </c>
      <c r="UFP1738" s="736"/>
      <c r="UFQ1738" s="737"/>
      <c r="UFR1738" s="665" t="s">
        <v>1413</v>
      </c>
      <c r="UFT1738" s="629">
        <v>8</v>
      </c>
      <c r="UFU1738" s="662"/>
      <c r="UFV1738" s="631"/>
      <c r="UFW1738" s="631"/>
      <c r="UFX1738" s="631"/>
      <c r="UFY1738" s="631"/>
      <c r="UFZ1738" s="631"/>
      <c r="UGA1738" s="631"/>
      <c r="UGB1738" s="631"/>
      <c r="UGC1738" s="666" t="s">
        <v>799</v>
      </c>
      <c r="UGD1738" s="631">
        <f t="shared" ref="UGD1738" si="1007">UFT1738</f>
        <v>8</v>
      </c>
      <c r="UGE1738" s="657" t="s">
        <v>2</v>
      </c>
      <c r="UGF1738" s="736"/>
      <c r="UGG1738" s="737"/>
      <c r="UGH1738" s="665" t="s">
        <v>1413</v>
      </c>
      <c r="UGJ1738" s="629">
        <v>8</v>
      </c>
      <c r="UGK1738" s="662"/>
      <c r="UGL1738" s="631"/>
      <c r="UGM1738" s="631"/>
      <c r="UGN1738" s="631"/>
      <c r="UGO1738" s="631"/>
      <c r="UGP1738" s="631"/>
      <c r="UGQ1738" s="631"/>
      <c r="UGR1738" s="631"/>
      <c r="UGS1738" s="666" t="s">
        <v>799</v>
      </c>
      <c r="UGT1738" s="631">
        <f t="shared" ref="UGT1738" si="1008">UGJ1738</f>
        <v>8</v>
      </c>
      <c r="UGU1738" s="657" t="s">
        <v>2</v>
      </c>
      <c r="UGV1738" s="736"/>
      <c r="UGW1738" s="737"/>
      <c r="UGX1738" s="665" t="s">
        <v>1413</v>
      </c>
      <c r="UGZ1738" s="629">
        <v>8</v>
      </c>
      <c r="UHA1738" s="662"/>
      <c r="UHB1738" s="631"/>
      <c r="UHC1738" s="631"/>
      <c r="UHD1738" s="631"/>
      <c r="UHE1738" s="631"/>
      <c r="UHF1738" s="631"/>
      <c r="UHG1738" s="631"/>
      <c r="UHH1738" s="631"/>
      <c r="UHI1738" s="666" t="s">
        <v>799</v>
      </c>
      <c r="UHJ1738" s="631">
        <f t="shared" ref="UHJ1738" si="1009">UGZ1738</f>
        <v>8</v>
      </c>
      <c r="UHK1738" s="657" t="s">
        <v>2</v>
      </c>
      <c r="UHL1738" s="736"/>
      <c r="UHM1738" s="737"/>
      <c r="UHN1738" s="665" t="s">
        <v>1413</v>
      </c>
      <c r="UHP1738" s="629">
        <v>8</v>
      </c>
      <c r="UHQ1738" s="662"/>
      <c r="UHR1738" s="631"/>
      <c r="UHS1738" s="631"/>
      <c r="UHT1738" s="631"/>
      <c r="UHU1738" s="631"/>
      <c r="UHV1738" s="631"/>
      <c r="UHW1738" s="631"/>
      <c r="UHX1738" s="631"/>
      <c r="UHY1738" s="666" t="s">
        <v>799</v>
      </c>
      <c r="UHZ1738" s="631">
        <f t="shared" ref="UHZ1738" si="1010">UHP1738</f>
        <v>8</v>
      </c>
      <c r="UIA1738" s="657" t="s">
        <v>2</v>
      </c>
      <c r="UIB1738" s="736"/>
      <c r="UIC1738" s="737"/>
      <c r="UID1738" s="665" t="s">
        <v>1413</v>
      </c>
      <c r="UIF1738" s="629">
        <v>8</v>
      </c>
      <c r="UIG1738" s="662"/>
      <c r="UIH1738" s="631"/>
      <c r="UII1738" s="631"/>
      <c r="UIJ1738" s="631"/>
      <c r="UIK1738" s="631"/>
      <c r="UIL1738" s="631"/>
      <c r="UIM1738" s="631"/>
      <c r="UIN1738" s="631"/>
      <c r="UIO1738" s="666" t="s">
        <v>799</v>
      </c>
      <c r="UIP1738" s="631">
        <f t="shared" ref="UIP1738" si="1011">UIF1738</f>
        <v>8</v>
      </c>
      <c r="UIQ1738" s="657" t="s">
        <v>2</v>
      </c>
      <c r="UIR1738" s="736"/>
      <c r="UIS1738" s="737"/>
      <c r="UIT1738" s="665" t="s">
        <v>1413</v>
      </c>
      <c r="UIV1738" s="629">
        <v>8</v>
      </c>
      <c r="UIW1738" s="662"/>
      <c r="UIX1738" s="631"/>
      <c r="UIY1738" s="631"/>
      <c r="UIZ1738" s="631"/>
      <c r="UJA1738" s="631"/>
      <c r="UJB1738" s="631"/>
      <c r="UJC1738" s="631"/>
      <c r="UJD1738" s="631"/>
      <c r="UJE1738" s="666" t="s">
        <v>799</v>
      </c>
      <c r="UJF1738" s="631">
        <f t="shared" ref="UJF1738" si="1012">UIV1738</f>
        <v>8</v>
      </c>
      <c r="UJG1738" s="657" t="s">
        <v>2</v>
      </c>
      <c r="UJH1738" s="736"/>
      <c r="UJI1738" s="737"/>
      <c r="UJJ1738" s="665" t="s">
        <v>1413</v>
      </c>
      <c r="UJL1738" s="629">
        <v>8</v>
      </c>
      <c r="UJM1738" s="662"/>
      <c r="UJN1738" s="631"/>
      <c r="UJO1738" s="631"/>
      <c r="UJP1738" s="631"/>
      <c r="UJQ1738" s="631"/>
      <c r="UJR1738" s="631"/>
      <c r="UJS1738" s="631"/>
      <c r="UJT1738" s="631"/>
      <c r="UJU1738" s="666" t="s">
        <v>799</v>
      </c>
      <c r="UJV1738" s="631">
        <f t="shared" ref="UJV1738" si="1013">UJL1738</f>
        <v>8</v>
      </c>
      <c r="UJW1738" s="657" t="s">
        <v>2</v>
      </c>
      <c r="UJX1738" s="736"/>
      <c r="UJY1738" s="737"/>
      <c r="UJZ1738" s="665" t="s">
        <v>1413</v>
      </c>
      <c r="UKB1738" s="629">
        <v>8</v>
      </c>
      <c r="UKC1738" s="662"/>
      <c r="UKD1738" s="631"/>
      <c r="UKE1738" s="631"/>
      <c r="UKF1738" s="631"/>
      <c r="UKG1738" s="631"/>
      <c r="UKH1738" s="631"/>
      <c r="UKI1738" s="631"/>
      <c r="UKJ1738" s="631"/>
      <c r="UKK1738" s="666" t="s">
        <v>799</v>
      </c>
      <c r="UKL1738" s="631">
        <f t="shared" ref="UKL1738" si="1014">UKB1738</f>
        <v>8</v>
      </c>
      <c r="UKM1738" s="657" t="s">
        <v>2</v>
      </c>
      <c r="UKN1738" s="736"/>
      <c r="UKO1738" s="737"/>
      <c r="UKP1738" s="665" t="s">
        <v>1413</v>
      </c>
      <c r="UKR1738" s="629">
        <v>8</v>
      </c>
      <c r="UKS1738" s="662"/>
      <c r="UKT1738" s="631"/>
      <c r="UKU1738" s="631"/>
      <c r="UKV1738" s="631"/>
      <c r="UKW1738" s="631"/>
      <c r="UKX1738" s="631"/>
      <c r="UKY1738" s="631"/>
      <c r="UKZ1738" s="631"/>
      <c r="ULA1738" s="666" t="s">
        <v>799</v>
      </c>
      <c r="ULB1738" s="631">
        <f t="shared" ref="ULB1738" si="1015">UKR1738</f>
        <v>8</v>
      </c>
      <c r="ULC1738" s="657" t="s">
        <v>2</v>
      </c>
      <c r="ULD1738" s="736"/>
      <c r="ULE1738" s="737"/>
      <c r="ULF1738" s="665" t="s">
        <v>1413</v>
      </c>
      <c r="ULH1738" s="629">
        <v>8</v>
      </c>
      <c r="ULI1738" s="662"/>
      <c r="ULJ1738" s="631"/>
      <c r="ULK1738" s="631"/>
      <c r="ULL1738" s="631"/>
      <c r="ULM1738" s="631"/>
      <c r="ULN1738" s="631"/>
      <c r="ULO1738" s="631"/>
      <c r="ULP1738" s="631"/>
      <c r="ULQ1738" s="666" t="s">
        <v>799</v>
      </c>
      <c r="ULR1738" s="631">
        <f t="shared" ref="ULR1738" si="1016">ULH1738</f>
        <v>8</v>
      </c>
      <c r="ULS1738" s="657" t="s">
        <v>2</v>
      </c>
      <c r="ULT1738" s="736"/>
      <c r="ULU1738" s="737"/>
      <c r="ULV1738" s="665" t="s">
        <v>1413</v>
      </c>
      <c r="ULX1738" s="629">
        <v>8</v>
      </c>
      <c r="ULY1738" s="662"/>
      <c r="ULZ1738" s="631"/>
      <c r="UMA1738" s="631"/>
      <c r="UMB1738" s="631"/>
      <c r="UMC1738" s="631"/>
      <c r="UMD1738" s="631"/>
      <c r="UME1738" s="631"/>
      <c r="UMF1738" s="631"/>
      <c r="UMG1738" s="666" t="s">
        <v>799</v>
      </c>
      <c r="UMH1738" s="631">
        <f t="shared" ref="UMH1738" si="1017">ULX1738</f>
        <v>8</v>
      </c>
      <c r="UMI1738" s="657" t="s">
        <v>2</v>
      </c>
      <c r="UMJ1738" s="736"/>
      <c r="UMK1738" s="737"/>
      <c r="UML1738" s="665" t="s">
        <v>1413</v>
      </c>
      <c r="UMN1738" s="629">
        <v>8</v>
      </c>
      <c r="UMO1738" s="662"/>
      <c r="UMP1738" s="631"/>
      <c r="UMQ1738" s="631"/>
      <c r="UMR1738" s="631"/>
      <c r="UMS1738" s="631"/>
      <c r="UMT1738" s="631"/>
      <c r="UMU1738" s="631"/>
      <c r="UMV1738" s="631"/>
      <c r="UMW1738" s="666" t="s">
        <v>799</v>
      </c>
      <c r="UMX1738" s="631">
        <f t="shared" ref="UMX1738" si="1018">UMN1738</f>
        <v>8</v>
      </c>
      <c r="UMY1738" s="657" t="s">
        <v>2</v>
      </c>
      <c r="UMZ1738" s="736"/>
      <c r="UNA1738" s="737"/>
      <c r="UNB1738" s="665" t="s">
        <v>1413</v>
      </c>
      <c r="UND1738" s="629">
        <v>8</v>
      </c>
      <c r="UNE1738" s="662"/>
      <c r="UNF1738" s="631"/>
      <c r="UNG1738" s="631"/>
      <c r="UNH1738" s="631"/>
      <c r="UNI1738" s="631"/>
      <c r="UNJ1738" s="631"/>
      <c r="UNK1738" s="631"/>
      <c r="UNL1738" s="631"/>
      <c r="UNM1738" s="666" t="s">
        <v>799</v>
      </c>
      <c r="UNN1738" s="631">
        <f t="shared" ref="UNN1738" si="1019">UND1738</f>
        <v>8</v>
      </c>
      <c r="UNO1738" s="657" t="s">
        <v>2</v>
      </c>
      <c r="UNP1738" s="736"/>
      <c r="UNQ1738" s="737"/>
      <c r="UNR1738" s="665" t="s">
        <v>1413</v>
      </c>
      <c r="UNT1738" s="629">
        <v>8</v>
      </c>
      <c r="UNU1738" s="662"/>
      <c r="UNV1738" s="631"/>
      <c r="UNW1738" s="631"/>
      <c r="UNX1738" s="631"/>
      <c r="UNY1738" s="631"/>
      <c r="UNZ1738" s="631"/>
      <c r="UOA1738" s="631"/>
      <c r="UOB1738" s="631"/>
      <c r="UOC1738" s="666" t="s">
        <v>799</v>
      </c>
      <c r="UOD1738" s="631">
        <f t="shared" ref="UOD1738" si="1020">UNT1738</f>
        <v>8</v>
      </c>
      <c r="UOE1738" s="657" t="s">
        <v>2</v>
      </c>
      <c r="UOF1738" s="736"/>
      <c r="UOG1738" s="737"/>
      <c r="UOH1738" s="665" t="s">
        <v>1413</v>
      </c>
      <c r="UOJ1738" s="629">
        <v>8</v>
      </c>
      <c r="UOK1738" s="662"/>
      <c r="UOL1738" s="631"/>
      <c r="UOM1738" s="631"/>
      <c r="UON1738" s="631"/>
      <c r="UOO1738" s="631"/>
      <c r="UOP1738" s="631"/>
      <c r="UOQ1738" s="631"/>
      <c r="UOR1738" s="631"/>
      <c r="UOS1738" s="666" t="s">
        <v>799</v>
      </c>
      <c r="UOT1738" s="631">
        <f t="shared" ref="UOT1738" si="1021">UOJ1738</f>
        <v>8</v>
      </c>
      <c r="UOU1738" s="657" t="s">
        <v>2</v>
      </c>
      <c r="UOV1738" s="736"/>
      <c r="UOW1738" s="737"/>
      <c r="UOX1738" s="665" t="s">
        <v>1413</v>
      </c>
      <c r="UOZ1738" s="629">
        <v>8</v>
      </c>
      <c r="UPA1738" s="662"/>
      <c r="UPB1738" s="631"/>
      <c r="UPC1738" s="631"/>
      <c r="UPD1738" s="631"/>
      <c r="UPE1738" s="631"/>
      <c r="UPF1738" s="631"/>
      <c r="UPG1738" s="631"/>
      <c r="UPH1738" s="631"/>
      <c r="UPI1738" s="666" t="s">
        <v>799</v>
      </c>
      <c r="UPJ1738" s="631">
        <f t="shared" ref="UPJ1738" si="1022">UOZ1738</f>
        <v>8</v>
      </c>
      <c r="UPK1738" s="657" t="s">
        <v>2</v>
      </c>
      <c r="UPL1738" s="736"/>
      <c r="UPM1738" s="737"/>
      <c r="UPN1738" s="665" t="s">
        <v>1413</v>
      </c>
      <c r="UPP1738" s="629">
        <v>8</v>
      </c>
      <c r="UPQ1738" s="662"/>
      <c r="UPR1738" s="631"/>
      <c r="UPS1738" s="631"/>
      <c r="UPT1738" s="631"/>
      <c r="UPU1738" s="631"/>
      <c r="UPV1738" s="631"/>
      <c r="UPW1738" s="631"/>
      <c r="UPX1738" s="631"/>
      <c r="UPY1738" s="666" t="s">
        <v>799</v>
      </c>
      <c r="UPZ1738" s="631">
        <f t="shared" ref="UPZ1738" si="1023">UPP1738</f>
        <v>8</v>
      </c>
      <c r="UQA1738" s="657" t="s">
        <v>2</v>
      </c>
      <c r="UQB1738" s="736"/>
      <c r="UQC1738" s="737"/>
      <c r="UQD1738" s="665" t="s">
        <v>1413</v>
      </c>
      <c r="UQF1738" s="629">
        <v>8</v>
      </c>
      <c r="UQG1738" s="662"/>
      <c r="UQH1738" s="631"/>
      <c r="UQI1738" s="631"/>
      <c r="UQJ1738" s="631"/>
      <c r="UQK1738" s="631"/>
      <c r="UQL1738" s="631"/>
      <c r="UQM1738" s="631"/>
      <c r="UQN1738" s="631"/>
      <c r="UQO1738" s="666" t="s">
        <v>799</v>
      </c>
      <c r="UQP1738" s="631">
        <f t="shared" ref="UQP1738" si="1024">UQF1738</f>
        <v>8</v>
      </c>
      <c r="UQQ1738" s="657" t="s">
        <v>2</v>
      </c>
      <c r="UQR1738" s="736"/>
      <c r="UQS1738" s="737"/>
      <c r="UQT1738" s="665" t="s">
        <v>1413</v>
      </c>
      <c r="UQV1738" s="629">
        <v>8</v>
      </c>
      <c r="UQW1738" s="662"/>
      <c r="UQX1738" s="631"/>
      <c r="UQY1738" s="631"/>
      <c r="UQZ1738" s="631"/>
      <c r="URA1738" s="631"/>
      <c r="URB1738" s="631"/>
      <c r="URC1738" s="631"/>
      <c r="URD1738" s="631"/>
      <c r="URE1738" s="666" t="s">
        <v>799</v>
      </c>
      <c r="URF1738" s="631">
        <f t="shared" ref="URF1738" si="1025">UQV1738</f>
        <v>8</v>
      </c>
      <c r="URG1738" s="657" t="s">
        <v>2</v>
      </c>
      <c r="URH1738" s="736"/>
      <c r="URI1738" s="737"/>
      <c r="URJ1738" s="665" t="s">
        <v>1413</v>
      </c>
      <c r="URL1738" s="629">
        <v>8</v>
      </c>
      <c r="URM1738" s="662"/>
      <c r="URN1738" s="631"/>
      <c r="URO1738" s="631"/>
      <c r="URP1738" s="631"/>
      <c r="URQ1738" s="631"/>
      <c r="URR1738" s="631"/>
      <c r="URS1738" s="631"/>
      <c r="URT1738" s="631"/>
      <c r="URU1738" s="666" t="s">
        <v>799</v>
      </c>
      <c r="URV1738" s="631">
        <f t="shared" ref="URV1738" si="1026">URL1738</f>
        <v>8</v>
      </c>
      <c r="URW1738" s="657" t="s">
        <v>2</v>
      </c>
      <c r="URX1738" s="736"/>
      <c r="URY1738" s="737"/>
      <c r="URZ1738" s="665" t="s">
        <v>1413</v>
      </c>
      <c r="USB1738" s="629">
        <v>8</v>
      </c>
      <c r="USC1738" s="662"/>
      <c r="USD1738" s="631"/>
      <c r="USE1738" s="631"/>
      <c r="USF1738" s="631"/>
      <c r="USG1738" s="631"/>
      <c r="USH1738" s="631"/>
      <c r="USI1738" s="631"/>
      <c r="USJ1738" s="631"/>
      <c r="USK1738" s="666" t="s">
        <v>799</v>
      </c>
      <c r="USL1738" s="631">
        <f t="shared" ref="USL1738" si="1027">USB1738</f>
        <v>8</v>
      </c>
      <c r="USM1738" s="657" t="s">
        <v>2</v>
      </c>
      <c r="USN1738" s="736"/>
      <c r="USO1738" s="737"/>
      <c r="USP1738" s="665" t="s">
        <v>1413</v>
      </c>
      <c r="USR1738" s="629">
        <v>8</v>
      </c>
      <c r="USS1738" s="662"/>
      <c r="UST1738" s="631"/>
      <c r="USU1738" s="631"/>
      <c r="USV1738" s="631"/>
      <c r="USW1738" s="631"/>
      <c r="USX1738" s="631"/>
      <c r="USY1738" s="631"/>
      <c r="USZ1738" s="631"/>
      <c r="UTA1738" s="666" t="s">
        <v>799</v>
      </c>
      <c r="UTB1738" s="631">
        <f t="shared" ref="UTB1738" si="1028">USR1738</f>
        <v>8</v>
      </c>
      <c r="UTC1738" s="657" t="s">
        <v>2</v>
      </c>
      <c r="UTD1738" s="736"/>
      <c r="UTE1738" s="737"/>
      <c r="UTF1738" s="665" t="s">
        <v>1413</v>
      </c>
      <c r="UTH1738" s="629">
        <v>8</v>
      </c>
      <c r="UTI1738" s="662"/>
      <c r="UTJ1738" s="631"/>
      <c r="UTK1738" s="631"/>
      <c r="UTL1738" s="631"/>
      <c r="UTM1738" s="631"/>
      <c r="UTN1738" s="631"/>
      <c r="UTO1738" s="631"/>
      <c r="UTP1738" s="631"/>
      <c r="UTQ1738" s="666" t="s">
        <v>799</v>
      </c>
      <c r="UTR1738" s="631">
        <f t="shared" ref="UTR1738" si="1029">UTH1738</f>
        <v>8</v>
      </c>
      <c r="UTS1738" s="657" t="s">
        <v>2</v>
      </c>
      <c r="UTT1738" s="736"/>
      <c r="UTU1738" s="737"/>
      <c r="UTV1738" s="665" t="s">
        <v>1413</v>
      </c>
      <c r="UTX1738" s="629">
        <v>8</v>
      </c>
      <c r="UTY1738" s="662"/>
      <c r="UTZ1738" s="631"/>
      <c r="UUA1738" s="631"/>
      <c r="UUB1738" s="631"/>
      <c r="UUC1738" s="631"/>
      <c r="UUD1738" s="631"/>
      <c r="UUE1738" s="631"/>
      <c r="UUF1738" s="631"/>
      <c r="UUG1738" s="666" t="s">
        <v>799</v>
      </c>
      <c r="UUH1738" s="631">
        <f t="shared" ref="UUH1738" si="1030">UTX1738</f>
        <v>8</v>
      </c>
      <c r="UUI1738" s="657" t="s">
        <v>2</v>
      </c>
      <c r="UUJ1738" s="736"/>
      <c r="UUK1738" s="737"/>
      <c r="UUL1738" s="665" t="s">
        <v>1413</v>
      </c>
      <c r="UUN1738" s="629">
        <v>8</v>
      </c>
      <c r="UUO1738" s="662"/>
      <c r="UUP1738" s="631"/>
      <c r="UUQ1738" s="631"/>
      <c r="UUR1738" s="631"/>
      <c r="UUS1738" s="631"/>
      <c r="UUT1738" s="631"/>
      <c r="UUU1738" s="631"/>
      <c r="UUV1738" s="631"/>
      <c r="UUW1738" s="666" t="s">
        <v>799</v>
      </c>
      <c r="UUX1738" s="631">
        <f t="shared" ref="UUX1738" si="1031">UUN1738</f>
        <v>8</v>
      </c>
      <c r="UUY1738" s="657" t="s">
        <v>2</v>
      </c>
      <c r="UUZ1738" s="736"/>
      <c r="UVA1738" s="737"/>
      <c r="UVB1738" s="665" t="s">
        <v>1413</v>
      </c>
      <c r="UVD1738" s="629">
        <v>8</v>
      </c>
      <c r="UVE1738" s="662"/>
      <c r="UVF1738" s="631"/>
      <c r="UVG1738" s="631"/>
      <c r="UVH1738" s="631"/>
      <c r="UVI1738" s="631"/>
      <c r="UVJ1738" s="631"/>
      <c r="UVK1738" s="631"/>
      <c r="UVL1738" s="631"/>
      <c r="UVM1738" s="666" t="s">
        <v>799</v>
      </c>
      <c r="UVN1738" s="631">
        <f t="shared" ref="UVN1738" si="1032">UVD1738</f>
        <v>8</v>
      </c>
      <c r="UVO1738" s="657" t="s">
        <v>2</v>
      </c>
      <c r="UVP1738" s="736"/>
      <c r="UVQ1738" s="737"/>
      <c r="UVR1738" s="665" t="s">
        <v>1413</v>
      </c>
      <c r="UVT1738" s="629">
        <v>8</v>
      </c>
      <c r="UVU1738" s="662"/>
      <c r="UVV1738" s="631"/>
      <c r="UVW1738" s="631"/>
      <c r="UVX1738" s="631"/>
      <c r="UVY1738" s="631"/>
      <c r="UVZ1738" s="631"/>
      <c r="UWA1738" s="631"/>
      <c r="UWB1738" s="631"/>
      <c r="UWC1738" s="666" t="s">
        <v>799</v>
      </c>
      <c r="UWD1738" s="631">
        <f t="shared" ref="UWD1738" si="1033">UVT1738</f>
        <v>8</v>
      </c>
      <c r="UWE1738" s="657" t="s">
        <v>2</v>
      </c>
      <c r="UWF1738" s="736"/>
      <c r="UWG1738" s="737"/>
      <c r="UWH1738" s="665" t="s">
        <v>1413</v>
      </c>
      <c r="UWJ1738" s="629">
        <v>8</v>
      </c>
      <c r="UWK1738" s="662"/>
      <c r="UWL1738" s="631"/>
      <c r="UWM1738" s="631"/>
      <c r="UWN1738" s="631"/>
      <c r="UWO1738" s="631"/>
      <c r="UWP1738" s="631"/>
      <c r="UWQ1738" s="631"/>
      <c r="UWR1738" s="631"/>
      <c r="UWS1738" s="666" t="s">
        <v>799</v>
      </c>
      <c r="UWT1738" s="631">
        <f t="shared" ref="UWT1738" si="1034">UWJ1738</f>
        <v>8</v>
      </c>
      <c r="UWU1738" s="657" t="s">
        <v>2</v>
      </c>
      <c r="UWV1738" s="736"/>
      <c r="UWW1738" s="737"/>
      <c r="UWX1738" s="665" t="s">
        <v>1413</v>
      </c>
      <c r="UWZ1738" s="629">
        <v>8</v>
      </c>
      <c r="UXA1738" s="662"/>
      <c r="UXB1738" s="631"/>
      <c r="UXC1738" s="631"/>
      <c r="UXD1738" s="631"/>
      <c r="UXE1738" s="631"/>
      <c r="UXF1738" s="631"/>
      <c r="UXG1738" s="631"/>
      <c r="UXH1738" s="631"/>
      <c r="UXI1738" s="666" t="s">
        <v>799</v>
      </c>
      <c r="UXJ1738" s="631">
        <f t="shared" ref="UXJ1738" si="1035">UWZ1738</f>
        <v>8</v>
      </c>
      <c r="UXK1738" s="657" t="s">
        <v>2</v>
      </c>
      <c r="UXL1738" s="736"/>
      <c r="UXM1738" s="737"/>
      <c r="UXN1738" s="665" t="s">
        <v>1413</v>
      </c>
      <c r="UXP1738" s="629">
        <v>8</v>
      </c>
      <c r="UXQ1738" s="662"/>
      <c r="UXR1738" s="631"/>
      <c r="UXS1738" s="631"/>
      <c r="UXT1738" s="631"/>
      <c r="UXU1738" s="631"/>
      <c r="UXV1738" s="631"/>
      <c r="UXW1738" s="631"/>
      <c r="UXX1738" s="631"/>
      <c r="UXY1738" s="666" t="s">
        <v>799</v>
      </c>
      <c r="UXZ1738" s="631">
        <f t="shared" ref="UXZ1738" si="1036">UXP1738</f>
        <v>8</v>
      </c>
      <c r="UYA1738" s="657" t="s">
        <v>2</v>
      </c>
      <c r="UYB1738" s="736"/>
      <c r="UYC1738" s="737"/>
      <c r="UYD1738" s="665" t="s">
        <v>1413</v>
      </c>
      <c r="UYF1738" s="629">
        <v>8</v>
      </c>
      <c r="UYG1738" s="662"/>
      <c r="UYH1738" s="631"/>
      <c r="UYI1738" s="631"/>
      <c r="UYJ1738" s="631"/>
      <c r="UYK1738" s="631"/>
      <c r="UYL1738" s="631"/>
      <c r="UYM1738" s="631"/>
      <c r="UYN1738" s="631"/>
      <c r="UYO1738" s="666" t="s">
        <v>799</v>
      </c>
      <c r="UYP1738" s="631">
        <f t="shared" ref="UYP1738" si="1037">UYF1738</f>
        <v>8</v>
      </c>
      <c r="UYQ1738" s="657" t="s">
        <v>2</v>
      </c>
      <c r="UYR1738" s="736"/>
      <c r="UYS1738" s="737"/>
      <c r="UYT1738" s="665" t="s">
        <v>1413</v>
      </c>
      <c r="UYV1738" s="629">
        <v>8</v>
      </c>
      <c r="UYW1738" s="662"/>
      <c r="UYX1738" s="631"/>
      <c r="UYY1738" s="631"/>
      <c r="UYZ1738" s="631"/>
      <c r="UZA1738" s="631"/>
      <c r="UZB1738" s="631"/>
      <c r="UZC1738" s="631"/>
      <c r="UZD1738" s="631"/>
      <c r="UZE1738" s="666" t="s">
        <v>799</v>
      </c>
      <c r="UZF1738" s="631">
        <f t="shared" ref="UZF1738" si="1038">UYV1738</f>
        <v>8</v>
      </c>
      <c r="UZG1738" s="657" t="s">
        <v>2</v>
      </c>
      <c r="UZH1738" s="736"/>
      <c r="UZI1738" s="737"/>
      <c r="UZJ1738" s="665" t="s">
        <v>1413</v>
      </c>
      <c r="UZL1738" s="629">
        <v>8</v>
      </c>
      <c r="UZM1738" s="662"/>
      <c r="UZN1738" s="631"/>
      <c r="UZO1738" s="631"/>
      <c r="UZP1738" s="631"/>
      <c r="UZQ1738" s="631"/>
      <c r="UZR1738" s="631"/>
      <c r="UZS1738" s="631"/>
      <c r="UZT1738" s="631"/>
      <c r="UZU1738" s="666" t="s">
        <v>799</v>
      </c>
      <c r="UZV1738" s="631">
        <f t="shared" ref="UZV1738" si="1039">UZL1738</f>
        <v>8</v>
      </c>
      <c r="UZW1738" s="657" t="s">
        <v>2</v>
      </c>
      <c r="UZX1738" s="736"/>
      <c r="UZY1738" s="737"/>
      <c r="UZZ1738" s="665" t="s">
        <v>1413</v>
      </c>
      <c r="VAB1738" s="629">
        <v>8</v>
      </c>
      <c r="VAC1738" s="662"/>
      <c r="VAD1738" s="631"/>
      <c r="VAE1738" s="631"/>
      <c r="VAF1738" s="631"/>
      <c r="VAG1738" s="631"/>
      <c r="VAH1738" s="631"/>
      <c r="VAI1738" s="631"/>
      <c r="VAJ1738" s="631"/>
      <c r="VAK1738" s="666" t="s">
        <v>799</v>
      </c>
      <c r="VAL1738" s="631">
        <f t="shared" ref="VAL1738" si="1040">VAB1738</f>
        <v>8</v>
      </c>
      <c r="VAM1738" s="657" t="s">
        <v>2</v>
      </c>
      <c r="VAN1738" s="736"/>
      <c r="VAO1738" s="737"/>
      <c r="VAP1738" s="665" t="s">
        <v>1413</v>
      </c>
      <c r="VAR1738" s="629">
        <v>8</v>
      </c>
      <c r="VAS1738" s="662"/>
      <c r="VAT1738" s="631"/>
      <c r="VAU1738" s="631"/>
      <c r="VAV1738" s="631"/>
      <c r="VAW1738" s="631"/>
      <c r="VAX1738" s="631"/>
      <c r="VAY1738" s="631"/>
      <c r="VAZ1738" s="631"/>
      <c r="VBA1738" s="666" t="s">
        <v>799</v>
      </c>
      <c r="VBB1738" s="631">
        <f t="shared" ref="VBB1738" si="1041">VAR1738</f>
        <v>8</v>
      </c>
      <c r="VBC1738" s="657" t="s">
        <v>2</v>
      </c>
      <c r="VBD1738" s="736"/>
      <c r="VBE1738" s="737"/>
      <c r="VBF1738" s="665" t="s">
        <v>1413</v>
      </c>
      <c r="VBH1738" s="629">
        <v>8</v>
      </c>
      <c r="VBI1738" s="662"/>
      <c r="VBJ1738" s="631"/>
      <c r="VBK1738" s="631"/>
      <c r="VBL1738" s="631"/>
      <c r="VBM1738" s="631"/>
      <c r="VBN1738" s="631"/>
      <c r="VBO1738" s="631"/>
      <c r="VBP1738" s="631"/>
      <c r="VBQ1738" s="666" t="s">
        <v>799</v>
      </c>
      <c r="VBR1738" s="631">
        <f t="shared" ref="VBR1738" si="1042">VBH1738</f>
        <v>8</v>
      </c>
      <c r="VBS1738" s="657" t="s">
        <v>2</v>
      </c>
      <c r="VBT1738" s="736"/>
      <c r="VBU1738" s="737"/>
      <c r="VBV1738" s="665" t="s">
        <v>1413</v>
      </c>
      <c r="VBX1738" s="629">
        <v>8</v>
      </c>
      <c r="VBY1738" s="662"/>
      <c r="VBZ1738" s="631"/>
      <c r="VCA1738" s="631"/>
      <c r="VCB1738" s="631"/>
      <c r="VCC1738" s="631"/>
      <c r="VCD1738" s="631"/>
      <c r="VCE1738" s="631"/>
      <c r="VCF1738" s="631"/>
      <c r="VCG1738" s="666" t="s">
        <v>799</v>
      </c>
      <c r="VCH1738" s="631">
        <f t="shared" ref="VCH1738" si="1043">VBX1738</f>
        <v>8</v>
      </c>
      <c r="VCI1738" s="657" t="s">
        <v>2</v>
      </c>
      <c r="VCJ1738" s="736"/>
      <c r="VCK1738" s="737"/>
      <c r="VCL1738" s="665" t="s">
        <v>1413</v>
      </c>
      <c r="VCN1738" s="629">
        <v>8</v>
      </c>
      <c r="VCO1738" s="662"/>
      <c r="VCP1738" s="631"/>
      <c r="VCQ1738" s="631"/>
      <c r="VCR1738" s="631"/>
      <c r="VCS1738" s="631"/>
      <c r="VCT1738" s="631"/>
      <c r="VCU1738" s="631"/>
      <c r="VCV1738" s="631"/>
      <c r="VCW1738" s="666" t="s">
        <v>799</v>
      </c>
      <c r="VCX1738" s="631">
        <f t="shared" ref="VCX1738" si="1044">VCN1738</f>
        <v>8</v>
      </c>
      <c r="VCY1738" s="657" t="s">
        <v>2</v>
      </c>
      <c r="VCZ1738" s="736"/>
      <c r="VDA1738" s="737"/>
      <c r="VDB1738" s="665" t="s">
        <v>1413</v>
      </c>
      <c r="VDD1738" s="629">
        <v>8</v>
      </c>
      <c r="VDE1738" s="662"/>
      <c r="VDF1738" s="631"/>
      <c r="VDG1738" s="631"/>
      <c r="VDH1738" s="631"/>
      <c r="VDI1738" s="631"/>
      <c r="VDJ1738" s="631"/>
      <c r="VDK1738" s="631"/>
      <c r="VDL1738" s="631"/>
      <c r="VDM1738" s="666" t="s">
        <v>799</v>
      </c>
      <c r="VDN1738" s="631">
        <f t="shared" ref="VDN1738" si="1045">VDD1738</f>
        <v>8</v>
      </c>
      <c r="VDO1738" s="657" t="s">
        <v>2</v>
      </c>
      <c r="VDP1738" s="736"/>
      <c r="VDQ1738" s="737"/>
      <c r="VDR1738" s="665" t="s">
        <v>1413</v>
      </c>
      <c r="VDT1738" s="629">
        <v>8</v>
      </c>
      <c r="VDU1738" s="662"/>
      <c r="VDV1738" s="631"/>
      <c r="VDW1738" s="631"/>
      <c r="VDX1738" s="631"/>
      <c r="VDY1738" s="631"/>
      <c r="VDZ1738" s="631"/>
      <c r="VEA1738" s="631"/>
      <c r="VEB1738" s="631"/>
      <c r="VEC1738" s="666" t="s">
        <v>799</v>
      </c>
      <c r="VED1738" s="631">
        <f t="shared" ref="VED1738" si="1046">VDT1738</f>
        <v>8</v>
      </c>
      <c r="VEE1738" s="657" t="s">
        <v>2</v>
      </c>
      <c r="VEF1738" s="736"/>
      <c r="VEG1738" s="737"/>
      <c r="VEH1738" s="665" t="s">
        <v>1413</v>
      </c>
      <c r="VEJ1738" s="629">
        <v>8</v>
      </c>
      <c r="VEK1738" s="662"/>
      <c r="VEL1738" s="631"/>
      <c r="VEM1738" s="631"/>
      <c r="VEN1738" s="631"/>
      <c r="VEO1738" s="631"/>
      <c r="VEP1738" s="631"/>
      <c r="VEQ1738" s="631"/>
      <c r="VER1738" s="631"/>
      <c r="VES1738" s="666" t="s">
        <v>799</v>
      </c>
      <c r="VET1738" s="631">
        <f t="shared" ref="VET1738" si="1047">VEJ1738</f>
        <v>8</v>
      </c>
      <c r="VEU1738" s="657" t="s">
        <v>2</v>
      </c>
      <c r="VEV1738" s="736"/>
      <c r="VEW1738" s="737"/>
      <c r="VEX1738" s="665" t="s">
        <v>1413</v>
      </c>
      <c r="VEZ1738" s="629">
        <v>8</v>
      </c>
      <c r="VFA1738" s="662"/>
      <c r="VFB1738" s="631"/>
      <c r="VFC1738" s="631"/>
      <c r="VFD1738" s="631"/>
      <c r="VFE1738" s="631"/>
      <c r="VFF1738" s="631"/>
      <c r="VFG1738" s="631"/>
      <c r="VFH1738" s="631"/>
      <c r="VFI1738" s="666" t="s">
        <v>799</v>
      </c>
      <c r="VFJ1738" s="631">
        <f t="shared" ref="VFJ1738" si="1048">VEZ1738</f>
        <v>8</v>
      </c>
      <c r="VFK1738" s="657" t="s">
        <v>2</v>
      </c>
      <c r="VFL1738" s="736"/>
      <c r="VFM1738" s="737"/>
      <c r="VFN1738" s="665" t="s">
        <v>1413</v>
      </c>
      <c r="VFP1738" s="629">
        <v>8</v>
      </c>
      <c r="VFQ1738" s="662"/>
      <c r="VFR1738" s="631"/>
      <c r="VFS1738" s="631"/>
      <c r="VFT1738" s="631"/>
      <c r="VFU1738" s="631"/>
      <c r="VFV1738" s="631"/>
      <c r="VFW1738" s="631"/>
      <c r="VFX1738" s="631"/>
      <c r="VFY1738" s="666" t="s">
        <v>799</v>
      </c>
      <c r="VFZ1738" s="631">
        <f t="shared" ref="VFZ1738" si="1049">VFP1738</f>
        <v>8</v>
      </c>
      <c r="VGA1738" s="657" t="s">
        <v>2</v>
      </c>
      <c r="VGB1738" s="736"/>
      <c r="VGC1738" s="737"/>
      <c r="VGD1738" s="665" t="s">
        <v>1413</v>
      </c>
      <c r="VGF1738" s="629">
        <v>8</v>
      </c>
      <c r="VGG1738" s="662"/>
      <c r="VGH1738" s="631"/>
      <c r="VGI1738" s="631"/>
      <c r="VGJ1738" s="631"/>
      <c r="VGK1738" s="631"/>
      <c r="VGL1738" s="631"/>
      <c r="VGM1738" s="631"/>
      <c r="VGN1738" s="631"/>
      <c r="VGO1738" s="666" t="s">
        <v>799</v>
      </c>
      <c r="VGP1738" s="631">
        <f t="shared" ref="VGP1738" si="1050">VGF1738</f>
        <v>8</v>
      </c>
      <c r="VGQ1738" s="657" t="s">
        <v>2</v>
      </c>
      <c r="VGR1738" s="736"/>
      <c r="VGS1738" s="737"/>
      <c r="VGT1738" s="665" t="s">
        <v>1413</v>
      </c>
      <c r="VGV1738" s="629">
        <v>8</v>
      </c>
      <c r="VGW1738" s="662"/>
      <c r="VGX1738" s="631"/>
      <c r="VGY1738" s="631"/>
      <c r="VGZ1738" s="631"/>
      <c r="VHA1738" s="631"/>
      <c r="VHB1738" s="631"/>
      <c r="VHC1738" s="631"/>
      <c r="VHD1738" s="631"/>
      <c r="VHE1738" s="666" t="s">
        <v>799</v>
      </c>
      <c r="VHF1738" s="631">
        <f t="shared" ref="VHF1738" si="1051">VGV1738</f>
        <v>8</v>
      </c>
      <c r="VHG1738" s="657" t="s">
        <v>2</v>
      </c>
      <c r="VHH1738" s="736"/>
      <c r="VHI1738" s="737"/>
      <c r="VHJ1738" s="665" t="s">
        <v>1413</v>
      </c>
      <c r="VHL1738" s="629">
        <v>8</v>
      </c>
      <c r="VHM1738" s="662"/>
      <c r="VHN1738" s="631"/>
      <c r="VHO1738" s="631"/>
      <c r="VHP1738" s="631"/>
      <c r="VHQ1738" s="631"/>
      <c r="VHR1738" s="631"/>
      <c r="VHS1738" s="631"/>
      <c r="VHT1738" s="631"/>
      <c r="VHU1738" s="666" t="s">
        <v>799</v>
      </c>
      <c r="VHV1738" s="631">
        <f t="shared" ref="VHV1738" si="1052">VHL1738</f>
        <v>8</v>
      </c>
      <c r="VHW1738" s="657" t="s">
        <v>2</v>
      </c>
      <c r="VHX1738" s="736"/>
      <c r="VHY1738" s="737"/>
      <c r="VHZ1738" s="665" t="s">
        <v>1413</v>
      </c>
      <c r="VIB1738" s="629">
        <v>8</v>
      </c>
      <c r="VIC1738" s="662"/>
      <c r="VID1738" s="631"/>
      <c r="VIE1738" s="631"/>
      <c r="VIF1738" s="631"/>
      <c r="VIG1738" s="631"/>
      <c r="VIH1738" s="631"/>
      <c r="VII1738" s="631"/>
      <c r="VIJ1738" s="631"/>
      <c r="VIK1738" s="666" t="s">
        <v>799</v>
      </c>
      <c r="VIL1738" s="631">
        <f t="shared" ref="VIL1738" si="1053">VIB1738</f>
        <v>8</v>
      </c>
      <c r="VIM1738" s="657" t="s">
        <v>2</v>
      </c>
      <c r="VIN1738" s="736"/>
      <c r="VIO1738" s="737"/>
      <c r="VIP1738" s="665" t="s">
        <v>1413</v>
      </c>
      <c r="VIR1738" s="629">
        <v>8</v>
      </c>
      <c r="VIS1738" s="662"/>
      <c r="VIT1738" s="631"/>
      <c r="VIU1738" s="631"/>
      <c r="VIV1738" s="631"/>
      <c r="VIW1738" s="631"/>
      <c r="VIX1738" s="631"/>
      <c r="VIY1738" s="631"/>
      <c r="VIZ1738" s="631"/>
      <c r="VJA1738" s="666" t="s">
        <v>799</v>
      </c>
      <c r="VJB1738" s="631">
        <f t="shared" ref="VJB1738" si="1054">VIR1738</f>
        <v>8</v>
      </c>
      <c r="VJC1738" s="657" t="s">
        <v>2</v>
      </c>
      <c r="VJD1738" s="736"/>
      <c r="VJE1738" s="737"/>
      <c r="VJF1738" s="665" t="s">
        <v>1413</v>
      </c>
      <c r="VJH1738" s="629">
        <v>8</v>
      </c>
      <c r="VJI1738" s="662"/>
      <c r="VJJ1738" s="631"/>
      <c r="VJK1738" s="631"/>
      <c r="VJL1738" s="631"/>
      <c r="VJM1738" s="631"/>
      <c r="VJN1738" s="631"/>
      <c r="VJO1738" s="631"/>
      <c r="VJP1738" s="631"/>
      <c r="VJQ1738" s="666" t="s">
        <v>799</v>
      </c>
      <c r="VJR1738" s="631">
        <f t="shared" ref="VJR1738" si="1055">VJH1738</f>
        <v>8</v>
      </c>
      <c r="VJS1738" s="657" t="s">
        <v>2</v>
      </c>
      <c r="VJT1738" s="736"/>
      <c r="VJU1738" s="737"/>
      <c r="VJV1738" s="665" t="s">
        <v>1413</v>
      </c>
      <c r="VJX1738" s="629">
        <v>8</v>
      </c>
      <c r="VJY1738" s="662"/>
      <c r="VJZ1738" s="631"/>
      <c r="VKA1738" s="631"/>
      <c r="VKB1738" s="631"/>
      <c r="VKC1738" s="631"/>
      <c r="VKD1738" s="631"/>
      <c r="VKE1738" s="631"/>
      <c r="VKF1738" s="631"/>
      <c r="VKG1738" s="666" t="s">
        <v>799</v>
      </c>
      <c r="VKH1738" s="631">
        <f t="shared" ref="VKH1738" si="1056">VJX1738</f>
        <v>8</v>
      </c>
      <c r="VKI1738" s="657" t="s">
        <v>2</v>
      </c>
      <c r="VKJ1738" s="736"/>
      <c r="VKK1738" s="737"/>
      <c r="VKL1738" s="665" t="s">
        <v>1413</v>
      </c>
      <c r="VKN1738" s="629">
        <v>8</v>
      </c>
      <c r="VKO1738" s="662"/>
      <c r="VKP1738" s="631"/>
      <c r="VKQ1738" s="631"/>
      <c r="VKR1738" s="631"/>
      <c r="VKS1738" s="631"/>
      <c r="VKT1738" s="631"/>
      <c r="VKU1738" s="631"/>
      <c r="VKV1738" s="631"/>
      <c r="VKW1738" s="666" t="s">
        <v>799</v>
      </c>
      <c r="VKX1738" s="631">
        <f t="shared" ref="VKX1738" si="1057">VKN1738</f>
        <v>8</v>
      </c>
      <c r="VKY1738" s="657" t="s">
        <v>2</v>
      </c>
      <c r="VKZ1738" s="736"/>
      <c r="VLA1738" s="737"/>
      <c r="VLB1738" s="665" t="s">
        <v>1413</v>
      </c>
      <c r="VLD1738" s="629">
        <v>8</v>
      </c>
      <c r="VLE1738" s="662"/>
      <c r="VLF1738" s="631"/>
      <c r="VLG1738" s="631"/>
      <c r="VLH1738" s="631"/>
      <c r="VLI1738" s="631"/>
      <c r="VLJ1738" s="631"/>
      <c r="VLK1738" s="631"/>
      <c r="VLL1738" s="631"/>
      <c r="VLM1738" s="666" t="s">
        <v>799</v>
      </c>
      <c r="VLN1738" s="631">
        <f t="shared" ref="VLN1738" si="1058">VLD1738</f>
        <v>8</v>
      </c>
      <c r="VLO1738" s="657" t="s">
        <v>2</v>
      </c>
      <c r="VLP1738" s="736"/>
      <c r="VLQ1738" s="737"/>
      <c r="VLR1738" s="665" t="s">
        <v>1413</v>
      </c>
      <c r="VLT1738" s="629">
        <v>8</v>
      </c>
      <c r="VLU1738" s="662"/>
      <c r="VLV1738" s="631"/>
      <c r="VLW1738" s="631"/>
      <c r="VLX1738" s="631"/>
      <c r="VLY1738" s="631"/>
      <c r="VLZ1738" s="631"/>
      <c r="VMA1738" s="631"/>
      <c r="VMB1738" s="631"/>
      <c r="VMC1738" s="666" t="s">
        <v>799</v>
      </c>
      <c r="VMD1738" s="631">
        <f t="shared" ref="VMD1738" si="1059">VLT1738</f>
        <v>8</v>
      </c>
      <c r="VME1738" s="657" t="s">
        <v>2</v>
      </c>
      <c r="VMF1738" s="736"/>
      <c r="VMG1738" s="737"/>
      <c r="VMH1738" s="665" t="s">
        <v>1413</v>
      </c>
      <c r="VMJ1738" s="629">
        <v>8</v>
      </c>
      <c r="VMK1738" s="662"/>
      <c r="VML1738" s="631"/>
      <c r="VMM1738" s="631"/>
      <c r="VMN1738" s="631"/>
      <c r="VMO1738" s="631"/>
      <c r="VMP1738" s="631"/>
      <c r="VMQ1738" s="631"/>
      <c r="VMR1738" s="631"/>
      <c r="VMS1738" s="666" t="s">
        <v>799</v>
      </c>
      <c r="VMT1738" s="631">
        <f t="shared" ref="VMT1738" si="1060">VMJ1738</f>
        <v>8</v>
      </c>
      <c r="VMU1738" s="657" t="s">
        <v>2</v>
      </c>
      <c r="VMV1738" s="736"/>
      <c r="VMW1738" s="737"/>
      <c r="VMX1738" s="665" t="s">
        <v>1413</v>
      </c>
      <c r="VMZ1738" s="629">
        <v>8</v>
      </c>
      <c r="VNA1738" s="662"/>
      <c r="VNB1738" s="631"/>
      <c r="VNC1738" s="631"/>
      <c r="VND1738" s="631"/>
      <c r="VNE1738" s="631"/>
      <c r="VNF1738" s="631"/>
      <c r="VNG1738" s="631"/>
      <c r="VNH1738" s="631"/>
      <c r="VNI1738" s="666" t="s">
        <v>799</v>
      </c>
      <c r="VNJ1738" s="631">
        <f t="shared" ref="VNJ1738" si="1061">VMZ1738</f>
        <v>8</v>
      </c>
      <c r="VNK1738" s="657" t="s">
        <v>2</v>
      </c>
      <c r="VNL1738" s="736"/>
      <c r="VNM1738" s="737"/>
      <c r="VNN1738" s="665" t="s">
        <v>1413</v>
      </c>
      <c r="VNP1738" s="629">
        <v>8</v>
      </c>
      <c r="VNQ1738" s="662"/>
      <c r="VNR1738" s="631"/>
      <c r="VNS1738" s="631"/>
      <c r="VNT1738" s="631"/>
      <c r="VNU1738" s="631"/>
      <c r="VNV1738" s="631"/>
      <c r="VNW1738" s="631"/>
      <c r="VNX1738" s="631"/>
      <c r="VNY1738" s="666" t="s">
        <v>799</v>
      </c>
      <c r="VNZ1738" s="631">
        <f t="shared" ref="VNZ1738" si="1062">VNP1738</f>
        <v>8</v>
      </c>
      <c r="VOA1738" s="657" t="s">
        <v>2</v>
      </c>
      <c r="VOB1738" s="736"/>
      <c r="VOC1738" s="737"/>
      <c r="VOD1738" s="665" t="s">
        <v>1413</v>
      </c>
      <c r="VOF1738" s="629">
        <v>8</v>
      </c>
      <c r="VOG1738" s="662"/>
      <c r="VOH1738" s="631"/>
      <c r="VOI1738" s="631"/>
      <c r="VOJ1738" s="631"/>
      <c r="VOK1738" s="631"/>
      <c r="VOL1738" s="631"/>
      <c r="VOM1738" s="631"/>
      <c r="VON1738" s="631"/>
      <c r="VOO1738" s="666" t="s">
        <v>799</v>
      </c>
      <c r="VOP1738" s="631">
        <f t="shared" ref="VOP1738" si="1063">VOF1738</f>
        <v>8</v>
      </c>
      <c r="VOQ1738" s="657" t="s">
        <v>2</v>
      </c>
      <c r="VOR1738" s="736"/>
      <c r="VOS1738" s="737"/>
      <c r="VOT1738" s="665" t="s">
        <v>1413</v>
      </c>
      <c r="VOV1738" s="629">
        <v>8</v>
      </c>
      <c r="VOW1738" s="662"/>
      <c r="VOX1738" s="631"/>
      <c r="VOY1738" s="631"/>
      <c r="VOZ1738" s="631"/>
      <c r="VPA1738" s="631"/>
      <c r="VPB1738" s="631"/>
      <c r="VPC1738" s="631"/>
      <c r="VPD1738" s="631"/>
      <c r="VPE1738" s="666" t="s">
        <v>799</v>
      </c>
      <c r="VPF1738" s="631">
        <f t="shared" ref="VPF1738" si="1064">VOV1738</f>
        <v>8</v>
      </c>
      <c r="VPG1738" s="657" t="s">
        <v>2</v>
      </c>
      <c r="VPH1738" s="736"/>
      <c r="VPI1738" s="737"/>
      <c r="VPJ1738" s="665" t="s">
        <v>1413</v>
      </c>
      <c r="VPL1738" s="629">
        <v>8</v>
      </c>
      <c r="VPM1738" s="662"/>
      <c r="VPN1738" s="631"/>
      <c r="VPO1738" s="631"/>
      <c r="VPP1738" s="631"/>
      <c r="VPQ1738" s="631"/>
      <c r="VPR1738" s="631"/>
      <c r="VPS1738" s="631"/>
      <c r="VPT1738" s="631"/>
      <c r="VPU1738" s="666" t="s">
        <v>799</v>
      </c>
      <c r="VPV1738" s="631">
        <f t="shared" ref="VPV1738" si="1065">VPL1738</f>
        <v>8</v>
      </c>
      <c r="VPW1738" s="657" t="s">
        <v>2</v>
      </c>
      <c r="VPX1738" s="736"/>
      <c r="VPY1738" s="737"/>
      <c r="VPZ1738" s="665" t="s">
        <v>1413</v>
      </c>
      <c r="VQB1738" s="629">
        <v>8</v>
      </c>
      <c r="VQC1738" s="662"/>
      <c r="VQD1738" s="631"/>
      <c r="VQE1738" s="631"/>
      <c r="VQF1738" s="631"/>
      <c r="VQG1738" s="631"/>
      <c r="VQH1738" s="631"/>
      <c r="VQI1738" s="631"/>
      <c r="VQJ1738" s="631"/>
      <c r="VQK1738" s="666" t="s">
        <v>799</v>
      </c>
      <c r="VQL1738" s="631">
        <f t="shared" ref="VQL1738" si="1066">VQB1738</f>
        <v>8</v>
      </c>
      <c r="VQM1738" s="657" t="s">
        <v>2</v>
      </c>
      <c r="VQN1738" s="736"/>
      <c r="VQO1738" s="737"/>
      <c r="VQP1738" s="665" t="s">
        <v>1413</v>
      </c>
      <c r="VQR1738" s="629">
        <v>8</v>
      </c>
      <c r="VQS1738" s="662"/>
      <c r="VQT1738" s="631"/>
      <c r="VQU1738" s="631"/>
      <c r="VQV1738" s="631"/>
      <c r="VQW1738" s="631"/>
      <c r="VQX1738" s="631"/>
      <c r="VQY1738" s="631"/>
      <c r="VQZ1738" s="631"/>
      <c r="VRA1738" s="666" t="s">
        <v>799</v>
      </c>
      <c r="VRB1738" s="631">
        <f t="shared" ref="VRB1738" si="1067">VQR1738</f>
        <v>8</v>
      </c>
      <c r="VRC1738" s="657" t="s">
        <v>2</v>
      </c>
      <c r="VRD1738" s="736"/>
      <c r="VRE1738" s="737"/>
      <c r="VRF1738" s="665" t="s">
        <v>1413</v>
      </c>
      <c r="VRH1738" s="629">
        <v>8</v>
      </c>
      <c r="VRI1738" s="662"/>
      <c r="VRJ1738" s="631"/>
      <c r="VRK1738" s="631"/>
      <c r="VRL1738" s="631"/>
      <c r="VRM1738" s="631"/>
      <c r="VRN1738" s="631"/>
      <c r="VRO1738" s="631"/>
      <c r="VRP1738" s="631"/>
      <c r="VRQ1738" s="666" t="s">
        <v>799</v>
      </c>
      <c r="VRR1738" s="631">
        <f t="shared" ref="VRR1738" si="1068">VRH1738</f>
        <v>8</v>
      </c>
      <c r="VRS1738" s="657" t="s">
        <v>2</v>
      </c>
      <c r="VRT1738" s="736"/>
      <c r="VRU1738" s="737"/>
      <c r="VRV1738" s="665" t="s">
        <v>1413</v>
      </c>
      <c r="VRX1738" s="629">
        <v>8</v>
      </c>
      <c r="VRY1738" s="662"/>
      <c r="VRZ1738" s="631"/>
      <c r="VSA1738" s="631"/>
      <c r="VSB1738" s="631"/>
      <c r="VSC1738" s="631"/>
      <c r="VSD1738" s="631"/>
      <c r="VSE1738" s="631"/>
      <c r="VSF1738" s="631"/>
      <c r="VSG1738" s="666" t="s">
        <v>799</v>
      </c>
      <c r="VSH1738" s="631">
        <f t="shared" ref="VSH1738" si="1069">VRX1738</f>
        <v>8</v>
      </c>
      <c r="VSI1738" s="657" t="s">
        <v>2</v>
      </c>
      <c r="VSJ1738" s="736"/>
      <c r="VSK1738" s="737"/>
      <c r="VSL1738" s="665" t="s">
        <v>1413</v>
      </c>
      <c r="VSN1738" s="629">
        <v>8</v>
      </c>
      <c r="VSO1738" s="662"/>
      <c r="VSP1738" s="631"/>
      <c r="VSQ1738" s="631"/>
      <c r="VSR1738" s="631"/>
      <c r="VSS1738" s="631"/>
      <c r="VST1738" s="631"/>
      <c r="VSU1738" s="631"/>
      <c r="VSV1738" s="631"/>
      <c r="VSW1738" s="666" t="s">
        <v>799</v>
      </c>
      <c r="VSX1738" s="631">
        <f t="shared" ref="VSX1738" si="1070">VSN1738</f>
        <v>8</v>
      </c>
      <c r="VSY1738" s="657" t="s">
        <v>2</v>
      </c>
      <c r="VSZ1738" s="736"/>
      <c r="VTA1738" s="737"/>
      <c r="VTB1738" s="665" t="s">
        <v>1413</v>
      </c>
      <c r="VTD1738" s="629">
        <v>8</v>
      </c>
      <c r="VTE1738" s="662"/>
      <c r="VTF1738" s="631"/>
      <c r="VTG1738" s="631"/>
      <c r="VTH1738" s="631"/>
      <c r="VTI1738" s="631"/>
      <c r="VTJ1738" s="631"/>
      <c r="VTK1738" s="631"/>
      <c r="VTL1738" s="631"/>
      <c r="VTM1738" s="666" t="s">
        <v>799</v>
      </c>
      <c r="VTN1738" s="631">
        <f t="shared" ref="VTN1738" si="1071">VTD1738</f>
        <v>8</v>
      </c>
      <c r="VTO1738" s="657" t="s">
        <v>2</v>
      </c>
      <c r="VTP1738" s="736"/>
      <c r="VTQ1738" s="737"/>
      <c r="VTR1738" s="665" t="s">
        <v>1413</v>
      </c>
      <c r="VTT1738" s="629">
        <v>8</v>
      </c>
      <c r="VTU1738" s="662"/>
      <c r="VTV1738" s="631"/>
      <c r="VTW1738" s="631"/>
      <c r="VTX1738" s="631"/>
      <c r="VTY1738" s="631"/>
      <c r="VTZ1738" s="631"/>
      <c r="VUA1738" s="631"/>
      <c r="VUB1738" s="631"/>
      <c r="VUC1738" s="666" t="s">
        <v>799</v>
      </c>
      <c r="VUD1738" s="631">
        <f t="shared" ref="VUD1738" si="1072">VTT1738</f>
        <v>8</v>
      </c>
      <c r="VUE1738" s="657" t="s">
        <v>2</v>
      </c>
      <c r="VUF1738" s="736"/>
      <c r="VUG1738" s="737"/>
      <c r="VUH1738" s="665" t="s">
        <v>1413</v>
      </c>
      <c r="VUJ1738" s="629">
        <v>8</v>
      </c>
      <c r="VUK1738" s="662"/>
      <c r="VUL1738" s="631"/>
      <c r="VUM1738" s="631"/>
      <c r="VUN1738" s="631"/>
      <c r="VUO1738" s="631"/>
      <c r="VUP1738" s="631"/>
      <c r="VUQ1738" s="631"/>
      <c r="VUR1738" s="631"/>
      <c r="VUS1738" s="666" t="s">
        <v>799</v>
      </c>
      <c r="VUT1738" s="631">
        <f t="shared" ref="VUT1738" si="1073">VUJ1738</f>
        <v>8</v>
      </c>
      <c r="VUU1738" s="657" t="s">
        <v>2</v>
      </c>
      <c r="VUV1738" s="736"/>
      <c r="VUW1738" s="737"/>
      <c r="VUX1738" s="665" t="s">
        <v>1413</v>
      </c>
      <c r="VUZ1738" s="629">
        <v>8</v>
      </c>
      <c r="VVA1738" s="662"/>
      <c r="VVB1738" s="631"/>
      <c r="VVC1738" s="631"/>
      <c r="VVD1738" s="631"/>
      <c r="VVE1738" s="631"/>
      <c r="VVF1738" s="631"/>
      <c r="VVG1738" s="631"/>
      <c r="VVH1738" s="631"/>
      <c r="VVI1738" s="666" t="s">
        <v>799</v>
      </c>
      <c r="VVJ1738" s="631">
        <f t="shared" ref="VVJ1738" si="1074">VUZ1738</f>
        <v>8</v>
      </c>
      <c r="VVK1738" s="657" t="s">
        <v>2</v>
      </c>
      <c r="VVL1738" s="736"/>
      <c r="VVM1738" s="737"/>
      <c r="VVN1738" s="665" t="s">
        <v>1413</v>
      </c>
      <c r="VVP1738" s="629">
        <v>8</v>
      </c>
      <c r="VVQ1738" s="662"/>
      <c r="VVR1738" s="631"/>
      <c r="VVS1738" s="631"/>
      <c r="VVT1738" s="631"/>
      <c r="VVU1738" s="631"/>
      <c r="VVV1738" s="631"/>
      <c r="VVW1738" s="631"/>
      <c r="VVX1738" s="631"/>
      <c r="VVY1738" s="666" t="s">
        <v>799</v>
      </c>
      <c r="VVZ1738" s="631">
        <f t="shared" ref="VVZ1738" si="1075">VVP1738</f>
        <v>8</v>
      </c>
      <c r="VWA1738" s="657" t="s">
        <v>2</v>
      </c>
      <c r="VWB1738" s="736"/>
      <c r="VWC1738" s="737"/>
      <c r="VWD1738" s="665" t="s">
        <v>1413</v>
      </c>
      <c r="VWF1738" s="629">
        <v>8</v>
      </c>
      <c r="VWG1738" s="662"/>
      <c r="VWH1738" s="631"/>
      <c r="VWI1738" s="631"/>
      <c r="VWJ1738" s="631"/>
      <c r="VWK1738" s="631"/>
      <c r="VWL1738" s="631"/>
      <c r="VWM1738" s="631"/>
      <c r="VWN1738" s="631"/>
      <c r="VWO1738" s="666" t="s">
        <v>799</v>
      </c>
      <c r="VWP1738" s="631">
        <f t="shared" ref="VWP1738" si="1076">VWF1738</f>
        <v>8</v>
      </c>
      <c r="VWQ1738" s="657" t="s">
        <v>2</v>
      </c>
      <c r="VWR1738" s="736"/>
      <c r="VWS1738" s="737"/>
      <c r="VWT1738" s="665" t="s">
        <v>1413</v>
      </c>
      <c r="VWV1738" s="629">
        <v>8</v>
      </c>
      <c r="VWW1738" s="662"/>
      <c r="VWX1738" s="631"/>
      <c r="VWY1738" s="631"/>
      <c r="VWZ1738" s="631"/>
      <c r="VXA1738" s="631"/>
      <c r="VXB1738" s="631"/>
      <c r="VXC1738" s="631"/>
      <c r="VXD1738" s="631"/>
      <c r="VXE1738" s="666" t="s">
        <v>799</v>
      </c>
      <c r="VXF1738" s="631">
        <f t="shared" ref="VXF1738" si="1077">VWV1738</f>
        <v>8</v>
      </c>
      <c r="VXG1738" s="657" t="s">
        <v>2</v>
      </c>
      <c r="VXH1738" s="736"/>
      <c r="VXI1738" s="737"/>
      <c r="VXJ1738" s="665" t="s">
        <v>1413</v>
      </c>
      <c r="VXL1738" s="629">
        <v>8</v>
      </c>
      <c r="VXM1738" s="662"/>
      <c r="VXN1738" s="631"/>
      <c r="VXO1738" s="631"/>
      <c r="VXP1738" s="631"/>
      <c r="VXQ1738" s="631"/>
      <c r="VXR1738" s="631"/>
      <c r="VXS1738" s="631"/>
      <c r="VXT1738" s="631"/>
      <c r="VXU1738" s="666" t="s">
        <v>799</v>
      </c>
      <c r="VXV1738" s="631">
        <f t="shared" ref="VXV1738" si="1078">VXL1738</f>
        <v>8</v>
      </c>
      <c r="VXW1738" s="657" t="s">
        <v>2</v>
      </c>
      <c r="VXX1738" s="736"/>
      <c r="VXY1738" s="737"/>
      <c r="VXZ1738" s="665" t="s">
        <v>1413</v>
      </c>
      <c r="VYB1738" s="629">
        <v>8</v>
      </c>
      <c r="VYC1738" s="662"/>
      <c r="VYD1738" s="631"/>
      <c r="VYE1738" s="631"/>
      <c r="VYF1738" s="631"/>
      <c r="VYG1738" s="631"/>
      <c r="VYH1738" s="631"/>
      <c r="VYI1738" s="631"/>
      <c r="VYJ1738" s="631"/>
      <c r="VYK1738" s="666" t="s">
        <v>799</v>
      </c>
      <c r="VYL1738" s="631">
        <f t="shared" ref="VYL1738" si="1079">VYB1738</f>
        <v>8</v>
      </c>
      <c r="VYM1738" s="657" t="s">
        <v>2</v>
      </c>
      <c r="VYN1738" s="736"/>
      <c r="VYO1738" s="737"/>
      <c r="VYP1738" s="665" t="s">
        <v>1413</v>
      </c>
      <c r="VYR1738" s="629">
        <v>8</v>
      </c>
      <c r="VYS1738" s="662"/>
      <c r="VYT1738" s="631"/>
      <c r="VYU1738" s="631"/>
      <c r="VYV1738" s="631"/>
      <c r="VYW1738" s="631"/>
      <c r="VYX1738" s="631"/>
      <c r="VYY1738" s="631"/>
      <c r="VYZ1738" s="631"/>
      <c r="VZA1738" s="666" t="s">
        <v>799</v>
      </c>
      <c r="VZB1738" s="631">
        <f t="shared" ref="VZB1738" si="1080">VYR1738</f>
        <v>8</v>
      </c>
      <c r="VZC1738" s="657" t="s">
        <v>2</v>
      </c>
      <c r="VZD1738" s="736"/>
      <c r="VZE1738" s="737"/>
      <c r="VZF1738" s="665" t="s">
        <v>1413</v>
      </c>
      <c r="VZH1738" s="629">
        <v>8</v>
      </c>
      <c r="VZI1738" s="662"/>
      <c r="VZJ1738" s="631"/>
      <c r="VZK1738" s="631"/>
      <c r="VZL1738" s="631"/>
      <c r="VZM1738" s="631"/>
      <c r="VZN1738" s="631"/>
      <c r="VZO1738" s="631"/>
      <c r="VZP1738" s="631"/>
      <c r="VZQ1738" s="666" t="s">
        <v>799</v>
      </c>
      <c r="VZR1738" s="631">
        <f t="shared" ref="VZR1738" si="1081">VZH1738</f>
        <v>8</v>
      </c>
      <c r="VZS1738" s="657" t="s">
        <v>2</v>
      </c>
      <c r="VZT1738" s="736"/>
      <c r="VZU1738" s="737"/>
      <c r="VZV1738" s="665" t="s">
        <v>1413</v>
      </c>
      <c r="VZX1738" s="629">
        <v>8</v>
      </c>
      <c r="VZY1738" s="662"/>
      <c r="VZZ1738" s="631"/>
      <c r="WAA1738" s="631"/>
      <c r="WAB1738" s="631"/>
      <c r="WAC1738" s="631"/>
      <c r="WAD1738" s="631"/>
      <c r="WAE1738" s="631"/>
      <c r="WAF1738" s="631"/>
      <c r="WAG1738" s="666" t="s">
        <v>799</v>
      </c>
      <c r="WAH1738" s="631">
        <f t="shared" ref="WAH1738" si="1082">VZX1738</f>
        <v>8</v>
      </c>
      <c r="WAI1738" s="657" t="s">
        <v>2</v>
      </c>
      <c r="WAJ1738" s="736"/>
      <c r="WAK1738" s="737"/>
      <c r="WAL1738" s="665" t="s">
        <v>1413</v>
      </c>
      <c r="WAN1738" s="629">
        <v>8</v>
      </c>
      <c r="WAO1738" s="662"/>
      <c r="WAP1738" s="631"/>
      <c r="WAQ1738" s="631"/>
      <c r="WAR1738" s="631"/>
      <c r="WAS1738" s="631"/>
      <c r="WAT1738" s="631"/>
      <c r="WAU1738" s="631"/>
      <c r="WAV1738" s="631"/>
      <c r="WAW1738" s="666" t="s">
        <v>799</v>
      </c>
      <c r="WAX1738" s="631">
        <f t="shared" ref="WAX1738" si="1083">WAN1738</f>
        <v>8</v>
      </c>
      <c r="WAY1738" s="657" t="s">
        <v>2</v>
      </c>
      <c r="WAZ1738" s="736"/>
      <c r="WBA1738" s="737"/>
      <c r="WBB1738" s="665" t="s">
        <v>1413</v>
      </c>
      <c r="WBD1738" s="629">
        <v>8</v>
      </c>
      <c r="WBE1738" s="662"/>
      <c r="WBF1738" s="631"/>
      <c r="WBG1738" s="631"/>
      <c r="WBH1738" s="631"/>
      <c r="WBI1738" s="631"/>
      <c r="WBJ1738" s="631"/>
      <c r="WBK1738" s="631"/>
      <c r="WBL1738" s="631"/>
      <c r="WBM1738" s="666" t="s">
        <v>799</v>
      </c>
      <c r="WBN1738" s="631">
        <f t="shared" ref="WBN1738" si="1084">WBD1738</f>
        <v>8</v>
      </c>
      <c r="WBO1738" s="657" t="s">
        <v>2</v>
      </c>
      <c r="WBP1738" s="736"/>
      <c r="WBQ1738" s="737"/>
      <c r="WBR1738" s="665" t="s">
        <v>1413</v>
      </c>
      <c r="WBT1738" s="629">
        <v>8</v>
      </c>
      <c r="WBU1738" s="662"/>
      <c r="WBV1738" s="631"/>
      <c r="WBW1738" s="631"/>
      <c r="WBX1738" s="631"/>
      <c r="WBY1738" s="631"/>
      <c r="WBZ1738" s="631"/>
      <c r="WCA1738" s="631"/>
      <c r="WCB1738" s="631"/>
      <c r="WCC1738" s="666" t="s">
        <v>799</v>
      </c>
      <c r="WCD1738" s="631">
        <f t="shared" ref="WCD1738" si="1085">WBT1738</f>
        <v>8</v>
      </c>
      <c r="WCE1738" s="657" t="s">
        <v>2</v>
      </c>
      <c r="WCF1738" s="736"/>
      <c r="WCG1738" s="737"/>
      <c r="WCH1738" s="665" t="s">
        <v>1413</v>
      </c>
      <c r="WCJ1738" s="629">
        <v>8</v>
      </c>
      <c r="WCK1738" s="662"/>
      <c r="WCL1738" s="631"/>
      <c r="WCM1738" s="631"/>
      <c r="WCN1738" s="631"/>
      <c r="WCO1738" s="631"/>
      <c r="WCP1738" s="631"/>
      <c r="WCQ1738" s="631"/>
      <c r="WCR1738" s="631"/>
      <c r="WCS1738" s="666" t="s">
        <v>799</v>
      </c>
      <c r="WCT1738" s="631">
        <f t="shared" ref="WCT1738" si="1086">WCJ1738</f>
        <v>8</v>
      </c>
      <c r="WCU1738" s="657" t="s">
        <v>2</v>
      </c>
      <c r="WCV1738" s="736"/>
      <c r="WCW1738" s="737"/>
      <c r="WCX1738" s="665" t="s">
        <v>1413</v>
      </c>
      <c r="WCZ1738" s="629">
        <v>8</v>
      </c>
      <c r="WDA1738" s="662"/>
      <c r="WDB1738" s="631"/>
      <c r="WDC1738" s="631"/>
      <c r="WDD1738" s="631"/>
      <c r="WDE1738" s="631"/>
      <c r="WDF1738" s="631"/>
      <c r="WDG1738" s="631"/>
      <c r="WDH1738" s="631"/>
      <c r="WDI1738" s="666" t="s">
        <v>799</v>
      </c>
      <c r="WDJ1738" s="631">
        <f t="shared" ref="WDJ1738" si="1087">WCZ1738</f>
        <v>8</v>
      </c>
      <c r="WDK1738" s="657" t="s">
        <v>2</v>
      </c>
      <c r="WDL1738" s="736"/>
      <c r="WDM1738" s="737"/>
      <c r="WDN1738" s="665" t="s">
        <v>1413</v>
      </c>
      <c r="WDP1738" s="629">
        <v>8</v>
      </c>
      <c r="WDQ1738" s="662"/>
      <c r="WDR1738" s="631"/>
      <c r="WDS1738" s="631"/>
      <c r="WDT1738" s="631"/>
      <c r="WDU1738" s="631"/>
      <c r="WDV1738" s="631"/>
      <c r="WDW1738" s="631"/>
      <c r="WDX1738" s="631"/>
      <c r="WDY1738" s="666" t="s">
        <v>799</v>
      </c>
      <c r="WDZ1738" s="631">
        <f t="shared" ref="WDZ1738" si="1088">WDP1738</f>
        <v>8</v>
      </c>
      <c r="WEA1738" s="657" t="s">
        <v>2</v>
      </c>
      <c r="WEB1738" s="736"/>
      <c r="WEC1738" s="737"/>
      <c r="WED1738" s="665" t="s">
        <v>1413</v>
      </c>
      <c r="WEF1738" s="629">
        <v>8</v>
      </c>
      <c r="WEG1738" s="662"/>
      <c r="WEH1738" s="631"/>
      <c r="WEI1738" s="631"/>
      <c r="WEJ1738" s="631"/>
      <c r="WEK1738" s="631"/>
      <c r="WEL1738" s="631"/>
      <c r="WEM1738" s="631"/>
      <c r="WEN1738" s="631"/>
      <c r="WEO1738" s="666" t="s">
        <v>799</v>
      </c>
      <c r="WEP1738" s="631">
        <f t="shared" ref="WEP1738" si="1089">WEF1738</f>
        <v>8</v>
      </c>
      <c r="WEQ1738" s="657" t="s">
        <v>2</v>
      </c>
      <c r="WER1738" s="736"/>
      <c r="WES1738" s="737"/>
      <c r="WET1738" s="665" t="s">
        <v>1413</v>
      </c>
      <c r="WEV1738" s="629">
        <v>8</v>
      </c>
      <c r="WEW1738" s="662"/>
      <c r="WEX1738" s="631"/>
      <c r="WEY1738" s="631"/>
      <c r="WEZ1738" s="631"/>
      <c r="WFA1738" s="631"/>
      <c r="WFB1738" s="631"/>
      <c r="WFC1738" s="631"/>
      <c r="WFD1738" s="631"/>
      <c r="WFE1738" s="666" t="s">
        <v>799</v>
      </c>
      <c r="WFF1738" s="631">
        <f t="shared" ref="WFF1738" si="1090">WEV1738</f>
        <v>8</v>
      </c>
      <c r="WFG1738" s="657" t="s">
        <v>2</v>
      </c>
      <c r="WFH1738" s="736"/>
      <c r="WFI1738" s="737"/>
      <c r="WFJ1738" s="665" t="s">
        <v>1413</v>
      </c>
      <c r="WFL1738" s="629">
        <v>8</v>
      </c>
      <c r="WFM1738" s="662"/>
      <c r="WFN1738" s="631"/>
      <c r="WFO1738" s="631"/>
      <c r="WFP1738" s="631"/>
      <c r="WFQ1738" s="631"/>
      <c r="WFR1738" s="631"/>
      <c r="WFS1738" s="631"/>
      <c r="WFT1738" s="631"/>
      <c r="WFU1738" s="666" t="s">
        <v>799</v>
      </c>
      <c r="WFV1738" s="631">
        <f t="shared" ref="WFV1738" si="1091">WFL1738</f>
        <v>8</v>
      </c>
      <c r="WFW1738" s="657" t="s">
        <v>2</v>
      </c>
      <c r="WFX1738" s="736"/>
      <c r="WFY1738" s="737"/>
      <c r="WFZ1738" s="665" t="s">
        <v>1413</v>
      </c>
      <c r="WGB1738" s="629">
        <v>8</v>
      </c>
      <c r="WGC1738" s="662"/>
      <c r="WGD1738" s="631"/>
      <c r="WGE1738" s="631"/>
      <c r="WGF1738" s="631"/>
      <c r="WGG1738" s="631"/>
      <c r="WGH1738" s="631"/>
      <c r="WGI1738" s="631"/>
      <c r="WGJ1738" s="631"/>
      <c r="WGK1738" s="666" t="s">
        <v>799</v>
      </c>
      <c r="WGL1738" s="631">
        <f t="shared" ref="WGL1738" si="1092">WGB1738</f>
        <v>8</v>
      </c>
      <c r="WGM1738" s="657" t="s">
        <v>2</v>
      </c>
      <c r="WGN1738" s="736"/>
      <c r="WGO1738" s="737"/>
      <c r="WGP1738" s="665" t="s">
        <v>1413</v>
      </c>
      <c r="WGR1738" s="629">
        <v>8</v>
      </c>
      <c r="WGS1738" s="662"/>
      <c r="WGT1738" s="631"/>
      <c r="WGU1738" s="631"/>
      <c r="WGV1738" s="631"/>
      <c r="WGW1738" s="631"/>
      <c r="WGX1738" s="631"/>
      <c r="WGY1738" s="631"/>
      <c r="WGZ1738" s="631"/>
      <c r="WHA1738" s="666" t="s">
        <v>799</v>
      </c>
      <c r="WHB1738" s="631">
        <f t="shared" ref="WHB1738" si="1093">WGR1738</f>
        <v>8</v>
      </c>
      <c r="WHC1738" s="657" t="s">
        <v>2</v>
      </c>
      <c r="WHD1738" s="736"/>
      <c r="WHE1738" s="737"/>
      <c r="WHF1738" s="665" t="s">
        <v>1413</v>
      </c>
      <c r="WHH1738" s="629">
        <v>8</v>
      </c>
      <c r="WHI1738" s="662"/>
      <c r="WHJ1738" s="631"/>
      <c r="WHK1738" s="631"/>
      <c r="WHL1738" s="631"/>
      <c r="WHM1738" s="631"/>
      <c r="WHN1738" s="631"/>
      <c r="WHO1738" s="631"/>
      <c r="WHP1738" s="631"/>
      <c r="WHQ1738" s="666" t="s">
        <v>799</v>
      </c>
      <c r="WHR1738" s="631">
        <f t="shared" ref="WHR1738" si="1094">WHH1738</f>
        <v>8</v>
      </c>
      <c r="WHS1738" s="657" t="s">
        <v>2</v>
      </c>
      <c r="WHT1738" s="736"/>
      <c r="WHU1738" s="737"/>
      <c r="WHV1738" s="665" t="s">
        <v>1413</v>
      </c>
      <c r="WHX1738" s="629">
        <v>8</v>
      </c>
      <c r="WHY1738" s="662"/>
      <c r="WHZ1738" s="631"/>
      <c r="WIA1738" s="631"/>
      <c r="WIB1738" s="631"/>
      <c r="WIC1738" s="631"/>
      <c r="WID1738" s="631"/>
      <c r="WIE1738" s="631"/>
      <c r="WIF1738" s="631"/>
      <c r="WIG1738" s="666" t="s">
        <v>799</v>
      </c>
      <c r="WIH1738" s="631">
        <f t="shared" ref="WIH1738" si="1095">WHX1738</f>
        <v>8</v>
      </c>
      <c r="WII1738" s="657" t="s">
        <v>2</v>
      </c>
      <c r="WIJ1738" s="736"/>
      <c r="WIK1738" s="737"/>
      <c r="WIL1738" s="665" t="s">
        <v>1413</v>
      </c>
      <c r="WIN1738" s="629">
        <v>8</v>
      </c>
      <c r="WIO1738" s="662"/>
      <c r="WIP1738" s="631"/>
      <c r="WIQ1738" s="631"/>
      <c r="WIR1738" s="631"/>
      <c r="WIS1738" s="631"/>
      <c r="WIT1738" s="631"/>
      <c r="WIU1738" s="631"/>
      <c r="WIV1738" s="631"/>
      <c r="WIW1738" s="666" t="s">
        <v>799</v>
      </c>
      <c r="WIX1738" s="631">
        <f t="shared" ref="WIX1738" si="1096">WIN1738</f>
        <v>8</v>
      </c>
      <c r="WIY1738" s="657" t="s">
        <v>2</v>
      </c>
      <c r="WIZ1738" s="736"/>
      <c r="WJA1738" s="737"/>
      <c r="WJB1738" s="665" t="s">
        <v>1413</v>
      </c>
      <c r="WJD1738" s="629">
        <v>8</v>
      </c>
      <c r="WJE1738" s="662"/>
      <c r="WJF1738" s="631"/>
      <c r="WJG1738" s="631"/>
      <c r="WJH1738" s="631"/>
      <c r="WJI1738" s="631"/>
      <c r="WJJ1738" s="631"/>
      <c r="WJK1738" s="631"/>
      <c r="WJL1738" s="631"/>
      <c r="WJM1738" s="666" t="s">
        <v>799</v>
      </c>
      <c r="WJN1738" s="631">
        <f t="shared" ref="WJN1738" si="1097">WJD1738</f>
        <v>8</v>
      </c>
      <c r="WJO1738" s="657" t="s">
        <v>2</v>
      </c>
      <c r="WJP1738" s="736"/>
      <c r="WJQ1738" s="737"/>
      <c r="WJR1738" s="665" t="s">
        <v>1413</v>
      </c>
      <c r="WJT1738" s="629">
        <v>8</v>
      </c>
      <c r="WJU1738" s="662"/>
      <c r="WJV1738" s="631"/>
      <c r="WJW1738" s="631"/>
      <c r="WJX1738" s="631"/>
      <c r="WJY1738" s="631"/>
      <c r="WJZ1738" s="631"/>
      <c r="WKA1738" s="631"/>
      <c r="WKB1738" s="631"/>
      <c r="WKC1738" s="666" t="s">
        <v>799</v>
      </c>
      <c r="WKD1738" s="631">
        <f t="shared" ref="WKD1738" si="1098">WJT1738</f>
        <v>8</v>
      </c>
      <c r="WKE1738" s="657" t="s">
        <v>2</v>
      </c>
      <c r="WKF1738" s="736"/>
      <c r="WKG1738" s="737"/>
      <c r="WKH1738" s="665" t="s">
        <v>1413</v>
      </c>
      <c r="WKJ1738" s="629">
        <v>8</v>
      </c>
      <c r="WKK1738" s="662"/>
      <c r="WKL1738" s="631"/>
      <c r="WKM1738" s="631"/>
      <c r="WKN1738" s="631"/>
      <c r="WKO1738" s="631"/>
      <c r="WKP1738" s="631"/>
      <c r="WKQ1738" s="631"/>
      <c r="WKR1738" s="631"/>
      <c r="WKS1738" s="666" t="s">
        <v>799</v>
      </c>
      <c r="WKT1738" s="631">
        <f t="shared" ref="WKT1738" si="1099">WKJ1738</f>
        <v>8</v>
      </c>
      <c r="WKU1738" s="657" t="s">
        <v>2</v>
      </c>
      <c r="WKV1738" s="736"/>
      <c r="WKW1738" s="737"/>
      <c r="WKX1738" s="665" t="s">
        <v>1413</v>
      </c>
      <c r="WKZ1738" s="629">
        <v>8</v>
      </c>
      <c r="WLA1738" s="662"/>
      <c r="WLB1738" s="631"/>
      <c r="WLC1738" s="631"/>
      <c r="WLD1738" s="631"/>
      <c r="WLE1738" s="631"/>
      <c r="WLF1738" s="631"/>
      <c r="WLG1738" s="631"/>
      <c r="WLH1738" s="631"/>
      <c r="WLI1738" s="666" t="s">
        <v>799</v>
      </c>
      <c r="WLJ1738" s="631">
        <f t="shared" ref="WLJ1738" si="1100">WKZ1738</f>
        <v>8</v>
      </c>
      <c r="WLK1738" s="657" t="s">
        <v>2</v>
      </c>
      <c r="WLL1738" s="736"/>
      <c r="WLM1738" s="737"/>
      <c r="WLN1738" s="665" t="s">
        <v>1413</v>
      </c>
      <c r="WLP1738" s="629">
        <v>8</v>
      </c>
      <c r="WLQ1738" s="662"/>
      <c r="WLR1738" s="631"/>
      <c r="WLS1738" s="631"/>
      <c r="WLT1738" s="631"/>
      <c r="WLU1738" s="631"/>
      <c r="WLV1738" s="631"/>
      <c r="WLW1738" s="631"/>
      <c r="WLX1738" s="631"/>
      <c r="WLY1738" s="666" t="s">
        <v>799</v>
      </c>
      <c r="WLZ1738" s="631">
        <f t="shared" ref="WLZ1738" si="1101">WLP1738</f>
        <v>8</v>
      </c>
      <c r="WMA1738" s="657" t="s">
        <v>2</v>
      </c>
      <c r="WMB1738" s="736"/>
      <c r="WMC1738" s="737"/>
      <c r="WMD1738" s="665" t="s">
        <v>1413</v>
      </c>
      <c r="WMF1738" s="629">
        <v>8</v>
      </c>
      <c r="WMG1738" s="662"/>
      <c r="WMH1738" s="631"/>
      <c r="WMI1738" s="631"/>
      <c r="WMJ1738" s="631"/>
      <c r="WMK1738" s="631"/>
      <c r="WML1738" s="631"/>
      <c r="WMM1738" s="631"/>
      <c r="WMN1738" s="631"/>
      <c r="WMO1738" s="666" t="s">
        <v>799</v>
      </c>
      <c r="WMP1738" s="631">
        <f t="shared" ref="WMP1738" si="1102">WMF1738</f>
        <v>8</v>
      </c>
      <c r="WMQ1738" s="657" t="s">
        <v>2</v>
      </c>
      <c r="WMR1738" s="736"/>
      <c r="WMS1738" s="737"/>
      <c r="WMT1738" s="665" t="s">
        <v>1413</v>
      </c>
      <c r="WMV1738" s="629">
        <v>8</v>
      </c>
      <c r="WMW1738" s="662"/>
      <c r="WMX1738" s="631"/>
      <c r="WMY1738" s="631"/>
      <c r="WMZ1738" s="631"/>
      <c r="WNA1738" s="631"/>
      <c r="WNB1738" s="631"/>
      <c r="WNC1738" s="631"/>
      <c r="WND1738" s="631"/>
      <c r="WNE1738" s="666" t="s">
        <v>799</v>
      </c>
      <c r="WNF1738" s="631">
        <f t="shared" ref="WNF1738" si="1103">WMV1738</f>
        <v>8</v>
      </c>
      <c r="WNG1738" s="657" t="s">
        <v>2</v>
      </c>
      <c r="WNH1738" s="736"/>
      <c r="WNI1738" s="737"/>
      <c r="WNJ1738" s="665" t="s">
        <v>1413</v>
      </c>
      <c r="WNL1738" s="629">
        <v>8</v>
      </c>
      <c r="WNM1738" s="662"/>
      <c r="WNN1738" s="631"/>
      <c r="WNO1738" s="631"/>
      <c r="WNP1738" s="631"/>
      <c r="WNQ1738" s="631"/>
      <c r="WNR1738" s="631"/>
      <c r="WNS1738" s="631"/>
      <c r="WNT1738" s="631"/>
      <c r="WNU1738" s="666" t="s">
        <v>799</v>
      </c>
      <c r="WNV1738" s="631">
        <f t="shared" ref="WNV1738" si="1104">WNL1738</f>
        <v>8</v>
      </c>
      <c r="WNW1738" s="657" t="s">
        <v>2</v>
      </c>
      <c r="WNX1738" s="736"/>
      <c r="WNY1738" s="737"/>
      <c r="WNZ1738" s="665" t="s">
        <v>1413</v>
      </c>
      <c r="WOB1738" s="629">
        <v>8</v>
      </c>
      <c r="WOC1738" s="662"/>
      <c r="WOD1738" s="631"/>
      <c r="WOE1738" s="631"/>
      <c r="WOF1738" s="631"/>
      <c r="WOG1738" s="631"/>
      <c r="WOH1738" s="631"/>
      <c r="WOI1738" s="631"/>
      <c r="WOJ1738" s="631"/>
      <c r="WOK1738" s="666" t="s">
        <v>799</v>
      </c>
      <c r="WOL1738" s="631">
        <f t="shared" ref="WOL1738" si="1105">WOB1738</f>
        <v>8</v>
      </c>
      <c r="WOM1738" s="657" t="s">
        <v>2</v>
      </c>
      <c r="WON1738" s="736"/>
      <c r="WOO1738" s="737"/>
      <c r="WOP1738" s="665" t="s">
        <v>1413</v>
      </c>
      <c r="WOR1738" s="629">
        <v>8</v>
      </c>
      <c r="WOS1738" s="662"/>
      <c r="WOT1738" s="631"/>
      <c r="WOU1738" s="631"/>
      <c r="WOV1738" s="631"/>
      <c r="WOW1738" s="631"/>
      <c r="WOX1738" s="631"/>
      <c r="WOY1738" s="631"/>
      <c r="WOZ1738" s="631"/>
      <c r="WPA1738" s="666" t="s">
        <v>799</v>
      </c>
      <c r="WPB1738" s="631">
        <f t="shared" ref="WPB1738" si="1106">WOR1738</f>
        <v>8</v>
      </c>
      <c r="WPC1738" s="657" t="s">
        <v>2</v>
      </c>
      <c r="WPD1738" s="736"/>
      <c r="WPE1738" s="737"/>
      <c r="WPF1738" s="665" t="s">
        <v>1413</v>
      </c>
      <c r="WPH1738" s="629">
        <v>8</v>
      </c>
      <c r="WPI1738" s="662"/>
      <c r="WPJ1738" s="631"/>
      <c r="WPK1738" s="631"/>
      <c r="WPL1738" s="631"/>
      <c r="WPM1738" s="631"/>
      <c r="WPN1738" s="631"/>
      <c r="WPO1738" s="631"/>
      <c r="WPP1738" s="631"/>
      <c r="WPQ1738" s="666" t="s">
        <v>799</v>
      </c>
      <c r="WPR1738" s="631">
        <f t="shared" ref="WPR1738" si="1107">WPH1738</f>
        <v>8</v>
      </c>
      <c r="WPS1738" s="657" t="s">
        <v>2</v>
      </c>
      <c r="WPT1738" s="736"/>
      <c r="WPU1738" s="737"/>
      <c r="WPV1738" s="665" t="s">
        <v>1413</v>
      </c>
      <c r="WPX1738" s="629">
        <v>8</v>
      </c>
      <c r="WPY1738" s="662"/>
      <c r="WPZ1738" s="631"/>
      <c r="WQA1738" s="631"/>
      <c r="WQB1738" s="631"/>
      <c r="WQC1738" s="631"/>
      <c r="WQD1738" s="631"/>
      <c r="WQE1738" s="631"/>
      <c r="WQF1738" s="631"/>
      <c r="WQG1738" s="666" t="s">
        <v>799</v>
      </c>
      <c r="WQH1738" s="631">
        <f t="shared" ref="WQH1738" si="1108">WPX1738</f>
        <v>8</v>
      </c>
      <c r="WQI1738" s="657" t="s">
        <v>2</v>
      </c>
      <c r="WQJ1738" s="736"/>
      <c r="WQK1738" s="737"/>
      <c r="WQL1738" s="665" t="s">
        <v>1413</v>
      </c>
      <c r="WQN1738" s="629">
        <v>8</v>
      </c>
      <c r="WQO1738" s="662"/>
      <c r="WQP1738" s="631"/>
      <c r="WQQ1738" s="631"/>
      <c r="WQR1738" s="631"/>
      <c r="WQS1738" s="631"/>
      <c r="WQT1738" s="631"/>
      <c r="WQU1738" s="631"/>
      <c r="WQV1738" s="631"/>
      <c r="WQW1738" s="666" t="s">
        <v>799</v>
      </c>
      <c r="WQX1738" s="631">
        <f t="shared" ref="WQX1738" si="1109">WQN1738</f>
        <v>8</v>
      </c>
      <c r="WQY1738" s="657" t="s">
        <v>2</v>
      </c>
    </row>
    <row r="1739" spans="1:16015" ht="13.5" thickBot="1" x14ac:dyDescent="0.25">
      <c r="B1739" s="660"/>
      <c r="C1739" s="660"/>
      <c r="E1739" s="629"/>
      <c r="G1739" s="631"/>
      <c r="H1739" s="631"/>
      <c r="I1739" s="631"/>
      <c r="J1739" s="631"/>
      <c r="K1739" s="631"/>
      <c r="L1739" s="631"/>
      <c r="M1739" s="631"/>
      <c r="O1739" s="668">
        <f t="shared" ref="O1739" si="1110">ROUND((SUM(O1738:O1738)),2)</f>
        <v>1</v>
      </c>
      <c r="P1739" s="669" t="s">
        <v>2</v>
      </c>
      <c r="Q1739" s="631"/>
      <c r="R1739" s="631"/>
      <c r="S1739" s="631"/>
      <c r="T1739" s="631"/>
      <c r="U1739" s="631"/>
      <c r="V1739" s="631"/>
      <c r="W1739" s="631"/>
      <c r="X1739" s="631"/>
      <c r="Y1739" s="631"/>
      <c r="Z1739" s="631"/>
      <c r="AA1739" s="631"/>
      <c r="AB1739" s="670"/>
      <c r="AC1739" s="630"/>
      <c r="AD1739" s="632"/>
      <c r="AE1739" s="633"/>
      <c r="AG1739" s="660"/>
      <c r="AH1739" s="660"/>
      <c r="AJ1739" s="629"/>
      <c r="AK1739" s="630"/>
      <c r="AL1739" s="670"/>
      <c r="AM1739" s="670"/>
      <c r="AN1739" s="670"/>
      <c r="AO1739" s="670"/>
      <c r="AP1739" s="670"/>
      <c r="AQ1739" s="670"/>
      <c r="AR1739" s="670"/>
      <c r="AS1739" s="630"/>
      <c r="AT1739" s="632"/>
      <c r="AU1739" s="633"/>
      <c r="AW1739" s="660"/>
      <c r="AX1739" s="660"/>
      <c r="AZ1739" s="629"/>
      <c r="BA1739" s="630"/>
      <c r="BB1739" s="670"/>
      <c r="BC1739" s="670"/>
      <c r="BD1739" s="670"/>
      <c r="BE1739" s="670"/>
      <c r="BF1739" s="670"/>
      <c r="BG1739" s="670"/>
      <c r="BH1739" s="670"/>
      <c r="BI1739" s="630"/>
      <c r="BJ1739" s="632"/>
      <c r="BK1739" s="633"/>
      <c r="BM1739" s="660"/>
      <c r="BN1739" s="660"/>
      <c r="BP1739" s="629"/>
      <c r="BQ1739" s="630"/>
      <c r="BR1739" s="670"/>
      <c r="BS1739" s="670"/>
      <c r="BT1739" s="670"/>
      <c r="BU1739" s="670"/>
      <c r="BV1739" s="670"/>
      <c r="BW1739" s="670"/>
      <c r="BX1739" s="670"/>
      <c r="BY1739" s="630"/>
      <c r="BZ1739" s="632"/>
      <c r="CA1739" s="633"/>
      <c r="CC1739" s="660"/>
      <c r="CD1739" s="660"/>
      <c r="CF1739" s="629"/>
      <c r="CG1739" s="630"/>
      <c r="CH1739" s="670"/>
      <c r="CI1739" s="670"/>
      <c r="CJ1739" s="670"/>
      <c r="CK1739" s="670"/>
      <c r="CL1739" s="670"/>
      <c r="CM1739" s="670"/>
      <c r="CN1739" s="670"/>
      <c r="CO1739" s="630"/>
      <c r="CP1739" s="632"/>
      <c r="CQ1739" s="633"/>
      <c r="CS1739" s="660"/>
      <c r="CT1739" s="660"/>
      <c r="CV1739" s="629"/>
      <c r="CW1739" s="630"/>
      <c r="CX1739" s="631"/>
      <c r="CY1739" s="631"/>
      <c r="CZ1739" s="631"/>
      <c r="DA1739" s="631"/>
      <c r="DB1739" s="631"/>
      <c r="DC1739" s="631"/>
      <c r="DD1739" s="631"/>
      <c r="DE1739" s="630"/>
      <c r="DF1739" s="668">
        <f t="shared" ref="DF1739" si="1111">ROUND((SUM(DF1738:DF1738)),2)</f>
        <v>8</v>
      </c>
      <c r="DG1739" s="669" t="s">
        <v>2</v>
      </c>
      <c r="DI1739" s="660"/>
      <c r="DJ1739" s="660"/>
      <c r="DL1739" s="629"/>
      <c r="DM1739" s="630"/>
      <c r="DN1739" s="631"/>
      <c r="DO1739" s="631"/>
      <c r="DP1739" s="631"/>
      <c r="DQ1739" s="631"/>
      <c r="DR1739" s="631"/>
      <c r="DS1739" s="631"/>
      <c r="DT1739" s="631"/>
      <c r="DU1739" s="630"/>
      <c r="DV1739" s="668">
        <f t="shared" ref="DV1739" si="1112">ROUND((SUM(DV1738:DV1738)),2)</f>
        <v>8</v>
      </c>
      <c r="DW1739" s="669" t="s">
        <v>2</v>
      </c>
      <c r="DY1739" s="660"/>
      <c r="DZ1739" s="660"/>
      <c r="EB1739" s="629"/>
      <c r="EC1739" s="630"/>
      <c r="ED1739" s="631"/>
      <c r="EE1739" s="631"/>
      <c r="EF1739" s="631"/>
      <c r="EG1739" s="631"/>
      <c r="EH1739" s="631"/>
      <c r="EI1739" s="631"/>
      <c r="EJ1739" s="631"/>
      <c r="EK1739" s="630"/>
      <c r="EL1739" s="668">
        <f t="shared" ref="EL1739" si="1113">ROUND((SUM(EL1738:EL1738)),2)</f>
        <v>8</v>
      </c>
      <c r="EM1739" s="669" t="s">
        <v>2</v>
      </c>
      <c r="EO1739" s="660"/>
      <c r="EP1739" s="660"/>
      <c r="ER1739" s="629"/>
      <c r="ES1739" s="630"/>
      <c r="ET1739" s="631"/>
      <c r="EU1739" s="631"/>
      <c r="EV1739" s="631"/>
      <c r="EW1739" s="631"/>
      <c r="EX1739" s="631"/>
      <c r="EY1739" s="631"/>
      <c r="EZ1739" s="631"/>
      <c r="FA1739" s="630"/>
      <c r="FB1739" s="668">
        <f t="shared" ref="FB1739" si="1114">ROUND((SUM(FB1738:FB1738)),2)</f>
        <v>8</v>
      </c>
      <c r="FC1739" s="669" t="s">
        <v>2</v>
      </c>
      <c r="FE1739" s="660"/>
      <c r="FF1739" s="660"/>
      <c r="FH1739" s="629"/>
      <c r="FI1739" s="630"/>
      <c r="FJ1739" s="631"/>
      <c r="FK1739" s="631"/>
      <c r="FL1739" s="631"/>
      <c r="FM1739" s="631"/>
      <c r="FN1739" s="631"/>
      <c r="FO1739" s="631"/>
      <c r="FP1739" s="631"/>
      <c r="FQ1739" s="630"/>
      <c r="FR1739" s="668">
        <f t="shared" ref="FR1739" si="1115">ROUND((SUM(FR1738:FR1738)),2)</f>
        <v>8</v>
      </c>
      <c r="FS1739" s="669" t="s">
        <v>2</v>
      </c>
      <c r="FU1739" s="660"/>
      <c r="FV1739" s="660"/>
      <c r="FX1739" s="629"/>
      <c r="FY1739" s="630"/>
      <c r="FZ1739" s="631"/>
      <c r="GA1739" s="631"/>
      <c r="GB1739" s="631"/>
      <c r="GC1739" s="631"/>
      <c r="GD1739" s="631"/>
      <c r="GE1739" s="631"/>
      <c r="GF1739" s="631"/>
      <c r="GG1739" s="630"/>
      <c r="GH1739" s="668">
        <f t="shared" ref="GH1739" si="1116">ROUND((SUM(GH1738:GH1738)),2)</f>
        <v>8</v>
      </c>
      <c r="GI1739" s="669" t="s">
        <v>2</v>
      </c>
      <c r="GK1739" s="660"/>
      <c r="GL1739" s="660"/>
      <c r="GN1739" s="629"/>
      <c r="GO1739" s="630"/>
      <c r="GP1739" s="631"/>
      <c r="GQ1739" s="631"/>
      <c r="GR1739" s="631"/>
      <c r="GS1739" s="631"/>
      <c r="GT1739" s="631"/>
      <c r="GU1739" s="631"/>
      <c r="GV1739" s="631"/>
      <c r="GW1739" s="630"/>
      <c r="GX1739" s="668">
        <f t="shared" ref="GX1739" si="1117">ROUND((SUM(GX1738:GX1738)),2)</f>
        <v>8</v>
      </c>
      <c r="GY1739" s="669" t="s">
        <v>2</v>
      </c>
      <c r="HA1739" s="660"/>
      <c r="HB1739" s="660"/>
      <c r="HD1739" s="629"/>
      <c r="HE1739" s="630"/>
      <c r="HF1739" s="631"/>
      <c r="HG1739" s="631"/>
      <c r="HH1739" s="631"/>
      <c r="HI1739" s="631"/>
      <c r="HJ1739" s="631"/>
      <c r="HK1739" s="631"/>
      <c r="HL1739" s="631"/>
      <c r="HM1739" s="630"/>
      <c r="HN1739" s="668">
        <f t="shared" ref="HN1739" si="1118">ROUND((SUM(HN1738:HN1738)),2)</f>
        <v>8</v>
      </c>
      <c r="HO1739" s="669" t="s">
        <v>2</v>
      </c>
      <c r="HQ1739" s="660"/>
      <c r="HR1739" s="660"/>
      <c r="HT1739" s="629"/>
      <c r="HU1739" s="630"/>
      <c r="HV1739" s="631"/>
      <c r="HW1739" s="631"/>
      <c r="HX1739" s="631"/>
      <c r="HY1739" s="631"/>
      <c r="HZ1739" s="631"/>
      <c r="IA1739" s="631"/>
      <c r="IB1739" s="631"/>
      <c r="IC1739" s="630"/>
      <c r="ID1739" s="668">
        <f t="shared" ref="ID1739" si="1119">ROUND((SUM(ID1738:ID1738)),2)</f>
        <v>8</v>
      </c>
      <c r="IE1739" s="669" t="s">
        <v>2</v>
      </c>
      <c r="IG1739" s="660"/>
      <c r="IH1739" s="660"/>
      <c r="IJ1739" s="629"/>
      <c r="IK1739" s="630"/>
      <c r="IL1739" s="631"/>
      <c r="IM1739" s="631"/>
      <c r="IN1739" s="631"/>
      <c r="IO1739" s="631"/>
      <c r="IP1739" s="631"/>
      <c r="IQ1739" s="631"/>
      <c r="IR1739" s="631"/>
      <c r="IS1739" s="630"/>
      <c r="IT1739" s="668">
        <f t="shared" ref="IT1739" si="1120">ROUND((SUM(IT1738:IT1738)),2)</f>
        <v>8</v>
      </c>
      <c r="IU1739" s="669" t="s">
        <v>2</v>
      </c>
      <c r="IW1739" s="660"/>
      <c r="IX1739" s="660"/>
      <c r="IZ1739" s="629"/>
      <c r="JA1739" s="630"/>
      <c r="JB1739" s="631"/>
      <c r="JC1739" s="631"/>
      <c r="JD1739" s="631"/>
      <c r="JE1739" s="631"/>
      <c r="JF1739" s="631"/>
      <c r="JG1739" s="631"/>
      <c r="JH1739" s="631"/>
      <c r="JI1739" s="630"/>
      <c r="JJ1739" s="668">
        <f t="shared" ref="JJ1739" si="1121">ROUND((SUM(JJ1738:JJ1738)),2)</f>
        <v>8</v>
      </c>
      <c r="JK1739" s="669" t="s">
        <v>2</v>
      </c>
      <c r="JM1739" s="660"/>
      <c r="JN1739" s="660"/>
      <c r="JP1739" s="629"/>
      <c r="JQ1739" s="630"/>
      <c r="JR1739" s="631"/>
      <c r="JS1739" s="631"/>
      <c r="JT1739" s="631"/>
      <c r="JU1739" s="631"/>
      <c r="JV1739" s="631"/>
      <c r="JW1739" s="631"/>
      <c r="JX1739" s="631"/>
      <c r="JY1739" s="630"/>
      <c r="JZ1739" s="668">
        <f t="shared" ref="JZ1739" si="1122">ROUND((SUM(JZ1738:JZ1738)),2)</f>
        <v>8</v>
      </c>
      <c r="KA1739" s="669" t="s">
        <v>2</v>
      </c>
      <c r="KC1739" s="660"/>
      <c r="KD1739" s="660"/>
      <c r="KF1739" s="629"/>
      <c r="KG1739" s="630"/>
      <c r="KH1739" s="631"/>
      <c r="KI1739" s="631"/>
      <c r="KJ1739" s="631"/>
      <c r="KK1739" s="631"/>
      <c r="KL1739" s="631"/>
      <c r="KM1739" s="631"/>
      <c r="KN1739" s="631"/>
      <c r="KO1739" s="630"/>
      <c r="KP1739" s="668">
        <f t="shared" ref="KP1739" si="1123">ROUND((SUM(KP1738:KP1738)),2)</f>
        <v>8</v>
      </c>
      <c r="KQ1739" s="669" t="s">
        <v>2</v>
      </c>
      <c r="KS1739" s="660"/>
      <c r="KT1739" s="660"/>
      <c r="KV1739" s="629"/>
      <c r="KW1739" s="630"/>
      <c r="KX1739" s="631"/>
      <c r="KY1739" s="631"/>
      <c r="KZ1739" s="631"/>
      <c r="LA1739" s="631"/>
      <c r="LB1739" s="631"/>
      <c r="LC1739" s="631"/>
      <c r="LD1739" s="631"/>
      <c r="LE1739" s="630"/>
      <c r="LF1739" s="668">
        <f t="shared" ref="LF1739" si="1124">ROUND((SUM(LF1738:LF1738)),2)</f>
        <v>8</v>
      </c>
      <c r="LG1739" s="669" t="s">
        <v>2</v>
      </c>
      <c r="LI1739" s="660"/>
      <c r="LJ1739" s="660"/>
      <c r="LL1739" s="629"/>
      <c r="LM1739" s="630"/>
      <c r="LN1739" s="631"/>
      <c r="LO1739" s="631"/>
      <c r="LP1739" s="631"/>
      <c r="LQ1739" s="631"/>
      <c r="LR1739" s="631"/>
      <c r="LS1739" s="631"/>
      <c r="LT1739" s="631"/>
      <c r="LU1739" s="630"/>
      <c r="LV1739" s="668">
        <f t="shared" ref="LV1739" si="1125">ROUND((SUM(LV1738:LV1738)),2)</f>
        <v>8</v>
      </c>
      <c r="LW1739" s="669" t="s">
        <v>2</v>
      </c>
      <c r="LY1739" s="660"/>
      <c r="LZ1739" s="660"/>
      <c r="MB1739" s="629"/>
      <c r="MC1739" s="630"/>
      <c r="MD1739" s="631"/>
      <c r="ME1739" s="631"/>
      <c r="MF1739" s="631"/>
      <c r="MG1739" s="631"/>
      <c r="MH1739" s="631"/>
      <c r="MI1739" s="631"/>
      <c r="MJ1739" s="631"/>
      <c r="MK1739" s="630"/>
      <c r="ML1739" s="668">
        <f t="shared" ref="ML1739" si="1126">ROUND((SUM(ML1738:ML1738)),2)</f>
        <v>8</v>
      </c>
      <c r="MM1739" s="669" t="s">
        <v>2</v>
      </c>
      <c r="MO1739" s="660"/>
      <c r="MP1739" s="660"/>
      <c r="MR1739" s="629"/>
      <c r="MS1739" s="630"/>
      <c r="MT1739" s="631"/>
      <c r="MU1739" s="631"/>
      <c r="MV1739" s="631"/>
      <c r="MW1739" s="631"/>
      <c r="MX1739" s="631"/>
      <c r="MY1739" s="631"/>
      <c r="MZ1739" s="631"/>
      <c r="NA1739" s="630"/>
      <c r="NB1739" s="668">
        <f t="shared" ref="NB1739" si="1127">ROUND((SUM(NB1738:NB1738)),2)</f>
        <v>8</v>
      </c>
      <c r="NC1739" s="669" t="s">
        <v>2</v>
      </c>
      <c r="NE1739" s="660"/>
      <c r="NF1739" s="660"/>
      <c r="NH1739" s="629"/>
      <c r="NI1739" s="630"/>
      <c r="NJ1739" s="631"/>
      <c r="NK1739" s="631"/>
      <c r="NL1739" s="631"/>
      <c r="NM1739" s="631"/>
      <c r="NN1739" s="631"/>
      <c r="NO1739" s="631"/>
      <c r="NP1739" s="631"/>
      <c r="NQ1739" s="630"/>
      <c r="NR1739" s="668">
        <f t="shared" ref="NR1739" si="1128">ROUND((SUM(NR1738:NR1738)),2)</f>
        <v>8</v>
      </c>
      <c r="NS1739" s="669" t="s">
        <v>2</v>
      </c>
      <c r="NU1739" s="660"/>
      <c r="NV1739" s="660"/>
      <c r="NX1739" s="629"/>
      <c r="NY1739" s="630"/>
      <c r="NZ1739" s="631"/>
      <c r="OA1739" s="631"/>
      <c r="OB1739" s="631"/>
      <c r="OC1739" s="631"/>
      <c r="OD1739" s="631"/>
      <c r="OE1739" s="631"/>
      <c r="OF1739" s="631"/>
      <c r="OG1739" s="630"/>
      <c r="OH1739" s="668">
        <f t="shared" ref="OH1739" si="1129">ROUND((SUM(OH1738:OH1738)),2)</f>
        <v>8</v>
      </c>
      <c r="OI1739" s="669" t="s">
        <v>2</v>
      </c>
      <c r="OK1739" s="660"/>
      <c r="OL1739" s="660"/>
      <c r="ON1739" s="629"/>
      <c r="OO1739" s="630"/>
      <c r="OP1739" s="631"/>
      <c r="OQ1739" s="631"/>
      <c r="OR1739" s="631"/>
      <c r="OS1739" s="631"/>
      <c r="OT1739" s="631"/>
      <c r="OU1739" s="631"/>
      <c r="OV1739" s="631"/>
      <c r="OW1739" s="630"/>
      <c r="OX1739" s="668">
        <f t="shared" ref="OX1739" si="1130">ROUND((SUM(OX1738:OX1738)),2)</f>
        <v>8</v>
      </c>
      <c r="OY1739" s="669" t="s">
        <v>2</v>
      </c>
      <c r="PA1739" s="660"/>
      <c r="PB1739" s="660"/>
      <c r="PD1739" s="629"/>
      <c r="PE1739" s="630"/>
      <c r="PF1739" s="631"/>
      <c r="PG1739" s="631"/>
      <c r="PH1739" s="631"/>
      <c r="PI1739" s="631"/>
      <c r="PJ1739" s="631"/>
      <c r="PK1739" s="631"/>
      <c r="PL1739" s="631"/>
      <c r="PM1739" s="630"/>
      <c r="PN1739" s="668">
        <f t="shared" ref="PN1739" si="1131">ROUND((SUM(PN1738:PN1738)),2)</f>
        <v>8</v>
      </c>
      <c r="PO1739" s="669" t="s">
        <v>2</v>
      </c>
      <c r="PQ1739" s="660"/>
      <c r="PR1739" s="660"/>
      <c r="PT1739" s="629"/>
      <c r="PU1739" s="630"/>
      <c r="PV1739" s="631"/>
      <c r="PW1739" s="631"/>
      <c r="PX1739" s="631"/>
      <c r="PY1739" s="631"/>
      <c r="PZ1739" s="631"/>
      <c r="QA1739" s="631"/>
      <c r="QB1739" s="631"/>
      <c r="QC1739" s="630"/>
      <c r="QD1739" s="668">
        <f t="shared" ref="QD1739" si="1132">ROUND((SUM(QD1738:QD1738)),2)</f>
        <v>8</v>
      </c>
      <c r="QE1739" s="669" t="s">
        <v>2</v>
      </c>
      <c r="QG1739" s="660"/>
      <c r="QH1739" s="660"/>
      <c r="QJ1739" s="629"/>
      <c r="QK1739" s="630"/>
      <c r="QL1739" s="631"/>
      <c r="QM1739" s="631"/>
      <c r="QN1739" s="631"/>
      <c r="QO1739" s="631"/>
      <c r="QP1739" s="631"/>
      <c r="QQ1739" s="631"/>
      <c r="QR1739" s="631"/>
      <c r="QS1739" s="630"/>
      <c r="QT1739" s="668">
        <f t="shared" ref="QT1739" si="1133">ROUND((SUM(QT1738:QT1738)),2)</f>
        <v>8</v>
      </c>
      <c r="QU1739" s="669" t="s">
        <v>2</v>
      </c>
      <c r="QW1739" s="660"/>
      <c r="QX1739" s="660"/>
      <c r="QZ1739" s="629"/>
      <c r="RA1739" s="630"/>
      <c r="RB1739" s="631"/>
      <c r="RC1739" s="631"/>
      <c r="RD1739" s="631"/>
      <c r="RE1739" s="631"/>
      <c r="RF1739" s="631"/>
      <c r="RG1739" s="631"/>
      <c r="RH1739" s="631"/>
      <c r="RI1739" s="630"/>
      <c r="RJ1739" s="668">
        <f t="shared" ref="RJ1739" si="1134">ROUND((SUM(RJ1738:RJ1738)),2)</f>
        <v>8</v>
      </c>
      <c r="RK1739" s="669" t="s">
        <v>2</v>
      </c>
      <c r="RM1739" s="660"/>
      <c r="RN1739" s="660"/>
      <c r="RP1739" s="629"/>
      <c r="RQ1739" s="630"/>
      <c r="RR1739" s="631"/>
      <c r="RS1739" s="631"/>
      <c r="RT1739" s="631"/>
      <c r="RU1739" s="631"/>
      <c r="RV1739" s="631"/>
      <c r="RW1739" s="631"/>
      <c r="RX1739" s="631"/>
      <c r="RY1739" s="630"/>
      <c r="RZ1739" s="668">
        <f t="shared" ref="RZ1739" si="1135">ROUND((SUM(RZ1738:RZ1738)),2)</f>
        <v>8</v>
      </c>
      <c r="SA1739" s="669" t="s">
        <v>2</v>
      </c>
      <c r="SC1739" s="660"/>
      <c r="SD1739" s="660"/>
      <c r="SF1739" s="629"/>
      <c r="SG1739" s="630"/>
      <c r="SH1739" s="631"/>
      <c r="SI1739" s="631"/>
      <c r="SJ1739" s="631"/>
      <c r="SK1739" s="631"/>
      <c r="SL1739" s="631"/>
      <c r="SM1739" s="631"/>
      <c r="SN1739" s="631"/>
      <c r="SO1739" s="630"/>
      <c r="SP1739" s="668">
        <f t="shared" ref="SP1739" si="1136">ROUND((SUM(SP1738:SP1738)),2)</f>
        <v>8</v>
      </c>
      <c r="SQ1739" s="669" t="s">
        <v>2</v>
      </c>
      <c r="SS1739" s="660"/>
      <c r="ST1739" s="660"/>
      <c r="SV1739" s="629"/>
      <c r="SW1739" s="630"/>
      <c r="SX1739" s="631"/>
      <c r="SY1739" s="631"/>
      <c r="SZ1739" s="631"/>
      <c r="TA1739" s="631"/>
      <c r="TB1739" s="631"/>
      <c r="TC1739" s="631"/>
      <c r="TD1739" s="631"/>
      <c r="TE1739" s="630"/>
      <c r="TF1739" s="668">
        <f t="shared" ref="TF1739" si="1137">ROUND((SUM(TF1738:TF1738)),2)</f>
        <v>8</v>
      </c>
      <c r="TG1739" s="669" t="s">
        <v>2</v>
      </c>
      <c r="TI1739" s="660"/>
      <c r="TJ1739" s="660"/>
      <c r="TL1739" s="629"/>
      <c r="TM1739" s="630"/>
      <c r="TN1739" s="631"/>
      <c r="TO1739" s="631"/>
      <c r="TP1739" s="631"/>
      <c r="TQ1739" s="631"/>
      <c r="TR1739" s="631"/>
      <c r="TS1739" s="631"/>
      <c r="TT1739" s="631"/>
      <c r="TU1739" s="630"/>
      <c r="TV1739" s="668">
        <f t="shared" ref="TV1739" si="1138">ROUND((SUM(TV1738:TV1738)),2)</f>
        <v>8</v>
      </c>
      <c r="TW1739" s="669" t="s">
        <v>2</v>
      </c>
      <c r="TY1739" s="660"/>
      <c r="TZ1739" s="660"/>
      <c r="UB1739" s="629"/>
      <c r="UC1739" s="630"/>
      <c r="UD1739" s="631"/>
      <c r="UE1739" s="631"/>
      <c r="UF1739" s="631"/>
      <c r="UG1739" s="631"/>
      <c r="UH1739" s="631"/>
      <c r="UI1739" s="631"/>
      <c r="UJ1739" s="631"/>
      <c r="UK1739" s="630"/>
      <c r="UL1739" s="668">
        <f t="shared" ref="UL1739" si="1139">ROUND((SUM(UL1738:UL1738)),2)</f>
        <v>8</v>
      </c>
      <c r="UM1739" s="669" t="s">
        <v>2</v>
      </c>
      <c r="UO1739" s="660"/>
      <c r="UP1739" s="660"/>
      <c r="UR1739" s="629"/>
      <c r="US1739" s="630"/>
      <c r="UT1739" s="631"/>
      <c r="UU1739" s="631"/>
      <c r="UV1739" s="631"/>
      <c r="UW1739" s="631"/>
      <c r="UX1739" s="631"/>
      <c r="UY1739" s="631"/>
      <c r="UZ1739" s="631"/>
      <c r="VA1739" s="630"/>
      <c r="VB1739" s="668">
        <f t="shared" ref="VB1739" si="1140">ROUND((SUM(VB1738:VB1738)),2)</f>
        <v>8</v>
      </c>
      <c r="VC1739" s="669" t="s">
        <v>2</v>
      </c>
      <c r="VE1739" s="660"/>
      <c r="VF1739" s="660"/>
      <c r="VH1739" s="629"/>
      <c r="VI1739" s="630"/>
      <c r="VJ1739" s="631"/>
      <c r="VK1739" s="631"/>
      <c r="VL1739" s="631"/>
      <c r="VM1739" s="631"/>
      <c r="VN1739" s="631"/>
      <c r="VO1739" s="631"/>
      <c r="VP1739" s="631"/>
      <c r="VQ1739" s="630"/>
      <c r="VR1739" s="668">
        <f t="shared" ref="VR1739" si="1141">ROUND((SUM(VR1738:VR1738)),2)</f>
        <v>8</v>
      </c>
      <c r="VS1739" s="669" t="s">
        <v>2</v>
      </c>
      <c r="VU1739" s="660"/>
      <c r="VV1739" s="660"/>
      <c r="VX1739" s="629"/>
      <c r="VY1739" s="630"/>
      <c r="VZ1739" s="631"/>
      <c r="WA1739" s="631"/>
      <c r="WB1739" s="631"/>
      <c r="WC1739" s="631"/>
      <c r="WD1739" s="631"/>
      <c r="WE1739" s="631"/>
      <c r="WF1739" s="631"/>
      <c r="WG1739" s="630"/>
      <c r="WH1739" s="668">
        <f t="shared" ref="WH1739" si="1142">ROUND((SUM(WH1738:WH1738)),2)</f>
        <v>8</v>
      </c>
      <c r="WI1739" s="669" t="s">
        <v>2</v>
      </c>
      <c r="WK1739" s="660"/>
      <c r="WL1739" s="660"/>
      <c r="WN1739" s="629"/>
      <c r="WO1739" s="630"/>
      <c r="WP1739" s="631"/>
      <c r="WQ1739" s="631"/>
      <c r="WR1739" s="631"/>
      <c r="WS1739" s="631"/>
      <c r="WT1739" s="631"/>
      <c r="WU1739" s="631"/>
      <c r="WV1739" s="631"/>
      <c r="WW1739" s="630"/>
      <c r="WX1739" s="668">
        <f t="shared" ref="WX1739" si="1143">ROUND((SUM(WX1738:WX1738)),2)</f>
        <v>8</v>
      </c>
      <c r="WY1739" s="669" t="s">
        <v>2</v>
      </c>
      <c r="XA1739" s="660"/>
      <c r="XB1739" s="660"/>
      <c r="XD1739" s="629"/>
      <c r="XE1739" s="630"/>
      <c r="XF1739" s="631"/>
      <c r="XG1739" s="631"/>
      <c r="XH1739" s="631"/>
      <c r="XI1739" s="631"/>
      <c r="XJ1739" s="631"/>
      <c r="XK1739" s="631"/>
      <c r="XL1739" s="631"/>
      <c r="XM1739" s="630"/>
      <c r="XN1739" s="668">
        <f t="shared" ref="XN1739" si="1144">ROUND((SUM(XN1738:XN1738)),2)</f>
        <v>8</v>
      </c>
      <c r="XO1739" s="669" t="s">
        <v>2</v>
      </c>
      <c r="XQ1739" s="660"/>
      <c r="XR1739" s="660"/>
      <c r="XT1739" s="629"/>
      <c r="XU1739" s="630"/>
      <c r="XV1739" s="631"/>
      <c r="XW1739" s="631"/>
      <c r="XX1739" s="631"/>
      <c r="XY1739" s="631"/>
      <c r="XZ1739" s="631"/>
      <c r="YA1739" s="631"/>
      <c r="YB1739" s="631"/>
      <c r="YC1739" s="630"/>
      <c r="YD1739" s="668">
        <f t="shared" ref="YD1739" si="1145">ROUND((SUM(YD1738:YD1738)),2)</f>
        <v>8</v>
      </c>
      <c r="YE1739" s="669" t="s">
        <v>2</v>
      </c>
      <c r="YG1739" s="660"/>
      <c r="YH1739" s="660"/>
      <c r="YJ1739" s="629"/>
      <c r="YK1739" s="630"/>
      <c r="YL1739" s="631"/>
      <c r="YM1739" s="631"/>
      <c r="YN1739" s="631"/>
      <c r="YO1739" s="631"/>
      <c r="YP1739" s="631"/>
      <c r="YQ1739" s="631"/>
      <c r="YR1739" s="631"/>
      <c r="YS1739" s="630"/>
      <c r="YT1739" s="668">
        <f t="shared" ref="YT1739" si="1146">ROUND((SUM(YT1738:YT1738)),2)</f>
        <v>8</v>
      </c>
      <c r="YU1739" s="669" t="s">
        <v>2</v>
      </c>
      <c r="YW1739" s="660"/>
      <c r="YX1739" s="660"/>
      <c r="YZ1739" s="629"/>
      <c r="ZA1739" s="630"/>
      <c r="ZB1739" s="631"/>
      <c r="ZC1739" s="631"/>
      <c r="ZD1739" s="631"/>
      <c r="ZE1739" s="631"/>
      <c r="ZF1739" s="631"/>
      <c r="ZG1739" s="631"/>
      <c r="ZH1739" s="631"/>
      <c r="ZI1739" s="630"/>
      <c r="ZJ1739" s="668">
        <f t="shared" ref="ZJ1739" si="1147">ROUND((SUM(ZJ1738:ZJ1738)),2)</f>
        <v>8</v>
      </c>
      <c r="ZK1739" s="669" t="s">
        <v>2</v>
      </c>
      <c r="ZM1739" s="660"/>
      <c r="ZN1739" s="660"/>
      <c r="ZP1739" s="629"/>
      <c r="ZQ1739" s="630"/>
      <c r="ZR1739" s="631"/>
      <c r="ZS1739" s="631"/>
      <c r="ZT1739" s="631"/>
      <c r="ZU1739" s="631"/>
      <c r="ZV1739" s="631"/>
      <c r="ZW1739" s="631"/>
      <c r="ZX1739" s="631"/>
      <c r="ZY1739" s="630"/>
      <c r="ZZ1739" s="668">
        <f t="shared" ref="ZZ1739" si="1148">ROUND((SUM(ZZ1738:ZZ1738)),2)</f>
        <v>8</v>
      </c>
      <c r="AAA1739" s="669" t="s">
        <v>2</v>
      </c>
      <c r="AAC1739" s="660"/>
      <c r="AAD1739" s="660"/>
      <c r="AAF1739" s="629"/>
      <c r="AAG1739" s="630"/>
      <c r="AAH1739" s="631"/>
      <c r="AAI1739" s="631"/>
      <c r="AAJ1739" s="631"/>
      <c r="AAK1739" s="631"/>
      <c r="AAL1739" s="631"/>
      <c r="AAM1739" s="631"/>
      <c r="AAN1739" s="631"/>
      <c r="AAO1739" s="630"/>
      <c r="AAP1739" s="668">
        <f t="shared" ref="AAP1739" si="1149">ROUND((SUM(AAP1738:AAP1738)),2)</f>
        <v>8</v>
      </c>
      <c r="AAQ1739" s="669" t="s">
        <v>2</v>
      </c>
      <c r="AAS1739" s="660"/>
      <c r="AAT1739" s="660"/>
      <c r="AAV1739" s="629"/>
      <c r="AAW1739" s="630"/>
      <c r="AAX1739" s="631"/>
      <c r="AAY1739" s="631"/>
      <c r="AAZ1739" s="631"/>
      <c r="ABA1739" s="631"/>
      <c r="ABB1739" s="631"/>
      <c r="ABC1739" s="631"/>
      <c r="ABD1739" s="631"/>
      <c r="ABE1739" s="630"/>
      <c r="ABF1739" s="668">
        <f t="shared" ref="ABF1739" si="1150">ROUND((SUM(ABF1738:ABF1738)),2)</f>
        <v>8</v>
      </c>
      <c r="ABG1739" s="669" t="s">
        <v>2</v>
      </c>
      <c r="ABI1739" s="660"/>
      <c r="ABJ1739" s="660"/>
      <c r="ABL1739" s="629"/>
      <c r="ABM1739" s="630"/>
      <c r="ABN1739" s="631"/>
      <c r="ABO1739" s="631"/>
      <c r="ABP1739" s="631"/>
      <c r="ABQ1739" s="631"/>
      <c r="ABR1739" s="631"/>
      <c r="ABS1739" s="631"/>
      <c r="ABT1739" s="631"/>
      <c r="ABU1739" s="630"/>
      <c r="ABV1739" s="668">
        <f t="shared" ref="ABV1739" si="1151">ROUND((SUM(ABV1738:ABV1738)),2)</f>
        <v>8</v>
      </c>
      <c r="ABW1739" s="669" t="s">
        <v>2</v>
      </c>
      <c r="ABY1739" s="660"/>
      <c r="ABZ1739" s="660"/>
      <c r="ACB1739" s="629"/>
      <c r="ACC1739" s="630"/>
      <c r="ACD1739" s="631"/>
      <c r="ACE1739" s="631"/>
      <c r="ACF1739" s="631"/>
      <c r="ACG1739" s="631"/>
      <c r="ACH1739" s="631"/>
      <c r="ACI1739" s="631"/>
      <c r="ACJ1739" s="631"/>
      <c r="ACK1739" s="630"/>
      <c r="ACL1739" s="668">
        <f t="shared" ref="ACL1739" si="1152">ROUND((SUM(ACL1738:ACL1738)),2)</f>
        <v>8</v>
      </c>
      <c r="ACM1739" s="669" t="s">
        <v>2</v>
      </c>
      <c r="ACO1739" s="660"/>
      <c r="ACP1739" s="660"/>
      <c r="ACR1739" s="629"/>
      <c r="ACS1739" s="630"/>
      <c r="ACT1739" s="631"/>
      <c r="ACU1739" s="631"/>
      <c r="ACV1739" s="631"/>
      <c r="ACW1739" s="631"/>
      <c r="ACX1739" s="631"/>
      <c r="ACY1739" s="631"/>
      <c r="ACZ1739" s="631"/>
      <c r="ADA1739" s="630"/>
      <c r="ADB1739" s="668">
        <f t="shared" ref="ADB1739" si="1153">ROUND((SUM(ADB1738:ADB1738)),2)</f>
        <v>8</v>
      </c>
      <c r="ADC1739" s="669" t="s">
        <v>2</v>
      </c>
      <c r="ADE1739" s="660"/>
      <c r="ADF1739" s="660"/>
      <c r="ADH1739" s="629"/>
      <c r="ADI1739" s="630"/>
      <c r="ADJ1739" s="631"/>
      <c r="ADK1739" s="631"/>
      <c r="ADL1739" s="631"/>
      <c r="ADM1739" s="631"/>
      <c r="ADN1739" s="631"/>
      <c r="ADO1739" s="631"/>
      <c r="ADP1739" s="631"/>
      <c r="ADQ1739" s="630"/>
      <c r="ADR1739" s="668">
        <f t="shared" ref="ADR1739" si="1154">ROUND((SUM(ADR1738:ADR1738)),2)</f>
        <v>8</v>
      </c>
      <c r="ADS1739" s="669" t="s">
        <v>2</v>
      </c>
      <c r="ADU1739" s="660"/>
      <c r="ADV1739" s="660"/>
      <c r="ADX1739" s="629"/>
      <c r="ADY1739" s="630"/>
      <c r="ADZ1739" s="631"/>
      <c r="AEA1739" s="631"/>
      <c r="AEB1739" s="631"/>
      <c r="AEC1739" s="631"/>
      <c r="AED1739" s="631"/>
      <c r="AEE1739" s="631"/>
      <c r="AEF1739" s="631"/>
      <c r="AEG1739" s="630"/>
      <c r="AEH1739" s="668">
        <f t="shared" ref="AEH1739" si="1155">ROUND((SUM(AEH1738:AEH1738)),2)</f>
        <v>8</v>
      </c>
      <c r="AEI1739" s="669" t="s">
        <v>2</v>
      </c>
      <c r="AEK1739" s="660"/>
      <c r="AEL1739" s="660"/>
      <c r="AEN1739" s="629"/>
      <c r="AEO1739" s="630"/>
      <c r="AEP1739" s="631"/>
      <c r="AEQ1739" s="631"/>
      <c r="AER1739" s="631"/>
      <c r="AES1739" s="631"/>
      <c r="AET1739" s="631"/>
      <c r="AEU1739" s="631"/>
      <c r="AEV1739" s="631"/>
      <c r="AEW1739" s="630"/>
      <c r="AEX1739" s="668">
        <f t="shared" ref="AEX1739" si="1156">ROUND((SUM(AEX1738:AEX1738)),2)</f>
        <v>8</v>
      </c>
      <c r="AEY1739" s="669" t="s">
        <v>2</v>
      </c>
      <c r="AFA1739" s="660"/>
      <c r="AFB1739" s="660"/>
      <c r="AFD1739" s="629"/>
      <c r="AFE1739" s="630"/>
      <c r="AFF1739" s="631"/>
      <c r="AFG1739" s="631"/>
      <c r="AFH1739" s="631"/>
      <c r="AFI1739" s="631"/>
      <c r="AFJ1739" s="631"/>
      <c r="AFK1739" s="631"/>
      <c r="AFL1739" s="631"/>
      <c r="AFM1739" s="630"/>
      <c r="AFN1739" s="668">
        <f t="shared" ref="AFN1739" si="1157">ROUND((SUM(AFN1738:AFN1738)),2)</f>
        <v>8</v>
      </c>
      <c r="AFO1739" s="669" t="s">
        <v>2</v>
      </c>
      <c r="AFQ1739" s="660"/>
      <c r="AFR1739" s="660"/>
      <c r="AFT1739" s="629"/>
      <c r="AFU1739" s="630"/>
      <c r="AFV1739" s="631"/>
      <c r="AFW1739" s="631"/>
      <c r="AFX1739" s="631"/>
      <c r="AFY1739" s="631"/>
      <c r="AFZ1739" s="631"/>
      <c r="AGA1739" s="631"/>
      <c r="AGB1739" s="631"/>
      <c r="AGC1739" s="630"/>
      <c r="AGD1739" s="668">
        <f t="shared" ref="AGD1739" si="1158">ROUND((SUM(AGD1738:AGD1738)),2)</f>
        <v>8</v>
      </c>
      <c r="AGE1739" s="669" t="s">
        <v>2</v>
      </c>
      <c r="AGG1739" s="660"/>
      <c r="AGH1739" s="660"/>
      <c r="AGJ1739" s="629"/>
      <c r="AGK1739" s="630"/>
      <c r="AGL1739" s="631"/>
      <c r="AGM1739" s="631"/>
      <c r="AGN1739" s="631"/>
      <c r="AGO1739" s="631"/>
      <c r="AGP1739" s="631"/>
      <c r="AGQ1739" s="631"/>
      <c r="AGR1739" s="631"/>
      <c r="AGS1739" s="630"/>
      <c r="AGT1739" s="668">
        <f t="shared" ref="AGT1739" si="1159">ROUND((SUM(AGT1738:AGT1738)),2)</f>
        <v>8</v>
      </c>
      <c r="AGU1739" s="669" t="s">
        <v>2</v>
      </c>
      <c r="AGW1739" s="660"/>
      <c r="AGX1739" s="660"/>
      <c r="AGZ1739" s="629"/>
      <c r="AHA1739" s="630"/>
      <c r="AHB1739" s="631"/>
      <c r="AHC1739" s="631"/>
      <c r="AHD1739" s="631"/>
      <c r="AHE1739" s="631"/>
      <c r="AHF1739" s="631"/>
      <c r="AHG1739" s="631"/>
      <c r="AHH1739" s="631"/>
      <c r="AHI1739" s="630"/>
      <c r="AHJ1739" s="668">
        <f t="shared" ref="AHJ1739" si="1160">ROUND((SUM(AHJ1738:AHJ1738)),2)</f>
        <v>8</v>
      </c>
      <c r="AHK1739" s="669" t="s">
        <v>2</v>
      </c>
      <c r="AHM1739" s="660"/>
      <c r="AHN1739" s="660"/>
      <c r="AHP1739" s="629"/>
      <c r="AHQ1739" s="630"/>
      <c r="AHR1739" s="631"/>
      <c r="AHS1739" s="631"/>
      <c r="AHT1739" s="631"/>
      <c r="AHU1739" s="631"/>
      <c r="AHV1739" s="631"/>
      <c r="AHW1739" s="631"/>
      <c r="AHX1739" s="631"/>
      <c r="AHY1739" s="630"/>
      <c r="AHZ1739" s="668">
        <f t="shared" ref="AHZ1739" si="1161">ROUND((SUM(AHZ1738:AHZ1738)),2)</f>
        <v>8</v>
      </c>
      <c r="AIA1739" s="669" t="s">
        <v>2</v>
      </c>
      <c r="AIC1739" s="660"/>
      <c r="AID1739" s="660"/>
      <c r="AIF1739" s="629"/>
      <c r="AIG1739" s="630"/>
      <c r="AIH1739" s="631"/>
      <c r="AII1739" s="631"/>
      <c r="AIJ1739" s="631"/>
      <c r="AIK1739" s="631"/>
      <c r="AIL1739" s="631"/>
      <c r="AIM1739" s="631"/>
      <c r="AIN1739" s="631"/>
      <c r="AIO1739" s="630"/>
      <c r="AIP1739" s="668">
        <f t="shared" ref="AIP1739" si="1162">ROUND((SUM(AIP1738:AIP1738)),2)</f>
        <v>8</v>
      </c>
      <c r="AIQ1739" s="669" t="s">
        <v>2</v>
      </c>
      <c r="AIS1739" s="660"/>
      <c r="AIT1739" s="660"/>
      <c r="AIV1739" s="629"/>
      <c r="AIW1739" s="630"/>
      <c r="AIX1739" s="631"/>
      <c r="AIY1739" s="631"/>
      <c r="AIZ1739" s="631"/>
      <c r="AJA1739" s="631"/>
      <c r="AJB1739" s="631"/>
      <c r="AJC1739" s="631"/>
      <c r="AJD1739" s="631"/>
      <c r="AJE1739" s="630"/>
      <c r="AJF1739" s="668">
        <f t="shared" ref="AJF1739" si="1163">ROUND((SUM(AJF1738:AJF1738)),2)</f>
        <v>8</v>
      </c>
      <c r="AJG1739" s="669" t="s">
        <v>2</v>
      </c>
      <c r="AJI1739" s="660"/>
      <c r="AJJ1739" s="660"/>
      <c r="AJL1739" s="629"/>
      <c r="AJM1739" s="630"/>
      <c r="AJN1739" s="631"/>
      <c r="AJO1739" s="631"/>
      <c r="AJP1739" s="631"/>
      <c r="AJQ1739" s="631"/>
      <c r="AJR1739" s="631"/>
      <c r="AJS1739" s="631"/>
      <c r="AJT1739" s="631"/>
      <c r="AJU1739" s="630"/>
      <c r="AJV1739" s="668">
        <f t="shared" ref="AJV1739" si="1164">ROUND((SUM(AJV1738:AJV1738)),2)</f>
        <v>8</v>
      </c>
      <c r="AJW1739" s="669" t="s">
        <v>2</v>
      </c>
      <c r="AJY1739" s="660"/>
      <c r="AJZ1739" s="660"/>
      <c r="AKB1739" s="629"/>
      <c r="AKC1739" s="630"/>
      <c r="AKD1739" s="631"/>
      <c r="AKE1739" s="631"/>
      <c r="AKF1739" s="631"/>
      <c r="AKG1739" s="631"/>
      <c r="AKH1739" s="631"/>
      <c r="AKI1739" s="631"/>
      <c r="AKJ1739" s="631"/>
      <c r="AKK1739" s="630"/>
      <c r="AKL1739" s="668">
        <f t="shared" ref="AKL1739" si="1165">ROUND((SUM(AKL1738:AKL1738)),2)</f>
        <v>8</v>
      </c>
      <c r="AKM1739" s="669" t="s">
        <v>2</v>
      </c>
      <c r="AKO1739" s="660"/>
      <c r="AKP1739" s="660"/>
      <c r="AKR1739" s="629"/>
      <c r="AKS1739" s="630"/>
      <c r="AKT1739" s="631"/>
      <c r="AKU1739" s="631"/>
      <c r="AKV1739" s="631"/>
      <c r="AKW1739" s="631"/>
      <c r="AKX1739" s="631"/>
      <c r="AKY1739" s="631"/>
      <c r="AKZ1739" s="631"/>
      <c r="ALA1739" s="630"/>
      <c r="ALB1739" s="668">
        <f t="shared" ref="ALB1739" si="1166">ROUND((SUM(ALB1738:ALB1738)),2)</f>
        <v>8</v>
      </c>
      <c r="ALC1739" s="669" t="s">
        <v>2</v>
      </c>
      <c r="ALE1739" s="660"/>
      <c r="ALF1739" s="660"/>
      <c r="ALH1739" s="629"/>
      <c r="ALI1739" s="630"/>
      <c r="ALJ1739" s="631"/>
      <c r="ALK1739" s="631"/>
      <c r="ALL1739" s="631"/>
      <c r="ALM1739" s="631"/>
      <c r="ALN1739" s="631"/>
      <c r="ALO1739" s="631"/>
      <c r="ALP1739" s="631"/>
      <c r="ALQ1739" s="630"/>
      <c r="ALR1739" s="668">
        <f t="shared" ref="ALR1739" si="1167">ROUND((SUM(ALR1738:ALR1738)),2)</f>
        <v>8</v>
      </c>
      <c r="ALS1739" s="669" t="s">
        <v>2</v>
      </c>
      <c r="ALU1739" s="660"/>
      <c r="ALV1739" s="660"/>
      <c r="ALX1739" s="629"/>
      <c r="ALY1739" s="630"/>
      <c r="ALZ1739" s="631"/>
      <c r="AMA1739" s="631"/>
      <c r="AMB1739" s="631"/>
      <c r="AMC1739" s="631"/>
      <c r="AMD1739" s="631"/>
      <c r="AME1739" s="631"/>
      <c r="AMF1739" s="631"/>
      <c r="AMG1739" s="630"/>
      <c r="AMH1739" s="668">
        <f t="shared" ref="AMH1739" si="1168">ROUND((SUM(AMH1738:AMH1738)),2)</f>
        <v>8</v>
      </c>
      <c r="AMI1739" s="669" t="s">
        <v>2</v>
      </c>
      <c r="AMK1739" s="660"/>
      <c r="AML1739" s="660"/>
      <c r="AMN1739" s="629"/>
      <c r="AMO1739" s="630"/>
      <c r="AMP1739" s="631"/>
      <c r="AMQ1739" s="631"/>
      <c r="AMR1739" s="631"/>
      <c r="AMS1739" s="631"/>
      <c r="AMT1739" s="631"/>
      <c r="AMU1739" s="631"/>
      <c r="AMV1739" s="631"/>
      <c r="AMW1739" s="630"/>
      <c r="AMX1739" s="668">
        <f t="shared" ref="AMX1739" si="1169">ROUND((SUM(AMX1738:AMX1738)),2)</f>
        <v>8</v>
      </c>
      <c r="AMY1739" s="669" t="s">
        <v>2</v>
      </c>
      <c r="ANA1739" s="660"/>
      <c r="ANB1739" s="660"/>
      <c r="AND1739" s="629"/>
      <c r="ANE1739" s="630"/>
      <c r="ANF1739" s="631"/>
      <c r="ANG1739" s="631"/>
      <c r="ANH1739" s="631"/>
      <c r="ANI1739" s="631"/>
      <c r="ANJ1739" s="631"/>
      <c r="ANK1739" s="631"/>
      <c r="ANL1739" s="631"/>
      <c r="ANM1739" s="630"/>
      <c r="ANN1739" s="668">
        <f t="shared" ref="ANN1739" si="1170">ROUND((SUM(ANN1738:ANN1738)),2)</f>
        <v>8</v>
      </c>
      <c r="ANO1739" s="669" t="s">
        <v>2</v>
      </c>
      <c r="ANQ1739" s="660"/>
      <c r="ANR1739" s="660"/>
      <c r="ANT1739" s="629"/>
      <c r="ANU1739" s="630"/>
      <c r="ANV1739" s="631"/>
      <c r="ANW1739" s="631"/>
      <c r="ANX1739" s="631"/>
      <c r="ANY1739" s="631"/>
      <c r="ANZ1739" s="631"/>
      <c r="AOA1739" s="631"/>
      <c r="AOB1739" s="631"/>
      <c r="AOC1739" s="630"/>
      <c r="AOD1739" s="668">
        <f t="shared" ref="AOD1739" si="1171">ROUND((SUM(AOD1738:AOD1738)),2)</f>
        <v>8</v>
      </c>
      <c r="AOE1739" s="669" t="s">
        <v>2</v>
      </c>
      <c r="AOG1739" s="660"/>
      <c r="AOH1739" s="660"/>
      <c r="AOJ1739" s="629"/>
      <c r="AOK1739" s="630"/>
      <c r="AOL1739" s="631"/>
      <c r="AOM1739" s="631"/>
      <c r="AON1739" s="631"/>
      <c r="AOO1739" s="631"/>
      <c r="AOP1739" s="631"/>
      <c r="AOQ1739" s="631"/>
      <c r="AOR1739" s="631"/>
      <c r="AOS1739" s="630"/>
      <c r="AOT1739" s="668">
        <f t="shared" ref="AOT1739" si="1172">ROUND((SUM(AOT1738:AOT1738)),2)</f>
        <v>8</v>
      </c>
      <c r="AOU1739" s="669" t="s">
        <v>2</v>
      </c>
      <c r="AOW1739" s="660"/>
      <c r="AOX1739" s="660"/>
      <c r="AOZ1739" s="629"/>
      <c r="APA1739" s="630"/>
      <c r="APB1739" s="631"/>
      <c r="APC1739" s="631"/>
      <c r="APD1739" s="631"/>
      <c r="APE1739" s="631"/>
      <c r="APF1739" s="631"/>
      <c r="APG1739" s="631"/>
      <c r="APH1739" s="631"/>
      <c r="API1739" s="630"/>
      <c r="APJ1739" s="668">
        <f t="shared" ref="APJ1739" si="1173">ROUND((SUM(APJ1738:APJ1738)),2)</f>
        <v>8</v>
      </c>
      <c r="APK1739" s="669" t="s">
        <v>2</v>
      </c>
      <c r="APM1739" s="660"/>
      <c r="APN1739" s="660"/>
      <c r="APP1739" s="629"/>
      <c r="APQ1739" s="630"/>
      <c r="APR1739" s="631"/>
      <c r="APS1739" s="631"/>
      <c r="APT1739" s="631"/>
      <c r="APU1739" s="631"/>
      <c r="APV1739" s="631"/>
      <c r="APW1739" s="631"/>
      <c r="APX1739" s="631"/>
      <c r="APY1739" s="630"/>
      <c r="APZ1739" s="668">
        <f t="shared" ref="APZ1739" si="1174">ROUND((SUM(APZ1738:APZ1738)),2)</f>
        <v>8</v>
      </c>
      <c r="AQA1739" s="669" t="s">
        <v>2</v>
      </c>
      <c r="AQC1739" s="660"/>
      <c r="AQD1739" s="660"/>
      <c r="AQF1739" s="629"/>
      <c r="AQG1739" s="630"/>
      <c r="AQH1739" s="631"/>
      <c r="AQI1739" s="631"/>
      <c r="AQJ1739" s="631"/>
      <c r="AQK1739" s="631"/>
      <c r="AQL1739" s="631"/>
      <c r="AQM1739" s="631"/>
      <c r="AQN1739" s="631"/>
      <c r="AQO1739" s="630"/>
      <c r="AQP1739" s="668">
        <f t="shared" ref="AQP1739" si="1175">ROUND((SUM(AQP1738:AQP1738)),2)</f>
        <v>8</v>
      </c>
      <c r="AQQ1739" s="669" t="s">
        <v>2</v>
      </c>
      <c r="AQS1739" s="660"/>
      <c r="AQT1739" s="660"/>
      <c r="AQV1739" s="629"/>
      <c r="AQW1739" s="630"/>
      <c r="AQX1739" s="631"/>
      <c r="AQY1739" s="631"/>
      <c r="AQZ1739" s="631"/>
      <c r="ARA1739" s="631"/>
      <c r="ARB1739" s="631"/>
      <c r="ARC1739" s="631"/>
      <c r="ARD1739" s="631"/>
      <c r="ARE1739" s="630"/>
      <c r="ARF1739" s="668">
        <f t="shared" ref="ARF1739" si="1176">ROUND((SUM(ARF1738:ARF1738)),2)</f>
        <v>8</v>
      </c>
      <c r="ARG1739" s="669" t="s">
        <v>2</v>
      </c>
      <c r="ARI1739" s="660"/>
      <c r="ARJ1739" s="660"/>
      <c r="ARL1739" s="629"/>
      <c r="ARM1739" s="630"/>
      <c r="ARN1739" s="631"/>
      <c r="ARO1739" s="631"/>
      <c r="ARP1739" s="631"/>
      <c r="ARQ1739" s="631"/>
      <c r="ARR1739" s="631"/>
      <c r="ARS1739" s="631"/>
      <c r="ART1739" s="631"/>
      <c r="ARU1739" s="630"/>
      <c r="ARV1739" s="668">
        <f t="shared" ref="ARV1739" si="1177">ROUND((SUM(ARV1738:ARV1738)),2)</f>
        <v>8</v>
      </c>
      <c r="ARW1739" s="669" t="s">
        <v>2</v>
      </c>
      <c r="ARY1739" s="660"/>
      <c r="ARZ1739" s="660"/>
      <c r="ASB1739" s="629"/>
      <c r="ASC1739" s="630"/>
      <c r="ASD1739" s="631"/>
      <c r="ASE1739" s="631"/>
      <c r="ASF1739" s="631"/>
      <c r="ASG1739" s="631"/>
      <c r="ASH1739" s="631"/>
      <c r="ASI1739" s="631"/>
      <c r="ASJ1739" s="631"/>
      <c r="ASK1739" s="630"/>
      <c r="ASL1739" s="668">
        <f t="shared" ref="ASL1739" si="1178">ROUND((SUM(ASL1738:ASL1738)),2)</f>
        <v>8</v>
      </c>
      <c r="ASM1739" s="669" t="s">
        <v>2</v>
      </c>
      <c r="ASO1739" s="660"/>
      <c r="ASP1739" s="660"/>
      <c r="ASR1739" s="629"/>
      <c r="ASS1739" s="630"/>
      <c r="AST1739" s="631"/>
      <c r="ASU1739" s="631"/>
      <c r="ASV1739" s="631"/>
      <c r="ASW1739" s="631"/>
      <c r="ASX1739" s="631"/>
      <c r="ASY1739" s="631"/>
      <c r="ASZ1739" s="631"/>
      <c r="ATA1739" s="630"/>
      <c r="ATB1739" s="668">
        <f t="shared" ref="ATB1739" si="1179">ROUND((SUM(ATB1738:ATB1738)),2)</f>
        <v>8</v>
      </c>
      <c r="ATC1739" s="669" t="s">
        <v>2</v>
      </c>
      <c r="ATE1739" s="660"/>
      <c r="ATF1739" s="660"/>
      <c r="ATH1739" s="629"/>
      <c r="ATI1739" s="630"/>
      <c r="ATJ1739" s="631"/>
      <c r="ATK1739" s="631"/>
      <c r="ATL1739" s="631"/>
      <c r="ATM1739" s="631"/>
      <c r="ATN1739" s="631"/>
      <c r="ATO1739" s="631"/>
      <c r="ATP1739" s="631"/>
      <c r="ATQ1739" s="630"/>
      <c r="ATR1739" s="668">
        <f t="shared" ref="ATR1739" si="1180">ROUND((SUM(ATR1738:ATR1738)),2)</f>
        <v>8</v>
      </c>
      <c r="ATS1739" s="669" t="s">
        <v>2</v>
      </c>
      <c r="ATU1739" s="660"/>
      <c r="ATV1739" s="660"/>
      <c r="ATX1739" s="629"/>
      <c r="ATY1739" s="630"/>
      <c r="ATZ1739" s="631"/>
      <c r="AUA1739" s="631"/>
      <c r="AUB1739" s="631"/>
      <c r="AUC1739" s="631"/>
      <c r="AUD1739" s="631"/>
      <c r="AUE1739" s="631"/>
      <c r="AUF1739" s="631"/>
      <c r="AUG1739" s="630"/>
      <c r="AUH1739" s="668">
        <f t="shared" ref="AUH1739" si="1181">ROUND((SUM(AUH1738:AUH1738)),2)</f>
        <v>8</v>
      </c>
      <c r="AUI1739" s="669" t="s">
        <v>2</v>
      </c>
      <c r="AUK1739" s="660"/>
      <c r="AUL1739" s="660"/>
      <c r="AUN1739" s="629"/>
      <c r="AUO1739" s="630"/>
      <c r="AUP1739" s="631"/>
      <c r="AUQ1739" s="631"/>
      <c r="AUR1739" s="631"/>
      <c r="AUS1739" s="631"/>
      <c r="AUT1739" s="631"/>
      <c r="AUU1739" s="631"/>
      <c r="AUV1739" s="631"/>
      <c r="AUW1739" s="630"/>
      <c r="AUX1739" s="668">
        <f t="shared" ref="AUX1739" si="1182">ROUND((SUM(AUX1738:AUX1738)),2)</f>
        <v>8</v>
      </c>
      <c r="AUY1739" s="669" t="s">
        <v>2</v>
      </c>
      <c r="AVA1739" s="660"/>
      <c r="AVB1739" s="660"/>
      <c r="AVD1739" s="629"/>
      <c r="AVE1739" s="630"/>
      <c r="AVF1739" s="631"/>
      <c r="AVG1739" s="631"/>
      <c r="AVH1739" s="631"/>
      <c r="AVI1739" s="631"/>
      <c r="AVJ1739" s="631"/>
      <c r="AVK1739" s="631"/>
      <c r="AVL1739" s="631"/>
      <c r="AVM1739" s="630"/>
      <c r="AVN1739" s="668">
        <f t="shared" ref="AVN1739" si="1183">ROUND((SUM(AVN1738:AVN1738)),2)</f>
        <v>8</v>
      </c>
      <c r="AVO1739" s="669" t="s">
        <v>2</v>
      </c>
      <c r="AVQ1739" s="660"/>
      <c r="AVR1739" s="660"/>
      <c r="AVT1739" s="629"/>
      <c r="AVU1739" s="630"/>
      <c r="AVV1739" s="631"/>
      <c r="AVW1739" s="631"/>
      <c r="AVX1739" s="631"/>
      <c r="AVY1739" s="631"/>
      <c r="AVZ1739" s="631"/>
      <c r="AWA1739" s="631"/>
      <c r="AWB1739" s="631"/>
      <c r="AWC1739" s="630"/>
      <c r="AWD1739" s="668">
        <f t="shared" ref="AWD1739" si="1184">ROUND((SUM(AWD1738:AWD1738)),2)</f>
        <v>8</v>
      </c>
      <c r="AWE1739" s="669" t="s">
        <v>2</v>
      </c>
      <c r="AWG1739" s="660"/>
      <c r="AWH1739" s="660"/>
      <c r="AWJ1739" s="629"/>
      <c r="AWK1739" s="630"/>
      <c r="AWL1739" s="631"/>
      <c r="AWM1739" s="631"/>
      <c r="AWN1739" s="631"/>
      <c r="AWO1739" s="631"/>
      <c r="AWP1739" s="631"/>
      <c r="AWQ1739" s="631"/>
      <c r="AWR1739" s="631"/>
      <c r="AWS1739" s="630"/>
      <c r="AWT1739" s="668">
        <f t="shared" ref="AWT1739" si="1185">ROUND((SUM(AWT1738:AWT1738)),2)</f>
        <v>8</v>
      </c>
      <c r="AWU1739" s="669" t="s">
        <v>2</v>
      </c>
      <c r="AWW1739" s="660"/>
      <c r="AWX1739" s="660"/>
      <c r="AWZ1739" s="629"/>
      <c r="AXA1739" s="630"/>
      <c r="AXB1739" s="631"/>
      <c r="AXC1739" s="631"/>
      <c r="AXD1739" s="631"/>
      <c r="AXE1739" s="631"/>
      <c r="AXF1739" s="631"/>
      <c r="AXG1739" s="631"/>
      <c r="AXH1739" s="631"/>
      <c r="AXI1739" s="630"/>
      <c r="AXJ1739" s="668">
        <f t="shared" ref="AXJ1739" si="1186">ROUND((SUM(AXJ1738:AXJ1738)),2)</f>
        <v>8</v>
      </c>
      <c r="AXK1739" s="669" t="s">
        <v>2</v>
      </c>
      <c r="AXM1739" s="660"/>
      <c r="AXN1739" s="660"/>
      <c r="AXP1739" s="629"/>
      <c r="AXQ1739" s="630"/>
      <c r="AXR1739" s="631"/>
      <c r="AXS1739" s="631"/>
      <c r="AXT1739" s="631"/>
      <c r="AXU1739" s="631"/>
      <c r="AXV1739" s="631"/>
      <c r="AXW1739" s="631"/>
      <c r="AXX1739" s="631"/>
      <c r="AXY1739" s="630"/>
      <c r="AXZ1739" s="668">
        <f t="shared" ref="AXZ1739" si="1187">ROUND((SUM(AXZ1738:AXZ1738)),2)</f>
        <v>8</v>
      </c>
      <c r="AYA1739" s="669" t="s">
        <v>2</v>
      </c>
      <c r="AYC1739" s="660"/>
      <c r="AYD1739" s="660"/>
      <c r="AYF1739" s="629"/>
      <c r="AYG1739" s="630"/>
      <c r="AYH1739" s="631"/>
      <c r="AYI1739" s="631"/>
      <c r="AYJ1739" s="631"/>
      <c r="AYK1739" s="631"/>
      <c r="AYL1739" s="631"/>
      <c r="AYM1739" s="631"/>
      <c r="AYN1739" s="631"/>
      <c r="AYO1739" s="630"/>
      <c r="AYP1739" s="668">
        <f t="shared" ref="AYP1739" si="1188">ROUND((SUM(AYP1738:AYP1738)),2)</f>
        <v>8</v>
      </c>
      <c r="AYQ1739" s="669" t="s">
        <v>2</v>
      </c>
      <c r="AYS1739" s="660"/>
      <c r="AYT1739" s="660"/>
      <c r="AYV1739" s="629"/>
      <c r="AYW1739" s="630"/>
      <c r="AYX1739" s="631"/>
      <c r="AYY1739" s="631"/>
      <c r="AYZ1739" s="631"/>
      <c r="AZA1739" s="631"/>
      <c r="AZB1739" s="631"/>
      <c r="AZC1739" s="631"/>
      <c r="AZD1739" s="631"/>
      <c r="AZE1739" s="630"/>
      <c r="AZF1739" s="668">
        <f t="shared" ref="AZF1739" si="1189">ROUND((SUM(AZF1738:AZF1738)),2)</f>
        <v>8</v>
      </c>
      <c r="AZG1739" s="669" t="s">
        <v>2</v>
      </c>
      <c r="AZI1739" s="660"/>
      <c r="AZJ1739" s="660"/>
      <c r="AZL1739" s="629"/>
      <c r="AZM1739" s="630"/>
      <c r="AZN1739" s="631"/>
      <c r="AZO1739" s="631"/>
      <c r="AZP1739" s="631"/>
      <c r="AZQ1739" s="631"/>
      <c r="AZR1739" s="631"/>
      <c r="AZS1739" s="631"/>
      <c r="AZT1739" s="631"/>
      <c r="AZU1739" s="630"/>
      <c r="AZV1739" s="668">
        <f t="shared" ref="AZV1739" si="1190">ROUND((SUM(AZV1738:AZV1738)),2)</f>
        <v>8</v>
      </c>
      <c r="AZW1739" s="669" t="s">
        <v>2</v>
      </c>
      <c r="AZY1739" s="660"/>
      <c r="AZZ1739" s="660"/>
      <c r="BAB1739" s="629"/>
      <c r="BAC1739" s="630"/>
      <c r="BAD1739" s="631"/>
      <c r="BAE1739" s="631"/>
      <c r="BAF1739" s="631"/>
      <c r="BAG1739" s="631"/>
      <c r="BAH1739" s="631"/>
      <c r="BAI1739" s="631"/>
      <c r="BAJ1739" s="631"/>
      <c r="BAK1739" s="630"/>
      <c r="BAL1739" s="668">
        <f t="shared" ref="BAL1739" si="1191">ROUND((SUM(BAL1738:BAL1738)),2)</f>
        <v>8</v>
      </c>
      <c r="BAM1739" s="669" t="s">
        <v>2</v>
      </c>
      <c r="BAO1739" s="660"/>
      <c r="BAP1739" s="660"/>
      <c r="BAR1739" s="629"/>
      <c r="BAS1739" s="630"/>
      <c r="BAT1739" s="631"/>
      <c r="BAU1739" s="631"/>
      <c r="BAV1739" s="631"/>
      <c r="BAW1739" s="631"/>
      <c r="BAX1739" s="631"/>
      <c r="BAY1739" s="631"/>
      <c r="BAZ1739" s="631"/>
      <c r="BBA1739" s="630"/>
      <c r="BBB1739" s="668">
        <f t="shared" ref="BBB1739" si="1192">ROUND((SUM(BBB1738:BBB1738)),2)</f>
        <v>8</v>
      </c>
      <c r="BBC1739" s="669" t="s">
        <v>2</v>
      </c>
      <c r="BBE1739" s="660"/>
      <c r="BBF1739" s="660"/>
      <c r="BBH1739" s="629"/>
      <c r="BBI1739" s="630"/>
      <c r="BBJ1739" s="631"/>
      <c r="BBK1739" s="631"/>
      <c r="BBL1739" s="631"/>
      <c r="BBM1739" s="631"/>
      <c r="BBN1739" s="631"/>
      <c r="BBO1739" s="631"/>
      <c r="BBP1739" s="631"/>
      <c r="BBQ1739" s="630"/>
      <c r="BBR1739" s="668">
        <f t="shared" ref="BBR1739" si="1193">ROUND((SUM(BBR1738:BBR1738)),2)</f>
        <v>8</v>
      </c>
      <c r="BBS1739" s="669" t="s">
        <v>2</v>
      </c>
      <c r="BBU1739" s="660"/>
      <c r="BBV1739" s="660"/>
      <c r="BBX1739" s="629"/>
      <c r="BBY1739" s="630"/>
      <c r="BBZ1739" s="631"/>
      <c r="BCA1739" s="631"/>
      <c r="BCB1739" s="631"/>
      <c r="BCC1739" s="631"/>
      <c r="BCD1739" s="631"/>
      <c r="BCE1739" s="631"/>
      <c r="BCF1739" s="631"/>
      <c r="BCG1739" s="630"/>
      <c r="BCH1739" s="668">
        <f t="shared" ref="BCH1739" si="1194">ROUND((SUM(BCH1738:BCH1738)),2)</f>
        <v>8</v>
      </c>
      <c r="BCI1739" s="669" t="s">
        <v>2</v>
      </c>
      <c r="BCK1739" s="660"/>
      <c r="BCL1739" s="660"/>
      <c r="BCN1739" s="629"/>
      <c r="BCO1739" s="630"/>
      <c r="BCP1739" s="631"/>
      <c r="BCQ1739" s="631"/>
      <c r="BCR1739" s="631"/>
      <c r="BCS1739" s="631"/>
      <c r="BCT1739" s="631"/>
      <c r="BCU1739" s="631"/>
      <c r="BCV1739" s="631"/>
      <c r="BCW1739" s="630"/>
      <c r="BCX1739" s="668">
        <f t="shared" ref="BCX1739" si="1195">ROUND((SUM(BCX1738:BCX1738)),2)</f>
        <v>8</v>
      </c>
      <c r="BCY1739" s="669" t="s">
        <v>2</v>
      </c>
      <c r="BDA1739" s="660"/>
      <c r="BDB1739" s="660"/>
      <c r="BDD1739" s="629"/>
      <c r="BDE1739" s="630"/>
      <c r="BDF1739" s="631"/>
      <c r="BDG1739" s="631"/>
      <c r="BDH1739" s="631"/>
      <c r="BDI1739" s="631"/>
      <c r="BDJ1739" s="631"/>
      <c r="BDK1739" s="631"/>
      <c r="BDL1739" s="631"/>
      <c r="BDM1739" s="630"/>
      <c r="BDN1739" s="668">
        <f t="shared" ref="BDN1739" si="1196">ROUND((SUM(BDN1738:BDN1738)),2)</f>
        <v>8</v>
      </c>
      <c r="BDO1739" s="669" t="s">
        <v>2</v>
      </c>
      <c r="BDQ1739" s="660"/>
      <c r="BDR1739" s="660"/>
      <c r="BDT1739" s="629"/>
      <c r="BDU1739" s="630"/>
      <c r="BDV1739" s="631"/>
      <c r="BDW1739" s="631"/>
      <c r="BDX1739" s="631"/>
      <c r="BDY1739" s="631"/>
      <c r="BDZ1739" s="631"/>
      <c r="BEA1739" s="631"/>
      <c r="BEB1739" s="631"/>
      <c r="BEC1739" s="630"/>
      <c r="BED1739" s="668">
        <f t="shared" ref="BED1739" si="1197">ROUND((SUM(BED1738:BED1738)),2)</f>
        <v>8</v>
      </c>
      <c r="BEE1739" s="669" t="s">
        <v>2</v>
      </c>
      <c r="BEG1739" s="660"/>
      <c r="BEH1739" s="660"/>
      <c r="BEJ1739" s="629"/>
      <c r="BEK1739" s="630"/>
      <c r="BEL1739" s="631"/>
      <c r="BEM1739" s="631"/>
      <c r="BEN1739" s="631"/>
      <c r="BEO1739" s="631"/>
      <c r="BEP1739" s="631"/>
      <c r="BEQ1739" s="631"/>
      <c r="BER1739" s="631"/>
      <c r="BES1739" s="630"/>
      <c r="BET1739" s="668">
        <f t="shared" ref="BET1739" si="1198">ROUND((SUM(BET1738:BET1738)),2)</f>
        <v>8</v>
      </c>
      <c r="BEU1739" s="669" t="s">
        <v>2</v>
      </c>
      <c r="BEW1739" s="660"/>
      <c r="BEX1739" s="660"/>
      <c r="BEZ1739" s="629"/>
      <c r="BFA1739" s="630"/>
      <c r="BFB1739" s="631"/>
      <c r="BFC1739" s="631"/>
      <c r="BFD1739" s="631"/>
      <c r="BFE1739" s="631"/>
      <c r="BFF1739" s="631"/>
      <c r="BFG1739" s="631"/>
      <c r="BFH1739" s="631"/>
      <c r="BFI1739" s="630"/>
      <c r="BFJ1739" s="668">
        <f t="shared" ref="BFJ1739" si="1199">ROUND((SUM(BFJ1738:BFJ1738)),2)</f>
        <v>8</v>
      </c>
      <c r="BFK1739" s="669" t="s">
        <v>2</v>
      </c>
      <c r="BFM1739" s="660"/>
      <c r="BFN1739" s="660"/>
      <c r="BFP1739" s="629"/>
      <c r="BFQ1739" s="630"/>
      <c r="BFR1739" s="631"/>
      <c r="BFS1739" s="631"/>
      <c r="BFT1739" s="631"/>
      <c r="BFU1739" s="631"/>
      <c r="BFV1739" s="631"/>
      <c r="BFW1739" s="631"/>
      <c r="BFX1739" s="631"/>
      <c r="BFY1739" s="630"/>
      <c r="BFZ1739" s="668">
        <f t="shared" ref="BFZ1739" si="1200">ROUND((SUM(BFZ1738:BFZ1738)),2)</f>
        <v>8</v>
      </c>
      <c r="BGA1739" s="669" t="s">
        <v>2</v>
      </c>
      <c r="BGC1739" s="660"/>
      <c r="BGD1739" s="660"/>
      <c r="BGF1739" s="629"/>
      <c r="BGG1739" s="630"/>
      <c r="BGH1739" s="631"/>
      <c r="BGI1739" s="631"/>
      <c r="BGJ1739" s="631"/>
      <c r="BGK1739" s="631"/>
      <c r="BGL1739" s="631"/>
      <c r="BGM1739" s="631"/>
      <c r="BGN1739" s="631"/>
      <c r="BGO1739" s="630"/>
      <c r="BGP1739" s="668">
        <f t="shared" ref="BGP1739" si="1201">ROUND((SUM(BGP1738:BGP1738)),2)</f>
        <v>8</v>
      </c>
      <c r="BGQ1739" s="669" t="s">
        <v>2</v>
      </c>
      <c r="BGS1739" s="660"/>
      <c r="BGT1739" s="660"/>
      <c r="BGV1739" s="629"/>
      <c r="BGW1739" s="630"/>
      <c r="BGX1739" s="631"/>
      <c r="BGY1739" s="631"/>
      <c r="BGZ1739" s="631"/>
      <c r="BHA1739" s="631"/>
      <c r="BHB1739" s="631"/>
      <c r="BHC1739" s="631"/>
      <c r="BHD1739" s="631"/>
      <c r="BHE1739" s="630"/>
      <c r="BHF1739" s="668">
        <f t="shared" ref="BHF1739" si="1202">ROUND((SUM(BHF1738:BHF1738)),2)</f>
        <v>8</v>
      </c>
      <c r="BHG1739" s="669" t="s">
        <v>2</v>
      </c>
      <c r="BHI1739" s="660"/>
      <c r="BHJ1739" s="660"/>
      <c r="BHL1739" s="629"/>
      <c r="BHM1739" s="630"/>
      <c r="BHN1739" s="631"/>
      <c r="BHO1739" s="631"/>
      <c r="BHP1739" s="631"/>
      <c r="BHQ1739" s="631"/>
      <c r="BHR1739" s="631"/>
      <c r="BHS1739" s="631"/>
      <c r="BHT1739" s="631"/>
      <c r="BHU1739" s="630"/>
      <c r="BHV1739" s="668">
        <f t="shared" ref="BHV1739" si="1203">ROUND((SUM(BHV1738:BHV1738)),2)</f>
        <v>8</v>
      </c>
      <c r="BHW1739" s="669" t="s">
        <v>2</v>
      </c>
      <c r="BHY1739" s="660"/>
      <c r="BHZ1739" s="660"/>
      <c r="BIB1739" s="629"/>
      <c r="BIC1739" s="630"/>
      <c r="BID1739" s="631"/>
      <c r="BIE1739" s="631"/>
      <c r="BIF1739" s="631"/>
      <c r="BIG1739" s="631"/>
      <c r="BIH1739" s="631"/>
      <c r="BII1739" s="631"/>
      <c r="BIJ1739" s="631"/>
      <c r="BIK1739" s="630"/>
      <c r="BIL1739" s="668">
        <f t="shared" ref="BIL1739" si="1204">ROUND((SUM(BIL1738:BIL1738)),2)</f>
        <v>8</v>
      </c>
      <c r="BIM1739" s="669" t="s">
        <v>2</v>
      </c>
      <c r="BIO1739" s="660"/>
      <c r="BIP1739" s="660"/>
      <c r="BIR1739" s="629"/>
      <c r="BIS1739" s="630"/>
      <c r="BIT1739" s="631"/>
      <c r="BIU1739" s="631"/>
      <c r="BIV1739" s="631"/>
      <c r="BIW1739" s="631"/>
      <c r="BIX1739" s="631"/>
      <c r="BIY1739" s="631"/>
      <c r="BIZ1739" s="631"/>
      <c r="BJA1739" s="630"/>
      <c r="BJB1739" s="668">
        <f t="shared" ref="BJB1739" si="1205">ROUND((SUM(BJB1738:BJB1738)),2)</f>
        <v>8</v>
      </c>
      <c r="BJC1739" s="669" t="s">
        <v>2</v>
      </c>
      <c r="BJE1739" s="660"/>
      <c r="BJF1739" s="660"/>
      <c r="BJH1739" s="629"/>
      <c r="BJI1739" s="630"/>
      <c r="BJJ1739" s="631"/>
      <c r="BJK1739" s="631"/>
      <c r="BJL1739" s="631"/>
      <c r="BJM1739" s="631"/>
      <c r="BJN1739" s="631"/>
      <c r="BJO1739" s="631"/>
      <c r="BJP1739" s="631"/>
      <c r="BJQ1739" s="630"/>
      <c r="BJR1739" s="668">
        <f t="shared" ref="BJR1739" si="1206">ROUND((SUM(BJR1738:BJR1738)),2)</f>
        <v>8</v>
      </c>
      <c r="BJS1739" s="669" t="s">
        <v>2</v>
      </c>
      <c r="BJU1739" s="660"/>
      <c r="BJV1739" s="660"/>
      <c r="BJX1739" s="629"/>
      <c r="BJY1739" s="630"/>
      <c r="BJZ1739" s="631"/>
      <c r="BKA1739" s="631"/>
      <c r="BKB1739" s="631"/>
      <c r="BKC1739" s="631"/>
      <c r="BKD1739" s="631"/>
      <c r="BKE1739" s="631"/>
      <c r="BKF1739" s="631"/>
      <c r="BKG1739" s="630"/>
      <c r="BKH1739" s="668">
        <f t="shared" ref="BKH1739" si="1207">ROUND((SUM(BKH1738:BKH1738)),2)</f>
        <v>8</v>
      </c>
      <c r="BKI1739" s="669" t="s">
        <v>2</v>
      </c>
      <c r="BKK1739" s="660"/>
      <c r="BKL1739" s="660"/>
      <c r="BKN1739" s="629"/>
      <c r="BKO1739" s="630"/>
      <c r="BKP1739" s="631"/>
      <c r="BKQ1739" s="631"/>
      <c r="BKR1739" s="631"/>
      <c r="BKS1739" s="631"/>
      <c r="BKT1739" s="631"/>
      <c r="BKU1739" s="631"/>
      <c r="BKV1739" s="631"/>
      <c r="BKW1739" s="630"/>
      <c r="BKX1739" s="668">
        <f t="shared" ref="BKX1739" si="1208">ROUND((SUM(BKX1738:BKX1738)),2)</f>
        <v>8</v>
      </c>
      <c r="BKY1739" s="669" t="s">
        <v>2</v>
      </c>
      <c r="BLA1739" s="660"/>
      <c r="BLB1739" s="660"/>
      <c r="BLD1739" s="629"/>
      <c r="BLE1739" s="630"/>
      <c r="BLF1739" s="631"/>
      <c r="BLG1739" s="631"/>
      <c r="BLH1739" s="631"/>
      <c r="BLI1739" s="631"/>
      <c r="BLJ1739" s="631"/>
      <c r="BLK1739" s="631"/>
      <c r="BLL1739" s="631"/>
      <c r="BLM1739" s="630"/>
      <c r="BLN1739" s="668">
        <f t="shared" ref="BLN1739" si="1209">ROUND((SUM(BLN1738:BLN1738)),2)</f>
        <v>8</v>
      </c>
      <c r="BLO1739" s="669" t="s">
        <v>2</v>
      </c>
      <c r="BLQ1739" s="660"/>
      <c r="BLR1739" s="660"/>
      <c r="BLT1739" s="629"/>
      <c r="BLU1739" s="630"/>
      <c r="BLV1739" s="631"/>
      <c r="BLW1739" s="631"/>
      <c r="BLX1739" s="631"/>
      <c r="BLY1739" s="631"/>
      <c r="BLZ1739" s="631"/>
      <c r="BMA1739" s="631"/>
      <c r="BMB1739" s="631"/>
      <c r="BMC1739" s="630"/>
      <c r="BMD1739" s="668">
        <f t="shared" ref="BMD1739" si="1210">ROUND((SUM(BMD1738:BMD1738)),2)</f>
        <v>8</v>
      </c>
      <c r="BME1739" s="669" t="s">
        <v>2</v>
      </c>
      <c r="BMG1739" s="660"/>
      <c r="BMH1739" s="660"/>
      <c r="BMJ1739" s="629"/>
      <c r="BMK1739" s="630"/>
      <c r="BML1739" s="631"/>
      <c r="BMM1739" s="631"/>
      <c r="BMN1739" s="631"/>
      <c r="BMO1739" s="631"/>
      <c r="BMP1739" s="631"/>
      <c r="BMQ1739" s="631"/>
      <c r="BMR1739" s="631"/>
      <c r="BMS1739" s="630"/>
      <c r="BMT1739" s="668">
        <f t="shared" ref="BMT1739" si="1211">ROUND((SUM(BMT1738:BMT1738)),2)</f>
        <v>8</v>
      </c>
      <c r="BMU1739" s="669" t="s">
        <v>2</v>
      </c>
      <c r="BMW1739" s="660"/>
      <c r="BMX1739" s="660"/>
      <c r="BMZ1739" s="629"/>
      <c r="BNA1739" s="630"/>
      <c r="BNB1739" s="631"/>
      <c r="BNC1739" s="631"/>
      <c r="BND1739" s="631"/>
      <c r="BNE1739" s="631"/>
      <c r="BNF1739" s="631"/>
      <c r="BNG1739" s="631"/>
      <c r="BNH1739" s="631"/>
      <c r="BNI1739" s="630"/>
      <c r="BNJ1739" s="668">
        <f t="shared" ref="BNJ1739" si="1212">ROUND((SUM(BNJ1738:BNJ1738)),2)</f>
        <v>8</v>
      </c>
      <c r="BNK1739" s="669" t="s">
        <v>2</v>
      </c>
      <c r="BNM1739" s="660"/>
      <c r="BNN1739" s="660"/>
      <c r="BNP1739" s="629"/>
      <c r="BNQ1739" s="630"/>
      <c r="BNR1739" s="631"/>
      <c r="BNS1739" s="631"/>
      <c r="BNT1739" s="631"/>
      <c r="BNU1739" s="631"/>
      <c r="BNV1739" s="631"/>
      <c r="BNW1739" s="631"/>
      <c r="BNX1739" s="631"/>
      <c r="BNY1739" s="630"/>
      <c r="BNZ1739" s="668">
        <f t="shared" ref="BNZ1739" si="1213">ROUND((SUM(BNZ1738:BNZ1738)),2)</f>
        <v>8</v>
      </c>
      <c r="BOA1739" s="669" t="s">
        <v>2</v>
      </c>
      <c r="BOC1739" s="660"/>
      <c r="BOD1739" s="660"/>
      <c r="BOF1739" s="629"/>
      <c r="BOG1739" s="630"/>
      <c r="BOH1739" s="631"/>
      <c r="BOI1739" s="631"/>
      <c r="BOJ1739" s="631"/>
      <c r="BOK1739" s="631"/>
      <c r="BOL1739" s="631"/>
      <c r="BOM1739" s="631"/>
      <c r="BON1739" s="631"/>
      <c r="BOO1739" s="630"/>
      <c r="BOP1739" s="668">
        <f t="shared" ref="BOP1739" si="1214">ROUND((SUM(BOP1738:BOP1738)),2)</f>
        <v>8</v>
      </c>
      <c r="BOQ1739" s="669" t="s">
        <v>2</v>
      </c>
      <c r="BOS1739" s="660"/>
      <c r="BOT1739" s="660"/>
      <c r="BOV1739" s="629"/>
      <c r="BOW1739" s="630"/>
      <c r="BOX1739" s="631"/>
      <c r="BOY1739" s="631"/>
      <c r="BOZ1739" s="631"/>
      <c r="BPA1739" s="631"/>
      <c r="BPB1739" s="631"/>
      <c r="BPC1739" s="631"/>
      <c r="BPD1739" s="631"/>
      <c r="BPE1739" s="630"/>
      <c r="BPF1739" s="668">
        <f t="shared" ref="BPF1739" si="1215">ROUND((SUM(BPF1738:BPF1738)),2)</f>
        <v>8</v>
      </c>
      <c r="BPG1739" s="669" t="s">
        <v>2</v>
      </c>
      <c r="BPI1739" s="660"/>
      <c r="BPJ1739" s="660"/>
      <c r="BPL1739" s="629"/>
      <c r="BPM1739" s="630"/>
      <c r="BPN1739" s="631"/>
      <c r="BPO1739" s="631"/>
      <c r="BPP1739" s="631"/>
      <c r="BPQ1739" s="631"/>
      <c r="BPR1739" s="631"/>
      <c r="BPS1739" s="631"/>
      <c r="BPT1739" s="631"/>
      <c r="BPU1739" s="630"/>
      <c r="BPV1739" s="668">
        <f t="shared" ref="BPV1739" si="1216">ROUND((SUM(BPV1738:BPV1738)),2)</f>
        <v>8</v>
      </c>
      <c r="BPW1739" s="669" t="s">
        <v>2</v>
      </c>
      <c r="BPY1739" s="660"/>
      <c r="BPZ1739" s="660"/>
      <c r="BQB1739" s="629"/>
      <c r="BQC1739" s="630"/>
      <c r="BQD1739" s="631"/>
      <c r="BQE1739" s="631"/>
      <c r="BQF1739" s="631"/>
      <c r="BQG1739" s="631"/>
      <c r="BQH1739" s="631"/>
      <c r="BQI1739" s="631"/>
      <c r="BQJ1739" s="631"/>
      <c r="BQK1739" s="630"/>
      <c r="BQL1739" s="668">
        <f t="shared" ref="BQL1739" si="1217">ROUND((SUM(BQL1738:BQL1738)),2)</f>
        <v>8</v>
      </c>
      <c r="BQM1739" s="669" t="s">
        <v>2</v>
      </c>
      <c r="BQO1739" s="660"/>
      <c r="BQP1739" s="660"/>
      <c r="BQR1739" s="629"/>
      <c r="BQS1739" s="630"/>
      <c r="BQT1739" s="631"/>
      <c r="BQU1739" s="631"/>
      <c r="BQV1739" s="631"/>
      <c r="BQW1739" s="631"/>
      <c r="BQX1739" s="631"/>
      <c r="BQY1739" s="631"/>
      <c r="BQZ1739" s="631"/>
      <c r="BRA1739" s="630"/>
      <c r="BRB1739" s="668">
        <f t="shared" ref="BRB1739" si="1218">ROUND((SUM(BRB1738:BRB1738)),2)</f>
        <v>8</v>
      </c>
      <c r="BRC1739" s="669" t="s">
        <v>2</v>
      </c>
      <c r="BRE1739" s="660"/>
      <c r="BRF1739" s="660"/>
      <c r="BRH1739" s="629"/>
      <c r="BRI1739" s="630"/>
      <c r="BRJ1739" s="631"/>
      <c r="BRK1739" s="631"/>
      <c r="BRL1739" s="631"/>
      <c r="BRM1739" s="631"/>
      <c r="BRN1739" s="631"/>
      <c r="BRO1739" s="631"/>
      <c r="BRP1739" s="631"/>
      <c r="BRQ1739" s="630"/>
      <c r="BRR1739" s="668">
        <f t="shared" ref="BRR1739" si="1219">ROUND((SUM(BRR1738:BRR1738)),2)</f>
        <v>8</v>
      </c>
      <c r="BRS1739" s="669" t="s">
        <v>2</v>
      </c>
      <c r="BRU1739" s="660"/>
      <c r="BRV1739" s="660"/>
      <c r="BRX1739" s="629"/>
      <c r="BRY1739" s="630"/>
      <c r="BRZ1739" s="631"/>
      <c r="BSA1739" s="631"/>
      <c r="BSB1739" s="631"/>
      <c r="BSC1739" s="631"/>
      <c r="BSD1739" s="631"/>
      <c r="BSE1739" s="631"/>
      <c r="BSF1739" s="631"/>
      <c r="BSG1739" s="630"/>
      <c r="BSH1739" s="668">
        <f t="shared" ref="BSH1739" si="1220">ROUND((SUM(BSH1738:BSH1738)),2)</f>
        <v>8</v>
      </c>
      <c r="BSI1739" s="669" t="s">
        <v>2</v>
      </c>
      <c r="BSK1739" s="660"/>
      <c r="BSL1739" s="660"/>
      <c r="BSN1739" s="629"/>
      <c r="BSO1739" s="630"/>
      <c r="BSP1739" s="631"/>
      <c r="BSQ1739" s="631"/>
      <c r="BSR1739" s="631"/>
      <c r="BSS1739" s="631"/>
      <c r="BST1739" s="631"/>
      <c r="BSU1739" s="631"/>
      <c r="BSV1739" s="631"/>
      <c r="BSW1739" s="630"/>
      <c r="BSX1739" s="668">
        <f t="shared" ref="BSX1739" si="1221">ROUND((SUM(BSX1738:BSX1738)),2)</f>
        <v>8</v>
      </c>
      <c r="BSY1739" s="669" t="s">
        <v>2</v>
      </c>
      <c r="BTA1739" s="660"/>
      <c r="BTB1739" s="660"/>
      <c r="BTD1739" s="629"/>
      <c r="BTE1739" s="630"/>
      <c r="BTF1739" s="631"/>
      <c r="BTG1739" s="631"/>
      <c r="BTH1739" s="631"/>
      <c r="BTI1739" s="631"/>
      <c r="BTJ1739" s="631"/>
      <c r="BTK1739" s="631"/>
      <c r="BTL1739" s="631"/>
      <c r="BTM1739" s="630"/>
      <c r="BTN1739" s="668">
        <f t="shared" ref="BTN1739" si="1222">ROUND((SUM(BTN1738:BTN1738)),2)</f>
        <v>8</v>
      </c>
      <c r="BTO1739" s="669" t="s">
        <v>2</v>
      </c>
      <c r="BTQ1739" s="660"/>
      <c r="BTR1739" s="660"/>
      <c r="BTT1739" s="629"/>
      <c r="BTU1739" s="630"/>
      <c r="BTV1739" s="631"/>
      <c r="BTW1739" s="631"/>
      <c r="BTX1739" s="631"/>
      <c r="BTY1739" s="631"/>
      <c r="BTZ1739" s="631"/>
      <c r="BUA1739" s="631"/>
      <c r="BUB1739" s="631"/>
      <c r="BUC1739" s="630"/>
      <c r="BUD1739" s="668">
        <f t="shared" ref="BUD1739" si="1223">ROUND((SUM(BUD1738:BUD1738)),2)</f>
        <v>8</v>
      </c>
      <c r="BUE1739" s="669" t="s">
        <v>2</v>
      </c>
      <c r="BUG1739" s="660"/>
      <c r="BUH1739" s="660"/>
      <c r="BUJ1739" s="629"/>
      <c r="BUK1739" s="630"/>
      <c r="BUL1739" s="631"/>
      <c r="BUM1739" s="631"/>
      <c r="BUN1739" s="631"/>
      <c r="BUO1739" s="631"/>
      <c r="BUP1739" s="631"/>
      <c r="BUQ1739" s="631"/>
      <c r="BUR1739" s="631"/>
      <c r="BUS1739" s="630"/>
      <c r="BUT1739" s="668">
        <f t="shared" ref="BUT1739" si="1224">ROUND((SUM(BUT1738:BUT1738)),2)</f>
        <v>8</v>
      </c>
      <c r="BUU1739" s="669" t="s">
        <v>2</v>
      </c>
      <c r="BUW1739" s="660"/>
      <c r="BUX1739" s="660"/>
      <c r="BUZ1739" s="629"/>
      <c r="BVA1739" s="630"/>
      <c r="BVB1739" s="631"/>
      <c r="BVC1739" s="631"/>
      <c r="BVD1739" s="631"/>
      <c r="BVE1739" s="631"/>
      <c r="BVF1739" s="631"/>
      <c r="BVG1739" s="631"/>
      <c r="BVH1739" s="631"/>
      <c r="BVI1739" s="630"/>
      <c r="BVJ1739" s="668">
        <f t="shared" ref="BVJ1739" si="1225">ROUND((SUM(BVJ1738:BVJ1738)),2)</f>
        <v>8</v>
      </c>
      <c r="BVK1739" s="669" t="s">
        <v>2</v>
      </c>
      <c r="BVM1739" s="660"/>
      <c r="BVN1739" s="660"/>
      <c r="BVP1739" s="629"/>
      <c r="BVQ1739" s="630"/>
      <c r="BVR1739" s="631"/>
      <c r="BVS1739" s="631"/>
      <c r="BVT1739" s="631"/>
      <c r="BVU1739" s="631"/>
      <c r="BVV1739" s="631"/>
      <c r="BVW1739" s="631"/>
      <c r="BVX1739" s="631"/>
      <c r="BVY1739" s="630"/>
      <c r="BVZ1739" s="668">
        <f t="shared" ref="BVZ1739" si="1226">ROUND((SUM(BVZ1738:BVZ1738)),2)</f>
        <v>8</v>
      </c>
      <c r="BWA1739" s="669" t="s">
        <v>2</v>
      </c>
      <c r="BWC1739" s="660"/>
      <c r="BWD1739" s="660"/>
      <c r="BWF1739" s="629"/>
      <c r="BWG1739" s="630"/>
      <c r="BWH1739" s="631"/>
      <c r="BWI1739" s="631"/>
      <c r="BWJ1739" s="631"/>
      <c r="BWK1739" s="631"/>
      <c r="BWL1739" s="631"/>
      <c r="BWM1739" s="631"/>
      <c r="BWN1739" s="631"/>
      <c r="BWO1739" s="630"/>
      <c r="BWP1739" s="668">
        <f t="shared" ref="BWP1739" si="1227">ROUND((SUM(BWP1738:BWP1738)),2)</f>
        <v>8</v>
      </c>
      <c r="BWQ1739" s="669" t="s">
        <v>2</v>
      </c>
      <c r="BWS1739" s="660"/>
      <c r="BWT1739" s="660"/>
      <c r="BWV1739" s="629"/>
      <c r="BWW1739" s="630"/>
      <c r="BWX1739" s="631"/>
      <c r="BWY1739" s="631"/>
      <c r="BWZ1739" s="631"/>
      <c r="BXA1739" s="631"/>
      <c r="BXB1739" s="631"/>
      <c r="BXC1739" s="631"/>
      <c r="BXD1739" s="631"/>
      <c r="BXE1739" s="630"/>
      <c r="BXF1739" s="668">
        <f t="shared" ref="BXF1739" si="1228">ROUND((SUM(BXF1738:BXF1738)),2)</f>
        <v>8</v>
      </c>
      <c r="BXG1739" s="669" t="s">
        <v>2</v>
      </c>
      <c r="BXI1739" s="660"/>
      <c r="BXJ1739" s="660"/>
      <c r="BXL1739" s="629"/>
      <c r="BXM1739" s="630"/>
      <c r="BXN1739" s="631"/>
      <c r="BXO1739" s="631"/>
      <c r="BXP1739" s="631"/>
      <c r="BXQ1739" s="631"/>
      <c r="BXR1739" s="631"/>
      <c r="BXS1739" s="631"/>
      <c r="BXT1739" s="631"/>
      <c r="BXU1739" s="630"/>
      <c r="BXV1739" s="668">
        <f t="shared" ref="BXV1739" si="1229">ROUND((SUM(BXV1738:BXV1738)),2)</f>
        <v>8</v>
      </c>
      <c r="BXW1739" s="669" t="s">
        <v>2</v>
      </c>
      <c r="BXY1739" s="660"/>
      <c r="BXZ1739" s="660"/>
      <c r="BYB1739" s="629"/>
      <c r="BYC1739" s="630"/>
      <c r="BYD1739" s="631"/>
      <c r="BYE1739" s="631"/>
      <c r="BYF1739" s="631"/>
      <c r="BYG1739" s="631"/>
      <c r="BYH1739" s="631"/>
      <c r="BYI1739" s="631"/>
      <c r="BYJ1739" s="631"/>
      <c r="BYK1739" s="630"/>
      <c r="BYL1739" s="668">
        <f t="shared" ref="BYL1739" si="1230">ROUND((SUM(BYL1738:BYL1738)),2)</f>
        <v>8</v>
      </c>
      <c r="BYM1739" s="669" t="s">
        <v>2</v>
      </c>
      <c r="BYO1739" s="660"/>
      <c r="BYP1739" s="660"/>
      <c r="BYR1739" s="629"/>
      <c r="BYS1739" s="630"/>
      <c r="BYT1739" s="631"/>
      <c r="BYU1739" s="631"/>
      <c r="BYV1739" s="631"/>
      <c r="BYW1739" s="631"/>
      <c r="BYX1739" s="631"/>
      <c r="BYY1739" s="631"/>
      <c r="BYZ1739" s="631"/>
      <c r="BZA1739" s="630"/>
      <c r="BZB1739" s="668">
        <f t="shared" ref="BZB1739" si="1231">ROUND((SUM(BZB1738:BZB1738)),2)</f>
        <v>8</v>
      </c>
      <c r="BZC1739" s="669" t="s">
        <v>2</v>
      </c>
      <c r="BZE1739" s="660"/>
      <c r="BZF1739" s="660"/>
      <c r="BZH1739" s="629"/>
      <c r="BZI1739" s="630"/>
      <c r="BZJ1739" s="631"/>
      <c r="BZK1739" s="631"/>
      <c r="BZL1739" s="631"/>
      <c r="BZM1739" s="631"/>
      <c r="BZN1739" s="631"/>
      <c r="BZO1739" s="631"/>
      <c r="BZP1739" s="631"/>
      <c r="BZQ1739" s="630"/>
      <c r="BZR1739" s="668">
        <f t="shared" ref="BZR1739" si="1232">ROUND((SUM(BZR1738:BZR1738)),2)</f>
        <v>8</v>
      </c>
      <c r="BZS1739" s="669" t="s">
        <v>2</v>
      </c>
      <c r="BZU1739" s="660"/>
      <c r="BZV1739" s="660"/>
      <c r="BZX1739" s="629"/>
      <c r="BZY1739" s="630"/>
      <c r="BZZ1739" s="631"/>
      <c r="CAA1739" s="631"/>
      <c r="CAB1739" s="631"/>
      <c r="CAC1739" s="631"/>
      <c r="CAD1739" s="631"/>
      <c r="CAE1739" s="631"/>
      <c r="CAF1739" s="631"/>
      <c r="CAG1739" s="630"/>
      <c r="CAH1739" s="668">
        <f t="shared" ref="CAH1739" si="1233">ROUND((SUM(CAH1738:CAH1738)),2)</f>
        <v>8</v>
      </c>
      <c r="CAI1739" s="669" t="s">
        <v>2</v>
      </c>
      <c r="CAK1739" s="660"/>
      <c r="CAL1739" s="660"/>
      <c r="CAN1739" s="629"/>
      <c r="CAO1739" s="630"/>
      <c r="CAP1739" s="631"/>
      <c r="CAQ1739" s="631"/>
      <c r="CAR1739" s="631"/>
      <c r="CAS1739" s="631"/>
      <c r="CAT1739" s="631"/>
      <c r="CAU1739" s="631"/>
      <c r="CAV1739" s="631"/>
      <c r="CAW1739" s="630"/>
      <c r="CAX1739" s="668">
        <f t="shared" ref="CAX1739" si="1234">ROUND((SUM(CAX1738:CAX1738)),2)</f>
        <v>8</v>
      </c>
      <c r="CAY1739" s="669" t="s">
        <v>2</v>
      </c>
      <c r="CBA1739" s="660"/>
      <c r="CBB1739" s="660"/>
      <c r="CBD1739" s="629"/>
      <c r="CBE1739" s="630"/>
      <c r="CBF1739" s="631"/>
      <c r="CBG1739" s="631"/>
      <c r="CBH1739" s="631"/>
      <c r="CBI1739" s="631"/>
      <c r="CBJ1739" s="631"/>
      <c r="CBK1739" s="631"/>
      <c r="CBL1739" s="631"/>
      <c r="CBM1739" s="630"/>
      <c r="CBN1739" s="668">
        <f t="shared" ref="CBN1739" si="1235">ROUND((SUM(CBN1738:CBN1738)),2)</f>
        <v>8</v>
      </c>
      <c r="CBO1739" s="669" t="s">
        <v>2</v>
      </c>
      <c r="CBQ1739" s="660"/>
      <c r="CBR1739" s="660"/>
      <c r="CBT1739" s="629"/>
      <c r="CBU1739" s="630"/>
      <c r="CBV1739" s="631"/>
      <c r="CBW1739" s="631"/>
      <c r="CBX1739" s="631"/>
      <c r="CBY1739" s="631"/>
      <c r="CBZ1739" s="631"/>
      <c r="CCA1739" s="631"/>
      <c r="CCB1739" s="631"/>
      <c r="CCC1739" s="630"/>
      <c r="CCD1739" s="668">
        <f t="shared" ref="CCD1739" si="1236">ROUND((SUM(CCD1738:CCD1738)),2)</f>
        <v>8</v>
      </c>
      <c r="CCE1739" s="669" t="s">
        <v>2</v>
      </c>
      <c r="CCG1739" s="660"/>
      <c r="CCH1739" s="660"/>
      <c r="CCJ1739" s="629"/>
      <c r="CCK1739" s="630"/>
      <c r="CCL1739" s="631"/>
      <c r="CCM1739" s="631"/>
      <c r="CCN1739" s="631"/>
      <c r="CCO1739" s="631"/>
      <c r="CCP1739" s="631"/>
      <c r="CCQ1739" s="631"/>
      <c r="CCR1739" s="631"/>
      <c r="CCS1739" s="630"/>
      <c r="CCT1739" s="668">
        <f t="shared" ref="CCT1739" si="1237">ROUND((SUM(CCT1738:CCT1738)),2)</f>
        <v>8</v>
      </c>
      <c r="CCU1739" s="669" t="s">
        <v>2</v>
      </c>
      <c r="CCW1739" s="660"/>
      <c r="CCX1739" s="660"/>
      <c r="CCZ1739" s="629"/>
      <c r="CDA1739" s="630"/>
      <c r="CDB1739" s="631"/>
      <c r="CDC1739" s="631"/>
      <c r="CDD1739" s="631"/>
      <c r="CDE1739" s="631"/>
      <c r="CDF1739" s="631"/>
      <c r="CDG1739" s="631"/>
      <c r="CDH1739" s="631"/>
      <c r="CDI1739" s="630"/>
      <c r="CDJ1739" s="668">
        <f t="shared" ref="CDJ1739" si="1238">ROUND((SUM(CDJ1738:CDJ1738)),2)</f>
        <v>8</v>
      </c>
      <c r="CDK1739" s="669" t="s">
        <v>2</v>
      </c>
      <c r="CDM1739" s="660"/>
      <c r="CDN1739" s="660"/>
      <c r="CDP1739" s="629"/>
      <c r="CDQ1739" s="630"/>
      <c r="CDR1739" s="631"/>
      <c r="CDS1739" s="631"/>
      <c r="CDT1739" s="631"/>
      <c r="CDU1739" s="631"/>
      <c r="CDV1739" s="631"/>
      <c r="CDW1739" s="631"/>
      <c r="CDX1739" s="631"/>
      <c r="CDY1739" s="630"/>
      <c r="CDZ1739" s="668">
        <f t="shared" ref="CDZ1739" si="1239">ROUND((SUM(CDZ1738:CDZ1738)),2)</f>
        <v>8</v>
      </c>
      <c r="CEA1739" s="669" t="s">
        <v>2</v>
      </c>
      <c r="CEC1739" s="660"/>
      <c r="CED1739" s="660"/>
      <c r="CEF1739" s="629"/>
      <c r="CEG1739" s="630"/>
      <c r="CEH1739" s="631"/>
      <c r="CEI1739" s="631"/>
      <c r="CEJ1739" s="631"/>
      <c r="CEK1739" s="631"/>
      <c r="CEL1739" s="631"/>
      <c r="CEM1739" s="631"/>
      <c r="CEN1739" s="631"/>
      <c r="CEO1739" s="630"/>
      <c r="CEP1739" s="668">
        <f t="shared" ref="CEP1739" si="1240">ROUND((SUM(CEP1738:CEP1738)),2)</f>
        <v>8</v>
      </c>
      <c r="CEQ1739" s="669" t="s">
        <v>2</v>
      </c>
      <c r="CES1739" s="660"/>
      <c r="CET1739" s="660"/>
      <c r="CEV1739" s="629"/>
      <c r="CEW1739" s="630"/>
      <c r="CEX1739" s="631"/>
      <c r="CEY1739" s="631"/>
      <c r="CEZ1739" s="631"/>
      <c r="CFA1739" s="631"/>
      <c r="CFB1739" s="631"/>
      <c r="CFC1739" s="631"/>
      <c r="CFD1739" s="631"/>
      <c r="CFE1739" s="630"/>
      <c r="CFF1739" s="668">
        <f t="shared" ref="CFF1739" si="1241">ROUND((SUM(CFF1738:CFF1738)),2)</f>
        <v>8</v>
      </c>
      <c r="CFG1739" s="669" t="s">
        <v>2</v>
      </c>
      <c r="CFI1739" s="660"/>
      <c r="CFJ1739" s="660"/>
      <c r="CFL1739" s="629"/>
      <c r="CFM1739" s="630"/>
      <c r="CFN1739" s="631"/>
      <c r="CFO1739" s="631"/>
      <c r="CFP1739" s="631"/>
      <c r="CFQ1739" s="631"/>
      <c r="CFR1739" s="631"/>
      <c r="CFS1739" s="631"/>
      <c r="CFT1739" s="631"/>
      <c r="CFU1739" s="630"/>
      <c r="CFV1739" s="668">
        <f t="shared" ref="CFV1739" si="1242">ROUND((SUM(CFV1738:CFV1738)),2)</f>
        <v>8</v>
      </c>
      <c r="CFW1739" s="669" t="s">
        <v>2</v>
      </c>
      <c r="CFY1739" s="660"/>
      <c r="CFZ1739" s="660"/>
      <c r="CGB1739" s="629"/>
      <c r="CGC1739" s="630"/>
      <c r="CGD1739" s="631"/>
      <c r="CGE1739" s="631"/>
      <c r="CGF1739" s="631"/>
      <c r="CGG1739" s="631"/>
      <c r="CGH1739" s="631"/>
      <c r="CGI1739" s="631"/>
      <c r="CGJ1739" s="631"/>
      <c r="CGK1739" s="630"/>
      <c r="CGL1739" s="668">
        <f t="shared" ref="CGL1739" si="1243">ROUND((SUM(CGL1738:CGL1738)),2)</f>
        <v>8</v>
      </c>
      <c r="CGM1739" s="669" t="s">
        <v>2</v>
      </c>
      <c r="CGO1739" s="660"/>
      <c r="CGP1739" s="660"/>
      <c r="CGR1739" s="629"/>
      <c r="CGS1739" s="630"/>
      <c r="CGT1739" s="631"/>
      <c r="CGU1739" s="631"/>
      <c r="CGV1739" s="631"/>
      <c r="CGW1739" s="631"/>
      <c r="CGX1739" s="631"/>
      <c r="CGY1739" s="631"/>
      <c r="CGZ1739" s="631"/>
      <c r="CHA1739" s="630"/>
      <c r="CHB1739" s="668">
        <f t="shared" ref="CHB1739" si="1244">ROUND((SUM(CHB1738:CHB1738)),2)</f>
        <v>8</v>
      </c>
      <c r="CHC1739" s="669" t="s">
        <v>2</v>
      </c>
      <c r="CHE1739" s="660"/>
      <c r="CHF1739" s="660"/>
      <c r="CHH1739" s="629"/>
      <c r="CHI1739" s="630"/>
      <c r="CHJ1739" s="631"/>
      <c r="CHK1739" s="631"/>
      <c r="CHL1739" s="631"/>
      <c r="CHM1739" s="631"/>
      <c r="CHN1739" s="631"/>
      <c r="CHO1739" s="631"/>
      <c r="CHP1739" s="631"/>
      <c r="CHQ1739" s="630"/>
      <c r="CHR1739" s="668">
        <f t="shared" ref="CHR1739" si="1245">ROUND((SUM(CHR1738:CHR1738)),2)</f>
        <v>8</v>
      </c>
      <c r="CHS1739" s="669" t="s">
        <v>2</v>
      </c>
      <c r="CHU1739" s="660"/>
      <c r="CHV1739" s="660"/>
      <c r="CHX1739" s="629"/>
      <c r="CHY1739" s="630"/>
      <c r="CHZ1739" s="631"/>
      <c r="CIA1739" s="631"/>
      <c r="CIB1739" s="631"/>
      <c r="CIC1739" s="631"/>
      <c r="CID1739" s="631"/>
      <c r="CIE1739" s="631"/>
      <c r="CIF1739" s="631"/>
      <c r="CIG1739" s="630"/>
      <c r="CIH1739" s="668">
        <f t="shared" ref="CIH1739" si="1246">ROUND((SUM(CIH1738:CIH1738)),2)</f>
        <v>8</v>
      </c>
      <c r="CII1739" s="669" t="s">
        <v>2</v>
      </c>
      <c r="CIK1739" s="660"/>
      <c r="CIL1739" s="660"/>
      <c r="CIN1739" s="629"/>
      <c r="CIO1739" s="630"/>
      <c r="CIP1739" s="631"/>
      <c r="CIQ1739" s="631"/>
      <c r="CIR1739" s="631"/>
      <c r="CIS1739" s="631"/>
      <c r="CIT1739" s="631"/>
      <c r="CIU1739" s="631"/>
      <c r="CIV1739" s="631"/>
      <c r="CIW1739" s="630"/>
      <c r="CIX1739" s="668">
        <f t="shared" ref="CIX1739" si="1247">ROUND((SUM(CIX1738:CIX1738)),2)</f>
        <v>8</v>
      </c>
      <c r="CIY1739" s="669" t="s">
        <v>2</v>
      </c>
      <c r="CJA1739" s="660"/>
      <c r="CJB1739" s="660"/>
      <c r="CJD1739" s="629"/>
      <c r="CJE1739" s="630"/>
      <c r="CJF1739" s="631"/>
      <c r="CJG1739" s="631"/>
      <c r="CJH1739" s="631"/>
      <c r="CJI1739" s="631"/>
      <c r="CJJ1739" s="631"/>
      <c r="CJK1739" s="631"/>
      <c r="CJL1739" s="631"/>
      <c r="CJM1739" s="630"/>
      <c r="CJN1739" s="668">
        <f t="shared" ref="CJN1739" si="1248">ROUND((SUM(CJN1738:CJN1738)),2)</f>
        <v>8</v>
      </c>
      <c r="CJO1739" s="669" t="s">
        <v>2</v>
      </c>
      <c r="CJQ1739" s="660"/>
      <c r="CJR1739" s="660"/>
      <c r="CJT1739" s="629"/>
      <c r="CJU1739" s="630"/>
      <c r="CJV1739" s="631"/>
      <c r="CJW1739" s="631"/>
      <c r="CJX1739" s="631"/>
      <c r="CJY1739" s="631"/>
      <c r="CJZ1739" s="631"/>
      <c r="CKA1739" s="631"/>
      <c r="CKB1739" s="631"/>
      <c r="CKC1739" s="630"/>
      <c r="CKD1739" s="668">
        <f t="shared" ref="CKD1739" si="1249">ROUND((SUM(CKD1738:CKD1738)),2)</f>
        <v>8</v>
      </c>
      <c r="CKE1739" s="669" t="s">
        <v>2</v>
      </c>
      <c r="CKG1739" s="660"/>
      <c r="CKH1739" s="660"/>
      <c r="CKJ1739" s="629"/>
      <c r="CKK1739" s="630"/>
      <c r="CKL1739" s="631"/>
      <c r="CKM1739" s="631"/>
      <c r="CKN1739" s="631"/>
      <c r="CKO1739" s="631"/>
      <c r="CKP1739" s="631"/>
      <c r="CKQ1739" s="631"/>
      <c r="CKR1739" s="631"/>
      <c r="CKS1739" s="630"/>
      <c r="CKT1739" s="668">
        <f t="shared" ref="CKT1739" si="1250">ROUND((SUM(CKT1738:CKT1738)),2)</f>
        <v>8</v>
      </c>
      <c r="CKU1739" s="669" t="s">
        <v>2</v>
      </c>
      <c r="CKW1739" s="660"/>
      <c r="CKX1739" s="660"/>
      <c r="CKZ1739" s="629"/>
      <c r="CLA1739" s="630"/>
      <c r="CLB1739" s="631"/>
      <c r="CLC1739" s="631"/>
      <c r="CLD1739" s="631"/>
      <c r="CLE1739" s="631"/>
      <c r="CLF1739" s="631"/>
      <c r="CLG1739" s="631"/>
      <c r="CLH1739" s="631"/>
      <c r="CLI1739" s="630"/>
      <c r="CLJ1739" s="668">
        <f t="shared" ref="CLJ1739" si="1251">ROUND((SUM(CLJ1738:CLJ1738)),2)</f>
        <v>8</v>
      </c>
      <c r="CLK1739" s="669" t="s">
        <v>2</v>
      </c>
      <c r="CLM1739" s="660"/>
      <c r="CLN1739" s="660"/>
      <c r="CLP1739" s="629"/>
      <c r="CLQ1739" s="630"/>
      <c r="CLR1739" s="631"/>
      <c r="CLS1739" s="631"/>
      <c r="CLT1739" s="631"/>
      <c r="CLU1739" s="631"/>
      <c r="CLV1739" s="631"/>
      <c r="CLW1739" s="631"/>
      <c r="CLX1739" s="631"/>
      <c r="CLY1739" s="630"/>
      <c r="CLZ1739" s="668">
        <f t="shared" ref="CLZ1739" si="1252">ROUND((SUM(CLZ1738:CLZ1738)),2)</f>
        <v>8</v>
      </c>
      <c r="CMA1739" s="669" t="s">
        <v>2</v>
      </c>
      <c r="CMC1739" s="660"/>
      <c r="CMD1739" s="660"/>
      <c r="CMF1739" s="629"/>
      <c r="CMG1739" s="630"/>
      <c r="CMH1739" s="631"/>
      <c r="CMI1739" s="631"/>
      <c r="CMJ1739" s="631"/>
      <c r="CMK1739" s="631"/>
      <c r="CML1739" s="631"/>
      <c r="CMM1739" s="631"/>
      <c r="CMN1739" s="631"/>
      <c r="CMO1739" s="630"/>
      <c r="CMP1739" s="668">
        <f t="shared" ref="CMP1739" si="1253">ROUND((SUM(CMP1738:CMP1738)),2)</f>
        <v>8</v>
      </c>
      <c r="CMQ1739" s="669" t="s">
        <v>2</v>
      </c>
      <c r="CMS1739" s="660"/>
      <c r="CMT1739" s="660"/>
      <c r="CMV1739" s="629"/>
      <c r="CMW1739" s="630"/>
      <c r="CMX1739" s="631"/>
      <c r="CMY1739" s="631"/>
      <c r="CMZ1739" s="631"/>
      <c r="CNA1739" s="631"/>
      <c r="CNB1739" s="631"/>
      <c r="CNC1739" s="631"/>
      <c r="CND1739" s="631"/>
      <c r="CNE1739" s="630"/>
      <c r="CNF1739" s="668">
        <f t="shared" ref="CNF1739" si="1254">ROUND((SUM(CNF1738:CNF1738)),2)</f>
        <v>8</v>
      </c>
      <c r="CNG1739" s="669" t="s">
        <v>2</v>
      </c>
      <c r="CNI1739" s="660"/>
      <c r="CNJ1739" s="660"/>
      <c r="CNL1739" s="629"/>
      <c r="CNM1739" s="630"/>
      <c r="CNN1739" s="631"/>
      <c r="CNO1739" s="631"/>
      <c r="CNP1739" s="631"/>
      <c r="CNQ1739" s="631"/>
      <c r="CNR1739" s="631"/>
      <c r="CNS1739" s="631"/>
      <c r="CNT1739" s="631"/>
      <c r="CNU1739" s="630"/>
      <c r="CNV1739" s="668">
        <f t="shared" ref="CNV1739" si="1255">ROUND((SUM(CNV1738:CNV1738)),2)</f>
        <v>8</v>
      </c>
      <c r="CNW1739" s="669" t="s">
        <v>2</v>
      </c>
      <c r="CNY1739" s="660"/>
      <c r="CNZ1739" s="660"/>
      <c r="COB1739" s="629"/>
      <c r="COC1739" s="630"/>
      <c r="COD1739" s="631"/>
      <c r="COE1739" s="631"/>
      <c r="COF1739" s="631"/>
      <c r="COG1739" s="631"/>
      <c r="COH1739" s="631"/>
      <c r="COI1739" s="631"/>
      <c r="COJ1739" s="631"/>
      <c r="COK1739" s="630"/>
      <c r="COL1739" s="668">
        <f t="shared" ref="COL1739" si="1256">ROUND((SUM(COL1738:COL1738)),2)</f>
        <v>8</v>
      </c>
      <c r="COM1739" s="669" t="s">
        <v>2</v>
      </c>
      <c r="COO1739" s="660"/>
      <c r="COP1739" s="660"/>
      <c r="COR1739" s="629"/>
      <c r="COS1739" s="630"/>
      <c r="COT1739" s="631"/>
      <c r="COU1739" s="631"/>
      <c r="COV1739" s="631"/>
      <c r="COW1739" s="631"/>
      <c r="COX1739" s="631"/>
      <c r="COY1739" s="631"/>
      <c r="COZ1739" s="631"/>
      <c r="CPA1739" s="630"/>
      <c r="CPB1739" s="668">
        <f t="shared" ref="CPB1739" si="1257">ROUND((SUM(CPB1738:CPB1738)),2)</f>
        <v>8</v>
      </c>
      <c r="CPC1739" s="669" t="s">
        <v>2</v>
      </c>
      <c r="CPE1739" s="660"/>
      <c r="CPF1739" s="660"/>
      <c r="CPH1739" s="629"/>
      <c r="CPI1739" s="630"/>
      <c r="CPJ1739" s="631"/>
      <c r="CPK1739" s="631"/>
      <c r="CPL1739" s="631"/>
      <c r="CPM1739" s="631"/>
      <c r="CPN1739" s="631"/>
      <c r="CPO1739" s="631"/>
      <c r="CPP1739" s="631"/>
      <c r="CPQ1739" s="630"/>
      <c r="CPR1739" s="668">
        <f t="shared" ref="CPR1739" si="1258">ROUND((SUM(CPR1738:CPR1738)),2)</f>
        <v>8</v>
      </c>
      <c r="CPS1739" s="669" t="s">
        <v>2</v>
      </c>
      <c r="CPU1739" s="660"/>
      <c r="CPV1739" s="660"/>
      <c r="CPX1739" s="629"/>
      <c r="CPY1739" s="630"/>
      <c r="CPZ1739" s="631"/>
      <c r="CQA1739" s="631"/>
      <c r="CQB1739" s="631"/>
      <c r="CQC1739" s="631"/>
      <c r="CQD1739" s="631"/>
      <c r="CQE1739" s="631"/>
      <c r="CQF1739" s="631"/>
      <c r="CQG1739" s="630"/>
      <c r="CQH1739" s="668">
        <f t="shared" ref="CQH1739" si="1259">ROUND((SUM(CQH1738:CQH1738)),2)</f>
        <v>8</v>
      </c>
      <c r="CQI1739" s="669" t="s">
        <v>2</v>
      </c>
      <c r="CQK1739" s="660"/>
      <c r="CQL1739" s="660"/>
      <c r="CQN1739" s="629"/>
      <c r="CQO1739" s="630"/>
      <c r="CQP1739" s="631"/>
      <c r="CQQ1739" s="631"/>
      <c r="CQR1739" s="631"/>
      <c r="CQS1739" s="631"/>
      <c r="CQT1739" s="631"/>
      <c r="CQU1739" s="631"/>
      <c r="CQV1739" s="631"/>
      <c r="CQW1739" s="630"/>
      <c r="CQX1739" s="668">
        <f t="shared" ref="CQX1739" si="1260">ROUND((SUM(CQX1738:CQX1738)),2)</f>
        <v>8</v>
      </c>
      <c r="CQY1739" s="669" t="s">
        <v>2</v>
      </c>
      <c r="CRA1739" s="660"/>
      <c r="CRB1739" s="660"/>
      <c r="CRD1739" s="629"/>
      <c r="CRE1739" s="630"/>
      <c r="CRF1739" s="631"/>
      <c r="CRG1739" s="631"/>
      <c r="CRH1739" s="631"/>
      <c r="CRI1739" s="631"/>
      <c r="CRJ1739" s="631"/>
      <c r="CRK1739" s="631"/>
      <c r="CRL1739" s="631"/>
      <c r="CRM1739" s="630"/>
      <c r="CRN1739" s="668">
        <f t="shared" ref="CRN1739" si="1261">ROUND((SUM(CRN1738:CRN1738)),2)</f>
        <v>8</v>
      </c>
      <c r="CRO1739" s="669" t="s">
        <v>2</v>
      </c>
      <c r="CRQ1739" s="660"/>
      <c r="CRR1739" s="660"/>
      <c r="CRT1739" s="629"/>
      <c r="CRU1739" s="630"/>
      <c r="CRV1739" s="631"/>
      <c r="CRW1739" s="631"/>
      <c r="CRX1739" s="631"/>
      <c r="CRY1739" s="631"/>
      <c r="CRZ1739" s="631"/>
      <c r="CSA1739" s="631"/>
      <c r="CSB1739" s="631"/>
      <c r="CSC1739" s="630"/>
      <c r="CSD1739" s="668">
        <f t="shared" ref="CSD1739" si="1262">ROUND((SUM(CSD1738:CSD1738)),2)</f>
        <v>8</v>
      </c>
      <c r="CSE1739" s="669" t="s">
        <v>2</v>
      </c>
      <c r="CSG1739" s="660"/>
      <c r="CSH1739" s="660"/>
      <c r="CSJ1739" s="629"/>
      <c r="CSK1739" s="630"/>
      <c r="CSL1739" s="631"/>
      <c r="CSM1739" s="631"/>
      <c r="CSN1739" s="631"/>
      <c r="CSO1739" s="631"/>
      <c r="CSP1739" s="631"/>
      <c r="CSQ1739" s="631"/>
      <c r="CSR1739" s="631"/>
      <c r="CSS1739" s="630"/>
      <c r="CST1739" s="668">
        <f t="shared" ref="CST1739" si="1263">ROUND((SUM(CST1738:CST1738)),2)</f>
        <v>8</v>
      </c>
      <c r="CSU1739" s="669" t="s">
        <v>2</v>
      </c>
      <c r="CSW1739" s="660"/>
      <c r="CSX1739" s="660"/>
      <c r="CSZ1739" s="629"/>
      <c r="CTA1739" s="630"/>
      <c r="CTB1739" s="631"/>
      <c r="CTC1739" s="631"/>
      <c r="CTD1739" s="631"/>
      <c r="CTE1739" s="631"/>
      <c r="CTF1739" s="631"/>
      <c r="CTG1739" s="631"/>
      <c r="CTH1739" s="631"/>
      <c r="CTI1739" s="630"/>
      <c r="CTJ1739" s="668">
        <f t="shared" ref="CTJ1739" si="1264">ROUND((SUM(CTJ1738:CTJ1738)),2)</f>
        <v>8</v>
      </c>
      <c r="CTK1739" s="669" t="s">
        <v>2</v>
      </c>
      <c r="CTM1739" s="660"/>
      <c r="CTN1739" s="660"/>
      <c r="CTP1739" s="629"/>
      <c r="CTQ1739" s="630"/>
      <c r="CTR1739" s="631"/>
      <c r="CTS1739" s="631"/>
      <c r="CTT1739" s="631"/>
      <c r="CTU1739" s="631"/>
      <c r="CTV1739" s="631"/>
      <c r="CTW1739" s="631"/>
      <c r="CTX1739" s="631"/>
      <c r="CTY1739" s="630"/>
      <c r="CTZ1739" s="668">
        <f t="shared" ref="CTZ1739" si="1265">ROUND((SUM(CTZ1738:CTZ1738)),2)</f>
        <v>8</v>
      </c>
      <c r="CUA1739" s="669" t="s">
        <v>2</v>
      </c>
      <c r="CUC1739" s="660"/>
      <c r="CUD1739" s="660"/>
      <c r="CUF1739" s="629"/>
      <c r="CUG1739" s="630"/>
      <c r="CUH1739" s="631"/>
      <c r="CUI1739" s="631"/>
      <c r="CUJ1739" s="631"/>
      <c r="CUK1739" s="631"/>
      <c r="CUL1739" s="631"/>
      <c r="CUM1739" s="631"/>
      <c r="CUN1739" s="631"/>
      <c r="CUO1739" s="630"/>
      <c r="CUP1739" s="668">
        <f t="shared" ref="CUP1739" si="1266">ROUND((SUM(CUP1738:CUP1738)),2)</f>
        <v>8</v>
      </c>
      <c r="CUQ1739" s="669" t="s">
        <v>2</v>
      </c>
      <c r="CUS1739" s="660"/>
      <c r="CUT1739" s="660"/>
      <c r="CUV1739" s="629"/>
      <c r="CUW1739" s="630"/>
      <c r="CUX1739" s="631"/>
      <c r="CUY1739" s="631"/>
      <c r="CUZ1739" s="631"/>
      <c r="CVA1739" s="631"/>
      <c r="CVB1739" s="631"/>
      <c r="CVC1739" s="631"/>
      <c r="CVD1739" s="631"/>
      <c r="CVE1739" s="630"/>
      <c r="CVF1739" s="668">
        <f t="shared" ref="CVF1739" si="1267">ROUND((SUM(CVF1738:CVF1738)),2)</f>
        <v>8</v>
      </c>
      <c r="CVG1739" s="669" t="s">
        <v>2</v>
      </c>
      <c r="CVI1739" s="660"/>
      <c r="CVJ1739" s="660"/>
      <c r="CVL1739" s="629"/>
      <c r="CVM1739" s="630"/>
      <c r="CVN1739" s="631"/>
      <c r="CVO1739" s="631"/>
      <c r="CVP1739" s="631"/>
      <c r="CVQ1739" s="631"/>
      <c r="CVR1739" s="631"/>
      <c r="CVS1739" s="631"/>
      <c r="CVT1739" s="631"/>
      <c r="CVU1739" s="630"/>
      <c r="CVV1739" s="668">
        <f t="shared" ref="CVV1739" si="1268">ROUND((SUM(CVV1738:CVV1738)),2)</f>
        <v>8</v>
      </c>
      <c r="CVW1739" s="669" t="s">
        <v>2</v>
      </c>
      <c r="CVY1739" s="660"/>
      <c r="CVZ1739" s="660"/>
      <c r="CWB1739" s="629"/>
      <c r="CWC1739" s="630"/>
      <c r="CWD1739" s="631"/>
      <c r="CWE1739" s="631"/>
      <c r="CWF1739" s="631"/>
      <c r="CWG1739" s="631"/>
      <c r="CWH1739" s="631"/>
      <c r="CWI1739" s="631"/>
      <c r="CWJ1739" s="631"/>
      <c r="CWK1739" s="630"/>
      <c r="CWL1739" s="668">
        <f t="shared" ref="CWL1739" si="1269">ROUND((SUM(CWL1738:CWL1738)),2)</f>
        <v>8</v>
      </c>
      <c r="CWM1739" s="669" t="s">
        <v>2</v>
      </c>
      <c r="CWO1739" s="660"/>
      <c r="CWP1739" s="660"/>
      <c r="CWR1739" s="629"/>
      <c r="CWS1739" s="630"/>
      <c r="CWT1739" s="631"/>
      <c r="CWU1739" s="631"/>
      <c r="CWV1739" s="631"/>
      <c r="CWW1739" s="631"/>
      <c r="CWX1739" s="631"/>
      <c r="CWY1739" s="631"/>
      <c r="CWZ1739" s="631"/>
      <c r="CXA1739" s="630"/>
      <c r="CXB1739" s="668">
        <f t="shared" ref="CXB1739" si="1270">ROUND((SUM(CXB1738:CXB1738)),2)</f>
        <v>8</v>
      </c>
      <c r="CXC1739" s="669" t="s">
        <v>2</v>
      </c>
      <c r="CXE1739" s="660"/>
      <c r="CXF1739" s="660"/>
      <c r="CXH1739" s="629"/>
      <c r="CXI1739" s="630"/>
      <c r="CXJ1739" s="631"/>
      <c r="CXK1739" s="631"/>
      <c r="CXL1739" s="631"/>
      <c r="CXM1739" s="631"/>
      <c r="CXN1739" s="631"/>
      <c r="CXO1739" s="631"/>
      <c r="CXP1739" s="631"/>
      <c r="CXQ1739" s="630"/>
      <c r="CXR1739" s="668">
        <f t="shared" ref="CXR1739" si="1271">ROUND((SUM(CXR1738:CXR1738)),2)</f>
        <v>8</v>
      </c>
      <c r="CXS1739" s="669" t="s">
        <v>2</v>
      </c>
      <c r="CXU1739" s="660"/>
      <c r="CXV1739" s="660"/>
      <c r="CXX1739" s="629"/>
      <c r="CXY1739" s="630"/>
      <c r="CXZ1739" s="631"/>
      <c r="CYA1739" s="631"/>
      <c r="CYB1739" s="631"/>
      <c r="CYC1739" s="631"/>
      <c r="CYD1739" s="631"/>
      <c r="CYE1739" s="631"/>
      <c r="CYF1739" s="631"/>
      <c r="CYG1739" s="630"/>
      <c r="CYH1739" s="668">
        <f t="shared" ref="CYH1739" si="1272">ROUND((SUM(CYH1738:CYH1738)),2)</f>
        <v>8</v>
      </c>
      <c r="CYI1739" s="669" t="s">
        <v>2</v>
      </c>
      <c r="CYK1739" s="660"/>
      <c r="CYL1739" s="660"/>
      <c r="CYN1739" s="629"/>
      <c r="CYO1739" s="630"/>
      <c r="CYP1739" s="631"/>
      <c r="CYQ1739" s="631"/>
      <c r="CYR1739" s="631"/>
      <c r="CYS1739" s="631"/>
      <c r="CYT1739" s="631"/>
      <c r="CYU1739" s="631"/>
      <c r="CYV1739" s="631"/>
      <c r="CYW1739" s="630"/>
      <c r="CYX1739" s="668">
        <f t="shared" ref="CYX1739" si="1273">ROUND((SUM(CYX1738:CYX1738)),2)</f>
        <v>8</v>
      </c>
      <c r="CYY1739" s="669" t="s">
        <v>2</v>
      </c>
      <c r="CZA1739" s="660"/>
      <c r="CZB1739" s="660"/>
      <c r="CZD1739" s="629"/>
      <c r="CZE1739" s="630"/>
      <c r="CZF1739" s="631"/>
      <c r="CZG1739" s="631"/>
      <c r="CZH1739" s="631"/>
      <c r="CZI1739" s="631"/>
      <c r="CZJ1739" s="631"/>
      <c r="CZK1739" s="631"/>
      <c r="CZL1739" s="631"/>
      <c r="CZM1739" s="630"/>
      <c r="CZN1739" s="668">
        <f t="shared" ref="CZN1739" si="1274">ROUND((SUM(CZN1738:CZN1738)),2)</f>
        <v>8</v>
      </c>
      <c r="CZO1739" s="669" t="s">
        <v>2</v>
      </c>
      <c r="CZQ1739" s="660"/>
      <c r="CZR1739" s="660"/>
      <c r="CZT1739" s="629"/>
      <c r="CZU1739" s="630"/>
      <c r="CZV1739" s="631"/>
      <c r="CZW1739" s="631"/>
      <c r="CZX1739" s="631"/>
      <c r="CZY1739" s="631"/>
      <c r="CZZ1739" s="631"/>
      <c r="DAA1739" s="631"/>
      <c r="DAB1739" s="631"/>
      <c r="DAC1739" s="630"/>
      <c r="DAD1739" s="668">
        <f t="shared" ref="DAD1739" si="1275">ROUND((SUM(DAD1738:DAD1738)),2)</f>
        <v>8</v>
      </c>
      <c r="DAE1739" s="669" t="s">
        <v>2</v>
      </c>
      <c r="DAG1739" s="660"/>
      <c r="DAH1739" s="660"/>
      <c r="DAJ1739" s="629"/>
      <c r="DAK1739" s="630"/>
      <c r="DAL1739" s="631"/>
      <c r="DAM1739" s="631"/>
      <c r="DAN1739" s="631"/>
      <c r="DAO1739" s="631"/>
      <c r="DAP1739" s="631"/>
      <c r="DAQ1739" s="631"/>
      <c r="DAR1739" s="631"/>
      <c r="DAS1739" s="630"/>
      <c r="DAT1739" s="668">
        <f t="shared" ref="DAT1739" si="1276">ROUND((SUM(DAT1738:DAT1738)),2)</f>
        <v>8</v>
      </c>
      <c r="DAU1739" s="669" t="s">
        <v>2</v>
      </c>
      <c r="DAW1739" s="660"/>
      <c r="DAX1739" s="660"/>
      <c r="DAZ1739" s="629"/>
      <c r="DBA1739" s="630"/>
      <c r="DBB1739" s="631"/>
      <c r="DBC1739" s="631"/>
      <c r="DBD1739" s="631"/>
      <c r="DBE1739" s="631"/>
      <c r="DBF1739" s="631"/>
      <c r="DBG1739" s="631"/>
      <c r="DBH1739" s="631"/>
      <c r="DBI1739" s="630"/>
      <c r="DBJ1739" s="668">
        <f t="shared" ref="DBJ1739" si="1277">ROUND((SUM(DBJ1738:DBJ1738)),2)</f>
        <v>8</v>
      </c>
      <c r="DBK1739" s="669" t="s">
        <v>2</v>
      </c>
      <c r="DBM1739" s="660"/>
      <c r="DBN1739" s="660"/>
      <c r="DBP1739" s="629"/>
      <c r="DBQ1739" s="630"/>
      <c r="DBR1739" s="631"/>
      <c r="DBS1739" s="631"/>
      <c r="DBT1739" s="631"/>
      <c r="DBU1739" s="631"/>
      <c r="DBV1739" s="631"/>
      <c r="DBW1739" s="631"/>
      <c r="DBX1739" s="631"/>
      <c r="DBY1739" s="630"/>
      <c r="DBZ1739" s="668">
        <f t="shared" ref="DBZ1739" si="1278">ROUND((SUM(DBZ1738:DBZ1738)),2)</f>
        <v>8</v>
      </c>
      <c r="DCA1739" s="669" t="s">
        <v>2</v>
      </c>
      <c r="DCC1739" s="660"/>
      <c r="DCD1739" s="660"/>
      <c r="DCF1739" s="629"/>
      <c r="DCG1739" s="630"/>
      <c r="DCH1739" s="631"/>
      <c r="DCI1739" s="631"/>
      <c r="DCJ1739" s="631"/>
      <c r="DCK1739" s="631"/>
      <c r="DCL1739" s="631"/>
      <c r="DCM1739" s="631"/>
      <c r="DCN1739" s="631"/>
      <c r="DCO1739" s="630"/>
      <c r="DCP1739" s="668">
        <f t="shared" ref="DCP1739" si="1279">ROUND((SUM(DCP1738:DCP1738)),2)</f>
        <v>8</v>
      </c>
      <c r="DCQ1739" s="669" t="s">
        <v>2</v>
      </c>
      <c r="DCS1739" s="660"/>
      <c r="DCT1739" s="660"/>
      <c r="DCV1739" s="629"/>
      <c r="DCW1739" s="630"/>
      <c r="DCX1739" s="631"/>
      <c r="DCY1739" s="631"/>
      <c r="DCZ1739" s="631"/>
      <c r="DDA1739" s="631"/>
      <c r="DDB1739" s="631"/>
      <c r="DDC1739" s="631"/>
      <c r="DDD1739" s="631"/>
      <c r="DDE1739" s="630"/>
      <c r="DDF1739" s="668">
        <f t="shared" ref="DDF1739" si="1280">ROUND((SUM(DDF1738:DDF1738)),2)</f>
        <v>8</v>
      </c>
      <c r="DDG1739" s="669" t="s">
        <v>2</v>
      </c>
      <c r="DDI1739" s="660"/>
      <c r="DDJ1739" s="660"/>
      <c r="DDL1739" s="629"/>
      <c r="DDM1739" s="630"/>
      <c r="DDN1739" s="631"/>
      <c r="DDO1739" s="631"/>
      <c r="DDP1739" s="631"/>
      <c r="DDQ1739" s="631"/>
      <c r="DDR1739" s="631"/>
      <c r="DDS1739" s="631"/>
      <c r="DDT1739" s="631"/>
      <c r="DDU1739" s="630"/>
      <c r="DDV1739" s="668">
        <f t="shared" ref="DDV1739" si="1281">ROUND((SUM(DDV1738:DDV1738)),2)</f>
        <v>8</v>
      </c>
      <c r="DDW1739" s="669" t="s">
        <v>2</v>
      </c>
      <c r="DDY1739" s="660"/>
      <c r="DDZ1739" s="660"/>
      <c r="DEB1739" s="629"/>
      <c r="DEC1739" s="630"/>
      <c r="DED1739" s="631"/>
      <c r="DEE1739" s="631"/>
      <c r="DEF1739" s="631"/>
      <c r="DEG1739" s="631"/>
      <c r="DEH1739" s="631"/>
      <c r="DEI1739" s="631"/>
      <c r="DEJ1739" s="631"/>
      <c r="DEK1739" s="630"/>
      <c r="DEL1739" s="668">
        <f t="shared" ref="DEL1739" si="1282">ROUND((SUM(DEL1738:DEL1738)),2)</f>
        <v>8</v>
      </c>
      <c r="DEM1739" s="669" t="s">
        <v>2</v>
      </c>
      <c r="DEO1739" s="660"/>
      <c r="DEP1739" s="660"/>
      <c r="DER1739" s="629"/>
      <c r="DES1739" s="630"/>
      <c r="DET1739" s="631"/>
      <c r="DEU1739" s="631"/>
      <c r="DEV1739" s="631"/>
      <c r="DEW1739" s="631"/>
      <c r="DEX1739" s="631"/>
      <c r="DEY1739" s="631"/>
      <c r="DEZ1739" s="631"/>
      <c r="DFA1739" s="630"/>
      <c r="DFB1739" s="668">
        <f t="shared" ref="DFB1739" si="1283">ROUND((SUM(DFB1738:DFB1738)),2)</f>
        <v>8</v>
      </c>
      <c r="DFC1739" s="669" t="s">
        <v>2</v>
      </c>
      <c r="DFE1739" s="660"/>
      <c r="DFF1739" s="660"/>
      <c r="DFH1739" s="629"/>
      <c r="DFI1739" s="630"/>
      <c r="DFJ1739" s="631"/>
      <c r="DFK1739" s="631"/>
      <c r="DFL1739" s="631"/>
      <c r="DFM1739" s="631"/>
      <c r="DFN1739" s="631"/>
      <c r="DFO1739" s="631"/>
      <c r="DFP1739" s="631"/>
      <c r="DFQ1739" s="630"/>
      <c r="DFR1739" s="668">
        <f t="shared" ref="DFR1739" si="1284">ROUND((SUM(DFR1738:DFR1738)),2)</f>
        <v>8</v>
      </c>
      <c r="DFS1739" s="669" t="s">
        <v>2</v>
      </c>
      <c r="DFU1739" s="660"/>
      <c r="DFV1739" s="660"/>
      <c r="DFX1739" s="629"/>
      <c r="DFY1739" s="630"/>
      <c r="DFZ1739" s="631"/>
      <c r="DGA1739" s="631"/>
      <c r="DGB1739" s="631"/>
      <c r="DGC1739" s="631"/>
      <c r="DGD1739" s="631"/>
      <c r="DGE1739" s="631"/>
      <c r="DGF1739" s="631"/>
      <c r="DGG1739" s="630"/>
      <c r="DGH1739" s="668">
        <f t="shared" ref="DGH1739" si="1285">ROUND((SUM(DGH1738:DGH1738)),2)</f>
        <v>8</v>
      </c>
      <c r="DGI1739" s="669" t="s">
        <v>2</v>
      </c>
      <c r="DGK1739" s="660"/>
      <c r="DGL1739" s="660"/>
      <c r="DGN1739" s="629"/>
      <c r="DGO1739" s="630"/>
      <c r="DGP1739" s="631"/>
      <c r="DGQ1739" s="631"/>
      <c r="DGR1739" s="631"/>
      <c r="DGS1739" s="631"/>
      <c r="DGT1739" s="631"/>
      <c r="DGU1739" s="631"/>
      <c r="DGV1739" s="631"/>
      <c r="DGW1739" s="630"/>
      <c r="DGX1739" s="668">
        <f t="shared" ref="DGX1739" si="1286">ROUND((SUM(DGX1738:DGX1738)),2)</f>
        <v>8</v>
      </c>
      <c r="DGY1739" s="669" t="s">
        <v>2</v>
      </c>
      <c r="DHA1739" s="660"/>
      <c r="DHB1739" s="660"/>
      <c r="DHD1739" s="629"/>
      <c r="DHE1739" s="630"/>
      <c r="DHF1739" s="631"/>
      <c r="DHG1739" s="631"/>
      <c r="DHH1739" s="631"/>
      <c r="DHI1739" s="631"/>
      <c r="DHJ1739" s="631"/>
      <c r="DHK1739" s="631"/>
      <c r="DHL1739" s="631"/>
      <c r="DHM1739" s="630"/>
      <c r="DHN1739" s="668">
        <f t="shared" ref="DHN1739" si="1287">ROUND((SUM(DHN1738:DHN1738)),2)</f>
        <v>8</v>
      </c>
      <c r="DHO1739" s="669" t="s">
        <v>2</v>
      </c>
      <c r="DHQ1739" s="660"/>
      <c r="DHR1739" s="660"/>
      <c r="DHT1739" s="629"/>
      <c r="DHU1739" s="630"/>
      <c r="DHV1739" s="631"/>
      <c r="DHW1739" s="631"/>
      <c r="DHX1739" s="631"/>
      <c r="DHY1739" s="631"/>
      <c r="DHZ1739" s="631"/>
      <c r="DIA1739" s="631"/>
      <c r="DIB1739" s="631"/>
      <c r="DIC1739" s="630"/>
      <c r="DID1739" s="668">
        <f t="shared" ref="DID1739" si="1288">ROUND((SUM(DID1738:DID1738)),2)</f>
        <v>8</v>
      </c>
      <c r="DIE1739" s="669" t="s">
        <v>2</v>
      </c>
      <c r="DIG1739" s="660"/>
      <c r="DIH1739" s="660"/>
      <c r="DIJ1739" s="629"/>
      <c r="DIK1739" s="630"/>
      <c r="DIL1739" s="631"/>
      <c r="DIM1739" s="631"/>
      <c r="DIN1739" s="631"/>
      <c r="DIO1739" s="631"/>
      <c r="DIP1739" s="631"/>
      <c r="DIQ1739" s="631"/>
      <c r="DIR1739" s="631"/>
      <c r="DIS1739" s="630"/>
      <c r="DIT1739" s="668">
        <f t="shared" ref="DIT1739" si="1289">ROUND((SUM(DIT1738:DIT1738)),2)</f>
        <v>8</v>
      </c>
      <c r="DIU1739" s="669" t="s">
        <v>2</v>
      </c>
      <c r="DIW1739" s="660"/>
      <c r="DIX1739" s="660"/>
      <c r="DIZ1739" s="629"/>
      <c r="DJA1739" s="630"/>
      <c r="DJB1739" s="631"/>
      <c r="DJC1739" s="631"/>
      <c r="DJD1739" s="631"/>
      <c r="DJE1739" s="631"/>
      <c r="DJF1739" s="631"/>
      <c r="DJG1739" s="631"/>
      <c r="DJH1739" s="631"/>
      <c r="DJI1739" s="630"/>
      <c r="DJJ1739" s="668">
        <f t="shared" ref="DJJ1739" si="1290">ROUND((SUM(DJJ1738:DJJ1738)),2)</f>
        <v>8</v>
      </c>
      <c r="DJK1739" s="669" t="s">
        <v>2</v>
      </c>
      <c r="DJM1739" s="660"/>
      <c r="DJN1739" s="660"/>
      <c r="DJP1739" s="629"/>
      <c r="DJQ1739" s="630"/>
      <c r="DJR1739" s="631"/>
      <c r="DJS1739" s="631"/>
      <c r="DJT1739" s="631"/>
      <c r="DJU1739" s="631"/>
      <c r="DJV1739" s="631"/>
      <c r="DJW1739" s="631"/>
      <c r="DJX1739" s="631"/>
      <c r="DJY1739" s="630"/>
      <c r="DJZ1739" s="668">
        <f t="shared" ref="DJZ1739" si="1291">ROUND((SUM(DJZ1738:DJZ1738)),2)</f>
        <v>8</v>
      </c>
      <c r="DKA1739" s="669" t="s">
        <v>2</v>
      </c>
      <c r="DKC1739" s="660"/>
      <c r="DKD1739" s="660"/>
      <c r="DKF1739" s="629"/>
      <c r="DKG1739" s="630"/>
      <c r="DKH1739" s="631"/>
      <c r="DKI1739" s="631"/>
      <c r="DKJ1739" s="631"/>
      <c r="DKK1739" s="631"/>
      <c r="DKL1739" s="631"/>
      <c r="DKM1739" s="631"/>
      <c r="DKN1739" s="631"/>
      <c r="DKO1739" s="630"/>
      <c r="DKP1739" s="668">
        <f t="shared" ref="DKP1739" si="1292">ROUND((SUM(DKP1738:DKP1738)),2)</f>
        <v>8</v>
      </c>
      <c r="DKQ1739" s="669" t="s">
        <v>2</v>
      </c>
      <c r="DKS1739" s="660"/>
      <c r="DKT1739" s="660"/>
      <c r="DKV1739" s="629"/>
      <c r="DKW1739" s="630"/>
      <c r="DKX1739" s="631"/>
      <c r="DKY1739" s="631"/>
      <c r="DKZ1739" s="631"/>
      <c r="DLA1739" s="631"/>
      <c r="DLB1739" s="631"/>
      <c r="DLC1739" s="631"/>
      <c r="DLD1739" s="631"/>
      <c r="DLE1739" s="630"/>
      <c r="DLF1739" s="668">
        <f t="shared" ref="DLF1739" si="1293">ROUND((SUM(DLF1738:DLF1738)),2)</f>
        <v>8</v>
      </c>
      <c r="DLG1739" s="669" t="s">
        <v>2</v>
      </c>
      <c r="DLI1739" s="660"/>
      <c r="DLJ1739" s="660"/>
      <c r="DLL1739" s="629"/>
      <c r="DLM1739" s="630"/>
      <c r="DLN1739" s="631"/>
      <c r="DLO1739" s="631"/>
      <c r="DLP1739" s="631"/>
      <c r="DLQ1739" s="631"/>
      <c r="DLR1739" s="631"/>
      <c r="DLS1739" s="631"/>
      <c r="DLT1739" s="631"/>
      <c r="DLU1739" s="630"/>
      <c r="DLV1739" s="668">
        <f t="shared" ref="DLV1739" si="1294">ROUND((SUM(DLV1738:DLV1738)),2)</f>
        <v>8</v>
      </c>
      <c r="DLW1739" s="669" t="s">
        <v>2</v>
      </c>
      <c r="DLY1739" s="660"/>
      <c r="DLZ1739" s="660"/>
      <c r="DMB1739" s="629"/>
      <c r="DMC1739" s="630"/>
      <c r="DMD1739" s="631"/>
      <c r="DME1739" s="631"/>
      <c r="DMF1739" s="631"/>
      <c r="DMG1739" s="631"/>
      <c r="DMH1739" s="631"/>
      <c r="DMI1739" s="631"/>
      <c r="DMJ1739" s="631"/>
      <c r="DMK1739" s="630"/>
      <c r="DML1739" s="668">
        <f t="shared" ref="DML1739" si="1295">ROUND((SUM(DML1738:DML1738)),2)</f>
        <v>8</v>
      </c>
      <c r="DMM1739" s="669" t="s">
        <v>2</v>
      </c>
      <c r="DMO1739" s="660"/>
      <c r="DMP1739" s="660"/>
      <c r="DMR1739" s="629"/>
      <c r="DMS1739" s="630"/>
      <c r="DMT1739" s="631"/>
      <c r="DMU1739" s="631"/>
      <c r="DMV1739" s="631"/>
      <c r="DMW1739" s="631"/>
      <c r="DMX1739" s="631"/>
      <c r="DMY1739" s="631"/>
      <c r="DMZ1739" s="631"/>
      <c r="DNA1739" s="630"/>
      <c r="DNB1739" s="668">
        <f t="shared" ref="DNB1739" si="1296">ROUND((SUM(DNB1738:DNB1738)),2)</f>
        <v>8</v>
      </c>
      <c r="DNC1739" s="669" t="s">
        <v>2</v>
      </c>
      <c r="DNE1739" s="660"/>
      <c r="DNF1739" s="660"/>
      <c r="DNH1739" s="629"/>
      <c r="DNI1739" s="630"/>
      <c r="DNJ1739" s="631"/>
      <c r="DNK1739" s="631"/>
      <c r="DNL1739" s="631"/>
      <c r="DNM1739" s="631"/>
      <c r="DNN1739" s="631"/>
      <c r="DNO1739" s="631"/>
      <c r="DNP1739" s="631"/>
      <c r="DNQ1739" s="630"/>
      <c r="DNR1739" s="668">
        <f t="shared" ref="DNR1739" si="1297">ROUND((SUM(DNR1738:DNR1738)),2)</f>
        <v>8</v>
      </c>
      <c r="DNS1739" s="669" t="s">
        <v>2</v>
      </c>
      <c r="DNU1739" s="660"/>
      <c r="DNV1739" s="660"/>
      <c r="DNX1739" s="629"/>
      <c r="DNY1739" s="630"/>
      <c r="DNZ1739" s="631"/>
      <c r="DOA1739" s="631"/>
      <c r="DOB1739" s="631"/>
      <c r="DOC1739" s="631"/>
      <c r="DOD1739" s="631"/>
      <c r="DOE1739" s="631"/>
      <c r="DOF1739" s="631"/>
      <c r="DOG1739" s="630"/>
      <c r="DOH1739" s="668">
        <f t="shared" ref="DOH1739" si="1298">ROUND((SUM(DOH1738:DOH1738)),2)</f>
        <v>8</v>
      </c>
      <c r="DOI1739" s="669" t="s">
        <v>2</v>
      </c>
      <c r="DOK1739" s="660"/>
      <c r="DOL1739" s="660"/>
      <c r="DON1739" s="629"/>
      <c r="DOO1739" s="630"/>
      <c r="DOP1739" s="631"/>
      <c r="DOQ1739" s="631"/>
      <c r="DOR1739" s="631"/>
      <c r="DOS1739" s="631"/>
      <c r="DOT1739" s="631"/>
      <c r="DOU1739" s="631"/>
      <c r="DOV1739" s="631"/>
      <c r="DOW1739" s="630"/>
      <c r="DOX1739" s="668">
        <f t="shared" ref="DOX1739" si="1299">ROUND((SUM(DOX1738:DOX1738)),2)</f>
        <v>8</v>
      </c>
      <c r="DOY1739" s="669" t="s">
        <v>2</v>
      </c>
      <c r="DPA1739" s="660"/>
      <c r="DPB1739" s="660"/>
      <c r="DPD1739" s="629"/>
      <c r="DPE1739" s="630"/>
      <c r="DPF1739" s="631"/>
      <c r="DPG1739" s="631"/>
      <c r="DPH1739" s="631"/>
      <c r="DPI1739" s="631"/>
      <c r="DPJ1739" s="631"/>
      <c r="DPK1739" s="631"/>
      <c r="DPL1739" s="631"/>
      <c r="DPM1739" s="630"/>
      <c r="DPN1739" s="668">
        <f t="shared" ref="DPN1739" si="1300">ROUND((SUM(DPN1738:DPN1738)),2)</f>
        <v>8</v>
      </c>
      <c r="DPO1739" s="669" t="s">
        <v>2</v>
      </c>
      <c r="DPQ1739" s="660"/>
      <c r="DPR1739" s="660"/>
      <c r="DPT1739" s="629"/>
      <c r="DPU1739" s="630"/>
      <c r="DPV1739" s="631"/>
      <c r="DPW1739" s="631"/>
      <c r="DPX1739" s="631"/>
      <c r="DPY1739" s="631"/>
      <c r="DPZ1739" s="631"/>
      <c r="DQA1739" s="631"/>
      <c r="DQB1739" s="631"/>
      <c r="DQC1739" s="630"/>
      <c r="DQD1739" s="668">
        <f t="shared" ref="DQD1739" si="1301">ROUND((SUM(DQD1738:DQD1738)),2)</f>
        <v>8</v>
      </c>
      <c r="DQE1739" s="669" t="s">
        <v>2</v>
      </c>
      <c r="DQG1739" s="660"/>
      <c r="DQH1739" s="660"/>
      <c r="DQJ1739" s="629"/>
      <c r="DQK1739" s="630"/>
      <c r="DQL1739" s="631"/>
      <c r="DQM1739" s="631"/>
      <c r="DQN1739" s="631"/>
      <c r="DQO1739" s="631"/>
      <c r="DQP1739" s="631"/>
      <c r="DQQ1739" s="631"/>
      <c r="DQR1739" s="631"/>
      <c r="DQS1739" s="630"/>
      <c r="DQT1739" s="668">
        <f t="shared" ref="DQT1739" si="1302">ROUND((SUM(DQT1738:DQT1738)),2)</f>
        <v>8</v>
      </c>
      <c r="DQU1739" s="669" t="s">
        <v>2</v>
      </c>
      <c r="DQW1739" s="660"/>
      <c r="DQX1739" s="660"/>
      <c r="DQZ1739" s="629"/>
      <c r="DRA1739" s="630"/>
      <c r="DRB1739" s="631"/>
      <c r="DRC1739" s="631"/>
      <c r="DRD1739" s="631"/>
      <c r="DRE1739" s="631"/>
      <c r="DRF1739" s="631"/>
      <c r="DRG1739" s="631"/>
      <c r="DRH1739" s="631"/>
      <c r="DRI1739" s="630"/>
      <c r="DRJ1739" s="668">
        <f t="shared" ref="DRJ1739" si="1303">ROUND((SUM(DRJ1738:DRJ1738)),2)</f>
        <v>8</v>
      </c>
      <c r="DRK1739" s="669" t="s">
        <v>2</v>
      </c>
      <c r="DRM1739" s="660"/>
      <c r="DRN1739" s="660"/>
      <c r="DRP1739" s="629"/>
      <c r="DRQ1739" s="630"/>
      <c r="DRR1739" s="631"/>
      <c r="DRS1739" s="631"/>
      <c r="DRT1739" s="631"/>
      <c r="DRU1739" s="631"/>
      <c r="DRV1739" s="631"/>
      <c r="DRW1739" s="631"/>
      <c r="DRX1739" s="631"/>
      <c r="DRY1739" s="630"/>
      <c r="DRZ1739" s="668">
        <f t="shared" ref="DRZ1739" si="1304">ROUND((SUM(DRZ1738:DRZ1738)),2)</f>
        <v>8</v>
      </c>
      <c r="DSA1739" s="669" t="s">
        <v>2</v>
      </c>
      <c r="DSC1739" s="660"/>
      <c r="DSD1739" s="660"/>
      <c r="DSF1739" s="629"/>
      <c r="DSG1739" s="630"/>
      <c r="DSH1739" s="631"/>
      <c r="DSI1739" s="631"/>
      <c r="DSJ1739" s="631"/>
      <c r="DSK1739" s="631"/>
      <c r="DSL1739" s="631"/>
      <c r="DSM1739" s="631"/>
      <c r="DSN1739" s="631"/>
      <c r="DSO1739" s="630"/>
      <c r="DSP1739" s="668">
        <f t="shared" ref="DSP1739" si="1305">ROUND((SUM(DSP1738:DSP1738)),2)</f>
        <v>8</v>
      </c>
      <c r="DSQ1739" s="669" t="s">
        <v>2</v>
      </c>
      <c r="DSS1739" s="660"/>
      <c r="DST1739" s="660"/>
      <c r="DSV1739" s="629"/>
      <c r="DSW1739" s="630"/>
      <c r="DSX1739" s="631"/>
      <c r="DSY1739" s="631"/>
      <c r="DSZ1739" s="631"/>
      <c r="DTA1739" s="631"/>
      <c r="DTB1739" s="631"/>
      <c r="DTC1739" s="631"/>
      <c r="DTD1739" s="631"/>
      <c r="DTE1739" s="630"/>
      <c r="DTF1739" s="668">
        <f t="shared" ref="DTF1739" si="1306">ROUND((SUM(DTF1738:DTF1738)),2)</f>
        <v>8</v>
      </c>
      <c r="DTG1739" s="669" t="s">
        <v>2</v>
      </c>
      <c r="DTI1739" s="660"/>
      <c r="DTJ1739" s="660"/>
      <c r="DTL1739" s="629"/>
      <c r="DTM1739" s="630"/>
      <c r="DTN1739" s="631"/>
      <c r="DTO1739" s="631"/>
      <c r="DTP1739" s="631"/>
      <c r="DTQ1739" s="631"/>
      <c r="DTR1739" s="631"/>
      <c r="DTS1739" s="631"/>
      <c r="DTT1739" s="631"/>
      <c r="DTU1739" s="630"/>
      <c r="DTV1739" s="668">
        <f t="shared" ref="DTV1739" si="1307">ROUND((SUM(DTV1738:DTV1738)),2)</f>
        <v>8</v>
      </c>
      <c r="DTW1739" s="669" t="s">
        <v>2</v>
      </c>
      <c r="DTY1739" s="660"/>
      <c r="DTZ1739" s="660"/>
      <c r="DUB1739" s="629"/>
      <c r="DUC1739" s="630"/>
      <c r="DUD1739" s="631"/>
      <c r="DUE1739" s="631"/>
      <c r="DUF1739" s="631"/>
      <c r="DUG1739" s="631"/>
      <c r="DUH1739" s="631"/>
      <c r="DUI1739" s="631"/>
      <c r="DUJ1739" s="631"/>
      <c r="DUK1739" s="630"/>
      <c r="DUL1739" s="668">
        <f t="shared" ref="DUL1739" si="1308">ROUND((SUM(DUL1738:DUL1738)),2)</f>
        <v>8</v>
      </c>
      <c r="DUM1739" s="669" t="s">
        <v>2</v>
      </c>
      <c r="DUO1739" s="660"/>
      <c r="DUP1739" s="660"/>
      <c r="DUR1739" s="629"/>
      <c r="DUS1739" s="630"/>
      <c r="DUT1739" s="631"/>
      <c r="DUU1739" s="631"/>
      <c r="DUV1739" s="631"/>
      <c r="DUW1739" s="631"/>
      <c r="DUX1739" s="631"/>
      <c r="DUY1739" s="631"/>
      <c r="DUZ1739" s="631"/>
      <c r="DVA1739" s="630"/>
      <c r="DVB1739" s="668">
        <f t="shared" ref="DVB1739" si="1309">ROUND((SUM(DVB1738:DVB1738)),2)</f>
        <v>8</v>
      </c>
      <c r="DVC1739" s="669" t="s">
        <v>2</v>
      </c>
      <c r="DVE1739" s="660"/>
      <c r="DVF1739" s="660"/>
      <c r="DVH1739" s="629"/>
      <c r="DVI1739" s="630"/>
      <c r="DVJ1739" s="631"/>
      <c r="DVK1739" s="631"/>
      <c r="DVL1739" s="631"/>
      <c r="DVM1739" s="631"/>
      <c r="DVN1739" s="631"/>
      <c r="DVO1739" s="631"/>
      <c r="DVP1739" s="631"/>
      <c r="DVQ1739" s="630"/>
      <c r="DVR1739" s="668">
        <f t="shared" ref="DVR1739" si="1310">ROUND((SUM(DVR1738:DVR1738)),2)</f>
        <v>8</v>
      </c>
      <c r="DVS1739" s="669" t="s">
        <v>2</v>
      </c>
      <c r="DVU1739" s="660"/>
      <c r="DVV1739" s="660"/>
      <c r="DVX1739" s="629"/>
      <c r="DVY1739" s="630"/>
      <c r="DVZ1739" s="631"/>
      <c r="DWA1739" s="631"/>
      <c r="DWB1739" s="631"/>
      <c r="DWC1739" s="631"/>
      <c r="DWD1739" s="631"/>
      <c r="DWE1739" s="631"/>
      <c r="DWF1739" s="631"/>
      <c r="DWG1739" s="630"/>
      <c r="DWH1739" s="668">
        <f t="shared" ref="DWH1739" si="1311">ROUND((SUM(DWH1738:DWH1738)),2)</f>
        <v>8</v>
      </c>
      <c r="DWI1739" s="669" t="s">
        <v>2</v>
      </c>
      <c r="DWK1739" s="660"/>
      <c r="DWL1739" s="660"/>
      <c r="DWN1739" s="629"/>
      <c r="DWO1739" s="630"/>
      <c r="DWP1739" s="631"/>
      <c r="DWQ1739" s="631"/>
      <c r="DWR1739" s="631"/>
      <c r="DWS1739" s="631"/>
      <c r="DWT1739" s="631"/>
      <c r="DWU1739" s="631"/>
      <c r="DWV1739" s="631"/>
      <c r="DWW1739" s="630"/>
      <c r="DWX1739" s="668">
        <f t="shared" ref="DWX1739" si="1312">ROUND((SUM(DWX1738:DWX1738)),2)</f>
        <v>8</v>
      </c>
      <c r="DWY1739" s="669" t="s">
        <v>2</v>
      </c>
      <c r="DXA1739" s="660"/>
      <c r="DXB1739" s="660"/>
      <c r="DXD1739" s="629"/>
      <c r="DXE1739" s="630"/>
      <c r="DXF1739" s="631"/>
      <c r="DXG1739" s="631"/>
      <c r="DXH1739" s="631"/>
      <c r="DXI1739" s="631"/>
      <c r="DXJ1739" s="631"/>
      <c r="DXK1739" s="631"/>
      <c r="DXL1739" s="631"/>
      <c r="DXM1739" s="630"/>
      <c r="DXN1739" s="668">
        <f t="shared" ref="DXN1739" si="1313">ROUND((SUM(DXN1738:DXN1738)),2)</f>
        <v>8</v>
      </c>
      <c r="DXO1739" s="669" t="s">
        <v>2</v>
      </c>
      <c r="DXQ1739" s="660"/>
      <c r="DXR1739" s="660"/>
      <c r="DXT1739" s="629"/>
      <c r="DXU1739" s="630"/>
      <c r="DXV1739" s="631"/>
      <c r="DXW1739" s="631"/>
      <c r="DXX1739" s="631"/>
      <c r="DXY1739" s="631"/>
      <c r="DXZ1739" s="631"/>
      <c r="DYA1739" s="631"/>
      <c r="DYB1739" s="631"/>
      <c r="DYC1739" s="630"/>
      <c r="DYD1739" s="668">
        <f t="shared" ref="DYD1739" si="1314">ROUND((SUM(DYD1738:DYD1738)),2)</f>
        <v>8</v>
      </c>
      <c r="DYE1739" s="669" t="s">
        <v>2</v>
      </c>
      <c r="DYG1739" s="660"/>
      <c r="DYH1739" s="660"/>
      <c r="DYJ1739" s="629"/>
      <c r="DYK1739" s="630"/>
      <c r="DYL1739" s="631"/>
      <c r="DYM1739" s="631"/>
      <c r="DYN1739" s="631"/>
      <c r="DYO1739" s="631"/>
      <c r="DYP1739" s="631"/>
      <c r="DYQ1739" s="631"/>
      <c r="DYR1739" s="631"/>
      <c r="DYS1739" s="630"/>
      <c r="DYT1739" s="668">
        <f t="shared" ref="DYT1739" si="1315">ROUND((SUM(DYT1738:DYT1738)),2)</f>
        <v>8</v>
      </c>
      <c r="DYU1739" s="669" t="s">
        <v>2</v>
      </c>
      <c r="DYW1739" s="660"/>
      <c r="DYX1739" s="660"/>
      <c r="DYZ1739" s="629"/>
      <c r="DZA1739" s="630"/>
      <c r="DZB1739" s="631"/>
      <c r="DZC1739" s="631"/>
      <c r="DZD1739" s="631"/>
      <c r="DZE1739" s="631"/>
      <c r="DZF1739" s="631"/>
      <c r="DZG1739" s="631"/>
      <c r="DZH1739" s="631"/>
      <c r="DZI1739" s="630"/>
      <c r="DZJ1739" s="668">
        <f t="shared" ref="DZJ1739" si="1316">ROUND((SUM(DZJ1738:DZJ1738)),2)</f>
        <v>8</v>
      </c>
      <c r="DZK1739" s="669" t="s">
        <v>2</v>
      </c>
      <c r="DZM1739" s="660"/>
      <c r="DZN1739" s="660"/>
      <c r="DZP1739" s="629"/>
      <c r="DZQ1739" s="630"/>
      <c r="DZR1739" s="631"/>
      <c r="DZS1739" s="631"/>
      <c r="DZT1739" s="631"/>
      <c r="DZU1739" s="631"/>
      <c r="DZV1739" s="631"/>
      <c r="DZW1739" s="631"/>
      <c r="DZX1739" s="631"/>
      <c r="DZY1739" s="630"/>
      <c r="DZZ1739" s="668">
        <f t="shared" ref="DZZ1739" si="1317">ROUND((SUM(DZZ1738:DZZ1738)),2)</f>
        <v>8</v>
      </c>
      <c r="EAA1739" s="669" t="s">
        <v>2</v>
      </c>
      <c r="EAC1739" s="660"/>
      <c r="EAD1739" s="660"/>
      <c r="EAF1739" s="629"/>
      <c r="EAG1739" s="630"/>
      <c r="EAH1739" s="631"/>
      <c r="EAI1739" s="631"/>
      <c r="EAJ1739" s="631"/>
      <c r="EAK1739" s="631"/>
      <c r="EAL1739" s="631"/>
      <c r="EAM1739" s="631"/>
      <c r="EAN1739" s="631"/>
      <c r="EAO1739" s="630"/>
      <c r="EAP1739" s="668">
        <f t="shared" ref="EAP1739" si="1318">ROUND((SUM(EAP1738:EAP1738)),2)</f>
        <v>8</v>
      </c>
      <c r="EAQ1739" s="669" t="s">
        <v>2</v>
      </c>
      <c r="EAS1739" s="660"/>
      <c r="EAT1739" s="660"/>
      <c r="EAV1739" s="629"/>
      <c r="EAW1739" s="630"/>
      <c r="EAX1739" s="631"/>
      <c r="EAY1739" s="631"/>
      <c r="EAZ1739" s="631"/>
      <c r="EBA1739" s="631"/>
      <c r="EBB1739" s="631"/>
      <c r="EBC1739" s="631"/>
      <c r="EBD1739" s="631"/>
      <c r="EBE1739" s="630"/>
      <c r="EBF1739" s="668">
        <f t="shared" ref="EBF1739" si="1319">ROUND((SUM(EBF1738:EBF1738)),2)</f>
        <v>8</v>
      </c>
      <c r="EBG1739" s="669" t="s">
        <v>2</v>
      </c>
      <c r="EBI1739" s="660"/>
      <c r="EBJ1739" s="660"/>
      <c r="EBL1739" s="629"/>
      <c r="EBM1739" s="630"/>
      <c r="EBN1739" s="631"/>
      <c r="EBO1739" s="631"/>
      <c r="EBP1739" s="631"/>
      <c r="EBQ1739" s="631"/>
      <c r="EBR1739" s="631"/>
      <c r="EBS1739" s="631"/>
      <c r="EBT1739" s="631"/>
      <c r="EBU1739" s="630"/>
      <c r="EBV1739" s="668">
        <f t="shared" ref="EBV1739" si="1320">ROUND((SUM(EBV1738:EBV1738)),2)</f>
        <v>8</v>
      </c>
      <c r="EBW1739" s="669" t="s">
        <v>2</v>
      </c>
      <c r="EBY1739" s="660"/>
      <c r="EBZ1739" s="660"/>
      <c r="ECB1739" s="629"/>
      <c r="ECC1739" s="630"/>
      <c r="ECD1739" s="631"/>
      <c r="ECE1739" s="631"/>
      <c r="ECF1739" s="631"/>
      <c r="ECG1739" s="631"/>
      <c r="ECH1739" s="631"/>
      <c r="ECI1739" s="631"/>
      <c r="ECJ1739" s="631"/>
      <c r="ECK1739" s="630"/>
      <c r="ECL1739" s="668">
        <f t="shared" ref="ECL1739" si="1321">ROUND((SUM(ECL1738:ECL1738)),2)</f>
        <v>8</v>
      </c>
      <c r="ECM1739" s="669" t="s">
        <v>2</v>
      </c>
      <c r="ECO1739" s="660"/>
      <c r="ECP1739" s="660"/>
      <c r="ECR1739" s="629"/>
      <c r="ECS1739" s="630"/>
      <c r="ECT1739" s="631"/>
      <c r="ECU1739" s="631"/>
      <c r="ECV1739" s="631"/>
      <c r="ECW1739" s="631"/>
      <c r="ECX1739" s="631"/>
      <c r="ECY1739" s="631"/>
      <c r="ECZ1739" s="631"/>
      <c r="EDA1739" s="630"/>
      <c r="EDB1739" s="668">
        <f t="shared" ref="EDB1739" si="1322">ROUND((SUM(EDB1738:EDB1738)),2)</f>
        <v>8</v>
      </c>
      <c r="EDC1739" s="669" t="s">
        <v>2</v>
      </c>
      <c r="EDE1739" s="660"/>
      <c r="EDF1739" s="660"/>
      <c r="EDH1739" s="629"/>
      <c r="EDI1739" s="630"/>
      <c r="EDJ1739" s="631"/>
      <c r="EDK1739" s="631"/>
      <c r="EDL1739" s="631"/>
      <c r="EDM1739" s="631"/>
      <c r="EDN1739" s="631"/>
      <c r="EDO1739" s="631"/>
      <c r="EDP1739" s="631"/>
      <c r="EDQ1739" s="630"/>
      <c r="EDR1739" s="668">
        <f t="shared" ref="EDR1739" si="1323">ROUND((SUM(EDR1738:EDR1738)),2)</f>
        <v>8</v>
      </c>
      <c r="EDS1739" s="669" t="s">
        <v>2</v>
      </c>
      <c r="EDU1739" s="660"/>
      <c r="EDV1739" s="660"/>
      <c r="EDX1739" s="629"/>
      <c r="EDY1739" s="630"/>
      <c r="EDZ1739" s="631"/>
      <c r="EEA1739" s="631"/>
      <c r="EEB1739" s="631"/>
      <c r="EEC1739" s="631"/>
      <c r="EED1739" s="631"/>
      <c r="EEE1739" s="631"/>
      <c r="EEF1739" s="631"/>
      <c r="EEG1739" s="630"/>
      <c r="EEH1739" s="668">
        <f t="shared" ref="EEH1739" si="1324">ROUND((SUM(EEH1738:EEH1738)),2)</f>
        <v>8</v>
      </c>
      <c r="EEI1739" s="669" t="s">
        <v>2</v>
      </c>
      <c r="EEK1739" s="660"/>
      <c r="EEL1739" s="660"/>
      <c r="EEN1739" s="629"/>
      <c r="EEO1739" s="630"/>
      <c r="EEP1739" s="631"/>
      <c r="EEQ1739" s="631"/>
      <c r="EER1739" s="631"/>
      <c r="EES1739" s="631"/>
      <c r="EET1739" s="631"/>
      <c r="EEU1739" s="631"/>
      <c r="EEV1739" s="631"/>
      <c r="EEW1739" s="630"/>
      <c r="EEX1739" s="668">
        <f t="shared" ref="EEX1739" si="1325">ROUND((SUM(EEX1738:EEX1738)),2)</f>
        <v>8</v>
      </c>
      <c r="EEY1739" s="669" t="s">
        <v>2</v>
      </c>
      <c r="EFA1739" s="660"/>
      <c r="EFB1739" s="660"/>
      <c r="EFD1739" s="629"/>
      <c r="EFE1739" s="630"/>
      <c r="EFF1739" s="631"/>
      <c r="EFG1739" s="631"/>
      <c r="EFH1739" s="631"/>
      <c r="EFI1739" s="631"/>
      <c r="EFJ1739" s="631"/>
      <c r="EFK1739" s="631"/>
      <c r="EFL1739" s="631"/>
      <c r="EFM1739" s="630"/>
      <c r="EFN1739" s="668">
        <f t="shared" ref="EFN1739" si="1326">ROUND((SUM(EFN1738:EFN1738)),2)</f>
        <v>8</v>
      </c>
      <c r="EFO1739" s="669" t="s">
        <v>2</v>
      </c>
      <c r="EFQ1739" s="660"/>
      <c r="EFR1739" s="660"/>
      <c r="EFT1739" s="629"/>
      <c r="EFU1739" s="630"/>
      <c r="EFV1739" s="631"/>
      <c r="EFW1739" s="631"/>
      <c r="EFX1739" s="631"/>
      <c r="EFY1739" s="631"/>
      <c r="EFZ1739" s="631"/>
      <c r="EGA1739" s="631"/>
      <c r="EGB1739" s="631"/>
      <c r="EGC1739" s="630"/>
      <c r="EGD1739" s="668">
        <f t="shared" ref="EGD1739" si="1327">ROUND((SUM(EGD1738:EGD1738)),2)</f>
        <v>8</v>
      </c>
      <c r="EGE1739" s="669" t="s">
        <v>2</v>
      </c>
      <c r="EGG1739" s="660"/>
      <c r="EGH1739" s="660"/>
      <c r="EGJ1739" s="629"/>
      <c r="EGK1739" s="630"/>
      <c r="EGL1739" s="631"/>
      <c r="EGM1739" s="631"/>
      <c r="EGN1739" s="631"/>
      <c r="EGO1739" s="631"/>
      <c r="EGP1739" s="631"/>
      <c r="EGQ1739" s="631"/>
      <c r="EGR1739" s="631"/>
      <c r="EGS1739" s="630"/>
      <c r="EGT1739" s="668">
        <f t="shared" ref="EGT1739" si="1328">ROUND((SUM(EGT1738:EGT1738)),2)</f>
        <v>8</v>
      </c>
      <c r="EGU1739" s="669" t="s">
        <v>2</v>
      </c>
      <c r="EGW1739" s="660"/>
      <c r="EGX1739" s="660"/>
      <c r="EGZ1739" s="629"/>
      <c r="EHA1739" s="630"/>
      <c r="EHB1739" s="631"/>
      <c r="EHC1739" s="631"/>
      <c r="EHD1739" s="631"/>
      <c r="EHE1739" s="631"/>
      <c r="EHF1739" s="631"/>
      <c r="EHG1739" s="631"/>
      <c r="EHH1739" s="631"/>
      <c r="EHI1739" s="630"/>
      <c r="EHJ1739" s="668">
        <f t="shared" ref="EHJ1739" si="1329">ROUND((SUM(EHJ1738:EHJ1738)),2)</f>
        <v>8</v>
      </c>
      <c r="EHK1739" s="669" t="s">
        <v>2</v>
      </c>
      <c r="EHM1739" s="660"/>
      <c r="EHN1739" s="660"/>
      <c r="EHP1739" s="629"/>
      <c r="EHQ1739" s="630"/>
      <c r="EHR1739" s="631"/>
      <c r="EHS1739" s="631"/>
      <c r="EHT1739" s="631"/>
      <c r="EHU1739" s="631"/>
      <c r="EHV1739" s="631"/>
      <c r="EHW1739" s="631"/>
      <c r="EHX1739" s="631"/>
      <c r="EHY1739" s="630"/>
      <c r="EHZ1739" s="668">
        <f t="shared" ref="EHZ1739" si="1330">ROUND((SUM(EHZ1738:EHZ1738)),2)</f>
        <v>8</v>
      </c>
      <c r="EIA1739" s="669" t="s">
        <v>2</v>
      </c>
      <c r="EIC1739" s="660"/>
      <c r="EID1739" s="660"/>
      <c r="EIF1739" s="629"/>
      <c r="EIG1739" s="630"/>
      <c r="EIH1739" s="631"/>
      <c r="EII1739" s="631"/>
      <c r="EIJ1739" s="631"/>
      <c r="EIK1739" s="631"/>
      <c r="EIL1739" s="631"/>
      <c r="EIM1739" s="631"/>
      <c r="EIN1739" s="631"/>
      <c r="EIO1739" s="630"/>
      <c r="EIP1739" s="668">
        <f t="shared" ref="EIP1739" si="1331">ROUND((SUM(EIP1738:EIP1738)),2)</f>
        <v>8</v>
      </c>
      <c r="EIQ1739" s="669" t="s">
        <v>2</v>
      </c>
      <c r="EIS1739" s="660"/>
      <c r="EIT1739" s="660"/>
      <c r="EIV1739" s="629"/>
      <c r="EIW1739" s="630"/>
      <c r="EIX1739" s="631"/>
      <c r="EIY1739" s="631"/>
      <c r="EIZ1739" s="631"/>
      <c r="EJA1739" s="631"/>
      <c r="EJB1739" s="631"/>
      <c r="EJC1739" s="631"/>
      <c r="EJD1739" s="631"/>
      <c r="EJE1739" s="630"/>
      <c r="EJF1739" s="668">
        <f t="shared" ref="EJF1739" si="1332">ROUND((SUM(EJF1738:EJF1738)),2)</f>
        <v>8</v>
      </c>
      <c r="EJG1739" s="669" t="s">
        <v>2</v>
      </c>
      <c r="EJI1739" s="660"/>
      <c r="EJJ1739" s="660"/>
      <c r="EJL1739" s="629"/>
      <c r="EJM1739" s="630"/>
      <c r="EJN1739" s="631"/>
      <c r="EJO1739" s="631"/>
      <c r="EJP1739" s="631"/>
      <c r="EJQ1739" s="631"/>
      <c r="EJR1739" s="631"/>
      <c r="EJS1739" s="631"/>
      <c r="EJT1739" s="631"/>
      <c r="EJU1739" s="630"/>
      <c r="EJV1739" s="668">
        <f t="shared" ref="EJV1739" si="1333">ROUND((SUM(EJV1738:EJV1738)),2)</f>
        <v>8</v>
      </c>
      <c r="EJW1739" s="669" t="s">
        <v>2</v>
      </c>
      <c r="EJY1739" s="660"/>
      <c r="EJZ1739" s="660"/>
      <c r="EKB1739" s="629"/>
      <c r="EKC1739" s="630"/>
      <c r="EKD1739" s="631"/>
      <c r="EKE1739" s="631"/>
      <c r="EKF1739" s="631"/>
      <c r="EKG1739" s="631"/>
      <c r="EKH1739" s="631"/>
      <c r="EKI1739" s="631"/>
      <c r="EKJ1739" s="631"/>
      <c r="EKK1739" s="630"/>
      <c r="EKL1739" s="668">
        <f t="shared" ref="EKL1739" si="1334">ROUND((SUM(EKL1738:EKL1738)),2)</f>
        <v>8</v>
      </c>
      <c r="EKM1739" s="669" t="s">
        <v>2</v>
      </c>
      <c r="EKO1739" s="660"/>
      <c r="EKP1739" s="660"/>
      <c r="EKR1739" s="629"/>
      <c r="EKS1739" s="630"/>
      <c r="EKT1739" s="631"/>
      <c r="EKU1739" s="631"/>
      <c r="EKV1739" s="631"/>
      <c r="EKW1739" s="631"/>
      <c r="EKX1739" s="631"/>
      <c r="EKY1739" s="631"/>
      <c r="EKZ1739" s="631"/>
      <c r="ELA1739" s="630"/>
      <c r="ELB1739" s="668">
        <f t="shared" ref="ELB1739" si="1335">ROUND((SUM(ELB1738:ELB1738)),2)</f>
        <v>8</v>
      </c>
      <c r="ELC1739" s="669" t="s">
        <v>2</v>
      </c>
      <c r="ELE1739" s="660"/>
      <c r="ELF1739" s="660"/>
      <c r="ELH1739" s="629"/>
      <c r="ELI1739" s="630"/>
      <c r="ELJ1739" s="631"/>
      <c r="ELK1739" s="631"/>
      <c r="ELL1739" s="631"/>
      <c r="ELM1739" s="631"/>
      <c r="ELN1739" s="631"/>
      <c r="ELO1739" s="631"/>
      <c r="ELP1739" s="631"/>
      <c r="ELQ1739" s="630"/>
      <c r="ELR1739" s="668">
        <f t="shared" ref="ELR1739" si="1336">ROUND((SUM(ELR1738:ELR1738)),2)</f>
        <v>8</v>
      </c>
      <c r="ELS1739" s="669" t="s">
        <v>2</v>
      </c>
      <c r="ELU1739" s="660"/>
      <c r="ELV1739" s="660"/>
      <c r="ELX1739" s="629"/>
      <c r="ELY1739" s="630"/>
      <c r="ELZ1739" s="631"/>
      <c r="EMA1739" s="631"/>
      <c r="EMB1739" s="631"/>
      <c r="EMC1739" s="631"/>
      <c r="EMD1739" s="631"/>
      <c r="EME1739" s="631"/>
      <c r="EMF1739" s="631"/>
      <c r="EMG1739" s="630"/>
      <c r="EMH1739" s="668">
        <f t="shared" ref="EMH1739" si="1337">ROUND((SUM(EMH1738:EMH1738)),2)</f>
        <v>8</v>
      </c>
      <c r="EMI1739" s="669" t="s">
        <v>2</v>
      </c>
      <c r="EMK1739" s="660"/>
      <c r="EML1739" s="660"/>
      <c r="EMN1739" s="629"/>
      <c r="EMO1739" s="630"/>
      <c r="EMP1739" s="631"/>
      <c r="EMQ1739" s="631"/>
      <c r="EMR1739" s="631"/>
      <c r="EMS1739" s="631"/>
      <c r="EMT1739" s="631"/>
      <c r="EMU1739" s="631"/>
      <c r="EMV1739" s="631"/>
      <c r="EMW1739" s="630"/>
      <c r="EMX1739" s="668">
        <f t="shared" ref="EMX1739" si="1338">ROUND((SUM(EMX1738:EMX1738)),2)</f>
        <v>8</v>
      </c>
      <c r="EMY1739" s="669" t="s">
        <v>2</v>
      </c>
      <c r="ENA1739" s="660"/>
      <c r="ENB1739" s="660"/>
      <c r="END1739" s="629"/>
      <c r="ENE1739" s="630"/>
      <c r="ENF1739" s="631"/>
      <c r="ENG1739" s="631"/>
      <c r="ENH1739" s="631"/>
      <c r="ENI1739" s="631"/>
      <c r="ENJ1739" s="631"/>
      <c r="ENK1739" s="631"/>
      <c r="ENL1739" s="631"/>
      <c r="ENM1739" s="630"/>
      <c r="ENN1739" s="668">
        <f t="shared" ref="ENN1739" si="1339">ROUND((SUM(ENN1738:ENN1738)),2)</f>
        <v>8</v>
      </c>
      <c r="ENO1739" s="669" t="s">
        <v>2</v>
      </c>
      <c r="ENQ1739" s="660"/>
      <c r="ENR1739" s="660"/>
      <c r="ENT1739" s="629"/>
      <c r="ENU1739" s="630"/>
      <c r="ENV1739" s="631"/>
      <c r="ENW1739" s="631"/>
      <c r="ENX1739" s="631"/>
      <c r="ENY1739" s="631"/>
      <c r="ENZ1739" s="631"/>
      <c r="EOA1739" s="631"/>
      <c r="EOB1739" s="631"/>
      <c r="EOC1739" s="630"/>
      <c r="EOD1739" s="668">
        <f t="shared" ref="EOD1739" si="1340">ROUND((SUM(EOD1738:EOD1738)),2)</f>
        <v>8</v>
      </c>
      <c r="EOE1739" s="669" t="s">
        <v>2</v>
      </c>
      <c r="EOG1739" s="660"/>
      <c r="EOH1739" s="660"/>
      <c r="EOJ1739" s="629"/>
      <c r="EOK1739" s="630"/>
      <c r="EOL1739" s="631"/>
      <c r="EOM1739" s="631"/>
      <c r="EON1739" s="631"/>
      <c r="EOO1739" s="631"/>
      <c r="EOP1739" s="631"/>
      <c r="EOQ1739" s="631"/>
      <c r="EOR1739" s="631"/>
      <c r="EOS1739" s="630"/>
      <c r="EOT1739" s="668">
        <f t="shared" ref="EOT1739" si="1341">ROUND((SUM(EOT1738:EOT1738)),2)</f>
        <v>8</v>
      </c>
      <c r="EOU1739" s="669" t="s">
        <v>2</v>
      </c>
      <c r="EOW1739" s="660"/>
      <c r="EOX1739" s="660"/>
      <c r="EOZ1739" s="629"/>
      <c r="EPA1739" s="630"/>
      <c r="EPB1739" s="631"/>
      <c r="EPC1739" s="631"/>
      <c r="EPD1739" s="631"/>
      <c r="EPE1739" s="631"/>
      <c r="EPF1739" s="631"/>
      <c r="EPG1739" s="631"/>
      <c r="EPH1739" s="631"/>
      <c r="EPI1739" s="630"/>
      <c r="EPJ1739" s="668">
        <f t="shared" ref="EPJ1739" si="1342">ROUND((SUM(EPJ1738:EPJ1738)),2)</f>
        <v>8</v>
      </c>
      <c r="EPK1739" s="669" t="s">
        <v>2</v>
      </c>
      <c r="EPM1739" s="660"/>
      <c r="EPN1739" s="660"/>
      <c r="EPP1739" s="629"/>
      <c r="EPQ1739" s="630"/>
      <c r="EPR1739" s="631"/>
      <c r="EPS1739" s="631"/>
      <c r="EPT1739" s="631"/>
      <c r="EPU1739" s="631"/>
      <c r="EPV1739" s="631"/>
      <c r="EPW1739" s="631"/>
      <c r="EPX1739" s="631"/>
      <c r="EPY1739" s="630"/>
      <c r="EPZ1739" s="668">
        <f t="shared" ref="EPZ1739" si="1343">ROUND((SUM(EPZ1738:EPZ1738)),2)</f>
        <v>8</v>
      </c>
      <c r="EQA1739" s="669" t="s">
        <v>2</v>
      </c>
      <c r="EQC1739" s="660"/>
      <c r="EQD1739" s="660"/>
      <c r="EQF1739" s="629"/>
      <c r="EQG1739" s="630"/>
      <c r="EQH1739" s="631"/>
      <c r="EQI1739" s="631"/>
      <c r="EQJ1739" s="631"/>
      <c r="EQK1739" s="631"/>
      <c r="EQL1739" s="631"/>
      <c r="EQM1739" s="631"/>
      <c r="EQN1739" s="631"/>
      <c r="EQO1739" s="630"/>
      <c r="EQP1739" s="668">
        <f t="shared" ref="EQP1739" si="1344">ROUND((SUM(EQP1738:EQP1738)),2)</f>
        <v>8</v>
      </c>
      <c r="EQQ1739" s="669" t="s">
        <v>2</v>
      </c>
      <c r="EQS1739" s="660"/>
      <c r="EQT1739" s="660"/>
      <c r="EQV1739" s="629"/>
      <c r="EQW1739" s="630"/>
      <c r="EQX1739" s="631"/>
      <c r="EQY1739" s="631"/>
      <c r="EQZ1739" s="631"/>
      <c r="ERA1739" s="631"/>
      <c r="ERB1739" s="631"/>
      <c r="ERC1739" s="631"/>
      <c r="ERD1739" s="631"/>
      <c r="ERE1739" s="630"/>
      <c r="ERF1739" s="668">
        <f t="shared" ref="ERF1739" si="1345">ROUND((SUM(ERF1738:ERF1738)),2)</f>
        <v>8</v>
      </c>
      <c r="ERG1739" s="669" t="s">
        <v>2</v>
      </c>
      <c r="ERI1739" s="660"/>
      <c r="ERJ1739" s="660"/>
      <c r="ERL1739" s="629"/>
      <c r="ERM1739" s="630"/>
      <c r="ERN1739" s="631"/>
      <c r="ERO1739" s="631"/>
      <c r="ERP1739" s="631"/>
      <c r="ERQ1739" s="631"/>
      <c r="ERR1739" s="631"/>
      <c r="ERS1739" s="631"/>
      <c r="ERT1739" s="631"/>
      <c r="ERU1739" s="630"/>
      <c r="ERV1739" s="668">
        <f t="shared" ref="ERV1739" si="1346">ROUND((SUM(ERV1738:ERV1738)),2)</f>
        <v>8</v>
      </c>
      <c r="ERW1739" s="669" t="s">
        <v>2</v>
      </c>
      <c r="ERY1739" s="660"/>
      <c r="ERZ1739" s="660"/>
      <c r="ESB1739" s="629"/>
      <c r="ESC1739" s="630"/>
      <c r="ESD1739" s="631"/>
      <c r="ESE1739" s="631"/>
      <c r="ESF1739" s="631"/>
      <c r="ESG1739" s="631"/>
      <c r="ESH1739" s="631"/>
      <c r="ESI1739" s="631"/>
      <c r="ESJ1739" s="631"/>
      <c r="ESK1739" s="630"/>
      <c r="ESL1739" s="668">
        <f t="shared" ref="ESL1739" si="1347">ROUND((SUM(ESL1738:ESL1738)),2)</f>
        <v>8</v>
      </c>
      <c r="ESM1739" s="669" t="s">
        <v>2</v>
      </c>
      <c r="ESO1739" s="660"/>
      <c r="ESP1739" s="660"/>
      <c r="ESR1739" s="629"/>
      <c r="ESS1739" s="630"/>
      <c r="EST1739" s="631"/>
      <c r="ESU1739" s="631"/>
      <c r="ESV1739" s="631"/>
      <c r="ESW1739" s="631"/>
      <c r="ESX1739" s="631"/>
      <c r="ESY1739" s="631"/>
      <c r="ESZ1739" s="631"/>
      <c r="ETA1739" s="630"/>
      <c r="ETB1739" s="668">
        <f t="shared" ref="ETB1739" si="1348">ROUND((SUM(ETB1738:ETB1738)),2)</f>
        <v>8</v>
      </c>
      <c r="ETC1739" s="669" t="s">
        <v>2</v>
      </c>
      <c r="ETE1739" s="660"/>
      <c r="ETF1739" s="660"/>
      <c r="ETH1739" s="629"/>
      <c r="ETI1739" s="630"/>
      <c r="ETJ1739" s="631"/>
      <c r="ETK1739" s="631"/>
      <c r="ETL1739" s="631"/>
      <c r="ETM1739" s="631"/>
      <c r="ETN1739" s="631"/>
      <c r="ETO1739" s="631"/>
      <c r="ETP1739" s="631"/>
      <c r="ETQ1739" s="630"/>
      <c r="ETR1739" s="668">
        <f t="shared" ref="ETR1739" si="1349">ROUND((SUM(ETR1738:ETR1738)),2)</f>
        <v>8</v>
      </c>
      <c r="ETS1739" s="669" t="s">
        <v>2</v>
      </c>
      <c r="ETU1739" s="660"/>
      <c r="ETV1739" s="660"/>
      <c r="ETX1739" s="629"/>
      <c r="ETY1739" s="630"/>
      <c r="ETZ1739" s="631"/>
      <c r="EUA1739" s="631"/>
      <c r="EUB1739" s="631"/>
      <c r="EUC1739" s="631"/>
      <c r="EUD1739" s="631"/>
      <c r="EUE1739" s="631"/>
      <c r="EUF1739" s="631"/>
      <c r="EUG1739" s="630"/>
      <c r="EUH1739" s="668">
        <f t="shared" ref="EUH1739" si="1350">ROUND((SUM(EUH1738:EUH1738)),2)</f>
        <v>8</v>
      </c>
      <c r="EUI1739" s="669" t="s">
        <v>2</v>
      </c>
      <c r="EUK1739" s="660"/>
      <c r="EUL1739" s="660"/>
      <c r="EUN1739" s="629"/>
      <c r="EUO1739" s="630"/>
      <c r="EUP1739" s="631"/>
      <c r="EUQ1739" s="631"/>
      <c r="EUR1739" s="631"/>
      <c r="EUS1739" s="631"/>
      <c r="EUT1739" s="631"/>
      <c r="EUU1739" s="631"/>
      <c r="EUV1739" s="631"/>
      <c r="EUW1739" s="630"/>
      <c r="EUX1739" s="668">
        <f t="shared" ref="EUX1739" si="1351">ROUND((SUM(EUX1738:EUX1738)),2)</f>
        <v>8</v>
      </c>
      <c r="EUY1739" s="669" t="s">
        <v>2</v>
      </c>
      <c r="EVA1739" s="660"/>
      <c r="EVB1739" s="660"/>
      <c r="EVD1739" s="629"/>
      <c r="EVE1739" s="630"/>
      <c r="EVF1739" s="631"/>
      <c r="EVG1739" s="631"/>
      <c r="EVH1739" s="631"/>
      <c r="EVI1739" s="631"/>
      <c r="EVJ1739" s="631"/>
      <c r="EVK1739" s="631"/>
      <c r="EVL1739" s="631"/>
      <c r="EVM1739" s="630"/>
      <c r="EVN1739" s="668">
        <f t="shared" ref="EVN1739" si="1352">ROUND((SUM(EVN1738:EVN1738)),2)</f>
        <v>8</v>
      </c>
      <c r="EVO1739" s="669" t="s">
        <v>2</v>
      </c>
      <c r="EVQ1739" s="660"/>
      <c r="EVR1739" s="660"/>
      <c r="EVT1739" s="629"/>
      <c r="EVU1739" s="630"/>
      <c r="EVV1739" s="631"/>
      <c r="EVW1739" s="631"/>
      <c r="EVX1739" s="631"/>
      <c r="EVY1739" s="631"/>
      <c r="EVZ1739" s="631"/>
      <c r="EWA1739" s="631"/>
      <c r="EWB1739" s="631"/>
      <c r="EWC1739" s="630"/>
      <c r="EWD1739" s="668">
        <f t="shared" ref="EWD1739" si="1353">ROUND((SUM(EWD1738:EWD1738)),2)</f>
        <v>8</v>
      </c>
      <c r="EWE1739" s="669" t="s">
        <v>2</v>
      </c>
      <c r="EWG1739" s="660"/>
      <c r="EWH1739" s="660"/>
      <c r="EWJ1739" s="629"/>
      <c r="EWK1739" s="630"/>
      <c r="EWL1739" s="631"/>
      <c r="EWM1739" s="631"/>
      <c r="EWN1739" s="631"/>
      <c r="EWO1739" s="631"/>
      <c r="EWP1739" s="631"/>
      <c r="EWQ1739" s="631"/>
      <c r="EWR1739" s="631"/>
      <c r="EWS1739" s="630"/>
      <c r="EWT1739" s="668">
        <f t="shared" ref="EWT1739" si="1354">ROUND((SUM(EWT1738:EWT1738)),2)</f>
        <v>8</v>
      </c>
      <c r="EWU1739" s="669" t="s">
        <v>2</v>
      </c>
      <c r="EWW1739" s="660"/>
      <c r="EWX1739" s="660"/>
      <c r="EWZ1739" s="629"/>
      <c r="EXA1739" s="630"/>
      <c r="EXB1739" s="631"/>
      <c r="EXC1739" s="631"/>
      <c r="EXD1739" s="631"/>
      <c r="EXE1739" s="631"/>
      <c r="EXF1739" s="631"/>
      <c r="EXG1739" s="631"/>
      <c r="EXH1739" s="631"/>
      <c r="EXI1739" s="630"/>
      <c r="EXJ1739" s="668">
        <f t="shared" ref="EXJ1739" si="1355">ROUND((SUM(EXJ1738:EXJ1738)),2)</f>
        <v>8</v>
      </c>
      <c r="EXK1739" s="669" t="s">
        <v>2</v>
      </c>
      <c r="EXM1739" s="660"/>
      <c r="EXN1739" s="660"/>
      <c r="EXP1739" s="629"/>
      <c r="EXQ1739" s="630"/>
      <c r="EXR1739" s="631"/>
      <c r="EXS1739" s="631"/>
      <c r="EXT1739" s="631"/>
      <c r="EXU1739" s="631"/>
      <c r="EXV1739" s="631"/>
      <c r="EXW1739" s="631"/>
      <c r="EXX1739" s="631"/>
      <c r="EXY1739" s="630"/>
      <c r="EXZ1739" s="668">
        <f t="shared" ref="EXZ1739" si="1356">ROUND((SUM(EXZ1738:EXZ1738)),2)</f>
        <v>8</v>
      </c>
      <c r="EYA1739" s="669" t="s">
        <v>2</v>
      </c>
      <c r="EYC1739" s="660"/>
      <c r="EYD1739" s="660"/>
      <c r="EYF1739" s="629"/>
      <c r="EYG1739" s="630"/>
      <c r="EYH1739" s="631"/>
      <c r="EYI1739" s="631"/>
      <c r="EYJ1739" s="631"/>
      <c r="EYK1739" s="631"/>
      <c r="EYL1739" s="631"/>
      <c r="EYM1739" s="631"/>
      <c r="EYN1739" s="631"/>
      <c r="EYO1739" s="630"/>
      <c r="EYP1739" s="668">
        <f t="shared" ref="EYP1739" si="1357">ROUND((SUM(EYP1738:EYP1738)),2)</f>
        <v>8</v>
      </c>
      <c r="EYQ1739" s="669" t="s">
        <v>2</v>
      </c>
      <c r="EYS1739" s="660"/>
      <c r="EYT1739" s="660"/>
      <c r="EYV1739" s="629"/>
      <c r="EYW1739" s="630"/>
      <c r="EYX1739" s="631"/>
      <c r="EYY1739" s="631"/>
      <c r="EYZ1739" s="631"/>
      <c r="EZA1739" s="631"/>
      <c r="EZB1739" s="631"/>
      <c r="EZC1739" s="631"/>
      <c r="EZD1739" s="631"/>
      <c r="EZE1739" s="630"/>
      <c r="EZF1739" s="668">
        <f t="shared" ref="EZF1739" si="1358">ROUND((SUM(EZF1738:EZF1738)),2)</f>
        <v>8</v>
      </c>
      <c r="EZG1739" s="669" t="s">
        <v>2</v>
      </c>
      <c r="EZI1739" s="660"/>
      <c r="EZJ1739" s="660"/>
      <c r="EZL1739" s="629"/>
      <c r="EZM1739" s="630"/>
      <c r="EZN1739" s="631"/>
      <c r="EZO1739" s="631"/>
      <c r="EZP1739" s="631"/>
      <c r="EZQ1739" s="631"/>
      <c r="EZR1739" s="631"/>
      <c r="EZS1739" s="631"/>
      <c r="EZT1739" s="631"/>
      <c r="EZU1739" s="630"/>
      <c r="EZV1739" s="668">
        <f t="shared" ref="EZV1739" si="1359">ROUND((SUM(EZV1738:EZV1738)),2)</f>
        <v>8</v>
      </c>
      <c r="EZW1739" s="669" t="s">
        <v>2</v>
      </c>
      <c r="EZY1739" s="660"/>
      <c r="EZZ1739" s="660"/>
      <c r="FAB1739" s="629"/>
      <c r="FAC1739" s="630"/>
      <c r="FAD1739" s="631"/>
      <c r="FAE1739" s="631"/>
      <c r="FAF1739" s="631"/>
      <c r="FAG1739" s="631"/>
      <c r="FAH1739" s="631"/>
      <c r="FAI1739" s="631"/>
      <c r="FAJ1739" s="631"/>
      <c r="FAK1739" s="630"/>
      <c r="FAL1739" s="668">
        <f t="shared" ref="FAL1739" si="1360">ROUND((SUM(FAL1738:FAL1738)),2)</f>
        <v>8</v>
      </c>
      <c r="FAM1739" s="669" t="s">
        <v>2</v>
      </c>
      <c r="FAO1739" s="660"/>
      <c r="FAP1739" s="660"/>
      <c r="FAR1739" s="629"/>
      <c r="FAS1739" s="630"/>
      <c r="FAT1739" s="631"/>
      <c r="FAU1739" s="631"/>
      <c r="FAV1739" s="631"/>
      <c r="FAW1739" s="631"/>
      <c r="FAX1739" s="631"/>
      <c r="FAY1739" s="631"/>
      <c r="FAZ1739" s="631"/>
      <c r="FBA1739" s="630"/>
      <c r="FBB1739" s="668">
        <f t="shared" ref="FBB1739" si="1361">ROUND((SUM(FBB1738:FBB1738)),2)</f>
        <v>8</v>
      </c>
      <c r="FBC1739" s="669" t="s">
        <v>2</v>
      </c>
      <c r="FBE1739" s="660"/>
      <c r="FBF1739" s="660"/>
      <c r="FBH1739" s="629"/>
      <c r="FBI1739" s="630"/>
      <c r="FBJ1739" s="631"/>
      <c r="FBK1739" s="631"/>
      <c r="FBL1739" s="631"/>
      <c r="FBM1739" s="631"/>
      <c r="FBN1739" s="631"/>
      <c r="FBO1739" s="631"/>
      <c r="FBP1739" s="631"/>
      <c r="FBQ1739" s="630"/>
      <c r="FBR1739" s="668">
        <f t="shared" ref="FBR1739" si="1362">ROUND((SUM(FBR1738:FBR1738)),2)</f>
        <v>8</v>
      </c>
      <c r="FBS1739" s="669" t="s">
        <v>2</v>
      </c>
      <c r="FBU1739" s="660"/>
      <c r="FBV1739" s="660"/>
      <c r="FBX1739" s="629"/>
      <c r="FBY1739" s="630"/>
      <c r="FBZ1739" s="631"/>
      <c r="FCA1739" s="631"/>
      <c r="FCB1739" s="631"/>
      <c r="FCC1739" s="631"/>
      <c r="FCD1739" s="631"/>
      <c r="FCE1739" s="631"/>
      <c r="FCF1739" s="631"/>
      <c r="FCG1739" s="630"/>
      <c r="FCH1739" s="668">
        <f t="shared" ref="FCH1739" si="1363">ROUND((SUM(FCH1738:FCH1738)),2)</f>
        <v>8</v>
      </c>
      <c r="FCI1739" s="669" t="s">
        <v>2</v>
      </c>
      <c r="FCK1739" s="660"/>
      <c r="FCL1739" s="660"/>
      <c r="FCN1739" s="629"/>
      <c r="FCO1739" s="630"/>
      <c r="FCP1739" s="631"/>
      <c r="FCQ1739" s="631"/>
      <c r="FCR1739" s="631"/>
      <c r="FCS1739" s="631"/>
      <c r="FCT1739" s="631"/>
      <c r="FCU1739" s="631"/>
      <c r="FCV1739" s="631"/>
      <c r="FCW1739" s="630"/>
      <c r="FCX1739" s="668">
        <f t="shared" ref="FCX1739" si="1364">ROUND((SUM(FCX1738:FCX1738)),2)</f>
        <v>8</v>
      </c>
      <c r="FCY1739" s="669" t="s">
        <v>2</v>
      </c>
      <c r="FDA1739" s="660"/>
      <c r="FDB1739" s="660"/>
      <c r="FDD1739" s="629"/>
      <c r="FDE1739" s="630"/>
      <c r="FDF1739" s="631"/>
      <c r="FDG1739" s="631"/>
      <c r="FDH1739" s="631"/>
      <c r="FDI1739" s="631"/>
      <c r="FDJ1739" s="631"/>
      <c r="FDK1739" s="631"/>
      <c r="FDL1739" s="631"/>
      <c r="FDM1739" s="630"/>
      <c r="FDN1739" s="668">
        <f t="shared" ref="FDN1739" si="1365">ROUND((SUM(FDN1738:FDN1738)),2)</f>
        <v>8</v>
      </c>
      <c r="FDO1739" s="669" t="s">
        <v>2</v>
      </c>
      <c r="FDQ1739" s="660"/>
      <c r="FDR1739" s="660"/>
      <c r="FDT1739" s="629"/>
      <c r="FDU1739" s="630"/>
      <c r="FDV1739" s="631"/>
      <c r="FDW1739" s="631"/>
      <c r="FDX1739" s="631"/>
      <c r="FDY1739" s="631"/>
      <c r="FDZ1739" s="631"/>
      <c r="FEA1739" s="631"/>
      <c r="FEB1739" s="631"/>
      <c r="FEC1739" s="630"/>
      <c r="FED1739" s="668">
        <f t="shared" ref="FED1739" si="1366">ROUND((SUM(FED1738:FED1738)),2)</f>
        <v>8</v>
      </c>
      <c r="FEE1739" s="669" t="s">
        <v>2</v>
      </c>
      <c r="FEG1739" s="660"/>
      <c r="FEH1739" s="660"/>
      <c r="FEJ1739" s="629"/>
      <c r="FEK1739" s="630"/>
      <c r="FEL1739" s="631"/>
      <c r="FEM1739" s="631"/>
      <c r="FEN1739" s="631"/>
      <c r="FEO1739" s="631"/>
      <c r="FEP1739" s="631"/>
      <c r="FEQ1739" s="631"/>
      <c r="FER1739" s="631"/>
      <c r="FES1739" s="630"/>
      <c r="FET1739" s="668">
        <f t="shared" ref="FET1739" si="1367">ROUND((SUM(FET1738:FET1738)),2)</f>
        <v>8</v>
      </c>
      <c r="FEU1739" s="669" t="s">
        <v>2</v>
      </c>
      <c r="FEW1739" s="660"/>
      <c r="FEX1739" s="660"/>
      <c r="FEZ1739" s="629"/>
      <c r="FFA1739" s="630"/>
      <c r="FFB1739" s="631"/>
      <c r="FFC1739" s="631"/>
      <c r="FFD1739" s="631"/>
      <c r="FFE1739" s="631"/>
      <c r="FFF1739" s="631"/>
      <c r="FFG1739" s="631"/>
      <c r="FFH1739" s="631"/>
      <c r="FFI1739" s="630"/>
      <c r="FFJ1739" s="668">
        <f t="shared" ref="FFJ1739" si="1368">ROUND((SUM(FFJ1738:FFJ1738)),2)</f>
        <v>8</v>
      </c>
      <c r="FFK1739" s="669" t="s">
        <v>2</v>
      </c>
      <c r="FFM1739" s="660"/>
      <c r="FFN1739" s="660"/>
      <c r="FFP1739" s="629"/>
      <c r="FFQ1739" s="630"/>
      <c r="FFR1739" s="631"/>
      <c r="FFS1739" s="631"/>
      <c r="FFT1739" s="631"/>
      <c r="FFU1739" s="631"/>
      <c r="FFV1739" s="631"/>
      <c r="FFW1739" s="631"/>
      <c r="FFX1739" s="631"/>
      <c r="FFY1739" s="630"/>
      <c r="FFZ1739" s="668">
        <f t="shared" ref="FFZ1739" si="1369">ROUND((SUM(FFZ1738:FFZ1738)),2)</f>
        <v>8</v>
      </c>
      <c r="FGA1739" s="669" t="s">
        <v>2</v>
      </c>
      <c r="FGC1739" s="660"/>
      <c r="FGD1739" s="660"/>
      <c r="FGF1739" s="629"/>
      <c r="FGG1739" s="630"/>
      <c r="FGH1739" s="631"/>
      <c r="FGI1739" s="631"/>
      <c r="FGJ1739" s="631"/>
      <c r="FGK1739" s="631"/>
      <c r="FGL1739" s="631"/>
      <c r="FGM1739" s="631"/>
      <c r="FGN1739" s="631"/>
      <c r="FGO1739" s="630"/>
      <c r="FGP1739" s="668">
        <f t="shared" ref="FGP1739" si="1370">ROUND((SUM(FGP1738:FGP1738)),2)</f>
        <v>8</v>
      </c>
      <c r="FGQ1739" s="669" t="s">
        <v>2</v>
      </c>
      <c r="FGS1739" s="660"/>
      <c r="FGT1739" s="660"/>
      <c r="FGV1739" s="629"/>
      <c r="FGW1739" s="630"/>
      <c r="FGX1739" s="631"/>
      <c r="FGY1739" s="631"/>
      <c r="FGZ1739" s="631"/>
      <c r="FHA1739" s="631"/>
      <c r="FHB1739" s="631"/>
      <c r="FHC1739" s="631"/>
      <c r="FHD1739" s="631"/>
      <c r="FHE1739" s="630"/>
      <c r="FHF1739" s="668">
        <f t="shared" ref="FHF1739" si="1371">ROUND((SUM(FHF1738:FHF1738)),2)</f>
        <v>8</v>
      </c>
      <c r="FHG1739" s="669" t="s">
        <v>2</v>
      </c>
      <c r="FHI1739" s="660"/>
      <c r="FHJ1739" s="660"/>
      <c r="FHL1739" s="629"/>
      <c r="FHM1739" s="630"/>
      <c r="FHN1739" s="631"/>
      <c r="FHO1739" s="631"/>
      <c r="FHP1739" s="631"/>
      <c r="FHQ1739" s="631"/>
      <c r="FHR1739" s="631"/>
      <c r="FHS1739" s="631"/>
      <c r="FHT1739" s="631"/>
      <c r="FHU1739" s="630"/>
      <c r="FHV1739" s="668">
        <f t="shared" ref="FHV1739" si="1372">ROUND((SUM(FHV1738:FHV1738)),2)</f>
        <v>8</v>
      </c>
      <c r="FHW1739" s="669" t="s">
        <v>2</v>
      </c>
      <c r="FHY1739" s="660"/>
      <c r="FHZ1739" s="660"/>
      <c r="FIB1739" s="629"/>
      <c r="FIC1739" s="630"/>
      <c r="FID1739" s="631"/>
      <c r="FIE1739" s="631"/>
      <c r="FIF1739" s="631"/>
      <c r="FIG1739" s="631"/>
      <c r="FIH1739" s="631"/>
      <c r="FII1739" s="631"/>
      <c r="FIJ1739" s="631"/>
      <c r="FIK1739" s="630"/>
      <c r="FIL1739" s="668">
        <f t="shared" ref="FIL1739" si="1373">ROUND((SUM(FIL1738:FIL1738)),2)</f>
        <v>8</v>
      </c>
      <c r="FIM1739" s="669" t="s">
        <v>2</v>
      </c>
      <c r="FIO1739" s="660"/>
      <c r="FIP1739" s="660"/>
      <c r="FIR1739" s="629"/>
      <c r="FIS1739" s="630"/>
      <c r="FIT1739" s="631"/>
      <c r="FIU1739" s="631"/>
      <c r="FIV1739" s="631"/>
      <c r="FIW1739" s="631"/>
      <c r="FIX1739" s="631"/>
      <c r="FIY1739" s="631"/>
      <c r="FIZ1739" s="631"/>
      <c r="FJA1739" s="630"/>
      <c r="FJB1739" s="668">
        <f t="shared" ref="FJB1739" si="1374">ROUND((SUM(FJB1738:FJB1738)),2)</f>
        <v>8</v>
      </c>
      <c r="FJC1739" s="669" t="s">
        <v>2</v>
      </c>
      <c r="FJE1739" s="660"/>
      <c r="FJF1739" s="660"/>
      <c r="FJH1739" s="629"/>
      <c r="FJI1739" s="630"/>
      <c r="FJJ1739" s="631"/>
      <c r="FJK1739" s="631"/>
      <c r="FJL1739" s="631"/>
      <c r="FJM1739" s="631"/>
      <c r="FJN1739" s="631"/>
      <c r="FJO1739" s="631"/>
      <c r="FJP1739" s="631"/>
      <c r="FJQ1739" s="630"/>
      <c r="FJR1739" s="668">
        <f t="shared" ref="FJR1739" si="1375">ROUND((SUM(FJR1738:FJR1738)),2)</f>
        <v>8</v>
      </c>
      <c r="FJS1739" s="669" t="s">
        <v>2</v>
      </c>
      <c r="FJU1739" s="660"/>
      <c r="FJV1739" s="660"/>
      <c r="FJX1739" s="629"/>
      <c r="FJY1739" s="630"/>
      <c r="FJZ1739" s="631"/>
      <c r="FKA1739" s="631"/>
      <c r="FKB1739" s="631"/>
      <c r="FKC1739" s="631"/>
      <c r="FKD1739" s="631"/>
      <c r="FKE1739" s="631"/>
      <c r="FKF1739" s="631"/>
      <c r="FKG1739" s="630"/>
      <c r="FKH1739" s="668">
        <f t="shared" ref="FKH1739" si="1376">ROUND((SUM(FKH1738:FKH1738)),2)</f>
        <v>8</v>
      </c>
      <c r="FKI1739" s="669" t="s">
        <v>2</v>
      </c>
      <c r="FKK1739" s="660"/>
      <c r="FKL1739" s="660"/>
      <c r="FKN1739" s="629"/>
      <c r="FKO1739" s="630"/>
      <c r="FKP1739" s="631"/>
      <c r="FKQ1739" s="631"/>
      <c r="FKR1739" s="631"/>
      <c r="FKS1739" s="631"/>
      <c r="FKT1739" s="631"/>
      <c r="FKU1739" s="631"/>
      <c r="FKV1739" s="631"/>
      <c r="FKW1739" s="630"/>
      <c r="FKX1739" s="668">
        <f t="shared" ref="FKX1739" si="1377">ROUND((SUM(FKX1738:FKX1738)),2)</f>
        <v>8</v>
      </c>
      <c r="FKY1739" s="669" t="s">
        <v>2</v>
      </c>
      <c r="FLA1739" s="660"/>
      <c r="FLB1739" s="660"/>
      <c r="FLD1739" s="629"/>
      <c r="FLE1739" s="630"/>
      <c r="FLF1739" s="631"/>
      <c r="FLG1739" s="631"/>
      <c r="FLH1739" s="631"/>
      <c r="FLI1739" s="631"/>
      <c r="FLJ1739" s="631"/>
      <c r="FLK1739" s="631"/>
      <c r="FLL1739" s="631"/>
      <c r="FLM1739" s="630"/>
      <c r="FLN1739" s="668">
        <f t="shared" ref="FLN1739" si="1378">ROUND((SUM(FLN1738:FLN1738)),2)</f>
        <v>8</v>
      </c>
      <c r="FLO1739" s="669" t="s">
        <v>2</v>
      </c>
      <c r="FLQ1739" s="660"/>
      <c r="FLR1739" s="660"/>
      <c r="FLT1739" s="629"/>
      <c r="FLU1739" s="630"/>
      <c r="FLV1739" s="631"/>
      <c r="FLW1739" s="631"/>
      <c r="FLX1739" s="631"/>
      <c r="FLY1739" s="631"/>
      <c r="FLZ1739" s="631"/>
      <c r="FMA1739" s="631"/>
      <c r="FMB1739" s="631"/>
      <c r="FMC1739" s="630"/>
      <c r="FMD1739" s="668">
        <f t="shared" ref="FMD1739" si="1379">ROUND((SUM(FMD1738:FMD1738)),2)</f>
        <v>8</v>
      </c>
      <c r="FME1739" s="669" t="s">
        <v>2</v>
      </c>
      <c r="FMG1739" s="660"/>
      <c r="FMH1739" s="660"/>
      <c r="FMJ1739" s="629"/>
      <c r="FMK1739" s="630"/>
      <c r="FML1739" s="631"/>
      <c r="FMM1739" s="631"/>
      <c r="FMN1739" s="631"/>
      <c r="FMO1739" s="631"/>
      <c r="FMP1739" s="631"/>
      <c r="FMQ1739" s="631"/>
      <c r="FMR1739" s="631"/>
      <c r="FMS1739" s="630"/>
      <c r="FMT1739" s="668">
        <f t="shared" ref="FMT1739" si="1380">ROUND((SUM(FMT1738:FMT1738)),2)</f>
        <v>8</v>
      </c>
      <c r="FMU1739" s="669" t="s">
        <v>2</v>
      </c>
      <c r="FMW1739" s="660"/>
      <c r="FMX1739" s="660"/>
      <c r="FMZ1739" s="629"/>
      <c r="FNA1739" s="630"/>
      <c r="FNB1739" s="631"/>
      <c r="FNC1739" s="631"/>
      <c r="FND1739" s="631"/>
      <c r="FNE1739" s="631"/>
      <c r="FNF1739" s="631"/>
      <c r="FNG1739" s="631"/>
      <c r="FNH1739" s="631"/>
      <c r="FNI1739" s="630"/>
      <c r="FNJ1739" s="668">
        <f t="shared" ref="FNJ1739" si="1381">ROUND((SUM(FNJ1738:FNJ1738)),2)</f>
        <v>8</v>
      </c>
      <c r="FNK1739" s="669" t="s">
        <v>2</v>
      </c>
      <c r="FNM1739" s="660"/>
      <c r="FNN1739" s="660"/>
      <c r="FNP1739" s="629"/>
      <c r="FNQ1739" s="630"/>
      <c r="FNR1739" s="631"/>
      <c r="FNS1739" s="631"/>
      <c r="FNT1739" s="631"/>
      <c r="FNU1739" s="631"/>
      <c r="FNV1739" s="631"/>
      <c r="FNW1739" s="631"/>
      <c r="FNX1739" s="631"/>
      <c r="FNY1739" s="630"/>
      <c r="FNZ1739" s="668">
        <f t="shared" ref="FNZ1739" si="1382">ROUND((SUM(FNZ1738:FNZ1738)),2)</f>
        <v>8</v>
      </c>
      <c r="FOA1739" s="669" t="s">
        <v>2</v>
      </c>
      <c r="FOC1739" s="660"/>
      <c r="FOD1739" s="660"/>
      <c r="FOF1739" s="629"/>
      <c r="FOG1739" s="630"/>
      <c r="FOH1739" s="631"/>
      <c r="FOI1739" s="631"/>
      <c r="FOJ1739" s="631"/>
      <c r="FOK1739" s="631"/>
      <c r="FOL1739" s="631"/>
      <c r="FOM1739" s="631"/>
      <c r="FON1739" s="631"/>
      <c r="FOO1739" s="630"/>
      <c r="FOP1739" s="668">
        <f t="shared" ref="FOP1739" si="1383">ROUND((SUM(FOP1738:FOP1738)),2)</f>
        <v>8</v>
      </c>
      <c r="FOQ1739" s="669" t="s">
        <v>2</v>
      </c>
      <c r="FOS1739" s="660"/>
      <c r="FOT1739" s="660"/>
      <c r="FOV1739" s="629"/>
      <c r="FOW1739" s="630"/>
      <c r="FOX1739" s="631"/>
      <c r="FOY1739" s="631"/>
      <c r="FOZ1739" s="631"/>
      <c r="FPA1739" s="631"/>
      <c r="FPB1739" s="631"/>
      <c r="FPC1739" s="631"/>
      <c r="FPD1739" s="631"/>
      <c r="FPE1739" s="630"/>
      <c r="FPF1739" s="668">
        <f t="shared" ref="FPF1739" si="1384">ROUND((SUM(FPF1738:FPF1738)),2)</f>
        <v>8</v>
      </c>
      <c r="FPG1739" s="669" t="s">
        <v>2</v>
      </c>
      <c r="FPI1739" s="660"/>
      <c r="FPJ1739" s="660"/>
      <c r="FPL1739" s="629"/>
      <c r="FPM1739" s="630"/>
      <c r="FPN1739" s="631"/>
      <c r="FPO1739" s="631"/>
      <c r="FPP1739" s="631"/>
      <c r="FPQ1739" s="631"/>
      <c r="FPR1739" s="631"/>
      <c r="FPS1739" s="631"/>
      <c r="FPT1739" s="631"/>
      <c r="FPU1739" s="630"/>
      <c r="FPV1739" s="668">
        <f t="shared" ref="FPV1739" si="1385">ROUND((SUM(FPV1738:FPV1738)),2)</f>
        <v>8</v>
      </c>
      <c r="FPW1739" s="669" t="s">
        <v>2</v>
      </c>
      <c r="FPY1739" s="660"/>
      <c r="FPZ1739" s="660"/>
      <c r="FQB1739" s="629"/>
      <c r="FQC1739" s="630"/>
      <c r="FQD1739" s="631"/>
      <c r="FQE1739" s="631"/>
      <c r="FQF1739" s="631"/>
      <c r="FQG1739" s="631"/>
      <c r="FQH1739" s="631"/>
      <c r="FQI1739" s="631"/>
      <c r="FQJ1739" s="631"/>
      <c r="FQK1739" s="630"/>
      <c r="FQL1739" s="668">
        <f t="shared" ref="FQL1739" si="1386">ROUND((SUM(FQL1738:FQL1738)),2)</f>
        <v>8</v>
      </c>
      <c r="FQM1739" s="669" t="s">
        <v>2</v>
      </c>
      <c r="FQO1739" s="660"/>
      <c r="FQP1739" s="660"/>
      <c r="FQR1739" s="629"/>
      <c r="FQS1739" s="630"/>
      <c r="FQT1739" s="631"/>
      <c r="FQU1739" s="631"/>
      <c r="FQV1739" s="631"/>
      <c r="FQW1739" s="631"/>
      <c r="FQX1739" s="631"/>
      <c r="FQY1739" s="631"/>
      <c r="FQZ1739" s="631"/>
      <c r="FRA1739" s="630"/>
      <c r="FRB1739" s="668">
        <f t="shared" ref="FRB1739" si="1387">ROUND((SUM(FRB1738:FRB1738)),2)</f>
        <v>8</v>
      </c>
      <c r="FRC1739" s="669" t="s">
        <v>2</v>
      </c>
      <c r="FRE1739" s="660"/>
      <c r="FRF1739" s="660"/>
      <c r="FRH1739" s="629"/>
      <c r="FRI1739" s="630"/>
      <c r="FRJ1739" s="631"/>
      <c r="FRK1739" s="631"/>
      <c r="FRL1739" s="631"/>
      <c r="FRM1739" s="631"/>
      <c r="FRN1739" s="631"/>
      <c r="FRO1739" s="631"/>
      <c r="FRP1739" s="631"/>
      <c r="FRQ1739" s="630"/>
      <c r="FRR1739" s="668">
        <f t="shared" ref="FRR1739" si="1388">ROUND((SUM(FRR1738:FRR1738)),2)</f>
        <v>8</v>
      </c>
      <c r="FRS1739" s="669" t="s">
        <v>2</v>
      </c>
      <c r="FRU1739" s="660"/>
      <c r="FRV1739" s="660"/>
      <c r="FRX1739" s="629"/>
      <c r="FRY1739" s="630"/>
      <c r="FRZ1739" s="631"/>
      <c r="FSA1739" s="631"/>
      <c r="FSB1739" s="631"/>
      <c r="FSC1739" s="631"/>
      <c r="FSD1739" s="631"/>
      <c r="FSE1739" s="631"/>
      <c r="FSF1739" s="631"/>
      <c r="FSG1739" s="630"/>
      <c r="FSH1739" s="668">
        <f t="shared" ref="FSH1739" si="1389">ROUND((SUM(FSH1738:FSH1738)),2)</f>
        <v>8</v>
      </c>
      <c r="FSI1739" s="669" t="s">
        <v>2</v>
      </c>
      <c r="FSK1739" s="660"/>
      <c r="FSL1739" s="660"/>
      <c r="FSN1739" s="629"/>
      <c r="FSO1739" s="630"/>
      <c r="FSP1739" s="631"/>
      <c r="FSQ1739" s="631"/>
      <c r="FSR1739" s="631"/>
      <c r="FSS1739" s="631"/>
      <c r="FST1739" s="631"/>
      <c r="FSU1739" s="631"/>
      <c r="FSV1739" s="631"/>
      <c r="FSW1739" s="630"/>
      <c r="FSX1739" s="668">
        <f t="shared" ref="FSX1739" si="1390">ROUND((SUM(FSX1738:FSX1738)),2)</f>
        <v>8</v>
      </c>
      <c r="FSY1739" s="669" t="s">
        <v>2</v>
      </c>
      <c r="FTA1739" s="660"/>
      <c r="FTB1739" s="660"/>
      <c r="FTD1739" s="629"/>
      <c r="FTE1739" s="630"/>
      <c r="FTF1739" s="631"/>
      <c r="FTG1739" s="631"/>
      <c r="FTH1739" s="631"/>
      <c r="FTI1739" s="631"/>
      <c r="FTJ1739" s="631"/>
      <c r="FTK1739" s="631"/>
      <c r="FTL1739" s="631"/>
      <c r="FTM1739" s="630"/>
      <c r="FTN1739" s="668">
        <f t="shared" ref="FTN1739" si="1391">ROUND((SUM(FTN1738:FTN1738)),2)</f>
        <v>8</v>
      </c>
      <c r="FTO1739" s="669" t="s">
        <v>2</v>
      </c>
      <c r="FTQ1739" s="660"/>
      <c r="FTR1739" s="660"/>
      <c r="FTT1739" s="629"/>
      <c r="FTU1739" s="630"/>
      <c r="FTV1739" s="631"/>
      <c r="FTW1739" s="631"/>
      <c r="FTX1739" s="631"/>
      <c r="FTY1739" s="631"/>
      <c r="FTZ1739" s="631"/>
      <c r="FUA1739" s="631"/>
      <c r="FUB1739" s="631"/>
      <c r="FUC1739" s="630"/>
      <c r="FUD1739" s="668">
        <f t="shared" ref="FUD1739" si="1392">ROUND((SUM(FUD1738:FUD1738)),2)</f>
        <v>8</v>
      </c>
      <c r="FUE1739" s="669" t="s">
        <v>2</v>
      </c>
      <c r="FUG1739" s="660"/>
      <c r="FUH1739" s="660"/>
      <c r="FUJ1739" s="629"/>
      <c r="FUK1739" s="630"/>
      <c r="FUL1739" s="631"/>
      <c r="FUM1739" s="631"/>
      <c r="FUN1739" s="631"/>
      <c r="FUO1739" s="631"/>
      <c r="FUP1739" s="631"/>
      <c r="FUQ1739" s="631"/>
      <c r="FUR1739" s="631"/>
      <c r="FUS1739" s="630"/>
      <c r="FUT1739" s="668">
        <f t="shared" ref="FUT1739" si="1393">ROUND((SUM(FUT1738:FUT1738)),2)</f>
        <v>8</v>
      </c>
      <c r="FUU1739" s="669" t="s">
        <v>2</v>
      </c>
      <c r="FUW1739" s="660"/>
      <c r="FUX1739" s="660"/>
      <c r="FUZ1739" s="629"/>
      <c r="FVA1739" s="630"/>
      <c r="FVB1739" s="631"/>
      <c r="FVC1739" s="631"/>
      <c r="FVD1739" s="631"/>
      <c r="FVE1739" s="631"/>
      <c r="FVF1739" s="631"/>
      <c r="FVG1739" s="631"/>
      <c r="FVH1739" s="631"/>
      <c r="FVI1739" s="630"/>
      <c r="FVJ1739" s="668">
        <f t="shared" ref="FVJ1739" si="1394">ROUND((SUM(FVJ1738:FVJ1738)),2)</f>
        <v>8</v>
      </c>
      <c r="FVK1739" s="669" t="s">
        <v>2</v>
      </c>
      <c r="FVM1739" s="660"/>
      <c r="FVN1739" s="660"/>
      <c r="FVP1739" s="629"/>
      <c r="FVQ1739" s="630"/>
      <c r="FVR1739" s="631"/>
      <c r="FVS1739" s="631"/>
      <c r="FVT1739" s="631"/>
      <c r="FVU1739" s="631"/>
      <c r="FVV1739" s="631"/>
      <c r="FVW1739" s="631"/>
      <c r="FVX1739" s="631"/>
      <c r="FVY1739" s="630"/>
      <c r="FVZ1739" s="668">
        <f t="shared" ref="FVZ1739" si="1395">ROUND((SUM(FVZ1738:FVZ1738)),2)</f>
        <v>8</v>
      </c>
      <c r="FWA1739" s="669" t="s">
        <v>2</v>
      </c>
      <c r="FWC1739" s="660"/>
      <c r="FWD1739" s="660"/>
      <c r="FWF1739" s="629"/>
      <c r="FWG1739" s="630"/>
      <c r="FWH1739" s="631"/>
      <c r="FWI1739" s="631"/>
      <c r="FWJ1739" s="631"/>
      <c r="FWK1739" s="631"/>
      <c r="FWL1739" s="631"/>
      <c r="FWM1739" s="631"/>
      <c r="FWN1739" s="631"/>
      <c r="FWO1739" s="630"/>
      <c r="FWP1739" s="668">
        <f t="shared" ref="FWP1739" si="1396">ROUND((SUM(FWP1738:FWP1738)),2)</f>
        <v>8</v>
      </c>
      <c r="FWQ1739" s="669" t="s">
        <v>2</v>
      </c>
      <c r="FWS1739" s="660"/>
      <c r="FWT1739" s="660"/>
      <c r="FWV1739" s="629"/>
      <c r="FWW1739" s="630"/>
      <c r="FWX1739" s="631"/>
      <c r="FWY1739" s="631"/>
      <c r="FWZ1739" s="631"/>
      <c r="FXA1739" s="631"/>
      <c r="FXB1739" s="631"/>
      <c r="FXC1739" s="631"/>
      <c r="FXD1739" s="631"/>
      <c r="FXE1739" s="630"/>
      <c r="FXF1739" s="668">
        <f t="shared" ref="FXF1739" si="1397">ROUND((SUM(FXF1738:FXF1738)),2)</f>
        <v>8</v>
      </c>
      <c r="FXG1739" s="669" t="s">
        <v>2</v>
      </c>
      <c r="FXI1739" s="660"/>
      <c r="FXJ1739" s="660"/>
      <c r="FXL1739" s="629"/>
      <c r="FXM1739" s="630"/>
      <c r="FXN1739" s="631"/>
      <c r="FXO1739" s="631"/>
      <c r="FXP1739" s="631"/>
      <c r="FXQ1739" s="631"/>
      <c r="FXR1739" s="631"/>
      <c r="FXS1739" s="631"/>
      <c r="FXT1739" s="631"/>
      <c r="FXU1739" s="630"/>
      <c r="FXV1739" s="668">
        <f t="shared" ref="FXV1739" si="1398">ROUND((SUM(FXV1738:FXV1738)),2)</f>
        <v>8</v>
      </c>
      <c r="FXW1739" s="669" t="s">
        <v>2</v>
      </c>
      <c r="FXY1739" s="660"/>
      <c r="FXZ1739" s="660"/>
      <c r="FYB1739" s="629"/>
      <c r="FYC1739" s="630"/>
      <c r="FYD1739" s="631"/>
      <c r="FYE1739" s="631"/>
      <c r="FYF1739" s="631"/>
      <c r="FYG1739" s="631"/>
      <c r="FYH1739" s="631"/>
      <c r="FYI1739" s="631"/>
      <c r="FYJ1739" s="631"/>
      <c r="FYK1739" s="630"/>
      <c r="FYL1739" s="668">
        <f t="shared" ref="FYL1739" si="1399">ROUND((SUM(FYL1738:FYL1738)),2)</f>
        <v>8</v>
      </c>
      <c r="FYM1739" s="669" t="s">
        <v>2</v>
      </c>
      <c r="FYO1739" s="660"/>
      <c r="FYP1739" s="660"/>
      <c r="FYR1739" s="629"/>
      <c r="FYS1739" s="630"/>
      <c r="FYT1739" s="631"/>
      <c r="FYU1739" s="631"/>
      <c r="FYV1739" s="631"/>
      <c r="FYW1739" s="631"/>
      <c r="FYX1739" s="631"/>
      <c r="FYY1739" s="631"/>
      <c r="FYZ1739" s="631"/>
      <c r="FZA1739" s="630"/>
      <c r="FZB1739" s="668">
        <f t="shared" ref="FZB1739" si="1400">ROUND((SUM(FZB1738:FZB1738)),2)</f>
        <v>8</v>
      </c>
      <c r="FZC1739" s="669" t="s">
        <v>2</v>
      </c>
      <c r="FZE1739" s="660"/>
      <c r="FZF1739" s="660"/>
      <c r="FZH1739" s="629"/>
      <c r="FZI1739" s="630"/>
      <c r="FZJ1739" s="631"/>
      <c r="FZK1739" s="631"/>
      <c r="FZL1739" s="631"/>
      <c r="FZM1739" s="631"/>
      <c r="FZN1739" s="631"/>
      <c r="FZO1739" s="631"/>
      <c r="FZP1739" s="631"/>
      <c r="FZQ1739" s="630"/>
      <c r="FZR1739" s="668">
        <f t="shared" ref="FZR1739" si="1401">ROUND((SUM(FZR1738:FZR1738)),2)</f>
        <v>8</v>
      </c>
      <c r="FZS1739" s="669" t="s">
        <v>2</v>
      </c>
      <c r="FZU1739" s="660"/>
      <c r="FZV1739" s="660"/>
      <c r="FZX1739" s="629"/>
      <c r="FZY1739" s="630"/>
      <c r="FZZ1739" s="631"/>
      <c r="GAA1739" s="631"/>
      <c r="GAB1739" s="631"/>
      <c r="GAC1739" s="631"/>
      <c r="GAD1739" s="631"/>
      <c r="GAE1739" s="631"/>
      <c r="GAF1739" s="631"/>
      <c r="GAG1739" s="630"/>
      <c r="GAH1739" s="668">
        <f t="shared" ref="GAH1739" si="1402">ROUND((SUM(GAH1738:GAH1738)),2)</f>
        <v>8</v>
      </c>
      <c r="GAI1739" s="669" t="s">
        <v>2</v>
      </c>
      <c r="GAK1739" s="660"/>
      <c r="GAL1739" s="660"/>
      <c r="GAN1739" s="629"/>
      <c r="GAO1739" s="630"/>
      <c r="GAP1739" s="631"/>
      <c r="GAQ1739" s="631"/>
      <c r="GAR1739" s="631"/>
      <c r="GAS1739" s="631"/>
      <c r="GAT1739" s="631"/>
      <c r="GAU1739" s="631"/>
      <c r="GAV1739" s="631"/>
      <c r="GAW1739" s="630"/>
      <c r="GAX1739" s="668">
        <f t="shared" ref="GAX1739" si="1403">ROUND((SUM(GAX1738:GAX1738)),2)</f>
        <v>8</v>
      </c>
      <c r="GAY1739" s="669" t="s">
        <v>2</v>
      </c>
      <c r="GBA1739" s="660"/>
      <c r="GBB1739" s="660"/>
      <c r="GBD1739" s="629"/>
      <c r="GBE1739" s="630"/>
      <c r="GBF1739" s="631"/>
      <c r="GBG1739" s="631"/>
      <c r="GBH1739" s="631"/>
      <c r="GBI1739" s="631"/>
      <c r="GBJ1739" s="631"/>
      <c r="GBK1739" s="631"/>
      <c r="GBL1739" s="631"/>
      <c r="GBM1739" s="630"/>
      <c r="GBN1739" s="668">
        <f t="shared" ref="GBN1739" si="1404">ROUND((SUM(GBN1738:GBN1738)),2)</f>
        <v>8</v>
      </c>
      <c r="GBO1739" s="669" t="s">
        <v>2</v>
      </c>
      <c r="GBQ1739" s="660"/>
      <c r="GBR1739" s="660"/>
      <c r="GBT1739" s="629"/>
      <c r="GBU1739" s="630"/>
      <c r="GBV1739" s="631"/>
      <c r="GBW1739" s="631"/>
      <c r="GBX1739" s="631"/>
      <c r="GBY1739" s="631"/>
      <c r="GBZ1739" s="631"/>
      <c r="GCA1739" s="631"/>
      <c r="GCB1739" s="631"/>
      <c r="GCC1739" s="630"/>
      <c r="GCD1739" s="668">
        <f t="shared" ref="GCD1739" si="1405">ROUND((SUM(GCD1738:GCD1738)),2)</f>
        <v>8</v>
      </c>
      <c r="GCE1739" s="669" t="s">
        <v>2</v>
      </c>
      <c r="GCG1739" s="660"/>
      <c r="GCH1739" s="660"/>
      <c r="GCJ1739" s="629"/>
      <c r="GCK1739" s="630"/>
      <c r="GCL1739" s="631"/>
      <c r="GCM1739" s="631"/>
      <c r="GCN1739" s="631"/>
      <c r="GCO1739" s="631"/>
      <c r="GCP1739" s="631"/>
      <c r="GCQ1739" s="631"/>
      <c r="GCR1739" s="631"/>
      <c r="GCS1739" s="630"/>
      <c r="GCT1739" s="668">
        <f t="shared" ref="GCT1739" si="1406">ROUND((SUM(GCT1738:GCT1738)),2)</f>
        <v>8</v>
      </c>
      <c r="GCU1739" s="669" t="s">
        <v>2</v>
      </c>
      <c r="GCW1739" s="660"/>
      <c r="GCX1739" s="660"/>
      <c r="GCZ1739" s="629"/>
      <c r="GDA1739" s="630"/>
      <c r="GDB1739" s="631"/>
      <c r="GDC1739" s="631"/>
      <c r="GDD1739" s="631"/>
      <c r="GDE1739" s="631"/>
      <c r="GDF1739" s="631"/>
      <c r="GDG1739" s="631"/>
      <c r="GDH1739" s="631"/>
      <c r="GDI1739" s="630"/>
      <c r="GDJ1739" s="668">
        <f t="shared" ref="GDJ1739" si="1407">ROUND((SUM(GDJ1738:GDJ1738)),2)</f>
        <v>8</v>
      </c>
      <c r="GDK1739" s="669" t="s">
        <v>2</v>
      </c>
      <c r="GDM1739" s="660"/>
      <c r="GDN1739" s="660"/>
      <c r="GDP1739" s="629"/>
      <c r="GDQ1739" s="630"/>
      <c r="GDR1739" s="631"/>
      <c r="GDS1739" s="631"/>
      <c r="GDT1739" s="631"/>
      <c r="GDU1739" s="631"/>
      <c r="GDV1739" s="631"/>
      <c r="GDW1739" s="631"/>
      <c r="GDX1739" s="631"/>
      <c r="GDY1739" s="630"/>
      <c r="GDZ1739" s="668">
        <f t="shared" ref="GDZ1739" si="1408">ROUND((SUM(GDZ1738:GDZ1738)),2)</f>
        <v>8</v>
      </c>
      <c r="GEA1739" s="669" t="s">
        <v>2</v>
      </c>
      <c r="GEC1739" s="660"/>
      <c r="GED1739" s="660"/>
      <c r="GEF1739" s="629"/>
      <c r="GEG1739" s="630"/>
      <c r="GEH1739" s="631"/>
      <c r="GEI1739" s="631"/>
      <c r="GEJ1739" s="631"/>
      <c r="GEK1739" s="631"/>
      <c r="GEL1739" s="631"/>
      <c r="GEM1739" s="631"/>
      <c r="GEN1739" s="631"/>
      <c r="GEO1739" s="630"/>
      <c r="GEP1739" s="668">
        <f t="shared" ref="GEP1739" si="1409">ROUND((SUM(GEP1738:GEP1738)),2)</f>
        <v>8</v>
      </c>
      <c r="GEQ1739" s="669" t="s">
        <v>2</v>
      </c>
      <c r="GES1739" s="660"/>
      <c r="GET1739" s="660"/>
      <c r="GEV1739" s="629"/>
      <c r="GEW1739" s="630"/>
      <c r="GEX1739" s="631"/>
      <c r="GEY1739" s="631"/>
      <c r="GEZ1739" s="631"/>
      <c r="GFA1739" s="631"/>
      <c r="GFB1739" s="631"/>
      <c r="GFC1739" s="631"/>
      <c r="GFD1739" s="631"/>
      <c r="GFE1739" s="630"/>
      <c r="GFF1739" s="668">
        <f t="shared" ref="GFF1739" si="1410">ROUND((SUM(GFF1738:GFF1738)),2)</f>
        <v>8</v>
      </c>
      <c r="GFG1739" s="669" t="s">
        <v>2</v>
      </c>
      <c r="GFI1739" s="660"/>
      <c r="GFJ1739" s="660"/>
      <c r="GFL1739" s="629"/>
      <c r="GFM1739" s="630"/>
      <c r="GFN1739" s="631"/>
      <c r="GFO1739" s="631"/>
      <c r="GFP1739" s="631"/>
      <c r="GFQ1739" s="631"/>
      <c r="GFR1739" s="631"/>
      <c r="GFS1739" s="631"/>
      <c r="GFT1739" s="631"/>
      <c r="GFU1739" s="630"/>
      <c r="GFV1739" s="668">
        <f t="shared" ref="GFV1739" si="1411">ROUND((SUM(GFV1738:GFV1738)),2)</f>
        <v>8</v>
      </c>
      <c r="GFW1739" s="669" t="s">
        <v>2</v>
      </c>
      <c r="GFY1739" s="660"/>
      <c r="GFZ1739" s="660"/>
      <c r="GGB1739" s="629"/>
      <c r="GGC1739" s="630"/>
      <c r="GGD1739" s="631"/>
      <c r="GGE1739" s="631"/>
      <c r="GGF1739" s="631"/>
      <c r="GGG1739" s="631"/>
      <c r="GGH1739" s="631"/>
      <c r="GGI1739" s="631"/>
      <c r="GGJ1739" s="631"/>
      <c r="GGK1739" s="630"/>
      <c r="GGL1739" s="668">
        <f t="shared" ref="GGL1739" si="1412">ROUND((SUM(GGL1738:GGL1738)),2)</f>
        <v>8</v>
      </c>
      <c r="GGM1739" s="669" t="s">
        <v>2</v>
      </c>
      <c r="GGO1739" s="660"/>
      <c r="GGP1739" s="660"/>
      <c r="GGR1739" s="629"/>
      <c r="GGS1739" s="630"/>
      <c r="GGT1739" s="631"/>
      <c r="GGU1739" s="631"/>
      <c r="GGV1739" s="631"/>
      <c r="GGW1739" s="631"/>
      <c r="GGX1739" s="631"/>
      <c r="GGY1739" s="631"/>
      <c r="GGZ1739" s="631"/>
      <c r="GHA1739" s="630"/>
      <c r="GHB1739" s="668">
        <f t="shared" ref="GHB1739" si="1413">ROUND((SUM(GHB1738:GHB1738)),2)</f>
        <v>8</v>
      </c>
      <c r="GHC1739" s="669" t="s">
        <v>2</v>
      </c>
      <c r="GHE1739" s="660"/>
      <c r="GHF1739" s="660"/>
      <c r="GHH1739" s="629"/>
      <c r="GHI1739" s="630"/>
      <c r="GHJ1739" s="631"/>
      <c r="GHK1739" s="631"/>
      <c r="GHL1739" s="631"/>
      <c r="GHM1739" s="631"/>
      <c r="GHN1739" s="631"/>
      <c r="GHO1739" s="631"/>
      <c r="GHP1739" s="631"/>
      <c r="GHQ1739" s="630"/>
      <c r="GHR1739" s="668">
        <f t="shared" ref="GHR1739" si="1414">ROUND((SUM(GHR1738:GHR1738)),2)</f>
        <v>8</v>
      </c>
      <c r="GHS1739" s="669" t="s">
        <v>2</v>
      </c>
      <c r="GHU1739" s="660"/>
      <c r="GHV1739" s="660"/>
      <c r="GHX1739" s="629"/>
      <c r="GHY1739" s="630"/>
      <c r="GHZ1739" s="631"/>
      <c r="GIA1739" s="631"/>
      <c r="GIB1739" s="631"/>
      <c r="GIC1739" s="631"/>
      <c r="GID1739" s="631"/>
      <c r="GIE1739" s="631"/>
      <c r="GIF1739" s="631"/>
      <c r="GIG1739" s="630"/>
      <c r="GIH1739" s="668">
        <f t="shared" ref="GIH1739" si="1415">ROUND((SUM(GIH1738:GIH1738)),2)</f>
        <v>8</v>
      </c>
      <c r="GII1739" s="669" t="s">
        <v>2</v>
      </c>
      <c r="GIK1739" s="660"/>
      <c r="GIL1739" s="660"/>
      <c r="GIN1739" s="629"/>
      <c r="GIO1739" s="630"/>
      <c r="GIP1739" s="631"/>
      <c r="GIQ1739" s="631"/>
      <c r="GIR1739" s="631"/>
      <c r="GIS1739" s="631"/>
      <c r="GIT1739" s="631"/>
      <c r="GIU1739" s="631"/>
      <c r="GIV1739" s="631"/>
      <c r="GIW1739" s="630"/>
      <c r="GIX1739" s="668">
        <f t="shared" ref="GIX1739" si="1416">ROUND((SUM(GIX1738:GIX1738)),2)</f>
        <v>8</v>
      </c>
      <c r="GIY1739" s="669" t="s">
        <v>2</v>
      </c>
      <c r="GJA1739" s="660"/>
      <c r="GJB1739" s="660"/>
      <c r="GJD1739" s="629"/>
      <c r="GJE1739" s="630"/>
      <c r="GJF1739" s="631"/>
      <c r="GJG1739" s="631"/>
      <c r="GJH1739" s="631"/>
      <c r="GJI1739" s="631"/>
      <c r="GJJ1739" s="631"/>
      <c r="GJK1739" s="631"/>
      <c r="GJL1739" s="631"/>
      <c r="GJM1739" s="630"/>
      <c r="GJN1739" s="668">
        <f t="shared" ref="GJN1739" si="1417">ROUND((SUM(GJN1738:GJN1738)),2)</f>
        <v>8</v>
      </c>
      <c r="GJO1739" s="669" t="s">
        <v>2</v>
      </c>
      <c r="GJQ1739" s="660"/>
      <c r="GJR1739" s="660"/>
      <c r="GJT1739" s="629"/>
      <c r="GJU1739" s="630"/>
      <c r="GJV1739" s="631"/>
      <c r="GJW1739" s="631"/>
      <c r="GJX1739" s="631"/>
      <c r="GJY1739" s="631"/>
      <c r="GJZ1739" s="631"/>
      <c r="GKA1739" s="631"/>
      <c r="GKB1739" s="631"/>
      <c r="GKC1739" s="630"/>
      <c r="GKD1739" s="668">
        <f t="shared" ref="GKD1739" si="1418">ROUND((SUM(GKD1738:GKD1738)),2)</f>
        <v>8</v>
      </c>
      <c r="GKE1739" s="669" t="s">
        <v>2</v>
      </c>
      <c r="GKG1739" s="660"/>
      <c r="GKH1739" s="660"/>
      <c r="GKJ1739" s="629"/>
      <c r="GKK1739" s="630"/>
      <c r="GKL1739" s="631"/>
      <c r="GKM1739" s="631"/>
      <c r="GKN1739" s="631"/>
      <c r="GKO1739" s="631"/>
      <c r="GKP1739" s="631"/>
      <c r="GKQ1739" s="631"/>
      <c r="GKR1739" s="631"/>
      <c r="GKS1739" s="630"/>
      <c r="GKT1739" s="668">
        <f t="shared" ref="GKT1739" si="1419">ROUND((SUM(GKT1738:GKT1738)),2)</f>
        <v>8</v>
      </c>
      <c r="GKU1739" s="669" t="s">
        <v>2</v>
      </c>
      <c r="GKW1739" s="660"/>
      <c r="GKX1739" s="660"/>
      <c r="GKZ1739" s="629"/>
      <c r="GLA1739" s="630"/>
      <c r="GLB1739" s="631"/>
      <c r="GLC1739" s="631"/>
      <c r="GLD1739" s="631"/>
      <c r="GLE1739" s="631"/>
      <c r="GLF1739" s="631"/>
      <c r="GLG1739" s="631"/>
      <c r="GLH1739" s="631"/>
      <c r="GLI1739" s="630"/>
      <c r="GLJ1739" s="668">
        <f t="shared" ref="GLJ1739" si="1420">ROUND((SUM(GLJ1738:GLJ1738)),2)</f>
        <v>8</v>
      </c>
      <c r="GLK1739" s="669" t="s">
        <v>2</v>
      </c>
      <c r="GLM1739" s="660"/>
      <c r="GLN1739" s="660"/>
      <c r="GLP1739" s="629"/>
      <c r="GLQ1739" s="630"/>
      <c r="GLR1739" s="631"/>
      <c r="GLS1739" s="631"/>
      <c r="GLT1739" s="631"/>
      <c r="GLU1739" s="631"/>
      <c r="GLV1739" s="631"/>
      <c r="GLW1739" s="631"/>
      <c r="GLX1739" s="631"/>
      <c r="GLY1739" s="630"/>
      <c r="GLZ1739" s="668">
        <f t="shared" ref="GLZ1739" si="1421">ROUND((SUM(GLZ1738:GLZ1738)),2)</f>
        <v>8</v>
      </c>
      <c r="GMA1739" s="669" t="s">
        <v>2</v>
      </c>
      <c r="GMC1739" s="660"/>
      <c r="GMD1739" s="660"/>
      <c r="GMF1739" s="629"/>
      <c r="GMG1739" s="630"/>
      <c r="GMH1739" s="631"/>
      <c r="GMI1739" s="631"/>
      <c r="GMJ1739" s="631"/>
      <c r="GMK1739" s="631"/>
      <c r="GML1739" s="631"/>
      <c r="GMM1739" s="631"/>
      <c r="GMN1739" s="631"/>
      <c r="GMO1739" s="630"/>
      <c r="GMP1739" s="668">
        <f t="shared" ref="GMP1739" si="1422">ROUND((SUM(GMP1738:GMP1738)),2)</f>
        <v>8</v>
      </c>
      <c r="GMQ1739" s="669" t="s">
        <v>2</v>
      </c>
      <c r="GMS1739" s="660"/>
      <c r="GMT1739" s="660"/>
      <c r="GMV1739" s="629"/>
      <c r="GMW1739" s="630"/>
      <c r="GMX1739" s="631"/>
      <c r="GMY1739" s="631"/>
      <c r="GMZ1739" s="631"/>
      <c r="GNA1739" s="631"/>
      <c r="GNB1739" s="631"/>
      <c r="GNC1739" s="631"/>
      <c r="GND1739" s="631"/>
      <c r="GNE1739" s="630"/>
      <c r="GNF1739" s="668">
        <f t="shared" ref="GNF1739" si="1423">ROUND((SUM(GNF1738:GNF1738)),2)</f>
        <v>8</v>
      </c>
      <c r="GNG1739" s="669" t="s">
        <v>2</v>
      </c>
      <c r="GNI1739" s="660"/>
      <c r="GNJ1739" s="660"/>
      <c r="GNL1739" s="629"/>
      <c r="GNM1739" s="630"/>
      <c r="GNN1739" s="631"/>
      <c r="GNO1739" s="631"/>
      <c r="GNP1739" s="631"/>
      <c r="GNQ1739" s="631"/>
      <c r="GNR1739" s="631"/>
      <c r="GNS1739" s="631"/>
      <c r="GNT1739" s="631"/>
      <c r="GNU1739" s="630"/>
      <c r="GNV1739" s="668">
        <f t="shared" ref="GNV1739" si="1424">ROUND((SUM(GNV1738:GNV1738)),2)</f>
        <v>8</v>
      </c>
      <c r="GNW1739" s="669" t="s">
        <v>2</v>
      </c>
      <c r="GNY1739" s="660"/>
      <c r="GNZ1739" s="660"/>
      <c r="GOB1739" s="629"/>
      <c r="GOC1739" s="630"/>
      <c r="GOD1739" s="631"/>
      <c r="GOE1739" s="631"/>
      <c r="GOF1739" s="631"/>
      <c r="GOG1739" s="631"/>
      <c r="GOH1739" s="631"/>
      <c r="GOI1739" s="631"/>
      <c r="GOJ1739" s="631"/>
      <c r="GOK1739" s="630"/>
      <c r="GOL1739" s="668">
        <f t="shared" ref="GOL1739" si="1425">ROUND((SUM(GOL1738:GOL1738)),2)</f>
        <v>8</v>
      </c>
      <c r="GOM1739" s="669" t="s">
        <v>2</v>
      </c>
      <c r="GOO1739" s="660"/>
      <c r="GOP1739" s="660"/>
      <c r="GOR1739" s="629"/>
      <c r="GOS1739" s="630"/>
      <c r="GOT1739" s="631"/>
      <c r="GOU1739" s="631"/>
      <c r="GOV1739" s="631"/>
      <c r="GOW1739" s="631"/>
      <c r="GOX1739" s="631"/>
      <c r="GOY1739" s="631"/>
      <c r="GOZ1739" s="631"/>
      <c r="GPA1739" s="630"/>
      <c r="GPB1739" s="668">
        <f t="shared" ref="GPB1739" si="1426">ROUND((SUM(GPB1738:GPB1738)),2)</f>
        <v>8</v>
      </c>
      <c r="GPC1739" s="669" t="s">
        <v>2</v>
      </c>
      <c r="GPE1739" s="660"/>
      <c r="GPF1739" s="660"/>
      <c r="GPH1739" s="629"/>
      <c r="GPI1739" s="630"/>
      <c r="GPJ1739" s="631"/>
      <c r="GPK1739" s="631"/>
      <c r="GPL1739" s="631"/>
      <c r="GPM1739" s="631"/>
      <c r="GPN1739" s="631"/>
      <c r="GPO1739" s="631"/>
      <c r="GPP1739" s="631"/>
      <c r="GPQ1739" s="630"/>
      <c r="GPR1739" s="668">
        <f t="shared" ref="GPR1739" si="1427">ROUND((SUM(GPR1738:GPR1738)),2)</f>
        <v>8</v>
      </c>
      <c r="GPS1739" s="669" t="s">
        <v>2</v>
      </c>
      <c r="GPU1739" s="660"/>
      <c r="GPV1739" s="660"/>
      <c r="GPX1739" s="629"/>
      <c r="GPY1739" s="630"/>
      <c r="GPZ1739" s="631"/>
      <c r="GQA1739" s="631"/>
      <c r="GQB1739" s="631"/>
      <c r="GQC1739" s="631"/>
      <c r="GQD1739" s="631"/>
      <c r="GQE1739" s="631"/>
      <c r="GQF1739" s="631"/>
      <c r="GQG1739" s="630"/>
      <c r="GQH1739" s="668">
        <f t="shared" ref="GQH1739" si="1428">ROUND((SUM(GQH1738:GQH1738)),2)</f>
        <v>8</v>
      </c>
      <c r="GQI1739" s="669" t="s">
        <v>2</v>
      </c>
      <c r="GQK1739" s="660"/>
      <c r="GQL1739" s="660"/>
      <c r="GQN1739" s="629"/>
      <c r="GQO1739" s="630"/>
      <c r="GQP1739" s="631"/>
      <c r="GQQ1739" s="631"/>
      <c r="GQR1739" s="631"/>
      <c r="GQS1739" s="631"/>
      <c r="GQT1739" s="631"/>
      <c r="GQU1739" s="631"/>
      <c r="GQV1739" s="631"/>
      <c r="GQW1739" s="630"/>
      <c r="GQX1739" s="668">
        <f t="shared" ref="GQX1739" si="1429">ROUND((SUM(GQX1738:GQX1738)),2)</f>
        <v>8</v>
      </c>
      <c r="GQY1739" s="669" t="s">
        <v>2</v>
      </c>
      <c r="GRA1739" s="660"/>
      <c r="GRB1739" s="660"/>
      <c r="GRD1739" s="629"/>
      <c r="GRE1739" s="630"/>
      <c r="GRF1739" s="631"/>
      <c r="GRG1739" s="631"/>
      <c r="GRH1739" s="631"/>
      <c r="GRI1739" s="631"/>
      <c r="GRJ1739" s="631"/>
      <c r="GRK1739" s="631"/>
      <c r="GRL1739" s="631"/>
      <c r="GRM1739" s="630"/>
      <c r="GRN1739" s="668">
        <f t="shared" ref="GRN1739" si="1430">ROUND((SUM(GRN1738:GRN1738)),2)</f>
        <v>8</v>
      </c>
      <c r="GRO1739" s="669" t="s">
        <v>2</v>
      </c>
      <c r="GRQ1739" s="660"/>
      <c r="GRR1739" s="660"/>
      <c r="GRT1739" s="629"/>
      <c r="GRU1739" s="630"/>
      <c r="GRV1739" s="631"/>
      <c r="GRW1739" s="631"/>
      <c r="GRX1739" s="631"/>
      <c r="GRY1739" s="631"/>
      <c r="GRZ1739" s="631"/>
      <c r="GSA1739" s="631"/>
      <c r="GSB1739" s="631"/>
      <c r="GSC1739" s="630"/>
      <c r="GSD1739" s="668">
        <f t="shared" ref="GSD1739" si="1431">ROUND((SUM(GSD1738:GSD1738)),2)</f>
        <v>8</v>
      </c>
      <c r="GSE1739" s="669" t="s">
        <v>2</v>
      </c>
      <c r="GSG1739" s="660"/>
      <c r="GSH1739" s="660"/>
      <c r="GSJ1739" s="629"/>
      <c r="GSK1739" s="630"/>
      <c r="GSL1739" s="631"/>
      <c r="GSM1739" s="631"/>
      <c r="GSN1739" s="631"/>
      <c r="GSO1739" s="631"/>
      <c r="GSP1739" s="631"/>
      <c r="GSQ1739" s="631"/>
      <c r="GSR1739" s="631"/>
      <c r="GSS1739" s="630"/>
      <c r="GST1739" s="668">
        <f t="shared" ref="GST1739" si="1432">ROUND((SUM(GST1738:GST1738)),2)</f>
        <v>8</v>
      </c>
      <c r="GSU1739" s="669" t="s">
        <v>2</v>
      </c>
      <c r="GSW1739" s="660"/>
      <c r="GSX1739" s="660"/>
      <c r="GSZ1739" s="629"/>
      <c r="GTA1739" s="630"/>
      <c r="GTB1739" s="631"/>
      <c r="GTC1739" s="631"/>
      <c r="GTD1739" s="631"/>
      <c r="GTE1739" s="631"/>
      <c r="GTF1739" s="631"/>
      <c r="GTG1739" s="631"/>
      <c r="GTH1739" s="631"/>
      <c r="GTI1739" s="630"/>
      <c r="GTJ1739" s="668">
        <f t="shared" ref="GTJ1739" si="1433">ROUND((SUM(GTJ1738:GTJ1738)),2)</f>
        <v>8</v>
      </c>
      <c r="GTK1739" s="669" t="s">
        <v>2</v>
      </c>
      <c r="GTM1739" s="660"/>
      <c r="GTN1739" s="660"/>
      <c r="GTP1739" s="629"/>
      <c r="GTQ1739" s="630"/>
      <c r="GTR1739" s="631"/>
      <c r="GTS1739" s="631"/>
      <c r="GTT1739" s="631"/>
      <c r="GTU1739" s="631"/>
      <c r="GTV1739" s="631"/>
      <c r="GTW1739" s="631"/>
      <c r="GTX1739" s="631"/>
      <c r="GTY1739" s="630"/>
      <c r="GTZ1739" s="668">
        <f t="shared" ref="GTZ1739" si="1434">ROUND((SUM(GTZ1738:GTZ1738)),2)</f>
        <v>8</v>
      </c>
      <c r="GUA1739" s="669" t="s">
        <v>2</v>
      </c>
      <c r="GUC1739" s="660"/>
      <c r="GUD1739" s="660"/>
      <c r="GUF1739" s="629"/>
      <c r="GUG1739" s="630"/>
      <c r="GUH1739" s="631"/>
      <c r="GUI1739" s="631"/>
      <c r="GUJ1739" s="631"/>
      <c r="GUK1739" s="631"/>
      <c r="GUL1739" s="631"/>
      <c r="GUM1739" s="631"/>
      <c r="GUN1739" s="631"/>
      <c r="GUO1739" s="630"/>
      <c r="GUP1739" s="668">
        <f t="shared" ref="GUP1739" si="1435">ROUND((SUM(GUP1738:GUP1738)),2)</f>
        <v>8</v>
      </c>
      <c r="GUQ1739" s="669" t="s">
        <v>2</v>
      </c>
      <c r="GUS1739" s="660"/>
      <c r="GUT1739" s="660"/>
      <c r="GUV1739" s="629"/>
      <c r="GUW1739" s="630"/>
      <c r="GUX1739" s="631"/>
      <c r="GUY1739" s="631"/>
      <c r="GUZ1739" s="631"/>
      <c r="GVA1739" s="631"/>
      <c r="GVB1739" s="631"/>
      <c r="GVC1739" s="631"/>
      <c r="GVD1739" s="631"/>
      <c r="GVE1739" s="630"/>
      <c r="GVF1739" s="668">
        <f t="shared" ref="GVF1739" si="1436">ROUND((SUM(GVF1738:GVF1738)),2)</f>
        <v>8</v>
      </c>
      <c r="GVG1739" s="669" t="s">
        <v>2</v>
      </c>
      <c r="GVI1739" s="660"/>
      <c r="GVJ1739" s="660"/>
      <c r="GVL1739" s="629"/>
      <c r="GVM1739" s="630"/>
      <c r="GVN1739" s="631"/>
      <c r="GVO1739" s="631"/>
      <c r="GVP1739" s="631"/>
      <c r="GVQ1739" s="631"/>
      <c r="GVR1739" s="631"/>
      <c r="GVS1739" s="631"/>
      <c r="GVT1739" s="631"/>
      <c r="GVU1739" s="630"/>
      <c r="GVV1739" s="668">
        <f t="shared" ref="GVV1739" si="1437">ROUND((SUM(GVV1738:GVV1738)),2)</f>
        <v>8</v>
      </c>
      <c r="GVW1739" s="669" t="s">
        <v>2</v>
      </c>
      <c r="GVY1739" s="660"/>
      <c r="GVZ1739" s="660"/>
      <c r="GWB1739" s="629"/>
      <c r="GWC1739" s="630"/>
      <c r="GWD1739" s="631"/>
      <c r="GWE1739" s="631"/>
      <c r="GWF1739" s="631"/>
      <c r="GWG1739" s="631"/>
      <c r="GWH1739" s="631"/>
      <c r="GWI1739" s="631"/>
      <c r="GWJ1739" s="631"/>
      <c r="GWK1739" s="630"/>
      <c r="GWL1739" s="668">
        <f t="shared" ref="GWL1739" si="1438">ROUND((SUM(GWL1738:GWL1738)),2)</f>
        <v>8</v>
      </c>
      <c r="GWM1739" s="669" t="s">
        <v>2</v>
      </c>
      <c r="GWO1739" s="660"/>
      <c r="GWP1739" s="660"/>
      <c r="GWR1739" s="629"/>
      <c r="GWS1739" s="630"/>
      <c r="GWT1739" s="631"/>
      <c r="GWU1739" s="631"/>
      <c r="GWV1739" s="631"/>
      <c r="GWW1739" s="631"/>
      <c r="GWX1739" s="631"/>
      <c r="GWY1739" s="631"/>
      <c r="GWZ1739" s="631"/>
      <c r="GXA1739" s="630"/>
      <c r="GXB1739" s="668">
        <f t="shared" ref="GXB1739" si="1439">ROUND((SUM(GXB1738:GXB1738)),2)</f>
        <v>8</v>
      </c>
      <c r="GXC1739" s="669" t="s">
        <v>2</v>
      </c>
      <c r="GXE1739" s="660"/>
      <c r="GXF1739" s="660"/>
      <c r="GXH1739" s="629"/>
      <c r="GXI1739" s="630"/>
      <c r="GXJ1739" s="631"/>
      <c r="GXK1739" s="631"/>
      <c r="GXL1739" s="631"/>
      <c r="GXM1739" s="631"/>
      <c r="GXN1739" s="631"/>
      <c r="GXO1739" s="631"/>
      <c r="GXP1739" s="631"/>
      <c r="GXQ1739" s="630"/>
      <c r="GXR1739" s="668">
        <f t="shared" ref="GXR1739" si="1440">ROUND((SUM(GXR1738:GXR1738)),2)</f>
        <v>8</v>
      </c>
      <c r="GXS1739" s="669" t="s">
        <v>2</v>
      </c>
      <c r="GXU1739" s="660"/>
      <c r="GXV1739" s="660"/>
      <c r="GXX1739" s="629"/>
      <c r="GXY1739" s="630"/>
      <c r="GXZ1739" s="631"/>
      <c r="GYA1739" s="631"/>
      <c r="GYB1739" s="631"/>
      <c r="GYC1739" s="631"/>
      <c r="GYD1739" s="631"/>
      <c r="GYE1739" s="631"/>
      <c r="GYF1739" s="631"/>
      <c r="GYG1739" s="630"/>
      <c r="GYH1739" s="668">
        <f t="shared" ref="GYH1739" si="1441">ROUND((SUM(GYH1738:GYH1738)),2)</f>
        <v>8</v>
      </c>
      <c r="GYI1739" s="669" t="s">
        <v>2</v>
      </c>
      <c r="GYK1739" s="660"/>
      <c r="GYL1739" s="660"/>
      <c r="GYN1739" s="629"/>
      <c r="GYO1739" s="630"/>
      <c r="GYP1739" s="631"/>
      <c r="GYQ1739" s="631"/>
      <c r="GYR1739" s="631"/>
      <c r="GYS1739" s="631"/>
      <c r="GYT1739" s="631"/>
      <c r="GYU1739" s="631"/>
      <c r="GYV1739" s="631"/>
      <c r="GYW1739" s="630"/>
      <c r="GYX1739" s="668">
        <f t="shared" ref="GYX1739" si="1442">ROUND((SUM(GYX1738:GYX1738)),2)</f>
        <v>8</v>
      </c>
      <c r="GYY1739" s="669" t="s">
        <v>2</v>
      </c>
      <c r="GZA1739" s="660"/>
      <c r="GZB1739" s="660"/>
      <c r="GZD1739" s="629"/>
      <c r="GZE1739" s="630"/>
      <c r="GZF1739" s="631"/>
      <c r="GZG1739" s="631"/>
      <c r="GZH1739" s="631"/>
      <c r="GZI1739" s="631"/>
      <c r="GZJ1739" s="631"/>
      <c r="GZK1739" s="631"/>
      <c r="GZL1739" s="631"/>
      <c r="GZM1739" s="630"/>
      <c r="GZN1739" s="668">
        <f t="shared" ref="GZN1739" si="1443">ROUND((SUM(GZN1738:GZN1738)),2)</f>
        <v>8</v>
      </c>
      <c r="GZO1739" s="669" t="s">
        <v>2</v>
      </c>
      <c r="GZQ1739" s="660"/>
      <c r="GZR1739" s="660"/>
      <c r="GZT1739" s="629"/>
      <c r="GZU1739" s="630"/>
      <c r="GZV1739" s="631"/>
      <c r="GZW1739" s="631"/>
      <c r="GZX1739" s="631"/>
      <c r="GZY1739" s="631"/>
      <c r="GZZ1739" s="631"/>
      <c r="HAA1739" s="631"/>
      <c r="HAB1739" s="631"/>
      <c r="HAC1739" s="630"/>
      <c r="HAD1739" s="668">
        <f t="shared" ref="HAD1739" si="1444">ROUND((SUM(HAD1738:HAD1738)),2)</f>
        <v>8</v>
      </c>
      <c r="HAE1739" s="669" t="s">
        <v>2</v>
      </c>
      <c r="HAG1739" s="660"/>
      <c r="HAH1739" s="660"/>
      <c r="HAJ1739" s="629"/>
      <c r="HAK1739" s="630"/>
      <c r="HAL1739" s="631"/>
      <c r="HAM1739" s="631"/>
      <c r="HAN1739" s="631"/>
      <c r="HAO1739" s="631"/>
      <c r="HAP1739" s="631"/>
      <c r="HAQ1739" s="631"/>
      <c r="HAR1739" s="631"/>
      <c r="HAS1739" s="630"/>
      <c r="HAT1739" s="668">
        <f t="shared" ref="HAT1739" si="1445">ROUND((SUM(HAT1738:HAT1738)),2)</f>
        <v>8</v>
      </c>
      <c r="HAU1739" s="669" t="s">
        <v>2</v>
      </c>
      <c r="HAW1739" s="660"/>
      <c r="HAX1739" s="660"/>
      <c r="HAZ1739" s="629"/>
      <c r="HBA1739" s="630"/>
      <c r="HBB1739" s="631"/>
      <c r="HBC1739" s="631"/>
      <c r="HBD1739" s="631"/>
      <c r="HBE1739" s="631"/>
      <c r="HBF1739" s="631"/>
      <c r="HBG1739" s="631"/>
      <c r="HBH1739" s="631"/>
      <c r="HBI1739" s="630"/>
      <c r="HBJ1739" s="668">
        <f t="shared" ref="HBJ1739" si="1446">ROUND((SUM(HBJ1738:HBJ1738)),2)</f>
        <v>8</v>
      </c>
      <c r="HBK1739" s="669" t="s">
        <v>2</v>
      </c>
      <c r="HBM1739" s="660"/>
      <c r="HBN1739" s="660"/>
      <c r="HBP1739" s="629"/>
      <c r="HBQ1739" s="630"/>
      <c r="HBR1739" s="631"/>
      <c r="HBS1739" s="631"/>
      <c r="HBT1739" s="631"/>
      <c r="HBU1739" s="631"/>
      <c r="HBV1739" s="631"/>
      <c r="HBW1739" s="631"/>
      <c r="HBX1739" s="631"/>
      <c r="HBY1739" s="630"/>
      <c r="HBZ1739" s="668">
        <f t="shared" ref="HBZ1739" si="1447">ROUND((SUM(HBZ1738:HBZ1738)),2)</f>
        <v>8</v>
      </c>
      <c r="HCA1739" s="669" t="s">
        <v>2</v>
      </c>
      <c r="HCC1739" s="660"/>
      <c r="HCD1739" s="660"/>
      <c r="HCF1739" s="629"/>
      <c r="HCG1739" s="630"/>
      <c r="HCH1739" s="631"/>
      <c r="HCI1739" s="631"/>
      <c r="HCJ1739" s="631"/>
      <c r="HCK1739" s="631"/>
      <c r="HCL1739" s="631"/>
      <c r="HCM1739" s="631"/>
      <c r="HCN1739" s="631"/>
      <c r="HCO1739" s="630"/>
      <c r="HCP1739" s="668">
        <f t="shared" ref="HCP1739" si="1448">ROUND((SUM(HCP1738:HCP1738)),2)</f>
        <v>8</v>
      </c>
      <c r="HCQ1739" s="669" t="s">
        <v>2</v>
      </c>
      <c r="HCS1739" s="660"/>
      <c r="HCT1739" s="660"/>
      <c r="HCV1739" s="629"/>
      <c r="HCW1739" s="630"/>
      <c r="HCX1739" s="631"/>
      <c r="HCY1739" s="631"/>
      <c r="HCZ1739" s="631"/>
      <c r="HDA1739" s="631"/>
      <c r="HDB1739" s="631"/>
      <c r="HDC1739" s="631"/>
      <c r="HDD1739" s="631"/>
      <c r="HDE1739" s="630"/>
      <c r="HDF1739" s="668">
        <f t="shared" ref="HDF1739" si="1449">ROUND((SUM(HDF1738:HDF1738)),2)</f>
        <v>8</v>
      </c>
      <c r="HDG1739" s="669" t="s">
        <v>2</v>
      </c>
      <c r="HDI1739" s="660"/>
      <c r="HDJ1739" s="660"/>
      <c r="HDL1739" s="629"/>
      <c r="HDM1739" s="630"/>
      <c r="HDN1739" s="631"/>
      <c r="HDO1739" s="631"/>
      <c r="HDP1739" s="631"/>
      <c r="HDQ1739" s="631"/>
      <c r="HDR1739" s="631"/>
      <c r="HDS1739" s="631"/>
      <c r="HDT1739" s="631"/>
      <c r="HDU1739" s="630"/>
      <c r="HDV1739" s="668">
        <f t="shared" ref="HDV1739" si="1450">ROUND((SUM(HDV1738:HDV1738)),2)</f>
        <v>8</v>
      </c>
      <c r="HDW1739" s="669" t="s">
        <v>2</v>
      </c>
      <c r="HDY1739" s="660"/>
      <c r="HDZ1739" s="660"/>
      <c r="HEB1739" s="629"/>
      <c r="HEC1739" s="630"/>
      <c r="HED1739" s="631"/>
      <c r="HEE1739" s="631"/>
      <c r="HEF1739" s="631"/>
      <c r="HEG1739" s="631"/>
      <c r="HEH1739" s="631"/>
      <c r="HEI1739" s="631"/>
      <c r="HEJ1739" s="631"/>
      <c r="HEK1739" s="630"/>
      <c r="HEL1739" s="668">
        <f t="shared" ref="HEL1739" si="1451">ROUND((SUM(HEL1738:HEL1738)),2)</f>
        <v>8</v>
      </c>
      <c r="HEM1739" s="669" t="s">
        <v>2</v>
      </c>
      <c r="HEO1739" s="660"/>
      <c r="HEP1739" s="660"/>
      <c r="HER1739" s="629"/>
      <c r="HES1739" s="630"/>
      <c r="HET1739" s="631"/>
      <c r="HEU1739" s="631"/>
      <c r="HEV1739" s="631"/>
      <c r="HEW1739" s="631"/>
      <c r="HEX1739" s="631"/>
      <c r="HEY1739" s="631"/>
      <c r="HEZ1739" s="631"/>
      <c r="HFA1739" s="630"/>
      <c r="HFB1739" s="668">
        <f t="shared" ref="HFB1739" si="1452">ROUND((SUM(HFB1738:HFB1738)),2)</f>
        <v>8</v>
      </c>
      <c r="HFC1739" s="669" t="s">
        <v>2</v>
      </c>
      <c r="HFE1739" s="660"/>
      <c r="HFF1739" s="660"/>
      <c r="HFH1739" s="629"/>
      <c r="HFI1739" s="630"/>
      <c r="HFJ1739" s="631"/>
      <c r="HFK1739" s="631"/>
      <c r="HFL1739" s="631"/>
      <c r="HFM1739" s="631"/>
      <c r="HFN1739" s="631"/>
      <c r="HFO1739" s="631"/>
      <c r="HFP1739" s="631"/>
      <c r="HFQ1739" s="630"/>
      <c r="HFR1739" s="668">
        <f t="shared" ref="HFR1739" si="1453">ROUND((SUM(HFR1738:HFR1738)),2)</f>
        <v>8</v>
      </c>
      <c r="HFS1739" s="669" t="s">
        <v>2</v>
      </c>
      <c r="HFU1739" s="660"/>
      <c r="HFV1739" s="660"/>
      <c r="HFX1739" s="629"/>
      <c r="HFY1739" s="630"/>
      <c r="HFZ1739" s="631"/>
      <c r="HGA1739" s="631"/>
      <c r="HGB1739" s="631"/>
      <c r="HGC1739" s="631"/>
      <c r="HGD1739" s="631"/>
      <c r="HGE1739" s="631"/>
      <c r="HGF1739" s="631"/>
      <c r="HGG1739" s="630"/>
      <c r="HGH1739" s="668">
        <f t="shared" ref="HGH1739" si="1454">ROUND((SUM(HGH1738:HGH1738)),2)</f>
        <v>8</v>
      </c>
      <c r="HGI1739" s="669" t="s">
        <v>2</v>
      </c>
      <c r="HGK1739" s="660"/>
      <c r="HGL1739" s="660"/>
      <c r="HGN1739" s="629"/>
      <c r="HGO1739" s="630"/>
      <c r="HGP1739" s="631"/>
      <c r="HGQ1739" s="631"/>
      <c r="HGR1739" s="631"/>
      <c r="HGS1739" s="631"/>
      <c r="HGT1739" s="631"/>
      <c r="HGU1739" s="631"/>
      <c r="HGV1739" s="631"/>
      <c r="HGW1739" s="630"/>
      <c r="HGX1739" s="668">
        <f t="shared" ref="HGX1739" si="1455">ROUND((SUM(HGX1738:HGX1738)),2)</f>
        <v>8</v>
      </c>
      <c r="HGY1739" s="669" t="s">
        <v>2</v>
      </c>
      <c r="HHA1739" s="660"/>
      <c r="HHB1739" s="660"/>
      <c r="HHD1739" s="629"/>
      <c r="HHE1739" s="630"/>
      <c r="HHF1739" s="631"/>
      <c r="HHG1739" s="631"/>
      <c r="HHH1739" s="631"/>
      <c r="HHI1739" s="631"/>
      <c r="HHJ1739" s="631"/>
      <c r="HHK1739" s="631"/>
      <c r="HHL1739" s="631"/>
      <c r="HHM1739" s="630"/>
      <c r="HHN1739" s="668">
        <f t="shared" ref="HHN1739" si="1456">ROUND((SUM(HHN1738:HHN1738)),2)</f>
        <v>8</v>
      </c>
      <c r="HHO1739" s="669" t="s">
        <v>2</v>
      </c>
      <c r="HHQ1739" s="660"/>
      <c r="HHR1739" s="660"/>
      <c r="HHT1739" s="629"/>
      <c r="HHU1739" s="630"/>
      <c r="HHV1739" s="631"/>
      <c r="HHW1739" s="631"/>
      <c r="HHX1739" s="631"/>
      <c r="HHY1739" s="631"/>
      <c r="HHZ1739" s="631"/>
      <c r="HIA1739" s="631"/>
      <c r="HIB1739" s="631"/>
      <c r="HIC1739" s="630"/>
      <c r="HID1739" s="668">
        <f t="shared" ref="HID1739" si="1457">ROUND((SUM(HID1738:HID1738)),2)</f>
        <v>8</v>
      </c>
      <c r="HIE1739" s="669" t="s">
        <v>2</v>
      </c>
      <c r="HIG1739" s="660"/>
      <c r="HIH1739" s="660"/>
      <c r="HIJ1739" s="629"/>
      <c r="HIK1739" s="630"/>
      <c r="HIL1739" s="631"/>
      <c r="HIM1739" s="631"/>
      <c r="HIN1739" s="631"/>
      <c r="HIO1739" s="631"/>
      <c r="HIP1739" s="631"/>
      <c r="HIQ1739" s="631"/>
      <c r="HIR1739" s="631"/>
      <c r="HIS1739" s="630"/>
      <c r="HIT1739" s="668">
        <f t="shared" ref="HIT1739" si="1458">ROUND((SUM(HIT1738:HIT1738)),2)</f>
        <v>8</v>
      </c>
      <c r="HIU1739" s="669" t="s">
        <v>2</v>
      </c>
      <c r="HIW1739" s="660"/>
      <c r="HIX1739" s="660"/>
      <c r="HIZ1739" s="629"/>
      <c r="HJA1739" s="630"/>
      <c r="HJB1739" s="631"/>
      <c r="HJC1739" s="631"/>
      <c r="HJD1739" s="631"/>
      <c r="HJE1739" s="631"/>
      <c r="HJF1739" s="631"/>
      <c r="HJG1739" s="631"/>
      <c r="HJH1739" s="631"/>
      <c r="HJI1739" s="630"/>
      <c r="HJJ1739" s="668">
        <f t="shared" ref="HJJ1739" si="1459">ROUND((SUM(HJJ1738:HJJ1738)),2)</f>
        <v>8</v>
      </c>
      <c r="HJK1739" s="669" t="s">
        <v>2</v>
      </c>
      <c r="HJM1739" s="660"/>
      <c r="HJN1739" s="660"/>
      <c r="HJP1739" s="629"/>
      <c r="HJQ1739" s="630"/>
      <c r="HJR1739" s="631"/>
      <c r="HJS1739" s="631"/>
      <c r="HJT1739" s="631"/>
      <c r="HJU1739" s="631"/>
      <c r="HJV1739" s="631"/>
      <c r="HJW1739" s="631"/>
      <c r="HJX1739" s="631"/>
      <c r="HJY1739" s="630"/>
      <c r="HJZ1739" s="668">
        <f t="shared" ref="HJZ1739" si="1460">ROUND((SUM(HJZ1738:HJZ1738)),2)</f>
        <v>8</v>
      </c>
      <c r="HKA1739" s="669" t="s">
        <v>2</v>
      </c>
      <c r="HKC1739" s="660"/>
      <c r="HKD1739" s="660"/>
      <c r="HKF1739" s="629"/>
      <c r="HKG1739" s="630"/>
      <c r="HKH1739" s="631"/>
      <c r="HKI1739" s="631"/>
      <c r="HKJ1739" s="631"/>
      <c r="HKK1739" s="631"/>
      <c r="HKL1739" s="631"/>
      <c r="HKM1739" s="631"/>
      <c r="HKN1739" s="631"/>
      <c r="HKO1739" s="630"/>
      <c r="HKP1739" s="668">
        <f t="shared" ref="HKP1739" si="1461">ROUND((SUM(HKP1738:HKP1738)),2)</f>
        <v>8</v>
      </c>
      <c r="HKQ1739" s="669" t="s">
        <v>2</v>
      </c>
      <c r="HKS1739" s="660"/>
      <c r="HKT1739" s="660"/>
      <c r="HKV1739" s="629"/>
      <c r="HKW1739" s="630"/>
      <c r="HKX1739" s="631"/>
      <c r="HKY1739" s="631"/>
      <c r="HKZ1739" s="631"/>
      <c r="HLA1739" s="631"/>
      <c r="HLB1739" s="631"/>
      <c r="HLC1739" s="631"/>
      <c r="HLD1739" s="631"/>
      <c r="HLE1739" s="630"/>
      <c r="HLF1739" s="668">
        <f t="shared" ref="HLF1739" si="1462">ROUND((SUM(HLF1738:HLF1738)),2)</f>
        <v>8</v>
      </c>
      <c r="HLG1739" s="669" t="s">
        <v>2</v>
      </c>
      <c r="HLI1739" s="660"/>
      <c r="HLJ1739" s="660"/>
      <c r="HLL1739" s="629"/>
      <c r="HLM1739" s="630"/>
      <c r="HLN1739" s="631"/>
      <c r="HLO1739" s="631"/>
      <c r="HLP1739" s="631"/>
      <c r="HLQ1739" s="631"/>
      <c r="HLR1739" s="631"/>
      <c r="HLS1739" s="631"/>
      <c r="HLT1739" s="631"/>
      <c r="HLU1739" s="630"/>
      <c r="HLV1739" s="668">
        <f t="shared" ref="HLV1739" si="1463">ROUND((SUM(HLV1738:HLV1738)),2)</f>
        <v>8</v>
      </c>
      <c r="HLW1739" s="669" t="s">
        <v>2</v>
      </c>
      <c r="HLY1739" s="660"/>
      <c r="HLZ1739" s="660"/>
      <c r="HMB1739" s="629"/>
      <c r="HMC1739" s="630"/>
      <c r="HMD1739" s="631"/>
      <c r="HME1739" s="631"/>
      <c r="HMF1739" s="631"/>
      <c r="HMG1739" s="631"/>
      <c r="HMH1739" s="631"/>
      <c r="HMI1739" s="631"/>
      <c r="HMJ1739" s="631"/>
      <c r="HMK1739" s="630"/>
      <c r="HML1739" s="668">
        <f t="shared" ref="HML1739" si="1464">ROUND((SUM(HML1738:HML1738)),2)</f>
        <v>8</v>
      </c>
      <c r="HMM1739" s="669" t="s">
        <v>2</v>
      </c>
      <c r="HMO1739" s="660"/>
      <c r="HMP1739" s="660"/>
      <c r="HMR1739" s="629"/>
      <c r="HMS1739" s="630"/>
      <c r="HMT1739" s="631"/>
      <c r="HMU1739" s="631"/>
      <c r="HMV1739" s="631"/>
      <c r="HMW1739" s="631"/>
      <c r="HMX1739" s="631"/>
      <c r="HMY1739" s="631"/>
      <c r="HMZ1739" s="631"/>
      <c r="HNA1739" s="630"/>
      <c r="HNB1739" s="668">
        <f t="shared" ref="HNB1739" si="1465">ROUND((SUM(HNB1738:HNB1738)),2)</f>
        <v>8</v>
      </c>
      <c r="HNC1739" s="669" t="s">
        <v>2</v>
      </c>
      <c r="HNE1739" s="660"/>
      <c r="HNF1739" s="660"/>
      <c r="HNH1739" s="629"/>
      <c r="HNI1739" s="630"/>
      <c r="HNJ1739" s="631"/>
      <c r="HNK1739" s="631"/>
      <c r="HNL1739" s="631"/>
      <c r="HNM1739" s="631"/>
      <c r="HNN1739" s="631"/>
      <c r="HNO1739" s="631"/>
      <c r="HNP1739" s="631"/>
      <c r="HNQ1739" s="630"/>
      <c r="HNR1739" s="668">
        <f t="shared" ref="HNR1739" si="1466">ROUND((SUM(HNR1738:HNR1738)),2)</f>
        <v>8</v>
      </c>
      <c r="HNS1739" s="669" t="s">
        <v>2</v>
      </c>
      <c r="HNU1739" s="660"/>
      <c r="HNV1739" s="660"/>
      <c r="HNX1739" s="629"/>
      <c r="HNY1739" s="630"/>
      <c r="HNZ1739" s="631"/>
      <c r="HOA1739" s="631"/>
      <c r="HOB1739" s="631"/>
      <c r="HOC1739" s="631"/>
      <c r="HOD1739" s="631"/>
      <c r="HOE1739" s="631"/>
      <c r="HOF1739" s="631"/>
      <c r="HOG1739" s="630"/>
      <c r="HOH1739" s="668">
        <f t="shared" ref="HOH1739" si="1467">ROUND((SUM(HOH1738:HOH1738)),2)</f>
        <v>8</v>
      </c>
      <c r="HOI1739" s="669" t="s">
        <v>2</v>
      </c>
      <c r="HOK1739" s="660"/>
      <c r="HOL1739" s="660"/>
      <c r="HON1739" s="629"/>
      <c r="HOO1739" s="630"/>
      <c r="HOP1739" s="631"/>
      <c r="HOQ1739" s="631"/>
      <c r="HOR1739" s="631"/>
      <c r="HOS1739" s="631"/>
      <c r="HOT1739" s="631"/>
      <c r="HOU1739" s="631"/>
      <c r="HOV1739" s="631"/>
      <c r="HOW1739" s="630"/>
      <c r="HOX1739" s="668">
        <f t="shared" ref="HOX1739" si="1468">ROUND((SUM(HOX1738:HOX1738)),2)</f>
        <v>8</v>
      </c>
      <c r="HOY1739" s="669" t="s">
        <v>2</v>
      </c>
      <c r="HPA1739" s="660"/>
      <c r="HPB1739" s="660"/>
      <c r="HPD1739" s="629"/>
      <c r="HPE1739" s="630"/>
      <c r="HPF1739" s="631"/>
      <c r="HPG1739" s="631"/>
      <c r="HPH1739" s="631"/>
      <c r="HPI1739" s="631"/>
      <c r="HPJ1739" s="631"/>
      <c r="HPK1739" s="631"/>
      <c r="HPL1739" s="631"/>
      <c r="HPM1739" s="630"/>
      <c r="HPN1739" s="668">
        <f t="shared" ref="HPN1739" si="1469">ROUND((SUM(HPN1738:HPN1738)),2)</f>
        <v>8</v>
      </c>
      <c r="HPO1739" s="669" t="s">
        <v>2</v>
      </c>
      <c r="HPQ1739" s="660"/>
      <c r="HPR1739" s="660"/>
      <c r="HPT1739" s="629"/>
      <c r="HPU1739" s="630"/>
      <c r="HPV1739" s="631"/>
      <c r="HPW1739" s="631"/>
      <c r="HPX1739" s="631"/>
      <c r="HPY1739" s="631"/>
      <c r="HPZ1739" s="631"/>
      <c r="HQA1739" s="631"/>
      <c r="HQB1739" s="631"/>
      <c r="HQC1739" s="630"/>
      <c r="HQD1739" s="668">
        <f t="shared" ref="HQD1739" si="1470">ROUND((SUM(HQD1738:HQD1738)),2)</f>
        <v>8</v>
      </c>
      <c r="HQE1739" s="669" t="s">
        <v>2</v>
      </c>
      <c r="HQG1739" s="660"/>
      <c r="HQH1739" s="660"/>
      <c r="HQJ1739" s="629"/>
      <c r="HQK1739" s="630"/>
      <c r="HQL1739" s="631"/>
      <c r="HQM1739" s="631"/>
      <c r="HQN1739" s="631"/>
      <c r="HQO1739" s="631"/>
      <c r="HQP1739" s="631"/>
      <c r="HQQ1739" s="631"/>
      <c r="HQR1739" s="631"/>
      <c r="HQS1739" s="630"/>
      <c r="HQT1739" s="668">
        <f t="shared" ref="HQT1739" si="1471">ROUND((SUM(HQT1738:HQT1738)),2)</f>
        <v>8</v>
      </c>
      <c r="HQU1739" s="669" t="s">
        <v>2</v>
      </c>
      <c r="HQW1739" s="660"/>
      <c r="HQX1739" s="660"/>
      <c r="HQZ1739" s="629"/>
      <c r="HRA1739" s="630"/>
      <c r="HRB1739" s="631"/>
      <c r="HRC1739" s="631"/>
      <c r="HRD1739" s="631"/>
      <c r="HRE1739" s="631"/>
      <c r="HRF1739" s="631"/>
      <c r="HRG1739" s="631"/>
      <c r="HRH1739" s="631"/>
      <c r="HRI1739" s="630"/>
      <c r="HRJ1739" s="668">
        <f t="shared" ref="HRJ1739" si="1472">ROUND((SUM(HRJ1738:HRJ1738)),2)</f>
        <v>8</v>
      </c>
      <c r="HRK1739" s="669" t="s">
        <v>2</v>
      </c>
      <c r="HRM1739" s="660"/>
      <c r="HRN1739" s="660"/>
      <c r="HRP1739" s="629"/>
      <c r="HRQ1739" s="630"/>
      <c r="HRR1739" s="631"/>
      <c r="HRS1739" s="631"/>
      <c r="HRT1739" s="631"/>
      <c r="HRU1739" s="631"/>
      <c r="HRV1739" s="631"/>
      <c r="HRW1739" s="631"/>
      <c r="HRX1739" s="631"/>
      <c r="HRY1739" s="630"/>
      <c r="HRZ1739" s="668">
        <f t="shared" ref="HRZ1739" si="1473">ROUND((SUM(HRZ1738:HRZ1738)),2)</f>
        <v>8</v>
      </c>
      <c r="HSA1739" s="669" t="s">
        <v>2</v>
      </c>
      <c r="HSC1739" s="660"/>
      <c r="HSD1739" s="660"/>
      <c r="HSF1739" s="629"/>
      <c r="HSG1739" s="630"/>
      <c r="HSH1739" s="631"/>
      <c r="HSI1739" s="631"/>
      <c r="HSJ1739" s="631"/>
      <c r="HSK1739" s="631"/>
      <c r="HSL1739" s="631"/>
      <c r="HSM1739" s="631"/>
      <c r="HSN1739" s="631"/>
      <c r="HSO1739" s="630"/>
      <c r="HSP1739" s="668">
        <f t="shared" ref="HSP1739" si="1474">ROUND((SUM(HSP1738:HSP1738)),2)</f>
        <v>8</v>
      </c>
      <c r="HSQ1739" s="669" t="s">
        <v>2</v>
      </c>
      <c r="HSS1739" s="660"/>
      <c r="HST1739" s="660"/>
      <c r="HSV1739" s="629"/>
      <c r="HSW1739" s="630"/>
      <c r="HSX1739" s="631"/>
      <c r="HSY1739" s="631"/>
      <c r="HSZ1739" s="631"/>
      <c r="HTA1739" s="631"/>
      <c r="HTB1739" s="631"/>
      <c r="HTC1739" s="631"/>
      <c r="HTD1739" s="631"/>
      <c r="HTE1739" s="630"/>
      <c r="HTF1739" s="668">
        <f t="shared" ref="HTF1739" si="1475">ROUND((SUM(HTF1738:HTF1738)),2)</f>
        <v>8</v>
      </c>
      <c r="HTG1739" s="669" t="s">
        <v>2</v>
      </c>
      <c r="HTI1739" s="660"/>
      <c r="HTJ1739" s="660"/>
      <c r="HTL1739" s="629"/>
      <c r="HTM1739" s="630"/>
      <c r="HTN1739" s="631"/>
      <c r="HTO1739" s="631"/>
      <c r="HTP1739" s="631"/>
      <c r="HTQ1739" s="631"/>
      <c r="HTR1739" s="631"/>
      <c r="HTS1739" s="631"/>
      <c r="HTT1739" s="631"/>
      <c r="HTU1739" s="630"/>
      <c r="HTV1739" s="668">
        <f t="shared" ref="HTV1739" si="1476">ROUND((SUM(HTV1738:HTV1738)),2)</f>
        <v>8</v>
      </c>
      <c r="HTW1739" s="669" t="s">
        <v>2</v>
      </c>
      <c r="HTY1739" s="660"/>
      <c r="HTZ1739" s="660"/>
      <c r="HUB1739" s="629"/>
      <c r="HUC1739" s="630"/>
      <c r="HUD1739" s="631"/>
      <c r="HUE1739" s="631"/>
      <c r="HUF1739" s="631"/>
      <c r="HUG1739" s="631"/>
      <c r="HUH1739" s="631"/>
      <c r="HUI1739" s="631"/>
      <c r="HUJ1739" s="631"/>
      <c r="HUK1739" s="630"/>
      <c r="HUL1739" s="668">
        <f t="shared" ref="HUL1739" si="1477">ROUND((SUM(HUL1738:HUL1738)),2)</f>
        <v>8</v>
      </c>
      <c r="HUM1739" s="669" t="s">
        <v>2</v>
      </c>
      <c r="HUO1739" s="660"/>
      <c r="HUP1739" s="660"/>
      <c r="HUR1739" s="629"/>
      <c r="HUS1739" s="630"/>
      <c r="HUT1739" s="631"/>
      <c r="HUU1739" s="631"/>
      <c r="HUV1739" s="631"/>
      <c r="HUW1739" s="631"/>
      <c r="HUX1739" s="631"/>
      <c r="HUY1739" s="631"/>
      <c r="HUZ1739" s="631"/>
      <c r="HVA1739" s="630"/>
      <c r="HVB1739" s="668">
        <f t="shared" ref="HVB1739" si="1478">ROUND((SUM(HVB1738:HVB1738)),2)</f>
        <v>8</v>
      </c>
      <c r="HVC1739" s="669" t="s">
        <v>2</v>
      </c>
      <c r="HVE1739" s="660"/>
      <c r="HVF1739" s="660"/>
      <c r="HVH1739" s="629"/>
      <c r="HVI1739" s="630"/>
      <c r="HVJ1739" s="631"/>
      <c r="HVK1739" s="631"/>
      <c r="HVL1739" s="631"/>
      <c r="HVM1739" s="631"/>
      <c r="HVN1739" s="631"/>
      <c r="HVO1739" s="631"/>
      <c r="HVP1739" s="631"/>
      <c r="HVQ1739" s="630"/>
      <c r="HVR1739" s="668">
        <f t="shared" ref="HVR1739" si="1479">ROUND((SUM(HVR1738:HVR1738)),2)</f>
        <v>8</v>
      </c>
      <c r="HVS1739" s="669" t="s">
        <v>2</v>
      </c>
      <c r="HVU1739" s="660"/>
      <c r="HVV1739" s="660"/>
      <c r="HVX1739" s="629"/>
      <c r="HVY1739" s="630"/>
      <c r="HVZ1739" s="631"/>
      <c r="HWA1739" s="631"/>
      <c r="HWB1739" s="631"/>
      <c r="HWC1739" s="631"/>
      <c r="HWD1739" s="631"/>
      <c r="HWE1739" s="631"/>
      <c r="HWF1739" s="631"/>
      <c r="HWG1739" s="630"/>
      <c r="HWH1739" s="668">
        <f t="shared" ref="HWH1739" si="1480">ROUND((SUM(HWH1738:HWH1738)),2)</f>
        <v>8</v>
      </c>
      <c r="HWI1739" s="669" t="s">
        <v>2</v>
      </c>
      <c r="HWK1739" s="660"/>
      <c r="HWL1739" s="660"/>
      <c r="HWN1739" s="629"/>
      <c r="HWO1739" s="630"/>
      <c r="HWP1739" s="631"/>
      <c r="HWQ1739" s="631"/>
      <c r="HWR1739" s="631"/>
      <c r="HWS1739" s="631"/>
      <c r="HWT1739" s="631"/>
      <c r="HWU1739" s="631"/>
      <c r="HWV1739" s="631"/>
      <c r="HWW1739" s="630"/>
      <c r="HWX1739" s="668">
        <f t="shared" ref="HWX1739" si="1481">ROUND((SUM(HWX1738:HWX1738)),2)</f>
        <v>8</v>
      </c>
      <c r="HWY1739" s="669" t="s">
        <v>2</v>
      </c>
      <c r="HXA1739" s="660"/>
      <c r="HXB1739" s="660"/>
      <c r="HXD1739" s="629"/>
      <c r="HXE1739" s="630"/>
      <c r="HXF1739" s="631"/>
      <c r="HXG1739" s="631"/>
      <c r="HXH1739" s="631"/>
      <c r="HXI1739" s="631"/>
      <c r="HXJ1739" s="631"/>
      <c r="HXK1739" s="631"/>
      <c r="HXL1739" s="631"/>
      <c r="HXM1739" s="630"/>
      <c r="HXN1739" s="668">
        <f t="shared" ref="HXN1739" si="1482">ROUND((SUM(HXN1738:HXN1738)),2)</f>
        <v>8</v>
      </c>
      <c r="HXO1739" s="669" t="s">
        <v>2</v>
      </c>
      <c r="HXQ1739" s="660"/>
      <c r="HXR1739" s="660"/>
      <c r="HXT1739" s="629"/>
      <c r="HXU1739" s="630"/>
      <c r="HXV1739" s="631"/>
      <c r="HXW1739" s="631"/>
      <c r="HXX1739" s="631"/>
      <c r="HXY1739" s="631"/>
      <c r="HXZ1739" s="631"/>
      <c r="HYA1739" s="631"/>
      <c r="HYB1739" s="631"/>
      <c r="HYC1739" s="630"/>
      <c r="HYD1739" s="668">
        <f t="shared" ref="HYD1739" si="1483">ROUND((SUM(HYD1738:HYD1738)),2)</f>
        <v>8</v>
      </c>
      <c r="HYE1739" s="669" t="s">
        <v>2</v>
      </c>
      <c r="HYG1739" s="660"/>
      <c r="HYH1739" s="660"/>
      <c r="HYJ1739" s="629"/>
      <c r="HYK1739" s="630"/>
      <c r="HYL1739" s="631"/>
      <c r="HYM1739" s="631"/>
      <c r="HYN1739" s="631"/>
      <c r="HYO1739" s="631"/>
      <c r="HYP1739" s="631"/>
      <c r="HYQ1739" s="631"/>
      <c r="HYR1739" s="631"/>
      <c r="HYS1739" s="630"/>
      <c r="HYT1739" s="668">
        <f t="shared" ref="HYT1739" si="1484">ROUND((SUM(HYT1738:HYT1738)),2)</f>
        <v>8</v>
      </c>
      <c r="HYU1739" s="669" t="s">
        <v>2</v>
      </c>
      <c r="HYW1739" s="660"/>
      <c r="HYX1739" s="660"/>
      <c r="HYZ1739" s="629"/>
      <c r="HZA1739" s="630"/>
      <c r="HZB1739" s="631"/>
      <c r="HZC1739" s="631"/>
      <c r="HZD1739" s="631"/>
      <c r="HZE1739" s="631"/>
      <c r="HZF1739" s="631"/>
      <c r="HZG1739" s="631"/>
      <c r="HZH1739" s="631"/>
      <c r="HZI1739" s="630"/>
      <c r="HZJ1739" s="668">
        <f t="shared" ref="HZJ1739" si="1485">ROUND((SUM(HZJ1738:HZJ1738)),2)</f>
        <v>8</v>
      </c>
      <c r="HZK1739" s="669" t="s">
        <v>2</v>
      </c>
      <c r="HZM1739" s="660"/>
      <c r="HZN1739" s="660"/>
      <c r="HZP1739" s="629"/>
      <c r="HZQ1739" s="630"/>
      <c r="HZR1739" s="631"/>
      <c r="HZS1739" s="631"/>
      <c r="HZT1739" s="631"/>
      <c r="HZU1739" s="631"/>
      <c r="HZV1739" s="631"/>
      <c r="HZW1739" s="631"/>
      <c r="HZX1739" s="631"/>
      <c r="HZY1739" s="630"/>
      <c r="HZZ1739" s="668">
        <f t="shared" ref="HZZ1739" si="1486">ROUND((SUM(HZZ1738:HZZ1738)),2)</f>
        <v>8</v>
      </c>
      <c r="IAA1739" s="669" t="s">
        <v>2</v>
      </c>
      <c r="IAC1739" s="660"/>
      <c r="IAD1739" s="660"/>
      <c r="IAF1739" s="629"/>
      <c r="IAG1739" s="630"/>
      <c r="IAH1739" s="631"/>
      <c r="IAI1739" s="631"/>
      <c r="IAJ1739" s="631"/>
      <c r="IAK1739" s="631"/>
      <c r="IAL1739" s="631"/>
      <c r="IAM1739" s="631"/>
      <c r="IAN1739" s="631"/>
      <c r="IAO1739" s="630"/>
      <c r="IAP1739" s="668">
        <f t="shared" ref="IAP1739" si="1487">ROUND((SUM(IAP1738:IAP1738)),2)</f>
        <v>8</v>
      </c>
      <c r="IAQ1739" s="669" t="s">
        <v>2</v>
      </c>
      <c r="IAS1739" s="660"/>
      <c r="IAT1739" s="660"/>
      <c r="IAV1739" s="629"/>
      <c r="IAW1739" s="630"/>
      <c r="IAX1739" s="631"/>
      <c r="IAY1739" s="631"/>
      <c r="IAZ1739" s="631"/>
      <c r="IBA1739" s="631"/>
      <c r="IBB1739" s="631"/>
      <c r="IBC1739" s="631"/>
      <c r="IBD1739" s="631"/>
      <c r="IBE1739" s="630"/>
      <c r="IBF1739" s="668">
        <f t="shared" ref="IBF1739" si="1488">ROUND((SUM(IBF1738:IBF1738)),2)</f>
        <v>8</v>
      </c>
      <c r="IBG1739" s="669" t="s">
        <v>2</v>
      </c>
      <c r="IBI1739" s="660"/>
      <c r="IBJ1739" s="660"/>
      <c r="IBL1739" s="629"/>
      <c r="IBM1739" s="630"/>
      <c r="IBN1739" s="631"/>
      <c r="IBO1739" s="631"/>
      <c r="IBP1739" s="631"/>
      <c r="IBQ1739" s="631"/>
      <c r="IBR1739" s="631"/>
      <c r="IBS1739" s="631"/>
      <c r="IBT1739" s="631"/>
      <c r="IBU1739" s="630"/>
      <c r="IBV1739" s="668">
        <f t="shared" ref="IBV1739" si="1489">ROUND((SUM(IBV1738:IBV1738)),2)</f>
        <v>8</v>
      </c>
      <c r="IBW1739" s="669" t="s">
        <v>2</v>
      </c>
      <c r="IBY1739" s="660"/>
      <c r="IBZ1739" s="660"/>
      <c r="ICB1739" s="629"/>
      <c r="ICC1739" s="630"/>
      <c r="ICD1739" s="631"/>
      <c r="ICE1739" s="631"/>
      <c r="ICF1739" s="631"/>
      <c r="ICG1739" s="631"/>
      <c r="ICH1739" s="631"/>
      <c r="ICI1739" s="631"/>
      <c r="ICJ1739" s="631"/>
      <c r="ICK1739" s="630"/>
      <c r="ICL1739" s="668">
        <f t="shared" ref="ICL1739" si="1490">ROUND((SUM(ICL1738:ICL1738)),2)</f>
        <v>8</v>
      </c>
      <c r="ICM1739" s="669" t="s">
        <v>2</v>
      </c>
      <c r="ICO1739" s="660"/>
      <c r="ICP1739" s="660"/>
      <c r="ICR1739" s="629"/>
      <c r="ICS1739" s="630"/>
      <c r="ICT1739" s="631"/>
      <c r="ICU1739" s="631"/>
      <c r="ICV1739" s="631"/>
      <c r="ICW1739" s="631"/>
      <c r="ICX1739" s="631"/>
      <c r="ICY1739" s="631"/>
      <c r="ICZ1739" s="631"/>
      <c r="IDA1739" s="630"/>
      <c r="IDB1739" s="668">
        <f t="shared" ref="IDB1739" si="1491">ROUND((SUM(IDB1738:IDB1738)),2)</f>
        <v>8</v>
      </c>
      <c r="IDC1739" s="669" t="s">
        <v>2</v>
      </c>
      <c r="IDE1739" s="660"/>
      <c r="IDF1739" s="660"/>
      <c r="IDH1739" s="629"/>
      <c r="IDI1739" s="630"/>
      <c r="IDJ1739" s="631"/>
      <c r="IDK1739" s="631"/>
      <c r="IDL1739" s="631"/>
      <c r="IDM1739" s="631"/>
      <c r="IDN1739" s="631"/>
      <c r="IDO1739" s="631"/>
      <c r="IDP1739" s="631"/>
      <c r="IDQ1739" s="630"/>
      <c r="IDR1739" s="668">
        <f t="shared" ref="IDR1739" si="1492">ROUND((SUM(IDR1738:IDR1738)),2)</f>
        <v>8</v>
      </c>
      <c r="IDS1739" s="669" t="s">
        <v>2</v>
      </c>
      <c r="IDU1739" s="660"/>
      <c r="IDV1739" s="660"/>
      <c r="IDX1739" s="629"/>
      <c r="IDY1739" s="630"/>
      <c r="IDZ1739" s="631"/>
      <c r="IEA1739" s="631"/>
      <c r="IEB1739" s="631"/>
      <c r="IEC1739" s="631"/>
      <c r="IED1739" s="631"/>
      <c r="IEE1739" s="631"/>
      <c r="IEF1739" s="631"/>
      <c r="IEG1739" s="630"/>
      <c r="IEH1739" s="668">
        <f t="shared" ref="IEH1739" si="1493">ROUND((SUM(IEH1738:IEH1738)),2)</f>
        <v>8</v>
      </c>
      <c r="IEI1739" s="669" t="s">
        <v>2</v>
      </c>
      <c r="IEK1739" s="660"/>
      <c r="IEL1739" s="660"/>
      <c r="IEN1739" s="629"/>
      <c r="IEO1739" s="630"/>
      <c r="IEP1739" s="631"/>
      <c r="IEQ1739" s="631"/>
      <c r="IER1739" s="631"/>
      <c r="IES1739" s="631"/>
      <c r="IET1739" s="631"/>
      <c r="IEU1739" s="631"/>
      <c r="IEV1739" s="631"/>
      <c r="IEW1739" s="630"/>
      <c r="IEX1739" s="668">
        <f t="shared" ref="IEX1739" si="1494">ROUND((SUM(IEX1738:IEX1738)),2)</f>
        <v>8</v>
      </c>
      <c r="IEY1739" s="669" t="s">
        <v>2</v>
      </c>
      <c r="IFA1739" s="660"/>
      <c r="IFB1739" s="660"/>
      <c r="IFD1739" s="629"/>
      <c r="IFE1739" s="630"/>
      <c r="IFF1739" s="631"/>
      <c r="IFG1739" s="631"/>
      <c r="IFH1739" s="631"/>
      <c r="IFI1739" s="631"/>
      <c r="IFJ1739" s="631"/>
      <c r="IFK1739" s="631"/>
      <c r="IFL1739" s="631"/>
      <c r="IFM1739" s="630"/>
      <c r="IFN1739" s="668">
        <f t="shared" ref="IFN1739" si="1495">ROUND((SUM(IFN1738:IFN1738)),2)</f>
        <v>8</v>
      </c>
      <c r="IFO1739" s="669" t="s">
        <v>2</v>
      </c>
      <c r="IFQ1739" s="660"/>
      <c r="IFR1739" s="660"/>
      <c r="IFT1739" s="629"/>
      <c r="IFU1739" s="630"/>
      <c r="IFV1739" s="631"/>
      <c r="IFW1739" s="631"/>
      <c r="IFX1739" s="631"/>
      <c r="IFY1739" s="631"/>
      <c r="IFZ1739" s="631"/>
      <c r="IGA1739" s="631"/>
      <c r="IGB1739" s="631"/>
      <c r="IGC1739" s="630"/>
      <c r="IGD1739" s="668">
        <f t="shared" ref="IGD1739" si="1496">ROUND((SUM(IGD1738:IGD1738)),2)</f>
        <v>8</v>
      </c>
      <c r="IGE1739" s="669" t="s">
        <v>2</v>
      </c>
      <c r="IGG1739" s="660"/>
      <c r="IGH1739" s="660"/>
      <c r="IGJ1739" s="629"/>
      <c r="IGK1739" s="630"/>
      <c r="IGL1739" s="631"/>
      <c r="IGM1739" s="631"/>
      <c r="IGN1739" s="631"/>
      <c r="IGO1739" s="631"/>
      <c r="IGP1739" s="631"/>
      <c r="IGQ1739" s="631"/>
      <c r="IGR1739" s="631"/>
      <c r="IGS1739" s="630"/>
      <c r="IGT1739" s="668">
        <f t="shared" ref="IGT1739" si="1497">ROUND((SUM(IGT1738:IGT1738)),2)</f>
        <v>8</v>
      </c>
      <c r="IGU1739" s="669" t="s">
        <v>2</v>
      </c>
      <c r="IGW1739" s="660"/>
      <c r="IGX1739" s="660"/>
      <c r="IGZ1739" s="629"/>
      <c r="IHA1739" s="630"/>
      <c r="IHB1739" s="631"/>
      <c r="IHC1739" s="631"/>
      <c r="IHD1739" s="631"/>
      <c r="IHE1739" s="631"/>
      <c r="IHF1739" s="631"/>
      <c r="IHG1739" s="631"/>
      <c r="IHH1739" s="631"/>
      <c r="IHI1739" s="630"/>
      <c r="IHJ1739" s="668">
        <f t="shared" ref="IHJ1739" si="1498">ROUND((SUM(IHJ1738:IHJ1738)),2)</f>
        <v>8</v>
      </c>
      <c r="IHK1739" s="669" t="s">
        <v>2</v>
      </c>
      <c r="IHM1739" s="660"/>
      <c r="IHN1739" s="660"/>
      <c r="IHP1739" s="629"/>
      <c r="IHQ1739" s="630"/>
      <c r="IHR1739" s="631"/>
      <c r="IHS1739" s="631"/>
      <c r="IHT1739" s="631"/>
      <c r="IHU1739" s="631"/>
      <c r="IHV1739" s="631"/>
      <c r="IHW1739" s="631"/>
      <c r="IHX1739" s="631"/>
      <c r="IHY1739" s="630"/>
      <c r="IHZ1739" s="668">
        <f t="shared" ref="IHZ1739" si="1499">ROUND((SUM(IHZ1738:IHZ1738)),2)</f>
        <v>8</v>
      </c>
      <c r="IIA1739" s="669" t="s">
        <v>2</v>
      </c>
      <c r="IIC1739" s="660"/>
      <c r="IID1739" s="660"/>
      <c r="IIF1739" s="629"/>
      <c r="IIG1739" s="630"/>
      <c r="IIH1739" s="631"/>
      <c r="III1739" s="631"/>
      <c r="IIJ1739" s="631"/>
      <c r="IIK1739" s="631"/>
      <c r="IIL1739" s="631"/>
      <c r="IIM1739" s="631"/>
      <c r="IIN1739" s="631"/>
      <c r="IIO1739" s="630"/>
      <c r="IIP1739" s="668">
        <f t="shared" ref="IIP1739" si="1500">ROUND((SUM(IIP1738:IIP1738)),2)</f>
        <v>8</v>
      </c>
      <c r="IIQ1739" s="669" t="s">
        <v>2</v>
      </c>
      <c r="IIS1739" s="660"/>
      <c r="IIT1739" s="660"/>
      <c r="IIV1739" s="629"/>
      <c r="IIW1739" s="630"/>
      <c r="IIX1739" s="631"/>
      <c r="IIY1739" s="631"/>
      <c r="IIZ1739" s="631"/>
      <c r="IJA1739" s="631"/>
      <c r="IJB1739" s="631"/>
      <c r="IJC1739" s="631"/>
      <c r="IJD1739" s="631"/>
      <c r="IJE1739" s="630"/>
      <c r="IJF1739" s="668">
        <f t="shared" ref="IJF1739" si="1501">ROUND((SUM(IJF1738:IJF1738)),2)</f>
        <v>8</v>
      </c>
      <c r="IJG1739" s="669" t="s">
        <v>2</v>
      </c>
      <c r="IJI1739" s="660"/>
      <c r="IJJ1739" s="660"/>
      <c r="IJL1739" s="629"/>
      <c r="IJM1739" s="630"/>
      <c r="IJN1739" s="631"/>
      <c r="IJO1739" s="631"/>
      <c r="IJP1739" s="631"/>
      <c r="IJQ1739" s="631"/>
      <c r="IJR1739" s="631"/>
      <c r="IJS1739" s="631"/>
      <c r="IJT1739" s="631"/>
      <c r="IJU1739" s="630"/>
      <c r="IJV1739" s="668">
        <f t="shared" ref="IJV1739" si="1502">ROUND((SUM(IJV1738:IJV1738)),2)</f>
        <v>8</v>
      </c>
      <c r="IJW1739" s="669" t="s">
        <v>2</v>
      </c>
      <c r="IJY1739" s="660"/>
      <c r="IJZ1739" s="660"/>
      <c r="IKB1739" s="629"/>
      <c r="IKC1739" s="630"/>
      <c r="IKD1739" s="631"/>
      <c r="IKE1739" s="631"/>
      <c r="IKF1739" s="631"/>
      <c r="IKG1739" s="631"/>
      <c r="IKH1739" s="631"/>
      <c r="IKI1739" s="631"/>
      <c r="IKJ1739" s="631"/>
      <c r="IKK1739" s="630"/>
      <c r="IKL1739" s="668">
        <f t="shared" ref="IKL1739" si="1503">ROUND((SUM(IKL1738:IKL1738)),2)</f>
        <v>8</v>
      </c>
      <c r="IKM1739" s="669" t="s">
        <v>2</v>
      </c>
      <c r="IKO1739" s="660"/>
      <c r="IKP1739" s="660"/>
      <c r="IKR1739" s="629"/>
      <c r="IKS1739" s="630"/>
      <c r="IKT1739" s="631"/>
      <c r="IKU1739" s="631"/>
      <c r="IKV1739" s="631"/>
      <c r="IKW1739" s="631"/>
      <c r="IKX1739" s="631"/>
      <c r="IKY1739" s="631"/>
      <c r="IKZ1739" s="631"/>
      <c r="ILA1739" s="630"/>
      <c r="ILB1739" s="668">
        <f t="shared" ref="ILB1739" si="1504">ROUND((SUM(ILB1738:ILB1738)),2)</f>
        <v>8</v>
      </c>
      <c r="ILC1739" s="669" t="s">
        <v>2</v>
      </c>
      <c r="ILE1739" s="660"/>
      <c r="ILF1739" s="660"/>
      <c r="ILH1739" s="629"/>
      <c r="ILI1739" s="630"/>
      <c r="ILJ1739" s="631"/>
      <c r="ILK1739" s="631"/>
      <c r="ILL1739" s="631"/>
      <c r="ILM1739" s="631"/>
      <c r="ILN1739" s="631"/>
      <c r="ILO1739" s="631"/>
      <c r="ILP1739" s="631"/>
      <c r="ILQ1739" s="630"/>
      <c r="ILR1739" s="668">
        <f t="shared" ref="ILR1739" si="1505">ROUND((SUM(ILR1738:ILR1738)),2)</f>
        <v>8</v>
      </c>
      <c r="ILS1739" s="669" t="s">
        <v>2</v>
      </c>
      <c r="ILU1739" s="660"/>
      <c r="ILV1739" s="660"/>
      <c r="ILX1739" s="629"/>
      <c r="ILY1739" s="630"/>
      <c r="ILZ1739" s="631"/>
      <c r="IMA1739" s="631"/>
      <c r="IMB1739" s="631"/>
      <c r="IMC1739" s="631"/>
      <c r="IMD1739" s="631"/>
      <c r="IME1739" s="631"/>
      <c r="IMF1739" s="631"/>
      <c r="IMG1739" s="630"/>
      <c r="IMH1739" s="668">
        <f t="shared" ref="IMH1739" si="1506">ROUND((SUM(IMH1738:IMH1738)),2)</f>
        <v>8</v>
      </c>
      <c r="IMI1739" s="669" t="s">
        <v>2</v>
      </c>
      <c r="IMK1739" s="660"/>
      <c r="IML1739" s="660"/>
      <c r="IMN1739" s="629"/>
      <c r="IMO1739" s="630"/>
      <c r="IMP1739" s="631"/>
      <c r="IMQ1739" s="631"/>
      <c r="IMR1739" s="631"/>
      <c r="IMS1739" s="631"/>
      <c r="IMT1739" s="631"/>
      <c r="IMU1739" s="631"/>
      <c r="IMV1739" s="631"/>
      <c r="IMW1739" s="630"/>
      <c r="IMX1739" s="668">
        <f t="shared" ref="IMX1739" si="1507">ROUND((SUM(IMX1738:IMX1738)),2)</f>
        <v>8</v>
      </c>
      <c r="IMY1739" s="669" t="s">
        <v>2</v>
      </c>
      <c r="INA1739" s="660"/>
      <c r="INB1739" s="660"/>
      <c r="IND1739" s="629"/>
      <c r="INE1739" s="630"/>
      <c r="INF1739" s="631"/>
      <c r="ING1739" s="631"/>
      <c r="INH1739" s="631"/>
      <c r="INI1739" s="631"/>
      <c r="INJ1739" s="631"/>
      <c r="INK1739" s="631"/>
      <c r="INL1739" s="631"/>
      <c r="INM1739" s="630"/>
      <c r="INN1739" s="668">
        <f t="shared" ref="INN1739" si="1508">ROUND((SUM(INN1738:INN1738)),2)</f>
        <v>8</v>
      </c>
      <c r="INO1739" s="669" t="s">
        <v>2</v>
      </c>
      <c r="INQ1739" s="660"/>
      <c r="INR1739" s="660"/>
      <c r="INT1739" s="629"/>
      <c r="INU1739" s="630"/>
      <c r="INV1739" s="631"/>
      <c r="INW1739" s="631"/>
      <c r="INX1739" s="631"/>
      <c r="INY1739" s="631"/>
      <c r="INZ1739" s="631"/>
      <c r="IOA1739" s="631"/>
      <c r="IOB1739" s="631"/>
      <c r="IOC1739" s="630"/>
      <c r="IOD1739" s="668">
        <f t="shared" ref="IOD1739" si="1509">ROUND((SUM(IOD1738:IOD1738)),2)</f>
        <v>8</v>
      </c>
      <c r="IOE1739" s="669" t="s">
        <v>2</v>
      </c>
      <c r="IOG1739" s="660"/>
      <c r="IOH1739" s="660"/>
      <c r="IOJ1739" s="629"/>
      <c r="IOK1739" s="630"/>
      <c r="IOL1739" s="631"/>
      <c r="IOM1739" s="631"/>
      <c r="ION1739" s="631"/>
      <c r="IOO1739" s="631"/>
      <c r="IOP1739" s="631"/>
      <c r="IOQ1739" s="631"/>
      <c r="IOR1739" s="631"/>
      <c r="IOS1739" s="630"/>
      <c r="IOT1739" s="668">
        <f t="shared" ref="IOT1739" si="1510">ROUND((SUM(IOT1738:IOT1738)),2)</f>
        <v>8</v>
      </c>
      <c r="IOU1739" s="669" t="s">
        <v>2</v>
      </c>
      <c r="IOW1739" s="660"/>
      <c r="IOX1739" s="660"/>
      <c r="IOZ1739" s="629"/>
      <c r="IPA1739" s="630"/>
      <c r="IPB1739" s="631"/>
      <c r="IPC1739" s="631"/>
      <c r="IPD1739" s="631"/>
      <c r="IPE1739" s="631"/>
      <c r="IPF1739" s="631"/>
      <c r="IPG1739" s="631"/>
      <c r="IPH1739" s="631"/>
      <c r="IPI1739" s="630"/>
      <c r="IPJ1739" s="668">
        <f t="shared" ref="IPJ1739" si="1511">ROUND((SUM(IPJ1738:IPJ1738)),2)</f>
        <v>8</v>
      </c>
      <c r="IPK1739" s="669" t="s">
        <v>2</v>
      </c>
      <c r="IPM1739" s="660"/>
      <c r="IPN1739" s="660"/>
      <c r="IPP1739" s="629"/>
      <c r="IPQ1739" s="630"/>
      <c r="IPR1739" s="631"/>
      <c r="IPS1739" s="631"/>
      <c r="IPT1739" s="631"/>
      <c r="IPU1739" s="631"/>
      <c r="IPV1739" s="631"/>
      <c r="IPW1739" s="631"/>
      <c r="IPX1739" s="631"/>
      <c r="IPY1739" s="630"/>
      <c r="IPZ1739" s="668">
        <f t="shared" ref="IPZ1739" si="1512">ROUND((SUM(IPZ1738:IPZ1738)),2)</f>
        <v>8</v>
      </c>
      <c r="IQA1739" s="669" t="s">
        <v>2</v>
      </c>
      <c r="IQC1739" s="660"/>
      <c r="IQD1739" s="660"/>
      <c r="IQF1739" s="629"/>
      <c r="IQG1739" s="630"/>
      <c r="IQH1739" s="631"/>
      <c r="IQI1739" s="631"/>
      <c r="IQJ1739" s="631"/>
      <c r="IQK1739" s="631"/>
      <c r="IQL1739" s="631"/>
      <c r="IQM1739" s="631"/>
      <c r="IQN1739" s="631"/>
      <c r="IQO1739" s="630"/>
      <c r="IQP1739" s="668">
        <f t="shared" ref="IQP1739" si="1513">ROUND((SUM(IQP1738:IQP1738)),2)</f>
        <v>8</v>
      </c>
      <c r="IQQ1739" s="669" t="s">
        <v>2</v>
      </c>
      <c r="IQS1739" s="660"/>
      <c r="IQT1739" s="660"/>
      <c r="IQV1739" s="629"/>
      <c r="IQW1739" s="630"/>
      <c r="IQX1739" s="631"/>
      <c r="IQY1739" s="631"/>
      <c r="IQZ1739" s="631"/>
      <c r="IRA1739" s="631"/>
      <c r="IRB1739" s="631"/>
      <c r="IRC1739" s="631"/>
      <c r="IRD1739" s="631"/>
      <c r="IRE1739" s="630"/>
      <c r="IRF1739" s="668">
        <f t="shared" ref="IRF1739" si="1514">ROUND((SUM(IRF1738:IRF1738)),2)</f>
        <v>8</v>
      </c>
      <c r="IRG1739" s="669" t="s">
        <v>2</v>
      </c>
      <c r="IRI1739" s="660"/>
      <c r="IRJ1739" s="660"/>
      <c r="IRL1739" s="629"/>
      <c r="IRM1739" s="630"/>
      <c r="IRN1739" s="631"/>
      <c r="IRO1739" s="631"/>
      <c r="IRP1739" s="631"/>
      <c r="IRQ1739" s="631"/>
      <c r="IRR1739" s="631"/>
      <c r="IRS1739" s="631"/>
      <c r="IRT1739" s="631"/>
      <c r="IRU1739" s="630"/>
      <c r="IRV1739" s="668">
        <f t="shared" ref="IRV1739" si="1515">ROUND((SUM(IRV1738:IRV1738)),2)</f>
        <v>8</v>
      </c>
      <c r="IRW1739" s="669" t="s">
        <v>2</v>
      </c>
      <c r="IRY1739" s="660"/>
      <c r="IRZ1739" s="660"/>
      <c r="ISB1739" s="629"/>
      <c r="ISC1739" s="630"/>
      <c r="ISD1739" s="631"/>
      <c r="ISE1739" s="631"/>
      <c r="ISF1739" s="631"/>
      <c r="ISG1739" s="631"/>
      <c r="ISH1739" s="631"/>
      <c r="ISI1739" s="631"/>
      <c r="ISJ1739" s="631"/>
      <c r="ISK1739" s="630"/>
      <c r="ISL1739" s="668">
        <f t="shared" ref="ISL1739" si="1516">ROUND((SUM(ISL1738:ISL1738)),2)</f>
        <v>8</v>
      </c>
      <c r="ISM1739" s="669" t="s">
        <v>2</v>
      </c>
      <c r="ISO1739" s="660"/>
      <c r="ISP1739" s="660"/>
      <c r="ISR1739" s="629"/>
      <c r="ISS1739" s="630"/>
      <c r="IST1739" s="631"/>
      <c r="ISU1739" s="631"/>
      <c r="ISV1739" s="631"/>
      <c r="ISW1739" s="631"/>
      <c r="ISX1739" s="631"/>
      <c r="ISY1739" s="631"/>
      <c r="ISZ1739" s="631"/>
      <c r="ITA1739" s="630"/>
      <c r="ITB1739" s="668">
        <f t="shared" ref="ITB1739" si="1517">ROUND((SUM(ITB1738:ITB1738)),2)</f>
        <v>8</v>
      </c>
      <c r="ITC1739" s="669" t="s">
        <v>2</v>
      </c>
      <c r="ITE1739" s="660"/>
      <c r="ITF1739" s="660"/>
      <c r="ITH1739" s="629"/>
      <c r="ITI1739" s="630"/>
      <c r="ITJ1739" s="631"/>
      <c r="ITK1739" s="631"/>
      <c r="ITL1739" s="631"/>
      <c r="ITM1739" s="631"/>
      <c r="ITN1739" s="631"/>
      <c r="ITO1739" s="631"/>
      <c r="ITP1739" s="631"/>
      <c r="ITQ1739" s="630"/>
      <c r="ITR1739" s="668">
        <f t="shared" ref="ITR1739" si="1518">ROUND((SUM(ITR1738:ITR1738)),2)</f>
        <v>8</v>
      </c>
      <c r="ITS1739" s="669" t="s">
        <v>2</v>
      </c>
      <c r="ITU1739" s="660"/>
      <c r="ITV1739" s="660"/>
      <c r="ITX1739" s="629"/>
      <c r="ITY1739" s="630"/>
      <c r="ITZ1739" s="631"/>
      <c r="IUA1739" s="631"/>
      <c r="IUB1739" s="631"/>
      <c r="IUC1739" s="631"/>
      <c r="IUD1739" s="631"/>
      <c r="IUE1739" s="631"/>
      <c r="IUF1739" s="631"/>
      <c r="IUG1739" s="630"/>
      <c r="IUH1739" s="668">
        <f t="shared" ref="IUH1739" si="1519">ROUND((SUM(IUH1738:IUH1738)),2)</f>
        <v>8</v>
      </c>
      <c r="IUI1739" s="669" t="s">
        <v>2</v>
      </c>
      <c r="IUK1739" s="660"/>
      <c r="IUL1739" s="660"/>
      <c r="IUN1739" s="629"/>
      <c r="IUO1739" s="630"/>
      <c r="IUP1739" s="631"/>
      <c r="IUQ1739" s="631"/>
      <c r="IUR1739" s="631"/>
      <c r="IUS1739" s="631"/>
      <c r="IUT1739" s="631"/>
      <c r="IUU1739" s="631"/>
      <c r="IUV1739" s="631"/>
      <c r="IUW1739" s="630"/>
      <c r="IUX1739" s="668">
        <f t="shared" ref="IUX1739" si="1520">ROUND((SUM(IUX1738:IUX1738)),2)</f>
        <v>8</v>
      </c>
      <c r="IUY1739" s="669" t="s">
        <v>2</v>
      </c>
      <c r="IVA1739" s="660"/>
      <c r="IVB1739" s="660"/>
      <c r="IVD1739" s="629"/>
      <c r="IVE1739" s="630"/>
      <c r="IVF1739" s="631"/>
      <c r="IVG1739" s="631"/>
      <c r="IVH1739" s="631"/>
      <c r="IVI1739" s="631"/>
      <c r="IVJ1739" s="631"/>
      <c r="IVK1739" s="631"/>
      <c r="IVL1739" s="631"/>
      <c r="IVM1739" s="630"/>
      <c r="IVN1739" s="668">
        <f t="shared" ref="IVN1739" si="1521">ROUND((SUM(IVN1738:IVN1738)),2)</f>
        <v>8</v>
      </c>
      <c r="IVO1739" s="669" t="s">
        <v>2</v>
      </c>
      <c r="IVQ1739" s="660"/>
      <c r="IVR1739" s="660"/>
      <c r="IVT1739" s="629"/>
      <c r="IVU1739" s="630"/>
      <c r="IVV1739" s="631"/>
      <c r="IVW1739" s="631"/>
      <c r="IVX1739" s="631"/>
      <c r="IVY1739" s="631"/>
      <c r="IVZ1739" s="631"/>
      <c r="IWA1739" s="631"/>
      <c r="IWB1739" s="631"/>
      <c r="IWC1739" s="630"/>
      <c r="IWD1739" s="668">
        <f t="shared" ref="IWD1739" si="1522">ROUND((SUM(IWD1738:IWD1738)),2)</f>
        <v>8</v>
      </c>
      <c r="IWE1739" s="669" t="s">
        <v>2</v>
      </c>
      <c r="IWG1739" s="660"/>
      <c r="IWH1739" s="660"/>
      <c r="IWJ1739" s="629"/>
      <c r="IWK1739" s="630"/>
      <c r="IWL1739" s="631"/>
      <c r="IWM1739" s="631"/>
      <c r="IWN1739" s="631"/>
      <c r="IWO1739" s="631"/>
      <c r="IWP1739" s="631"/>
      <c r="IWQ1739" s="631"/>
      <c r="IWR1739" s="631"/>
      <c r="IWS1739" s="630"/>
      <c r="IWT1739" s="668">
        <f t="shared" ref="IWT1739" si="1523">ROUND((SUM(IWT1738:IWT1738)),2)</f>
        <v>8</v>
      </c>
      <c r="IWU1739" s="669" t="s">
        <v>2</v>
      </c>
      <c r="IWW1739" s="660"/>
      <c r="IWX1739" s="660"/>
      <c r="IWZ1739" s="629"/>
      <c r="IXA1739" s="630"/>
      <c r="IXB1739" s="631"/>
      <c r="IXC1739" s="631"/>
      <c r="IXD1739" s="631"/>
      <c r="IXE1739" s="631"/>
      <c r="IXF1739" s="631"/>
      <c r="IXG1739" s="631"/>
      <c r="IXH1739" s="631"/>
      <c r="IXI1739" s="630"/>
      <c r="IXJ1739" s="668">
        <f t="shared" ref="IXJ1739" si="1524">ROUND((SUM(IXJ1738:IXJ1738)),2)</f>
        <v>8</v>
      </c>
      <c r="IXK1739" s="669" t="s">
        <v>2</v>
      </c>
      <c r="IXM1739" s="660"/>
      <c r="IXN1739" s="660"/>
      <c r="IXP1739" s="629"/>
      <c r="IXQ1739" s="630"/>
      <c r="IXR1739" s="631"/>
      <c r="IXS1739" s="631"/>
      <c r="IXT1739" s="631"/>
      <c r="IXU1739" s="631"/>
      <c r="IXV1739" s="631"/>
      <c r="IXW1739" s="631"/>
      <c r="IXX1739" s="631"/>
      <c r="IXY1739" s="630"/>
      <c r="IXZ1739" s="668">
        <f t="shared" ref="IXZ1739" si="1525">ROUND((SUM(IXZ1738:IXZ1738)),2)</f>
        <v>8</v>
      </c>
      <c r="IYA1739" s="669" t="s">
        <v>2</v>
      </c>
      <c r="IYC1739" s="660"/>
      <c r="IYD1739" s="660"/>
      <c r="IYF1739" s="629"/>
      <c r="IYG1739" s="630"/>
      <c r="IYH1739" s="631"/>
      <c r="IYI1739" s="631"/>
      <c r="IYJ1739" s="631"/>
      <c r="IYK1739" s="631"/>
      <c r="IYL1739" s="631"/>
      <c r="IYM1739" s="631"/>
      <c r="IYN1739" s="631"/>
      <c r="IYO1739" s="630"/>
      <c r="IYP1739" s="668">
        <f t="shared" ref="IYP1739" si="1526">ROUND((SUM(IYP1738:IYP1738)),2)</f>
        <v>8</v>
      </c>
      <c r="IYQ1739" s="669" t="s">
        <v>2</v>
      </c>
      <c r="IYS1739" s="660"/>
      <c r="IYT1739" s="660"/>
      <c r="IYV1739" s="629"/>
      <c r="IYW1739" s="630"/>
      <c r="IYX1739" s="631"/>
      <c r="IYY1739" s="631"/>
      <c r="IYZ1739" s="631"/>
      <c r="IZA1739" s="631"/>
      <c r="IZB1739" s="631"/>
      <c r="IZC1739" s="631"/>
      <c r="IZD1739" s="631"/>
      <c r="IZE1739" s="630"/>
      <c r="IZF1739" s="668">
        <f t="shared" ref="IZF1739" si="1527">ROUND((SUM(IZF1738:IZF1738)),2)</f>
        <v>8</v>
      </c>
      <c r="IZG1739" s="669" t="s">
        <v>2</v>
      </c>
      <c r="IZI1739" s="660"/>
      <c r="IZJ1739" s="660"/>
      <c r="IZL1739" s="629"/>
      <c r="IZM1739" s="630"/>
      <c r="IZN1739" s="631"/>
      <c r="IZO1739" s="631"/>
      <c r="IZP1739" s="631"/>
      <c r="IZQ1739" s="631"/>
      <c r="IZR1739" s="631"/>
      <c r="IZS1739" s="631"/>
      <c r="IZT1739" s="631"/>
      <c r="IZU1739" s="630"/>
      <c r="IZV1739" s="668">
        <f t="shared" ref="IZV1739" si="1528">ROUND((SUM(IZV1738:IZV1738)),2)</f>
        <v>8</v>
      </c>
      <c r="IZW1739" s="669" t="s">
        <v>2</v>
      </c>
      <c r="IZY1739" s="660"/>
      <c r="IZZ1739" s="660"/>
      <c r="JAB1739" s="629"/>
      <c r="JAC1739" s="630"/>
      <c r="JAD1739" s="631"/>
      <c r="JAE1739" s="631"/>
      <c r="JAF1739" s="631"/>
      <c r="JAG1739" s="631"/>
      <c r="JAH1739" s="631"/>
      <c r="JAI1739" s="631"/>
      <c r="JAJ1739" s="631"/>
      <c r="JAK1739" s="630"/>
      <c r="JAL1739" s="668">
        <f t="shared" ref="JAL1739" si="1529">ROUND((SUM(JAL1738:JAL1738)),2)</f>
        <v>8</v>
      </c>
      <c r="JAM1739" s="669" t="s">
        <v>2</v>
      </c>
      <c r="JAO1739" s="660"/>
      <c r="JAP1739" s="660"/>
      <c r="JAR1739" s="629"/>
      <c r="JAS1739" s="630"/>
      <c r="JAT1739" s="631"/>
      <c r="JAU1739" s="631"/>
      <c r="JAV1739" s="631"/>
      <c r="JAW1739" s="631"/>
      <c r="JAX1739" s="631"/>
      <c r="JAY1739" s="631"/>
      <c r="JAZ1739" s="631"/>
      <c r="JBA1739" s="630"/>
      <c r="JBB1739" s="668">
        <f t="shared" ref="JBB1739" si="1530">ROUND((SUM(JBB1738:JBB1738)),2)</f>
        <v>8</v>
      </c>
      <c r="JBC1739" s="669" t="s">
        <v>2</v>
      </c>
      <c r="JBE1739" s="660"/>
      <c r="JBF1739" s="660"/>
      <c r="JBH1739" s="629"/>
      <c r="JBI1739" s="630"/>
      <c r="JBJ1739" s="631"/>
      <c r="JBK1739" s="631"/>
      <c r="JBL1739" s="631"/>
      <c r="JBM1739" s="631"/>
      <c r="JBN1739" s="631"/>
      <c r="JBO1739" s="631"/>
      <c r="JBP1739" s="631"/>
      <c r="JBQ1739" s="630"/>
      <c r="JBR1739" s="668">
        <f t="shared" ref="JBR1739" si="1531">ROUND((SUM(JBR1738:JBR1738)),2)</f>
        <v>8</v>
      </c>
      <c r="JBS1739" s="669" t="s">
        <v>2</v>
      </c>
      <c r="JBU1739" s="660"/>
      <c r="JBV1739" s="660"/>
      <c r="JBX1739" s="629"/>
      <c r="JBY1739" s="630"/>
      <c r="JBZ1739" s="631"/>
      <c r="JCA1739" s="631"/>
      <c r="JCB1739" s="631"/>
      <c r="JCC1739" s="631"/>
      <c r="JCD1739" s="631"/>
      <c r="JCE1739" s="631"/>
      <c r="JCF1739" s="631"/>
      <c r="JCG1739" s="630"/>
      <c r="JCH1739" s="668">
        <f t="shared" ref="JCH1739" si="1532">ROUND((SUM(JCH1738:JCH1738)),2)</f>
        <v>8</v>
      </c>
      <c r="JCI1739" s="669" t="s">
        <v>2</v>
      </c>
      <c r="JCK1739" s="660"/>
      <c r="JCL1739" s="660"/>
      <c r="JCN1739" s="629"/>
      <c r="JCO1739" s="630"/>
      <c r="JCP1739" s="631"/>
      <c r="JCQ1739" s="631"/>
      <c r="JCR1739" s="631"/>
      <c r="JCS1739" s="631"/>
      <c r="JCT1739" s="631"/>
      <c r="JCU1739" s="631"/>
      <c r="JCV1739" s="631"/>
      <c r="JCW1739" s="630"/>
      <c r="JCX1739" s="668">
        <f t="shared" ref="JCX1739" si="1533">ROUND((SUM(JCX1738:JCX1738)),2)</f>
        <v>8</v>
      </c>
      <c r="JCY1739" s="669" t="s">
        <v>2</v>
      </c>
      <c r="JDA1739" s="660"/>
      <c r="JDB1739" s="660"/>
      <c r="JDD1739" s="629"/>
      <c r="JDE1739" s="630"/>
      <c r="JDF1739" s="631"/>
      <c r="JDG1739" s="631"/>
      <c r="JDH1739" s="631"/>
      <c r="JDI1739" s="631"/>
      <c r="JDJ1739" s="631"/>
      <c r="JDK1739" s="631"/>
      <c r="JDL1739" s="631"/>
      <c r="JDM1739" s="630"/>
      <c r="JDN1739" s="668">
        <f t="shared" ref="JDN1739" si="1534">ROUND((SUM(JDN1738:JDN1738)),2)</f>
        <v>8</v>
      </c>
      <c r="JDO1739" s="669" t="s">
        <v>2</v>
      </c>
      <c r="JDQ1739" s="660"/>
      <c r="JDR1739" s="660"/>
      <c r="JDT1739" s="629"/>
      <c r="JDU1739" s="630"/>
      <c r="JDV1739" s="631"/>
      <c r="JDW1739" s="631"/>
      <c r="JDX1739" s="631"/>
      <c r="JDY1739" s="631"/>
      <c r="JDZ1739" s="631"/>
      <c r="JEA1739" s="631"/>
      <c r="JEB1739" s="631"/>
      <c r="JEC1739" s="630"/>
      <c r="JED1739" s="668">
        <f t="shared" ref="JED1739" si="1535">ROUND((SUM(JED1738:JED1738)),2)</f>
        <v>8</v>
      </c>
      <c r="JEE1739" s="669" t="s">
        <v>2</v>
      </c>
      <c r="JEG1739" s="660"/>
      <c r="JEH1739" s="660"/>
      <c r="JEJ1739" s="629"/>
      <c r="JEK1739" s="630"/>
      <c r="JEL1739" s="631"/>
      <c r="JEM1739" s="631"/>
      <c r="JEN1739" s="631"/>
      <c r="JEO1739" s="631"/>
      <c r="JEP1739" s="631"/>
      <c r="JEQ1739" s="631"/>
      <c r="JER1739" s="631"/>
      <c r="JES1739" s="630"/>
      <c r="JET1739" s="668">
        <f t="shared" ref="JET1739" si="1536">ROUND((SUM(JET1738:JET1738)),2)</f>
        <v>8</v>
      </c>
      <c r="JEU1739" s="669" t="s">
        <v>2</v>
      </c>
      <c r="JEW1739" s="660"/>
      <c r="JEX1739" s="660"/>
      <c r="JEZ1739" s="629"/>
      <c r="JFA1739" s="630"/>
      <c r="JFB1739" s="631"/>
      <c r="JFC1739" s="631"/>
      <c r="JFD1739" s="631"/>
      <c r="JFE1739" s="631"/>
      <c r="JFF1739" s="631"/>
      <c r="JFG1739" s="631"/>
      <c r="JFH1739" s="631"/>
      <c r="JFI1739" s="630"/>
      <c r="JFJ1739" s="668">
        <f t="shared" ref="JFJ1739" si="1537">ROUND((SUM(JFJ1738:JFJ1738)),2)</f>
        <v>8</v>
      </c>
      <c r="JFK1739" s="669" t="s">
        <v>2</v>
      </c>
      <c r="JFM1739" s="660"/>
      <c r="JFN1739" s="660"/>
      <c r="JFP1739" s="629"/>
      <c r="JFQ1739" s="630"/>
      <c r="JFR1739" s="631"/>
      <c r="JFS1739" s="631"/>
      <c r="JFT1739" s="631"/>
      <c r="JFU1739" s="631"/>
      <c r="JFV1739" s="631"/>
      <c r="JFW1739" s="631"/>
      <c r="JFX1739" s="631"/>
      <c r="JFY1739" s="630"/>
      <c r="JFZ1739" s="668">
        <f t="shared" ref="JFZ1739" si="1538">ROUND((SUM(JFZ1738:JFZ1738)),2)</f>
        <v>8</v>
      </c>
      <c r="JGA1739" s="669" t="s">
        <v>2</v>
      </c>
      <c r="JGC1739" s="660"/>
      <c r="JGD1739" s="660"/>
      <c r="JGF1739" s="629"/>
      <c r="JGG1739" s="630"/>
      <c r="JGH1739" s="631"/>
      <c r="JGI1739" s="631"/>
      <c r="JGJ1739" s="631"/>
      <c r="JGK1739" s="631"/>
      <c r="JGL1739" s="631"/>
      <c r="JGM1739" s="631"/>
      <c r="JGN1739" s="631"/>
      <c r="JGO1739" s="630"/>
      <c r="JGP1739" s="668">
        <f t="shared" ref="JGP1739" si="1539">ROUND((SUM(JGP1738:JGP1738)),2)</f>
        <v>8</v>
      </c>
      <c r="JGQ1739" s="669" t="s">
        <v>2</v>
      </c>
      <c r="JGS1739" s="660"/>
      <c r="JGT1739" s="660"/>
      <c r="JGV1739" s="629"/>
      <c r="JGW1739" s="630"/>
      <c r="JGX1739" s="631"/>
      <c r="JGY1739" s="631"/>
      <c r="JGZ1739" s="631"/>
      <c r="JHA1739" s="631"/>
      <c r="JHB1739" s="631"/>
      <c r="JHC1739" s="631"/>
      <c r="JHD1739" s="631"/>
      <c r="JHE1739" s="630"/>
      <c r="JHF1739" s="668">
        <f t="shared" ref="JHF1739" si="1540">ROUND((SUM(JHF1738:JHF1738)),2)</f>
        <v>8</v>
      </c>
      <c r="JHG1739" s="669" t="s">
        <v>2</v>
      </c>
      <c r="JHI1739" s="660"/>
      <c r="JHJ1739" s="660"/>
      <c r="JHL1739" s="629"/>
      <c r="JHM1739" s="630"/>
      <c r="JHN1739" s="631"/>
      <c r="JHO1739" s="631"/>
      <c r="JHP1739" s="631"/>
      <c r="JHQ1739" s="631"/>
      <c r="JHR1739" s="631"/>
      <c r="JHS1739" s="631"/>
      <c r="JHT1739" s="631"/>
      <c r="JHU1739" s="630"/>
      <c r="JHV1739" s="668">
        <f t="shared" ref="JHV1739" si="1541">ROUND((SUM(JHV1738:JHV1738)),2)</f>
        <v>8</v>
      </c>
      <c r="JHW1739" s="669" t="s">
        <v>2</v>
      </c>
      <c r="JHY1739" s="660"/>
      <c r="JHZ1739" s="660"/>
      <c r="JIB1739" s="629"/>
      <c r="JIC1739" s="630"/>
      <c r="JID1739" s="631"/>
      <c r="JIE1739" s="631"/>
      <c r="JIF1739" s="631"/>
      <c r="JIG1739" s="631"/>
      <c r="JIH1739" s="631"/>
      <c r="JII1739" s="631"/>
      <c r="JIJ1739" s="631"/>
      <c r="JIK1739" s="630"/>
      <c r="JIL1739" s="668">
        <f t="shared" ref="JIL1739" si="1542">ROUND((SUM(JIL1738:JIL1738)),2)</f>
        <v>8</v>
      </c>
      <c r="JIM1739" s="669" t="s">
        <v>2</v>
      </c>
      <c r="JIO1739" s="660"/>
      <c r="JIP1739" s="660"/>
      <c r="JIR1739" s="629"/>
      <c r="JIS1739" s="630"/>
      <c r="JIT1739" s="631"/>
      <c r="JIU1739" s="631"/>
      <c r="JIV1739" s="631"/>
      <c r="JIW1739" s="631"/>
      <c r="JIX1739" s="631"/>
      <c r="JIY1739" s="631"/>
      <c r="JIZ1739" s="631"/>
      <c r="JJA1739" s="630"/>
      <c r="JJB1739" s="668">
        <f t="shared" ref="JJB1739" si="1543">ROUND((SUM(JJB1738:JJB1738)),2)</f>
        <v>8</v>
      </c>
      <c r="JJC1739" s="669" t="s">
        <v>2</v>
      </c>
      <c r="JJE1739" s="660"/>
      <c r="JJF1739" s="660"/>
      <c r="JJH1739" s="629"/>
      <c r="JJI1739" s="630"/>
      <c r="JJJ1739" s="631"/>
      <c r="JJK1739" s="631"/>
      <c r="JJL1739" s="631"/>
      <c r="JJM1739" s="631"/>
      <c r="JJN1739" s="631"/>
      <c r="JJO1739" s="631"/>
      <c r="JJP1739" s="631"/>
      <c r="JJQ1739" s="630"/>
      <c r="JJR1739" s="668">
        <f t="shared" ref="JJR1739" si="1544">ROUND((SUM(JJR1738:JJR1738)),2)</f>
        <v>8</v>
      </c>
      <c r="JJS1739" s="669" t="s">
        <v>2</v>
      </c>
      <c r="JJU1739" s="660"/>
      <c r="JJV1739" s="660"/>
      <c r="JJX1739" s="629"/>
      <c r="JJY1739" s="630"/>
      <c r="JJZ1739" s="631"/>
      <c r="JKA1739" s="631"/>
      <c r="JKB1739" s="631"/>
      <c r="JKC1739" s="631"/>
      <c r="JKD1739" s="631"/>
      <c r="JKE1739" s="631"/>
      <c r="JKF1739" s="631"/>
      <c r="JKG1739" s="630"/>
      <c r="JKH1739" s="668">
        <f t="shared" ref="JKH1739" si="1545">ROUND((SUM(JKH1738:JKH1738)),2)</f>
        <v>8</v>
      </c>
      <c r="JKI1739" s="669" t="s">
        <v>2</v>
      </c>
      <c r="JKK1739" s="660"/>
      <c r="JKL1739" s="660"/>
      <c r="JKN1739" s="629"/>
      <c r="JKO1739" s="630"/>
      <c r="JKP1739" s="631"/>
      <c r="JKQ1739" s="631"/>
      <c r="JKR1739" s="631"/>
      <c r="JKS1739" s="631"/>
      <c r="JKT1739" s="631"/>
      <c r="JKU1739" s="631"/>
      <c r="JKV1739" s="631"/>
      <c r="JKW1739" s="630"/>
      <c r="JKX1739" s="668">
        <f t="shared" ref="JKX1739" si="1546">ROUND((SUM(JKX1738:JKX1738)),2)</f>
        <v>8</v>
      </c>
      <c r="JKY1739" s="669" t="s">
        <v>2</v>
      </c>
      <c r="JLA1739" s="660"/>
      <c r="JLB1739" s="660"/>
      <c r="JLD1739" s="629"/>
      <c r="JLE1739" s="630"/>
      <c r="JLF1739" s="631"/>
      <c r="JLG1739" s="631"/>
      <c r="JLH1739" s="631"/>
      <c r="JLI1739" s="631"/>
      <c r="JLJ1739" s="631"/>
      <c r="JLK1739" s="631"/>
      <c r="JLL1739" s="631"/>
      <c r="JLM1739" s="630"/>
      <c r="JLN1739" s="668">
        <f t="shared" ref="JLN1739" si="1547">ROUND((SUM(JLN1738:JLN1738)),2)</f>
        <v>8</v>
      </c>
      <c r="JLO1739" s="669" t="s">
        <v>2</v>
      </c>
      <c r="JLQ1739" s="660"/>
      <c r="JLR1739" s="660"/>
      <c r="JLT1739" s="629"/>
      <c r="JLU1739" s="630"/>
      <c r="JLV1739" s="631"/>
      <c r="JLW1739" s="631"/>
      <c r="JLX1739" s="631"/>
      <c r="JLY1739" s="631"/>
      <c r="JLZ1739" s="631"/>
      <c r="JMA1739" s="631"/>
      <c r="JMB1739" s="631"/>
      <c r="JMC1739" s="630"/>
      <c r="JMD1739" s="668">
        <f t="shared" ref="JMD1739" si="1548">ROUND((SUM(JMD1738:JMD1738)),2)</f>
        <v>8</v>
      </c>
      <c r="JME1739" s="669" t="s">
        <v>2</v>
      </c>
      <c r="JMG1739" s="660"/>
      <c r="JMH1739" s="660"/>
      <c r="JMJ1739" s="629"/>
      <c r="JMK1739" s="630"/>
      <c r="JML1739" s="631"/>
      <c r="JMM1739" s="631"/>
      <c r="JMN1739" s="631"/>
      <c r="JMO1739" s="631"/>
      <c r="JMP1739" s="631"/>
      <c r="JMQ1739" s="631"/>
      <c r="JMR1739" s="631"/>
      <c r="JMS1739" s="630"/>
      <c r="JMT1739" s="668">
        <f t="shared" ref="JMT1739" si="1549">ROUND((SUM(JMT1738:JMT1738)),2)</f>
        <v>8</v>
      </c>
      <c r="JMU1739" s="669" t="s">
        <v>2</v>
      </c>
      <c r="JMW1739" s="660"/>
      <c r="JMX1739" s="660"/>
      <c r="JMZ1739" s="629"/>
      <c r="JNA1739" s="630"/>
      <c r="JNB1739" s="631"/>
      <c r="JNC1739" s="631"/>
      <c r="JND1739" s="631"/>
      <c r="JNE1739" s="631"/>
      <c r="JNF1739" s="631"/>
      <c r="JNG1739" s="631"/>
      <c r="JNH1739" s="631"/>
      <c r="JNI1739" s="630"/>
      <c r="JNJ1739" s="668">
        <f t="shared" ref="JNJ1739" si="1550">ROUND((SUM(JNJ1738:JNJ1738)),2)</f>
        <v>8</v>
      </c>
      <c r="JNK1739" s="669" t="s">
        <v>2</v>
      </c>
      <c r="JNM1739" s="660"/>
      <c r="JNN1739" s="660"/>
      <c r="JNP1739" s="629"/>
      <c r="JNQ1739" s="630"/>
      <c r="JNR1739" s="631"/>
      <c r="JNS1739" s="631"/>
      <c r="JNT1739" s="631"/>
      <c r="JNU1739" s="631"/>
      <c r="JNV1739" s="631"/>
      <c r="JNW1739" s="631"/>
      <c r="JNX1739" s="631"/>
      <c r="JNY1739" s="630"/>
      <c r="JNZ1739" s="668">
        <f t="shared" ref="JNZ1739" si="1551">ROUND((SUM(JNZ1738:JNZ1738)),2)</f>
        <v>8</v>
      </c>
      <c r="JOA1739" s="669" t="s">
        <v>2</v>
      </c>
      <c r="JOC1739" s="660"/>
      <c r="JOD1739" s="660"/>
      <c r="JOF1739" s="629"/>
      <c r="JOG1739" s="630"/>
      <c r="JOH1739" s="631"/>
      <c r="JOI1739" s="631"/>
      <c r="JOJ1739" s="631"/>
      <c r="JOK1739" s="631"/>
      <c r="JOL1739" s="631"/>
      <c r="JOM1739" s="631"/>
      <c r="JON1739" s="631"/>
      <c r="JOO1739" s="630"/>
      <c r="JOP1739" s="668">
        <f t="shared" ref="JOP1739" si="1552">ROUND((SUM(JOP1738:JOP1738)),2)</f>
        <v>8</v>
      </c>
      <c r="JOQ1739" s="669" t="s">
        <v>2</v>
      </c>
      <c r="JOS1739" s="660"/>
      <c r="JOT1739" s="660"/>
      <c r="JOV1739" s="629"/>
      <c r="JOW1739" s="630"/>
      <c r="JOX1739" s="631"/>
      <c r="JOY1739" s="631"/>
      <c r="JOZ1739" s="631"/>
      <c r="JPA1739" s="631"/>
      <c r="JPB1739" s="631"/>
      <c r="JPC1739" s="631"/>
      <c r="JPD1739" s="631"/>
      <c r="JPE1739" s="630"/>
      <c r="JPF1739" s="668">
        <f t="shared" ref="JPF1739" si="1553">ROUND((SUM(JPF1738:JPF1738)),2)</f>
        <v>8</v>
      </c>
      <c r="JPG1739" s="669" t="s">
        <v>2</v>
      </c>
      <c r="JPI1739" s="660"/>
      <c r="JPJ1739" s="660"/>
      <c r="JPL1739" s="629"/>
      <c r="JPM1739" s="630"/>
      <c r="JPN1739" s="631"/>
      <c r="JPO1739" s="631"/>
      <c r="JPP1739" s="631"/>
      <c r="JPQ1739" s="631"/>
      <c r="JPR1739" s="631"/>
      <c r="JPS1739" s="631"/>
      <c r="JPT1739" s="631"/>
      <c r="JPU1739" s="630"/>
      <c r="JPV1739" s="668">
        <f t="shared" ref="JPV1739" si="1554">ROUND((SUM(JPV1738:JPV1738)),2)</f>
        <v>8</v>
      </c>
      <c r="JPW1739" s="669" t="s">
        <v>2</v>
      </c>
      <c r="JPY1739" s="660"/>
      <c r="JPZ1739" s="660"/>
      <c r="JQB1739" s="629"/>
      <c r="JQC1739" s="630"/>
      <c r="JQD1739" s="631"/>
      <c r="JQE1739" s="631"/>
      <c r="JQF1739" s="631"/>
      <c r="JQG1739" s="631"/>
      <c r="JQH1739" s="631"/>
      <c r="JQI1739" s="631"/>
      <c r="JQJ1739" s="631"/>
      <c r="JQK1739" s="630"/>
      <c r="JQL1739" s="668">
        <f t="shared" ref="JQL1739" si="1555">ROUND((SUM(JQL1738:JQL1738)),2)</f>
        <v>8</v>
      </c>
      <c r="JQM1739" s="669" t="s">
        <v>2</v>
      </c>
      <c r="JQO1739" s="660"/>
      <c r="JQP1739" s="660"/>
      <c r="JQR1739" s="629"/>
      <c r="JQS1739" s="630"/>
      <c r="JQT1739" s="631"/>
      <c r="JQU1739" s="631"/>
      <c r="JQV1739" s="631"/>
      <c r="JQW1739" s="631"/>
      <c r="JQX1739" s="631"/>
      <c r="JQY1739" s="631"/>
      <c r="JQZ1739" s="631"/>
      <c r="JRA1739" s="630"/>
      <c r="JRB1739" s="668">
        <f t="shared" ref="JRB1739" si="1556">ROUND((SUM(JRB1738:JRB1738)),2)</f>
        <v>8</v>
      </c>
      <c r="JRC1739" s="669" t="s">
        <v>2</v>
      </c>
      <c r="JRE1739" s="660"/>
      <c r="JRF1739" s="660"/>
      <c r="JRH1739" s="629"/>
      <c r="JRI1739" s="630"/>
      <c r="JRJ1739" s="631"/>
      <c r="JRK1739" s="631"/>
      <c r="JRL1739" s="631"/>
      <c r="JRM1739" s="631"/>
      <c r="JRN1739" s="631"/>
      <c r="JRO1739" s="631"/>
      <c r="JRP1739" s="631"/>
      <c r="JRQ1739" s="630"/>
      <c r="JRR1739" s="668">
        <f t="shared" ref="JRR1739" si="1557">ROUND((SUM(JRR1738:JRR1738)),2)</f>
        <v>8</v>
      </c>
      <c r="JRS1739" s="669" t="s">
        <v>2</v>
      </c>
      <c r="JRU1739" s="660"/>
      <c r="JRV1739" s="660"/>
      <c r="JRX1739" s="629"/>
      <c r="JRY1739" s="630"/>
      <c r="JRZ1739" s="631"/>
      <c r="JSA1739" s="631"/>
      <c r="JSB1739" s="631"/>
      <c r="JSC1739" s="631"/>
      <c r="JSD1739" s="631"/>
      <c r="JSE1739" s="631"/>
      <c r="JSF1739" s="631"/>
      <c r="JSG1739" s="630"/>
      <c r="JSH1739" s="668">
        <f t="shared" ref="JSH1739" si="1558">ROUND((SUM(JSH1738:JSH1738)),2)</f>
        <v>8</v>
      </c>
      <c r="JSI1739" s="669" t="s">
        <v>2</v>
      </c>
      <c r="JSK1739" s="660"/>
      <c r="JSL1739" s="660"/>
      <c r="JSN1739" s="629"/>
      <c r="JSO1739" s="630"/>
      <c r="JSP1739" s="631"/>
      <c r="JSQ1739" s="631"/>
      <c r="JSR1739" s="631"/>
      <c r="JSS1739" s="631"/>
      <c r="JST1739" s="631"/>
      <c r="JSU1739" s="631"/>
      <c r="JSV1739" s="631"/>
      <c r="JSW1739" s="630"/>
      <c r="JSX1739" s="668">
        <f t="shared" ref="JSX1739" si="1559">ROUND((SUM(JSX1738:JSX1738)),2)</f>
        <v>8</v>
      </c>
      <c r="JSY1739" s="669" t="s">
        <v>2</v>
      </c>
      <c r="JTA1739" s="660"/>
      <c r="JTB1739" s="660"/>
      <c r="JTD1739" s="629"/>
      <c r="JTE1739" s="630"/>
      <c r="JTF1739" s="631"/>
      <c r="JTG1739" s="631"/>
      <c r="JTH1739" s="631"/>
      <c r="JTI1739" s="631"/>
      <c r="JTJ1739" s="631"/>
      <c r="JTK1739" s="631"/>
      <c r="JTL1739" s="631"/>
      <c r="JTM1739" s="630"/>
      <c r="JTN1739" s="668">
        <f t="shared" ref="JTN1739" si="1560">ROUND((SUM(JTN1738:JTN1738)),2)</f>
        <v>8</v>
      </c>
      <c r="JTO1739" s="669" t="s">
        <v>2</v>
      </c>
      <c r="JTQ1739" s="660"/>
      <c r="JTR1739" s="660"/>
      <c r="JTT1739" s="629"/>
      <c r="JTU1739" s="630"/>
      <c r="JTV1739" s="631"/>
      <c r="JTW1739" s="631"/>
      <c r="JTX1739" s="631"/>
      <c r="JTY1739" s="631"/>
      <c r="JTZ1739" s="631"/>
      <c r="JUA1739" s="631"/>
      <c r="JUB1739" s="631"/>
      <c r="JUC1739" s="630"/>
      <c r="JUD1739" s="668">
        <f t="shared" ref="JUD1739" si="1561">ROUND((SUM(JUD1738:JUD1738)),2)</f>
        <v>8</v>
      </c>
      <c r="JUE1739" s="669" t="s">
        <v>2</v>
      </c>
      <c r="JUG1739" s="660"/>
      <c r="JUH1739" s="660"/>
      <c r="JUJ1739" s="629"/>
      <c r="JUK1739" s="630"/>
      <c r="JUL1739" s="631"/>
      <c r="JUM1739" s="631"/>
      <c r="JUN1739" s="631"/>
      <c r="JUO1739" s="631"/>
      <c r="JUP1739" s="631"/>
      <c r="JUQ1739" s="631"/>
      <c r="JUR1739" s="631"/>
      <c r="JUS1739" s="630"/>
      <c r="JUT1739" s="668">
        <f t="shared" ref="JUT1739" si="1562">ROUND((SUM(JUT1738:JUT1738)),2)</f>
        <v>8</v>
      </c>
      <c r="JUU1739" s="669" t="s">
        <v>2</v>
      </c>
      <c r="JUW1739" s="660"/>
      <c r="JUX1739" s="660"/>
      <c r="JUZ1739" s="629"/>
      <c r="JVA1739" s="630"/>
      <c r="JVB1739" s="631"/>
      <c r="JVC1739" s="631"/>
      <c r="JVD1739" s="631"/>
      <c r="JVE1739" s="631"/>
      <c r="JVF1739" s="631"/>
      <c r="JVG1739" s="631"/>
      <c r="JVH1739" s="631"/>
      <c r="JVI1739" s="630"/>
      <c r="JVJ1739" s="668">
        <f t="shared" ref="JVJ1739" si="1563">ROUND((SUM(JVJ1738:JVJ1738)),2)</f>
        <v>8</v>
      </c>
      <c r="JVK1739" s="669" t="s">
        <v>2</v>
      </c>
      <c r="JVM1739" s="660"/>
      <c r="JVN1739" s="660"/>
      <c r="JVP1739" s="629"/>
      <c r="JVQ1739" s="630"/>
      <c r="JVR1739" s="631"/>
      <c r="JVS1739" s="631"/>
      <c r="JVT1739" s="631"/>
      <c r="JVU1739" s="631"/>
      <c r="JVV1739" s="631"/>
      <c r="JVW1739" s="631"/>
      <c r="JVX1739" s="631"/>
      <c r="JVY1739" s="630"/>
      <c r="JVZ1739" s="668">
        <f t="shared" ref="JVZ1739" si="1564">ROUND((SUM(JVZ1738:JVZ1738)),2)</f>
        <v>8</v>
      </c>
      <c r="JWA1739" s="669" t="s">
        <v>2</v>
      </c>
      <c r="JWC1739" s="660"/>
      <c r="JWD1739" s="660"/>
      <c r="JWF1739" s="629"/>
      <c r="JWG1739" s="630"/>
      <c r="JWH1739" s="631"/>
      <c r="JWI1739" s="631"/>
      <c r="JWJ1739" s="631"/>
      <c r="JWK1739" s="631"/>
      <c r="JWL1739" s="631"/>
      <c r="JWM1739" s="631"/>
      <c r="JWN1739" s="631"/>
      <c r="JWO1739" s="630"/>
      <c r="JWP1739" s="668">
        <f t="shared" ref="JWP1739" si="1565">ROUND((SUM(JWP1738:JWP1738)),2)</f>
        <v>8</v>
      </c>
      <c r="JWQ1739" s="669" t="s">
        <v>2</v>
      </c>
      <c r="JWS1739" s="660"/>
      <c r="JWT1739" s="660"/>
      <c r="JWV1739" s="629"/>
      <c r="JWW1739" s="630"/>
      <c r="JWX1739" s="631"/>
      <c r="JWY1739" s="631"/>
      <c r="JWZ1739" s="631"/>
      <c r="JXA1739" s="631"/>
      <c r="JXB1739" s="631"/>
      <c r="JXC1739" s="631"/>
      <c r="JXD1739" s="631"/>
      <c r="JXE1739" s="630"/>
      <c r="JXF1739" s="668">
        <f t="shared" ref="JXF1739" si="1566">ROUND((SUM(JXF1738:JXF1738)),2)</f>
        <v>8</v>
      </c>
      <c r="JXG1739" s="669" t="s">
        <v>2</v>
      </c>
      <c r="JXI1739" s="660"/>
      <c r="JXJ1739" s="660"/>
      <c r="JXL1739" s="629"/>
      <c r="JXM1739" s="630"/>
      <c r="JXN1739" s="631"/>
      <c r="JXO1739" s="631"/>
      <c r="JXP1739" s="631"/>
      <c r="JXQ1739" s="631"/>
      <c r="JXR1739" s="631"/>
      <c r="JXS1739" s="631"/>
      <c r="JXT1739" s="631"/>
      <c r="JXU1739" s="630"/>
      <c r="JXV1739" s="668">
        <f t="shared" ref="JXV1739" si="1567">ROUND((SUM(JXV1738:JXV1738)),2)</f>
        <v>8</v>
      </c>
      <c r="JXW1739" s="669" t="s">
        <v>2</v>
      </c>
      <c r="JXY1739" s="660"/>
      <c r="JXZ1739" s="660"/>
      <c r="JYB1739" s="629"/>
      <c r="JYC1739" s="630"/>
      <c r="JYD1739" s="631"/>
      <c r="JYE1739" s="631"/>
      <c r="JYF1739" s="631"/>
      <c r="JYG1739" s="631"/>
      <c r="JYH1739" s="631"/>
      <c r="JYI1739" s="631"/>
      <c r="JYJ1739" s="631"/>
      <c r="JYK1739" s="630"/>
      <c r="JYL1739" s="668">
        <f t="shared" ref="JYL1739" si="1568">ROUND((SUM(JYL1738:JYL1738)),2)</f>
        <v>8</v>
      </c>
      <c r="JYM1739" s="669" t="s">
        <v>2</v>
      </c>
      <c r="JYO1739" s="660"/>
      <c r="JYP1739" s="660"/>
      <c r="JYR1739" s="629"/>
      <c r="JYS1739" s="630"/>
      <c r="JYT1739" s="631"/>
      <c r="JYU1739" s="631"/>
      <c r="JYV1739" s="631"/>
      <c r="JYW1739" s="631"/>
      <c r="JYX1739" s="631"/>
      <c r="JYY1739" s="631"/>
      <c r="JYZ1739" s="631"/>
      <c r="JZA1739" s="630"/>
      <c r="JZB1739" s="668">
        <f t="shared" ref="JZB1739" si="1569">ROUND((SUM(JZB1738:JZB1738)),2)</f>
        <v>8</v>
      </c>
      <c r="JZC1739" s="669" t="s">
        <v>2</v>
      </c>
      <c r="JZE1739" s="660"/>
      <c r="JZF1739" s="660"/>
      <c r="JZH1739" s="629"/>
      <c r="JZI1739" s="630"/>
      <c r="JZJ1739" s="631"/>
      <c r="JZK1739" s="631"/>
      <c r="JZL1739" s="631"/>
      <c r="JZM1739" s="631"/>
      <c r="JZN1739" s="631"/>
      <c r="JZO1739" s="631"/>
      <c r="JZP1739" s="631"/>
      <c r="JZQ1739" s="630"/>
      <c r="JZR1739" s="668">
        <f t="shared" ref="JZR1739" si="1570">ROUND((SUM(JZR1738:JZR1738)),2)</f>
        <v>8</v>
      </c>
      <c r="JZS1739" s="669" t="s">
        <v>2</v>
      </c>
      <c r="JZU1739" s="660"/>
      <c r="JZV1739" s="660"/>
      <c r="JZX1739" s="629"/>
      <c r="JZY1739" s="630"/>
      <c r="JZZ1739" s="631"/>
      <c r="KAA1739" s="631"/>
      <c r="KAB1739" s="631"/>
      <c r="KAC1739" s="631"/>
      <c r="KAD1739" s="631"/>
      <c r="KAE1739" s="631"/>
      <c r="KAF1739" s="631"/>
      <c r="KAG1739" s="630"/>
      <c r="KAH1739" s="668">
        <f t="shared" ref="KAH1739" si="1571">ROUND((SUM(KAH1738:KAH1738)),2)</f>
        <v>8</v>
      </c>
      <c r="KAI1739" s="669" t="s">
        <v>2</v>
      </c>
      <c r="KAK1739" s="660"/>
      <c r="KAL1739" s="660"/>
      <c r="KAN1739" s="629"/>
      <c r="KAO1739" s="630"/>
      <c r="KAP1739" s="631"/>
      <c r="KAQ1739" s="631"/>
      <c r="KAR1739" s="631"/>
      <c r="KAS1739" s="631"/>
      <c r="KAT1739" s="631"/>
      <c r="KAU1739" s="631"/>
      <c r="KAV1739" s="631"/>
      <c r="KAW1739" s="630"/>
      <c r="KAX1739" s="668">
        <f t="shared" ref="KAX1739" si="1572">ROUND((SUM(KAX1738:KAX1738)),2)</f>
        <v>8</v>
      </c>
      <c r="KAY1739" s="669" t="s">
        <v>2</v>
      </c>
      <c r="KBA1739" s="660"/>
      <c r="KBB1739" s="660"/>
      <c r="KBD1739" s="629"/>
      <c r="KBE1739" s="630"/>
      <c r="KBF1739" s="631"/>
      <c r="KBG1739" s="631"/>
      <c r="KBH1739" s="631"/>
      <c r="KBI1739" s="631"/>
      <c r="KBJ1739" s="631"/>
      <c r="KBK1739" s="631"/>
      <c r="KBL1739" s="631"/>
      <c r="KBM1739" s="630"/>
      <c r="KBN1739" s="668">
        <f t="shared" ref="KBN1739" si="1573">ROUND((SUM(KBN1738:KBN1738)),2)</f>
        <v>8</v>
      </c>
      <c r="KBO1739" s="669" t="s">
        <v>2</v>
      </c>
      <c r="KBQ1739" s="660"/>
      <c r="KBR1739" s="660"/>
      <c r="KBT1739" s="629"/>
      <c r="KBU1739" s="630"/>
      <c r="KBV1739" s="631"/>
      <c r="KBW1739" s="631"/>
      <c r="KBX1739" s="631"/>
      <c r="KBY1739" s="631"/>
      <c r="KBZ1739" s="631"/>
      <c r="KCA1739" s="631"/>
      <c r="KCB1739" s="631"/>
      <c r="KCC1739" s="630"/>
      <c r="KCD1739" s="668">
        <f t="shared" ref="KCD1739" si="1574">ROUND((SUM(KCD1738:KCD1738)),2)</f>
        <v>8</v>
      </c>
      <c r="KCE1739" s="669" t="s">
        <v>2</v>
      </c>
      <c r="KCG1739" s="660"/>
      <c r="KCH1739" s="660"/>
      <c r="KCJ1739" s="629"/>
      <c r="KCK1739" s="630"/>
      <c r="KCL1739" s="631"/>
      <c r="KCM1739" s="631"/>
      <c r="KCN1739" s="631"/>
      <c r="KCO1739" s="631"/>
      <c r="KCP1739" s="631"/>
      <c r="KCQ1739" s="631"/>
      <c r="KCR1739" s="631"/>
      <c r="KCS1739" s="630"/>
      <c r="KCT1739" s="668">
        <f t="shared" ref="KCT1739" si="1575">ROUND((SUM(KCT1738:KCT1738)),2)</f>
        <v>8</v>
      </c>
      <c r="KCU1739" s="669" t="s">
        <v>2</v>
      </c>
      <c r="KCW1739" s="660"/>
      <c r="KCX1739" s="660"/>
      <c r="KCZ1739" s="629"/>
      <c r="KDA1739" s="630"/>
      <c r="KDB1739" s="631"/>
      <c r="KDC1739" s="631"/>
      <c r="KDD1739" s="631"/>
      <c r="KDE1739" s="631"/>
      <c r="KDF1739" s="631"/>
      <c r="KDG1739" s="631"/>
      <c r="KDH1739" s="631"/>
      <c r="KDI1739" s="630"/>
      <c r="KDJ1739" s="668">
        <f t="shared" ref="KDJ1739" si="1576">ROUND((SUM(KDJ1738:KDJ1738)),2)</f>
        <v>8</v>
      </c>
      <c r="KDK1739" s="669" t="s">
        <v>2</v>
      </c>
      <c r="KDM1739" s="660"/>
      <c r="KDN1739" s="660"/>
      <c r="KDP1739" s="629"/>
      <c r="KDQ1739" s="630"/>
      <c r="KDR1739" s="631"/>
      <c r="KDS1739" s="631"/>
      <c r="KDT1739" s="631"/>
      <c r="KDU1739" s="631"/>
      <c r="KDV1739" s="631"/>
      <c r="KDW1739" s="631"/>
      <c r="KDX1739" s="631"/>
      <c r="KDY1739" s="630"/>
      <c r="KDZ1739" s="668">
        <f t="shared" ref="KDZ1739" si="1577">ROUND((SUM(KDZ1738:KDZ1738)),2)</f>
        <v>8</v>
      </c>
      <c r="KEA1739" s="669" t="s">
        <v>2</v>
      </c>
      <c r="KEC1739" s="660"/>
      <c r="KED1739" s="660"/>
      <c r="KEF1739" s="629"/>
      <c r="KEG1739" s="630"/>
      <c r="KEH1739" s="631"/>
      <c r="KEI1739" s="631"/>
      <c r="KEJ1739" s="631"/>
      <c r="KEK1739" s="631"/>
      <c r="KEL1739" s="631"/>
      <c r="KEM1739" s="631"/>
      <c r="KEN1739" s="631"/>
      <c r="KEO1739" s="630"/>
      <c r="KEP1739" s="668">
        <f t="shared" ref="KEP1739" si="1578">ROUND((SUM(KEP1738:KEP1738)),2)</f>
        <v>8</v>
      </c>
      <c r="KEQ1739" s="669" t="s">
        <v>2</v>
      </c>
      <c r="KES1739" s="660"/>
      <c r="KET1739" s="660"/>
      <c r="KEV1739" s="629"/>
      <c r="KEW1739" s="630"/>
      <c r="KEX1739" s="631"/>
      <c r="KEY1739" s="631"/>
      <c r="KEZ1739" s="631"/>
      <c r="KFA1739" s="631"/>
      <c r="KFB1739" s="631"/>
      <c r="KFC1739" s="631"/>
      <c r="KFD1739" s="631"/>
      <c r="KFE1739" s="630"/>
      <c r="KFF1739" s="668">
        <f t="shared" ref="KFF1739" si="1579">ROUND((SUM(KFF1738:KFF1738)),2)</f>
        <v>8</v>
      </c>
      <c r="KFG1739" s="669" t="s">
        <v>2</v>
      </c>
      <c r="KFI1739" s="660"/>
      <c r="KFJ1739" s="660"/>
      <c r="KFL1739" s="629"/>
      <c r="KFM1739" s="630"/>
      <c r="KFN1739" s="631"/>
      <c r="KFO1739" s="631"/>
      <c r="KFP1739" s="631"/>
      <c r="KFQ1739" s="631"/>
      <c r="KFR1739" s="631"/>
      <c r="KFS1739" s="631"/>
      <c r="KFT1739" s="631"/>
      <c r="KFU1739" s="630"/>
      <c r="KFV1739" s="668">
        <f t="shared" ref="KFV1739" si="1580">ROUND((SUM(KFV1738:KFV1738)),2)</f>
        <v>8</v>
      </c>
      <c r="KFW1739" s="669" t="s">
        <v>2</v>
      </c>
      <c r="KFY1739" s="660"/>
      <c r="KFZ1739" s="660"/>
      <c r="KGB1739" s="629"/>
      <c r="KGC1739" s="630"/>
      <c r="KGD1739" s="631"/>
      <c r="KGE1739" s="631"/>
      <c r="KGF1739" s="631"/>
      <c r="KGG1739" s="631"/>
      <c r="KGH1739" s="631"/>
      <c r="KGI1739" s="631"/>
      <c r="KGJ1739" s="631"/>
      <c r="KGK1739" s="630"/>
      <c r="KGL1739" s="668">
        <f t="shared" ref="KGL1739" si="1581">ROUND((SUM(KGL1738:KGL1738)),2)</f>
        <v>8</v>
      </c>
      <c r="KGM1739" s="669" t="s">
        <v>2</v>
      </c>
      <c r="KGO1739" s="660"/>
      <c r="KGP1739" s="660"/>
      <c r="KGR1739" s="629"/>
      <c r="KGS1739" s="630"/>
      <c r="KGT1739" s="631"/>
      <c r="KGU1739" s="631"/>
      <c r="KGV1739" s="631"/>
      <c r="KGW1739" s="631"/>
      <c r="KGX1739" s="631"/>
      <c r="KGY1739" s="631"/>
      <c r="KGZ1739" s="631"/>
      <c r="KHA1739" s="630"/>
      <c r="KHB1739" s="668">
        <f t="shared" ref="KHB1739" si="1582">ROUND((SUM(KHB1738:KHB1738)),2)</f>
        <v>8</v>
      </c>
      <c r="KHC1739" s="669" t="s">
        <v>2</v>
      </c>
      <c r="KHE1739" s="660"/>
      <c r="KHF1739" s="660"/>
      <c r="KHH1739" s="629"/>
      <c r="KHI1739" s="630"/>
      <c r="KHJ1739" s="631"/>
      <c r="KHK1739" s="631"/>
      <c r="KHL1739" s="631"/>
      <c r="KHM1739" s="631"/>
      <c r="KHN1739" s="631"/>
      <c r="KHO1739" s="631"/>
      <c r="KHP1739" s="631"/>
      <c r="KHQ1739" s="630"/>
      <c r="KHR1739" s="668">
        <f t="shared" ref="KHR1739" si="1583">ROUND((SUM(KHR1738:KHR1738)),2)</f>
        <v>8</v>
      </c>
      <c r="KHS1739" s="669" t="s">
        <v>2</v>
      </c>
      <c r="KHU1739" s="660"/>
      <c r="KHV1739" s="660"/>
      <c r="KHX1739" s="629"/>
      <c r="KHY1739" s="630"/>
      <c r="KHZ1739" s="631"/>
      <c r="KIA1739" s="631"/>
      <c r="KIB1739" s="631"/>
      <c r="KIC1739" s="631"/>
      <c r="KID1739" s="631"/>
      <c r="KIE1739" s="631"/>
      <c r="KIF1739" s="631"/>
      <c r="KIG1739" s="630"/>
      <c r="KIH1739" s="668">
        <f t="shared" ref="KIH1739" si="1584">ROUND((SUM(KIH1738:KIH1738)),2)</f>
        <v>8</v>
      </c>
      <c r="KII1739" s="669" t="s">
        <v>2</v>
      </c>
      <c r="KIK1739" s="660"/>
      <c r="KIL1739" s="660"/>
      <c r="KIN1739" s="629"/>
      <c r="KIO1739" s="630"/>
      <c r="KIP1739" s="631"/>
      <c r="KIQ1739" s="631"/>
      <c r="KIR1739" s="631"/>
      <c r="KIS1739" s="631"/>
      <c r="KIT1739" s="631"/>
      <c r="KIU1739" s="631"/>
      <c r="KIV1739" s="631"/>
      <c r="KIW1739" s="630"/>
      <c r="KIX1739" s="668">
        <f t="shared" ref="KIX1739" si="1585">ROUND((SUM(KIX1738:KIX1738)),2)</f>
        <v>8</v>
      </c>
      <c r="KIY1739" s="669" t="s">
        <v>2</v>
      </c>
      <c r="KJA1739" s="660"/>
      <c r="KJB1739" s="660"/>
      <c r="KJD1739" s="629"/>
      <c r="KJE1739" s="630"/>
      <c r="KJF1739" s="631"/>
      <c r="KJG1739" s="631"/>
      <c r="KJH1739" s="631"/>
      <c r="KJI1739" s="631"/>
      <c r="KJJ1739" s="631"/>
      <c r="KJK1739" s="631"/>
      <c r="KJL1739" s="631"/>
      <c r="KJM1739" s="630"/>
      <c r="KJN1739" s="668">
        <f t="shared" ref="KJN1739" si="1586">ROUND((SUM(KJN1738:KJN1738)),2)</f>
        <v>8</v>
      </c>
      <c r="KJO1739" s="669" t="s">
        <v>2</v>
      </c>
      <c r="KJQ1739" s="660"/>
      <c r="KJR1739" s="660"/>
      <c r="KJT1739" s="629"/>
      <c r="KJU1739" s="630"/>
      <c r="KJV1739" s="631"/>
      <c r="KJW1739" s="631"/>
      <c r="KJX1739" s="631"/>
      <c r="KJY1739" s="631"/>
      <c r="KJZ1739" s="631"/>
      <c r="KKA1739" s="631"/>
      <c r="KKB1739" s="631"/>
      <c r="KKC1739" s="630"/>
      <c r="KKD1739" s="668">
        <f t="shared" ref="KKD1739" si="1587">ROUND((SUM(KKD1738:KKD1738)),2)</f>
        <v>8</v>
      </c>
      <c r="KKE1739" s="669" t="s">
        <v>2</v>
      </c>
      <c r="KKG1739" s="660"/>
      <c r="KKH1739" s="660"/>
      <c r="KKJ1739" s="629"/>
      <c r="KKK1739" s="630"/>
      <c r="KKL1739" s="631"/>
      <c r="KKM1739" s="631"/>
      <c r="KKN1739" s="631"/>
      <c r="KKO1739" s="631"/>
      <c r="KKP1739" s="631"/>
      <c r="KKQ1739" s="631"/>
      <c r="KKR1739" s="631"/>
      <c r="KKS1739" s="630"/>
      <c r="KKT1739" s="668">
        <f t="shared" ref="KKT1739" si="1588">ROUND((SUM(KKT1738:KKT1738)),2)</f>
        <v>8</v>
      </c>
      <c r="KKU1739" s="669" t="s">
        <v>2</v>
      </c>
      <c r="KKW1739" s="660"/>
      <c r="KKX1739" s="660"/>
      <c r="KKZ1739" s="629"/>
      <c r="KLA1739" s="630"/>
      <c r="KLB1739" s="631"/>
      <c r="KLC1739" s="631"/>
      <c r="KLD1739" s="631"/>
      <c r="KLE1739" s="631"/>
      <c r="KLF1739" s="631"/>
      <c r="KLG1739" s="631"/>
      <c r="KLH1739" s="631"/>
      <c r="KLI1739" s="630"/>
      <c r="KLJ1739" s="668">
        <f t="shared" ref="KLJ1739" si="1589">ROUND((SUM(KLJ1738:KLJ1738)),2)</f>
        <v>8</v>
      </c>
      <c r="KLK1739" s="669" t="s">
        <v>2</v>
      </c>
      <c r="KLM1739" s="660"/>
      <c r="KLN1739" s="660"/>
      <c r="KLP1739" s="629"/>
      <c r="KLQ1739" s="630"/>
      <c r="KLR1739" s="631"/>
      <c r="KLS1739" s="631"/>
      <c r="KLT1739" s="631"/>
      <c r="KLU1739" s="631"/>
      <c r="KLV1739" s="631"/>
      <c r="KLW1739" s="631"/>
      <c r="KLX1739" s="631"/>
      <c r="KLY1739" s="630"/>
      <c r="KLZ1739" s="668">
        <f t="shared" ref="KLZ1739" si="1590">ROUND((SUM(KLZ1738:KLZ1738)),2)</f>
        <v>8</v>
      </c>
      <c r="KMA1739" s="669" t="s">
        <v>2</v>
      </c>
      <c r="KMC1739" s="660"/>
      <c r="KMD1739" s="660"/>
      <c r="KMF1739" s="629"/>
      <c r="KMG1739" s="630"/>
      <c r="KMH1739" s="631"/>
      <c r="KMI1739" s="631"/>
      <c r="KMJ1739" s="631"/>
      <c r="KMK1739" s="631"/>
      <c r="KML1739" s="631"/>
      <c r="KMM1739" s="631"/>
      <c r="KMN1739" s="631"/>
      <c r="KMO1739" s="630"/>
      <c r="KMP1739" s="668">
        <f t="shared" ref="KMP1739" si="1591">ROUND((SUM(KMP1738:KMP1738)),2)</f>
        <v>8</v>
      </c>
      <c r="KMQ1739" s="669" t="s">
        <v>2</v>
      </c>
      <c r="KMS1739" s="660"/>
      <c r="KMT1739" s="660"/>
      <c r="KMV1739" s="629"/>
      <c r="KMW1739" s="630"/>
      <c r="KMX1739" s="631"/>
      <c r="KMY1739" s="631"/>
      <c r="KMZ1739" s="631"/>
      <c r="KNA1739" s="631"/>
      <c r="KNB1739" s="631"/>
      <c r="KNC1739" s="631"/>
      <c r="KND1739" s="631"/>
      <c r="KNE1739" s="630"/>
      <c r="KNF1739" s="668">
        <f t="shared" ref="KNF1739" si="1592">ROUND((SUM(KNF1738:KNF1738)),2)</f>
        <v>8</v>
      </c>
      <c r="KNG1739" s="669" t="s">
        <v>2</v>
      </c>
      <c r="KNI1739" s="660"/>
      <c r="KNJ1739" s="660"/>
      <c r="KNL1739" s="629"/>
      <c r="KNM1739" s="630"/>
      <c r="KNN1739" s="631"/>
      <c r="KNO1739" s="631"/>
      <c r="KNP1739" s="631"/>
      <c r="KNQ1739" s="631"/>
      <c r="KNR1739" s="631"/>
      <c r="KNS1739" s="631"/>
      <c r="KNT1739" s="631"/>
      <c r="KNU1739" s="630"/>
      <c r="KNV1739" s="668">
        <f t="shared" ref="KNV1739" si="1593">ROUND((SUM(KNV1738:KNV1738)),2)</f>
        <v>8</v>
      </c>
      <c r="KNW1739" s="669" t="s">
        <v>2</v>
      </c>
      <c r="KNY1739" s="660"/>
      <c r="KNZ1739" s="660"/>
      <c r="KOB1739" s="629"/>
      <c r="KOC1739" s="630"/>
      <c r="KOD1739" s="631"/>
      <c r="KOE1739" s="631"/>
      <c r="KOF1739" s="631"/>
      <c r="KOG1739" s="631"/>
      <c r="KOH1739" s="631"/>
      <c r="KOI1739" s="631"/>
      <c r="KOJ1739" s="631"/>
      <c r="KOK1739" s="630"/>
      <c r="KOL1739" s="668">
        <f t="shared" ref="KOL1739" si="1594">ROUND((SUM(KOL1738:KOL1738)),2)</f>
        <v>8</v>
      </c>
      <c r="KOM1739" s="669" t="s">
        <v>2</v>
      </c>
      <c r="KOO1739" s="660"/>
      <c r="KOP1739" s="660"/>
      <c r="KOR1739" s="629"/>
      <c r="KOS1739" s="630"/>
      <c r="KOT1739" s="631"/>
      <c r="KOU1739" s="631"/>
      <c r="KOV1739" s="631"/>
      <c r="KOW1739" s="631"/>
      <c r="KOX1739" s="631"/>
      <c r="KOY1739" s="631"/>
      <c r="KOZ1739" s="631"/>
      <c r="KPA1739" s="630"/>
      <c r="KPB1739" s="668">
        <f t="shared" ref="KPB1739" si="1595">ROUND((SUM(KPB1738:KPB1738)),2)</f>
        <v>8</v>
      </c>
      <c r="KPC1739" s="669" t="s">
        <v>2</v>
      </c>
      <c r="KPE1739" s="660"/>
      <c r="KPF1739" s="660"/>
      <c r="KPH1739" s="629"/>
      <c r="KPI1739" s="630"/>
      <c r="KPJ1739" s="631"/>
      <c r="KPK1739" s="631"/>
      <c r="KPL1739" s="631"/>
      <c r="KPM1739" s="631"/>
      <c r="KPN1739" s="631"/>
      <c r="KPO1739" s="631"/>
      <c r="KPP1739" s="631"/>
      <c r="KPQ1739" s="630"/>
      <c r="KPR1739" s="668">
        <f t="shared" ref="KPR1739" si="1596">ROUND((SUM(KPR1738:KPR1738)),2)</f>
        <v>8</v>
      </c>
      <c r="KPS1739" s="669" t="s">
        <v>2</v>
      </c>
      <c r="KPU1739" s="660"/>
      <c r="KPV1739" s="660"/>
      <c r="KPX1739" s="629"/>
      <c r="KPY1739" s="630"/>
      <c r="KPZ1739" s="631"/>
      <c r="KQA1739" s="631"/>
      <c r="KQB1739" s="631"/>
      <c r="KQC1739" s="631"/>
      <c r="KQD1739" s="631"/>
      <c r="KQE1739" s="631"/>
      <c r="KQF1739" s="631"/>
      <c r="KQG1739" s="630"/>
      <c r="KQH1739" s="668">
        <f t="shared" ref="KQH1739" si="1597">ROUND((SUM(KQH1738:KQH1738)),2)</f>
        <v>8</v>
      </c>
      <c r="KQI1739" s="669" t="s">
        <v>2</v>
      </c>
      <c r="KQK1739" s="660"/>
      <c r="KQL1739" s="660"/>
      <c r="KQN1739" s="629"/>
      <c r="KQO1739" s="630"/>
      <c r="KQP1739" s="631"/>
      <c r="KQQ1739" s="631"/>
      <c r="KQR1739" s="631"/>
      <c r="KQS1739" s="631"/>
      <c r="KQT1739" s="631"/>
      <c r="KQU1739" s="631"/>
      <c r="KQV1739" s="631"/>
      <c r="KQW1739" s="630"/>
      <c r="KQX1739" s="668">
        <f t="shared" ref="KQX1739" si="1598">ROUND((SUM(KQX1738:KQX1738)),2)</f>
        <v>8</v>
      </c>
      <c r="KQY1739" s="669" t="s">
        <v>2</v>
      </c>
      <c r="KRA1739" s="660"/>
      <c r="KRB1739" s="660"/>
      <c r="KRD1739" s="629"/>
      <c r="KRE1739" s="630"/>
      <c r="KRF1739" s="631"/>
      <c r="KRG1739" s="631"/>
      <c r="KRH1739" s="631"/>
      <c r="KRI1739" s="631"/>
      <c r="KRJ1739" s="631"/>
      <c r="KRK1739" s="631"/>
      <c r="KRL1739" s="631"/>
      <c r="KRM1739" s="630"/>
      <c r="KRN1739" s="668">
        <f t="shared" ref="KRN1739" si="1599">ROUND((SUM(KRN1738:KRN1738)),2)</f>
        <v>8</v>
      </c>
      <c r="KRO1739" s="669" t="s">
        <v>2</v>
      </c>
      <c r="KRQ1739" s="660"/>
      <c r="KRR1739" s="660"/>
      <c r="KRT1739" s="629"/>
      <c r="KRU1739" s="630"/>
      <c r="KRV1739" s="631"/>
      <c r="KRW1739" s="631"/>
      <c r="KRX1739" s="631"/>
      <c r="KRY1739" s="631"/>
      <c r="KRZ1739" s="631"/>
      <c r="KSA1739" s="631"/>
      <c r="KSB1739" s="631"/>
      <c r="KSC1739" s="630"/>
      <c r="KSD1739" s="668">
        <f t="shared" ref="KSD1739" si="1600">ROUND((SUM(KSD1738:KSD1738)),2)</f>
        <v>8</v>
      </c>
      <c r="KSE1739" s="669" t="s">
        <v>2</v>
      </c>
      <c r="KSG1739" s="660"/>
      <c r="KSH1739" s="660"/>
      <c r="KSJ1739" s="629"/>
      <c r="KSK1739" s="630"/>
      <c r="KSL1739" s="631"/>
      <c r="KSM1739" s="631"/>
      <c r="KSN1739" s="631"/>
      <c r="KSO1739" s="631"/>
      <c r="KSP1739" s="631"/>
      <c r="KSQ1739" s="631"/>
      <c r="KSR1739" s="631"/>
      <c r="KSS1739" s="630"/>
      <c r="KST1739" s="668">
        <f t="shared" ref="KST1739" si="1601">ROUND((SUM(KST1738:KST1738)),2)</f>
        <v>8</v>
      </c>
      <c r="KSU1739" s="669" t="s">
        <v>2</v>
      </c>
      <c r="KSW1739" s="660"/>
      <c r="KSX1739" s="660"/>
      <c r="KSZ1739" s="629"/>
      <c r="KTA1739" s="630"/>
      <c r="KTB1739" s="631"/>
      <c r="KTC1739" s="631"/>
      <c r="KTD1739" s="631"/>
      <c r="KTE1739" s="631"/>
      <c r="KTF1739" s="631"/>
      <c r="KTG1739" s="631"/>
      <c r="KTH1739" s="631"/>
      <c r="KTI1739" s="630"/>
      <c r="KTJ1739" s="668">
        <f t="shared" ref="KTJ1739" si="1602">ROUND((SUM(KTJ1738:KTJ1738)),2)</f>
        <v>8</v>
      </c>
      <c r="KTK1739" s="669" t="s">
        <v>2</v>
      </c>
      <c r="KTM1739" s="660"/>
      <c r="KTN1739" s="660"/>
      <c r="KTP1739" s="629"/>
      <c r="KTQ1739" s="630"/>
      <c r="KTR1739" s="631"/>
      <c r="KTS1739" s="631"/>
      <c r="KTT1739" s="631"/>
      <c r="KTU1739" s="631"/>
      <c r="KTV1739" s="631"/>
      <c r="KTW1739" s="631"/>
      <c r="KTX1739" s="631"/>
      <c r="KTY1739" s="630"/>
      <c r="KTZ1739" s="668">
        <f t="shared" ref="KTZ1739" si="1603">ROUND((SUM(KTZ1738:KTZ1738)),2)</f>
        <v>8</v>
      </c>
      <c r="KUA1739" s="669" t="s">
        <v>2</v>
      </c>
      <c r="KUC1739" s="660"/>
      <c r="KUD1739" s="660"/>
      <c r="KUF1739" s="629"/>
      <c r="KUG1739" s="630"/>
      <c r="KUH1739" s="631"/>
      <c r="KUI1739" s="631"/>
      <c r="KUJ1739" s="631"/>
      <c r="KUK1739" s="631"/>
      <c r="KUL1739" s="631"/>
      <c r="KUM1739" s="631"/>
      <c r="KUN1739" s="631"/>
      <c r="KUO1739" s="630"/>
      <c r="KUP1739" s="668">
        <f t="shared" ref="KUP1739" si="1604">ROUND((SUM(KUP1738:KUP1738)),2)</f>
        <v>8</v>
      </c>
      <c r="KUQ1739" s="669" t="s">
        <v>2</v>
      </c>
      <c r="KUS1739" s="660"/>
      <c r="KUT1739" s="660"/>
      <c r="KUV1739" s="629"/>
      <c r="KUW1739" s="630"/>
      <c r="KUX1739" s="631"/>
      <c r="KUY1739" s="631"/>
      <c r="KUZ1739" s="631"/>
      <c r="KVA1739" s="631"/>
      <c r="KVB1739" s="631"/>
      <c r="KVC1739" s="631"/>
      <c r="KVD1739" s="631"/>
      <c r="KVE1739" s="630"/>
      <c r="KVF1739" s="668">
        <f t="shared" ref="KVF1739" si="1605">ROUND((SUM(KVF1738:KVF1738)),2)</f>
        <v>8</v>
      </c>
      <c r="KVG1739" s="669" t="s">
        <v>2</v>
      </c>
      <c r="KVI1739" s="660"/>
      <c r="KVJ1739" s="660"/>
      <c r="KVL1739" s="629"/>
      <c r="KVM1739" s="630"/>
      <c r="KVN1739" s="631"/>
      <c r="KVO1739" s="631"/>
      <c r="KVP1739" s="631"/>
      <c r="KVQ1739" s="631"/>
      <c r="KVR1739" s="631"/>
      <c r="KVS1739" s="631"/>
      <c r="KVT1739" s="631"/>
      <c r="KVU1739" s="630"/>
      <c r="KVV1739" s="668">
        <f t="shared" ref="KVV1739" si="1606">ROUND((SUM(KVV1738:KVV1738)),2)</f>
        <v>8</v>
      </c>
      <c r="KVW1739" s="669" t="s">
        <v>2</v>
      </c>
      <c r="KVY1739" s="660"/>
      <c r="KVZ1739" s="660"/>
      <c r="KWB1739" s="629"/>
      <c r="KWC1739" s="630"/>
      <c r="KWD1739" s="631"/>
      <c r="KWE1739" s="631"/>
      <c r="KWF1739" s="631"/>
      <c r="KWG1739" s="631"/>
      <c r="KWH1739" s="631"/>
      <c r="KWI1739" s="631"/>
      <c r="KWJ1739" s="631"/>
      <c r="KWK1739" s="630"/>
      <c r="KWL1739" s="668">
        <f t="shared" ref="KWL1739" si="1607">ROUND((SUM(KWL1738:KWL1738)),2)</f>
        <v>8</v>
      </c>
      <c r="KWM1739" s="669" t="s">
        <v>2</v>
      </c>
      <c r="KWO1739" s="660"/>
      <c r="KWP1739" s="660"/>
      <c r="KWR1739" s="629"/>
      <c r="KWS1739" s="630"/>
      <c r="KWT1739" s="631"/>
      <c r="KWU1739" s="631"/>
      <c r="KWV1739" s="631"/>
      <c r="KWW1739" s="631"/>
      <c r="KWX1739" s="631"/>
      <c r="KWY1739" s="631"/>
      <c r="KWZ1739" s="631"/>
      <c r="KXA1739" s="630"/>
      <c r="KXB1739" s="668">
        <f t="shared" ref="KXB1739" si="1608">ROUND((SUM(KXB1738:KXB1738)),2)</f>
        <v>8</v>
      </c>
      <c r="KXC1739" s="669" t="s">
        <v>2</v>
      </c>
      <c r="KXE1739" s="660"/>
      <c r="KXF1739" s="660"/>
      <c r="KXH1739" s="629"/>
      <c r="KXI1739" s="630"/>
      <c r="KXJ1739" s="631"/>
      <c r="KXK1739" s="631"/>
      <c r="KXL1739" s="631"/>
      <c r="KXM1739" s="631"/>
      <c r="KXN1739" s="631"/>
      <c r="KXO1739" s="631"/>
      <c r="KXP1739" s="631"/>
      <c r="KXQ1739" s="630"/>
      <c r="KXR1739" s="668">
        <f t="shared" ref="KXR1739" si="1609">ROUND((SUM(KXR1738:KXR1738)),2)</f>
        <v>8</v>
      </c>
      <c r="KXS1739" s="669" t="s">
        <v>2</v>
      </c>
      <c r="KXU1739" s="660"/>
      <c r="KXV1739" s="660"/>
      <c r="KXX1739" s="629"/>
      <c r="KXY1739" s="630"/>
      <c r="KXZ1739" s="631"/>
      <c r="KYA1739" s="631"/>
      <c r="KYB1739" s="631"/>
      <c r="KYC1739" s="631"/>
      <c r="KYD1739" s="631"/>
      <c r="KYE1739" s="631"/>
      <c r="KYF1739" s="631"/>
      <c r="KYG1739" s="630"/>
      <c r="KYH1739" s="668">
        <f t="shared" ref="KYH1739" si="1610">ROUND((SUM(KYH1738:KYH1738)),2)</f>
        <v>8</v>
      </c>
      <c r="KYI1739" s="669" t="s">
        <v>2</v>
      </c>
      <c r="KYK1739" s="660"/>
      <c r="KYL1739" s="660"/>
      <c r="KYN1739" s="629"/>
      <c r="KYO1739" s="630"/>
      <c r="KYP1739" s="631"/>
      <c r="KYQ1739" s="631"/>
      <c r="KYR1739" s="631"/>
      <c r="KYS1739" s="631"/>
      <c r="KYT1739" s="631"/>
      <c r="KYU1739" s="631"/>
      <c r="KYV1739" s="631"/>
      <c r="KYW1739" s="630"/>
      <c r="KYX1739" s="668">
        <f t="shared" ref="KYX1739" si="1611">ROUND((SUM(KYX1738:KYX1738)),2)</f>
        <v>8</v>
      </c>
      <c r="KYY1739" s="669" t="s">
        <v>2</v>
      </c>
      <c r="KZA1739" s="660"/>
      <c r="KZB1739" s="660"/>
      <c r="KZD1739" s="629"/>
      <c r="KZE1739" s="630"/>
      <c r="KZF1739" s="631"/>
      <c r="KZG1739" s="631"/>
      <c r="KZH1739" s="631"/>
      <c r="KZI1739" s="631"/>
      <c r="KZJ1739" s="631"/>
      <c r="KZK1739" s="631"/>
      <c r="KZL1739" s="631"/>
      <c r="KZM1739" s="630"/>
      <c r="KZN1739" s="668">
        <f t="shared" ref="KZN1739" si="1612">ROUND((SUM(KZN1738:KZN1738)),2)</f>
        <v>8</v>
      </c>
      <c r="KZO1739" s="669" t="s">
        <v>2</v>
      </c>
      <c r="KZQ1739" s="660"/>
      <c r="KZR1739" s="660"/>
      <c r="KZT1739" s="629"/>
      <c r="KZU1739" s="630"/>
      <c r="KZV1739" s="631"/>
      <c r="KZW1739" s="631"/>
      <c r="KZX1739" s="631"/>
      <c r="KZY1739" s="631"/>
      <c r="KZZ1739" s="631"/>
      <c r="LAA1739" s="631"/>
      <c r="LAB1739" s="631"/>
      <c r="LAC1739" s="630"/>
      <c r="LAD1739" s="668">
        <f t="shared" ref="LAD1739" si="1613">ROUND((SUM(LAD1738:LAD1738)),2)</f>
        <v>8</v>
      </c>
      <c r="LAE1739" s="669" t="s">
        <v>2</v>
      </c>
      <c r="LAG1739" s="660"/>
      <c r="LAH1739" s="660"/>
      <c r="LAJ1739" s="629"/>
      <c r="LAK1739" s="630"/>
      <c r="LAL1739" s="631"/>
      <c r="LAM1739" s="631"/>
      <c r="LAN1739" s="631"/>
      <c r="LAO1739" s="631"/>
      <c r="LAP1739" s="631"/>
      <c r="LAQ1739" s="631"/>
      <c r="LAR1739" s="631"/>
      <c r="LAS1739" s="630"/>
      <c r="LAT1739" s="668">
        <f t="shared" ref="LAT1739" si="1614">ROUND((SUM(LAT1738:LAT1738)),2)</f>
        <v>8</v>
      </c>
      <c r="LAU1739" s="669" t="s">
        <v>2</v>
      </c>
      <c r="LAW1739" s="660"/>
      <c r="LAX1739" s="660"/>
      <c r="LAZ1739" s="629"/>
      <c r="LBA1739" s="630"/>
      <c r="LBB1739" s="631"/>
      <c r="LBC1739" s="631"/>
      <c r="LBD1739" s="631"/>
      <c r="LBE1739" s="631"/>
      <c r="LBF1739" s="631"/>
      <c r="LBG1739" s="631"/>
      <c r="LBH1739" s="631"/>
      <c r="LBI1739" s="630"/>
      <c r="LBJ1739" s="668">
        <f t="shared" ref="LBJ1739" si="1615">ROUND((SUM(LBJ1738:LBJ1738)),2)</f>
        <v>8</v>
      </c>
      <c r="LBK1739" s="669" t="s">
        <v>2</v>
      </c>
      <c r="LBM1739" s="660"/>
      <c r="LBN1739" s="660"/>
      <c r="LBP1739" s="629"/>
      <c r="LBQ1739" s="630"/>
      <c r="LBR1739" s="631"/>
      <c r="LBS1739" s="631"/>
      <c r="LBT1739" s="631"/>
      <c r="LBU1739" s="631"/>
      <c r="LBV1739" s="631"/>
      <c r="LBW1739" s="631"/>
      <c r="LBX1739" s="631"/>
      <c r="LBY1739" s="630"/>
      <c r="LBZ1739" s="668">
        <f t="shared" ref="LBZ1739" si="1616">ROUND((SUM(LBZ1738:LBZ1738)),2)</f>
        <v>8</v>
      </c>
      <c r="LCA1739" s="669" t="s">
        <v>2</v>
      </c>
      <c r="LCC1739" s="660"/>
      <c r="LCD1739" s="660"/>
      <c r="LCF1739" s="629"/>
      <c r="LCG1739" s="630"/>
      <c r="LCH1739" s="631"/>
      <c r="LCI1739" s="631"/>
      <c r="LCJ1739" s="631"/>
      <c r="LCK1739" s="631"/>
      <c r="LCL1739" s="631"/>
      <c r="LCM1739" s="631"/>
      <c r="LCN1739" s="631"/>
      <c r="LCO1739" s="630"/>
      <c r="LCP1739" s="668">
        <f t="shared" ref="LCP1739" si="1617">ROUND((SUM(LCP1738:LCP1738)),2)</f>
        <v>8</v>
      </c>
      <c r="LCQ1739" s="669" t="s">
        <v>2</v>
      </c>
      <c r="LCS1739" s="660"/>
      <c r="LCT1739" s="660"/>
      <c r="LCV1739" s="629"/>
      <c r="LCW1739" s="630"/>
      <c r="LCX1739" s="631"/>
      <c r="LCY1739" s="631"/>
      <c r="LCZ1739" s="631"/>
      <c r="LDA1739" s="631"/>
      <c r="LDB1739" s="631"/>
      <c r="LDC1739" s="631"/>
      <c r="LDD1739" s="631"/>
      <c r="LDE1739" s="630"/>
      <c r="LDF1739" s="668">
        <f t="shared" ref="LDF1739" si="1618">ROUND((SUM(LDF1738:LDF1738)),2)</f>
        <v>8</v>
      </c>
      <c r="LDG1739" s="669" t="s">
        <v>2</v>
      </c>
      <c r="LDI1739" s="660"/>
      <c r="LDJ1739" s="660"/>
      <c r="LDL1739" s="629"/>
      <c r="LDM1739" s="630"/>
      <c r="LDN1739" s="631"/>
      <c r="LDO1739" s="631"/>
      <c r="LDP1739" s="631"/>
      <c r="LDQ1739" s="631"/>
      <c r="LDR1739" s="631"/>
      <c r="LDS1739" s="631"/>
      <c r="LDT1739" s="631"/>
      <c r="LDU1739" s="630"/>
      <c r="LDV1739" s="668">
        <f t="shared" ref="LDV1739" si="1619">ROUND((SUM(LDV1738:LDV1738)),2)</f>
        <v>8</v>
      </c>
      <c r="LDW1739" s="669" t="s">
        <v>2</v>
      </c>
      <c r="LDY1739" s="660"/>
      <c r="LDZ1739" s="660"/>
      <c r="LEB1739" s="629"/>
      <c r="LEC1739" s="630"/>
      <c r="LED1739" s="631"/>
      <c r="LEE1739" s="631"/>
      <c r="LEF1739" s="631"/>
      <c r="LEG1739" s="631"/>
      <c r="LEH1739" s="631"/>
      <c r="LEI1739" s="631"/>
      <c r="LEJ1739" s="631"/>
      <c r="LEK1739" s="630"/>
      <c r="LEL1739" s="668">
        <f t="shared" ref="LEL1739" si="1620">ROUND((SUM(LEL1738:LEL1738)),2)</f>
        <v>8</v>
      </c>
      <c r="LEM1739" s="669" t="s">
        <v>2</v>
      </c>
      <c r="LEO1739" s="660"/>
      <c r="LEP1739" s="660"/>
      <c r="LER1739" s="629"/>
      <c r="LES1739" s="630"/>
      <c r="LET1739" s="631"/>
      <c r="LEU1739" s="631"/>
      <c r="LEV1739" s="631"/>
      <c r="LEW1739" s="631"/>
      <c r="LEX1739" s="631"/>
      <c r="LEY1739" s="631"/>
      <c r="LEZ1739" s="631"/>
      <c r="LFA1739" s="630"/>
      <c r="LFB1739" s="668">
        <f t="shared" ref="LFB1739" si="1621">ROUND((SUM(LFB1738:LFB1738)),2)</f>
        <v>8</v>
      </c>
      <c r="LFC1739" s="669" t="s">
        <v>2</v>
      </c>
      <c r="LFE1739" s="660"/>
      <c r="LFF1739" s="660"/>
      <c r="LFH1739" s="629"/>
      <c r="LFI1739" s="630"/>
      <c r="LFJ1739" s="631"/>
      <c r="LFK1739" s="631"/>
      <c r="LFL1739" s="631"/>
      <c r="LFM1739" s="631"/>
      <c r="LFN1739" s="631"/>
      <c r="LFO1739" s="631"/>
      <c r="LFP1739" s="631"/>
      <c r="LFQ1739" s="630"/>
      <c r="LFR1739" s="668">
        <f t="shared" ref="LFR1739" si="1622">ROUND((SUM(LFR1738:LFR1738)),2)</f>
        <v>8</v>
      </c>
      <c r="LFS1739" s="669" t="s">
        <v>2</v>
      </c>
      <c r="LFU1739" s="660"/>
      <c r="LFV1739" s="660"/>
      <c r="LFX1739" s="629"/>
      <c r="LFY1739" s="630"/>
      <c r="LFZ1739" s="631"/>
      <c r="LGA1739" s="631"/>
      <c r="LGB1739" s="631"/>
      <c r="LGC1739" s="631"/>
      <c r="LGD1739" s="631"/>
      <c r="LGE1739" s="631"/>
      <c r="LGF1739" s="631"/>
      <c r="LGG1739" s="630"/>
      <c r="LGH1739" s="668">
        <f t="shared" ref="LGH1739" si="1623">ROUND((SUM(LGH1738:LGH1738)),2)</f>
        <v>8</v>
      </c>
      <c r="LGI1739" s="669" t="s">
        <v>2</v>
      </c>
      <c r="LGK1739" s="660"/>
      <c r="LGL1739" s="660"/>
      <c r="LGN1739" s="629"/>
      <c r="LGO1739" s="630"/>
      <c r="LGP1739" s="631"/>
      <c r="LGQ1739" s="631"/>
      <c r="LGR1739" s="631"/>
      <c r="LGS1739" s="631"/>
      <c r="LGT1739" s="631"/>
      <c r="LGU1739" s="631"/>
      <c r="LGV1739" s="631"/>
      <c r="LGW1739" s="630"/>
      <c r="LGX1739" s="668">
        <f t="shared" ref="LGX1739" si="1624">ROUND((SUM(LGX1738:LGX1738)),2)</f>
        <v>8</v>
      </c>
      <c r="LGY1739" s="669" t="s">
        <v>2</v>
      </c>
      <c r="LHA1739" s="660"/>
      <c r="LHB1739" s="660"/>
      <c r="LHD1739" s="629"/>
      <c r="LHE1739" s="630"/>
      <c r="LHF1739" s="631"/>
      <c r="LHG1739" s="631"/>
      <c r="LHH1739" s="631"/>
      <c r="LHI1739" s="631"/>
      <c r="LHJ1739" s="631"/>
      <c r="LHK1739" s="631"/>
      <c r="LHL1739" s="631"/>
      <c r="LHM1739" s="630"/>
      <c r="LHN1739" s="668">
        <f t="shared" ref="LHN1739" si="1625">ROUND((SUM(LHN1738:LHN1738)),2)</f>
        <v>8</v>
      </c>
      <c r="LHO1739" s="669" t="s">
        <v>2</v>
      </c>
      <c r="LHQ1739" s="660"/>
      <c r="LHR1739" s="660"/>
      <c r="LHT1739" s="629"/>
      <c r="LHU1739" s="630"/>
      <c r="LHV1739" s="631"/>
      <c r="LHW1739" s="631"/>
      <c r="LHX1739" s="631"/>
      <c r="LHY1739" s="631"/>
      <c r="LHZ1739" s="631"/>
      <c r="LIA1739" s="631"/>
      <c r="LIB1739" s="631"/>
      <c r="LIC1739" s="630"/>
      <c r="LID1739" s="668">
        <f t="shared" ref="LID1739" si="1626">ROUND((SUM(LID1738:LID1738)),2)</f>
        <v>8</v>
      </c>
      <c r="LIE1739" s="669" t="s">
        <v>2</v>
      </c>
      <c r="LIG1739" s="660"/>
      <c r="LIH1739" s="660"/>
      <c r="LIJ1739" s="629"/>
      <c r="LIK1739" s="630"/>
      <c r="LIL1739" s="631"/>
      <c r="LIM1739" s="631"/>
      <c r="LIN1739" s="631"/>
      <c r="LIO1739" s="631"/>
      <c r="LIP1739" s="631"/>
      <c r="LIQ1739" s="631"/>
      <c r="LIR1739" s="631"/>
      <c r="LIS1739" s="630"/>
      <c r="LIT1739" s="668">
        <f t="shared" ref="LIT1739" si="1627">ROUND((SUM(LIT1738:LIT1738)),2)</f>
        <v>8</v>
      </c>
      <c r="LIU1739" s="669" t="s">
        <v>2</v>
      </c>
      <c r="LIW1739" s="660"/>
      <c r="LIX1739" s="660"/>
      <c r="LIZ1739" s="629"/>
      <c r="LJA1739" s="630"/>
      <c r="LJB1739" s="631"/>
      <c r="LJC1739" s="631"/>
      <c r="LJD1739" s="631"/>
      <c r="LJE1739" s="631"/>
      <c r="LJF1739" s="631"/>
      <c r="LJG1739" s="631"/>
      <c r="LJH1739" s="631"/>
      <c r="LJI1739" s="630"/>
      <c r="LJJ1739" s="668">
        <f t="shared" ref="LJJ1739" si="1628">ROUND((SUM(LJJ1738:LJJ1738)),2)</f>
        <v>8</v>
      </c>
      <c r="LJK1739" s="669" t="s">
        <v>2</v>
      </c>
      <c r="LJM1739" s="660"/>
      <c r="LJN1739" s="660"/>
      <c r="LJP1739" s="629"/>
      <c r="LJQ1739" s="630"/>
      <c r="LJR1739" s="631"/>
      <c r="LJS1739" s="631"/>
      <c r="LJT1739" s="631"/>
      <c r="LJU1739" s="631"/>
      <c r="LJV1739" s="631"/>
      <c r="LJW1739" s="631"/>
      <c r="LJX1739" s="631"/>
      <c r="LJY1739" s="630"/>
      <c r="LJZ1739" s="668">
        <f t="shared" ref="LJZ1739" si="1629">ROUND((SUM(LJZ1738:LJZ1738)),2)</f>
        <v>8</v>
      </c>
      <c r="LKA1739" s="669" t="s">
        <v>2</v>
      </c>
      <c r="LKC1739" s="660"/>
      <c r="LKD1739" s="660"/>
      <c r="LKF1739" s="629"/>
      <c r="LKG1739" s="630"/>
      <c r="LKH1739" s="631"/>
      <c r="LKI1739" s="631"/>
      <c r="LKJ1739" s="631"/>
      <c r="LKK1739" s="631"/>
      <c r="LKL1739" s="631"/>
      <c r="LKM1739" s="631"/>
      <c r="LKN1739" s="631"/>
      <c r="LKO1739" s="630"/>
      <c r="LKP1739" s="668">
        <f t="shared" ref="LKP1739" si="1630">ROUND((SUM(LKP1738:LKP1738)),2)</f>
        <v>8</v>
      </c>
      <c r="LKQ1739" s="669" t="s">
        <v>2</v>
      </c>
      <c r="LKS1739" s="660"/>
      <c r="LKT1739" s="660"/>
      <c r="LKV1739" s="629"/>
      <c r="LKW1739" s="630"/>
      <c r="LKX1739" s="631"/>
      <c r="LKY1739" s="631"/>
      <c r="LKZ1739" s="631"/>
      <c r="LLA1739" s="631"/>
      <c r="LLB1739" s="631"/>
      <c r="LLC1739" s="631"/>
      <c r="LLD1739" s="631"/>
      <c r="LLE1739" s="630"/>
      <c r="LLF1739" s="668">
        <f t="shared" ref="LLF1739" si="1631">ROUND((SUM(LLF1738:LLF1738)),2)</f>
        <v>8</v>
      </c>
      <c r="LLG1739" s="669" t="s">
        <v>2</v>
      </c>
      <c r="LLI1739" s="660"/>
      <c r="LLJ1739" s="660"/>
      <c r="LLL1739" s="629"/>
      <c r="LLM1739" s="630"/>
      <c r="LLN1739" s="631"/>
      <c r="LLO1739" s="631"/>
      <c r="LLP1739" s="631"/>
      <c r="LLQ1739" s="631"/>
      <c r="LLR1739" s="631"/>
      <c r="LLS1739" s="631"/>
      <c r="LLT1739" s="631"/>
      <c r="LLU1739" s="630"/>
      <c r="LLV1739" s="668">
        <f t="shared" ref="LLV1739" si="1632">ROUND((SUM(LLV1738:LLV1738)),2)</f>
        <v>8</v>
      </c>
      <c r="LLW1739" s="669" t="s">
        <v>2</v>
      </c>
      <c r="LLY1739" s="660"/>
      <c r="LLZ1739" s="660"/>
      <c r="LMB1739" s="629"/>
      <c r="LMC1739" s="630"/>
      <c r="LMD1739" s="631"/>
      <c r="LME1739" s="631"/>
      <c r="LMF1739" s="631"/>
      <c r="LMG1739" s="631"/>
      <c r="LMH1739" s="631"/>
      <c r="LMI1739" s="631"/>
      <c r="LMJ1739" s="631"/>
      <c r="LMK1739" s="630"/>
      <c r="LML1739" s="668">
        <f t="shared" ref="LML1739" si="1633">ROUND((SUM(LML1738:LML1738)),2)</f>
        <v>8</v>
      </c>
      <c r="LMM1739" s="669" t="s">
        <v>2</v>
      </c>
      <c r="LMO1739" s="660"/>
      <c r="LMP1739" s="660"/>
      <c r="LMR1739" s="629"/>
      <c r="LMS1739" s="630"/>
      <c r="LMT1739" s="631"/>
      <c r="LMU1739" s="631"/>
      <c r="LMV1739" s="631"/>
      <c r="LMW1739" s="631"/>
      <c r="LMX1739" s="631"/>
      <c r="LMY1739" s="631"/>
      <c r="LMZ1739" s="631"/>
      <c r="LNA1739" s="630"/>
      <c r="LNB1739" s="668">
        <f t="shared" ref="LNB1739" si="1634">ROUND((SUM(LNB1738:LNB1738)),2)</f>
        <v>8</v>
      </c>
      <c r="LNC1739" s="669" t="s">
        <v>2</v>
      </c>
      <c r="LNE1739" s="660"/>
      <c r="LNF1739" s="660"/>
      <c r="LNH1739" s="629"/>
      <c r="LNI1739" s="630"/>
      <c r="LNJ1739" s="631"/>
      <c r="LNK1739" s="631"/>
      <c r="LNL1739" s="631"/>
      <c r="LNM1739" s="631"/>
      <c r="LNN1739" s="631"/>
      <c r="LNO1739" s="631"/>
      <c r="LNP1739" s="631"/>
      <c r="LNQ1739" s="630"/>
      <c r="LNR1739" s="668">
        <f t="shared" ref="LNR1739" si="1635">ROUND((SUM(LNR1738:LNR1738)),2)</f>
        <v>8</v>
      </c>
      <c r="LNS1739" s="669" t="s">
        <v>2</v>
      </c>
      <c r="LNU1739" s="660"/>
      <c r="LNV1739" s="660"/>
      <c r="LNX1739" s="629"/>
      <c r="LNY1739" s="630"/>
      <c r="LNZ1739" s="631"/>
      <c r="LOA1739" s="631"/>
      <c r="LOB1739" s="631"/>
      <c r="LOC1739" s="631"/>
      <c r="LOD1739" s="631"/>
      <c r="LOE1739" s="631"/>
      <c r="LOF1739" s="631"/>
      <c r="LOG1739" s="630"/>
      <c r="LOH1739" s="668">
        <f t="shared" ref="LOH1739" si="1636">ROUND((SUM(LOH1738:LOH1738)),2)</f>
        <v>8</v>
      </c>
      <c r="LOI1739" s="669" t="s">
        <v>2</v>
      </c>
      <c r="LOK1739" s="660"/>
      <c r="LOL1739" s="660"/>
      <c r="LON1739" s="629"/>
      <c r="LOO1739" s="630"/>
      <c r="LOP1739" s="631"/>
      <c r="LOQ1739" s="631"/>
      <c r="LOR1739" s="631"/>
      <c r="LOS1739" s="631"/>
      <c r="LOT1739" s="631"/>
      <c r="LOU1739" s="631"/>
      <c r="LOV1739" s="631"/>
      <c r="LOW1739" s="630"/>
      <c r="LOX1739" s="668">
        <f t="shared" ref="LOX1739" si="1637">ROUND((SUM(LOX1738:LOX1738)),2)</f>
        <v>8</v>
      </c>
      <c r="LOY1739" s="669" t="s">
        <v>2</v>
      </c>
      <c r="LPA1739" s="660"/>
      <c r="LPB1739" s="660"/>
      <c r="LPD1739" s="629"/>
      <c r="LPE1739" s="630"/>
      <c r="LPF1739" s="631"/>
      <c r="LPG1739" s="631"/>
      <c r="LPH1739" s="631"/>
      <c r="LPI1739" s="631"/>
      <c r="LPJ1739" s="631"/>
      <c r="LPK1739" s="631"/>
      <c r="LPL1739" s="631"/>
      <c r="LPM1739" s="630"/>
      <c r="LPN1739" s="668">
        <f t="shared" ref="LPN1739" si="1638">ROUND((SUM(LPN1738:LPN1738)),2)</f>
        <v>8</v>
      </c>
      <c r="LPO1739" s="669" t="s">
        <v>2</v>
      </c>
      <c r="LPQ1739" s="660"/>
      <c r="LPR1739" s="660"/>
      <c r="LPT1739" s="629"/>
      <c r="LPU1739" s="630"/>
      <c r="LPV1739" s="631"/>
      <c r="LPW1739" s="631"/>
      <c r="LPX1739" s="631"/>
      <c r="LPY1739" s="631"/>
      <c r="LPZ1739" s="631"/>
      <c r="LQA1739" s="631"/>
      <c r="LQB1739" s="631"/>
      <c r="LQC1739" s="630"/>
      <c r="LQD1739" s="668">
        <f t="shared" ref="LQD1739" si="1639">ROUND((SUM(LQD1738:LQD1738)),2)</f>
        <v>8</v>
      </c>
      <c r="LQE1739" s="669" t="s">
        <v>2</v>
      </c>
      <c r="LQG1739" s="660"/>
      <c r="LQH1739" s="660"/>
      <c r="LQJ1739" s="629"/>
      <c r="LQK1739" s="630"/>
      <c r="LQL1739" s="631"/>
      <c r="LQM1739" s="631"/>
      <c r="LQN1739" s="631"/>
      <c r="LQO1739" s="631"/>
      <c r="LQP1739" s="631"/>
      <c r="LQQ1739" s="631"/>
      <c r="LQR1739" s="631"/>
      <c r="LQS1739" s="630"/>
      <c r="LQT1739" s="668">
        <f t="shared" ref="LQT1739" si="1640">ROUND((SUM(LQT1738:LQT1738)),2)</f>
        <v>8</v>
      </c>
      <c r="LQU1739" s="669" t="s">
        <v>2</v>
      </c>
      <c r="LQW1739" s="660"/>
      <c r="LQX1739" s="660"/>
      <c r="LQZ1739" s="629"/>
      <c r="LRA1739" s="630"/>
      <c r="LRB1739" s="631"/>
      <c r="LRC1739" s="631"/>
      <c r="LRD1739" s="631"/>
      <c r="LRE1739" s="631"/>
      <c r="LRF1739" s="631"/>
      <c r="LRG1739" s="631"/>
      <c r="LRH1739" s="631"/>
      <c r="LRI1739" s="630"/>
      <c r="LRJ1739" s="668">
        <f t="shared" ref="LRJ1739" si="1641">ROUND((SUM(LRJ1738:LRJ1738)),2)</f>
        <v>8</v>
      </c>
      <c r="LRK1739" s="669" t="s">
        <v>2</v>
      </c>
      <c r="LRM1739" s="660"/>
      <c r="LRN1739" s="660"/>
      <c r="LRP1739" s="629"/>
      <c r="LRQ1739" s="630"/>
      <c r="LRR1739" s="631"/>
      <c r="LRS1739" s="631"/>
      <c r="LRT1739" s="631"/>
      <c r="LRU1739" s="631"/>
      <c r="LRV1739" s="631"/>
      <c r="LRW1739" s="631"/>
      <c r="LRX1739" s="631"/>
      <c r="LRY1739" s="630"/>
      <c r="LRZ1739" s="668">
        <f t="shared" ref="LRZ1739" si="1642">ROUND((SUM(LRZ1738:LRZ1738)),2)</f>
        <v>8</v>
      </c>
      <c r="LSA1739" s="669" t="s">
        <v>2</v>
      </c>
      <c r="LSC1739" s="660"/>
      <c r="LSD1739" s="660"/>
      <c r="LSF1739" s="629"/>
      <c r="LSG1739" s="630"/>
      <c r="LSH1739" s="631"/>
      <c r="LSI1739" s="631"/>
      <c r="LSJ1739" s="631"/>
      <c r="LSK1739" s="631"/>
      <c r="LSL1739" s="631"/>
      <c r="LSM1739" s="631"/>
      <c r="LSN1739" s="631"/>
      <c r="LSO1739" s="630"/>
      <c r="LSP1739" s="668">
        <f t="shared" ref="LSP1739" si="1643">ROUND((SUM(LSP1738:LSP1738)),2)</f>
        <v>8</v>
      </c>
      <c r="LSQ1739" s="669" t="s">
        <v>2</v>
      </c>
      <c r="LSS1739" s="660"/>
      <c r="LST1739" s="660"/>
      <c r="LSV1739" s="629"/>
      <c r="LSW1739" s="630"/>
      <c r="LSX1739" s="631"/>
      <c r="LSY1739" s="631"/>
      <c r="LSZ1739" s="631"/>
      <c r="LTA1739" s="631"/>
      <c r="LTB1739" s="631"/>
      <c r="LTC1739" s="631"/>
      <c r="LTD1739" s="631"/>
      <c r="LTE1739" s="630"/>
      <c r="LTF1739" s="668">
        <f t="shared" ref="LTF1739" si="1644">ROUND((SUM(LTF1738:LTF1738)),2)</f>
        <v>8</v>
      </c>
      <c r="LTG1739" s="669" t="s">
        <v>2</v>
      </c>
      <c r="LTI1739" s="660"/>
      <c r="LTJ1739" s="660"/>
      <c r="LTL1739" s="629"/>
      <c r="LTM1739" s="630"/>
      <c r="LTN1739" s="631"/>
      <c r="LTO1739" s="631"/>
      <c r="LTP1739" s="631"/>
      <c r="LTQ1739" s="631"/>
      <c r="LTR1739" s="631"/>
      <c r="LTS1739" s="631"/>
      <c r="LTT1739" s="631"/>
      <c r="LTU1739" s="630"/>
      <c r="LTV1739" s="668">
        <f t="shared" ref="LTV1739" si="1645">ROUND((SUM(LTV1738:LTV1738)),2)</f>
        <v>8</v>
      </c>
      <c r="LTW1739" s="669" t="s">
        <v>2</v>
      </c>
      <c r="LTY1739" s="660"/>
      <c r="LTZ1739" s="660"/>
      <c r="LUB1739" s="629"/>
      <c r="LUC1739" s="630"/>
      <c r="LUD1739" s="631"/>
      <c r="LUE1739" s="631"/>
      <c r="LUF1739" s="631"/>
      <c r="LUG1739" s="631"/>
      <c r="LUH1739" s="631"/>
      <c r="LUI1739" s="631"/>
      <c r="LUJ1739" s="631"/>
      <c r="LUK1739" s="630"/>
      <c r="LUL1739" s="668">
        <f t="shared" ref="LUL1739" si="1646">ROUND((SUM(LUL1738:LUL1738)),2)</f>
        <v>8</v>
      </c>
      <c r="LUM1739" s="669" t="s">
        <v>2</v>
      </c>
      <c r="LUO1739" s="660"/>
      <c r="LUP1739" s="660"/>
      <c r="LUR1739" s="629"/>
      <c r="LUS1739" s="630"/>
      <c r="LUT1739" s="631"/>
      <c r="LUU1739" s="631"/>
      <c r="LUV1739" s="631"/>
      <c r="LUW1739" s="631"/>
      <c r="LUX1739" s="631"/>
      <c r="LUY1739" s="631"/>
      <c r="LUZ1739" s="631"/>
      <c r="LVA1739" s="630"/>
      <c r="LVB1739" s="668">
        <f t="shared" ref="LVB1739" si="1647">ROUND((SUM(LVB1738:LVB1738)),2)</f>
        <v>8</v>
      </c>
      <c r="LVC1739" s="669" t="s">
        <v>2</v>
      </c>
      <c r="LVE1739" s="660"/>
      <c r="LVF1739" s="660"/>
      <c r="LVH1739" s="629"/>
      <c r="LVI1739" s="630"/>
      <c r="LVJ1739" s="631"/>
      <c r="LVK1739" s="631"/>
      <c r="LVL1739" s="631"/>
      <c r="LVM1739" s="631"/>
      <c r="LVN1739" s="631"/>
      <c r="LVO1739" s="631"/>
      <c r="LVP1739" s="631"/>
      <c r="LVQ1739" s="630"/>
      <c r="LVR1739" s="668">
        <f t="shared" ref="LVR1739" si="1648">ROUND((SUM(LVR1738:LVR1738)),2)</f>
        <v>8</v>
      </c>
      <c r="LVS1739" s="669" t="s">
        <v>2</v>
      </c>
      <c r="LVU1739" s="660"/>
      <c r="LVV1739" s="660"/>
      <c r="LVX1739" s="629"/>
      <c r="LVY1739" s="630"/>
      <c r="LVZ1739" s="631"/>
      <c r="LWA1739" s="631"/>
      <c r="LWB1739" s="631"/>
      <c r="LWC1739" s="631"/>
      <c r="LWD1739" s="631"/>
      <c r="LWE1739" s="631"/>
      <c r="LWF1739" s="631"/>
      <c r="LWG1739" s="630"/>
      <c r="LWH1739" s="668">
        <f t="shared" ref="LWH1739" si="1649">ROUND((SUM(LWH1738:LWH1738)),2)</f>
        <v>8</v>
      </c>
      <c r="LWI1739" s="669" t="s">
        <v>2</v>
      </c>
      <c r="LWK1739" s="660"/>
      <c r="LWL1739" s="660"/>
      <c r="LWN1739" s="629"/>
      <c r="LWO1739" s="630"/>
      <c r="LWP1739" s="631"/>
      <c r="LWQ1739" s="631"/>
      <c r="LWR1739" s="631"/>
      <c r="LWS1739" s="631"/>
      <c r="LWT1739" s="631"/>
      <c r="LWU1739" s="631"/>
      <c r="LWV1739" s="631"/>
      <c r="LWW1739" s="630"/>
      <c r="LWX1739" s="668">
        <f t="shared" ref="LWX1739" si="1650">ROUND((SUM(LWX1738:LWX1738)),2)</f>
        <v>8</v>
      </c>
      <c r="LWY1739" s="669" t="s">
        <v>2</v>
      </c>
      <c r="LXA1739" s="660"/>
      <c r="LXB1739" s="660"/>
      <c r="LXD1739" s="629"/>
      <c r="LXE1739" s="630"/>
      <c r="LXF1739" s="631"/>
      <c r="LXG1739" s="631"/>
      <c r="LXH1739" s="631"/>
      <c r="LXI1739" s="631"/>
      <c r="LXJ1739" s="631"/>
      <c r="LXK1739" s="631"/>
      <c r="LXL1739" s="631"/>
      <c r="LXM1739" s="630"/>
      <c r="LXN1739" s="668">
        <f t="shared" ref="LXN1739" si="1651">ROUND((SUM(LXN1738:LXN1738)),2)</f>
        <v>8</v>
      </c>
      <c r="LXO1739" s="669" t="s">
        <v>2</v>
      </c>
      <c r="LXQ1739" s="660"/>
      <c r="LXR1739" s="660"/>
      <c r="LXT1739" s="629"/>
      <c r="LXU1739" s="630"/>
      <c r="LXV1739" s="631"/>
      <c r="LXW1739" s="631"/>
      <c r="LXX1739" s="631"/>
      <c r="LXY1739" s="631"/>
      <c r="LXZ1739" s="631"/>
      <c r="LYA1739" s="631"/>
      <c r="LYB1739" s="631"/>
      <c r="LYC1739" s="630"/>
      <c r="LYD1739" s="668">
        <f t="shared" ref="LYD1739" si="1652">ROUND((SUM(LYD1738:LYD1738)),2)</f>
        <v>8</v>
      </c>
      <c r="LYE1739" s="669" t="s">
        <v>2</v>
      </c>
      <c r="LYG1739" s="660"/>
      <c r="LYH1739" s="660"/>
      <c r="LYJ1739" s="629"/>
      <c r="LYK1739" s="630"/>
      <c r="LYL1739" s="631"/>
      <c r="LYM1739" s="631"/>
      <c r="LYN1739" s="631"/>
      <c r="LYO1739" s="631"/>
      <c r="LYP1739" s="631"/>
      <c r="LYQ1739" s="631"/>
      <c r="LYR1739" s="631"/>
      <c r="LYS1739" s="630"/>
      <c r="LYT1739" s="668">
        <f t="shared" ref="LYT1739" si="1653">ROUND((SUM(LYT1738:LYT1738)),2)</f>
        <v>8</v>
      </c>
      <c r="LYU1739" s="669" t="s">
        <v>2</v>
      </c>
      <c r="LYW1739" s="660"/>
      <c r="LYX1739" s="660"/>
      <c r="LYZ1739" s="629"/>
      <c r="LZA1739" s="630"/>
      <c r="LZB1739" s="631"/>
      <c r="LZC1739" s="631"/>
      <c r="LZD1739" s="631"/>
      <c r="LZE1739" s="631"/>
      <c r="LZF1739" s="631"/>
      <c r="LZG1739" s="631"/>
      <c r="LZH1739" s="631"/>
      <c r="LZI1739" s="630"/>
      <c r="LZJ1739" s="668">
        <f t="shared" ref="LZJ1739" si="1654">ROUND((SUM(LZJ1738:LZJ1738)),2)</f>
        <v>8</v>
      </c>
      <c r="LZK1739" s="669" t="s">
        <v>2</v>
      </c>
      <c r="LZM1739" s="660"/>
      <c r="LZN1739" s="660"/>
      <c r="LZP1739" s="629"/>
      <c r="LZQ1739" s="630"/>
      <c r="LZR1739" s="631"/>
      <c r="LZS1739" s="631"/>
      <c r="LZT1739" s="631"/>
      <c r="LZU1739" s="631"/>
      <c r="LZV1739" s="631"/>
      <c r="LZW1739" s="631"/>
      <c r="LZX1739" s="631"/>
      <c r="LZY1739" s="630"/>
      <c r="LZZ1739" s="668">
        <f t="shared" ref="LZZ1739" si="1655">ROUND((SUM(LZZ1738:LZZ1738)),2)</f>
        <v>8</v>
      </c>
      <c r="MAA1739" s="669" t="s">
        <v>2</v>
      </c>
      <c r="MAC1739" s="660"/>
      <c r="MAD1739" s="660"/>
      <c r="MAF1739" s="629"/>
      <c r="MAG1739" s="630"/>
      <c r="MAH1739" s="631"/>
      <c r="MAI1739" s="631"/>
      <c r="MAJ1739" s="631"/>
      <c r="MAK1739" s="631"/>
      <c r="MAL1739" s="631"/>
      <c r="MAM1739" s="631"/>
      <c r="MAN1739" s="631"/>
      <c r="MAO1739" s="630"/>
      <c r="MAP1739" s="668">
        <f t="shared" ref="MAP1739" si="1656">ROUND((SUM(MAP1738:MAP1738)),2)</f>
        <v>8</v>
      </c>
      <c r="MAQ1739" s="669" t="s">
        <v>2</v>
      </c>
      <c r="MAS1739" s="660"/>
      <c r="MAT1739" s="660"/>
      <c r="MAV1739" s="629"/>
      <c r="MAW1739" s="630"/>
      <c r="MAX1739" s="631"/>
      <c r="MAY1739" s="631"/>
      <c r="MAZ1739" s="631"/>
      <c r="MBA1739" s="631"/>
      <c r="MBB1739" s="631"/>
      <c r="MBC1739" s="631"/>
      <c r="MBD1739" s="631"/>
      <c r="MBE1739" s="630"/>
      <c r="MBF1739" s="668">
        <f t="shared" ref="MBF1739" si="1657">ROUND((SUM(MBF1738:MBF1738)),2)</f>
        <v>8</v>
      </c>
      <c r="MBG1739" s="669" t="s">
        <v>2</v>
      </c>
      <c r="MBI1739" s="660"/>
      <c r="MBJ1739" s="660"/>
      <c r="MBL1739" s="629"/>
      <c r="MBM1739" s="630"/>
      <c r="MBN1739" s="631"/>
      <c r="MBO1739" s="631"/>
      <c r="MBP1739" s="631"/>
      <c r="MBQ1739" s="631"/>
      <c r="MBR1739" s="631"/>
      <c r="MBS1739" s="631"/>
      <c r="MBT1739" s="631"/>
      <c r="MBU1739" s="630"/>
      <c r="MBV1739" s="668">
        <f t="shared" ref="MBV1739" si="1658">ROUND((SUM(MBV1738:MBV1738)),2)</f>
        <v>8</v>
      </c>
      <c r="MBW1739" s="669" t="s">
        <v>2</v>
      </c>
      <c r="MBY1739" s="660"/>
      <c r="MBZ1739" s="660"/>
      <c r="MCB1739" s="629"/>
      <c r="MCC1739" s="630"/>
      <c r="MCD1739" s="631"/>
      <c r="MCE1739" s="631"/>
      <c r="MCF1739" s="631"/>
      <c r="MCG1739" s="631"/>
      <c r="MCH1739" s="631"/>
      <c r="MCI1739" s="631"/>
      <c r="MCJ1739" s="631"/>
      <c r="MCK1739" s="630"/>
      <c r="MCL1739" s="668">
        <f t="shared" ref="MCL1739" si="1659">ROUND((SUM(MCL1738:MCL1738)),2)</f>
        <v>8</v>
      </c>
      <c r="MCM1739" s="669" t="s">
        <v>2</v>
      </c>
      <c r="MCO1739" s="660"/>
      <c r="MCP1739" s="660"/>
      <c r="MCR1739" s="629"/>
      <c r="MCS1739" s="630"/>
      <c r="MCT1739" s="631"/>
      <c r="MCU1739" s="631"/>
      <c r="MCV1739" s="631"/>
      <c r="MCW1739" s="631"/>
      <c r="MCX1739" s="631"/>
      <c r="MCY1739" s="631"/>
      <c r="MCZ1739" s="631"/>
      <c r="MDA1739" s="630"/>
      <c r="MDB1739" s="668">
        <f t="shared" ref="MDB1739" si="1660">ROUND((SUM(MDB1738:MDB1738)),2)</f>
        <v>8</v>
      </c>
      <c r="MDC1739" s="669" t="s">
        <v>2</v>
      </c>
      <c r="MDE1739" s="660"/>
      <c r="MDF1739" s="660"/>
      <c r="MDH1739" s="629"/>
      <c r="MDI1739" s="630"/>
      <c r="MDJ1739" s="631"/>
      <c r="MDK1739" s="631"/>
      <c r="MDL1739" s="631"/>
      <c r="MDM1739" s="631"/>
      <c r="MDN1739" s="631"/>
      <c r="MDO1739" s="631"/>
      <c r="MDP1739" s="631"/>
      <c r="MDQ1739" s="630"/>
      <c r="MDR1739" s="668">
        <f t="shared" ref="MDR1739" si="1661">ROUND((SUM(MDR1738:MDR1738)),2)</f>
        <v>8</v>
      </c>
      <c r="MDS1739" s="669" t="s">
        <v>2</v>
      </c>
      <c r="MDU1739" s="660"/>
      <c r="MDV1739" s="660"/>
      <c r="MDX1739" s="629"/>
      <c r="MDY1739" s="630"/>
      <c r="MDZ1739" s="631"/>
      <c r="MEA1739" s="631"/>
      <c r="MEB1739" s="631"/>
      <c r="MEC1739" s="631"/>
      <c r="MED1739" s="631"/>
      <c r="MEE1739" s="631"/>
      <c r="MEF1739" s="631"/>
      <c r="MEG1739" s="630"/>
      <c r="MEH1739" s="668">
        <f t="shared" ref="MEH1739" si="1662">ROUND((SUM(MEH1738:MEH1738)),2)</f>
        <v>8</v>
      </c>
      <c r="MEI1739" s="669" t="s">
        <v>2</v>
      </c>
      <c r="MEK1739" s="660"/>
      <c r="MEL1739" s="660"/>
      <c r="MEN1739" s="629"/>
      <c r="MEO1739" s="630"/>
      <c r="MEP1739" s="631"/>
      <c r="MEQ1739" s="631"/>
      <c r="MER1739" s="631"/>
      <c r="MES1739" s="631"/>
      <c r="MET1739" s="631"/>
      <c r="MEU1739" s="631"/>
      <c r="MEV1739" s="631"/>
      <c r="MEW1739" s="630"/>
      <c r="MEX1739" s="668">
        <f t="shared" ref="MEX1739" si="1663">ROUND((SUM(MEX1738:MEX1738)),2)</f>
        <v>8</v>
      </c>
      <c r="MEY1739" s="669" t="s">
        <v>2</v>
      </c>
      <c r="MFA1739" s="660"/>
      <c r="MFB1739" s="660"/>
      <c r="MFD1739" s="629"/>
      <c r="MFE1739" s="630"/>
      <c r="MFF1739" s="631"/>
      <c r="MFG1739" s="631"/>
      <c r="MFH1739" s="631"/>
      <c r="MFI1739" s="631"/>
      <c r="MFJ1739" s="631"/>
      <c r="MFK1739" s="631"/>
      <c r="MFL1739" s="631"/>
      <c r="MFM1739" s="630"/>
      <c r="MFN1739" s="668">
        <f t="shared" ref="MFN1739" si="1664">ROUND((SUM(MFN1738:MFN1738)),2)</f>
        <v>8</v>
      </c>
      <c r="MFO1739" s="669" t="s">
        <v>2</v>
      </c>
      <c r="MFQ1739" s="660"/>
      <c r="MFR1739" s="660"/>
      <c r="MFT1739" s="629"/>
      <c r="MFU1739" s="630"/>
      <c r="MFV1739" s="631"/>
      <c r="MFW1739" s="631"/>
      <c r="MFX1739" s="631"/>
      <c r="MFY1739" s="631"/>
      <c r="MFZ1739" s="631"/>
      <c r="MGA1739" s="631"/>
      <c r="MGB1739" s="631"/>
      <c r="MGC1739" s="630"/>
      <c r="MGD1739" s="668">
        <f t="shared" ref="MGD1739" si="1665">ROUND((SUM(MGD1738:MGD1738)),2)</f>
        <v>8</v>
      </c>
      <c r="MGE1739" s="669" t="s">
        <v>2</v>
      </c>
      <c r="MGG1739" s="660"/>
      <c r="MGH1739" s="660"/>
      <c r="MGJ1739" s="629"/>
      <c r="MGK1739" s="630"/>
      <c r="MGL1739" s="631"/>
      <c r="MGM1739" s="631"/>
      <c r="MGN1739" s="631"/>
      <c r="MGO1739" s="631"/>
      <c r="MGP1739" s="631"/>
      <c r="MGQ1739" s="631"/>
      <c r="MGR1739" s="631"/>
      <c r="MGS1739" s="630"/>
      <c r="MGT1739" s="668">
        <f t="shared" ref="MGT1739" si="1666">ROUND((SUM(MGT1738:MGT1738)),2)</f>
        <v>8</v>
      </c>
      <c r="MGU1739" s="669" t="s">
        <v>2</v>
      </c>
      <c r="MGW1739" s="660"/>
      <c r="MGX1739" s="660"/>
      <c r="MGZ1739" s="629"/>
      <c r="MHA1739" s="630"/>
      <c r="MHB1739" s="631"/>
      <c r="MHC1739" s="631"/>
      <c r="MHD1739" s="631"/>
      <c r="MHE1739" s="631"/>
      <c r="MHF1739" s="631"/>
      <c r="MHG1739" s="631"/>
      <c r="MHH1739" s="631"/>
      <c r="MHI1739" s="630"/>
      <c r="MHJ1739" s="668">
        <f t="shared" ref="MHJ1739" si="1667">ROUND((SUM(MHJ1738:MHJ1738)),2)</f>
        <v>8</v>
      </c>
      <c r="MHK1739" s="669" t="s">
        <v>2</v>
      </c>
      <c r="MHM1739" s="660"/>
      <c r="MHN1739" s="660"/>
      <c r="MHP1739" s="629"/>
      <c r="MHQ1739" s="630"/>
      <c r="MHR1739" s="631"/>
      <c r="MHS1739" s="631"/>
      <c r="MHT1739" s="631"/>
      <c r="MHU1739" s="631"/>
      <c r="MHV1739" s="631"/>
      <c r="MHW1739" s="631"/>
      <c r="MHX1739" s="631"/>
      <c r="MHY1739" s="630"/>
      <c r="MHZ1739" s="668">
        <f t="shared" ref="MHZ1739" si="1668">ROUND((SUM(MHZ1738:MHZ1738)),2)</f>
        <v>8</v>
      </c>
      <c r="MIA1739" s="669" t="s">
        <v>2</v>
      </c>
      <c r="MIC1739" s="660"/>
      <c r="MID1739" s="660"/>
      <c r="MIF1739" s="629"/>
      <c r="MIG1739" s="630"/>
      <c r="MIH1739" s="631"/>
      <c r="MII1739" s="631"/>
      <c r="MIJ1739" s="631"/>
      <c r="MIK1739" s="631"/>
      <c r="MIL1739" s="631"/>
      <c r="MIM1739" s="631"/>
      <c r="MIN1739" s="631"/>
      <c r="MIO1739" s="630"/>
      <c r="MIP1739" s="668">
        <f t="shared" ref="MIP1739" si="1669">ROUND((SUM(MIP1738:MIP1738)),2)</f>
        <v>8</v>
      </c>
      <c r="MIQ1739" s="669" t="s">
        <v>2</v>
      </c>
      <c r="MIS1739" s="660"/>
      <c r="MIT1739" s="660"/>
      <c r="MIV1739" s="629"/>
      <c r="MIW1739" s="630"/>
      <c r="MIX1739" s="631"/>
      <c r="MIY1739" s="631"/>
      <c r="MIZ1739" s="631"/>
      <c r="MJA1739" s="631"/>
      <c r="MJB1739" s="631"/>
      <c r="MJC1739" s="631"/>
      <c r="MJD1739" s="631"/>
      <c r="MJE1739" s="630"/>
      <c r="MJF1739" s="668">
        <f t="shared" ref="MJF1739" si="1670">ROUND((SUM(MJF1738:MJF1738)),2)</f>
        <v>8</v>
      </c>
      <c r="MJG1739" s="669" t="s">
        <v>2</v>
      </c>
      <c r="MJI1739" s="660"/>
      <c r="MJJ1739" s="660"/>
      <c r="MJL1739" s="629"/>
      <c r="MJM1739" s="630"/>
      <c r="MJN1739" s="631"/>
      <c r="MJO1739" s="631"/>
      <c r="MJP1739" s="631"/>
      <c r="MJQ1739" s="631"/>
      <c r="MJR1739" s="631"/>
      <c r="MJS1739" s="631"/>
      <c r="MJT1739" s="631"/>
      <c r="MJU1739" s="630"/>
      <c r="MJV1739" s="668">
        <f t="shared" ref="MJV1739" si="1671">ROUND((SUM(MJV1738:MJV1738)),2)</f>
        <v>8</v>
      </c>
      <c r="MJW1739" s="669" t="s">
        <v>2</v>
      </c>
      <c r="MJY1739" s="660"/>
      <c r="MJZ1739" s="660"/>
      <c r="MKB1739" s="629"/>
      <c r="MKC1739" s="630"/>
      <c r="MKD1739" s="631"/>
      <c r="MKE1739" s="631"/>
      <c r="MKF1739" s="631"/>
      <c r="MKG1739" s="631"/>
      <c r="MKH1739" s="631"/>
      <c r="MKI1739" s="631"/>
      <c r="MKJ1739" s="631"/>
      <c r="MKK1739" s="630"/>
      <c r="MKL1739" s="668">
        <f t="shared" ref="MKL1739" si="1672">ROUND((SUM(MKL1738:MKL1738)),2)</f>
        <v>8</v>
      </c>
      <c r="MKM1739" s="669" t="s">
        <v>2</v>
      </c>
      <c r="MKO1739" s="660"/>
      <c r="MKP1739" s="660"/>
      <c r="MKR1739" s="629"/>
      <c r="MKS1739" s="630"/>
      <c r="MKT1739" s="631"/>
      <c r="MKU1739" s="631"/>
      <c r="MKV1739" s="631"/>
      <c r="MKW1739" s="631"/>
      <c r="MKX1739" s="631"/>
      <c r="MKY1739" s="631"/>
      <c r="MKZ1739" s="631"/>
      <c r="MLA1739" s="630"/>
      <c r="MLB1739" s="668">
        <f t="shared" ref="MLB1739" si="1673">ROUND((SUM(MLB1738:MLB1738)),2)</f>
        <v>8</v>
      </c>
      <c r="MLC1739" s="669" t="s">
        <v>2</v>
      </c>
      <c r="MLE1739" s="660"/>
      <c r="MLF1739" s="660"/>
      <c r="MLH1739" s="629"/>
      <c r="MLI1739" s="630"/>
      <c r="MLJ1739" s="631"/>
      <c r="MLK1739" s="631"/>
      <c r="MLL1739" s="631"/>
      <c r="MLM1739" s="631"/>
      <c r="MLN1739" s="631"/>
      <c r="MLO1739" s="631"/>
      <c r="MLP1739" s="631"/>
      <c r="MLQ1739" s="630"/>
      <c r="MLR1739" s="668">
        <f t="shared" ref="MLR1739" si="1674">ROUND((SUM(MLR1738:MLR1738)),2)</f>
        <v>8</v>
      </c>
      <c r="MLS1739" s="669" t="s">
        <v>2</v>
      </c>
      <c r="MLU1739" s="660"/>
      <c r="MLV1739" s="660"/>
      <c r="MLX1739" s="629"/>
      <c r="MLY1739" s="630"/>
      <c r="MLZ1739" s="631"/>
      <c r="MMA1739" s="631"/>
      <c r="MMB1739" s="631"/>
      <c r="MMC1739" s="631"/>
      <c r="MMD1739" s="631"/>
      <c r="MME1739" s="631"/>
      <c r="MMF1739" s="631"/>
      <c r="MMG1739" s="630"/>
      <c r="MMH1739" s="668">
        <f t="shared" ref="MMH1739" si="1675">ROUND((SUM(MMH1738:MMH1738)),2)</f>
        <v>8</v>
      </c>
      <c r="MMI1739" s="669" t="s">
        <v>2</v>
      </c>
      <c r="MMK1739" s="660"/>
      <c r="MML1739" s="660"/>
      <c r="MMN1739" s="629"/>
      <c r="MMO1739" s="630"/>
      <c r="MMP1739" s="631"/>
      <c r="MMQ1739" s="631"/>
      <c r="MMR1739" s="631"/>
      <c r="MMS1739" s="631"/>
      <c r="MMT1739" s="631"/>
      <c r="MMU1739" s="631"/>
      <c r="MMV1739" s="631"/>
      <c r="MMW1739" s="630"/>
      <c r="MMX1739" s="668">
        <f t="shared" ref="MMX1739" si="1676">ROUND((SUM(MMX1738:MMX1738)),2)</f>
        <v>8</v>
      </c>
      <c r="MMY1739" s="669" t="s">
        <v>2</v>
      </c>
      <c r="MNA1739" s="660"/>
      <c r="MNB1739" s="660"/>
      <c r="MND1739" s="629"/>
      <c r="MNE1739" s="630"/>
      <c r="MNF1739" s="631"/>
      <c r="MNG1739" s="631"/>
      <c r="MNH1739" s="631"/>
      <c r="MNI1739" s="631"/>
      <c r="MNJ1739" s="631"/>
      <c r="MNK1739" s="631"/>
      <c r="MNL1739" s="631"/>
      <c r="MNM1739" s="630"/>
      <c r="MNN1739" s="668">
        <f t="shared" ref="MNN1739" si="1677">ROUND((SUM(MNN1738:MNN1738)),2)</f>
        <v>8</v>
      </c>
      <c r="MNO1739" s="669" t="s">
        <v>2</v>
      </c>
      <c r="MNQ1739" s="660"/>
      <c r="MNR1739" s="660"/>
      <c r="MNT1739" s="629"/>
      <c r="MNU1739" s="630"/>
      <c r="MNV1739" s="631"/>
      <c r="MNW1739" s="631"/>
      <c r="MNX1739" s="631"/>
      <c r="MNY1739" s="631"/>
      <c r="MNZ1739" s="631"/>
      <c r="MOA1739" s="631"/>
      <c r="MOB1739" s="631"/>
      <c r="MOC1739" s="630"/>
      <c r="MOD1739" s="668">
        <f t="shared" ref="MOD1739" si="1678">ROUND((SUM(MOD1738:MOD1738)),2)</f>
        <v>8</v>
      </c>
      <c r="MOE1739" s="669" t="s">
        <v>2</v>
      </c>
      <c r="MOG1739" s="660"/>
      <c r="MOH1739" s="660"/>
      <c r="MOJ1739" s="629"/>
      <c r="MOK1739" s="630"/>
      <c r="MOL1739" s="631"/>
      <c r="MOM1739" s="631"/>
      <c r="MON1739" s="631"/>
      <c r="MOO1739" s="631"/>
      <c r="MOP1739" s="631"/>
      <c r="MOQ1739" s="631"/>
      <c r="MOR1739" s="631"/>
      <c r="MOS1739" s="630"/>
      <c r="MOT1739" s="668">
        <f t="shared" ref="MOT1739" si="1679">ROUND((SUM(MOT1738:MOT1738)),2)</f>
        <v>8</v>
      </c>
      <c r="MOU1739" s="669" t="s">
        <v>2</v>
      </c>
      <c r="MOW1739" s="660"/>
      <c r="MOX1739" s="660"/>
      <c r="MOZ1739" s="629"/>
      <c r="MPA1739" s="630"/>
      <c r="MPB1739" s="631"/>
      <c r="MPC1739" s="631"/>
      <c r="MPD1739" s="631"/>
      <c r="MPE1739" s="631"/>
      <c r="MPF1739" s="631"/>
      <c r="MPG1739" s="631"/>
      <c r="MPH1739" s="631"/>
      <c r="MPI1739" s="630"/>
      <c r="MPJ1739" s="668">
        <f t="shared" ref="MPJ1739" si="1680">ROUND((SUM(MPJ1738:MPJ1738)),2)</f>
        <v>8</v>
      </c>
      <c r="MPK1739" s="669" t="s">
        <v>2</v>
      </c>
      <c r="MPM1739" s="660"/>
      <c r="MPN1739" s="660"/>
      <c r="MPP1739" s="629"/>
      <c r="MPQ1739" s="630"/>
      <c r="MPR1739" s="631"/>
      <c r="MPS1739" s="631"/>
      <c r="MPT1739" s="631"/>
      <c r="MPU1739" s="631"/>
      <c r="MPV1739" s="631"/>
      <c r="MPW1739" s="631"/>
      <c r="MPX1739" s="631"/>
      <c r="MPY1739" s="630"/>
      <c r="MPZ1739" s="668">
        <f t="shared" ref="MPZ1739" si="1681">ROUND((SUM(MPZ1738:MPZ1738)),2)</f>
        <v>8</v>
      </c>
      <c r="MQA1739" s="669" t="s">
        <v>2</v>
      </c>
      <c r="MQC1739" s="660"/>
      <c r="MQD1739" s="660"/>
      <c r="MQF1739" s="629"/>
      <c r="MQG1739" s="630"/>
      <c r="MQH1739" s="631"/>
      <c r="MQI1739" s="631"/>
      <c r="MQJ1739" s="631"/>
      <c r="MQK1739" s="631"/>
      <c r="MQL1739" s="631"/>
      <c r="MQM1739" s="631"/>
      <c r="MQN1739" s="631"/>
      <c r="MQO1739" s="630"/>
      <c r="MQP1739" s="668">
        <f t="shared" ref="MQP1739" si="1682">ROUND((SUM(MQP1738:MQP1738)),2)</f>
        <v>8</v>
      </c>
      <c r="MQQ1739" s="669" t="s">
        <v>2</v>
      </c>
      <c r="MQS1739" s="660"/>
      <c r="MQT1739" s="660"/>
      <c r="MQV1739" s="629"/>
      <c r="MQW1739" s="630"/>
      <c r="MQX1739" s="631"/>
      <c r="MQY1739" s="631"/>
      <c r="MQZ1739" s="631"/>
      <c r="MRA1739" s="631"/>
      <c r="MRB1739" s="631"/>
      <c r="MRC1739" s="631"/>
      <c r="MRD1739" s="631"/>
      <c r="MRE1739" s="630"/>
      <c r="MRF1739" s="668">
        <f t="shared" ref="MRF1739" si="1683">ROUND((SUM(MRF1738:MRF1738)),2)</f>
        <v>8</v>
      </c>
      <c r="MRG1739" s="669" t="s">
        <v>2</v>
      </c>
      <c r="MRI1739" s="660"/>
      <c r="MRJ1739" s="660"/>
      <c r="MRL1739" s="629"/>
      <c r="MRM1739" s="630"/>
      <c r="MRN1739" s="631"/>
      <c r="MRO1739" s="631"/>
      <c r="MRP1739" s="631"/>
      <c r="MRQ1739" s="631"/>
      <c r="MRR1739" s="631"/>
      <c r="MRS1739" s="631"/>
      <c r="MRT1739" s="631"/>
      <c r="MRU1739" s="630"/>
      <c r="MRV1739" s="668">
        <f t="shared" ref="MRV1739" si="1684">ROUND((SUM(MRV1738:MRV1738)),2)</f>
        <v>8</v>
      </c>
      <c r="MRW1739" s="669" t="s">
        <v>2</v>
      </c>
      <c r="MRY1739" s="660"/>
      <c r="MRZ1739" s="660"/>
      <c r="MSB1739" s="629"/>
      <c r="MSC1739" s="630"/>
      <c r="MSD1739" s="631"/>
      <c r="MSE1739" s="631"/>
      <c r="MSF1739" s="631"/>
      <c r="MSG1739" s="631"/>
      <c r="MSH1739" s="631"/>
      <c r="MSI1739" s="631"/>
      <c r="MSJ1739" s="631"/>
      <c r="MSK1739" s="630"/>
      <c r="MSL1739" s="668">
        <f t="shared" ref="MSL1739" si="1685">ROUND((SUM(MSL1738:MSL1738)),2)</f>
        <v>8</v>
      </c>
      <c r="MSM1739" s="669" t="s">
        <v>2</v>
      </c>
      <c r="MSO1739" s="660"/>
      <c r="MSP1739" s="660"/>
      <c r="MSR1739" s="629"/>
      <c r="MSS1739" s="630"/>
      <c r="MST1739" s="631"/>
      <c r="MSU1739" s="631"/>
      <c r="MSV1739" s="631"/>
      <c r="MSW1739" s="631"/>
      <c r="MSX1739" s="631"/>
      <c r="MSY1739" s="631"/>
      <c r="MSZ1739" s="631"/>
      <c r="MTA1739" s="630"/>
      <c r="MTB1739" s="668">
        <f t="shared" ref="MTB1739" si="1686">ROUND((SUM(MTB1738:MTB1738)),2)</f>
        <v>8</v>
      </c>
      <c r="MTC1739" s="669" t="s">
        <v>2</v>
      </c>
      <c r="MTE1739" s="660"/>
      <c r="MTF1739" s="660"/>
      <c r="MTH1739" s="629"/>
      <c r="MTI1739" s="630"/>
      <c r="MTJ1739" s="631"/>
      <c r="MTK1739" s="631"/>
      <c r="MTL1739" s="631"/>
      <c r="MTM1739" s="631"/>
      <c r="MTN1739" s="631"/>
      <c r="MTO1739" s="631"/>
      <c r="MTP1739" s="631"/>
      <c r="MTQ1739" s="630"/>
      <c r="MTR1739" s="668">
        <f t="shared" ref="MTR1739" si="1687">ROUND((SUM(MTR1738:MTR1738)),2)</f>
        <v>8</v>
      </c>
      <c r="MTS1739" s="669" t="s">
        <v>2</v>
      </c>
      <c r="MTU1739" s="660"/>
      <c r="MTV1739" s="660"/>
      <c r="MTX1739" s="629"/>
      <c r="MTY1739" s="630"/>
      <c r="MTZ1739" s="631"/>
      <c r="MUA1739" s="631"/>
      <c r="MUB1739" s="631"/>
      <c r="MUC1739" s="631"/>
      <c r="MUD1739" s="631"/>
      <c r="MUE1739" s="631"/>
      <c r="MUF1739" s="631"/>
      <c r="MUG1739" s="630"/>
      <c r="MUH1739" s="668">
        <f t="shared" ref="MUH1739" si="1688">ROUND((SUM(MUH1738:MUH1738)),2)</f>
        <v>8</v>
      </c>
      <c r="MUI1739" s="669" t="s">
        <v>2</v>
      </c>
      <c r="MUK1739" s="660"/>
      <c r="MUL1739" s="660"/>
      <c r="MUN1739" s="629"/>
      <c r="MUO1739" s="630"/>
      <c r="MUP1739" s="631"/>
      <c r="MUQ1739" s="631"/>
      <c r="MUR1739" s="631"/>
      <c r="MUS1739" s="631"/>
      <c r="MUT1739" s="631"/>
      <c r="MUU1739" s="631"/>
      <c r="MUV1739" s="631"/>
      <c r="MUW1739" s="630"/>
      <c r="MUX1739" s="668">
        <f t="shared" ref="MUX1739" si="1689">ROUND((SUM(MUX1738:MUX1738)),2)</f>
        <v>8</v>
      </c>
      <c r="MUY1739" s="669" t="s">
        <v>2</v>
      </c>
      <c r="MVA1739" s="660"/>
      <c r="MVB1739" s="660"/>
      <c r="MVD1739" s="629"/>
      <c r="MVE1739" s="630"/>
      <c r="MVF1739" s="631"/>
      <c r="MVG1739" s="631"/>
      <c r="MVH1739" s="631"/>
      <c r="MVI1739" s="631"/>
      <c r="MVJ1739" s="631"/>
      <c r="MVK1739" s="631"/>
      <c r="MVL1739" s="631"/>
      <c r="MVM1739" s="630"/>
      <c r="MVN1739" s="668">
        <f t="shared" ref="MVN1739" si="1690">ROUND((SUM(MVN1738:MVN1738)),2)</f>
        <v>8</v>
      </c>
      <c r="MVO1739" s="669" t="s">
        <v>2</v>
      </c>
      <c r="MVQ1739" s="660"/>
      <c r="MVR1739" s="660"/>
      <c r="MVT1739" s="629"/>
      <c r="MVU1739" s="630"/>
      <c r="MVV1739" s="631"/>
      <c r="MVW1739" s="631"/>
      <c r="MVX1739" s="631"/>
      <c r="MVY1739" s="631"/>
      <c r="MVZ1739" s="631"/>
      <c r="MWA1739" s="631"/>
      <c r="MWB1739" s="631"/>
      <c r="MWC1739" s="630"/>
      <c r="MWD1739" s="668">
        <f t="shared" ref="MWD1739" si="1691">ROUND((SUM(MWD1738:MWD1738)),2)</f>
        <v>8</v>
      </c>
      <c r="MWE1739" s="669" t="s">
        <v>2</v>
      </c>
      <c r="MWG1739" s="660"/>
      <c r="MWH1739" s="660"/>
      <c r="MWJ1739" s="629"/>
      <c r="MWK1739" s="630"/>
      <c r="MWL1739" s="631"/>
      <c r="MWM1739" s="631"/>
      <c r="MWN1739" s="631"/>
      <c r="MWO1739" s="631"/>
      <c r="MWP1739" s="631"/>
      <c r="MWQ1739" s="631"/>
      <c r="MWR1739" s="631"/>
      <c r="MWS1739" s="630"/>
      <c r="MWT1739" s="668">
        <f t="shared" ref="MWT1739" si="1692">ROUND((SUM(MWT1738:MWT1738)),2)</f>
        <v>8</v>
      </c>
      <c r="MWU1739" s="669" t="s">
        <v>2</v>
      </c>
      <c r="MWW1739" s="660"/>
      <c r="MWX1739" s="660"/>
      <c r="MWZ1739" s="629"/>
      <c r="MXA1739" s="630"/>
      <c r="MXB1739" s="631"/>
      <c r="MXC1739" s="631"/>
      <c r="MXD1739" s="631"/>
      <c r="MXE1739" s="631"/>
      <c r="MXF1739" s="631"/>
      <c r="MXG1739" s="631"/>
      <c r="MXH1739" s="631"/>
      <c r="MXI1739" s="630"/>
      <c r="MXJ1739" s="668">
        <f t="shared" ref="MXJ1739" si="1693">ROUND((SUM(MXJ1738:MXJ1738)),2)</f>
        <v>8</v>
      </c>
      <c r="MXK1739" s="669" t="s">
        <v>2</v>
      </c>
      <c r="MXM1739" s="660"/>
      <c r="MXN1739" s="660"/>
      <c r="MXP1739" s="629"/>
      <c r="MXQ1739" s="630"/>
      <c r="MXR1739" s="631"/>
      <c r="MXS1739" s="631"/>
      <c r="MXT1739" s="631"/>
      <c r="MXU1739" s="631"/>
      <c r="MXV1739" s="631"/>
      <c r="MXW1739" s="631"/>
      <c r="MXX1739" s="631"/>
      <c r="MXY1739" s="630"/>
      <c r="MXZ1739" s="668">
        <f t="shared" ref="MXZ1739" si="1694">ROUND((SUM(MXZ1738:MXZ1738)),2)</f>
        <v>8</v>
      </c>
      <c r="MYA1739" s="669" t="s">
        <v>2</v>
      </c>
      <c r="MYC1739" s="660"/>
      <c r="MYD1739" s="660"/>
      <c r="MYF1739" s="629"/>
      <c r="MYG1739" s="630"/>
      <c r="MYH1739" s="631"/>
      <c r="MYI1739" s="631"/>
      <c r="MYJ1739" s="631"/>
      <c r="MYK1739" s="631"/>
      <c r="MYL1739" s="631"/>
      <c r="MYM1739" s="631"/>
      <c r="MYN1739" s="631"/>
      <c r="MYO1739" s="630"/>
      <c r="MYP1739" s="668">
        <f t="shared" ref="MYP1739" si="1695">ROUND((SUM(MYP1738:MYP1738)),2)</f>
        <v>8</v>
      </c>
      <c r="MYQ1739" s="669" t="s">
        <v>2</v>
      </c>
      <c r="MYS1739" s="660"/>
      <c r="MYT1739" s="660"/>
      <c r="MYV1739" s="629"/>
      <c r="MYW1739" s="630"/>
      <c r="MYX1739" s="631"/>
      <c r="MYY1739" s="631"/>
      <c r="MYZ1739" s="631"/>
      <c r="MZA1739" s="631"/>
      <c r="MZB1739" s="631"/>
      <c r="MZC1739" s="631"/>
      <c r="MZD1739" s="631"/>
      <c r="MZE1739" s="630"/>
      <c r="MZF1739" s="668">
        <f t="shared" ref="MZF1739" si="1696">ROUND((SUM(MZF1738:MZF1738)),2)</f>
        <v>8</v>
      </c>
      <c r="MZG1739" s="669" t="s">
        <v>2</v>
      </c>
      <c r="MZI1739" s="660"/>
      <c r="MZJ1739" s="660"/>
      <c r="MZL1739" s="629"/>
      <c r="MZM1739" s="630"/>
      <c r="MZN1739" s="631"/>
      <c r="MZO1739" s="631"/>
      <c r="MZP1739" s="631"/>
      <c r="MZQ1739" s="631"/>
      <c r="MZR1739" s="631"/>
      <c r="MZS1739" s="631"/>
      <c r="MZT1739" s="631"/>
      <c r="MZU1739" s="630"/>
      <c r="MZV1739" s="668">
        <f t="shared" ref="MZV1739" si="1697">ROUND((SUM(MZV1738:MZV1738)),2)</f>
        <v>8</v>
      </c>
      <c r="MZW1739" s="669" t="s">
        <v>2</v>
      </c>
      <c r="MZY1739" s="660"/>
      <c r="MZZ1739" s="660"/>
      <c r="NAB1739" s="629"/>
      <c r="NAC1739" s="630"/>
      <c r="NAD1739" s="631"/>
      <c r="NAE1739" s="631"/>
      <c r="NAF1739" s="631"/>
      <c r="NAG1739" s="631"/>
      <c r="NAH1739" s="631"/>
      <c r="NAI1739" s="631"/>
      <c r="NAJ1739" s="631"/>
      <c r="NAK1739" s="630"/>
      <c r="NAL1739" s="668">
        <f t="shared" ref="NAL1739" si="1698">ROUND((SUM(NAL1738:NAL1738)),2)</f>
        <v>8</v>
      </c>
      <c r="NAM1739" s="669" t="s">
        <v>2</v>
      </c>
      <c r="NAO1739" s="660"/>
      <c r="NAP1739" s="660"/>
      <c r="NAR1739" s="629"/>
      <c r="NAS1739" s="630"/>
      <c r="NAT1739" s="631"/>
      <c r="NAU1739" s="631"/>
      <c r="NAV1739" s="631"/>
      <c r="NAW1739" s="631"/>
      <c r="NAX1739" s="631"/>
      <c r="NAY1739" s="631"/>
      <c r="NAZ1739" s="631"/>
      <c r="NBA1739" s="630"/>
      <c r="NBB1739" s="668">
        <f t="shared" ref="NBB1739" si="1699">ROUND((SUM(NBB1738:NBB1738)),2)</f>
        <v>8</v>
      </c>
      <c r="NBC1739" s="669" t="s">
        <v>2</v>
      </c>
      <c r="NBE1739" s="660"/>
      <c r="NBF1739" s="660"/>
      <c r="NBH1739" s="629"/>
      <c r="NBI1739" s="630"/>
      <c r="NBJ1739" s="631"/>
      <c r="NBK1739" s="631"/>
      <c r="NBL1739" s="631"/>
      <c r="NBM1739" s="631"/>
      <c r="NBN1739" s="631"/>
      <c r="NBO1739" s="631"/>
      <c r="NBP1739" s="631"/>
      <c r="NBQ1739" s="630"/>
      <c r="NBR1739" s="668">
        <f t="shared" ref="NBR1739" si="1700">ROUND((SUM(NBR1738:NBR1738)),2)</f>
        <v>8</v>
      </c>
      <c r="NBS1739" s="669" t="s">
        <v>2</v>
      </c>
      <c r="NBU1739" s="660"/>
      <c r="NBV1739" s="660"/>
      <c r="NBX1739" s="629"/>
      <c r="NBY1739" s="630"/>
      <c r="NBZ1739" s="631"/>
      <c r="NCA1739" s="631"/>
      <c r="NCB1739" s="631"/>
      <c r="NCC1739" s="631"/>
      <c r="NCD1739" s="631"/>
      <c r="NCE1739" s="631"/>
      <c r="NCF1739" s="631"/>
      <c r="NCG1739" s="630"/>
      <c r="NCH1739" s="668">
        <f t="shared" ref="NCH1739" si="1701">ROUND((SUM(NCH1738:NCH1738)),2)</f>
        <v>8</v>
      </c>
      <c r="NCI1739" s="669" t="s">
        <v>2</v>
      </c>
      <c r="NCK1739" s="660"/>
      <c r="NCL1739" s="660"/>
      <c r="NCN1739" s="629"/>
      <c r="NCO1739" s="630"/>
      <c r="NCP1739" s="631"/>
      <c r="NCQ1739" s="631"/>
      <c r="NCR1739" s="631"/>
      <c r="NCS1739" s="631"/>
      <c r="NCT1739" s="631"/>
      <c r="NCU1739" s="631"/>
      <c r="NCV1739" s="631"/>
      <c r="NCW1739" s="630"/>
      <c r="NCX1739" s="668">
        <f t="shared" ref="NCX1739" si="1702">ROUND((SUM(NCX1738:NCX1738)),2)</f>
        <v>8</v>
      </c>
      <c r="NCY1739" s="669" t="s">
        <v>2</v>
      </c>
      <c r="NDA1739" s="660"/>
      <c r="NDB1739" s="660"/>
      <c r="NDD1739" s="629"/>
      <c r="NDE1739" s="630"/>
      <c r="NDF1739" s="631"/>
      <c r="NDG1739" s="631"/>
      <c r="NDH1739" s="631"/>
      <c r="NDI1739" s="631"/>
      <c r="NDJ1739" s="631"/>
      <c r="NDK1739" s="631"/>
      <c r="NDL1739" s="631"/>
      <c r="NDM1739" s="630"/>
      <c r="NDN1739" s="668">
        <f t="shared" ref="NDN1739" si="1703">ROUND((SUM(NDN1738:NDN1738)),2)</f>
        <v>8</v>
      </c>
      <c r="NDO1739" s="669" t="s">
        <v>2</v>
      </c>
      <c r="NDQ1739" s="660"/>
      <c r="NDR1739" s="660"/>
      <c r="NDT1739" s="629"/>
      <c r="NDU1739" s="630"/>
      <c r="NDV1739" s="631"/>
      <c r="NDW1739" s="631"/>
      <c r="NDX1739" s="631"/>
      <c r="NDY1739" s="631"/>
      <c r="NDZ1739" s="631"/>
      <c r="NEA1739" s="631"/>
      <c r="NEB1739" s="631"/>
      <c r="NEC1739" s="630"/>
      <c r="NED1739" s="668">
        <f t="shared" ref="NED1739" si="1704">ROUND((SUM(NED1738:NED1738)),2)</f>
        <v>8</v>
      </c>
      <c r="NEE1739" s="669" t="s">
        <v>2</v>
      </c>
      <c r="NEG1739" s="660"/>
      <c r="NEH1739" s="660"/>
      <c r="NEJ1739" s="629"/>
      <c r="NEK1739" s="630"/>
      <c r="NEL1739" s="631"/>
      <c r="NEM1739" s="631"/>
      <c r="NEN1739" s="631"/>
      <c r="NEO1739" s="631"/>
      <c r="NEP1739" s="631"/>
      <c r="NEQ1739" s="631"/>
      <c r="NER1739" s="631"/>
      <c r="NES1739" s="630"/>
      <c r="NET1739" s="668">
        <f t="shared" ref="NET1739" si="1705">ROUND((SUM(NET1738:NET1738)),2)</f>
        <v>8</v>
      </c>
      <c r="NEU1739" s="669" t="s">
        <v>2</v>
      </c>
      <c r="NEW1739" s="660"/>
      <c r="NEX1739" s="660"/>
      <c r="NEZ1739" s="629"/>
      <c r="NFA1739" s="630"/>
      <c r="NFB1739" s="631"/>
      <c r="NFC1739" s="631"/>
      <c r="NFD1739" s="631"/>
      <c r="NFE1739" s="631"/>
      <c r="NFF1739" s="631"/>
      <c r="NFG1739" s="631"/>
      <c r="NFH1739" s="631"/>
      <c r="NFI1739" s="630"/>
      <c r="NFJ1739" s="668">
        <f t="shared" ref="NFJ1739" si="1706">ROUND((SUM(NFJ1738:NFJ1738)),2)</f>
        <v>8</v>
      </c>
      <c r="NFK1739" s="669" t="s">
        <v>2</v>
      </c>
      <c r="NFM1739" s="660"/>
      <c r="NFN1739" s="660"/>
      <c r="NFP1739" s="629"/>
      <c r="NFQ1739" s="630"/>
      <c r="NFR1739" s="631"/>
      <c r="NFS1739" s="631"/>
      <c r="NFT1739" s="631"/>
      <c r="NFU1739" s="631"/>
      <c r="NFV1739" s="631"/>
      <c r="NFW1739" s="631"/>
      <c r="NFX1739" s="631"/>
      <c r="NFY1739" s="630"/>
      <c r="NFZ1739" s="668">
        <f t="shared" ref="NFZ1739" si="1707">ROUND((SUM(NFZ1738:NFZ1738)),2)</f>
        <v>8</v>
      </c>
      <c r="NGA1739" s="669" t="s">
        <v>2</v>
      </c>
      <c r="NGC1739" s="660"/>
      <c r="NGD1739" s="660"/>
      <c r="NGF1739" s="629"/>
      <c r="NGG1739" s="630"/>
      <c r="NGH1739" s="631"/>
      <c r="NGI1739" s="631"/>
      <c r="NGJ1739" s="631"/>
      <c r="NGK1739" s="631"/>
      <c r="NGL1739" s="631"/>
      <c r="NGM1739" s="631"/>
      <c r="NGN1739" s="631"/>
      <c r="NGO1739" s="630"/>
      <c r="NGP1739" s="668">
        <f t="shared" ref="NGP1739" si="1708">ROUND((SUM(NGP1738:NGP1738)),2)</f>
        <v>8</v>
      </c>
      <c r="NGQ1739" s="669" t="s">
        <v>2</v>
      </c>
      <c r="NGS1739" s="660"/>
      <c r="NGT1739" s="660"/>
      <c r="NGV1739" s="629"/>
      <c r="NGW1739" s="630"/>
      <c r="NGX1739" s="631"/>
      <c r="NGY1739" s="631"/>
      <c r="NGZ1739" s="631"/>
      <c r="NHA1739" s="631"/>
      <c r="NHB1739" s="631"/>
      <c r="NHC1739" s="631"/>
      <c r="NHD1739" s="631"/>
      <c r="NHE1739" s="630"/>
      <c r="NHF1739" s="668">
        <f t="shared" ref="NHF1739" si="1709">ROUND((SUM(NHF1738:NHF1738)),2)</f>
        <v>8</v>
      </c>
      <c r="NHG1739" s="669" t="s">
        <v>2</v>
      </c>
      <c r="NHI1739" s="660"/>
      <c r="NHJ1739" s="660"/>
      <c r="NHL1739" s="629"/>
      <c r="NHM1739" s="630"/>
      <c r="NHN1739" s="631"/>
      <c r="NHO1739" s="631"/>
      <c r="NHP1739" s="631"/>
      <c r="NHQ1739" s="631"/>
      <c r="NHR1739" s="631"/>
      <c r="NHS1739" s="631"/>
      <c r="NHT1739" s="631"/>
      <c r="NHU1739" s="630"/>
      <c r="NHV1739" s="668">
        <f t="shared" ref="NHV1739" si="1710">ROUND((SUM(NHV1738:NHV1738)),2)</f>
        <v>8</v>
      </c>
      <c r="NHW1739" s="669" t="s">
        <v>2</v>
      </c>
      <c r="NHY1739" s="660"/>
      <c r="NHZ1739" s="660"/>
      <c r="NIB1739" s="629"/>
      <c r="NIC1739" s="630"/>
      <c r="NID1739" s="631"/>
      <c r="NIE1739" s="631"/>
      <c r="NIF1739" s="631"/>
      <c r="NIG1739" s="631"/>
      <c r="NIH1739" s="631"/>
      <c r="NII1739" s="631"/>
      <c r="NIJ1739" s="631"/>
      <c r="NIK1739" s="630"/>
      <c r="NIL1739" s="668">
        <f t="shared" ref="NIL1739" si="1711">ROUND((SUM(NIL1738:NIL1738)),2)</f>
        <v>8</v>
      </c>
      <c r="NIM1739" s="669" t="s">
        <v>2</v>
      </c>
      <c r="NIO1739" s="660"/>
      <c r="NIP1739" s="660"/>
      <c r="NIR1739" s="629"/>
      <c r="NIS1739" s="630"/>
      <c r="NIT1739" s="631"/>
      <c r="NIU1739" s="631"/>
      <c r="NIV1739" s="631"/>
      <c r="NIW1739" s="631"/>
      <c r="NIX1739" s="631"/>
      <c r="NIY1739" s="631"/>
      <c r="NIZ1739" s="631"/>
      <c r="NJA1739" s="630"/>
      <c r="NJB1739" s="668">
        <f t="shared" ref="NJB1739" si="1712">ROUND((SUM(NJB1738:NJB1738)),2)</f>
        <v>8</v>
      </c>
      <c r="NJC1739" s="669" t="s">
        <v>2</v>
      </c>
      <c r="NJE1739" s="660"/>
      <c r="NJF1739" s="660"/>
      <c r="NJH1739" s="629"/>
      <c r="NJI1739" s="630"/>
      <c r="NJJ1739" s="631"/>
      <c r="NJK1739" s="631"/>
      <c r="NJL1739" s="631"/>
      <c r="NJM1739" s="631"/>
      <c r="NJN1739" s="631"/>
      <c r="NJO1739" s="631"/>
      <c r="NJP1739" s="631"/>
      <c r="NJQ1739" s="630"/>
      <c r="NJR1739" s="668">
        <f t="shared" ref="NJR1739" si="1713">ROUND((SUM(NJR1738:NJR1738)),2)</f>
        <v>8</v>
      </c>
      <c r="NJS1739" s="669" t="s">
        <v>2</v>
      </c>
      <c r="NJU1739" s="660"/>
      <c r="NJV1739" s="660"/>
      <c r="NJX1739" s="629"/>
      <c r="NJY1739" s="630"/>
      <c r="NJZ1739" s="631"/>
      <c r="NKA1739" s="631"/>
      <c r="NKB1739" s="631"/>
      <c r="NKC1739" s="631"/>
      <c r="NKD1739" s="631"/>
      <c r="NKE1739" s="631"/>
      <c r="NKF1739" s="631"/>
      <c r="NKG1739" s="630"/>
      <c r="NKH1739" s="668">
        <f t="shared" ref="NKH1739" si="1714">ROUND((SUM(NKH1738:NKH1738)),2)</f>
        <v>8</v>
      </c>
      <c r="NKI1739" s="669" t="s">
        <v>2</v>
      </c>
      <c r="NKK1739" s="660"/>
      <c r="NKL1739" s="660"/>
      <c r="NKN1739" s="629"/>
      <c r="NKO1739" s="630"/>
      <c r="NKP1739" s="631"/>
      <c r="NKQ1739" s="631"/>
      <c r="NKR1739" s="631"/>
      <c r="NKS1739" s="631"/>
      <c r="NKT1739" s="631"/>
      <c r="NKU1739" s="631"/>
      <c r="NKV1739" s="631"/>
      <c r="NKW1739" s="630"/>
      <c r="NKX1739" s="668">
        <f t="shared" ref="NKX1739" si="1715">ROUND((SUM(NKX1738:NKX1738)),2)</f>
        <v>8</v>
      </c>
      <c r="NKY1739" s="669" t="s">
        <v>2</v>
      </c>
      <c r="NLA1739" s="660"/>
      <c r="NLB1739" s="660"/>
      <c r="NLD1739" s="629"/>
      <c r="NLE1739" s="630"/>
      <c r="NLF1739" s="631"/>
      <c r="NLG1739" s="631"/>
      <c r="NLH1739" s="631"/>
      <c r="NLI1739" s="631"/>
      <c r="NLJ1739" s="631"/>
      <c r="NLK1739" s="631"/>
      <c r="NLL1739" s="631"/>
      <c r="NLM1739" s="630"/>
      <c r="NLN1739" s="668">
        <f t="shared" ref="NLN1739" si="1716">ROUND((SUM(NLN1738:NLN1738)),2)</f>
        <v>8</v>
      </c>
      <c r="NLO1739" s="669" t="s">
        <v>2</v>
      </c>
      <c r="NLQ1739" s="660"/>
      <c r="NLR1739" s="660"/>
      <c r="NLT1739" s="629"/>
      <c r="NLU1739" s="630"/>
      <c r="NLV1739" s="631"/>
      <c r="NLW1739" s="631"/>
      <c r="NLX1739" s="631"/>
      <c r="NLY1739" s="631"/>
      <c r="NLZ1739" s="631"/>
      <c r="NMA1739" s="631"/>
      <c r="NMB1739" s="631"/>
      <c r="NMC1739" s="630"/>
      <c r="NMD1739" s="668">
        <f t="shared" ref="NMD1739" si="1717">ROUND((SUM(NMD1738:NMD1738)),2)</f>
        <v>8</v>
      </c>
      <c r="NME1739" s="669" t="s">
        <v>2</v>
      </c>
      <c r="NMG1739" s="660"/>
      <c r="NMH1739" s="660"/>
      <c r="NMJ1739" s="629"/>
      <c r="NMK1739" s="630"/>
      <c r="NML1739" s="631"/>
      <c r="NMM1739" s="631"/>
      <c r="NMN1739" s="631"/>
      <c r="NMO1739" s="631"/>
      <c r="NMP1739" s="631"/>
      <c r="NMQ1739" s="631"/>
      <c r="NMR1739" s="631"/>
      <c r="NMS1739" s="630"/>
      <c r="NMT1739" s="668">
        <f t="shared" ref="NMT1739" si="1718">ROUND((SUM(NMT1738:NMT1738)),2)</f>
        <v>8</v>
      </c>
      <c r="NMU1739" s="669" t="s">
        <v>2</v>
      </c>
      <c r="NMW1739" s="660"/>
      <c r="NMX1739" s="660"/>
      <c r="NMZ1739" s="629"/>
      <c r="NNA1739" s="630"/>
      <c r="NNB1739" s="631"/>
      <c r="NNC1739" s="631"/>
      <c r="NND1739" s="631"/>
      <c r="NNE1739" s="631"/>
      <c r="NNF1739" s="631"/>
      <c r="NNG1739" s="631"/>
      <c r="NNH1739" s="631"/>
      <c r="NNI1739" s="630"/>
      <c r="NNJ1739" s="668">
        <f t="shared" ref="NNJ1739" si="1719">ROUND((SUM(NNJ1738:NNJ1738)),2)</f>
        <v>8</v>
      </c>
      <c r="NNK1739" s="669" t="s">
        <v>2</v>
      </c>
      <c r="NNM1739" s="660"/>
      <c r="NNN1739" s="660"/>
      <c r="NNP1739" s="629"/>
      <c r="NNQ1739" s="630"/>
      <c r="NNR1739" s="631"/>
      <c r="NNS1739" s="631"/>
      <c r="NNT1739" s="631"/>
      <c r="NNU1739" s="631"/>
      <c r="NNV1739" s="631"/>
      <c r="NNW1739" s="631"/>
      <c r="NNX1739" s="631"/>
      <c r="NNY1739" s="630"/>
      <c r="NNZ1739" s="668">
        <f t="shared" ref="NNZ1739" si="1720">ROUND((SUM(NNZ1738:NNZ1738)),2)</f>
        <v>8</v>
      </c>
      <c r="NOA1739" s="669" t="s">
        <v>2</v>
      </c>
      <c r="NOC1739" s="660"/>
      <c r="NOD1739" s="660"/>
      <c r="NOF1739" s="629"/>
      <c r="NOG1739" s="630"/>
      <c r="NOH1739" s="631"/>
      <c r="NOI1739" s="631"/>
      <c r="NOJ1739" s="631"/>
      <c r="NOK1739" s="631"/>
      <c r="NOL1739" s="631"/>
      <c r="NOM1739" s="631"/>
      <c r="NON1739" s="631"/>
      <c r="NOO1739" s="630"/>
      <c r="NOP1739" s="668">
        <f t="shared" ref="NOP1739" si="1721">ROUND((SUM(NOP1738:NOP1738)),2)</f>
        <v>8</v>
      </c>
      <c r="NOQ1739" s="669" t="s">
        <v>2</v>
      </c>
      <c r="NOS1739" s="660"/>
      <c r="NOT1739" s="660"/>
      <c r="NOV1739" s="629"/>
      <c r="NOW1739" s="630"/>
      <c r="NOX1739" s="631"/>
      <c r="NOY1739" s="631"/>
      <c r="NOZ1739" s="631"/>
      <c r="NPA1739" s="631"/>
      <c r="NPB1739" s="631"/>
      <c r="NPC1739" s="631"/>
      <c r="NPD1739" s="631"/>
      <c r="NPE1739" s="630"/>
      <c r="NPF1739" s="668">
        <f t="shared" ref="NPF1739" si="1722">ROUND((SUM(NPF1738:NPF1738)),2)</f>
        <v>8</v>
      </c>
      <c r="NPG1739" s="669" t="s">
        <v>2</v>
      </c>
      <c r="NPI1739" s="660"/>
      <c r="NPJ1739" s="660"/>
      <c r="NPL1739" s="629"/>
      <c r="NPM1739" s="630"/>
      <c r="NPN1739" s="631"/>
      <c r="NPO1739" s="631"/>
      <c r="NPP1739" s="631"/>
      <c r="NPQ1739" s="631"/>
      <c r="NPR1739" s="631"/>
      <c r="NPS1739" s="631"/>
      <c r="NPT1739" s="631"/>
      <c r="NPU1739" s="630"/>
      <c r="NPV1739" s="668">
        <f t="shared" ref="NPV1739" si="1723">ROUND((SUM(NPV1738:NPV1738)),2)</f>
        <v>8</v>
      </c>
      <c r="NPW1739" s="669" t="s">
        <v>2</v>
      </c>
      <c r="NPY1739" s="660"/>
      <c r="NPZ1739" s="660"/>
      <c r="NQB1739" s="629"/>
      <c r="NQC1739" s="630"/>
      <c r="NQD1739" s="631"/>
      <c r="NQE1739" s="631"/>
      <c r="NQF1739" s="631"/>
      <c r="NQG1739" s="631"/>
      <c r="NQH1739" s="631"/>
      <c r="NQI1739" s="631"/>
      <c r="NQJ1739" s="631"/>
      <c r="NQK1739" s="630"/>
      <c r="NQL1739" s="668">
        <f t="shared" ref="NQL1739" si="1724">ROUND((SUM(NQL1738:NQL1738)),2)</f>
        <v>8</v>
      </c>
      <c r="NQM1739" s="669" t="s">
        <v>2</v>
      </c>
      <c r="NQO1739" s="660"/>
      <c r="NQP1739" s="660"/>
      <c r="NQR1739" s="629"/>
      <c r="NQS1739" s="630"/>
      <c r="NQT1739" s="631"/>
      <c r="NQU1739" s="631"/>
      <c r="NQV1739" s="631"/>
      <c r="NQW1739" s="631"/>
      <c r="NQX1739" s="631"/>
      <c r="NQY1739" s="631"/>
      <c r="NQZ1739" s="631"/>
      <c r="NRA1739" s="630"/>
      <c r="NRB1739" s="668">
        <f t="shared" ref="NRB1739" si="1725">ROUND((SUM(NRB1738:NRB1738)),2)</f>
        <v>8</v>
      </c>
      <c r="NRC1739" s="669" t="s">
        <v>2</v>
      </c>
      <c r="NRE1739" s="660"/>
      <c r="NRF1739" s="660"/>
      <c r="NRH1739" s="629"/>
      <c r="NRI1739" s="630"/>
      <c r="NRJ1739" s="631"/>
      <c r="NRK1739" s="631"/>
      <c r="NRL1739" s="631"/>
      <c r="NRM1739" s="631"/>
      <c r="NRN1739" s="631"/>
      <c r="NRO1739" s="631"/>
      <c r="NRP1739" s="631"/>
      <c r="NRQ1739" s="630"/>
      <c r="NRR1739" s="668">
        <f t="shared" ref="NRR1739" si="1726">ROUND((SUM(NRR1738:NRR1738)),2)</f>
        <v>8</v>
      </c>
      <c r="NRS1739" s="669" t="s">
        <v>2</v>
      </c>
      <c r="NRU1739" s="660"/>
      <c r="NRV1739" s="660"/>
      <c r="NRX1739" s="629"/>
      <c r="NRY1739" s="630"/>
      <c r="NRZ1739" s="631"/>
      <c r="NSA1739" s="631"/>
      <c r="NSB1739" s="631"/>
      <c r="NSC1739" s="631"/>
      <c r="NSD1739" s="631"/>
      <c r="NSE1739" s="631"/>
      <c r="NSF1739" s="631"/>
      <c r="NSG1739" s="630"/>
      <c r="NSH1739" s="668">
        <f t="shared" ref="NSH1739" si="1727">ROUND((SUM(NSH1738:NSH1738)),2)</f>
        <v>8</v>
      </c>
      <c r="NSI1739" s="669" t="s">
        <v>2</v>
      </c>
      <c r="NSK1739" s="660"/>
      <c r="NSL1739" s="660"/>
      <c r="NSN1739" s="629"/>
      <c r="NSO1739" s="630"/>
      <c r="NSP1739" s="631"/>
      <c r="NSQ1739" s="631"/>
      <c r="NSR1739" s="631"/>
      <c r="NSS1739" s="631"/>
      <c r="NST1739" s="631"/>
      <c r="NSU1739" s="631"/>
      <c r="NSV1739" s="631"/>
      <c r="NSW1739" s="630"/>
      <c r="NSX1739" s="668">
        <f t="shared" ref="NSX1739" si="1728">ROUND((SUM(NSX1738:NSX1738)),2)</f>
        <v>8</v>
      </c>
      <c r="NSY1739" s="669" t="s">
        <v>2</v>
      </c>
      <c r="NTA1739" s="660"/>
      <c r="NTB1739" s="660"/>
      <c r="NTD1739" s="629"/>
      <c r="NTE1739" s="630"/>
      <c r="NTF1739" s="631"/>
      <c r="NTG1739" s="631"/>
      <c r="NTH1739" s="631"/>
      <c r="NTI1739" s="631"/>
      <c r="NTJ1739" s="631"/>
      <c r="NTK1739" s="631"/>
      <c r="NTL1739" s="631"/>
      <c r="NTM1739" s="630"/>
      <c r="NTN1739" s="668">
        <f t="shared" ref="NTN1739" si="1729">ROUND((SUM(NTN1738:NTN1738)),2)</f>
        <v>8</v>
      </c>
      <c r="NTO1739" s="669" t="s">
        <v>2</v>
      </c>
      <c r="NTQ1739" s="660"/>
      <c r="NTR1739" s="660"/>
      <c r="NTT1739" s="629"/>
      <c r="NTU1739" s="630"/>
      <c r="NTV1739" s="631"/>
      <c r="NTW1739" s="631"/>
      <c r="NTX1739" s="631"/>
      <c r="NTY1739" s="631"/>
      <c r="NTZ1739" s="631"/>
      <c r="NUA1739" s="631"/>
      <c r="NUB1739" s="631"/>
      <c r="NUC1739" s="630"/>
      <c r="NUD1739" s="668">
        <f t="shared" ref="NUD1739" si="1730">ROUND((SUM(NUD1738:NUD1738)),2)</f>
        <v>8</v>
      </c>
      <c r="NUE1739" s="669" t="s">
        <v>2</v>
      </c>
      <c r="NUG1739" s="660"/>
      <c r="NUH1739" s="660"/>
      <c r="NUJ1739" s="629"/>
      <c r="NUK1739" s="630"/>
      <c r="NUL1739" s="631"/>
      <c r="NUM1739" s="631"/>
      <c r="NUN1739" s="631"/>
      <c r="NUO1739" s="631"/>
      <c r="NUP1739" s="631"/>
      <c r="NUQ1739" s="631"/>
      <c r="NUR1739" s="631"/>
      <c r="NUS1739" s="630"/>
      <c r="NUT1739" s="668">
        <f t="shared" ref="NUT1739" si="1731">ROUND((SUM(NUT1738:NUT1738)),2)</f>
        <v>8</v>
      </c>
      <c r="NUU1739" s="669" t="s">
        <v>2</v>
      </c>
      <c r="NUW1739" s="660"/>
      <c r="NUX1739" s="660"/>
      <c r="NUZ1739" s="629"/>
      <c r="NVA1739" s="630"/>
      <c r="NVB1739" s="631"/>
      <c r="NVC1739" s="631"/>
      <c r="NVD1739" s="631"/>
      <c r="NVE1739" s="631"/>
      <c r="NVF1739" s="631"/>
      <c r="NVG1739" s="631"/>
      <c r="NVH1739" s="631"/>
      <c r="NVI1739" s="630"/>
      <c r="NVJ1739" s="668">
        <f t="shared" ref="NVJ1739" si="1732">ROUND((SUM(NVJ1738:NVJ1738)),2)</f>
        <v>8</v>
      </c>
      <c r="NVK1739" s="669" t="s">
        <v>2</v>
      </c>
      <c r="NVM1739" s="660"/>
      <c r="NVN1739" s="660"/>
      <c r="NVP1739" s="629"/>
      <c r="NVQ1739" s="630"/>
      <c r="NVR1739" s="631"/>
      <c r="NVS1739" s="631"/>
      <c r="NVT1739" s="631"/>
      <c r="NVU1739" s="631"/>
      <c r="NVV1739" s="631"/>
      <c r="NVW1739" s="631"/>
      <c r="NVX1739" s="631"/>
      <c r="NVY1739" s="630"/>
      <c r="NVZ1739" s="668">
        <f t="shared" ref="NVZ1739" si="1733">ROUND((SUM(NVZ1738:NVZ1738)),2)</f>
        <v>8</v>
      </c>
      <c r="NWA1739" s="669" t="s">
        <v>2</v>
      </c>
      <c r="NWC1739" s="660"/>
      <c r="NWD1739" s="660"/>
      <c r="NWF1739" s="629"/>
      <c r="NWG1739" s="630"/>
      <c r="NWH1739" s="631"/>
      <c r="NWI1739" s="631"/>
      <c r="NWJ1739" s="631"/>
      <c r="NWK1739" s="631"/>
      <c r="NWL1739" s="631"/>
      <c r="NWM1739" s="631"/>
      <c r="NWN1739" s="631"/>
      <c r="NWO1739" s="630"/>
      <c r="NWP1739" s="668">
        <f t="shared" ref="NWP1739" si="1734">ROUND((SUM(NWP1738:NWP1738)),2)</f>
        <v>8</v>
      </c>
      <c r="NWQ1739" s="669" t="s">
        <v>2</v>
      </c>
      <c r="NWS1739" s="660"/>
      <c r="NWT1739" s="660"/>
      <c r="NWV1739" s="629"/>
      <c r="NWW1739" s="630"/>
      <c r="NWX1739" s="631"/>
      <c r="NWY1739" s="631"/>
      <c r="NWZ1739" s="631"/>
      <c r="NXA1739" s="631"/>
      <c r="NXB1739" s="631"/>
      <c r="NXC1739" s="631"/>
      <c r="NXD1739" s="631"/>
      <c r="NXE1739" s="630"/>
      <c r="NXF1739" s="668">
        <f t="shared" ref="NXF1739" si="1735">ROUND((SUM(NXF1738:NXF1738)),2)</f>
        <v>8</v>
      </c>
      <c r="NXG1739" s="669" t="s">
        <v>2</v>
      </c>
      <c r="NXI1739" s="660"/>
      <c r="NXJ1739" s="660"/>
      <c r="NXL1739" s="629"/>
      <c r="NXM1739" s="630"/>
      <c r="NXN1739" s="631"/>
      <c r="NXO1739" s="631"/>
      <c r="NXP1739" s="631"/>
      <c r="NXQ1739" s="631"/>
      <c r="NXR1739" s="631"/>
      <c r="NXS1739" s="631"/>
      <c r="NXT1739" s="631"/>
      <c r="NXU1739" s="630"/>
      <c r="NXV1739" s="668">
        <f t="shared" ref="NXV1739" si="1736">ROUND((SUM(NXV1738:NXV1738)),2)</f>
        <v>8</v>
      </c>
      <c r="NXW1739" s="669" t="s">
        <v>2</v>
      </c>
      <c r="NXY1739" s="660"/>
      <c r="NXZ1739" s="660"/>
      <c r="NYB1739" s="629"/>
      <c r="NYC1739" s="630"/>
      <c r="NYD1739" s="631"/>
      <c r="NYE1739" s="631"/>
      <c r="NYF1739" s="631"/>
      <c r="NYG1739" s="631"/>
      <c r="NYH1739" s="631"/>
      <c r="NYI1739" s="631"/>
      <c r="NYJ1739" s="631"/>
      <c r="NYK1739" s="630"/>
      <c r="NYL1739" s="668">
        <f t="shared" ref="NYL1739" si="1737">ROUND((SUM(NYL1738:NYL1738)),2)</f>
        <v>8</v>
      </c>
      <c r="NYM1739" s="669" t="s">
        <v>2</v>
      </c>
      <c r="NYO1739" s="660"/>
      <c r="NYP1739" s="660"/>
      <c r="NYR1739" s="629"/>
      <c r="NYS1739" s="630"/>
      <c r="NYT1739" s="631"/>
      <c r="NYU1739" s="631"/>
      <c r="NYV1739" s="631"/>
      <c r="NYW1739" s="631"/>
      <c r="NYX1739" s="631"/>
      <c r="NYY1739" s="631"/>
      <c r="NYZ1739" s="631"/>
      <c r="NZA1739" s="630"/>
      <c r="NZB1739" s="668">
        <f t="shared" ref="NZB1739" si="1738">ROUND((SUM(NZB1738:NZB1738)),2)</f>
        <v>8</v>
      </c>
      <c r="NZC1739" s="669" t="s">
        <v>2</v>
      </c>
      <c r="NZE1739" s="660"/>
      <c r="NZF1739" s="660"/>
      <c r="NZH1739" s="629"/>
      <c r="NZI1739" s="630"/>
      <c r="NZJ1739" s="631"/>
      <c r="NZK1739" s="631"/>
      <c r="NZL1739" s="631"/>
      <c r="NZM1739" s="631"/>
      <c r="NZN1739" s="631"/>
      <c r="NZO1739" s="631"/>
      <c r="NZP1739" s="631"/>
      <c r="NZQ1739" s="630"/>
      <c r="NZR1739" s="668">
        <f t="shared" ref="NZR1739" si="1739">ROUND((SUM(NZR1738:NZR1738)),2)</f>
        <v>8</v>
      </c>
      <c r="NZS1739" s="669" t="s">
        <v>2</v>
      </c>
      <c r="NZU1739" s="660"/>
      <c r="NZV1739" s="660"/>
      <c r="NZX1739" s="629"/>
      <c r="NZY1739" s="630"/>
      <c r="NZZ1739" s="631"/>
      <c r="OAA1739" s="631"/>
      <c r="OAB1739" s="631"/>
      <c r="OAC1739" s="631"/>
      <c r="OAD1739" s="631"/>
      <c r="OAE1739" s="631"/>
      <c r="OAF1739" s="631"/>
      <c r="OAG1739" s="630"/>
      <c r="OAH1739" s="668">
        <f t="shared" ref="OAH1739" si="1740">ROUND((SUM(OAH1738:OAH1738)),2)</f>
        <v>8</v>
      </c>
      <c r="OAI1739" s="669" t="s">
        <v>2</v>
      </c>
      <c r="OAK1739" s="660"/>
      <c r="OAL1739" s="660"/>
      <c r="OAN1739" s="629"/>
      <c r="OAO1739" s="630"/>
      <c r="OAP1739" s="631"/>
      <c r="OAQ1739" s="631"/>
      <c r="OAR1739" s="631"/>
      <c r="OAS1739" s="631"/>
      <c r="OAT1739" s="631"/>
      <c r="OAU1739" s="631"/>
      <c r="OAV1739" s="631"/>
      <c r="OAW1739" s="630"/>
      <c r="OAX1739" s="668">
        <f t="shared" ref="OAX1739" si="1741">ROUND((SUM(OAX1738:OAX1738)),2)</f>
        <v>8</v>
      </c>
      <c r="OAY1739" s="669" t="s">
        <v>2</v>
      </c>
      <c r="OBA1739" s="660"/>
      <c r="OBB1739" s="660"/>
      <c r="OBD1739" s="629"/>
      <c r="OBE1739" s="630"/>
      <c r="OBF1739" s="631"/>
      <c r="OBG1739" s="631"/>
      <c r="OBH1739" s="631"/>
      <c r="OBI1739" s="631"/>
      <c r="OBJ1739" s="631"/>
      <c r="OBK1739" s="631"/>
      <c r="OBL1739" s="631"/>
      <c r="OBM1739" s="630"/>
      <c r="OBN1739" s="668">
        <f t="shared" ref="OBN1739" si="1742">ROUND((SUM(OBN1738:OBN1738)),2)</f>
        <v>8</v>
      </c>
      <c r="OBO1739" s="669" t="s">
        <v>2</v>
      </c>
      <c r="OBQ1739" s="660"/>
      <c r="OBR1739" s="660"/>
      <c r="OBT1739" s="629"/>
      <c r="OBU1739" s="630"/>
      <c r="OBV1739" s="631"/>
      <c r="OBW1739" s="631"/>
      <c r="OBX1739" s="631"/>
      <c r="OBY1739" s="631"/>
      <c r="OBZ1739" s="631"/>
      <c r="OCA1739" s="631"/>
      <c r="OCB1739" s="631"/>
      <c r="OCC1739" s="630"/>
      <c r="OCD1739" s="668">
        <f t="shared" ref="OCD1739" si="1743">ROUND((SUM(OCD1738:OCD1738)),2)</f>
        <v>8</v>
      </c>
      <c r="OCE1739" s="669" t="s">
        <v>2</v>
      </c>
      <c r="OCG1739" s="660"/>
      <c r="OCH1739" s="660"/>
      <c r="OCJ1739" s="629"/>
      <c r="OCK1739" s="630"/>
      <c r="OCL1739" s="631"/>
      <c r="OCM1739" s="631"/>
      <c r="OCN1739" s="631"/>
      <c r="OCO1739" s="631"/>
      <c r="OCP1739" s="631"/>
      <c r="OCQ1739" s="631"/>
      <c r="OCR1739" s="631"/>
      <c r="OCS1739" s="630"/>
      <c r="OCT1739" s="668">
        <f t="shared" ref="OCT1739" si="1744">ROUND((SUM(OCT1738:OCT1738)),2)</f>
        <v>8</v>
      </c>
      <c r="OCU1739" s="669" t="s">
        <v>2</v>
      </c>
      <c r="OCW1739" s="660"/>
      <c r="OCX1739" s="660"/>
      <c r="OCZ1739" s="629"/>
      <c r="ODA1739" s="630"/>
      <c r="ODB1739" s="631"/>
      <c r="ODC1739" s="631"/>
      <c r="ODD1739" s="631"/>
      <c r="ODE1739" s="631"/>
      <c r="ODF1739" s="631"/>
      <c r="ODG1739" s="631"/>
      <c r="ODH1739" s="631"/>
      <c r="ODI1739" s="630"/>
      <c r="ODJ1739" s="668">
        <f t="shared" ref="ODJ1739" si="1745">ROUND((SUM(ODJ1738:ODJ1738)),2)</f>
        <v>8</v>
      </c>
      <c r="ODK1739" s="669" t="s">
        <v>2</v>
      </c>
      <c r="ODM1739" s="660"/>
      <c r="ODN1739" s="660"/>
      <c r="ODP1739" s="629"/>
      <c r="ODQ1739" s="630"/>
      <c r="ODR1739" s="631"/>
      <c r="ODS1739" s="631"/>
      <c r="ODT1739" s="631"/>
      <c r="ODU1739" s="631"/>
      <c r="ODV1739" s="631"/>
      <c r="ODW1739" s="631"/>
      <c r="ODX1739" s="631"/>
      <c r="ODY1739" s="630"/>
      <c r="ODZ1739" s="668">
        <f t="shared" ref="ODZ1739" si="1746">ROUND((SUM(ODZ1738:ODZ1738)),2)</f>
        <v>8</v>
      </c>
      <c r="OEA1739" s="669" t="s">
        <v>2</v>
      </c>
      <c r="OEC1739" s="660"/>
      <c r="OED1739" s="660"/>
      <c r="OEF1739" s="629"/>
      <c r="OEG1739" s="630"/>
      <c r="OEH1739" s="631"/>
      <c r="OEI1739" s="631"/>
      <c r="OEJ1739" s="631"/>
      <c r="OEK1739" s="631"/>
      <c r="OEL1739" s="631"/>
      <c r="OEM1739" s="631"/>
      <c r="OEN1739" s="631"/>
      <c r="OEO1739" s="630"/>
      <c r="OEP1739" s="668">
        <f t="shared" ref="OEP1739" si="1747">ROUND((SUM(OEP1738:OEP1738)),2)</f>
        <v>8</v>
      </c>
      <c r="OEQ1739" s="669" t="s">
        <v>2</v>
      </c>
      <c r="OES1739" s="660"/>
      <c r="OET1739" s="660"/>
      <c r="OEV1739" s="629"/>
      <c r="OEW1739" s="630"/>
      <c r="OEX1739" s="631"/>
      <c r="OEY1739" s="631"/>
      <c r="OEZ1739" s="631"/>
      <c r="OFA1739" s="631"/>
      <c r="OFB1739" s="631"/>
      <c r="OFC1739" s="631"/>
      <c r="OFD1739" s="631"/>
      <c r="OFE1739" s="630"/>
      <c r="OFF1739" s="668">
        <f t="shared" ref="OFF1739" si="1748">ROUND((SUM(OFF1738:OFF1738)),2)</f>
        <v>8</v>
      </c>
      <c r="OFG1739" s="669" t="s">
        <v>2</v>
      </c>
      <c r="OFI1739" s="660"/>
      <c r="OFJ1739" s="660"/>
      <c r="OFL1739" s="629"/>
      <c r="OFM1739" s="630"/>
      <c r="OFN1739" s="631"/>
      <c r="OFO1739" s="631"/>
      <c r="OFP1739" s="631"/>
      <c r="OFQ1739" s="631"/>
      <c r="OFR1739" s="631"/>
      <c r="OFS1739" s="631"/>
      <c r="OFT1739" s="631"/>
      <c r="OFU1739" s="630"/>
      <c r="OFV1739" s="668">
        <f t="shared" ref="OFV1739" si="1749">ROUND((SUM(OFV1738:OFV1738)),2)</f>
        <v>8</v>
      </c>
      <c r="OFW1739" s="669" t="s">
        <v>2</v>
      </c>
      <c r="OFY1739" s="660"/>
      <c r="OFZ1739" s="660"/>
      <c r="OGB1739" s="629"/>
      <c r="OGC1739" s="630"/>
      <c r="OGD1739" s="631"/>
      <c r="OGE1739" s="631"/>
      <c r="OGF1739" s="631"/>
      <c r="OGG1739" s="631"/>
      <c r="OGH1739" s="631"/>
      <c r="OGI1739" s="631"/>
      <c r="OGJ1739" s="631"/>
      <c r="OGK1739" s="630"/>
      <c r="OGL1739" s="668">
        <f t="shared" ref="OGL1739" si="1750">ROUND((SUM(OGL1738:OGL1738)),2)</f>
        <v>8</v>
      </c>
      <c r="OGM1739" s="669" t="s">
        <v>2</v>
      </c>
      <c r="OGO1739" s="660"/>
      <c r="OGP1739" s="660"/>
      <c r="OGR1739" s="629"/>
      <c r="OGS1739" s="630"/>
      <c r="OGT1739" s="631"/>
      <c r="OGU1739" s="631"/>
      <c r="OGV1739" s="631"/>
      <c r="OGW1739" s="631"/>
      <c r="OGX1739" s="631"/>
      <c r="OGY1739" s="631"/>
      <c r="OGZ1739" s="631"/>
      <c r="OHA1739" s="630"/>
      <c r="OHB1739" s="668">
        <f t="shared" ref="OHB1739" si="1751">ROUND((SUM(OHB1738:OHB1738)),2)</f>
        <v>8</v>
      </c>
      <c r="OHC1739" s="669" t="s">
        <v>2</v>
      </c>
      <c r="OHE1739" s="660"/>
      <c r="OHF1739" s="660"/>
      <c r="OHH1739" s="629"/>
      <c r="OHI1739" s="630"/>
      <c r="OHJ1739" s="631"/>
      <c r="OHK1739" s="631"/>
      <c r="OHL1739" s="631"/>
      <c r="OHM1739" s="631"/>
      <c r="OHN1739" s="631"/>
      <c r="OHO1739" s="631"/>
      <c r="OHP1739" s="631"/>
      <c r="OHQ1739" s="630"/>
      <c r="OHR1739" s="668">
        <f t="shared" ref="OHR1739" si="1752">ROUND((SUM(OHR1738:OHR1738)),2)</f>
        <v>8</v>
      </c>
      <c r="OHS1739" s="669" t="s">
        <v>2</v>
      </c>
      <c r="OHU1739" s="660"/>
      <c r="OHV1739" s="660"/>
      <c r="OHX1739" s="629"/>
      <c r="OHY1739" s="630"/>
      <c r="OHZ1739" s="631"/>
      <c r="OIA1739" s="631"/>
      <c r="OIB1739" s="631"/>
      <c r="OIC1739" s="631"/>
      <c r="OID1739" s="631"/>
      <c r="OIE1739" s="631"/>
      <c r="OIF1739" s="631"/>
      <c r="OIG1739" s="630"/>
      <c r="OIH1739" s="668">
        <f t="shared" ref="OIH1739" si="1753">ROUND((SUM(OIH1738:OIH1738)),2)</f>
        <v>8</v>
      </c>
      <c r="OII1739" s="669" t="s">
        <v>2</v>
      </c>
      <c r="OIK1739" s="660"/>
      <c r="OIL1739" s="660"/>
      <c r="OIN1739" s="629"/>
      <c r="OIO1739" s="630"/>
      <c r="OIP1739" s="631"/>
      <c r="OIQ1739" s="631"/>
      <c r="OIR1739" s="631"/>
      <c r="OIS1739" s="631"/>
      <c r="OIT1739" s="631"/>
      <c r="OIU1739" s="631"/>
      <c r="OIV1739" s="631"/>
      <c r="OIW1739" s="630"/>
      <c r="OIX1739" s="668">
        <f t="shared" ref="OIX1739" si="1754">ROUND((SUM(OIX1738:OIX1738)),2)</f>
        <v>8</v>
      </c>
      <c r="OIY1739" s="669" t="s">
        <v>2</v>
      </c>
      <c r="OJA1739" s="660"/>
      <c r="OJB1739" s="660"/>
      <c r="OJD1739" s="629"/>
      <c r="OJE1739" s="630"/>
      <c r="OJF1739" s="631"/>
      <c r="OJG1739" s="631"/>
      <c r="OJH1739" s="631"/>
      <c r="OJI1739" s="631"/>
      <c r="OJJ1739" s="631"/>
      <c r="OJK1739" s="631"/>
      <c r="OJL1739" s="631"/>
      <c r="OJM1739" s="630"/>
      <c r="OJN1739" s="668">
        <f t="shared" ref="OJN1739" si="1755">ROUND((SUM(OJN1738:OJN1738)),2)</f>
        <v>8</v>
      </c>
      <c r="OJO1739" s="669" t="s">
        <v>2</v>
      </c>
      <c r="OJQ1739" s="660"/>
      <c r="OJR1739" s="660"/>
      <c r="OJT1739" s="629"/>
      <c r="OJU1739" s="630"/>
      <c r="OJV1739" s="631"/>
      <c r="OJW1739" s="631"/>
      <c r="OJX1739" s="631"/>
      <c r="OJY1739" s="631"/>
      <c r="OJZ1739" s="631"/>
      <c r="OKA1739" s="631"/>
      <c r="OKB1739" s="631"/>
      <c r="OKC1739" s="630"/>
      <c r="OKD1739" s="668">
        <f t="shared" ref="OKD1739" si="1756">ROUND((SUM(OKD1738:OKD1738)),2)</f>
        <v>8</v>
      </c>
      <c r="OKE1739" s="669" t="s">
        <v>2</v>
      </c>
      <c r="OKG1739" s="660"/>
      <c r="OKH1739" s="660"/>
      <c r="OKJ1739" s="629"/>
      <c r="OKK1739" s="630"/>
      <c r="OKL1739" s="631"/>
      <c r="OKM1739" s="631"/>
      <c r="OKN1739" s="631"/>
      <c r="OKO1739" s="631"/>
      <c r="OKP1739" s="631"/>
      <c r="OKQ1739" s="631"/>
      <c r="OKR1739" s="631"/>
      <c r="OKS1739" s="630"/>
      <c r="OKT1739" s="668">
        <f t="shared" ref="OKT1739" si="1757">ROUND((SUM(OKT1738:OKT1738)),2)</f>
        <v>8</v>
      </c>
      <c r="OKU1739" s="669" t="s">
        <v>2</v>
      </c>
      <c r="OKW1739" s="660"/>
      <c r="OKX1739" s="660"/>
      <c r="OKZ1739" s="629"/>
      <c r="OLA1739" s="630"/>
      <c r="OLB1739" s="631"/>
      <c r="OLC1739" s="631"/>
      <c r="OLD1739" s="631"/>
      <c r="OLE1739" s="631"/>
      <c r="OLF1739" s="631"/>
      <c r="OLG1739" s="631"/>
      <c r="OLH1739" s="631"/>
      <c r="OLI1739" s="630"/>
      <c r="OLJ1739" s="668">
        <f t="shared" ref="OLJ1739" si="1758">ROUND((SUM(OLJ1738:OLJ1738)),2)</f>
        <v>8</v>
      </c>
      <c r="OLK1739" s="669" t="s">
        <v>2</v>
      </c>
      <c r="OLM1739" s="660"/>
      <c r="OLN1739" s="660"/>
      <c r="OLP1739" s="629"/>
      <c r="OLQ1739" s="630"/>
      <c r="OLR1739" s="631"/>
      <c r="OLS1739" s="631"/>
      <c r="OLT1739" s="631"/>
      <c r="OLU1739" s="631"/>
      <c r="OLV1739" s="631"/>
      <c r="OLW1739" s="631"/>
      <c r="OLX1739" s="631"/>
      <c r="OLY1739" s="630"/>
      <c r="OLZ1739" s="668">
        <f t="shared" ref="OLZ1739" si="1759">ROUND((SUM(OLZ1738:OLZ1738)),2)</f>
        <v>8</v>
      </c>
      <c r="OMA1739" s="669" t="s">
        <v>2</v>
      </c>
      <c r="OMC1739" s="660"/>
      <c r="OMD1739" s="660"/>
      <c r="OMF1739" s="629"/>
      <c r="OMG1739" s="630"/>
      <c r="OMH1739" s="631"/>
      <c r="OMI1739" s="631"/>
      <c r="OMJ1739" s="631"/>
      <c r="OMK1739" s="631"/>
      <c r="OML1739" s="631"/>
      <c r="OMM1739" s="631"/>
      <c r="OMN1739" s="631"/>
      <c r="OMO1739" s="630"/>
      <c r="OMP1739" s="668">
        <f t="shared" ref="OMP1739" si="1760">ROUND((SUM(OMP1738:OMP1738)),2)</f>
        <v>8</v>
      </c>
      <c r="OMQ1739" s="669" t="s">
        <v>2</v>
      </c>
      <c r="OMS1739" s="660"/>
      <c r="OMT1739" s="660"/>
      <c r="OMV1739" s="629"/>
      <c r="OMW1739" s="630"/>
      <c r="OMX1739" s="631"/>
      <c r="OMY1739" s="631"/>
      <c r="OMZ1739" s="631"/>
      <c r="ONA1739" s="631"/>
      <c r="ONB1739" s="631"/>
      <c r="ONC1739" s="631"/>
      <c r="OND1739" s="631"/>
      <c r="ONE1739" s="630"/>
      <c r="ONF1739" s="668">
        <f t="shared" ref="ONF1739" si="1761">ROUND((SUM(ONF1738:ONF1738)),2)</f>
        <v>8</v>
      </c>
      <c r="ONG1739" s="669" t="s">
        <v>2</v>
      </c>
      <c r="ONI1739" s="660"/>
      <c r="ONJ1739" s="660"/>
      <c r="ONL1739" s="629"/>
      <c r="ONM1739" s="630"/>
      <c r="ONN1739" s="631"/>
      <c r="ONO1739" s="631"/>
      <c r="ONP1739" s="631"/>
      <c r="ONQ1739" s="631"/>
      <c r="ONR1739" s="631"/>
      <c r="ONS1739" s="631"/>
      <c r="ONT1739" s="631"/>
      <c r="ONU1739" s="630"/>
      <c r="ONV1739" s="668">
        <f t="shared" ref="ONV1739" si="1762">ROUND((SUM(ONV1738:ONV1738)),2)</f>
        <v>8</v>
      </c>
      <c r="ONW1739" s="669" t="s">
        <v>2</v>
      </c>
      <c r="ONY1739" s="660"/>
      <c r="ONZ1739" s="660"/>
      <c r="OOB1739" s="629"/>
      <c r="OOC1739" s="630"/>
      <c r="OOD1739" s="631"/>
      <c r="OOE1739" s="631"/>
      <c r="OOF1739" s="631"/>
      <c r="OOG1739" s="631"/>
      <c r="OOH1739" s="631"/>
      <c r="OOI1739" s="631"/>
      <c r="OOJ1739" s="631"/>
      <c r="OOK1739" s="630"/>
      <c r="OOL1739" s="668">
        <f t="shared" ref="OOL1739" si="1763">ROUND((SUM(OOL1738:OOL1738)),2)</f>
        <v>8</v>
      </c>
      <c r="OOM1739" s="669" t="s">
        <v>2</v>
      </c>
      <c r="OOO1739" s="660"/>
      <c r="OOP1739" s="660"/>
      <c r="OOR1739" s="629"/>
      <c r="OOS1739" s="630"/>
      <c r="OOT1739" s="631"/>
      <c r="OOU1739" s="631"/>
      <c r="OOV1739" s="631"/>
      <c r="OOW1739" s="631"/>
      <c r="OOX1739" s="631"/>
      <c r="OOY1739" s="631"/>
      <c r="OOZ1739" s="631"/>
      <c r="OPA1739" s="630"/>
      <c r="OPB1739" s="668">
        <f t="shared" ref="OPB1739" si="1764">ROUND((SUM(OPB1738:OPB1738)),2)</f>
        <v>8</v>
      </c>
      <c r="OPC1739" s="669" t="s">
        <v>2</v>
      </c>
      <c r="OPE1739" s="660"/>
      <c r="OPF1739" s="660"/>
      <c r="OPH1739" s="629"/>
      <c r="OPI1739" s="630"/>
      <c r="OPJ1739" s="631"/>
      <c r="OPK1739" s="631"/>
      <c r="OPL1739" s="631"/>
      <c r="OPM1739" s="631"/>
      <c r="OPN1739" s="631"/>
      <c r="OPO1739" s="631"/>
      <c r="OPP1739" s="631"/>
      <c r="OPQ1739" s="630"/>
      <c r="OPR1739" s="668">
        <f t="shared" ref="OPR1739" si="1765">ROUND((SUM(OPR1738:OPR1738)),2)</f>
        <v>8</v>
      </c>
      <c r="OPS1739" s="669" t="s">
        <v>2</v>
      </c>
      <c r="OPU1739" s="660"/>
      <c r="OPV1739" s="660"/>
      <c r="OPX1739" s="629"/>
      <c r="OPY1739" s="630"/>
      <c r="OPZ1739" s="631"/>
      <c r="OQA1739" s="631"/>
      <c r="OQB1739" s="631"/>
      <c r="OQC1739" s="631"/>
      <c r="OQD1739" s="631"/>
      <c r="OQE1739" s="631"/>
      <c r="OQF1739" s="631"/>
      <c r="OQG1739" s="630"/>
      <c r="OQH1739" s="668">
        <f t="shared" ref="OQH1739" si="1766">ROUND((SUM(OQH1738:OQH1738)),2)</f>
        <v>8</v>
      </c>
      <c r="OQI1739" s="669" t="s">
        <v>2</v>
      </c>
      <c r="OQK1739" s="660"/>
      <c r="OQL1739" s="660"/>
      <c r="OQN1739" s="629"/>
      <c r="OQO1739" s="630"/>
      <c r="OQP1739" s="631"/>
      <c r="OQQ1739" s="631"/>
      <c r="OQR1739" s="631"/>
      <c r="OQS1739" s="631"/>
      <c r="OQT1739" s="631"/>
      <c r="OQU1739" s="631"/>
      <c r="OQV1739" s="631"/>
      <c r="OQW1739" s="630"/>
      <c r="OQX1739" s="668">
        <f t="shared" ref="OQX1739" si="1767">ROUND((SUM(OQX1738:OQX1738)),2)</f>
        <v>8</v>
      </c>
      <c r="OQY1739" s="669" t="s">
        <v>2</v>
      </c>
      <c r="ORA1739" s="660"/>
      <c r="ORB1739" s="660"/>
      <c r="ORD1739" s="629"/>
      <c r="ORE1739" s="630"/>
      <c r="ORF1739" s="631"/>
      <c r="ORG1739" s="631"/>
      <c r="ORH1739" s="631"/>
      <c r="ORI1739" s="631"/>
      <c r="ORJ1739" s="631"/>
      <c r="ORK1739" s="631"/>
      <c r="ORL1739" s="631"/>
      <c r="ORM1739" s="630"/>
      <c r="ORN1739" s="668">
        <f t="shared" ref="ORN1739" si="1768">ROUND((SUM(ORN1738:ORN1738)),2)</f>
        <v>8</v>
      </c>
      <c r="ORO1739" s="669" t="s">
        <v>2</v>
      </c>
      <c r="ORQ1739" s="660"/>
      <c r="ORR1739" s="660"/>
      <c r="ORT1739" s="629"/>
      <c r="ORU1739" s="630"/>
      <c r="ORV1739" s="631"/>
      <c r="ORW1739" s="631"/>
      <c r="ORX1739" s="631"/>
      <c r="ORY1739" s="631"/>
      <c r="ORZ1739" s="631"/>
      <c r="OSA1739" s="631"/>
      <c r="OSB1739" s="631"/>
      <c r="OSC1739" s="630"/>
      <c r="OSD1739" s="668">
        <f t="shared" ref="OSD1739" si="1769">ROUND((SUM(OSD1738:OSD1738)),2)</f>
        <v>8</v>
      </c>
      <c r="OSE1739" s="669" t="s">
        <v>2</v>
      </c>
      <c r="OSG1739" s="660"/>
      <c r="OSH1739" s="660"/>
      <c r="OSJ1739" s="629"/>
      <c r="OSK1739" s="630"/>
      <c r="OSL1739" s="631"/>
      <c r="OSM1739" s="631"/>
      <c r="OSN1739" s="631"/>
      <c r="OSO1739" s="631"/>
      <c r="OSP1739" s="631"/>
      <c r="OSQ1739" s="631"/>
      <c r="OSR1739" s="631"/>
      <c r="OSS1739" s="630"/>
      <c r="OST1739" s="668">
        <f t="shared" ref="OST1739" si="1770">ROUND((SUM(OST1738:OST1738)),2)</f>
        <v>8</v>
      </c>
      <c r="OSU1739" s="669" t="s">
        <v>2</v>
      </c>
      <c r="OSW1739" s="660"/>
      <c r="OSX1739" s="660"/>
      <c r="OSZ1739" s="629"/>
      <c r="OTA1739" s="630"/>
      <c r="OTB1739" s="631"/>
      <c r="OTC1739" s="631"/>
      <c r="OTD1739" s="631"/>
      <c r="OTE1739" s="631"/>
      <c r="OTF1739" s="631"/>
      <c r="OTG1739" s="631"/>
      <c r="OTH1739" s="631"/>
      <c r="OTI1739" s="630"/>
      <c r="OTJ1739" s="668">
        <f t="shared" ref="OTJ1739" si="1771">ROUND((SUM(OTJ1738:OTJ1738)),2)</f>
        <v>8</v>
      </c>
      <c r="OTK1739" s="669" t="s">
        <v>2</v>
      </c>
      <c r="OTM1739" s="660"/>
      <c r="OTN1739" s="660"/>
      <c r="OTP1739" s="629"/>
      <c r="OTQ1739" s="630"/>
      <c r="OTR1739" s="631"/>
      <c r="OTS1739" s="631"/>
      <c r="OTT1739" s="631"/>
      <c r="OTU1739" s="631"/>
      <c r="OTV1739" s="631"/>
      <c r="OTW1739" s="631"/>
      <c r="OTX1739" s="631"/>
      <c r="OTY1739" s="630"/>
      <c r="OTZ1739" s="668">
        <f t="shared" ref="OTZ1739" si="1772">ROUND((SUM(OTZ1738:OTZ1738)),2)</f>
        <v>8</v>
      </c>
      <c r="OUA1739" s="669" t="s">
        <v>2</v>
      </c>
      <c r="OUC1739" s="660"/>
      <c r="OUD1739" s="660"/>
      <c r="OUF1739" s="629"/>
      <c r="OUG1739" s="630"/>
      <c r="OUH1739" s="631"/>
      <c r="OUI1739" s="631"/>
      <c r="OUJ1739" s="631"/>
      <c r="OUK1739" s="631"/>
      <c r="OUL1739" s="631"/>
      <c r="OUM1739" s="631"/>
      <c r="OUN1739" s="631"/>
      <c r="OUO1739" s="630"/>
      <c r="OUP1739" s="668">
        <f t="shared" ref="OUP1739" si="1773">ROUND((SUM(OUP1738:OUP1738)),2)</f>
        <v>8</v>
      </c>
      <c r="OUQ1739" s="669" t="s">
        <v>2</v>
      </c>
      <c r="OUS1739" s="660"/>
      <c r="OUT1739" s="660"/>
      <c r="OUV1739" s="629"/>
      <c r="OUW1739" s="630"/>
      <c r="OUX1739" s="631"/>
      <c r="OUY1739" s="631"/>
      <c r="OUZ1739" s="631"/>
      <c r="OVA1739" s="631"/>
      <c r="OVB1739" s="631"/>
      <c r="OVC1739" s="631"/>
      <c r="OVD1739" s="631"/>
      <c r="OVE1739" s="630"/>
      <c r="OVF1739" s="668">
        <f t="shared" ref="OVF1739" si="1774">ROUND((SUM(OVF1738:OVF1738)),2)</f>
        <v>8</v>
      </c>
      <c r="OVG1739" s="669" t="s">
        <v>2</v>
      </c>
      <c r="OVI1739" s="660"/>
      <c r="OVJ1739" s="660"/>
      <c r="OVL1739" s="629"/>
      <c r="OVM1739" s="630"/>
      <c r="OVN1739" s="631"/>
      <c r="OVO1739" s="631"/>
      <c r="OVP1739" s="631"/>
      <c r="OVQ1739" s="631"/>
      <c r="OVR1739" s="631"/>
      <c r="OVS1739" s="631"/>
      <c r="OVT1739" s="631"/>
      <c r="OVU1739" s="630"/>
      <c r="OVV1739" s="668">
        <f t="shared" ref="OVV1739" si="1775">ROUND((SUM(OVV1738:OVV1738)),2)</f>
        <v>8</v>
      </c>
      <c r="OVW1739" s="669" t="s">
        <v>2</v>
      </c>
      <c r="OVY1739" s="660"/>
      <c r="OVZ1739" s="660"/>
      <c r="OWB1739" s="629"/>
      <c r="OWC1739" s="630"/>
      <c r="OWD1739" s="631"/>
      <c r="OWE1739" s="631"/>
      <c r="OWF1739" s="631"/>
      <c r="OWG1739" s="631"/>
      <c r="OWH1739" s="631"/>
      <c r="OWI1739" s="631"/>
      <c r="OWJ1739" s="631"/>
      <c r="OWK1739" s="630"/>
      <c r="OWL1739" s="668">
        <f t="shared" ref="OWL1739" si="1776">ROUND((SUM(OWL1738:OWL1738)),2)</f>
        <v>8</v>
      </c>
      <c r="OWM1739" s="669" t="s">
        <v>2</v>
      </c>
      <c r="OWO1739" s="660"/>
      <c r="OWP1739" s="660"/>
      <c r="OWR1739" s="629"/>
      <c r="OWS1739" s="630"/>
      <c r="OWT1739" s="631"/>
      <c r="OWU1739" s="631"/>
      <c r="OWV1739" s="631"/>
      <c r="OWW1739" s="631"/>
      <c r="OWX1739" s="631"/>
      <c r="OWY1739" s="631"/>
      <c r="OWZ1739" s="631"/>
      <c r="OXA1739" s="630"/>
      <c r="OXB1739" s="668">
        <f t="shared" ref="OXB1739" si="1777">ROUND((SUM(OXB1738:OXB1738)),2)</f>
        <v>8</v>
      </c>
      <c r="OXC1739" s="669" t="s">
        <v>2</v>
      </c>
      <c r="OXE1739" s="660"/>
      <c r="OXF1739" s="660"/>
      <c r="OXH1739" s="629"/>
      <c r="OXI1739" s="630"/>
      <c r="OXJ1739" s="631"/>
      <c r="OXK1739" s="631"/>
      <c r="OXL1739" s="631"/>
      <c r="OXM1739" s="631"/>
      <c r="OXN1739" s="631"/>
      <c r="OXO1739" s="631"/>
      <c r="OXP1739" s="631"/>
      <c r="OXQ1739" s="630"/>
      <c r="OXR1739" s="668">
        <f t="shared" ref="OXR1739" si="1778">ROUND((SUM(OXR1738:OXR1738)),2)</f>
        <v>8</v>
      </c>
      <c r="OXS1739" s="669" t="s">
        <v>2</v>
      </c>
      <c r="OXU1739" s="660"/>
      <c r="OXV1739" s="660"/>
      <c r="OXX1739" s="629"/>
      <c r="OXY1739" s="630"/>
      <c r="OXZ1739" s="631"/>
      <c r="OYA1739" s="631"/>
      <c r="OYB1739" s="631"/>
      <c r="OYC1739" s="631"/>
      <c r="OYD1739" s="631"/>
      <c r="OYE1739" s="631"/>
      <c r="OYF1739" s="631"/>
      <c r="OYG1739" s="630"/>
      <c r="OYH1739" s="668">
        <f t="shared" ref="OYH1739" si="1779">ROUND((SUM(OYH1738:OYH1738)),2)</f>
        <v>8</v>
      </c>
      <c r="OYI1739" s="669" t="s">
        <v>2</v>
      </c>
      <c r="OYK1739" s="660"/>
      <c r="OYL1739" s="660"/>
      <c r="OYN1739" s="629"/>
      <c r="OYO1739" s="630"/>
      <c r="OYP1739" s="631"/>
      <c r="OYQ1739" s="631"/>
      <c r="OYR1739" s="631"/>
      <c r="OYS1739" s="631"/>
      <c r="OYT1739" s="631"/>
      <c r="OYU1739" s="631"/>
      <c r="OYV1739" s="631"/>
      <c r="OYW1739" s="630"/>
      <c r="OYX1739" s="668">
        <f t="shared" ref="OYX1739" si="1780">ROUND((SUM(OYX1738:OYX1738)),2)</f>
        <v>8</v>
      </c>
      <c r="OYY1739" s="669" t="s">
        <v>2</v>
      </c>
      <c r="OZA1739" s="660"/>
      <c r="OZB1739" s="660"/>
      <c r="OZD1739" s="629"/>
      <c r="OZE1739" s="630"/>
      <c r="OZF1739" s="631"/>
      <c r="OZG1739" s="631"/>
      <c r="OZH1739" s="631"/>
      <c r="OZI1739" s="631"/>
      <c r="OZJ1739" s="631"/>
      <c r="OZK1739" s="631"/>
      <c r="OZL1739" s="631"/>
      <c r="OZM1739" s="630"/>
      <c r="OZN1739" s="668">
        <f t="shared" ref="OZN1739" si="1781">ROUND((SUM(OZN1738:OZN1738)),2)</f>
        <v>8</v>
      </c>
      <c r="OZO1739" s="669" t="s">
        <v>2</v>
      </c>
      <c r="OZQ1739" s="660"/>
      <c r="OZR1739" s="660"/>
      <c r="OZT1739" s="629"/>
      <c r="OZU1739" s="630"/>
      <c r="OZV1739" s="631"/>
      <c r="OZW1739" s="631"/>
      <c r="OZX1739" s="631"/>
      <c r="OZY1739" s="631"/>
      <c r="OZZ1739" s="631"/>
      <c r="PAA1739" s="631"/>
      <c r="PAB1739" s="631"/>
      <c r="PAC1739" s="630"/>
      <c r="PAD1739" s="668">
        <f t="shared" ref="PAD1739" si="1782">ROUND((SUM(PAD1738:PAD1738)),2)</f>
        <v>8</v>
      </c>
      <c r="PAE1739" s="669" t="s">
        <v>2</v>
      </c>
      <c r="PAG1739" s="660"/>
      <c r="PAH1739" s="660"/>
      <c r="PAJ1739" s="629"/>
      <c r="PAK1739" s="630"/>
      <c r="PAL1739" s="631"/>
      <c r="PAM1739" s="631"/>
      <c r="PAN1739" s="631"/>
      <c r="PAO1739" s="631"/>
      <c r="PAP1739" s="631"/>
      <c r="PAQ1739" s="631"/>
      <c r="PAR1739" s="631"/>
      <c r="PAS1739" s="630"/>
      <c r="PAT1739" s="668">
        <f t="shared" ref="PAT1739" si="1783">ROUND((SUM(PAT1738:PAT1738)),2)</f>
        <v>8</v>
      </c>
      <c r="PAU1739" s="669" t="s">
        <v>2</v>
      </c>
      <c r="PAW1739" s="660"/>
      <c r="PAX1739" s="660"/>
      <c r="PAZ1739" s="629"/>
      <c r="PBA1739" s="630"/>
      <c r="PBB1739" s="631"/>
      <c r="PBC1739" s="631"/>
      <c r="PBD1739" s="631"/>
      <c r="PBE1739" s="631"/>
      <c r="PBF1739" s="631"/>
      <c r="PBG1739" s="631"/>
      <c r="PBH1739" s="631"/>
      <c r="PBI1739" s="630"/>
      <c r="PBJ1739" s="668">
        <f t="shared" ref="PBJ1739" si="1784">ROUND((SUM(PBJ1738:PBJ1738)),2)</f>
        <v>8</v>
      </c>
      <c r="PBK1739" s="669" t="s">
        <v>2</v>
      </c>
      <c r="PBM1739" s="660"/>
      <c r="PBN1739" s="660"/>
      <c r="PBP1739" s="629"/>
      <c r="PBQ1739" s="630"/>
      <c r="PBR1739" s="631"/>
      <c r="PBS1739" s="631"/>
      <c r="PBT1739" s="631"/>
      <c r="PBU1739" s="631"/>
      <c r="PBV1739" s="631"/>
      <c r="PBW1739" s="631"/>
      <c r="PBX1739" s="631"/>
      <c r="PBY1739" s="630"/>
      <c r="PBZ1739" s="668">
        <f t="shared" ref="PBZ1739" si="1785">ROUND((SUM(PBZ1738:PBZ1738)),2)</f>
        <v>8</v>
      </c>
      <c r="PCA1739" s="669" t="s">
        <v>2</v>
      </c>
      <c r="PCC1739" s="660"/>
      <c r="PCD1739" s="660"/>
      <c r="PCF1739" s="629"/>
      <c r="PCG1739" s="630"/>
      <c r="PCH1739" s="631"/>
      <c r="PCI1739" s="631"/>
      <c r="PCJ1739" s="631"/>
      <c r="PCK1739" s="631"/>
      <c r="PCL1739" s="631"/>
      <c r="PCM1739" s="631"/>
      <c r="PCN1739" s="631"/>
      <c r="PCO1739" s="630"/>
      <c r="PCP1739" s="668">
        <f t="shared" ref="PCP1739" si="1786">ROUND((SUM(PCP1738:PCP1738)),2)</f>
        <v>8</v>
      </c>
      <c r="PCQ1739" s="669" t="s">
        <v>2</v>
      </c>
      <c r="PCS1739" s="660"/>
      <c r="PCT1739" s="660"/>
      <c r="PCV1739" s="629"/>
      <c r="PCW1739" s="630"/>
      <c r="PCX1739" s="631"/>
      <c r="PCY1739" s="631"/>
      <c r="PCZ1739" s="631"/>
      <c r="PDA1739" s="631"/>
      <c r="PDB1739" s="631"/>
      <c r="PDC1739" s="631"/>
      <c r="PDD1739" s="631"/>
      <c r="PDE1739" s="630"/>
      <c r="PDF1739" s="668">
        <f t="shared" ref="PDF1739" si="1787">ROUND((SUM(PDF1738:PDF1738)),2)</f>
        <v>8</v>
      </c>
      <c r="PDG1739" s="669" t="s">
        <v>2</v>
      </c>
      <c r="PDI1739" s="660"/>
      <c r="PDJ1739" s="660"/>
      <c r="PDL1739" s="629"/>
      <c r="PDM1739" s="630"/>
      <c r="PDN1739" s="631"/>
      <c r="PDO1739" s="631"/>
      <c r="PDP1739" s="631"/>
      <c r="PDQ1739" s="631"/>
      <c r="PDR1739" s="631"/>
      <c r="PDS1739" s="631"/>
      <c r="PDT1739" s="631"/>
      <c r="PDU1739" s="630"/>
      <c r="PDV1739" s="668">
        <f t="shared" ref="PDV1739" si="1788">ROUND((SUM(PDV1738:PDV1738)),2)</f>
        <v>8</v>
      </c>
      <c r="PDW1739" s="669" t="s">
        <v>2</v>
      </c>
      <c r="PDY1739" s="660"/>
      <c r="PDZ1739" s="660"/>
      <c r="PEB1739" s="629"/>
      <c r="PEC1739" s="630"/>
      <c r="PED1739" s="631"/>
      <c r="PEE1739" s="631"/>
      <c r="PEF1739" s="631"/>
      <c r="PEG1739" s="631"/>
      <c r="PEH1739" s="631"/>
      <c r="PEI1739" s="631"/>
      <c r="PEJ1739" s="631"/>
      <c r="PEK1739" s="630"/>
      <c r="PEL1739" s="668">
        <f t="shared" ref="PEL1739" si="1789">ROUND((SUM(PEL1738:PEL1738)),2)</f>
        <v>8</v>
      </c>
      <c r="PEM1739" s="669" t="s">
        <v>2</v>
      </c>
      <c r="PEO1739" s="660"/>
      <c r="PEP1739" s="660"/>
      <c r="PER1739" s="629"/>
      <c r="PES1739" s="630"/>
      <c r="PET1739" s="631"/>
      <c r="PEU1739" s="631"/>
      <c r="PEV1739" s="631"/>
      <c r="PEW1739" s="631"/>
      <c r="PEX1739" s="631"/>
      <c r="PEY1739" s="631"/>
      <c r="PEZ1739" s="631"/>
      <c r="PFA1739" s="630"/>
      <c r="PFB1739" s="668">
        <f t="shared" ref="PFB1739" si="1790">ROUND((SUM(PFB1738:PFB1738)),2)</f>
        <v>8</v>
      </c>
      <c r="PFC1739" s="669" t="s">
        <v>2</v>
      </c>
      <c r="PFE1739" s="660"/>
      <c r="PFF1739" s="660"/>
      <c r="PFH1739" s="629"/>
      <c r="PFI1739" s="630"/>
      <c r="PFJ1739" s="631"/>
      <c r="PFK1739" s="631"/>
      <c r="PFL1739" s="631"/>
      <c r="PFM1739" s="631"/>
      <c r="PFN1739" s="631"/>
      <c r="PFO1739" s="631"/>
      <c r="PFP1739" s="631"/>
      <c r="PFQ1739" s="630"/>
      <c r="PFR1739" s="668">
        <f t="shared" ref="PFR1739" si="1791">ROUND((SUM(PFR1738:PFR1738)),2)</f>
        <v>8</v>
      </c>
      <c r="PFS1739" s="669" t="s">
        <v>2</v>
      </c>
      <c r="PFU1739" s="660"/>
      <c r="PFV1739" s="660"/>
      <c r="PFX1739" s="629"/>
      <c r="PFY1739" s="630"/>
      <c r="PFZ1739" s="631"/>
      <c r="PGA1739" s="631"/>
      <c r="PGB1739" s="631"/>
      <c r="PGC1739" s="631"/>
      <c r="PGD1739" s="631"/>
      <c r="PGE1739" s="631"/>
      <c r="PGF1739" s="631"/>
      <c r="PGG1739" s="630"/>
      <c r="PGH1739" s="668">
        <f t="shared" ref="PGH1739" si="1792">ROUND((SUM(PGH1738:PGH1738)),2)</f>
        <v>8</v>
      </c>
      <c r="PGI1739" s="669" t="s">
        <v>2</v>
      </c>
      <c r="PGK1739" s="660"/>
      <c r="PGL1739" s="660"/>
      <c r="PGN1739" s="629"/>
      <c r="PGO1739" s="630"/>
      <c r="PGP1739" s="631"/>
      <c r="PGQ1739" s="631"/>
      <c r="PGR1739" s="631"/>
      <c r="PGS1739" s="631"/>
      <c r="PGT1739" s="631"/>
      <c r="PGU1739" s="631"/>
      <c r="PGV1739" s="631"/>
      <c r="PGW1739" s="630"/>
      <c r="PGX1739" s="668">
        <f t="shared" ref="PGX1739" si="1793">ROUND((SUM(PGX1738:PGX1738)),2)</f>
        <v>8</v>
      </c>
      <c r="PGY1739" s="669" t="s">
        <v>2</v>
      </c>
      <c r="PHA1739" s="660"/>
      <c r="PHB1739" s="660"/>
      <c r="PHD1739" s="629"/>
      <c r="PHE1739" s="630"/>
      <c r="PHF1739" s="631"/>
      <c r="PHG1739" s="631"/>
      <c r="PHH1739" s="631"/>
      <c r="PHI1739" s="631"/>
      <c r="PHJ1739" s="631"/>
      <c r="PHK1739" s="631"/>
      <c r="PHL1739" s="631"/>
      <c r="PHM1739" s="630"/>
      <c r="PHN1739" s="668">
        <f t="shared" ref="PHN1739" si="1794">ROUND((SUM(PHN1738:PHN1738)),2)</f>
        <v>8</v>
      </c>
      <c r="PHO1739" s="669" t="s">
        <v>2</v>
      </c>
      <c r="PHQ1739" s="660"/>
      <c r="PHR1739" s="660"/>
      <c r="PHT1739" s="629"/>
      <c r="PHU1739" s="630"/>
      <c r="PHV1739" s="631"/>
      <c r="PHW1739" s="631"/>
      <c r="PHX1739" s="631"/>
      <c r="PHY1739" s="631"/>
      <c r="PHZ1739" s="631"/>
      <c r="PIA1739" s="631"/>
      <c r="PIB1739" s="631"/>
      <c r="PIC1739" s="630"/>
      <c r="PID1739" s="668">
        <f t="shared" ref="PID1739" si="1795">ROUND((SUM(PID1738:PID1738)),2)</f>
        <v>8</v>
      </c>
      <c r="PIE1739" s="669" t="s">
        <v>2</v>
      </c>
      <c r="PIG1739" s="660"/>
      <c r="PIH1739" s="660"/>
      <c r="PIJ1739" s="629"/>
      <c r="PIK1739" s="630"/>
      <c r="PIL1739" s="631"/>
      <c r="PIM1739" s="631"/>
      <c r="PIN1739" s="631"/>
      <c r="PIO1739" s="631"/>
      <c r="PIP1739" s="631"/>
      <c r="PIQ1739" s="631"/>
      <c r="PIR1739" s="631"/>
      <c r="PIS1739" s="630"/>
      <c r="PIT1739" s="668">
        <f t="shared" ref="PIT1739" si="1796">ROUND((SUM(PIT1738:PIT1738)),2)</f>
        <v>8</v>
      </c>
      <c r="PIU1739" s="669" t="s">
        <v>2</v>
      </c>
      <c r="PIW1739" s="660"/>
      <c r="PIX1739" s="660"/>
      <c r="PIZ1739" s="629"/>
      <c r="PJA1739" s="630"/>
      <c r="PJB1739" s="631"/>
      <c r="PJC1739" s="631"/>
      <c r="PJD1739" s="631"/>
      <c r="PJE1739" s="631"/>
      <c r="PJF1739" s="631"/>
      <c r="PJG1739" s="631"/>
      <c r="PJH1739" s="631"/>
      <c r="PJI1739" s="630"/>
      <c r="PJJ1739" s="668">
        <f t="shared" ref="PJJ1739" si="1797">ROUND((SUM(PJJ1738:PJJ1738)),2)</f>
        <v>8</v>
      </c>
      <c r="PJK1739" s="669" t="s">
        <v>2</v>
      </c>
      <c r="PJM1739" s="660"/>
      <c r="PJN1739" s="660"/>
      <c r="PJP1739" s="629"/>
      <c r="PJQ1739" s="630"/>
      <c r="PJR1739" s="631"/>
      <c r="PJS1739" s="631"/>
      <c r="PJT1739" s="631"/>
      <c r="PJU1739" s="631"/>
      <c r="PJV1739" s="631"/>
      <c r="PJW1739" s="631"/>
      <c r="PJX1739" s="631"/>
      <c r="PJY1739" s="630"/>
      <c r="PJZ1739" s="668">
        <f t="shared" ref="PJZ1739" si="1798">ROUND((SUM(PJZ1738:PJZ1738)),2)</f>
        <v>8</v>
      </c>
      <c r="PKA1739" s="669" t="s">
        <v>2</v>
      </c>
      <c r="PKC1739" s="660"/>
      <c r="PKD1739" s="660"/>
      <c r="PKF1739" s="629"/>
      <c r="PKG1739" s="630"/>
      <c r="PKH1739" s="631"/>
      <c r="PKI1739" s="631"/>
      <c r="PKJ1739" s="631"/>
      <c r="PKK1739" s="631"/>
      <c r="PKL1739" s="631"/>
      <c r="PKM1739" s="631"/>
      <c r="PKN1739" s="631"/>
      <c r="PKO1739" s="630"/>
      <c r="PKP1739" s="668">
        <f t="shared" ref="PKP1739" si="1799">ROUND((SUM(PKP1738:PKP1738)),2)</f>
        <v>8</v>
      </c>
      <c r="PKQ1739" s="669" t="s">
        <v>2</v>
      </c>
      <c r="PKS1739" s="660"/>
      <c r="PKT1739" s="660"/>
      <c r="PKV1739" s="629"/>
      <c r="PKW1739" s="630"/>
      <c r="PKX1739" s="631"/>
      <c r="PKY1739" s="631"/>
      <c r="PKZ1739" s="631"/>
      <c r="PLA1739" s="631"/>
      <c r="PLB1739" s="631"/>
      <c r="PLC1739" s="631"/>
      <c r="PLD1739" s="631"/>
      <c r="PLE1739" s="630"/>
      <c r="PLF1739" s="668">
        <f t="shared" ref="PLF1739" si="1800">ROUND((SUM(PLF1738:PLF1738)),2)</f>
        <v>8</v>
      </c>
      <c r="PLG1739" s="669" t="s">
        <v>2</v>
      </c>
      <c r="PLI1739" s="660"/>
      <c r="PLJ1739" s="660"/>
      <c r="PLL1739" s="629"/>
      <c r="PLM1739" s="630"/>
      <c r="PLN1739" s="631"/>
      <c r="PLO1739" s="631"/>
      <c r="PLP1739" s="631"/>
      <c r="PLQ1739" s="631"/>
      <c r="PLR1739" s="631"/>
      <c r="PLS1739" s="631"/>
      <c r="PLT1739" s="631"/>
      <c r="PLU1739" s="630"/>
      <c r="PLV1739" s="668">
        <f t="shared" ref="PLV1739" si="1801">ROUND((SUM(PLV1738:PLV1738)),2)</f>
        <v>8</v>
      </c>
      <c r="PLW1739" s="669" t="s">
        <v>2</v>
      </c>
      <c r="PLY1739" s="660"/>
      <c r="PLZ1739" s="660"/>
      <c r="PMB1739" s="629"/>
      <c r="PMC1739" s="630"/>
      <c r="PMD1739" s="631"/>
      <c r="PME1739" s="631"/>
      <c r="PMF1739" s="631"/>
      <c r="PMG1739" s="631"/>
      <c r="PMH1739" s="631"/>
      <c r="PMI1739" s="631"/>
      <c r="PMJ1739" s="631"/>
      <c r="PMK1739" s="630"/>
      <c r="PML1739" s="668">
        <f t="shared" ref="PML1739" si="1802">ROUND((SUM(PML1738:PML1738)),2)</f>
        <v>8</v>
      </c>
      <c r="PMM1739" s="669" t="s">
        <v>2</v>
      </c>
      <c r="PMO1739" s="660"/>
      <c r="PMP1739" s="660"/>
      <c r="PMR1739" s="629"/>
      <c r="PMS1739" s="630"/>
      <c r="PMT1739" s="631"/>
      <c r="PMU1739" s="631"/>
      <c r="PMV1739" s="631"/>
      <c r="PMW1739" s="631"/>
      <c r="PMX1739" s="631"/>
      <c r="PMY1739" s="631"/>
      <c r="PMZ1739" s="631"/>
      <c r="PNA1739" s="630"/>
      <c r="PNB1739" s="668">
        <f t="shared" ref="PNB1739" si="1803">ROUND((SUM(PNB1738:PNB1738)),2)</f>
        <v>8</v>
      </c>
      <c r="PNC1739" s="669" t="s">
        <v>2</v>
      </c>
      <c r="PNE1739" s="660"/>
      <c r="PNF1739" s="660"/>
      <c r="PNH1739" s="629"/>
      <c r="PNI1739" s="630"/>
      <c r="PNJ1739" s="631"/>
      <c r="PNK1739" s="631"/>
      <c r="PNL1739" s="631"/>
      <c r="PNM1739" s="631"/>
      <c r="PNN1739" s="631"/>
      <c r="PNO1739" s="631"/>
      <c r="PNP1739" s="631"/>
      <c r="PNQ1739" s="630"/>
      <c r="PNR1739" s="668">
        <f t="shared" ref="PNR1739" si="1804">ROUND((SUM(PNR1738:PNR1738)),2)</f>
        <v>8</v>
      </c>
      <c r="PNS1739" s="669" t="s">
        <v>2</v>
      </c>
      <c r="PNU1739" s="660"/>
      <c r="PNV1739" s="660"/>
      <c r="PNX1739" s="629"/>
      <c r="PNY1739" s="630"/>
      <c r="PNZ1739" s="631"/>
      <c r="POA1739" s="631"/>
      <c r="POB1739" s="631"/>
      <c r="POC1739" s="631"/>
      <c r="POD1739" s="631"/>
      <c r="POE1739" s="631"/>
      <c r="POF1739" s="631"/>
      <c r="POG1739" s="630"/>
      <c r="POH1739" s="668">
        <f t="shared" ref="POH1739" si="1805">ROUND((SUM(POH1738:POH1738)),2)</f>
        <v>8</v>
      </c>
      <c r="POI1739" s="669" t="s">
        <v>2</v>
      </c>
      <c r="POK1739" s="660"/>
      <c r="POL1739" s="660"/>
      <c r="PON1739" s="629"/>
      <c r="POO1739" s="630"/>
      <c r="POP1739" s="631"/>
      <c r="POQ1739" s="631"/>
      <c r="POR1739" s="631"/>
      <c r="POS1739" s="631"/>
      <c r="POT1739" s="631"/>
      <c r="POU1739" s="631"/>
      <c r="POV1739" s="631"/>
      <c r="POW1739" s="630"/>
      <c r="POX1739" s="668">
        <f t="shared" ref="POX1739" si="1806">ROUND((SUM(POX1738:POX1738)),2)</f>
        <v>8</v>
      </c>
      <c r="POY1739" s="669" t="s">
        <v>2</v>
      </c>
      <c r="PPA1739" s="660"/>
      <c r="PPB1739" s="660"/>
      <c r="PPD1739" s="629"/>
      <c r="PPE1739" s="630"/>
      <c r="PPF1739" s="631"/>
      <c r="PPG1739" s="631"/>
      <c r="PPH1739" s="631"/>
      <c r="PPI1739" s="631"/>
      <c r="PPJ1739" s="631"/>
      <c r="PPK1739" s="631"/>
      <c r="PPL1739" s="631"/>
      <c r="PPM1739" s="630"/>
      <c r="PPN1739" s="668">
        <f t="shared" ref="PPN1739" si="1807">ROUND((SUM(PPN1738:PPN1738)),2)</f>
        <v>8</v>
      </c>
      <c r="PPO1739" s="669" t="s">
        <v>2</v>
      </c>
      <c r="PPQ1739" s="660"/>
      <c r="PPR1739" s="660"/>
      <c r="PPT1739" s="629"/>
      <c r="PPU1739" s="630"/>
      <c r="PPV1739" s="631"/>
      <c r="PPW1739" s="631"/>
      <c r="PPX1739" s="631"/>
      <c r="PPY1739" s="631"/>
      <c r="PPZ1739" s="631"/>
      <c r="PQA1739" s="631"/>
      <c r="PQB1739" s="631"/>
      <c r="PQC1739" s="630"/>
      <c r="PQD1739" s="668">
        <f t="shared" ref="PQD1739" si="1808">ROUND((SUM(PQD1738:PQD1738)),2)</f>
        <v>8</v>
      </c>
      <c r="PQE1739" s="669" t="s">
        <v>2</v>
      </c>
      <c r="PQG1739" s="660"/>
      <c r="PQH1739" s="660"/>
      <c r="PQJ1739" s="629"/>
      <c r="PQK1739" s="630"/>
      <c r="PQL1739" s="631"/>
      <c r="PQM1739" s="631"/>
      <c r="PQN1739" s="631"/>
      <c r="PQO1739" s="631"/>
      <c r="PQP1739" s="631"/>
      <c r="PQQ1739" s="631"/>
      <c r="PQR1739" s="631"/>
      <c r="PQS1739" s="630"/>
      <c r="PQT1739" s="668">
        <f t="shared" ref="PQT1739" si="1809">ROUND((SUM(PQT1738:PQT1738)),2)</f>
        <v>8</v>
      </c>
      <c r="PQU1739" s="669" t="s">
        <v>2</v>
      </c>
      <c r="PQW1739" s="660"/>
      <c r="PQX1739" s="660"/>
      <c r="PQZ1739" s="629"/>
      <c r="PRA1739" s="630"/>
      <c r="PRB1739" s="631"/>
      <c r="PRC1739" s="631"/>
      <c r="PRD1739" s="631"/>
      <c r="PRE1739" s="631"/>
      <c r="PRF1739" s="631"/>
      <c r="PRG1739" s="631"/>
      <c r="PRH1739" s="631"/>
      <c r="PRI1739" s="630"/>
      <c r="PRJ1739" s="668">
        <f t="shared" ref="PRJ1739" si="1810">ROUND((SUM(PRJ1738:PRJ1738)),2)</f>
        <v>8</v>
      </c>
      <c r="PRK1739" s="669" t="s">
        <v>2</v>
      </c>
      <c r="PRM1739" s="660"/>
      <c r="PRN1739" s="660"/>
      <c r="PRP1739" s="629"/>
      <c r="PRQ1739" s="630"/>
      <c r="PRR1739" s="631"/>
      <c r="PRS1739" s="631"/>
      <c r="PRT1739" s="631"/>
      <c r="PRU1739" s="631"/>
      <c r="PRV1739" s="631"/>
      <c r="PRW1739" s="631"/>
      <c r="PRX1739" s="631"/>
      <c r="PRY1739" s="630"/>
      <c r="PRZ1739" s="668">
        <f t="shared" ref="PRZ1739" si="1811">ROUND((SUM(PRZ1738:PRZ1738)),2)</f>
        <v>8</v>
      </c>
      <c r="PSA1739" s="669" t="s">
        <v>2</v>
      </c>
      <c r="PSC1739" s="660"/>
      <c r="PSD1739" s="660"/>
      <c r="PSF1739" s="629"/>
      <c r="PSG1739" s="630"/>
      <c r="PSH1739" s="631"/>
      <c r="PSI1739" s="631"/>
      <c r="PSJ1739" s="631"/>
      <c r="PSK1739" s="631"/>
      <c r="PSL1739" s="631"/>
      <c r="PSM1739" s="631"/>
      <c r="PSN1739" s="631"/>
      <c r="PSO1739" s="630"/>
      <c r="PSP1739" s="668">
        <f t="shared" ref="PSP1739" si="1812">ROUND((SUM(PSP1738:PSP1738)),2)</f>
        <v>8</v>
      </c>
      <c r="PSQ1739" s="669" t="s">
        <v>2</v>
      </c>
      <c r="PSS1739" s="660"/>
      <c r="PST1739" s="660"/>
      <c r="PSV1739" s="629"/>
      <c r="PSW1739" s="630"/>
      <c r="PSX1739" s="631"/>
      <c r="PSY1739" s="631"/>
      <c r="PSZ1739" s="631"/>
      <c r="PTA1739" s="631"/>
      <c r="PTB1739" s="631"/>
      <c r="PTC1739" s="631"/>
      <c r="PTD1739" s="631"/>
      <c r="PTE1739" s="630"/>
      <c r="PTF1739" s="668">
        <f t="shared" ref="PTF1739" si="1813">ROUND((SUM(PTF1738:PTF1738)),2)</f>
        <v>8</v>
      </c>
      <c r="PTG1739" s="669" t="s">
        <v>2</v>
      </c>
      <c r="PTI1739" s="660"/>
      <c r="PTJ1739" s="660"/>
      <c r="PTL1739" s="629"/>
      <c r="PTM1739" s="630"/>
      <c r="PTN1739" s="631"/>
      <c r="PTO1739" s="631"/>
      <c r="PTP1739" s="631"/>
      <c r="PTQ1739" s="631"/>
      <c r="PTR1739" s="631"/>
      <c r="PTS1739" s="631"/>
      <c r="PTT1739" s="631"/>
      <c r="PTU1739" s="630"/>
      <c r="PTV1739" s="668">
        <f t="shared" ref="PTV1739" si="1814">ROUND((SUM(PTV1738:PTV1738)),2)</f>
        <v>8</v>
      </c>
      <c r="PTW1739" s="669" t="s">
        <v>2</v>
      </c>
      <c r="PTY1739" s="660"/>
      <c r="PTZ1739" s="660"/>
      <c r="PUB1739" s="629"/>
      <c r="PUC1739" s="630"/>
      <c r="PUD1739" s="631"/>
      <c r="PUE1739" s="631"/>
      <c r="PUF1739" s="631"/>
      <c r="PUG1739" s="631"/>
      <c r="PUH1739" s="631"/>
      <c r="PUI1739" s="631"/>
      <c r="PUJ1739" s="631"/>
      <c r="PUK1739" s="630"/>
      <c r="PUL1739" s="668">
        <f t="shared" ref="PUL1739" si="1815">ROUND((SUM(PUL1738:PUL1738)),2)</f>
        <v>8</v>
      </c>
      <c r="PUM1739" s="669" t="s">
        <v>2</v>
      </c>
      <c r="PUO1739" s="660"/>
      <c r="PUP1739" s="660"/>
      <c r="PUR1739" s="629"/>
      <c r="PUS1739" s="630"/>
      <c r="PUT1739" s="631"/>
      <c r="PUU1739" s="631"/>
      <c r="PUV1739" s="631"/>
      <c r="PUW1739" s="631"/>
      <c r="PUX1739" s="631"/>
      <c r="PUY1739" s="631"/>
      <c r="PUZ1739" s="631"/>
      <c r="PVA1739" s="630"/>
      <c r="PVB1739" s="668">
        <f t="shared" ref="PVB1739" si="1816">ROUND((SUM(PVB1738:PVB1738)),2)</f>
        <v>8</v>
      </c>
      <c r="PVC1739" s="669" t="s">
        <v>2</v>
      </c>
      <c r="PVE1739" s="660"/>
      <c r="PVF1739" s="660"/>
      <c r="PVH1739" s="629"/>
      <c r="PVI1739" s="630"/>
      <c r="PVJ1739" s="631"/>
      <c r="PVK1739" s="631"/>
      <c r="PVL1739" s="631"/>
      <c r="PVM1739" s="631"/>
      <c r="PVN1739" s="631"/>
      <c r="PVO1739" s="631"/>
      <c r="PVP1739" s="631"/>
      <c r="PVQ1739" s="630"/>
      <c r="PVR1739" s="668">
        <f t="shared" ref="PVR1739" si="1817">ROUND((SUM(PVR1738:PVR1738)),2)</f>
        <v>8</v>
      </c>
      <c r="PVS1739" s="669" t="s">
        <v>2</v>
      </c>
      <c r="PVU1739" s="660"/>
      <c r="PVV1739" s="660"/>
      <c r="PVX1739" s="629"/>
      <c r="PVY1739" s="630"/>
      <c r="PVZ1739" s="631"/>
      <c r="PWA1739" s="631"/>
      <c r="PWB1739" s="631"/>
      <c r="PWC1739" s="631"/>
      <c r="PWD1739" s="631"/>
      <c r="PWE1739" s="631"/>
      <c r="PWF1739" s="631"/>
      <c r="PWG1739" s="630"/>
      <c r="PWH1739" s="668">
        <f t="shared" ref="PWH1739" si="1818">ROUND((SUM(PWH1738:PWH1738)),2)</f>
        <v>8</v>
      </c>
      <c r="PWI1739" s="669" t="s">
        <v>2</v>
      </c>
      <c r="PWK1739" s="660"/>
      <c r="PWL1739" s="660"/>
      <c r="PWN1739" s="629"/>
      <c r="PWO1739" s="630"/>
      <c r="PWP1739" s="631"/>
      <c r="PWQ1739" s="631"/>
      <c r="PWR1739" s="631"/>
      <c r="PWS1739" s="631"/>
      <c r="PWT1739" s="631"/>
      <c r="PWU1739" s="631"/>
      <c r="PWV1739" s="631"/>
      <c r="PWW1739" s="630"/>
      <c r="PWX1739" s="668">
        <f t="shared" ref="PWX1739" si="1819">ROUND((SUM(PWX1738:PWX1738)),2)</f>
        <v>8</v>
      </c>
      <c r="PWY1739" s="669" t="s">
        <v>2</v>
      </c>
      <c r="PXA1739" s="660"/>
      <c r="PXB1739" s="660"/>
      <c r="PXD1739" s="629"/>
      <c r="PXE1739" s="630"/>
      <c r="PXF1739" s="631"/>
      <c r="PXG1739" s="631"/>
      <c r="PXH1739" s="631"/>
      <c r="PXI1739" s="631"/>
      <c r="PXJ1739" s="631"/>
      <c r="PXK1739" s="631"/>
      <c r="PXL1739" s="631"/>
      <c r="PXM1739" s="630"/>
      <c r="PXN1739" s="668">
        <f t="shared" ref="PXN1739" si="1820">ROUND((SUM(PXN1738:PXN1738)),2)</f>
        <v>8</v>
      </c>
      <c r="PXO1739" s="669" t="s">
        <v>2</v>
      </c>
      <c r="PXQ1739" s="660"/>
      <c r="PXR1739" s="660"/>
      <c r="PXT1739" s="629"/>
      <c r="PXU1739" s="630"/>
      <c r="PXV1739" s="631"/>
      <c r="PXW1739" s="631"/>
      <c r="PXX1739" s="631"/>
      <c r="PXY1739" s="631"/>
      <c r="PXZ1739" s="631"/>
      <c r="PYA1739" s="631"/>
      <c r="PYB1739" s="631"/>
      <c r="PYC1739" s="630"/>
      <c r="PYD1739" s="668">
        <f t="shared" ref="PYD1739" si="1821">ROUND((SUM(PYD1738:PYD1738)),2)</f>
        <v>8</v>
      </c>
      <c r="PYE1739" s="669" t="s">
        <v>2</v>
      </c>
      <c r="PYG1739" s="660"/>
      <c r="PYH1739" s="660"/>
      <c r="PYJ1739" s="629"/>
      <c r="PYK1739" s="630"/>
      <c r="PYL1739" s="631"/>
      <c r="PYM1739" s="631"/>
      <c r="PYN1739" s="631"/>
      <c r="PYO1739" s="631"/>
      <c r="PYP1739" s="631"/>
      <c r="PYQ1739" s="631"/>
      <c r="PYR1739" s="631"/>
      <c r="PYS1739" s="630"/>
      <c r="PYT1739" s="668">
        <f t="shared" ref="PYT1739" si="1822">ROUND((SUM(PYT1738:PYT1738)),2)</f>
        <v>8</v>
      </c>
      <c r="PYU1739" s="669" t="s">
        <v>2</v>
      </c>
      <c r="PYW1739" s="660"/>
      <c r="PYX1739" s="660"/>
      <c r="PYZ1739" s="629"/>
      <c r="PZA1739" s="630"/>
      <c r="PZB1739" s="631"/>
      <c r="PZC1739" s="631"/>
      <c r="PZD1739" s="631"/>
      <c r="PZE1739" s="631"/>
      <c r="PZF1739" s="631"/>
      <c r="PZG1739" s="631"/>
      <c r="PZH1739" s="631"/>
      <c r="PZI1739" s="630"/>
      <c r="PZJ1739" s="668">
        <f t="shared" ref="PZJ1739" si="1823">ROUND((SUM(PZJ1738:PZJ1738)),2)</f>
        <v>8</v>
      </c>
      <c r="PZK1739" s="669" t="s">
        <v>2</v>
      </c>
      <c r="PZM1739" s="660"/>
      <c r="PZN1739" s="660"/>
      <c r="PZP1739" s="629"/>
      <c r="PZQ1739" s="630"/>
      <c r="PZR1739" s="631"/>
      <c r="PZS1739" s="631"/>
      <c r="PZT1739" s="631"/>
      <c r="PZU1739" s="631"/>
      <c r="PZV1739" s="631"/>
      <c r="PZW1739" s="631"/>
      <c r="PZX1739" s="631"/>
      <c r="PZY1739" s="630"/>
      <c r="PZZ1739" s="668">
        <f t="shared" ref="PZZ1739" si="1824">ROUND((SUM(PZZ1738:PZZ1738)),2)</f>
        <v>8</v>
      </c>
      <c r="QAA1739" s="669" t="s">
        <v>2</v>
      </c>
      <c r="QAC1739" s="660"/>
      <c r="QAD1739" s="660"/>
      <c r="QAF1739" s="629"/>
      <c r="QAG1739" s="630"/>
      <c r="QAH1739" s="631"/>
      <c r="QAI1739" s="631"/>
      <c r="QAJ1739" s="631"/>
      <c r="QAK1739" s="631"/>
      <c r="QAL1739" s="631"/>
      <c r="QAM1739" s="631"/>
      <c r="QAN1739" s="631"/>
      <c r="QAO1739" s="630"/>
      <c r="QAP1739" s="668">
        <f t="shared" ref="QAP1739" si="1825">ROUND((SUM(QAP1738:QAP1738)),2)</f>
        <v>8</v>
      </c>
      <c r="QAQ1739" s="669" t="s">
        <v>2</v>
      </c>
      <c r="QAS1739" s="660"/>
      <c r="QAT1739" s="660"/>
      <c r="QAV1739" s="629"/>
      <c r="QAW1739" s="630"/>
      <c r="QAX1739" s="631"/>
      <c r="QAY1739" s="631"/>
      <c r="QAZ1739" s="631"/>
      <c r="QBA1739" s="631"/>
      <c r="QBB1739" s="631"/>
      <c r="QBC1739" s="631"/>
      <c r="QBD1739" s="631"/>
      <c r="QBE1739" s="630"/>
      <c r="QBF1739" s="668">
        <f t="shared" ref="QBF1739" si="1826">ROUND((SUM(QBF1738:QBF1738)),2)</f>
        <v>8</v>
      </c>
      <c r="QBG1739" s="669" t="s">
        <v>2</v>
      </c>
      <c r="QBI1739" s="660"/>
      <c r="QBJ1739" s="660"/>
      <c r="QBL1739" s="629"/>
      <c r="QBM1739" s="630"/>
      <c r="QBN1739" s="631"/>
      <c r="QBO1739" s="631"/>
      <c r="QBP1739" s="631"/>
      <c r="QBQ1739" s="631"/>
      <c r="QBR1739" s="631"/>
      <c r="QBS1739" s="631"/>
      <c r="QBT1739" s="631"/>
      <c r="QBU1739" s="630"/>
      <c r="QBV1739" s="668">
        <f t="shared" ref="QBV1739" si="1827">ROUND((SUM(QBV1738:QBV1738)),2)</f>
        <v>8</v>
      </c>
      <c r="QBW1739" s="669" t="s">
        <v>2</v>
      </c>
      <c r="QBY1739" s="660"/>
      <c r="QBZ1739" s="660"/>
      <c r="QCB1739" s="629"/>
      <c r="QCC1739" s="630"/>
      <c r="QCD1739" s="631"/>
      <c r="QCE1739" s="631"/>
      <c r="QCF1739" s="631"/>
      <c r="QCG1739" s="631"/>
      <c r="QCH1739" s="631"/>
      <c r="QCI1739" s="631"/>
      <c r="QCJ1739" s="631"/>
      <c r="QCK1739" s="630"/>
      <c r="QCL1739" s="668">
        <f t="shared" ref="QCL1739" si="1828">ROUND((SUM(QCL1738:QCL1738)),2)</f>
        <v>8</v>
      </c>
      <c r="QCM1739" s="669" t="s">
        <v>2</v>
      </c>
      <c r="QCO1739" s="660"/>
      <c r="QCP1739" s="660"/>
      <c r="QCR1739" s="629"/>
      <c r="QCS1739" s="630"/>
      <c r="QCT1739" s="631"/>
      <c r="QCU1739" s="631"/>
      <c r="QCV1739" s="631"/>
      <c r="QCW1739" s="631"/>
      <c r="QCX1739" s="631"/>
      <c r="QCY1739" s="631"/>
      <c r="QCZ1739" s="631"/>
      <c r="QDA1739" s="630"/>
      <c r="QDB1739" s="668">
        <f t="shared" ref="QDB1739" si="1829">ROUND((SUM(QDB1738:QDB1738)),2)</f>
        <v>8</v>
      </c>
      <c r="QDC1739" s="669" t="s">
        <v>2</v>
      </c>
      <c r="QDE1739" s="660"/>
      <c r="QDF1739" s="660"/>
      <c r="QDH1739" s="629"/>
      <c r="QDI1739" s="630"/>
      <c r="QDJ1739" s="631"/>
      <c r="QDK1739" s="631"/>
      <c r="QDL1739" s="631"/>
      <c r="QDM1739" s="631"/>
      <c r="QDN1739" s="631"/>
      <c r="QDO1739" s="631"/>
      <c r="QDP1739" s="631"/>
      <c r="QDQ1739" s="630"/>
      <c r="QDR1739" s="668">
        <f t="shared" ref="QDR1739" si="1830">ROUND((SUM(QDR1738:QDR1738)),2)</f>
        <v>8</v>
      </c>
      <c r="QDS1739" s="669" t="s">
        <v>2</v>
      </c>
      <c r="QDU1739" s="660"/>
      <c r="QDV1739" s="660"/>
      <c r="QDX1739" s="629"/>
      <c r="QDY1739" s="630"/>
      <c r="QDZ1739" s="631"/>
      <c r="QEA1739" s="631"/>
      <c r="QEB1739" s="631"/>
      <c r="QEC1739" s="631"/>
      <c r="QED1739" s="631"/>
      <c r="QEE1739" s="631"/>
      <c r="QEF1739" s="631"/>
      <c r="QEG1739" s="630"/>
      <c r="QEH1739" s="668">
        <f t="shared" ref="QEH1739" si="1831">ROUND((SUM(QEH1738:QEH1738)),2)</f>
        <v>8</v>
      </c>
      <c r="QEI1739" s="669" t="s">
        <v>2</v>
      </c>
      <c r="QEK1739" s="660"/>
      <c r="QEL1739" s="660"/>
      <c r="QEN1739" s="629"/>
      <c r="QEO1739" s="630"/>
      <c r="QEP1739" s="631"/>
      <c r="QEQ1739" s="631"/>
      <c r="QER1739" s="631"/>
      <c r="QES1739" s="631"/>
      <c r="QET1739" s="631"/>
      <c r="QEU1739" s="631"/>
      <c r="QEV1739" s="631"/>
      <c r="QEW1739" s="630"/>
      <c r="QEX1739" s="668">
        <f t="shared" ref="QEX1739" si="1832">ROUND((SUM(QEX1738:QEX1738)),2)</f>
        <v>8</v>
      </c>
      <c r="QEY1739" s="669" t="s">
        <v>2</v>
      </c>
      <c r="QFA1739" s="660"/>
      <c r="QFB1739" s="660"/>
      <c r="QFD1739" s="629"/>
      <c r="QFE1739" s="630"/>
      <c r="QFF1739" s="631"/>
      <c r="QFG1739" s="631"/>
      <c r="QFH1739" s="631"/>
      <c r="QFI1739" s="631"/>
      <c r="QFJ1739" s="631"/>
      <c r="QFK1739" s="631"/>
      <c r="QFL1739" s="631"/>
      <c r="QFM1739" s="630"/>
      <c r="QFN1739" s="668">
        <f t="shared" ref="QFN1739" si="1833">ROUND((SUM(QFN1738:QFN1738)),2)</f>
        <v>8</v>
      </c>
      <c r="QFO1739" s="669" t="s">
        <v>2</v>
      </c>
      <c r="QFQ1739" s="660"/>
      <c r="QFR1739" s="660"/>
      <c r="QFT1739" s="629"/>
      <c r="QFU1739" s="630"/>
      <c r="QFV1739" s="631"/>
      <c r="QFW1739" s="631"/>
      <c r="QFX1739" s="631"/>
      <c r="QFY1739" s="631"/>
      <c r="QFZ1739" s="631"/>
      <c r="QGA1739" s="631"/>
      <c r="QGB1739" s="631"/>
      <c r="QGC1739" s="630"/>
      <c r="QGD1739" s="668">
        <f t="shared" ref="QGD1739" si="1834">ROUND((SUM(QGD1738:QGD1738)),2)</f>
        <v>8</v>
      </c>
      <c r="QGE1739" s="669" t="s">
        <v>2</v>
      </c>
      <c r="QGG1739" s="660"/>
      <c r="QGH1739" s="660"/>
      <c r="QGJ1739" s="629"/>
      <c r="QGK1739" s="630"/>
      <c r="QGL1739" s="631"/>
      <c r="QGM1739" s="631"/>
      <c r="QGN1739" s="631"/>
      <c r="QGO1739" s="631"/>
      <c r="QGP1739" s="631"/>
      <c r="QGQ1739" s="631"/>
      <c r="QGR1739" s="631"/>
      <c r="QGS1739" s="630"/>
      <c r="QGT1739" s="668">
        <f t="shared" ref="QGT1739" si="1835">ROUND((SUM(QGT1738:QGT1738)),2)</f>
        <v>8</v>
      </c>
      <c r="QGU1739" s="669" t="s">
        <v>2</v>
      </c>
      <c r="QGW1739" s="660"/>
      <c r="QGX1739" s="660"/>
      <c r="QGZ1739" s="629"/>
      <c r="QHA1739" s="630"/>
      <c r="QHB1739" s="631"/>
      <c r="QHC1739" s="631"/>
      <c r="QHD1739" s="631"/>
      <c r="QHE1739" s="631"/>
      <c r="QHF1739" s="631"/>
      <c r="QHG1739" s="631"/>
      <c r="QHH1739" s="631"/>
      <c r="QHI1739" s="630"/>
      <c r="QHJ1739" s="668">
        <f t="shared" ref="QHJ1739" si="1836">ROUND((SUM(QHJ1738:QHJ1738)),2)</f>
        <v>8</v>
      </c>
      <c r="QHK1739" s="669" t="s">
        <v>2</v>
      </c>
      <c r="QHM1739" s="660"/>
      <c r="QHN1739" s="660"/>
      <c r="QHP1739" s="629"/>
      <c r="QHQ1739" s="630"/>
      <c r="QHR1739" s="631"/>
      <c r="QHS1739" s="631"/>
      <c r="QHT1739" s="631"/>
      <c r="QHU1739" s="631"/>
      <c r="QHV1739" s="631"/>
      <c r="QHW1739" s="631"/>
      <c r="QHX1739" s="631"/>
      <c r="QHY1739" s="630"/>
      <c r="QHZ1739" s="668">
        <f t="shared" ref="QHZ1739" si="1837">ROUND((SUM(QHZ1738:QHZ1738)),2)</f>
        <v>8</v>
      </c>
      <c r="QIA1739" s="669" t="s">
        <v>2</v>
      </c>
      <c r="QIC1739" s="660"/>
      <c r="QID1739" s="660"/>
      <c r="QIF1739" s="629"/>
      <c r="QIG1739" s="630"/>
      <c r="QIH1739" s="631"/>
      <c r="QII1739" s="631"/>
      <c r="QIJ1739" s="631"/>
      <c r="QIK1739" s="631"/>
      <c r="QIL1739" s="631"/>
      <c r="QIM1739" s="631"/>
      <c r="QIN1739" s="631"/>
      <c r="QIO1739" s="630"/>
      <c r="QIP1739" s="668">
        <f t="shared" ref="QIP1739" si="1838">ROUND((SUM(QIP1738:QIP1738)),2)</f>
        <v>8</v>
      </c>
      <c r="QIQ1739" s="669" t="s">
        <v>2</v>
      </c>
      <c r="QIS1739" s="660"/>
      <c r="QIT1739" s="660"/>
      <c r="QIV1739" s="629"/>
      <c r="QIW1739" s="630"/>
      <c r="QIX1739" s="631"/>
      <c r="QIY1739" s="631"/>
      <c r="QIZ1739" s="631"/>
      <c r="QJA1739" s="631"/>
      <c r="QJB1739" s="631"/>
      <c r="QJC1739" s="631"/>
      <c r="QJD1739" s="631"/>
      <c r="QJE1739" s="630"/>
      <c r="QJF1739" s="668">
        <f t="shared" ref="QJF1739" si="1839">ROUND((SUM(QJF1738:QJF1738)),2)</f>
        <v>8</v>
      </c>
      <c r="QJG1739" s="669" t="s">
        <v>2</v>
      </c>
      <c r="QJI1739" s="660"/>
      <c r="QJJ1739" s="660"/>
      <c r="QJL1739" s="629"/>
      <c r="QJM1739" s="630"/>
      <c r="QJN1739" s="631"/>
      <c r="QJO1739" s="631"/>
      <c r="QJP1739" s="631"/>
      <c r="QJQ1739" s="631"/>
      <c r="QJR1739" s="631"/>
      <c r="QJS1739" s="631"/>
      <c r="QJT1739" s="631"/>
      <c r="QJU1739" s="630"/>
      <c r="QJV1739" s="668">
        <f t="shared" ref="QJV1739" si="1840">ROUND((SUM(QJV1738:QJV1738)),2)</f>
        <v>8</v>
      </c>
      <c r="QJW1739" s="669" t="s">
        <v>2</v>
      </c>
      <c r="QJY1739" s="660"/>
      <c r="QJZ1739" s="660"/>
      <c r="QKB1739" s="629"/>
      <c r="QKC1739" s="630"/>
      <c r="QKD1739" s="631"/>
      <c r="QKE1739" s="631"/>
      <c r="QKF1739" s="631"/>
      <c r="QKG1739" s="631"/>
      <c r="QKH1739" s="631"/>
      <c r="QKI1739" s="631"/>
      <c r="QKJ1739" s="631"/>
      <c r="QKK1739" s="630"/>
      <c r="QKL1739" s="668">
        <f t="shared" ref="QKL1739" si="1841">ROUND((SUM(QKL1738:QKL1738)),2)</f>
        <v>8</v>
      </c>
      <c r="QKM1739" s="669" t="s">
        <v>2</v>
      </c>
      <c r="QKO1739" s="660"/>
      <c r="QKP1739" s="660"/>
      <c r="QKR1739" s="629"/>
      <c r="QKS1739" s="630"/>
      <c r="QKT1739" s="631"/>
      <c r="QKU1739" s="631"/>
      <c r="QKV1739" s="631"/>
      <c r="QKW1739" s="631"/>
      <c r="QKX1739" s="631"/>
      <c r="QKY1739" s="631"/>
      <c r="QKZ1739" s="631"/>
      <c r="QLA1739" s="630"/>
      <c r="QLB1739" s="668">
        <f t="shared" ref="QLB1739" si="1842">ROUND((SUM(QLB1738:QLB1738)),2)</f>
        <v>8</v>
      </c>
      <c r="QLC1739" s="669" t="s">
        <v>2</v>
      </c>
      <c r="QLE1739" s="660"/>
      <c r="QLF1739" s="660"/>
      <c r="QLH1739" s="629"/>
      <c r="QLI1739" s="630"/>
      <c r="QLJ1739" s="631"/>
      <c r="QLK1739" s="631"/>
      <c r="QLL1739" s="631"/>
      <c r="QLM1739" s="631"/>
      <c r="QLN1739" s="631"/>
      <c r="QLO1739" s="631"/>
      <c r="QLP1739" s="631"/>
      <c r="QLQ1739" s="630"/>
      <c r="QLR1739" s="668">
        <f t="shared" ref="QLR1739" si="1843">ROUND((SUM(QLR1738:QLR1738)),2)</f>
        <v>8</v>
      </c>
      <c r="QLS1739" s="669" t="s">
        <v>2</v>
      </c>
      <c r="QLU1739" s="660"/>
      <c r="QLV1739" s="660"/>
      <c r="QLX1739" s="629"/>
      <c r="QLY1739" s="630"/>
      <c r="QLZ1739" s="631"/>
      <c r="QMA1739" s="631"/>
      <c r="QMB1739" s="631"/>
      <c r="QMC1739" s="631"/>
      <c r="QMD1739" s="631"/>
      <c r="QME1739" s="631"/>
      <c r="QMF1739" s="631"/>
      <c r="QMG1739" s="630"/>
      <c r="QMH1739" s="668">
        <f t="shared" ref="QMH1739" si="1844">ROUND((SUM(QMH1738:QMH1738)),2)</f>
        <v>8</v>
      </c>
      <c r="QMI1739" s="669" t="s">
        <v>2</v>
      </c>
      <c r="QMK1739" s="660"/>
      <c r="QML1739" s="660"/>
      <c r="QMN1739" s="629"/>
      <c r="QMO1739" s="630"/>
      <c r="QMP1739" s="631"/>
      <c r="QMQ1739" s="631"/>
      <c r="QMR1739" s="631"/>
      <c r="QMS1739" s="631"/>
      <c r="QMT1739" s="631"/>
      <c r="QMU1739" s="631"/>
      <c r="QMV1739" s="631"/>
      <c r="QMW1739" s="630"/>
      <c r="QMX1739" s="668">
        <f t="shared" ref="QMX1739" si="1845">ROUND((SUM(QMX1738:QMX1738)),2)</f>
        <v>8</v>
      </c>
      <c r="QMY1739" s="669" t="s">
        <v>2</v>
      </c>
      <c r="QNA1739" s="660"/>
      <c r="QNB1739" s="660"/>
      <c r="QND1739" s="629"/>
      <c r="QNE1739" s="630"/>
      <c r="QNF1739" s="631"/>
      <c r="QNG1739" s="631"/>
      <c r="QNH1739" s="631"/>
      <c r="QNI1739" s="631"/>
      <c r="QNJ1739" s="631"/>
      <c r="QNK1739" s="631"/>
      <c r="QNL1739" s="631"/>
      <c r="QNM1739" s="630"/>
      <c r="QNN1739" s="668">
        <f t="shared" ref="QNN1739" si="1846">ROUND((SUM(QNN1738:QNN1738)),2)</f>
        <v>8</v>
      </c>
      <c r="QNO1739" s="669" t="s">
        <v>2</v>
      </c>
      <c r="QNQ1739" s="660"/>
      <c r="QNR1739" s="660"/>
      <c r="QNT1739" s="629"/>
      <c r="QNU1739" s="630"/>
      <c r="QNV1739" s="631"/>
      <c r="QNW1739" s="631"/>
      <c r="QNX1739" s="631"/>
      <c r="QNY1739" s="631"/>
      <c r="QNZ1739" s="631"/>
      <c r="QOA1739" s="631"/>
      <c r="QOB1739" s="631"/>
      <c r="QOC1739" s="630"/>
      <c r="QOD1739" s="668">
        <f t="shared" ref="QOD1739" si="1847">ROUND((SUM(QOD1738:QOD1738)),2)</f>
        <v>8</v>
      </c>
      <c r="QOE1739" s="669" t="s">
        <v>2</v>
      </c>
      <c r="QOG1739" s="660"/>
      <c r="QOH1739" s="660"/>
      <c r="QOJ1739" s="629"/>
      <c r="QOK1739" s="630"/>
      <c r="QOL1739" s="631"/>
      <c r="QOM1739" s="631"/>
      <c r="QON1739" s="631"/>
      <c r="QOO1739" s="631"/>
      <c r="QOP1739" s="631"/>
      <c r="QOQ1739" s="631"/>
      <c r="QOR1739" s="631"/>
      <c r="QOS1739" s="630"/>
      <c r="QOT1739" s="668">
        <f t="shared" ref="QOT1739" si="1848">ROUND((SUM(QOT1738:QOT1738)),2)</f>
        <v>8</v>
      </c>
      <c r="QOU1739" s="669" t="s">
        <v>2</v>
      </c>
      <c r="QOW1739" s="660"/>
      <c r="QOX1739" s="660"/>
      <c r="QOZ1739" s="629"/>
      <c r="QPA1739" s="630"/>
      <c r="QPB1739" s="631"/>
      <c r="QPC1739" s="631"/>
      <c r="QPD1739" s="631"/>
      <c r="QPE1739" s="631"/>
      <c r="QPF1739" s="631"/>
      <c r="QPG1739" s="631"/>
      <c r="QPH1739" s="631"/>
      <c r="QPI1739" s="630"/>
      <c r="QPJ1739" s="668">
        <f t="shared" ref="QPJ1739" si="1849">ROUND((SUM(QPJ1738:QPJ1738)),2)</f>
        <v>8</v>
      </c>
      <c r="QPK1739" s="669" t="s">
        <v>2</v>
      </c>
      <c r="QPM1739" s="660"/>
      <c r="QPN1739" s="660"/>
      <c r="QPP1739" s="629"/>
      <c r="QPQ1739" s="630"/>
      <c r="QPR1739" s="631"/>
      <c r="QPS1739" s="631"/>
      <c r="QPT1739" s="631"/>
      <c r="QPU1739" s="631"/>
      <c r="QPV1739" s="631"/>
      <c r="QPW1739" s="631"/>
      <c r="QPX1739" s="631"/>
      <c r="QPY1739" s="630"/>
      <c r="QPZ1739" s="668">
        <f t="shared" ref="QPZ1739" si="1850">ROUND((SUM(QPZ1738:QPZ1738)),2)</f>
        <v>8</v>
      </c>
      <c r="QQA1739" s="669" t="s">
        <v>2</v>
      </c>
      <c r="QQC1739" s="660"/>
      <c r="QQD1739" s="660"/>
      <c r="QQF1739" s="629"/>
      <c r="QQG1739" s="630"/>
      <c r="QQH1739" s="631"/>
      <c r="QQI1739" s="631"/>
      <c r="QQJ1739" s="631"/>
      <c r="QQK1739" s="631"/>
      <c r="QQL1739" s="631"/>
      <c r="QQM1739" s="631"/>
      <c r="QQN1739" s="631"/>
      <c r="QQO1739" s="630"/>
      <c r="QQP1739" s="668">
        <f t="shared" ref="QQP1739" si="1851">ROUND((SUM(QQP1738:QQP1738)),2)</f>
        <v>8</v>
      </c>
      <c r="QQQ1739" s="669" t="s">
        <v>2</v>
      </c>
      <c r="QQS1739" s="660"/>
      <c r="QQT1739" s="660"/>
      <c r="QQV1739" s="629"/>
      <c r="QQW1739" s="630"/>
      <c r="QQX1739" s="631"/>
      <c r="QQY1739" s="631"/>
      <c r="QQZ1739" s="631"/>
      <c r="QRA1739" s="631"/>
      <c r="QRB1739" s="631"/>
      <c r="QRC1739" s="631"/>
      <c r="QRD1739" s="631"/>
      <c r="QRE1739" s="630"/>
      <c r="QRF1739" s="668">
        <f t="shared" ref="QRF1739" si="1852">ROUND((SUM(QRF1738:QRF1738)),2)</f>
        <v>8</v>
      </c>
      <c r="QRG1739" s="669" t="s">
        <v>2</v>
      </c>
      <c r="QRI1739" s="660"/>
      <c r="QRJ1739" s="660"/>
      <c r="QRL1739" s="629"/>
      <c r="QRM1739" s="630"/>
      <c r="QRN1739" s="631"/>
      <c r="QRO1739" s="631"/>
      <c r="QRP1739" s="631"/>
      <c r="QRQ1739" s="631"/>
      <c r="QRR1739" s="631"/>
      <c r="QRS1739" s="631"/>
      <c r="QRT1739" s="631"/>
      <c r="QRU1739" s="630"/>
      <c r="QRV1739" s="668">
        <f t="shared" ref="QRV1739" si="1853">ROUND((SUM(QRV1738:QRV1738)),2)</f>
        <v>8</v>
      </c>
      <c r="QRW1739" s="669" t="s">
        <v>2</v>
      </c>
      <c r="QRY1739" s="660"/>
      <c r="QRZ1739" s="660"/>
      <c r="QSB1739" s="629"/>
      <c r="QSC1739" s="630"/>
      <c r="QSD1739" s="631"/>
      <c r="QSE1739" s="631"/>
      <c r="QSF1739" s="631"/>
      <c r="QSG1739" s="631"/>
      <c r="QSH1739" s="631"/>
      <c r="QSI1739" s="631"/>
      <c r="QSJ1739" s="631"/>
      <c r="QSK1739" s="630"/>
      <c r="QSL1739" s="668">
        <f t="shared" ref="QSL1739" si="1854">ROUND((SUM(QSL1738:QSL1738)),2)</f>
        <v>8</v>
      </c>
      <c r="QSM1739" s="669" t="s">
        <v>2</v>
      </c>
      <c r="QSO1739" s="660"/>
      <c r="QSP1739" s="660"/>
      <c r="QSR1739" s="629"/>
      <c r="QSS1739" s="630"/>
      <c r="QST1739" s="631"/>
      <c r="QSU1739" s="631"/>
      <c r="QSV1739" s="631"/>
      <c r="QSW1739" s="631"/>
      <c r="QSX1739" s="631"/>
      <c r="QSY1739" s="631"/>
      <c r="QSZ1739" s="631"/>
      <c r="QTA1739" s="630"/>
      <c r="QTB1739" s="668">
        <f t="shared" ref="QTB1739" si="1855">ROUND((SUM(QTB1738:QTB1738)),2)</f>
        <v>8</v>
      </c>
      <c r="QTC1739" s="669" t="s">
        <v>2</v>
      </c>
      <c r="QTE1739" s="660"/>
      <c r="QTF1739" s="660"/>
      <c r="QTH1739" s="629"/>
      <c r="QTI1739" s="630"/>
      <c r="QTJ1739" s="631"/>
      <c r="QTK1739" s="631"/>
      <c r="QTL1739" s="631"/>
      <c r="QTM1739" s="631"/>
      <c r="QTN1739" s="631"/>
      <c r="QTO1739" s="631"/>
      <c r="QTP1739" s="631"/>
      <c r="QTQ1739" s="630"/>
      <c r="QTR1739" s="668">
        <f t="shared" ref="QTR1739" si="1856">ROUND((SUM(QTR1738:QTR1738)),2)</f>
        <v>8</v>
      </c>
      <c r="QTS1739" s="669" t="s">
        <v>2</v>
      </c>
      <c r="QTU1739" s="660"/>
      <c r="QTV1739" s="660"/>
      <c r="QTX1739" s="629"/>
      <c r="QTY1739" s="630"/>
      <c r="QTZ1739" s="631"/>
      <c r="QUA1739" s="631"/>
      <c r="QUB1739" s="631"/>
      <c r="QUC1739" s="631"/>
      <c r="QUD1739" s="631"/>
      <c r="QUE1739" s="631"/>
      <c r="QUF1739" s="631"/>
      <c r="QUG1739" s="630"/>
      <c r="QUH1739" s="668">
        <f t="shared" ref="QUH1739" si="1857">ROUND((SUM(QUH1738:QUH1738)),2)</f>
        <v>8</v>
      </c>
      <c r="QUI1739" s="669" t="s">
        <v>2</v>
      </c>
      <c r="QUK1739" s="660"/>
      <c r="QUL1739" s="660"/>
      <c r="QUN1739" s="629"/>
      <c r="QUO1739" s="630"/>
      <c r="QUP1739" s="631"/>
      <c r="QUQ1739" s="631"/>
      <c r="QUR1739" s="631"/>
      <c r="QUS1739" s="631"/>
      <c r="QUT1739" s="631"/>
      <c r="QUU1739" s="631"/>
      <c r="QUV1739" s="631"/>
      <c r="QUW1739" s="630"/>
      <c r="QUX1739" s="668">
        <f t="shared" ref="QUX1739" si="1858">ROUND((SUM(QUX1738:QUX1738)),2)</f>
        <v>8</v>
      </c>
      <c r="QUY1739" s="669" t="s">
        <v>2</v>
      </c>
      <c r="QVA1739" s="660"/>
      <c r="QVB1739" s="660"/>
      <c r="QVD1739" s="629"/>
      <c r="QVE1739" s="630"/>
      <c r="QVF1739" s="631"/>
      <c r="QVG1739" s="631"/>
      <c r="QVH1739" s="631"/>
      <c r="QVI1739" s="631"/>
      <c r="QVJ1739" s="631"/>
      <c r="QVK1739" s="631"/>
      <c r="QVL1739" s="631"/>
      <c r="QVM1739" s="630"/>
      <c r="QVN1739" s="668">
        <f t="shared" ref="QVN1739" si="1859">ROUND((SUM(QVN1738:QVN1738)),2)</f>
        <v>8</v>
      </c>
      <c r="QVO1739" s="669" t="s">
        <v>2</v>
      </c>
      <c r="QVQ1739" s="660"/>
      <c r="QVR1739" s="660"/>
      <c r="QVT1739" s="629"/>
      <c r="QVU1739" s="630"/>
      <c r="QVV1739" s="631"/>
      <c r="QVW1739" s="631"/>
      <c r="QVX1739" s="631"/>
      <c r="QVY1739" s="631"/>
      <c r="QVZ1739" s="631"/>
      <c r="QWA1739" s="631"/>
      <c r="QWB1739" s="631"/>
      <c r="QWC1739" s="630"/>
      <c r="QWD1739" s="668">
        <f t="shared" ref="QWD1739" si="1860">ROUND((SUM(QWD1738:QWD1738)),2)</f>
        <v>8</v>
      </c>
      <c r="QWE1739" s="669" t="s">
        <v>2</v>
      </c>
      <c r="QWG1739" s="660"/>
      <c r="QWH1739" s="660"/>
      <c r="QWJ1739" s="629"/>
      <c r="QWK1739" s="630"/>
      <c r="QWL1739" s="631"/>
      <c r="QWM1739" s="631"/>
      <c r="QWN1739" s="631"/>
      <c r="QWO1739" s="631"/>
      <c r="QWP1739" s="631"/>
      <c r="QWQ1739" s="631"/>
      <c r="QWR1739" s="631"/>
      <c r="QWS1739" s="630"/>
      <c r="QWT1739" s="668">
        <f t="shared" ref="QWT1739" si="1861">ROUND((SUM(QWT1738:QWT1738)),2)</f>
        <v>8</v>
      </c>
      <c r="QWU1739" s="669" t="s">
        <v>2</v>
      </c>
      <c r="QWW1739" s="660"/>
      <c r="QWX1739" s="660"/>
      <c r="QWZ1739" s="629"/>
      <c r="QXA1739" s="630"/>
      <c r="QXB1739" s="631"/>
      <c r="QXC1739" s="631"/>
      <c r="QXD1739" s="631"/>
      <c r="QXE1739" s="631"/>
      <c r="QXF1739" s="631"/>
      <c r="QXG1739" s="631"/>
      <c r="QXH1739" s="631"/>
      <c r="QXI1739" s="630"/>
      <c r="QXJ1739" s="668">
        <f t="shared" ref="QXJ1739" si="1862">ROUND((SUM(QXJ1738:QXJ1738)),2)</f>
        <v>8</v>
      </c>
      <c r="QXK1739" s="669" t="s">
        <v>2</v>
      </c>
      <c r="QXM1739" s="660"/>
      <c r="QXN1739" s="660"/>
      <c r="QXP1739" s="629"/>
      <c r="QXQ1739" s="630"/>
      <c r="QXR1739" s="631"/>
      <c r="QXS1739" s="631"/>
      <c r="QXT1739" s="631"/>
      <c r="QXU1739" s="631"/>
      <c r="QXV1739" s="631"/>
      <c r="QXW1739" s="631"/>
      <c r="QXX1739" s="631"/>
      <c r="QXY1739" s="630"/>
      <c r="QXZ1739" s="668">
        <f t="shared" ref="QXZ1739" si="1863">ROUND((SUM(QXZ1738:QXZ1738)),2)</f>
        <v>8</v>
      </c>
      <c r="QYA1739" s="669" t="s">
        <v>2</v>
      </c>
      <c r="QYC1739" s="660"/>
      <c r="QYD1739" s="660"/>
      <c r="QYF1739" s="629"/>
      <c r="QYG1739" s="630"/>
      <c r="QYH1739" s="631"/>
      <c r="QYI1739" s="631"/>
      <c r="QYJ1739" s="631"/>
      <c r="QYK1739" s="631"/>
      <c r="QYL1739" s="631"/>
      <c r="QYM1739" s="631"/>
      <c r="QYN1739" s="631"/>
      <c r="QYO1739" s="630"/>
      <c r="QYP1739" s="668">
        <f t="shared" ref="QYP1739" si="1864">ROUND((SUM(QYP1738:QYP1738)),2)</f>
        <v>8</v>
      </c>
      <c r="QYQ1739" s="669" t="s">
        <v>2</v>
      </c>
      <c r="QYS1739" s="660"/>
      <c r="QYT1739" s="660"/>
      <c r="QYV1739" s="629"/>
      <c r="QYW1739" s="630"/>
      <c r="QYX1739" s="631"/>
      <c r="QYY1739" s="631"/>
      <c r="QYZ1739" s="631"/>
      <c r="QZA1739" s="631"/>
      <c r="QZB1739" s="631"/>
      <c r="QZC1739" s="631"/>
      <c r="QZD1739" s="631"/>
      <c r="QZE1739" s="630"/>
      <c r="QZF1739" s="668">
        <f t="shared" ref="QZF1739" si="1865">ROUND((SUM(QZF1738:QZF1738)),2)</f>
        <v>8</v>
      </c>
      <c r="QZG1739" s="669" t="s">
        <v>2</v>
      </c>
      <c r="QZI1739" s="660"/>
      <c r="QZJ1739" s="660"/>
      <c r="QZL1739" s="629"/>
      <c r="QZM1739" s="630"/>
      <c r="QZN1739" s="631"/>
      <c r="QZO1739" s="631"/>
      <c r="QZP1739" s="631"/>
      <c r="QZQ1739" s="631"/>
      <c r="QZR1739" s="631"/>
      <c r="QZS1739" s="631"/>
      <c r="QZT1739" s="631"/>
      <c r="QZU1739" s="630"/>
      <c r="QZV1739" s="668">
        <f t="shared" ref="QZV1739" si="1866">ROUND((SUM(QZV1738:QZV1738)),2)</f>
        <v>8</v>
      </c>
      <c r="QZW1739" s="669" t="s">
        <v>2</v>
      </c>
      <c r="QZY1739" s="660"/>
      <c r="QZZ1739" s="660"/>
      <c r="RAB1739" s="629"/>
      <c r="RAC1739" s="630"/>
      <c r="RAD1739" s="631"/>
      <c r="RAE1739" s="631"/>
      <c r="RAF1739" s="631"/>
      <c r="RAG1739" s="631"/>
      <c r="RAH1739" s="631"/>
      <c r="RAI1739" s="631"/>
      <c r="RAJ1739" s="631"/>
      <c r="RAK1739" s="630"/>
      <c r="RAL1739" s="668">
        <f t="shared" ref="RAL1739" si="1867">ROUND((SUM(RAL1738:RAL1738)),2)</f>
        <v>8</v>
      </c>
      <c r="RAM1739" s="669" t="s">
        <v>2</v>
      </c>
      <c r="RAO1739" s="660"/>
      <c r="RAP1739" s="660"/>
      <c r="RAR1739" s="629"/>
      <c r="RAS1739" s="630"/>
      <c r="RAT1739" s="631"/>
      <c r="RAU1739" s="631"/>
      <c r="RAV1739" s="631"/>
      <c r="RAW1739" s="631"/>
      <c r="RAX1739" s="631"/>
      <c r="RAY1739" s="631"/>
      <c r="RAZ1739" s="631"/>
      <c r="RBA1739" s="630"/>
      <c r="RBB1739" s="668">
        <f t="shared" ref="RBB1739" si="1868">ROUND((SUM(RBB1738:RBB1738)),2)</f>
        <v>8</v>
      </c>
      <c r="RBC1739" s="669" t="s">
        <v>2</v>
      </c>
      <c r="RBE1739" s="660"/>
      <c r="RBF1739" s="660"/>
      <c r="RBH1739" s="629"/>
      <c r="RBI1739" s="630"/>
      <c r="RBJ1739" s="631"/>
      <c r="RBK1739" s="631"/>
      <c r="RBL1739" s="631"/>
      <c r="RBM1739" s="631"/>
      <c r="RBN1739" s="631"/>
      <c r="RBO1739" s="631"/>
      <c r="RBP1739" s="631"/>
      <c r="RBQ1739" s="630"/>
      <c r="RBR1739" s="668">
        <f t="shared" ref="RBR1739" si="1869">ROUND((SUM(RBR1738:RBR1738)),2)</f>
        <v>8</v>
      </c>
      <c r="RBS1739" s="669" t="s">
        <v>2</v>
      </c>
      <c r="RBU1739" s="660"/>
      <c r="RBV1739" s="660"/>
      <c r="RBX1739" s="629"/>
      <c r="RBY1739" s="630"/>
      <c r="RBZ1739" s="631"/>
      <c r="RCA1739" s="631"/>
      <c r="RCB1739" s="631"/>
      <c r="RCC1739" s="631"/>
      <c r="RCD1739" s="631"/>
      <c r="RCE1739" s="631"/>
      <c r="RCF1739" s="631"/>
      <c r="RCG1739" s="630"/>
      <c r="RCH1739" s="668">
        <f t="shared" ref="RCH1739" si="1870">ROUND((SUM(RCH1738:RCH1738)),2)</f>
        <v>8</v>
      </c>
      <c r="RCI1739" s="669" t="s">
        <v>2</v>
      </c>
      <c r="RCK1739" s="660"/>
      <c r="RCL1739" s="660"/>
      <c r="RCN1739" s="629"/>
      <c r="RCO1739" s="630"/>
      <c r="RCP1739" s="631"/>
      <c r="RCQ1739" s="631"/>
      <c r="RCR1739" s="631"/>
      <c r="RCS1739" s="631"/>
      <c r="RCT1739" s="631"/>
      <c r="RCU1739" s="631"/>
      <c r="RCV1739" s="631"/>
      <c r="RCW1739" s="630"/>
      <c r="RCX1739" s="668">
        <f t="shared" ref="RCX1739" si="1871">ROUND((SUM(RCX1738:RCX1738)),2)</f>
        <v>8</v>
      </c>
      <c r="RCY1739" s="669" t="s">
        <v>2</v>
      </c>
      <c r="RDA1739" s="660"/>
      <c r="RDB1739" s="660"/>
      <c r="RDD1739" s="629"/>
      <c r="RDE1739" s="630"/>
      <c r="RDF1739" s="631"/>
      <c r="RDG1739" s="631"/>
      <c r="RDH1739" s="631"/>
      <c r="RDI1739" s="631"/>
      <c r="RDJ1739" s="631"/>
      <c r="RDK1739" s="631"/>
      <c r="RDL1739" s="631"/>
      <c r="RDM1739" s="630"/>
      <c r="RDN1739" s="668">
        <f t="shared" ref="RDN1739" si="1872">ROUND((SUM(RDN1738:RDN1738)),2)</f>
        <v>8</v>
      </c>
      <c r="RDO1739" s="669" t="s">
        <v>2</v>
      </c>
      <c r="RDQ1739" s="660"/>
      <c r="RDR1739" s="660"/>
      <c r="RDT1739" s="629"/>
      <c r="RDU1739" s="630"/>
      <c r="RDV1739" s="631"/>
      <c r="RDW1739" s="631"/>
      <c r="RDX1739" s="631"/>
      <c r="RDY1739" s="631"/>
      <c r="RDZ1739" s="631"/>
      <c r="REA1739" s="631"/>
      <c r="REB1739" s="631"/>
      <c r="REC1739" s="630"/>
      <c r="RED1739" s="668">
        <f t="shared" ref="RED1739" si="1873">ROUND((SUM(RED1738:RED1738)),2)</f>
        <v>8</v>
      </c>
      <c r="REE1739" s="669" t="s">
        <v>2</v>
      </c>
      <c r="REG1739" s="660"/>
      <c r="REH1739" s="660"/>
      <c r="REJ1739" s="629"/>
      <c r="REK1739" s="630"/>
      <c r="REL1739" s="631"/>
      <c r="REM1739" s="631"/>
      <c r="REN1739" s="631"/>
      <c r="REO1739" s="631"/>
      <c r="REP1739" s="631"/>
      <c r="REQ1739" s="631"/>
      <c r="RER1739" s="631"/>
      <c r="RES1739" s="630"/>
      <c r="RET1739" s="668">
        <f t="shared" ref="RET1739" si="1874">ROUND((SUM(RET1738:RET1738)),2)</f>
        <v>8</v>
      </c>
      <c r="REU1739" s="669" t="s">
        <v>2</v>
      </c>
      <c r="REW1739" s="660"/>
      <c r="REX1739" s="660"/>
      <c r="REZ1739" s="629"/>
      <c r="RFA1739" s="630"/>
      <c r="RFB1739" s="631"/>
      <c r="RFC1739" s="631"/>
      <c r="RFD1739" s="631"/>
      <c r="RFE1739" s="631"/>
      <c r="RFF1739" s="631"/>
      <c r="RFG1739" s="631"/>
      <c r="RFH1739" s="631"/>
      <c r="RFI1739" s="630"/>
      <c r="RFJ1739" s="668">
        <f t="shared" ref="RFJ1739" si="1875">ROUND((SUM(RFJ1738:RFJ1738)),2)</f>
        <v>8</v>
      </c>
      <c r="RFK1739" s="669" t="s">
        <v>2</v>
      </c>
      <c r="RFM1739" s="660"/>
      <c r="RFN1739" s="660"/>
      <c r="RFP1739" s="629"/>
      <c r="RFQ1739" s="630"/>
      <c r="RFR1739" s="631"/>
      <c r="RFS1739" s="631"/>
      <c r="RFT1739" s="631"/>
      <c r="RFU1739" s="631"/>
      <c r="RFV1739" s="631"/>
      <c r="RFW1739" s="631"/>
      <c r="RFX1739" s="631"/>
      <c r="RFY1739" s="630"/>
      <c r="RFZ1739" s="668">
        <f t="shared" ref="RFZ1739" si="1876">ROUND((SUM(RFZ1738:RFZ1738)),2)</f>
        <v>8</v>
      </c>
      <c r="RGA1739" s="669" t="s">
        <v>2</v>
      </c>
      <c r="RGC1739" s="660"/>
      <c r="RGD1739" s="660"/>
      <c r="RGF1739" s="629"/>
      <c r="RGG1739" s="630"/>
      <c r="RGH1739" s="631"/>
      <c r="RGI1739" s="631"/>
      <c r="RGJ1739" s="631"/>
      <c r="RGK1739" s="631"/>
      <c r="RGL1739" s="631"/>
      <c r="RGM1739" s="631"/>
      <c r="RGN1739" s="631"/>
      <c r="RGO1739" s="630"/>
      <c r="RGP1739" s="668">
        <f t="shared" ref="RGP1739" si="1877">ROUND((SUM(RGP1738:RGP1738)),2)</f>
        <v>8</v>
      </c>
      <c r="RGQ1739" s="669" t="s">
        <v>2</v>
      </c>
      <c r="RGS1739" s="660"/>
      <c r="RGT1739" s="660"/>
      <c r="RGV1739" s="629"/>
      <c r="RGW1739" s="630"/>
      <c r="RGX1739" s="631"/>
      <c r="RGY1739" s="631"/>
      <c r="RGZ1739" s="631"/>
      <c r="RHA1739" s="631"/>
      <c r="RHB1739" s="631"/>
      <c r="RHC1739" s="631"/>
      <c r="RHD1739" s="631"/>
      <c r="RHE1739" s="630"/>
      <c r="RHF1739" s="668">
        <f t="shared" ref="RHF1739" si="1878">ROUND((SUM(RHF1738:RHF1738)),2)</f>
        <v>8</v>
      </c>
      <c r="RHG1739" s="669" t="s">
        <v>2</v>
      </c>
      <c r="RHI1739" s="660"/>
      <c r="RHJ1739" s="660"/>
      <c r="RHL1739" s="629"/>
      <c r="RHM1739" s="630"/>
      <c r="RHN1739" s="631"/>
      <c r="RHO1739" s="631"/>
      <c r="RHP1739" s="631"/>
      <c r="RHQ1739" s="631"/>
      <c r="RHR1739" s="631"/>
      <c r="RHS1739" s="631"/>
      <c r="RHT1739" s="631"/>
      <c r="RHU1739" s="630"/>
      <c r="RHV1739" s="668">
        <f t="shared" ref="RHV1739" si="1879">ROUND((SUM(RHV1738:RHV1738)),2)</f>
        <v>8</v>
      </c>
      <c r="RHW1739" s="669" t="s">
        <v>2</v>
      </c>
      <c r="RHY1739" s="660"/>
      <c r="RHZ1739" s="660"/>
      <c r="RIB1739" s="629"/>
      <c r="RIC1739" s="630"/>
      <c r="RID1739" s="631"/>
      <c r="RIE1739" s="631"/>
      <c r="RIF1739" s="631"/>
      <c r="RIG1739" s="631"/>
      <c r="RIH1739" s="631"/>
      <c r="RII1739" s="631"/>
      <c r="RIJ1739" s="631"/>
      <c r="RIK1739" s="630"/>
      <c r="RIL1739" s="668">
        <f t="shared" ref="RIL1739" si="1880">ROUND((SUM(RIL1738:RIL1738)),2)</f>
        <v>8</v>
      </c>
      <c r="RIM1739" s="669" t="s">
        <v>2</v>
      </c>
      <c r="RIO1739" s="660"/>
      <c r="RIP1739" s="660"/>
      <c r="RIR1739" s="629"/>
      <c r="RIS1739" s="630"/>
      <c r="RIT1739" s="631"/>
      <c r="RIU1739" s="631"/>
      <c r="RIV1739" s="631"/>
      <c r="RIW1739" s="631"/>
      <c r="RIX1739" s="631"/>
      <c r="RIY1739" s="631"/>
      <c r="RIZ1739" s="631"/>
      <c r="RJA1739" s="630"/>
      <c r="RJB1739" s="668">
        <f t="shared" ref="RJB1739" si="1881">ROUND((SUM(RJB1738:RJB1738)),2)</f>
        <v>8</v>
      </c>
      <c r="RJC1739" s="669" t="s">
        <v>2</v>
      </c>
      <c r="RJE1739" s="660"/>
      <c r="RJF1739" s="660"/>
      <c r="RJH1739" s="629"/>
      <c r="RJI1739" s="630"/>
      <c r="RJJ1739" s="631"/>
      <c r="RJK1739" s="631"/>
      <c r="RJL1739" s="631"/>
      <c r="RJM1739" s="631"/>
      <c r="RJN1739" s="631"/>
      <c r="RJO1739" s="631"/>
      <c r="RJP1739" s="631"/>
      <c r="RJQ1739" s="630"/>
      <c r="RJR1739" s="668">
        <f t="shared" ref="RJR1739" si="1882">ROUND((SUM(RJR1738:RJR1738)),2)</f>
        <v>8</v>
      </c>
      <c r="RJS1739" s="669" t="s">
        <v>2</v>
      </c>
      <c r="RJU1739" s="660"/>
      <c r="RJV1739" s="660"/>
      <c r="RJX1739" s="629"/>
      <c r="RJY1739" s="630"/>
      <c r="RJZ1739" s="631"/>
      <c r="RKA1739" s="631"/>
      <c r="RKB1739" s="631"/>
      <c r="RKC1739" s="631"/>
      <c r="RKD1739" s="631"/>
      <c r="RKE1739" s="631"/>
      <c r="RKF1739" s="631"/>
      <c r="RKG1739" s="630"/>
      <c r="RKH1739" s="668">
        <f t="shared" ref="RKH1739" si="1883">ROUND((SUM(RKH1738:RKH1738)),2)</f>
        <v>8</v>
      </c>
      <c r="RKI1739" s="669" t="s">
        <v>2</v>
      </c>
      <c r="RKK1739" s="660"/>
      <c r="RKL1739" s="660"/>
      <c r="RKN1739" s="629"/>
      <c r="RKO1739" s="630"/>
      <c r="RKP1739" s="631"/>
      <c r="RKQ1739" s="631"/>
      <c r="RKR1739" s="631"/>
      <c r="RKS1739" s="631"/>
      <c r="RKT1739" s="631"/>
      <c r="RKU1739" s="631"/>
      <c r="RKV1739" s="631"/>
      <c r="RKW1739" s="630"/>
      <c r="RKX1739" s="668">
        <f t="shared" ref="RKX1739" si="1884">ROUND((SUM(RKX1738:RKX1738)),2)</f>
        <v>8</v>
      </c>
      <c r="RKY1739" s="669" t="s">
        <v>2</v>
      </c>
      <c r="RLA1739" s="660"/>
      <c r="RLB1739" s="660"/>
      <c r="RLD1739" s="629"/>
      <c r="RLE1739" s="630"/>
      <c r="RLF1739" s="631"/>
      <c r="RLG1739" s="631"/>
      <c r="RLH1739" s="631"/>
      <c r="RLI1739" s="631"/>
      <c r="RLJ1739" s="631"/>
      <c r="RLK1739" s="631"/>
      <c r="RLL1739" s="631"/>
      <c r="RLM1739" s="630"/>
      <c r="RLN1739" s="668">
        <f t="shared" ref="RLN1739" si="1885">ROUND((SUM(RLN1738:RLN1738)),2)</f>
        <v>8</v>
      </c>
      <c r="RLO1739" s="669" t="s">
        <v>2</v>
      </c>
      <c r="RLQ1739" s="660"/>
      <c r="RLR1739" s="660"/>
      <c r="RLT1739" s="629"/>
      <c r="RLU1739" s="630"/>
      <c r="RLV1739" s="631"/>
      <c r="RLW1739" s="631"/>
      <c r="RLX1739" s="631"/>
      <c r="RLY1739" s="631"/>
      <c r="RLZ1739" s="631"/>
      <c r="RMA1739" s="631"/>
      <c r="RMB1739" s="631"/>
      <c r="RMC1739" s="630"/>
      <c r="RMD1739" s="668">
        <f t="shared" ref="RMD1739" si="1886">ROUND((SUM(RMD1738:RMD1738)),2)</f>
        <v>8</v>
      </c>
      <c r="RME1739" s="669" t="s">
        <v>2</v>
      </c>
      <c r="RMG1739" s="660"/>
      <c r="RMH1739" s="660"/>
      <c r="RMJ1739" s="629"/>
      <c r="RMK1739" s="630"/>
      <c r="RML1739" s="631"/>
      <c r="RMM1739" s="631"/>
      <c r="RMN1739" s="631"/>
      <c r="RMO1739" s="631"/>
      <c r="RMP1739" s="631"/>
      <c r="RMQ1739" s="631"/>
      <c r="RMR1739" s="631"/>
      <c r="RMS1739" s="630"/>
      <c r="RMT1739" s="668">
        <f t="shared" ref="RMT1739" si="1887">ROUND((SUM(RMT1738:RMT1738)),2)</f>
        <v>8</v>
      </c>
      <c r="RMU1739" s="669" t="s">
        <v>2</v>
      </c>
      <c r="RMW1739" s="660"/>
      <c r="RMX1739" s="660"/>
      <c r="RMZ1739" s="629"/>
      <c r="RNA1739" s="630"/>
      <c r="RNB1739" s="631"/>
      <c r="RNC1739" s="631"/>
      <c r="RND1739" s="631"/>
      <c r="RNE1739" s="631"/>
      <c r="RNF1739" s="631"/>
      <c r="RNG1739" s="631"/>
      <c r="RNH1739" s="631"/>
      <c r="RNI1739" s="630"/>
      <c r="RNJ1739" s="668">
        <f t="shared" ref="RNJ1739" si="1888">ROUND((SUM(RNJ1738:RNJ1738)),2)</f>
        <v>8</v>
      </c>
      <c r="RNK1739" s="669" t="s">
        <v>2</v>
      </c>
      <c r="RNM1739" s="660"/>
      <c r="RNN1739" s="660"/>
      <c r="RNP1739" s="629"/>
      <c r="RNQ1739" s="630"/>
      <c r="RNR1739" s="631"/>
      <c r="RNS1739" s="631"/>
      <c r="RNT1739" s="631"/>
      <c r="RNU1739" s="631"/>
      <c r="RNV1739" s="631"/>
      <c r="RNW1739" s="631"/>
      <c r="RNX1739" s="631"/>
      <c r="RNY1739" s="630"/>
      <c r="RNZ1739" s="668">
        <f t="shared" ref="RNZ1739" si="1889">ROUND((SUM(RNZ1738:RNZ1738)),2)</f>
        <v>8</v>
      </c>
      <c r="ROA1739" s="669" t="s">
        <v>2</v>
      </c>
      <c r="ROC1739" s="660"/>
      <c r="ROD1739" s="660"/>
      <c r="ROF1739" s="629"/>
      <c r="ROG1739" s="630"/>
      <c r="ROH1739" s="631"/>
      <c r="ROI1739" s="631"/>
      <c r="ROJ1739" s="631"/>
      <c r="ROK1739" s="631"/>
      <c r="ROL1739" s="631"/>
      <c r="ROM1739" s="631"/>
      <c r="RON1739" s="631"/>
      <c r="ROO1739" s="630"/>
      <c r="ROP1739" s="668">
        <f t="shared" ref="ROP1739" si="1890">ROUND((SUM(ROP1738:ROP1738)),2)</f>
        <v>8</v>
      </c>
      <c r="ROQ1739" s="669" t="s">
        <v>2</v>
      </c>
      <c r="ROS1739" s="660"/>
      <c r="ROT1739" s="660"/>
      <c r="ROV1739" s="629"/>
      <c r="ROW1739" s="630"/>
      <c r="ROX1739" s="631"/>
      <c r="ROY1739" s="631"/>
      <c r="ROZ1739" s="631"/>
      <c r="RPA1739" s="631"/>
      <c r="RPB1739" s="631"/>
      <c r="RPC1739" s="631"/>
      <c r="RPD1739" s="631"/>
      <c r="RPE1739" s="630"/>
      <c r="RPF1739" s="668">
        <f t="shared" ref="RPF1739" si="1891">ROUND((SUM(RPF1738:RPF1738)),2)</f>
        <v>8</v>
      </c>
      <c r="RPG1739" s="669" t="s">
        <v>2</v>
      </c>
      <c r="RPI1739" s="660"/>
      <c r="RPJ1739" s="660"/>
      <c r="RPL1739" s="629"/>
      <c r="RPM1739" s="630"/>
      <c r="RPN1739" s="631"/>
      <c r="RPO1739" s="631"/>
      <c r="RPP1739" s="631"/>
      <c r="RPQ1739" s="631"/>
      <c r="RPR1739" s="631"/>
      <c r="RPS1739" s="631"/>
      <c r="RPT1739" s="631"/>
      <c r="RPU1739" s="630"/>
      <c r="RPV1739" s="668">
        <f t="shared" ref="RPV1739" si="1892">ROUND((SUM(RPV1738:RPV1738)),2)</f>
        <v>8</v>
      </c>
      <c r="RPW1739" s="669" t="s">
        <v>2</v>
      </c>
      <c r="RPY1739" s="660"/>
      <c r="RPZ1739" s="660"/>
      <c r="RQB1739" s="629"/>
      <c r="RQC1739" s="630"/>
      <c r="RQD1739" s="631"/>
      <c r="RQE1739" s="631"/>
      <c r="RQF1739" s="631"/>
      <c r="RQG1739" s="631"/>
      <c r="RQH1739" s="631"/>
      <c r="RQI1739" s="631"/>
      <c r="RQJ1739" s="631"/>
      <c r="RQK1739" s="630"/>
      <c r="RQL1739" s="668">
        <f t="shared" ref="RQL1739" si="1893">ROUND((SUM(RQL1738:RQL1738)),2)</f>
        <v>8</v>
      </c>
      <c r="RQM1739" s="669" t="s">
        <v>2</v>
      </c>
      <c r="RQO1739" s="660"/>
      <c r="RQP1739" s="660"/>
      <c r="RQR1739" s="629"/>
      <c r="RQS1739" s="630"/>
      <c r="RQT1739" s="631"/>
      <c r="RQU1739" s="631"/>
      <c r="RQV1739" s="631"/>
      <c r="RQW1739" s="631"/>
      <c r="RQX1739" s="631"/>
      <c r="RQY1739" s="631"/>
      <c r="RQZ1739" s="631"/>
      <c r="RRA1739" s="630"/>
      <c r="RRB1739" s="668">
        <f t="shared" ref="RRB1739" si="1894">ROUND((SUM(RRB1738:RRB1738)),2)</f>
        <v>8</v>
      </c>
      <c r="RRC1739" s="669" t="s">
        <v>2</v>
      </c>
      <c r="RRE1739" s="660"/>
      <c r="RRF1739" s="660"/>
      <c r="RRH1739" s="629"/>
      <c r="RRI1739" s="630"/>
      <c r="RRJ1739" s="631"/>
      <c r="RRK1739" s="631"/>
      <c r="RRL1739" s="631"/>
      <c r="RRM1739" s="631"/>
      <c r="RRN1739" s="631"/>
      <c r="RRO1739" s="631"/>
      <c r="RRP1739" s="631"/>
      <c r="RRQ1739" s="630"/>
      <c r="RRR1739" s="668">
        <f t="shared" ref="RRR1739" si="1895">ROUND((SUM(RRR1738:RRR1738)),2)</f>
        <v>8</v>
      </c>
      <c r="RRS1739" s="669" t="s">
        <v>2</v>
      </c>
      <c r="RRU1739" s="660"/>
      <c r="RRV1739" s="660"/>
      <c r="RRX1739" s="629"/>
      <c r="RRY1739" s="630"/>
      <c r="RRZ1739" s="631"/>
      <c r="RSA1739" s="631"/>
      <c r="RSB1739" s="631"/>
      <c r="RSC1739" s="631"/>
      <c r="RSD1739" s="631"/>
      <c r="RSE1739" s="631"/>
      <c r="RSF1739" s="631"/>
      <c r="RSG1739" s="630"/>
      <c r="RSH1739" s="668">
        <f t="shared" ref="RSH1739" si="1896">ROUND((SUM(RSH1738:RSH1738)),2)</f>
        <v>8</v>
      </c>
      <c r="RSI1739" s="669" t="s">
        <v>2</v>
      </c>
      <c r="RSK1739" s="660"/>
      <c r="RSL1739" s="660"/>
      <c r="RSN1739" s="629"/>
      <c r="RSO1739" s="630"/>
      <c r="RSP1739" s="631"/>
      <c r="RSQ1739" s="631"/>
      <c r="RSR1739" s="631"/>
      <c r="RSS1739" s="631"/>
      <c r="RST1739" s="631"/>
      <c r="RSU1739" s="631"/>
      <c r="RSV1739" s="631"/>
      <c r="RSW1739" s="630"/>
      <c r="RSX1739" s="668">
        <f t="shared" ref="RSX1739" si="1897">ROUND((SUM(RSX1738:RSX1738)),2)</f>
        <v>8</v>
      </c>
      <c r="RSY1739" s="669" t="s">
        <v>2</v>
      </c>
      <c r="RTA1739" s="660"/>
      <c r="RTB1739" s="660"/>
      <c r="RTD1739" s="629"/>
      <c r="RTE1739" s="630"/>
      <c r="RTF1739" s="631"/>
      <c r="RTG1739" s="631"/>
      <c r="RTH1739" s="631"/>
      <c r="RTI1739" s="631"/>
      <c r="RTJ1739" s="631"/>
      <c r="RTK1739" s="631"/>
      <c r="RTL1739" s="631"/>
      <c r="RTM1739" s="630"/>
      <c r="RTN1739" s="668">
        <f t="shared" ref="RTN1739" si="1898">ROUND((SUM(RTN1738:RTN1738)),2)</f>
        <v>8</v>
      </c>
      <c r="RTO1739" s="669" t="s">
        <v>2</v>
      </c>
      <c r="RTQ1739" s="660"/>
      <c r="RTR1739" s="660"/>
      <c r="RTT1739" s="629"/>
      <c r="RTU1739" s="630"/>
      <c r="RTV1739" s="631"/>
      <c r="RTW1739" s="631"/>
      <c r="RTX1739" s="631"/>
      <c r="RTY1739" s="631"/>
      <c r="RTZ1739" s="631"/>
      <c r="RUA1739" s="631"/>
      <c r="RUB1739" s="631"/>
      <c r="RUC1739" s="630"/>
      <c r="RUD1739" s="668">
        <f t="shared" ref="RUD1739" si="1899">ROUND((SUM(RUD1738:RUD1738)),2)</f>
        <v>8</v>
      </c>
      <c r="RUE1739" s="669" t="s">
        <v>2</v>
      </c>
      <c r="RUG1739" s="660"/>
      <c r="RUH1739" s="660"/>
      <c r="RUJ1739" s="629"/>
      <c r="RUK1739" s="630"/>
      <c r="RUL1739" s="631"/>
      <c r="RUM1739" s="631"/>
      <c r="RUN1739" s="631"/>
      <c r="RUO1739" s="631"/>
      <c r="RUP1739" s="631"/>
      <c r="RUQ1739" s="631"/>
      <c r="RUR1739" s="631"/>
      <c r="RUS1739" s="630"/>
      <c r="RUT1739" s="668">
        <f t="shared" ref="RUT1739" si="1900">ROUND((SUM(RUT1738:RUT1738)),2)</f>
        <v>8</v>
      </c>
      <c r="RUU1739" s="669" t="s">
        <v>2</v>
      </c>
      <c r="RUW1739" s="660"/>
      <c r="RUX1739" s="660"/>
      <c r="RUZ1739" s="629"/>
      <c r="RVA1739" s="630"/>
      <c r="RVB1739" s="631"/>
      <c r="RVC1739" s="631"/>
      <c r="RVD1739" s="631"/>
      <c r="RVE1739" s="631"/>
      <c r="RVF1739" s="631"/>
      <c r="RVG1739" s="631"/>
      <c r="RVH1739" s="631"/>
      <c r="RVI1739" s="630"/>
      <c r="RVJ1739" s="668">
        <f t="shared" ref="RVJ1739" si="1901">ROUND((SUM(RVJ1738:RVJ1738)),2)</f>
        <v>8</v>
      </c>
      <c r="RVK1739" s="669" t="s">
        <v>2</v>
      </c>
      <c r="RVM1739" s="660"/>
      <c r="RVN1739" s="660"/>
      <c r="RVP1739" s="629"/>
      <c r="RVQ1739" s="630"/>
      <c r="RVR1739" s="631"/>
      <c r="RVS1739" s="631"/>
      <c r="RVT1739" s="631"/>
      <c r="RVU1739" s="631"/>
      <c r="RVV1739" s="631"/>
      <c r="RVW1739" s="631"/>
      <c r="RVX1739" s="631"/>
      <c r="RVY1739" s="630"/>
      <c r="RVZ1739" s="668">
        <f t="shared" ref="RVZ1739" si="1902">ROUND((SUM(RVZ1738:RVZ1738)),2)</f>
        <v>8</v>
      </c>
      <c r="RWA1739" s="669" t="s">
        <v>2</v>
      </c>
      <c r="RWC1739" s="660"/>
      <c r="RWD1739" s="660"/>
      <c r="RWF1739" s="629"/>
      <c r="RWG1739" s="630"/>
      <c r="RWH1739" s="631"/>
      <c r="RWI1739" s="631"/>
      <c r="RWJ1739" s="631"/>
      <c r="RWK1739" s="631"/>
      <c r="RWL1739" s="631"/>
      <c r="RWM1739" s="631"/>
      <c r="RWN1739" s="631"/>
      <c r="RWO1739" s="630"/>
      <c r="RWP1739" s="668">
        <f t="shared" ref="RWP1739" si="1903">ROUND((SUM(RWP1738:RWP1738)),2)</f>
        <v>8</v>
      </c>
      <c r="RWQ1739" s="669" t="s">
        <v>2</v>
      </c>
      <c r="RWS1739" s="660"/>
      <c r="RWT1739" s="660"/>
      <c r="RWV1739" s="629"/>
      <c r="RWW1739" s="630"/>
      <c r="RWX1739" s="631"/>
      <c r="RWY1739" s="631"/>
      <c r="RWZ1739" s="631"/>
      <c r="RXA1739" s="631"/>
      <c r="RXB1739" s="631"/>
      <c r="RXC1739" s="631"/>
      <c r="RXD1739" s="631"/>
      <c r="RXE1739" s="630"/>
      <c r="RXF1739" s="668">
        <f t="shared" ref="RXF1739" si="1904">ROUND((SUM(RXF1738:RXF1738)),2)</f>
        <v>8</v>
      </c>
      <c r="RXG1739" s="669" t="s">
        <v>2</v>
      </c>
      <c r="RXI1739" s="660"/>
      <c r="RXJ1739" s="660"/>
      <c r="RXL1739" s="629"/>
      <c r="RXM1739" s="630"/>
      <c r="RXN1739" s="631"/>
      <c r="RXO1739" s="631"/>
      <c r="RXP1739" s="631"/>
      <c r="RXQ1739" s="631"/>
      <c r="RXR1739" s="631"/>
      <c r="RXS1739" s="631"/>
      <c r="RXT1739" s="631"/>
      <c r="RXU1739" s="630"/>
      <c r="RXV1739" s="668">
        <f t="shared" ref="RXV1739" si="1905">ROUND((SUM(RXV1738:RXV1738)),2)</f>
        <v>8</v>
      </c>
      <c r="RXW1739" s="669" t="s">
        <v>2</v>
      </c>
      <c r="RXY1739" s="660"/>
      <c r="RXZ1739" s="660"/>
      <c r="RYB1739" s="629"/>
      <c r="RYC1739" s="630"/>
      <c r="RYD1739" s="631"/>
      <c r="RYE1739" s="631"/>
      <c r="RYF1739" s="631"/>
      <c r="RYG1739" s="631"/>
      <c r="RYH1739" s="631"/>
      <c r="RYI1739" s="631"/>
      <c r="RYJ1739" s="631"/>
      <c r="RYK1739" s="630"/>
      <c r="RYL1739" s="668">
        <f t="shared" ref="RYL1739" si="1906">ROUND((SUM(RYL1738:RYL1738)),2)</f>
        <v>8</v>
      </c>
      <c r="RYM1739" s="669" t="s">
        <v>2</v>
      </c>
      <c r="RYO1739" s="660"/>
      <c r="RYP1739" s="660"/>
      <c r="RYR1739" s="629"/>
      <c r="RYS1739" s="630"/>
      <c r="RYT1739" s="631"/>
      <c r="RYU1739" s="631"/>
      <c r="RYV1739" s="631"/>
      <c r="RYW1739" s="631"/>
      <c r="RYX1739" s="631"/>
      <c r="RYY1739" s="631"/>
      <c r="RYZ1739" s="631"/>
      <c r="RZA1739" s="630"/>
      <c r="RZB1739" s="668">
        <f t="shared" ref="RZB1739" si="1907">ROUND((SUM(RZB1738:RZB1738)),2)</f>
        <v>8</v>
      </c>
      <c r="RZC1739" s="669" t="s">
        <v>2</v>
      </c>
      <c r="RZE1739" s="660"/>
      <c r="RZF1739" s="660"/>
      <c r="RZH1739" s="629"/>
      <c r="RZI1739" s="630"/>
      <c r="RZJ1739" s="631"/>
      <c r="RZK1739" s="631"/>
      <c r="RZL1739" s="631"/>
      <c r="RZM1739" s="631"/>
      <c r="RZN1739" s="631"/>
      <c r="RZO1739" s="631"/>
      <c r="RZP1739" s="631"/>
      <c r="RZQ1739" s="630"/>
      <c r="RZR1739" s="668">
        <f t="shared" ref="RZR1739" si="1908">ROUND((SUM(RZR1738:RZR1738)),2)</f>
        <v>8</v>
      </c>
      <c r="RZS1739" s="669" t="s">
        <v>2</v>
      </c>
      <c r="RZU1739" s="660"/>
      <c r="RZV1739" s="660"/>
      <c r="RZX1739" s="629"/>
      <c r="RZY1739" s="630"/>
      <c r="RZZ1739" s="631"/>
      <c r="SAA1739" s="631"/>
      <c r="SAB1739" s="631"/>
      <c r="SAC1739" s="631"/>
      <c r="SAD1739" s="631"/>
      <c r="SAE1739" s="631"/>
      <c r="SAF1739" s="631"/>
      <c r="SAG1739" s="630"/>
      <c r="SAH1739" s="668">
        <f t="shared" ref="SAH1739" si="1909">ROUND((SUM(SAH1738:SAH1738)),2)</f>
        <v>8</v>
      </c>
      <c r="SAI1739" s="669" t="s">
        <v>2</v>
      </c>
      <c r="SAK1739" s="660"/>
      <c r="SAL1739" s="660"/>
      <c r="SAN1739" s="629"/>
      <c r="SAO1739" s="630"/>
      <c r="SAP1739" s="631"/>
      <c r="SAQ1739" s="631"/>
      <c r="SAR1739" s="631"/>
      <c r="SAS1739" s="631"/>
      <c r="SAT1739" s="631"/>
      <c r="SAU1739" s="631"/>
      <c r="SAV1739" s="631"/>
      <c r="SAW1739" s="630"/>
      <c r="SAX1739" s="668">
        <f t="shared" ref="SAX1739" si="1910">ROUND((SUM(SAX1738:SAX1738)),2)</f>
        <v>8</v>
      </c>
      <c r="SAY1739" s="669" t="s">
        <v>2</v>
      </c>
      <c r="SBA1739" s="660"/>
      <c r="SBB1739" s="660"/>
      <c r="SBD1739" s="629"/>
      <c r="SBE1739" s="630"/>
      <c r="SBF1739" s="631"/>
      <c r="SBG1739" s="631"/>
      <c r="SBH1739" s="631"/>
      <c r="SBI1739" s="631"/>
      <c r="SBJ1739" s="631"/>
      <c r="SBK1739" s="631"/>
      <c r="SBL1739" s="631"/>
      <c r="SBM1739" s="630"/>
      <c r="SBN1739" s="668">
        <f t="shared" ref="SBN1739" si="1911">ROUND((SUM(SBN1738:SBN1738)),2)</f>
        <v>8</v>
      </c>
      <c r="SBO1739" s="669" t="s">
        <v>2</v>
      </c>
      <c r="SBQ1739" s="660"/>
      <c r="SBR1739" s="660"/>
      <c r="SBT1739" s="629"/>
      <c r="SBU1739" s="630"/>
      <c r="SBV1739" s="631"/>
      <c r="SBW1739" s="631"/>
      <c r="SBX1739" s="631"/>
      <c r="SBY1739" s="631"/>
      <c r="SBZ1739" s="631"/>
      <c r="SCA1739" s="631"/>
      <c r="SCB1739" s="631"/>
      <c r="SCC1739" s="630"/>
      <c r="SCD1739" s="668">
        <f t="shared" ref="SCD1739" si="1912">ROUND((SUM(SCD1738:SCD1738)),2)</f>
        <v>8</v>
      </c>
      <c r="SCE1739" s="669" t="s">
        <v>2</v>
      </c>
      <c r="SCG1739" s="660"/>
      <c r="SCH1739" s="660"/>
      <c r="SCJ1739" s="629"/>
      <c r="SCK1739" s="630"/>
      <c r="SCL1739" s="631"/>
      <c r="SCM1739" s="631"/>
      <c r="SCN1739" s="631"/>
      <c r="SCO1739" s="631"/>
      <c r="SCP1739" s="631"/>
      <c r="SCQ1739" s="631"/>
      <c r="SCR1739" s="631"/>
      <c r="SCS1739" s="630"/>
      <c r="SCT1739" s="668">
        <f t="shared" ref="SCT1739" si="1913">ROUND((SUM(SCT1738:SCT1738)),2)</f>
        <v>8</v>
      </c>
      <c r="SCU1739" s="669" t="s">
        <v>2</v>
      </c>
      <c r="SCW1739" s="660"/>
      <c r="SCX1739" s="660"/>
      <c r="SCZ1739" s="629"/>
      <c r="SDA1739" s="630"/>
      <c r="SDB1739" s="631"/>
      <c r="SDC1739" s="631"/>
      <c r="SDD1739" s="631"/>
      <c r="SDE1739" s="631"/>
      <c r="SDF1739" s="631"/>
      <c r="SDG1739" s="631"/>
      <c r="SDH1739" s="631"/>
      <c r="SDI1739" s="630"/>
      <c r="SDJ1739" s="668">
        <f t="shared" ref="SDJ1739" si="1914">ROUND((SUM(SDJ1738:SDJ1738)),2)</f>
        <v>8</v>
      </c>
      <c r="SDK1739" s="669" t="s">
        <v>2</v>
      </c>
      <c r="SDM1739" s="660"/>
      <c r="SDN1739" s="660"/>
      <c r="SDP1739" s="629"/>
      <c r="SDQ1739" s="630"/>
      <c r="SDR1739" s="631"/>
      <c r="SDS1739" s="631"/>
      <c r="SDT1739" s="631"/>
      <c r="SDU1739" s="631"/>
      <c r="SDV1739" s="631"/>
      <c r="SDW1739" s="631"/>
      <c r="SDX1739" s="631"/>
      <c r="SDY1739" s="630"/>
      <c r="SDZ1739" s="668">
        <f t="shared" ref="SDZ1739" si="1915">ROUND((SUM(SDZ1738:SDZ1738)),2)</f>
        <v>8</v>
      </c>
      <c r="SEA1739" s="669" t="s">
        <v>2</v>
      </c>
      <c r="SEC1739" s="660"/>
      <c r="SED1739" s="660"/>
      <c r="SEF1739" s="629"/>
      <c r="SEG1739" s="630"/>
      <c r="SEH1739" s="631"/>
      <c r="SEI1739" s="631"/>
      <c r="SEJ1739" s="631"/>
      <c r="SEK1739" s="631"/>
      <c r="SEL1739" s="631"/>
      <c r="SEM1739" s="631"/>
      <c r="SEN1739" s="631"/>
      <c r="SEO1739" s="630"/>
      <c r="SEP1739" s="668">
        <f t="shared" ref="SEP1739" si="1916">ROUND((SUM(SEP1738:SEP1738)),2)</f>
        <v>8</v>
      </c>
      <c r="SEQ1739" s="669" t="s">
        <v>2</v>
      </c>
      <c r="SES1739" s="660"/>
      <c r="SET1739" s="660"/>
      <c r="SEV1739" s="629"/>
      <c r="SEW1739" s="630"/>
      <c r="SEX1739" s="631"/>
      <c r="SEY1739" s="631"/>
      <c r="SEZ1739" s="631"/>
      <c r="SFA1739" s="631"/>
      <c r="SFB1739" s="631"/>
      <c r="SFC1739" s="631"/>
      <c r="SFD1739" s="631"/>
      <c r="SFE1739" s="630"/>
      <c r="SFF1739" s="668">
        <f t="shared" ref="SFF1739" si="1917">ROUND((SUM(SFF1738:SFF1738)),2)</f>
        <v>8</v>
      </c>
      <c r="SFG1739" s="669" t="s">
        <v>2</v>
      </c>
      <c r="SFI1739" s="660"/>
      <c r="SFJ1739" s="660"/>
      <c r="SFL1739" s="629"/>
      <c r="SFM1739" s="630"/>
      <c r="SFN1739" s="631"/>
      <c r="SFO1739" s="631"/>
      <c r="SFP1739" s="631"/>
      <c r="SFQ1739" s="631"/>
      <c r="SFR1739" s="631"/>
      <c r="SFS1739" s="631"/>
      <c r="SFT1739" s="631"/>
      <c r="SFU1739" s="630"/>
      <c r="SFV1739" s="668">
        <f t="shared" ref="SFV1739" si="1918">ROUND((SUM(SFV1738:SFV1738)),2)</f>
        <v>8</v>
      </c>
      <c r="SFW1739" s="669" t="s">
        <v>2</v>
      </c>
      <c r="SFY1739" s="660"/>
      <c r="SFZ1739" s="660"/>
      <c r="SGB1739" s="629"/>
      <c r="SGC1739" s="630"/>
      <c r="SGD1739" s="631"/>
      <c r="SGE1739" s="631"/>
      <c r="SGF1739" s="631"/>
      <c r="SGG1739" s="631"/>
      <c r="SGH1739" s="631"/>
      <c r="SGI1739" s="631"/>
      <c r="SGJ1739" s="631"/>
      <c r="SGK1739" s="630"/>
      <c r="SGL1739" s="668">
        <f t="shared" ref="SGL1739" si="1919">ROUND((SUM(SGL1738:SGL1738)),2)</f>
        <v>8</v>
      </c>
      <c r="SGM1739" s="669" t="s">
        <v>2</v>
      </c>
      <c r="SGO1739" s="660"/>
      <c r="SGP1739" s="660"/>
      <c r="SGR1739" s="629"/>
      <c r="SGS1739" s="630"/>
      <c r="SGT1739" s="631"/>
      <c r="SGU1739" s="631"/>
      <c r="SGV1739" s="631"/>
      <c r="SGW1739" s="631"/>
      <c r="SGX1739" s="631"/>
      <c r="SGY1739" s="631"/>
      <c r="SGZ1739" s="631"/>
      <c r="SHA1739" s="630"/>
      <c r="SHB1739" s="668">
        <f t="shared" ref="SHB1739" si="1920">ROUND((SUM(SHB1738:SHB1738)),2)</f>
        <v>8</v>
      </c>
      <c r="SHC1739" s="669" t="s">
        <v>2</v>
      </c>
      <c r="SHE1739" s="660"/>
      <c r="SHF1739" s="660"/>
      <c r="SHH1739" s="629"/>
      <c r="SHI1739" s="630"/>
      <c r="SHJ1739" s="631"/>
      <c r="SHK1739" s="631"/>
      <c r="SHL1739" s="631"/>
      <c r="SHM1739" s="631"/>
      <c r="SHN1739" s="631"/>
      <c r="SHO1739" s="631"/>
      <c r="SHP1739" s="631"/>
      <c r="SHQ1739" s="630"/>
      <c r="SHR1739" s="668">
        <f t="shared" ref="SHR1739" si="1921">ROUND((SUM(SHR1738:SHR1738)),2)</f>
        <v>8</v>
      </c>
      <c r="SHS1739" s="669" t="s">
        <v>2</v>
      </c>
      <c r="SHU1739" s="660"/>
      <c r="SHV1739" s="660"/>
      <c r="SHX1739" s="629"/>
      <c r="SHY1739" s="630"/>
      <c r="SHZ1739" s="631"/>
      <c r="SIA1739" s="631"/>
      <c r="SIB1739" s="631"/>
      <c r="SIC1739" s="631"/>
      <c r="SID1739" s="631"/>
      <c r="SIE1739" s="631"/>
      <c r="SIF1739" s="631"/>
      <c r="SIG1739" s="630"/>
      <c r="SIH1739" s="668">
        <f t="shared" ref="SIH1739" si="1922">ROUND((SUM(SIH1738:SIH1738)),2)</f>
        <v>8</v>
      </c>
      <c r="SII1739" s="669" t="s">
        <v>2</v>
      </c>
      <c r="SIK1739" s="660"/>
      <c r="SIL1739" s="660"/>
      <c r="SIN1739" s="629"/>
      <c r="SIO1739" s="630"/>
      <c r="SIP1739" s="631"/>
      <c r="SIQ1739" s="631"/>
      <c r="SIR1739" s="631"/>
      <c r="SIS1739" s="631"/>
      <c r="SIT1739" s="631"/>
      <c r="SIU1739" s="631"/>
      <c r="SIV1739" s="631"/>
      <c r="SIW1739" s="630"/>
      <c r="SIX1739" s="668">
        <f t="shared" ref="SIX1739" si="1923">ROUND((SUM(SIX1738:SIX1738)),2)</f>
        <v>8</v>
      </c>
      <c r="SIY1739" s="669" t="s">
        <v>2</v>
      </c>
      <c r="SJA1739" s="660"/>
      <c r="SJB1739" s="660"/>
      <c r="SJD1739" s="629"/>
      <c r="SJE1739" s="630"/>
      <c r="SJF1739" s="631"/>
      <c r="SJG1739" s="631"/>
      <c r="SJH1739" s="631"/>
      <c r="SJI1739" s="631"/>
      <c r="SJJ1739" s="631"/>
      <c r="SJK1739" s="631"/>
      <c r="SJL1739" s="631"/>
      <c r="SJM1739" s="630"/>
      <c r="SJN1739" s="668">
        <f t="shared" ref="SJN1739" si="1924">ROUND((SUM(SJN1738:SJN1738)),2)</f>
        <v>8</v>
      </c>
      <c r="SJO1739" s="669" t="s">
        <v>2</v>
      </c>
      <c r="SJQ1739" s="660"/>
      <c r="SJR1739" s="660"/>
      <c r="SJT1739" s="629"/>
      <c r="SJU1739" s="630"/>
      <c r="SJV1739" s="631"/>
      <c r="SJW1739" s="631"/>
      <c r="SJX1739" s="631"/>
      <c r="SJY1739" s="631"/>
      <c r="SJZ1739" s="631"/>
      <c r="SKA1739" s="631"/>
      <c r="SKB1739" s="631"/>
      <c r="SKC1739" s="630"/>
      <c r="SKD1739" s="668">
        <f t="shared" ref="SKD1739" si="1925">ROUND((SUM(SKD1738:SKD1738)),2)</f>
        <v>8</v>
      </c>
      <c r="SKE1739" s="669" t="s">
        <v>2</v>
      </c>
      <c r="SKG1739" s="660"/>
      <c r="SKH1739" s="660"/>
      <c r="SKJ1739" s="629"/>
      <c r="SKK1739" s="630"/>
      <c r="SKL1739" s="631"/>
      <c r="SKM1739" s="631"/>
      <c r="SKN1739" s="631"/>
      <c r="SKO1739" s="631"/>
      <c r="SKP1739" s="631"/>
      <c r="SKQ1739" s="631"/>
      <c r="SKR1739" s="631"/>
      <c r="SKS1739" s="630"/>
      <c r="SKT1739" s="668">
        <f t="shared" ref="SKT1739" si="1926">ROUND((SUM(SKT1738:SKT1738)),2)</f>
        <v>8</v>
      </c>
      <c r="SKU1739" s="669" t="s">
        <v>2</v>
      </c>
      <c r="SKW1739" s="660"/>
      <c r="SKX1739" s="660"/>
      <c r="SKZ1739" s="629"/>
      <c r="SLA1739" s="630"/>
      <c r="SLB1739" s="631"/>
      <c r="SLC1739" s="631"/>
      <c r="SLD1739" s="631"/>
      <c r="SLE1739" s="631"/>
      <c r="SLF1739" s="631"/>
      <c r="SLG1739" s="631"/>
      <c r="SLH1739" s="631"/>
      <c r="SLI1739" s="630"/>
      <c r="SLJ1739" s="668">
        <f t="shared" ref="SLJ1739" si="1927">ROUND((SUM(SLJ1738:SLJ1738)),2)</f>
        <v>8</v>
      </c>
      <c r="SLK1739" s="669" t="s">
        <v>2</v>
      </c>
      <c r="SLM1739" s="660"/>
      <c r="SLN1739" s="660"/>
      <c r="SLP1739" s="629"/>
      <c r="SLQ1739" s="630"/>
      <c r="SLR1739" s="631"/>
      <c r="SLS1739" s="631"/>
      <c r="SLT1739" s="631"/>
      <c r="SLU1739" s="631"/>
      <c r="SLV1739" s="631"/>
      <c r="SLW1739" s="631"/>
      <c r="SLX1739" s="631"/>
      <c r="SLY1739" s="630"/>
      <c r="SLZ1739" s="668">
        <f t="shared" ref="SLZ1739" si="1928">ROUND((SUM(SLZ1738:SLZ1738)),2)</f>
        <v>8</v>
      </c>
      <c r="SMA1739" s="669" t="s">
        <v>2</v>
      </c>
      <c r="SMC1739" s="660"/>
      <c r="SMD1739" s="660"/>
      <c r="SMF1739" s="629"/>
      <c r="SMG1739" s="630"/>
      <c r="SMH1739" s="631"/>
      <c r="SMI1739" s="631"/>
      <c r="SMJ1739" s="631"/>
      <c r="SMK1739" s="631"/>
      <c r="SML1739" s="631"/>
      <c r="SMM1739" s="631"/>
      <c r="SMN1739" s="631"/>
      <c r="SMO1739" s="630"/>
      <c r="SMP1739" s="668">
        <f t="shared" ref="SMP1739" si="1929">ROUND((SUM(SMP1738:SMP1738)),2)</f>
        <v>8</v>
      </c>
      <c r="SMQ1739" s="669" t="s">
        <v>2</v>
      </c>
      <c r="SMS1739" s="660"/>
      <c r="SMT1739" s="660"/>
      <c r="SMV1739" s="629"/>
      <c r="SMW1739" s="630"/>
      <c r="SMX1739" s="631"/>
      <c r="SMY1739" s="631"/>
      <c r="SMZ1739" s="631"/>
      <c r="SNA1739" s="631"/>
      <c r="SNB1739" s="631"/>
      <c r="SNC1739" s="631"/>
      <c r="SND1739" s="631"/>
      <c r="SNE1739" s="630"/>
      <c r="SNF1739" s="668">
        <f t="shared" ref="SNF1739" si="1930">ROUND((SUM(SNF1738:SNF1738)),2)</f>
        <v>8</v>
      </c>
      <c r="SNG1739" s="669" t="s">
        <v>2</v>
      </c>
      <c r="SNI1739" s="660"/>
      <c r="SNJ1739" s="660"/>
      <c r="SNL1739" s="629"/>
      <c r="SNM1739" s="630"/>
      <c r="SNN1739" s="631"/>
      <c r="SNO1739" s="631"/>
      <c r="SNP1739" s="631"/>
      <c r="SNQ1739" s="631"/>
      <c r="SNR1739" s="631"/>
      <c r="SNS1739" s="631"/>
      <c r="SNT1739" s="631"/>
      <c r="SNU1739" s="630"/>
      <c r="SNV1739" s="668">
        <f t="shared" ref="SNV1739" si="1931">ROUND((SUM(SNV1738:SNV1738)),2)</f>
        <v>8</v>
      </c>
      <c r="SNW1739" s="669" t="s">
        <v>2</v>
      </c>
      <c r="SNY1739" s="660"/>
      <c r="SNZ1739" s="660"/>
      <c r="SOB1739" s="629"/>
      <c r="SOC1739" s="630"/>
      <c r="SOD1739" s="631"/>
      <c r="SOE1739" s="631"/>
      <c r="SOF1739" s="631"/>
      <c r="SOG1739" s="631"/>
      <c r="SOH1739" s="631"/>
      <c r="SOI1739" s="631"/>
      <c r="SOJ1739" s="631"/>
      <c r="SOK1739" s="630"/>
      <c r="SOL1739" s="668">
        <f t="shared" ref="SOL1739" si="1932">ROUND((SUM(SOL1738:SOL1738)),2)</f>
        <v>8</v>
      </c>
      <c r="SOM1739" s="669" t="s">
        <v>2</v>
      </c>
      <c r="SOO1739" s="660"/>
      <c r="SOP1739" s="660"/>
      <c r="SOR1739" s="629"/>
      <c r="SOS1739" s="630"/>
      <c r="SOT1739" s="631"/>
      <c r="SOU1739" s="631"/>
      <c r="SOV1739" s="631"/>
      <c r="SOW1739" s="631"/>
      <c r="SOX1739" s="631"/>
      <c r="SOY1739" s="631"/>
      <c r="SOZ1739" s="631"/>
      <c r="SPA1739" s="630"/>
      <c r="SPB1739" s="668">
        <f t="shared" ref="SPB1739" si="1933">ROUND((SUM(SPB1738:SPB1738)),2)</f>
        <v>8</v>
      </c>
      <c r="SPC1739" s="669" t="s">
        <v>2</v>
      </c>
      <c r="SPE1739" s="660"/>
      <c r="SPF1739" s="660"/>
      <c r="SPH1739" s="629"/>
      <c r="SPI1739" s="630"/>
      <c r="SPJ1739" s="631"/>
      <c r="SPK1739" s="631"/>
      <c r="SPL1739" s="631"/>
      <c r="SPM1739" s="631"/>
      <c r="SPN1739" s="631"/>
      <c r="SPO1739" s="631"/>
      <c r="SPP1739" s="631"/>
      <c r="SPQ1739" s="630"/>
      <c r="SPR1739" s="668">
        <f t="shared" ref="SPR1739" si="1934">ROUND((SUM(SPR1738:SPR1738)),2)</f>
        <v>8</v>
      </c>
      <c r="SPS1739" s="669" t="s">
        <v>2</v>
      </c>
      <c r="SPU1739" s="660"/>
      <c r="SPV1739" s="660"/>
      <c r="SPX1739" s="629"/>
      <c r="SPY1739" s="630"/>
      <c r="SPZ1739" s="631"/>
      <c r="SQA1739" s="631"/>
      <c r="SQB1739" s="631"/>
      <c r="SQC1739" s="631"/>
      <c r="SQD1739" s="631"/>
      <c r="SQE1739" s="631"/>
      <c r="SQF1739" s="631"/>
      <c r="SQG1739" s="630"/>
      <c r="SQH1739" s="668">
        <f t="shared" ref="SQH1739" si="1935">ROUND((SUM(SQH1738:SQH1738)),2)</f>
        <v>8</v>
      </c>
      <c r="SQI1739" s="669" t="s">
        <v>2</v>
      </c>
      <c r="SQK1739" s="660"/>
      <c r="SQL1739" s="660"/>
      <c r="SQN1739" s="629"/>
      <c r="SQO1739" s="630"/>
      <c r="SQP1739" s="631"/>
      <c r="SQQ1739" s="631"/>
      <c r="SQR1739" s="631"/>
      <c r="SQS1739" s="631"/>
      <c r="SQT1739" s="631"/>
      <c r="SQU1739" s="631"/>
      <c r="SQV1739" s="631"/>
      <c r="SQW1739" s="630"/>
      <c r="SQX1739" s="668">
        <f t="shared" ref="SQX1739" si="1936">ROUND((SUM(SQX1738:SQX1738)),2)</f>
        <v>8</v>
      </c>
      <c r="SQY1739" s="669" t="s">
        <v>2</v>
      </c>
      <c r="SRA1739" s="660"/>
      <c r="SRB1739" s="660"/>
      <c r="SRD1739" s="629"/>
      <c r="SRE1739" s="630"/>
      <c r="SRF1739" s="631"/>
      <c r="SRG1739" s="631"/>
      <c r="SRH1739" s="631"/>
      <c r="SRI1739" s="631"/>
      <c r="SRJ1739" s="631"/>
      <c r="SRK1739" s="631"/>
      <c r="SRL1739" s="631"/>
      <c r="SRM1739" s="630"/>
      <c r="SRN1739" s="668">
        <f t="shared" ref="SRN1739" si="1937">ROUND((SUM(SRN1738:SRN1738)),2)</f>
        <v>8</v>
      </c>
      <c r="SRO1739" s="669" t="s">
        <v>2</v>
      </c>
      <c r="SRQ1739" s="660"/>
      <c r="SRR1739" s="660"/>
      <c r="SRT1739" s="629"/>
      <c r="SRU1739" s="630"/>
      <c r="SRV1739" s="631"/>
      <c r="SRW1739" s="631"/>
      <c r="SRX1739" s="631"/>
      <c r="SRY1739" s="631"/>
      <c r="SRZ1739" s="631"/>
      <c r="SSA1739" s="631"/>
      <c r="SSB1739" s="631"/>
      <c r="SSC1739" s="630"/>
      <c r="SSD1739" s="668">
        <f t="shared" ref="SSD1739" si="1938">ROUND((SUM(SSD1738:SSD1738)),2)</f>
        <v>8</v>
      </c>
      <c r="SSE1739" s="669" t="s">
        <v>2</v>
      </c>
      <c r="SSG1739" s="660"/>
      <c r="SSH1739" s="660"/>
      <c r="SSJ1739" s="629"/>
      <c r="SSK1739" s="630"/>
      <c r="SSL1739" s="631"/>
      <c r="SSM1739" s="631"/>
      <c r="SSN1739" s="631"/>
      <c r="SSO1739" s="631"/>
      <c r="SSP1739" s="631"/>
      <c r="SSQ1739" s="631"/>
      <c r="SSR1739" s="631"/>
      <c r="SSS1739" s="630"/>
      <c r="SST1739" s="668">
        <f t="shared" ref="SST1739" si="1939">ROUND((SUM(SST1738:SST1738)),2)</f>
        <v>8</v>
      </c>
      <c r="SSU1739" s="669" t="s">
        <v>2</v>
      </c>
      <c r="SSW1739" s="660"/>
      <c r="SSX1739" s="660"/>
      <c r="SSZ1739" s="629"/>
      <c r="STA1739" s="630"/>
      <c r="STB1739" s="631"/>
      <c r="STC1739" s="631"/>
      <c r="STD1739" s="631"/>
      <c r="STE1739" s="631"/>
      <c r="STF1739" s="631"/>
      <c r="STG1739" s="631"/>
      <c r="STH1739" s="631"/>
      <c r="STI1739" s="630"/>
      <c r="STJ1739" s="668">
        <f t="shared" ref="STJ1739" si="1940">ROUND((SUM(STJ1738:STJ1738)),2)</f>
        <v>8</v>
      </c>
      <c r="STK1739" s="669" t="s">
        <v>2</v>
      </c>
      <c r="STM1739" s="660"/>
      <c r="STN1739" s="660"/>
      <c r="STP1739" s="629"/>
      <c r="STQ1739" s="630"/>
      <c r="STR1739" s="631"/>
      <c r="STS1739" s="631"/>
      <c r="STT1739" s="631"/>
      <c r="STU1739" s="631"/>
      <c r="STV1739" s="631"/>
      <c r="STW1739" s="631"/>
      <c r="STX1739" s="631"/>
      <c r="STY1739" s="630"/>
      <c r="STZ1739" s="668">
        <f t="shared" ref="STZ1739" si="1941">ROUND((SUM(STZ1738:STZ1738)),2)</f>
        <v>8</v>
      </c>
      <c r="SUA1739" s="669" t="s">
        <v>2</v>
      </c>
      <c r="SUC1739" s="660"/>
      <c r="SUD1739" s="660"/>
      <c r="SUF1739" s="629"/>
      <c r="SUG1739" s="630"/>
      <c r="SUH1739" s="631"/>
      <c r="SUI1739" s="631"/>
      <c r="SUJ1739" s="631"/>
      <c r="SUK1739" s="631"/>
      <c r="SUL1739" s="631"/>
      <c r="SUM1739" s="631"/>
      <c r="SUN1739" s="631"/>
      <c r="SUO1739" s="630"/>
      <c r="SUP1739" s="668">
        <f t="shared" ref="SUP1739" si="1942">ROUND((SUM(SUP1738:SUP1738)),2)</f>
        <v>8</v>
      </c>
      <c r="SUQ1739" s="669" t="s">
        <v>2</v>
      </c>
      <c r="SUS1739" s="660"/>
      <c r="SUT1739" s="660"/>
      <c r="SUV1739" s="629"/>
      <c r="SUW1739" s="630"/>
      <c r="SUX1739" s="631"/>
      <c r="SUY1739" s="631"/>
      <c r="SUZ1739" s="631"/>
      <c r="SVA1739" s="631"/>
      <c r="SVB1739" s="631"/>
      <c r="SVC1739" s="631"/>
      <c r="SVD1739" s="631"/>
      <c r="SVE1739" s="630"/>
      <c r="SVF1739" s="668">
        <f t="shared" ref="SVF1739" si="1943">ROUND((SUM(SVF1738:SVF1738)),2)</f>
        <v>8</v>
      </c>
      <c r="SVG1739" s="669" t="s">
        <v>2</v>
      </c>
      <c r="SVI1739" s="660"/>
      <c r="SVJ1739" s="660"/>
      <c r="SVL1739" s="629"/>
      <c r="SVM1739" s="630"/>
      <c r="SVN1739" s="631"/>
      <c r="SVO1739" s="631"/>
      <c r="SVP1739" s="631"/>
      <c r="SVQ1739" s="631"/>
      <c r="SVR1739" s="631"/>
      <c r="SVS1739" s="631"/>
      <c r="SVT1739" s="631"/>
      <c r="SVU1739" s="630"/>
      <c r="SVV1739" s="668">
        <f t="shared" ref="SVV1739" si="1944">ROUND((SUM(SVV1738:SVV1738)),2)</f>
        <v>8</v>
      </c>
      <c r="SVW1739" s="669" t="s">
        <v>2</v>
      </c>
      <c r="SVY1739" s="660"/>
      <c r="SVZ1739" s="660"/>
      <c r="SWB1739" s="629"/>
      <c r="SWC1739" s="630"/>
      <c r="SWD1739" s="631"/>
      <c r="SWE1739" s="631"/>
      <c r="SWF1739" s="631"/>
      <c r="SWG1739" s="631"/>
      <c r="SWH1739" s="631"/>
      <c r="SWI1739" s="631"/>
      <c r="SWJ1739" s="631"/>
      <c r="SWK1739" s="630"/>
      <c r="SWL1739" s="668">
        <f t="shared" ref="SWL1739" si="1945">ROUND((SUM(SWL1738:SWL1738)),2)</f>
        <v>8</v>
      </c>
      <c r="SWM1739" s="669" t="s">
        <v>2</v>
      </c>
      <c r="SWO1739" s="660"/>
      <c r="SWP1739" s="660"/>
      <c r="SWR1739" s="629"/>
      <c r="SWS1739" s="630"/>
      <c r="SWT1739" s="631"/>
      <c r="SWU1739" s="631"/>
      <c r="SWV1739" s="631"/>
      <c r="SWW1739" s="631"/>
      <c r="SWX1739" s="631"/>
      <c r="SWY1739" s="631"/>
      <c r="SWZ1739" s="631"/>
      <c r="SXA1739" s="630"/>
      <c r="SXB1739" s="668">
        <f t="shared" ref="SXB1739" si="1946">ROUND((SUM(SXB1738:SXB1738)),2)</f>
        <v>8</v>
      </c>
      <c r="SXC1739" s="669" t="s">
        <v>2</v>
      </c>
      <c r="SXE1739" s="660"/>
      <c r="SXF1739" s="660"/>
      <c r="SXH1739" s="629"/>
      <c r="SXI1739" s="630"/>
      <c r="SXJ1739" s="631"/>
      <c r="SXK1739" s="631"/>
      <c r="SXL1739" s="631"/>
      <c r="SXM1739" s="631"/>
      <c r="SXN1739" s="631"/>
      <c r="SXO1739" s="631"/>
      <c r="SXP1739" s="631"/>
      <c r="SXQ1739" s="630"/>
      <c r="SXR1739" s="668">
        <f t="shared" ref="SXR1739" si="1947">ROUND((SUM(SXR1738:SXR1738)),2)</f>
        <v>8</v>
      </c>
      <c r="SXS1739" s="669" t="s">
        <v>2</v>
      </c>
      <c r="SXU1739" s="660"/>
      <c r="SXV1739" s="660"/>
      <c r="SXX1739" s="629"/>
      <c r="SXY1739" s="630"/>
      <c r="SXZ1739" s="631"/>
      <c r="SYA1739" s="631"/>
      <c r="SYB1739" s="631"/>
      <c r="SYC1739" s="631"/>
      <c r="SYD1739" s="631"/>
      <c r="SYE1739" s="631"/>
      <c r="SYF1739" s="631"/>
      <c r="SYG1739" s="630"/>
      <c r="SYH1739" s="668">
        <f t="shared" ref="SYH1739" si="1948">ROUND((SUM(SYH1738:SYH1738)),2)</f>
        <v>8</v>
      </c>
      <c r="SYI1739" s="669" t="s">
        <v>2</v>
      </c>
      <c r="SYK1739" s="660"/>
      <c r="SYL1739" s="660"/>
      <c r="SYN1739" s="629"/>
      <c r="SYO1739" s="630"/>
      <c r="SYP1739" s="631"/>
      <c r="SYQ1739" s="631"/>
      <c r="SYR1739" s="631"/>
      <c r="SYS1739" s="631"/>
      <c r="SYT1739" s="631"/>
      <c r="SYU1739" s="631"/>
      <c r="SYV1739" s="631"/>
      <c r="SYW1739" s="630"/>
      <c r="SYX1739" s="668">
        <f t="shared" ref="SYX1739" si="1949">ROUND((SUM(SYX1738:SYX1738)),2)</f>
        <v>8</v>
      </c>
      <c r="SYY1739" s="669" t="s">
        <v>2</v>
      </c>
      <c r="SZA1739" s="660"/>
      <c r="SZB1739" s="660"/>
      <c r="SZD1739" s="629"/>
      <c r="SZE1739" s="630"/>
      <c r="SZF1739" s="631"/>
      <c r="SZG1739" s="631"/>
      <c r="SZH1739" s="631"/>
      <c r="SZI1739" s="631"/>
      <c r="SZJ1739" s="631"/>
      <c r="SZK1739" s="631"/>
      <c r="SZL1739" s="631"/>
      <c r="SZM1739" s="630"/>
      <c r="SZN1739" s="668">
        <f t="shared" ref="SZN1739" si="1950">ROUND((SUM(SZN1738:SZN1738)),2)</f>
        <v>8</v>
      </c>
      <c r="SZO1739" s="669" t="s">
        <v>2</v>
      </c>
      <c r="SZQ1739" s="660"/>
      <c r="SZR1739" s="660"/>
      <c r="SZT1739" s="629"/>
      <c r="SZU1739" s="630"/>
      <c r="SZV1739" s="631"/>
      <c r="SZW1739" s="631"/>
      <c r="SZX1739" s="631"/>
      <c r="SZY1739" s="631"/>
      <c r="SZZ1739" s="631"/>
      <c r="TAA1739" s="631"/>
      <c r="TAB1739" s="631"/>
      <c r="TAC1739" s="630"/>
      <c r="TAD1739" s="668">
        <f t="shared" ref="TAD1739" si="1951">ROUND((SUM(TAD1738:TAD1738)),2)</f>
        <v>8</v>
      </c>
      <c r="TAE1739" s="669" t="s">
        <v>2</v>
      </c>
      <c r="TAG1739" s="660"/>
      <c r="TAH1739" s="660"/>
      <c r="TAJ1739" s="629"/>
      <c r="TAK1739" s="630"/>
      <c r="TAL1739" s="631"/>
      <c r="TAM1739" s="631"/>
      <c r="TAN1739" s="631"/>
      <c r="TAO1739" s="631"/>
      <c r="TAP1739" s="631"/>
      <c r="TAQ1739" s="631"/>
      <c r="TAR1739" s="631"/>
      <c r="TAS1739" s="630"/>
      <c r="TAT1739" s="668">
        <f t="shared" ref="TAT1739" si="1952">ROUND((SUM(TAT1738:TAT1738)),2)</f>
        <v>8</v>
      </c>
      <c r="TAU1739" s="669" t="s">
        <v>2</v>
      </c>
      <c r="TAW1739" s="660"/>
      <c r="TAX1739" s="660"/>
      <c r="TAZ1739" s="629"/>
      <c r="TBA1739" s="630"/>
      <c r="TBB1739" s="631"/>
      <c r="TBC1739" s="631"/>
      <c r="TBD1739" s="631"/>
      <c r="TBE1739" s="631"/>
      <c r="TBF1739" s="631"/>
      <c r="TBG1739" s="631"/>
      <c r="TBH1739" s="631"/>
      <c r="TBI1739" s="630"/>
      <c r="TBJ1739" s="668">
        <f t="shared" ref="TBJ1739" si="1953">ROUND((SUM(TBJ1738:TBJ1738)),2)</f>
        <v>8</v>
      </c>
      <c r="TBK1739" s="669" t="s">
        <v>2</v>
      </c>
      <c r="TBM1739" s="660"/>
      <c r="TBN1739" s="660"/>
      <c r="TBP1739" s="629"/>
      <c r="TBQ1739" s="630"/>
      <c r="TBR1739" s="631"/>
      <c r="TBS1739" s="631"/>
      <c r="TBT1739" s="631"/>
      <c r="TBU1739" s="631"/>
      <c r="TBV1739" s="631"/>
      <c r="TBW1739" s="631"/>
      <c r="TBX1739" s="631"/>
      <c r="TBY1739" s="630"/>
      <c r="TBZ1739" s="668">
        <f t="shared" ref="TBZ1739" si="1954">ROUND((SUM(TBZ1738:TBZ1738)),2)</f>
        <v>8</v>
      </c>
      <c r="TCA1739" s="669" t="s">
        <v>2</v>
      </c>
      <c r="TCC1739" s="660"/>
      <c r="TCD1739" s="660"/>
      <c r="TCF1739" s="629"/>
      <c r="TCG1739" s="630"/>
      <c r="TCH1739" s="631"/>
      <c r="TCI1739" s="631"/>
      <c r="TCJ1739" s="631"/>
      <c r="TCK1739" s="631"/>
      <c r="TCL1739" s="631"/>
      <c r="TCM1739" s="631"/>
      <c r="TCN1739" s="631"/>
      <c r="TCO1739" s="630"/>
      <c r="TCP1739" s="668">
        <f t="shared" ref="TCP1739" si="1955">ROUND((SUM(TCP1738:TCP1738)),2)</f>
        <v>8</v>
      </c>
      <c r="TCQ1739" s="669" t="s">
        <v>2</v>
      </c>
      <c r="TCS1739" s="660"/>
      <c r="TCT1739" s="660"/>
      <c r="TCV1739" s="629"/>
      <c r="TCW1739" s="630"/>
      <c r="TCX1739" s="631"/>
      <c r="TCY1739" s="631"/>
      <c r="TCZ1739" s="631"/>
      <c r="TDA1739" s="631"/>
      <c r="TDB1739" s="631"/>
      <c r="TDC1739" s="631"/>
      <c r="TDD1739" s="631"/>
      <c r="TDE1739" s="630"/>
      <c r="TDF1739" s="668">
        <f t="shared" ref="TDF1739" si="1956">ROUND((SUM(TDF1738:TDF1738)),2)</f>
        <v>8</v>
      </c>
      <c r="TDG1739" s="669" t="s">
        <v>2</v>
      </c>
      <c r="TDI1739" s="660"/>
      <c r="TDJ1739" s="660"/>
      <c r="TDL1739" s="629"/>
      <c r="TDM1739" s="630"/>
      <c r="TDN1739" s="631"/>
      <c r="TDO1739" s="631"/>
      <c r="TDP1739" s="631"/>
      <c r="TDQ1739" s="631"/>
      <c r="TDR1739" s="631"/>
      <c r="TDS1739" s="631"/>
      <c r="TDT1739" s="631"/>
      <c r="TDU1739" s="630"/>
      <c r="TDV1739" s="668">
        <f t="shared" ref="TDV1739" si="1957">ROUND((SUM(TDV1738:TDV1738)),2)</f>
        <v>8</v>
      </c>
      <c r="TDW1739" s="669" t="s">
        <v>2</v>
      </c>
      <c r="TDY1739" s="660"/>
      <c r="TDZ1739" s="660"/>
      <c r="TEB1739" s="629"/>
      <c r="TEC1739" s="630"/>
      <c r="TED1739" s="631"/>
      <c r="TEE1739" s="631"/>
      <c r="TEF1739" s="631"/>
      <c r="TEG1739" s="631"/>
      <c r="TEH1739" s="631"/>
      <c r="TEI1739" s="631"/>
      <c r="TEJ1739" s="631"/>
      <c r="TEK1739" s="630"/>
      <c r="TEL1739" s="668">
        <f t="shared" ref="TEL1739" si="1958">ROUND((SUM(TEL1738:TEL1738)),2)</f>
        <v>8</v>
      </c>
      <c r="TEM1739" s="669" t="s">
        <v>2</v>
      </c>
      <c r="TEO1739" s="660"/>
      <c r="TEP1739" s="660"/>
      <c r="TER1739" s="629"/>
      <c r="TES1739" s="630"/>
      <c r="TET1739" s="631"/>
      <c r="TEU1739" s="631"/>
      <c r="TEV1739" s="631"/>
      <c r="TEW1739" s="631"/>
      <c r="TEX1739" s="631"/>
      <c r="TEY1739" s="631"/>
      <c r="TEZ1739" s="631"/>
      <c r="TFA1739" s="630"/>
      <c r="TFB1739" s="668">
        <f t="shared" ref="TFB1739" si="1959">ROUND((SUM(TFB1738:TFB1738)),2)</f>
        <v>8</v>
      </c>
      <c r="TFC1739" s="669" t="s">
        <v>2</v>
      </c>
      <c r="TFE1739" s="660"/>
      <c r="TFF1739" s="660"/>
      <c r="TFH1739" s="629"/>
      <c r="TFI1739" s="630"/>
      <c r="TFJ1739" s="631"/>
      <c r="TFK1739" s="631"/>
      <c r="TFL1739" s="631"/>
      <c r="TFM1739" s="631"/>
      <c r="TFN1739" s="631"/>
      <c r="TFO1739" s="631"/>
      <c r="TFP1739" s="631"/>
      <c r="TFQ1739" s="630"/>
      <c r="TFR1739" s="668">
        <f t="shared" ref="TFR1739" si="1960">ROUND((SUM(TFR1738:TFR1738)),2)</f>
        <v>8</v>
      </c>
      <c r="TFS1739" s="669" t="s">
        <v>2</v>
      </c>
      <c r="TFU1739" s="660"/>
      <c r="TFV1739" s="660"/>
      <c r="TFX1739" s="629"/>
      <c r="TFY1739" s="630"/>
      <c r="TFZ1739" s="631"/>
      <c r="TGA1739" s="631"/>
      <c r="TGB1739" s="631"/>
      <c r="TGC1739" s="631"/>
      <c r="TGD1739" s="631"/>
      <c r="TGE1739" s="631"/>
      <c r="TGF1739" s="631"/>
      <c r="TGG1739" s="630"/>
      <c r="TGH1739" s="668">
        <f t="shared" ref="TGH1739" si="1961">ROUND((SUM(TGH1738:TGH1738)),2)</f>
        <v>8</v>
      </c>
      <c r="TGI1739" s="669" t="s">
        <v>2</v>
      </c>
      <c r="TGK1739" s="660"/>
      <c r="TGL1739" s="660"/>
      <c r="TGN1739" s="629"/>
      <c r="TGO1739" s="630"/>
      <c r="TGP1739" s="631"/>
      <c r="TGQ1739" s="631"/>
      <c r="TGR1739" s="631"/>
      <c r="TGS1739" s="631"/>
      <c r="TGT1739" s="631"/>
      <c r="TGU1739" s="631"/>
      <c r="TGV1739" s="631"/>
      <c r="TGW1739" s="630"/>
      <c r="TGX1739" s="668">
        <f t="shared" ref="TGX1739" si="1962">ROUND((SUM(TGX1738:TGX1738)),2)</f>
        <v>8</v>
      </c>
      <c r="TGY1739" s="669" t="s">
        <v>2</v>
      </c>
      <c r="THA1739" s="660"/>
      <c r="THB1739" s="660"/>
      <c r="THD1739" s="629"/>
      <c r="THE1739" s="630"/>
      <c r="THF1739" s="631"/>
      <c r="THG1739" s="631"/>
      <c r="THH1739" s="631"/>
      <c r="THI1739" s="631"/>
      <c r="THJ1739" s="631"/>
      <c r="THK1739" s="631"/>
      <c r="THL1739" s="631"/>
      <c r="THM1739" s="630"/>
      <c r="THN1739" s="668">
        <f t="shared" ref="THN1739" si="1963">ROUND((SUM(THN1738:THN1738)),2)</f>
        <v>8</v>
      </c>
      <c r="THO1739" s="669" t="s">
        <v>2</v>
      </c>
      <c r="THQ1739" s="660"/>
      <c r="THR1739" s="660"/>
      <c r="THT1739" s="629"/>
      <c r="THU1739" s="630"/>
      <c r="THV1739" s="631"/>
      <c r="THW1739" s="631"/>
      <c r="THX1739" s="631"/>
      <c r="THY1739" s="631"/>
      <c r="THZ1739" s="631"/>
      <c r="TIA1739" s="631"/>
      <c r="TIB1739" s="631"/>
      <c r="TIC1739" s="630"/>
      <c r="TID1739" s="668">
        <f t="shared" ref="TID1739" si="1964">ROUND((SUM(TID1738:TID1738)),2)</f>
        <v>8</v>
      </c>
      <c r="TIE1739" s="669" t="s">
        <v>2</v>
      </c>
      <c r="TIG1739" s="660"/>
      <c r="TIH1739" s="660"/>
      <c r="TIJ1739" s="629"/>
      <c r="TIK1739" s="630"/>
      <c r="TIL1739" s="631"/>
      <c r="TIM1739" s="631"/>
      <c r="TIN1739" s="631"/>
      <c r="TIO1739" s="631"/>
      <c r="TIP1739" s="631"/>
      <c r="TIQ1739" s="631"/>
      <c r="TIR1739" s="631"/>
      <c r="TIS1739" s="630"/>
      <c r="TIT1739" s="668">
        <f t="shared" ref="TIT1739" si="1965">ROUND((SUM(TIT1738:TIT1738)),2)</f>
        <v>8</v>
      </c>
      <c r="TIU1739" s="669" t="s">
        <v>2</v>
      </c>
      <c r="TIW1739" s="660"/>
      <c r="TIX1739" s="660"/>
      <c r="TIZ1739" s="629"/>
      <c r="TJA1739" s="630"/>
      <c r="TJB1739" s="631"/>
      <c r="TJC1739" s="631"/>
      <c r="TJD1739" s="631"/>
      <c r="TJE1739" s="631"/>
      <c r="TJF1739" s="631"/>
      <c r="TJG1739" s="631"/>
      <c r="TJH1739" s="631"/>
      <c r="TJI1739" s="630"/>
      <c r="TJJ1739" s="668">
        <f t="shared" ref="TJJ1739" si="1966">ROUND((SUM(TJJ1738:TJJ1738)),2)</f>
        <v>8</v>
      </c>
      <c r="TJK1739" s="669" t="s">
        <v>2</v>
      </c>
      <c r="TJM1739" s="660"/>
      <c r="TJN1739" s="660"/>
      <c r="TJP1739" s="629"/>
      <c r="TJQ1739" s="630"/>
      <c r="TJR1739" s="631"/>
      <c r="TJS1739" s="631"/>
      <c r="TJT1739" s="631"/>
      <c r="TJU1739" s="631"/>
      <c r="TJV1739" s="631"/>
      <c r="TJW1739" s="631"/>
      <c r="TJX1739" s="631"/>
      <c r="TJY1739" s="630"/>
      <c r="TJZ1739" s="668">
        <f t="shared" ref="TJZ1739" si="1967">ROUND((SUM(TJZ1738:TJZ1738)),2)</f>
        <v>8</v>
      </c>
      <c r="TKA1739" s="669" t="s">
        <v>2</v>
      </c>
      <c r="TKC1739" s="660"/>
      <c r="TKD1739" s="660"/>
      <c r="TKF1739" s="629"/>
      <c r="TKG1739" s="630"/>
      <c r="TKH1739" s="631"/>
      <c r="TKI1739" s="631"/>
      <c r="TKJ1739" s="631"/>
      <c r="TKK1739" s="631"/>
      <c r="TKL1739" s="631"/>
      <c r="TKM1739" s="631"/>
      <c r="TKN1739" s="631"/>
      <c r="TKO1739" s="630"/>
      <c r="TKP1739" s="668">
        <f t="shared" ref="TKP1739" si="1968">ROUND((SUM(TKP1738:TKP1738)),2)</f>
        <v>8</v>
      </c>
      <c r="TKQ1739" s="669" t="s">
        <v>2</v>
      </c>
      <c r="TKS1739" s="660"/>
      <c r="TKT1739" s="660"/>
      <c r="TKV1739" s="629"/>
      <c r="TKW1739" s="630"/>
      <c r="TKX1739" s="631"/>
      <c r="TKY1739" s="631"/>
      <c r="TKZ1739" s="631"/>
      <c r="TLA1739" s="631"/>
      <c r="TLB1739" s="631"/>
      <c r="TLC1739" s="631"/>
      <c r="TLD1739" s="631"/>
      <c r="TLE1739" s="630"/>
      <c r="TLF1739" s="668">
        <f t="shared" ref="TLF1739" si="1969">ROUND((SUM(TLF1738:TLF1738)),2)</f>
        <v>8</v>
      </c>
      <c r="TLG1739" s="669" t="s">
        <v>2</v>
      </c>
      <c r="TLI1739" s="660"/>
      <c r="TLJ1739" s="660"/>
      <c r="TLL1739" s="629"/>
      <c r="TLM1739" s="630"/>
      <c r="TLN1739" s="631"/>
      <c r="TLO1739" s="631"/>
      <c r="TLP1739" s="631"/>
      <c r="TLQ1739" s="631"/>
      <c r="TLR1739" s="631"/>
      <c r="TLS1739" s="631"/>
      <c r="TLT1739" s="631"/>
      <c r="TLU1739" s="630"/>
      <c r="TLV1739" s="668">
        <f t="shared" ref="TLV1739" si="1970">ROUND((SUM(TLV1738:TLV1738)),2)</f>
        <v>8</v>
      </c>
      <c r="TLW1739" s="669" t="s">
        <v>2</v>
      </c>
      <c r="TLY1739" s="660"/>
      <c r="TLZ1739" s="660"/>
      <c r="TMB1739" s="629"/>
      <c r="TMC1739" s="630"/>
      <c r="TMD1739" s="631"/>
      <c r="TME1739" s="631"/>
      <c r="TMF1739" s="631"/>
      <c r="TMG1739" s="631"/>
      <c r="TMH1739" s="631"/>
      <c r="TMI1739" s="631"/>
      <c r="TMJ1739" s="631"/>
      <c r="TMK1739" s="630"/>
      <c r="TML1739" s="668">
        <f t="shared" ref="TML1739" si="1971">ROUND((SUM(TML1738:TML1738)),2)</f>
        <v>8</v>
      </c>
      <c r="TMM1739" s="669" t="s">
        <v>2</v>
      </c>
      <c r="TMO1739" s="660"/>
      <c r="TMP1739" s="660"/>
      <c r="TMR1739" s="629"/>
      <c r="TMS1739" s="630"/>
      <c r="TMT1739" s="631"/>
      <c r="TMU1739" s="631"/>
      <c r="TMV1739" s="631"/>
      <c r="TMW1739" s="631"/>
      <c r="TMX1739" s="631"/>
      <c r="TMY1739" s="631"/>
      <c r="TMZ1739" s="631"/>
      <c r="TNA1739" s="630"/>
      <c r="TNB1739" s="668">
        <f t="shared" ref="TNB1739" si="1972">ROUND((SUM(TNB1738:TNB1738)),2)</f>
        <v>8</v>
      </c>
      <c r="TNC1739" s="669" t="s">
        <v>2</v>
      </c>
      <c r="TNE1739" s="660"/>
      <c r="TNF1739" s="660"/>
      <c r="TNH1739" s="629"/>
      <c r="TNI1739" s="630"/>
      <c r="TNJ1739" s="631"/>
      <c r="TNK1739" s="631"/>
      <c r="TNL1739" s="631"/>
      <c r="TNM1739" s="631"/>
      <c r="TNN1739" s="631"/>
      <c r="TNO1739" s="631"/>
      <c r="TNP1739" s="631"/>
      <c r="TNQ1739" s="630"/>
      <c r="TNR1739" s="668">
        <f t="shared" ref="TNR1739" si="1973">ROUND((SUM(TNR1738:TNR1738)),2)</f>
        <v>8</v>
      </c>
      <c r="TNS1739" s="669" t="s">
        <v>2</v>
      </c>
      <c r="TNU1739" s="660"/>
      <c r="TNV1739" s="660"/>
      <c r="TNX1739" s="629"/>
      <c r="TNY1739" s="630"/>
      <c r="TNZ1739" s="631"/>
      <c r="TOA1739" s="631"/>
      <c r="TOB1739" s="631"/>
      <c r="TOC1739" s="631"/>
      <c r="TOD1739" s="631"/>
      <c r="TOE1739" s="631"/>
      <c r="TOF1739" s="631"/>
      <c r="TOG1739" s="630"/>
      <c r="TOH1739" s="668">
        <f t="shared" ref="TOH1739" si="1974">ROUND((SUM(TOH1738:TOH1738)),2)</f>
        <v>8</v>
      </c>
      <c r="TOI1739" s="669" t="s">
        <v>2</v>
      </c>
      <c r="TOK1739" s="660"/>
      <c r="TOL1739" s="660"/>
      <c r="TON1739" s="629"/>
      <c r="TOO1739" s="630"/>
      <c r="TOP1739" s="631"/>
      <c r="TOQ1739" s="631"/>
      <c r="TOR1739" s="631"/>
      <c r="TOS1739" s="631"/>
      <c r="TOT1739" s="631"/>
      <c r="TOU1739" s="631"/>
      <c r="TOV1739" s="631"/>
      <c r="TOW1739" s="630"/>
      <c r="TOX1739" s="668">
        <f t="shared" ref="TOX1739" si="1975">ROUND((SUM(TOX1738:TOX1738)),2)</f>
        <v>8</v>
      </c>
      <c r="TOY1739" s="669" t="s">
        <v>2</v>
      </c>
      <c r="TPA1739" s="660"/>
      <c r="TPB1739" s="660"/>
      <c r="TPD1739" s="629"/>
      <c r="TPE1739" s="630"/>
      <c r="TPF1739" s="631"/>
      <c r="TPG1739" s="631"/>
      <c r="TPH1739" s="631"/>
      <c r="TPI1739" s="631"/>
      <c r="TPJ1739" s="631"/>
      <c r="TPK1739" s="631"/>
      <c r="TPL1739" s="631"/>
      <c r="TPM1739" s="630"/>
      <c r="TPN1739" s="668">
        <f t="shared" ref="TPN1739" si="1976">ROUND((SUM(TPN1738:TPN1738)),2)</f>
        <v>8</v>
      </c>
      <c r="TPO1739" s="669" t="s">
        <v>2</v>
      </c>
      <c r="TPQ1739" s="660"/>
      <c r="TPR1739" s="660"/>
      <c r="TPT1739" s="629"/>
      <c r="TPU1739" s="630"/>
      <c r="TPV1739" s="631"/>
      <c r="TPW1739" s="631"/>
      <c r="TPX1739" s="631"/>
      <c r="TPY1739" s="631"/>
      <c r="TPZ1739" s="631"/>
      <c r="TQA1739" s="631"/>
      <c r="TQB1739" s="631"/>
      <c r="TQC1739" s="630"/>
      <c r="TQD1739" s="668">
        <f t="shared" ref="TQD1739" si="1977">ROUND((SUM(TQD1738:TQD1738)),2)</f>
        <v>8</v>
      </c>
      <c r="TQE1739" s="669" t="s">
        <v>2</v>
      </c>
      <c r="TQG1739" s="660"/>
      <c r="TQH1739" s="660"/>
      <c r="TQJ1739" s="629"/>
      <c r="TQK1739" s="630"/>
      <c r="TQL1739" s="631"/>
      <c r="TQM1739" s="631"/>
      <c r="TQN1739" s="631"/>
      <c r="TQO1739" s="631"/>
      <c r="TQP1739" s="631"/>
      <c r="TQQ1739" s="631"/>
      <c r="TQR1739" s="631"/>
      <c r="TQS1739" s="630"/>
      <c r="TQT1739" s="668">
        <f t="shared" ref="TQT1739" si="1978">ROUND((SUM(TQT1738:TQT1738)),2)</f>
        <v>8</v>
      </c>
      <c r="TQU1739" s="669" t="s">
        <v>2</v>
      </c>
      <c r="TQW1739" s="660"/>
      <c r="TQX1739" s="660"/>
      <c r="TQZ1739" s="629"/>
      <c r="TRA1739" s="630"/>
      <c r="TRB1739" s="631"/>
      <c r="TRC1739" s="631"/>
      <c r="TRD1739" s="631"/>
      <c r="TRE1739" s="631"/>
      <c r="TRF1739" s="631"/>
      <c r="TRG1739" s="631"/>
      <c r="TRH1739" s="631"/>
      <c r="TRI1739" s="630"/>
      <c r="TRJ1739" s="668">
        <f t="shared" ref="TRJ1739" si="1979">ROUND((SUM(TRJ1738:TRJ1738)),2)</f>
        <v>8</v>
      </c>
      <c r="TRK1739" s="669" t="s">
        <v>2</v>
      </c>
      <c r="TRM1739" s="660"/>
      <c r="TRN1739" s="660"/>
      <c r="TRP1739" s="629"/>
      <c r="TRQ1739" s="630"/>
      <c r="TRR1739" s="631"/>
      <c r="TRS1739" s="631"/>
      <c r="TRT1739" s="631"/>
      <c r="TRU1739" s="631"/>
      <c r="TRV1739" s="631"/>
      <c r="TRW1739" s="631"/>
      <c r="TRX1739" s="631"/>
      <c r="TRY1739" s="630"/>
      <c r="TRZ1739" s="668">
        <f t="shared" ref="TRZ1739" si="1980">ROUND((SUM(TRZ1738:TRZ1738)),2)</f>
        <v>8</v>
      </c>
      <c r="TSA1739" s="669" t="s">
        <v>2</v>
      </c>
      <c r="TSC1739" s="660"/>
      <c r="TSD1739" s="660"/>
      <c r="TSF1739" s="629"/>
      <c r="TSG1739" s="630"/>
      <c r="TSH1739" s="631"/>
      <c r="TSI1739" s="631"/>
      <c r="TSJ1739" s="631"/>
      <c r="TSK1739" s="631"/>
      <c r="TSL1739" s="631"/>
      <c r="TSM1739" s="631"/>
      <c r="TSN1739" s="631"/>
      <c r="TSO1739" s="630"/>
      <c r="TSP1739" s="668">
        <f t="shared" ref="TSP1739" si="1981">ROUND((SUM(TSP1738:TSP1738)),2)</f>
        <v>8</v>
      </c>
      <c r="TSQ1739" s="669" t="s">
        <v>2</v>
      </c>
      <c r="TSS1739" s="660"/>
      <c r="TST1739" s="660"/>
      <c r="TSV1739" s="629"/>
      <c r="TSW1739" s="630"/>
      <c r="TSX1739" s="631"/>
      <c r="TSY1739" s="631"/>
      <c r="TSZ1739" s="631"/>
      <c r="TTA1739" s="631"/>
      <c r="TTB1739" s="631"/>
      <c r="TTC1739" s="631"/>
      <c r="TTD1739" s="631"/>
      <c r="TTE1739" s="630"/>
      <c r="TTF1739" s="668">
        <f t="shared" ref="TTF1739" si="1982">ROUND((SUM(TTF1738:TTF1738)),2)</f>
        <v>8</v>
      </c>
      <c r="TTG1739" s="669" t="s">
        <v>2</v>
      </c>
      <c r="TTI1739" s="660"/>
      <c r="TTJ1739" s="660"/>
      <c r="TTL1739" s="629"/>
      <c r="TTM1739" s="630"/>
      <c r="TTN1739" s="631"/>
      <c r="TTO1739" s="631"/>
      <c r="TTP1739" s="631"/>
      <c r="TTQ1739" s="631"/>
      <c r="TTR1739" s="631"/>
      <c r="TTS1739" s="631"/>
      <c r="TTT1739" s="631"/>
      <c r="TTU1739" s="630"/>
      <c r="TTV1739" s="668">
        <f t="shared" ref="TTV1739" si="1983">ROUND((SUM(TTV1738:TTV1738)),2)</f>
        <v>8</v>
      </c>
      <c r="TTW1739" s="669" t="s">
        <v>2</v>
      </c>
      <c r="TTY1739" s="660"/>
      <c r="TTZ1739" s="660"/>
      <c r="TUB1739" s="629"/>
      <c r="TUC1739" s="630"/>
      <c r="TUD1739" s="631"/>
      <c r="TUE1739" s="631"/>
      <c r="TUF1739" s="631"/>
      <c r="TUG1739" s="631"/>
      <c r="TUH1739" s="631"/>
      <c r="TUI1739" s="631"/>
      <c r="TUJ1739" s="631"/>
      <c r="TUK1739" s="630"/>
      <c r="TUL1739" s="668">
        <f t="shared" ref="TUL1739" si="1984">ROUND((SUM(TUL1738:TUL1738)),2)</f>
        <v>8</v>
      </c>
      <c r="TUM1739" s="669" t="s">
        <v>2</v>
      </c>
      <c r="TUO1739" s="660"/>
      <c r="TUP1739" s="660"/>
      <c r="TUR1739" s="629"/>
      <c r="TUS1739" s="630"/>
      <c r="TUT1739" s="631"/>
      <c r="TUU1739" s="631"/>
      <c r="TUV1739" s="631"/>
      <c r="TUW1739" s="631"/>
      <c r="TUX1739" s="631"/>
      <c r="TUY1739" s="631"/>
      <c r="TUZ1739" s="631"/>
      <c r="TVA1739" s="630"/>
      <c r="TVB1739" s="668">
        <f t="shared" ref="TVB1739" si="1985">ROUND((SUM(TVB1738:TVB1738)),2)</f>
        <v>8</v>
      </c>
      <c r="TVC1739" s="669" t="s">
        <v>2</v>
      </c>
      <c r="TVE1739" s="660"/>
      <c r="TVF1739" s="660"/>
      <c r="TVH1739" s="629"/>
      <c r="TVI1739" s="630"/>
      <c r="TVJ1739" s="631"/>
      <c r="TVK1739" s="631"/>
      <c r="TVL1739" s="631"/>
      <c r="TVM1739" s="631"/>
      <c r="TVN1739" s="631"/>
      <c r="TVO1739" s="631"/>
      <c r="TVP1739" s="631"/>
      <c r="TVQ1739" s="630"/>
      <c r="TVR1739" s="668">
        <f t="shared" ref="TVR1739" si="1986">ROUND((SUM(TVR1738:TVR1738)),2)</f>
        <v>8</v>
      </c>
      <c r="TVS1739" s="669" t="s">
        <v>2</v>
      </c>
      <c r="TVU1739" s="660"/>
      <c r="TVV1739" s="660"/>
      <c r="TVX1739" s="629"/>
      <c r="TVY1739" s="630"/>
      <c r="TVZ1739" s="631"/>
      <c r="TWA1739" s="631"/>
      <c r="TWB1739" s="631"/>
      <c r="TWC1739" s="631"/>
      <c r="TWD1739" s="631"/>
      <c r="TWE1739" s="631"/>
      <c r="TWF1739" s="631"/>
      <c r="TWG1739" s="630"/>
      <c r="TWH1739" s="668">
        <f t="shared" ref="TWH1739" si="1987">ROUND((SUM(TWH1738:TWH1738)),2)</f>
        <v>8</v>
      </c>
      <c r="TWI1739" s="669" t="s">
        <v>2</v>
      </c>
      <c r="TWK1739" s="660"/>
      <c r="TWL1739" s="660"/>
      <c r="TWN1739" s="629"/>
      <c r="TWO1739" s="630"/>
      <c r="TWP1739" s="631"/>
      <c r="TWQ1739" s="631"/>
      <c r="TWR1739" s="631"/>
      <c r="TWS1739" s="631"/>
      <c r="TWT1739" s="631"/>
      <c r="TWU1739" s="631"/>
      <c r="TWV1739" s="631"/>
      <c r="TWW1739" s="630"/>
      <c r="TWX1739" s="668">
        <f t="shared" ref="TWX1739" si="1988">ROUND((SUM(TWX1738:TWX1738)),2)</f>
        <v>8</v>
      </c>
      <c r="TWY1739" s="669" t="s">
        <v>2</v>
      </c>
      <c r="TXA1739" s="660"/>
      <c r="TXB1739" s="660"/>
      <c r="TXD1739" s="629"/>
      <c r="TXE1739" s="630"/>
      <c r="TXF1739" s="631"/>
      <c r="TXG1739" s="631"/>
      <c r="TXH1739" s="631"/>
      <c r="TXI1739" s="631"/>
      <c r="TXJ1739" s="631"/>
      <c r="TXK1739" s="631"/>
      <c r="TXL1739" s="631"/>
      <c r="TXM1739" s="630"/>
      <c r="TXN1739" s="668">
        <f t="shared" ref="TXN1739" si="1989">ROUND((SUM(TXN1738:TXN1738)),2)</f>
        <v>8</v>
      </c>
      <c r="TXO1739" s="669" t="s">
        <v>2</v>
      </c>
      <c r="TXQ1739" s="660"/>
      <c r="TXR1739" s="660"/>
      <c r="TXT1739" s="629"/>
      <c r="TXU1739" s="630"/>
      <c r="TXV1739" s="631"/>
      <c r="TXW1739" s="631"/>
      <c r="TXX1739" s="631"/>
      <c r="TXY1739" s="631"/>
      <c r="TXZ1739" s="631"/>
      <c r="TYA1739" s="631"/>
      <c r="TYB1739" s="631"/>
      <c r="TYC1739" s="630"/>
      <c r="TYD1739" s="668">
        <f t="shared" ref="TYD1739" si="1990">ROUND((SUM(TYD1738:TYD1738)),2)</f>
        <v>8</v>
      </c>
      <c r="TYE1739" s="669" t="s">
        <v>2</v>
      </c>
      <c r="TYG1739" s="660"/>
      <c r="TYH1739" s="660"/>
      <c r="TYJ1739" s="629"/>
      <c r="TYK1739" s="630"/>
      <c r="TYL1739" s="631"/>
      <c r="TYM1739" s="631"/>
      <c r="TYN1739" s="631"/>
      <c r="TYO1739" s="631"/>
      <c r="TYP1739" s="631"/>
      <c r="TYQ1739" s="631"/>
      <c r="TYR1739" s="631"/>
      <c r="TYS1739" s="630"/>
      <c r="TYT1739" s="668">
        <f t="shared" ref="TYT1739" si="1991">ROUND((SUM(TYT1738:TYT1738)),2)</f>
        <v>8</v>
      </c>
      <c r="TYU1739" s="669" t="s">
        <v>2</v>
      </c>
      <c r="TYW1739" s="660"/>
      <c r="TYX1739" s="660"/>
      <c r="TYZ1739" s="629"/>
      <c r="TZA1739" s="630"/>
      <c r="TZB1739" s="631"/>
      <c r="TZC1739" s="631"/>
      <c r="TZD1739" s="631"/>
      <c r="TZE1739" s="631"/>
      <c r="TZF1739" s="631"/>
      <c r="TZG1739" s="631"/>
      <c r="TZH1739" s="631"/>
      <c r="TZI1739" s="630"/>
      <c r="TZJ1739" s="668">
        <f t="shared" ref="TZJ1739" si="1992">ROUND((SUM(TZJ1738:TZJ1738)),2)</f>
        <v>8</v>
      </c>
      <c r="TZK1739" s="669" t="s">
        <v>2</v>
      </c>
      <c r="TZM1739" s="660"/>
      <c r="TZN1739" s="660"/>
      <c r="TZP1739" s="629"/>
      <c r="TZQ1739" s="630"/>
      <c r="TZR1739" s="631"/>
      <c r="TZS1739" s="631"/>
      <c r="TZT1739" s="631"/>
      <c r="TZU1739" s="631"/>
      <c r="TZV1739" s="631"/>
      <c r="TZW1739" s="631"/>
      <c r="TZX1739" s="631"/>
      <c r="TZY1739" s="630"/>
      <c r="TZZ1739" s="668">
        <f t="shared" ref="TZZ1739" si="1993">ROUND((SUM(TZZ1738:TZZ1738)),2)</f>
        <v>8</v>
      </c>
      <c r="UAA1739" s="669" t="s">
        <v>2</v>
      </c>
      <c r="UAC1739" s="660"/>
      <c r="UAD1739" s="660"/>
      <c r="UAF1739" s="629"/>
      <c r="UAG1739" s="630"/>
      <c r="UAH1739" s="631"/>
      <c r="UAI1739" s="631"/>
      <c r="UAJ1739" s="631"/>
      <c r="UAK1739" s="631"/>
      <c r="UAL1739" s="631"/>
      <c r="UAM1739" s="631"/>
      <c r="UAN1739" s="631"/>
      <c r="UAO1739" s="630"/>
      <c r="UAP1739" s="668">
        <f t="shared" ref="UAP1739" si="1994">ROUND((SUM(UAP1738:UAP1738)),2)</f>
        <v>8</v>
      </c>
      <c r="UAQ1739" s="669" t="s">
        <v>2</v>
      </c>
      <c r="UAS1739" s="660"/>
      <c r="UAT1739" s="660"/>
      <c r="UAV1739" s="629"/>
      <c r="UAW1739" s="630"/>
      <c r="UAX1739" s="631"/>
      <c r="UAY1739" s="631"/>
      <c r="UAZ1739" s="631"/>
      <c r="UBA1739" s="631"/>
      <c r="UBB1739" s="631"/>
      <c r="UBC1739" s="631"/>
      <c r="UBD1739" s="631"/>
      <c r="UBE1739" s="630"/>
      <c r="UBF1739" s="668">
        <f t="shared" ref="UBF1739" si="1995">ROUND((SUM(UBF1738:UBF1738)),2)</f>
        <v>8</v>
      </c>
      <c r="UBG1739" s="669" t="s">
        <v>2</v>
      </c>
      <c r="UBI1739" s="660"/>
      <c r="UBJ1739" s="660"/>
      <c r="UBL1739" s="629"/>
      <c r="UBM1739" s="630"/>
      <c r="UBN1739" s="631"/>
      <c r="UBO1739" s="631"/>
      <c r="UBP1739" s="631"/>
      <c r="UBQ1739" s="631"/>
      <c r="UBR1739" s="631"/>
      <c r="UBS1739" s="631"/>
      <c r="UBT1739" s="631"/>
      <c r="UBU1739" s="630"/>
      <c r="UBV1739" s="668">
        <f t="shared" ref="UBV1739" si="1996">ROUND((SUM(UBV1738:UBV1738)),2)</f>
        <v>8</v>
      </c>
      <c r="UBW1739" s="669" t="s">
        <v>2</v>
      </c>
      <c r="UBY1739" s="660"/>
      <c r="UBZ1739" s="660"/>
      <c r="UCB1739" s="629"/>
      <c r="UCC1739" s="630"/>
      <c r="UCD1739" s="631"/>
      <c r="UCE1739" s="631"/>
      <c r="UCF1739" s="631"/>
      <c r="UCG1739" s="631"/>
      <c r="UCH1739" s="631"/>
      <c r="UCI1739" s="631"/>
      <c r="UCJ1739" s="631"/>
      <c r="UCK1739" s="630"/>
      <c r="UCL1739" s="668">
        <f t="shared" ref="UCL1739" si="1997">ROUND((SUM(UCL1738:UCL1738)),2)</f>
        <v>8</v>
      </c>
      <c r="UCM1739" s="669" t="s">
        <v>2</v>
      </c>
      <c r="UCO1739" s="660"/>
      <c r="UCP1739" s="660"/>
      <c r="UCR1739" s="629"/>
      <c r="UCS1739" s="630"/>
      <c r="UCT1739" s="631"/>
      <c r="UCU1739" s="631"/>
      <c r="UCV1739" s="631"/>
      <c r="UCW1739" s="631"/>
      <c r="UCX1739" s="631"/>
      <c r="UCY1739" s="631"/>
      <c r="UCZ1739" s="631"/>
      <c r="UDA1739" s="630"/>
      <c r="UDB1739" s="668">
        <f t="shared" ref="UDB1739" si="1998">ROUND((SUM(UDB1738:UDB1738)),2)</f>
        <v>8</v>
      </c>
      <c r="UDC1739" s="669" t="s">
        <v>2</v>
      </c>
      <c r="UDE1739" s="660"/>
      <c r="UDF1739" s="660"/>
      <c r="UDH1739" s="629"/>
      <c r="UDI1739" s="630"/>
      <c r="UDJ1739" s="631"/>
      <c r="UDK1739" s="631"/>
      <c r="UDL1739" s="631"/>
      <c r="UDM1739" s="631"/>
      <c r="UDN1739" s="631"/>
      <c r="UDO1739" s="631"/>
      <c r="UDP1739" s="631"/>
      <c r="UDQ1739" s="630"/>
      <c r="UDR1739" s="668">
        <f t="shared" ref="UDR1739" si="1999">ROUND((SUM(UDR1738:UDR1738)),2)</f>
        <v>8</v>
      </c>
      <c r="UDS1739" s="669" t="s">
        <v>2</v>
      </c>
      <c r="UDU1739" s="660"/>
      <c r="UDV1739" s="660"/>
      <c r="UDX1739" s="629"/>
      <c r="UDY1739" s="630"/>
      <c r="UDZ1739" s="631"/>
      <c r="UEA1739" s="631"/>
      <c r="UEB1739" s="631"/>
      <c r="UEC1739" s="631"/>
      <c r="UED1739" s="631"/>
      <c r="UEE1739" s="631"/>
      <c r="UEF1739" s="631"/>
      <c r="UEG1739" s="630"/>
      <c r="UEH1739" s="668">
        <f t="shared" ref="UEH1739" si="2000">ROUND((SUM(UEH1738:UEH1738)),2)</f>
        <v>8</v>
      </c>
      <c r="UEI1739" s="669" t="s">
        <v>2</v>
      </c>
      <c r="UEK1739" s="660"/>
      <c r="UEL1739" s="660"/>
      <c r="UEN1739" s="629"/>
      <c r="UEO1739" s="630"/>
      <c r="UEP1739" s="631"/>
      <c r="UEQ1739" s="631"/>
      <c r="UER1739" s="631"/>
      <c r="UES1739" s="631"/>
      <c r="UET1739" s="631"/>
      <c r="UEU1739" s="631"/>
      <c r="UEV1739" s="631"/>
      <c r="UEW1739" s="630"/>
      <c r="UEX1739" s="668">
        <f t="shared" ref="UEX1739" si="2001">ROUND((SUM(UEX1738:UEX1738)),2)</f>
        <v>8</v>
      </c>
      <c r="UEY1739" s="669" t="s">
        <v>2</v>
      </c>
      <c r="UFA1739" s="660"/>
      <c r="UFB1739" s="660"/>
      <c r="UFD1739" s="629"/>
      <c r="UFE1739" s="630"/>
      <c r="UFF1739" s="631"/>
      <c r="UFG1739" s="631"/>
      <c r="UFH1739" s="631"/>
      <c r="UFI1739" s="631"/>
      <c r="UFJ1739" s="631"/>
      <c r="UFK1739" s="631"/>
      <c r="UFL1739" s="631"/>
      <c r="UFM1739" s="630"/>
      <c r="UFN1739" s="668">
        <f t="shared" ref="UFN1739" si="2002">ROUND((SUM(UFN1738:UFN1738)),2)</f>
        <v>8</v>
      </c>
      <c r="UFO1739" s="669" t="s">
        <v>2</v>
      </c>
      <c r="UFQ1739" s="660"/>
      <c r="UFR1739" s="660"/>
      <c r="UFT1739" s="629"/>
      <c r="UFU1739" s="630"/>
      <c r="UFV1739" s="631"/>
      <c r="UFW1739" s="631"/>
      <c r="UFX1739" s="631"/>
      <c r="UFY1739" s="631"/>
      <c r="UFZ1739" s="631"/>
      <c r="UGA1739" s="631"/>
      <c r="UGB1739" s="631"/>
      <c r="UGC1739" s="630"/>
      <c r="UGD1739" s="668">
        <f t="shared" ref="UGD1739" si="2003">ROUND((SUM(UGD1738:UGD1738)),2)</f>
        <v>8</v>
      </c>
      <c r="UGE1739" s="669" t="s">
        <v>2</v>
      </c>
      <c r="UGG1739" s="660"/>
      <c r="UGH1739" s="660"/>
      <c r="UGJ1739" s="629"/>
      <c r="UGK1739" s="630"/>
      <c r="UGL1739" s="631"/>
      <c r="UGM1739" s="631"/>
      <c r="UGN1739" s="631"/>
      <c r="UGO1739" s="631"/>
      <c r="UGP1739" s="631"/>
      <c r="UGQ1739" s="631"/>
      <c r="UGR1739" s="631"/>
      <c r="UGS1739" s="630"/>
      <c r="UGT1739" s="668">
        <f t="shared" ref="UGT1739" si="2004">ROUND((SUM(UGT1738:UGT1738)),2)</f>
        <v>8</v>
      </c>
      <c r="UGU1739" s="669" t="s">
        <v>2</v>
      </c>
      <c r="UGW1739" s="660"/>
      <c r="UGX1739" s="660"/>
      <c r="UGZ1739" s="629"/>
      <c r="UHA1739" s="630"/>
      <c r="UHB1739" s="631"/>
      <c r="UHC1739" s="631"/>
      <c r="UHD1739" s="631"/>
      <c r="UHE1739" s="631"/>
      <c r="UHF1739" s="631"/>
      <c r="UHG1739" s="631"/>
      <c r="UHH1739" s="631"/>
      <c r="UHI1739" s="630"/>
      <c r="UHJ1739" s="668">
        <f t="shared" ref="UHJ1739" si="2005">ROUND((SUM(UHJ1738:UHJ1738)),2)</f>
        <v>8</v>
      </c>
      <c r="UHK1739" s="669" t="s">
        <v>2</v>
      </c>
      <c r="UHM1739" s="660"/>
      <c r="UHN1739" s="660"/>
      <c r="UHP1739" s="629"/>
      <c r="UHQ1739" s="630"/>
      <c r="UHR1739" s="631"/>
      <c r="UHS1739" s="631"/>
      <c r="UHT1739" s="631"/>
      <c r="UHU1739" s="631"/>
      <c r="UHV1739" s="631"/>
      <c r="UHW1739" s="631"/>
      <c r="UHX1739" s="631"/>
      <c r="UHY1739" s="630"/>
      <c r="UHZ1739" s="668">
        <f t="shared" ref="UHZ1739" si="2006">ROUND((SUM(UHZ1738:UHZ1738)),2)</f>
        <v>8</v>
      </c>
      <c r="UIA1739" s="669" t="s">
        <v>2</v>
      </c>
      <c r="UIC1739" s="660"/>
      <c r="UID1739" s="660"/>
      <c r="UIF1739" s="629"/>
      <c r="UIG1739" s="630"/>
      <c r="UIH1739" s="631"/>
      <c r="UII1739" s="631"/>
      <c r="UIJ1739" s="631"/>
      <c r="UIK1739" s="631"/>
      <c r="UIL1739" s="631"/>
      <c r="UIM1739" s="631"/>
      <c r="UIN1739" s="631"/>
      <c r="UIO1739" s="630"/>
      <c r="UIP1739" s="668">
        <f t="shared" ref="UIP1739" si="2007">ROUND((SUM(UIP1738:UIP1738)),2)</f>
        <v>8</v>
      </c>
      <c r="UIQ1739" s="669" t="s">
        <v>2</v>
      </c>
      <c r="UIS1739" s="660"/>
      <c r="UIT1739" s="660"/>
      <c r="UIV1739" s="629"/>
      <c r="UIW1739" s="630"/>
      <c r="UIX1739" s="631"/>
      <c r="UIY1739" s="631"/>
      <c r="UIZ1739" s="631"/>
      <c r="UJA1739" s="631"/>
      <c r="UJB1739" s="631"/>
      <c r="UJC1739" s="631"/>
      <c r="UJD1739" s="631"/>
      <c r="UJE1739" s="630"/>
      <c r="UJF1739" s="668">
        <f t="shared" ref="UJF1739" si="2008">ROUND((SUM(UJF1738:UJF1738)),2)</f>
        <v>8</v>
      </c>
      <c r="UJG1739" s="669" t="s">
        <v>2</v>
      </c>
      <c r="UJI1739" s="660"/>
      <c r="UJJ1739" s="660"/>
      <c r="UJL1739" s="629"/>
      <c r="UJM1739" s="630"/>
      <c r="UJN1739" s="631"/>
      <c r="UJO1739" s="631"/>
      <c r="UJP1739" s="631"/>
      <c r="UJQ1739" s="631"/>
      <c r="UJR1739" s="631"/>
      <c r="UJS1739" s="631"/>
      <c r="UJT1739" s="631"/>
      <c r="UJU1739" s="630"/>
      <c r="UJV1739" s="668">
        <f t="shared" ref="UJV1739" si="2009">ROUND((SUM(UJV1738:UJV1738)),2)</f>
        <v>8</v>
      </c>
      <c r="UJW1739" s="669" t="s">
        <v>2</v>
      </c>
      <c r="UJY1739" s="660"/>
      <c r="UJZ1739" s="660"/>
      <c r="UKB1739" s="629"/>
      <c r="UKC1739" s="630"/>
      <c r="UKD1739" s="631"/>
      <c r="UKE1739" s="631"/>
      <c r="UKF1739" s="631"/>
      <c r="UKG1739" s="631"/>
      <c r="UKH1739" s="631"/>
      <c r="UKI1739" s="631"/>
      <c r="UKJ1739" s="631"/>
      <c r="UKK1739" s="630"/>
      <c r="UKL1739" s="668">
        <f t="shared" ref="UKL1739" si="2010">ROUND((SUM(UKL1738:UKL1738)),2)</f>
        <v>8</v>
      </c>
      <c r="UKM1739" s="669" t="s">
        <v>2</v>
      </c>
      <c r="UKO1739" s="660"/>
      <c r="UKP1739" s="660"/>
      <c r="UKR1739" s="629"/>
      <c r="UKS1739" s="630"/>
      <c r="UKT1739" s="631"/>
      <c r="UKU1739" s="631"/>
      <c r="UKV1739" s="631"/>
      <c r="UKW1739" s="631"/>
      <c r="UKX1739" s="631"/>
      <c r="UKY1739" s="631"/>
      <c r="UKZ1739" s="631"/>
      <c r="ULA1739" s="630"/>
      <c r="ULB1739" s="668">
        <f t="shared" ref="ULB1739" si="2011">ROUND((SUM(ULB1738:ULB1738)),2)</f>
        <v>8</v>
      </c>
      <c r="ULC1739" s="669" t="s">
        <v>2</v>
      </c>
      <c r="ULE1739" s="660"/>
      <c r="ULF1739" s="660"/>
      <c r="ULH1739" s="629"/>
      <c r="ULI1739" s="630"/>
      <c r="ULJ1739" s="631"/>
      <c r="ULK1739" s="631"/>
      <c r="ULL1739" s="631"/>
      <c r="ULM1739" s="631"/>
      <c r="ULN1739" s="631"/>
      <c r="ULO1739" s="631"/>
      <c r="ULP1739" s="631"/>
      <c r="ULQ1739" s="630"/>
      <c r="ULR1739" s="668">
        <f t="shared" ref="ULR1739" si="2012">ROUND((SUM(ULR1738:ULR1738)),2)</f>
        <v>8</v>
      </c>
      <c r="ULS1739" s="669" t="s">
        <v>2</v>
      </c>
      <c r="ULU1739" s="660"/>
      <c r="ULV1739" s="660"/>
      <c r="ULX1739" s="629"/>
      <c r="ULY1739" s="630"/>
      <c r="ULZ1739" s="631"/>
      <c r="UMA1739" s="631"/>
      <c r="UMB1739" s="631"/>
      <c r="UMC1739" s="631"/>
      <c r="UMD1739" s="631"/>
      <c r="UME1739" s="631"/>
      <c r="UMF1739" s="631"/>
      <c r="UMG1739" s="630"/>
      <c r="UMH1739" s="668">
        <f t="shared" ref="UMH1739" si="2013">ROUND((SUM(UMH1738:UMH1738)),2)</f>
        <v>8</v>
      </c>
      <c r="UMI1739" s="669" t="s">
        <v>2</v>
      </c>
      <c r="UMK1739" s="660"/>
      <c r="UML1739" s="660"/>
      <c r="UMN1739" s="629"/>
      <c r="UMO1739" s="630"/>
      <c r="UMP1739" s="631"/>
      <c r="UMQ1739" s="631"/>
      <c r="UMR1739" s="631"/>
      <c r="UMS1739" s="631"/>
      <c r="UMT1739" s="631"/>
      <c r="UMU1739" s="631"/>
      <c r="UMV1739" s="631"/>
      <c r="UMW1739" s="630"/>
      <c r="UMX1739" s="668">
        <f t="shared" ref="UMX1739" si="2014">ROUND((SUM(UMX1738:UMX1738)),2)</f>
        <v>8</v>
      </c>
      <c r="UMY1739" s="669" t="s">
        <v>2</v>
      </c>
      <c r="UNA1739" s="660"/>
      <c r="UNB1739" s="660"/>
      <c r="UND1739" s="629"/>
      <c r="UNE1739" s="630"/>
      <c r="UNF1739" s="631"/>
      <c r="UNG1739" s="631"/>
      <c r="UNH1739" s="631"/>
      <c r="UNI1739" s="631"/>
      <c r="UNJ1739" s="631"/>
      <c r="UNK1739" s="631"/>
      <c r="UNL1739" s="631"/>
      <c r="UNM1739" s="630"/>
      <c r="UNN1739" s="668">
        <f t="shared" ref="UNN1739" si="2015">ROUND((SUM(UNN1738:UNN1738)),2)</f>
        <v>8</v>
      </c>
      <c r="UNO1739" s="669" t="s">
        <v>2</v>
      </c>
      <c r="UNQ1739" s="660"/>
      <c r="UNR1739" s="660"/>
      <c r="UNT1739" s="629"/>
      <c r="UNU1739" s="630"/>
      <c r="UNV1739" s="631"/>
      <c r="UNW1739" s="631"/>
      <c r="UNX1739" s="631"/>
      <c r="UNY1739" s="631"/>
      <c r="UNZ1739" s="631"/>
      <c r="UOA1739" s="631"/>
      <c r="UOB1739" s="631"/>
      <c r="UOC1739" s="630"/>
      <c r="UOD1739" s="668">
        <f t="shared" ref="UOD1739" si="2016">ROUND((SUM(UOD1738:UOD1738)),2)</f>
        <v>8</v>
      </c>
      <c r="UOE1739" s="669" t="s">
        <v>2</v>
      </c>
      <c r="UOG1739" s="660"/>
      <c r="UOH1739" s="660"/>
      <c r="UOJ1739" s="629"/>
      <c r="UOK1739" s="630"/>
      <c r="UOL1739" s="631"/>
      <c r="UOM1739" s="631"/>
      <c r="UON1739" s="631"/>
      <c r="UOO1739" s="631"/>
      <c r="UOP1739" s="631"/>
      <c r="UOQ1739" s="631"/>
      <c r="UOR1739" s="631"/>
      <c r="UOS1739" s="630"/>
      <c r="UOT1739" s="668">
        <f t="shared" ref="UOT1739" si="2017">ROUND((SUM(UOT1738:UOT1738)),2)</f>
        <v>8</v>
      </c>
      <c r="UOU1739" s="669" t="s">
        <v>2</v>
      </c>
      <c r="UOW1739" s="660"/>
      <c r="UOX1739" s="660"/>
      <c r="UOZ1739" s="629"/>
      <c r="UPA1739" s="630"/>
      <c r="UPB1739" s="631"/>
      <c r="UPC1739" s="631"/>
      <c r="UPD1739" s="631"/>
      <c r="UPE1739" s="631"/>
      <c r="UPF1739" s="631"/>
      <c r="UPG1739" s="631"/>
      <c r="UPH1739" s="631"/>
      <c r="UPI1739" s="630"/>
      <c r="UPJ1739" s="668">
        <f t="shared" ref="UPJ1739" si="2018">ROUND((SUM(UPJ1738:UPJ1738)),2)</f>
        <v>8</v>
      </c>
      <c r="UPK1739" s="669" t="s">
        <v>2</v>
      </c>
      <c r="UPM1739" s="660"/>
      <c r="UPN1739" s="660"/>
      <c r="UPP1739" s="629"/>
      <c r="UPQ1739" s="630"/>
      <c r="UPR1739" s="631"/>
      <c r="UPS1739" s="631"/>
      <c r="UPT1739" s="631"/>
      <c r="UPU1739" s="631"/>
      <c r="UPV1739" s="631"/>
      <c r="UPW1739" s="631"/>
      <c r="UPX1739" s="631"/>
      <c r="UPY1739" s="630"/>
      <c r="UPZ1739" s="668">
        <f t="shared" ref="UPZ1739" si="2019">ROUND((SUM(UPZ1738:UPZ1738)),2)</f>
        <v>8</v>
      </c>
      <c r="UQA1739" s="669" t="s">
        <v>2</v>
      </c>
      <c r="UQC1739" s="660"/>
      <c r="UQD1739" s="660"/>
      <c r="UQF1739" s="629"/>
      <c r="UQG1739" s="630"/>
      <c r="UQH1739" s="631"/>
      <c r="UQI1739" s="631"/>
      <c r="UQJ1739" s="631"/>
      <c r="UQK1739" s="631"/>
      <c r="UQL1739" s="631"/>
      <c r="UQM1739" s="631"/>
      <c r="UQN1739" s="631"/>
      <c r="UQO1739" s="630"/>
      <c r="UQP1739" s="668">
        <f t="shared" ref="UQP1739" si="2020">ROUND((SUM(UQP1738:UQP1738)),2)</f>
        <v>8</v>
      </c>
      <c r="UQQ1739" s="669" t="s">
        <v>2</v>
      </c>
      <c r="UQS1739" s="660"/>
      <c r="UQT1739" s="660"/>
      <c r="UQV1739" s="629"/>
      <c r="UQW1739" s="630"/>
      <c r="UQX1739" s="631"/>
      <c r="UQY1739" s="631"/>
      <c r="UQZ1739" s="631"/>
      <c r="URA1739" s="631"/>
      <c r="URB1739" s="631"/>
      <c r="URC1739" s="631"/>
      <c r="URD1739" s="631"/>
      <c r="URE1739" s="630"/>
      <c r="URF1739" s="668">
        <f t="shared" ref="URF1739" si="2021">ROUND((SUM(URF1738:URF1738)),2)</f>
        <v>8</v>
      </c>
      <c r="URG1739" s="669" t="s">
        <v>2</v>
      </c>
      <c r="URI1739" s="660"/>
      <c r="URJ1739" s="660"/>
      <c r="URL1739" s="629"/>
      <c r="URM1739" s="630"/>
      <c r="URN1739" s="631"/>
      <c r="URO1739" s="631"/>
      <c r="URP1739" s="631"/>
      <c r="URQ1739" s="631"/>
      <c r="URR1739" s="631"/>
      <c r="URS1739" s="631"/>
      <c r="URT1739" s="631"/>
      <c r="URU1739" s="630"/>
      <c r="URV1739" s="668">
        <f t="shared" ref="URV1739" si="2022">ROUND((SUM(URV1738:URV1738)),2)</f>
        <v>8</v>
      </c>
      <c r="URW1739" s="669" t="s">
        <v>2</v>
      </c>
      <c r="URY1739" s="660"/>
      <c r="URZ1739" s="660"/>
      <c r="USB1739" s="629"/>
      <c r="USC1739" s="630"/>
      <c r="USD1739" s="631"/>
      <c r="USE1739" s="631"/>
      <c r="USF1739" s="631"/>
      <c r="USG1739" s="631"/>
      <c r="USH1739" s="631"/>
      <c r="USI1739" s="631"/>
      <c r="USJ1739" s="631"/>
      <c r="USK1739" s="630"/>
      <c r="USL1739" s="668">
        <f t="shared" ref="USL1739" si="2023">ROUND((SUM(USL1738:USL1738)),2)</f>
        <v>8</v>
      </c>
      <c r="USM1739" s="669" t="s">
        <v>2</v>
      </c>
      <c r="USO1739" s="660"/>
      <c r="USP1739" s="660"/>
      <c r="USR1739" s="629"/>
      <c r="USS1739" s="630"/>
      <c r="UST1739" s="631"/>
      <c r="USU1739" s="631"/>
      <c r="USV1739" s="631"/>
      <c r="USW1739" s="631"/>
      <c r="USX1739" s="631"/>
      <c r="USY1739" s="631"/>
      <c r="USZ1739" s="631"/>
      <c r="UTA1739" s="630"/>
      <c r="UTB1739" s="668">
        <f t="shared" ref="UTB1739" si="2024">ROUND((SUM(UTB1738:UTB1738)),2)</f>
        <v>8</v>
      </c>
      <c r="UTC1739" s="669" t="s">
        <v>2</v>
      </c>
      <c r="UTE1739" s="660"/>
      <c r="UTF1739" s="660"/>
      <c r="UTH1739" s="629"/>
      <c r="UTI1739" s="630"/>
      <c r="UTJ1739" s="631"/>
      <c r="UTK1739" s="631"/>
      <c r="UTL1739" s="631"/>
      <c r="UTM1739" s="631"/>
      <c r="UTN1739" s="631"/>
      <c r="UTO1739" s="631"/>
      <c r="UTP1739" s="631"/>
      <c r="UTQ1739" s="630"/>
      <c r="UTR1739" s="668">
        <f t="shared" ref="UTR1739" si="2025">ROUND((SUM(UTR1738:UTR1738)),2)</f>
        <v>8</v>
      </c>
      <c r="UTS1739" s="669" t="s">
        <v>2</v>
      </c>
      <c r="UTU1739" s="660"/>
      <c r="UTV1739" s="660"/>
      <c r="UTX1739" s="629"/>
      <c r="UTY1739" s="630"/>
      <c r="UTZ1739" s="631"/>
      <c r="UUA1739" s="631"/>
      <c r="UUB1739" s="631"/>
      <c r="UUC1739" s="631"/>
      <c r="UUD1739" s="631"/>
      <c r="UUE1739" s="631"/>
      <c r="UUF1739" s="631"/>
      <c r="UUG1739" s="630"/>
      <c r="UUH1739" s="668">
        <f t="shared" ref="UUH1739" si="2026">ROUND((SUM(UUH1738:UUH1738)),2)</f>
        <v>8</v>
      </c>
      <c r="UUI1739" s="669" t="s">
        <v>2</v>
      </c>
      <c r="UUK1739" s="660"/>
      <c r="UUL1739" s="660"/>
      <c r="UUN1739" s="629"/>
      <c r="UUO1739" s="630"/>
      <c r="UUP1739" s="631"/>
      <c r="UUQ1739" s="631"/>
      <c r="UUR1739" s="631"/>
      <c r="UUS1739" s="631"/>
      <c r="UUT1739" s="631"/>
      <c r="UUU1739" s="631"/>
      <c r="UUV1739" s="631"/>
      <c r="UUW1739" s="630"/>
      <c r="UUX1739" s="668">
        <f t="shared" ref="UUX1739" si="2027">ROUND((SUM(UUX1738:UUX1738)),2)</f>
        <v>8</v>
      </c>
      <c r="UUY1739" s="669" t="s">
        <v>2</v>
      </c>
      <c r="UVA1739" s="660"/>
      <c r="UVB1739" s="660"/>
      <c r="UVD1739" s="629"/>
      <c r="UVE1739" s="630"/>
      <c r="UVF1739" s="631"/>
      <c r="UVG1739" s="631"/>
      <c r="UVH1739" s="631"/>
      <c r="UVI1739" s="631"/>
      <c r="UVJ1739" s="631"/>
      <c r="UVK1739" s="631"/>
      <c r="UVL1739" s="631"/>
      <c r="UVM1739" s="630"/>
      <c r="UVN1739" s="668">
        <f t="shared" ref="UVN1739" si="2028">ROUND((SUM(UVN1738:UVN1738)),2)</f>
        <v>8</v>
      </c>
      <c r="UVO1739" s="669" t="s">
        <v>2</v>
      </c>
      <c r="UVQ1739" s="660"/>
      <c r="UVR1739" s="660"/>
      <c r="UVT1739" s="629"/>
      <c r="UVU1739" s="630"/>
      <c r="UVV1739" s="631"/>
      <c r="UVW1739" s="631"/>
      <c r="UVX1739" s="631"/>
      <c r="UVY1739" s="631"/>
      <c r="UVZ1739" s="631"/>
      <c r="UWA1739" s="631"/>
      <c r="UWB1739" s="631"/>
      <c r="UWC1739" s="630"/>
      <c r="UWD1739" s="668">
        <f t="shared" ref="UWD1739" si="2029">ROUND((SUM(UWD1738:UWD1738)),2)</f>
        <v>8</v>
      </c>
      <c r="UWE1739" s="669" t="s">
        <v>2</v>
      </c>
      <c r="UWG1739" s="660"/>
      <c r="UWH1739" s="660"/>
      <c r="UWJ1739" s="629"/>
      <c r="UWK1739" s="630"/>
      <c r="UWL1739" s="631"/>
      <c r="UWM1739" s="631"/>
      <c r="UWN1739" s="631"/>
      <c r="UWO1739" s="631"/>
      <c r="UWP1739" s="631"/>
      <c r="UWQ1739" s="631"/>
      <c r="UWR1739" s="631"/>
      <c r="UWS1739" s="630"/>
      <c r="UWT1739" s="668">
        <f t="shared" ref="UWT1739" si="2030">ROUND((SUM(UWT1738:UWT1738)),2)</f>
        <v>8</v>
      </c>
      <c r="UWU1739" s="669" t="s">
        <v>2</v>
      </c>
      <c r="UWW1739" s="660"/>
      <c r="UWX1739" s="660"/>
      <c r="UWZ1739" s="629"/>
      <c r="UXA1739" s="630"/>
      <c r="UXB1739" s="631"/>
      <c r="UXC1739" s="631"/>
      <c r="UXD1739" s="631"/>
      <c r="UXE1739" s="631"/>
      <c r="UXF1739" s="631"/>
      <c r="UXG1739" s="631"/>
      <c r="UXH1739" s="631"/>
      <c r="UXI1739" s="630"/>
      <c r="UXJ1739" s="668">
        <f t="shared" ref="UXJ1739" si="2031">ROUND((SUM(UXJ1738:UXJ1738)),2)</f>
        <v>8</v>
      </c>
      <c r="UXK1739" s="669" t="s">
        <v>2</v>
      </c>
      <c r="UXM1739" s="660"/>
      <c r="UXN1739" s="660"/>
      <c r="UXP1739" s="629"/>
      <c r="UXQ1739" s="630"/>
      <c r="UXR1739" s="631"/>
      <c r="UXS1739" s="631"/>
      <c r="UXT1739" s="631"/>
      <c r="UXU1739" s="631"/>
      <c r="UXV1739" s="631"/>
      <c r="UXW1739" s="631"/>
      <c r="UXX1739" s="631"/>
      <c r="UXY1739" s="630"/>
      <c r="UXZ1739" s="668">
        <f t="shared" ref="UXZ1739" si="2032">ROUND((SUM(UXZ1738:UXZ1738)),2)</f>
        <v>8</v>
      </c>
      <c r="UYA1739" s="669" t="s">
        <v>2</v>
      </c>
      <c r="UYC1739" s="660"/>
      <c r="UYD1739" s="660"/>
      <c r="UYF1739" s="629"/>
      <c r="UYG1739" s="630"/>
      <c r="UYH1739" s="631"/>
      <c r="UYI1739" s="631"/>
      <c r="UYJ1739" s="631"/>
      <c r="UYK1739" s="631"/>
      <c r="UYL1739" s="631"/>
      <c r="UYM1739" s="631"/>
      <c r="UYN1739" s="631"/>
      <c r="UYO1739" s="630"/>
      <c r="UYP1739" s="668">
        <f t="shared" ref="UYP1739" si="2033">ROUND((SUM(UYP1738:UYP1738)),2)</f>
        <v>8</v>
      </c>
      <c r="UYQ1739" s="669" t="s">
        <v>2</v>
      </c>
      <c r="UYS1739" s="660"/>
      <c r="UYT1739" s="660"/>
      <c r="UYV1739" s="629"/>
      <c r="UYW1739" s="630"/>
      <c r="UYX1739" s="631"/>
      <c r="UYY1739" s="631"/>
      <c r="UYZ1739" s="631"/>
      <c r="UZA1739" s="631"/>
      <c r="UZB1739" s="631"/>
      <c r="UZC1739" s="631"/>
      <c r="UZD1739" s="631"/>
      <c r="UZE1739" s="630"/>
      <c r="UZF1739" s="668">
        <f t="shared" ref="UZF1739" si="2034">ROUND((SUM(UZF1738:UZF1738)),2)</f>
        <v>8</v>
      </c>
      <c r="UZG1739" s="669" t="s">
        <v>2</v>
      </c>
      <c r="UZI1739" s="660"/>
      <c r="UZJ1739" s="660"/>
      <c r="UZL1739" s="629"/>
      <c r="UZM1739" s="630"/>
      <c r="UZN1739" s="631"/>
      <c r="UZO1739" s="631"/>
      <c r="UZP1739" s="631"/>
      <c r="UZQ1739" s="631"/>
      <c r="UZR1739" s="631"/>
      <c r="UZS1739" s="631"/>
      <c r="UZT1739" s="631"/>
      <c r="UZU1739" s="630"/>
      <c r="UZV1739" s="668">
        <f t="shared" ref="UZV1739" si="2035">ROUND((SUM(UZV1738:UZV1738)),2)</f>
        <v>8</v>
      </c>
      <c r="UZW1739" s="669" t="s">
        <v>2</v>
      </c>
      <c r="UZY1739" s="660"/>
      <c r="UZZ1739" s="660"/>
      <c r="VAB1739" s="629"/>
      <c r="VAC1739" s="630"/>
      <c r="VAD1739" s="631"/>
      <c r="VAE1739" s="631"/>
      <c r="VAF1739" s="631"/>
      <c r="VAG1739" s="631"/>
      <c r="VAH1739" s="631"/>
      <c r="VAI1739" s="631"/>
      <c r="VAJ1739" s="631"/>
      <c r="VAK1739" s="630"/>
      <c r="VAL1739" s="668">
        <f t="shared" ref="VAL1739" si="2036">ROUND((SUM(VAL1738:VAL1738)),2)</f>
        <v>8</v>
      </c>
      <c r="VAM1739" s="669" t="s">
        <v>2</v>
      </c>
      <c r="VAO1739" s="660"/>
      <c r="VAP1739" s="660"/>
      <c r="VAR1739" s="629"/>
      <c r="VAS1739" s="630"/>
      <c r="VAT1739" s="631"/>
      <c r="VAU1739" s="631"/>
      <c r="VAV1739" s="631"/>
      <c r="VAW1739" s="631"/>
      <c r="VAX1739" s="631"/>
      <c r="VAY1739" s="631"/>
      <c r="VAZ1739" s="631"/>
      <c r="VBA1739" s="630"/>
      <c r="VBB1739" s="668">
        <f t="shared" ref="VBB1739" si="2037">ROUND((SUM(VBB1738:VBB1738)),2)</f>
        <v>8</v>
      </c>
      <c r="VBC1739" s="669" t="s">
        <v>2</v>
      </c>
      <c r="VBE1739" s="660"/>
      <c r="VBF1739" s="660"/>
      <c r="VBH1739" s="629"/>
      <c r="VBI1739" s="630"/>
      <c r="VBJ1739" s="631"/>
      <c r="VBK1739" s="631"/>
      <c r="VBL1739" s="631"/>
      <c r="VBM1739" s="631"/>
      <c r="VBN1739" s="631"/>
      <c r="VBO1739" s="631"/>
      <c r="VBP1739" s="631"/>
      <c r="VBQ1739" s="630"/>
      <c r="VBR1739" s="668">
        <f t="shared" ref="VBR1739" si="2038">ROUND((SUM(VBR1738:VBR1738)),2)</f>
        <v>8</v>
      </c>
      <c r="VBS1739" s="669" t="s">
        <v>2</v>
      </c>
      <c r="VBU1739" s="660"/>
      <c r="VBV1739" s="660"/>
      <c r="VBX1739" s="629"/>
      <c r="VBY1739" s="630"/>
      <c r="VBZ1739" s="631"/>
      <c r="VCA1739" s="631"/>
      <c r="VCB1739" s="631"/>
      <c r="VCC1739" s="631"/>
      <c r="VCD1739" s="631"/>
      <c r="VCE1739" s="631"/>
      <c r="VCF1739" s="631"/>
      <c r="VCG1739" s="630"/>
      <c r="VCH1739" s="668">
        <f t="shared" ref="VCH1739" si="2039">ROUND((SUM(VCH1738:VCH1738)),2)</f>
        <v>8</v>
      </c>
      <c r="VCI1739" s="669" t="s">
        <v>2</v>
      </c>
      <c r="VCK1739" s="660"/>
      <c r="VCL1739" s="660"/>
      <c r="VCN1739" s="629"/>
      <c r="VCO1739" s="630"/>
      <c r="VCP1739" s="631"/>
      <c r="VCQ1739" s="631"/>
      <c r="VCR1739" s="631"/>
      <c r="VCS1739" s="631"/>
      <c r="VCT1739" s="631"/>
      <c r="VCU1739" s="631"/>
      <c r="VCV1739" s="631"/>
      <c r="VCW1739" s="630"/>
      <c r="VCX1739" s="668">
        <f t="shared" ref="VCX1739" si="2040">ROUND((SUM(VCX1738:VCX1738)),2)</f>
        <v>8</v>
      </c>
      <c r="VCY1739" s="669" t="s">
        <v>2</v>
      </c>
      <c r="VDA1739" s="660"/>
      <c r="VDB1739" s="660"/>
      <c r="VDD1739" s="629"/>
      <c r="VDE1739" s="630"/>
      <c r="VDF1739" s="631"/>
      <c r="VDG1739" s="631"/>
      <c r="VDH1739" s="631"/>
      <c r="VDI1739" s="631"/>
      <c r="VDJ1739" s="631"/>
      <c r="VDK1739" s="631"/>
      <c r="VDL1739" s="631"/>
      <c r="VDM1739" s="630"/>
      <c r="VDN1739" s="668">
        <f t="shared" ref="VDN1739" si="2041">ROUND((SUM(VDN1738:VDN1738)),2)</f>
        <v>8</v>
      </c>
      <c r="VDO1739" s="669" t="s">
        <v>2</v>
      </c>
      <c r="VDQ1739" s="660"/>
      <c r="VDR1739" s="660"/>
      <c r="VDT1739" s="629"/>
      <c r="VDU1739" s="630"/>
      <c r="VDV1739" s="631"/>
      <c r="VDW1739" s="631"/>
      <c r="VDX1739" s="631"/>
      <c r="VDY1739" s="631"/>
      <c r="VDZ1739" s="631"/>
      <c r="VEA1739" s="631"/>
      <c r="VEB1739" s="631"/>
      <c r="VEC1739" s="630"/>
      <c r="VED1739" s="668">
        <f t="shared" ref="VED1739" si="2042">ROUND((SUM(VED1738:VED1738)),2)</f>
        <v>8</v>
      </c>
      <c r="VEE1739" s="669" t="s">
        <v>2</v>
      </c>
      <c r="VEG1739" s="660"/>
      <c r="VEH1739" s="660"/>
      <c r="VEJ1739" s="629"/>
      <c r="VEK1739" s="630"/>
      <c r="VEL1739" s="631"/>
      <c r="VEM1739" s="631"/>
      <c r="VEN1739" s="631"/>
      <c r="VEO1739" s="631"/>
      <c r="VEP1739" s="631"/>
      <c r="VEQ1739" s="631"/>
      <c r="VER1739" s="631"/>
      <c r="VES1739" s="630"/>
      <c r="VET1739" s="668">
        <f t="shared" ref="VET1739" si="2043">ROUND((SUM(VET1738:VET1738)),2)</f>
        <v>8</v>
      </c>
      <c r="VEU1739" s="669" t="s">
        <v>2</v>
      </c>
      <c r="VEW1739" s="660"/>
      <c r="VEX1739" s="660"/>
      <c r="VEZ1739" s="629"/>
      <c r="VFA1739" s="630"/>
      <c r="VFB1739" s="631"/>
      <c r="VFC1739" s="631"/>
      <c r="VFD1739" s="631"/>
      <c r="VFE1739" s="631"/>
      <c r="VFF1739" s="631"/>
      <c r="VFG1739" s="631"/>
      <c r="VFH1739" s="631"/>
      <c r="VFI1739" s="630"/>
      <c r="VFJ1739" s="668">
        <f t="shared" ref="VFJ1739" si="2044">ROUND((SUM(VFJ1738:VFJ1738)),2)</f>
        <v>8</v>
      </c>
      <c r="VFK1739" s="669" t="s">
        <v>2</v>
      </c>
      <c r="VFM1739" s="660"/>
      <c r="VFN1739" s="660"/>
      <c r="VFP1739" s="629"/>
      <c r="VFQ1739" s="630"/>
      <c r="VFR1739" s="631"/>
      <c r="VFS1739" s="631"/>
      <c r="VFT1739" s="631"/>
      <c r="VFU1739" s="631"/>
      <c r="VFV1739" s="631"/>
      <c r="VFW1739" s="631"/>
      <c r="VFX1739" s="631"/>
      <c r="VFY1739" s="630"/>
      <c r="VFZ1739" s="668">
        <f t="shared" ref="VFZ1739" si="2045">ROUND((SUM(VFZ1738:VFZ1738)),2)</f>
        <v>8</v>
      </c>
      <c r="VGA1739" s="669" t="s">
        <v>2</v>
      </c>
      <c r="VGC1739" s="660"/>
      <c r="VGD1739" s="660"/>
      <c r="VGF1739" s="629"/>
      <c r="VGG1739" s="630"/>
      <c r="VGH1739" s="631"/>
      <c r="VGI1739" s="631"/>
      <c r="VGJ1739" s="631"/>
      <c r="VGK1739" s="631"/>
      <c r="VGL1739" s="631"/>
      <c r="VGM1739" s="631"/>
      <c r="VGN1739" s="631"/>
      <c r="VGO1739" s="630"/>
      <c r="VGP1739" s="668">
        <f t="shared" ref="VGP1739" si="2046">ROUND((SUM(VGP1738:VGP1738)),2)</f>
        <v>8</v>
      </c>
      <c r="VGQ1739" s="669" t="s">
        <v>2</v>
      </c>
      <c r="VGS1739" s="660"/>
      <c r="VGT1739" s="660"/>
      <c r="VGV1739" s="629"/>
      <c r="VGW1739" s="630"/>
      <c r="VGX1739" s="631"/>
      <c r="VGY1739" s="631"/>
      <c r="VGZ1739" s="631"/>
      <c r="VHA1739" s="631"/>
      <c r="VHB1739" s="631"/>
      <c r="VHC1739" s="631"/>
      <c r="VHD1739" s="631"/>
      <c r="VHE1739" s="630"/>
      <c r="VHF1739" s="668">
        <f t="shared" ref="VHF1739" si="2047">ROUND((SUM(VHF1738:VHF1738)),2)</f>
        <v>8</v>
      </c>
      <c r="VHG1739" s="669" t="s">
        <v>2</v>
      </c>
      <c r="VHI1739" s="660"/>
      <c r="VHJ1739" s="660"/>
      <c r="VHL1739" s="629"/>
      <c r="VHM1739" s="630"/>
      <c r="VHN1739" s="631"/>
      <c r="VHO1739" s="631"/>
      <c r="VHP1739" s="631"/>
      <c r="VHQ1739" s="631"/>
      <c r="VHR1739" s="631"/>
      <c r="VHS1739" s="631"/>
      <c r="VHT1739" s="631"/>
      <c r="VHU1739" s="630"/>
      <c r="VHV1739" s="668">
        <f t="shared" ref="VHV1739" si="2048">ROUND((SUM(VHV1738:VHV1738)),2)</f>
        <v>8</v>
      </c>
      <c r="VHW1739" s="669" t="s">
        <v>2</v>
      </c>
      <c r="VHY1739" s="660"/>
      <c r="VHZ1739" s="660"/>
      <c r="VIB1739" s="629"/>
      <c r="VIC1739" s="630"/>
      <c r="VID1739" s="631"/>
      <c r="VIE1739" s="631"/>
      <c r="VIF1739" s="631"/>
      <c r="VIG1739" s="631"/>
      <c r="VIH1739" s="631"/>
      <c r="VII1739" s="631"/>
      <c r="VIJ1739" s="631"/>
      <c r="VIK1739" s="630"/>
      <c r="VIL1739" s="668">
        <f t="shared" ref="VIL1739" si="2049">ROUND((SUM(VIL1738:VIL1738)),2)</f>
        <v>8</v>
      </c>
      <c r="VIM1739" s="669" t="s">
        <v>2</v>
      </c>
      <c r="VIO1739" s="660"/>
      <c r="VIP1739" s="660"/>
      <c r="VIR1739" s="629"/>
      <c r="VIS1739" s="630"/>
      <c r="VIT1739" s="631"/>
      <c r="VIU1739" s="631"/>
      <c r="VIV1739" s="631"/>
      <c r="VIW1739" s="631"/>
      <c r="VIX1739" s="631"/>
      <c r="VIY1739" s="631"/>
      <c r="VIZ1739" s="631"/>
      <c r="VJA1739" s="630"/>
      <c r="VJB1739" s="668">
        <f t="shared" ref="VJB1739" si="2050">ROUND((SUM(VJB1738:VJB1738)),2)</f>
        <v>8</v>
      </c>
      <c r="VJC1739" s="669" t="s">
        <v>2</v>
      </c>
      <c r="VJE1739" s="660"/>
      <c r="VJF1739" s="660"/>
      <c r="VJH1739" s="629"/>
      <c r="VJI1739" s="630"/>
      <c r="VJJ1739" s="631"/>
      <c r="VJK1739" s="631"/>
      <c r="VJL1739" s="631"/>
      <c r="VJM1739" s="631"/>
      <c r="VJN1739" s="631"/>
      <c r="VJO1739" s="631"/>
      <c r="VJP1739" s="631"/>
      <c r="VJQ1739" s="630"/>
      <c r="VJR1739" s="668">
        <f t="shared" ref="VJR1739" si="2051">ROUND((SUM(VJR1738:VJR1738)),2)</f>
        <v>8</v>
      </c>
      <c r="VJS1739" s="669" t="s">
        <v>2</v>
      </c>
      <c r="VJU1739" s="660"/>
      <c r="VJV1739" s="660"/>
      <c r="VJX1739" s="629"/>
      <c r="VJY1739" s="630"/>
      <c r="VJZ1739" s="631"/>
      <c r="VKA1739" s="631"/>
      <c r="VKB1739" s="631"/>
      <c r="VKC1739" s="631"/>
      <c r="VKD1739" s="631"/>
      <c r="VKE1739" s="631"/>
      <c r="VKF1739" s="631"/>
      <c r="VKG1739" s="630"/>
      <c r="VKH1739" s="668">
        <f t="shared" ref="VKH1739" si="2052">ROUND((SUM(VKH1738:VKH1738)),2)</f>
        <v>8</v>
      </c>
      <c r="VKI1739" s="669" t="s">
        <v>2</v>
      </c>
      <c r="VKK1739" s="660"/>
      <c r="VKL1739" s="660"/>
      <c r="VKN1739" s="629"/>
      <c r="VKO1739" s="630"/>
      <c r="VKP1739" s="631"/>
      <c r="VKQ1739" s="631"/>
      <c r="VKR1739" s="631"/>
      <c r="VKS1739" s="631"/>
      <c r="VKT1739" s="631"/>
      <c r="VKU1739" s="631"/>
      <c r="VKV1739" s="631"/>
      <c r="VKW1739" s="630"/>
      <c r="VKX1739" s="668">
        <f t="shared" ref="VKX1739" si="2053">ROUND((SUM(VKX1738:VKX1738)),2)</f>
        <v>8</v>
      </c>
      <c r="VKY1739" s="669" t="s">
        <v>2</v>
      </c>
      <c r="VLA1739" s="660"/>
      <c r="VLB1739" s="660"/>
      <c r="VLD1739" s="629"/>
      <c r="VLE1739" s="630"/>
      <c r="VLF1739" s="631"/>
      <c r="VLG1739" s="631"/>
      <c r="VLH1739" s="631"/>
      <c r="VLI1739" s="631"/>
      <c r="VLJ1739" s="631"/>
      <c r="VLK1739" s="631"/>
      <c r="VLL1739" s="631"/>
      <c r="VLM1739" s="630"/>
      <c r="VLN1739" s="668">
        <f t="shared" ref="VLN1739" si="2054">ROUND((SUM(VLN1738:VLN1738)),2)</f>
        <v>8</v>
      </c>
      <c r="VLO1739" s="669" t="s">
        <v>2</v>
      </c>
      <c r="VLQ1739" s="660"/>
      <c r="VLR1739" s="660"/>
      <c r="VLT1739" s="629"/>
      <c r="VLU1739" s="630"/>
      <c r="VLV1739" s="631"/>
      <c r="VLW1739" s="631"/>
      <c r="VLX1739" s="631"/>
      <c r="VLY1739" s="631"/>
      <c r="VLZ1739" s="631"/>
      <c r="VMA1739" s="631"/>
      <c r="VMB1739" s="631"/>
      <c r="VMC1739" s="630"/>
      <c r="VMD1739" s="668">
        <f t="shared" ref="VMD1739" si="2055">ROUND((SUM(VMD1738:VMD1738)),2)</f>
        <v>8</v>
      </c>
      <c r="VME1739" s="669" t="s">
        <v>2</v>
      </c>
      <c r="VMG1739" s="660"/>
      <c r="VMH1739" s="660"/>
      <c r="VMJ1739" s="629"/>
      <c r="VMK1739" s="630"/>
      <c r="VML1739" s="631"/>
      <c r="VMM1739" s="631"/>
      <c r="VMN1739" s="631"/>
      <c r="VMO1739" s="631"/>
      <c r="VMP1739" s="631"/>
      <c r="VMQ1739" s="631"/>
      <c r="VMR1739" s="631"/>
      <c r="VMS1739" s="630"/>
      <c r="VMT1739" s="668">
        <f t="shared" ref="VMT1739" si="2056">ROUND((SUM(VMT1738:VMT1738)),2)</f>
        <v>8</v>
      </c>
      <c r="VMU1739" s="669" t="s">
        <v>2</v>
      </c>
      <c r="VMW1739" s="660"/>
      <c r="VMX1739" s="660"/>
      <c r="VMZ1739" s="629"/>
      <c r="VNA1739" s="630"/>
      <c r="VNB1739" s="631"/>
      <c r="VNC1739" s="631"/>
      <c r="VND1739" s="631"/>
      <c r="VNE1739" s="631"/>
      <c r="VNF1739" s="631"/>
      <c r="VNG1739" s="631"/>
      <c r="VNH1739" s="631"/>
      <c r="VNI1739" s="630"/>
      <c r="VNJ1739" s="668">
        <f t="shared" ref="VNJ1739" si="2057">ROUND((SUM(VNJ1738:VNJ1738)),2)</f>
        <v>8</v>
      </c>
      <c r="VNK1739" s="669" t="s">
        <v>2</v>
      </c>
      <c r="VNM1739" s="660"/>
      <c r="VNN1739" s="660"/>
      <c r="VNP1739" s="629"/>
      <c r="VNQ1739" s="630"/>
      <c r="VNR1739" s="631"/>
      <c r="VNS1739" s="631"/>
      <c r="VNT1739" s="631"/>
      <c r="VNU1739" s="631"/>
      <c r="VNV1739" s="631"/>
      <c r="VNW1739" s="631"/>
      <c r="VNX1739" s="631"/>
      <c r="VNY1739" s="630"/>
      <c r="VNZ1739" s="668">
        <f t="shared" ref="VNZ1739" si="2058">ROUND((SUM(VNZ1738:VNZ1738)),2)</f>
        <v>8</v>
      </c>
      <c r="VOA1739" s="669" t="s">
        <v>2</v>
      </c>
      <c r="VOC1739" s="660"/>
      <c r="VOD1739" s="660"/>
      <c r="VOF1739" s="629"/>
      <c r="VOG1739" s="630"/>
      <c r="VOH1739" s="631"/>
      <c r="VOI1739" s="631"/>
      <c r="VOJ1739" s="631"/>
      <c r="VOK1739" s="631"/>
      <c r="VOL1739" s="631"/>
      <c r="VOM1739" s="631"/>
      <c r="VON1739" s="631"/>
      <c r="VOO1739" s="630"/>
      <c r="VOP1739" s="668">
        <f t="shared" ref="VOP1739" si="2059">ROUND((SUM(VOP1738:VOP1738)),2)</f>
        <v>8</v>
      </c>
      <c r="VOQ1739" s="669" t="s">
        <v>2</v>
      </c>
      <c r="VOS1739" s="660"/>
      <c r="VOT1739" s="660"/>
      <c r="VOV1739" s="629"/>
      <c r="VOW1739" s="630"/>
      <c r="VOX1739" s="631"/>
      <c r="VOY1739" s="631"/>
      <c r="VOZ1739" s="631"/>
      <c r="VPA1739" s="631"/>
      <c r="VPB1739" s="631"/>
      <c r="VPC1739" s="631"/>
      <c r="VPD1739" s="631"/>
      <c r="VPE1739" s="630"/>
      <c r="VPF1739" s="668">
        <f t="shared" ref="VPF1739" si="2060">ROUND((SUM(VPF1738:VPF1738)),2)</f>
        <v>8</v>
      </c>
      <c r="VPG1739" s="669" t="s">
        <v>2</v>
      </c>
      <c r="VPI1739" s="660"/>
      <c r="VPJ1739" s="660"/>
      <c r="VPL1739" s="629"/>
      <c r="VPM1739" s="630"/>
      <c r="VPN1739" s="631"/>
      <c r="VPO1739" s="631"/>
      <c r="VPP1739" s="631"/>
      <c r="VPQ1739" s="631"/>
      <c r="VPR1739" s="631"/>
      <c r="VPS1739" s="631"/>
      <c r="VPT1739" s="631"/>
      <c r="VPU1739" s="630"/>
      <c r="VPV1739" s="668">
        <f t="shared" ref="VPV1739" si="2061">ROUND((SUM(VPV1738:VPV1738)),2)</f>
        <v>8</v>
      </c>
      <c r="VPW1739" s="669" t="s">
        <v>2</v>
      </c>
      <c r="VPY1739" s="660"/>
      <c r="VPZ1739" s="660"/>
      <c r="VQB1739" s="629"/>
      <c r="VQC1739" s="630"/>
      <c r="VQD1739" s="631"/>
      <c r="VQE1739" s="631"/>
      <c r="VQF1739" s="631"/>
      <c r="VQG1739" s="631"/>
      <c r="VQH1739" s="631"/>
      <c r="VQI1739" s="631"/>
      <c r="VQJ1739" s="631"/>
      <c r="VQK1739" s="630"/>
      <c r="VQL1739" s="668">
        <f t="shared" ref="VQL1739" si="2062">ROUND((SUM(VQL1738:VQL1738)),2)</f>
        <v>8</v>
      </c>
      <c r="VQM1739" s="669" t="s">
        <v>2</v>
      </c>
      <c r="VQO1739" s="660"/>
      <c r="VQP1739" s="660"/>
      <c r="VQR1739" s="629"/>
      <c r="VQS1739" s="630"/>
      <c r="VQT1739" s="631"/>
      <c r="VQU1739" s="631"/>
      <c r="VQV1739" s="631"/>
      <c r="VQW1739" s="631"/>
      <c r="VQX1739" s="631"/>
      <c r="VQY1739" s="631"/>
      <c r="VQZ1739" s="631"/>
      <c r="VRA1739" s="630"/>
      <c r="VRB1739" s="668">
        <f t="shared" ref="VRB1739" si="2063">ROUND((SUM(VRB1738:VRB1738)),2)</f>
        <v>8</v>
      </c>
      <c r="VRC1739" s="669" t="s">
        <v>2</v>
      </c>
      <c r="VRE1739" s="660"/>
      <c r="VRF1739" s="660"/>
      <c r="VRH1739" s="629"/>
      <c r="VRI1739" s="630"/>
      <c r="VRJ1739" s="631"/>
      <c r="VRK1739" s="631"/>
      <c r="VRL1739" s="631"/>
      <c r="VRM1739" s="631"/>
      <c r="VRN1739" s="631"/>
      <c r="VRO1739" s="631"/>
      <c r="VRP1739" s="631"/>
      <c r="VRQ1739" s="630"/>
      <c r="VRR1739" s="668">
        <f t="shared" ref="VRR1739" si="2064">ROUND((SUM(VRR1738:VRR1738)),2)</f>
        <v>8</v>
      </c>
      <c r="VRS1739" s="669" t="s">
        <v>2</v>
      </c>
      <c r="VRU1739" s="660"/>
      <c r="VRV1739" s="660"/>
      <c r="VRX1739" s="629"/>
      <c r="VRY1739" s="630"/>
      <c r="VRZ1739" s="631"/>
      <c r="VSA1739" s="631"/>
      <c r="VSB1739" s="631"/>
      <c r="VSC1739" s="631"/>
      <c r="VSD1739" s="631"/>
      <c r="VSE1739" s="631"/>
      <c r="VSF1739" s="631"/>
      <c r="VSG1739" s="630"/>
      <c r="VSH1739" s="668">
        <f t="shared" ref="VSH1739" si="2065">ROUND((SUM(VSH1738:VSH1738)),2)</f>
        <v>8</v>
      </c>
      <c r="VSI1739" s="669" t="s">
        <v>2</v>
      </c>
      <c r="VSK1739" s="660"/>
      <c r="VSL1739" s="660"/>
      <c r="VSN1739" s="629"/>
      <c r="VSO1739" s="630"/>
      <c r="VSP1739" s="631"/>
      <c r="VSQ1739" s="631"/>
      <c r="VSR1739" s="631"/>
      <c r="VSS1739" s="631"/>
      <c r="VST1739" s="631"/>
      <c r="VSU1739" s="631"/>
      <c r="VSV1739" s="631"/>
      <c r="VSW1739" s="630"/>
      <c r="VSX1739" s="668">
        <f t="shared" ref="VSX1739" si="2066">ROUND((SUM(VSX1738:VSX1738)),2)</f>
        <v>8</v>
      </c>
      <c r="VSY1739" s="669" t="s">
        <v>2</v>
      </c>
      <c r="VTA1739" s="660"/>
      <c r="VTB1739" s="660"/>
      <c r="VTD1739" s="629"/>
      <c r="VTE1739" s="630"/>
      <c r="VTF1739" s="631"/>
      <c r="VTG1739" s="631"/>
      <c r="VTH1739" s="631"/>
      <c r="VTI1739" s="631"/>
      <c r="VTJ1739" s="631"/>
      <c r="VTK1739" s="631"/>
      <c r="VTL1739" s="631"/>
      <c r="VTM1739" s="630"/>
      <c r="VTN1739" s="668">
        <f t="shared" ref="VTN1739" si="2067">ROUND((SUM(VTN1738:VTN1738)),2)</f>
        <v>8</v>
      </c>
      <c r="VTO1739" s="669" t="s">
        <v>2</v>
      </c>
      <c r="VTQ1739" s="660"/>
      <c r="VTR1739" s="660"/>
      <c r="VTT1739" s="629"/>
      <c r="VTU1739" s="630"/>
      <c r="VTV1739" s="631"/>
      <c r="VTW1739" s="631"/>
      <c r="VTX1739" s="631"/>
      <c r="VTY1739" s="631"/>
      <c r="VTZ1739" s="631"/>
      <c r="VUA1739" s="631"/>
      <c r="VUB1739" s="631"/>
      <c r="VUC1739" s="630"/>
      <c r="VUD1739" s="668">
        <f t="shared" ref="VUD1739" si="2068">ROUND((SUM(VUD1738:VUD1738)),2)</f>
        <v>8</v>
      </c>
      <c r="VUE1739" s="669" t="s">
        <v>2</v>
      </c>
      <c r="VUG1739" s="660"/>
      <c r="VUH1739" s="660"/>
      <c r="VUJ1739" s="629"/>
      <c r="VUK1739" s="630"/>
      <c r="VUL1739" s="631"/>
      <c r="VUM1739" s="631"/>
      <c r="VUN1739" s="631"/>
      <c r="VUO1739" s="631"/>
      <c r="VUP1739" s="631"/>
      <c r="VUQ1739" s="631"/>
      <c r="VUR1739" s="631"/>
      <c r="VUS1739" s="630"/>
      <c r="VUT1739" s="668">
        <f t="shared" ref="VUT1739" si="2069">ROUND((SUM(VUT1738:VUT1738)),2)</f>
        <v>8</v>
      </c>
      <c r="VUU1739" s="669" t="s">
        <v>2</v>
      </c>
      <c r="VUW1739" s="660"/>
      <c r="VUX1739" s="660"/>
      <c r="VUZ1739" s="629"/>
      <c r="VVA1739" s="630"/>
      <c r="VVB1739" s="631"/>
      <c r="VVC1739" s="631"/>
      <c r="VVD1739" s="631"/>
      <c r="VVE1739" s="631"/>
      <c r="VVF1739" s="631"/>
      <c r="VVG1739" s="631"/>
      <c r="VVH1739" s="631"/>
      <c r="VVI1739" s="630"/>
      <c r="VVJ1739" s="668">
        <f t="shared" ref="VVJ1739" si="2070">ROUND((SUM(VVJ1738:VVJ1738)),2)</f>
        <v>8</v>
      </c>
      <c r="VVK1739" s="669" t="s">
        <v>2</v>
      </c>
      <c r="VVM1739" s="660"/>
      <c r="VVN1739" s="660"/>
      <c r="VVP1739" s="629"/>
      <c r="VVQ1739" s="630"/>
      <c r="VVR1739" s="631"/>
      <c r="VVS1739" s="631"/>
      <c r="VVT1739" s="631"/>
      <c r="VVU1739" s="631"/>
      <c r="VVV1739" s="631"/>
      <c r="VVW1739" s="631"/>
      <c r="VVX1739" s="631"/>
      <c r="VVY1739" s="630"/>
      <c r="VVZ1739" s="668">
        <f t="shared" ref="VVZ1739" si="2071">ROUND((SUM(VVZ1738:VVZ1738)),2)</f>
        <v>8</v>
      </c>
      <c r="VWA1739" s="669" t="s">
        <v>2</v>
      </c>
      <c r="VWC1739" s="660"/>
      <c r="VWD1739" s="660"/>
      <c r="VWF1739" s="629"/>
      <c r="VWG1739" s="630"/>
      <c r="VWH1739" s="631"/>
      <c r="VWI1739" s="631"/>
      <c r="VWJ1739" s="631"/>
      <c r="VWK1739" s="631"/>
      <c r="VWL1739" s="631"/>
      <c r="VWM1739" s="631"/>
      <c r="VWN1739" s="631"/>
      <c r="VWO1739" s="630"/>
      <c r="VWP1739" s="668">
        <f t="shared" ref="VWP1739" si="2072">ROUND((SUM(VWP1738:VWP1738)),2)</f>
        <v>8</v>
      </c>
      <c r="VWQ1739" s="669" t="s">
        <v>2</v>
      </c>
      <c r="VWS1739" s="660"/>
      <c r="VWT1739" s="660"/>
      <c r="VWV1739" s="629"/>
      <c r="VWW1739" s="630"/>
      <c r="VWX1739" s="631"/>
      <c r="VWY1739" s="631"/>
      <c r="VWZ1739" s="631"/>
      <c r="VXA1739" s="631"/>
      <c r="VXB1739" s="631"/>
      <c r="VXC1739" s="631"/>
      <c r="VXD1739" s="631"/>
      <c r="VXE1739" s="630"/>
      <c r="VXF1739" s="668">
        <f t="shared" ref="VXF1739" si="2073">ROUND((SUM(VXF1738:VXF1738)),2)</f>
        <v>8</v>
      </c>
      <c r="VXG1739" s="669" t="s">
        <v>2</v>
      </c>
      <c r="VXI1739" s="660"/>
      <c r="VXJ1739" s="660"/>
      <c r="VXL1739" s="629"/>
      <c r="VXM1739" s="630"/>
      <c r="VXN1739" s="631"/>
      <c r="VXO1739" s="631"/>
      <c r="VXP1739" s="631"/>
      <c r="VXQ1739" s="631"/>
      <c r="VXR1739" s="631"/>
      <c r="VXS1739" s="631"/>
      <c r="VXT1739" s="631"/>
      <c r="VXU1739" s="630"/>
      <c r="VXV1739" s="668">
        <f t="shared" ref="VXV1739" si="2074">ROUND((SUM(VXV1738:VXV1738)),2)</f>
        <v>8</v>
      </c>
      <c r="VXW1739" s="669" t="s">
        <v>2</v>
      </c>
      <c r="VXY1739" s="660"/>
      <c r="VXZ1739" s="660"/>
      <c r="VYB1739" s="629"/>
      <c r="VYC1739" s="630"/>
      <c r="VYD1739" s="631"/>
      <c r="VYE1739" s="631"/>
      <c r="VYF1739" s="631"/>
      <c r="VYG1739" s="631"/>
      <c r="VYH1739" s="631"/>
      <c r="VYI1739" s="631"/>
      <c r="VYJ1739" s="631"/>
      <c r="VYK1739" s="630"/>
      <c r="VYL1739" s="668">
        <f t="shared" ref="VYL1739" si="2075">ROUND((SUM(VYL1738:VYL1738)),2)</f>
        <v>8</v>
      </c>
      <c r="VYM1739" s="669" t="s">
        <v>2</v>
      </c>
      <c r="VYO1739" s="660"/>
      <c r="VYP1739" s="660"/>
      <c r="VYR1739" s="629"/>
      <c r="VYS1739" s="630"/>
      <c r="VYT1739" s="631"/>
      <c r="VYU1739" s="631"/>
      <c r="VYV1739" s="631"/>
      <c r="VYW1739" s="631"/>
      <c r="VYX1739" s="631"/>
      <c r="VYY1739" s="631"/>
      <c r="VYZ1739" s="631"/>
      <c r="VZA1739" s="630"/>
      <c r="VZB1739" s="668">
        <f t="shared" ref="VZB1739" si="2076">ROUND((SUM(VZB1738:VZB1738)),2)</f>
        <v>8</v>
      </c>
      <c r="VZC1739" s="669" t="s">
        <v>2</v>
      </c>
      <c r="VZE1739" s="660"/>
      <c r="VZF1739" s="660"/>
      <c r="VZH1739" s="629"/>
      <c r="VZI1739" s="630"/>
      <c r="VZJ1739" s="631"/>
      <c r="VZK1739" s="631"/>
      <c r="VZL1739" s="631"/>
      <c r="VZM1739" s="631"/>
      <c r="VZN1739" s="631"/>
      <c r="VZO1739" s="631"/>
      <c r="VZP1739" s="631"/>
      <c r="VZQ1739" s="630"/>
      <c r="VZR1739" s="668">
        <f t="shared" ref="VZR1739" si="2077">ROUND((SUM(VZR1738:VZR1738)),2)</f>
        <v>8</v>
      </c>
      <c r="VZS1739" s="669" t="s">
        <v>2</v>
      </c>
      <c r="VZU1739" s="660"/>
      <c r="VZV1739" s="660"/>
      <c r="VZX1739" s="629"/>
      <c r="VZY1739" s="630"/>
      <c r="VZZ1739" s="631"/>
      <c r="WAA1739" s="631"/>
      <c r="WAB1739" s="631"/>
      <c r="WAC1739" s="631"/>
      <c r="WAD1739" s="631"/>
      <c r="WAE1739" s="631"/>
      <c r="WAF1739" s="631"/>
      <c r="WAG1739" s="630"/>
      <c r="WAH1739" s="668">
        <f t="shared" ref="WAH1739" si="2078">ROUND((SUM(WAH1738:WAH1738)),2)</f>
        <v>8</v>
      </c>
      <c r="WAI1739" s="669" t="s">
        <v>2</v>
      </c>
      <c r="WAK1739" s="660"/>
      <c r="WAL1739" s="660"/>
      <c r="WAN1739" s="629"/>
      <c r="WAO1739" s="630"/>
      <c r="WAP1739" s="631"/>
      <c r="WAQ1739" s="631"/>
      <c r="WAR1739" s="631"/>
      <c r="WAS1739" s="631"/>
      <c r="WAT1739" s="631"/>
      <c r="WAU1739" s="631"/>
      <c r="WAV1739" s="631"/>
      <c r="WAW1739" s="630"/>
      <c r="WAX1739" s="668">
        <f t="shared" ref="WAX1739" si="2079">ROUND((SUM(WAX1738:WAX1738)),2)</f>
        <v>8</v>
      </c>
      <c r="WAY1739" s="669" t="s">
        <v>2</v>
      </c>
      <c r="WBA1739" s="660"/>
      <c r="WBB1739" s="660"/>
      <c r="WBD1739" s="629"/>
      <c r="WBE1739" s="630"/>
      <c r="WBF1739" s="631"/>
      <c r="WBG1739" s="631"/>
      <c r="WBH1739" s="631"/>
      <c r="WBI1739" s="631"/>
      <c r="WBJ1739" s="631"/>
      <c r="WBK1739" s="631"/>
      <c r="WBL1739" s="631"/>
      <c r="WBM1739" s="630"/>
      <c r="WBN1739" s="668">
        <f t="shared" ref="WBN1739" si="2080">ROUND((SUM(WBN1738:WBN1738)),2)</f>
        <v>8</v>
      </c>
      <c r="WBO1739" s="669" t="s">
        <v>2</v>
      </c>
      <c r="WBQ1739" s="660"/>
      <c r="WBR1739" s="660"/>
      <c r="WBT1739" s="629"/>
      <c r="WBU1739" s="630"/>
      <c r="WBV1739" s="631"/>
      <c r="WBW1739" s="631"/>
      <c r="WBX1739" s="631"/>
      <c r="WBY1739" s="631"/>
      <c r="WBZ1739" s="631"/>
      <c r="WCA1739" s="631"/>
      <c r="WCB1739" s="631"/>
      <c r="WCC1739" s="630"/>
      <c r="WCD1739" s="668">
        <f t="shared" ref="WCD1739" si="2081">ROUND((SUM(WCD1738:WCD1738)),2)</f>
        <v>8</v>
      </c>
      <c r="WCE1739" s="669" t="s">
        <v>2</v>
      </c>
      <c r="WCG1739" s="660"/>
      <c r="WCH1739" s="660"/>
      <c r="WCJ1739" s="629"/>
      <c r="WCK1739" s="630"/>
      <c r="WCL1739" s="631"/>
      <c r="WCM1739" s="631"/>
      <c r="WCN1739" s="631"/>
      <c r="WCO1739" s="631"/>
      <c r="WCP1739" s="631"/>
      <c r="WCQ1739" s="631"/>
      <c r="WCR1739" s="631"/>
      <c r="WCS1739" s="630"/>
      <c r="WCT1739" s="668">
        <f t="shared" ref="WCT1739" si="2082">ROUND((SUM(WCT1738:WCT1738)),2)</f>
        <v>8</v>
      </c>
      <c r="WCU1739" s="669" t="s">
        <v>2</v>
      </c>
      <c r="WCW1739" s="660"/>
      <c r="WCX1739" s="660"/>
      <c r="WCZ1739" s="629"/>
      <c r="WDA1739" s="630"/>
      <c r="WDB1739" s="631"/>
      <c r="WDC1739" s="631"/>
      <c r="WDD1739" s="631"/>
      <c r="WDE1739" s="631"/>
      <c r="WDF1739" s="631"/>
      <c r="WDG1739" s="631"/>
      <c r="WDH1739" s="631"/>
      <c r="WDI1739" s="630"/>
      <c r="WDJ1739" s="668">
        <f t="shared" ref="WDJ1739" si="2083">ROUND((SUM(WDJ1738:WDJ1738)),2)</f>
        <v>8</v>
      </c>
      <c r="WDK1739" s="669" t="s">
        <v>2</v>
      </c>
      <c r="WDM1739" s="660"/>
      <c r="WDN1739" s="660"/>
      <c r="WDP1739" s="629"/>
      <c r="WDQ1739" s="630"/>
      <c r="WDR1739" s="631"/>
      <c r="WDS1739" s="631"/>
      <c r="WDT1739" s="631"/>
      <c r="WDU1739" s="631"/>
      <c r="WDV1739" s="631"/>
      <c r="WDW1739" s="631"/>
      <c r="WDX1739" s="631"/>
      <c r="WDY1739" s="630"/>
      <c r="WDZ1739" s="668">
        <f t="shared" ref="WDZ1739" si="2084">ROUND((SUM(WDZ1738:WDZ1738)),2)</f>
        <v>8</v>
      </c>
      <c r="WEA1739" s="669" t="s">
        <v>2</v>
      </c>
      <c r="WEC1739" s="660"/>
      <c r="WED1739" s="660"/>
      <c r="WEF1739" s="629"/>
      <c r="WEG1739" s="630"/>
      <c r="WEH1739" s="631"/>
      <c r="WEI1739" s="631"/>
      <c r="WEJ1739" s="631"/>
      <c r="WEK1739" s="631"/>
      <c r="WEL1739" s="631"/>
      <c r="WEM1739" s="631"/>
      <c r="WEN1739" s="631"/>
      <c r="WEO1739" s="630"/>
      <c r="WEP1739" s="668">
        <f t="shared" ref="WEP1739" si="2085">ROUND((SUM(WEP1738:WEP1738)),2)</f>
        <v>8</v>
      </c>
      <c r="WEQ1739" s="669" t="s">
        <v>2</v>
      </c>
      <c r="WES1739" s="660"/>
      <c r="WET1739" s="660"/>
      <c r="WEV1739" s="629"/>
      <c r="WEW1739" s="630"/>
      <c r="WEX1739" s="631"/>
      <c r="WEY1739" s="631"/>
      <c r="WEZ1739" s="631"/>
      <c r="WFA1739" s="631"/>
      <c r="WFB1739" s="631"/>
      <c r="WFC1739" s="631"/>
      <c r="WFD1739" s="631"/>
      <c r="WFE1739" s="630"/>
      <c r="WFF1739" s="668">
        <f t="shared" ref="WFF1739" si="2086">ROUND((SUM(WFF1738:WFF1738)),2)</f>
        <v>8</v>
      </c>
      <c r="WFG1739" s="669" t="s">
        <v>2</v>
      </c>
      <c r="WFI1739" s="660"/>
      <c r="WFJ1739" s="660"/>
      <c r="WFL1739" s="629"/>
      <c r="WFM1739" s="630"/>
      <c r="WFN1739" s="631"/>
      <c r="WFO1739" s="631"/>
      <c r="WFP1739" s="631"/>
      <c r="WFQ1739" s="631"/>
      <c r="WFR1739" s="631"/>
      <c r="WFS1739" s="631"/>
      <c r="WFT1739" s="631"/>
      <c r="WFU1739" s="630"/>
      <c r="WFV1739" s="668">
        <f t="shared" ref="WFV1739" si="2087">ROUND((SUM(WFV1738:WFV1738)),2)</f>
        <v>8</v>
      </c>
      <c r="WFW1739" s="669" t="s">
        <v>2</v>
      </c>
      <c r="WFY1739" s="660"/>
      <c r="WFZ1739" s="660"/>
      <c r="WGB1739" s="629"/>
      <c r="WGC1739" s="630"/>
      <c r="WGD1739" s="631"/>
      <c r="WGE1739" s="631"/>
      <c r="WGF1739" s="631"/>
      <c r="WGG1739" s="631"/>
      <c r="WGH1739" s="631"/>
      <c r="WGI1739" s="631"/>
      <c r="WGJ1739" s="631"/>
      <c r="WGK1739" s="630"/>
      <c r="WGL1739" s="668">
        <f t="shared" ref="WGL1739" si="2088">ROUND((SUM(WGL1738:WGL1738)),2)</f>
        <v>8</v>
      </c>
      <c r="WGM1739" s="669" t="s">
        <v>2</v>
      </c>
      <c r="WGO1739" s="660"/>
      <c r="WGP1739" s="660"/>
      <c r="WGR1739" s="629"/>
      <c r="WGS1739" s="630"/>
      <c r="WGT1739" s="631"/>
      <c r="WGU1739" s="631"/>
      <c r="WGV1739" s="631"/>
      <c r="WGW1739" s="631"/>
      <c r="WGX1739" s="631"/>
      <c r="WGY1739" s="631"/>
      <c r="WGZ1739" s="631"/>
      <c r="WHA1739" s="630"/>
      <c r="WHB1739" s="668">
        <f t="shared" ref="WHB1739" si="2089">ROUND((SUM(WHB1738:WHB1738)),2)</f>
        <v>8</v>
      </c>
      <c r="WHC1739" s="669" t="s">
        <v>2</v>
      </c>
      <c r="WHE1739" s="660"/>
      <c r="WHF1739" s="660"/>
      <c r="WHH1739" s="629"/>
      <c r="WHI1739" s="630"/>
      <c r="WHJ1739" s="631"/>
      <c r="WHK1739" s="631"/>
      <c r="WHL1739" s="631"/>
      <c r="WHM1739" s="631"/>
      <c r="WHN1739" s="631"/>
      <c r="WHO1739" s="631"/>
      <c r="WHP1739" s="631"/>
      <c r="WHQ1739" s="630"/>
      <c r="WHR1739" s="668">
        <f t="shared" ref="WHR1739" si="2090">ROUND((SUM(WHR1738:WHR1738)),2)</f>
        <v>8</v>
      </c>
      <c r="WHS1739" s="669" t="s">
        <v>2</v>
      </c>
      <c r="WHU1739" s="660"/>
      <c r="WHV1739" s="660"/>
      <c r="WHX1739" s="629"/>
      <c r="WHY1739" s="630"/>
      <c r="WHZ1739" s="631"/>
      <c r="WIA1739" s="631"/>
      <c r="WIB1739" s="631"/>
      <c r="WIC1739" s="631"/>
      <c r="WID1739" s="631"/>
      <c r="WIE1739" s="631"/>
      <c r="WIF1739" s="631"/>
      <c r="WIG1739" s="630"/>
      <c r="WIH1739" s="668">
        <f t="shared" ref="WIH1739" si="2091">ROUND((SUM(WIH1738:WIH1738)),2)</f>
        <v>8</v>
      </c>
      <c r="WII1739" s="669" t="s">
        <v>2</v>
      </c>
      <c r="WIK1739" s="660"/>
      <c r="WIL1739" s="660"/>
      <c r="WIN1739" s="629"/>
      <c r="WIO1739" s="630"/>
      <c r="WIP1739" s="631"/>
      <c r="WIQ1739" s="631"/>
      <c r="WIR1739" s="631"/>
      <c r="WIS1739" s="631"/>
      <c r="WIT1739" s="631"/>
      <c r="WIU1739" s="631"/>
      <c r="WIV1739" s="631"/>
      <c r="WIW1739" s="630"/>
      <c r="WIX1739" s="668">
        <f t="shared" ref="WIX1739" si="2092">ROUND((SUM(WIX1738:WIX1738)),2)</f>
        <v>8</v>
      </c>
      <c r="WIY1739" s="669" t="s">
        <v>2</v>
      </c>
      <c r="WJA1739" s="660"/>
      <c r="WJB1739" s="660"/>
      <c r="WJD1739" s="629"/>
      <c r="WJE1739" s="630"/>
      <c r="WJF1739" s="631"/>
      <c r="WJG1739" s="631"/>
      <c r="WJH1739" s="631"/>
      <c r="WJI1739" s="631"/>
      <c r="WJJ1739" s="631"/>
      <c r="WJK1739" s="631"/>
      <c r="WJL1739" s="631"/>
      <c r="WJM1739" s="630"/>
      <c r="WJN1739" s="668">
        <f t="shared" ref="WJN1739" si="2093">ROUND((SUM(WJN1738:WJN1738)),2)</f>
        <v>8</v>
      </c>
      <c r="WJO1739" s="669" t="s">
        <v>2</v>
      </c>
      <c r="WJQ1739" s="660"/>
      <c r="WJR1739" s="660"/>
      <c r="WJT1739" s="629"/>
      <c r="WJU1739" s="630"/>
      <c r="WJV1739" s="631"/>
      <c r="WJW1739" s="631"/>
      <c r="WJX1739" s="631"/>
      <c r="WJY1739" s="631"/>
      <c r="WJZ1739" s="631"/>
      <c r="WKA1739" s="631"/>
      <c r="WKB1739" s="631"/>
      <c r="WKC1739" s="630"/>
      <c r="WKD1739" s="668">
        <f t="shared" ref="WKD1739" si="2094">ROUND((SUM(WKD1738:WKD1738)),2)</f>
        <v>8</v>
      </c>
      <c r="WKE1739" s="669" t="s">
        <v>2</v>
      </c>
      <c r="WKG1739" s="660"/>
      <c r="WKH1739" s="660"/>
      <c r="WKJ1739" s="629"/>
      <c r="WKK1739" s="630"/>
      <c r="WKL1739" s="631"/>
      <c r="WKM1739" s="631"/>
      <c r="WKN1739" s="631"/>
      <c r="WKO1739" s="631"/>
      <c r="WKP1739" s="631"/>
      <c r="WKQ1739" s="631"/>
      <c r="WKR1739" s="631"/>
      <c r="WKS1739" s="630"/>
      <c r="WKT1739" s="668">
        <f t="shared" ref="WKT1739" si="2095">ROUND((SUM(WKT1738:WKT1738)),2)</f>
        <v>8</v>
      </c>
      <c r="WKU1739" s="669" t="s">
        <v>2</v>
      </c>
      <c r="WKW1739" s="660"/>
      <c r="WKX1739" s="660"/>
      <c r="WKZ1739" s="629"/>
      <c r="WLA1739" s="630"/>
      <c r="WLB1739" s="631"/>
      <c r="WLC1739" s="631"/>
      <c r="WLD1739" s="631"/>
      <c r="WLE1739" s="631"/>
      <c r="WLF1739" s="631"/>
      <c r="WLG1739" s="631"/>
      <c r="WLH1739" s="631"/>
      <c r="WLI1739" s="630"/>
      <c r="WLJ1739" s="668">
        <f t="shared" ref="WLJ1739" si="2096">ROUND((SUM(WLJ1738:WLJ1738)),2)</f>
        <v>8</v>
      </c>
      <c r="WLK1739" s="669" t="s">
        <v>2</v>
      </c>
      <c r="WLM1739" s="660"/>
      <c r="WLN1739" s="660"/>
      <c r="WLP1739" s="629"/>
      <c r="WLQ1739" s="630"/>
      <c r="WLR1739" s="631"/>
      <c r="WLS1739" s="631"/>
      <c r="WLT1739" s="631"/>
      <c r="WLU1739" s="631"/>
      <c r="WLV1739" s="631"/>
      <c r="WLW1739" s="631"/>
      <c r="WLX1739" s="631"/>
      <c r="WLY1739" s="630"/>
      <c r="WLZ1739" s="668">
        <f t="shared" ref="WLZ1739" si="2097">ROUND((SUM(WLZ1738:WLZ1738)),2)</f>
        <v>8</v>
      </c>
      <c r="WMA1739" s="669" t="s">
        <v>2</v>
      </c>
      <c r="WMC1739" s="660"/>
      <c r="WMD1739" s="660"/>
      <c r="WMF1739" s="629"/>
      <c r="WMG1739" s="630"/>
      <c r="WMH1739" s="631"/>
      <c r="WMI1739" s="631"/>
      <c r="WMJ1739" s="631"/>
      <c r="WMK1739" s="631"/>
      <c r="WML1739" s="631"/>
      <c r="WMM1739" s="631"/>
      <c r="WMN1739" s="631"/>
      <c r="WMO1739" s="630"/>
      <c r="WMP1739" s="668">
        <f t="shared" ref="WMP1739" si="2098">ROUND((SUM(WMP1738:WMP1738)),2)</f>
        <v>8</v>
      </c>
      <c r="WMQ1739" s="669" t="s">
        <v>2</v>
      </c>
      <c r="WMS1739" s="660"/>
      <c r="WMT1739" s="660"/>
      <c r="WMV1739" s="629"/>
      <c r="WMW1739" s="630"/>
      <c r="WMX1739" s="631"/>
      <c r="WMY1739" s="631"/>
      <c r="WMZ1739" s="631"/>
      <c r="WNA1739" s="631"/>
      <c r="WNB1739" s="631"/>
      <c r="WNC1739" s="631"/>
      <c r="WND1739" s="631"/>
      <c r="WNE1739" s="630"/>
      <c r="WNF1739" s="668">
        <f t="shared" ref="WNF1739" si="2099">ROUND((SUM(WNF1738:WNF1738)),2)</f>
        <v>8</v>
      </c>
      <c r="WNG1739" s="669" t="s">
        <v>2</v>
      </c>
      <c r="WNI1739" s="660"/>
      <c r="WNJ1739" s="660"/>
      <c r="WNL1739" s="629"/>
      <c r="WNM1739" s="630"/>
      <c r="WNN1739" s="631"/>
      <c r="WNO1739" s="631"/>
      <c r="WNP1739" s="631"/>
      <c r="WNQ1739" s="631"/>
      <c r="WNR1739" s="631"/>
      <c r="WNS1739" s="631"/>
      <c r="WNT1739" s="631"/>
      <c r="WNU1739" s="630"/>
      <c r="WNV1739" s="668">
        <f t="shared" ref="WNV1739" si="2100">ROUND((SUM(WNV1738:WNV1738)),2)</f>
        <v>8</v>
      </c>
      <c r="WNW1739" s="669" t="s">
        <v>2</v>
      </c>
      <c r="WNY1739" s="660"/>
      <c r="WNZ1739" s="660"/>
      <c r="WOB1739" s="629"/>
      <c r="WOC1739" s="630"/>
      <c r="WOD1739" s="631"/>
      <c r="WOE1739" s="631"/>
      <c r="WOF1739" s="631"/>
      <c r="WOG1739" s="631"/>
      <c r="WOH1739" s="631"/>
      <c r="WOI1739" s="631"/>
      <c r="WOJ1739" s="631"/>
      <c r="WOK1739" s="630"/>
      <c r="WOL1739" s="668">
        <f t="shared" ref="WOL1739" si="2101">ROUND((SUM(WOL1738:WOL1738)),2)</f>
        <v>8</v>
      </c>
      <c r="WOM1739" s="669" t="s">
        <v>2</v>
      </c>
      <c r="WOO1739" s="660"/>
      <c r="WOP1739" s="660"/>
      <c r="WOR1739" s="629"/>
      <c r="WOS1739" s="630"/>
      <c r="WOT1739" s="631"/>
      <c r="WOU1739" s="631"/>
      <c r="WOV1739" s="631"/>
      <c r="WOW1739" s="631"/>
      <c r="WOX1739" s="631"/>
      <c r="WOY1739" s="631"/>
      <c r="WOZ1739" s="631"/>
      <c r="WPA1739" s="630"/>
      <c r="WPB1739" s="668">
        <f t="shared" ref="WPB1739" si="2102">ROUND((SUM(WPB1738:WPB1738)),2)</f>
        <v>8</v>
      </c>
      <c r="WPC1739" s="669" t="s">
        <v>2</v>
      </c>
      <c r="WPE1739" s="660"/>
      <c r="WPF1739" s="660"/>
      <c r="WPH1739" s="629"/>
      <c r="WPI1739" s="630"/>
      <c r="WPJ1739" s="631"/>
      <c r="WPK1739" s="631"/>
      <c r="WPL1739" s="631"/>
      <c r="WPM1739" s="631"/>
      <c r="WPN1739" s="631"/>
      <c r="WPO1739" s="631"/>
      <c r="WPP1739" s="631"/>
      <c r="WPQ1739" s="630"/>
      <c r="WPR1739" s="668">
        <f t="shared" ref="WPR1739" si="2103">ROUND((SUM(WPR1738:WPR1738)),2)</f>
        <v>8</v>
      </c>
      <c r="WPS1739" s="669" t="s">
        <v>2</v>
      </c>
      <c r="WPU1739" s="660"/>
      <c r="WPV1739" s="660"/>
      <c r="WPX1739" s="629"/>
      <c r="WPY1739" s="630"/>
      <c r="WPZ1739" s="631"/>
      <c r="WQA1739" s="631"/>
      <c r="WQB1739" s="631"/>
      <c r="WQC1739" s="631"/>
      <c r="WQD1739" s="631"/>
      <c r="WQE1739" s="631"/>
      <c r="WQF1739" s="631"/>
      <c r="WQG1739" s="630"/>
      <c r="WQH1739" s="668">
        <f t="shared" ref="WQH1739" si="2104">ROUND((SUM(WQH1738:WQH1738)),2)</f>
        <v>8</v>
      </c>
      <c r="WQI1739" s="669" t="s">
        <v>2</v>
      </c>
      <c r="WQK1739" s="660"/>
      <c r="WQL1739" s="660"/>
      <c r="WQN1739" s="629"/>
      <c r="WQO1739" s="630"/>
      <c r="WQP1739" s="631"/>
      <c r="WQQ1739" s="631"/>
      <c r="WQR1739" s="631"/>
      <c r="WQS1739" s="631"/>
      <c r="WQT1739" s="631"/>
      <c r="WQU1739" s="631"/>
      <c r="WQV1739" s="631"/>
      <c r="WQW1739" s="630"/>
      <c r="WQX1739" s="668">
        <f t="shared" ref="WQX1739" si="2105">ROUND((SUM(WQX1738:WQX1738)),2)</f>
        <v>8</v>
      </c>
      <c r="WQY1739" s="669" t="s">
        <v>2</v>
      </c>
    </row>
    <row r="1740" spans="1:16015" x14ac:dyDescent="0.2">
      <c r="A1740" s="734" t="s">
        <v>0</v>
      </c>
      <c r="B1740" s="735" t="s">
        <v>1692</v>
      </c>
      <c r="C1740" s="843" t="e">
        <f>#REF!</f>
        <v>#REF!</v>
      </c>
      <c r="D1740" s="662" t="s">
        <v>799</v>
      </c>
      <c r="E1740" s="663" t="s">
        <v>628</v>
      </c>
      <c r="F1740" s="633"/>
      <c r="G1740" s="664"/>
      <c r="H1740" s="664"/>
      <c r="I1740" s="664"/>
      <c r="J1740" s="664"/>
      <c r="K1740" s="664"/>
      <c r="L1740" s="664"/>
      <c r="M1740" s="664"/>
      <c r="O1740" s="631"/>
    </row>
    <row r="1741" spans="1:16015" ht="13.5" thickBot="1" x14ac:dyDescent="0.25">
      <c r="A1741" s="736"/>
      <c r="B1741" s="737"/>
      <c r="C1741" s="665" t="s">
        <v>1413</v>
      </c>
      <c r="E1741" s="629">
        <v>1</v>
      </c>
      <c r="F1741" s="662"/>
      <c r="G1741" s="631"/>
      <c r="H1741" s="631"/>
      <c r="I1741" s="631"/>
      <c r="J1741" s="631"/>
      <c r="K1741" s="631"/>
      <c r="L1741" s="631"/>
      <c r="M1741" s="631"/>
      <c r="N1741" s="666" t="s">
        <v>799</v>
      </c>
      <c r="O1741" s="631">
        <f t="shared" ref="O1741" si="2106">E1741</f>
        <v>1</v>
      </c>
      <c r="P1741" s="657" t="s">
        <v>2</v>
      </c>
    </row>
    <row r="1742" spans="1:16015" ht="13.5" thickBot="1" x14ac:dyDescent="0.25">
      <c r="B1742" s="660"/>
      <c r="C1742" s="660"/>
      <c r="E1742" s="629"/>
      <c r="G1742" s="631"/>
      <c r="H1742" s="631"/>
      <c r="I1742" s="631"/>
      <c r="J1742" s="631"/>
      <c r="K1742" s="631"/>
      <c r="L1742" s="631"/>
      <c r="M1742" s="631"/>
      <c r="O1742" s="668">
        <f t="shared" ref="O1742" si="2107">ROUND((SUM(O1741:O1741)),2)</f>
        <v>1</v>
      </c>
      <c r="P1742" s="669" t="s">
        <v>2</v>
      </c>
    </row>
    <row r="1743" spans="1:16015" x14ac:dyDescent="0.2">
      <c r="B1743" s="660"/>
      <c r="C1743" s="660"/>
      <c r="E1743" s="629"/>
      <c r="G1743" s="631"/>
      <c r="H1743" s="631"/>
      <c r="I1743" s="631"/>
      <c r="J1743" s="631"/>
      <c r="K1743" s="631"/>
      <c r="L1743" s="631"/>
      <c r="M1743" s="631"/>
      <c r="O1743" s="632"/>
      <c r="P1743" s="633"/>
    </row>
    <row r="1744" spans="1:16015" x14ac:dyDescent="0.2">
      <c r="B1744" s="660"/>
      <c r="C1744" s="660"/>
      <c r="E1744" s="629"/>
      <c r="G1744" s="631"/>
      <c r="H1744" s="631"/>
      <c r="I1744" s="631"/>
      <c r="J1744" s="631"/>
      <c r="K1744" s="631"/>
      <c r="L1744" s="631"/>
      <c r="M1744" s="631"/>
      <c r="O1744" s="632"/>
      <c r="P1744" s="633"/>
    </row>
    <row r="1745" spans="2:16" x14ac:dyDescent="0.2">
      <c r="B1745" s="660"/>
      <c r="C1745" s="660"/>
      <c r="E1745" s="629"/>
      <c r="G1745" s="631"/>
      <c r="H1745" s="631"/>
      <c r="I1745" s="631"/>
      <c r="J1745" s="631"/>
      <c r="K1745" s="631"/>
      <c r="L1745" s="631"/>
      <c r="M1745" s="631"/>
      <c r="O1745" s="632"/>
      <c r="P1745" s="633"/>
    </row>
    <row r="1746" spans="2:16" x14ac:dyDescent="0.2">
      <c r="B1746" s="660"/>
      <c r="C1746" s="660"/>
      <c r="E1746" s="629"/>
      <c r="G1746" s="631"/>
      <c r="H1746" s="631"/>
      <c r="I1746" s="631"/>
      <c r="J1746" s="631"/>
      <c r="K1746" s="631"/>
      <c r="L1746" s="631"/>
      <c r="M1746" s="631"/>
      <c r="O1746" s="632"/>
      <c r="P1746" s="633"/>
    </row>
    <row r="1747" spans="2:16" ht="15" x14ac:dyDescent="0.2">
      <c r="B1747" s="946" t="s">
        <v>1673</v>
      </c>
      <c r="C1747" s="947"/>
      <c r="D1747"/>
      <c r="E1747"/>
      <c r="F1747" s="677"/>
      <c r="G1747" s="690"/>
      <c r="H1747" s="631"/>
      <c r="I1747" s="631"/>
      <c r="J1747" s="631"/>
      <c r="K1747" s="631"/>
      <c r="L1747" s="631"/>
      <c r="M1747" s="631"/>
      <c r="O1747" s="631"/>
    </row>
    <row r="1748" spans="2:16" ht="15" x14ac:dyDescent="0.2">
      <c r="B1748" s="946" t="s">
        <v>1674</v>
      </c>
      <c r="C1748" s="946"/>
      <c r="D1748"/>
      <c r="E1748"/>
      <c r="F1748" s="676"/>
      <c r="G1748" s="690"/>
      <c r="H1748" s="631"/>
      <c r="I1748" s="631"/>
      <c r="J1748" s="631"/>
      <c r="K1748" s="631"/>
      <c r="L1748" s="631"/>
      <c r="M1748" s="631"/>
      <c r="O1748" s="631"/>
    </row>
    <row r="1749" spans="2:16" ht="14.25" x14ac:dyDescent="0.2">
      <c r="B1749" s="948" t="s">
        <v>1675</v>
      </c>
      <c r="C1749" s="794"/>
      <c r="D1749"/>
      <c r="E1749"/>
      <c r="F1749" s="676"/>
      <c r="G1749" s="652"/>
      <c r="H1749" s="631"/>
      <c r="I1749" s="631"/>
      <c r="J1749" s="631"/>
      <c r="K1749" s="631"/>
      <c r="L1749" s="631"/>
      <c r="M1749" s="631"/>
      <c r="O1749" s="631"/>
    </row>
    <row r="1750" spans="2:16" x14ac:dyDescent="0.2">
      <c r="B1750" s="660"/>
      <c r="C1750" s="660"/>
      <c r="E1750" s="629"/>
      <c r="G1750" s="631"/>
      <c r="H1750" s="631"/>
      <c r="I1750" s="631"/>
      <c r="J1750" s="631"/>
      <c r="K1750" s="631"/>
      <c r="L1750" s="631"/>
      <c r="M1750" s="631"/>
      <c r="O1750" s="631"/>
    </row>
    <row r="1751" spans="2:16" x14ac:dyDescent="0.2">
      <c r="B1751" s="660"/>
      <c r="C1751" s="660"/>
      <c r="E1751" s="629"/>
      <c r="G1751" s="631"/>
      <c r="H1751" s="631"/>
      <c r="I1751" s="631"/>
      <c r="J1751" s="631"/>
      <c r="K1751" s="631"/>
      <c r="L1751" s="631"/>
      <c r="M1751" s="631"/>
      <c r="O1751" s="631"/>
    </row>
    <row r="1752" spans="2:16" x14ac:dyDescent="0.2">
      <c r="B1752" s="660"/>
      <c r="C1752" s="660"/>
      <c r="E1752" s="629"/>
      <c r="G1752" s="631"/>
      <c r="H1752" s="631"/>
      <c r="I1752" s="631"/>
      <c r="J1752" s="631"/>
      <c r="K1752" s="631"/>
      <c r="L1752" s="631"/>
      <c r="M1752" s="631"/>
      <c r="O1752" s="631"/>
    </row>
    <row r="1753" spans="2:16" x14ac:dyDescent="0.2">
      <c r="E1753" s="609"/>
      <c r="F1753" s="609"/>
      <c r="G1753" s="609"/>
      <c r="H1753" s="609"/>
      <c r="I1753" s="609"/>
      <c r="J1753" s="631"/>
      <c r="K1753" s="631"/>
      <c r="L1753" s="631"/>
      <c r="M1753" s="631"/>
      <c r="O1753" s="631"/>
    </row>
    <row r="1754" spans="2:16" x14ac:dyDescent="0.2">
      <c r="E1754" s="609"/>
      <c r="F1754" s="609"/>
      <c r="G1754" s="609"/>
      <c r="H1754" s="609"/>
      <c r="I1754" s="609"/>
    </row>
  </sheetData>
  <mergeCells count="25">
    <mergeCell ref="A7:P7"/>
    <mergeCell ref="A40:P40"/>
    <mergeCell ref="A187:P187"/>
    <mergeCell ref="A1:E1"/>
    <mergeCell ref="F1:P1"/>
    <mergeCell ref="A2:P2"/>
    <mergeCell ref="A3:L3"/>
    <mergeCell ref="N3:P3"/>
    <mergeCell ref="A5:P5"/>
    <mergeCell ref="G1118:K1118"/>
    <mergeCell ref="G241:K241"/>
    <mergeCell ref="A317:P317"/>
    <mergeCell ref="G406:K406"/>
    <mergeCell ref="K639:K642"/>
    <mergeCell ref="K643:K650"/>
    <mergeCell ref="G746:K746"/>
    <mergeCell ref="C797:P797"/>
    <mergeCell ref="G879:K879"/>
    <mergeCell ref="G1029:K1029"/>
    <mergeCell ref="A1618:P1618"/>
    <mergeCell ref="G1212:J1212"/>
    <mergeCell ref="K1230:K1232"/>
    <mergeCell ref="A1284:P1284"/>
    <mergeCell ref="G1343:K1343"/>
    <mergeCell ref="A1407:P1407"/>
  </mergeCells>
  <printOptions horizontalCentered="1"/>
  <pageMargins left="0.59055118110236227" right="0.59055118110236227" top="1.1811023622047245" bottom="1.1811023622047245" header="0.39370078740157483" footer="0.39370078740157483"/>
  <pageSetup scale="58" orientation="portrait" horizontalDpi="4294967293" verticalDpi="4294967293" r:id="rId1"/>
  <rowBreaks count="1" manualBreakCount="1">
    <brk id="1690" max="15"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F0"/>
  </sheetPr>
  <dimension ref="A1:V317"/>
  <sheetViews>
    <sheetView view="pageBreakPreview" topLeftCell="A292" zoomScaleNormal="100" zoomScaleSheetLayoutView="100" workbookViewId="0">
      <selection activeCell="I318" sqref="I318"/>
    </sheetView>
  </sheetViews>
  <sheetFormatPr baseColWidth="10" defaultColWidth="11.42578125" defaultRowHeight="12.75" x14ac:dyDescent="0.2"/>
  <cols>
    <col min="1" max="1" width="5.140625" style="609" customWidth="1"/>
    <col min="2" max="2" width="7.7109375" style="609" customWidth="1"/>
    <col min="3" max="3" width="28.5703125" style="609" customWidth="1"/>
    <col min="4" max="4" width="2.5703125" style="609" customWidth="1"/>
    <col min="5" max="5" width="11.28515625" style="661" customWidth="1"/>
    <col min="6" max="6" width="2.5703125" style="630" customWidth="1"/>
    <col min="7" max="7" width="10.5703125" style="672" customWidth="1"/>
    <col min="8" max="8" width="2.42578125" style="672" customWidth="1"/>
    <col min="9" max="9" width="14.140625" style="672" customWidth="1"/>
    <col min="10" max="10" width="2.42578125" style="672" customWidth="1"/>
    <col min="11" max="11" width="15.42578125" style="672" customWidth="1"/>
    <col min="12" max="12" width="2.5703125" style="672" customWidth="1"/>
    <col min="13" max="13" width="13.7109375" style="672" customWidth="1"/>
    <col min="14" max="14" width="3" style="630" customWidth="1"/>
    <col min="15" max="15" width="11.5703125" style="672" customWidth="1"/>
    <col min="16" max="16" width="7.140625" style="655" customWidth="1"/>
    <col min="17" max="18" width="11.42578125" style="609"/>
    <col min="19" max="19" width="12.85546875" style="609" bestFit="1" customWidth="1"/>
    <col min="20" max="16384" width="11.42578125" style="609"/>
  </cols>
  <sheetData>
    <row r="1" spans="1:16" ht="81.75" customHeight="1" thickBot="1" x14ac:dyDescent="0.25">
      <c r="A1" s="1915"/>
      <c r="B1" s="1915"/>
      <c r="C1" s="1915"/>
      <c r="D1" s="1915"/>
      <c r="E1" s="1915"/>
      <c r="F1" s="1916" t="str">
        <f>'PRES.FASE 1-ADUCCION'!D$1</f>
        <v>AGUAS DEL HUILA S.A. E.S.P.</v>
      </c>
      <c r="G1" s="1916"/>
      <c r="H1" s="1916"/>
      <c r="I1" s="1916"/>
      <c r="J1" s="1916"/>
      <c r="K1" s="1916"/>
      <c r="L1" s="1916"/>
      <c r="M1" s="1916"/>
      <c r="N1" s="1916"/>
      <c r="O1" s="1916"/>
      <c r="P1" s="1916"/>
    </row>
    <row r="2" spans="1:16" ht="54.75" customHeight="1" thickBot="1" x14ac:dyDescent="0.25">
      <c r="A2" s="1916" t="str">
        <f>'PRES.FASE 1-ADUCCION'!B$2</f>
        <v>CONTRATO DE CONSULTORIA No. 059 DEL 01 DE MARZO DE 2021 CUYO OBJETO ES “CONTRATO DE CONSULTORIA PARA LA ELABORACION DE ESTUDIOS Y DISEÑOS PARA LA OPTIMIZACION DEL SISTEMA DE ACUEDUCTO DEL MUNICIPIO DE TESALIA”.</v>
      </c>
      <c r="B2" s="1916"/>
      <c r="C2" s="1916"/>
      <c r="D2" s="1916"/>
      <c r="E2" s="1916"/>
      <c r="F2" s="1916"/>
      <c r="G2" s="1916"/>
      <c r="H2" s="1916"/>
      <c r="I2" s="1916"/>
      <c r="J2" s="1916"/>
      <c r="K2" s="1916"/>
      <c r="L2" s="1916"/>
      <c r="M2" s="1916"/>
      <c r="N2" s="1916"/>
      <c r="O2" s="1916"/>
      <c r="P2" s="1916"/>
    </row>
    <row r="3" spans="1:16" ht="19.5" customHeight="1" thickBot="1" x14ac:dyDescent="0.25">
      <c r="A3" s="1916" t="s">
        <v>1728</v>
      </c>
      <c r="B3" s="1916"/>
      <c r="C3" s="1916"/>
      <c r="D3" s="1916"/>
      <c r="E3" s="1916"/>
      <c r="F3" s="1916"/>
      <c r="G3" s="1916"/>
      <c r="H3" s="1916"/>
      <c r="I3" s="1916"/>
      <c r="J3" s="1916"/>
      <c r="K3" s="1916"/>
      <c r="L3" s="1916"/>
      <c r="M3" s="923" t="s">
        <v>1181</v>
      </c>
      <c r="N3" s="1916" t="str">
        <f>'PRES.FASE 1-ADUCCION'!G5</f>
        <v>AGOSTO/2024</v>
      </c>
      <c r="O3" s="1916"/>
      <c r="P3" s="1916"/>
    </row>
    <row r="4" spans="1:16" ht="18.75" x14ac:dyDescent="0.3">
      <c r="B4" s="654"/>
      <c r="C4" s="654"/>
      <c r="D4" s="654"/>
      <c r="E4" s="654"/>
      <c r="F4" s="654"/>
      <c r="G4" s="654"/>
      <c r="H4" s="654"/>
      <c r="I4" s="654"/>
      <c r="J4" s="654"/>
      <c r="K4" s="654"/>
      <c r="L4" s="654"/>
      <c r="M4" s="654"/>
      <c r="O4" s="631"/>
    </row>
    <row r="5" spans="1:16" ht="15.75" x14ac:dyDescent="0.2">
      <c r="A5" s="1904" t="s">
        <v>1074</v>
      </c>
      <c r="B5" s="1914"/>
      <c r="C5" s="1914"/>
      <c r="D5" s="1914"/>
      <c r="E5" s="1914"/>
      <c r="F5" s="1914"/>
      <c r="G5" s="1914"/>
      <c r="H5" s="1914"/>
      <c r="I5" s="1914"/>
      <c r="J5" s="1914"/>
      <c r="K5" s="1914"/>
      <c r="L5" s="1914"/>
      <c r="M5" s="1914"/>
      <c r="N5" s="1914"/>
      <c r="O5" s="1914"/>
      <c r="P5" s="1914"/>
    </row>
    <row r="6" spans="1:16" ht="15.75" x14ac:dyDescent="0.2">
      <c r="A6" s="787"/>
      <c r="B6" s="788"/>
      <c r="C6" s="788"/>
      <c r="D6" s="788"/>
      <c r="E6" s="788"/>
      <c r="F6" s="788"/>
      <c r="G6" s="788"/>
      <c r="H6" s="788"/>
      <c r="I6" s="788"/>
      <c r="J6" s="788"/>
      <c r="K6" s="788"/>
      <c r="L6" s="788"/>
      <c r="M6" s="788"/>
      <c r="N6" s="788"/>
      <c r="O6" s="788"/>
      <c r="P6" s="788"/>
    </row>
    <row r="7" spans="1:16" ht="18.75" customHeight="1" x14ac:dyDescent="0.2">
      <c r="A7" s="1904" t="s">
        <v>1182</v>
      </c>
      <c r="B7" s="1914"/>
      <c r="C7" s="1914"/>
      <c r="D7" s="1914"/>
      <c r="E7" s="1914"/>
      <c r="F7" s="1914"/>
      <c r="G7" s="1914"/>
      <c r="H7" s="1914"/>
      <c r="I7" s="1914"/>
      <c r="J7" s="1914"/>
      <c r="K7" s="1914"/>
      <c r="L7" s="1914"/>
      <c r="M7" s="1914"/>
      <c r="N7" s="1914"/>
      <c r="O7" s="1914"/>
      <c r="P7" s="1914"/>
    </row>
    <row r="8" spans="1:16" ht="18.75" x14ac:dyDescent="0.3">
      <c r="A8" s="736"/>
      <c r="B8" s="750"/>
      <c r="D8" s="654"/>
      <c r="E8" s="654"/>
      <c r="F8" s="654"/>
      <c r="G8" s="654"/>
      <c r="H8" s="654"/>
      <c r="I8" s="654"/>
      <c r="J8" s="654"/>
      <c r="K8" s="654"/>
      <c r="L8" s="654"/>
      <c r="M8" s="654"/>
      <c r="O8" s="631"/>
    </row>
    <row r="9" spans="1:16" ht="15.75" x14ac:dyDescent="0.2">
      <c r="A9" s="736"/>
      <c r="B9" s="925" t="s">
        <v>881</v>
      </c>
      <c r="C9" s="926" t="s">
        <v>1686</v>
      </c>
      <c r="D9" s="656"/>
      <c r="E9" s="629"/>
      <c r="F9" s="657"/>
      <c r="G9" s="658"/>
      <c r="H9" s="658"/>
      <c r="I9" s="658"/>
      <c r="J9" s="658"/>
      <c r="K9" s="658"/>
      <c r="L9" s="658"/>
      <c r="M9" s="658"/>
      <c r="N9" s="657"/>
      <c r="O9" s="658"/>
      <c r="P9" s="659"/>
    </row>
    <row r="10" spans="1:16" ht="15.75" x14ac:dyDescent="0.25">
      <c r="A10" s="736"/>
      <c r="B10" s="749"/>
      <c r="C10" s="912" t="s">
        <v>1159</v>
      </c>
      <c r="D10" s="656"/>
      <c r="E10" s="629"/>
      <c r="F10" s="657"/>
      <c r="G10" s="658"/>
      <c r="H10" s="658"/>
      <c r="I10" s="658"/>
      <c r="J10" s="658"/>
      <c r="K10" s="658"/>
      <c r="L10" s="658"/>
      <c r="M10" s="658"/>
      <c r="N10" s="657"/>
      <c r="O10" s="658"/>
      <c r="P10" s="659"/>
    </row>
    <row r="11" spans="1:16" x14ac:dyDescent="0.2">
      <c r="A11" s="736"/>
      <c r="B11" s="737"/>
      <c r="C11" s="737"/>
      <c r="G11" s="631"/>
      <c r="H11" s="631"/>
      <c r="I11" s="631"/>
      <c r="J11" s="631"/>
      <c r="K11" s="631"/>
      <c r="L11" s="631"/>
      <c r="M11" s="631"/>
      <c r="O11" s="631"/>
    </row>
    <row r="12" spans="1:16" ht="30.75" customHeight="1" x14ac:dyDescent="0.2">
      <c r="A12" s="734" t="s">
        <v>0</v>
      </c>
      <c r="B12" s="735" t="s">
        <v>1183</v>
      </c>
      <c r="C12" s="678" t="e">
        <f>#REF!</f>
        <v>#REF!</v>
      </c>
      <c r="D12" s="662" t="s">
        <v>799</v>
      </c>
      <c r="E12" s="663" t="s">
        <v>864</v>
      </c>
      <c r="F12" s="633"/>
      <c r="G12" s="664" t="s">
        <v>628</v>
      </c>
      <c r="H12" s="664"/>
      <c r="I12" s="664"/>
      <c r="J12" s="664"/>
      <c r="K12" s="664"/>
      <c r="L12" s="664"/>
      <c r="M12" s="664"/>
      <c r="O12" s="631"/>
    </row>
    <row r="13" spans="1:16" ht="13.5" thickBot="1" x14ac:dyDescent="0.25">
      <c r="A13" s="736"/>
      <c r="B13" s="737"/>
      <c r="C13" s="665" t="s">
        <v>892</v>
      </c>
      <c r="E13" s="661">
        <v>25</v>
      </c>
      <c r="F13" s="662" t="s">
        <v>866</v>
      </c>
      <c r="G13" s="631">
        <v>1</v>
      </c>
      <c r="H13" s="631"/>
      <c r="I13" s="631"/>
      <c r="J13" s="631"/>
      <c r="K13" s="631"/>
      <c r="L13" s="631"/>
      <c r="M13" s="631"/>
      <c r="N13" s="666" t="s">
        <v>799</v>
      </c>
      <c r="O13" s="631">
        <f>E13*G13</f>
        <v>25</v>
      </c>
      <c r="P13" s="630" t="s">
        <v>6</v>
      </c>
    </row>
    <row r="14" spans="1:16" ht="13.5" thickBot="1" x14ac:dyDescent="0.25">
      <c r="A14" s="736"/>
      <c r="B14" s="737"/>
      <c r="C14" s="667"/>
      <c r="F14" s="666"/>
      <c r="G14" s="631"/>
      <c r="H14" s="631"/>
      <c r="I14" s="631"/>
      <c r="J14" s="631"/>
      <c r="K14" s="631"/>
      <c r="L14" s="631"/>
      <c r="M14" s="631"/>
      <c r="N14" s="666"/>
      <c r="O14" s="668">
        <f>ROUND((SUM(O13:O13)),2)</f>
        <v>25</v>
      </c>
      <c r="P14" s="669" t="s">
        <v>6</v>
      </c>
    </row>
    <row r="15" spans="1:16" x14ac:dyDescent="0.2">
      <c r="A15" s="734" t="s">
        <v>0</v>
      </c>
      <c r="B15" s="735" t="s">
        <v>1184</v>
      </c>
      <c r="C15" s="678" t="e">
        <f>#REF!</f>
        <v>#REF!</v>
      </c>
      <c r="D15" s="662" t="s">
        <v>799</v>
      </c>
      <c r="E15" s="663" t="s">
        <v>628</v>
      </c>
      <c r="F15" s="633"/>
      <c r="G15" s="664"/>
      <c r="H15" s="664"/>
      <c r="I15" s="664"/>
      <c r="J15" s="664"/>
      <c r="K15" s="664"/>
      <c r="L15" s="664"/>
      <c r="M15" s="664"/>
      <c r="O15" s="631"/>
    </row>
    <row r="16" spans="1:16" ht="13.5" thickBot="1" x14ac:dyDescent="0.25">
      <c r="A16" s="736"/>
      <c r="B16" s="737"/>
      <c r="C16" s="665" t="s">
        <v>893</v>
      </c>
      <c r="E16" s="661">
        <v>1</v>
      </c>
      <c r="F16" s="662"/>
      <c r="G16" s="631"/>
      <c r="H16" s="631"/>
      <c r="I16" s="631"/>
      <c r="J16" s="631"/>
      <c r="K16" s="631"/>
      <c r="L16" s="631"/>
      <c r="M16" s="631"/>
      <c r="N16" s="666" t="s">
        <v>799</v>
      </c>
      <c r="O16" s="631">
        <f>E16</f>
        <v>1</v>
      </c>
      <c r="P16" s="630" t="s">
        <v>2</v>
      </c>
    </row>
    <row r="17" spans="1:16" ht="13.5" thickBot="1" x14ac:dyDescent="0.25">
      <c r="A17" s="736"/>
      <c r="B17" s="737"/>
      <c r="C17" s="667"/>
      <c r="F17" s="666"/>
      <c r="G17" s="631"/>
      <c r="H17" s="631"/>
      <c r="I17" s="631"/>
      <c r="J17" s="631"/>
      <c r="K17" s="631"/>
      <c r="L17" s="631"/>
      <c r="M17" s="631"/>
      <c r="N17" s="666"/>
      <c r="O17" s="668">
        <f>ROUND((SUM(O16:O16)),2)</f>
        <v>1</v>
      </c>
      <c r="P17" s="669" t="s">
        <v>2</v>
      </c>
    </row>
    <row r="18" spans="1:16" ht="26.25" customHeight="1" x14ac:dyDescent="0.2">
      <c r="A18" s="734" t="s">
        <v>0</v>
      </c>
      <c r="B18" s="735" t="s">
        <v>1185</v>
      </c>
      <c r="C18" s="678" t="e">
        <f>#REF!</f>
        <v>#REF!</v>
      </c>
      <c r="D18" s="662" t="s">
        <v>799</v>
      </c>
      <c r="E18" s="663" t="s">
        <v>628</v>
      </c>
      <c r="F18" s="633"/>
      <c r="G18" s="664"/>
      <c r="H18" s="664"/>
      <c r="I18" s="664"/>
      <c r="J18" s="664"/>
      <c r="K18" s="664"/>
      <c r="L18" s="664"/>
      <c r="M18" s="664"/>
      <c r="O18" s="631"/>
    </row>
    <row r="19" spans="1:16" ht="13.5" thickBot="1" x14ac:dyDescent="0.25">
      <c r="A19" s="736"/>
      <c r="B19" s="737"/>
      <c r="C19" s="665" t="s">
        <v>892</v>
      </c>
      <c r="E19" s="661">
        <v>1</v>
      </c>
      <c r="F19" s="662"/>
      <c r="G19" s="631"/>
      <c r="H19" s="631"/>
      <c r="I19" s="631"/>
      <c r="J19" s="631"/>
      <c r="K19" s="631"/>
      <c r="L19" s="631"/>
      <c r="M19" s="631"/>
      <c r="N19" s="666" t="s">
        <v>799</v>
      </c>
      <c r="O19" s="631">
        <f>E19</f>
        <v>1</v>
      </c>
      <c r="P19" s="630" t="s">
        <v>2</v>
      </c>
    </row>
    <row r="20" spans="1:16" ht="13.5" thickBot="1" x14ac:dyDescent="0.25">
      <c r="A20" s="736"/>
      <c r="B20" s="737"/>
      <c r="C20" s="667"/>
      <c r="F20" s="666"/>
      <c r="G20" s="631"/>
      <c r="H20" s="631"/>
      <c r="I20" s="631"/>
      <c r="J20" s="631"/>
      <c r="K20" s="631"/>
      <c r="L20" s="631"/>
      <c r="M20" s="631"/>
      <c r="N20" s="666"/>
      <c r="O20" s="668">
        <f>ROUND((SUM(O19:O19)),2)</f>
        <v>1</v>
      </c>
      <c r="P20" s="669" t="s">
        <v>2</v>
      </c>
    </row>
    <row r="21" spans="1:16" x14ac:dyDescent="0.2">
      <c r="A21" s="734" t="s">
        <v>0</v>
      </c>
      <c r="B21" s="735" t="s">
        <v>1186</v>
      </c>
      <c r="C21" s="678" t="e">
        <f>#REF!</f>
        <v>#REF!</v>
      </c>
      <c r="D21" s="662" t="s">
        <v>799</v>
      </c>
      <c r="E21" s="663" t="s">
        <v>628</v>
      </c>
      <c r="F21" s="633"/>
      <c r="G21" s="664"/>
      <c r="H21" s="664"/>
      <c r="I21" s="664"/>
      <c r="J21" s="664"/>
      <c r="K21" s="664"/>
      <c r="L21" s="664"/>
      <c r="M21" s="664"/>
      <c r="O21" s="631"/>
    </row>
    <row r="22" spans="1:16" ht="13.5" thickBot="1" x14ac:dyDescent="0.25">
      <c r="A22" s="736"/>
      <c r="B22" s="737"/>
      <c r="C22" s="665" t="s">
        <v>893</v>
      </c>
      <c r="E22" s="661">
        <v>1</v>
      </c>
      <c r="F22" s="662"/>
      <c r="G22" s="631"/>
      <c r="H22" s="631"/>
      <c r="I22" s="631"/>
      <c r="J22" s="631"/>
      <c r="K22" s="631"/>
      <c r="L22" s="631"/>
      <c r="M22" s="631"/>
      <c r="N22" s="666" t="s">
        <v>799</v>
      </c>
      <c r="O22" s="631">
        <f>E22</f>
        <v>1</v>
      </c>
      <c r="P22" s="630" t="s">
        <v>2</v>
      </c>
    </row>
    <row r="23" spans="1:16" ht="13.5" thickBot="1" x14ac:dyDescent="0.25">
      <c r="A23" s="736"/>
      <c r="B23" s="737"/>
      <c r="C23" s="667"/>
      <c r="F23" s="666"/>
      <c r="G23" s="631"/>
      <c r="H23" s="631"/>
      <c r="I23" s="631"/>
      <c r="J23" s="631"/>
      <c r="K23" s="631"/>
      <c r="L23" s="631"/>
      <c r="M23" s="631"/>
      <c r="N23" s="666"/>
      <c r="O23" s="668">
        <f>ROUND((SUM(O22:O22)),2)</f>
        <v>1</v>
      </c>
      <c r="P23" s="669" t="s">
        <v>2</v>
      </c>
    </row>
    <row r="24" spans="1:16" x14ac:dyDescent="0.2">
      <c r="A24" s="734" t="s">
        <v>0</v>
      </c>
      <c r="B24" s="735" t="s">
        <v>1187</v>
      </c>
      <c r="C24" s="678" t="e">
        <f>#REF!</f>
        <v>#REF!</v>
      </c>
      <c r="D24" s="662" t="s">
        <v>799</v>
      </c>
      <c r="E24" s="663" t="s">
        <v>628</v>
      </c>
      <c r="F24" s="633"/>
      <c r="G24" s="664"/>
      <c r="H24" s="664"/>
      <c r="I24" s="664"/>
      <c r="J24" s="664"/>
      <c r="K24" s="664"/>
      <c r="L24" s="664"/>
      <c r="M24" s="664"/>
      <c r="O24" s="631"/>
    </row>
    <row r="25" spans="1:16" ht="13.5" thickBot="1" x14ac:dyDescent="0.25">
      <c r="A25" s="736"/>
      <c r="B25" s="737"/>
      <c r="C25" s="665" t="s">
        <v>892</v>
      </c>
      <c r="E25" s="661">
        <v>1</v>
      </c>
      <c r="F25" s="662"/>
      <c r="G25" s="631"/>
      <c r="H25" s="631"/>
      <c r="I25" s="631"/>
      <c r="J25" s="631"/>
      <c r="K25" s="631"/>
      <c r="L25" s="631"/>
      <c r="M25" s="631"/>
      <c r="N25" s="666" t="s">
        <v>799</v>
      </c>
      <c r="O25" s="631">
        <f>E25</f>
        <v>1</v>
      </c>
      <c r="P25" s="630" t="s">
        <v>2</v>
      </c>
    </row>
    <row r="26" spans="1:16" ht="13.5" thickBot="1" x14ac:dyDescent="0.25">
      <c r="A26" s="736"/>
      <c r="B26" s="737"/>
      <c r="C26" s="667"/>
      <c r="F26" s="666"/>
      <c r="G26" s="631"/>
      <c r="H26" s="631"/>
      <c r="I26" s="631"/>
      <c r="J26" s="631"/>
      <c r="K26" s="631"/>
      <c r="L26" s="631"/>
      <c r="M26" s="631"/>
      <c r="N26" s="666"/>
      <c r="O26" s="668">
        <f>ROUND((SUM(O25:O25)),2)</f>
        <v>1</v>
      </c>
      <c r="P26" s="669" t="s">
        <v>2</v>
      </c>
    </row>
    <row r="27" spans="1:16" ht="61.5" customHeight="1" x14ac:dyDescent="0.2">
      <c r="A27" s="734" t="s">
        <v>0</v>
      </c>
      <c r="B27" s="735" t="s">
        <v>1188</v>
      </c>
      <c r="C27" s="678" t="e">
        <f>#REF!</f>
        <v>#REF!</v>
      </c>
      <c r="D27" s="662" t="s">
        <v>799</v>
      </c>
      <c r="E27" s="663" t="s">
        <v>628</v>
      </c>
      <c r="F27" s="633"/>
      <c r="G27" s="664"/>
      <c r="H27" s="664"/>
      <c r="I27" s="664"/>
      <c r="J27" s="664"/>
      <c r="K27" s="664"/>
      <c r="L27" s="664"/>
      <c r="M27" s="664"/>
      <c r="O27" s="631"/>
    </row>
    <row r="28" spans="1:16" ht="13.5" thickBot="1" x14ac:dyDescent="0.25">
      <c r="A28" s="736"/>
      <c r="B28" s="737"/>
      <c r="C28" s="665" t="s">
        <v>1670</v>
      </c>
      <c r="E28" s="661">
        <v>1</v>
      </c>
      <c r="F28" s="662"/>
      <c r="G28" s="631"/>
      <c r="H28" s="631"/>
      <c r="I28" s="631"/>
      <c r="J28" s="631"/>
      <c r="K28" s="631"/>
      <c r="L28" s="631"/>
      <c r="M28" s="631"/>
      <c r="N28" s="666" t="s">
        <v>799</v>
      </c>
      <c r="O28" s="631">
        <f>E28</f>
        <v>1</v>
      </c>
      <c r="P28" s="630" t="s">
        <v>2</v>
      </c>
    </row>
    <row r="29" spans="1:16" ht="13.5" thickBot="1" x14ac:dyDescent="0.25">
      <c r="A29" s="736"/>
      <c r="B29" s="737"/>
      <c r="C29" s="667"/>
      <c r="F29" s="666"/>
      <c r="G29" s="631"/>
      <c r="H29" s="631"/>
      <c r="I29" s="631"/>
      <c r="J29" s="631"/>
      <c r="K29" s="631"/>
      <c r="L29" s="631"/>
      <c r="M29" s="631"/>
      <c r="N29" s="666"/>
      <c r="O29" s="668">
        <f>ROUND((SUM(O28:O28)),2)</f>
        <v>1</v>
      </c>
      <c r="P29" s="669" t="s">
        <v>2</v>
      </c>
    </row>
    <row r="30" spans="1:16" ht="30.75" customHeight="1" x14ac:dyDescent="0.2">
      <c r="A30" s="734" t="s">
        <v>0</v>
      </c>
      <c r="B30" s="735" t="s">
        <v>1189</v>
      </c>
      <c r="C30" s="678" t="e">
        <f>#REF!</f>
        <v>#REF!</v>
      </c>
      <c r="D30" s="662" t="s">
        <v>799</v>
      </c>
      <c r="E30" s="663" t="s">
        <v>628</v>
      </c>
      <c r="F30" s="633"/>
      <c r="G30" s="664"/>
      <c r="H30" s="664"/>
      <c r="I30" s="664"/>
      <c r="J30" s="664"/>
      <c r="K30" s="664"/>
      <c r="L30" s="664"/>
      <c r="M30" s="664"/>
      <c r="O30" s="631"/>
    </row>
    <row r="31" spans="1:16" ht="13.5" thickBot="1" x14ac:dyDescent="0.25">
      <c r="A31" s="736"/>
      <c r="B31" s="737"/>
      <c r="C31" s="665" t="s">
        <v>1693</v>
      </c>
      <c r="E31" s="661">
        <v>20</v>
      </c>
      <c r="F31" s="662"/>
      <c r="G31" s="631"/>
      <c r="H31" s="631"/>
      <c r="I31" s="631"/>
      <c r="J31" s="631"/>
      <c r="K31" s="631"/>
      <c r="L31" s="631"/>
      <c r="M31" s="631"/>
      <c r="N31" s="666" t="s">
        <v>799</v>
      </c>
      <c r="O31" s="631">
        <f>E31</f>
        <v>20</v>
      </c>
      <c r="P31" s="657" t="s">
        <v>1694</v>
      </c>
    </row>
    <row r="32" spans="1:16" ht="13.5" thickBot="1" x14ac:dyDescent="0.25">
      <c r="A32" s="736"/>
      <c r="B32" s="737"/>
      <c r="C32" s="667"/>
      <c r="F32" s="666"/>
      <c r="G32" s="631"/>
      <c r="H32" s="631"/>
      <c r="I32" s="631"/>
      <c r="J32" s="631"/>
      <c r="K32" s="631"/>
      <c r="L32" s="631"/>
      <c r="M32" s="631"/>
      <c r="N32" s="666"/>
      <c r="O32" s="668">
        <f>ROUND((SUM(O31:O31)),2)</f>
        <v>20</v>
      </c>
      <c r="P32" s="669" t="s">
        <v>1694</v>
      </c>
    </row>
    <row r="33" spans="1:16" x14ac:dyDescent="0.2">
      <c r="A33" s="736"/>
      <c r="B33" s="737"/>
      <c r="C33" s="667"/>
      <c r="F33" s="666"/>
      <c r="G33" s="631"/>
      <c r="H33" s="631"/>
      <c r="I33" s="631"/>
      <c r="J33" s="631"/>
      <c r="K33" s="631"/>
      <c r="L33" s="631"/>
      <c r="M33" s="631"/>
      <c r="N33" s="666"/>
      <c r="O33" s="632"/>
      <c r="P33" s="633"/>
    </row>
    <row r="34" spans="1:16" x14ac:dyDescent="0.2">
      <c r="A34" s="736"/>
      <c r="B34" s="737"/>
      <c r="C34" s="667"/>
      <c r="F34" s="666"/>
      <c r="G34" s="631"/>
      <c r="H34" s="631"/>
      <c r="I34" s="631"/>
      <c r="J34" s="631"/>
      <c r="K34" s="631"/>
      <c r="L34" s="631"/>
      <c r="M34" s="631"/>
      <c r="N34" s="666"/>
      <c r="O34" s="632"/>
      <c r="P34" s="633"/>
    </row>
    <row r="35" spans="1:16" ht="15.75" x14ac:dyDescent="0.25">
      <c r="A35" s="736"/>
      <c r="B35" s="737"/>
      <c r="C35" s="912" t="s">
        <v>1160</v>
      </c>
      <c r="F35" s="666"/>
      <c r="G35" s="631"/>
      <c r="H35" s="631"/>
      <c r="I35" s="631"/>
      <c r="J35" s="631"/>
      <c r="K35" s="631"/>
      <c r="L35" s="631"/>
      <c r="M35" s="631"/>
      <c r="N35" s="666"/>
      <c r="O35" s="632"/>
      <c r="P35" s="633"/>
    </row>
    <row r="36" spans="1:16" x14ac:dyDescent="0.2">
      <c r="A36" s="734" t="s">
        <v>0</v>
      </c>
      <c r="B36" s="735" t="s">
        <v>1190</v>
      </c>
      <c r="C36" s="678" t="e">
        <f>#REF!</f>
        <v>#REF!</v>
      </c>
      <c r="D36" s="662" t="s">
        <v>799</v>
      </c>
      <c r="E36" s="663" t="s">
        <v>864</v>
      </c>
      <c r="F36" s="633"/>
      <c r="G36" s="664" t="s">
        <v>628</v>
      </c>
      <c r="H36" s="664"/>
      <c r="I36" s="664"/>
      <c r="J36" s="664"/>
      <c r="K36" s="664"/>
      <c r="L36" s="664"/>
      <c r="M36" s="664"/>
      <c r="O36" s="631"/>
    </row>
    <row r="37" spans="1:16" ht="13.5" thickBot="1" x14ac:dyDescent="0.25">
      <c r="A37" s="736"/>
      <c r="B37" s="737"/>
      <c r="C37" s="665" t="s">
        <v>892</v>
      </c>
      <c r="E37" s="661">
        <v>25</v>
      </c>
      <c r="F37" s="662" t="s">
        <v>866</v>
      </c>
      <c r="G37" s="631">
        <v>1</v>
      </c>
      <c r="H37" s="631"/>
      <c r="I37" s="631"/>
      <c r="J37" s="631"/>
      <c r="K37" s="631"/>
      <c r="L37" s="631"/>
      <c r="M37" s="631"/>
      <c r="N37" s="666" t="s">
        <v>799</v>
      </c>
      <c r="O37" s="631">
        <f>E37*G37</f>
        <v>25</v>
      </c>
      <c r="P37" s="630" t="s">
        <v>6</v>
      </c>
    </row>
    <row r="38" spans="1:16" ht="13.5" thickBot="1" x14ac:dyDescent="0.25">
      <c r="A38" s="736"/>
      <c r="B38" s="737"/>
      <c r="C38" s="667"/>
      <c r="F38" s="666"/>
      <c r="G38" s="631"/>
      <c r="H38" s="631"/>
      <c r="I38" s="631"/>
      <c r="J38" s="631"/>
      <c r="K38" s="631"/>
      <c r="L38" s="631"/>
      <c r="M38" s="631"/>
      <c r="N38" s="666"/>
      <c r="O38" s="668">
        <f>ROUND((SUM(O37:O37)),2)</f>
        <v>25</v>
      </c>
      <c r="P38" s="669" t="s">
        <v>6</v>
      </c>
    </row>
    <row r="39" spans="1:16" x14ac:dyDescent="0.2">
      <c r="A39" s="736"/>
      <c r="B39" s="737"/>
      <c r="C39" s="667"/>
      <c r="F39" s="666"/>
      <c r="G39" s="631"/>
      <c r="H39" s="631"/>
      <c r="I39" s="631"/>
      <c r="J39" s="631"/>
      <c r="K39" s="631"/>
      <c r="L39" s="631"/>
      <c r="M39" s="631"/>
      <c r="N39" s="666"/>
      <c r="O39" s="632"/>
      <c r="P39" s="633"/>
    </row>
    <row r="40" spans="1:16" ht="15.75" x14ac:dyDescent="0.2">
      <c r="A40" s="1904" t="s">
        <v>1191</v>
      </c>
      <c r="B40" s="1914"/>
      <c r="C40" s="1914"/>
      <c r="D40" s="1914"/>
      <c r="E40" s="1914"/>
      <c r="F40" s="1914"/>
      <c r="G40" s="1914"/>
      <c r="H40" s="1914"/>
      <c r="I40" s="1914"/>
      <c r="J40" s="1914"/>
      <c r="K40" s="1914"/>
      <c r="L40" s="1914"/>
      <c r="M40" s="1914"/>
      <c r="N40" s="1914"/>
      <c r="O40" s="1914"/>
      <c r="P40" s="1914"/>
    </row>
    <row r="41" spans="1:16" ht="18.75" x14ac:dyDescent="0.3">
      <c r="B41" s="654"/>
      <c r="D41" s="654"/>
      <c r="E41" s="654"/>
      <c r="F41" s="654"/>
      <c r="G41" s="654"/>
      <c r="H41" s="654"/>
      <c r="I41" s="654"/>
      <c r="J41" s="654"/>
      <c r="K41" s="654"/>
      <c r="L41" s="654"/>
      <c r="M41" s="654"/>
      <c r="O41" s="631"/>
    </row>
    <row r="42" spans="1:16" ht="15.75" x14ac:dyDescent="0.2">
      <c r="A42" s="736"/>
      <c r="B42" s="925" t="s">
        <v>1192</v>
      </c>
      <c r="C42" s="926" t="s">
        <v>1557</v>
      </c>
      <c r="D42" s="927"/>
      <c r="E42" s="928"/>
      <c r="F42" s="657"/>
      <c r="G42" s="658"/>
      <c r="H42" s="658"/>
      <c r="I42" s="658"/>
      <c r="J42" s="658"/>
      <c r="K42" s="658"/>
      <c r="L42" s="658"/>
      <c r="M42" s="658"/>
      <c r="N42" s="657"/>
      <c r="O42" s="658"/>
      <c r="P42" s="659"/>
    </row>
    <row r="43" spans="1:16" ht="15.75" x14ac:dyDescent="0.25">
      <c r="A43" s="736"/>
      <c r="B43" s="749"/>
      <c r="C43" s="912" t="s">
        <v>1159</v>
      </c>
      <c r="D43" s="656"/>
      <c r="E43" s="629"/>
      <c r="F43" s="657"/>
      <c r="G43" s="658"/>
      <c r="H43" s="658"/>
      <c r="I43" s="658"/>
      <c r="J43" s="658"/>
      <c r="K43" s="658"/>
      <c r="L43" s="658"/>
      <c r="M43" s="658"/>
      <c r="N43" s="657"/>
      <c r="O43" s="658"/>
      <c r="P43" s="659"/>
    </row>
    <row r="44" spans="1:16" x14ac:dyDescent="0.2">
      <c r="A44" s="736"/>
      <c r="B44" s="737"/>
      <c r="C44" s="737"/>
      <c r="G44" s="631"/>
      <c r="H44" s="631"/>
      <c r="I44" s="631"/>
      <c r="J44" s="631"/>
      <c r="K44" s="631"/>
      <c r="L44" s="631"/>
      <c r="M44" s="631"/>
      <c r="O44" s="631"/>
    </row>
    <row r="45" spans="1:16" x14ac:dyDescent="0.2">
      <c r="A45" s="734" t="s">
        <v>0</v>
      </c>
      <c r="B45" s="735" t="s">
        <v>1193</v>
      </c>
      <c r="C45" s="751" t="e">
        <f>#REF!</f>
        <v>#REF!</v>
      </c>
      <c r="D45" s="662" t="s">
        <v>799</v>
      </c>
      <c r="E45" s="663" t="s">
        <v>864</v>
      </c>
      <c r="F45" s="633"/>
      <c r="G45" s="664"/>
      <c r="H45" s="664"/>
      <c r="I45" s="664"/>
      <c r="J45" s="664"/>
      <c r="K45" s="664"/>
      <c r="L45" s="664"/>
      <c r="M45" s="664"/>
      <c r="O45" s="631"/>
    </row>
    <row r="46" spans="1:16" ht="13.5" thickBot="1" x14ac:dyDescent="0.25">
      <c r="A46" s="736"/>
      <c r="B46" s="737"/>
      <c r="C46" s="665" t="s">
        <v>1558</v>
      </c>
      <c r="E46" s="629">
        <v>166.98</v>
      </c>
      <c r="F46" s="662"/>
      <c r="G46" s="631"/>
      <c r="H46" s="631"/>
      <c r="I46" s="631"/>
      <c r="J46" s="631"/>
      <c r="K46" s="631"/>
      <c r="L46" s="631"/>
      <c r="M46" s="631"/>
      <c r="N46" s="666" t="s">
        <v>799</v>
      </c>
      <c r="O46" s="631">
        <f>E46</f>
        <v>166.98</v>
      </c>
      <c r="P46" s="630" t="s">
        <v>6</v>
      </c>
    </row>
    <row r="47" spans="1:16" ht="13.5" thickBot="1" x14ac:dyDescent="0.25">
      <c r="A47" s="736"/>
      <c r="B47" s="737"/>
      <c r="C47" s="667"/>
      <c r="F47" s="666"/>
      <c r="G47" s="631"/>
      <c r="H47" s="631"/>
      <c r="I47" s="631"/>
      <c r="J47" s="631"/>
      <c r="K47" s="631"/>
      <c r="L47" s="631"/>
      <c r="M47" s="631"/>
      <c r="N47" s="666"/>
      <c r="O47" s="668">
        <f>ROUND((SUM(O46:O46)),2)</f>
        <v>166.98</v>
      </c>
      <c r="P47" s="669" t="s">
        <v>6</v>
      </c>
    </row>
    <row r="48" spans="1:16" x14ac:dyDescent="0.2">
      <c r="A48" s="734" t="s">
        <v>0</v>
      </c>
      <c r="B48" s="735" t="s">
        <v>1194</v>
      </c>
      <c r="C48" s="751" t="e">
        <f>#REF!</f>
        <v>#REF!</v>
      </c>
      <c r="D48" s="662" t="s">
        <v>799</v>
      </c>
      <c r="E48" s="663" t="s">
        <v>864</v>
      </c>
      <c r="F48" s="633"/>
      <c r="G48" s="664" t="s">
        <v>865</v>
      </c>
      <c r="H48" s="664"/>
      <c r="I48" s="664" t="s">
        <v>883</v>
      </c>
      <c r="J48" s="664"/>
      <c r="K48" s="664"/>
      <c r="L48" s="664"/>
      <c r="M48" s="664"/>
      <c r="O48" s="631"/>
    </row>
    <row r="49" spans="1:19" ht="13.5" thickBot="1" x14ac:dyDescent="0.25">
      <c r="A49" s="736"/>
      <c r="B49" s="737"/>
      <c r="C49" s="665" t="s">
        <v>1558</v>
      </c>
      <c r="E49" s="629">
        <f>E46</f>
        <v>166.98</v>
      </c>
      <c r="F49" s="662" t="s">
        <v>866</v>
      </c>
      <c r="G49" s="631">
        <v>1</v>
      </c>
      <c r="H49" s="631" t="s">
        <v>866</v>
      </c>
      <c r="I49" s="631">
        <v>2.34</v>
      </c>
      <c r="J49" s="631"/>
      <c r="K49" s="631"/>
      <c r="L49" s="631"/>
      <c r="M49" s="631"/>
      <c r="N49" s="666" t="s">
        <v>799</v>
      </c>
      <c r="O49" s="631">
        <f>E49*G49*I49</f>
        <v>390.73319999999995</v>
      </c>
      <c r="P49" s="630" t="s">
        <v>12</v>
      </c>
    </row>
    <row r="50" spans="1:19" ht="13.5" thickBot="1" x14ac:dyDescent="0.25">
      <c r="A50" s="736"/>
      <c r="B50" s="737"/>
      <c r="C50" s="737"/>
      <c r="F50" s="666"/>
      <c r="G50" s="631"/>
      <c r="H50" s="631"/>
      <c r="I50" s="631"/>
      <c r="J50" s="631"/>
      <c r="K50" s="631"/>
      <c r="L50" s="631"/>
      <c r="M50" s="631"/>
      <c r="N50" s="666"/>
      <c r="O50" s="668">
        <f>ROUND((SUM(O49:O49)),2)</f>
        <v>390.73</v>
      </c>
      <c r="P50" s="669" t="s">
        <v>12</v>
      </c>
    </row>
    <row r="51" spans="1:19" x14ac:dyDescent="0.2">
      <c r="A51" s="734" t="s">
        <v>0</v>
      </c>
      <c r="B51" s="735" t="s">
        <v>1195</v>
      </c>
      <c r="C51" s="751" t="e">
        <f>#REF!</f>
        <v>#REF!</v>
      </c>
      <c r="D51" s="662" t="s">
        <v>799</v>
      </c>
      <c r="E51" s="663" t="s">
        <v>864</v>
      </c>
      <c r="F51" s="633"/>
      <c r="G51" s="664" t="s">
        <v>865</v>
      </c>
      <c r="H51" s="664"/>
      <c r="I51" s="664" t="s">
        <v>883</v>
      </c>
      <c r="J51" s="664"/>
      <c r="K51" s="664" t="s">
        <v>1067</v>
      </c>
      <c r="L51" s="664"/>
      <c r="M51" s="664"/>
      <c r="O51" s="631"/>
    </row>
    <row r="52" spans="1:19" ht="13.5" thickBot="1" x14ac:dyDescent="0.25">
      <c r="A52" s="736"/>
      <c r="B52" s="737"/>
      <c r="C52" s="665" t="s">
        <v>1558</v>
      </c>
      <c r="E52" s="629">
        <f>E46</f>
        <v>166.98</v>
      </c>
      <c r="F52" s="662" t="s">
        <v>866</v>
      </c>
      <c r="G52" s="631">
        <v>1</v>
      </c>
      <c r="H52" s="631" t="s">
        <v>866</v>
      </c>
      <c r="I52" s="631">
        <f>0.1+0.27+0.15</f>
        <v>0.52</v>
      </c>
      <c r="J52" s="631" t="s">
        <v>866</v>
      </c>
      <c r="K52" s="631">
        <f>((PI()*(POWER(0.27,2)))/4)*E52</f>
        <v>9.5605277501273207</v>
      </c>
      <c r="L52" s="631"/>
      <c r="M52" s="631"/>
      <c r="N52" s="662" t="s">
        <v>799</v>
      </c>
      <c r="O52" s="631">
        <f>(E52*G52*I52)-K52</f>
        <v>77.269072249872679</v>
      </c>
      <c r="P52" s="630" t="s">
        <v>12</v>
      </c>
      <c r="R52"/>
      <c r="S52"/>
    </row>
    <row r="53" spans="1:19" ht="13.5" thickBot="1" x14ac:dyDescent="0.25">
      <c r="A53" s="736"/>
      <c r="B53" s="737"/>
      <c r="C53" s="737"/>
      <c r="F53" s="666"/>
      <c r="G53" s="631"/>
      <c r="H53" s="631"/>
      <c r="I53" s="631"/>
      <c r="J53" s="631"/>
      <c r="K53" s="631"/>
      <c r="L53" s="631"/>
      <c r="M53" s="631"/>
      <c r="N53" s="666"/>
      <c r="O53" s="668">
        <f>ROUND((SUM(O52:O52)),2)</f>
        <v>77.27</v>
      </c>
      <c r="P53" s="669" t="s">
        <v>12</v>
      </c>
    </row>
    <row r="54" spans="1:19" x14ac:dyDescent="0.2">
      <c r="A54" s="734" t="s">
        <v>0</v>
      </c>
      <c r="B54" s="735" t="s">
        <v>1196</v>
      </c>
      <c r="C54" s="751" t="e">
        <f>#REF!</f>
        <v>#REF!</v>
      </c>
      <c r="D54" s="662" t="s">
        <v>799</v>
      </c>
      <c r="E54" s="663" t="s">
        <v>864</v>
      </c>
      <c r="F54" s="633"/>
      <c r="G54" s="664" t="s">
        <v>865</v>
      </c>
      <c r="H54" s="664"/>
      <c r="I54" s="664" t="s">
        <v>883</v>
      </c>
      <c r="J54" s="664"/>
      <c r="K54" s="664" t="s">
        <v>628</v>
      </c>
      <c r="L54" s="664"/>
      <c r="M54" s="664" t="s">
        <v>977</v>
      </c>
      <c r="O54" s="631"/>
    </row>
    <row r="55" spans="1:19" ht="13.5" thickBot="1" x14ac:dyDescent="0.25">
      <c r="A55" s="736"/>
      <c r="B55" s="737"/>
      <c r="C55" s="665" t="s">
        <v>1558</v>
      </c>
      <c r="E55" s="629">
        <f>E46</f>
        <v>166.98</v>
      </c>
      <c r="F55" s="662" t="s">
        <v>866</v>
      </c>
      <c r="G55" s="631">
        <v>1</v>
      </c>
      <c r="H55" s="631" t="s">
        <v>866</v>
      </c>
      <c r="I55" s="631">
        <f>0.1+0.27+0.15</f>
        <v>0.52</v>
      </c>
      <c r="J55" s="631" t="s">
        <v>866</v>
      </c>
      <c r="K55" s="631">
        <v>1</v>
      </c>
      <c r="L55" s="631" t="s">
        <v>866</v>
      </c>
      <c r="M55" s="631">
        <v>5</v>
      </c>
      <c r="N55" s="666" t="s">
        <v>799</v>
      </c>
      <c r="O55" s="631">
        <f>E55*G55*I55*K55*M55</f>
        <v>434.14800000000002</v>
      </c>
      <c r="P55" s="657" t="s">
        <v>976</v>
      </c>
    </row>
    <row r="56" spans="1:19" ht="13.5" thickBot="1" x14ac:dyDescent="0.25">
      <c r="A56" s="736"/>
      <c r="B56" s="737"/>
      <c r="C56" s="667"/>
      <c r="F56" s="666"/>
      <c r="G56" s="631"/>
      <c r="H56" s="631"/>
      <c r="I56" s="631"/>
      <c r="J56" s="631"/>
      <c r="K56" s="631"/>
      <c r="L56" s="631"/>
      <c r="M56" s="631"/>
      <c r="N56" s="666"/>
      <c r="O56" s="668">
        <f>ROUND((SUM(O55:O55)),2)</f>
        <v>434.15</v>
      </c>
      <c r="P56" s="711" t="s">
        <v>976</v>
      </c>
    </row>
    <row r="57" spans="1:19" x14ac:dyDescent="0.2">
      <c r="A57" s="734" t="s">
        <v>0</v>
      </c>
      <c r="B57" s="735" t="s">
        <v>1197</v>
      </c>
      <c r="C57" s="678" t="e">
        <f>#REF!</f>
        <v>#REF!</v>
      </c>
      <c r="D57" s="662" t="s">
        <v>799</v>
      </c>
      <c r="E57" s="663" t="s">
        <v>864</v>
      </c>
      <c r="F57" s="633"/>
      <c r="G57" s="664" t="s">
        <v>865</v>
      </c>
      <c r="H57" s="664"/>
      <c r="I57" s="664" t="s">
        <v>883</v>
      </c>
      <c r="J57" s="664"/>
      <c r="K57" s="664" t="s">
        <v>628</v>
      </c>
      <c r="L57" s="664"/>
      <c r="M57" s="664"/>
      <c r="O57" s="631"/>
    </row>
    <row r="58" spans="1:19" ht="13.5" thickBot="1" x14ac:dyDescent="0.25">
      <c r="A58" s="736"/>
      <c r="B58" s="737"/>
      <c r="C58" s="665" t="s">
        <v>1558</v>
      </c>
      <c r="E58" s="661">
        <f>E$46</f>
        <v>166.98</v>
      </c>
      <c r="F58" s="662" t="s">
        <v>866</v>
      </c>
      <c r="G58" s="631">
        <v>1</v>
      </c>
      <c r="H58" s="631" t="s">
        <v>866</v>
      </c>
      <c r="I58" s="631">
        <f>I49-I55</f>
        <v>1.8199999999999998</v>
      </c>
      <c r="J58" s="631" t="s">
        <v>866</v>
      </c>
      <c r="K58" s="631">
        <v>1</v>
      </c>
      <c r="L58" s="631"/>
      <c r="M58" s="631"/>
      <c r="N58" s="666" t="s">
        <v>799</v>
      </c>
      <c r="O58" s="631">
        <f>E58*G58*I58*K58</f>
        <v>303.90359999999998</v>
      </c>
      <c r="P58" s="630" t="s">
        <v>12</v>
      </c>
    </row>
    <row r="59" spans="1:19" ht="13.5" thickBot="1" x14ac:dyDescent="0.25">
      <c r="A59" s="736"/>
      <c r="B59" s="737"/>
      <c r="C59" s="667"/>
      <c r="F59" s="666"/>
      <c r="G59" s="631"/>
      <c r="H59" s="631"/>
      <c r="I59" s="631"/>
      <c r="J59" s="631"/>
      <c r="K59" s="631"/>
      <c r="L59" s="631"/>
      <c r="M59" s="631"/>
      <c r="N59" s="666"/>
      <c r="O59" s="668">
        <f>ROUND((SUM(O58:O58)),2)</f>
        <v>303.89999999999998</v>
      </c>
      <c r="P59" s="669" t="s">
        <v>12</v>
      </c>
    </row>
    <row r="60" spans="1:19" x14ac:dyDescent="0.2">
      <c r="A60" s="734" t="s">
        <v>0</v>
      </c>
      <c r="B60" s="735" t="s">
        <v>1198</v>
      </c>
      <c r="C60" s="678" t="e">
        <f>#REF!</f>
        <v>#REF!</v>
      </c>
      <c r="D60" s="662" t="s">
        <v>799</v>
      </c>
      <c r="E60" s="663" t="s">
        <v>864</v>
      </c>
      <c r="F60" s="633"/>
      <c r="G60" s="664"/>
      <c r="H60" s="664"/>
      <c r="I60" s="664"/>
      <c r="J60" s="664"/>
      <c r="K60" s="664"/>
      <c r="L60" s="664"/>
      <c r="M60" s="664"/>
      <c r="O60" s="631"/>
    </row>
    <row r="61" spans="1:19" ht="13.5" thickBot="1" x14ac:dyDescent="0.25">
      <c r="A61" s="736"/>
      <c r="B61" s="737"/>
      <c r="C61" s="665" t="s">
        <v>1558</v>
      </c>
      <c r="E61" s="661">
        <f>E46</f>
        <v>166.98</v>
      </c>
      <c r="F61" s="662"/>
      <c r="G61" s="631"/>
      <c r="H61" s="631"/>
      <c r="I61" s="631"/>
      <c r="J61" s="631"/>
      <c r="K61" s="631"/>
      <c r="L61" s="631"/>
      <c r="M61" s="631"/>
      <c r="N61" s="666" t="s">
        <v>799</v>
      </c>
      <c r="O61" s="631">
        <f>E61</f>
        <v>166.98</v>
      </c>
      <c r="P61" s="630" t="s">
        <v>6</v>
      </c>
    </row>
    <row r="62" spans="1:19" ht="13.5" thickBot="1" x14ac:dyDescent="0.25">
      <c r="A62" s="736"/>
      <c r="B62" s="737"/>
      <c r="C62" s="667"/>
      <c r="F62" s="666"/>
      <c r="G62" s="631"/>
      <c r="H62" s="631"/>
      <c r="I62" s="631"/>
      <c r="J62" s="631"/>
      <c r="K62" s="631"/>
      <c r="L62" s="631"/>
      <c r="M62" s="631"/>
      <c r="N62" s="666"/>
      <c r="O62" s="668">
        <f>ROUND((SUM(O61:O61)),2)</f>
        <v>166.98</v>
      </c>
      <c r="P62" s="669" t="s">
        <v>6</v>
      </c>
    </row>
    <row r="63" spans="1:19" ht="36.75" customHeight="1" x14ac:dyDescent="0.2">
      <c r="A63" s="734" t="s">
        <v>0</v>
      </c>
      <c r="B63" s="735" t="s">
        <v>1199</v>
      </c>
      <c r="C63" s="678" t="e">
        <f>#REF!</f>
        <v>#REF!</v>
      </c>
      <c r="D63" s="662" t="s">
        <v>799</v>
      </c>
      <c r="E63" s="663" t="s">
        <v>628</v>
      </c>
      <c r="F63" s="633"/>
      <c r="G63" s="664"/>
      <c r="H63" s="664"/>
      <c r="I63" s="664"/>
      <c r="J63" s="664"/>
      <c r="K63" s="664"/>
      <c r="L63" s="664"/>
      <c r="M63" s="664"/>
      <c r="O63" s="631"/>
    </row>
    <row r="64" spans="1:19" ht="13.5" thickBot="1" x14ac:dyDescent="0.25">
      <c r="A64" s="736"/>
      <c r="B64" s="737"/>
      <c r="C64" s="665" t="s">
        <v>1559</v>
      </c>
      <c r="E64" s="661">
        <v>1</v>
      </c>
      <c r="F64" s="662"/>
      <c r="G64" s="631"/>
      <c r="H64" s="631"/>
      <c r="I64" s="631"/>
      <c r="J64" s="631"/>
      <c r="K64" s="631"/>
      <c r="L64" s="631"/>
      <c r="M64" s="631"/>
      <c r="N64" s="666" t="s">
        <v>799</v>
      </c>
      <c r="O64" s="631">
        <f>E64</f>
        <v>1</v>
      </c>
      <c r="P64" s="657" t="s">
        <v>2</v>
      </c>
    </row>
    <row r="65" spans="1:16" ht="13.5" thickBot="1" x14ac:dyDescent="0.25">
      <c r="A65" s="736"/>
      <c r="B65" s="737"/>
      <c r="C65" s="667"/>
      <c r="F65" s="666"/>
      <c r="G65" s="631"/>
      <c r="H65" s="631"/>
      <c r="I65" s="631"/>
      <c r="J65" s="631"/>
      <c r="K65" s="631"/>
      <c r="L65" s="631"/>
      <c r="M65" s="631"/>
      <c r="N65" s="666"/>
      <c r="O65" s="668">
        <f>ROUND((SUM(O64:O64)),2)</f>
        <v>1</v>
      </c>
      <c r="P65" s="669" t="s">
        <v>2</v>
      </c>
    </row>
    <row r="66" spans="1:16" ht="48.75" customHeight="1" x14ac:dyDescent="0.2">
      <c r="A66" s="734" t="s">
        <v>0</v>
      </c>
      <c r="B66" s="735" t="s">
        <v>1200</v>
      </c>
      <c r="C66" s="751" t="e">
        <f>#REF!</f>
        <v>#REF!</v>
      </c>
      <c r="D66" s="662" t="s">
        <v>799</v>
      </c>
      <c r="E66" s="663" t="s">
        <v>628</v>
      </c>
      <c r="F66" s="633"/>
      <c r="G66" s="664"/>
      <c r="H66" s="664"/>
      <c r="I66" s="664"/>
      <c r="J66" s="664"/>
      <c r="K66" s="664"/>
      <c r="L66" s="664"/>
      <c r="M66" s="664"/>
      <c r="O66" s="631"/>
    </row>
    <row r="67" spans="1:16" ht="13.5" thickBot="1" x14ac:dyDescent="0.25">
      <c r="A67" s="736"/>
      <c r="B67" s="737"/>
      <c r="C67" s="665" t="s">
        <v>1563</v>
      </c>
      <c r="E67" s="661">
        <v>2</v>
      </c>
      <c r="F67" s="662"/>
      <c r="G67" s="631"/>
      <c r="H67" s="631"/>
      <c r="I67" s="631"/>
      <c r="J67" s="631"/>
      <c r="K67" s="631"/>
      <c r="L67" s="631"/>
      <c r="M67" s="631"/>
      <c r="N67" s="666" t="s">
        <v>799</v>
      </c>
      <c r="O67" s="631">
        <f>E67</f>
        <v>2</v>
      </c>
      <c r="P67" s="657" t="s">
        <v>2</v>
      </c>
    </row>
    <row r="68" spans="1:16" ht="13.5" thickBot="1" x14ac:dyDescent="0.25">
      <c r="A68" s="736"/>
      <c r="B68" s="737"/>
      <c r="C68" s="667"/>
      <c r="F68" s="666"/>
      <c r="G68" s="631"/>
      <c r="H68" s="631"/>
      <c r="I68" s="631"/>
      <c r="J68" s="631"/>
      <c r="K68" s="631"/>
      <c r="L68" s="631"/>
      <c r="M68" s="631"/>
      <c r="N68" s="666"/>
      <c r="O68" s="668">
        <f>ROUND((SUM(O67:O67)),2)</f>
        <v>2</v>
      </c>
      <c r="P68" s="669" t="s">
        <v>2</v>
      </c>
    </row>
    <row r="69" spans="1:16" ht="43.5" customHeight="1" x14ac:dyDescent="0.2">
      <c r="A69" s="734" t="s">
        <v>0</v>
      </c>
      <c r="B69" s="735" t="s">
        <v>1201</v>
      </c>
      <c r="C69" s="751" t="e">
        <f>#REF!</f>
        <v>#REF!</v>
      </c>
      <c r="D69" s="662" t="s">
        <v>799</v>
      </c>
      <c r="E69" s="663" t="s">
        <v>628</v>
      </c>
      <c r="F69" s="633"/>
      <c r="G69" s="664"/>
      <c r="H69" s="664"/>
      <c r="I69" s="664"/>
      <c r="J69" s="664"/>
      <c r="K69" s="664"/>
      <c r="L69" s="664"/>
      <c r="M69" s="664"/>
      <c r="O69" s="631"/>
    </row>
    <row r="70" spans="1:16" ht="13.5" thickBot="1" x14ac:dyDescent="0.25">
      <c r="A70" s="736"/>
      <c r="B70" s="737"/>
      <c r="C70" s="665" t="s">
        <v>1565</v>
      </c>
      <c r="E70" s="661">
        <v>1</v>
      </c>
      <c r="F70" s="662"/>
      <c r="G70" s="631"/>
      <c r="H70" s="631"/>
      <c r="I70" s="631"/>
      <c r="J70" s="631"/>
      <c r="K70" s="631"/>
      <c r="L70" s="631"/>
      <c r="M70" s="631"/>
      <c r="N70" s="666" t="s">
        <v>799</v>
      </c>
      <c r="O70" s="631">
        <f>E70</f>
        <v>1</v>
      </c>
      <c r="P70" s="657" t="s">
        <v>2</v>
      </c>
    </row>
    <row r="71" spans="1:16" ht="13.5" thickBot="1" x14ac:dyDescent="0.25">
      <c r="A71" s="736"/>
      <c r="B71" s="737"/>
      <c r="C71" s="667"/>
      <c r="F71" s="666"/>
      <c r="G71" s="631"/>
      <c r="H71" s="631"/>
      <c r="I71" s="631"/>
      <c r="J71" s="631"/>
      <c r="K71" s="631"/>
      <c r="L71" s="631"/>
      <c r="M71" s="631"/>
      <c r="N71" s="666"/>
      <c r="O71" s="668">
        <f>ROUND((SUM(O70:O70)),2)</f>
        <v>1</v>
      </c>
      <c r="P71" s="669" t="s">
        <v>2</v>
      </c>
    </row>
    <row r="72" spans="1:16" ht="33" customHeight="1" x14ac:dyDescent="0.2">
      <c r="A72" s="734" t="s">
        <v>0</v>
      </c>
      <c r="B72" s="735" t="s">
        <v>1202</v>
      </c>
      <c r="C72" s="751" t="e">
        <f>#REF!</f>
        <v>#REF!</v>
      </c>
      <c r="D72" s="662" t="s">
        <v>799</v>
      </c>
      <c r="E72" s="663" t="s">
        <v>628</v>
      </c>
      <c r="F72" s="633"/>
      <c r="G72" s="664"/>
      <c r="H72" s="664"/>
      <c r="I72" s="664"/>
      <c r="J72" s="664"/>
      <c r="K72" s="664"/>
      <c r="L72" s="664"/>
      <c r="M72" s="664"/>
      <c r="O72" s="631"/>
    </row>
    <row r="73" spans="1:16" ht="13.5" thickBot="1" x14ac:dyDescent="0.25">
      <c r="A73" s="736"/>
      <c r="B73" s="737"/>
      <c r="C73" s="665" t="s">
        <v>1565</v>
      </c>
      <c r="E73" s="661">
        <v>2</v>
      </c>
      <c r="F73" s="662"/>
      <c r="G73" s="631"/>
      <c r="H73" s="631"/>
      <c r="I73" s="631"/>
      <c r="J73" s="631"/>
      <c r="K73" s="631"/>
      <c r="L73" s="631"/>
      <c r="M73" s="631"/>
      <c r="N73" s="666" t="s">
        <v>799</v>
      </c>
      <c r="O73" s="631">
        <f>E73</f>
        <v>2</v>
      </c>
      <c r="P73" s="657" t="s">
        <v>2</v>
      </c>
    </row>
    <row r="74" spans="1:16" ht="13.5" thickBot="1" x14ac:dyDescent="0.25">
      <c r="A74" s="736"/>
      <c r="B74" s="737"/>
      <c r="C74" s="667"/>
      <c r="F74" s="666"/>
      <c r="G74" s="631"/>
      <c r="H74" s="631"/>
      <c r="I74" s="631"/>
      <c r="J74" s="631"/>
      <c r="K74" s="631"/>
      <c r="L74" s="631"/>
      <c r="M74" s="631"/>
      <c r="N74" s="666"/>
      <c r="O74" s="668">
        <f>ROUND((SUM(O73:O73)),2)</f>
        <v>2</v>
      </c>
      <c r="P74" s="669" t="s">
        <v>2</v>
      </c>
    </row>
    <row r="75" spans="1:16" ht="31.5" customHeight="1" x14ac:dyDescent="0.2">
      <c r="A75" s="734" t="s">
        <v>0</v>
      </c>
      <c r="B75" s="735" t="s">
        <v>1203</v>
      </c>
      <c r="C75" s="751" t="e">
        <f>#REF!</f>
        <v>#REF!</v>
      </c>
      <c r="D75" s="662" t="s">
        <v>799</v>
      </c>
      <c r="E75" s="663" t="s">
        <v>628</v>
      </c>
      <c r="F75" s="633"/>
      <c r="G75" s="664"/>
      <c r="H75" s="664"/>
      <c r="I75" s="664"/>
      <c r="J75" s="664"/>
      <c r="K75" s="664"/>
      <c r="L75" s="664"/>
      <c r="M75" s="664"/>
      <c r="O75" s="631"/>
    </row>
    <row r="76" spans="1:16" ht="13.5" thickBot="1" x14ac:dyDescent="0.25">
      <c r="A76" s="736"/>
      <c r="B76" s="737"/>
      <c r="C76" s="665" t="s">
        <v>1565</v>
      </c>
      <c r="E76" s="661">
        <v>1</v>
      </c>
      <c r="F76" s="662"/>
      <c r="G76" s="631"/>
      <c r="H76" s="631"/>
      <c r="I76" s="631"/>
      <c r="J76" s="631"/>
      <c r="K76" s="631"/>
      <c r="L76" s="631"/>
      <c r="M76" s="631"/>
      <c r="N76" s="666" t="s">
        <v>799</v>
      </c>
      <c r="O76" s="631">
        <f>E76</f>
        <v>1</v>
      </c>
      <c r="P76" s="657" t="s">
        <v>2</v>
      </c>
    </row>
    <row r="77" spans="1:16" ht="13.5" thickBot="1" x14ac:dyDescent="0.25">
      <c r="A77" s="736"/>
      <c r="B77" s="737"/>
      <c r="C77" s="667"/>
      <c r="F77" s="666"/>
      <c r="G77" s="631"/>
      <c r="H77" s="631"/>
      <c r="I77" s="631"/>
      <c r="J77" s="631"/>
      <c r="K77" s="631"/>
      <c r="L77" s="631"/>
      <c r="M77" s="631"/>
      <c r="N77" s="666"/>
      <c r="O77" s="668">
        <f>ROUND((SUM(O76:O76)),2)</f>
        <v>1</v>
      </c>
      <c r="P77" s="669" t="s">
        <v>2</v>
      </c>
    </row>
    <row r="78" spans="1:16" ht="112.5" customHeight="1" x14ac:dyDescent="0.2">
      <c r="A78" s="734" t="s">
        <v>0</v>
      </c>
      <c r="B78" s="735" t="s">
        <v>1204</v>
      </c>
      <c r="C78" s="751" t="e">
        <f>#REF!</f>
        <v>#REF!</v>
      </c>
      <c r="D78" s="662" t="s">
        <v>799</v>
      </c>
      <c r="E78" s="663" t="s">
        <v>864</v>
      </c>
      <c r="F78" s="633"/>
      <c r="G78" s="664"/>
      <c r="H78" s="664"/>
      <c r="I78" s="664"/>
      <c r="J78" s="664"/>
      <c r="K78" s="664"/>
      <c r="L78" s="664"/>
      <c r="M78" s="664"/>
      <c r="O78" s="631"/>
    </row>
    <row r="79" spans="1:16" ht="13.5" thickBot="1" x14ac:dyDescent="0.25">
      <c r="A79" s="736"/>
      <c r="B79" s="737"/>
      <c r="C79" s="665" t="s">
        <v>1565</v>
      </c>
      <c r="E79" s="661">
        <v>50</v>
      </c>
      <c r="F79" s="662"/>
      <c r="G79" s="631"/>
      <c r="H79" s="631"/>
      <c r="I79" s="631"/>
      <c r="J79" s="631"/>
      <c r="K79" s="631"/>
      <c r="L79" s="631"/>
      <c r="M79" s="631"/>
      <c r="N79" s="666" t="s">
        <v>799</v>
      </c>
      <c r="O79" s="631">
        <f>E79</f>
        <v>50</v>
      </c>
      <c r="P79" s="657" t="s">
        <v>6</v>
      </c>
    </row>
    <row r="80" spans="1:16" ht="13.5" thickBot="1" x14ac:dyDescent="0.25">
      <c r="A80" s="736"/>
      <c r="B80" s="737"/>
      <c r="C80" s="667"/>
      <c r="F80" s="666"/>
      <c r="G80" s="631"/>
      <c r="H80" s="631"/>
      <c r="I80" s="631"/>
      <c r="J80" s="631"/>
      <c r="K80" s="631"/>
      <c r="L80" s="631"/>
      <c r="M80" s="631"/>
      <c r="N80" s="666"/>
      <c r="O80" s="668">
        <f>ROUND((SUM(O79:O79)),2)</f>
        <v>50</v>
      </c>
      <c r="P80" s="669" t="s">
        <v>6</v>
      </c>
    </row>
    <row r="81" spans="1:16" x14ac:dyDescent="0.2">
      <c r="A81" s="734" t="s">
        <v>0</v>
      </c>
      <c r="B81" s="735" t="s">
        <v>1205</v>
      </c>
      <c r="C81" s="678" t="e">
        <f>#REF!</f>
        <v>#REF!</v>
      </c>
      <c r="D81" s="662" t="s">
        <v>799</v>
      </c>
      <c r="E81" s="663" t="s">
        <v>628</v>
      </c>
      <c r="F81" s="633"/>
      <c r="G81" s="664"/>
      <c r="H81" s="664"/>
      <c r="I81" s="664"/>
      <c r="J81" s="664"/>
      <c r="K81" s="664"/>
      <c r="L81" s="664"/>
      <c r="M81" s="664"/>
      <c r="O81" s="631"/>
    </row>
    <row r="82" spans="1:16" x14ac:dyDescent="0.2">
      <c r="A82" s="736"/>
      <c r="B82" s="737"/>
      <c r="C82" s="665" t="s">
        <v>1078</v>
      </c>
      <c r="E82" s="661">
        <v>2</v>
      </c>
      <c r="F82" s="662"/>
      <c r="G82" s="631"/>
      <c r="H82" s="631"/>
      <c r="I82" s="631"/>
      <c r="J82" s="631"/>
      <c r="K82" s="631"/>
      <c r="L82" s="631"/>
      <c r="M82" s="631"/>
      <c r="N82" s="666" t="s">
        <v>799</v>
      </c>
      <c r="O82" s="631">
        <f>E82</f>
        <v>2</v>
      </c>
      <c r="P82" s="657" t="s">
        <v>2</v>
      </c>
    </row>
    <row r="83" spans="1:16" ht="13.5" thickBot="1" x14ac:dyDescent="0.25">
      <c r="A83" s="736"/>
      <c r="B83" s="737"/>
      <c r="C83" s="665" t="s">
        <v>1079</v>
      </c>
      <c r="E83" s="661">
        <v>1</v>
      </c>
      <c r="F83" s="662"/>
      <c r="G83" s="631"/>
      <c r="H83" s="631"/>
      <c r="I83" s="631"/>
      <c r="J83" s="631"/>
      <c r="K83" s="631"/>
      <c r="L83" s="631"/>
      <c r="M83" s="631"/>
      <c r="N83" s="666" t="s">
        <v>799</v>
      </c>
      <c r="O83" s="631">
        <f>E83</f>
        <v>1</v>
      </c>
      <c r="P83" s="657" t="s">
        <v>2</v>
      </c>
    </row>
    <row r="84" spans="1:16" ht="13.5" thickBot="1" x14ac:dyDescent="0.25">
      <c r="A84" s="736"/>
      <c r="B84" s="737"/>
      <c r="C84" s="667"/>
      <c r="F84" s="666"/>
      <c r="G84" s="631"/>
      <c r="H84" s="631"/>
      <c r="I84" s="631"/>
      <c r="J84" s="631"/>
      <c r="K84" s="631"/>
      <c r="L84" s="631"/>
      <c r="M84" s="631"/>
      <c r="N84" s="666"/>
      <c r="O84" s="668">
        <f>ROUND((SUM(O82:O83)),2)</f>
        <v>3</v>
      </c>
      <c r="P84" s="669" t="s">
        <v>2</v>
      </c>
    </row>
    <row r="85" spans="1:16" x14ac:dyDescent="0.2">
      <c r="A85" s="736"/>
      <c r="B85" s="737"/>
      <c r="C85" s="667"/>
      <c r="F85" s="666"/>
      <c r="G85" s="631"/>
      <c r="H85" s="631"/>
      <c r="I85" s="631"/>
      <c r="J85" s="631"/>
      <c r="K85" s="631"/>
      <c r="L85" s="631"/>
      <c r="M85" s="631"/>
      <c r="N85" s="666"/>
      <c r="O85" s="632"/>
      <c r="P85" s="633"/>
    </row>
    <row r="86" spans="1:16" x14ac:dyDescent="0.2">
      <c r="A86" s="736"/>
      <c r="B86" s="737"/>
      <c r="C86" s="667"/>
      <c r="F86" s="666"/>
      <c r="G86" s="631"/>
      <c r="H86" s="631"/>
      <c r="I86" s="631"/>
      <c r="J86" s="631"/>
      <c r="K86" s="631"/>
      <c r="L86" s="631"/>
      <c r="M86" s="631"/>
      <c r="N86" s="666"/>
      <c r="O86" s="632"/>
      <c r="P86" s="633"/>
    </row>
    <row r="87" spans="1:16" ht="15.75" x14ac:dyDescent="0.25">
      <c r="A87" s="736"/>
      <c r="B87" s="737"/>
      <c r="C87" s="912" t="s">
        <v>1160</v>
      </c>
      <c r="F87" s="666"/>
      <c r="G87" s="631"/>
      <c r="H87" s="631"/>
      <c r="I87" s="631"/>
      <c r="J87" s="631"/>
      <c r="K87" s="631"/>
      <c r="L87" s="631"/>
      <c r="M87" s="631"/>
      <c r="N87" s="666"/>
      <c r="O87" s="632"/>
      <c r="P87" s="633"/>
    </row>
    <row r="88" spans="1:16" x14ac:dyDescent="0.2">
      <c r="A88" s="734" t="s">
        <v>0</v>
      </c>
      <c r="B88" s="735" t="s">
        <v>1206</v>
      </c>
      <c r="C88" s="678" t="e">
        <f>#REF!</f>
        <v>#REF!</v>
      </c>
      <c r="D88" s="662" t="s">
        <v>799</v>
      </c>
      <c r="E88" s="663" t="s">
        <v>864</v>
      </c>
      <c r="F88" s="633"/>
      <c r="G88" s="664"/>
      <c r="H88" s="664"/>
      <c r="I88" s="664"/>
      <c r="J88" s="664"/>
      <c r="K88" s="664"/>
      <c r="L88" s="664"/>
      <c r="M88" s="664"/>
      <c r="O88" s="631"/>
    </row>
    <row r="89" spans="1:16" ht="13.5" thickBot="1" x14ac:dyDescent="0.25">
      <c r="A89" s="736"/>
      <c r="B89" s="737"/>
      <c r="C89" s="665" t="s">
        <v>1558</v>
      </c>
      <c r="E89" s="661">
        <f>E46</f>
        <v>166.98</v>
      </c>
      <c r="F89" s="662"/>
      <c r="G89" s="631"/>
      <c r="H89" s="631"/>
      <c r="I89" s="631"/>
      <c r="J89" s="631"/>
      <c r="K89" s="631"/>
      <c r="L89" s="631"/>
      <c r="M89" s="631"/>
      <c r="N89" s="666" t="s">
        <v>799</v>
      </c>
      <c r="O89" s="631">
        <f>E89</f>
        <v>166.98</v>
      </c>
      <c r="P89" s="630" t="s">
        <v>6</v>
      </c>
    </row>
    <row r="90" spans="1:16" ht="13.5" thickBot="1" x14ac:dyDescent="0.25">
      <c r="A90" s="736"/>
      <c r="B90" s="737"/>
      <c r="C90" s="667"/>
      <c r="F90" s="666"/>
      <c r="G90" s="631"/>
      <c r="H90" s="631"/>
      <c r="I90" s="631"/>
      <c r="J90" s="631"/>
      <c r="K90" s="631"/>
      <c r="L90" s="631"/>
      <c r="M90" s="631"/>
      <c r="N90" s="666"/>
      <c r="O90" s="668">
        <f>ROUND((SUM(O89:O89)),2)</f>
        <v>166.98</v>
      </c>
      <c r="P90" s="669" t="s">
        <v>6</v>
      </c>
    </row>
    <row r="91" spans="1:16" x14ac:dyDescent="0.2">
      <c r="A91" s="736"/>
      <c r="B91" s="737"/>
      <c r="C91" s="737"/>
      <c r="G91" s="670"/>
      <c r="H91" s="670"/>
      <c r="I91" s="670"/>
      <c r="J91" s="670"/>
      <c r="K91" s="670"/>
      <c r="L91" s="670"/>
      <c r="M91" s="670"/>
      <c r="O91" s="670"/>
    </row>
    <row r="92" spans="1:16" x14ac:dyDescent="0.2">
      <c r="A92" s="736"/>
      <c r="B92" s="737"/>
      <c r="C92" s="737"/>
      <c r="G92" s="670"/>
      <c r="H92" s="670"/>
      <c r="I92" s="670"/>
      <c r="J92" s="670"/>
      <c r="K92" s="670"/>
      <c r="L92" s="670"/>
      <c r="M92" s="670"/>
      <c r="O92" s="670"/>
    </row>
    <row r="93" spans="1:16" x14ac:dyDescent="0.2">
      <c r="A93" s="736"/>
      <c r="B93" s="737"/>
      <c r="C93" s="737"/>
      <c r="G93" s="670"/>
      <c r="H93" s="670"/>
      <c r="I93" s="670"/>
      <c r="J93" s="670"/>
      <c r="K93" s="670"/>
      <c r="L93" s="670"/>
      <c r="M93" s="670"/>
      <c r="O93" s="670"/>
    </row>
    <row r="94" spans="1:16" ht="15.75" x14ac:dyDescent="0.2">
      <c r="A94" s="736"/>
      <c r="B94" s="925" t="s">
        <v>1207</v>
      </c>
      <c r="C94" s="926" t="s">
        <v>1566</v>
      </c>
      <c r="D94" s="927"/>
      <c r="E94" s="928"/>
      <c r="F94" s="929"/>
      <c r="G94" s="930"/>
      <c r="H94" s="658"/>
      <c r="I94" s="658"/>
      <c r="J94" s="658"/>
      <c r="K94" s="658"/>
      <c r="L94" s="658"/>
      <c r="M94" s="658"/>
      <c r="N94" s="657"/>
      <c r="O94" s="658"/>
      <c r="P94" s="659"/>
    </row>
    <row r="95" spans="1:16" ht="15.75" x14ac:dyDescent="0.25">
      <c r="A95" s="736"/>
      <c r="B95" s="749"/>
      <c r="C95" s="912" t="s">
        <v>1159</v>
      </c>
      <c r="D95" s="656"/>
      <c r="E95" s="629"/>
      <c r="F95" s="657"/>
      <c r="G95" s="658"/>
      <c r="H95" s="658"/>
      <c r="I95" s="658"/>
      <c r="J95" s="658"/>
      <c r="K95" s="658"/>
      <c r="L95" s="658"/>
      <c r="M95" s="658"/>
      <c r="N95" s="657"/>
      <c r="O95" s="658"/>
      <c r="P95" s="659"/>
    </row>
    <row r="96" spans="1:16" x14ac:dyDescent="0.2">
      <c r="A96" s="736"/>
      <c r="B96" s="737"/>
      <c r="C96" s="737"/>
      <c r="G96" s="631"/>
      <c r="H96" s="631"/>
      <c r="I96" s="631"/>
      <c r="J96" s="631"/>
      <c r="K96" s="631"/>
      <c r="L96" s="631"/>
      <c r="M96" s="631"/>
      <c r="O96" s="631"/>
    </row>
    <row r="97" spans="1:19" x14ac:dyDescent="0.2">
      <c r="A97" s="734" t="s">
        <v>0</v>
      </c>
      <c r="B97" s="735" t="s">
        <v>1208</v>
      </c>
      <c r="C97" s="678" t="e">
        <f>#REF!</f>
        <v>#REF!</v>
      </c>
      <c r="D97" s="662" t="s">
        <v>799</v>
      </c>
      <c r="E97" s="663" t="s">
        <v>864</v>
      </c>
      <c r="F97" s="633"/>
      <c r="G97" s="664"/>
      <c r="H97" s="664"/>
      <c r="I97" s="664"/>
      <c r="J97" s="664"/>
      <c r="K97" s="664"/>
      <c r="L97" s="664"/>
      <c r="M97" s="664"/>
      <c r="O97" s="631"/>
    </row>
    <row r="98" spans="1:19" x14ac:dyDescent="0.2">
      <c r="A98" s="736"/>
      <c r="B98" s="737"/>
      <c r="C98" s="665" t="s">
        <v>1567</v>
      </c>
      <c r="E98" s="629">
        <v>4085.2</v>
      </c>
      <c r="F98" s="662"/>
      <c r="G98" s="631"/>
      <c r="H98" s="631"/>
      <c r="I98" s="631"/>
      <c r="J98" s="631"/>
      <c r="K98" s="631"/>
      <c r="L98" s="631"/>
      <c r="M98" s="631"/>
      <c r="N98" s="666" t="s">
        <v>799</v>
      </c>
      <c r="O98" s="631">
        <f>E98</f>
        <v>4085.2</v>
      </c>
      <c r="P98" s="630" t="s">
        <v>6</v>
      </c>
    </row>
    <row r="99" spans="1:19" x14ac:dyDescent="0.2">
      <c r="A99" s="736"/>
      <c r="B99" s="737"/>
      <c r="C99" s="665" t="s">
        <v>1568</v>
      </c>
      <c r="E99" s="629">
        <v>911.06</v>
      </c>
      <c r="F99" s="662"/>
      <c r="G99" s="631"/>
      <c r="H99" s="631"/>
      <c r="I99" s="631"/>
      <c r="J99" s="631"/>
      <c r="K99" s="631"/>
      <c r="L99" s="631"/>
      <c r="M99" s="631"/>
      <c r="N99" s="666" t="s">
        <v>799</v>
      </c>
      <c r="O99" s="631">
        <f t="shared" ref="O99:O102" si="0">E99</f>
        <v>911.06</v>
      </c>
      <c r="P99" s="630" t="s">
        <v>6</v>
      </c>
    </row>
    <row r="100" spans="1:19" x14ac:dyDescent="0.2">
      <c r="A100" s="736"/>
      <c r="B100" s="737"/>
      <c r="C100" s="665" t="s">
        <v>1569</v>
      </c>
      <c r="E100" s="629">
        <v>137.59</v>
      </c>
      <c r="F100" s="662"/>
      <c r="G100" s="631"/>
      <c r="H100" s="631"/>
      <c r="I100" s="631"/>
      <c r="J100" s="631"/>
      <c r="K100" s="631"/>
      <c r="L100" s="631"/>
      <c r="M100" s="631"/>
      <c r="N100" s="666" t="s">
        <v>799</v>
      </c>
      <c r="O100" s="631">
        <f t="shared" si="0"/>
        <v>137.59</v>
      </c>
      <c r="P100" s="630" t="s">
        <v>6</v>
      </c>
    </row>
    <row r="101" spans="1:19" x14ac:dyDescent="0.2">
      <c r="A101" s="736"/>
      <c r="B101" s="737"/>
      <c r="C101" s="665" t="s">
        <v>1570</v>
      </c>
      <c r="E101" s="629">
        <v>86.84</v>
      </c>
      <c r="F101" s="662"/>
      <c r="G101" s="631"/>
      <c r="H101" s="631"/>
      <c r="I101" s="631"/>
      <c r="J101" s="631"/>
      <c r="K101" s="631"/>
      <c r="L101" s="631"/>
      <c r="M101" s="631"/>
      <c r="N101" s="666" t="s">
        <v>799</v>
      </c>
      <c r="O101" s="631">
        <f t="shared" si="0"/>
        <v>86.84</v>
      </c>
      <c r="P101" s="630" t="s">
        <v>6</v>
      </c>
    </row>
    <row r="102" spans="1:19" ht="13.5" thickBot="1" x14ac:dyDescent="0.25">
      <c r="A102" s="736"/>
      <c r="B102" s="737"/>
      <c r="C102" s="665" t="s">
        <v>1571</v>
      </c>
      <c r="E102" s="629">
        <v>6954.07</v>
      </c>
      <c r="F102" s="662"/>
      <c r="G102" s="631"/>
      <c r="H102" s="631"/>
      <c r="I102" s="631"/>
      <c r="J102" s="631"/>
      <c r="K102" s="631"/>
      <c r="L102" s="631"/>
      <c r="M102" s="631"/>
      <c r="N102" s="666" t="s">
        <v>799</v>
      </c>
      <c r="O102" s="631">
        <f t="shared" si="0"/>
        <v>6954.07</v>
      </c>
      <c r="P102" s="630" t="s">
        <v>6</v>
      </c>
    </row>
    <row r="103" spans="1:19" ht="13.5" thickBot="1" x14ac:dyDescent="0.25">
      <c r="A103" s="736"/>
      <c r="B103" s="737"/>
      <c r="C103" s="667"/>
      <c r="F103" s="666"/>
      <c r="G103" s="631"/>
      <c r="H103" s="631"/>
      <c r="I103" s="631"/>
      <c r="J103" s="631"/>
      <c r="K103" s="631"/>
      <c r="L103" s="631"/>
      <c r="M103" s="631"/>
      <c r="N103" s="666"/>
      <c r="O103" s="668">
        <f>ROUND((SUM(O98:O102)),2)</f>
        <v>12174.76</v>
      </c>
      <c r="P103" s="669" t="s">
        <v>6</v>
      </c>
    </row>
    <row r="104" spans="1:19" x14ac:dyDescent="0.2">
      <c r="A104" s="734" t="s">
        <v>0</v>
      </c>
      <c r="B104" s="735" t="s">
        <v>1209</v>
      </c>
      <c r="C104" s="678" t="e">
        <f>#REF!</f>
        <v>#REF!</v>
      </c>
      <c r="D104" s="662" t="s">
        <v>799</v>
      </c>
      <c r="E104" s="663" t="s">
        <v>864</v>
      </c>
      <c r="F104" s="633"/>
      <c r="G104" s="664" t="s">
        <v>865</v>
      </c>
      <c r="H104" s="664"/>
      <c r="I104" s="664" t="s">
        <v>883</v>
      </c>
      <c r="J104" s="664"/>
      <c r="K104" s="664"/>
      <c r="L104" s="664"/>
      <c r="M104" s="664"/>
      <c r="O104" s="631"/>
    </row>
    <row r="105" spans="1:19" x14ac:dyDescent="0.2">
      <c r="A105" s="736"/>
      <c r="B105" s="737"/>
      <c r="C105" s="665" t="s">
        <v>1567</v>
      </c>
      <c r="E105" s="629">
        <v>4085.2</v>
      </c>
      <c r="F105" s="662" t="s">
        <v>866</v>
      </c>
      <c r="G105" s="631">
        <v>1</v>
      </c>
      <c r="H105" s="631" t="s">
        <v>866</v>
      </c>
      <c r="I105" s="631">
        <v>1.27</v>
      </c>
      <c r="J105" s="631"/>
      <c r="K105" s="631"/>
      <c r="L105" s="631"/>
      <c r="M105" s="631"/>
      <c r="N105" s="666" t="s">
        <v>799</v>
      </c>
      <c r="O105" s="631">
        <f>E105*G105*I105</f>
        <v>5188.2039999999997</v>
      </c>
      <c r="P105" s="630" t="s">
        <v>12</v>
      </c>
    </row>
    <row r="106" spans="1:19" x14ac:dyDescent="0.2">
      <c r="A106" s="736"/>
      <c r="B106" s="737"/>
      <c r="C106" s="665" t="s">
        <v>1568</v>
      </c>
      <c r="E106" s="629">
        <v>911.06</v>
      </c>
      <c r="F106" s="662" t="s">
        <v>866</v>
      </c>
      <c r="G106" s="631">
        <v>1</v>
      </c>
      <c r="H106" s="631" t="s">
        <v>866</v>
      </c>
      <c r="I106" s="631">
        <v>1.27</v>
      </c>
      <c r="J106" s="631"/>
      <c r="K106" s="631"/>
      <c r="L106" s="631"/>
      <c r="M106" s="631"/>
      <c r="N106" s="666" t="s">
        <v>799</v>
      </c>
      <c r="O106" s="631">
        <f t="shared" ref="O106:O108" si="1">E106*G106*I106</f>
        <v>1157.0462</v>
      </c>
      <c r="P106" s="630" t="s">
        <v>12</v>
      </c>
    </row>
    <row r="107" spans="1:19" x14ac:dyDescent="0.2">
      <c r="A107" s="736"/>
      <c r="B107" s="737"/>
      <c r="C107" s="665" t="s">
        <v>1569</v>
      </c>
      <c r="E107" s="629">
        <v>137.59</v>
      </c>
      <c r="F107" s="662" t="s">
        <v>866</v>
      </c>
      <c r="G107" s="631">
        <v>1</v>
      </c>
      <c r="H107" s="631" t="s">
        <v>866</v>
      </c>
      <c r="I107" s="631">
        <v>1.27</v>
      </c>
      <c r="J107" s="631"/>
      <c r="K107" s="631"/>
      <c r="L107" s="631"/>
      <c r="M107" s="631"/>
      <c r="N107" s="666" t="s">
        <v>799</v>
      </c>
      <c r="O107" s="631">
        <f t="shared" si="1"/>
        <v>174.73930000000001</v>
      </c>
      <c r="P107" s="630" t="s">
        <v>12</v>
      </c>
    </row>
    <row r="108" spans="1:19" x14ac:dyDescent="0.2">
      <c r="A108" s="736"/>
      <c r="B108" s="737"/>
      <c r="C108" s="665" t="s">
        <v>1570</v>
      </c>
      <c r="E108" s="629">
        <v>86.84</v>
      </c>
      <c r="F108" s="662" t="s">
        <v>866</v>
      </c>
      <c r="G108" s="631">
        <v>1</v>
      </c>
      <c r="H108" s="631" t="s">
        <v>866</v>
      </c>
      <c r="I108" s="631">
        <v>1.27</v>
      </c>
      <c r="J108" s="631"/>
      <c r="K108" s="631"/>
      <c r="L108" s="631"/>
      <c r="M108" s="631"/>
      <c r="N108" s="666" t="s">
        <v>799</v>
      </c>
      <c r="O108" s="631">
        <f t="shared" si="1"/>
        <v>110.2868</v>
      </c>
      <c r="P108" s="630" t="s">
        <v>12</v>
      </c>
    </row>
    <row r="109" spans="1:19" ht="13.5" thickBot="1" x14ac:dyDescent="0.25">
      <c r="A109" s="736"/>
      <c r="B109" s="737"/>
      <c r="C109" s="665" t="s">
        <v>1571</v>
      </c>
      <c r="E109" s="629">
        <v>6954.07</v>
      </c>
      <c r="F109" s="662" t="s">
        <v>866</v>
      </c>
      <c r="G109" s="631">
        <v>1</v>
      </c>
      <c r="H109" s="631" t="s">
        <v>866</v>
      </c>
      <c r="I109" s="631">
        <v>1.27</v>
      </c>
      <c r="J109" s="631"/>
      <c r="K109" s="631"/>
      <c r="L109" s="631"/>
      <c r="M109" s="631"/>
      <c r="N109" s="666" t="s">
        <v>799</v>
      </c>
      <c r="O109" s="631">
        <f>E109*G109*I109</f>
        <v>8831.6689000000006</v>
      </c>
      <c r="P109" s="630" t="s">
        <v>12</v>
      </c>
    </row>
    <row r="110" spans="1:19" ht="13.5" thickBot="1" x14ac:dyDescent="0.25">
      <c r="A110" s="736"/>
      <c r="B110" s="737"/>
      <c r="C110" s="737"/>
      <c r="F110" s="666"/>
      <c r="G110" s="631"/>
      <c r="H110" s="631"/>
      <c r="I110" s="631"/>
      <c r="J110" s="631"/>
      <c r="K110" s="631"/>
      <c r="L110" s="631"/>
      <c r="M110" s="631"/>
      <c r="N110" s="666"/>
      <c r="O110" s="668">
        <f>ROUND((SUM(O105:O109)),2)</f>
        <v>15461.95</v>
      </c>
      <c r="P110" s="669" t="s">
        <v>12</v>
      </c>
    </row>
    <row r="111" spans="1:19" x14ac:dyDescent="0.2">
      <c r="A111" s="734" t="s">
        <v>0</v>
      </c>
      <c r="B111" s="735" t="s">
        <v>1210</v>
      </c>
      <c r="C111" s="751" t="e">
        <f>#REF!</f>
        <v>#REF!</v>
      </c>
      <c r="D111" s="662" t="s">
        <v>799</v>
      </c>
      <c r="E111" s="663" t="s">
        <v>864</v>
      </c>
      <c r="F111" s="633"/>
      <c r="G111" s="664" t="s">
        <v>865</v>
      </c>
      <c r="H111" s="664"/>
      <c r="I111" s="664" t="s">
        <v>883</v>
      </c>
      <c r="J111" s="664"/>
      <c r="K111" s="664" t="s">
        <v>1067</v>
      </c>
      <c r="L111" s="664"/>
      <c r="M111" s="664"/>
      <c r="O111" s="631"/>
    </row>
    <row r="112" spans="1:19" x14ac:dyDescent="0.2">
      <c r="A112" s="736"/>
      <c r="B112" s="737"/>
      <c r="C112" s="665" t="s">
        <v>1567</v>
      </c>
      <c r="E112" s="629">
        <v>4085.2</v>
      </c>
      <c r="F112" s="662" t="s">
        <v>866</v>
      </c>
      <c r="G112" s="631">
        <v>1</v>
      </c>
      <c r="H112" s="631" t="s">
        <v>866</v>
      </c>
      <c r="I112" s="631">
        <f>0.1+0.17+0.15</f>
        <v>0.42000000000000004</v>
      </c>
      <c r="J112" s="631" t="s">
        <v>866</v>
      </c>
      <c r="K112" s="631">
        <f>((PI()*(POWER(0.17,2)))/4)*E112</f>
        <v>92.725897878515312</v>
      </c>
      <c r="L112" s="631"/>
      <c r="M112" s="631"/>
      <c r="N112" s="662" t="s">
        <v>799</v>
      </c>
      <c r="O112" s="631">
        <f>(E112*G112*I112)-K112</f>
        <v>1623.0581021214848</v>
      </c>
      <c r="P112" s="630" t="s">
        <v>12</v>
      </c>
      <c r="R112"/>
      <c r="S112"/>
    </row>
    <row r="113" spans="1:19" x14ac:dyDescent="0.2">
      <c r="A113" s="736"/>
      <c r="B113" s="737"/>
      <c r="C113" s="665" t="s">
        <v>1568</v>
      </c>
      <c r="E113" s="629">
        <v>911.06</v>
      </c>
      <c r="F113" s="662" t="s">
        <v>866</v>
      </c>
      <c r="G113" s="631">
        <v>1</v>
      </c>
      <c r="H113" s="631" t="s">
        <v>866</v>
      </c>
      <c r="I113" s="631">
        <f t="shared" ref="I113:I116" si="2">0.1+0.17+0.15</f>
        <v>0.42000000000000004</v>
      </c>
      <c r="J113" s="631" t="s">
        <v>866</v>
      </c>
      <c r="K113" s="631">
        <f t="shared" ref="K113:K116" si="3">((PI()*(POWER(0.17,2)))/4)*E113</f>
        <v>20.679246186527013</v>
      </c>
      <c r="L113" s="631"/>
      <c r="M113" s="631"/>
      <c r="N113" s="662" t="s">
        <v>799</v>
      </c>
      <c r="O113" s="631">
        <f t="shared" ref="O113:O116" si="4">(E113*G113*I113)-K113</f>
        <v>361.96595381347299</v>
      </c>
      <c r="P113" s="630" t="s">
        <v>12</v>
      </c>
      <c r="R113"/>
      <c r="S113"/>
    </row>
    <row r="114" spans="1:19" x14ac:dyDescent="0.2">
      <c r="A114" s="736"/>
      <c r="B114" s="737"/>
      <c r="C114" s="665" t="s">
        <v>1569</v>
      </c>
      <c r="E114" s="629">
        <v>137.59</v>
      </c>
      <c r="F114" s="662" t="s">
        <v>866</v>
      </c>
      <c r="G114" s="631">
        <v>1</v>
      </c>
      <c r="H114" s="631" t="s">
        <v>866</v>
      </c>
      <c r="I114" s="631">
        <f t="shared" si="2"/>
        <v>0.42000000000000004</v>
      </c>
      <c r="J114" s="631" t="s">
        <v>866</v>
      </c>
      <c r="K114" s="631">
        <f t="shared" si="3"/>
        <v>3.1230187724236078</v>
      </c>
      <c r="L114" s="631"/>
      <c r="M114" s="631"/>
      <c r="N114" s="662" t="s">
        <v>799</v>
      </c>
      <c r="O114" s="631">
        <f t="shared" si="4"/>
        <v>54.664781227576398</v>
      </c>
      <c r="P114" s="630" t="s">
        <v>12</v>
      </c>
      <c r="R114"/>
      <c r="S114"/>
    </row>
    <row r="115" spans="1:19" x14ac:dyDescent="0.2">
      <c r="A115" s="736"/>
      <c r="B115" s="737"/>
      <c r="C115" s="665" t="s">
        <v>1570</v>
      </c>
      <c r="E115" s="629">
        <v>86.84</v>
      </c>
      <c r="F115" s="662" t="s">
        <v>866</v>
      </c>
      <c r="G115" s="631">
        <v>1</v>
      </c>
      <c r="H115" s="631" t="s">
        <v>866</v>
      </c>
      <c r="I115" s="631">
        <f t="shared" si="2"/>
        <v>0.42000000000000004</v>
      </c>
      <c r="J115" s="631" t="s">
        <v>866</v>
      </c>
      <c r="K115" s="631">
        <f t="shared" si="3"/>
        <v>1.9710949211226549</v>
      </c>
      <c r="L115" s="631"/>
      <c r="M115" s="631"/>
      <c r="N115" s="662" t="s">
        <v>799</v>
      </c>
      <c r="O115" s="631">
        <f t="shared" si="4"/>
        <v>34.50170507887735</v>
      </c>
      <c r="P115" s="630" t="s">
        <v>12</v>
      </c>
      <c r="R115"/>
      <c r="S115"/>
    </row>
    <row r="116" spans="1:19" ht="13.5" thickBot="1" x14ac:dyDescent="0.25">
      <c r="A116" s="736"/>
      <c r="B116" s="737"/>
      <c r="C116" s="665" t="s">
        <v>1571</v>
      </c>
      <c r="E116" s="629">
        <v>6954.07</v>
      </c>
      <c r="F116" s="662" t="s">
        <v>866</v>
      </c>
      <c r="G116" s="631">
        <v>1</v>
      </c>
      <c r="H116" s="631" t="s">
        <v>866</v>
      </c>
      <c r="I116" s="631">
        <f t="shared" si="2"/>
        <v>0.42000000000000004</v>
      </c>
      <c r="J116" s="631" t="s">
        <v>866</v>
      </c>
      <c r="K116" s="631">
        <f t="shared" si="3"/>
        <v>157.8435289973678</v>
      </c>
      <c r="L116" s="631"/>
      <c r="M116" s="631"/>
      <c r="N116" s="662" t="s">
        <v>799</v>
      </c>
      <c r="O116" s="631">
        <f t="shared" si="4"/>
        <v>2762.8658710026325</v>
      </c>
      <c r="P116" s="630" t="s">
        <v>12</v>
      </c>
      <c r="R116"/>
      <c r="S116"/>
    </row>
    <row r="117" spans="1:19" ht="13.5" thickBot="1" x14ac:dyDescent="0.25">
      <c r="A117" s="736"/>
      <c r="B117" s="737"/>
      <c r="C117" s="737"/>
      <c r="F117" s="666"/>
      <c r="G117" s="631"/>
      <c r="H117" s="631"/>
      <c r="I117" s="631"/>
      <c r="J117" s="631"/>
      <c r="K117" s="631"/>
      <c r="L117" s="631"/>
      <c r="M117" s="631"/>
      <c r="N117" s="666"/>
      <c r="O117" s="668">
        <f>ROUND((SUM(O112:O116)),2)</f>
        <v>4837.0600000000004</v>
      </c>
      <c r="P117" s="669" t="s">
        <v>12</v>
      </c>
    </row>
    <row r="118" spans="1:19" x14ac:dyDescent="0.2">
      <c r="A118" s="734" t="s">
        <v>0</v>
      </c>
      <c r="B118" s="735" t="s">
        <v>1211</v>
      </c>
      <c r="C118" s="751" t="e">
        <f>#REF!</f>
        <v>#REF!</v>
      </c>
      <c r="D118" s="662" t="s">
        <v>799</v>
      </c>
      <c r="E118" s="663" t="s">
        <v>864</v>
      </c>
      <c r="F118" s="633"/>
      <c r="G118" s="664" t="s">
        <v>865</v>
      </c>
      <c r="H118" s="664"/>
      <c r="I118" s="664" t="s">
        <v>883</v>
      </c>
      <c r="J118" s="664"/>
      <c r="K118" s="664" t="s">
        <v>628</v>
      </c>
      <c r="L118" s="664"/>
      <c r="M118" s="664" t="s">
        <v>977</v>
      </c>
      <c r="O118" s="631"/>
    </row>
    <row r="119" spans="1:19" x14ac:dyDescent="0.2">
      <c r="A119" s="736"/>
      <c r="B119" s="737"/>
      <c r="C119" s="665" t="s">
        <v>1567</v>
      </c>
      <c r="E119" s="629">
        <v>4085.2</v>
      </c>
      <c r="F119" s="662" t="s">
        <v>866</v>
      </c>
      <c r="G119" s="631">
        <v>1</v>
      </c>
      <c r="H119" s="631" t="s">
        <v>866</v>
      </c>
      <c r="I119" s="631">
        <f>0.1+0.17+0.15</f>
        <v>0.42000000000000004</v>
      </c>
      <c r="J119" s="631" t="s">
        <v>866</v>
      </c>
      <c r="K119" s="631">
        <v>1</v>
      </c>
      <c r="L119" s="631" t="s">
        <v>866</v>
      </c>
      <c r="M119" s="631">
        <v>5</v>
      </c>
      <c r="N119" s="666" t="s">
        <v>799</v>
      </c>
      <c r="O119" s="631">
        <f>E119*G119*I119*K119*M119</f>
        <v>8578.92</v>
      </c>
      <c r="P119" s="657" t="s">
        <v>976</v>
      </c>
    </row>
    <row r="120" spans="1:19" x14ac:dyDescent="0.2">
      <c r="A120" s="736"/>
      <c r="B120" s="737"/>
      <c r="C120" s="665" t="s">
        <v>1568</v>
      </c>
      <c r="E120" s="629">
        <v>911.06</v>
      </c>
      <c r="F120" s="662" t="s">
        <v>866</v>
      </c>
      <c r="G120" s="631">
        <v>1</v>
      </c>
      <c r="H120" s="631" t="s">
        <v>866</v>
      </c>
      <c r="I120" s="631">
        <f t="shared" ref="I120:I123" si="5">0.1+0.17+0.15</f>
        <v>0.42000000000000004</v>
      </c>
      <c r="J120" s="631" t="s">
        <v>866</v>
      </c>
      <c r="K120" s="631">
        <v>1</v>
      </c>
      <c r="L120" s="631" t="s">
        <v>866</v>
      </c>
      <c r="M120" s="631">
        <v>5</v>
      </c>
      <c r="N120" s="666" t="s">
        <v>799</v>
      </c>
      <c r="O120" s="631">
        <f t="shared" ref="O120:O123" si="6">E120*G120*I120*K120*M120</f>
        <v>1913.2259999999999</v>
      </c>
      <c r="P120" s="657" t="s">
        <v>976</v>
      </c>
    </row>
    <row r="121" spans="1:19" x14ac:dyDescent="0.2">
      <c r="A121" s="736"/>
      <c r="B121" s="737"/>
      <c r="C121" s="665" t="s">
        <v>1569</v>
      </c>
      <c r="E121" s="629">
        <v>137.59</v>
      </c>
      <c r="F121" s="662" t="s">
        <v>866</v>
      </c>
      <c r="G121" s="631">
        <v>1</v>
      </c>
      <c r="H121" s="631" t="s">
        <v>866</v>
      </c>
      <c r="I121" s="631">
        <f t="shared" si="5"/>
        <v>0.42000000000000004</v>
      </c>
      <c r="J121" s="631" t="s">
        <v>866</v>
      </c>
      <c r="K121" s="631">
        <v>1</v>
      </c>
      <c r="L121" s="631" t="s">
        <v>866</v>
      </c>
      <c r="M121" s="631">
        <v>5</v>
      </c>
      <c r="N121" s="666" t="s">
        <v>799</v>
      </c>
      <c r="O121" s="631">
        <f t="shared" si="6"/>
        <v>288.93900000000002</v>
      </c>
      <c r="P121" s="657" t="s">
        <v>976</v>
      </c>
    </row>
    <row r="122" spans="1:19" x14ac:dyDescent="0.2">
      <c r="A122" s="736"/>
      <c r="B122" s="737"/>
      <c r="C122" s="665" t="s">
        <v>1570</v>
      </c>
      <c r="E122" s="629">
        <v>86.84</v>
      </c>
      <c r="F122" s="662" t="s">
        <v>866</v>
      </c>
      <c r="G122" s="631">
        <v>1</v>
      </c>
      <c r="H122" s="631" t="s">
        <v>866</v>
      </c>
      <c r="I122" s="631">
        <f t="shared" si="5"/>
        <v>0.42000000000000004</v>
      </c>
      <c r="J122" s="631" t="s">
        <v>866</v>
      </c>
      <c r="K122" s="631">
        <v>1</v>
      </c>
      <c r="L122" s="631" t="s">
        <v>866</v>
      </c>
      <c r="M122" s="631">
        <v>5</v>
      </c>
      <c r="N122" s="666" t="s">
        <v>799</v>
      </c>
      <c r="O122" s="631">
        <f t="shared" si="6"/>
        <v>182.36400000000003</v>
      </c>
      <c r="P122" s="657" t="s">
        <v>976</v>
      </c>
    </row>
    <row r="123" spans="1:19" ht="13.5" thickBot="1" x14ac:dyDescent="0.25">
      <c r="A123" s="736"/>
      <c r="B123" s="737"/>
      <c r="C123" s="665" t="s">
        <v>1571</v>
      </c>
      <c r="E123" s="629">
        <v>6954.07</v>
      </c>
      <c r="F123" s="662" t="s">
        <v>866</v>
      </c>
      <c r="G123" s="631">
        <v>1</v>
      </c>
      <c r="H123" s="631" t="s">
        <v>866</v>
      </c>
      <c r="I123" s="631">
        <f t="shared" si="5"/>
        <v>0.42000000000000004</v>
      </c>
      <c r="J123" s="631" t="s">
        <v>866</v>
      </c>
      <c r="K123" s="631">
        <v>1</v>
      </c>
      <c r="L123" s="631" t="s">
        <v>866</v>
      </c>
      <c r="M123" s="631">
        <v>5</v>
      </c>
      <c r="N123" s="666" t="s">
        <v>799</v>
      </c>
      <c r="O123" s="631">
        <f t="shared" si="6"/>
        <v>14603.547</v>
      </c>
      <c r="P123" s="657" t="s">
        <v>976</v>
      </c>
    </row>
    <row r="124" spans="1:19" ht="13.5" thickBot="1" x14ac:dyDescent="0.25">
      <c r="A124" s="736"/>
      <c r="B124" s="737"/>
      <c r="C124" s="667"/>
      <c r="F124" s="666"/>
      <c r="G124" s="631"/>
      <c r="H124" s="631"/>
      <c r="I124" s="631"/>
      <c r="J124" s="631"/>
      <c r="K124" s="631"/>
      <c r="L124" s="631"/>
      <c r="M124" s="631"/>
      <c r="N124" s="666"/>
      <c r="O124" s="668">
        <f>ROUND((SUM(O119:O123)),2)</f>
        <v>25567</v>
      </c>
      <c r="P124" s="669" t="s">
        <v>976</v>
      </c>
    </row>
    <row r="125" spans="1:19" x14ac:dyDescent="0.2">
      <c r="A125" s="734" t="s">
        <v>0</v>
      </c>
      <c r="B125" s="735" t="s">
        <v>1212</v>
      </c>
      <c r="C125" s="678" t="e">
        <f>#REF!</f>
        <v>#REF!</v>
      </c>
      <c r="D125" s="662" t="s">
        <v>799</v>
      </c>
      <c r="E125" s="663" t="s">
        <v>864</v>
      </c>
      <c r="F125" s="633"/>
      <c r="G125" s="664" t="s">
        <v>865</v>
      </c>
      <c r="H125" s="664"/>
      <c r="I125" s="664" t="s">
        <v>883</v>
      </c>
      <c r="J125" s="664"/>
      <c r="K125" s="664" t="s">
        <v>628</v>
      </c>
      <c r="L125" s="664"/>
      <c r="M125" s="664"/>
      <c r="O125" s="631"/>
    </row>
    <row r="126" spans="1:19" x14ac:dyDescent="0.2">
      <c r="A126" s="736"/>
      <c r="B126" s="737"/>
      <c r="C126" s="665" t="s">
        <v>1567</v>
      </c>
      <c r="E126" s="629">
        <v>4085.2</v>
      </c>
      <c r="F126" s="662" t="s">
        <v>866</v>
      </c>
      <c r="G126" s="631">
        <v>1</v>
      </c>
      <c r="H126" s="631" t="s">
        <v>866</v>
      </c>
      <c r="I126" s="631">
        <f>I105-I119</f>
        <v>0.85</v>
      </c>
      <c r="J126" s="631" t="s">
        <v>866</v>
      </c>
      <c r="K126" s="631">
        <v>1</v>
      </c>
      <c r="L126" s="631"/>
      <c r="M126" s="631"/>
      <c r="N126" s="666" t="s">
        <v>799</v>
      </c>
      <c r="O126" s="631">
        <f>E126*G126*I126*K126</f>
        <v>3472.4199999999996</v>
      </c>
      <c r="P126" s="630" t="s">
        <v>12</v>
      </c>
    </row>
    <row r="127" spans="1:19" x14ac:dyDescent="0.2">
      <c r="A127" s="736"/>
      <c r="B127" s="737"/>
      <c r="C127" s="665" t="s">
        <v>1568</v>
      </c>
      <c r="E127" s="629">
        <v>911.06</v>
      </c>
      <c r="F127" s="662" t="s">
        <v>866</v>
      </c>
      <c r="G127" s="631">
        <v>1</v>
      </c>
      <c r="H127" s="631" t="s">
        <v>866</v>
      </c>
      <c r="I127" s="631">
        <f>I106-I120</f>
        <v>0.85</v>
      </c>
      <c r="J127" s="631" t="s">
        <v>866</v>
      </c>
      <c r="K127" s="631">
        <v>1</v>
      </c>
      <c r="L127" s="631"/>
      <c r="M127" s="631"/>
      <c r="N127" s="666" t="s">
        <v>799</v>
      </c>
      <c r="O127" s="631">
        <f t="shared" ref="O127:O130" si="7">E127*G127*I127*K127</f>
        <v>774.40099999999995</v>
      </c>
      <c r="P127" s="630" t="s">
        <v>12</v>
      </c>
    </row>
    <row r="128" spans="1:19" x14ac:dyDescent="0.2">
      <c r="A128" s="736"/>
      <c r="B128" s="737"/>
      <c r="C128" s="665" t="s">
        <v>1569</v>
      </c>
      <c r="E128" s="629">
        <v>137.59</v>
      </c>
      <c r="F128" s="662" t="s">
        <v>866</v>
      </c>
      <c r="G128" s="631">
        <v>1</v>
      </c>
      <c r="H128" s="631" t="s">
        <v>866</v>
      </c>
      <c r="I128" s="631">
        <f>I107-I121</f>
        <v>0.85</v>
      </c>
      <c r="J128" s="631" t="s">
        <v>866</v>
      </c>
      <c r="K128" s="631">
        <v>1</v>
      </c>
      <c r="L128" s="631"/>
      <c r="M128" s="631"/>
      <c r="N128" s="666" t="s">
        <v>799</v>
      </c>
      <c r="O128" s="631">
        <f t="shared" si="7"/>
        <v>116.9515</v>
      </c>
      <c r="P128" s="630" t="s">
        <v>12</v>
      </c>
    </row>
    <row r="129" spans="1:16" x14ac:dyDescent="0.2">
      <c r="A129" s="736"/>
      <c r="B129" s="737"/>
      <c r="C129" s="665" t="s">
        <v>1570</v>
      </c>
      <c r="E129" s="629">
        <v>86.84</v>
      </c>
      <c r="F129" s="662" t="s">
        <v>866</v>
      </c>
      <c r="G129" s="631">
        <v>1</v>
      </c>
      <c r="H129" s="631" t="s">
        <v>866</v>
      </c>
      <c r="I129" s="631">
        <f>I108-I122</f>
        <v>0.85</v>
      </c>
      <c r="J129" s="631" t="s">
        <v>866</v>
      </c>
      <c r="K129" s="631">
        <v>1</v>
      </c>
      <c r="L129" s="631"/>
      <c r="M129" s="631"/>
      <c r="N129" s="666" t="s">
        <v>799</v>
      </c>
      <c r="O129" s="631">
        <f t="shared" si="7"/>
        <v>73.814000000000007</v>
      </c>
      <c r="P129" s="630" t="s">
        <v>12</v>
      </c>
    </row>
    <row r="130" spans="1:16" ht="13.5" thickBot="1" x14ac:dyDescent="0.25">
      <c r="A130" s="736"/>
      <c r="B130" s="737"/>
      <c r="C130" s="665" t="s">
        <v>1571</v>
      </c>
      <c r="E130" s="629">
        <v>6954.07</v>
      </c>
      <c r="F130" s="662" t="s">
        <v>866</v>
      </c>
      <c r="G130" s="631">
        <v>1</v>
      </c>
      <c r="H130" s="631" t="s">
        <v>866</v>
      </c>
      <c r="I130" s="631">
        <f>I109-I123</f>
        <v>0.85</v>
      </c>
      <c r="J130" s="631" t="s">
        <v>866</v>
      </c>
      <c r="K130" s="631">
        <v>1</v>
      </c>
      <c r="L130" s="631"/>
      <c r="M130" s="631"/>
      <c r="N130" s="666" t="s">
        <v>799</v>
      </c>
      <c r="O130" s="631">
        <f t="shared" si="7"/>
        <v>5910.9594999999999</v>
      </c>
      <c r="P130" s="630" t="s">
        <v>12</v>
      </c>
    </row>
    <row r="131" spans="1:16" ht="13.5" thickBot="1" x14ac:dyDescent="0.25">
      <c r="A131" s="736"/>
      <c r="B131" s="737"/>
      <c r="C131" s="667"/>
      <c r="F131" s="666"/>
      <c r="G131" s="631"/>
      <c r="H131" s="631"/>
      <c r="I131" s="631"/>
      <c r="J131" s="631"/>
      <c r="K131" s="631"/>
      <c r="L131" s="631"/>
      <c r="M131" s="631"/>
      <c r="N131" s="666"/>
      <c r="O131" s="668">
        <f>ROUND((SUM(O126:O130)),2)</f>
        <v>10348.549999999999</v>
      </c>
      <c r="P131" s="669" t="s">
        <v>12</v>
      </c>
    </row>
    <row r="132" spans="1:16" x14ac:dyDescent="0.2">
      <c r="A132" s="734" t="s">
        <v>0</v>
      </c>
      <c r="B132" s="735" t="s">
        <v>1213</v>
      </c>
      <c r="C132" s="678" t="e">
        <f>#REF!</f>
        <v>#REF!</v>
      </c>
      <c r="D132" s="662" t="s">
        <v>799</v>
      </c>
      <c r="E132" s="663" t="s">
        <v>864</v>
      </c>
      <c r="F132" s="633"/>
      <c r="G132" s="664"/>
      <c r="H132" s="664"/>
      <c r="I132" s="664"/>
      <c r="J132" s="664"/>
      <c r="K132" s="664"/>
      <c r="L132" s="664"/>
      <c r="M132" s="664"/>
      <c r="O132" s="631"/>
    </row>
    <row r="133" spans="1:16" x14ac:dyDescent="0.2">
      <c r="A133" s="736"/>
      <c r="B133" s="737"/>
      <c r="C133" s="665" t="s">
        <v>1567</v>
      </c>
      <c r="E133" s="629">
        <v>4085.2</v>
      </c>
      <c r="F133" s="662"/>
      <c r="G133" s="631"/>
      <c r="H133" s="631"/>
      <c r="I133" s="631"/>
      <c r="J133" s="631"/>
      <c r="K133" s="631"/>
      <c r="L133" s="631"/>
      <c r="M133" s="631"/>
      <c r="N133" s="666" t="s">
        <v>799</v>
      </c>
      <c r="O133" s="631">
        <f>E133</f>
        <v>4085.2</v>
      </c>
      <c r="P133" s="630" t="s">
        <v>6</v>
      </c>
    </row>
    <row r="134" spans="1:16" x14ac:dyDescent="0.2">
      <c r="A134" s="736"/>
      <c r="B134" s="737"/>
      <c r="C134" s="665" t="s">
        <v>1568</v>
      </c>
      <c r="E134" s="629">
        <v>911.06</v>
      </c>
      <c r="F134" s="662"/>
      <c r="G134" s="631"/>
      <c r="H134" s="631"/>
      <c r="I134" s="631"/>
      <c r="J134" s="631"/>
      <c r="K134" s="631"/>
      <c r="L134" s="631"/>
      <c r="M134" s="631"/>
      <c r="N134" s="666" t="s">
        <v>799</v>
      </c>
      <c r="O134" s="631">
        <f t="shared" ref="O134:O136" si="8">E134</f>
        <v>911.06</v>
      </c>
      <c r="P134" s="630" t="s">
        <v>6</v>
      </c>
    </row>
    <row r="135" spans="1:16" x14ac:dyDescent="0.2">
      <c r="A135" s="736"/>
      <c r="B135" s="737"/>
      <c r="C135" s="665" t="s">
        <v>1569</v>
      </c>
      <c r="E135" s="629">
        <v>137.59</v>
      </c>
      <c r="F135" s="662"/>
      <c r="G135" s="631"/>
      <c r="H135" s="631"/>
      <c r="I135" s="631"/>
      <c r="J135" s="631"/>
      <c r="K135" s="631"/>
      <c r="L135" s="631"/>
      <c r="M135" s="631"/>
      <c r="N135" s="666" t="s">
        <v>799</v>
      </c>
      <c r="O135" s="631">
        <f t="shared" si="8"/>
        <v>137.59</v>
      </c>
      <c r="P135" s="630" t="s">
        <v>6</v>
      </c>
    </row>
    <row r="136" spans="1:16" ht="13.5" thickBot="1" x14ac:dyDescent="0.25">
      <c r="A136" s="736"/>
      <c r="B136" s="737"/>
      <c r="C136" s="665" t="s">
        <v>1570</v>
      </c>
      <c r="E136" s="629">
        <v>86.84</v>
      </c>
      <c r="F136" s="662"/>
      <c r="G136" s="631"/>
      <c r="H136" s="631"/>
      <c r="I136" s="631"/>
      <c r="J136" s="631"/>
      <c r="K136" s="631"/>
      <c r="L136" s="631"/>
      <c r="M136" s="631"/>
      <c r="N136" s="666" t="s">
        <v>799</v>
      </c>
      <c r="O136" s="631">
        <f t="shared" si="8"/>
        <v>86.84</v>
      </c>
      <c r="P136" s="630" t="s">
        <v>6</v>
      </c>
    </row>
    <row r="137" spans="1:16" ht="13.5" thickBot="1" x14ac:dyDescent="0.25">
      <c r="A137" s="736"/>
      <c r="B137" s="737"/>
      <c r="C137" s="667"/>
      <c r="F137" s="666"/>
      <c r="G137" s="631"/>
      <c r="H137" s="631"/>
      <c r="I137" s="631"/>
      <c r="J137" s="631"/>
      <c r="K137" s="631"/>
      <c r="L137" s="631"/>
      <c r="M137" s="631"/>
      <c r="N137" s="666"/>
      <c r="O137" s="668">
        <f>ROUND((SUM(O133:O136)),2)</f>
        <v>5220.6899999999996</v>
      </c>
      <c r="P137" s="669" t="s">
        <v>6</v>
      </c>
    </row>
    <row r="138" spans="1:16" ht="37.5" customHeight="1" x14ac:dyDescent="0.2">
      <c r="A138" s="734" t="s">
        <v>0</v>
      </c>
      <c r="B138" s="735" t="s">
        <v>1214</v>
      </c>
      <c r="C138" s="678" t="e">
        <f>#REF!</f>
        <v>#REF!</v>
      </c>
      <c r="D138" s="662" t="s">
        <v>799</v>
      </c>
      <c r="E138" s="663" t="s">
        <v>864</v>
      </c>
      <c r="F138" s="633"/>
      <c r="G138" s="664"/>
      <c r="H138" s="664"/>
      <c r="I138" s="664"/>
      <c r="J138" s="664"/>
      <c r="K138" s="664"/>
      <c r="L138" s="664"/>
      <c r="M138" s="664"/>
      <c r="O138" s="631"/>
    </row>
    <row r="139" spans="1:16" ht="13.5" thickBot="1" x14ac:dyDescent="0.25">
      <c r="A139" s="736"/>
      <c r="B139" s="737"/>
      <c r="C139" s="665" t="s">
        <v>1571</v>
      </c>
      <c r="E139" s="629">
        <v>6954.07</v>
      </c>
      <c r="F139" s="662"/>
      <c r="G139" s="631"/>
      <c r="H139" s="631"/>
      <c r="I139" s="631"/>
      <c r="J139" s="631"/>
      <c r="K139" s="631"/>
      <c r="L139" s="631"/>
      <c r="M139" s="631"/>
      <c r="N139" s="666" t="s">
        <v>799</v>
      </c>
      <c r="O139" s="631">
        <f>E139</f>
        <v>6954.07</v>
      </c>
      <c r="P139" s="630" t="s">
        <v>6</v>
      </c>
    </row>
    <row r="140" spans="1:16" ht="13.5" thickBot="1" x14ac:dyDescent="0.25">
      <c r="A140" s="736"/>
      <c r="B140" s="737"/>
      <c r="C140" s="667"/>
      <c r="F140" s="666"/>
      <c r="G140" s="631"/>
      <c r="H140" s="631"/>
      <c r="I140" s="631"/>
      <c r="J140" s="631"/>
      <c r="K140" s="631"/>
      <c r="L140" s="631"/>
      <c r="M140" s="631"/>
      <c r="N140" s="666"/>
      <c r="O140" s="668">
        <f>ROUND((SUM(O139:O139)),2)</f>
        <v>6954.07</v>
      </c>
      <c r="P140" s="669" t="s">
        <v>6</v>
      </c>
    </row>
    <row r="141" spans="1:16" ht="38.25" customHeight="1" x14ac:dyDescent="0.2">
      <c r="A141" s="734" t="s">
        <v>0</v>
      </c>
      <c r="B141" s="735" t="s">
        <v>1215</v>
      </c>
      <c r="C141" s="678" t="e">
        <f>#REF!</f>
        <v>#REF!</v>
      </c>
      <c r="D141" s="662" t="s">
        <v>799</v>
      </c>
      <c r="E141" s="663" t="s">
        <v>628</v>
      </c>
      <c r="F141" s="633"/>
      <c r="G141" s="664"/>
      <c r="H141" s="664"/>
      <c r="I141" s="664"/>
      <c r="J141" s="664"/>
      <c r="K141" s="664"/>
      <c r="L141" s="664"/>
      <c r="M141" s="664"/>
      <c r="O141" s="631"/>
    </row>
    <row r="142" spans="1:16" ht="13.5" thickBot="1" x14ac:dyDescent="0.25">
      <c r="A142" s="736"/>
      <c r="B142" s="737"/>
      <c r="C142" s="665" t="s">
        <v>1572</v>
      </c>
      <c r="E142" s="661">
        <v>1</v>
      </c>
      <c r="F142" s="662"/>
      <c r="G142" s="631"/>
      <c r="H142" s="631"/>
      <c r="I142" s="631"/>
      <c r="J142" s="631"/>
      <c r="K142" s="631"/>
      <c r="L142" s="631"/>
      <c r="M142" s="631"/>
      <c r="N142" s="666" t="s">
        <v>799</v>
      </c>
      <c r="O142" s="631">
        <f>E142</f>
        <v>1</v>
      </c>
      <c r="P142" s="657" t="s">
        <v>2</v>
      </c>
    </row>
    <row r="143" spans="1:16" ht="13.5" thickBot="1" x14ac:dyDescent="0.25">
      <c r="A143" s="736"/>
      <c r="B143" s="737"/>
      <c r="C143" s="667"/>
      <c r="F143" s="666"/>
      <c r="G143" s="631"/>
      <c r="H143" s="631"/>
      <c r="I143" s="631"/>
      <c r="J143" s="631"/>
      <c r="K143" s="631"/>
      <c r="L143" s="631"/>
      <c r="M143" s="631"/>
      <c r="N143" s="666"/>
      <c r="O143" s="668">
        <f>ROUND((SUM(O142:O142)),2)</f>
        <v>1</v>
      </c>
      <c r="P143" s="669" t="s">
        <v>2</v>
      </c>
    </row>
    <row r="144" spans="1:16" ht="50.25" customHeight="1" x14ac:dyDescent="0.2">
      <c r="A144" s="734" t="s">
        <v>0</v>
      </c>
      <c r="B144" s="735" t="s">
        <v>1216</v>
      </c>
      <c r="C144" s="751" t="e">
        <f>#REF!</f>
        <v>#REF!</v>
      </c>
      <c r="D144" s="662" t="s">
        <v>799</v>
      </c>
      <c r="E144" s="663" t="s">
        <v>628</v>
      </c>
      <c r="F144" s="633"/>
      <c r="G144" s="664"/>
      <c r="H144" s="664"/>
      <c r="I144" s="664"/>
      <c r="J144" s="664"/>
      <c r="K144" s="664"/>
      <c r="L144" s="664"/>
      <c r="M144" s="664"/>
      <c r="O144" s="631"/>
    </row>
    <row r="145" spans="1:16" ht="13.5" thickBot="1" x14ac:dyDescent="0.25">
      <c r="A145" s="736"/>
      <c r="B145" s="737"/>
      <c r="C145" s="665" t="s">
        <v>928</v>
      </c>
      <c r="E145" s="661">
        <v>11</v>
      </c>
      <c r="F145" s="662"/>
      <c r="G145" s="631"/>
      <c r="H145" s="631"/>
      <c r="I145" s="631"/>
      <c r="J145" s="631"/>
      <c r="K145" s="631"/>
      <c r="L145" s="631"/>
      <c r="M145" s="631"/>
      <c r="N145" s="666" t="s">
        <v>799</v>
      </c>
      <c r="O145" s="631">
        <f>E145</f>
        <v>11</v>
      </c>
      <c r="P145" s="657" t="s">
        <v>2</v>
      </c>
    </row>
    <row r="146" spans="1:16" ht="13.5" thickBot="1" x14ac:dyDescent="0.25">
      <c r="A146" s="736"/>
      <c r="B146" s="737"/>
      <c r="C146" s="667"/>
      <c r="F146" s="666"/>
      <c r="G146" s="631"/>
      <c r="H146" s="631"/>
      <c r="I146" s="631"/>
      <c r="J146" s="631"/>
      <c r="K146" s="631"/>
      <c r="L146" s="631"/>
      <c r="M146" s="631"/>
      <c r="N146" s="666"/>
      <c r="O146" s="668">
        <f>ROUND((SUM(O145:O145)),2)</f>
        <v>11</v>
      </c>
      <c r="P146" s="669" t="s">
        <v>2</v>
      </c>
    </row>
    <row r="147" spans="1:16" x14ac:dyDescent="0.2">
      <c r="A147" s="734" t="s">
        <v>0</v>
      </c>
      <c r="B147" s="735" t="s">
        <v>1574</v>
      </c>
      <c r="C147" s="678" t="e">
        <f>#REF!</f>
        <v>#REF!</v>
      </c>
      <c r="D147" s="662" t="s">
        <v>799</v>
      </c>
      <c r="E147" s="663" t="s">
        <v>628</v>
      </c>
      <c r="F147" s="633"/>
      <c r="G147" s="664"/>
      <c r="H147" s="664"/>
      <c r="I147" s="664"/>
      <c r="J147" s="664"/>
      <c r="K147" s="664"/>
      <c r="L147" s="664"/>
      <c r="M147" s="664"/>
      <c r="O147" s="631"/>
    </row>
    <row r="148" spans="1:16" ht="13.5" thickBot="1" x14ac:dyDescent="0.25">
      <c r="A148" s="736"/>
      <c r="B148" s="737"/>
      <c r="C148" s="665" t="s">
        <v>1575</v>
      </c>
      <c r="E148" s="661">
        <v>11</v>
      </c>
      <c r="F148" s="662"/>
      <c r="G148" s="631"/>
      <c r="H148" s="631"/>
      <c r="I148" s="631"/>
      <c r="J148" s="631"/>
      <c r="K148" s="631"/>
      <c r="L148" s="631"/>
      <c r="M148" s="631"/>
      <c r="N148" s="666" t="s">
        <v>799</v>
      </c>
      <c r="O148" s="631">
        <f>E148</f>
        <v>11</v>
      </c>
      <c r="P148" s="657" t="s">
        <v>2</v>
      </c>
    </row>
    <row r="149" spans="1:16" ht="13.5" thickBot="1" x14ac:dyDescent="0.25">
      <c r="A149" s="736"/>
      <c r="B149" s="737"/>
      <c r="C149" s="667"/>
      <c r="F149" s="666"/>
      <c r="G149" s="631"/>
      <c r="H149" s="631"/>
      <c r="I149" s="631"/>
      <c r="J149" s="631"/>
      <c r="K149" s="631"/>
      <c r="L149" s="631"/>
      <c r="M149" s="631"/>
      <c r="N149" s="666"/>
      <c r="O149" s="668">
        <f>ROUND((SUM(O148:O148)),2)</f>
        <v>11</v>
      </c>
      <c r="P149" s="669" t="s">
        <v>2</v>
      </c>
    </row>
    <row r="150" spans="1:16" x14ac:dyDescent="0.2">
      <c r="A150" s="734" t="s">
        <v>0</v>
      </c>
      <c r="B150" s="735" t="s">
        <v>1217</v>
      </c>
      <c r="C150" s="678" t="e">
        <f>#REF!</f>
        <v>#REF!</v>
      </c>
      <c r="D150" s="662" t="s">
        <v>799</v>
      </c>
      <c r="E150" s="663" t="s">
        <v>628</v>
      </c>
      <c r="F150" s="633"/>
      <c r="G150" s="664"/>
      <c r="H150" s="664"/>
      <c r="I150" s="664"/>
      <c r="J150" s="664"/>
      <c r="K150" s="664"/>
      <c r="L150" s="664"/>
      <c r="M150" s="664"/>
      <c r="O150" s="631"/>
    </row>
    <row r="151" spans="1:16" ht="13.5" thickBot="1" x14ac:dyDescent="0.25">
      <c r="A151" s="736"/>
      <c r="B151" s="737"/>
      <c r="C151" s="665" t="s">
        <v>929</v>
      </c>
      <c r="E151" s="661">
        <v>18</v>
      </c>
      <c r="F151" s="662"/>
      <c r="G151" s="631"/>
      <c r="H151" s="631"/>
      <c r="I151" s="631"/>
      <c r="J151" s="631"/>
      <c r="K151" s="631"/>
      <c r="L151" s="631"/>
      <c r="M151" s="631"/>
      <c r="N151" s="666" t="s">
        <v>799</v>
      </c>
      <c r="O151" s="631">
        <f>E151</f>
        <v>18</v>
      </c>
      <c r="P151" s="657" t="s">
        <v>2</v>
      </c>
    </row>
    <row r="152" spans="1:16" ht="13.5" thickBot="1" x14ac:dyDescent="0.25">
      <c r="A152" s="736"/>
      <c r="B152" s="737"/>
      <c r="C152" s="667"/>
      <c r="F152" s="666"/>
      <c r="G152" s="631"/>
      <c r="H152" s="631"/>
      <c r="I152" s="631"/>
      <c r="J152" s="631"/>
      <c r="K152" s="631"/>
      <c r="L152" s="631"/>
      <c r="M152" s="631"/>
      <c r="N152" s="666"/>
      <c r="O152" s="668">
        <f>ROUND((SUM(O151:O151)),2)</f>
        <v>18</v>
      </c>
      <c r="P152" s="669" t="s">
        <v>2</v>
      </c>
    </row>
    <row r="153" spans="1:16" x14ac:dyDescent="0.2">
      <c r="A153" s="734" t="s">
        <v>0</v>
      </c>
      <c r="B153" s="735" t="s">
        <v>1218</v>
      </c>
      <c r="C153" s="678" t="e">
        <f>#REF!</f>
        <v>#REF!</v>
      </c>
      <c r="D153" s="662" t="s">
        <v>799</v>
      </c>
      <c r="E153" s="663" t="s">
        <v>628</v>
      </c>
      <c r="F153" s="633"/>
      <c r="G153" s="664"/>
      <c r="H153" s="664"/>
      <c r="I153" s="664"/>
      <c r="J153" s="664"/>
      <c r="K153" s="664"/>
      <c r="L153" s="664"/>
      <c r="M153" s="664"/>
      <c r="O153" s="631"/>
    </row>
    <row r="154" spans="1:16" ht="13.5" thickBot="1" x14ac:dyDescent="0.25">
      <c r="A154" s="736"/>
      <c r="B154" s="737"/>
      <c r="C154" s="665" t="s">
        <v>929</v>
      </c>
      <c r="E154" s="661">
        <v>4</v>
      </c>
      <c r="F154" s="662"/>
      <c r="G154" s="631"/>
      <c r="H154" s="631"/>
      <c r="I154" s="631"/>
      <c r="J154" s="631"/>
      <c r="K154" s="631"/>
      <c r="L154" s="631"/>
      <c r="M154" s="631"/>
      <c r="N154" s="666" t="s">
        <v>799</v>
      </c>
      <c r="O154" s="631">
        <f>E154</f>
        <v>4</v>
      </c>
      <c r="P154" s="657" t="s">
        <v>2</v>
      </c>
    </row>
    <row r="155" spans="1:16" ht="13.5" thickBot="1" x14ac:dyDescent="0.25">
      <c r="A155" s="736"/>
      <c r="B155" s="737"/>
      <c r="C155" s="667"/>
      <c r="F155" s="666"/>
      <c r="G155" s="631"/>
      <c r="H155" s="631"/>
      <c r="I155" s="631"/>
      <c r="J155" s="631"/>
      <c r="K155" s="631"/>
      <c r="L155" s="631"/>
      <c r="M155" s="631"/>
      <c r="N155" s="666"/>
      <c r="O155" s="668">
        <f>ROUND((SUM(O154:O154)),2)</f>
        <v>4</v>
      </c>
      <c r="P155" s="669" t="s">
        <v>2</v>
      </c>
    </row>
    <row r="156" spans="1:16" ht="111.75" customHeight="1" x14ac:dyDescent="0.2">
      <c r="A156" s="734" t="s">
        <v>0</v>
      </c>
      <c r="B156" s="735" t="s">
        <v>1219</v>
      </c>
      <c r="C156" s="751" t="e">
        <f>#REF!</f>
        <v>#REF!</v>
      </c>
      <c r="D156" s="662" t="s">
        <v>799</v>
      </c>
      <c r="E156" s="663" t="s">
        <v>628</v>
      </c>
      <c r="F156" s="633"/>
      <c r="G156" s="664"/>
      <c r="H156" s="664"/>
      <c r="I156" s="664"/>
      <c r="J156" s="664"/>
      <c r="K156" s="664"/>
      <c r="L156" s="664"/>
      <c r="M156" s="664"/>
      <c r="O156" s="631"/>
    </row>
    <row r="157" spans="1:16" x14ac:dyDescent="0.2">
      <c r="A157" s="736"/>
      <c r="B157" s="737"/>
      <c r="C157" s="665" t="s">
        <v>928</v>
      </c>
      <c r="E157" s="661">
        <v>11</v>
      </c>
      <c r="F157" s="662"/>
      <c r="G157" s="631"/>
      <c r="H157" s="631"/>
      <c r="I157" s="631"/>
      <c r="J157" s="631"/>
      <c r="K157" s="631"/>
      <c r="L157" s="631"/>
      <c r="M157" s="631"/>
      <c r="N157" s="666" t="s">
        <v>799</v>
      </c>
      <c r="O157" s="631">
        <f>E157</f>
        <v>11</v>
      </c>
      <c r="P157" s="657" t="s">
        <v>2</v>
      </c>
    </row>
    <row r="158" spans="1:16" ht="13.5" thickBot="1" x14ac:dyDescent="0.25">
      <c r="A158" s="736"/>
      <c r="B158" s="737"/>
      <c r="C158" s="665" t="s">
        <v>1575</v>
      </c>
      <c r="E158" s="661">
        <v>11</v>
      </c>
      <c r="F158" s="662"/>
      <c r="G158" s="631"/>
      <c r="H158" s="631"/>
      <c r="I158" s="631"/>
      <c r="J158" s="631"/>
      <c r="K158" s="631"/>
      <c r="L158" s="631"/>
      <c r="M158" s="631"/>
      <c r="N158" s="666" t="s">
        <v>799</v>
      </c>
      <c r="O158" s="631">
        <f>E158</f>
        <v>11</v>
      </c>
      <c r="P158" s="657" t="s">
        <v>2</v>
      </c>
    </row>
    <row r="159" spans="1:16" ht="13.5" thickBot="1" x14ac:dyDescent="0.25">
      <c r="A159" s="736"/>
      <c r="B159" s="737"/>
      <c r="C159" s="667"/>
      <c r="F159" s="666"/>
      <c r="G159" s="631"/>
      <c r="H159" s="631"/>
      <c r="I159" s="631"/>
      <c r="J159" s="631"/>
      <c r="K159" s="631"/>
      <c r="L159" s="631"/>
      <c r="M159" s="631"/>
      <c r="N159" s="666"/>
      <c r="O159" s="668">
        <f>ROUND((SUM(O157:O158)),2)</f>
        <v>22</v>
      </c>
      <c r="P159" s="669" t="s">
        <v>2</v>
      </c>
    </row>
    <row r="160" spans="1:16" x14ac:dyDescent="0.2">
      <c r="A160" s="734" t="s">
        <v>0</v>
      </c>
      <c r="B160" s="735" t="s">
        <v>1220</v>
      </c>
      <c r="C160" s="751" t="e">
        <f>#REF!</f>
        <v>#REF!</v>
      </c>
      <c r="D160" s="662" t="s">
        <v>799</v>
      </c>
      <c r="E160" s="663" t="s">
        <v>864</v>
      </c>
      <c r="F160" s="633"/>
      <c r="G160" s="664"/>
      <c r="H160" s="664"/>
      <c r="I160" s="664"/>
      <c r="J160" s="664"/>
      <c r="K160" s="664"/>
      <c r="L160" s="664"/>
      <c r="M160" s="664"/>
      <c r="O160" s="631"/>
    </row>
    <row r="161" spans="1:16" ht="13.5" thickBot="1" x14ac:dyDescent="0.25">
      <c r="A161" s="736"/>
      <c r="B161" s="737"/>
      <c r="C161" s="665" t="s">
        <v>929</v>
      </c>
      <c r="E161" s="629">
        <f>255+360.5</f>
        <v>615.5</v>
      </c>
      <c r="F161" s="662"/>
      <c r="G161" s="631"/>
      <c r="H161" s="631"/>
      <c r="I161" s="631"/>
      <c r="J161" s="631"/>
      <c r="K161" s="631"/>
      <c r="L161" s="631"/>
      <c r="M161" s="631"/>
      <c r="N161" s="666" t="s">
        <v>799</v>
      </c>
      <c r="O161" s="631">
        <f>E161</f>
        <v>615.5</v>
      </c>
      <c r="P161" s="657" t="s">
        <v>6</v>
      </c>
    </row>
    <row r="162" spans="1:16" ht="13.5" thickBot="1" x14ac:dyDescent="0.25">
      <c r="A162" s="736"/>
      <c r="B162" s="737"/>
      <c r="C162" s="667"/>
      <c r="F162" s="666"/>
      <c r="G162" s="631"/>
      <c r="H162" s="631"/>
      <c r="I162" s="631"/>
      <c r="J162" s="631"/>
      <c r="K162" s="631"/>
      <c r="L162" s="631"/>
      <c r="M162" s="631"/>
      <c r="N162" s="666"/>
      <c r="O162" s="668">
        <f>ROUND((SUM(O161:O161)),2)</f>
        <v>615.5</v>
      </c>
      <c r="P162" s="669" t="s">
        <v>6</v>
      </c>
    </row>
    <row r="163" spans="1:16" x14ac:dyDescent="0.2">
      <c r="A163" s="734" t="s">
        <v>0</v>
      </c>
      <c r="B163" s="735" t="s">
        <v>1221</v>
      </c>
      <c r="C163" s="751" t="e">
        <f>#REF!</f>
        <v>#REF!</v>
      </c>
      <c r="D163" s="662" t="s">
        <v>799</v>
      </c>
      <c r="E163" s="663" t="s">
        <v>628</v>
      </c>
      <c r="F163" s="633"/>
      <c r="G163" s="664"/>
      <c r="H163" s="664"/>
      <c r="I163" s="664"/>
      <c r="J163" s="664"/>
      <c r="K163" s="664"/>
      <c r="L163" s="664"/>
      <c r="M163" s="664"/>
      <c r="O163" s="631"/>
    </row>
    <row r="164" spans="1:16" ht="13.5" thickBot="1" x14ac:dyDescent="0.25">
      <c r="A164" s="736"/>
      <c r="B164" s="737"/>
      <c r="C164" s="665" t="s">
        <v>1070</v>
      </c>
      <c r="E164" s="629">
        <v>1</v>
      </c>
      <c r="F164" s="662"/>
      <c r="G164" s="631"/>
      <c r="H164" s="631"/>
      <c r="I164" s="631"/>
      <c r="J164" s="631"/>
      <c r="K164" s="631"/>
      <c r="L164" s="631"/>
      <c r="M164" s="631"/>
      <c r="N164" s="666" t="s">
        <v>799</v>
      </c>
      <c r="O164" s="631">
        <f>E164</f>
        <v>1</v>
      </c>
      <c r="P164" s="657" t="s">
        <v>2</v>
      </c>
    </row>
    <row r="165" spans="1:16" ht="13.5" thickBot="1" x14ac:dyDescent="0.25">
      <c r="A165" s="736"/>
      <c r="B165" s="737"/>
      <c r="C165" s="667"/>
      <c r="F165" s="666"/>
      <c r="G165" s="631"/>
      <c r="H165" s="631"/>
      <c r="I165" s="631"/>
      <c r="J165" s="631"/>
      <c r="K165" s="631"/>
      <c r="L165" s="631"/>
      <c r="M165" s="631"/>
      <c r="N165" s="666"/>
      <c r="O165" s="668">
        <f>ROUND((SUM(O164:O164)),2)</f>
        <v>1</v>
      </c>
      <c r="P165" s="669" t="s">
        <v>2</v>
      </c>
    </row>
    <row r="166" spans="1:16" x14ac:dyDescent="0.2">
      <c r="A166" s="736"/>
      <c r="B166" s="737"/>
      <c r="C166" s="667"/>
      <c r="F166" s="666"/>
      <c r="G166" s="631"/>
      <c r="H166" s="631"/>
      <c r="I166" s="631"/>
      <c r="J166" s="631"/>
      <c r="K166" s="631"/>
      <c r="L166" s="631"/>
      <c r="M166" s="631"/>
      <c r="N166" s="666"/>
      <c r="O166" s="632"/>
      <c r="P166" s="633"/>
    </row>
    <row r="167" spans="1:16" ht="15.75" x14ac:dyDescent="0.25">
      <c r="A167" s="736"/>
      <c r="B167" s="737"/>
      <c r="C167" s="912" t="s">
        <v>1160</v>
      </c>
      <c r="F167" s="666"/>
      <c r="G167" s="631"/>
      <c r="H167" s="631"/>
      <c r="I167" s="631"/>
      <c r="J167" s="631"/>
      <c r="K167" s="631"/>
      <c r="L167" s="631"/>
      <c r="M167" s="631"/>
      <c r="N167" s="666"/>
      <c r="O167" s="632"/>
      <c r="P167" s="633"/>
    </row>
    <row r="168" spans="1:16" x14ac:dyDescent="0.2">
      <c r="A168" s="734" t="s">
        <v>0</v>
      </c>
      <c r="B168" s="735" t="s">
        <v>1222</v>
      </c>
      <c r="C168" s="678" t="e">
        <f>#REF!</f>
        <v>#REF!</v>
      </c>
      <c r="D168" s="662" t="s">
        <v>799</v>
      </c>
      <c r="E168" s="663" t="s">
        <v>864</v>
      </c>
      <c r="F168" s="633"/>
      <c r="G168" s="664"/>
      <c r="H168" s="664"/>
      <c r="I168" s="664"/>
      <c r="J168" s="664"/>
      <c r="K168" s="664"/>
      <c r="L168" s="664"/>
      <c r="M168" s="664"/>
      <c r="O168" s="631"/>
    </row>
    <row r="169" spans="1:16" ht="13.5" thickBot="1" x14ac:dyDescent="0.25">
      <c r="A169" s="736"/>
      <c r="B169" s="737"/>
      <c r="C169" s="665" t="s">
        <v>1570</v>
      </c>
      <c r="E169" s="629">
        <v>86.84</v>
      </c>
      <c r="F169" s="662"/>
      <c r="G169" s="631"/>
      <c r="H169" s="631"/>
      <c r="I169" s="631"/>
      <c r="J169" s="631"/>
      <c r="K169" s="631"/>
      <c r="L169" s="631"/>
      <c r="M169" s="631"/>
      <c r="N169" s="666" t="s">
        <v>799</v>
      </c>
      <c r="O169" s="631">
        <f>E169</f>
        <v>86.84</v>
      </c>
      <c r="P169" s="630" t="s">
        <v>6</v>
      </c>
    </row>
    <row r="170" spans="1:16" ht="13.5" thickBot="1" x14ac:dyDescent="0.25">
      <c r="A170" s="736"/>
      <c r="B170" s="737"/>
      <c r="C170" s="667"/>
      <c r="F170" s="666"/>
      <c r="G170" s="631"/>
      <c r="H170" s="631"/>
      <c r="I170" s="631"/>
      <c r="J170" s="631"/>
      <c r="K170" s="631"/>
      <c r="L170" s="631"/>
      <c r="M170" s="631"/>
      <c r="N170" s="666"/>
      <c r="O170" s="668">
        <f>ROUND((SUM(O169:O169)),2)</f>
        <v>86.84</v>
      </c>
      <c r="P170" s="669" t="s">
        <v>6</v>
      </c>
    </row>
    <row r="171" spans="1:16" ht="24.75" customHeight="1" x14ac:dyDescent="0.2">
      <c r="A171" s="734" t="s">
        <v>0</v>
      </c>
      <c r="B171" s="735" t="s">
        <v>1576</v>
      </c>
      <c r="C171" s="678" t="e">
        <f>#REF!</f>
        <v>#REF!</v>
      </c>
      <c r="D171" s="662" t="s">
        <v>799</v>
      </c>
      <c r="E171" s="663" t="s">
        <v>864</v>
      </c>
      <c r="F171" s="633"/>
      <c r="G171" s="664"/>
      <c r="H171" s="664"/>
      <c r="I171" s="664"/>
      <c r="J171" s="664"/>
      <c r="K171" s="664"/>
      <c r="L171" s="664"/>
      <c r="M171" s="664"/>
      <c r="O171" s="631"/>
    </row>
    <row r="172" spans="1:16" ht="13.5" thickBot="1" x14ac:dyDescent="0.25">
      <c r="A172" s="736"/>
      <c r="B172" s="737"/>
      <c r="C172" s="665" t="s">
        <v>1569</v>
      </c>
      <c r="E172" s="629">
        <v>137.59</v>
      </c>
      <c r="F172" s="662"/>
      <c r="G172" s="631"/>
      <c r="H172" s="631"/>
      <c r="I172" s="631"/>
      <c r="J172" s="631"/>
      <c r="K172" s="631"/>
      <c r="L172" s="631"/>
      <c r="M172" s="631"/>
      <c r="N172" s="666" t="s">
        <v>799</v>
      </c>
      <c r="O172" s="631">
        <f>E172</f>
        <v>137.59</v>
      </c>
      <c r="P172" s="630" t="s">
        <v>6</v>
      </c>
    </row>
    <row r="173" spans="1:16" ht="13.5" thickBot="1" x14ac:dyDescent="0.25">
      <c r="A173" s="736"/>
      <c r="B173" s="737"/>
      <c r="C173" s="667"/>
      <c r="F173" s="666"/>
      <c r="G173" s="631"/>
      <c r="H173" s="631"/>
      <c r="I173" s="631"/>
      <c r="J173" s="631"/>
      <c r="K173" s="631"/>
      <c r="L173" s="631"/>
      <c r="M173" s="631"/>
      <c r="N173" s="666"/>
      <c r="O173" s="668">
        <f>ROUND((SUM(O172:O172)),2)</f>
        <v>137.59</v>
      </c>
      <c r="P173" s="669" t="s">
        <v>6</v>
      </c>
    </row>
    <row r="174" spans="1:16" x14ac:dyDescent="0.2">
      <c r="A174" s="736"/>
      <c r="B174" s="737"/>
      <c r="C174" s="667"/>
      <c r="F174" s="666"/>
      <c r="G174" s="631"/>
      <c r="H174" s="631"/>
      <c r="I174" s="631"/>
      <c r="J174" s="631"/>
      <c r="K174" s="631"/>
      <c r="L174" s="631"/>
      <c r="M174" s="631"/>
      <c r="N174" s="666"/>
      <c r="O174" s="632"/>
      <c r="P174" s="633"/>
    </row>
    <row r="175" spans="1:16" x14ac:dyDescent="0.2">
      <c r="A175" s="736"/>
      <c r="B175" s="737"/>
      <c r="C175" s="667"/>
      <c r="F175" s="666"/>
      <c r="G175" s="631"/>
      <c r="H175" s="631"/>
      <c r="I175" s="631"/>
      <c r="J175" s="631"/>
      <c r="K175" s="631"/>
      <c r="L175" s="631"/>
      <c r="M175" s="631"/>
      <c r="N175" s="666"/>
      <c r="O175" s="632"/>
      <c r="P175" s="633"/>
    </row>
    <row r="176" spans="1:16" ht="27.75" customHeight="1" x14ac:dyDescent="0.2">
      <c r="A176" s="734" t="s">
        <v>0</v>
      </c>
      <c r="B176" s="735" t="s">
        <v>1577</v>
      </c>
      <c r="C176" s="678" t="e">
        <f>#REF!</f>
        <v>#REF!</v>
      </c>
      <c r="D176" s="662" t="s">
        <v>799</v>
      </c>
      <c r="E176" s="663" t="s">
        <v>864</v>
      </c>
      <c r="F176" s="633"/>
      <c r="G176" s="664"/>
      <c r="H176" s="664"/>
      <c r="I176" s="664"/>
      <c r="J176" s="664"/>
      <c r="K176" s="664"/>
      <c r="L176" s="664"/>
      <c r="M176" s="664"/>
      <c r="O176" s="631"/>
    </row>
    <row r="177" spans="1:16" ht="13.5" thickBot="1" x14ac:dyDescent="0.25">
      <c r="A177" s="736"/>
      <c r="B177" s="737"/>
      <c r="C177" s="665" t="s">
        <v>1568</v>
      </c>
      <c r="E177" s="629">
        <v>911.06</v>
      </c>
      <c r="F177" s="662"/>
      <c r="G177" s="631"/>
      <c r="H177" s="631"/>
      <c r="I177" s="631"/>
      <c r="J177" s="631"/>
      <c r="K177" s="631"/>
      <c r="L177" s="631"/>
      <c r="M177" s="631"/>
      <c r="N177" s="666" t="s">
        <v>799</v>
      </c>
      <c r="O177" s="631">
        <f>E177</f>
        <v>911.06</v>
      </c>
      <c r="P177" s="630" t="s">
        <v>6</v>
      </c>
    </row>
    <row r="178" spans="1:16" ht="13.5" thickBot="1" x14ac:dyDescent="0.25">
      <c r="A178" s="736"/>
      <c r="B178" s="737"/>
      <c r="C178" s="667"/>
      <c r="F178" s="666"/>
      <c r="G178" s="631"/>
      <c r="H178" s="631"/>
      <c r="I178" s="631"/>
      <c r="J178" s="631"/>
      <c r="K178" s="631"/>
      <c r="L178" s="631"/>
      <c r="M178" s="631"/>
      <c r="N178" s="666"/>
      <c r="O178" s="668">
        <f>ROUND((SUM(O177:O177)),2)</f>
        <v>911.06</v>
      </c>
      <c r="P178" s="669" t="s">
        <v>6</v>
      </c>
    </row>
    <row r="179" spans="1:16" ht="24" customHeight="1" x14ac:dyDescent="0.2">
      <c r="A179" s="734" t="s">
        <v>0</v>
      </c>
      <c r="B179" s="735" t="s">
        <v>1709</v>
      </c>
      <c r="C179" s="678" t="e">
        <f>#REF!</f>
        <v>#REF!</v>
      </c>
      <c r="D179" s="662" t="s">
        <v>799</v>
      </c>
      <c r="E179" s="663" t="s">
        <v>864</v>
      </c>
      <c r="F179" s="633"/>
      <c r="G179" s="664"/>
      <c r="H179" s="664"/>
      <c r="I179" s="664"/>
      <c r="J179" s="664"/>
      <c r="K179" s="664"/>
      <c r="L179" s="664"/>
      <c r="M179" s="664"/>
      <c r="O179" s="631"/>
    </row>
    <row r="180" spans="1:16" ht="13.5" thickBot="1" x14ac:dyDescent="0.25">
      <c r="A180" s="736"/>
      <c r="B180" s="737"/>
      <c r="C180" s="665" t="s">
        <v>1567</v>
      </c>
      <c r="E180" s="629">
        <v>4085.2</v>
      </c>
      <c r="F180" s="662"/>
      <c r="G180" s="631"/>
      <c r="H180" s="631"/>
      <c r="I180" s="631"/>
      <c r="J180" s="631"/>
      <c r="K180" s="631"/>
      <c r="L180" s="631"/>
      <c r="M180" s="631"/>
      <c r="N180" s="666" t="s">
        <v>799</v>
      </c>
      <c r="O180" s="631">
        <f>E180</f>
        <v>4085.2</v>
      </c>
      <c r="P180" s="630" t="s">
        <v>6</v>
      </c>
    </row>
    <row r="181" spans="1:16" ht="13.5" thickBot="1" x14ac:dyDescent="0.25">
      <c r="A181" s="736"/>
      <c r="B181" s="737"/>
      <c r="C181" s="667"/>
      <c r="F181" s="666"/>
      <c r="G181" s="631"/>
      <c r="H181" s="631"/>
      <c r="I181" s="631"/>
      <c r="J181" s="631"/>
      <c r="K181" s="631"/>
      <c r="L181" s="631"/>
      <c r="M181" s="631"/>
      <c r="N181" s="666"/>
      <c r="O181" s="668">
        <f>ROUND((SUM(O180:O180)),2)</f>
        <v>4085.2</v>
      </c>
      <c r="P181" s="669" t="s">
        <v>6</v>
      </c>
    </row>
    <row r="182" spans="1:16" ht="29.25" customHeight="1" x14ac:dyDescent="0.2">
      <c r="A182" s="734" t="s">
        <v>0</v>
      </c>
      <c r="B182" s="735" t="s">
        <v>1710</v>
      </c>
      <c r="C182" s="678" t="e">
        <f>#REF!</f>
        <v>#REF!</v>
      </c>
      <c r="D182" s="662" t="s">
        <v>799</v>
      </c>
      <c r="E182" s="663" t="s">
        <v>864</v>
      </c>
      <c r="F182" s="633"/>
      <c r="G182" s="664"/>
      <c r="H182" s="664"/>
      <c r="I182" s="664"/>
      <c r="J182" s="664"/>
      <c r="K182" s="664"/>
      <c r="L182" s="664"/>
      <c r="M182" s="664"/>
      <c r="O182" s="631"/>
    </row>
    <row r="183" spans="1:16" ht="13.5" thickBot="1" x14ac:dyDescent="0.25">
      <c r="A183" s="736"/>
      <c r="B183" s="737"/>
      <c r="C183" s="665" t="s">
        <v>1571</v>
      </c>
      <c r="E183" s="629">
        <v>6954.07</v>
      </c>
      <c r="F183" s="662"/>
      <c r="G183" s="631"/>
      <c r="H183" s="631"/>
      <c r="I183" s="631"/>
      <c r="J183" s="631"/>
      <c r="K183" s="631"/>
      <c r="L183" s="631"/>
      <c r="M183" s="631"/>
      <c r="N183" s="666" t="s">
        <v>799</v>
      </c>
      <c r="O183" s="631">
        <f>E183</f>
        <v>6954.07</v>
      </c>
      <c r="P183" s="630" t="s">
        <v>6</v>
      </c>
    </row>
    <row r="184" spans="1:16" ht="13.5" thickBot="1" x14ac:dyDescent="0.25">
      <c r="A184" s="736"/>
      <c r="B184" s="737"/>
      <c r="C184" s="667"/>
      <c r="F184" s="666"/>
      <c r="G184" s="631"/>
      <c r="H184" s="631"/>
      <c r="I184" s="631"/>
      <c r="J184" s="631"/>
      <c r="K184" s="631"/>
      <c r="L184" s="631"/>
      <c r="M184" s="631"/>
      <c r="N184" s="666"/>
      <c r="O184" s="668">
        <f>ROUND((SUM(O183:O183)),2)</f>
        <v>6954.07</v>
      </c>
      <c r="P184" s="669" t="s">
        <v>6</v>
      </c>
    </row>
    <row r="185" spans="1:16" x14ac:dyDescent="0.2">
      <c r="A185" s="736"/>
      <c r="B185" s="737"/>
      <c r="C185" s="667"/>
      <c r="F185" s="666"/>
      <c r="G185" s="631"/>
      <c r="H185" s="631"/>
      <c r="I185" s="631"/>
      <c r="J185" s="631"/>
      <c r="K185" s="631"/>
      <c r="L185" s="631"/>
      <c r="M185" s="631"/>
      <c r="N185" s="666"/>
      <c r="O185" s="632"/>
      <c r="P185" s="633"/>
    </row>
    <row r="186" spans="1:16" x14ac:dyDescent="0.2">
      <c r="A186" s="736"/>
      <c r="B186" s="737"/>
      <c r="C186" s="667"/>
      <c r="F186" s="666"/>
      <c r="G186" s="631"/>
      <c r="H186" s="631"/>
      <c r="I186" s="631"/>
      <c r="J186" s="631"/>
      <c r="K186" s="631"/>
      <c r="L186" s="631"/>
      <c r="M186" s="631"/>
      <c r="N186" s="666"/>
      <c r="O186" s="632"/>
      <c r="P186" s="633"/>
    </row>
    <row r="187" spans="1:16" ht="15.75" x14ac:dyDescent="0.2">
      <c r="A187" s="1904" t="s">
        <v>1223</v>
      </c>
      <c r="B187" s="1914"/>
      <c r="C187" s="1914"/>
      <c r="D187" s="1914"/>
      <c r="E187" s="1914"/>
      <c r="F187" s="1914"/>
      <c r="G187" s="1914"/>
      <c r="H187" s="1914"/>
      <c r="I187" s="1914"/>
      <c r="J187" s="1914"/>
      <c r="K187" s="1914"/>
      <c r="L187" s="1914"/>
      <c r="M187" s="1914"/>
      <c r="N187" s="1914"/>
      <c r="O187" s="1914"/>
      <c r="P187" s="1914"/>
    </row>
    <row r="188" spans="1:16" x14ac:dyDescent="0.2">
      <c r="B188" s="660"/>
      <c r="C188" s="660"/>
      <c r="G188" s="670"/>
      <c r="H188" s="670"/>
      <c r="I188" s="670"/>
      <c r="J188" s="670"/>
      <c r="K188" s="670"/>
      <c r="L188" s="670"/>
      <c r="M188" s="670"/>
      <c r="O188" s="670"/>
    </row>
    <row r="189" spans="1:16" ht="15.75" x14ac:dyDescent="0.2">
      <c r="A189" s="736"/>
      <c r="B189" s="931" t="s">
        <v>1224</v>
      </c>
      <c r="C189" s="932" t="s">
        <v>1578</v>
      </c>
      <c r="D189" s="799"/>
      <c r="E189" s="800"/>
      <c r="F189" s="801"/>
      <c r="G189" s="802"/>
      <c r="H189" s="658"/>
      <c r="I189" s="658"/>
      <c r="J189" s="658"/>
      <c r="K189" s="658"/>
      <c r="L189" s="658"/>
      <c r="M189" s="658"/>
      <c r="N189" s="657"/>
      <c r="O189" s="658"/>
      <c r="P189" s="659"/>
    </row>
    <row r="190" spans="1:16" ht="15.75" x14ac:dyDescent="0.25">
      <c r="A190" s="736"/>
      <c r="B190" s="749"/>
      <c r="C190" s="912" t="s">
        <v>1159</v>
      </c>
      <c r="D190" s="656"/>
      <c r="E190" s="629"/>
      <c r="F190" s="657"/>
      <c r="G190" s="658"/>
      <c r="H190" s="658"/>
      <c r="I190" s="658"/>
      <c r="J190" s="658"/>
      <c r="K190" s="658"/>
      <c r="L190" s="658"/>
      <c r="M190" s="658"/>
      <c r="N190" s="657"/>
      <c r="O190" s="658"/>
      <c r="P190" s="659"/>
    </row>
    <row r="191" spans="1:16" x14ac:dyDescent="0.2">
      <c r="A191" s="736"/>
      <c r="B191" s="737"/>
      <c r="C191" s="737"/>
      <c r="G191" s="670"/>
      <c r="H191" s="670"/>
      <c r="I191" s="670"/>
      <c r="J191" s="670"/>
      <c r="K191" s="670"/>
      <c r="L191" s="670"/>
      <c r="M191" s="670"/>
      <c r="O191" s="670"/>
    </row>
    <row r="192" spans="1:16" x14ac:dyDescent="0.2">
      <c r="A192" s="736"/>
      <c r="B192" s="737"/>
      <c r="C192" s="737"/>
      <c r="G192" s="670"/>
      <c r="H192" s="670"/>
      <c r="I192" s="670"/>
      <c r="J192" s="670"/>
      <c r="K192" s="670"/>
      <c r="L192" s="670"/>
      <c r="M192" s="670"/>
      <c r="O192" s="670"/>
    </row>
    <row r="193" spans="1:22" ht="50.25" customHeight="1" x14ac:dyDescent="0.2">
      <c r="A193" s="734" t="s">
        <v>0</v>
      </c>
      <c r="B193" s="735" t="s">
        <v>1225</v>
      </c>
      <c r="C193" s="678" t="e">
        <f>#REF!</f>
        <v>#REF!</v>
      </c>
      <c r="D193" s="662" t="s">
        <v>799</v>
      </c>
      <c r="E193" s="663" t="s">
        <v>864</v>
      </c>
      <c r="F193" s="633"/>
      <c r="G193" s="664" t="s">
        <v>865</v>
      </c>
      <c r="H193" s="664"/>
      <c r="I193" s="664" t="s">
        <v>628</v>
      </c>
      <c r="J193" s="664"/>
      <c r="K193" s="664"/>
      <c r="L193" s="664"/>
      <c r="M193" s="664"/>
      <c r="O193" s="631"/>
    </row>
    <row r="194" spans="1:22" x14ac:dyDescent="0.2">
      <c r="A194" s="736"/>
      <c r="B194" s="737"/>
      <c r="C194" s="665" t="s">
        <v>1080</v>
      </c>
      <c r="E194" s="661">
        <v>1.3</v>
      </c>
      <c r="F194" s="662" t="s">
        <v>866</v>
      </c>
      <c r="G194" s="631">
        <v>2.5</v>
      </c>
      <c r="H194" s="662" t="s">
        <v>866</v>
      </c>
      <c r="I194" s="631">
        <v>1</v>
      </c>
      <c r="J194" s="631"/>
      <c r="K194" s="631"/>
      <c r="L194" s="631"/>
      <c r="M194" s="631"/>
      <c r="N194" s="666" t="s">
        <v>799</v>
      </c>
      <c r="O194" s="631">
        <f>E194*G194*I194</f>
        <v>3.25</v>
      </c>
      <c r="P194" s="630" t="s">
        <v>4</v>
      </c>
    </row>
    <row r="195" spans="1:22" x14ac:dyDescent="0.2">
      <c r="A195" s="736"/>
      <c r="B195" s="737"/>
      <c r="C195" s="665" t="s">
        <v>894</v>
      </c>
      <c r="E195" s="661">
        <v>11</v>
      </c>
      <c r="F195" s="662" t="s">
        <v>866</v>
      </c>
      <c r="G195" s="631">
        <v>3.2</v>
      </c>
      <c r="H195" s="662" t="s">
        <v>866</v>
      </c>
      <c r="I195" s="631">
        <v>1</v>
      </c>
      <c r="J195" s="631"/>
      <c r="K195" s="631"/>
      <c r="L195" s="631"/>
      <c r="M195" s="631"/>
      <c r="N195" s="666" t="s">
        <v>799</v>
      </c>
      <c r="O195" s="631">
        <f t="shared" ref="O195:O197" si="9">E195*G195*I195</f>
        <v>35.200000000000003</v>
      </c>
      <c r="P195" s="630" t="s">
        <v>4</v>
      </c>
    </row>
    <row r="196" spans="1:22" x14ac:dyDescent="0.2">
      <c r="A196" s="736"/>
      <c r="B196" s="737"/>
      <c r="C196" s="665" t="s">
        <v>1081</v>
      </c>
      <c r="E196" s="661">
        <v>0.8</v>
      </c>
      <c r="F196" s="662" t="s">
        <v>866</v>
      </c>
      <c r="G196" s="631">
        <v>3.2</v>
      </c>
      <c r="H196" s="662" t="s">
        <v>866</v>
      </c>
      <c r="I196" s="631">
        <v>1</v>
      </c>
      <c r="J196" s="631"/>
      <c r="K196" s="631"/>
      <c r="L196" s="631"/>
      <c r="M196" s="631"/>
      <c r="N196" s="666" t="s">
        <v>799</v>
      </c>
      <c r="O196" s="631">
        <f t="shared" si="9"/>
        <v>2.5600000000000005</v>
      </c>
      <c r="P196" s="630" t="s">
        <v>4</v>
      </c>
    </row>
    <row r="197" spans="1:22" ht="13.5" thickBot="1" x14ac:dyDescent="0.25">
      <c r="A197" s="736"/>
      <c r="B197" s="737"/>
      <c r="C197" s="665" t="s">
        <v>1082</v>
      </c>
      <c r="E197" s="661">
        <v>2.1</v>
      </c>
      <c r="F197" s="662" t="s">
        <v>866</v>
      </c>
      <c r="G197" s="631">
        <v>1.8</v>
      </c>
      <c r="H197" s="662" t="s">
        <v>866</v>
      </c>
      <c r="I197" s="631">
        <v>1</v>
      </c>
      <c r="J197" s="631"/>
      <c r="K197" s="631"/>
      <c r="L197" s="631"/>
      <c r="M197" s="631"/>
      <c r="N197" s="666" t="s">
        <v>799</v>
      </c>
      <c r="O197" s="631">
        <f t="shared" si="9"/>
        <v>3.7800000000000002</v>
      </c>
      <c r="P197" s="630" t="s">
        <v>4</v>
      </c>
    </row>
    <row r="198" spans="1:22" ht="13.5" thickBot="1" x14ac:dyDescent="0.25">
      <c r="A198" s="736"/>
      <c r="B198" s="737"/>
      <c r="C198" s="667"/>
      <c r="F198" s="666"/>
      <c r="G198" s="631"/>
      <c r="H198" s="631"/>
      <c r="I198" s="631"/>
      <c r="J198" s="631"/>
      <c r="K198" s="631"/>
      <c r="L198" s="631"/>
      <c r="M198" s="631"/>
      <c r="N198" s="666"/>
      <c r="O198" s="668">
        <f>ROUND((SUM(O194:O197)),2)</f>
        <v>44.79</v>
      </c>
      <c r="P198" s="669" t="s">
        <v>4</v>
      </c>
    </row>
    <row r="199" spans="1:22" ht="45.75" customHeight="1" x14ac:dyDescent="0.2">
      <c r="A199" s="734" t="s">
        <v>0</v>
      </c>
      <c r="B199" s="735" t="s">
        <v>1226</v>
      </c>
      <c r="C199" s="678" t="e">
        <f>#REF!</f>
        <v>#REF!</v>
      </c>
      <c r="D199" s="662" t="s">
        <v>799</v>
      </c>
      <c r="E199" s="663" t="s">
        <v>864</v>
      </c>
      <c r="F199" s="633"/>
      <c r="G199" s="664" t="s">
        <v>865</v>
      </c>
      <c r="H199" s="664"/>
      <c r="I199" s="664" t="s">
        <v>883</v>
      </c>
      <c r="J199" s="664"/>
      <c r="K199" s="664"/>
      <c r="L199" s="664"/>
      <c r="M199" s="664"/>
      <c r="O199" s="631"/>
    </row>
    <row r="200" spans="1:22" ht="15.75" thickBot="1" x14ac:dyDescent="0.3">
      <c r="A200" s="736"/>
      <c r="B200" s="737"/>
      <c r="C200" s="665" t="s">
        <v>894</v>
      </c>
      <c r="E200" s="661">
        <v>17.100000000000001</v>
      </c>
      <c r="F200" s="662" t="s">
        <v>866</v>
      </c>
      <c r="G200" s="631">
        <v>7.2</v>
      </c>
      <c r="H200" s="631" t="s">
        <v>866</v>
      </c>
      <c r="I200" s="631">
        <v>2.65</v>
      </c>
      <c r="J200" s="631"/>
      <c r="K200" s="631"/>
      <c r="L200" s="631"/>
      <c r="M200" s="631"/>
      <c r="N200" s="666" t="s">
        <v>799</v>
      </c>
      <c r="O200" s="631">
        <f>E200*G200*I200</f>
        <v>326.26800000000003</v>
      </c>
      <c r="P200" s="630" t="s">
        <v>12</v>
      </c>
      <c r="R200" s="1919"/>
      <c r="S200" s="1919"/>
      <c r="T200" s="1919"/>
      <c r="U200" s="1919"/>
      <c r="V200" s="1919"/>
    </row>
    <row r="201" spans="1:22" ht="13.5" thickBot="1" x14ac:dyDescent="0.25">
      <c r="A201" s="736"/>
      <c r="B201" s="737"/>
      <c r="C201" s="667"/>
      <c r="F201" s="666"/>
      <c r="G201" s="631"/>
      <c r="H201" s="631"/>
      <c r="I201" s="631"/>
      <c r="J201" s="631"/>
      <c r="K201" s="631"/>
      <c r="L201" s="631"/>
      <c r="M201" s="631"/>
      <c r="N201" s="666"/>
      <c r="O201" s="668">
        <f>ROUND((SUM(O200:O200)),2)</f>
        <v>326.27</v>
      </c>
      <c r="P201" s="669" t="s">
        <v>12</v>
      </c>
    </row>
    <row r="202" spans="1:22" ht="83.25" customHeight="1" x14ac:dyDescent="0.2">
      <c r="A202" s="734" t="s">
        <v>0</v>
      </c>
      <c r="B202" s="735" t="s">
        <v>1227</v>
      </c>
      <c r="C202" s="678" t="e">
        <f>#REF!</f>
        <v>#REF!</v>
      </c>
      <c r="D202" s="662" t="s">
        <v>799</v>
      </c>
      <c r="E202" s="663" t="s">
        <v>864</v>
      </c>
      <c r="F202" s="633"/>
      <c r="G202" s="664" t="s">
        <v>865</v>
      </c>
      <c r="H202" s="664"/>
      <c r="I202" s="664" t="s">
        <v>883</v>
      </c>
      <c r="J202" s="664"/>
      <c r="K202" s="664" t="s">
        <v>977</v>
      </c>
      <c r="L202" s="664"/>
      <c r="M202" s="664"/>
      <c r="O202" s="631"/>
    </row>
    <row r="203" spans="1:22" ht="13.5" thickBot="1" x14ac:dyDescent="0.25">
      <c r="A203" s="736"/>
      <c r="B203" s="737"/>
      <c r="C203" s="665" t="s">
        <v>894</v>
      </c>
      <c r="E203" s="661">
        <v>17.100000000000001</v>
      </c>
      <c r="F203" s="662" t="s">
        <v>866</v>
      </c>
      <c r="G203" s="631">
        <v>7.2</v>
      </c>
      <c r="H203" s="631" t="s">
        <v>866</v>
      </c>
      <c r="I203" s="631">
        <v>2.65</v>
      </c>
      <c r="J203" s="631"/>
      <c r="K203" s="631">
        <v>5</v>
      </c>
      <c r="L203" s="631"/>
      <c r="M203" s="631"/>
      <c r="N203" s="666" t="s">
        <v>799</v>
      </c>
      <c r="O203" s="631">
        <f>E203*G203*I203*K203</f>
        <v>1631.3400000000001</v>
      </c>
      <c r="P203" s="657" t="s">
        <v>976</v>
      </c>
    </row>
    <row r="204" spans="1:22" ht="13.5" thickBot="1" x14ac:dyDescent="0.25">
      <c r="A204" s="736"/>
      <c r="B204" s="737"/>
      <c r="C204" s="667"/>
      <c r="F204" s="666"/>
      <c r="G204" s="631"/>
      <c r="H204" s="631"/>
      <c r="I204" s="631"/>
      <c r="J204" s="631"/>
      <c r="K204" s="631"/>
      <c r="L204" s="631"/>
      <c r="M204" s="631"/>
      <c r="N204" s="666"/>
      <c r="O204" s="668">
        <f>ROUND((SUM(O203:O203)),2)</f>
        <v>1631.34</v>
      </c>
      <c r="P204" s="669" t="s">
        <v>976</v>
      </c>
    </row>
    <row r="205" spans="1:22" ht="58.5" customHeight="1" x14ac:dyDescent="0.2">
      <c r="A205" s="734" t="s">
        <v>0</v>
      </c>
      <c r="B205" s="735" t="s">
        <v>1228</v>
      </c>
      <c r="C205" s="678" t="e">
        <f>#REF!</f>
        <v>#REF!</v>
      </c>
      <c r="D205" s="662" t="s">
        <v>799</v>
      </c>
      <c r="E205" s="663" t="s">
        <v>864</v>
      </c>
      <c r="F205" s="633"/>
      <c r="G205" s="664" t="s">
        <v>865</v>
      </c>
      <c r="H205" s="664"/>
      <c r="I205" s="664" t="s">
        <v>883</v>
      </c>
      <c r="J205" s="664"/>
      <c r="K205" s="664"/>
      <c r="L205" s="664"/>
      <c r="M205" s="664"/>
      <c r="O205" s="631"/>
    </row>
    <row r="206" spans="1:22" ht="15.75" thickBot="1" x14ac:dyDescent="0.3">
      <c r="A206" s="736"/>
      <c r="B206" s="737"/>
      <c r="C206" s="665" t="s">
        <v>894</v>
      </c>
      <c r="E206" s="661">
        <f>17.1+17.1+3.2+3.2</f>
        <v>40.600000000000009</v>
      </c>
      <c r="F206" s="662" t="s">
        <v>866</v>
      </c>
      <c r="G206" s="631">
        <v>2</v>
      </c>
      <c r="H206" s="631" t="s">
        <v>866</v>
      </c>
      <c r="I206" s="631">
        <v>2.6</v>
      </c>
      <c r="J206" s="631"/>
      <c r="K206" s="631"/>
      <c r="L206" s="631"/>
      <c r="M206" s="631"/>
      <c r="N206" s="666" t="s">
        <v>799</v>
      </c>
      <c r="O206" s="631">
        <f>E206*G206*I206</f>
        <v>211.12000000000006</v>
      </c>
      <c r="P206" s="630" t="s">
        <v>12</v>
      </c>
      <c r="R206" s="1918"/>
      <c r="S206" s="1918"/>
      <c r="T206" s="1918"/>
      <c r="U206" s="1918"/>
      <c r="V206" s="1918"/>
    </row>
    <row r="207" spans="1:22" ht="13.5" thickBot="1" x14ac:dyDescent="0.25">
      <c r="A207" s="736"/>
      <c r="B207" s="737"/>
      <c r="C207" s="667"/>
      <c r="F207" s="666"/>
      <c r="G207" s="631"/>
      <c r="H207" s="631"/>
      <c r="I207" s="631"/>
      <c r="J207" s="631"/>
      <c r="K207" s="631"/>
      <c r="L207" s="631"/>
      <c r="M207" s="631"/>
      <c r="N207" s="666"/>
      <c r="O207" s="668">
        <f>ROUND((SUM(O206:O206)),2)</f>
        <v>211.12</v>
      </c>
      <c r="P207" s="669" t="s">
        <v>12</v>
      </c>
    </row>
    <row r="208" spans="1:22" ht="51" customHeight="1" x14ac:dyDescent="0.2">
      <c r="A208" s="734" t="s">
        <v>0</v>
      </c>
      <c r="B208" s="735" t="s">
        <v>1229</v>
      </c>
      <c r="C208" s="678" t="e">
        <f>#REF!</f>
        <v>#REF!</v>
      </c>
      <c r="D208" s="662" t="s">
        <v>799</v>
      </c>
      <c r="E208" s="663" t="s">
        <v>864</v>
      </c>
      <c r="F208" s="633"/>
      <c r="G208" s="664" t="s">
        <v>865</v>
      </c>
      <c r="H208" s="664"/>
      <c r="I208" s="664" t="s">
        <v>883</v>
      </c>
      <c r="J208" s="664"/>
      <c r="K208" s="664" t="s">
        <v>628</v>
      </c>
      <c r="L208" s="664"/>
      <c r="M208" s="664"/>
      <c r="O208" s="631"/>
    </row>
    <row r="209" spans="1:22" ht="15.75" customHeight="1" x14ac:dyDescent="0.25">
      <c r="A209" s="736"/>
      <c r="B209" s="737"/>
      <c r="C209" s="665" t="s">
        <v>1080</v>
      </c>
      <c r="E209" s="661">
        <v>1.3</v>
      </c>
      <c r="F209" s="662" t="s">
        <v>866</v>
      </c>
      <c r="G209" s="631">
        <v>2.5</v>
      </c>
      <c r="H209" s="631" t="s">
        <v>866</v>
      </c>
      <c r="I209" s="631">
        <v>0.05</v>
      </c>
      <c r="J209" s="631" t="s">
        <v>866</v>
      </c>
      <c r="K209" s="631">
        <v>1</v>
      </c>
      <c r="L209" s="631"/>
      <c r="M209" s="631"/>
      <c r="N209" s="666" t="s">
        <v>799</v>
      </c>
      <c r="O209" s="631">
        <f>E209*G209*I209*K209</f>
        <v>0.16250000000000001</v>
      </c>
      <c r="P209" s="630" t="s">
        <v>12</v>
      </c>
      <c r="R209" s="1918"/>
      <c r="S209" s="1918"/>
      <c r="T209" s="1918"/>
      <c r="U209" s="1918"/>
      <c r="V209" s="1918"/>
    </row>
    <row r="210" spans="1:22" ht="15.75" customHeight="1" x14ac:dyDescent="0.25">
      <c r="A210" s="736"/>
      <c r="B210" s="737"/>
      <c r="C210" s="665" t="s">
        <v>894</v>
      </c>
      <c r="E210" s="661">
        <v>11</v>
      </c>
      <c r="F210" s="662" t="s">
        <v>866</v>
      </c>
      <c r="G210" s="631">
        <v>3.2</v>
      </c>
      <c r="H210" s="631" t="s">
        <v>866</v>
      </c>
      <c r="I210" s="631">
        <v>0.05</v>
      </c>
      <c r="J210" s="631" t="s">
        <v>866</v>
      </c>
      <c r="K210" s="631">
        <v>1</v>
      </c>
      <c r="L210" s="631"/>
      <c r="M210" s="631"/>
      <c r="N210" s="666" t="s">
        <v>799</v>
      </c>
      <c r="O210" s="631">
        <f>E210*G210*I210*K210</f>
        <v>1.7600000000000002</v>
      </c>
      <c r="P210" s="630" t="s">
        <v>12</v>
      </c>
      <c r="R210" s="693"/>
      <c r="S210" s="693"/>
      <c r="T210" s="693"/>
      <c r="U210" s="693"/>
      <c r="V210" s="693"/>
    </row>
    <row r="211" spans="1:22" ht="15.75" customHeight="1" x14ac:dyDescent="0.25">
      <c r="A211" s="736"/>
      <c r="B211" s="737"/>
      <c r="C211" s="665" t="s">
        <v>1081</v>
      </c>
      <c r="E211" s="661">
        <v>0.8</v>
      </c>
      <c r="F211" s="662" t="s">
        <v>866</v>
      </c>
      <c r="G211" s="631">
        <v>3.2</v>
      </c>
      <c r="H211" s="631" t="s">
        <v>866</v>
      </c>
      <c r="I211" s="631">
        <v>0.05</v>
      </c>
      <c r="J211" s="631" t="s">
        <v>866</v>
      </c>
      <c r="K211" s="631">
        <v>1</v>
      </c>
      <c r="L211" s="631"/>
      <c r="M211" s="631"/>
      <c r="N211" s="666" t="s">
        <v>799</v>
      </c>
      <c r="O211" s="631">
        <f>E211*G211*I211*K211</f>
        <v>0.12800000000000003</v>
      </c>
      <c r="P211" s="630" t="s">
        <v>12</v>
      </c>
      <c r="R211" s="693"/>
      <c r="S211" s="693"/>
      <c r="T211" s="693"/>
      <c r="U211" s="693"/>
      <c r="V211" s="693"/>
    </row>
    <row r="212" spans="1:22" ht="15.75" customHeight="1" thickBot="1" x14ac:dyDescent="0.3">
      <c r="A212" s="736"/>
      <c r="B212" s="737"/>
      <c r="C212" s="665" t="s">
        <v>1082</v>
      </c>
      <c r="E212" s="661">
        <v>2.1</v>
      </c>
      <c r="F212" s="662" t="s">
        <v>866</v>
      </c>
      <c r="G212" s="631">
        <v>1.8</v>
      </c>
      <c r="H212" s="631" t="s">
        <v>866</v>
      </c>
      <c r="I212" s="631">
        <v>0.05</v>
      </c>
      <c r="J212" s="631" t="s">
        <v>866</v>
      </c>
      <c r="K212" s="631">
        <v>1</v>
      </c>
      <c r="L212" s="631"/>
      <c r="M212" s="631"/>
      <c r="N212" s="666" t="s">
        <v>799</v>
      </c>
      <c r="O212" s="631">
        <f>E212*G212*I212*K212</f>
        <v>0.18900000000000003</v>
      </c>
      <c r="P212" s="630" t="s">
        <v>12</v>
      </c>
      <c r="R212" s="693"/>
      <c r="S212" s="693"/>
      <c r="T212" s="693"/>
      <c r="U212" s="693"/>
      <c r="V212" s="693"/>
    </row>
    <row r="213" spans="1:22" ht="15.75" customHeight="1" thickBot="1" x14ac:dyDescent="0.25">
      <c r="A213" s="736"/>
      <c r="B213" s="737"/>
      <c r="C213" s="667"/>
      <c r="F213" s="666"/>
      <c r="G213" s="631"/>
      <c r="H213" s="631"/>
      <c r="I213" s="631"/>
      <c r="J213" s="631"/>
      <c r="K213" s="631"/>
      <c r="L213" s="631"/>
      <c r="M213" s="631"/>
      <c r="N213" s="666"/>
      <c r="O213" s="668">
        <f>ROUND((SUM(O209:O212)),2)</f>
        <v>2.2400000000000002</v>
      </c>
      <c r="P213" s="669" t="s">
        <v>12</v>
      </c>
    </row>
    <row r="214" spans="1:22" ht="48" customHeight="1" x14ac:dyDescent="0.2">
      <c r="A214" s="734" t="s">
        <v>0</v>
      </c>
      <c r="B214" s="735" t="s">
        <v>1230</v>
      </c>
      <c r="C214" s="678" t="e">
        <f>#REF!</f>
        <v>#REF!</v>
      </c>
      <c r="D214" s="662" t="s">
        <v>799</v>
      </c>
      <c r="E214" s="663" t="s">
        <v>864</v>
      </c>
      <c r="F214" s="633"/>
      <c r="G214" s="664" t="s">
        <v>865</v>
      </c>
      <c r="H214" s="664"/>
      <c r="I214" s="664" t="s">
        <v>883</v>
      </c>
      <c r="J214" s="664"/>
      <c r="K214" s="664" t="s">
        <v>628</v>
      </c>
      <c r="L214" s="664"/>
      <c r="M214" s="664"/>
      <c r="O214" s="631"/>
    </row>
    <row r="215" spans="1:22" ht="15" customHeight="1" x14ac:dyDescent="0.2">
      <c r="A215" s="734"/>
      <c r="B215" s="735"/>
      <c r="C215" s="921" t="s">
        <v>1080</v>
      </c>
      <c r="D215" s="662"/>
      <c r="E215" s="663"/>
      <c r="F215" s="633"/>
      <c r="G215" s="664"/>
      <c r="H215" s="664"/>
      <c r="I215" s="664"/>
      <c r="J215" s="664"/>
      <c r="K215" s="664"/>
      <c r="L215" s="664"/>
      <c r="M215" s="664"/>
      <c r="O215" s="631"/>
    </row>
    <row r="216" spans="1:22" ht="15" x14ac:dyDescent="0.2">
      <c r="A216" s="736"/>
      <c r="B216" s="737"/>
      <c r="C216" s="665" t="s">
        <v>887</v>
      </c>
      <c r="E216" s="629">
        <v>0.83</v>
      </c>
      <c r="F216" s="662" t="s">
        <v>866</v>
      </c>
      <c r="G216" s="631">
        <v>0.3</v>
      </c>
      <c r="H216" s="631" t="s">
        <v>866</v>
      </c>
      <c r="I216" s="631">
        <v>1.9</v>
      </c>
      <c r="J216" s="658" t="s">
        <v>866</v>
      </c>
      <c r="K216" s="631">
        <v>1</v>
      </c>
      <c r="L216" s="631"/>
      <c r="M216" s="631"/>
      <c r="N216" s="666" t="s">
        <v>799</v>
      </c>
      <c r="O216" s="631">
        <f>E216*G216*I216*K216</f>
        <v>0.47309999999999991</v>
      </c>
      <c r="P216" s="630" t="s">
        <v>12</v>
      </c>
      <c r="R216" s="1917"/>
      <c r="S216" s="1917"/>
      <c r="T216" s="1917"/>
      <c r="U216" s="1917"/>
      <c r="V216" s="1917"/>
    </row>
    <row r="217" spans="1:22" ht="15" x14ac:dyDescent="0.25">
      <c r="A217" s="736"/>
      <c r="B217" s="737"/>
      <c r="C217" s="665" t="s">
        <v>886</v>
      </c>
      <c r="E217" s="661">
        <v>0.83</v>
      </c>
      <c r="F217" s="662" t="s">
        <v>866</v>
      </c>
      <c r="G217" s="631">
        <v>0.3</v>
      </c>
      <c r="H217" s="631" t="s">
        <v>866</v>
      </c>
      <c r="I217" s="631">
        <v>1.3</v>
      </c>
      <c r="J217" s="658" t="s">
        <v>866</v>
      </c>
      <c r="K217" s="631">
        <v>2</v>
      </c>
      <c r="L217" s="631"/>
      <c r="M217" s="631"/>
      <c r="N217" s="666" t="s">
        <v>799</v>
      </c>
      <c r="O217" s="631">
        <f t="shared" ref="O217:O233" si="10">E217*G217*I217*K217</f>
        <v>0.64739999999999998</v>
      </c>
      <c r="P217" s="630" t="s">
        <v>12</v>
      </c>
      <c r="R217" s="1918"/>
      <c r="S217" s="1918"/>
      <c r="T217" s="1918"/>
      <c r="U217" s="1918"/>
      <c r="V217" s="1918"/>
    </row>
    <row r="218" spans="1:22" ht="15" x14ac:dyDescent="0.25">
      <c r="A218" s="736"/>
      <c r="B218" s="737"/>
      <c r="C218" s="665"/>
      <c r="E218" s="661">
        <v>1</v>
      </c>
      <c r="F218" s="662" t="s">
        <v>866</v>
      </c>
      <c r="G218" s="631">
        <v>0.1</v>
      </c>
      <c r="H218" s="631" t="s">
        <v>866</v>
      </c>
      <c r="I218" s="631">
        <v>0.45</v>
      </c>
      <c r="J218" s="658" t="s">
        <v>866</v>
      </c>
      <c r="K218" s="631">
        <v>1</v>
      </c>
      <c r="L218" s="631"/>
      <c r="M218" s="631"/>
      <c r="N218" s="666" t="s">
        <v>799</v>
      </c>
      <c r="O218" s="631">
        <f t="shared" si="10"/>
        <v>4.5000000000000005E-2</v>
      </c>
      <c r="P218" s="630" t="s">
        <v>12</v>
      </c>
      <c r="R218" s="693"/>
      <c r="S218" s="693"/>
      <c r="T218" s="693"/>
      <c r="U218" s="693"/>
      <c r="V218" s="693"/>
    </row>
    <row r="219" spans="1:22" ht="15" x14ac:dyDescent="0.25">
      <c r="A219" s="736"/>
      <c r="B219" s="737"/>
      <c r="C219" s="665" t="s">
        <v>885</v>
      </c>
      <c r="E219" s="661">
        <v>1.3</v>
      </c>
      <c r="F219" s="662" t="s">
        <v>866</v>
      </c>
      <c r="G219" s="631">
        <v>0.3</v>
      </c>
      <c r="H219" s="631" t="s">
        <v>866</v>
      </c>
      <c r="I219" s="631">
        <v>2.5</v>
      </c>
      <c r="J219" s="658" t="s">
        <v>866</v>
      </c>
      <c r="K219" s="631">
        <v>1</v>
      </c>
      <c r="L219" s="631"/>
      <c r="M219" s="631"/>
      <c r="N219" s="666" t="s">
        <v>799</v>
      </c>
      <c r="O219" s="631">
        <f t="shared" si="10"/>
        <v>0.97500000000000009</v>
      </c>
      <c r="P219" s="630" t="s">
        <v>12</v>
      </c>
      <c r="R219" s="693"/>
      <c r="S219" s="693"/>
      <c r="T219" s="693"/>
      <c r="U219" s="693"/>
      <c r="V219" s="693"/>
    </row>
    <row r="220" spans="1:22" ht="15" x14ac:dyDescent="0.25">
      <c r="A220" s="736"/>
      <c r="B220" s="737"/>
      <c r="C220" s="921" t="s">
        <v>894</v>
      </c>
      <c r="F220" s="662"/>
      <c r="G220" s="631"/>
      <c r="H220" s="631"/>
      <c r="I220" s="631"/>
      <c r="J220" s="658"/>
      <c r="K220" s="631"/>
      <c r="L220" s="631"/>
      <c r="M220" s="631"/>
      <c r="N220" s="666"/>
      <c r="O220" s="631"/>
      <c r="P220" s="630"/>
      <c r="R220" s="693"/>
      <c r="S220" s="693"/>
      <c r="T220" s="693"/>
      <c r="U220" s="693"/>
      <c r="V220" s="693"/>
    </row>
    <row r="221" spans="1:22" ht="15" x14ac:dyDescent="0.25">
      <c r="A221" s="736"/>
      <c r="B221" s="737"/>
      <c r="C221" s="665" t="s">
        <v>1552</v>
      </c>
      <c r="E221" s="661">
        <v>2.83</v>
      </c>
      <c r="F221" s="662" t="s">
        <v>866</v>
      </c>
      <c r="G221" s="631">
        <v>0.3</v>
      </c>
      <c r="H221" s="631" t="s">
        <v>866</v>
      </c>
      <c r="I221" s="631">
        <v>2.6</v>
      </c>
      <c r="J221" s="658" t="s">
        <v>866</v>
      </c>
      <c r="K221" s="631">
        <v>1</v>
      </c>
      <c r="L221" s="631"/>
      <c r="M221" s="631"/>
      <c r="N221" s="666" t="s">
        <v>799</v>
      </c>
      <c r="O221" s="631">
        <f t="shared" si="10"/>
        <v>2.2073999999999998</v>
      </c>
      <c r="P221" s="630" t="s">
        <v>12</v>
      </c>
      <c r="R221" s="693"/>
      <c r="S221" s="693"/>
      <c r="T221" s="693"/>
      <c r="U221" s="693"/>
      <c r="V221" s="693"/>
    </row>
    <row r="222" spans="1:22" ht="15" x14ac:dyDescent="0.25">
      <c r="A222" s="736"/>
      <c r="B222" s="737"/>
      <c r="C222" s="665"/>
      <c r="E222" s="661">
        <v>2.46</v>
      </c>
      <c r="F222" s="662" t="s">
        <v>866</v>
      </c>
      <c r="G222" s="631">
        <v>0.3</v>
      </c>
      <c r="H222" s="631" t="s">
        <v>866</v>
      </c>
      <c r="I222" s="631">
        <v>2.6</v>
      </c>
      <c r="J222" s="658" t="s">
        <v>866</v>
      </c>
      <c r="K222" s="631">
        <v>1</v>
      </c>
      <c r="L222" s="631"/>
      <c r="M222" s="631"/>
      <c r="N222" s="666" t="s">
        <v>799</v>
      </c>
      <c r="O222" s="631">
        <f t="shared" si="10"/>
        <v>1.9188000000000001</v>
      </c>
      <c r="P222" s="630" t="s">
        <v>12</v>
      </c>
      <c r="R222" s="693"/>
      <c r="S222" s="693"/>
      <c r="T222" s="693"/>
      <c r="U222" s="693"/>
      <c r="V222" s="693"/>
    </row>
    <row r="223" spans="1:22" ht="15" x14ac:dyDescent="0.25">
      <c r="A223" s="736"/>
      <c r="B223" s="737"/>
      <c r="C223" s="665"/>
      <c r="E223" s="661">
        <v>1.08</v>
      </c>
      <c r="F223" s="662" t="s">
        <v>866</v>
      </c>
      <c r="G223" s="631">
        <v>0.25</v>
      </c>
      <c r="H223" s="631" t="s">
        <v>866</v>
      </c>
      <c r="I223" s="631">
        <v>2.6</v>
      </c>
      <c r="J223" s="658" t="s">
        <v>866</v>
      </c>
      <c r="K223" s="631">
        <v>2</v>
      </c>
      <c r="L223" s="631"/>
      <c r="M223" s="631"/>
      <c r="N223" s="666" t="s">
        <v>799</v>
      </c>
      <c r="O223" s="631">
        <f t="shared" si="10"/>
        <v>1.4040000000000001</v>
      </c>
      <c r="P223" s="630" t="s">
        <v>12</v>
      </c>
      <c r="R223" s="693"/>
      <c r="S223" s="693"/>
      <c r="T223" s="693"/>
      <c r="U223" s="693"/>
      <c r="V223" s="693"/>
    </row>
    <row r="224" spans="1:22" ht="15" x14ac:dyDescent="0.25">
      <c r="A224" s="736"/>
      <c r="B224" s="737"/>
      <c r="C224" s="665" t="s">
        <v>886</v>
      </c>
      <c r="E224" s="661">
        <v>11</v>
      </c>
      <c r="F224" s="662" t="s">
        <v>866</v>
      </c>
      <c r="G224" s="631">
        <v>0.3</v>
      </c>
      <c r="H224" s="631" t="s">
        <v>866</v>
      </c>
      <c r="I224" s="631">
        <v>2.83</v>
      </c>
      <c r="J224" s="658" t="s">
        <v>866</v>
      </c>
      <c r="K224" s="631">
        <v>2</v>
      </c>
      <c r="L224" s="631"/>
      <c r="M224" s="631"/>
      <c r="N224" s="666" t="s">
        <v>799</v>
      </c>
      <c r="O224" s="631">
        <f t="shared" si="10"/>
        <v>18.678000000000001</v>
      </c>
      <c r="P224" s="630" t="s">
        <v>12</v>
      </c>
      <c r="R224" s="693"/>
      <c r="S224" s="693"/>
      <c r="T224" s="693"/>
      <c r="U224" s="693"/>
      <c r="V224" s="693"/>
    </row>
    <row r="225" spans="1:22" ht="15" x14ac:dyDescent="0.25">
      <c r="A225" s="736"/>
      <c r="B225" s="737"/>
      <c r="C225" s="665" t="s">
        <v>885</v>
      </c>
      <c r="E225" s="661">
        <v>11</v>
      </c>
      <c r="F225" s="662" t="s">
        <v>866</v>
      </c>
      <c r="G225" s="631">
        <v>0.3</v>
      </c>
      <c r="H225" s="631" t="s">
        <v>866</v>
      </c>
      <c r="I225" s="631">
        <v>3.2</v>
      </c>
      <c r="J225" s="658" t="s">
        <v>866</v>
      </c>
      <c r="K225" s="631">
        <v>1</v>
      </c>
      <c r="L225" s="631"/>
      <c r="M225" s="631"/>
      <c r="N225" s="666" t="s">
        <v>799</v>
      </c>
      <c r="O225" s="631">
        <f t="shared" si="10"/>
        <v>10.56</v>
      </c>
      <c r="P225" s="630" t="s">
        <v>12</v>
      </c>
      <c r="R225" s="693"/>
      <c r="S225" s="693"/>
      <c r="T225" s="693"/>
      <c r="U225" s="693"/>
      <c r="V225" s="693"/>
    </row>
    <row r="226" spans="1:22" ht="15" x14ac:dyDescent="0.25">
      <c r="A226" s="736"/>
      <c r="B226" s="737"/>
      <c r="C226" s="665" t="s">
        <v>1553</v>
      </c>
      <c r="E226" s="661">
        <v>3.47</v>
      </c>
      <c r="F226" s="662" t="s">
        <v>866</v>
      </c>
      <c r="G226" s="631">
        <v>0.2</v>
      </c>
      <c r="H226" s="631" t="s">
        <v>866</v>
      </c>
      <c r="I226" s="631">
        <v>2.6</v>
      </c>
      <c r="J226" s="658" t="s">
        <v>866</v>
      </c>
      <c r="K226" s="631">
        <v>1</v>
      </c>
      <c r="L226" s="631"/>
      <c r="M226" s="631"/>
      <c r="N226" s="666" t="s">
        <v>799</v>
      </c>
      <c r="O226" s="631">
        <f t="shared" si="10"/>
        <v>1.8044000000000002</v>
      </c>
      <c r="P226" s="630" t="s">
        <v>12</v>
      </c>
      <c r="R226" s="693"/>
      <c r="S226" s="693"/>
      <c r="T226" s="693"/>
      <c r="U226" s="693"/>
      <c r="V226" s="693"/>
    </row>
    <row r="227" spans="1:22" ht="15" x14ac:dyDescent="0.25">
      <c r="A227" s="736"/>
      <c r="B227" s="737"/>
      <c r="C227" s="665"/>
      <c r="E227" s="661">
        <v>6.93</v>
      </c>
      <c r="F227" s="662" t="s">
        <v>866</v>
      </c>
      <c r="G227" s="631">
        <v>0.2</v>
      </c>
      <c r="H227" s="631" t="s">
        <v>866</v>
      </c>
      <c r="I227" s="631">
        <v>2.6</v>
      </c>
      <c r="J227" s="658" t="s">
        <v>866</v>
      </c>
      <c r="K227" s="631">
        <v>1</v>
      </c>
      <c r="L227" s="631"/>
      <c r="M227" s="631"/>
      <c r="N227" s="666" t="s">
        <v>799</v>
      </c>
      <c r="O227" s="631">
        <f t="shared" si="10"/>
        <v>3.6036000000000006</v>
      </c>
      <c r="P227" s="630" t="s">
        <v>12</v>
      </c>
      <c r="R227" s="693"/>
      <c r="S227" s="693"/>
      <c r="T227" s="693"/>
      <c r="U227" s="693"/>
      <c r="V227" s="693"/>
    </row>
    <row r="228" spans="1:22" ht="15" x14ac:dyDescent="0.25">
      <c r="A228" s="736"/>
      <c r="B228" s="737"/>
      <c r="C228" s="665"/>
      <c r="E228" s="661">
        <v>10.4</v>
      </c>
      <c r="F228" s="662" t="s">
        <v>866</v>
      </c>
      <c r="G228" s="631">
        <v>0.05</v>
      </c>
      <c r="H228" s="631" t="s">
        <v>866</v>
      </c>
      <c r="I228" s="631">
        <v>2.6</v>
      </c>
      <c r="J228" s="658" t="s">
        <v>866</v>
      </c>
      <c r="K228" s="631">
        <v>1</v>
      </c>
      <c r="L228" s="631"/>
      <c r="M228" s="631"/>
      <c r="N228" s="666" t="s">
        <v>799</v>
      </c>
      <c r="O228" s="631">
        <f t="shared" si="10"/>
        <v>1.3520000000000001</v>
      </c>
      <c r="P228" s="630" t="s">
        <v>12</v>
      </c>
      <c r="R228" s="693"/>
      <c r="S228" s="693"/>
      <c r="T228" s="693"/>
      <c r="U228" s="693"/>
      <c r="V228" s="693"/>
    </row>
    <row r="229" spans="1:22" ht="15" x14ac:dyDescent="0.25">
      <c r="A229" s="736"/>
      <c r="B229" s="737"/>
      <c r="C229" s="922" t="s">
        <v>1081</v>
      </c>
      <c r="F229" s="662"/>
      <c r="G229" s="631"/>
      <c r="H229" s="631"/>
      <c r="I229" s="631"/>
      <c r="J229" s="658"/>
      <c r="K229" s="631"/>
      <c r="L229" s="631"/>
      <c r="M229" s="631"/>
      <c r="N229" s="666"/>
      <c r="O229" s="631"/>
      <c r="P229" s="630"/>
      <c r="R229" s="693"/>
      <c r="S229" s="693"/>
      <c r="T229" s="693"/>
      <c r="U229" s="693"/>
      <c r="V229" s="693"/>
    </row>
    <row r="230" spans="1:22" ht="15" x14ac:dyDescent="0.25">
      <c r="A230" s="736"/>
      <c r="B230" s="737"/>
      <c r="C230" s="665" t="s">
        <v>907</v>
      </c>
      <c r="E230" s="661">
        <v>1.95</v>
      </c>
      <c r="F230" s="662" t="s">
        <v>866</v>
      </c>
      <c r="G230" s="631">
        <v>0.1</v>
      </c>
      <c r="H230" s="631" t="s">
        <v>866</v>
      </c>
      <c r="I230" s="631">
        <v>3.2</v>
      </c>
      <c r="J230" s="658" t="s">
        <v>866</v>
      </c>
      <c r="K230" s="631">
        <v>1</v>
      </c>
      <c r="L230" s="631"/>
      <c r="M230" s="631"/>
      <c r="N230" s="666" t="s">
        <v>799</v>
      </c>
      <c r="O230" s="631">
        <f t="shared" si="10"/>
        <v>0.62400000000000011</v>
      </c>
      <c r="P230" s="630" t="s">
        <v>12</v>
      </c>
      <c r="R230" s="693"/>
      <c r="S230" s="693"/>
      <c r="T230" s="693"/>
      <c r="U230" s="693"/>
      <c r="V230" s="693"/>
    </row>
    <row r="231" spans="1:22" ht="15" x14ac:dyDescent="0.25">
      <c r="A231" s="736"/>
      <c r="B231" s="737"/>
      <c r="C231" s="665" t="s">
        <v>887</v>
      </c>
      <c r="E231" s="661">
        <v>0.85</v>
      </c>
      <c r="F231" s="662" t="s">
        <v>866</v>
      </c>
      <c r="G231" s="631">
        <v>0.3</v>
      </c>
      <c r="H231" s="631" t="s">
        <v>866</v>
      </c>
      <c r="I231" s="631">
        <v>2.6</v>
      </c>
      <c r="J231" s="658" t="s">
        <v>866</v>
      </c>
      <c r="K231" s="631">
        <v>1</v>
      </c>
      <c r="L231" s="631"/>
      <c r="M231" s="631"/>
      <c r="N231" s="666" t="s">
        <v>799</v>
      </c>
      <c r="O231" s="631">
        <f>E231*G231*I231*K231</f>
        <v>0.66300000000000003</v>
      </c>
      <c r="P231" s="630" t="s">
        <v>12</v>
      </c>
      <c r="R231" s="693"/>
      <c r="S231" s="693"/>
      <c r="T231" s="693"/>
      <c r="U231" s="693"/>
      <c r="V231" s="693"/>
    </row>
    <row r="232" spans="1:22" ht="15" x14ac:dyDescent="0.25">
      <c r="A232" s="736"/>
      <c r="B232" s="737"/>
      <c r="C232" s="665" t="s">
        <v>886</v>
      </c>
      <c r="E232" s="661">
        <v>0.85</v>
      </c>
      <c r="F232" s="662" t="s">
        <v>866</v>
      </c>
      <c r="G232" s="631">
        <v>0.3</v>
      </c>
      <c r="H232" s="631" t="s">
        <v>866</v>
      </c>
      <c r="I232" s="631">
        <v>0.8</v>
      </c>
      <c r="J232" s="658" t="s">
        <v>866</v>
      </c>
      <c r="K232" s="631">
        <v>2</v>
      </c>
      <c r="L232" s="631"/>
      <c r="M232" s="631"/>
      <c r="N232" s="666" t="s">
        <v>799</v>
      </c>
      <c r="O232" s="631">
        <f t="shared" si="10"/>
        <v>0.40800000000000003</v>
      </c>
      <c r="P232" s="630" t="s">
        <v>12</v>
      </c>
      <c r="R232" s="693"/>
      <c r="S232" s="693"/>
      <c r="T232" s="693"/>
      <c r="U232" s="693"/>
      <c r="V232" s="693"/>
    </row>
    <row r="233" spans="1:22" ht="15" x14ac:dyDescent="0.25">
      <c r="A233" s="736"/>
      <c r="B233" s="737"/>
      <c r="C233" s="665" t="s">
        <v>885</v>
      </c>
      <c r="E233" s="661">
        <v>0.8</v>
      </c>
      <c r="F233" s="662" t="s">
        <v>866</v>
      </c>
      <c r="G233" s="631">
        <v>0.3</v>
      </c>
      <c r="H233" s="631" t="s">
        <v>866</v>
      </c>
      <c r="I233" s="631">
        <v>3.2</v>
      </c>
      <c r="J233" s="658" t="s">
        <v>866</v>
      </c>
      <c r="K233" s="631">
        <v>1</v>
      </c>
      <c r="L233" s="631"/>
      <c r="M233" s="631"/>
      <c r="N233" s="666" t="s">
        <v>799</v>
      </c>
      <c r="O233" s="631">
        <f t="shared" si="10"/>
        <v>0.76800000000000002</v>
      </c>
      <c r="P233" s="630" t="s">
        <v>12</v>
      </c>
      <c r="R233" s="693"/>
      <c r="S233" s="693"/>
      <c r="T233" s="693"/>
      <c r="U233" s="693"/>
      <c r="V233" s="693"/>
    </row>
    <row r="234" spans="1:22" ht="15" x14ac:dyDescent="0.25">
      <c r="A234" s="736"/>
      <c r="B234" s="737"/>
      <c r="C234" s="922" t="s">
        <v>1082</v>
      </c>
      <c r="F234" s="662"/>
      <c r="G234" s="631"/>
      <c r="H234" s="631"/>
      <c r="I234" s="631"/>
      <c r="J234" s="658"/>
      <c r="K234" s="631"/>
      <c r="L234" s="631"/>
      <c r="M234" s="631"/>
      <c r="N234" s="666"/>
      <c r="O234" s="631"/>
      <c r="P234" s="630"/>
      <c r="R234" s="693"/>
      <c r="S234" s="693"/>
      <c r="T234" s="693"/>
      <c r="U234" s="693"/>
      <c r="V234" s="693"/>
    </row>
    <row r="235" spans="1:22" ht="15" x14ac:dyDescent="0.25">
      <c r="A235" s="736"/>
      <c r="B235" s="737"/>
      <c r="C235" s="665" t="s">
        <v>907</v>
      </c>
      <c r="E235" s="661">
        <v>2.1</v>
      </c>
      <c r="F235" s="662" t="s">
        <v>866</v>
      </c>
      <c r="G235" s="631">
        <v>0.1</v>
      </c>
      <c r="H235" s="631" t="s">
        <v>866</v>
      </c>
      <c r="I235" s="631">
        <v>1.8</v>
      </c>
      <c r="J235" s="658" t="s">
        <v>866</v>
      </c>
      <c r="K235" s="631">
        <v>1</v>
      </c>
      <c r="L235" s="631"/>
      <c r="M235" s="631"/>
      <c r="N235" s="666" t="s">
        <v>799</v>
      </c>
      <c r="O235" s="631">
        <f t="shared" ref="O235" si="11">E235*G235*I235*K235</f>
        <v>0.37800000000000006</v>
      </c>
      <c r="P235" s="630" t="s">
        <v>12</v>
      </c>
      <c r="R235" s="693"/>
      <c r="S235" s="693"/>
      <c r="T235" s="693"/>
      <c r="U235" s="693"/>
      <c r="V235" s="693"/>
    </row>
    <row r="236" spans="1:22" ht="15" x14ac:dyDescent="0.25">
      <c r="A236" s="736"/>
      <c r="B236" s="737"/>
      <c r="C236" s="665" t="s">
        <v>887</v>
      </c>
      <c r="E236" s="661">
        <v>1.5</v>
      </c>
      <c r="F236" s="662" t="s">
        <v>866</v>
      </c>
      <c r="G236" s="631">
        <v>0.3</v>
      </c>
      <c r="H236" s="631" t="s">
        <v>866</v>
      </c>
      <c r="I236" s="631">
        <v>2.83</v>
      </c>
      <c r="J236" s="658" t="s">
        <v>866</v>
      </c>
      <c r="K236" s="631">
        <v>2</v>
      </c>
      <c r="L236" s="631"/>
      <c r="M236" s="631"/>
      <c r="N236" s="666" t="s">
        <v>799</v>
      </c>
      <c r="O236" s="631">
        <f>E236*G236*I236*K236</f>
        <v>2.5469999999999997</v>
      </c>
      <c r="P236" s="630" t="s">
        <v>12</v>
      </c>
      <c r="R236" s="693"/>
      <c r="S236" s="693"/>
      <c r="T236" s="693"/>
      <c r="U236" s="693"/>
      <c r="V236" s="693"/>
    </row>
    <row r="237" spans="1:22" ht="15" x14ac:dyDescent="0.25">
      <c r="A237" s="736"/>
      <c r="B237" s="737"/>
      <c r="C237" s="665" t="s">
        <v>886</v>
      </c>
      <c r="E237" s="661">
        <v>2.1</v>
      </c>
      <c r="F237" s="662" t="s">
        <v>866</v>
      </c>
      <c r="G237" s="631">
        <v>0.3</v>
      </c>
      <c r="H237" s="631" t="s">
        <v>866</v>
      </c>
      <c r="I237" s="631">
        <v>2.83</v>
      </c>
      <c r="J237" s="658" t="s">
        <v>866</v>
      </c>
      <c r="K237" s="631">
        <v>1</v>
      </c>
      <c r="L237" s="631"/>
      <c r="M237" s="631"/>
      <c r="N237" s="666" t="s">
        <v>799</v>
      </c>
      <c r="O237" s="631">
        <f t="shared" ref="O237:O238" si="12">E237*G237*I237*K237</f>
        <v>1.7829000000000002</v>
      </c>
      <c r="P237" s="630" t="s">
        <v>12</v>
      </c>
      <c r="R237" s="693"/>
      <c r="S237" s="693"/>
      <c r="T237" s="693"/>
      <c r="U237" s="693"/>
      <c r="V237" s="693"/>
    </row>
    <row r="238" spans="1:22" ht="15.75" thickBot="1" x14ac:dyDescent="0.3">
      <c r="A238" s="736"/>
      <c r="B238" s="737"/>
      <c r="C238" s="665" t="s">
        <v>885</v>
      </c>
      <c r="E238" s="661">
        <v>2.1</v>
      </c>
      <c r="F238" s="662" t="s">
        <v>866</v>
      </c>
      <c r="G238" s="631">
        <v>0.3</v>
      </c>
      <c r="H238" s="631" t="s">
        <v>866</v>
      </c>
      <c r="I238" s="631">
        <v>1.8</v>
      </c>
      <c r="J238" s="658" t="s">
        <v>866</v>
      </c>
      <c r="K238" s="631">
        <v>1</v>
      </c>
      <c r="L238" s="631"/>
      <c r="M238" s="631"/>
      <c r="N238" s="666" t="s">
        <v>799</v>
      </c>
      <c r="O238" s="631">
        <f t="shared" si="12"/>
        <v>1.1340000000000001</v>
      </c>
      <c r="P238" s="630" t="s">
        <v>12</v>
      </c>
      <c r="R238" s="693"/>
      <c r="S238" s="693"/>
      <c r="T238" s="693"/>
      <c r="U238" s="693"/>
      <c r="V238" s="693"/>
    </row>
    <row r="239" spans="1:22" ht="13.5" thickBot="1" x14ac:dyDescent="0.25">
      <c r="A239" s="736"/>
      <c r="B239" s="737"/>
      <c r="C239" s="667"/>
      <c r="F239" s="666"/>
      <c r="G239" s="631"/>
      <c r="H239" s="631"/>
      <c r="I239" s="631"/>
      <c r="J239" s="631"/>
      <c r="K239" s="631"/>
      <c r="L239" s="631"/>
      <c r="M239" s="631"/>
      <c r="N239" s="666"/>
      <c r="O239" s="668">
        <f>ROUND((SUM(O216:O238)),2)</f>
        <v>51.97</v>
      </c>
      <c r="P239" s="669" t="s">
        <v>12</v>
      </c>
    </row>
    <row r="240" spans="1:22" ht="80.25" customHeight="1" thickBot="1" x14ac:dyDescent="0.25">
      <c r="A240" s="734" t="s">
        <v>0</v>
      </c>
      <c r="B240" s="735" t="s">
        <v>1231</v>
      </c>
      <c r="C240" s="751" t="e">
        <f>#REF!</f>
        <v>#REF!</v>
      </c>
      <c r="D240" s="662" t="s">
        <v>799</v>
      </c>
      <c r="E240" s="663" t="s">
        <v>888</v>
      </c>
      <c r="F240" s="633"/>
      <c r="G240" s="664"/>
      <c r="H240" s="664"/>
      <c r="I240" s="664"/>
      <c r="J240" s="664"/>
      <c r="K240" s="664"/>
      <c r="L240" s="664"/>
      <c r="M240" s="664"/>
      <c r="O240" s="631"/>
    </row>
    <row r="241" spans="1:16" ht="13.5" customHeight="1" thickBot="1" x14ac:dyDescent="0.25">
      <c r="A241" s="736"/>
      <c r="B241" s="737"/>
      <c r="C241" s="665" t="s">
        <v>895</v>
      </c>
      <c r="E241" s="661">
        <v>10194.040000000001</v>
      </c>
      <c r="F241" s="662"/>
      <c r="G241" s="1908" t="s">
        <v>1075</v>
      </c>
      <c r="H241" s="1909"/>
      <c r="I241" s="1909"/>
      <c r="J241" s="1909"/>
      <c r="K241" s="1910"/>
      <c r="L241" s="631"/>
      <c r="M241" s="631"/>
      <c r="N241" s="666" t="s">
        <v>799</v>
      </c>
      <c r="O241" s="631">
        <f>E241</f>
        <v>10194.040000000001</v>
      </c>
      <c r="P241" s="630" t="s">
        <v>7</v>
      </c>
    </row>
    <row r="242" spans="1:16" ht="13.5" thickBot="1" x14ac:dyDescent="0.25">
      <c r="A242" s="736"/>
      <c r="B242" s="737"/>
      <c r="C242" s="667"/>
      <c r="F242" s="666"/>
      <c r="G242" s="631"/>
      <c r="H242" s="631"/>
      <c r="I242" s="631"/>
      <c r="J242" s="631"/>
      <c r="K242" s="631"/>
      <c r="L242" s="631"/>
      <c r="M242" s="631"/>
      <c r="N242" s="666"/>
      <c r="O242" s="668">
        <f>ROUND((SUM(O241:O241)),2)</f>
        <v>10194.040000000001</v>
      </c>
      <c r="P242" s="669" t="s">
        <v>7</v>
      </c>
    </row>
    <row r="243" spans="1:16" ht="30.75" customHeight="1" x14ac:dyDescent="0.2">
      <c r="A243" s="734" t="s">
        <v>0</v>
      </c>
      <c r="B243" s="735" t="s">
        <v>1232</v>
      </c>
      <c r="C243" s="678" t="e">
        <f>#REF!</f>
        <v>#REF!</v>
      </c>
      <c r="D243" s="662" t="s">
        <v>799</v>
      </c>
      <c r="E243" s="663" t="s">
        <v>864</v>
      </c>
      <c r="F243" s="633"/>
      <c r="G243" s="664"/>
      <c r="H243" s="664"/>
      <c r="I243" s="664"/>
      <c r="J243" s="664"/>
      <c r="K243" s="664"/>
      <c r="L243" s="664"/>
      <c r="M243" s="664"/>
      <c r="O243" s="631"/>
    </row>
    <row r="244" spans="1:16" ht="15" customHeight="1" x14ac:dyDescent="0.2">
      <c r="A244" s="734"/>
      <c r="B244" s="735"/>
      <c r="C244" s="665" t="s">
        <v>897</v>
      </c>
      <c r="E244" s="730">
        <v>24</v>
      </c>
      <c r="F244" s="662"/>
      <c r="G244" s="631"/>
      <c r="H244" s="631"/>
      <c r="I244" s="631"/>
      <c r="J244" s="631"/>
      <c r="K244" s="631"/>
      <c r="L244" s="631"/>
      <c r="M244" s="631"/>
      <c r="N244" s="666" t="s">
        <v>799</v>
      </c>
      <c r="O244" s="631">
        <f>E244</f>
        <v>24</v>
      </c>
      <c r="P244" s="630" t="s">
        <v>6</v>
      </c>
    </row>
    <row r="245" spans="1:16" x14ac:dyDescent="0.2">
      <c r="A245" s="736"/>
      <c r="B245" s="737"/>
      <c r="C245" s="665" t="s">
        <v>892</v>
      </c>
      <c r="E245" s="730">
        <v>6</v>
      </c>
      <c r="F245" s="662"/>
      <c r="G245" s="631"/>
      <c r="H245" s="631"/>
      <c r="I245" s="631"/>
      <c r="J245" s="631"/>
      <c r="K245" s="631"/>
      <c r="L245" s="631"/>
      <c r="M245" s="631"/>
      <c r="N245" s="666" t="s">
        <v>799</v>
      </c>
      <c r="O245" s="631">
        <f t="shared" ref="O245:O246" si="13">E245</f>
        <v>6</v>
      </c>
      <c r="P245" s="630" t="s">
        <v>6</v>
      </c>
    </row>
    <row r="246" spans="1:16" ht="13.5" thickBot="1" x14ac:dyDescent="0.25">
      <c r="A246" s="736"/>
      <c r="B246" s="737"/>
      <c r="C246" s="665" t="s">
        <v>896</v>
      </c>
      <c r="E246" s="730">
        <v>50</v>
      </c>
      <c r="F246" s="662"/>
      <c r="G246" s="631"/>
      <c r="H246" s="631"/>
      <c r="I246" s="631"/>
      <c r="J246" s="631"/>
      <c r="K246" s="631"/>
      <c r="L246" s="631"/>
      <c r="M246" s="631"/>
      <c r="N246" s="666" t="s">
        <v>799</v>
      </c>
      <c r="O246" s="631">
        <f t="shared" si="13"/>
        <v>50</v>
      </c>
      <c r="P246" s="630" t="s">
        <v>6</v>
      </c>
    </row>
    <row r="247" spans="1:16" ht="13.5" thickBot="1" x14ac:dyDescent="0.25">
      <c r="A247" s="736"/>
      <c r="B247" s="737"/>
      <c r="C247" s="667"/>
      <c r="F247" s="666"/>
      <c r="G247" s="631"/>
      <c r="H247" s="631"/>
      <c r="I247" s="631"/>
      <c r="J247" s="631"/>
      <c r="K247" s="631"/>
      <c r="L247" s="631"/>
      <c r="M247" s="631"/>
      <c r="N247" s="666"/>
      <c r="O247" s="668">
        <f>ROUND((SUM(O244:O246)),2)</f>
        <v>80</v>
      </c>
      <c r="P247" s="669" t="s">
        <v>6</v>
      </c>
    </row>
    <row r="248" spans="1:16" x14ac:dyDescent="0.2">
      <c r="A248" s="734" t="s">
        <v>0</v>
      </c>
      <c r="B248" s="735" t="s">
        <v>1233</v>
      </c>
      <c r="C248" s="678" t="e">
        <f>#REF!</f>
        <v>#REF!</v>
      </c>
      <c r="D248" s="662" t="s">
        <v>799</v>
      </c>
      <c r="E248" s="663" t="s">
        <v>864</v>
      </c>
      <c r="F248" s="633"/>
      <c r="G248" s="664"/>
      <c r="H248" s="664"/>
      <c r="I248" s="664"/>
      <c r="J248" s="664"/>
      <c r="K248" s="664"/>
      <c r="L248" s="664"/>
      <c r="M248" s="664"/>
      <c r="O248" s="631"/>
    </row>
    <row r="249" spans="1:16" ht="13.5" thickBot="1" x14ac:dyDescent="0.25">
      <c r="A249" s="734"/>
      <c r="B249" s="735"/>
      <c r="C249" s="665" t="s">
        <v>1695</v>
      </c>
      <c r="E249" s="730">
        <v>12</v>
      </c>
      <c r="F249" s="662"/>
      <c r="G249" s="631"/>
      <c r="H249" s="631"/>
      <c r="I249" s="631"/>
      <c r="J249" s="631"/>
      <c r="K249" s="631"/>
      <c r="L249" s="631"/>
      <c r="M249" s="631"/>
      <c r="N249" s="666" t="s">
        <v>799</v>
      </c>
      <c r="O249" s="631">
        <f>E249</f>
        <v>12</v>
      </c>
      <c r="P249" s="630" t="s">
        <v>6</v>
      </c>
    </row>
    <row r="250" spans="1:16" ht="13.5" thickBot="1" x14ac:dyDescent="0.25">
      <c r="A250" s="736"/>
      <c r="B250" s="737"/>
      <c r="C250" s="667"/>
      <c r="F250" s="666"/>
      <c r="G250" s="631"/>
      <c r="H250" s="631"/>
      <c r="I250" s="631"/>
      <c r="J250" s="631"/>
      <c r="K250" s="631"/>
      <c r="L250" s="631"/>
      <c r="M250" s="631"/>
      <c r="N250" s="666"/>
      <c r="O250" s="668">
        <f>ROUND((SUM(O249:O249)),2)</f>
        <v>12</v>
      </c>
      <c r="P250" s="669" t="s">
        <v>6</v>
      </c>
    </row>
    <row r="251" spans="1:16" x14ac:dyDescent="0.2">
      <c r="A251" s="734" t="s">
        <v>0</v>
      </c>
      <c r="B251" s="735" t="s">
        <v>1234</v>
      </c>
      <c r="C251" s="678" t="e">
        <f>#REF!</f>
        <v>#REF!</v>
      </c>
      <c r="D251" s="662" t="s">
        <v>799</v>
      </c>
      <c r="E251" s="663" t="s">
        <v>628</v>
      </c>
      <c r="F251" s="633"/>
      <c r="G251" s="664"/>
      <c r="H251" s="664"/>
      <c r="I251" s="664"/>
      <c r="J251" s="664"/>
      <c r="K251" s="664"/>
      <c r="L251" s="664"/>
      <c r="M251" s="664"/>
      <c r="O251" s="631"/>
    </row>
    <row r="252" spans="1:16" x14ac:dyDescent="0.2">
      <c r="A252" s="736"/>
      <c r="B252" s="737"/>
      <c r="C252" s="665" t="s">
        <v>1584</v>
      </c>
      <c r="E252" s="661">
        <v>1</v>
      </c>
      <c r="F252" s="662"/>
      <c r="G252" s="631"/>
      <c r="H252" s="631"/>
      <c r="I252" s="631"/>
      <c r="J252" s="631"/>
      <c r="K252" s="631"/>
      <c r="L252" s="631"/>
      <c r="M252" s="631"/>
      <c r="N252" s="666" t="s">
        <v>799</v>
      </c>
      <c r="O252" s="631">
        <f>E252</f>
        <v>1</v>
      </c>
      <c r="P252" s="630" t="s">
        <v>2</v>
      </c>
    </row>
    <row r="253" spans="1:16" x14ac:dyDescent="0.2">
      <c r="A253" s="736"/>
      <c r="B253" s="737"/>
      <c r="C253" s="665" t="s">
        <v>892</v>
      </c>
      <c r="E253" s="661">
        <v>1</v>
      </c>
      <c r="F253" s="662"/>
      <c r="G253" s="631"/>
      <c r="H253" s="631"/>
      <c r="I253" s="631"/>
      <c r="J253" s="631"/>
      <c r="K253" s="631"/>
      <c r="L253" s="631"/>
      <c r="M253" s="631"/>
      <c r="N253" s="666" t="s">
        <v>799</v>
      </c>
      <c r="O253" s="631">
        <f t="shared" ref="O253:O254" si="14">E253</f>
        <v>1</v>
      </c>
      <c r="P253" s="630" t="s">
        <v>2</v>
      </c>
    </row>
    <row r="254" spans="1:16" ht="13.5" thickBot="1" x14ac:dyDescent="0.25">
      <c r="A254" s="736"/>
      <c r="B254" s="737"/>
      <c r="C254" s="665" t="s">
        <v>896</v>
      </c>
      <c r="E254" s="661">
        <v>1</v>
      </c>
      <c r="F254" s="662"/>
      <c r="G254" s="631"/>
      <c r="H254" s="631"/>
      <c r="I254" s="631"/>
      <c r="J254" s="631"/>
      <c r="K254" s="631"/>
      <c r="L254" s="631"/>
      <c r="M254" s="631"/>
      <c r="N254" s="666" t="s">
        <v>799</v>
      </c>
      <c r="O254" s="631">
        <f t="shared" si="14"/>
        <v>1</v>
      </c>
      <c r="P254" s="630" t="s">
        <v>2</v>
      </c>
    </row>
    <row r="255" spans="1:16" ht="13.5" thickBot="1" x14ac:dyDescent="0.25">
      <c r="A255" s="736"/>
      <c r="B255" s="737"/>
      <c r="C255" s="667"/>
      <c r="F255" s="666"/>
      <c r="G255" s="631"/>
      <c r="H255" s="631"/>
      <c r="I255" s="631"/>
      <c r="J255" s="631"/>
      <c r="K255" s="631"/>
      <c r="L255" s="631"/>
      <c r="M255" s="631"/>
      <c r="N255" s="666"/>
      <c r="O255" s="668">
        <f>ROUND((SUM(O252:O254)),2)</f>
        <v>3</v>
      </c>
      <c r="P255" s="669" t="s">
        <v>2</v>
      </c>
    </row>
    <row r="256" spans="1:16" x14ac:dyDescent="0.2">
      <c r="A256" s="734" t="s">
        <v>0</v>
      </c>
      <c r="B256" s="735" t="s">
        <v>1235</v>
      </c>
      <c r="C256" s="678" t="e">
        <f>#REF!</f>
        <v>#REF!</v>
      </c>
      <c r="D256" s="662" t="s">
        <v>799</v>
      </c>
      <c r="E256" s="663" t="s">
        <v>628</v>
      </c>
      <c r="F256" s="633"/>
      <c r="G256" s="664"/>
      <c r="H256" s="664"/>
      <c r="I256" s="664"/>
      <c r="J256" s="664"/>
      <c r="K256" s="664"/>
      <c r="L256" s="664"/>
      <c r="M256" s="664"/>
      <c r="O256" s="631"/>
    </row>
    <row r="257" spans="1:16" ht="13.5" thickBot="1" x14ac:dyDescent="0.25">
      <c r="A257" s="736"/>
      <c r="B257" s="737"/>
      <c r="C257" s="665" t="s">
        <v>1583</v>
      </c>
      <c r="E257" s="661">
        <v>1</v>
      </c>
      <c r="F257" s="662"/>
      <c r="G257" s="631"/>
      <c r="H257" s="631"/>
      <c r="I257" s="631"/>
      <c r="J257" s="631"/>
      <c r="K257" s="631"/>
      <c r="L257" s="631"/>
      <c r="M257" s="631"/>
      <c r="N257" s="666" t="s">
        <v>799</v>
      </c>
      <c r="O257" s="631">
        <f>E257</f>
        <v>1</v>
      </c>
      <c r="P257" s="630" t="s">
        <v>2</v>
      </c>
    </row>
    <row r="258" spans="1:16" ht="13.5" thickBot="1" x14ac:dyDescent="0.25">
      <c r="A258" s="736"/>
      <c r="B258" s="737"/>
      <c r="C258" s="667"/>
      <c r="F258" s="666"/>
      <c r="G258" s="631"/>
      <c r="H258" s="631"/>
      <c r="I258" s="631"/>
      <c r="J258" s="631"/>
      <c r="K258" s="631"/>
      <c r="L258" s="631"/>
      <c r="M258" s="631"/>
      <c r="N258" s="666"/>
      <c r="O258" s="668">
        <f>ROUND((SUM(O257:O257)),2)</f>
        <v>1</v>
      </c>
      <c r="P258" s="669" t="s">
        <v>2</v>
      </c>
    </row>
    <row r="259" spans="1:16" ht="39" customHeight="1" x14ac:dyDescent="0.2">
      <c r="A259" s="734" t="s">
        <v>0</v>
      </c>
      <c r="B259" s="735" t="s">
        <v>1236</v>
      </c>
      <c r="C259" s="751" t="e">
        <f>#REF!</f>
        <v>#REF!</v>
      </c>
      <c r="D259" s="662" t="s">
        <v>799</v>
      </c>
      <c r="E259" s="663" t="s">
        <v>628</v>
      </c>
      <c r="F259" s="633"/>
      <c r="G259" s="664"/>
      <c r="H259" s="664"/>
      <c r="I259" s="664"/>
      <c r="J259" s="664"/>
      <c r="K259" s="664"/>
      <c r="L259" s="664"/>
      <c r="M259" s="664"/>
      <c r="O259" s="631"/>
    </row>
    <row r="260" spans="1:16" x14ac:dyDescent="0.2">
      <c r="A260" s="736"/>
      <c r="B260" s="737"/>
      <c r="C260" s="665" t="s">
        <v>897</v>
      </c>
      <c r="E260" s="661">
        <v>1</v>
      </c>
      <c r="F260" s="662"/>
      <c r="G260" s="631"/>
      <c r="H260" s="631"/>
      <c r="I260" s="631"/>
      <c r="J260" s="631"/>
      <c r="K260" s="631"/>
      <c r="L260" s="631"/>
      <c r="M260" s="631"/>
      <c r="N260" s="666" t="s">
        <v>799</v>
      </c>
      <c r="O260" s="631">
        <f>E260</f>
        <v>1</v>
      </c>
      <c r="P260" s="630" t="s">
        <v>2</v>
      </c>
    </row>
    <row r="261" spans="1:16" x14ac:dyDescent="0.2">
      <c r="A261" s="736"/>
      <c r="B261" s="737"/>
      <c r="C261" s="665" t="s">
        <v>1584</v>
      </c>
      <c r="E261" s="661">
        <v>1</v>
      </c>
      <c r="F261" s="662"/>
      <c r="G261" s="631"/>
      <c r="H261" s="631"/>
      <c r="I261" s="631"/>
      <c r="J261" s="631"/>
      <c r="K261" s="631"/>
      <c r="L261" s="631"/>
      <c r="M261" s="631"/>
      <c r="N261" s="666" t="s">
        <v>799</v>
      </c>
      <c r="O261" s="631">
        <f>E261</f>
        <v>1</v>
      </c>
      <c r="P261" s="630" t="s">
        <v>2</v>
      </c>
    </row>
    <row r="262" spans="1:16" ht="13.5" thickBot="1" x14ac:dyDescent="0.25">
      <c r="A262" s="736"/>
      <c r="B262" s="737"/>
      <c r="C262" s="665" t="s">
        <v>896</v>
      </c>
      <c r="E262" s="661">
        <v>1</v>
      </c>
      <c r="F262" s="662"/>
      <c r="G262" s="631"/>
      <c r="H262" s="631"/>
      <c r="I262" s="631"/>
      <c r="J262" s="631"/>
      <c r="K262" s="631"/>
      <c r="L262" s="631"/>
      <c r="M262" s="631"/>
      <c r="N262" s="666" t="s">
        <v>799</v>
      </c>
      <c r="O262" s="631">
        <f t="shared" ref="O262" si="15">E262</f>
        <v>1</v>
      </c>
      <c r="P262" s="630" t="s">
        <v>2</v>
      </c>
    </row>
    <row r="263" spans="1:16" ht="13.5" thickBot="1" x14ac:dyDescent="0.25">
      <c r="A263" s="736"/>
      <c r="B263" s="737"/>
      <c r="C263" s="667"/>
      <c r="F263" s="666"/>
      <c r="G263" s="631"/>
      <c r="H263" s="631"/>
      <c r="I263" s="631"/>
      <c r="J263" s="631"/>
      <c r="K263" s="631"/>
      <c r="L263" s="631"/>
      <c r="M263" s="631"/>
      <c r="N263" s="666"/>
      <c r="O263" s="668">
        <f>ROUND((SUM(O260:O262)),2)</f>
        <v>3</v>
      </c>
      <c r="P263" s="669" t="s">
        <v>2</v>
      </c>
    </row>
    <row r="264" spans="1:16" ht="40.5" customHeight="1" x14ac:dyDescent="0.2">
      <c r="A264" s="734" t="s">
        <v>0</v>
      </c>
      <c r="B264" s="735" t="s">
        <v>1696</v>
      </c>
      <c r="C264" s="751" t="e">
        <f>#REF!</f>
        <v>#REF!</v>
      </c>
      <c r="D264" s="662" t="s">
        <v>799</v>
      </c>
      <c r="E264" s="663" t="s">
        <v>628</v>
      </c>
      <c r="F264" s="633"/>
      <c r="G264" s="664"/>
      <c r="H264" s="664"/>
      <c r="I264" s="664"/>
      <c r="J264" s="664"/>
      <c r="K264" s="664"/>
      <c r="L264" s="664"/>
      <c r="M264" s="664"/>
      <c r="O264" s="631"/>
    </row>
    <row r="265" spans="1:16" x14ac:dyDescent="0.2">
      <c r="A265" s="736"/>
      <c r="B265" s="737"/>
      <c r="C265" s="665" t="s">
        <v>1697</v>
      </c>
      <c r="E265" s="661">
        <v>1</v>
      </c>
      <c r="F265" s="662"/>
      <c r="G265" s="631"/>
      <c r="H265" s="631"/>
      <c r="I265" s="631"/>
      <c r="J265" s="631"/>
      <c r="K265" s="631"/>
      <c r="L265" s="631"/>
      <c r="M265" s="631"/>
      <c r="N265" s="666" t="s">
        <v>799</v>
      </c>
      <c r="O265" s="631">
        <f>E265</f>
        <v>1</v>
      </c>
      <c r="P265" s="630" t="s">
        <v>2</v>
      </c>
    </row>
    <row r="266" spans="1:16" x14ac:dyDescent="0.2">
      <c r="A266" s="736"/>
      <c r="B266" s="737"/>
      <c r="C266" s="665" t="s">
        <v>1698</v>
      </c>
      <c r="E266" s="661">
        <v>1</v>
      </c>
      <c r="F266" s="662"/>
      <c r="G266" s="631"/>
      <c r="H266" s="631"/>
      <c r="I266" s="631"/>
      <c r="J266" s="631"/>
      <c r="K266" s="631"/>
      <c r="L266" s="631"/>
      <c r="M266" s="631"/>
      <c r="N266" s="666" t="s">
        <v>799</v>
      </c>
      <c r="O266" s="631">
        <f t="shared" ref="O266:O267" si="16">E266</f>
        <v>1</v>
      </c>
      <c r="P266" s="630" t="s">
        <v>2</v>
      </c>
    </row>
    <row r="267" spans="1:16" ht="13.5" thickBot="1" x14ac:dyDescent="0.25">
      <c r="A267" s="736"/>
      <c r="B267" s="737"/>
      <c r="C267" s="665" t="s">
        <v>1699</v>
      </c>
      <c r="E267" s="661">
        <v>1</v>
      </c>
      <c r="F267" s="662"/>
      <c r="G267" s="631"/>
      <c r="H267" s="631"/>
      <c r="I267" s="631"/>
      <c r="J267" s="631"/>
      <c r="K267" s="631"/>
      <c r="L267" s="631"/>
      <c r="M267" s="631"/>
      <c r="N267" s="666" t="s">
        <v>799</v>
      </c>
      <c r="O267" s="631">
        <f t="shared" si="16"/>
        <v>1</v>
      </c>
      <c r="P267" s="630" t="s">
        <v>2</v>
      </c>
    </row>
    <row r="268" spans="1:16" ht="13.5" thickBot="1" x14ac:dyDescent="0.25">
      <c r="A268" s="736"/>
      <c r="B268" s="737"/>
      <c r="C268" s="667"/>
      <c r="F268" s="666"/>
      <c r="G268" s="631"/>
      <c r="H268" s="631"/>
      <c r="I268" s="631"/>
      <c r="J268" s="631"/>
      <c r="K268" s="631"/>
      <c r="L268" s="631"/>
      <c r="M268" s="631"/>
      <c r="N268" s="666"/>
      <c r="O268" s="668">
        <f>ROUND((SUM(O265:O267)),2)</f>
        <v>3</v>
      </c>
      <c r="P268" s="669" t="s">
        <v>2</v>
      </c>
    </row>
    <row r="269" spans="1:16" ht="36" customHeight="1" x14ac:dyDescent="0.2">
      <c r="A269" s="734" t="s">
        <v>0</v>
      </c>
      <c r="B269" s="735" t="s">
        <v>1237</v>
      </c>
      <c r="C269" s="751" t="e">
        <f>#REF!</f>
        <v>#REF!</v>
      </c>
      <c r="D269" s="662" t="s">
        <v>799</v>
      </c>
      <c r="E269" s="663" t="s">
        <v>628</v>
      </c>
      <c r="F269" s="633"/>
      <c r="G269" s="664"/>
      <c r="H269" s="664"/>
      <c r="I269" s="664"/>
      <c r="J269" s="664"/>
      <c r="K269" s="664"/>
      <c r="L269" s="664"/>
      <c r="M269" s="664"/>
      <c r="O269" s="631"/>
    </row>
    <row r="270" spans="1:16" x14ac:dyDescent="0.2">
      <c r="A270" s="736"/>
      <c r="B270" s="737"/>
      <c r="C270" s="665" t="s">
        <v>892</v>
      </c>
      <c r="E270" s="661">
        <v>2</v>
      </c>
      <c r="F270" s="662"/>
      <c r="G270" s="631"/>
      <c r="H270" s="631"/>
      <c r="I270" s="631"/>
      <c r="J270" s="631"/>
      <c r="K270" s="631"/>
      <c r="L270" s="631"/>
      <c r="M270" s="631"/>
      <c r="N270" s="666" t="s">
        <v>799</v>
      </c>
      <c r="O270" s="631">
        <f>E270</f>
        <v>2</v>
      </c>
      <c r="P270" s="657" t="s">
        <v>2</v>
      </c>
    </row>
    <row r="271" spans="1:16" ht="13.5" thickBot="1" x14ac:dyDescent="0.25">
      <c r="A271" s="736"/>
      <c r="B271" s="737"/>
      <c r="C271" s="665" t="s">
        <v>898</v>
      </c>
      <c r="E271" s="661">
        <v>2</v>
      </c>
      <c r="F271" s="662"/>
      <c r="G271" s="631"/>
      <c r="H271" s="631"/>
      <c r="I271" s="631"/>
      <c r="J271" s="631"/>
      <c r="K271" s="631"/>
      <c r="L271" s="631"/>
      <c r="M271" s="631"/>
      <c r="N271" s="666" t="s">
        <v>799</v>
      </c>
      <c r="O271" s="631">
        <f>E271</f>
        <v>2</v>
      </c>
      <c r="P271" s="657" t="s">
        <v>2</v>
      </c>
    </row>
    <row r="272" spans="1:16" ht="13.5" thickBot="1" x14ac:dyDescent="0.25">
      <c r="A272" s="736"/>
      <c r="B272" s="737"/>
      <c r="C272" s="667"/>
      <c r="F272" s="666"/>
      <c r="G272" s="631"/>
      <c r="H272" s="631"/>
      <c r="I272" s="631"/>
      <c r="J272" s="631"/>
      <c r="K272" s="631"/>
      <c r="L272" s="631"/>
      <c r="M272" s="631"/>
      <c r="N272" s="666"/>
      <c r="O272" s="668">
        <f>ROUND((SUM(O270:O271)),2)</f>
        <v>4</v>
      </c>
      <c r="P272" s="669" t="s">
        <v>2</v>
      </c>
    </row>
    <row r="273" spans="1:16" ht="31.5" customHeight="1" x14ac:dyDescent="0.2">
      <c r="A273" s="734" t="s">
        <v>0</v>
      </c>
      <c r="B273" s="735" t="s">
        <v>1238</v>
      </c>
      <c r="C273" s="751" t="e">
        <f>#REF!</f>
        <v>#REF!</v>
      </c>
      <c r="D273" s="662" t="s">
        <v>799</v>
      </c>
      <c r="E273" s="663" t="s">
        <v>628</v>
      </c>
      <c r="F273" s="633"/>
      <c r="G273" s="664"/>
      <c r="H273" s="664"/>
      <c r="I273" s="664"/>
      <c r="J273" s="664"/>
      <c r="K273" s="664"/>
      <c r="L273" s="664"/>
      <c r="M273" s="664"/>
      <c r="O273" s="631"/>
    </row>
    <row r="274" spans="1:16" ht="13.5" thickBot="1" x14ac:dyDescent="0.25">
      <c r="A274" s="736"/>
      <c r="B274" s="737"/>
      <c r="C274" s="665" t="s">
        <v>1700</v>
      </c>
      <c r="E274" s="661">
        <v>1</v>
      </c>
      <c r="F274" s="662"/>
      <c r="G274" s="631"/>
      <c r="H274" s="631"/>
      <c r="I274" s="631"/>
      <c r="J274" s="631"/>
      <c r="K274" s="631"/>
      <c r="L274" s="631"/>
      <c r="M274" s="631"/>
      <c r="N274" s="666" t="s">
        <v>799</v>
      </c>
      <c r="O274" s="631">
        <f>E274</f>
        <v>1</v>
      </c>
      <c r="P274" s="657" t="s">
        <v>2</v>
      </c>
    </row>
    <row r="275" spans="1:16" ht="13.5" thickBot="1" x14ac:dyDescent="0.25">
      <c r="A275" s="736"/>
      <c r="B275" s="737"/>
      <c r="C275" s="667"/>
      <c r="F275" s="666"/>
      <c r="G275" s="631"/>
      <c r="H275" s="631"/>
      <c r="I275" s="631"/>
      <c r="J275" s="631"/>
      <c r="K275" s="631"/>
      <c r="L275" s="631"/>
      <c r="M275" s="631"/>
      <c r="N275" s="666"/>
      <c r="O275" s="668">
        <f>ROUND((SUM(O274:O274)),2)</f>
        <v>1</v>
      </c>
      <c r="P275" s="669" t="s">
        <v>2</v>
      </c>
    </row>
    <row r="276" spans="1:16" x14ac:dyDescent="0.2">
      <c r="A276" s="734" t="s">
        <v>0</v>
      </c>
      <c r="B276" s="735" t="s">
        <v>1239</v>
      </c>
      <c r="C276" s="751" t="e">
        <f>#REF!</f>
        <v>#REF!</v>
      </c>
      <c r="D276" s="662" t="s">
        <v>799</v>
      </c>
      <c r="E276" s="663" t="s">
        <v>864</v>
      </c>
      <c r="F276" s="633"/>
      <c r="G276" s="664" t="s">
        <v>628</v>
      </c>
      <c r="H276" s="664"/>
      <c r="I276" s="664" t="s">
        <v>1067</v>
      </c>
      <c r="J276" s="664"/>
      <c r="K276" s="664"/>
      <c r="L276" s="664"/>
      <c r="M276" s="664"/>
      <c r="O276" s="631"/>
    </row>
    <row r="277" spans="1:16" x14ac:dyDescent="0.2">
      <c r="A277" s="736"/>
      <c r="B277" s="737"/>
      <c r="C277" s="665" t="s">
        <v>894</v>
      </c>
      <c r="E277" s="661">
        <v>30</v>
      </c>
      <c r="F277" s="662" t="s">
        <v>866</v>
      </c>
      <c r="G277" s="631">
        <v>2</v>
      </c>
      <c r="H277" s="631"/>
      <c r="I277" s="631"/>
      <c r="J277" s="631"/>
      <c r="K277" s="631"/>
      <c r="L277" s="631"/>
      <c r="M277" s="631"/>
      <c r="N277" s="666" t="s">
        <v>799</v>
      </c>
      <c r="O277" s="631">
        <f>(E277*G277)</f>
        <v>60</v>
      </c>
      <c r="P277" s="657" t="s">
        <v>6</v>
      </c>
    </row>
    <row r="278" spans="1:16" ht="13.5" thickBot="1" x14ac:dyDescent="0.25">
      <c r="A278" s="736"/>
      <c r="B278" s="737"/>
      <c r="C278" s="665"/>
      <c r="E278" s="661">
        <v>24</v>
      </c>
      <c r="F278" s="662" t="s">
        <v>866</v>
      </c>
      <c r="G278" s="631">
        <v>2</v>
      </c>
      <c r="H278" s="658" t="s">
        <v>1701</v>
      </c>
      <c r="I278" s="631">
        <v>3</v>
      </c>
      <c r="J278" s="631"/>
      <c r="K278" s="631"/>
      <c r="L278" s="631"/>
      <c r="M278" s="631"/>
      <c r="N278" s="666" t="s">
        <v>799</v>
      </c>
      <c r="O278" s="631">
        <f>(E278*G278)-I278</f>
        <v>45</v>
      </c>
      <c r="P278" s="657" t="s">
        <v>6</v>
      </c>
    </row>
    <row r="279" spans="1:16" ht="13.5" thickBot="1" x14ac:dyDescent="0.25">
      <c r="A279" s="736"/>
      <c r="B279" s="737"/>
      <c r="C279" s="667"/>
      <c r="F279" s="666"/>
      <c r="G279" s="631"/>
      <c r="H279" s="631"/>
      <c r="I279" s="631"/>
      <c r="J279" s="631"/>
      <c r="K279" s="631"/>
      <c r="L279" s="631"/>
      <c r="M279" s="631"/>
      <c r="N279" s="666"/>
      <c r="O279" s="668">
        <f>ROUND((SUM(O277:O278)),2)</f>
        <v>105</v>
      </c>
      <c r="P279" s="669" t="s">
        <v>6</v>
      </c>
    </row>
    <row r="280" spans="1:16" x14ac:dyDescent="0.2">
      <c r="A280" s="734" t="s">
        <v>0</v>
      </c>
      <c r="B280" s="735" t="s">
        <v>1240</v>
      </c>
      <c r="C280" s="678" t="e">
        <f>#REF!</f>
        <v>#REF!</v>
      </c>
      <c r="D280" s="662" t="s">
        <v>799</v>
      </c>
      <c r="E280" s="663" t="s">
        <v>864</v>
      </c>
      <c r="F280" s="633"/>
      <c r="G280" s="664"/>
      <c r="H280" s="664"/>
      <c r="I280" s="664"/>
      <c r="J280" s="664"/>
      <c r="K280" s="664"/>
      <c r="L280" s="664"/>
      <c r="M280" s="664"/>
      <c r="O280" s="631"/>
    </row>
    <row r="281" spans="1:16" ht="13.5" thickBot="1" x14ac:dyDescent="0.25">
      <c r="A281" s="736"/>
      <c r="B281" s="737"/>
      <c r="C281" s="665" t="s">
        <v>916</v>
      </c>
      <c r="E281" s="661">
        <v>3</v>
      </c>
      <c r="F281" s="662"/>
      <c r="G281" s="631"/>
      <c r="H281" s="631"/>
      <c r="I281" s="631"/>
      <c r="J281" s="631"/>
      <c r="K281" s="631"/>
      <c r="L281" s="631"/>
      <c r="M281" s="631"/>
      <c r="N281" s="666" t="s">
        <v>799</v>
      </c>
      <c r="O281" s="631">
        <f>E281</f>
        <v>3</v>
      </c>
      <c r="P281" s="657" t="s">
        <v>6</v>
      </c>
    </row>
    <row r="282" spans="1:16" ht="13.5" thickBot="1" x14ac:dyDescent="0.25">
      <c r="A282" s="736"/>
      <c r="B282" s="737"/>
      <c r="C282" s="667"/>
      <c r="F282" s="666"/>
      <c r="G282" s="631"/>
      <c r="H282" s="631"/>
      <c r="I282" s="631"/>
      <c r="J282" s="631"/>
      <c r="K282" s="631"/>
      <c r="L282" s="631"/>
      <c r="M282" s="631"/>
      <c r="N282" s="666"/>
      <c r="O282" s="668">
        <f>ROUND((SUM(O281:O281)),2)</f>
        <v>3</v>
      </c>
      <c r="P282" s="669" t="s">
        <v>6</v>
      </c>
    </row>
    <row r="283" spans="1:16" x14ac:dyDescent="0.2">
      <c r="A283" s="734" t="s">
        <v>0</v>
      </c>
      <c r="B283" s="735" t="s">
        <v>1241</v>
      </c>
      <c r="C283" s="678" t="e">
        <f>#REF!</f>
        <v>#REF!</v>
      </c>
      <c r="D283" s="662" t="s">
        <v>799</v>
      </c>
      <c r="E283" s="663" t="s">
        <v>628</v>
      </c>
      <c r="F283" s="633"/>
      <c r="G283" s="664"/>
      <c r="H283" s="664"/>
      <c r="I283" s="664"/>
      <c r="J283" s="664"/>
      <c r="K283" s="664"/>
      <c r="L283" s="664"/>
      <c r="M283" s="664"/>
      <c r="O283" s="631"/>
    </row>
    <row r="284" spans="1:16" ht="13.5" thickBot="1" x14ac:dyDescent="0.25">
      <c r="A284" s="736"/>
      <c r="B284" s="737"/>
      <c r="C284" s="665" t="s">
        <v>1700</v>
      </c>
      <c r="E284" s="661">
        <v>1</v>
      </c>
      <c r="F284" s="662"/>
      <c r="G284" s="631"/>
      <c r="H284" s="631"/>
      <c r="I284" s="631"/>
      <c r="J284" s="631"/>
      <c r="K284" s="631"/>
      <c r="L284" s="631"/>
      <c r="M284" s="631"/>
      <c r="N284" s="666" t="s">
        <v>799</v>
      </c>
      <c r="O284" s="631">
        <f>E284</f>
        <v>1</v>
      </c>
      <c r="P284" s="657" t="s">
        <v>2</v>
      </c>
    </row>
    <row r="285" spans="1:16" ht="13.5" thickBot="1" x14ac:dyDescent="0.25">
      <c r="A285" s="736"/>
      <c r="B285" s="737"/>
      <c r="C285" s="667"/>
      <c r="F285" s="666"/>
      <c r="G285" s="631"/>
      <c r="H285" s="631"/>
      <c r="I285" s="631"/>
      <c r="J285" s="631"/>
      <c r="K285" s="631"/>
      <c r="L285" s="631"/>
      <c r="M285" s="631"/>
      <c r="N285" s="666"/>
      <c r="O285" s="668">
        <f>ROUND((SUM(O284:O284)),2)</f>
        <v>1</v>
      </c>
      <c r="P285" s="669" t="s">
        <v>2</v>
      </c>
    </row>
    <row r="286" spans="1:16" ht="40.5" customHeight="1" x14ac:dyDescent="0.2">
      <c r="A286" s="734" t="s">
        <v>0</v>
      </c>
      <c r="B286" s="735" t="s">
        <v>1242</v>
      </c>
      <c r="C286" s="678" t="e">
        <f>#REF!</f>
        <v>#REF!</v>
      </c>
      <c r="D286" s="662" t="s">
        <v>799</v>
      </c>
      <c r="E286" s="663" t="s">
        <v>628</v>
      </c>
      <c r="F286" s="633"/>
      <c r="G286" s="664"/>
      <c r="H286" s="664"/>
      <c r="I286" s="664"/>
      <c r="J286" s="664"/>
      <c r="K286" s="664"/>
      <c r="L286" s="664"/>
      <c r="M286" s="664"/>
      <c r="O286" s="631"/>
    </row>
    <row r="287" spans="1:16" ht="13.5" thickBot="1" x14ac:dyDescent="0.25">
      <c r="A287" s="736"/>
      <c r="B287" s="737"/>
      <c r="C287" s="665" t="s">
        <v>898</v>
      </c>
      <c r="E287" s="661">
        <v>1</v>
      </c>
      <c r="F287" s="662"/>
      <c r="G287" s="631"/>
      <c r="H287" s="631"/>
      <c r="I287" s="631"/>
      <c r="J287" s="631"/>
      <c r="K287" s="631"/>
      <c r="L287" s="631"/>
      <c r="M287" s="631"/>
      <c r="N287" s="666" t="s">
        <v>799</v>
      </c>
      <c r="O287" s="631">
        <f>E287</f>
        <v>1</v>
      </c>
      <c r="P287" s="657" t="s">
        <v>2</v>
      </c>
    </row>
    <row r="288" spans="1:16" ht="13.5" thickBot="1" x14ac:dyDescent="0.25">
      <c r="A288" s="736"/>
      <c r="B288" s="737"/>
      <c r="C288" s="667"/>
      <c r="F288" s="666"/>
      <c r="G288" s="631"/>
      <c r="H288" s="631"/>
      <c r="I288" s="631"/>
      <c r="J288" s="631"/>
      <c r="K288" s="631"/>
      <c r="L288" s="631"/>
      <c r="M288" s="631"/>
      <c r="N288" s="666"/>
      <c r="O288" s="668">
        <f>ROUND((SUM(O287:O287)),2)</f>
        <v>1</v>
      </c>
      <c r="P288" s="669" t="s">
        <v>2</v>
      </c>
    </row>
    <row r="289" spans="1:16" x14ac:dyDescent="0.2">
      <c r="A289" s="734" t="s">
        <v>0</v>
      </c>
      <c r="B289" s="735" t="s">
        <v>1243</v>
      </c>
      <c r="C289" s="678" t="e">
        <f>#REF!</f>
        <v>#REF!</v>
      </c>
      <c r="D289" s="662" t="s">
        <v>799</v>
      </c>
      <c r="E289" s="663" t="s">
        <v>628</v>
      </c>
      <c r="F289" s="633"/>
      <c r="G289" s="664"/>
      <c r="H289" s="664"/>
      <c r="I289" s="664"/>
      <c r="J289" s="664"/>
      <c r="K289" s="664"/>
      <c r="L289" s="664"/>
      <c r="M289" s="664"/>
      <c r="O289" s="631"/>
    </row>
    <row r="290" spans="1:16" ht="13.5" thickBot="1" x14ac:dyDescent="0.25">
      <c r="A290" s="736"/>
      <c r="B290" s="737"/>
      <c r="C290" s="665" t="s">
        <v>898</v>
      </c>
      <c r="E290" s="661">
        <v>1</v>
      </c>
      <c r="F290" s="662"/>
      <c r="G290" s="631"/>
      <c r="H290" s="631"/>
      <c r="I290" s="631"/>
      <c r="J290" s="631"/>
      <c r="K290" s="631"/>
      <c r="L290" s="631"/>
      <c r="M290" s="631"/>
      <c r="N290" s="666" t="s">
        <v>799</v>
      </c>
      <c r="O290" s="631">
        <f>E290</f>
        <v>1</v>
      </c>
      <c r="P290" s="657" t="s">
        <v>2</v>
      </c>
    </row>
    <row r="291" spans="1:16" ht="13.5" thickBot="1" x14ac:dyDescent="0.25">
      <c r="A291" s="736"/>
      <c r="B291" s="737"/>
      <c r="C291" s="667"/>
      <c r="F291" s="666"/>
      <c r="G291" s="631"/>
      <c r="H291" s="631"/>
      <c r="I291" s="631"/>
      <c r="J291" s="631"/>
      <c r="K291" s="631"/>
      <c r="L291" s="631"/>
      <c r="M291" s="631"/>
      <c r="N291" s="666"/>
      <c r="O291" s="668">
        <f>ROUND((SUM(O290:O290)),2)</f>
        <v>1</v>
      </c>
      <c r="P291" s="669" t="s">
        <v>2</v>
      </c>
    </row>
    <row r="292" spans="1:16" x14ac:dyDescent="0.2">
      <c r="A292" s="734" t="s">
        <v>0</v>
      </c>
      <c r="B292" s="735" t="s">
        <v>1703</v>
      </c>
      <c r="C292" s="751" t="e">
        <f>#REF!</f>
        <v>#REF!</v>
      </c>
      <c r="D292" s="662" t="s">
        <v>799</v>
      </c>
      <c r="E292" s="663" t="s">
        <v>628</v>
      </c>
      <c r="F292" s="633"/>
      <c r="G292" s="664"/>
      <c r="H292" s="664"/>
      <c r="I292" s="664"/>
      <c r="J292" s="664"/>
      <c r="K292" s="664"/>
      <c r="L292" s="664"/>
      <c r="M292" s="664"/>
      <c r="O292" s="631"/>
    </row>
    <row r="293" spans="1:16" ht="12.75" customHeight="1" x14ac:dyDescent="0.2">
      <c r="A293" s="736"/>
      <c r="B293" s="737"/>
      <c r="C293" s="665" t="s">
        <v>898</v>
      </c>
      <c r="E293" s="661">
        <v>2</v>
      </c>
      <c r="F293" s="662"/>
      <c r="G293" s="631"/>
      <c r="H293" s="631"/>
      <c r="I293" s="631"/>
      <c r="J293" s="631"/>
      <c r="K293" s="631"/>
      <c r="L293" s="631"/>
      <c r="M293" s="631"/>
      <c r="N293" s="666" t="s">
        <v>799</v>
      </c>
      <c r="O293" s="631">
        <f>E293</f>
        <v>2</v>
      </c>
      <c r="P293" s="657" t="s">
        <v>2</v>
      </c>
    </row>
    <row r="294" spans="1:16" ht="12.75" customHeight="1" thickBot="1" x14ac:dyDescent="0.25">
      <c r="A294" s="736"/>
      <c r="B294" s="737"/>
      <c r="C294" s="665" t="s">
        <v>1695</v>
      </c>
      <c r="E294" s="661">
        <v>1</v>
      </c>
      <c r="F294" s="662"/>
      <c r="G294" s="631"/>
      <c r="H294" s="631"/>
      <c r="I294" s="631"/>
      <c r="J294" s="631"/>
      <c r="K294" s="631"/>
      <c r="L294" s="631"/>
      <c r="M294" s="631"/>
      <c r="N294" s="666" t="s">
        <v>799</v>
      </c>
      <c r="O294" s="631">
        <f>E294</f>
        <v>1</v>
      </c>
      <c r="P294" s="657" t="s">
        <v>2</v>
      </c>
    </row>
    <row r="295" spans="1:16" ht="13.5" thickBot="1" x14ac:dyDescent="0.25">
      <c r="A295" s="736"/>
      <c r="B295" s="737"/>
      <c r="C295" s="667"/>
      <c r="F295" s="666"/>
      <c r="G295" s="631"/>
      <c r="H295" s="631"/>
      <c r="I295" s="631"/>
      <c r="J295" s="631"/>
      <c r="K295" s="631"/>
      <c r="L295" s="631"/>
      <c r="M295" s="631"/>
      <c r="N295" s="666"/>
      <c r="O295" s="668">
        <f>ROUND((SUM(O293:O294)),2)</f>
        <v>3</v>
      </c>
      <c r="P295" s="669" t="s">
        <v>2</v>
      </c>
    </row>
    <row r="296" spans="1:16" x14ac:dyDescent="0.2">
      <c r="A296" s="736"/>
      <c r="B296" s="737"/>
      <c r="C296" s="667"/>
      <c r="F296" s="666"/>
      <c r="G296" s="631"/>
      <c r="H296" s="631"/>
      <c r="I296" s="631"/>
      <c r="J296" s="631"/>
      <c r="K296" s="631"/>
      <c r="L296" s="631"/>
      <c r="M296" s="631"/>
      <c r="N296" s="666"/>
      <c r="O296" s="632"/>
      <c r="P296" s="633"/>
    </row>
    <row r="297" spans="1:16" ht="15.75" x14ac:dyDescent="0.2">
      <c r="A297" s="736"/>
      <c r="B297" s="737"/>
      <c r="C297" s="788" t="s">
        <v>1160</v>
      </c>
      <c r="F297" s="666"/>
      <c r="G297" s="631"/>
      <c r="H297" s="631"/>
      <c r="I297" s="631"/>
      <c r="J297" s="631"/>
      <c r="K297" s="631"/>
      <c r="L297" s="631"/>
      <c r="M297" s="631"/>
      <c r="N297" s="666"/>
      <c r="O297" s="632"/>
      <c r="P297" s="633"/>
    </row>
    <row r="298" spans="1:16" x14ac:dyDescent="0.2">
      <c r="A298" s="734" t="s">
        <v>0</v>
      </c>
      <c r="B298" s="735" t="s">
        <v>1704</v>
      </c>
      <c r="C298" s="678" t="e">
        <f>#REF!</f>
        <v>#REF!</v>
      </c>
      <c r="D298" s="662" t="s">
        <v>799</v>
      </c>
      <c r="E298" s="663" t="s">
        <v>864</v>
      </c>
      <c r="F298" s="633"/>
      <c r="G298" s="664"/>
      <c r="H298" s="664"/>
      <c r="I298" s="664"/>
      <c r="J298" s="664"/>
      <c r="K298" s="664"/>
      <c r="L298" s="664"/>
      <c r="M298" s="664"/>
      <c r="O298" s="631"/>
    </row>
    <row r="299" spans="1:16" ht="12.75" customHeight="1" x14ac:dyDescent="0.2">
      <c r="A299" s="736"/>
      <c r="B299" s="737"/>
      <c r="C299" s="665" t="s">
        <v>897</v>
      </c>
      <c r="E299" s="730">
        <v>24</v>
      </c>
      <c r="F299" s="662"/>
      <c r="G299" s="631"/>
      <c r="H299" s="631"/>
      <c r="I299" s="631"/>
      <c r="J299" s="631"/>
      <c r="K299" s="631"/>
      <c r="L299" s="631"/>
      <c r="M299" s="631"/>
      <c r="N299" s="666" t="s">
        <v>799</v>
      </c>
      <c r="O299" s="631">
        <f>E299</f>
        <v>24</v>
      </c>
      <c r="P299" s="630" t="s">
        <v>6</v>
      </c>
    </row>
    <row r="300" spans="1:16" x14ac:dyDescent="0.2">
      <c r="A300" s="736"/>
      <c r="B300" s="737"/>
      <c r="C300" s="665" t="s">
        <v>892</v>
      </c>
      <c r="E300" s="730">
        <v>6</v>
      </c>
      <c r="F300" s="662"/>
      <c r="G300" s="631"/>
      <c r="H300" s="631"/>
      <c r="I300" s="631"/>
      <c r="J300" s="631"/>
      <c r="K300" s="631"/>
      <c r="L300" s="631"/>
      <c r="M300" s="631"/>
      <c r="N300" s="666" t="s">
        <v>799</v>
      </c>
      <c r="O300" s="631">
        <f t="shared" ref="O300:O301" si="17">E300</f>
        <v>6</v>
      </c>
      <c r="P300" s="630" t="s">
        <v>6</v>
      </c>
    </row>
    <row r="301" spans="1:16" ht="13.5" thickBot="1" x14ac:dyDescent="0.25">
      <c r="A301" s="736"/>
      <c r="B301" s="737"/>
      <c r="C301" s="665" t="s">
        <v>896</v>
      </c>
      <c r="E301" s="730">
        <v>50</v>
      </c>
      <c r="F301" s="662"/>
      <c r="G301" s="631"/>
      <c r="H301" s="631"/>
      <c r="I301" s="631"/>
      <c r="J301" s="631"/>
      <c r="K301" s="631"/>
      <c r="L301" s="631"/>
      <c r="M301" s="631"/>
      <c r="N301" s="666" t="s">
        <v>799</v>
      </c>
      <c r="O301" s="631">
        <f t="shared" si="17"/>
        <v>50</v>
      </c>
      <c r="P301" s="630" t="s">
        <v>6</v>
      </c>
    </row>
    <row r="302" spans="1:16" ht="13.5" thickBot="1" x14ac:dyDescent="0.25">
      <c r="A302" s="736"/>
      <c r="B302" s="737"/>
      <c r="C302" s="667"/>
      <c r="F302" s="666"/>
      <c r="G302" s="631"/>
      <c r="H302" s="631"/>
      <c r="I302" s="631"/>
      <c r="J302" s="631"/>
      <c r="K302" s="631"/>
      <c r="L302" s="631"/>
      <c r="M302" s="631"/>
      <c r="N302" s="666"/>
      <c r="O302" s="668">
        <f>ROUND((SUM(O299:O301)),2)</f>
        <v>80</v>
      </c>
      <c r="P302" s="669" t="s">
        <v>6</v>
      </c>
    </row>
    <row r="303" spans="1:16" x14ac:dyDescent="0.2">
      <c r="A303" s="734" t="s">
        <v>0</v>
      </c>
      <c r="B303" s="735" t="s">
        <v>1705</v>
      </c>
      <c r="C303" s="678" t="e">
        <f>#REF!</f>
        <v>#REF!</v>
      </c>
      <c r="D303" s="662" t="s">
        <v>799</v>
      </c>
      <c r="E303" s="663" t="s">
        <v>864</v>
      </c>
      <c r="F303" s="633"/>
      <c r="G303" s="664"/>
      <c r="H303" s="664"/>
      <c r="I303" s="664"/>
      <c r="J303" s="664"/>
      <c r="K303" s="664"/>
      <c r="L303" s="664"/>
      <c r="M303" s="664"/>
      <c r="O303" s="631"/>
    </row>
    <row r="304" spans="1:16" ht="13.5" thickBot="1" x14ac:dyDescent="0.25">
      <c r="A304" s="734"/>
      <c r="B304" s="735"/>
      <c r="C304" s="665" t="s">
        <v>1695</v>
      </c>
      <c r="E304" s="730">
        <v>12</v>
      </c>
      <c r="F304" s="662"/>
      <c r="G304" s="631"/>
      <c r="H304" s="631"/>
      <c r="I304" s="631"/>
      <c r="J304" s="631"/>
      <c r="K304" s="631"/>
      <c r="L304" s="631"/>
      <c r="M304" s="631"/>
      <c r="N304" s="666" t="s">
        <v>799</v>
      </c>
      <c r="O304" s="631">
        <f>E304</f>
        <v>12</v>
      </c>
      <c r="P304" s="630" t="s">
        <v>6</v>
      </c>
    </row>
    <row r="305" spans="1:16" ht="13.5" thickBot="1" x14ac:dyDescent="0.25">
      <c r="A305" s="736"/>
      <c r="B305" s="737"/>
      <c r="C305" s="667"/>
      <c r="F305" s="666"/>
      <c r="G305" s="631"/>
      <c r="H305" s="631"/>
      <c r="I305" s="631"/>
      <c r="J305" s="631"/>
      <c r="K305" s="631"/>
      <c r="L305" s="631"/>
      <c r="M305" s="631"/>
      <c r="N305" s="666"/>
      <c r="O305" s="668">
        <f>ROUND((SUM(O304:O304)),2)</f>
        <v>12</v>
      </c>
      <c r="P305" s="669" t="s">
        <v>6</v>
      </c>
    </row>
    <row r="306" spans="1:16" x14ac:dyDescent="0.2">
      <c r="A306" s="736"/>
      <c r="B306" s="737"/>
      <c r="C306" s="667"/>
      <c r="F306" s="666"/>
      <c r="G306" s="631"/>
      <c r="H306" s="631"/>
      <c r="I306" s="631"/>
      <c r="J306" s="631"/>
      <c r="K306" s="631"/>
      <c r="L306" s="631"/>
      <c r="M306" s="631"/>
      <c r="N306" s="666"/>
      <c r="O306" s="632"/>
      <c r="P306" s="633"/>
    </row>
    <row r="307" spans="1:16" x14ac:dyDescent="0.2">
      <c r="A307" s="736"/>
      <c r="B307" s="737"/>
      <c r="C307" s="667"/>
      <c r="F307" s="666"/>
      <c r="G307" s="631"/>
      <c r="H307" s="631"/>
      <c r="I307" s="631"/>
      <c r="J307" s="631"/>
      <c r="K307" s="631"/>
      <c r="L307" s="631"/>
      <c r="M307" s="631"/>
      <c r="N307" s="666"/>
      <c r="O307" s="632"/>
      <c r="P307" s="633"/>
    </row>
    <row r="308" spans="1:16" x14ac:dyDescent="0.2">
      <c r="A308" s="736"/>
      <c r="B308" s="737"/>
      <c r="C308" s="667"/>
      <c r="F308" s="666"/>
      <c r="G308" s="631"/>
      <c r="H308" s="631"/>
      <c r="I308" s="631"/>
      <c r="J308" s="631"/>
      <c r="K308" s="631"/>
      <c r="L308" s="631"/>
      <c r="M308" s="631"/>
      <c r="N308" s="666"/>
      <c r="O308" s="632"/>
      <c r="P308" s="633"/>
    </row>
    <row r="309" spans="1:16" x14ac:dyDescent="0.2">
      <c r="A309" s="736"/>
      <c r="B309" s="737"/>
      <c r="C309" s="667"/>
      <c r="F309" s="666"/>
      <c r="G309" s="631"/>
      <c r="H309" s="631"/>
      <c r="I309" s="631"/>
      <c r="J309" s="631"/>
      <c r="K309" s="631"/>
      <c r="L309" s="631"/>
      <c r="M309" s="631"/>
      <c r="N309" s="666"/>
      <c r="O309" s="632"/>
      <c r="P309" s="633"/>
    </row>
    <row r="310" spans="1:16" ht="15" x14ac:dyDescent="0.2">
      <c r="B310" s="946" t="s">
        <v>1673</v>
      </c>
      <c r="C310" s="947"/>
      <c r="D310"/>
      <c r="E310"/>
      <c r="F310" s="677"/>
      <c r="G310" s="690"/>
      <c r="H310" s="631"/>
      <c r="I310" s="631"/>
      <c r="J310" s="631"/>
      <c r="K310" s="631"/>
      <c r="L310" s="631"/>
      <c r="M310" s="631"/>
      <c r="O310" s="631"/>
    </row>
    <row r="311" spans="1:16" ht="15" x14ac:dyDescent="0.2">
      <c r="B311" s="946" t="s">
        <v>1674</v>
      </c>
      <c r="C311" s="946"/>
      <c r="D311"/>
      <c r="E311"/>
      <c r="F311" s="676"/>
      <c r="G311" s="690"/>
      <c r="H311" s="631"/>
      <c r="I311" s="631"/>
      <c r="J311" s="631"/>
      <c r="K311" s="631"/>
      <c r="L311" s="631"/>
      <c r="M311" s="631"/>
      <c r="O311" s="631"/>
    </row>
    <row r="312" spans="1:16" ht="14.25" x14ac:dyDescent="0.2">
      <c r="B312" s="948" t="s">
        <v>1675</v>
      </c>
      <c r="C312" s="794"/>
      <c r="D312"/>
      <c r="E312"/>
      <c r="F312" s="676"/>
      <c r="G312" s="652"/>
      <c r="H312" s="631"/>
      <c r="I312" s="631"/>
      <c r="J312" s="631"/>
      <c r="K312" s="631"/>
      <c r="L312" s="631"/>
      <c r="M312" s="631"/>
      <c r="O312" s="631"/>
    </row>
    <row r="313" spans="1:16" x14ac:dyDescent="0.2">
      <c r="B313" s="660"/>
      <c r="C313" s="660"/>
      <c r="E313" s="629"/>
      <c r="G313" s="631"/>
      <c r="H313" s="631"/>
      <c r="I313" s="631"/>
      <c r="J313" s="631"/>
      <c r="K313" s="631"/>
      <c r="L313" s="631"/>
      <c r="M313" s="631"/>
      <c r="O313" s="631"/>
    </row>
    <row r="314" spans="1:16" x14ac:dyDescent="0.2">
      <c r="B314" s="660"/>
      <c r="C314" s="660"/>
      <c r="E314" s="629"/>
      <c r="G314" s="631"/>
      <c r="H314" s="631"/>
      <c r="I314" s="631"/>
      <c r="J314" s="631"/>
      <c r="K314" s="631"/>
      <c r="L314" s="631"/>
      <c r="M314" s="631"/>
      <c r="O314" s="631"/>
    </row>
    <row r="315" spans="1:16" x14ac:dyDescent="0.2">
      <c r="B315" s="660"/>
      <c r="C315" s="660"/>
      <c r="E315" s="629"/>
      <c r="G315" s="631"/>
      <c r="H315" s="631"/>
      <c r="I315" s="631"/>
      <c r="J315" s="631"/>
      <c r="K315" s="631"/>
      <c r="L315" s="631"/>
      <c r="M315" s="631"/>
      <c r="O315" s="631"/>
    </row>
    <row r="316" spans="1:16" x14ac:dyDescent="0.2">
      <c r="E316" s="609"/>
      <c r="F316" s="609"/>
      <c r="G316" s="609"/>
      <c r="H316" s="609"/>
      <c r="I316" s="609"/>
      <c r="J316" s="631"/>
      <c r="K316" s="631"/>
      <c r="L316" s="631"/>
      <c r="M316" s="631"/>
      <c r="O316" s="631"/>
    </row>
    <row r="317" spans="1:16" x14ac:dyDescent="0.2">
      <c r="E317" s="609"/>
      <c r="F317" s="609"/>
      <c r="G317" s="609"/>
      <c r="H317" s="609"/>
      <c r="I317" s="609"/>
    </row>
  </sheetData>
  <mergeCells count="15">
    <mergeCell ref="A5:P5"/>
    <mergeCell ref="A1:E1"/>
    <mergeCell ref="F1:P1"/>
    <mergeCell ref="A2:P2"/>
    <mergeCell ref="A3:L3"/>
    <mergeCell ref="N3:P3"/>
    <mergeCell ref="R216:V216"/>
    <mergeCell ref="R217:V217"/>
    <mergeCell ref="G241:K241"/>
    <mergeCell ref="A7:P7"/>
    <mergeCell ref="A40:P40"/>
    <mergeCell ref="A187:P187"/>
    <mergeCell ref="R200:V200"/>
    <mergeCell ref="R206:V206"/>
    <mergeCell ref="R209:V209"/>
  </mergeCells>
  <printOptions horizontalCentered="1"/>
  <pageMargins left="0.59055118110236227" right="0.59055118110236227" top="1.1811023622047245" bottom="1.1811023622047245" header="0.39370078740157483" footer="0.39370078740157483"/>
  <pageSetup scale="58" orientation="portrait" horizontalDpi="4294967293" verticalDpi="4294967293"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1"/>
  <sheetViews>
    <sheetView workbookViewId="0"/>
  </sheetViews>
  <sheetFormatPr baseColWidth="10" defaultColWidth="11.42578125" defaultRowHeight="12.75" x14ac:dyDescent="0.2"/>
  <cols>
    <col min="1" max="1" width="28.85546875" style="34" bestFit="1" customWidth="1"/>
    <col min="2" max="2" width="11.28515625" style="34" bestFit="1" customWidth="1"/>
    <col min="3" max="3" width="10" style="34" bestFit="1" customWidth="1"/>
    <col min="4" max="4" width="12.7109375" style="34" customWidth="1"/>
    <col min="5" max="5" width="12.5703125" style="34" bestFit="1" customWidth="1"/>
    <col min="6" max="6" width="11.7109375" style="34" customWidth="1"/>
    <col min="7" max="16384" width="11.42578125" style="34"/>
  </cols>
  <sheetData>
    <row r="1" spans="1:7" ht="13.5" thickBot="1" x14ac:dyDescent="0.25"/>
    <row r="2" spans="1:7" ht="27" customHeight="1" x14ac:dyDescent="0.2">
      <c r="A2" s="1935" t="s">
        <v>122</v>
      </c>
      <c r="B2" s="1936"/>
      <c r="C2" s="1937"/>
      <c r="D2" s="50"/>
      <c r="E2" s="46"/>
      <c r="F2" s="46"/>
      <c r="G2" s="47"/>
    </row>
    <row r="3" spans="1:7" ht="24" customHeight="1" thickBot="1" x14ac:dyDescent="0.25">
      <c r="A3" s="1938" t="e">
        <f>+#REF!</f>
        <v>#REF!</v>
      </c>
      <c r="B3" s="1939"/>
      <c r="C3" s="1940"/>
      <c r="D3" s="48"/>
      <c r="E3" s="48"/>
      <c r="F3" s="48"/>
      <c r="G3" s="49"/>
    </row>
    <row r="4" spans="1:7" ht="13.5" thickBot="1" x14ac:dyDescent="0.25">
      <c r="A4" s="37"/>
      <c r="B4" s="37"/>
      <c r="C4" s="37"/>
      <c r="D4" s="37"/>
      <c r="E4" s="37"/>
      <c r="F4" s="37"/>
      <c r="G4" s="37"/>
    </row>
    <row r="5" spans="1:7" ht="30.75" customHeight="1" thickBot="1" x14ac:dyDescent="0.25">
      <c r="A5" s="1558" t="e">
        <f>+#REF!</f>
        <v>#REF!</v>
      </c>
      <c r="B5" s="1559"/>
      <c r="C5" s="1560"/>
      <c r="D5" s="1565" t="s">
        <v>155</v>
      </c>
      <c r="E5" s="1559"/>
      <c r="F5" s="1559"/>
      <c r="G5" s="1560"/>
    </row>
    <row r="6" spans="1:7" ht="13.5" thickBot="1" x14ac:dyDescent="0.25">
      <c r="A6" s="38"/>
      <c r="B6" s="38"/>
      <c r="C6" s="38"/>
      <c r="D6" s="38"/>
      <c r="E6" s="38"/>
      <c r="F6" s="38"/>
      <c r="G6" s="38"/>
    </row>
    <row r="7" spans="1:7" ht="12.75" customHeight="1" thickBot="1" x14ac:dyDescent="0.25">
      <c r="A7" s="39"/>
      <c r="B7" s="37"/>
      <c r="D7" s="60" t="s">
        <v>124</v>
      </c>
      <c r="E7" s="61"/>
      <c r="F7" s="59"/>
      <c r="G7" s="59"/>
    </row>
    <row r="8" spans="1:7" ht="13.5" thickBot="1" x14ac:dyDescent="0.25">
      <c r="A8" s="40" t="s">
        <v>108</v>
      </c>
      <c r="B8" s="37"/>
      <c r="C8" s="37"/>
      <c r="D8" s="37"/>
      <c r="E8" s="37"/>
      <c r="F8" s="37"/>
      <c r="G8" s="37"/>
    </row>
    <row r="9" spans="1:7" s="1" customFormat="1" ht="13.5" customHeight="1" thickBot="1" x14ac:dyDescent="0.25">
      <c r="A9" s="1530" t="s">
        <v>109</v>
      </c>
      <c r="B9" s="1554"/>
      <c r="C9" s="1531"/>
      <c r="D9" s="64" t="s">
        <v>110</v>
      </c>
      <c r="E9" s="64" t="s">
        <v>111</v>
      </c>
      <c r="F9" s="63" t="s">
        <v>112</v>
      </c>
      <c r="G9" s="66"/>
    </row>
    <row r="10" spans="1:7" x14ac:dyDescent="0.2">
      <c r="A10" s="1943"/>
      <c r="B10" s="1944"/>
      <c r="C10" s="1945"/>
      <c r="D10" s="55"/>
      <c r="E10" s="51"/>
      <c r="F10" s="55"/>
      <c r="G10" s="52"/>
    </row>
    <row r="11" spans="1:7" ht="13.5" thickBot="1" x14ac:dyDescent="0.25">
      <c r="A11" s="1926"/>
      <c r="B11" s="1946"/>
      <c r="C11" s="1927"/>
      <c r="D11" s="57"/>
      <c r="E11" s="56"/>
      <c r="F11" s="57"/>
      <c r="G11" s="58"/>
    </row>
    <row r="12" spans="1:7" ht="13.5" thickBot="1" x14ac:dyDescent="0.25">
      <c r="A12" s="1932" t="s">
        <v>125</v>
      </c>
      <c r="B12" s="1933"/>
      <c r="C12" s="1933"/>
      <c r="D12" s="1933"/>
      <c r="E12" s="1933"/>
      <c r="F12" s="1934"/>
      <c r="G12" s="54">
        <f>SUM(F10:F11)</f>
        <v>0</v>
      </c>
    </row>
    <row r="13" spans="1:7" ht="13.5" thickBot="1" x14ac:dyDescent="0.25">
      <c r="A13" s="40" t="s">
        <v>123</v>
      </c>
      <c r="B13" s="37"/>
      <c r="C13" s="37"/>
      <c r="D13" s="37"/>
      <c r="E13" s="37"/>
      <c r="F13" s="37"/>
      <c r="G13" s="37"/>
    </row>
    <row r="14" spans="1:7" s="1" customFormat="1" ht="13.5" thickBot="1" x14ac:dyDescent="0.25">
      <c r="A14" s="1530" t="s">
        <v>109</v>
      </c>
      <c r="B14" s="1531"/>
      <c r="C14" s="63" t="s">
        <v>114</v>
      </c>
      <c r="D14" s="63" t="s">
        <v>115</v>
      </c>
      <c r="E14" s="63" t="s">
        <v>116</v>
      </c>
      <c r="F14" s="63" t="s">
        <v>112</v>
      </c>
      <c r="G14" s="66"/>
    </row>
    <row r="15" spans="1:7" x14ac:dyDescent="0.2">
      <c r="A15" s="1941"/>
      <c r="B15" s="1942"/>
      <c r="C15" s="51"/>
      <c r="D15" s="55"/>
      <c r="E15" s="51"/>
      <c r="F15" s="55"/>
      <c r="G15" s="52"/>
    </row>
    <row r="16" spans="1:7" x14ac:dyDescent="0.2">
      <c r="A16" s="1556"/>
      <c r="B16" s="1557"/>
      <c r="C16" s="41"/>
      <c r="D16" s="42"/>
      <c r="E16" s="41"/>
      <c r="F16" s="42"/>
      <c r="G16" s="53"/>
    </row>
    <row r="17" spans="1:7" x14ac:dyDescent="0.2">
      <c r="A17" s="1556"/>
      <c r="B17" s="1557"/>
      <c r="C17" s="41"/>
      <c r="D17" s="42"/>
      <c r="E17" s="41"/>
      <c r="F17" s="42"/>
      <c r="G17" s="53"/>
    </row>
    <row r="18" spans="1:7" ht="13.5" thickBot="1" x14ac:dyDescent="0.25">
      <c r="A18" s="1920"/>
      <c r="B18" s="1921"/>
      <c r="C18" s="56"/>
      <c r="D18" s="57"/>
      <c r="E18" s="56"/>
      <c r="F18" s="57"/>
      <c r="G18" s="58"/>
    </row>
    <row r="19" spans="1:7" ht="13.5" thickBot="1" x14ac:dyDescent="0.25">
      <c r="A19" s="1932" t="s">
        <v>125</v>
      </c>
      <c r="B19" s="1933"/>
      <c r="C19" s="1933"/>
      <c r="D19" s="1933"/>
      <c r="E19" s="1933"/>
      <c r="F19" s="1934" t="s">
        <v>113</v>
      </c>
      <c r="G19" s="54">
        <f>SUM(F15:F18)</f>
        <v>0</v>
      </c>
    </row>
    <row r="20" spans="1:7" ht="13.5" thickBot="1" x14ac:dyDescent="0.25">
      <c r="A20" s="40" t="s">
        <v>117</v>
      </c>
      <c r="B20" s="37"/>
      <c r="C20" s="37"/>
      <c r="D20" s="37"/>
      <c r="E20" s="37"/>
      <c r="F20" s="37"/>
      <c r="G20" s="37"/>
    </row>
    <row r="21" spans="1:7" s="1" customFormat="1" ht="13.5" thickBot="1" x14ac:dyDescent="0.25">
      <c r="A21" s="1922" t="s">
        <v>109</v>
      </c>
      <c r="B21" s="1923"/>
      <c r="C21" s="64" t="s">
        <v>114</v>
      </c>
      <c r="D21" s="64" t="s">
        <v>115</v>
      </c>
      <c r="E21" s="64" t="s">
        <v>116</v>
      </c>
      <c r="F21" s="64" t="s">
        <v>112</v>
      </c>
      <c r="G21" s="67"/>
    </row>
    <row r="22" spans="1:7" x14ac:dyDescent="0.2">
      <c r="A22" s="1928"/>
      <c r="B22" s="1929"/>
      <c r="C22" s="62"/>
      <c r="D22" s="43"/>
      <c r="E22" s="42"/>
      <c r="F22" s="42">
        <f>D22*E22</f>
        <v>0</v>
      </c>
      <c r="G22" s="52"/>
    </row>
    <row r="23" spans="1:7" ht="13.5" thickBot="1" x14ac:dyDescent="0.25">
      <c r="A23" s="1930"/>
      <c r="B23" s="1931"/>
      <c r="C23" s="62"/>
      <c r="D23" s="43"/>
      <c r="E23" s="57"/>
      <c r="F23" s="57">
        <f>D23*E23</f>
        <v>0</v>
      </c>
      <c r="G23" s="68"/>
    </row>
    <row r="24" spans="1:7" ht="13.5" thickBot="1" x14ac:dyDescent="0.25">
      <c r="A24" s="1932" t="s">
        <v>125</v>
      </c>
      <c r="B24" s="1933"/>
      <c r="C24" s="1933"/>
      <c r="D24" s="1933"/>
      <c r="E24" s="1933"/>
      <c r="F24" s="1934" t="s">
        <v>113</v>
      </c>
      <c r="G24" s="54">
        <f>SUM(F23:F23)</f>
        <v>0</v>
      </c>
    </row>
    <row r="25" spans="1:7" ht="13.5" thickBot="1" x14ac:dyDescent="0.25">
      <c r="A25" s="40" t="s">
        <v>119</v>
      </c>
      <c r="B25" s="37"/>
      <c r="C25" s="37"/>
      <c r="D25" s="37"/>
      <c r="E25" s="37"/>
      <c r="F25" s="37"/>
      <c r="G25" s="37"/>
    </row>
    <row r="26" spans="1:7" ht="21.75" thickBot="1" x14ac:dyDescent="0.25">
      <c r="A26" s="1922" t="s">
        <v>120</v>
      </c>
      <c r="B26" s="1923"/>
      <c r="C26" s="63" t="s">
        <v>121</v>
      </c>
      <c r="D26" s="64" t="s">
        <v>114</v>
      </c>
      <c r="E26" s="64" t="s">
        <v>116</v>
      </c>
      <c r="F26" s="64" t="s">
        <v>112</v>
      </c>
      <c r="G26" s="71"/>
    </row>
    <row r="27" spans="1:7" x14ac:dyDescent="0.2">
      <c r="A27" s="1924"/>
      <c r="B27" s="1925"/>
      <c r="C27" s="65"/>
      <c r="D27" s="65"/>
      <c r="E27" s="65"/>
      <c r="F27" s="69"/>
      <c r="G27" s="52"/>
    </row>
    <row r="28" spans="1:7" ht="13.5" thickBot="1" x14ac:dyDescent="0.25">
      <c r="A28" s="1926"/>
      <c r="B28" s="1927"/>
      <c r="C28" s="43"/>
      <c r="D28" s="44"/>
      <c r="E28" s="43"/>
      <c r="F28" s="70"/>
      <c r="G28" s="58"/>
    </row>
    <row r="29" spans="1:7" ht="13.5" thickBot="1" x14ac:dyDescent="0.25">
      <c r="A29" s="1932" t="str">
        <f>+A24</f>
        <v>SUB-TOTAL</v>
      </c>
      <c r="B29" s="1933"/>
      <c r="C29" s="1933"/>
      <c r="D29" s="1933"/>
      <c r="E29" s="1933"/>
      <c r="F29" s="1934" t="s">
        <v>113</v>
      </c>
      <c r="G29" s="54">
        <f>SUM(F28:F28)</f>
        <v>0</v>
      </c>
    </row>
    <row r="30" spans="1:7" ht="11.25" customHeight="1" thickBot="1" x14ac:dyDescent="0.25">
      <c r="A30" s="37"/>
      <c r="B30" s="37"/>
      <c r="C30" s="37"/>
      <c r="D30" s="37"/>
      <c r="E30" s="37"/>
      <c r="F30" s="45"/>
      <c r="G30" s="37"/>
    </row>
    <row r="31" spans="1:7" ht="13.5" thickBot="1" x14ac:dyDescent="0.25">
      <c r="A31" s="1932" t="s">
        <v>156</v>
      </c>
      <c r="B31" s="1933"/>
      <c r="C31" s="1933"/>
      <c r="D31" s="1933"/>
      <c r="E31" s="1933"/>
      <c r="F31" s="1934"/>
      <c r="G31" s="72">
        <f>ROUND(G12+G19+G24+G29,0)</f>
        <v>0</v>
      </c>
    </row>
  </sheetData>
  <mergeCells count="23">
    <mergeCell ref="A31:F31"/>
    <mergeCell ref="A2:C2"/>
    <mergeCell ref="A3:C3"/>
    <mergeCell ref="A12:F12"/>
    <mergeCell ref="A14:B14"/>
    <mergeCell ref="A15:B15"/>
    <mergeCell ref="A16:B16"/>
    <mergeCell ref="A17:B17"/>
    <mergeCell ref="A5:C5"/>
    <mergeCell ref="D5:G5"/>
    <mergeCell ref="A9:C9"/>
    <mergeCell ref="A10:C10"/>
    <mergeCell ref="A11:C11"/>
    <mergeCell ref="A19:F19"/>
    <mergeCell ref="A24:F24"/>
    <mergeCell ref="A29:F29"/>
    <mergeCell ref="A18:B18"/>
    <mergeCell ref="A26:B26"/>
    <mergeCell ref="A27:B27"/>
    <mergeCell ref="A28:B28"/>
    <mergeCell ref="A21:B21"/>
    <mergeCell ref="A22:B22"/>
    <mergeCell ref="A23:B23"/>
  </mergeCells>
  <pageMargins left="0.7" right="0.7" top="0.75" bottom="0.75" header="0.3" footer="0.3"/>
  <pageSetup scale="93" orientation="portrait" horizontalDpi="300" verticalDpi="3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Z995"/>
  <sheetViews>
    <sheetView view="pageBreakPreview" zoomScaleNormal="100" zoomScaleSheetLayoutView="100" workbookViewId="0">
      <selection activeCell="L37" sqref="L37"/>
    </sheetView>
  </sheetViews>
  <sheetFormatPr baseColWidth="10" defaultColWidth="12.5703125" defaultRowHeight="15" customHeight="1" x14ac:dyDescent="0.2"/>
  <cols>
    <col min="1" max="8" width="10.42578125" customWidth="1"/>
    <col min="9" max="9" width="15" customWidth="1"/>
    <col min="10" max="10" width="10.42578125" customWidth="1"/>
    <col min="11" max="11" width="12.7109375" customWidth="1"/>
    <col min="12" max="12" width="22.42578125" customWidth="1"/>
    <col min="13" max="26" width="12.7109375" customWidth="1"/>
  </cols>
  <sheetData>
    <row r="1" spans="1:12" ht="12.75" customHeight="1" x14ac:dyDescent="0.2">
      <c r="A1" s="1959" t="e" cm="1" vm="1">
        <f t="array" aca="1" ref="A1" ca="1">'01'!A12:L14</f>
        <v>#VALUE!</v>
      </c>
      <c r="B1" s="1427"/>
      <c r="C1" s="1427"/>
      <c r="D1" s="1427"/>
      <c r="E1" s="1428"/>
      <c r="F1" s="1466" t="s">
        <v>1181</v>
      </c>
      <c r="G1" s="1412"/>
      <c r="H1" s="1083" t="s">
        <v>1919</v>
      </c>
      <c r="I1" s="1083" t="s">
        <v>1920</v>
      </c>
    </row>
    <row r="2" spans="1:12" ht="12.75" customHeight="1" x14ac:dyDescent="0.2">
      <c r="A2" s="1459"/>
      <c r="B2" s="1415"/>
      <c r="C2" s="1415"/>
      <c r="D2" s="1415"/>
      <c r="E2" s="1460"/>
      <c r="F2" s="1960">
        <v>46143</v>
      </c>
      <c r="G2" s="1428"/>
      <c r="H2" s="1961">
        <f>I67</f>
        <v>2.2000000000000002</v>
      </c>
      <c r="I2" s="1961">
        <f>$H$42</f>
        <v>1.88995</v>
      </c>
    </row>
    <row r="3" spans="1:12" ht="12.75" customHeight="1" x14ac:dyDescent="0.2">
      <c r="A3" s="1426"/>
      <c r="B3" s="1429"/>
      <c r="C3" s="1429"/>
      <c r="D3" s="1429"/>
      <c r="E3" s="1430"/>
      <c r="F3" s="1426"/>
      <c r="G3" s="1430"/>
      <c r="H3" s="1432"/>
      <c r="I3" s="1432"/>
    </row>
    <row r="4" spans="1:12" ht="12.75" customHeight="1" x14ac:dyDescent="0.2">
      <c r="A4" s="1029"/>
      <c r="B4" s="1029"/>
      <c r="C4" s="1029"/>
      <c r="D4" s="1029"/>
      <c r="E4" s="1029"/>
      <c r="F4" s="1029"/>
      <c r="G4" s="1029"/>
      <c r="H4" s="1029"/>
      <c r="I4" s="1029"/>
    </row>
    <row r="5" spans="1:12" ht="12.75" customHeight="1" x14ac:dyDescent="0.2">
      <c r="A5" s="1958" t="s">
        <v>1921</v>
      </c>
      <c r="B5" s="1427"/>
      <c r="C5" s="1427"/>
      <c r="D5" s="1427"/>
      <c r="E5" s="1427"/>
      <c r="F5" s="1427"/>
      <c r="G5" s="1427"/>
      <c r="H5" s="1428"/>
      <c r="I5" s="1463"/>
    </row>
    <row r="6" spans="1:12" ht="12.75" customHeight="1" x14ac:dyDescent="0.2">
      <c r="A6" s="1426"/>
      <c r="B6" s="1429"/>
      <c r="C6" s="1429"/>
      <c r="D6" s="1429"/>
      <c r="E6" s="1429"/>
      <c r="F6" s="1429"/>
      <c r="G6" s="1429"/>
      <c r="H6" s="1430"/>
      <c r="I6" s="1432"/>
    </row>
    <row r="7" spans="1:12" ht="12.75" customHeight="1" x14ac:dyDescent="0.25">
      <c r="A7" s="1084"/>
      <c r="B7" s="1085"/>
      <c r="C7" s="1085"/>
      <c r="D7" s="1085"/>
      <c r="E7" s="1085"/>
      <c r="F7" s="1085"/>
      <c r="G7" s="1086"/>
      <c r="H7" s="1087"/>
      <c r="I7" s="1087"/>
    </row>
    <row r="8" spans="1:12" ht="12.75" customHeight="1" x14ac:dyDescent="0.2">
      <c r="A8" s="1955" t="s">
        <v>1872</v>
      </c>
      <c r="B8" s="1412"/>
      <c r="C8" s="1955" t="s">
        <v>1922</v>
      </c>
      <c r="D8" s="1412"/>
      <c r="E8" s="1085"/>
      <c r="F8" s="1955" t="s">
        <v>1923</v>
      </c>
      <c r="G8" s="1412"/>
      <c r="H8" s="1955" t="s">
        <v>1924</v>
      </c>
      <c r="I8" s="1412"/>
    </row>
    <row r="9" spans="1:12" ht="12.75" customHeight="1" x14ac:dyDescent="0.25">
      <c r="A9" s="1956">
        <v>1750905</v>
      </c>
      <c r="B9" s="1412"/>
      <c r="C9" s="1957">
        <f>+A9/30</f>
        <v>58363.5</v>
      </c>
      <c r="D9" s="1412"/>
      <c r="E9" s="1085"/>
      <c r="F9" s="1956">
        <f>2000000-A9</f>
        <v>249095</v>
      </c>
      <c r="G9" s="1412"/>
      <c r="H9" s="1957">
        <f>+ROUND(F9/30,0)</f>
        <v>8303</v>
      </c>
      <c r="I9" s="1412"/>
      <c r="L9" s="1408"/>
    </row>
    <row r="10" spans="1:12" ht="12.75" customHeight="1" x14ac:dyDescent="0.25">
      <c r="A10" s="1087"/>
      <c r="B10" s="1085"/>
      <c r="C10" s="1085"/>
      <c r="D10" s="1085"/>
      <c r="E10" s="1085"/>
      <c r="F10" s="1085"/>
      <c r="G10" s="1086"/>
      <c r="H10" s="1087"/>
      <c r="I10" s="1087"/>
    </row>
    <row r="11" spans="1:12" ht="12.75" customHeight="1" x14ac:dyDescent="0.2">
      <c r="A11" s="1083" t="s">
        <v>867</v>
      </c>
      <c r="B11" s="1948" t="s">
        <v>1925</v>
      </c>
      <c r="C11" s="1411"/>
      <c r="D11" s="1411"/>
      <c r="E11" s="1411"/>
      <c r="F11" s="1411"/>
      <c r="G11" s="1411"/>
      <c r="H11" s="1412"/>
      <c r="I11" s="1083" t="s">
        <v>19</v>
      </c>
    </row>
    <row r="12" spans="1:12" ht="12.75" customHeight="1" x14ac:dyDescent="0.2">
      <c r="A12" s="1083" t="s">
        <v>1876</v>
      </c>
      <c r="B12" s="1954" t="s">
        <v>1926</v>
      </c>
      <c r="C12" s="1411"/>
      <c r="D12" s="1411"/>
      <c r="E12" s="1411"/>
      <c r="F12" s="1411"/>
      <c r="G12" s="1411"/>
      <c r="H12" s="1412"/>
      <c r="I12" s="1088">
        <v>1</v>
      </c>
    </row>
    <row r="13" spans="1:12" ht="12.75" customHeight="1" x14ac:dyDescent="0.25">
      <c r="A13" s="1087"/>
      <c r="B13" s="1085"/>
      <c r="C13" s="1085"/>
      <c r="D13" s="1085"/>
      <c r="E13" s="1085"/>
      <c r="F13" s="1085"/>
      <c r="G13" s="1948" t="s">
        <v>523</v>
      </c>
      <c r="H13" s="1412"/>
      <c r="I13" s="1089">
        <f>SUM(I12)</f>
        <v>1</v>
      </c>
    </row>
    <row r="14" spans="1:12" ht="12.75" customHeight="1" x14ac:dyDescent="0.25">
      <c r="A14" s="1087"/>
      <c r="B14" s="1085"/>
      <c r="C14" s="1085"/>
      <c r="D14" s="1085"/>
      <c r="E14" s="1085"/>
      <c r="F14" s="1085"/>
      <c r="G14" s="1086"/>
      <c r="H14" s="1087"/>
      <c r="I14" s="1090"/>
    </row>
    <row r="15" spans="1:12" ht="12.75" customHeight="1" x14ac:dyDescent="0.2">
      <c r="A15" s="1083" t="s">
        <v>868</v>
      </c>
      <c r="B15" s="1948" t="s">
        <v>18</v>
      </c>
      <c r="C15" s="1411"/>
      <c r="D15" s="1411"/>
      <c r="E15" s="1411"/>
      <c r="F15" s="1411"/>
      <c r="G15" s="1411"/>
      <c r="H15" s="1412"/>
      <c r="I15" s="1083" t="s">
        <v>19</v>
      </c>
    </row>
    <row r="16" spans="1:12" ht="12.75" customHeight="1" x14ac:dyDescent="0.2">
      <c r="A16" s="1083" t="s">
        <v>1894</v>
      </c>
      <c r="B16" s="1949" t="s">
        <v>1927</v>
      </c>
      <c r="C16" s="1411"/>
      <c r="D16" s="1411"/>
      <c r="E16" s="1411"/>
      <c r="F16" s="1411"/>
      <c r="G16" s="1411"/>
      <c r="H16" s="1412"/>
      <c r="I16" s="1039">
        <v>0.1212</v>
      </c>
    </row>
    <row r="17" spans="1:9" ht="12.75" customHeight="1" x14ac:dyDescent="0.2">
      <c r="A17" s="1083" t="s">
        <v>1928</v>
      </c>
      <c r="B17" s="1949" t="s">
        <v>1929</v>
      </c>
      <c r="C17" s="1411"/>
      <c r="D17" s="1411"/>
      <c r="E17" s="1411"/>
      <c r="F17" s="1411"/>
      <c r="G17" s="1411"/>
      <c r="H17" s="1412"/>
      <c r="I17" s="1039">
        <v>8.3299999999999999E-2</v>
      </c>
    </row>
    <row r="18" spans="1:9" ht="12.75" customHeight="1" x14ac:dyDescent="0.2">
      <c r="A18" s="1083" t="s">
        <v>1896</v>
      </c>
      <c r="B18" s="1949" t="s">
        <v>1930</v>
      </c>
      <c r="C18" s="1411"/>
      <c r="D18" s="1411"/>
      <c r="E18" s="1411"/>
      <c r="F18" s="1411"/>
      <c r="G18" s="1411"/>
      <c r="H18" s="1412"/>
      <c r="I18" s="1039">
        <v>8.3299999999999999E-2</v>
      </c>
    </row>
    <row r="19" spans="1:9" ht="12.75" customHeight="1" x14ac:dyDescent="0.2">
      <c r="A19" s="1083" t="s">
        <v>1898</v>
      </c>
      <c r="B19" s="1949" t="s">
        <v>1931</v>
      </c>
      <c r="C19" s="1411"/>
      <c r="D19" s="1411"/>
      <c r="E19" s="1411"/>
      <c r="F19" s="1411"/>
      <c r="G19" s="1411"/>
      <c r="H19" s="1412"/>
      <c r="I19" s="1039">
        <v>0.01</v>
      </c>
    </row>
    <row r="20" spans="1:9" ht="12.75" customHeight="1" x14ac:dyDescent="0.2">
      <c r="A20" s="1083" t="s">
        <v>1900</v>
      </c>
      <c r="B20" s="1949" t="s">
        <v>991</v>
      </c>
      <c r="C20" s="1411"/>
      <c r="D20" s="1411"/>
      <c r="E20" s="1411"/>
      <c r="F20" s="1411"/>
      <c r="G20" s="1411"/>
      <c r="H20" s="1412"/>
      <c r="I20" s="1038">
        <f>+I17/2</f>
        <v>4.165E-2</v>
      </c>
    </row>
    <row r="21" spans="1:9" ht="12.75" customHeight="1" x14ac:dyDescent="0.25">
      <c r="A21" s="1087"/>
      <c r="B21" s="1085"/>
      <c r="C21" s="1085"/>
      <c r="D21" s="1085"/>
      <c r="E21" s="1085"/>
      <c r="F21" s="1085"/>
      <c r="G21" s="1948" t="s">
        <v>523</v>
      </c>
      <c r="H21" s="1412"/>
      <c r="I21" s="1091">
        <f>SUM(I16:I20)</f>
        <v>0.33945000000000003</v>
      </c>
    </row>
    <row r="22" spans="1:9" ht="12.75" customHeight="1" x14ac:dyDescent="0.25">
      <c r="A22" s="1087"/>
      <c r="B22" s="1085"/>
      <c r="C22" s="1085"/>
      <c r="D22" s="1085"/>
      <c r="E22" s="1085"/>
      <c r="F22" s="1085"/>
      <c r="G22" s="1086"/>
      <c r="H22" s="1087"/>
      <c r="I22" s="1092"/>
    </row>
    <row r="23" spans="1:9" ht="12.75" customHeight="1" x14ac:dyDescent="0.2">
      <c r="A23" s="1083" t="s">
        <v>869</v>
      </c>
      <c r="B23" s="1948" t="s">
        <v>1932</v>
      </c>
      <c r="C23" s="1411"/>
      <c r="D23" s="1411"/>
      <c r="E23" s="1411"/>
      <c r="F23" s="1411"/>
      <c r="G23" s="1411"/>
      <c r="H23" s="1412"/>
      <c r="I23" s="1091" t="s">
        <v>19</v>
      </c>
    </row>
    <row r="24" spans="1:9" ht="12.75" customHeight="1" x14ac:dyDescent="0.2">
      <c r="A24" s="1083" t="s">
        <v>1907</v>
      </c>
      <c r="B24" s="1949" t="s">
        <v>1933</v>
      </c>
      <c r="C24" s="1411"/>
      <c r="D24" s="1411"/>
      <c r="E24" s="1411"/>
      <c r="F24" s="1411"/>
      <c r="G24" s="1411"/>
      <c r="H24" s="1412"/>
      <c r="I24" s="1039">
        <v>0.12</v>
      </c>
    </row>
    <row r="25" spans="1:9" ht="12.75" customHeight="1" x14ac:dyDescent="0.2">
      <c r="A25" s="1083" t="s">
        <v>1934</v>
      </c>
      <c r="B25" s="1949" t="s">
        <v>1935</v>
      </c>
      <c r="C25" s="1411"/>
      <c r="D25" s="1411"/>
      <c r="E25" s="1411"/>
      <c r="F25" s="1411"/>
      <c r="G25" s="1411"/>
      <c r="H25" s="1412"/>
      <c r="I25" s="1039">
        <v>6.9599999999999995E-2</v>
      </c>
    </row>
    <row r="26" spans="1:9" ht="12.75" customHeight="1" x14ac:dyDescent="0.2">
      <c r="A26" s="1083" t="s">
        <v>1936</v>
      </c>
      <c r="B26" s="1949" t="s">
        <v>1471</v>
      </c>
      <c r="C26" s="1411"/>
      <c r="D26" s="1411"/>
      <c r="E26" s="1411"/>
      <c r="F26" s="1411"/>
      <c r="G26" s="1411"/>
      <c r="H26" s="1412"/>
      <c r="I26" s="1039">
        <v>0.125</v>
      </c>
    </row>
    <row r="27" spans="1:9" ht="12.75" customHeight="1" x14ac:dyDescent="0.25">
      <c r="A27" s="1087"/>
      <c r="B27" s="1085"/>
      <c r="C27" s="1085"/>
      <c r="D27" s="1085"/>
      <c r="E27" s="1085"/>
      <c r="F27" s="1085"/>
      <c r="G27" s="1948" t="s">
        <v>523</v>
      </c>
      <c r="H27" s="1412"/>
      <c r="I27" s="1091">
        <f>SUM(I24:I26)</f>
        <v>0.31459999999999999</v>
      </c>
    </row>
    <row r="28" spans="1:9" ht="12.75" customHeight="1" x14ac:dyDescent="0.25">
      <c r="A28" s="1087"/>
      <c r="B28" s="1085"/>
      <c r="C28" s="1085"/>
      <c r="D28" s="1085"/>
      <c r="E28" s="1085"/>
      <c r="F28" s="1085"/>
      <c r="G28" s="1086"/>
      <c r="H28" s="1087"/>
      <c r="I28" s="1087"/>
    </row>
    <row r="29" spans="1:9" ht="12.75" customHeight="1" x14ac:dyDescent="0.2">
      <c r="A29" s="1083" t="s">
        <v>870</v>
      </c>
      <c r="B29" s="1948" t="s">
        <v>1937</v>
      </c>
      <c r="C29" s="1411"/>
      <c r="D29" s="1411"/>
      <c r="E29" s="1411"/>
      <c r="F29" s="1411"/>
      <c r="G29" s="1411"/>
      <c r="H29" s="1412"/>
      <c r="I29" s="1083" t="s">
        <v>19</v>
      </c>
    </row>
    <row r="30" spans="1:9" ht="12.75" customHeight="1" x14ac:dyDescent="0.2">
      <c r="A30" s="1083" t="s">
        <v>1910</v>
      </c>
      <c r="B30" s="1949" t="s">
        <v>1938</v>
      </c>
      <c r="C30" s="1411"/>
      <c r="D30" s="1411"/>
      <c r="E30" s="1411"/>
      <c r="F30" s="1411"/>
      <c r="G30" s="1411"/>
      <c r="H30" s="1412"/>
      <c r="I30" s="1039">
        <v>0.04</v>
      </c>
    </row>
    <row r="31" spans="1:9" ht="12.75" customHeight="1" x14ac:dyDescent="0.2">
      <c r="A31" s="1083" t="s">
        <v>1912</v>
      </c>
      <c r="B31" s="1949" t="s">
        <v>1939</v>
      </c>
      <c r="C31" s="1411"/>
      <c r="D31" s="1411"/>
      <c r="E31" s="1411"/>
      <c r="F31" s="1411"/>
      <c r="G31" s="1411"/>
      <c r="H31" s="1412"/>
      <c r="I31" s="1039">
        <v>0.02</v>
      </c>
    </row>
    <row r="32" spans="1:9" ht="12.75" customHeight="1" x14ac:dyDescent="0.2">
      <c r="A32" s="1083" t="s">
        <v>1914</v>
      </c>
      <c r="B32" s="1949" t="s">
        <v>1940</v>
      </c>
      <c r="C32" s="1411"/>
      <c r="D32" s="1411"/>
      <c r="E32" s="1411"/>
      <c r="F32" s="1411"/>
      <c r="G32" s="1411"/>
      <c r="H32" s="1412"/>
      <c r="I32" s="1039">
        <v>1.7500000000000002E-2</v>
      </c>
    </row>
    <row r="33" spans="1:26" ht="12.75" customHeight="1" x14ac:dyDescent="0.2">
      <c r="A33" s="1083" t="s">
        <v>1941</v>
      </c>
      <c r="B33" s="1949" t="s">
        <v>20</v>
      </c>
      <c r="C33" s="1411"/>
      <c r="D33" s="1411"/>
      <c r="E33" s="1411"/>
      <c r="F33" s="1411"/>
      <c r="G33" s="1411"/>
      <c r="H33" s="1412"/>
      <c r="I33" s="1039">
        <v>0.03</v>
      </c>
    </row>
    <row r="34" spans="1:26" ht="12.75" customHeight="1" x14ac:dyDescent="0.25">
      <c r="A34" s="1087"/>
      <c r="B34" s="1085"/>
      <c r="C34" s="1085"/>
      <c r="D34" s="1085"/>
      <c r="E34" s="1085"/>
      <c r="F34" s="1085"/>
      <c r="G34" s="1953" t="s">
        <v>523</v>
      </c>
      <c r="H34" s="1430"/>
      <c r="I34" s="1093">
        <f>SUM(I30:I33)</f>
        <v>0.1075</v>
      </c>
    </row>
    <row r="35" spans="1:26" ht="12.75" customHeight="1" x14ac:dyDescent="0.25">
      <c r="A35" s="1087"/>
      <c r="B35" s="1085"/>
      <c r="C35" s="1085"/>
      <c r="D35" s="1085"/>
      <c r="E35" s="1085"/>
      <c r="F35" s="1085"/>
      <c r="G35" s="1086"/>
      <c r="H35" s="1087"/>
      <c r="I35" s="1087"/>
    </row>
    <row r="36" spans="1:26" ht="12.75" customHeight="1" x14ac:dyDescent="0.2">
      <c r="A36" s="1083" t="s">
        <v>871</v>
      </c>
      <c r="B36" s="1948" t="s">
        <v>1942</v>
      </c>
      <c r="C36" s="1411"/>
      <c r="D36" s="1411"/>
      <c r="E36" s="1411"/>
      <c r="F36" s="1411"/>
      <c r="G36" s="1411"/>
      <c r="H36" s="1412"/>
      <c r="I36" s="1083" t="s">
        <v>19</v>
      </c>
    </row>
    <row r="37" spans="1:26" ht="12.75" customHeight="1" x14ac:dyDescent="0.2">
      <c r="A37" s="1083" t="s">
        <v>1943</v>
      </c>
      <c r="B37" s="1949" t="s">
        <v>1944</v>
      </c>
      <c r="C37" s="1411"/>
      <c r="D37" s="1411"/>
      <c r="E37" s="1411"/>
      <c r="F37" s="1411"/>
      <c r="G37" s="1411"/>
      <c r="H37" s="1412"/>
      <c r="I37" s="1039">
        <v>0.08</v>
      </c>
      <c r="J37" s="1094"/>
    </row>
    <row r="38" spans="1:26" ht="12.75" customHeight="1" x14ac:dyDescent="0.2">
      <c r="A38" s="1083" t="s">
        <v>1945</v>
      </c>
      <c r="B38" s="1949" t="s">
        <v>1946</v>
      </c>
      <c r="C38" s="1411"/>
      <c r="D38" s="1411"/>
      <c r="E38" s="1411"/>
      <c r="F38" s="1411"/>
      <c r="G38" s="1411"/>
      <c r="H38" s="1412"/>
      <c r="I38" s="1039">
        <v>5.0000000000000001E-3</v>
      </c>
    </row>
    <row r="39" spans="1:26" ht="12.75" customHeight="1" x14ac:dyDescent="0.2">
      <c r="A39" s="1083" t="s">
        <v>1947</v>
      </c>
      <c r="B39" s="1949" t="s">
        <v>1948</v>
      </c>
      <c r="C39" s="1411"/>
      <c r="D39" s="1411"/>
      <c r="E39" s="1411"/>
      <c r="F39" s="1411"/>
      <c r="G39" s="1411"/>
      <c r="H39" s="1412"/>
      <c r="I39" s="1039">
        <v>4.3400000000000001E-2</v>
      </c>
      <c r="J39" s="1094"/>
      <c r="K39" s="1094"/>
      <c r="L39" s="1094"/>
      <c r="M39" s="1094"/>
      <c r="N39" s="1094"/>
      <c r="O39" s="1094"/>
      <c r="P39" s="1094"/>
      <c r="Q39" s="1094"/>
      <c r="R39" s="1094"/>
      <c r="S39" s="1094"/>
      <c r="T39" s="1094"/>
      <c r="U39" s="1094"/>
      <c r="V39" s="1094"/>
      <c r="W39" s="1094"/>
      <c r="X39" s="1094"/>
      <c r="Y39" s="1094"/>
      <c r="Z39" s="1094"/>
    </row>
    <row r="40" spans="1:26" ht="12.75" customHeight="1" x14ac:dyDescent="0.25">
      <c r="A40" s="1087"/>
      <c r="B40" s="1085"/>
      <c r="C40" s="1085"/>
      <c r="D40" s="1085"/>
      <c r="E40" s="1085"/>
      <c r="F40" s="1085"/>
      <c r="G40" s="1948" t="s">
        <v>523</v>
      </c>
      <c r="H40" s="1412"/>
      <c r="I40" s="1091">
        <f>SUM(I37:I39)</f>
        <v>0.12840000000000001</v>
      </c>
    </row>
    <row r="41" spans="1:26" ht="12.75" customHeight="1" x14ac:dyDescent="0.25">
      <c r="A41" s="1087"/>
      <c r="B41" s="1085"/>
      <c r="C41" s="1085"/>
      <c r="D41" s="1085"/>
      <c r="E41" s="1085"/>
      <c r="F41" s="1085"/>
      <c r="G41" s="1086"/>
      <c r="H41" s="1087"/>
      <c r="I41" s="1087"/>
    </row>
    <row r="42" spans="1:26" ht="12.75" customHeight="1" x14ac:dyDescent="0.25">
      <c r="A42" s="1087"/>
      <c r="B42" s="1085"/>
      <c r="C42" s="1085"/>
      <c r="D42" s="1085"/>
      <c r="E42" s="1085"/>
      <c r="F42" s="1948" t="s">
        <v>1949</v>
      </c>
      <c r="G42" s="1412"/>
      <c r="H42" s="1950">
        <f>I13+I21+I27+I34+I40</f>
        <v>1.88995</v>
      </c>
      <c r="I42" s="1412"/>
    </row>
    <row r="43" spans="1:26" ht="12.75" customHeight="1" x14ac:dyDescent="0.25">
      <c r="A43" s="1087"/>
      <c r="B43" s="1085"/>
      <c r="C43" s="1085"/>
      <c r="D43" s="1085"/>
      <c r="E43" s="1085"/>
      <c r="F43" s="1085"/>
      <c r="G43" s="1086"/>
      <c r="H43" s="1087"/>
      <c r="I43" s="1087"/>
    </row>
    <row r="44" spans="1:26" ht="12.75" customHeight="1" x14ac:dyDescent="0.2">
      <c r="A44" s="1083" t="s">
        <v>872</v>
      </c>
      <c r="B44" s="1948" t="s">
        <v>1950</v>
      </c>
      <c r="C44" s="1411"/>
      <c r="D44" s="1411"/>
      <c r="E44" s="1411"/>
      <c r="F44" s="1411"/>
      <c r="G44" s="1411"/>
      <c r="H44" s="1412"/>
      <c r="I44" s="1083" t="s">
        <v>19</v>
      </c>
    </row>
    <row r="45" spans="1:26" ht="12.75" customHeight="1" x14ac:dyDescent="0.2">
      <c r="A45" s="1083" t="s">
        <v>1951</v>
      </c>
      <c r="B45" s="1949" t="s">
        <v>1911</v>
      </c>
      <c r="C45" s="1411"/>
      <c r="D45" s="1411"/>
      <c r="E45" s="1411"/>
      <c r="F45" s="1411"/>
      <c r="G45" s="1411"/>
      <c r="H45" s="1412"/>
      <c r="I45" s="1039">
        <v>0.02</v>
      </c>
    </row>
    <row r="46" spans="1:26" ht="12.75" customHeight="1" x14ac:dyDescent="0.2">
      <c r="A46" s="1083" t="s">
        <v>1952</v>
      </c>
      <c r="B46" s="1949" t="s">
        <v>1913</v>
      </c>
      <c r="C46" s="1411"/>
      <c r="D46" s="1411"/>
      <c r="E46" s="1411"/>
      <c r="F46" s="1411"/>
      <c r="G46" s="1411"/>
      <c r="H46" s="1412"/>
      <c r="I46" s="1039">
        <v>1.4999999999999999E-2</v>
      </c>
    </row>
    <row r="47" spans="1:26" ht="12.75" customHeight="1" x14ac:dyDescent="0.2">
      <c r="A47" s="1083" t="s">
        <v>1953</v>
      </c>
      <c r="B47" s="1949" t="s">
        <v>1915</v>
      </c>
      <c r="C47" s="1951"/>
      <c r="D47" s="1951"/>
      <c r="E47" s="1951"/>
      <c r="F47" s="1951"/>
      <c r="G47" s="1951"/>
      <c r="H47" s="1952"/>
      <c r="I47" s="1039">
        <v>5.0000000000000001E-3</v>
      </c>
    </row>
    <row r="48" spans="1:26" ht="12.75" customHeight="1" x14ac:dyDescent="0.2">
      <c r="A48" s="1083" t="s">
        <v>1954</v>
      </c>
      <c r="B48" s="1949" t="s">
        <v>1917</v>
      </c>
      <c r="C48" s="1411"/>
      <c r="D48" s="1411"/>
      <c r="E48" s="1411"/>
      <c r="F48" s="1411"/>
      <c r="G48" s="1411"/>
      <c r="H48" s="1412"/>
      <c r="I48" s="1039">
        <v>1.4999999999999999E-2</v>
      </c>
    </row>
    <row r="49" spans="1:9" ht="12.75" customHeight="1" x14ac:dyDescent="0.2">
      <c r="A49" s="1083"/>
      <c r="B49" s="1949"/>
      <c r="C49" s="1411"/>
      <c r="D49" s="1411"/>
      <c r="E49" s="1411"/>
      <c r="F49" s="1411"/>
      <c r="G49" s="1411"/>
      <c r="H49" s="1412"/>
      <c r="I49" s="1039"/>
    </row>
    <row r="50" spans="1:9" ht="12.75" customHeight="1" x14ac:dyDescent="0.2">
      <c r="A50" s="1083" t="s">
        <v>1955</v>
      </c>
      <c r="B50" s="1949" t="s">
        <v>1974</v>
      </c>
      <c r="C50" s="1411"/>
      <c r="D50" s="1411"/>
      <c r="E50" s="1411"/>
      <c r="F50" s="1411"/>
      <c r="G50" s="1411"/>
      <c r="H50" s="1412"/>
      <c r="I50" s="1039">
        <v>0.05</v>
      </c>
    </row>
    <row r="51" spans="1:9" ht="12.75" customHeight="1" x14ac:dyDescent="0.2">
      <c r="A51" s="1085"/>
      <c r="B51" s="1085"/>
      <c r="C51" s="1085"/>
      <c r="D51" s="1085"/>
      <c r="E51" s="1085"/>
      <c r="F51" s="1085"/>
      <c r="G51" s="1948" t="s">
        <v>523</v>
      </c>
      <c r="H51" s="1412"/>
      <c r="I51" s="1091">
        <f>SUM(I45:I50)</f>
        <v>0.10500000000000001</v>
      </c>
    </row>
    <row r="52" spans="1:9" ht="12.75" customHeight="1" x14ac:dyDescent="0.25">
      <c r="A52" s="1095" t="s">
        <v>476</v>
      </c>
      <c r="B52" s="1085" t="s">
        <v>476</v>
      </c>
      <c r="C52" s="1085" t="s">
        <v>476</v>
      </c>
      <c r="D52" s="1085" t="s">
        <v>476</v>
      </c>
      <c r="E52" s="1085" t="s">
        <v>476</v>
      </c>
      <c r="F52" s="1085" t="s">
        <v>476</v>
      </c>
      <c r="G52" s="1085"/>
      <c r="H52" s="1096" t="s">
        <v>476</v>
      </c>
      <c r="I52" s="1097" t="s">
        <v>476</v>
      </c>
    </row>
    <row r="53" spans="1:9" ht="12.75" customHeight="1" x14ac:dyDescent="0.2">
      <c r="A53" s="1083" t="s">
        <v>873</v>
      </c>
      <c r="B53" s="1948" t="s">
        <v>1827</v>
      </c>
      <c r="C53" s="1411"/>
      <c r="D53" s="1411"/>
      <c r="E53" s="1411"/>
      <c r="F53" s="1411"/>
      <c r="G53" s="1411"/>
      <c r="H53" s="1412"/>
      <c r="I53" s="1083" t="s">
        <v>19</v>
      </c>
    </row>
    <row r="54" spans="1:9" ht="12.75" customHeight="1" x14ac:dyDescent="0.2">
      <c r="A54" s="1083" t="s">
        <v>1956</v>
      </c>
      <c r="B54" s="1949" t="s">
        <v>1957</v>
      </c>
      <c r="C54" s="1411"/>
      <c r="D54" s="1411"/>
      <c r="E54" s="1411"/>
      <c r="F54" s="1411"/>
      <c r="G54" s="1411"/>
      <c r="H54" s="1412"/>
      <c r="I54" s="1039">
        <v>0.02</v>
      </c>
    </row>
    <row r="55" spans="1:9" ht="12.75" customHeight="1" x14ac:dyDescent="0.2">
      <c r="A55" s="1083" t="s">
        <v>1958</v>
      </c>
      <c r="B55" s="1949" t="s">
        <v>1959</v>
      </c>
      <c r="C55" s="1411"/>
      <c r="D55" s="1411"/>
      <c r="E55" s="1411"/>
      <c r="F55" s="1411"/>
      <c r="G55" s="1411"/>
      <c r="H55" s="1412"/>
      <c r="I55" s="1039">
        <v>0.01</v>
      </c>
    </row>
    <row r="56" spans="1:9" ht="12.75" customHeight="1" x14ac:dyDescent="0.2">
      <c r="A56" s="1083" t="s">
        <v>1960</v>
      </c>
      <c r="B56" s="1949" t="s">
        <v>1961</v>
      </c>
      <c r="C56" s="1411"/>
      <c r="D56" s="1411"/>
      <c r="E56" s="1411"/>
      <c r="F56" s="1411"/>
      <c r="G56" s="1411"/>
      <c r="H56" s="1412"/>
      <c r="I56" s="1039">
        <v>0.05</v>
      </c>
    </row>
    <row r="57" spans="1:9" ht="12.75" customHeight="1" x14ac:dyDescent="0.2">
      <c r="A57" s="1083" t="s">
        <v>1962</v>
      </c>
      <c r="B57" s="1949" t="s">
        <v>1963</v>
      </c>
      <c r="C57" s="1411"/>
      <c r="D57" s="1411"/>
      <c r="E57" s="1411"/>
      <c r="F57" s="1411"/>
      <c r="G57" s="1411"/>
      <c r="H57" s="1412"/>
      <c r="I57" s="1039">
        <v>0.01</v>
      </c>
    </row>
    <row r="58" spans="1:9" ht="12.75" customHeight="1" x14ac:dyDescent="0.2">
      <c r="A58" s="1083" t="s">
        <v>1964</v>
      </c>
      <c r="B58" s="1949" t="s">
        <v>1965</v>
      </c>
      <c r="C58" s="1411"/>
      <c r="D58" s="1411"/>
      <c r="E58" s="1411"/>
      <c r="F58" s="1411"/>
      <c r="G58" s="1411"/>
      <c r="H58" s="1412"/>
      <c r="I58" s="1039">
        <v>0.03</v>
      </c>
    </row>
    <row r="59" spans="1:9" ht="12.75" customHeight="1" x14ac:dyDescent="0.25">
      <c r="A59" s="1087"/>
      <c r="B59" s="1085"/>
      <c r="C59" s="1085"/>
      <c r="D59" s="1085"/>
      <c r="E59" s="1085"/>
      <c r="F59" s="1085"/>
      <c r="G59" s="1948" t="s">
        <v>523</v>
      </c>
      <c r="H59" s="1412"/>
      <c r="I59" s="1091">
        <f>SUM(I54:I58)</f>
        <v>0.12</v>
      </c>
    </row>
    <row r="60" spans="1:9" ht="12.75" customHeight="1" x14ac:dyDescent="0.25">
      <c r="A60" s="1095" t="s">
        <v>476</v>
      </c>
      <c r="B60" s="1085" t="s">
        <v>476</v>
      </c>
      <c r="C60" s="1085"/>
      <c r="D60" s="1085"/>
      <c r="E60" s="1085"/>
      <c r="F60" s="1085"/>
      <c r="G60" s="1085"/>
      <c r="H60" s="1096" t="s">
        <v>476</v>
      </c>
      <c r="I60" s="1097" t="s">
        <v>476</v>
      </c>
    </row>
    <row r="61" spans="1:9" ht="12.75" customHeight="1" x14ac:dyDescent="0.2">
      <c r="A61" s="1083" t="s">
        <v>1966</v>
      </c>
      <c r="B61" s="1948" t="s">
        <v>1967</v>
      </c>
      <c r="C61" s="1411"/>
      <c r="D61" s="1411"/>
      <c r="E61" s="1411"/>
      <c r="F61" s="1411"/>
      <c r="G61" s="1411"/>
      <c r="H61" s="1412"/>
      <c r="I61" s="1083" t="s">
        <v>19</v>
      </c>
    </row>
    <row r="62" spans="1:9" ht="12.75" customHeight="1" x14ac:dyDescent="0.2">
      <c r="A62" s="1083" t="s">
        <v>1968</v>
      </c>
      <c r="B62" s="1949" t="s">
        <v>1969</v>
      </c>
      <c r="C62" s="1411"/>
      <c r="D62" s="1411"/>
      <c r="E62" s="1411"/>
      <c r="F62" s="1411"/>
      <c r="G62" s="1411"/>
      <c r="H62" s="1412"/>
      <c r="I62" s="1039">
        <v>3.3999999999999998E-3</v>
      </c>
    </row>
    <row r="63" spans="1:9" ht="12.75" customHeight="1" x14ac:dyDescent="0.2">
      <c r="A63" s="1083" t="s">
        <v>1970</v>
      </c>
      <c r="B63" s="1949" t="s">
        <v>1971</v>
      </c>
      <c r="C63" s="1411"/>
      <c r="D63" s="1411"/>
      <c r="E63" s="1411"/>
      <c r="F63" s="1411"/>
      <c r="G63" s="1411"/>
      <c r="H63" s="1412"/>
      <c r="I63" s="1039">
        <v>5.9999999999999995E-4</v>
      </c>
    </row>
    <row r="64" spans="1:9" ht="12.75" customHeight="1" x14ac:dyDescent="0.2">
      <c r="A64" s="1085" t="s">
        <v>476</v>
      </c>
      <c r="B64" s="1085" t="s">
        <v>476</v>
      </c>
      <c r="C64" s="1085" t="s">
        <v>476</v>
      </c>
      <c r="D64" s="1085" t="s">
        <v>476</v>
      </c>
      <c r="E64" s="1085" t="s">
        <v>476</v>
      </c>
      <c r="F64" s="1085" t="s">
        <v>476</v>
      </c>
      <c r="G64" s="1948" t="s">
        <v>523</v>
      </c>
      <c r="H64" s="1412"/>
      <c r="I64" s="1091">
        <f>SUM(I62:I63)</f>
        <v>4.0000000000000001E-3</v>
      </c>
    </row>
    <row r="65" spans="1:9" ht="12.75" customHeight="1" x14ac:dyDescent="0.25">
      <c r="A65" s="1087"/>
      <c r="B65" s="1028"/>
      <c r="C65" s="1028"/>
      <c r="D65" s="1028"/>
      <c r="E65" s="1028"/>
      <c r="F65" s="1087"/>
      <c r="G65" s="1087"/>
      <c r="H65" s="1087"/>
      <c r="I65" s="1087"/>
    </row>
    <row r="66" spans="1:9" ht="12.75" customHeight="1" x14ac:dyDescent="0.25">
      <c r="A66" s="1087"/>
      <c r="B66" s="1028"/>
      <c r="C66" s="1028"/>
      <c r="D66" s="1028"/>
      <c r="E66" s="1028"/>
      <c r="F66" s="1087"/>
      <c r="G66" s="1947" t="s">
        <v>1919</v>
      </c>
      <c r="H66" s="1083" t="s">
        <v>1972</v>
      </c>
      <c r="I66" s="1098">
        <f>H42+I51+I64+I59</f>
        <v>2.1189499999999999</v>
      </c>
    </row>
    <row r="67" spans="1:9" ht="12.75" customHeight="1" x14ac:dyDescent="0.25">
      <c r="A67" s="1087"/>
      <c r="B67" s="1028"/>
      <c r="C67" s="1028"/>
      <c r="D67" s="1028"/>
      <c r="E67" s="1028"/>
      <c r="F67" s="1087"/>
      <c r="G67" s="1420"/>
      <c r="H67" s="1083" t="s">
        <v>1973</v>
      </c>
      <c r="I67" s="1091">
        <f>ROUNDUP((I66),1)</f>
        <v>2.2000000000000002</v>
      </c>
    </row>
    <row r="68" spans="1:9" ht="12.75" customHeight="1" x14ac:dyDescent="0.25">
      <c r="A68" s="1087"/>
      <c r="F68" s="1087"/>
      <c r="G68" s="1087"/>
      <c r="H68" s="1087"/>
      <c r="I68" s="1087"/>
    </row>
    <row r="69" spans="1:9" ht="12.75" customHeight="1" x14ac:dyDescent="0.2">
      <c r="A69" s="1029"/>
      <c r="D69" s="1414"/>
      <c r="E69" s="1415"/>
      <c r="F69" s="1415"/>
      <c r="G69" s="1415"/>
      <c r="H69" s="1415"/>
      <c r="I69" s="1415"/>
    </row>
    <row r="70" spans="1:9" ht="12.75" customHeight="1" thickBot="1" x14ac:dyDescent="0.25">
      <c r="D70" s="1416"/>
      <c r="E70" s="1416"/>
      <c r="F70" s="1416"/>
      <c r="G70" s="1416"/>
      <c r="H70" s="1416"/>
      <c r="I70" s="1416"/>
    </row>
    <row r="71" spans="1:9" ht="12.75" customHeight="1" thickTop="1" x14ac:dyDescent="0.2">
      <c r="D71" s="1417" t="s">
        <v>1829</v>
      </c>
      <c r="E71" s="1418"/>
      <c r="F71" s="1417" t="s">
        <v>1830</v>
      </c>
      <c r="G71" s="1418"/>
      <c r="H71" s="1418"/>
      <c r="I71" s="1418"/>
    </row>
    <row r="72" spans="1:9" ht="12.75" customHeight="1" x14ac:dyDescent="0.2">
      <c r="D72" s="1419" t="s">
        <v>1831</v>
      </c>
      <c r="E72" s="1420"/>
      <c r="F72" s="1419" t="s">
        <v>1832</v>
      </c>
      <c r="G72" s="1420"/>
      <c r="H72" s="1420"/>
      <c r="I72" s="1420"/>
    </row>
    <row r="73" spans="1:9" ht="12.75" customHeight="1" x14ac:dyDescent="0.2"/>
    <row r="74" spans="1:9" ht="12.75" customHeight="1" x14ac:dyDescent="0.2"/>
    <row r="75" spans="1:9" ht="12.75" customHeight="1" x14ac:dyDescent="0.2"/>
    <row r="76" spans="1:9" ht="12.75" customHeight="1" x14ac:dyDescent="0.2"/>
    <row r="77" spans="1:9" ht="12.75" customHeight="1" x14ac:dyDescent="0.2"/>
    <row r="78" spans="1:9" ht="12.75" customHeight="1" x14ac:dyDescent="0.2"/>
    <row r="79" spans="1:9" ht="12.75" customHeight="1" x14ac:dyDescent="0.2"/>
    <row r="80" spans="1:9"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sheetData>
  <mergeCells count="68">
    <mergeCell ref="A5:H6"/>
    <mergeCell ref="I5:I6"/>
    <mergeCell ref="A1:E3"/>
    <mergeCell ref="F1:G1"/>
    <mergeCell ref="F2:G3"/>
    <mergeCell ref="H2:H3"/>
    <mergeCell ref="I2:I3"/>
    <mergeCell ref="A8:B8"/>
    <mergeCell ref="C8:D8"/>
    <mergeCell ref="F8:G8"/>
    <mergeCell ref="H8:I8"/>
    <mergeCell ref="A9:B9"/>
    <mergeCell ref="C9:D9"/>
    <mergeCell ref="F9:G9"/>
    <mergeCell ref="H9:I9"/>
    <mergeCell ref="B24:H24"/>
    <mergeCell ref="B11:H11"/>
    <mergeCell ref="B12:H12"/>
    <mergeCell ref="G13:H13"/>
    <mergeCell ref="B15:H15"/>
    <mergeCell ref="B16:H16"/>
    <mergeCell ref="B17:H17"/>
    <mergeCell ref="B18:H18"/>
    <mergeCell ref="B19:H19"/>
    <mergeCell ref="B20:H20"/>
    <mergeCell ref="G21:H21"/>
    <mergeCell ref="B23:H23"/>
    <mergeCell ref="B38:H38"/>
    <mergeCell ref="B25:H25"/>
    <mergeCell ref="B26:H26"/>
    <mergeCell ref="G27:H27"/>
    <mergeCell ref="B29:H29"/>
    <mergeCell ref="B30:H30"/>
    <mergeCell ref="B31:H31"/>
    <mergeCell ref="B32:H32"/>
    <mergeCell ref="B33:H33"/>
    <mergeCell ref="G34:H34"/>
    <mergeCell ref="B36:H36"/>
    <mergeCell ref="B37:H37"/>
    <mergeCell ref="G51:H51"/>
    <mergeCell ref="B39:H39"/>
    <mergeCell ref="G40:H40"/>
    <mergeCell ref="F42:G42"/>
    <mergeCell ref="H42:I42"/>
    <mergeCell ref="B44:H44"/>
    <mergeCell ref="B45:H45"/>
    <mergeCell ref="B46:H46"/>
    <mergeCell ref="B47:H47"/>
    <mergeCell ref="B48:H48"/>
    <mergeCell ref="B49:H49"/>
    <mergeCell ref="B50:H50"/>
    <mergeCell ref="G66:G67"/>
    <mergeCell ref="B53:H53"/>
    <mergeCell ref="B54:H54"/>
    <mergeCell ref="B55:H55"/>
    <mergeCell ref="B56:H56"/>
    <mergeCell ref="B57:H57"/>
    <mergeCell ref="B58:H58"/>
    <mergeCell ref="G59:H59"/>
    <mergeCell ref="B61:H61"/>
    <mergeCell ref="B62:H62"/>
    <mergeCell ref="B63:H63"/>
    <mergeCell ref="G64:H64"/>
    <mergeCell ref="D69:I70"/>
    <mergeCell ref="D71:E71"/>
    <mergeCell ref="F71:I71"/>
    <mergeCell ref="D72:E72"/>
    <mergeCell ref="F72:I72"/>
  </mergeCells>
  <pageMargins left="0.7" right="0.7" top="0.75" bottom="0.75" header="0.3" footer="0.3"/>
  <pageSetup scale="7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Q998"/>
  <sheetViews>
    <sheetView view="pageBreakPreview" zoomScale="60" zoomScaleNormal="85" workbookViewId="0">
      <selection activeCell="T17" sqref="T17"/>
    </sheetView>
  </sheetViews>
  <sheetFormatPr baseColWidth="10" defaultColWidth="12.5703125" defaultRowHeight="15" customHeight="1" x14ac:dyDescent="0.2"/>
  <cols>
    <col min="1" max="17" width="10.42578125" customWidth="1"/>
    <col min="18" max="26" width="12.7109375" customWidth="1"/>
  </cols>
  <sheetData>
    <row r="1" spans="1:17" ht="12.75" customHeight="1" x14ac:dyDescent="0.2">
      <c r="A1" s="1465" t="str">
        <f>'01'!A12</f>
        <v>"CONSTRUCCION SISTEMA DE ACUEDUCTO FASE II DEL MUNICIPIO DE TESALIA DPTO DEL HUILA"</v>
      </c>
      <c r="B1" s="1427"/>
      <c r="C1" s="1427"/>
      <c r="D1" s="1427"/>
      <c r="E1" s="1427"/>
      <c r="F1" s="1427"/>
      <c r="G1" s="1427"/>
      <c r="H1" s="1427"/>
      <c r="I1" s="1427"/>
      <c r="J1" s="1427"/>
      <c r="K1" s="1427"/>
      <c r="L1" s="1428"/>
      <c r="M1" s="1466" t="s">
        <v>1181</v>
      </c>
      <c r="N1" s="1412"/>
      <c r="O1" s="1458" t="e">
        <f>P24</f>
        <v>#REF!</v>
      </c>
      <c r="P1" s="1427"/>
      <c r="Q1" s="1428"/>
    </row>
    <row r="2" spans="1:17" ht="12.75" customHeight="1" x14ac:dyDescent="0.2">
      <c r="A2" s="1459"/>
      <c r="B2" s="1415"/>
      <c r="C2" s="1415"/>
      <c r="D2" s="1415"/>
      <c r="E2" s="1415"/>
      <c r="F2" s="1415"/>
      <c r="G2" s="1415"/>
      <c r="H2" s="1415"/>
      <c r="I2" s="1415"/>
      <c r="J2" s="1415"/>
      <c r="K2" s="1415"/>
      <c r="L2" s="1460"/>
      <c r="M2" s="1960">
        <f>'01'!M13</f>
        <v>0</v>
      </c>
      <c r="N2" s="1428"/>
      <c r="O2" s="1459"/>
      <c r="P2" s="1415"/>
      <c r="Q2" s="1460"/>
    </row>
    <row r="3" spans="1:17" ht="12.75" customHeight="1" x14ac:dyDescent="0.2">
      <c r="A3" s="1426"/>
      <c r="B3" s="1429"/>
      <c r="C3" s="1429"/>
      <c r="D3" s="1429"/>
      <c r="E3" s="1429"/>
      <c r="F3" s="1429"/>
      <c r="G3" s="1429"/>
      <c r="H3" s="1429"/>
      <c r="I3" s="1429"/>
      <c r="J3" s="1429"/>
      <c r="K3" s="1429"/>
      <c r="L3" s="1430"/>
      <c r="M3" s="1426"/>
      <c r="N3" s="1430"/>
      <c r="O3" s="1426"/>
      <c r="P3" s="1429"/>
      <c r="Q3" s="1430"/>
    </row>
    <row r="4" spans="1:17" ht="12.75" customHeight="1" x14ac:dyDescent="0.2">
      <c r="A4" s="1029"/>
      <c r="B4" s="1029"/>
      <c r="C4" s="1029"/>
      <c r="D4" s="1029"/>
      <c r="E4" s="1029"/>
      <c r="F4" s="1029"/>
      <c r="G4" s="1029"/>
      <c r="H4" s="1029"/>
      <c r="I4" s="1029"/>
      <c r="J4" s="1029"/>
      <c r="K4" s="1029"/>
      <c r="L4" s="1029"/>
      <c r="M4" s="1029"/>
      <c r="N4" s="1029"/>
      <c r="O4" s="1029"/>
      <c r="P4" s="1029"/>
      <c r="Q4" s="1029"/>
    </row>
    <row r="5" spans="1:17" ht="12.75" customHeight="1" x14ac:dyDescent="0.2">
      <c r="A5" s="1462" t="s">
        <v>1975</v>
      </c>
      <c r="B5" s="1427"/>
      <c r="C5" s="1427"/>
      <c r="D5" s="1427"/>
      <c r="E5" s="1427"/>
      <c r="F5" s="1427"/>
      <c r="G5" s="1427"/>
      <c r="H5" s="1427"/>
      <c r="I5" s="1427"/>
      <c r="J5" s="1427"/>
      <c r="K5" s="1427"/>
      <c r="L5" s="1427"/>
      <c r="M5" s="1427"/>
      <c r="N5" s="1427"/>
      <c r="O5" s="1427"/>
      <c r="P5" s="1428"/>
      <c r="Q5" s="1463"/>
    </row>
    <row r="6" spans="1:17" ht="12.75" customHeight="1" x14ac:dyDescent="0.2">
      <c r="A6" s="1426"/>
      <c r="B6" s="1429"/>
      <c r="C6" s="1429"/>
      <c r="D6" s="1429"/>
      <c r="E6" s="1429"/>
      <c r="F6" s="1429"/>
      <c r="G6" s="1429"/>
      <c r="H6" s="1429"/>
      <c r="I6" s="1429"/>
      <c r="J6" s="1429"/>
      <c r="K6" s="1429"/>
      <c r="L6" s="1429"/>
      <c r="M6" s="1429"/>
      <c r="N6" s="1429"/>
      <c r="O6" s="1429"/>
      <c r="P6" s="1430"/>
      <c r="Q6" s="1432"/>
    </row>
    <row r="7" spans="1:17" ht="12.75" customHeight="1" x14ac:dyDescent="0.25">
      <c r="A7" s="1099"/>
      <c r="B7" s="1099"/>
      <c r="C7" s="1099"/>
      <c r="D7" s="1099"/>
      <c r="E7" s="1099"/>
      <c r="F7" s="1099"/>
      <c r="G7" s="1099"/>
      <c r="H7" s="1099"/>
      <c r="I7" s="1099"/>
      <c r="J7" s="1099"/>
      <c r="K7" s="1099"/>
      <c r="L7" s="1099"/>
      <c r="M7" s="1099"/>
      <c r="N7" s="1099"/>
      <c r="O7" s="1099"/>
      <c r="P7" s="1099"/>
      <c r="Q7" s="1099"/>
    </row>
    <row r="8" spans="1:17" ht="12.75" customHeight="1" x14ac:dyDescent="0.25">
      <c r="A8" s="1099"/>
      <c r="B8" s="1099"/>
      <c r="C8" s="1969" t="s">
        <v>1976</v>
      </c>
      <c r="D8" s="1412"/>
      <c r="E8" s="1970" t="e">
        <f>'01'!#REF!</f>
        <v>#REF!</v>
      </c>
      <c r="F8" s="1412"/>
      <c r="G8" s="1971" t="s">
        <v>1977</v>
      </c>
      <c r="H8" s="1411"/>
      <c r="I8" s="1972" t="s">
        <v>1978</v>
      </c>
      <c r="J8" s="1420"/>
      <c r="K8" s="1420"/>
      <c r="L8" s="1460"/>
      <c r="M8" s="1073">
        <v>4</v>
      </c>
      <c r="N8" s="1973" t="s">
        <v>1979</v>
      </c>
      <c r="O8" s="1420"/>
      <c r="P8" s="1460"/>
      <c r="Q8" s="1100">
        <f>+M8*30</f>
        <v>120</v>
      </c>
    </row>
    <row r="9" spans="1:17" ht="12.75" customHeight="1" x14ac:dyDescent="0.25">
      <c r="A9" s="1099"/>
      <c r="B9" s="1099"/>
      <c r="C9" s="1101"/>
      <c r="D9" s="1099"/>
      <c r="E9" s="1099"/>
      <c r="F9" s="1099"/>
      <c r="G9" s="1099"/>
      <c r="H9" s="1099"/>
      <c r="I9" s="1099"/>
      <c r="J9" s="1099"/>
      <c r="K9" s="1099"/>
      <c r="L9" s="1099"/>
      <c r="M9" s="1099"/>
      <c r="N9" s="1099"/>
      <c r="O9" s="1099"/>
      <c r="P9" s="1099"/>
      <c r="Q9" s="1099"/>
    </row>
    <row r="10" spans="1:17" ht="12.75" customHeight="1" x14ac:dyDescent="0.2">
      <c r="A10" s="1968" t="s">
        <v>1980</v>
      </c>
      <c r="B10" s="1428"/>
      <c r="C10" s="1465" t="s">
        <v>1981</v>
      </c>
      <c r="D10" s="1427"/>
      <c r="E10" s="1428"/>
      <c r="F10" s="1465" t="s">
        <v>1982</v>
      </c>
      <c r="G10" s="1427"/>
      <c r="H10" s="1428"/>
      <c r="I10" s="1465" t="s">
        <v>1983</v>
      </c>
      <c r="J10" s="1427"/>
      <c r="K10" s="1428"/>
      <c r="L10" s="1465" t="s">
        <v>1984</v>
      </c>
      <c r="M10" s="1427"/>
      <c r="N10" s="1428"/>
      <c r="O10" s="1465" t="s">
        <v>1985</v>
      </c>
      <c r="P10" s="1427"/>
      <c r="Q10" s="1428"/>
    </row>
    <row r="11" spans="1:17" ht="12.75" customHeight="1" x14ac:dyDescent="0.2">
      <c r="A11" s="1420"/>
      <c r="B11" s="1460"/>
      <c r="C11" s="1426"/>
      <c r="D11" s="1429"/>
      <c r="E11" s="1430"/>
      <c r="F11" s="1426"/>
      <c r="G11" s="1429"/>
      <c r="H11" s="1430"/>
      <c r="I11" s="1426"/>
      <c r="J11" s="1429"/>
      <c r="K11" s="1430"/>
      <c r="L11" s="1426"/>
      <c r="M11" s="1429"/>
      <c r="N11" s="1430"/>
      <c r="O11" s="1426"/>
      <c r="P11" s="1429"/>
      <c r="Q11" s="1430"/>
    </row>
    <row r="12" spans="1:17" ht="12.75" customHeight="1" x14ac:dyDescent="0.2">
      <c r="A12" s="1425" t="s">
        <v>19</v>
      </c>
      <c r="B12" s="1428"/>
      <c r="C12" s="1967">
        <v>0.1</v>
      </c>
      <c r="D12" s="1411"/>
      <c r="E12" s="1412"/>
      <c r="F12" s="1967">
        <v>0.2</v>
      </c>
      <c r="G12" s="1411"/>
      <c r="H12" s="1412"/>
      <c r="I12" s="1967">
        <v>0.2</v>
      </c>
      <c r="J12" s="1411"/>
      <c r="K12" s="1412"/>
      <c r="L12" s="1967">
        <v>0.1</v>
      </c>
      <c r="M12" s="1411"/>
      <c r="N12" s="1412"/>
      <c r="O12" s="1967">
        <v>0.05</v>
      </c>
      <c r="P12" s="1411"/>
      <c r="Q12" s="1412"/>
    </row>
    <row r="13" spans="1:17" ht="12.75" customHeight="1" x14ac:dyDescent="0.2">
      <c r="A13" s="1968" t="s">
        <v>1986</v>
      </c>
      <c r="B13" s="1428"/>
      <c r="C13" s="1966" t="s">
        <v>1987</v>
      </c>
      <c r="D13" s="1427"/>
      <c r="E13" s="1428"/>
      <c r="F13" s="1966" t="s">
        <v>1987</v>
      </c>
      <c r="G13" s="1427"/>
      <c r="H13" s="1428"/>
      <c r="I13" s="1966" t="s">
        <v>1987</v>
      </c>
      <c r="J13" s="1427"/>
      <c r="K13" s="1428"/>
      <c r="L13" s="1966" t="s">
        <v>1988</v>
      </c>
      <c r="M13" s="1427"/>
      <c r="N13" s="1428"/>
      <c r="O13" s="1966" t="s">
        <v>1989</v>
      </c>
      <c r="P13" s="1427"/>
      <c r="Q13" s="1428"/>
    </row>
    <row r="14" spans="1:17" ht="12.75" customHeight="1" x14ac:dyDescent="0.2">
      <c r="A14" s="1420"/>
      <c r="B14" s="1460"/>
      <c r="C14" s="1426"/>
      <c r="D14" s="1429"/>
      <c r="E14" s="1430"/>
      <c r="F14" s="1426"/>
      <c r="G14" s="1429"/>
      <c r="H14" s="1430"/>
      <c r="I14" s="1426"/>
      <c r="J14" s="1429"/>
      <c r="K14" s="1430"/>
      <c r="L14" s="1426"/>
      <c r="M14" s="1429"/>
      <c r="N14" s="1430"/>
      <c r="O14" s="1426"/>
      <c r="P14" s="1429"/>
      <c r="Q14" s="1430"/>
    </row>
    <row r="15" spans="1:17" ht="12.75" customHeight="1" x14ac:dyDescent="0.2">
      <c r="A15" s="1455" t="s">
        <v>1990</v>
      </c>
      <c r="B15" s="1412"/>
      <c r="C15" s="1967">
        <v>5.0000000000000001E-3</v>
      </c>
      <c r="D15" s="1411"/>
      <c r="E15" s="1412"/>
      <c r="F15" s="1967">
        <v>5.0000000000000001E-3</v>
      </c>
      <c r="G15" s="1411"/>
      <c r="H15" s="1412"/>
      <c r="I15" s="1967">
        <v>5.0000000000000001E-3</v>
      </c>
      <c r="J15" s="1411"/>
      <c r="K15" s="1412"/>
      <c r="L15" s="1967">
        <v>5.0000000000000001E-3</v>
      </c>
      <c r="M15" s="1411"/>
      <c r="N15" s="1412"/>
      <c r="O15" s="1967">
        <v>5.0000000000000001E-3</v>
      </c>
      <c r="P15" s="1411"/>
      <c r="Q15" s="1412"/>
    </row>
    <row r="16" spans="1:17" ht="12.75" customHeight="1" x14ac:dyDescent="0.2">
      <c r="A16" s="1455" t="s">
        <v>1991</v>
      </c>
      <c r="B16" s="1412"/>
      <c r="C16" s="1964" t="e">
        <f>$E$8*C12</f>
        <v>#REF!</v>
      </c>
      <c r="D16" s="1411"/>
      <c r="E16" s="1412"/>
      <c r="F16" s="1964" t="e">
        <f>$E$8*F12</f>
        <v>#REF!</v>
      </c>
      <c r="G16" s="1411"/>
      <c r="H16" s="1412"/>
      <c r="I16" s="1964" t="e">
        <f>$E$8*I12</f>
        <v>#REF!</v>
      </c>
      <c r="J16" s="1411"/>
      <c r="K16" s="1412"/>
      <c r="L16" s="1964" t="e">
        <f>$E$8*L12</f>
        <v>#REF!</v>
      </c>
      <c r="M16" s="1411"/>
      <c r="N16" s="1412"/>
      <c r="O16" s="1964" t="e">
        <f>$E$8*O12</f>
        <v>#REF!</v>
      </c>
      <c r="P16" s="1411"/>
      <c r="Q16" s="1412"/>
    </row>
    <row r="17" spans="1:17" ht="12.75" customHeight="1" x14ac:dyDescent="0.2">
      <c r="A17" s="1455" t="s">
        <v>1992</v>
      </c>
      <c r="B17" s="1412"/>
      <c r="C17" s="1965">
        <f>6*30</f>
        <v>180</v>
      </c>
      <c r="D17" s="1411"/>
      <c r="E17" s="1412"/>
      <c r="F17" s="1965">
        <f>6*30</f>
        <v>180</v>
      </c>
      <c r="G17" s="1411"/>
      <c r="H17" s="1412"/>
      <c r="I17" s="1965">
        <f>6*30</f>
        <v>180</v>
      </c>
      <c r="J17" s="1411"/>
      <c r="K17" s="1412"/>
      <c r="L17" s="1965">
        <f>5*12*30</f>
        <v>1800</v>
      </c>
      <c r="M17" s="1411"/>
      <c r="N17" s="1412"/>
      <c r="O17" s="1965">
        <f>3*12*30</f>
        <v>1080</v>
      </c>
      <c r="P17" s="1411"/>
      <c r="Q17" s="1412"/>
    </row>
    <row r="18" spans="1:17" ht="12.75" customHeight="1" x14ac:dyDescent="0.2">
      <c r="A18" s="1455" t="s">
        <v>1993</v>
      </c>
      <c r="B18" s="1412"/>
      <c r="C18" s="1965">
        <f>$Q$8+C17</f>
        <v>300</v>
      </c>
      <c r="D18" s="1411"/>
      <c r="E18" s="1412"/>
      <c r="F18" s="1965">
        <f>$Q$8+F17</f>
        <v>300</v>
      </c>
      <c r="G18" s="1411"/>
      <c r="H18" s="1412"/>
      <c r="I18" s="1965">
        <f>$Q$8+I17</f>
        <v>300</v>
      </c>
      <c r="J18" s="1411"/>
      <c r="K18" s="1412"/>
      <c r="L18" s="1965">
        <f>$Q$8+L17</f>
        <v>1920</v>
      </c>
      <c r="M18" s="1411"/>
      <c r="N18" s="1412"/>
      <c r="O18" s="1965">
        <f>$Q$8+O17</f>
        <v>1200</v>
      </c>
      <c r="P18" s="1411"/>
      <c r="Q18" s="1412"/>
    </row>
    <row r="19" spans="1:17" ht="12.75" customHeight="1" x14ac:dyDescent="0.2">
      <c r="A19" s="1455" t="s">
        <v>1994</v>
      </c>
      <c r="B19" s="1412"/>
      <c r="C19" s="1964" t="e">
        <f>(C16*C15)/360*C18</f>
        <v>#REF!</v>
      </c>
      <c r="D19" s="1411"/>
      <c r="E19" s="1412"/>
      <c r="F19" s="1964" t="e">
        <f>(F16*F15)/360*F18</f>
        <v>#REF!</v>
      </c>
      <c r="G19" s="1411"/>
      <c r="H19" s="1412"/>
      <c r="I19" s="1964" t="e">
        <f>(I16*I15)/360*I18</f>
        <v>#REF!</v>
      </c>
      <c r="J19" s="1411"/>
      <c r="K19" s="1412"/>
      <c r="L19" s="1964" t="e">
        <f>(L16*L15)/360*L18</f>
        <v>#REF!</v>
      </c>
      <c r="M19" s="1411"/>
      <c r="N19" s="1412"/>
      <c r="O19" s="1964" t="e">
        <f>(O16*O15)/360*O18</f>
        <v>#REF!</v>
      </c>
      <c r="P19" s="1411"/>
      <c r="Q19" s="1412"/>
    </row>
    <row r="20" spans="1:17" ht="12.75" customHeight="1" x14ac:dyDescent="0.25">
      <c r="A20" s="1099"/>
      <c r="B20" s="1099"/>
      <c r="C20" s="1101"/>
      <c r="D20" s="1099"/>
      <c r="E20" s="1099"/>
      <c r="F20" s="1099"/>
      <c r="G20" s="1099"/>
      <c r="H20" s="1099"/>
      <c r="I20" s="1028"/>
      <c r="J20" s="1028"/>
      <c r="K20" s="1028"/>
      <c r="L20" s="1028"/>
      <c r="M20" s="1099"/>
      <c r="N20" s="1099"/>
      <c r="O20" s="1099"/>
      <c r="P20" s="1099"/>
      <c r="Q20" s="1099"/>
    </row>
    <row r="21" spans="1:17" ht="12.75" customHeight="1" x14ac:dyDescent="0.25">
      <c r="A21" s="1099"/>
      <c r="B21" s="1099"/>
      <c r="M21" s="1099"/>
      <c r="N21" s="1962" t="s">
        <v>1995</v>
      </c>
      <c r="O21" s="1412"/>
      <c r="P21" s="1963" t="e">
        <f>SUM(C19:Q19)</f>
        <v>#REF!</v>
      </c>
      <c r="Q21" s="1412"/>
    </row>
    <row r="22" spans="1:17" ht="12.75" customHeight="1" x14ac:dyDescent="0.25">
      <c r="A22" s="1099"/>
      <c r="B22" s="1099"/>
      <c r="M22" s="1099"/>
      <c r="N22" s="1962" t="s">
        <v>1996</v>
      </c>
      <c r="O22" s="1412"/>
      <c r="P22" s="1963">
        <v>6000</v>
      </c>
      <c r="Q22" s="1412"/>
    </row>
    <row r="23" spans="1:17" ht="12.75" customHeight="1" x14ac:dyDescent="0.25">
      <c r="A23" s="1099"/>
      <c r="B23" s="1099"/>
      <c r="M23" s="1099"/>
      <c r="N23" s="1066" t="s">
        <v>1997</v>
      </c>
      <c r="O23" s="1102">
        <v>0.19</v>
      </c>
      <c r="P23" s="1963" t="e">
        <f>(P21+P22)*O23</f>
        <v>#REF!</v>
      </c>
      <c r="Q23" s="1412"/>
    </row>
    <row r="24" spans="1:17" ht="12.75" customHeight="1" x14ac:dyDescent="0.25">
      <c r="A24" s="1099"/>
      <c r="B24" s="1027"/>
      <c r="M24" s="1099"/>
      <c r="N24" s="1962" t="s">
        <v>1998</v>
      </c>
      <c r="O24" s="1412"/>
      <c r="P24" s="1963" t="e">
        <f>ROUND((P21+P22+P23),0)</f>
        <v>#REF!</v>
      </c>
      <c r="Q24" s="1412"/>
    </row>
    <row r="25" spans="1:17" ht="12.75" customHeight="1" x14ac:dyDescent="0.25">
      <c r="B25" s="1027"/>
      <c r="M25" s="1027"/>
    </row>
    <row r="26" spans="1:17" ht="12.75" customHeight="1" x14ac:dyDescent="0.25">
      <c r="B26" s="1027"/>
      <c r="L26" s="1414"/>
      <c r="M26" s="1415"/>
      <c r="N26" s="1415"/>
      <c r="O26" s="1415"/>
      <c r="P26" s="1415"/>
      <c r="Q26" s="1415"/>
    </row>
    <row r="27" spans="1:17" ht="12.75" customHeight="1" thickBot="1" x14ac:dyDescent="0.3">
      <c r="B27" s="1027"/>
      <c r="L27" s="1416"/>
      <c r="M27" s="1416"/>
      <c r="N27" s="1416"/>
      <c r="O27" s="1416"/>
      <c r="P27" s="1416"/>
      <c r="Q27" s="1416"/>
    </row>
    <row r="28" spans="1:17" ht="12.75" customHeight="1" thickTop="1" x14ac:dyDescent="0.25">
      <c r="B28" s="1027"/>
      <c r="L28" s="1417" t="s">
        <v>1829</v>
      </c>
      <c r="M28" s="1418"/>
      <c r="N28" s="1417" t="s">
        <v>1830</v>
      </c>
      <c r="O28" s="1418"/>
      <c r="P28" s="1418"/>
      <c r="Q28" s="1418"/>
    </row>
    <row r="29" spans="1:17" ht="12.75" customHeight="1" x14ac:dyDescent="0.2">
      <c r="L29" s="1419" t="s">
        <v>1831</v>
      </c>
      <c r="M29" s="1420"/>
      <c r="N29" s="1419" t="s">
        <v>1832</v>
      </c>
      <c r="O29" s="1420"/>
      <c r="P29" s="1420"/>
      <c r="Q29" s="1420"/>
    </row>
    <row r="30" spans="1:17" ht="12.75" customHeight="1" x14ac:dyDescent="0.2"/>
    <row r="31" spans="1:17" ht="12.75" customHeight="1" x14ac:dyDescent="0.2"/>
    <row r="32" spans="1:17"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mergeCells count="71">
    <mergeCell ref="I8:L8"/>
    <mergeCell ref="N8:P8"/>
    <mergeCell ref="A1:L3"/>
    <mergeCell ref="M1:N1"/>
    <mergeCell ref="O1:Q3"/>
    <mergeCell ref="M2:N3"/>
    <mergeCell ref="A5:P6"/>
    <mergeCell ref="Q5:Q6"/>
    <mergeCell ref="C13:E14"/>
    <mergeCell ref="F13:H14"/>
    <mergeCell ref="C8:D8"/>
    <mergeCell ref="E8:F8"/>
    <mergeCell ref="G8:H8"/>
    <mergeCell ref="O10:Q11"/>
    <mergeCell ref="A12:B12"/>
    <mergeCell ref="C12:E12"/>
    <mergeCell ref="F12:H12"/>
    <mergeCell ref="I12:K12"/>
    <mergeCell ref="L12:N12"/>
    <mergeCell ref="O12:Q12"/>
    <mergeCell ref="A10:B11"/>
    <mergeCell ref="C10:E11"/>
    <mergeCell ref="F10:H11"/>
    <mergeCell ref="I10:K11"/>
    <mergeCell ref="L10:N11"/>
    <mergeCell ref="I13:K14"/>
    <mergeCell ref="L13:N14"/>
    <mergeCell ref="O16:Q16"/>
    <mergeCell ref="A15:B15"/>
    <mergeCell ref="C15:E15"/>
    <mergeCell ref="F15:H15"/>
    <mergeCell ref="I15:K15"/>
    <mergeCell ref="L15:N15"/>
    <mergeCell ref="O15:Q15"/>
    <mergeCell ref="A16:B16"/>
    <mergeCell ref="C16:E16"/>
    <mergeCell ref="F16:H16"/>
    <mergeCell ref="I16:K16"/>
    <mergeCell ref="L16:N16"/>
    <mergeCell ref="O13:Q14"/>
    <mergeCell ref="A13:B14"/>
    <mergeCell ref="O18:Q18"/>
    <mergeCell ref="A17:B17"/>
    <mergeCell ref="C17:E17"/>
    <mergeCell ref="F17:H17"/>
    <mergeCell ref="I17:K17"/>
    <mergeCell ref="L17:N17"/>
    <mergeCell ref="O17:Q17"/>
    <mergeCell ref="A18:B18"/>
    <mergeCell ref="C18:E18"/>
    <mergeCell ref="F18:H18"/>
    <mergeCell ref="I18:K18"/>
    <mergeCell ref="L18:N18"/>
    <mergeCell ref="N24:O24"/>
    <mergeCell ref="P24:Q24"/>
    <mergeCell ref="A19:B19"/>
    <mergeCell ref="C19:E19"/>
    <mergeCell ref="F19:H19"/>
    <mergeCell ref="I19:K19"/>
    <mergeCell ref="L19:N19"/>
    <mergeCell ref="O19:Q19"/>
    <mergeCell ref="N21:O21"/>
    <mergeCell ref="P21:Q21"/>
    <mergeCell ref="N22:O22"/>
    <mergeCell ref="P22:Q22"/>
    <mergeCell ref="P23:Q23"/>
    <mergeCell ref="L26:Q27"/>
    <mergeCell ref="L28:M28"/>
    <mergeCell ref="N28:Q28"/>
    <mergeCell ref="L29:M29"/>
    <mergeCell ref="N29:Q29"/>
  </mergeCells>
  <pageMargins left="0.7" right="0.7" top="0.75" bottom="0.75" header="0.3" footer="0.3"/>
  <pageSetup scale="52"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994"/>
  <sheetViews>
    <sheetView view="pageBreakPreview" topLeftCell="A7" zoomScale="60" zoomScaleNormal="100" workbookViewId="0">
      <selection activeCell="S28" sqref="S28"/>
    </sheetView>
  </sheetViews>
  <sheetFormatPr baseColWidth="10" defaultColWidth="12.5703125" defaultRowHeight="15" customHeight="1" x14ac:dyDescent="0.2"/>
  <cols>
    <col min="1" max="15" width="10.42578125" customWidth="1"/>
    <col min="16" max="16" width="16.5703125" customWidth="1"/>
    <col min="17" max="26" width="10.42578125" customWidth="1"/>
  </cols>
  <sheetData>
    <row r="1" spans="1:15" ht="12.75" customHeight="1" x14ac:dyDescent="0.2">
      <c r="A1" s="1465" t="str">
        <f>'01'!A12</f>
        <v>"CONSTRUCCION SISTEMA DE ACUEDUCTO FASE II DEL MUNICIPIO DE TESALIA DPTO DEL HUILA"</v>
      </c>
      <c r="B1" s="1427"/>
      <c r="C1" s="1427"/>
      <c r="D1" s="1427"/>
      <c r="E1" s="1427"/>
      <c r="F1" s="1427"/>
      <c r="G1" s="1427"/>
      <c r="H1" s="1427"/>
      <c r="I1" s="1427"/>
      <c r="J1" s="1428"/>
      <c r="K1" s="1466" t="s">
        <v>1181</v>
      </c>
      <c r="L1" s="1412"/>
      <c r="M1" s="1458">
        <f>N35</f>
        <v>309395816.63999999</v>
      </c>
      <c r="N1" s="1427"/>
      <c r="O1" s="1428"/>
    </row>
    <row r="2" spans="1:15" ht="12.75" customHeight="1" x14ac:dyDescent="0.2">
      <c r="A2" s="1459"/>
      <c r="B2" s="1415"/>
      <c r="C2" s="1415"/>
      <c r="D2" s="1415"/>
      <c r="E2" s="1415"/>
      <c r="F2" s="1415"/>
      <c r="G2" s="1415"/>
      <c r="H2" s="1415"/>
      <c r="I2" s="1415"/>
      <c r="J2" s="1460"/>
      <c r="K2" s="1875">
        <f>'01'!M13</f>
        <v>0</v>
      </c>
      <c r="L2" s="1428"/>
      <c r="M2" s="1459"/>
      <c r="N2" s="1415"/>
      <c r="O2" s="1460"/>
    </row>
    <row r="3" spans="1:15" ht="12.75" customHeight="1" x14ac:dyDescent="0.2">
      <c r="A3" s="1426"/>
      <c r="B3" s="1429"/>
      <c r="C3" s="1429"/>
      <c r="D3" s="1429"/>
      <c r="E3" s="1429"/>
      <c r="F3" s="1429"/>
      <c r="G3" s="1429"/>
      <c r="H3" s="1429"/>
      <c r="I3" s="1429"/>
      <c r="J3" s="1430"/>
      <c r="K3" s="1426"/>
      <c r="L3" s="1430"/>
      <c r="M3" s="1426"/>
      <c r="N3" s="1429"/>
      <c r="O3" s="1430"/>
    </row>
    <row r="4" spans="1:15" ht="12.75" customHeight="1" x14ac:dyDescent="0.25">
      <c r="A4" s="1028"/>
      <c r="B4" s="1028"/>
      <c r="C4" s="1028"/>
      <c r="D4" s="1028"/>
      <c r="E4" s="1028"/>
      <c r="F4" s="1028"/>
      <c r="G4" s="1028"/>
      <c r="H4" s="1028"/>
      <c r="I4" s="1028"/>
      <c r="J4" s="1028"/>
      <c r="K4" s="1028"/>
      <c r="L4" s="1028"/>
      <c r="M4" s="1068"/>
      <c r="N4" s="1069"/>
      <c r="O4" s="1069"/>
    </row>
    <row r="5" spans="1:15" ht="12.75" customHeight="1" x14ac:dyDescent="0.2">
      <c r="A5" s="1462" t="s">
        <v>1999</v>
      </c>
      <c r="B5" s="1427"/>
      <c r="C5" s="1427"/>
      <c r="D5" s="1427"/>
      <c r="E5" s="1427"/>
      <c r="F5" s="1427"/>
      <c r="G5" s="1427"/>
      <c r="H5" s="1427"/>
      <c r="I5" s="1427"/>
      <c r="J5" s="1427"/>
      <c r="K5" s="1427"/>
      <c r="L5" s="1427"/>
      <c r="M5" s="1427"/>
      <c r="N5" s="1428"/>
      <c r="O5" s="1463"/>
    </row>
    <row r="6" spans="1:15" ht="12.75" customHeight="1" x14ac:dyDescent="0.2">
      <c r="A6" s="1426"/>
      <c r="B6" s="1429"/>
      <c r="C6" s="1429"/>
      <c r="D6" s="1429"/>
      <c r="E6" s="1429"/>
      <c r="F6" s="1429"/>
      <c r="G6" s="1429"/>
      <c r="H6" s="1429"/>
      <c r="I6" s="1429"/>
      <c r="J6" s="1429"/>
      <c r="K6" s="1429"/>
      <c r="L6" s="1429"/>
      <c r="M6" s="1429"/>
      <c r="N6" s="1430"/>
      <c r="O6" s="1432"/>
    </row>
    <row r="7" spans="1:15" ht="12.75" customHeight="1" x14ac:dyDescent="0.25">
      <c r="A7" s="1028"/>
      <c r="B7" s="1028"/>
      <c r="C7" s="1028"/>
      <c r="D7" s="1028"/>
      <c r="E7" s="1028"/>
      <c r="F7" s="1028"/>
      <c r="G7" s="1028"/>
      <c r="H7" s="1028"/>
      <c r="I7" s="1028"/>
      <c r="J7" s="1028"/>
      <c r="K7" s="1028"/>
      <c r="L7" s="1028"/>
      <c r="M7" s="1068"/>
      <c r="N7" s="1069"/>
      <c r="O7" s="1069"/>
    </row>
    <row r="8" spans="1:15" ht="12.75" customHeight="1" x14ac:dyDescent="0.2">
      <c r="A8" s="1070" t="s">
        <v>867</v>
      </c>
      <c r="B8" s="1457" t="s">
        <v>1746</v>
      </c>
      <c r="C8" s="1420"/>
      <c r="D8" s="1420"/>
      <c r="E8" s="1420"/>
      <c r="F8" s="1420"/>
      <c r="G8" s="1420"/>
      <c r="H8" s="1420"/>
      <c r="I8" s="1420"/>
      <c r="J8" s="1420"/>
      <c r="K8" s="1420"/>
      <c r="L8" s="1420"/>
      <c r="M8" s="1420"/>
      <c r="N8" s="1420"/>
      <c r="O8" s="1420"/>
    </row>
    <row r="9" spans="1:15" ht="12.75" customHeight="1" x14ac:dyDescent="0.2">
      <c r="A9" s="1431" t="s">
        <v>1063</v>
      </c>
      <c r="B9" s="1425" t="s">
        <v>1741</v>
      </c>
      <c r="C9" s="1427"/>
      <c r="D9" s="1427"/>
      <c r="E9" s="1427"/>
      <c r="F9" s="1428"/>
      <c r="G9" s="1431" t="s">
        <v>1872</v>
      </c>
      <c r="H9" s="1431" t="s">
        <v>628</v>
      </c>
      <c r="I9" s="1431" t="s">
        <v>1873</v>
      </c>
      <c r="J9" s="1425" t="s">
        <v>1742</v>
      </c>
      <c r="K9" s="1428"/>
      <c r="L9" s="1431" t="s">
        <v>1893</v>
      </c>
      <c r="M9" s="1431" t="s">
        <v>1875</v>
      </c>
      <c r="N9" s="1425" t="s">
        <v>1745</v>
      </c>
      <c r="O9" s="1428"/>
    </row>
    <row r="10" spans="1:15" ht="12.75" customHeight="1" x14ac:dyDescent="0.2">
      <c r="A10" s="1432"/>
      <c r="B10" s="1426"/>
      <c r="C10" s="1429"/>
      <c r="D10" s="1429"/>
      <c r="E10" s="1429"/>
      <c r="F10" s="1430"/>
      <c r="G10" s="1432"/>
      <c r="H10" s="1432"/>
      <c r="I10" s="1432"/>
      <c r="J10" s="1426"/>
      <c r="K10" s="1430"/>
      <c r="L10" s="1432"/>
      <c r="M10" s="1432"/>
      <c r="N10" s="1426"/>
      <c r="O10" s="1430"/>
    </row>
    <row r="11" spans="1:15" ht="12.75" customHeight="1" x14ac:dyDescent="0.2">
      <c r="A11" s="1071" t="s">
        <v>1876</v>
      </c>
      <c r="B11" s="1447" t="s">
        <v>1877</v>
      </c>
      <c r="C11" s="1411"/>
      <c r="D11" s="1411"/>
      <c r="E11" s="1411"/>
      <c r="F11" s="1412"/>
      <c r="G11" s="1072">
        <v>6</v>
      </c>
      <c r="H11" s="1073">
        <v>1</v>
      </c>
      <c r="I11" s="1074">
        <v>0.35</v>
      </c>
      <c r="J11" s="1413">
        <f>G11*'03'!$A$9</f>
        <v>10505430</v>
      </c>
      <c r="K11" s="1412"/>
      <c r="L11" s="1073">
        <v>4</v>
      </c>
      <c r="M11" s="1039">
        <f t="shared" ref="M11:M20" si="0">N11/$N$35</f>
        <v>4.7536525088550718E-2</v>
      </c>
      <c r="N11" s="1413">
        <f t="shared" ref="N11:N20" si="1">L11*I11*J11*H11</f>
        <v>14707601.999999998</v>
      </c>
      <c r="O11" s="1412"/>
    </row>
    <row r="12" spans="1:15" ht="12.75" customHeight="1" x14ac:dyDescent="0.2">
      <c r="A12" s="1071" t="s">
        <v>1878</v>
      </c>
      <c r="B12" s="1447" t="s">
        <v>1879</v>
      </c>
      <c r="C12" s="1411"/>
      <c r="D12" s="1411"/>
      <c r="E12" s="1411"/>
      <c r="F12" s="1412"/>
      <c r="G12" s="1072">
        <v>5</v>
      </c>
      <c r="H12" s="1073">
        <v>1</v>
      </c>
      <c r="I12" s="1074">
        <v>0.5</v>
      </c>
      <c r="J12" s="1413">
        <f>G12*'03'!$A$9</f>
        <v>8754525</v>
      </c>
      <c r="K12" s="1412"/>
      <c r="L12" s="1073">
        <v>3</v>
      </c>
      <c r="M12" s="1039">
        <f t="shared" si="0"/>
        <v>4.2443325971920291E-2</v>
      </c>
      <c r="N12" s="1413">
        <f t="shared" si="1"/>
        <v>13131787.5</v>
      </c>
      <c r="O12" s="1412"/>
    </row>
    <row r="13" spans="1:15" ht="12.75" customHeight="1" x14ac:dyDescent="0.2">
      <c r="A13" s="1071" t="s">
        <v>1880</v>
      </c>
      <c r="B13" s="1447" t="s">
        <v>1881</v>
      </c>
      <c r="C13" s="1411"/>
      <c r="D13" s="1411"/>
      <c r="E13" s="1411"/>
      <c r="F13" s="1412"/>
      <c r="G13" s="1072">
        <v>5</v>
      </c>
      <c r="H13" s="1073">
        <v>1</v>
      </c>
      <c r="I13" s="1074">
        <v>0.4</v>
      </c>
      <c r="J13" s="1413">
        <f>G13*'03'!$A$9</f>
        <v>8754525</v>
      </c>
      <c r="K13" s="1412"/>
      <c r="L13" s="1073">
        <v>3</v>
      </c>
      <c r="M13" s="1039">
        <f t="shared" si="0"/>
        <v>3.3954660777536241E-2</v>
      </c>
      <c r="N13" s="1413">
        <f t="shared" si="1"/>
        <v>10505430.000000002</v>
      </c>
      <c r="O13" s="1412"/>
    </row>
    <row r="14" spans="1:15" ht="12.75" customHeight="1" x14ac:dyDescent="0.2">
      <c r="A14" s="1071" t="s">
        <v>1882</v>
      </c>
      <c r="B14" s="1447" t="s">
        <v>1883</v>
      </c>
      <c r="C14" s="1411"/>
      <c r="D14" s="1411"/>
      <c r="E14" s="1411"/>
      <c r="F14" s="1412"/>
      <c r="G14" s="1072">
        <v>5</v>
      </c>
      <c r="H14" s="1073">
        <v>1</v>
      </c>
      <c r="I14" s="1074">
        <v>0.4</v>
      </c>
      <c r="J14" s="1413">
        <f>G14*'03'!$A$9</f>
        <v>8754525</v>
      </c>
      <c r="K14" s="1412"/>
      <c r="L14" s="1073">
        <v>3</v>
      </c>
      <c r="M14" s="1039">
        <f t="shared" si="0"/>
        <v>3.3954660777536241E-2</v>
      </c>
      <c r="N14" s="1413">
        <f t="shared" si="1"/>
        <v>10505430.000000002</v>
      </c>
      <c r="O14" s="1412"/>
    </row>
    <row r="15" spans="1:15" ht="12.75" customHeight="1" x14ac:dyDescent="0.2">
      <c r="A15" s="1071" t="s">
        <v>1884</v>
      </c>
      <c r="B15" s="1447" t="s">
        <v>1885</v>
      </c>
      <c r="C15" s="1411"/>
      <c r="D15" s="1411"/>
      <c r="E15" s="1411"/>
      <c r="F15" s="1412"/>
      <c r="G15" s="1072">
        <v>3</v>
      </c>
      <c r="H15" s="1073">
        <v>1</v>
      </c>
      <c r="I15" s="1074">
        <v>1</v>
      </c>
      <c r="J15" s="1413">
        <f>G15*'03'!$A$9</f>
        <v>5252715</v>
      </c>
      <c r="K15" s="1412"/>
      <c r="L15" s="1073">
        <v>3</v>
      </c>
      <c r="M15" s="1039">
        <f t="shared" si="0"/>
        <v>5.0931991166304348E-2</v>
      </c>
      <c r="N15" s="1413">
        <f t="shared" si="1"/>
        <v>15758145</v>
      </c>
      <c r="O15" s="1412"/>
    </row>
    <row r="16" spans="1:15" ht="12.75" customHeight="1" x14ac:dyDescent="0.2">
      <c r="A16" s="1071" t="s">
        <v>1886</v>
      </c>
      <c r="B16" s="1447" t="s">
        <v>1887</v>
      </c>
      <c r="C16" s="1411"/>
      <c r="D16" s="1411"/>
      <c r="E16" s="1411"/>
      <c r="F16" s="1412"/>
      <c r="G16" s="1072">
        <v>3</v>
      </c>
      <c r="H16" s="1073">
        <v>1</v>
      </c>
      <c r="I16" s="1074">
        <v>0.4</v>
      </c>
      <c r="J16" s="1413">
        <f>G16*'03'!$A$9</f>
        <v>5252715</v>
      </c>
      <c r="K16" s="1412"/>
      <c r="L16" s="1073">
        <v>3</v>
      </c>
      <c r="M16" s="1039">
        <f t="shared" si="0"/>
        <v>2.0372796466521743E-2</v>
      </c>
      <c r="N16" s="1413">
        <f t="shared" si="1"/>
        <v>6303258.0000000009</v>
      </c>
      <c r="O16" s="1412"/>
    </row>
    <row r="17" spans="1:15" ht="12.75" customHeight="1" x14ac:dyDescent="0.2">
      <c r="A17" s="1071" t="s">
        <v>2000</v>
      </c>
      <c r="B17" s="1447" t="s">
        <v>2001</v>
      </c>
      <c r="C17" s="1411"/>
      <c r="D17" s="1411"/>
      <c r="E17" s="1411"/>
      <c r="F17" s="1412"/>
      <c r="G17" s="1072">
        <v>3</v>
      </c>
      <c r="H17" s="1073">
        <v>1</v>
      </c>
      <c r="I17" s="1074">
        <v>0.75</v>
      </c>
      <c r="J17" s="1413">
        <f>G17*'03'!$A$9</f>
        <v>5252715</v>
      </c>
      <c r="K17" s="1412"/>
      <c r="L17" s="1073">
        <v>3</v>
      </c>
      <c r="M17" s="1039">
        <f t="shared" si="0"/>
        <v>3.8198993374728263E-2</v>
      </c>
      <c r="N17" s="1413">
        <f t="shared" si="1"/>
        <v>11818608.75</v>
      </c>
      <c r="O17" s="1412"/>
    </row>
    <row r="18" spans="1:15" ht="12.75" customHeight="1" x14ac:dyDescent="0.2">
      <c r="A18" s="1071" t="s">
        <v>1888</v>
      </c>
      <c r="B18" s="1447" t="s">
        <v>1889</v>
      </c>
      <c r="C18" s="1411"/>
      <c r="D18" s="1411"/>
      <c r="E18" s="1411"/>
      <c r="F18" s="1412"/>
      <c r="G18" s="1072">
        <v>2</v>
      </c>
      <c r="H18" s="1073">
        <v>1</v>
      </c>
      <c r="I18" s="1074">
        <v>0.75</v>
      </c>
      <c r="J18" s="1413">
        <f>G18*'03'!$A$9</f>
        <v>3501810</v>
      </c>
      <c r="K18" s="1412"/>
      <c r="L18" s="1073">
        <v>3</v>
      </c>
      <c r="M18" s="1039">
        <f t="shared" si="0"/>
        <v>2.5465995583152174E-2</v>
      </c>
      <c r="N18" s="1413">
        <f t="shared" si="1"/>
        <v>7879072.5</v>
      </c>
      <c r="O18" s="1412"/>
    </row>
    <row r="19" spans="1:15" ht="12.75" customHeight="1" x14ac:dyDescent="0.2">
      <c r="A19" s="1071" t="s">
        <v>1890</v>
      </c>
      <c r="B19" s="1447" t="s">
        <v>2002</v>
      </c>
      <c r="C19" s="1411"/>
      <c r="D19" s="1411"/>
      <c r="E19" s="1411"/>
      <c r="F19" s="1412"/>
      <c r="G19" s="1072">
        <v>2</v>
      </c>
      <c r="H19" s="1073">
        <v>1</v>
      </c>
      <c r="I19" s="1074">
        <v>0.75</v>
      </c>
      <c r="J19" s="1413">
        <f>G19*'03'!$A$9</f>
        <v>3501810</v>
      </c>
      <c r="K19" s="1412"/>
      <c r="L19" s="1073">
        <v>3</v>
      </c>
      <c r="M19" s="1039">
        <f t="shared" si="0"/>
        <v>2.5465995583152174E-2</v>
      </c>
      <c r="N19" s="1413">
        <f t="shared" si="1"/>
        <v>7879072.5</v>
      </c>
      <c r="O19" s="1412"/>
    </row>
    <row r="20" spans="1:15" ht="12.75" customHeight="1" x14ac:dyDescent="0.2">
      <c r="A20" s="1071" t="s">
        <v>2003</v>
      </c>
      <c r="B20" s="1447" t="s">
        <v>2004</v>
      </c>
      <c r="C20" s="1411"/>
      <c r="D20" s="1411"/>
      <c r="E20" s="1411"/>
      <c r="F20" s="1412"/>
      <c r="G20" s="1072">
        <v>2</v>
      </c>
      <c r="H20" s="1073">
        <v>2</v>
      </c>
      <c r="I20" s="1074">
        <v>1</v>
      </c>
      <c r="J20" s="1413">
        <f>G20*'03'!$A$9</f>
        <v>3501810</v>
      </c>
      <c r="K20" s="1412"/>
      <c r="L20" s="1073">
        <v>3</v>
      </c>
      <c r="M20" s="1039">
        <f t="shared" si="0"/>
        <v>6.7909321555072469E-2</v>
      </c>
      <c r="N20" s="1413">
        <f t="shared" si="1"/>
        <v>21010860</v>
      </c>
      <c r="O20" s="1412"/>
    </row>
    <row r="21" spans="1:15" ht="12.75" customHeight="1" x14ac:dyDescent="0.2">
      <c r="A21" s="1029"/>
      <c r="B21" s="1029"/>
      <c r="C21" s="1029"/>
      <c r="D21" s="1029"/>
      <c r="E21" s="1029"/>
      <c r="F21" s="1029"/>
      <c r="G21" s="1029"/>
      <c r="H21" s="1421" t="s">
        <v>1763</v>
      </c>
      <c r="I21" s="1411"/>
      <c r="J21" s="1411"/>
      <c r="K21" s="1411"/>
      <c r="L21" s="1411"/>
      <c r="M21" s="1412"/>
      <c r="N21" s="1413">
        <f>SUM(N11:N20)</f>
        <v>119499266.25</v>
      </c>
      <c r="O21" s="1412"/>
    </row>
    <row r="22" spans="1:15" ht="12.75" customHeight="1" x14ac:dyDescent="0.2">
      <c r="A22" s="1029"/>
      <c r="B22" s="1029"/>
      <c r="C22" s="1029"/>
      <c r="D22" s="1029"/>
      <c r="E22" s="1029"/>
      <c r="F22" s="1029"/>
      <c r="G22" s="1029"/>
      <c r="H22" s="1421" t="s">
        <v>1764</v>
      </c>
      <c r="I22" s="1411"/>
      <c r="J22" s="1411"/>
      <c r="K22" s="1411"/>
      <c r="L22" s="1411"/>
      <c r="M22" s="1412"/>
      <c r="N22" s="1975">
        <f>+'03'!$H$2</f>
        <v>2.2000000000000002</v>
      </c>
      <c r="O22" s="1412"/>
    </row>
    <row r="23" spans="1:15" ht="12.75" customHeight="1" x14ac:dyDescent="0.2">
      <c r="A23" s="1029"/>
      <c r="B23" s="1029"/>
      <c r="C23" s="1029"/>
      <c r="D23" s="1029"/>
      <c r="E23" s="1029"/>
      <c r="F23" s="1029"/>
      <c r="G23" s="1029"/>
      <c r="H23" s="1421" t="s">
        <v>1892</v>
      </c>
      <c r="I23" s="1411"/>
      <c r="J23" s="1411"/>
      <c r="K23" s="1411"/>
      <c r="L23" s="1411"/>
      <c r="M23" s="1412"/>
      <c r="N23" s="1413">
        <f>+N21*N22</f>
        <v>262898385.75000003</v>
      </c>
      <c r="O23" s="1412"/>
    </row>
    <row r="24" spans="1:15" ht="12.75" customHeight="1" x14ac:dyDescent="0.2">
      <c r="A24" s="1075"/>
      <c r="B24" s="1076"/>
      <c r="C24" s="1076"/>
      <c r="D24" s="1076"/>
      <c r="E24" s="1076"/>
      <c r="F24" s="1076"/>
      <c r="G24" s="1077"/>
      <c r="H24" s="1077"/>
      <c r="I24" s="1077"/>
      <c r="J24" s="1077"/>
      <c r="K24" s="1077"/>
      <c r="L24" s="1077"/>
      <c r="M24" s="1077"/>
      <c r="N24" s="1077"/>
      <c r="O24" s="1077"/>
    </row>
    <row r="25" spans="1:15" ht="12.75" customHeight="1" x14ac:dyDescent="0.2">
      <c r="A25" s="1078" t="s">
        <v>868</v>
      </c>
      <c r="B25" s="1424" t="s">
        <v>1472</v>
      </c>
      <c r="C25" s="1411"/>
      <c r="D25" s="1411"/>
      <c r="E25" s="1411"/>
      <c r="F25" s="1411"/>
      <c r="G25" s="1411"/>
      <c r="H25" s="1411"/>
      <c r="I25" s="1411"/>
      <c r="J25" s="1411"/>
      <c r="K25" s="1411"/>
      <c r="L25" s="1411"/>
      <c r="M25" s="1411"/>
      <c r="N25" s="1411"/>
      <c r="O25" s="1412"/>
    </row>
    <row r="26" spans="1:15" ht="12.75" customHeight="1" x14ac:dyDescent="0.2">
      <c r="A26" s="1431" t="s">
        <v>1063</v>
      </c>
      <c r="B26" s="1425" t="s">
        <v>14</v>
      </c>
      <c r="C26" s="1427"/>
      <c r="D26" s="1427"/>
      <c r="E26" s="1427"/>
      <c r="F26" s="1427"/>
      <c r="G26" s="1428"/>
      <c r="H26" s="1431" t="s">
        <v>15</v>
      </c>
      <c r="I26" s="1431" t="s">
        <v>628</v>
      </c>
      <c r="J26" s="1425" t="s">
        <v>1742</v>
      </c>
      <c r="K26" s="1428"/>
      <c r="L26" s="1431" t="s">
        <v>1893</v>
      </c>
      <c r="M26" s="1431" t="s">
        <v>1875</v>
      </c>
      <c r="N26" s="1425" t="s">
        <v>1745</v>
      </c>
      <c r="O26" s="1428"/>
    </row>
    <row r="27" spans="1:15" ht="12.75" customHeight="1" x14ac:dyDescent="0.2">
      <c r="A27" s="1432"/>
      <c r="B27" s="1426"/>
      <c r="C27" s="1429"/>
      <c r="D27" s="1429"/>
      <c r="E27" s="1429"/>
      <c r="F27" s="1429"/>
      <c r="G27" s="1430"/>
      <c r="H27" s="1432"/>
      <c r="I27" s="1432"/>
      <c r="J27" s="1426"/>
      <c r="K27" s="1430"/>
      <c r="L27" s="1432"/>
      <c r="M27" s="1432"/>
      <c r="N27" s="1426"/>
      <c r="O27" s="1430"/>
    </row>
    <row r="28" spans="1:15" ht="12.75" customHeight="1" x14ac:dyDescent="0.2">
      <c r="A28" s="1079" t="s">
        <v>1894</v>
      </c>
      <c r="B28" s="1423" t="s">
        <v>1895</v>
      </c>
      <c r="C28" s="1411"/>
      <c r="D28" s="1411"/>
      <c r="E28" s="1411"/>
      <c r="F28" s="1411"/>
      <c r="G28" s="1412"/>
      <c r="H28" s="1080" t="s">
        <v>1064</v>
      </c>
      <c r="I28" s="1034">
        <v>1</v>
      </c>
      <c r="J28" s="1413">
        <v>1024357.7215893432</v>
      </c>
      <c r="K28" s="1412"/>
      <c r="L28" s="1073">
        <v>4</v>
      </c>
      <c r="M28" s="1039">
        <f>N28/$N$35</f>
        <v>1.3243329954667654E-2</v>
      </c>
      <c r="N28" s="1413">
        <f t="shared" ref="N28:N31" si="2">J28*I28*L28</f>
        <v>4097430.8863573726</v>
      </c>
      <c r="O28" s="1412"/>
    </row>
    <row r="29" spans="1:15" ht="12.75" customHeight="1" x14ac:dyDescent="0.2">
      <c r="A29" s="1079" t="s">
        <v>1896</v>
      </c>
      <c r="B29" s="1423" t="s">
        <v>1897</v>
      </c>
      <c r="C29" s="1411"/>
      <c r="D29" s="1411"/>
      <c r="E29" s="1411"/>
      <c r="F29" s="1411"/>
      <c r="G29" s="1412"/>
      <c r="H29" s="1080" t="s">
        <v>1064</v>
      </c>
      <c r="I29" s="1034">
        <v>1</v>
      </c>
      <c r="J29" s="1413">
        <v>1450000</v>
      </c>
      <c r="K29" s="1412"/>
      <c r="L29" s="1073">
        <v>4</v>
      </c>
      <c r="M29" s="1039">
        <f>N29/$N$35</f>
        <v>1.8746213387715701E-2</v>
      </c>
      <c r="N29" s="1413">
        <f t="shared" si="2"/>
        <v>5800000</v>
      </c>
      <c r="O29" s="1412"/>
    </row>
    <row r="30" spans="1:15" ht="12.75" customHeight="1" x14ac:dyDescent="0.2">
      <c r="A30" s="1079" t="s">
        <v>1898</v>
      </c>
      <c r="B30" s="1423" t="s">
        <v>1899</v>
      </c>
      <c r="C30" s="1411"/>
      <c r="D30" s="1411"/>
      <c r="E30" s="1411"/>
      <c r="F30" s="1411"/>
      <c r="G30" s="1412"/>
      <c r="H30" s="1080" t="s">
        <v>1064</v>
      </c>
      <c r="I30" s="1034">
        <v>1</v>
      </c>
      <c r="J30" s="1413">
        <v>7950000</v>
      </c>
      <c r="K30" s="1412"/>
      <c r="L30" s="1073">
        <v>3</v>
      </c>
      <c r="M30" s="1039">
        <f>N30/$N$35</f>
        <v>7.7085722292589559E-2</v>
      </c>
      <c r="N30" s="1413">
        <f t="shared" si="2"/>
        <v>23850000</v>
      </c>
      <c r="O30" s="1412"/>
    </row>
    <row r="31" spans="1:15" ht="12.75" customHeight="1" x14ac:dyDescent="0.2">
      <c r="A31" s="1079" t="s">
        <v>1900</v>
      </c>
      <c r="B31" s="1423" t="s">
        <v>1901</v>
      </c>
      <c r="C31" s="1411"/>
      <c r="D31" s="1411"/>
      <c r="E31" s="1411"/>
      <c r="F31" s="1411"/>
      <c r="G31" s="1412"/>
      <c r="H31" s="1080" t="s">
        <v>1064</v>
      </c>
      <c r="I31" s="1034">
        <v>1</v>
      </c>
      <c r="J31" s="1413">
        <v>3000000</v>
      </c>
      <c r="K31" s="1412"/>
      <c r="L31" s="1073">
        <v>3</v>
      </c>
      <c r="M31" s="1039">
        <f>N31/$N$35</f>
        <v>2.9088951808524364E-2</v>
      </c>
      <c r="N31" s="1413">
        <f t="shared" si="2"/>
        <v>9000000</v>
      </c>
      <c r="O31" s="1412"/>
    </row>
    <row r="32" spans="1:15" ht="12.75" customHeight="1" x14ac:dyDescent="0.2">
      <c r="A32" s="1079" t="s">
        <v>2005</v>
      </c>
      <c r="B32" s="1423" t="s">
        <v>1905</v>
      </c>
      <c r="C32" s="1411"/>
      <c r="D32" s="1411"/>
      <c r="E32" s="1411"/>
      <c r="F32" s="1411"/>
      <c r="G32" s="1412"/>
      <c r="H32" s="1080" t="s">
        <v>1064</v>
      </c>
      <c r="I32" s="1034">
        <v>0.5</v>
      </c>
      <c r="J32" s="1413">
        <v>2500000</v>
      </c>
      <c r="K32" s="1412"/>
      <c r="L32" s="1073">
        <v>3</v>
      </c>
      <c r="M32" s="1039">
        <f>N32/$N$35</f>
        <v>1.2120396586885152E-2</v>
      </c>
      <c r="N32" s="1413">
        <f>J32*L32*I32</f>
        <v>3750000</v>
      </c>
      <c r="O32" s="1412"/>
    </row>
    <row r="33" spans="1:26" ht="12.75" customHeight="1" x14ac:dyDescent="0.2">
      <c r="A33" s="1029"/>
      <c r="B33" s="1029"/>
      <c r="C33" s="1029"/>
      <c r="D33" s="1029"/>
      <c r="E33" s="1029"/>
      <c r="F33" s="1081"/>
      <c r="G33" s="1029"/>
      <c r="H33" s="1421" t="s">
        <v>1770</v>
      </c>
      <c r="I33" s="1411"/>
      <c r="J33" s="1411"/>
      <c r="K33" s="1411"/>
      <c r="L33" s="1411"/>
      <c r="M33" s="1412"/>
      <c r="N33" s="1413">
        <f>SUM(N28:N32)</f>
        <v>46497430.886357374</v>
      </c>
      <c r="O33" s="1412"/>
    </row>
    <row r="34" spans="1:26" ht="12.75" customHeight="1" x14ac:dyDescent="0.2">
      <c r="A34" s="1075"/>
      <c r="H34" s="1077"/>
      <c r="I34" s="1077"/>
      <c r="J34" s="1077"/>
      <c r="K34" s="1077"/>
      <c r="L34" s="1077"/>
      <c r="M34" s="1077"/>
      <c r="N34" s="1077"/>
      <c r="O34" s="1077"/>
    </row>
    <row r="35" spans="1:26" ht="12.75" customHeight="1" x14ac:dyDescent="0.2">
      <c r="A35" s="1029"/>
      <c r="H35" s="1421" t="s">
        <v>1771</v>
      </c>
      <c r="I35" s="1411"/>
      <c r="J35" s="1411"/>
      <c r="K35" s="1411"/>
      <c r="L35" s="1411"/>
      <c r="M35" s="1411"/>
      <c r="N35" s="1974">
        <f>ROUNDUP(N23+N33,2)</f>
        <v>309395816.63999999</v>
      </c>
      <c r="O35" s="1412"/>
      <c r="P35" s="1082">
        <v>269951343.38999999</v>
      </c>
    </row>
    <row r="36" spans="1:26" ht="12.75" customHeight="1" x14ac:dyDescent="0.2">
      <c r="A36" s="1029"/>
    </row>
    <row r="37" spans="1:26" ht="12.75" customHeight="1" x14ac:dyDescent="0.25">
      <c r="A37" s="1027"/>
      <c r="B37" s="1027"/>
      <c r="J37" s="1414"/>
      <c r="K37" s="1415"/>
      <c r="L37" s="1415"/>
      <c r="M37" s="1415"/>
      <c r="N37" s="1415"/>
      <c r="O37" s="1415"/>
      <c r="P37" s="1027"/>
      <c r="Q37" s="1027"/>
      <c r="R37" s="1027"/>
      <c r="S37" s="1027"/>
      <c r="T37" s="1027"/>
      <c r="U37" s="1027"/>
      <c r="V37" s="1027"/>
      <c r="W37" s="1027"/>
      <c r="X37" s="1027"/>
      <c r="Y37" s="1027"/>
      <c r="Z37" s="1027"/>
    </row>
    <row r="38" spans="1:26" ht="12.75" customHeight="1" thickBot="1" x14ac:dyDescent="0.3">
      <c r="A38" s="1027"/>
      <c r="B38" s="1027"/>
      <c r="J38" s="1416"/>
      <c r="K38" s="1416"/>
      <c r="L38" s="1416"/>
      <c r="M38" s="1416"/>
      <c r="N38" s="1416"/>
      <c r="O38" s="1416"/>
      <c r="P38" s="1027"/>
      <c r="Q38" s="1027"/>
      <c r="R38" s="1027"/>
      <c r="S38" s="1027"/>
      <c r="T38" s="1027"/>
      <c r="U38" s="1027"/>
      <c r="V38" s="1027"/>
      <c r="W38" s="1027"/>
      <c r="X38" s="1027"/>
      <c r="Y38" s="1027"/>
      <c r="Z38" s="1027"/>
    </row>
    <row r="39" spans="1:26" ht="12.75" customHeight="1" thickTop="1" x14ac:dyDescent="0.25">
      <c r="A39" s="1027"/>
      <c r="B39" s="1027"/>
      <c r="J39" s="1417" t="s">
        <v>1829</v>
      </c>
      <c r="K39" s="1418"/>
      <c r="L39" s="1417" t="s">
        <v>1830</v>
      </c>
      <c r="M39" s="1418"/>
      <c r="N39" s="1418"/>
      <c r="O39" s="1418"/>
      <c r="P39" s="1027"/>
      <c r="Q39" s="1027"/>
      <c r="R39" s="1027"/>
      <c r="S39" s="1027"/>
      <c r="T39" s="1027"/>
      <c r="U39" s="1027"/>
      <c r="V39" s="1027"/>
      <c r="W39" s="1027"/>
      <c r="X39" s="1027"/>
      <c r="Y39" s="1027"/>
      <c r="Z39" s="1027"/>
    </row>
    <row r="40" spans="1:26" ht="12.75" customHeight="1" x14ac:dyDescent="0.2">
      <c r="B40" s="1094"/>
      <c r="J40" s="1419" t="s">
        <v>1831</v>
      </c>
      <c r="K40" s="1420"/>
      <c r="L40" s="1419" t="s">
        <v>1832</v>
      </c>
      <c r="M40" s="1420"/>
      <c r="N40" s="1420"/>
      <c r="O40" s="1420"/>
    </row>
    <row r="41" spans="1:26" ht="12.75" customHeight="1" x14ac:dyDescent="0.2"/>
    <row r="42" spans="1:26" ht="12.75" customHeight="1" x14ac:dyDescent="0.2"/>
    <row r="43" spans="1:26" ht="12.75" customHeight="1" x14ac:dyDescent="0.2"/>
    <row r="44" spans="1:26" ht="12.75" customHeight="1" x14ac:dyDescent="0.2"/>
    <row r="45" spans="1:26" ht="12.75" customHeight="1" x14ac:dyDescent="0.2"/>
    <row r="46" spans="1:26" ht="12.75" customHeight="1" x14ac:dyDescent="0.2"/>
    <row r="47" spans="1:26" ht="12.75" customHeight="1" x14ac:dyDescent="0.2"/>
    <row r="48" spans="1:26"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sheetData>
  <mergeCells count="85">
    <mergeCell ref="A1:J3"/>
    <mergeCell ref="K1:L1"/>
    <mergeCell ref="M1:O3"/>
    <mergeCell ref="K2:L3"/>
    <mergeCell ref="A5:N6"/>
    <mergeCell ref="O5:O6"/>
    <mergeCell ref="B8:O8"/>
    <mergeCell ref="A9:A10"/>
    <mergeCell ref="B9:F10"/>
    <mergeCell ref="G9:G10"/>
    <mergeCell ref="H9:H10"/>
    <mergeCell ref="I9:I10"/>
    <mergeCell ref="J9:K10"/>
    <mergeCell ref="L9:L10"/>
    <mergeCell ref="M9:M10"/>
    <mergeCell ref="N9:O10"/>
    <mergeCell ref="B11:F11"/>
    <mergeCell ref="J11:K11"/>
    <mergeCell ref="N11:O11"/>
    <mergeCell ref="B12:F12"/>
    <mergeCell ref="J12:K12"/>
    <mergeCell ref="N12:O12"/>
    <mergeCell ref="B13:F13"/>
    <mergeCell ref="J13:K13"/>
    <mergeCell ref="N13:O13"/>
    <mergeCell ref="B14:F14"/>
    <mergeCell ref="J14:K14"/>
    <mergeCell ref="N14:O14"/>
    <mergeCell ref="B15:F15"/>
    <mergeCell ref="J15:K15"/>
    <mergeCell ref="N15:O15"/>
    <mergeCell ref="B16:F16"/>
    <mergeCell ref="J16:K16"/>
    <mergeCell ref="N16:O16"/>
    <mergeCell ref="B17:F17"/>
    <mergeCell ref="J17:K17"/>
    <mergeCell ref="N17:O17"/>
    <mergeCell ref="B18:F18"/>
    <mergeCell ref="J18:K18"/>
    <mergeCell ref="N18:O18"/>
    <mergeCell ref="B19:F19"/>
    <mergeCell ref="J19:K19"/>
    <mergeCell ref="N19:O19"/>
    <mergeCell ref="B20:F20"/>
    <mergeCell ref="J20:K20"/>
    <mergeCell ref="N20:O20"/>
    <mergeCell ref="H21:M21"/>
    <mergeCell ref="N21:O21"/>
    <mergeCell ref="H22:M22"/>
    <mergeCell ref="N22:O22"/>
    <mergeCell ref="H23:M23"/>
    <mergeCell ref="N23:O23"/>
    <mergeCell ref="B25:O25"/>
    <mergeCell ref="A26:A27"/>
    <mergeCell ref="B26:G27"/>
    <mergeCell ref="H26:H27"/>
    <mergeCell ref="I26:I27"/>
    <mergeCell ref="J26:K27"/>
    <mergeCell ref="L26:L27"/>
    <mergeCell ref="M26:M27"/>
    <mergeCell ref="N26:O27"/>
    <mergeCell ref="B28:G28"/>
    <mergeCell ref="J28:K28"/>
    <mergeCell ref="N28:O28"/>
    <mergeCell ref="B29:G29"/>
    <mergeCell ref="J29:K29"/>
    <mergeCell ref="N29:O29"/>
    <mergeCell ref="H35:M35"/>
    <mergeCell ref="N35:O35"/>
    <mergeCell ref="B30:G30"/>
    <mergeCell ref="J30:K30"/>
    <mergeCell ref="N30:O30"/>
    <mergeCell ref="B31:G31"/>
    <mergeCell ref="J31:K31"/>
    <mergeCell ref="N31:O31"/>
    <mergeCell ref="B32:G32"/>
    <mergeCell ref="J32:K32"/>
    <mergeCell ref="N32:O32"/>
    <mergeCell ref="H33:M33"/>
    <mergeCell ref="N33:O33"/>
    <mergeCell ref="J37:O38"/>
    <mergeCell ref="J39:K39"/>
    <mergeCell ref="L39:O39"/>
    <mergeCell ref="J40:K40"/>
    <mergeCell ref="L40:O40"/>
  </mergeCells>
  <conditionalFormatting sqref="M28:M32 M11:M20">
    <cfRule type="colorScale" priority="1">
      <colorScale>
        <cfvo type="min"/>
        <cfvo type="percentile" val="50"/>
        <cfvo type="max"/>
        <color rgb="FF63BE7B"/>
        <color rgb="FFFFEB84"/>
        <color rgb="FFF8696B"/>
      </colorScale>
    </cfRule>
  </conditionalFormatting>
  <pageMargins left="0.7" right="0.7" top="0.75" bottom="0.75" header="0.3" footer="0.3"/>
  <pageSetup scale="5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N160"/>
  <sheetViews>
    <sheetView view="pageBreakPreview" topLeftCell="A28" zoomScale="60" zoomScaleNormal="100" workbookViewId="0">
      <selection activeCell="N91" sqref="N91"/>
    </sheetView>
  </sheetViews>
  <sheetFormatPr baseColWidth="10" defaultColWidth="11.5703125" defaultRowHeight="13.5" x14ac:dyDescent="0.25"/>
  <cols>
    <col min="1" max="7" width="11.5703125" style="1164"/>
    <col min="8" max="8" width="20.42578125" style="1164" bestFit="1" customWidth="1"/>
    <col min="9" max="16384" width="11.5703125" style="1164"/>
  </cols>
  <sheetData>
    <row r="1" spans="1:14" x14ac:dyDescent="0.25">
      <c r="A1" s="1465" t="str">
        <f>'01'!A12</f>
        <v>"CONSTRUCCION SISTEMA DE ACUEDUCTO FASE II DEL MUNICIPIO DE TESALIA DPTO DEL HUILA"</v>
      </c>
      <c r="B1" s="1980"/>
      <c r="C1" s="1980"/>
      <c r="D1" s="1980"/>
      <c r="E1" s="1980"/>
      <c r="F1" s="1980"/>
      <c r="G1" s="1980"/>
      <c r="H1" s="1980"/>
      <c r="I1" s="1980"/>
      <c r="J1" s="1980"/>
      <c r="K1" s="1981"/>
      <c r="L1" s="1466" t="s">
        <v>1181</v>
      </c>
      <c r="M1" s="1988"/>
    </row>
    <row r="2" spans="1:14" x14ac:dyDescent="0.25">
      <c r="A2" s="1982"/>
      <c r="B2" s="1983"/>
      <c r="C2" s="1983"/>
      <c r="D2" s="1983"/>
      <c r="E2" s="1983"/>
      <c r="F2" s="1983"/>
      <c r="G2" s="1983"/>
      <c r="H2" s="1983"/>
      <c r="I2" s="1983"/>
      <c r="J2" s="1983"/>
      <c r="K2" s="1984"/>
      <c r="L2" s="1875">
        <f>'01'!M13</f>
        <v>0</v>
      </c>
      <c r="M2" s="1981"/>
    </row>
    <row r="3" spans="1:14" x14ac:dyDescent="0.25">
      <c r="A3" s="1985"/>
      <c r="B3" s="1986"/>
      <c r="C3" s="1986"/>
      <c r="D3" s="1986"/>
      <c r="E3" s="1986"/>
      <c r="F3" s="1986"/>
      <c r="G3" s="1986"/>
      <c r="H3" s="1986"/>
      <c r="I3" s="1986"/>
      <c r="J3" s="1986"/>
      <c r="K3" s="1987"/>
      <c r="L3" s="1985"/>
      <c r="M3" s="1987"/>
    </row>
    <row r="4" spans="1:14" x14ac:dyDescent="0.25">
      <c r="A4" s="1028"/>
      <c r="B4" s="1028"/>
      <c r="C4" s="1028"/>
      <c r="D4" s="1028"/>
      <c r="E4" s="1028"/>
      <c r="F4" s="1028"/>
      <c r="G4" s="1028"/>
      <c r="H4" s="1028"/>
      <c r="I4" s="1028"/>
      <c r="J4" s="1028"/>
      <c r="K4" s="1028"/>
      <c r="L4" s="1028"/>
      <c r="M4" s="1068"/>
    </row>
    <row r="5" spans="1:14" x14ac:dyDescent="0.25">
      <c r="A5" s="1462" t="s">
        <v>2152</v>
      </c>
      <c r="B5" s="1980"/>
      <c r="C5" s="1980"/>
      <c r="D5" s="1980"/>
      <c r="E5" s="1980"/>
      <c r="F5" s="1980"/>
      <c r="G5" s="1980"/>
      <c r="H5" s="1980"/>
      <c r="I5" s="1980"/>
      <c r="J5" s="1980"/>
      <c r="K5" s="1980"/>
      <c r="L5" s="1980"/>
      <c r="M5" s="1980"/>
    </row>
    <row r="6" spans="1:14" x14ac:dyDescent="0.25">
      <c r="A6" s="1985"/>
      <c r="B6" s="1986"/>
      <c r="C6" s="1986"/>
      <c r="D6" s="1986"/>
      <c r="E6" s="1986"/>
      <c r="F6" s="1986"/>
      <c r="G6" s="1986"/>
      <c r="H6" s="1986"/>
      <c r="I6" s="1986"/>
      <c r="J6" s="1986"/>
      <c r="K6" s="1986"/>
      <c r="L6" s="1986"/>
      <c r="M6" s="1986"/>
    </row>
    <row r="7" spans="1:14" x14ac:dyDescent="0.25">
      <c r="B7" s="1103">
        <v>1</v>
      </c>
      <c r="C7" s="1103">
        <v>2</v>
      </c>
      <c r="D7" s="1103">
        <v>3</v>
      </c>
      <c r="E7" s="1103">
        <v>4</v>
      </c>
      <c r="F7" s="1103">
        <v>5</v>
      </c>
      <c r="G7" s="1103">
        <v>6</v>
      </c>
      <c r="H7" s="1103">
        <v>7</v>
      </c>
      <c r="I7" s="1103">
        <v>8</v>
      </c>
      <c r="J7" s="1103">
        <v>9</v>
      </c>
      <c r="K7" s="1103">
        <v>10</v>
      </c>
      <c r="L7" s="1103">
        <v>11</v>
      </c>
      <c r="M7" s="1103">
        <v>12</v>
      </c>
    </row>
    <row r="8" spans="1:14" x14ac:dyDescent="0.25">
      <c r="A8" s="1118" t="s">
        <v>2153</v>
      </c>
      <c r="B8" s="1955" t="s">
        <v>2154</v>
      </c>
      <c r="C8" s="1989"/>
      <c r="D8" s="1989"/>
      <c r="E8" s="1989"/>
      <c r="F8" s="1989"/>
      <c r="G8" s="1988"/>
      <c r="H8" s="1118" t="s">
        <v>15</v>
      </c>
      <c r="I8" s="1118" t="s">
        <v>2136</v>
      </c>
      <c r="J8" s="1118" t="s">
        <v>2155</v>
      </c>
      <c r="K8" s="1118" t="s">
        <v>2137</v>
      </c>
      <c r="L8" s="1118" t="s">
        <v>2138</v>
      </c>
      <c r="M8" s="1118" t="s">
        <v>2156</v>
      </c>
    </row>
    <row r="9" spans="1:14" x14ac:dyDescent="0.25">
      <c r="A9" s="1119" t="s">
        <v>2134</v>
      </c>
      <c r="B9" s="1976" t="str">
        <f>VLOOKUP(A9,'07'!$A:$N,2,FALSE)</f>
        <v>LOCALIZACIÓN Y REPLANTEO DE REDES (NO INCLUYE EQUIPO DE TOPOGRAFÍA)</v>
      </c>
      <c r="C9" s="1977"/>
      <c r="D9" s="1977"/>
      <c r="E9" s="1977"/>
      <c r="F9" s="1977"/>
      <c r="G9" s="1978"/>
      <c r="H9" s="1080" t="str">
        <f>VLOOKUP(A9,'07'!$A:$N,4,FALSE)</f>
        <v>M</v>
      </c>
      <c r="I9" s="1120">
        <f>VLOOKUP(A9,'07'!$A:$N,8,FALSE)</f>
        <v>124.0926995375</v>
      </c>
      <c r="J9" s="1120">
        <f>VLOOKUP(A9,'07'!$A:$N,10,FALSE)</f>
        <v>2058.7960000000003</v>
      </c>
      <c r="K9" s="1120">
        <f>VLOOKUP(A9,'07'!$A:$N,12,FALSE)</f>
        <v>65.486660986125003</v>
      </c>
      <c r="L9" s="1120">
        <f>VLOOKUP(A9,'07'!$A:$N,14,FALSE)</f>
        <v>2481.8539907499999</v>
      </c>
      <c r="M9" s="1120">
        <f>VLOOKUP(A9,'07'!$A:$N,6,FALSE)</f>
        <v>4730.2300000000005</v>
      </c>
      <c r="N9" s="1165" t="str">
        <f>A9</f>
        <v>G001</v>
      </c>
    </row>
    <row r="10" spans="1:14" ht="13.5" customHeight="1" x14ac:dyDescent="0.25">
      <c r="A10" s="1166" t="s">
        <v>2197</v>
      </c>
      <c r="B10" s="1979" t="str">
        <f>VLOOKUP(A10,'07'!$A:$N,2,FALSE)</f>
        <v>EXCAVACIÓN MECÁNICA EN MATERIAL COMÚN (INCLUYE MAQUINARIA)</v>
      </c>
      <c r="C10" s="1977"/>
      <c r="D10" s="1977"/>
      <c r="E10" s="1977"/>
      <c r="F10" s="1977"/>
      <c r="G10" s="1978"/>
      <c r="H10" s="1080" t="str">
        <f>VLOOKUP(A10,'07'!$A:$N,4,FALSE)</f>
        <v>M3</v>
      </c>
      <c r="I10" s="1120">
        <f>VLOOKUP(A10,'07'!$A:$N,8,FALSE)</f>
        <v>19193.548387096773</v>
      </c>
      <c r="J10" s="1120">
        <f>VLOOKUP(A10,'07'!$A:$N,10,FALSE)</f>
        <v>0</v>
      </c>
      <c r="K10" s="1120">
        <f>VLOOKUP(A10,'07'!$A:$N,12,FALSE)</f>
        <v>575.80645161290317</v>
      </c>
      <c r="L10" s="1120">
        <f>VLOOKUP(A10,'07'!$A:$N,14,FALSE)</f>
        <v>0</v>
      </c>
      <c r="M10" s="1120">
        <f>VLOOKUP(A10,'07'!$A:$N,6,FALSE)</f>
        <v>19769.354838709674</v>
      </c>
      <c r="N10" s="1165" t="str">
        <f t="shared" ref="N10:N70" si="0">A10</f>
        <v>G005</v>
      </c>
    </row>
    <row r="11" spans="1:14" ht="13.15" customHeight="1" x14ac:dyDescent="0.25">
      <c r="A11" s="1119" t="s">
        <v>2163</v>
      </c>
      <c r="B11" s="1979" t="str">
        <f>VLOOKUP(A11,'07'!$A:$N,2,FALSE)</f>
        <v>RELLENO CON ARENA PARA BASE DE TUBERÍA</v>
      </c>
      <c r="C11" s="1977"/>
      <c r="D11" s="1977"/>
      <c r="E11" s="1977"/>
      <c r="F11" s="1977"/>
      <c r="G11" s="1978"/>
      <c r="H11" s="1080" t="str">
        <f>VLOOKUP(A11,'07'!$A:$N,4,FALSE)</f>
        <v>M3</v>
      </c>
      <c r="I11" s="1120">
        <f>VLOOKUP(A11,'07'!$A:$N,8,FALSE)</f>
        <v>386.06386639999999</v>
      </c>
      <c r="J11" s="1120">
        <f>VLOOKUP(A11,'07'!$A:$N,10,FALSE)</f>
        <v>65450</v>
      </c>
      <c r="K11" s="1120">
        <f>VLOOKUP(A11,'07'!$A:$N,12,FALSE)</f>
        <v>9407.2818891063907</v>
      </c>
      <c r="L11" s="1120">
        <f>VLOOKUP(A11,'07'!$A:$N,14,FALSE)</f>
        <v>12868.795546666666</v>
      </c>
      <c r="M11" s="1120">
        <f>VLOOKUP(A11,'07'!$A:$N,6,FALSE)</f>
        <v>88112.141302173055</v>
      </c>
      <c r="N11" s="1165" t="str">
        <f t="shared" si="0"/>
        <v>G008</v>
      </c>
    </row>
    <row r="12" spans="1:14" ht="13.15" customHeight="1" x14ac:dyDescent="0.25">
      <c r="A12" s="1119" t="s">
        <v>2170</v>
      </c>
      <c r="B12" s="1979" t="str">
        <f>VLOOKUP(A12,'07'!$A:$N,2,FALSE)</f>
        <v>RELLENO CON TRITURADO PASANTE DE 3/4"</v>
      </c>
      <c r="C12" s="1977"/>
      <c r="D12" s="1977"/>
      <c r="E12" s="1977"/>
      <c r="F12" s="1977"/>
      <c r="G12" s="1978"/>
      <c r="H12" s="1080" t="str">
        <f>VLOOKUP(A12,'07'!$A:$N,4,FALSE)</f>
        <v>M3</v>
      </c>
      <c r="I12" s="1120">
        <f>VLOOKUP(A12,'07'!$A:$N,8,FALSE)</f>
        <v>386.06386639999999</v>
      </c>
      <c r="J12" s="1120">
        <f>VLOOKUP(A12,'07'!$A:$N,10,FALSE)</f>
        <v>113050</v>
      </c>
      <c r="K12" s="1120">
        <f>VLOOKUP(A12,'07'!$A:$N,12,FALSE)</f>
        <v>9407.2818891063907</v>
      </c>
      <c r="L12" s="1120">
        <f>VLOOKUP(A12,'07'!$A:$N,14,FALSE)</f>
        <v>12868.795546666666</v>
      </c>
      <c r="M12" s="1120">
        <f>VLOOKUP(A12,'07'!$A:$N,6,FALSE)</f>
        <v>135712.14130217306</v>
      </c>
      <c r="N12" s="1165" t="str">
        <f t="shared" si="0"/>
        <v>G009</v>
      </c>
    </row>
    <row r="13" spans="1:14" ht="13.15" customHeight="1" x14ac:dyDescent="0.25">
      <c r="A13" s="1166" t="s">
        <v>2173</v>
      </c>
      <c r="B13" s="1979" t="str">
        <f>VLOOKUP(A13,'07'!$A:$N,2,FALSE)</f>
        <v>RELLENO CON MATERIAL SELECCIONADO DE LA EXCAVACIÓN, COMPACTADO CON EQUIPO MECÁNICO EN CAPAS DE 0,20 m</v>
      </c>
      <c r="C13" s="1977"/>
      <c r="D13" s="1977"/>
      <c r="E13" s="1977"/>
      <c r="F13" s="1977"/>
      <c r="G13" s="1978"/>
      <c r="H13" s="1080" t="str">
        <f>VLOOKUP(A13,'07'!$A:$N,4,FALSE)</f>
        <v>M3</v>
      </c>
      <c r="I13" s="1120">
        <f>VLOOKUP(A13,'07'!$A:$N,8,FALSE)</f>
        <v>7157.3120182499997</v>
      </c>
      <c r="J13" s="1120">
        <f>VLOOKUP(A13,'07'!$A:$N,10,FALSE)</f>
        <v>0</v>
      </c>
      <c r="K13" s="1120">
        <f>VLOOKUP(A13,'07'!$A:$N,12,FALSE)</f>
        <v>214.71936054749997</v>
      </c>
      <c r="L13" s="1120">
        <f>VLOOKUP(A13,'07'!$A:$N,14,FALSE)</f>
        <v>16545.567275000001</v>
      </c>
      <c r="M13" s="1120">
        <f>VLOOKUP(A13,'07'!$A:$N,6,FALSE)</f>
        <v>23917.5986537975</v>
      </c>
      <c r="N13" s="1165" t="str">
        <f t="shared" si="0"/>
        <v>G011</v>
      </c>
    </row>
    <row r="14" spans="1:14" ht="13.15" customHeight="1" x14ac:dyDescent="0.25">
      <c r="A14" s="1119" t="s">
        <v>2178</v>
      </c>
      <c r="B14" s="1979" t="str">
        <f>VLOOKUP(A14,'07'!$A:$N,2,FALSE)</f>
        <v>RETIRO DE MATERIAL SOBRANTE HASTA BOTADERO AUTORIZADO (INCLUYE FACTOR DE EXPANSIÓN)</v>
      </c>
      <c r="C14" s="1977"/>
      <c r="D14" s="1977"/>
      <c r="E14" s="1977"/>
      <c r="F14" s="1977"/>
      <c r="G14" s="1978"/>
      <c r="H14" s="1080" t="str">
        <f>VLOOKUP(A14,'07'!$A:$N,4,FALSE)</f>
        <v>M3-KM</v>
      </c>
      <c r="I14" s="1120">
        <f>VLOOKUP(A14,'07'!$A:$N,8,FALSE)</f>
        <v>0</v>
      </c>
      <c r="J14" s="1120">
        <f>VLOOKUP(A14,'07'!$A:$N,10,FALSE)</f>
        <v>178.5</v>
      </c>
      <c r="K14" s="1120">
        <f>VLOOKUP(A14,'07'!$A:$N,12,FALSE)</f>
        <v>2348.9249932785979</v>
      </c>
      <c r="L14" s="1120">
        <f>VLOOKUP(A14,'07'!$A:$N,14,FALSE)</f>
        <v>0</v>
      </c>
      <c r="M14" s="1120">
        <f>VLOOKUP(A14,'07'!$A:$N,6,FALSE)</f>
        <v>2527.4249932785979</v>
      </c>
      <c r="N14" s="1165" t="str">
        <f t="shared" si="0"/>
        <v>G013</v>
      </c>
    </row>
    <row r="15" spans="1:14" ht="13.15" customHeight="1" x14ac:dyDescent="0.25">
      <c r="A15" s="1166" t="s">
        <v>2183</v>
      </c>
      <c r="B15" s="1979" t="str">
        <f>VLOOKUP(A15,'07'!$A:$N,2,FALSE)</f>
        <v>DISPOSICIÓN DE MATERIAL PROVENIENTE DE EXCAVACIÓN (NO INCLUYE TRANSPORTE)</v>
      </c>
      <c r="C15" s="1977"/>
      <c r="D15" s="1977"/>
      <c r="E15" s="1977"/>
      <c r="F15" s="1977"/>
      <c r="G15" s="1978"/>
      <c r="H15" s="1080" t="str">
        <f>VLOOKUP(A15,'07'!$A:$N,4,FALSE)</f>
        <v>M3</v>
      </c>
      <c r="I15" s="1120">
        <f>VLOOKUP(A15,'07'!$A:$N,8,FALSE)</f>
        <v>4500</v>
      </c>
      <c r="J15" s="1120">
        <f>VLOOKUP(A15,'07'!$A:$N,10,FALSE)</f>
        <v>0</v>
      </c>
      <c r="K15" s="1120">
        <f>VLOOKUP(A15,'07'!$A:$N,12,FALSE)</f>
        <v>0</v>
      </c>
      <c r="L15" s="1120">
        <f>VLOOKUP(A15,'07'!$A:$N,14,FALSE)</f>
        <v>0</v>
      </c>
      <c r="M15" s="1120">
        <f>VLOOKUP(A15,'07'!$A:$N,6,FALSE)</f>
        <v>4500</v>
      </c>
      <c r="N15" s="1165" t="str">
        <f t="shared" si="0"/>
        <v>G014</v>
      </c>
    </row>
    <row r="16" spans="1:14" ht="13.5" customHeight="1" x14ac:dyDescent="0.25">
      <c r="A16" s="1119" t="s">
        <v>2186</v>
      </c>
      <c r="B16" s="1976" t="str">
        <f>VLOOKUP(A16,'07'!$A:$N,2,FALSE)</f>
        <v>SUMINISTRO E INSTALACIÓN DE TUBERÍA PVC UM Ø6" RDE 21 (INCLUYE PEGAMENTO, LIMPIADOR, HERRAMIENTA MENOR Y MANO DE OBRA)</v>
      </c>
      <c r="C16" s="1977"/>
      <c r="D16" s="1977"/>
      <c r="E16" s="1977"/>
      <c r="F16" s="1977"/>
      <c r="G16" s="1978"/>
      <c r="H16" s="1080" t="str">
        <f>VLOOKUP(A16,'07'!$A:$N,4,FALSE)</f>
        <v>ML</v>
      </c>
      <c r="I16" s="1120">
        <f>VLOOKUP(A16,'07'!$A:$N,8,FALSE)</f>
        <v>128957.007</v>
      </c>
      <c r="J16" s="1120">
        <f>VLOOKUP(A16,'07'!$A:$N,10,FALSE)</f>
        <v>23.163831984000002</v>
      </c>
      <c r="K16" s="1120">
        <f>VLOOKUP(A16,'07'!$A:$N,12,FALSE)</f>
        <v>0</v>
      </c>
      <c r="L16" s="1120">
        <f>VLOOKUP(A16,'07'!$A:$N,14,FALSE)</f>
        <v>7721.2773280000001</v>
      </c>
      <c r="M16" s="1120">
        <f>VLOOKUP(A16,'07'!$A:$N,6,FALSE)</f>
        <v>136701.44815998399</v>
      </c>
      <c r="N16" s="1165" t="str">
        <f t="shared" si="0"/>
        <v>G015</v>
      </c>
    </row>
    <row r="17" spans="1:14" ht="13.15" customHeight="1" x14ac:dyDescent="0.25">
      <c r="A17" s="1119" t="s">
        <v>2188</v>
      </c>
      <c r="B17" s="1976" t="str">
        <f>VLOOKUP(A17,'07'!$A:$N,2,FALSE)</f>
        <v>ESTACIÓN DE MACROMEDICIÓN L=1.90M, A=1.60M DE Ø6" A TODO COSTO (INCLUYE CONFORMACIÓN DE CAJA EN CONCRETO DE 4000 PSI, ACERO DE REFUERZO, TUBERÍA, ACCESORIOS, MATERIALES, HERRRAMIENTA MENOR Y MANO DE OBRA)</v>
      </c>
      <c r="C17" s="1977"/>
      <c r="D17" s="1977"/>
      <c r="E17" s="1977"/>
      <c r="F17" s="1977"/>
      <c r="G17" s="1978"/>
      <c r="H17" s="1080" t="str">
        <f>VLOOKUP(A17,'07'!$A:$N,4,FALSE)</f>
        <v>UND</v>
      </c>
      <c r="I17" s="1120">
        <f>VLOOKUP(A17,'07'!$A:$N,8,FALSE)</f>
        <v>150000</v>
      </c>
      <c r="J17" s="1120">
        <f>VLOOKUP(A17,'07'!$A:$N,10,FALSE)</f>
        <v>30798470.16</v>
      </c>
      <c r="K17" s="1120">
        <f>VLOOKUP(A17,'07'!$A:$N,12,FALSE)</f>
        <v>1296000</v>
      </c>
      <c r="L17" s="1120">
        <f>VLOOKUP(A17,'07'!$A:$N,14,FALSE)</f>
        <v>4779834.75</v>
      </c>
      <c r="M17" s="1120">
        <f>VLOOKUP(A17,'07'!$A:$N,6,FALSE)</f>
        <v>37024304.909999996</v>
      </c>
      <c r="N17" s="1165" t="str">
        <f t="shared" si="0"/>
        <v>G071</v>
      </c>
    </row>
    <row r="18" spans="1:14" ht="13.15" customHeight="1" x14ac:dyDescent="0.25">
      <c r="A18" s="1119" t="s">
        <v>2190</v>
      </c>
      <c r="B18" s="1976" t="str">
        <f>VLOOKUP(A18,'07'!$A:$N,2,FALSE)</f>
        <v>SUMINISTRO E INSTALACIÓN DE VÁLVULA DE CORTE TIPO CHOROTE Ø6" EN HIERRO DUCTIL (INCLUYE CAJA EN CONCRETO, REPLANTEO, EXCAVACIÓN, RECEBO, SOLADO, CONCRETO, ACERO, PASAMURO, VÁLVULA, MATERIALES, HERRAMIENTA MENOR Y MANO DE OBRA)</v>
      </c>
      <c r="C18" s="1977"/>
      <c r="D18" s="1977"/>
      <c r="E18" s="1977"/>
      <c r="F18" s="1977"/>
      <c r="G18" s="1978"/>
      <c r="H18" s="1080" t="str">
        <f>VLOOKUP(A18,'07'!$A:$N,4,FALSE)</f>
        <v>UND</v>
      </c>
      <c r="I18" s="1120">
        <f>VLOOKUP(A18,'07'!$A:$N,8,FALSE)</f>
        <v>75000</v>
      </c>
      <c r="J18" s="1120">
        <f>VLOOKUP(A18,'07'!$A:$N,10,FALSE)</f>
        <v>10207602.880000001</v>
      </c>
      <c r="K18" s="1120">
        <f>VLOOKUP(A18,'07'!$A:$N,12,FALSE)</f>
        <v>144000</v>
      </c>
      <c r="L18" s="1120">
        <f>VLOOKUP(A18,'07'!$A:$N,14,FALSE)</f>
        <v>2048500.61</v>
      </c>
      <c r="M18" s="1120">
        <f>VLOOKUP(A18,'07'!$A:$N,6,FALSE)</f>
        <v>12475103.49</v>
      </c>
      <c r="N18" s="1165" t="str">
        <f t="shared" si="0"/>
        <v>G074</v>
      </c>
    </row>
    <row r="19" spans="1:14" ht="13.15" customHeight="1" x14ac:dyDescent="0.25">
      <c r="A19" s="1119" t="s">
        <v>2193</v>
      </c>
      <c r="B19" s="1976" t="str">
        <f>VLOOKUP(A19,'07'!$A:$N,2,FALSE)</f>
        <v>LOCALIZACIÓN Y REPLANTEO. INCLUYE PLANOS RECORD</v>
      </c>
      <c r="C19" s="1977"/>
      <c r="D19" s="1977"/>
      <c r="E19" s="1977"/>
      <c r="F19" s="1977"/>
      <c r="G19" s="1978"/>
      <c r="H19" s="1080" t="str">
        <f>VLOOKUP(A19,'07'!$A:$N,4,FALSE)</f>
        <v>ML</v>
      </c>
      <c r="I19" s="1120">
        <f>VLOOKUP(A19,'07'!$A:$N,8,FALSE)</f>
        <v>587.5</v>
      </c>
      <c r="J19" s="1120">
        <f>VLOOKUP(A19,'07'!$A:$N,10,FALSE)</f>
        <v>362.5</v>
      </c>
      <c r="K19" s="1120">
        <f>VLOOKUP(A19,'07'!$A:$N,12,FALSE)</f>
        <v>0</v>
      </c>
      <c r="L19" s="1120">
        <f>VLOOKUP(A19,'07'!$A:$N,14,FALSE)</f>
        <v>3309.1134550000002</v>
      </c>
      <c r="M19" s="1120">
        <f>VLOOKUP(A19,'07'!$A:$N,6,FALSE)</f>
        <v>4259.1134550000006</v>
      </c>
      <c r="N19" s="1165" t="str">
        <f t="shared" si="0"/>
        <v>G075</v>
      </c>
    </row>
    <row r="20" spans="1:14" ht="13.5" customHeight="1" x14ac:dyDescent="0.25">
      <c r="A20" s="1119" t="s">
        <v>2160</v>
      </c>
      <c r="B20" s="1976" t="str">
        <f>VLOOKUP(A20,'07'!$A:$N,2,FALSE)</f>
        <v>RELLENO EN RECEBO COMUN PROVENIENTE DE MATERIAL DE PRESTAMO, COMPACTADO MECANICAMENTE.</v>
      </c>
      <c r="C20" s="1977"/>
      <c r="D20" s="1977"/>
      <c r="E20" s="1977"/>
      <c r="F20" s="1977"/>
      <c r="G20" s="1978"/>
      <c r="H20" s="1080" t="str">
        <f>VLOOKUP(A20,'07'!$A:$N,4,FALSE)</f>
        <v>M3</v>
      </c>
      <c r="I20" s="1120">
        <f>VLOOKUP(A20,'07'!$A:$N,8,FALSE)</f>
        <v>65888</v>
      </c>
      <c r="J20" s="1120">
        <f>VLOOKUP(A20,'07'!$A:$N,10,FALSE)</f>
        <v>7440.4761904761908</v>
      </c>
      <c r="K20" s="1120">
        <f>VLOOKUP(A20,'07'!$A:$N,12,FALSE)</f>
        <v>9395.7000000000007</v>
      </c>
      <c r="L20" s="1120">
        <f>VLOOKUP(A20,'07'!$A:$N,14,FALSE)</f>
        <v>13236.453820000001</v>
      </c>
      <c r="M20" s="1120">
        <f>VLOOKUP(A20,'07'!$A:$N,6,FALSE)</f>
        <v>95960.630010476176</v>
      </c>
      <c r="N20" s="1165" t="str">
        <f t="shared" si="0"/>
        <v>G004</v>
      </c>
    </row>
    <row r="21" spans="1:14" ht="13.5" customHeight="1" x14ac:dyDescent="0.25">
      <c r="A21" s="1119" t="s">
        <v>2200</v>
      </c>
      <c r="B21" s="1976" t="str">
        <f>VLOOKUP(A21,'07'!$A:$N,2,FALSE)</f>
        <v>CONCRETO PARA SOLADO, LIMPIEZA Y/O RELLENOS FLUIDOS (140KG/CM2) - ESPESOR=0.05 METROS.</v>
      </c>
      <c r="C21" s="1977"/>
      <c r="D21" s="1977"/>
      <c r="E21" s="1977"/>
      <c r="F21" s="1977"/>
      <c r="G21" s="1978"/>
      <c r="H21" s="1080" t="str">
        <f>VLOOKUP(A21,'07'!$A:$N,4,FALSE)</f>
        <v>M3</v>
      </c>
      <c r="I21" s="1120">
        <f>VLOOKUP(A21,'07'!$A:$N,8,FALSE)</f>
        <v>25500</v>
      </c>
      <c r="J21" s="1120">
        <f>VLOOKUP(A21,'07'!$A:$N,10,FALSE)</f>
        <v>256179.4</v>
      </c>
      <c r="K21" s="1120">
        <f>VLOOKUP(A21,'07'!$A:$N,12,FALSE)</f>
        <v>9395.7000000000007</v>
      </c>
      <c r="L21" s="1120">
        <f>VLOOKUP(A21,'07'!$A:$N,14,FALSE)</f>
        <v>269631.6067</v>
      </c>
      <c r="M21" s="1120">
        <f>VLOOKUP(A21,'07'!$A:$N,6,FALSE)</f>
        <v>560706.70669999998</v>
      </c>
      <c r="N21" s="1165" t="str">
        <f t="shared" si="0"/>
        <v>G018</v>
      </c>
    </row>
    <row r="22" spans="1:14" ht="13.5" customHeight="1" x14ac:dyDescent="0.25">
      <c r="A22" s="1119" t="s">
        <v>2202</v>
      </c>
      <c r="B22" s="1976" t="str">
        <f>VLOOKUP(A22,'07'!$A:$N,2,FALSE)</f>
        <v>CONCRETO DE FC=280 KG/CM2, IMPERMEABILIZADO PARA ESTRUCTURAS ENTERRADAS Y SEMIENTERRADAS.</v>
      </c>
      <c r="C22" s="1977"/>
      <c r="D22" s="1977"/>
      <c r="E22" s="1977"/>
      <c r="F22" s="1977"/>
      <c r="G22" s="1978"/>
      <c r="H22" s="1080" t="str">
        <f>VLOOKUP(A22,'07'!$A:$N,4,FALSE)</f>
        <v>M3</v>
      </c>
      <c r="I22" s="1120">
        <f>VLOOKUP(A22,'07'!$A:$N,8,FALSE)</f>
        <v>191575</v>
      </c>
      <c r="J22" s="1120">
        <f>VLOOKUP(A22,'07'!$A:$N,10,FALSE)</f>
        <v>432361.125</v>
      </c>
      <c r="K22" s="1120">
        <f>VLOOKUP(A22,'07'!$A:$N,12,FALSE)</f>
        <v>12590.238000000001</v>
      </c>
      <c r="L22" s="1120">
        <f>VLOOKUP(A22,'07'!$A:$N,14,FALSE)</f>
        <v>492506.68197799998</v>
      </c>
      <c r="M22" s="1120">
        <f>VLOOKUP(A22,'07'!$A:$N,6,FALSE)</f>
        <v>1129033.044978</v>
      </c>
      <c r="N22" s="1165" t="str">
        <f t="shared" si="0"/>
        <v>G019</v>
      </c>
    </row>
    <row r="23" spans="1:14" ht="13.5" customHeight="1" x14ac:dyDescent="0.25">
      <c r="A23" s="1119" t="s">
        <v>2203</v>
      </c>
      <c r="B23" s="1976" t="str">
        <f>VLOOKUP(A23,'07'!$A:$N,2,FALSE)</f>
        <v>ACERO DE REFUERZO FIGURADO FY= 420 MPA-60000 PSI, CORRUGADO. INCLUYE TRANSPORTE CON DESCARGA, TRANSPORTE INTERNO, ALAMBRE DE AMARRE, CERTIFICADOS Y TODOS LOS ELEMENTOS NECESARIOS PARA SU CORRECTA INSTALACIÓN, SEGÚN DISEÑO Y RECOMENDACIONES.</v>
      </c>
      <c r="C23" s="1977"/>
      <c r="D23" s="1977"/>
      <c r="E23" s="1977"/>
      <c r="F23" s="1977"/>
      <c r="G23" s="1978"/>
      <c r="H23" s="1080" t="str">
        <f>VLOOKUP(A23,'07'!$A:$N,4,FALSE)</f>
        <v>KG</v>
      </c>
      <c r="I23" s="1120">
        <f>VLOOKUP(A23,'07'!$A:$N,8,FALSE)</f>
        <v>450</v>
      </c>
      <c r="J23" s="1120">
        <f>VLOOKUP(A23,'07'!$A:$N,10,FALSE)</f>
        <v>5458.5</v>
      </c>
      <c r="K23" s="1120">
        <f>VLOOKUP(A23,'07'!$A:$N,12,FALSE)</f>
        <v>43.199999999999996</v>
      </c>
      <c r="L23" s="1120">
        <f>VLOOKUP(A23,'07'!$A:$N,14,FALSE)</f>
        <v>1820.0124002499999</v>
      </c>
      <c r="M23" s="1120">
        <f>VLOOKUP(A23,'07'!$A:$N,6,FALSE)</f>
        <v>7771.7124002499995</v>
      </c>
      <c r="N23" s="1165" t="str">
        <f t="shared" si="0"/>
        <v>G007</v>
      </c>
    </row>
    <row r="24" spans="1:14" ht="13.5" customHeight="1" x14ac:dyDescent="0.25">
      <c r="A24" s="1119" t="s">
        <v>2296</v>
      </c>
      <c r="B24" s="1976" t="str">
        <f>VLOOKUP(A24,'07'!$A:$N,2,FALSE)</f>
        <v>SUMINISTRO E INSTALACIÓN DE TUBERIA PVC UNION MECANICA DE 8". PRESIÓN DE TRABAJO 200 PSI.</v>
      </c>
      <c r="C24" s="1977"/>
      <c r="D24" s="1977"/>
      <c r="E24" s="1977"/>
      <c r="F24" s="1977"/>
      <c r="G24" s="1978"/>
      <c r="H24" s="1080" t="str">
        <f>VLOOKUP(A24,'07'!$A:$N,4,FALSE)</f>
        <v>ML</v>
      </c>
      <c r="I24" s="1120">
        <f>VLOOKUP(A24,'07'!$A:$N,8,FALSE)</f>
        <v>562.5</v>
      </c>
      <c r="J24" s="1120">
        <f>VLOOKUP(A24,'07'!$A:$N,10,FALSE)</f>
        <v>221152.16399999999</v>
      </c>
      <c r="K24" s="1120">
        <f>VLOOKUP(A24,'07'!$A:$N,12,FALSE)</f>
        <v>43.199999999999996</v>
      </c>
      <c r="L24" s="1120">
        <f>VLOOKUP(A24,'07'!$A:$N,14,FALSE)</f>
        <v>10723.996288888889</v>
      </c>
      <c r="M24" s="1120">
        <f>VLOOKUP(A24,'07'!$A:$N,6,FALSE)</f>
        <v>232481.86028888889</v>
      </c>
      <c r="N24" s="1165" t="str">
        <f t="shared" si="0"/>
        <v>G999</v>
      </c>
    </row>
    <row r="25" spans="1:14" ht="13.5" customHeight="1" x14ac:dyDescent="0.25">
      <c r="A25" s="1119" t="s">
        <v>2298</v>
      </c>
      <c r="B25" s="1976" t="str">
        <f>VLOOKUP(A25,'07'!$A:$N,2,FALSE)</f>
        <v>SUMINISTRO E INSTALACIÓN DE CINTA PVC DE 0.15 METROS PARA JUNTA DE CONSTRUCCION EN TANQUES.</v>
      </c>
      <c r="C25" s="1977"/>
      <c r="D25" s="1977"/>
      <c r="E25" s="1977"/>
      <c r="F25" s="1977"/>
      <c r="G25" s="1978"/>
      <c r="H25" s="1080" t="str">
        <f>VLOOKUP(A25,'07'!$A:$N,4,FALSE)</f>
        <v>ML</v>
      </c>
      <c r="I25" s="1120">
        <f>VLOOKUP(A25,'07'!$A:$N,8,FALSE)</f>
        <v>500</v>
      </c>
      <c r="J25" s="1120">
        <f>VLOOKUP(A25,'07'!$A:$N,10,FALSE)</f>
        <v>49160.94</v>
      </c>
      <c r="K25" s="1120">
        <f>VLOOKUP(A25,'07'!$A:$N,12,FALSE)</f>
        <v>1915.2</v>
      </c>
      <c r="L25" s="1120">
        <f>VLOOKUP(A25,'07'!$A:$N,14,FALSE)</f>
        <v>8042.9972166666666</v>
      </c>
      <c r="M25" s="1120">
        <f>VLOOKUP(A25,'07'!$A:$N,6,FALSE)</f>
        <v>59619.13721666667</v>
      </c>
      <c r="N25" s="1165" t="str">
        <f t="shared" si="0"/>
        <v>G998</v>
      </c>
    </row>
    <row r="26" spans="1:14" ht="13.5" customHeight="1" x14ac:dyDescent="0.25">
      <c r="A26" s="1119" t="s">
        <v>2299</v>
      </c>
      <c r="B26" s="1976" t="str">
        <f>VLOOKUP(A26,'07'!$A:$N,2,FALSE)</f>
        <v>SUMINISTRO E INSTALACIÓN PASAMURO HD 6" BXB=0,75M Z=0.375 M.</v>
      </c>
      <c r="C26" s="1977"/>
      <c r="D26" s="1977"/>
      <c r="E26" s="1977"/>
      <c r="F26" s="1977"/>
      <c r="G26" s="1978"/>
      <c r="H26" s="1080" t="str">
        <f>VLOOKUP(A26,'07'!$A:$N,4,FALSE)</f>
        <v>UND</v>
      </c>
      <c r="I26" s="1120">
        <f>VLOOKUP(A26,'07'!$A:$N,8,FALSE)</f>
        <v>375</v>
      </c>
      <c r="J26" s="1120">
        <f>VLOOKUP(A26,'07'!$A:$N,10,FALSE)</f>
        <v>928200</v>
      </c>
      <c r="K26" s="1120">
        <f>VLOOKUP(A26,'07'!$A:$N,12,FALSE)</f>
        <v>0</v>
      </c>
      <c r="L26" s="1120">
        <f>VLOOKUP(A26,'07'!$A:$N,14,FALSE)</f>
        <v>70193.430254545456</v>
      </c>
      <c r="M26" s="1120">
        <f>VLOOKUP(A26,'07'!$A:$N,6,FALSE)</f>
        <v>998768.43025454541</v>
      </c>
      <c r="N26" s="1165" t="str">
        <f t="shared" si="0"/>
        <v>G997</v>
      </c>
    </row>
    <row r="27" spans="1:14" ht="13.5" customHeight="1" x14ac:dyDescent="0.25">
      <c r="A27" s="1119" t="s">
        <v>2300</v>
      </c>
      <c r="B27" s="1976" t="str">
        <f>VLOOKUP(A27,'07'!$A:$N,2,FALSE)</f>
        <v>SUMINISTRO E INSTALACIÓN PASAMURO HD 8" BXB=0,75M Z=0.375 M.</v>
      </c>
      <c r="C27" s="1977"/>
      <c r="D27" s="1977"/>
      <c r="E27" s="1977"/>
      <c r="F27" s="1977"/>
      <c r="G27" s="1978"/>
      <c r="H27" s="1080" t="str">
        <f>VLOOKUP(A27,'07'!$A:$N,4,FALSE)</f>
        <v>UND</v>
      </c>
      <c r="I27" s="1120">
        <f>VLOOKUP(A27,'07'!$A:$N,8,FALSE)</f>
        <v>500</v>
      </c>
      <c r="J27" s="1120">
        <f>VLOOKUP(A27,'07'!$A:$N,10,FALSE)</f>
        <v>1166200</v>
      </c>
      <c r="K27" s="1120">
        <f>VLOOKUP(A27,'07'!$A:$N,12,FALSE)</f>
        <v>0</v>
      </c>
      <c r="L27" s="1120">
        <f>VLOOKUP(A27,'07'!$A:$N,14,FALSE)</f>
        <v>70193.430254545456</v>
      </c>
      <c r="M27" s="1120">
        <f>VLOOKUP(A27,'07'!$A:$N,6,FALSE)</f>
        <v>1236893.4302545455</v>
      </c>
      <c r="N27" s="1165" t="str">
        <f t="shared" si="0"/>
        <v>G996</v>
      </c>
    </row>
    <row r="28" spans="1:14" ht="13.5" customHeight="1" x14ac:dyDescent="0.25">
      <c r="A28" s="1119" t="s">
        <v>2301</v>
      </c>
      <c r="B28" s="1976" t="str">
        <f>VLOOKUP(A28,'07'!$A:$N,2,FALSE)</f>
        <v>SUMINISTRO E INSTALACIÓN VÁLVULA DE COMPUERTA ELASTICA VASTAGO NO ASCENDENTE EXTREMO BRIDADO PARA PVC DIAMETRO 6".</v>
      </c>
      <c r="C28" s="1977"/>
      <c r="D28" s="1977"/>
      <c r="E28" s="1977"/>
      <c r="F28" s="1977"/>
      <c r="G28" s="1978"/>
      <c r="H28" s="1080" t="str">
        <f>VLOOKUP(A28,'07'!$A:$N,4,FALSE)</f>
        <v>UND</v>
      </c>
      <c r="I28" s="1120">
        <f>VLOOKUP(A28,'07'!$A:$N,8,FALSE)</f>
        <v>500</v>
      </c>
      <c r="J28" s="1120">
        <f>VLOOKUP(A28,'07'!$A:$N,10,FALSE)</f>
        <v>2434738.36</v>
      </c>
      <c r="K28" s="1120">
        <f>VLOOKUP(A28,'07'!$A:$N,12,FALSE)</f>
        <v>72</v>
      </c>
      <c r="L28" s="1120">
        <f>VLOOKUP(A28,'07'!$A:$N,14,FALSE)</f>
        <v>128687.96</v>
      </c>
      <c r="M28" s="1120">
        <f>VLOOKUP(A28,'07'!$A:$N,6,FALSE)</f>
        <v>2563998.3199999998</v>
      </c>
      <c r="N28" s="1165" t="str">
        <f t="shared" si="0"/>
        <v>G995</v>
      </c>
    </row>
    <row r="29" spans="1:14" ht="13.5" customHeight="1" x14ac:dyDescent="0.25">
      <c r="A29" s="1119" t="s">
        <v>2302</v>
      </c>
      <c r="B29" s="1976" t="str">
        <f>VLOOKUP(A29,'07'!$A:$N,2,FALSE)</f>
        <v>SUMINISTRO E INSTALACIÓN VÁLVULA DE COMPUERTA ELASTICA VASTAGO NO ASCENDENTE EXTREMO BRIDADO PARA PVC DIAMETRO 8".</v>
      </c>
      <c r="C29" s="1977"/>
      <c r="D29" s="1977"/>
      <c r="E29" s="1977"/>
      <c r="F29" s="1977"/>
      <c r="G29" s="1978"/>
      <c r="H29" s="1080" t="str">
        <f>VLOOKUP(A29,'07'!$A:$N,4,FALSE)</f>
        <v>UND</v>
      </c>
      <c r="I29" s="1120">
        <f>VLOOKUP(A29,'07'!$A:$N,8,FALSE)</f>
        <v>15000</v>
      </c>
      <c r="J29" s="1120">
        <f>VLOOKUP(A29,'07'!$A:$N,10,FALSE)</f>
        <v>3612238.36</v>
      </c>
      <c r="K29" s="1120">
        <f>VLOOKUP(A29,'07'!$A:$N,12,FALSE)</f>
        <v>205.2</v>
      </c>
      <c r="L29" s="1120">
        <f>VLOOKUP(A29,'07'!$A:$N,14,FALSE)</f>
        <v>128687.96</v>
      </c>
      <c r="M29" s="1120">
        <f>VLOOKUP(A29,'07'!$A:$N,6,FALSE)</f>
        <v>3756131.52</v>
      </c>
      <c r="N29" s="1165" t="str">
        <f t="shared" si="0"/>
        <v>G994</v>
      </c>
    </row>
    <row r="30" spans="1:14" ht="13.5" customHeight="1" x14ac:dyDescent="0.25">
      <c r="A30" s="1119" t="s">
        <v>2303</v>
      </c>
      <c r="B30" s="1976" t="str">
        <f>VLOOKUP(A30,'07'!$A:$N,2,FALSE)</f>
        <v>SUMINISTRO E INSTALACIÓN COMPUERTA DE VASTAGO DESLIZANTE DE 6". INCLUYE COLUMNA DE MANIOBRA Y TODO LO NECESARIO PARA SU CORRECTO FUNCIONAMIENTO.</v>
      </c>
      <c r="C30" s="1977"/>
      <c r="D30" s="1977"/>
      <c r="E30" s="1977"/>
      <c r="F30" s="1977"/>
      <c r="G30" s="1978"/>
      <c r="H30" s="1080" t="str">
        <f>VLOOKUP(A30,'07'!$A:$N,4,FALSE)</f>
        <v>UND</v>
      </c>
      <c r="I30" s="1120">
        <f>VLOOKUP(A30,'07'!$A:$N,8,FALSE)</f>
        <v>5000</v>
      </c>
      <c r="J30" s="1120">
        <f>VLOOKUP(A30,'07'!$A:$N,10,FALSE)</f>
        <v>4141200</v>
      </c>
      <c r="K30" s="1120">
        <f>VLOOKUP(A30,'07'!$A:$N,12,FALSE)</f>
        <v>16200</v>
      </c>
      <c r="L30" s="1120">
        <f>VLOOKUP(A30,'07'!$A:$N,14,FALSE)</f>
        <v>154425.54999999999</v>
      </c>
      <c r="M30" s="1120">
        <f>VLOOKUP(A30,'07'!$A:$N,6,FALSE)</f>
        <v>4316825.55</v>
      </c>
      <c r="N30" s="1165" t="str">
        <f t="shared" si="0"/>
        <v>G993</v>
      </c>
    </row>
    <row r="31" spans="1:14" ht="13.5" customHeight="1" x14ac:dyDescent="0.25">
      <c r="A31" s="1119" t="s">
        <v>2304</v>
      </c>
      <c r="B31" s="1976" t="str">
        <f>VLOOKUP(A31,'07'!$A:$N,2,FALSE)</f>
        <v>SUMINISTRO E INSTALACIÓN COMPUERTA DE VASTAGO DESLIZANTE DE 8". INCLUYE COLUMNA DE MANIOBRA Y TODO LO NECESARIO PARA SU CORRECTO FUNCIONAMIENTO.</v>
      </c>
      <c r="C31" s="1977"/>
      <c r="D31" s="1977"/>
      <c r="E31" s="1977"/>
      <c r="F31" s="1977"/>
      <c r="G31" s="1978"/>
      <c r="H31" s="1080" t="str">
        <f>VLOOKUP(A31,'07'!$A$1:$N$11836,4,FALSE)</f>
        <v>UND</v>
      </c>
      <c r="I31" s="1120">
        <f>VLOOKUP(A31,'07'!$A$1:$N$11836,8,FALSE)</f>
        <v>2500</v>
      </c>
      <c r="J31" s="1120">
        <f>VLOOKUP(A31,'07'!$A$1:$N$11836,10,FALSE)</f>
        <v>4581500</v>
      </c>
      <c r="K31" s="1120">
        <f>VLOOKUP(A31,'07'!$A$1:$N$11836,12,FALSE)</f>
        <v>10800</v>
      </c>
      <c r="L31" s="1120">
        <f>VLOOKUP(A31,'07'!$A$1:$N$11836,14,FALSE)</f>
        <v>154425.54999999999</v>
      </c>
      <c r="M31" s="1120">
        <f>VLOOKUP(A31,'07'!$A$1:$N$11836,6,FALSE)</f>
        <v>4749225.55</v>
      </c>
      <c r="N31" s="1165" t="str">
        <f t="shared" si="0"/>
        <v>G992</v>
      </c>
    </row>
    <row r="32" spans="1:14" ht="13.5" customHeight="1" x14ac:dyDescent="0.25">
      <c r="A32" s="1119" t="s">
        <v>2307</v>
      </c>
      <c r="B32" s="1976" t="str">
        <f>VLOOKUP(A32,'07'!$A:$N,2,FALSE)</f>
        <v>SUMINISTRO E INSTALACIÓN CODO BXB. DE 6". INCLUYE ACCESORIOS DE ENTREGA E INSTALACION.</v>
      </c>
      <c r="C32" s="1977"/>
      <c r="D32" s="1977"/>
      <c r="E32" s="1977"/>
      <c r="F32" s="1977"/>
      <c r="G32" s="1978"/>
      <c r="H32" s="1080" t="str">
        <f>VLOOKUP(A32,'07'!$A$1:$N$11836,4,FALSE)</f>
        <v>UND</v>
      </c>
      <c r="I32" s="1120">
        <f>VLOOKUP(A32,'07'!$A$1:$N$11836,8,FALSE)</f>
        <v>3000</v>
      </c>
      <c r="J32" s="1120">
        <f>VLOOKUP(A32,'07'!$A$1:$N$11836,10,FALSE)</f>
        <v>1202445</v>
      </c>
      <c r="K32" s="1120">
        <f>VLOOKUP(A32,'07'!$A$1:$N$11836,12,FALSE)</f>
        <v>162</v>
      </c>
      <c r="L32" s="1120">
        <f>VLOOKUP(A32,'07'!$A$1:$N$11836,14,FALSE)</f>
        <v>77212.77</v>
      </c>
      <c r="M32" s="1120">
        <f>VLOOKUP(A32,'07'!$A$1:$N$11836,6,FALSE)</f>
        <v>1282819.77</v>
      </c>
      <c r="N32" s="1165" t="str">
        <f t="shared" si="0"/>
        <v>G991</v>
      </c>
    </row>
    <row r="33" spans="1:14" x14ac:dyDescent="0.25">
      <c r="A33" s="1119" t="s">
        <v>2311</v>
      </c>
      <c r="B33" s="1976" t="str">
        <f>VLOOKUP(A33,'07'!$A:$N,2,FALSE)</f>
        <v xml:space="preserve">SUMINISTRO E INSTALACIÓN DE TUBERIA PVC UNION MECANICA DE 4". PRESIÓN DE TRABAJO 200 PSI.  </v>
      </c>
      <c r="C33" s="1977"/>
      <c r="D33" s="1977"/>
      <c r="E33" s="1977"/>
      <c r="F33" s="1977"/>
      <c r="G33" s="1978"/>
      <c r="H33" s="1080" t="str">
        <f>VLOOKUP(A33,'07'!$A$1:$N$11836,4,FALSE)</f>
        <v>ML</v>
      </c>
      <c r="I33" s="1120">
        <f>VLOOKUP(A33,'07'!$A$1:$N$11836,8,FALSE)</f>
        <v>500</v>
      </c>
      <c r="J33" s="1120">
        <f>VLOOKUP(A33,'07'!$A$1:$N$11836,10,FALSE)</f>
        <v>62386.215200000006</v>
      </c>
      <c r="K33" s="1120">
        <f>VLOOKUP(A33,'07'!$A$1:$N$11836,12,FALSE)</f>
        <v>144</v>
      </c>
      <c r="L33" s="1120">
        <f>VLOOKUP(A33,'07'!$A$1:$N$11836,14,FALSE)</f>
        <v>6434.3977733333331</v>
      </c>
      <c r="M33" s="1120">
        <f>VLOOKUP(A33,'07'!$A$1:$N$11836,6,FALSE)</f>
        <v>69464.612973333336</v>
      </c>
      <c r="N33" s="1165" t="str">
        <f>A33</f>
        <v>G990</v>
      </c>
    </row>
    <row r="34" spans="1:14" x14ac:dyDescent="0.25">
      <c r="A34" s="1119" t="s">
        <v>2343</v>
      </c>
      <c r="B34" s="1976" t="str">
        <f>VLOOKUP(A34,'07'!$A:$N,2,FALSE)</f>
        <v>SUMINISTRO E INSTALACIÓN DE TUBERIA PVC UNION MECANICA DE 6". PRESIÓN DE TRABAJO 200 PSI.</v>
      </c>
      <c r="C34" s="1977"/>
      <c r="D34" s="1977"/>
      <c r="E34" s="1977"/>
      <c r="F34" s="1977"/>
      <c r="G34" s="1978"/>
      <c r="H34" s="1080" t="str">
        <f>VLOOKUP(A34,'07'!$A$1:$N$11836,4,FALSE)</f>
        <v>ML</v>
      </c>
      <c r="I34" s="1120">
        <f>VLOOKUP(A34,'07'!$A$1:$N$11836,8,FALSE)</f>
        <v>500</v>
      </c>
      <c r="J34" s="1120">
        <f>VLOOKUP(A34,'07'!$A$1:$N$11836,10,FALSE)</f>
        <v>131687.24309999999</v>
      </c>
      <c r="K34" s="1120">
        <f>VLOOKUP(A34,'07'!$A$1:$N$11836,12,FALSE)</f>
        <v>144</v>
      </c>
      <c r="L34" s="1120">
        <f>VLOOKUP(A34,'07'!$A$1:$N$11836,14,FALSE)</f>
        <v>7424.3051230769233</v>
      </c>
      <c r="M34" s="1120">
        <f>VLOOKUP(A34,'07'!$A$1:$N$11836,6,FALSE)</f>
        <v>139755.54822307691</v>
      </c>
      <c r="N34" s="1165" t="str">
        <f t="shared" si="0"/>
        <v>G989</v>
      </c>
    </row>
    <row r="35" spans="1:14" x14ac:dyDescent="0.25">
      <c r="A35" s="1119" t="s">
        <v>2345</v>
      </c>
      <c r="B35" s="1976" t="str">
        <f>VLOOKUP(A35,'07'!$A:$N,2,FALSE)</f>
        <v>SUMINISTRO E INSTALACION PASAMURO HD 3" BXB=0,75M Z=0.375 M.</v>
      </c>
      <c r="C35" s="1977"/>
      <c r="D35" s="1977"/>
      <c r="E35" s="1977"/>
      <c r="F35" s="1977"/>
      <c r="G35" s="1978"/>
      <c r="H35" s="1080" t="str">
        <f>VLOOKUP(A35,'07'!$A$1:$N$11836,4,FALSE)</f>
        <v>UND</v>
      </c>
      <c r="I35" s="1120">
        <f>VLOOKUP(A35,'07'!$A$1:$N$11836,8,FALSE)</f>
        <v>3750</v>
      </c>
      <c r="J35" s="1120">
        <f>VLOOKUP(A35,'07'!$A$1:$N$11836,10,FALSE)</f>
        <v>416500</v>
      </c>
      <c r="K35" s="1120">
        <f>VLOOKUP(A35,'07'!$A$1:$N$11836,12,FALSE)</f>
        <v>144</v>
      </c>
      <c r="L35" s="1120">
        <f>VLOOKUP(A35,'07'!$A$1:$N$11836,14,FALSE)</f>
        <v>56774.097999999998</v>
      </c>
      <c r="M35" s="1120">
        <f>VLOOKUP(A35,'07'!$A$1:$N$11836,6,FALSE)</f>
        <v>477168.098</v>
      </c>
      <c r="N35" s="1165" t="str">
        <f t="shared" si="0"/>
        <v>G988</v>
      </c>
    </row>
    <row r="36" spans="1:14" x14ac:dyDescent="0.25">
      <c r="A36" s="1119" t="s">
        <v>2346</v>
      </c>
      <c r="B36" s="1976" t="str">
        <f>VLOOKUP(A36,'07'!$A:$N,2,FALSE)</f>
        <v xml:space="preserve"> SUMINISTRO E INSTALACIÓN VÁLVULA DE COMPUERTA ELASTICA VASTAGO NO ASCENDENTE EXTREMO BRIDADO PARA PVC DIAMETRO 3".</v>
      </c>
      <c r="C36" s="1977"/>
      <c r="D36" s="1977"/>
      <c r="E36" s="1977"/>
      <c r="F36" s="1977"/>
      <c r="G36" s="1978"/>
      <c r="H36" s="1080" t="str">
        <f>VLOOKUP(A36,'07'!$A$1:$N$11836,4,FALSE)</f>
        <v>UND</v>
      </c>
      <c r="I36" s="1120">
        <f>VLOOKUP(A36,'07'!$A$1:$N$11836,8,FALSE)</f>
        <v>500</v>
      </c>
      <c r="J36" s="1120">
        <f>VLOOKUP(A36,'07'!$A$1:$N$11836,10,FALSE)</f>
        <v>1078214</v>
      </c>
      <c r="K36" s="1120">
        <f>VLOOKUP(A36,'07'!$A$1:$N$11836,12,FALSE)</f>
        <v>144</v>
      </c>
      <c r="L36" s="1120">
        <f>VLOOKUP(A36,'07'!$A$1:$N$11836,14,FALSE)</f>
        <v>137879.9522857143</v>
      </c>
      <c r="M36" s="1120">
        <f>VLOOKUP(A36,'07'!$A$1:$N$11836,6,FALSE)</f>
        <v>1216737.9522857142</v>
      </c>
      <c r="N36" s="1165" t="str">
        <f t="shared" si="0"/>
        <v>G987</v>
      </c>
    </row>
    <row r="37" spans="1:14" x14ac:dyDescent="0.25">
      <c r="A37" s="1119" t="s">
        <v>2348</v>
      </c>
      <c r="B37" s="1976" t="str">
        <f>VLOOKUP(A37,'07'!$A:$N,2,FALSE)</f>
        <v>SUMINISTRO E INSTALACIÓN SISTEMA DE RECOLECCIÓN DE AGUA FLOCULADA, EN TUBERÍA HD O PETROLERA DE DIÁMETRO 12". INCLUYE TODO LO NECESARIO PARA SU CORRECTA CONSTRUCCIÓN E INSTALACIÓN.</v>
      </c>
      <c r="C37" s="1977"/>
      <c r="D37" s="1977"/>
      <c r="E37" s="1977"/>
      <c r="F37" s="1977"/>
      <c r="G37" s="1978"/>
      <c r="H37" s="1080" t="str">
        <f>VLOOKUP(A37,'07'!$A$1:$N$11836,4,FALSE)</f>
        <v>UND</v>
      </c>
      <c r="I37" s="1120">
        <f>VLOOKUP(A37,'07'!$A$1:$N$11836,8,FALSE)</f>
        <v>500</v>
      </c>
      <c r="J37" s="1120">
        <f>VLOOKUP(A37,'07'!$A$1:$N$11836,10,FALSE)</f>
        <v>2722570</v>
      </c>
      <c r="K37" s="1120">
        <f>VLOOKUP(A37,'07'!$A$1:$N$11836,12,FALSE)</f>
        <v>4320</v>
      </c>
      <c r="L37" s="1120">
        <f>VLOOKUP(A37,'07'!$A$1:$N$11836,14,FALSE)</f>
        <v>402149.86083333334</v>
      </c>
      <c r="M37" s="1120">
        <f>VLOOKUP(A37,'07'!$A$1:$N$11836,6,FALSE)</f>
        <v>3129539.8608333333</v>
      </c>
      <c r="N37" s="1165" t="str">
        <f t="shared" si="0"/>
        <v>G986</v>
      </c>
    </row>
    <row r="38" spans="1:14" x14ac:dyDescent="0.25">
      <c r="A38" s="1119" t="s">
        <v>2350</v>
      </c>
      <c r="B38" s="1976" t="str">
        <f>VLOOKUP(A38,'07'!$A:$N,2,FALSE)</f>
        <v xml:space="preserve"> SUMINISTRO E INSTALACIÓN TUBERÍA DE ENTRADA DE AGUA FLOCULADA HACIA SEDIMENTACIÓN. TUBERÍA H.D. O PETROLERA DE DIÁMETRO 8". INCLUYE TODOS LOS ELEMENTOS PARA SU CORRECTA INSTALACIÓN Y FUNCIONAMIENTO. LA TUBERÍA TENDRÁ PERFORACIONES DE 3" SEGÚN DISEÑO. </v>
      </c>
      <c r="C38" s="1977"/>
      <c r="D38" s="1977"/>
      <c r="E38" s="1977"/>
      <c r="F38" s="1977"/>
      <c r="G38" s="1978"/>
      <c r="H38" s="1080" t="str">
        <f>VLOOKUP(A38,'07'!$A$1:$N$11836,4,FALSE)</f>
        <v>UND</v>
      </c>
      <c r="I38" s="1120">
        <f>VLOOKUP(A38,'07'!$A$1:$N$11836,8,FALSE)</f>
        <v>500</v>
      </c>
      <c r="J38" s="1120">
        <f>VLOOKUP(A38,'07'!$A$1:$N$11836,10,FALSE)</f>
        <v>7121555</v>
      </c>
      <c r="K38" s="1120">
        <f>VLOOKUP(A38,'07'!$A$1:$N$11836,12,FALSE)</f>
        <v>7200</v>
      </c>
      <c r="L38" s="1120">
        <f>VLOOKUP(A38,'07'!$A$1:$N$11836,14,FALSE)</f>
        <v>536199.81444444449</v>
      </c>
      <c r="M38" s="1120">
        <f>VLOOKUP(A38,'07'!$A$1:$N$11836,6,FALSE)</f>
        <v>7665454.8144444441</v>
      </c>
      <c r="N38" s="1165" t="str">
        <f t="shared" si="0"/>
        <v>G985</v>
      </c>
    </row>
    <row r="39" spans="1:14" x14ac:dyDescent="0.25">
      <c r="A39" s="1119" t="s">
        <v>2352</v>
      </c>
      <c r="B39" s="1976" t="str">
        <f>VLOOKUP(A39,'07'!$A:$N,2,FALSE)</f>
        <v xml:space="preserve"> SUMINISTRO E INSTALACIÓN TUBERÍA DE RECOLECCIÓN DE AGUA SEDIMENTADA. TUBERÍA H.D. O PETROLERA DE DIÁMETRO 6". INCLUYE TODOS LOS ELEMENTOS PARA SU CORRECTA INSTALACIÓN Y FUNCIONAMIENTO. LA TUBERÍA TENDRÁ PERFORACIONES DE 3/4" SEGÚN DISEÑO. </v>
      </c>
      <c r="C39" s="1977"/>
      <c r="D39" s="1977"/>
      <c r="E39" s="1977"/>
      <c r="F39" s="1977"/>
      <c r="G39" s="1978"/>
      <c r="H39" s="1080" t="str">
        <f>VLOOKUP(A39,'07'!$A$1:$N$11836,4,FALSE)</f>
        <v>UND</v>
      </c>
      <c r="I39" s="1120">
        <f>VLOOKUP(A39,'07'!$A$1:$N$11836,8,FALSE)</f>
        <v>64500.000000428852</v>
      </c>
      <c r="J39" s="1120">
        <f>VLOOKUP(A39,'07'!$A$1:$N$11836,10,FALSE)</f>
        <v>1831745</v>
      </c>
      <c r="K39" s="1120">
        <f>VLOOKUP(A39,'07'!$A$1:$N$11836,12,FALSE)</f>
        <v>14400</v>
      </c>
      <c r="L39" s="1120">
        <f>VLOOKUP(A39,'07'!$A$1:$N$11836,14,FALSE)</f>
        <v>402149.86083333334</v>
      </c>
      <c r="M39" s="1120">
        <f>VLOOKUP(A39,'07'!$A$1:$N$11836,6,FALSE)</f>
        <v>2312794.8608337622</v>
      </c>
      <c r="N39" s="1165" t="str">
        <f t="shared" si="0"/>
        <v>G984</v>
      </c>
    </row>
    <row r="40" spans="1:14" x14ac:dyDescent="0.25">
      <c r="A40" s="1119" t="s">
        <v>2354</v>
      </c>
      <c r="B40" s="1976" t="str">
        <f>VLOOKUP(A40,'07'!$A:$N,2,FALSE)</f>
        <v>FALSO FONDO EN FIBRA DE VIDRIO DE ESPESOR 0.02 METROS CON ORIFICOS DE 0.10 METROS CADA 0.30 METROS.</v>
      </c>
      <c r="C40" s="1977"/>
      <c r="D40" s="1977"/>
      <c r="E40" s="1977"/>
      <c r="F40" s="1977"/>
      <c r="G40" s="1978"/>
      <c r="H40" s="1080" t="str">
        <f>VLOOKUP(A40,'07'!$A$1:$N$11836,4,FALSE)</f>
        <v>M2</v>
      </c>
      <c r="I40" s="1120">
        <f>VLOOKUP(A40,'07'!$A$1:$N$11836,8,FALSE)</f>
        <v>3750</v>
      </c>
      <c r="J40" s="1120">
        <f>VLOOKUP(A40,'07'!$A$1:$N$11836,10,FALSE)</f>
        <v>254320.00000000006</v>
      </c>
      <c r="K40" s="1120">
        <f>VLOOKUP(A40,'07'!$A$1:$N$11836,12,FALSE)</f>
        <v>15840</v>
      </c>
      <c r="L40" s="1120">
        <f>VLOOKUP(A40,'07'!$A$1:$N$11836,14,FALSE)</f>
        <v>67024.976805555561</v>
      </c>
      <c r="M40" s="1120">
        <f>VLOOKUP(A40,'07'!$A$1:$N$11836,6,FALSE)</f>
        <v>340934.97680555563</v>
      </c>
      <c r="N40" s="1165" t="str">
        <f t="shared" si="0"/>
        <v>G983</v>
      </c>
    </row>
    <row r="41" spans="1:14" x14ac:dyDescent="0.25">
      <c r="A41" s="1119" t="s">
        <v>2356</v>
      </c>
      <c r="B41" s="1976" t="str">
        <f>VLOOKUP(A41,'07'!$A:$N,2,FALSE)</f>
        <v>MODULOS DE SEDIMENTACION DE ALTA TASA TIPO COLMENA. ALTURA RECTA 1.04. ALTURA INCLINADA 1.20 METROS, CALIBRE 40 EN MATERIAL POLIESTIRENO CON ADITIVOS MODIFICADORES DE IMPACTO Y PROTECTOR UV.</v>
      </c>
      <c r="C41" s="1977"/>
      <c r="D41" s="1977"/>
      <c r="E41" s="1977"/>
      <c r="F41" s="1977"/>
      <c r="G41" s="1978"/>
      <c r="H41" s="1080" t="str">
        <f>VLOOKUP(A41,'07'!$A$1:$N$11836,4,FALSE)</f>
        <v>M2</v>
      </c>
      <c r="I41" s="1120">
        <f>VLOOKUP(A41,'07'!$A$1:$N$11836,8,FALSE)</f>
        <v>2142.8571428571427</v>
      </c>
      <c r="J41" s="1120">
        <f>VLOOKUP(A41,'07'!$A$1:$N$11836,10,FALSE)</f>
        <v>906400.00000000012</v>
      </c>
      <c r="K41" s="1120">
        <f>VLOOKUP(A41,'07'!$A$1:$N$11836,12,FALSE)</f>
        <v>15840</v>
      </c>
      <c r="L41" s="1120">
        <f>VLOOKUP(A41,'07'!$A$1:$N$11836,14,FALSE)</f>
        <v>26809.990722222221</v>
      </c>
      <c r="M41" s="1120">
        <f>VLOOKUP(A41,'07'!$A$1:$N$11836,6,FALSE)</f>
        <v>951192.84786507953</v>
      </c>
      <c r="N41" s="1165" t="str">
        <f t="shared" si="0"/>
        <v>G982</v>
      </c>
    </row>
    <row r="42" spans="1:14" x14ac:dyDescent="0.25">
      <c r="A42" s="1119" t="s">
        <v>2358</v>
      </c>
      <c r="B42" s="1976" t="str">
        <f>VLOOKUP(A42,'07'!$A:$N,2,FALSE)</f>
        <v xml:space="preserve">ANTRACITA PARA FILTRO. </v>
      </c>
      <c r="C42" s="1977"/>
      <c r="D42" s="1977"/>
      <c r="E42" s="1977"/>
      <c r="F42" s="1977"/>
      <c r="G42" s="1978"/>
      <c r="H42" s="1080" t="str">
        <f>VLOOKUP(A42,'07'!$A$1:$N$11836,4,FALSE)</f>
        <v>M3</v>
      </c>
      <c r="I42" s="1120">
        <f>VLOOKUP(A42,'07'!$A$1:$N$11836,8,FALSE)</f>
        <v>34625</v>
      </c>
      <c r="J42" s="1120">
        <f>VLOOKUP(A42,'07'!$A$1:$N$11836,10,FALSE)</f>
        <v>906400.00000000012</v>
      </c>
      <c r="K42" s="1120">
        <f>VLOOKUP(A42,'07'!$A$1:$N$11836,12,FALSE)</f>
        <v>15840</v>
      </c>
      <c r="L42" s="1120">
        <f>VLOOKUP(A42,'07'!$A$1:$N$11836,14,FALSE)</f>
        <v>12064.495825</v>
      </c>
      <c r="M42" s="1120">
        <f>VLOOKUP(A42,'07'!$A$1:$N$11836,6,FALSE)</f>
        <v>968929.49582500011</v>
      </c>
      <c r="N42" s="1165" t="str">
        <f t="shared" si="0"/>
        <v>G981</v>
      </c>
    </row>
    <row r="43" spans="1:14" x14ac:dyDescent="0.25">
      <c r="A43" s="1119" t="s">
        <v>2360</v>
      </c>
      <c r="B43" s="1976" t="str">
        <f>VLOOKUP(A43,'07'!$A:$N,2,FALSE)</f>
        <v xml:space="preserve">ARENA PARA FILTRO. </v>
      </c>
      <c r="C43" s="1977"/>
      <c r="D43" s="1977"/>
      <c r="E43" s="1977"/>
      <c r="F43" s="1977"/>
      <c r="G43" s="1978"/>
      <c r="H43" s="1080" t="str">
        <f>VLOOKUP(A43,'07'!$A$1:$N$11836,4,FALSE)</f>
        <v>M3</v>
      </c>
      <c r="I43" s="1120">
        <f>VLOOKUP(A43,'07'!$A$1:$N$11836,8,FALSE)</f>
        <v>34625</v>
      </c>
      <c r="J43" s="1120">
        <f>VLOOKUP(A43,'07'!$A$1:$N$11836,10,FALSE)</f>
        <v>793100.00000000012</v>
      </c>
      <c r="K43" s="1120">
        <f>VLOOKUP(A43,'07'!$A$1:$N$11836,12,FALSE)</f>
        <v>15840</v>
      </c>
      <c r="L43" s="1120">
        <f>VLOOKUP(A43,'07'!$A$1:$N$11836,14,FALSE)</f>
        <v>12064.495825</v>
      </c>
      <c r="M43" s="1120">
        <f>VLOOKUP(A43,'07'!$A$1:$N$11836,6,FALSE)</f>
        <v>855629.49582500011</v>
      </c>
      <c r="N43" s="1165" t="str">
        <f t="shared" si="0"/>
        <v>G980</v>
      </c>
    </row>
    <row r="44" spans="1:14" x14ac:dyDescent="0.25">
      <c r="A44" s="1119" t="s">
        <v>2362</v>
      </c>
      <c r="B44" s="1976" t="str">
        <f>VLOOKUP(A44,'07'!$A:$N,2,FALSE)</f>
        <v xml:space="preserve">GRAVA PARA FILTRO. </v>
      </c>
      <c r="C44" s="1977"/>
      <c r="D44" s="1977"/>
      <c r="E44" s="1977"/>
      <c r="F44" s="1977"/>
      <c r="G44" s="1978"/>
      <c r="H44" s="1080" t="str">
        <f>VLOOKUP(A44,'07'!$A$1:$N$11836,4,FALSE)</f>
        <v>M3</v>
      </c>
      <c r="I44" s="1120">
        <f>VLOOKUP(A44,'07'!$A$1:$N$11836,8,FALSE)</f>
        <v>37875</v>
      </c>
      <c r="J44" s="1120">
        <f>VLOOKUP(A44,'07'!$A$1:$N$11836,10,FALSE)</f>
        <v>793100.00000000012</v>
      </c>
      <c r="K44" s="1120">
        <f>VLOOKUP(A44,'07'!$A$1:$N$11836,12,FALSE)</f>
        <v>15840</v>
      </c>
      <c r="L44" s="1120">
        <f>VLOOKUP(A44,'07'!$A$1:$N$11836,14,FALSE)</f>
        <v>12064.495825</v>
      </c>
      <c r="M44" s="1120">
        <f>VLOOKUP(A44,'07'!$A$1:$N$11836,6,FALSE)</f>
        <v>858879.49582500011</v>
      </c>
      <c r="N44" s="1165" t="str">
        <f t="shared" si="0"/>
        <v>G979</v>
      </c>
    </row>
    <row r="45" spans="1:14" x14ac:dyDescent="0.25">
      <c r="A45" s="1119" t="s">
        <v>2364</v>
      </c>
      <c r="B45" s="1976" t="str">
        <f>VLOOKUP(A45,'07'!$A:$N,2,FALSE)</f>
        <v>LOCALIZACIÓN Y REPLANTEO. INCLUYE: MATERIALES, EQUIPOS, COMISIÓN TOPOGRÁFICA PARA CONTROL DE NIVELES PERMANENTES Y PLANOS RECORD.</v>
      </c>
      <c r="C45" s="1977"/>
      <c r="D45" s="1977"/>
      <c r="E45" s="1977"/>
      <c r="F45" s="1977"/>
      <c r="G45" s="1978"/>
      <c r="H45" s="1080" t="str">
        <f>VLOOKUP(A45,'07'!$A$1:$N$11836,4,FALSE)</f>
        <v>M2</v>
      </c>
      <c r="I45" s="1120">
        <f>VLOOKUP(A45,'07'!$A$1:$N$11836,8,FALSE)</f>
        <v>840.17857142857144</v>
      </c>
      <c r="J45" s="1120">
        <f>VLOOKUP(A45,'07'!$A$1:$N$11836,10,FALSE)</f>
        <v>324.95</v>
      </c>
      <c r="K45" s="1120">
        <f>VLOOKUP(A45,'07'!$A$1:$N$11836,12,FALSE)</f>
        <v>0</v>
      </c>
      <c r="L45" s="1120">
        <f>VLOOKUP(A45,'07'!$A$1:$N$11836,14,FALSE)</f>
        <v>2820.2886258522726</v>
      </c>
      <c r="M45" s="1120">
        <f>VLOOKUP(A45,'07'!$A$1:$N$11836,6,FALSE)</f>
        <v>3985.417197280844</v>
      </c>
      <c r="N45" s="1165" t="str">
        <f t="shared" si="0"/>
        <v>G978</v>
      </c>
    </row>
    <row r="46" spans="1:14" x14ac:dyDescent="0.25">
      <c r="A46" s="1119" t="s">
        <v>2366</v>
      </c>
      <c r="B46" s="1976" t="str">
        <f>VLOOKUP(A46,'07'!$A:$N,2,FALSE)</f>
        <v>EXCAVACIÓN MANUAL EN TIERRA</v>
      </c>
      <c r="C46" s="1977"/>
      <c r="D46" s="1977"/>
      <c r="E46" s="1977"/>
      <c r="F46" s="1977"/>
      <c r="G46" s="1978"/>
      <c r="H46" s="1080" t="str">
        <f>VLOOKUP(A46,'07'!$A$1:$N$11836,4,FALSE)</f>
        <v>M3</v>
      </c>
      <c r="I46" s="1120">
        <f>VLOOKUP(A46,'07'!$A$1:$N$11836,8,FALSE)</f>
        <v>300</v>
      </c>
      <c r="J46" s="1120">
        <f>VLOOKUP(A46,'07'!$A$1:$N$11836,10,FALSE)</f>
        <v>0</v>
      </c>
      <c r="K46" s="1120">
        <f>VLOOKUP(A46,'07'!$A$1:$N$11836,12,FALSE)</f>
        <v>0</v>
      </c>
      <c r="L46" s="1120">
        <f>VLOOKUP(A46,'07'!$A$1:$N$11836,14,FALSE)</f>
        <v>32171.988866666667</v>
      </c>
      <c r="M46" s="1120">
        <f>VLOOKUP(A46,'07'!$A$1:$N$11836,6,FALSE)</f>
        <v>32471.988866666667</v>
      </c>
      <c r="N46" s="1165" t="str">
        <f t="shared" si="0"/>
        <v>G977</v>
      </c>
    </row>
    <row r="47" spans="1:14" x14ac:dyDescent="0.25">
      <c r="A47" s="1119" t="s">
        <v>2368</v>
      </c>
      <c r="B47" s="1976" t="str">
        <f>VLOOKUP(A47,'07'!$A:$N,2,FALSE)</f>
        <v>MATERIAL SOPORTE EN INSTALACION DE TUBERIA. CAMA DE ARENA DE BASE 0.10 METROS Y 0.15 METROS POR ENCIMA DE LA COTA CLAVE DE LA TUBERIA.</v>
      </c>
      <c r="C47" s="1977"/>
      <c r="D47" s="1977"/>
      <c r="E47" s="1977"/>
      <c r="F47" s="1977"/>
      <c r="G47" s="1978"/>
      <c r="H47" s="1080" t="str">
        <f>VLOOKUP(A47,'07'!$A$1:$N$11836,4,FALSE)</f>
        <v>M3</v>
      </c>
      <c r="I47" s="1120">
        <f>VLOOKUP(A47,'07'!$A$1:$N$11836,8,FALSE)</f>
        <v>500</v>
      </c>
      <c r="J47" s="1120">
        <f>VLOOKUP(A47,'07'!$A$1:$N$11836,10,FALSE)</f>
        <v>43260</v>
      </c>
      <c r="K47" s="1120">
        <f>VLOOKUP(A47,'07'!$A$1:$N$11836,12,FALSE)</f>
        <v>23040</v>
      </c>
      <c r="L47" s="1120">
        <f>VLOOKUP(A47,'07'!$A$1:$N$11836,14,FALSE)</f>
        <v>13787.995228571428</v>
      </c>
      <c r="M47" s="1120">
        <f>VLOOKUP(A47,'07'!$A$1:$N$11836,6,FALSE)</f>
        <v>80587.995228571424</v>
      </c>
      <c r="N47" s="1165" t="str">
        <f t="shared" si="0"/>
        <v>G976</v>
      </c>
    </row>
    <row r="48" spans="1:14" x14ac:dyDescent="0.25">
      <c r="A48" s="1119" t="s">
        <v>2372</v>
      </c>
      <c r="B48" s="1976" t="str">
        <f>VLOOKUP(A48,'07'!$A:$N,2,FALSE)</f>
        <v>SUMINISTRO E INSTALACIÓN PASAMURO HD 4" BXB=0,75M Z=0.375 M.</v>
      </c>
      <c r="C48" s="1977"/>
      <c r="D48" s="1977"/>
      <c r="E48" s="1977"/>
      <c r="F48" s="1977"/>
      <c r="G48" s="1978"/>
      <c r="H48" s="1080" t="str">
        <f>VLOOKUP(A48,'07'!$A$1:$N$11836,4,FALSE)</f>
        <v>UND</v>
      </c>
      <c r="I48" s="1120">
        <f>VLOOKUP(A48,'07'!$A$1:$N$11836,8,FALSE)</f>
        <v>833.33333333333337</v>
      </c>
      <c r="J48" s="1120">
        <f>VLOOKUP(A48,'07'!$A$1:$N$11836,10,FALSE)</f>
        <v>535500</v>
      </c>
      <c r="K48" s="1120">
        <f>VLOOKUP(A48,'07'!$A$1:$N$11836,12,FALSE)</f>
        <v>7200</v>
      </c>
      <c r="L48" s="1120">
        <f>VLOOKUP(A48,'07'!$A$1:$N$11836,14,FALSE)</f>
        <v>68940.060515624995</v>
      </c>
      <c r="M48" s="1120">
        <f>VLOOKUP(A48,'07'!$A$1:$N$11836,6,FALSE)</f>
        <v>612473.39384895843</v>
      </c>
      <c r="N48" s="1165" t="str">
        <f t="shared" si="0"/>
        <v>G975</v>
      </c>
    </row>
    <row r="49" spans="1:14" x14ac:dyDescent="0.25">
      <c r="A49" s="1119" t="s">
        <v>2374</v>
      </c>
      <c r="B49" s="1976" t="str">
        <f>VLOOKUP(A49,'07'!$A:$N,2,FALSE)</f>
        <v xml:space="preserve"> SUMINISTRO E INSTALACION VALVULA DE COMPUERTA ELASTICA VASTAGO NO ASCENDENTE EXTREMO BRIDADO PARA PVC DIAMETRO 4".</v>
      </c>
      <c r="C49" s="1977"/>
      <c r="D49" s="1977"/>
      <c r="E49" s="1977"/>
      <c r="F49" s="1977"/>
      <c r="G49" s="1978"/>
      <c r="H49" s="1080" t="str">
        <f>VLOOKUP(A49,'07'!$A$1:$N$11836,4,FALSE)</f>
        <v>UND</v>
      </c>
      <c r="I49" s="1120">
        <f>VLOOKUP(A49,'07'!$A$1:$N$11836,8,FALSE)</f>
        <v>500</v>
      </c>
      <c r="J49" s="1120">
        <f>VLOOKUP(A49,'07'!$A$1:$N$11836,10,FALSE)</f>
        <v>1409564</v>
      </c>
      <c r="K49" s="1120">
        <f>VLOOKUP(A49,'07'!$A$1:$N$11836,12,FALSE)</f>
        <v>7200</v>
      </c>
      <c r="L49" s="1120">
        <f>VLOOKUP(A49,'07'!$A$1:$N$11836,14,FALSE)</f>
        <v>45960.040343749999</v>
      </c>
      <c r="M49" s="1120">
        <f>VLOOKUP(A49,'07'!$A$1:$N$11836,6,FALSE)</f>
        <v>1463224.04034375</v>
      </c>
      <c r="N49" s="1165" t="str">
        <f t="shared" si="0"/>
        <v>G974</v>
      </c>
    </row>
    <row r="50" spans="1:14" x14ac:dyDescent="0.25">
      <c r="A50" s="1119" t="s">
        <v>2378</v>
      </c>
      <c r="B50" s="1976" t="str">
        <f>VLOOKUP(A50,'07'!$A:$N,2,FALSE)</f>
        <v>SUMINISTRO E INSTALACION DE ESTRUCTURA METALICA PARA SOPORTE DE CUBIERTA.</v>
      </c>
      <c r="C50" s="1977"/>
      <c r="D50" s="1977"/>
      <c r="E50" s="1977"/>
      <c r="F50" s="1977"/>
      <c r="G50" s="1978"/>
      <c r="H50" s="1080" t="str">
        <f>VLOOKUP(A50,'07'!$A$1:$N$11836,4,FALSE)</f>
        <v>KG</v>
      </c>
      <c r="I50" s="1120">
        <f>VLOOKUP(A50,'07'!$A$1:$N$11836,8,FALSE)</f>
        <v>2449.7023809523807</v>
      </c>
      <c r="J50" s="1120">
        <f>VLOOKUP(A50,'07'!$A$1:$N$11836,10,FALSE)</f>
        <v>11773.1</v>
      </c>
      <c r="K50" s="1120">
        <f>VLOOKUP(A50,'07'!$A$1:$N$11836,12,FALSE)</f>
        <v>172.79999999999998</v>
      </c>
      <c r="L50" s="1120">
        <f>VLOOKUP(A50,'07'!$A$1:$N$11836,14,FALSE)</f>
        <v>9192.0080687499994</v>
      </c>
      <c r="M50" s="1120">
        <f>VLOOKUP(A50,'07'!$A$1:$N$11836,6,FALSE)</f>
        <v>23587.610449702377</v>
      </c>
      <c r="N50" s="1165" t="str">
        <f t="shared" si="0"/>
        <v>G973</v>
      </c>
    </row>
    <row r="51" spans="1:14" x14ac:dyDescent="0.25">
      <c r="A51" s="1119" t="s">
        <v>2379</v>
      </c>
      <c r="B51" s="1976" t="str">
        <f>VLOOKUP(A51,'07'!$A:$N,2,FALSE)</f>
        <v>CUBIERTA EN TEJA MATER 1000 PREPINTADA, INCLUYE SOPORTES Y TORNILLOS.</v>
      </c>
      <c r="C51" s="1977"/>
      <c r="D51" s="1977"/>
      <c r="E51" s="1977"/>
      <c r="F51" s="1977"/>
      <c r="G51" s="1978"/>
      <c r="H51" s="1080" t="str">
        <f>VLOOKUP(A51,'07'!$A$1:$N$11836,4,FALSE)</f>
        <v>M2</v>
      </c>
      <c r="I51" s="1120">
        <f>VLOOKUP(A51,'07'!$A$1:$N$11836,8,FALSE)</f>
        <v>2145.8333333333335</v>
      </c>
      <c r="J51" s="1120">
        <f>VLOOKUP(A51,'07'!$A$1:$N$11836,10,FALSE)</f>
        <v>56102.85</v>
      </c>
      <c r="K51" s="1120">
        <f>VLOOKUP(A51,'07'!$A$1:$N$11836,12,FALSE)</f>
        <v>1728</v>
      </c>
      <c r="L51" s="1120">
        <f>VLOOKUP(A51,'07'!$A$1:$N$11836,14,FALSE)</f>
        <v>13788.012103125</v>
      </c>
      <c r="M51" s="1120">
        <f>VLOOKUP(A51,'07'!$A$1:$N$11836,6,FALSE)</f>
        <v>73764.695436458336</v>
      </c>
      <c r="N51" s="1165" t="str">
        <f t="shared" si="0"/>
        <v>G972</v>
      </c>
    </row>
    <row r="52" spans="1:14" x14ac:dyDescent="0.25">
      <c r="A52" s="1119" t="s">
        <v>2381</v>
      </c>
      <c r="B52" s="1976" t="str">
        <f>VLOOKUP(A52,'07'!$A:$N,2,FALSE)</f>
        <v>SUMINISTRO E INSTALACIÓN DE ANCLAJE PARA COLUMNAS METÁLICAS, INCLUYE:  PLATINA DE 3/8" DE 0.20X0.20 METROS DOBLES, PERNOS EN VARILLA ROSCADA DE 1/2" DE 0.40 METROS, CON TUERCA Y ARANDELA DE SEGURIDAD</v>
      </c>
      <c r="C52" s="1977"/>
      <c r="D52" s="1977"/>
      <c r="E52" s="1977"/>
      <c r="F52" s="1977"/>
      <c r="G52" s="1978"/>
      <c r="H52" s="1080" t="str">
        <f>VLOOKUP(A52,'07'!$A$1:$N$11836,4,FALSE)</f>
        <v>UND</v>
      </c>
      <c r="I52" s="1120">
        <f>VLOOKUP(A52,'07'!$A$1:$N$11836,8,FALSE)</f>
        <v>14093.75</v>
      </c>
      <c r="J52" s="1120">
        <f>VLOOKUP(A52,'07'!$A$1:$N$11836,10,FALSE)</f>
        <v>393904</v>
      </c>
      <c r="K52" s="1120">
        <f>VLOOKUP(A52,'07'!$A$1:$N$11836,12,FALSE)</f>
        <v>0</v>
      </c>
      <c r="L52" s="1120">
        <f>VLOOKUP(A52,'07'!$A$1:$N$11836,14,FALSE)</f>
        <v>68940.060515624995</v>
      </c>
      <c r="M52" s="1120">
        <f>VLOOKUP(A52,'07'!$A$1:$N$11836,6,FALSE)</f>
        <v>476937.81051562499</v>
      </c>
      <c r="N52" s="1165" t="str">
        <f t="shared" si="0"/>
        <v>G971</v>
      </c>
    </row>
    <row r="53" spans="1:14" x14ac:dyDescent="0.25">
      <c r="A53" s="1119" t="s">
        <v>2383</v>
      </c>
      <c r="B53" s="1976" t="str">
        <f>VLOOKUP(A53,'07'!$A:$N,2,FALSE)</f>
        <v>SUMINISTRO E INSTALACIÓN DE BOMBA DOSIFICADORA DE PRODUCTOS QUIMICOS TIPO DIAFRAGMA.</v>
      </c>
      <c r="C53" s="1977"/>
      <c r="D53" s="1977"/>
      <c r="E53" s="1977"/>
      <c r="F53" s="1977"/>
      <c r="G53" s="1978"/>
      <c r="H53" s="1080" t="str">
        <f>VLOOKUP(A53,'07'!$A$1:$N$11836,4,FALSE)</f>
        <v>UND</v>
      </c>
      <c r="I53" s="1120">
        <f>VLOOKUP(A53,'07'!$A$1:$N$11836,8,FALSE)</f>
        <v>500</v>
      </c>
      <c r="J53" s="1120">
        <f>VLOOKUP(A53,'07'!$A$1:$N$11836,10,FALSE)</f>
        <v>4080435.1300000004</v>
      </c>
      <c r="K53" s="1120">
        <f>VLOOKUP(A53,'07'!$A$1:$N$11836,12,FALSE)</f>
        <v>24480</v>
      </c>
      <c r="L53" s="1120">
        <f>VLOOKUP(A53,'07'!$A$1:$N$11836,14,FALSE)</f>
        <v>100276.4516590909</v>
      </c>
      <c r="M53" s="1120">
        <f>VLOOKUP(A53,'07'!$A$1:$N$11836,6,FALSE)</f>
        <v>4205691.5816590916</v>
      </c>
      <c r="N53" s="1165" t="str">
        <f t="shared" si="0"/>
        <v>G970</v>
      </c>
    </row>
    <row r="54" spans="1:14" x14ac:dyDescent="0.25">
      <c r="A54" s="1119" t="s">
        <v>2385</v>
      </c>
      <c r="B54" s="1976" t="str">
        <f>VLOOKUP(A54,'07'!$A:$N,2,FALSE)</f>
        <v xml:space="preserve">SUMINISTRO E INSTALACIÓN MACROMEDIDOR DE 8". INCLUYE ACCESORIOS. INCLUYE CAJA DE CONCRETO REFORZADA. </v>
      </c>
      <c r="C54" s="1977"/>
      <c r="D54" s="1977"/>
      <c r="E54" s="1977"/>
      <c r="F54" s="1977"/>
      <c r="G54" s="1978"/>
      <c r="H54" s="1080" t="str">
        <f>VLOOKUP(A54,'07'!$A$1:$N$11836,4,FALSE)</f>
        <v>UND</v>
      </c>
      <c r="I54" s="1120">
        <f>VLOOKUP(A54,'07'!$A$1:$N$11836,8,FALSE)</f>
        <v>500</v>
      </c>
      <c r="J54" s="1120" t="e">
        <f>VLOOKUP(A54,'07'!$A$1:$N$11836,10,FALSE)</f>
        <v>#REF!</v>
      </c>
      <c r="K54" s="1120">
        <f>VLOOKUP(A54,'07'!$A$1:$N$11836,12,FALSE)</f>
        <v>7200</v>
      </c>
      <c r="L54" s="1120">
        <f>VLOOKUP(A54,'07'!$A$1:$N$11836,14,FALSE)</f>
        <v>2240547.5371874999</v>
      </c>
      <c r="M54" s="1120" t="e">
        <f>VLOOKUP(A54,'07'!$A$1:$N$11836,6,FALSE)</f>
        <v>#REF!</v>
      </c>
      <c r="N54" s="1165" t="str">
        <f t="shared" si="0"/>
        <v>G969</v>
      </c>
    </row>
    <row r="55" spans="1:14" x14ac:dyDescent="0.25">
      <c r="A55" s="1119" t="s">
        <v>2386</v>
      </c>
      <c r="B55" s="1976" t="str">
        <f>VLOOKUP(A55,'07'!$A:$N,2,FALSE)</f>
        <v xml:space="preserve">CONCRETO NORMAL - 3000 PSI (210 KG/CM2) </v>
      </c>
      <c r="C55" s="1977"/>
      <c r="D55" s="1977"/>
      <c r="E55" s="1977"/>
      <c r="F55" s="1977"/>
      <c r="G55" s="1978"/>
      <c r="H55" s="1080" t="str">
        <f>VLOOKUP(A55,'07'!$A$1:$N$11836,4,FALSE)</f>
        <v>M3</v>
      </c>
      <c r="I55" s="1120" t="e">
        <f>VLOOKUP(A55,'07'!$A$1:$N$11836,8,FALSE)</f>
        <v>#REF!</v>
      </c>
      <c r="J55" s="1120">
        <f>VLOOKUP(A55,'07'!$A$1:$N$11836,10,FALSE)</f>
        <v>315773.59999999998</v>
      </c>
      <c r="K55" s="1120">
        <f>VLOOKUP(A55,'07'!$A$1:$N$11836,12,FALSE)</f>
        <v>7200</v>
      </c>
      <c r="L55" s="1120">
        <f>VLOOKUP(A55,'07'!$A$1:$N$11836,14,FALSE)</f>
        <v>212334.89027624999</v>
      </c>
      <c r="M55" s="1120" t="e">
        <f>VLOOKUP(A55,'07'!$A$1:$N$11836,6,FALSE)</f>
        <v>#REF!</v>
      </c>
      <c r="N55" s="1165" t="str">
        <f t="shared" si="0"/>
        <v>G968</v>
      </c>
    </row>
    <row r="56" spans="1:14" x14ac:dyDescent="0.25">
      <c r="A56" s="1119" t="s">
        <v>2389</v>
      </c>
      <c r="B56" s="1976" t="str">
        <f>VLOOKUP(A56,'07'!$A:$N,2,FALSE)</f>
        <v xml:space="preserve">SUMINISTRO E INSTALACIÓN MACROMEDIDOR DE 6". INCLUYE ACCESORIOS. INCLUYE CAJA DE CONCRETO REFORZADA. </v>
      </c>
      <c r="C56" s="1977"/>
      <c r="D56" s="1977"/>
      <c r="E56" s="1977"/>
      <c r="F56" s="1977"/>
      <c r="G56" s="1978"/>
      <c r="H56" s="1080" t="str">
        <f>VLOOKUP(A56,'07'!$A$1:$N$11836,4,FALSE)</f>
        <v>UND</v>
      </c>
      <c r="I56" s="1120">
        <f>VLOOKUP(A56,'07'!$A$1:$N$11836,8,FALSE)</f>
        <v>833.33333333333337</v>
      </c>
      <c r="J56" s="1120" t="e">
        <f>VLOOKUP(A56,'07'!$A$1:$N$11836,10,FALSE)</f>
        <v>#REF!</v>
      </c>
      <c r="K56" s="1120">
        <f>VLOOKUP(A56,'07'!$A$1:$N$11836,12,FALSE)</f>
        <v>7200</v>
      </c>
      <c r="L56" s="1120">
        <f>VLOOKUP(A56,'07'!$A$1:$N$11836,14,FALSE)</f>
        <v>2240547.5371874999</v>
      </c>
      <c r="M56" s="1120" t="e">
        <f>VLOOKUP(A56,'07'!$A$1:$N$11836,6,FALSE)</f>
        <v>#REF!</v>
      </c>
      <c r="N56" s="1165" t="str">
        <f t="shared" si="0"/>
        <v>G967</v>
      </c>
    </row>
    <row r="57" spans="1:14" x14ac:dyDescent="0.25">
      <c r="A57" s="1119" t="s">
        <v>2390</v>
      </c>
      <c r="B57" s="1976" t="str">
        <f>VLOOKUP(A57,'07'!$A:$N,2,FALSE)</f>
        <v>MÓDULOS DE DIVISIÓN DE CUBICULOS DE OFICINA. INCLUYE TODO LO NECESARIO PARA SU CORRECTA INSTALACIÓN Y FUNCIONAMIENTO.</v>
      </c>
      <c r="C57" s="1977"/>
      <c r="D57" s="1977"/>
      <c r="E57" s="1977"/>
      <c r="F57" s="1977"/>
      <c r="G57" s="1978"/>
      <c r="H57" s="1080" t="str">
        <f>VLOOKUP(A57,'07'!$A$1:$N$11836,4,FALSE)</f>
        <v>M2</v>
      </c>
      <c r="I57" s="1120">
        <f>VLOOKUP(A57,'07'!$A$1:$N$11836,8,FALSE)</f>
        <v>500</v>
      </c>
      <c r="J57" s="1120">
        <f>VLOOKUP(A57,'07'!$A$1:$N$11836,10,FALSE)</f>
        <v>500000</v>
      </c>
      <c r="K57" s="1120">
        <f>VLOOKUP(A57,'07'!$A$1:$N$11836,12,FALSE)</f>
        <v>28800</v>
      </c>
      <c r="L57" s="1120">
        <f>VLOOKUP(A57,'07'!$A$1:$N$11836,14,FALSE)</f>
        <v>114899.87370192308</v>
      </c>
      <c r="M57" s="1120">
        <f>VLOOKUP(A57,'07'!$A$1:$N$11836,6,FALSE)</f>
        <v>644199.87370192306</v>
      </c>
      <c r="N57" s="1165" t="str">
        <f t="shared" si="0"/>
        <v>G966</v>
      </c>
    </row>
    <row r="58" spans="1:14" x14ac:dyDescent="0.25">
      <c r="A58" s="1119" t="s">
        <v>2392</v>
      </c>
      <c r="B58" s="1976" t="str">
        <f>VLOOKUP(A58,'07'!$A:$N,2,FALSE)</f>
        <v>AIREADOR DE BANDEJAS (3 UNIDADES) DE SECCIÓN 1.34X1.34M. EN ACERO INOXIDABLE. LÁMINA CAL. 3/16", TUBERÍA CUADRADA DE 25X25X1.5MM PARA SOPORTE Y TUBERÍA CUADRADA DE 50X50X1.5 MM PARA ESTRUCTURA PRINCIPAL. INCLUYE ESCALERA DE GATO.</v>
      </c>
      <c r="C58" s="1977"/>
      <c r="D58" s="1977"/>
      <c r="E58" s="1977"/>
      <c r="F58" s="1977"/>
      <c r="G58" s="1978"/>
      <c r="H58" s="1080" t="str">
        <f>VLOOKUP(A58,'07'!$A$1:$N$11836,4,FALSE)</f>
        <v>UND</v>
      </c>
      <c r="I58" s="1120">
        <f>VLOOKUP(A58,'07'!$A$1:$N$11836,8,FALSE)</f>
        <v>500</v>
      </c>
      <c r="J58" s="1120">
        <f>VLOOKUP(A58,'07'!$A$1:$N$11836,10,FALSE)</f>
        <v>11550000</v>
      </c>
      <c r="K58" s="1120">
        <f>VLOOKUP(A58,'07'!$A$1:$N$11836,12,FALSE)</f>
        <v>36000</v>
      </c>
      <c r="L58" s="1120">
        <f>VLOOKUP(A58,'07'!$A$1:$N$11836,14,FALSE)</f>
        <v>256062.57567857145</v>
      </c>
      <c r="M58" s="1120">
        <f>VLOOKUP(A58,'07'!$A$1:$N$11836,6,FALSE)</f>
        <v>11842562.575678572</v>
      </c>
      <c r="N58" s="1165" t="str">
        <f t="shared" si="0"/>
        <v>G965</v>
      </c>
    </row>
    <row r="59" spans="1:14" x14ac:dyDescent="0.25">
      <c r="A59" s="1119" t="s">
        <v>2399</v>
      </c>
      <c r="B59" s="1976" t="str">
        <f>VLOOKUP(A59,'07'!$A:$N,2,FALSE)</f>
        <v>SUMINISTRO E INSTALACIÓN SISTEMA DE ALMENARA PARA TUBERÍA PVC PRESIÓN DE 8".</v>
      </c>
      <c r="C59" s="1977"/>
      <c r="D59" s="1977"/>
      <c r="E59" s="1977"/>
      <c r="F59" s="1977"/>
      <c r="G59" s="1978"/>
      <c r="H59" s="1080" t="str">
        <f>VLOOKUP(A59,'07'!$A$1:$N$11836,4,FALSE)</f>
        <v>UND</v>
      </c>
      <c r="I59" s="1120">
        <f>VLOOKUP(A59,'07'!$A$1:$N$11836,8,FALSE)</f>
        <v>115.38461538461539</v>
      </c>
      <c r="J59" s="1120">
        <f>VLOOKUP(A59,'07'!$A$1:$N$11836,10,FALSE)</f>
        <v>2818126.2399999998</v>
      </c>
      <c r="K59" s="1120">
        <f>VLOOKUP(A59,'07'!$A$1:$N$11836,12,FALSE)</f>
        <v>0</v>
      </c>
      <c r="L59" s="1120">
        <f>VLOOKUP(A59,'07'!$A$1:$N$11836,14,FALSE)</f>
        <v>110304.096825</v>
      </c>
      <c r="M59" s="1120">
        <f>VLOOKUP(A59,'07'!$A$1:$N$11836,6,FALSE)</f>
        <v>2928545.7214403842</v>
      </c>
      <c r="N59" s="1165" t="str">
        <f t="shared" si="0"/>
        <v>G964</v>
      </c>
    </row>
    <row r="60" spans="1:14" x14ac:dyDescent="0.25">
      <c r="A60" s="1119" t="s">
        <v>2401</v>
      </c>
      <c r="B60" s="1976" t="str">
        <f>VLOOKUP(A60,'07'!$A:$N,2,FALSE)</f>
        <v xml:space="preserve">SUMINISTRO E INSTALACIÓN CODO PVC DE 90 GRADOS PRESIÓN DE 8". INCLUYE UNIÓN DE REPARACIÓN. </v>
      </c>
      <c r="C60" s="1977"/>
      <c r="D60" s="1977"/>
      <c r="E60" s="1977"/>
      <c r="F60" s="1977"/>
      <c r="G60" s="1978"/>
      <c r="H60" s="1080" t="str">
        <f>VLOOKUP(A60,'07'!$A$1:$N$11836,4,FALSE)</f>
        <v>UND</v>
      </c>
      <c r="I60" s="1120">
        <f>VLOOKUP(A60,'07'!$A$1:$N$11836,8,FALSE)</f>
        <v>500</v>
      </c>
      <c r="J60" s="1120">
        <f>VLOOKUP(A60,'07'!$A$1:$N$11836,10,FALSE)</f>
        <v>1660143.6</v>
      </c>
      <c r="K60" s="1120">
        <f>VLOOKUP(A60,'07'!$A$1:$N$11836,12,FALSE)</f>
        <v>0</v>
      </c>
      <c r="L60" s="1120">
        <f>VLOOKUP(A60,'07'!$A$1:$N$11836,14,FALSE)</f>
        <v>44121.638729999999</v>
      </c>
      <c r="M60" s="1120">
        <f>VLOOKUP(A60,'07'!$A$1:$N$11836,6,FALSE)</f>
        <v>1704765.2387300001</v>
      </c>
      <c r="N60" s="1165" t="str">
        <f t="shared" si="0"/>
        <v>G963</v>
      </c>
    </row>
    <row r="61" spans="1:14" x14ac:dyDescent="0.25">
      <c r="A61" s="1119" t="s">
        <v>2403</v>
      </c>
      <c r="B61" s="1976" t="str">
        <f>VLOOKUP(A61,'07'!$A:$N,2,FALSE)</f>
        <v xml:space="preserve"> SUMINISTRO E INSTALACIÓN DE TEE HF DE 8"X8" EXTREMO BRIDAS PARA CONEXIÓN DE TUBERÍA PVC.</v>
      </c>
      <c r="C61" s="1977"/>
      <c r="D61" s="1977"/>
      <c r="E61" s="1977"/>
      <c r="F61" s="1977"/>
      <c r="G61" s="1978"/>
      <c r="H61" s="1080" t="str">
        <f>VLOOKUP(A61,'07'!$A$1:$N$11836,4,FALSE)</f>
        <v>UND</v>
      </c>
      <c r="I61" s="1120">
        <f>VLOOKUP(A61,'07'!$A$1:$N$11836,8,FALSE)</f>
        <v>15000</v>
      </c>
      <c r="J61" s="1120">
        <f>VLOOKUP(A61,'07'!$A$1:$N$11836,10,FALSE)</f>
        <v>2822495.6</v>
      </c>
      <c r="K61" s="1120">
        <f>VLOOKUP(A61,'07'!$A$1:$N$11836,12,FALSE)</f>
        <v>0</v>
      </c>
      <c r="L61" s="1120">
        <f>VLOOKUP(A61,'07'!$A$1:$N$11836,14,FALSE)</f>
        <v>229800.20171875</v>
      </c>
      <c r="M61" s="1120">
        <f>VLOOKUP(A61,'07'!$A$1:$N$11836,6,FALSE)</f>
        <v>3067295.80171875</v>
      </c>
      <c r="N61" s="1165" t="str">
        <f t="shared" si="0"/>
        <v>G962</v>
      </c>
    </row>
    <row r="62" spans="1:14" x14ac:dyDescent="0.25">
      <c r="A62" s="1119" t="s">
        <v>2430</v>
      </c>
      <c r="B62" s="1976" t="str">
        <f>VLOOKUP(A62,'07'!$A:$N,2,FALSE)</f>
        <v>SUMINISTRO E INSTALACIÓN PASAMURO HD 12" BXB=0,75M Z=0.375 M.</v>
      </c>
      <c r="C62" s="1977"/>
      <c r="D62" s="1977"/>
      <c r="E62" s="1977"/>
      <c r="F62" s="1977"/>
      <c r="G62" s="1978"/>
      <c r="H62" s="1080" t="str">
        <f>VLOOKUP(A62,'07'!$A$1:$N$11836,4,FALSE)</f>
        <v>UND</v>
      </c>
      <c r="I62" s="1120">
        <f>VLOOKUP(A62,'07'!$A$1:$N$11836,8,FALSE)</f>
        <v>5000</v>
      </c>
      <c r="J62" s="1120">
        <f>VLOOKUP(A62,'07'!$A$1:$N$11836,10,FALSE)</f>
        <v>1880200</v>
      </c>
      <c r="K62" s="1120">
        <f>VLOOKUP(A62,'07'!$A$1:$N$11836,12,FALSE)</f>
        <v>0</v>
      </c>
      <c r="L62" s="1120">
        <f>VLOOKUP(A62,'07'!$A$1:$N$11836,14,FALSE)</f>
        <v>85791.970311111116</v>
      </c>
      <c r="M62" s="1120">
        <f>VLOOKUP(A62,'07'!$A$1:$N$11836,6,FALSE)</f>
        <v>1970991.9703111111</v>
      </c>
      <c r="N62" s="1165" t="str">
        <f t="shared" si="0"/>
        <v>G961</v>
      </c>
    </row>
    <row r="63" spans="1:14" x14ac:dyDescent="0.25">
      <c r="A63" s="1119" t="s">
        <v>2476</v>
      </c>
      <c r="B63" s="1976" t="str">
        <f>VLOOKUP(A63,'07'!$A:$N,2,FALSE)</f>
        <v xml:space="preserve">SUMINISTRO E INSTALACIÓN CODO PVC DE 90 GRADOS PRESIÓN DE 6". INCLUYE UNIÓN DE REPARACIÓN. </v>
      </c>
      <c r="C63" s="1977"/>
      <c r="D63" s="1977"/>
      <c r="E63" s="1977"/>
      <c r="F63" s="1977"/>
      <c r="G63" s="1978"/>
      <c r="H63" s="1080" t="str">
        <f>VLOOKUP(A63,'07'!$A$1:$N$11836,4,FALSE)</f>
        <v>UND</v>
      </c>
      <c r="I63" s="1120">
        <f>VLOOKUP(A63,'07'!$A$1:$N$11836,8,FALSE)</f>
        <v>1875</v>
      </c>
      <c r="J63" s="1120">
        <f>VLOOKUP(A63,'07'!$A$1:$N$11836,10,FALSE)</f>
        <v>824402.60000000009</v>
      </c>
      <c r="K63" s="1120">
        <f>VLOOKUP(A63,'07'!$A$1:$N$11836,12,FALSE)</f>
        <v>0</v>
      </c>
      <c r="L63" s="1120">
        <f>VLOOKUP(A63,'07'!$A$1:$N$11836,14,FALSE)</f>
        <v>44121.638729999999</v>
      </c>
      <c r="M63" s="1120">
        <f>VLOOKUP(A63,'07'!$A$1:$N$11836,6,FALSE)</f>
        <v>870399.2387300001</v>
      </c>
      <c r="N63" s="1165" t="str">
        <f t="shared" si="0"/>
        <v>G960</v>
      </c>
    </row>
    <row r="64" spans="1:14" x14ac:dyDescent="0.25">
      <c r="A64" s="1119" t="s">
        <v>2479</v>
      </c>
      <c r="B64" s="1976" t="str">
        <f>VLOOKUP(A64,'07'!$A:$N,2,FALSE)</f>
        <v xml:space="preserve"> SUMINISTRO E INSTALACIÓN DE TEE HF DE 6"X6" EXTREMO BRIDAS PARA CONEXIÓN DE TUBERÍA PVC.</v>
      </c>
      <c r="C64" s="1977"/>
      <c r="D64" s="1977"/>
      <c r="E64" s="1977"/>
      <c r="F64" s="1977"/>
      <c r="G64" s="1978"/>
      <c r="H64" s="1080" t="str">
        <f>VLOOKUP(A64,'07'!$A$1:$N$11836,4,FALSE)</f>
        <v>UND</v>
      </c>
      <c r="I64" s="1120">
        <f>VLOOKUP(A64,'07'!$A$1:$N$11836,8,FALSE)</f>
        <v>15000</v>
      </c>
      <c r="J64" s="1120">
        <f>VLOOKUP(A64,'07'!$A$1:$N$11836,10,FALSE)</f>
        <v>1772625.5999999999</v>
      </c>
      <c r="K64" s="1120">
        <f>VLOOKUP(A64,'07'!$A$1:$N$11836,12,FALSE)</f>
        <v>0</v>
      </c>
      <c r="L64" s="1120">
        <f>VLOOKUP(A64,'07'!$A$1:$N$11836,14,FALSE)</f>
        <v>229800.20171875</v>
      </c>
      <c r="M64" s="1120">
        <f>VLOOKUP(A64,'07'!$A$1:$N$11836,6,FALSE)</f>
        <v>2017425.8017187498</v>
      </c>
      <c r="N64" s="1165" t="str">
        <f t="shared" si="0"/>
        <v>G959</v>
      </c>
    </row>
    <row r="65" spans="1:14" x14ac:dyDescent="0.25">
      <c r="A65" s="1119" t="s">
        <v>2481</v>
      </c>
      <c r="B65" s="1976" t="str">
        <f>VLOOKUP(A65,'07'!$A:$N,2,FALSE)</f>
        <v xml:space="preserve"> SUMINISTRO E INSTALACIÓN DE BRIDA AJUSTABLE DE 8" SCH80 150 PSI PARA CONEXIÓN DE TUBERÍA PVC.</v>
      </c>
      <c r="C65" s="1977"/>
      <c r="D65" s="1977"/>
      <c r="E65" s="1977"/>
      <c r="F65" s="1977"/>
      <c r="G65" s="1978"/>
      <c r="H65" s="1080" t="str">
        <f>VLOOKUP(A65,'07'!$A$1:$N$11836,4,FALSE)</f>
        <v>UND</v>
      </c>
      <c r="I65" s="1120">
        <f>VLOOKUP(A65,'07'!$A$1:$N$11836,8,FALSE)</f>
        <v>15000</v>
      </c>
      <c r="J65" s="1120">
        <f>VLOOKUP(A65,'07'!$A$1:$N$11836,10,FALSE)</f>
        <v>948245.6</v>
      </c>
      <c r="K65" s="1120">
        <f>VLOOKUP(A65,'07'!$A$1:$N$11836,12,FALSE)</f>
        <v>0</v>
      </c>
      <c r="L65" s="1120">
        <f>VLOOKUP(A65,'07'!$A$1:$N$11836,14,FALSE)</f>
        <v>110304.096825</v>
      </c>
      <c r="M65" s="1120">
        <f>VLOOKUP(A65,'07'!$A$1:$N$11836,6,FALSE)</f>
        <v>1073549.696825</v>
      </c>
      <c r="N65" s="1165" t="str">
        <f t="shared" si="0"/>
        <v>G958</v>
      </c>
    </row>
    <row r="66" spans="1:14" x14ac:dyDescent="0.25">
      <c r="A66" s="1119" t="s">
        <v>2504</v>
      </c>
      <c r="B66" s="1976" t="str">
        <f>VLOOKUP(A66,'07'!$A:$N,2,FALSE)</f>
        <v>RELLENO CON TRITURADO PASANTE 1", RETENIDO 1/2" PARA FILTRO EN SECADO DE LODOS.</v>
      </c>
      <c r="C66" s="1977"/>
      <c r="D66" s="1977"/>
      <c r="E66" s="1977"/>
      <c r="F66" s="1977"/>
      <c r="G66" s="1978"/>
      <c r="H66" s="1080" t="str">
        <f>VLOOKUP(A66,'07'!$A$1:$N$11836,4,FALSE)</f>
        <v>M3</v>
      </c>
      <c r="I66" s="1120">
        <f>VLOOKUP(A66,'07'!$A$1:$N$11836,8,FALSE)</f>
        <v>1500</v>
      </c>
      <c r="J66" s="1120">
        <f>VLOOKUP(A66,'07'!$A$1:$N$11836,10,FALSE)</f>
        <v>57120</v>
      </c>
      <c r="K66" s="1120">
        <f>VLOOKUP(A66,'07'!$A$1:$N$11836,12,FALSE)</f>
        <v>23040</v>
      </c>
      <c r="L66" s="1120">
        <f>VLOOKUP(A66,'07'!$A$1:$N$11836,14,FALSE)</f>
        <v>17727.422882508221</v>
      </c>
      <c r="M66" s="1120">
        <f>VLOOKUP(A66,'07'!$A$1:$N$11836,6,FALSE)</f>
        <v>99387.422882508225</v>
      </c>
      <c r="N66" s="1165" t="str">
        <f t="shared" si="0"/>
        <v>G957</v>
      </c>
    </row>
    <row r="67" spans="1:14" x14ac:dyDescent="0.25">
      <c r="A67" s="1119" t="s">
        <v>2512</v>
      </c>
      <c r="B67" s="1976" t="str">
        <f>VLOOKUP(A67,'07'!$A:$N,2,FALSE)</f>
        <v xml:space="preserve">SUMINISTRO E INSTALACIÓN CODO PVC DE 90 GRADOS PRESIÓN DE 4". INCLUYE UNIÓN DE REPARACIÓN. </v>
      </c>
      <c r="C67" s="1977"/>
      <c r="D67" s="1977"/>
      <c r="E67" s="1977"/>
      <c r="F67" s="1977"/>
      <c r="G67" s="1978"/>
      <c r="H67" s="1080" t="str">
        <f>VLOOKUP(A67,'07'!$A$1:$N$11836,4,FALSE)</f>
        <v>UND</v>
      </c>
      <c r="I67" s="1120">
        <f>VLOOKUP(A67,'07'!$A$1:$N$11836,8,FALSE)</f>
        <v>1875</v>
      </c>
      <c r="J67" s="1120">
        <f>VLOOKUP(A67,'07'!$A$1:$N$11836,10,FALSE)</f>
        <v>604297.70000000007</v>
      </c>
      <c r="K67" s="1120">
        <f>VLOOKUP(A67,'07'!$A$1:$N$11836,12,FALSE)</f>
        <v>0</v>
      </c>
      <c r="L67" s="1120">
        <f>VLOOKUP(A67,'07'!$A$1:$N$11836,14,FALSE)</f>
        <v>44121.638729999999</v>
      </c>
      <c r="M67" s="1120">
        <f>VLOOKUP(A67,'07'!$A$1:$N$11836,6,FALSE)</f>
        <v>650294.33873000008</v>
      </c>
      <c r="N67" s="1165" t="str">
        <f t="shared" si="0"/>
        <v>G956</v>
      </c>
    </row>
    <row r="68" spans="1:14" x14ac:dyDescent="0.25">
      <c r="A68" s="1119" t="s">
        <v>2517</v>
      </c>
      <c r="B68" s="1976" t="str">
        <f>VLOOKUP(A68,'07'!$A:$N,2,FALSE)</f>
        <v xml:space="preserve">SUMINISTRO E INSTALACIÓN TEE PVC PRESIÓN DE 4"X4". INCLUYE UNIÓN DE REPARACIÓN. </v>
      </c>
      <c r="C68" s="1977"/>
      <c r="D68" s="1977"/>
      <c r="E68" s="1977"/>
      <c r="F68" s="1977"/>
      <c r="G68" s="1978"/>
      <c r="H68" s="1080" t="str">
        <f>VLOOKUP(A68,'07'!$A$1:$N$11836,4,FALSE)</f>
        <v>UND</v>
      </c>
      <c r="I68" s="1120">
        <f>VLOOKUP(A68,'07'!$A$1:$N$11836,8,FALSE)</f>
        <v>1875</v>
      </c>
      <c r="J68" s="1120">
        <f>VLOOKUP(A68,'07'!$A$1:$N$11836,10,FALSE)</f>
        <v>844108.47500000009</v>
      </c>
      <c r="K68" s="1120">
        <f>VLOOKUP(A68,'07'!$A$1:$N$11836,12,FALSE)</f>
        <v>0</v>
      </c>
      <c r="L68" s="1120">
        <f>VLOOKUP(A68,'07'!$A$1:$N$11836,14,FALSE)</f>
        <v>44121.638729999999</v>
      </c>
      <c r="M68" s="1120">
        <f>VLOOKUP(A68,'07'!$A$1:$N$11836,6,FALSE)</f>
        <v>890105.1137300001</v>
      </c>
      <c r="N68" s="1165" t="str">
        <f t="shared" si="0"/>
        <v>G955</v>
      </c>
    </row>
    <row r="69" spans="1:14" x14ac:dyDescent="0.25">
      <c r="A69" s="1119" t="s">
        <v>2531</v>
      </c>
      <c r="B69" s="1976" t="str">
        <f>VLOOKUP(A69,'07'!$A:$N,2,FALSE)</f>
        <v>SUMINISTRO E INSTALACIÓN TUBERÍA DE VENTILACIÓN DE 6". INCLUYE CODOS. PASAMURO. ACCESORIOS DE ENTREGA E INSTALACIÓN.</v>
      </c>
      <c r="C69" s="1977"/>
      <c r="D69" s="1977"/>
      <c r="E69" s="1977"/>
      <c r="F69" s="1977"/>
      <c r="G69" s="1978"/>
      <c r="H69" s="1080" t="str">
        <f>VLOOKUP(A69,'07'!$A$1:$N$11836,4,FALSE)</f>
        <v>UND</v>
      </c>
      <c r="I69" s="1120">
        <f>VLOOKUP(A69,'07'!$A$1:$N$11836,8,FALSE)</f>
        <v>7500</v>
      </c>
      <c r="J69" s="1120">
        <f>VLOOKUP(A69,'07'!$A$1:$N$11836,10,FALSE)</f>
        <v>2467707.5</v>
      </c>
      <c r="K69" s="1120">
        <f>VLOOKUP(A69,'07'!$A$1:$N$11836,12,FALSE)</f>
        <v>162</v>
      </c>
      <c r="L69" s="1120">
        <f>VLOOKUP(A69,'07'!$A$1:$N$11836,14,FALSE)</f>
        <v>128687.96</v>
      </c>
      <c r="M69" s="1120">
        <f>VLOOKUP(A69,'07'!$A$1:$N$11836,6,FALSE)</f>
        <v>2604057.46</v>
      </c>
      <c r="N69" s="1165" t="str">
        <f t="shared" si="0"/>
        <v>G954</v>
      </c>
    </row>
    <row r="70" spans="1:14" x14ac:dyDescent="0.25">
      <c r="A70" s="1119" t="s">
        <v>2535</v>
      </c>
      <c r="B70" s="1976" t="str">
        <f>VLOOKUP(A70,'07'!$A:$N,2,FALSE)</f>
        <v>SUMINISTRO E INSTALACIÓN DE ESCALERA GATO PARA INSPECCIÓN DE ESTRUCTURAS.</v>
      </c>
      <c r="C70" s="1977"/>
      <c r="D70" s="1977"/>
      <c r="E70" s="1977"/>
      <c r="F70" s="1977"/>
      <c r="G70" s="1978"/>
      <c r="H70" s="1080" t="str">
        <f>VLOOKUP(A70,'07'!$A$1:$N$11836,4,FALSE)</f>
        <v>UND</v>
      </c>
      <c r="I70" s="1120">
        <f>VLOOKUP(A70,'07'!$A$1:$N$11836,8,FALSE)</f>
        <v>10937.5</v>
      </c>
      <c r="J70" s="1120">
        <f>VLOOKUP(A70,'07'!$A$1:$N$11836,10,FALSE)</f>
        <v>91630</v>
      </c>
      <c r="K70" s="1120">
        <f>VLOOKUP(A70,'07'!$A$1:$N$11836,12,FALSE)</f>
        <v>162</v>
      </c>
      <c r="L70" s="1120">
        <f>VLOOKUP(A70,'07'!$A$1:$N$11836,14,FALSE)</f>
        <v>44121.64</v>
      </c>
      <c r="M70" s="1120">
        <f>VLOOKUP(A70,'07'!$A$1:$N$11836,6,FALSE)</f>
        <v>146851.14000000001</v>
      </c>
      <c r="N70" s="1165" t="str">
        <f t="shared" si="0"/>
        <v>G953</v>
      </c>
    </row>
    <row r="71" spans="1:14" x14ac:dyDescent="0.25">
      <c r="N71" s="1165"/>
    </row>
    <row r="72" spans="1:14" x14ac:dyDescent="0.25">
      <c r="N72" s="1165"/>
    </row>
    <row r="73" spans="1:14" x14ac:dyDescent="0.25">
      <c r="N73" s="1165"/>
    </row>
    <row r="74" spans="1:14" x14ac:dyDescent="0.25">
      <c r="N74" s="1165"/>
    </row>
    <row r="75" spans="1:14" x14ac:dyDescent="0.25">
      <c r="N75" s="1165"/>
    </row>
    <row r="76" spans="1:14" x14ac:dyDescent="0.25">
      <c r="N76" s="1165"/>
    </row>
    <row r="77" spans="1:14" x14ac:dyDescent="0.25">
      <c r="N77" s="1165"/>
    </row>
    <row r="78" spans="1:14" x14ac:dyDescent="0.25">
      <c r="N78" s="1165"/>
    </row>
    <row r="79" spans="1:14" x14ac:dyDescent="0.25">
      <c r="N79" s="1165"/>
    </row>
    <row r="80" spans="1:14" x14ac:dyDescent="0.25">
      <c r="N80" s="1165"/>
    </row>
    <row r="81" spans="14:14" x14ac:dyDescent="0.25">
      <c r="N81" s="1165"/>
    </row>
    <row r="82" spans="14:14" x14ac:dyDescent="0.25">
      <c r="N82" s="1165"/>
    </row>
    <row r="83" spans="14:14" x14ac:dyDescent="0.25">
      <c r="N83" s="1165"/>
    </row>
    <row r="84" spans="14:14" x14ac:dyDescent="0.25">
      <c r="N84" s="1165"/>
    </row>
    <row r="85" spans="14:14" x14ac:dyDescent="0.25">
      <c r="N85" s="1165"/>
    </row>
    <row r="86" spans="14:14" x14ac:dyDescent="0.25">
      <c r="N86" s="1165"/>
    </row>
    <row r="87" spans="14:14" x14ac:dyDescent="0.25">
      <c r="N87" s="1165"/>
    </row>
    <row r="88" spans="14:14" x14ac:dyDescent="0.25">
      <c r="N88" s="1165"/>
    </row>
    <row r="89" spans="14:14" x14ac:dyDescent="0.25">
      <c r="N89" s="1165"/>
    </row>
    <row r="90" spans="14:14" x14ac:dyDescent="0.25">
      <c r="N90" s="1165"/>
    </row>
    <row r="91" spans="14:14" x14ac:dyDescent="0.25">
      <c r="N91" s="1165">
        <f t="shared" ref="N91:N136" si="1">A91</f>
        <v>0</v>
      </c>
    </row>
    <row r="92" spans="14:14" x14ac:dyDescent="0.25">
      <c r="N92" s="1165">
        <f t="shared" si="1"/>
        <v>0</v>
      </c>
    </row>
    <row r="93" spans="14:14" x14ac:dyDescent="0.25">
      <c r="N93" s="1165">
        <f t="shared" si="1"/>
        <v>0</v>
      </c>
    </row>
    <row r="94" spans="14:14" x14ac:dyDescent="0.25">
      <c r="N94" s="1165">
        <f t="shared" si="1"/>
        <v>0</v>
      </c>
    </row>
    <row r="95" spans="14:14" x14ac:dyDescent="0.25">
      <c r="N95" s="1165">
        <f t="shared" si="1"/>
        <v>0</v>
      </c>
    </row>
    <row r="96" spans="14:14" x14ac:dyDescent="0.25">
      <c r="N96" s="1165">
        <f t="shared" si="1"/>
        <v>0</v>
      </c>
    </row>
    <row r="97" spans="14:14" x14ac:dyDescent="0.25">
      <c r="N97" s="1165">
        <f t="shared" si="1"/>
        <v>0</v>
      </c>
    </row>
    <row r="98" spans="14:14" x14ac:dyDescent="0.25">
      <c r="N98" s="1165">
        <f t="shared" si="1"/>
        <v>0</v>
      </c>
    </row>
    <row r="99" spans="14:14" x14ac:dyDescent="0.25">
      <c r="N99" s="1165">
        <f t="shared" si="1"/>
        <v>0</v>
      </c>
    </row>
    <row r="100" spans="14:14" x14ac:dyDescent="0.25">
      <c r="N100" s="1165">
        <f t="shared" si="1"/>
        <v>0</v>
      </c>
    </row>
    <row r="101" spans="14:14" x14ac:dyDescent="0.25">
      <c r="N101" s="1165">
        <f t="shared" si="1"/>
        <v>0</v>
      </c>
    </row>
    <row r="102" spans="14:14" x14ac:dyDescent="0.25">
      <c r="N102" s="1165">
        <f t="shared" si="1"/>
        <v>0</v>
      </c>
    </row>
    <row r="103" spans="14:14" x14ac:dyDescent="0.25">
      <c r="N103" s="1165">
        <f t="shared" si="1"/>
        <v>0</v>
      </c>
    </row>
    <row r="104" spans="14:14" x14ac:dyDescent="0.25">
      <c r="N104" s="1165">
        <f t="shared" si="1"/>
        <v>0</v>
      </c>
    </row>
    <row r="105" spans="14:14" x14ac:dyDescent="0.25">
      <c r="N105" s="1165">
        <f t="shared" si="1"/>
        <v>0</v>
      </c>
    </row>
    <row r="106" spans="14:14" x14ac:dyDescent="0.25">
      <c r="N106" s="1165">
        <f t="shared" si="1"/>
        <v>0</v>
      </c>
    </row>
    <row r="107" spans="14:14" x14ac:dyDescent="0.25">
      <c r="N107" s="1165">
        <f t="shared" si="1"/>
        <v>0</v>
      </c>
    </row>
    <row r="108" spans="14:14" x14ac:dyDescent="0.25">
      <c r="N108" s="1165">
        <f t="shared" si="1"/>
        <v>0</v>
      </c>
    </row>
    <row r="109" spans="14:14" x14ac:dyDescent="0.25">
      <c r="N109" s="1165">
        <f t="shared" si="1"/>
        <v>0</v>
      </c>
    </row>
    <row r="110" spans="14:14" x14ac:dyDescent="0.25">
      <c r="N110" s="1165">
        <f t="shared" si="1"/>
        <v>0</v>
      </c>
    </row>
    <row r="111" spans="14:14" x14ac:dyDescent="0.25">
      <c r="N111" s="1165">
        <f t="shared" si="1"/>
        <v>0</v>
      </c>
    </row>
    <row r="112" spans="14:14" x14ac:dyDescent="0.25">
      <c r="N112" s="1165">
        <f t="shared" si="1"/>
        <v>0</v>
      </c>
    </row>
    <row r="113" spans="14:14" x14ac:dyDescent="0.25">
      <c r="N113" s="1165">
        <f t="shared" si="1"/>
        <v>0</v>
      </c>
    </row>
    <row r="114" spans="14:14" x14ac:dyDescent="0.25">
      <c r="N114" s="1165">
        <f t="shared" si="1"/>
        <v>0</v>
      </c>
    </row>
    <row r="115" spans="14:14" x14ac:dyDescent="0.25">
      <c r="N115" s="1165">
        <f t="shared" si="1"/>
        <v>0</v>
      </c>
    </row>
    <row r="116" spans="14:14" x14ac:dyDescent="0.25">
      <c r="N116" s="1165">
        <f t="shared" si="1"/>
        <v>0</v>
      </c>
    </row>
    <row r="117" spans="14:14" x14ac:dyDescent="0.25">
      <c r="N117" s="1165">
        <f t="shared" si="1"/>
        <v>0</v>
      </c>
    </row>
    <row r="118" spans="14:14" x14ac:dyDescent="0.25">
      <c r="N118" s="1165">
        <f t="shared" si="1"/>
        <v>0</v>
      </c>
    </row>
    <row r="119" spans="14:14" x14ac:dyDescent="0.25">
      <c r="N119" s="1165">
        <f t="shared" si="1"/>
        <v>0</v>
      </c>
    </row>
    <row r="120" spans="14:14" x14ac:dyDescent="0.25">
      <c r="N120" s="1165">
        <f t="shared" si="1"/>
        <v>0</v>
      </c>
    </row>
    <row r="121" spans="14:14" x14ac:dyDescent="0.25">
      <c r="N121" s="1165">
        <f t="shared" si="1"/>
        <v>0</v>
      </c>
    </row>
    <row r="122" spans="14:14" x14ac:dyDescent="0.25">
      <c r="N122" s="1165">
        <f t="shared" si="1"/>
        <v>0</v>
      </c>
    </row>
    <row r="123" spans="14:14" x14ac:dyDescent="0.25">
      <c r="N123" s="1165">
        <f t="shared" si="1"/>
        <v>0</v>
      </c>
    </row>
    <row r="124" spans="14:14" x14ac:dyDescent="0.25">
      <c r="N124" s="1165">
        <f t="shared" si="1"/>
        <v>0</v>
      </c>
    </row>
    <row r="125" spans="14:14" x14ac:dyDescent="0.25">
      <c r="N125" s="1165">
        <f t="shared" si="1"/>
        <v>0</v>
      </c>
    </row>
    <row r="126" spans="14:14" x14ac:dyDescent="0.25">
      <c r="N126" s="1165">
        <f t="shared" si="1"/>
        <v>0</v>
      </c>
    </row>
    <row r="127" spans="14:14" x14ac:dyDescent="0.25">
      <c r="N127" s="1165">
        <f t="shared" si="1"/>
        <v>0</v>
      </c>
    </row>
    <row r="128" spans="14:14" x14ac:dyDescent="0.25">
      <c r="N128" s="1165">
        <f t="shared" si="1"/>
        <v>0</v>
      </c>
    </row>
    <row r="129" spans="14:14" x14ac:dyDescent="0.25">
      <c r="N129" s="1165">
        <f t="shared" si="1"/>
        <v>0</v>
      </c>
    </row>
    <row r="130" spans="14:14" x14ac:dyDescent="0.25">
      <c r="N130" s="1165">
        <f t="shared" si="1"/>
        <v>0</v>
      </c>
    </row>
    <row r="131" spans="14:14" x14ac:dyDescent="0.25">
      <c r="N131" s="1165">
        <f t="shared" si="1"/>
        <v>0</v>
      </c>
    </row>
    <row r="132" spans="14:14" x14ac:dyDescent="0.25">
      <c r="N132" s="1165">
        <f t="shared" si="1"/>
        <v>0</v>
      </c>
    </row>
    <row r="133" spans="14:14" x14ac:dyDescent="0.25">
      <c r="N133" s="1165">
        <f t="shared" si="1"/>
        <v>0</v>
      </c>
    </row>
    <row r="134" spans="14:14" x14ac:dyDescent="0.25">
      <c r="N134" s="1165">
        <f t="shared" si="1"/>
        <v>0</v>
      </c>
    </row>
    <row r="135" spans="14:14" x14ac:dyDescent="0.25">
      <c r="N135" s="1165">
        <f t="shared" si="1"/>
        <v>0</v>
      </c>
    </row>
    <row r="136" spans="14:14" x14ac:dyDescent="0.25">
      <c r="N136" s="1165">
        <f t="shared" si="1"/>
        <v>0</v>
      </c>
    </row>
    <row r="137" spans="14:14" x14ac:dyDescent="0.25">
      <c r="N137" s="1165">
        <f t="shared" ref="N137:N160" si="2">A137</f>
        <v>0</v>
      </c>
    </row>
    <row r="138" spans="14:14" x14ac:dyDescent="0.25">
      <c r="N138" s="1165">
        <f t="shared" si="2"/>
        <v>0</v>
      </c>
    </row>
    <row r="139" spans="14:14" x14ac:dyDescent="0.25">
      <c r="N139" s="1165">
        <f t="shared" si="2"/>
        <v>0</v>
      </c>
    </row>
    <row r="140" spans="14:14" x14ac:dyDescent="0.25">
      <c r="N140" s="1165">
        <f t="shared" si="2"/>
        <v>0</v>
      </c>
    </row>
    <row r="141" spans="14:14" x14ac:dyDescent="0.25">
      <c r="N141" s="1165">
        <f t="shared" si="2"/>
        <v>0</v>
      </c>
    </row>
    <row r="142" spans="14:14" x14ac:dyDescent="0.25">
      <c r="N142" s="1165">
        <f t="shared" si="2"/>
        <v>0</v>
      </c>
    </row>
    <row r="143" spans="14:14" x14ac:dyDescent="0.25">
      <c r="N143" s="1165">
        <f t="shared" si="2"/>
        <v>0</v>
      </c>
    </row>
    <row r="144" spans="14:14" x14ac:dyDescent="0.25">
      <c r="N144" s="1165">
        <f t="shared" si="2"/>
        <v>0</v>
      </c>
    </row>
    <row r="145" spans="14:14" x14ac:dyDescent="0.25">
      <c r="N145" s="1165">
        <f t="shared" si="2"/>
        <v>0</v>
      </c>
    </row>
    <row r="146" spans="14:14" x14ac:dyDescent="0.25">
      <c r="N146" s="1165">
        <f t="shared" si="2"/>
        <v>0</v>
      </c>
    </row>
    <row r="147" spans="14:14" x14ac:dyDescent="0.25">
      <c r="N147" s="1165">
        <f t="shared" si="2"/>
        <v>0</v>
      </c>
    </row>
    <row r="148" spans="14:14" x14ac:dyDescent="0.25">
      <c r="N148" s="1165">
        <f t="shared" si="2"/>
        <v>0</v>
      </c>
    </row>
    <row r="149" spans="14:14" x14ac:dyDescent="0.25">
      <c r="N149" s="1165">
        <f t="shared" si="2"/>
        <v>0</v>
      </c>
    </row>
    <row r="150" spans="14:14" x14ac:dyDescent="0.25">
      <c r="N150" s="1165">
        <f t="shared" si="2"/>
        <v>0</v>
      </c>
    </row>
    <row r="151" spans="14:14" x14ac:dyDescent="0.25">
      <c r="N151" s="1165">
        <f t="shared" si="2"/>
        <v>0</v>
      </c>
    </row>
    <row r="152" spans="14:14" x14ac:dyDescent="0.25">
      <c r="N152" s="1165">
        <f t="shared" si="2"/>
        <v>0</v>
      </c>
    </row>
    <row r="153" spans="14:14" x14ac:dyDescent="0.25">
      <c r="N153" s="1165">
        <f t="shared" si="2"/>
        <v>0</v>
      </c>
    </row>
    <row r="154" spans="14:14" x14ac:dyDescent="0.25">
      <c r="N154" s="1165">
        <f t="shared" si="2"/>
        <v>0</v>
      </c>
    </row>
    <row r="155" spans="14:14" x14ac:dyDescent="0.25">
      <c r="N155" s="1165">
        <f t="shared" si="2"/>
        <v>0</v>
      </c>
    </row>
    <row r="156" spans="14:14" x14ac:dyDescent="0.25">
      <c r="N156" s="1165">
        <f t="shared" si="2"/>
        <v>0</v>
      </c>
    </row>
    <row r="157" spans="14:14" x14ac:dyDescent="0.25">
      <c r="N157" s="1165">
        <f t="shared" si="2"/>
        <v>0</v>
      </c>
    </row>
    <row r="158" spans="14:14" x14ac:dyDescent="0.25">
      <c r="N158" s="1165">
        <f t="shared" si="2"/>
        <v>0</v>
      </c>
    </row>
    <row r="159" spans="14:14" x14ac:dyDescent="0.25">
      <c r="N159" s="1165">
        <f t="shared" si="2"/>
        <v>0</v>
      </c>
    </row>
    <row r="160" spans="14:14" x14ac:dyDescent="0.25">
      <c r="N160" s="1165">
        <f t="shared" si="2"/>
        <v>0</v>
      </c>
    </row>
  </sheetData>
  <mergeCells count="67">
    <mergeCell ref="B69:G69"/>
    <mergeCell ref="B70:G70"/>
    <mergeCell ref="B66:G66"/>
    <mergeCell ref="B67:G67"/>
    <mergeCell ref="B68:G68"/>
    <mergeCell ref="B50:G50"/>
    <mergeCell ref="B51:G51"/>
    <mergeCell ref="B52:G52"/>
    <mergeCell ref="B62:G62"/>
    <mergeCell ref="B57:G57"/>
    <mergeCell ref="B58:G58"/>
    <mergeCell ref="B59:G59"/>
    <mergeCell ref="B60:G60"/>
    <mergeCell ref="B61:G61"/>
    <mergeCell ref="B54:G54"/>
    <mergeCell ref="B55:G55"/>
    <mergeCell ref="B56:G56"/>
    <mergeCell ref="B63:G63"/>
    <mergeCell ref="B64:G64"/>
    <mergeCell ref="B65:G65"/>
    <mergeCell ref="B53:G53"/>
    <mergeCell ref="B15:G15"/>
    <mergeCell ref="B20:G20"/>
    <mergeCell ref="B21:G21"/>
    <mergeCell ref="B22:G22"/>
    <mergeCell ref="B23:G23"/>
    <mergeCell ref="B24:G24"/>
    <mergeCell ref="B25:G25"/>
    <mergeCell ref="B26:G26"/>
    <mergeCell ref="B27:G27"/>
    <mergeCell ref="B28:G28"/>
    <mergeCell ref="B29:G29"/>
    <mergeCell ref="B30:G30"/>
    <mergeCell ref="A1:K3"/>
    <mergeCell ref="L1:M1"/>
    <mergeCell ref="L2:M3"/>
    <mergeCell ref="A5:M6"/>
    <mergeCell ref="B8:G8"/>
    <mergeCell ref="B9:G9"/>
    <mergeCell ref="B10:G10"/>
    <mergeCell ref="B11:G11"/>
    <mergeCell ref="B12:G12"/>
    <mergeCell ref="B13:G13"/>
    <mergeCell ref="B14:G14"/>
    <mergeCell ref="B16:G16"/>
    <mergeCell ref="B17:G17"/>
    <mergeCell ref="B18:G18"/>
    <mergeCell ref="B19:G19"/>
    <mergeCell ref="B31:G31"/>
    <mergeCell ref="B32:G32"/>
    <mergeCell ref="B33:G33"/>
    <mergeCell ref="B34:G34"/>
    <mergeCell ref="B35:G35"/>
    <mergeCell ref="B36:G36"/>
    <mergeCell ref="B37:G37"/>
    <mergeCell ref="B38:G38"/>
    <mergeCell ref="B39:G39"/>
    <mergeCell ref="B40:G40"/>
    <mergeCell ref="B41:G41"/>
    <mergeCell ref="B42:G42"/>
    <mergeCell ref="B43:G43"/>
    <mergeCell ref="B49:G49"/>
    <mergeCell ref="B44:G44"/>
    <mergeCell ref="B45:G45"/>
    <mergeCell ref="B46:G46"/>
    <mergeCell ref="B47:G47"/>
    <mergeCell ref="B48:G48"/>
  </mergeCells>
  <phoneticPr fontId="119" type="noConversion"/>
  <conditionalFormatting sqref="B9:G70">
    <cfRule type="containsText" dxfId="0" priority="12" operator="containsText" text="exc">
      <formula>NOT(ISERROR(SEARCH(("exc"),(B9))))</formula>
    </cfRule>
  </conditionalFormatting>
  <pageMargins left="0.7" right="0.7" top="0.75" bottom="0.75" header="0.3" footer="0.3"/>
  <pageSetup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F4814-F2CF-4286-A9DA-36C894AD079B}">
  <dimension ref="B1:H22"/>
  <sheetViews>
    <sheetView view="pageBreakPreview" topLeftCell="C1" zoomScaleNormal="100" zoomScaleSheetLayoutView="100" workbookViewId="0">
      <selection activeCell="G6" sqref="G6:G7"/>
    </sheetView>
  </sheetViews>
  <sheetFormatPr baseColWidth="10" defaultRowHeight="12.75" x14ac:dyDescent="0.2"/>
  <cols>
    <col min="1" max="1" width="4.42578125" customWidth="1"/>
    <col min="2" max="2" width="16.7109375" customWidth="1"/>
    <col min="3" max="3" width="25.28515625" customWidth="1"/>
    <col min="4" max="4" width="25.28515625" style="794" customWidth="1"/>
    <col min="5" max="6" width="24.85546875" style="794" customWidth="1"/>
    <col min="7" max="7" width="16.7109375" customWidth="1"/>
    <col min="8" max="8" width="15.42578125" style="1377" customWidth="1"/>
  </cols>
  <sheetData>
    <row r="1" spans="2:8" x14ac:dyDescent="0.2">
      <c r="E1" s="1389">
        <f>+E6+E8</f>
        <v>6141679310</v>
      </c>
      <c r="F1" s="1390">
        <f>+E1/G10</f>
        <v>3507.7170434718046</v>
      </c>
    </row>
    <row r="2" spans="2:8" ht="24" customHeight="1" thickBot="1" x14ac:dyDescent="0.25">
      <c r="B2" s="2004" t="s">
        <v>2637</v>
      </c>
      <c r="C2" s="2004"/>
      <c r="D2" s="2004"/>
      <c r="E2" s="2004"/>
      <c r="F2" s="2004"/>
    </row>
    <row r="3" spans="2:8" ht="28.5" customHeight="1" x14ac:dyDescent="0.2">
      <c r="B3" s="2007" t="s">
        <v>2707</v>
      </c>
      <c r="C3" s="2008"/>
      <c r="D3" s="1378" t="s">
        <v>2710</v>
      </c>
      <c r="E3" s="1383" t="s">
        <v>2708</v>
      </c>
      <c r="F3" s="1376" t="s">
        <v>2716</v>
      </c>
    </row>
    <row r="4" spans="2:8" ht="42" customHeight="1" x14ac:dyDescent="0.2">
      <c r="B4" s="1990" t="s">
        <v>2713</v>
      </c>
      <c r="C4" s="1991"/>
      <c r="D4" s="1995">
        <v>4942894040</v>
      </c>
      <c r="E4" s="1992">
        <v>4942894041</v>
      </c>
      <c r="F4" s="1381">
        <v>1210107175</v>
      </c>
    </row>
    <row r="5" spans="2:8" ht="44.25" customHeight="1" x14ac:dyDescent="0.2">
      <c r="B5" s="1990"/>
      <c r="C5" s="1991"/>
      <c r="D5" s="1996"/>
      <c r="E5" s="1993"/>
      <c r="F5" s="1382">
        <v>3783634376</v>
      </c>
      <c r="G5" s="801" t="s">
        <v>2720</v>
      </c>
      <c r="H5" s="1377">
        <f>+E4/G10</f>
        <v>2823.0509599321495</v>
      </c>
    </row>
    <row r="6" spans="2:8" ht="45" customHeight="1" x14ac:dyDescent="0.2">
      <c r="B6" s="1990" t="s">
        <v>2714</v>
      </c>
      <c r="C6" s="1991"/>
      <c r="D6" s="1995">
        <v>2824653405</v>
      </c>
      <c r="E6" s="1992">
        <v>2824653406</v>
      </c>
      <c r="F6" s="1995">
        <v>2826938540.79</v>
      </c>
      <c r="G6" s="2000" t="s">
        <v>2718</v>
      </c>
      <c r="H6" s="1377">
        <f>+E6/G10</f>
        <v>1613.2533781101772</v>
      </c>
    </row>
    <row r="7" spans="2:8" ht="49.5" customHeight="1" x14ac:dyDescent="0.2">
      <c r="B7" s="1990"/>
      <c r="C7" s="1991"/>
      <c r="D7" s="1996"/>
      <c r="E7" s="1993"/>
      <c r="F7" s="1996"/>
      <c r="G7" s="2000"/>
    </row>
    <row r="8" spans="2:8" ht="36" customHeight="1" x14ac:dyDescent="0.2">
      <c r="B8" s="1990" t="s">
        <v>2715</v>
      </c>
      <c r="C8" s="1991"/>
      <c r="D8" s="1995">
        <v>3317025903</v>
      </c>
      <c r="E8" s="1992">
        <v>3317025904</v>
      </c>
      <c r="F8" s="1995">
        <v>3510857207.6700001</v>
      </c>
      <c r="G8" s="2000" t="s">
        <v>2719</v>
      </c>
    </row>
    <row r="9" spans="2:8" ht="42.75" customHeight="1" thickBot="1" x14ac:dyDescent="0.25">
      <c r="B9" s="2005"/>
      <c r="C9" s="2006"/>
      <c r="D9" s="1997"/>
      <c r="E9" s="1994"/>
      <c r="F9" s="1996"/>
      <c r="G9" s="2001"/>
      <c r="H9" s="1377">
        <f>+E8/G10</f>
        <v>1894.4636653616274</v>
      </c>
    </row>
    <row r="10" spans="2:8" ht="24" customHeight="1" thickBot="1" x14ac:dyDescent="0.25">
      <c r="B10" s="2002" t="s">
        <v>2709</v>
      </c>
      <c r="C10" s="2003"/>
      <c r="D10" s="1379">
        <f>+D4+D6+D8</f>
        <v>11084573348</v>
      </c>
      <c r="E10" s="1384">
        <f>+E4+E6+E8</f>
        <v>11084573351</v>
      </c>
      <c r="F10" s="1379">
        <f>+F4+F5+F6+F8</f>
        <v>11331537299.459999</v>
      </c>
      <c r="G10" s="841">
        <v>1750905</v>
      </c>
    </row>
    <row r="12" spans="2:8" x14ac:dyDescent="0.2">
      <c r="E12" s="1380">
        <f>+E10/G10</f>
        <v>6330.768003403954</v>
      </c>
      <c r="F12" s="1380"/>
      <c r="G12" s="841"/>
    </row>
    <row r="13" spans="2:8" ht="25.5" customHeight="1" thickBot="1" x14ac:dyDescent="0.25">
      <c r="B13" s="2004" t="s">
        <v>1718</v>
      </c>
      <c r="C13" s="2004"/>
      <c r="D13" s="2004"/>
      <c r="E13" s="2004"/>
      <c r="F13" s="2004"/>
    </row>
    <row r="14" spans="2:8" ht="25.5" x14ac:dyDescent="0.2">
      <c r="B14" s="1998" t="s">
        <v>2707</v>
      </c>
      <c r="C14" s="1999"/>
      <c r="D14" s="1378" t="s">
        <v>2710</v>
      </c>
      <c r="E14" s="1385" t="s">
        <v>2708</v>
      </c>
      <c r="F14" s="1378" t="s">
        <v>2717</v>
      </c>
    </row>
    <row r="15" spans="2:8" ht="42" customHeight="1" x14ac:dyDescent="0.2">
      <c r="B15" s="1990" t="s">
        <v>2713</v>
      </c>
      <c r="C15" s="1991"/>
      <c r="D15" s="1995"/>
      <c r="E15" s="1992"/>
      <c r="F15" s="1381">
        <v>466088742</v>
      </c>
    </row>
    <row r="16" spans="2:8" ht="42" customHeight="1" x14ac:dyDescent="0.2">
      <c r="B16" s="1990"/>
      <c r="C16" s="1991"/>
      <c r="D16" s="1996"/>
      <c r="E16" s="1993"/>
      <c r="F16" s="1382"/>
    </row>
    <row r="17" spans="2:6" ht="32.25" customHeight="1" x14ac:dyDescent="0.2">
      <c r="B17" s="1990" t="s">
        <v>2714</v>
      </c>
      <c r="C17" s="1991"/>
      <c r="D17" s="1995"/>
      <c r="E17" s="1992"/>
      <c r="F17" s="1995">
        <v>269951343.38999999</v>
      </c>
    </row>
    <row r="18" spans="2:6" ht="26.25" customHeight="1" x14ac:dyDescent="0.2">
      <c r="B18" s="1990"/>
      <c r="C18" s="1991"/>
      <c r="D18" s="1996"/>
      <c r="E18" s="1993"/>
      <c r="F18" s="1996"/>
    </row>
    <row r="19" spans="2:6" ht="21" customHeight="1" x14ac:dyDescent="0.2">
      <c r="B19" s="1990" t="s">
        <v>2715</v>
      </c>
      <c r="C19" s="1991"/>
      <c r="D19" s="1995"/>
      <c r="E19" s="1992"/>
      <c r="F19" s="1995">
        <v>331774515</v>
      </c>
    </row>
    <row r="20" spans="2:6" ht="32.25" customHeight="1" thickBot="1" x14ac:dyDescent="0.25">
      <c r="B20" s="2005"/>
      <c r="C20" s="2006"/>
      <c r="D20" s="1997"/>
      <c r="E20" s="1994"/>
      <c r="F20" s="1996"/>
    </row>
    <row r="21" spans="2:6" ht="19.5" customHeight="1" thickBot="1" x14ac:dyDescent="0.25">
      <c r="B21" s="2002" t="s">
        <v>2709</v>
      </c>
      <c r="C21" s="2003"/>
      <c r="D21" s="1386">
        <f>+D15+D17+D19</f>
        <v>0</v>
      </c>
      <c r="E21" s="1387">
        <f>+E15+E17+E19</f>
        <v>0</v>
      </c>
      <c r="F21" s="1386">
        <f>+F15+F16+F17+F19</f>
        <v>1067814600.39</v>
      </c>
    </row>
    <row r="22" spans="2:6" x14ac:dyDescent="0.2">
      <c r="B22" s="1388"/>
      <c r="C22" s="1388"/>
      <c r="D22" s="1266"/>
      <c r="E22" s="1266"/>
      <c r="F22" s="1266"/>
    </row>
  </sheetData>
  <mergeCells count="30">
    <mergeCell ref="B21:C21"/>
    <mergeCell ref="B2:F2"/>
    <mergeCell ref="B13:F13"/>
    <mergeCell ref="F17:F18"/>
    <mergeCell ref="B19:C20"/>
    <mergeCell ref="D19:D20"/>
    <mergeCell ref="E19:E20"/>
    <mergeCell ref="F19:F20"/>
    <mergeCell ref="D15:D16"/>
    <mergeCell ref="E15:E16"/>
    <mergeCell ref="B17:C18"/>
    <mergeCell ref="D17:D18"/>
    <mergeCell ref="E17:E18"/>
    <mergeCell ref="B3:C3"/>
    <mergeCell ref="B6:C7"/>
    <mergeCell ref="B8:C9"/>
    <mergeCell ref="B14:C14"/>
    <mergeCell ref="B15:C16"/>
    <mergeCell ref="G6:G7"/>
    <mergeCell ref="G8:G9"/>
    <mergeCell ref="B10:C10"/>
    <mergeCell ref="F6:F7"/>
    <mergeCell ref="F8:F9"/>
    <mergeCell ref="B4:C5"/>
    <mergeCell ref="E4:E5"/>
    <mergeCell ref="E8:E9"/>
    <mergeCell ref="E6:E7"/>
    <mergeCell ref="D4:D5"/>
    <mergeCell ref="D6:D7"/>
    <mergeCell ref="D8:D9"/>
  </mergeCells>
  <pageMargins left="0.7" right="0.7" top="0.75" bottom="0.75" header="0.3" footer="0.3"/>
  <pageSetup scale="6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H6351"/>
  <sheetViews>
    <sheetView view="pageBreakPreview" topLeftCell="A6318" zoomScaleNormal="100" zoomScaleSheetLayoutView="100" workbookViewId="0">
      <selection activeCell="X343" sqref="X343:Y344"/>
    </sheetView>
  </sheetViews>
  <sheetFormatPr baseColWidth="10" defaultRowHeight="12.75" x14ac:dyDescent="0.2"/>
  <cols>
    <col min="1" max="25" width="3.7109375" customWidth="1"/>
    <col min="26" max="32" width="10.7109375" customWidth="1"/>
  </cols>
  <sheetData>
    <row r="1" spans="1:32" ht="15.75" x14ac:dyDescent="0.2">
      <c r="A1" s="2025" t="s">
        <v>1854</v>
      </c>
      <c r="B1" s="2026"/>
      <c r="C1" s="2026"/>
      <c r="D1" s="2026"/>
      <c r="E1" s="2026"/>
      <c r="F1" s="2026"/>
      <c r="G1" s="2026"/>
      <c r="H1" s="2026"/>
      <c r="I1" s="2026"/>
      <c r="J1" s="2026"/>
      <c r="K1" s="2026"/>
      <c r="L1" s="2026"/>
      <c r="M1" s="2026"/>
      <c r="N1" s="2026"/>
      <c r="O1" s="2026"/>
      <c r="P1" s="2026"/>
      <c r="Q1" s="2026"/>
      <c r="R1" s="2026"/>
      <c r="S1" s="2026"/>
      <c r="T1" s="2026"/>
      <c r="U1" s="2026"/>
      <c r="V1" s="2026"/>
      <c r="W1" s="2026"/>
      <c r="X1" s="2026"/>
      <c r="Y1" s="2026"/>
      <c r="Z1" s="2026"/>
      <c r="AA1" s="2026"/>
      <c r="AB1" s="2026"/>
      <c r="AC1" s="2026"/>
      <c r="AD1" s="2026"/>
      <c r="AE1" s="1041" t="s">
        <v>1834</v>
      </c>
      <c r="AF1" s="1042" t="s">
        <v>1835</v>
      </c>
    </row>
    <row r="2" spans="1:32" ht="16.5" thickBot="1" x14ac:dyDescent="0.25">
      <c r="A2" s="2027"/>
      <c r="B2" s="2028"/>
      <c r="C2" s="2028"/>
      <c r="D2" s="2028"/>
      <c r="E2" s="2028"/>
      <c r="F2" s="2028"/>
      <c r="G2" s="2028"/>
      <c r="H2" s="2028"/>
      <c r="I2" s="2028"/>
      <c r="J2" s="2028"/>
      <c r="K2" s="2028"/>
      <c r="L2" s="2028"/>
      <c r="M2" s="2028"/>
      <c r="N2" s="2028"/>
      <c r="O2" s="2028"/>
      <c r="P2" s="2028"/>
      <c r="Q2" s="2028"/>
      <c r="R2" s="2028"/>
      <c r="S2" s="2028"/>
      <c r="T2" s="2028"/>
      <c r="U2" s="2028"/>
      <c r="V2" s="2028"/>
      <c r="W2" s="2028"/>
      <c r="X2" s="2028"/>
      <c r="Y2" s="2028"/>
      <c r="Z2" s="2028"/>
      <c r="AA2" s="2028"/>
      <c r="AB2" s="2028"/>
      <c r="AC2" s="2028"/>
      <c r="AD2" s="2028"/>
      <c r="AE2" s="1041" t="s">
        <v>1836</v>
      </c>
      <c r="AF2" s="1044">
        <v>1</v>
      </c>
    </row>
    <row r="3" spans="1:32" ht="15.75" x14ac:dyDescent="0.2">
      <c r="A3" s="2029"/>
      <c r="B3" s="2030"/>
      <c r="C3" s="2030"/>
      <c r="D3" s="2031"/>
      <c r="E3" s="2025" t="str">
        <f>'01'!$A$12</f>
        <v>"CONSTRUCCION SISTEMA DE ACUEDUCTO FASE II DEL MUNICIPIO DE TESALIA DPTO DEL HUILA"</v>
      </c>
      <c r="F3" s="2026"/>
      <c r="G3" s="2026"/>
      <c r="H3" s="2026"/>
      <c r="I3" s="2026"/>
      <c r="J3" s="2026"/>
      <c r="K3" s="2026"/>
      <c r="L3" s="2026"/>
      <c r="M3" s="2026"/>
      <c r="N3" s="2026"/>
      <c r="O3" s="2026"/>
      <c r="P3" s="2026"/>
      <c r="Q3" s="2026"/>
      <c r="R3" s="2026"/>
      <c r="S3" s="2026"/>
      <c r="T3" s="2026"/>
      <c r="U3" s="2026"/>
      <c r="V3" s="2026"/>
      <c r="W3" s="2026"/>
      <c r="X3" s="2026"/>
      <c r="Y3" s="2026"/>
      <c r="Z3" s="2026"/>
      <c r="AA3" s="2026"/>
      <c r="AB3" s="2026"/>
      <c r="AC3" s="2026"/>
      <c r="AD3" s="2035"/>
      <c r="AE3" s="1041" t="s">
        <v>847</v>
      </c>
      <c r="AF3" s="1045">
        <f>'01'!$M$13</f>
        <v>0</v>
      </c>
    </row>
    <row r="4" spans="1:32" ht="16.5" thickBot="1" x14ac:dyDescent="0.25">
      <c r="A4" s="2032"/>
      <c r="B4" s="2033"/>
      <c r="C4" s="2033"/>
      <c r="D4" s="2034"/>
      <c r="E4" s="2027"/>
      <c r="F4" s="2028"/>
      <c r="G4" s="2028"/>
      <c r="H4" s="2028"/>
      <c r="I4" s="2028"/>
      <c r="J4" s="2028"/>
      <c r="K4" s="2028"/>
      <c r="L4" s="2028"/>
      <c r="M4" s="2028"/>
      <c r="N4" s="2028"/>
      <c r="O4" s="2028"/>
      <c r="P4" s="2028"/>
      <c r="Q4" s="2028"/>
      <c r="R4" s="2028"/>
      <c r="S4" s="2028"/>
      <c r="T4" s="2028"/>
      <c r="U4" s="2028"/>
      <c r="V4" s="2028"/>
      <c r="W4" s="2028"/>
      <c r="X4" s="2028"/>
      <c r="Y4" s="2028"/>
      <c r="Z4" s="2028"/>
      <c r="AA4" s="2028"/>
      <c r="AB4" s="2028"/>
      <c r="AC4" s="2028"/>
      <c r="AD4" s="2036"/>
      <c r="AE4" s="1041" t="s">
        <v>1837</v>
      </c>
      <c r="AF4" s="1042" t="s">
        <v>1838</v>
      </c>
    </row>
    <row r="5" spans="1:32" ht="15.75" x14ac:dyDescent="0.25">
      <c r="A5" s="2037" t="s">
        <v>1860</v>
      </c>
      <c r="B5" s="2038"/>
      <c r="C5" s="2038"/>
      <c r="D5" s="2038"/>
      <c r="E5" s="2038"/>
      <c r="F5" s="2038"/>
      <c r="G5" s="2038"/>
      <c r="H5" s="2038"/>
      <c r="I5" s="2038"/>
      <c r="J5" s="2038"/>
      <c r="K5" s="2038"/>
      <c r="L5" s="2038"/>
      <c r="M5" s="2038"/>
      <c r="N5" s="2038"/>
      <c r="O5" s="2038"/>
      <c r="P5" s="2038"/>
      <c r="Q5" s="2038"/>
      <c r="R5" s="2038"/>
      <c r="S5" s="2038"/>
      <c r="T5" s="2038"/>
      <c r="U5" s="2038"/>
      <c r="V5" s="2038"/>
      <c r="W5" s="2038"/>
      <c r="X5" s="2038"/>
      <c r="Y5" s="2038"/>
      <c r="Z5" s="2038"/>
      <c r="AA5" s="2038"/>
      <c r="AB5" s="2038"/>
      <c r="AC5" s="2038"/>
      <c r="AD5" s="2038"/>
      <c r="AE5" s="2039" t="s">
        <v>1839</v>
      </c>
      <c r="AF5" s="2040"/>
    </row>
    <row r="6" spans="1:32" ht="15.75" x14ac:dyDescent="0.25">
      <c r="A6" s="2041" t="s">
        <v>1840</v>
      </c>
      <c r="B6" s="2042"/>
      <c r="C6" s="2042"/>
      <c r="D6" s="2042"/>
      <c r="E6" s="2042"/>
      <c r="F6" s="2042"/>
      <c r="G6" s="2042"/>
      <c r="H6" s="2042"/>
      <c r="I6" s="2042"/>
      <c r="J6" s="2042"/>
      <c r="K6" s="2042"/>
      <c r="L6" s="2042"/>
      <c r="M6" s="2042"/>
      <c r="N6" s="2042"/>
      <c r="O6" s="2042"/>
      <c r="P6" s="2042"/>
      <c r="Q6" s="2042"/>
      <c r="R6" s="2042"/>
      <c r="S6" s="2042"/>
      <c r="T6" s="2042"/>
      <c r="U6" s="2042"/>
      <c r="V6" s="2042"/>
      <c r="W6" s="2042"/>
      <c r="X6" s="2042"/>
      <c r="Y6" s="2042"/>
      <c r="Z6" s="2042"/>
      <c r="AA6" s="2042"/>
      <c r="AB6" s="2042"/>
      <c r="AC6" s="2042"/>
      <c r="AD6" s="2043"/>
      <c r="AE6" s="2014" t="s">
        <v>1841</v>
      </c>
      <c r="AF6" s="2044"/>
    </row>
    <row r="7" spans="1:32" ht="15.75" x14ac:dyDescent="0.25">
      <c r="A7" s="2045" t="s">
        <v>1853</v>
      </c>
      <c r="B7" s="2046"/>
      <c r="C7" s="2046"/>
      <c r="D7" s="2046"/>
      <c r="E7" s="2046"/>
      <c r="F7" s="2046"/>
      <c r="G7" s="2046"/>
      <c r="H7" s="2046"/>
      <c r="I7" s="2046"/>
      <c r="J7" s="2046"/>
      <c r="K7" s="2046"/>
      <c r="L7" s="2046"/>
      <c r="M7" s="2046"/>
      <c r="N7" s="2046"/>
      <c r="O7" s="2046"/>
      <c r="P7" s="2046"/>
      <c r="Q7" s="2046"/>
      <c r="R7" s="2046"/>
      <c r="S7" s="2046"/>
      <c r="T7" s="2046"/>
      <c r="U7" s="2046"/>
      <c r="V7" s="2046"/>
      <c r="W7" s="2046"/>
      <c r="X7" s="2046"/>
      <c r="Y7" s="2046"/>
      <c r="Z7" s="2046"/>
      <c r="AA7" s="2046"/>
      <c r="AB7" s="2046"/>
      <c r="AC7" s="2046"/>
      <c r="AD7" s="2046"/>
      <c r="AE7" s="2047">
        <f>'01'!$M$13</f>
        <v>0</v>
      </c>
      <c r="AF7" s="2044"/>
    </row>
    <row r="8" spans="1:32" x14ac:dyDescent="0.2">
      <c r="A8" s="1046"/>
      <c r="B8" s="1047"/>
      <c r="C8" s="1047"/>
      <c r="D8" s="1047"/>
      <c r="E8" s="1047"/>
      <c r="F8" s="1047"/>
      <c r="G8" s="1047"/>
      <c r="H8" s="1047"/>
      <c r="I8" s="1047"/>
      <c r="J8" s="1047"/>
      <c r="K8" s="1047"/>
      <c r="L8" s="1047"/>
      <c r="M8" s="1047"/>
      <c r="N8" s="1047"/>
      <c r="O8" s="1047"/>
      <c r="P8" s="1047"/>
      <c r="Q8" s="1047"/>
      <c r="R8" s="1047"/>
      <c r="S8" s="1047"/>
      <c r="T8" s="1047"/>
      <c r="U8" s="1047"/>
      <c r="V8" s="1047"/>
      <c r="W8" s="1047"/>
      <c r="X8" s="1047"/>
      <c r="Y8" s="1047"/>
      <c r="Z8" s="1047"/>
      <c r="AA8" s="1047"/>
      <c r="AB8" s="1047"/>
      <c r="AC8" s="1047"/>
      <c r="AD8" s="1047"/>
      <c r="AE8" s="1047"/>
      <c r="AF8" s="1048"/>
    </row>
    <row r="9" spans="1:32" ht="15.75" x14ac:dyDescent="0.2">
      <c r="A9" s="2048" t="s">
        <v>1842</v>
      </c>
      <c r="B9" s="2049"/>
      <c r="C9" s="2049"/>
      <c r="D9" s="2049"/>
      <c r="E9" s="2049"/>
      <c r="F9" s="2050" t="str">
        <f>'01'!$H$16</f>
        <v>A -EMPATE CON LÍNEA DE ADUCCIÓN</v>
      </c>
      <c r="G9" s="2049"/>
      <c r="H9" s="2049"/>
      <c r="I9" s="2049"/>
      <c r="J9" s="2049"/>
      <c r="K9" s="2049"/>
      <c r="L9" s="2049"/>
      <c r="M9" s="2049"/>
      <c r="N9" s="2049"/>
      <c r="O9" s="2049"/>
      <c r="P9" s="2049"/>
      <c r="Q9" s="2049"/>
      <c r="R9" s="2049"/>
      <c r="S9" s="2049"/>
      <c r="T9" s="2049"/>
      <c r="U9" s="2049"/>
      <c r="V9" s="2049"/>
      <c r="W9" s="2049"/>
      <c r="X9" s="2049"/>
      <c r="Y9" s="2051"/>
      <c r="Z9" s="2052" t="s">
        <v>1843</v>
      </c>
      <c r="AA9" s="2053"/>
      <c r="AB9" s="2058" t="s">
        <v>1844</v>
      </c>
      <c r="AC9" s="2059"/>
      <c r="AD9" s="2060"/>
      <c r="AE9" s="2064" t="s">
        <v>1845</v>
      </c>
      <c r="AF9" s="2067" t="s">
        <v>1846</v>
      </c>
    </row>
    <row r="10" spans="1:32" ht="19.5" customHeight="1" x14ac:dyDescent="0.2">
      <c r="A10" s="2070" t="str">
        <f>'01'!A18</f>
        <v>A-01-01</v>
      </c>
      <c r="B10" s="2071"/>
      <c r="C10" s="2072"/>
      <c r="D10" s="2076" t="str">
        <f>VLOOKUP(A10,'01'!$A$12:$N$299,3,FALSE)</f>
        <v>LOCALIZACIÓN Y REPLANTEO DE REDES (NO INCLUYE EQUIPO DE TOPOGRAFÍA)</v>
      </c>
      <c r="E10" s="2077"/>
      <c r="F10" s="2077"/>
      <c r="G10" s="2077"/>
      <c r="H10" s="2077"/>
      <c r="I10" s="2077"/>
      <c r="J10" s="2077"/>
      <c r="K10" s="2077"/>
      <c r="L10" s="2077"/>
      <c r="M10" s="2077"/>
      <c r="N10" s="2077"/>
      <c r="O10" s="2077"/>
      <c r="P10" s="2077"/>
      <c r="Q10" s="2077"/>
      <c r="R10" s="2077"/>
      <c r="S10" s="2078"/>
      <c r="T10" s="2082" t="s">
        <v>124</v>
      </c>
      <c r="U10" s="2083"/>
      <c r="V10" s="2083"/>
      <c r="W10" s="2083"/>
      <c r="X10" s="2052" t="str">
        <f>VLOOKUP(A10,'01'!$A$12:$N$299,9,FALSE)</f>
        <v>M</v>
      </c>
      <c r="Y10" s="2053"/>
      <c r="Z10" s="2054"/>
      <c r="AA10" s="2055"/>
      <c r="AB10" s="2061"/>
      <c r="AC10" s="2062"/>
      <c r="AD10" s="2063"/>
      <c r="AE10" s="2065"/>
      <c r="AF10" s="2068"/>
    </row>
    <row r="11" spans="1:32" ht="15.75" x14ac:dyDescent="0.25">
      <c r="A11" s="2073"/>
      <c r="B11" s="2074"/>
      <c r="C11" s="2075"/>
      <c r="D11" s="2079"/>
      <c r="E11" s="2080"/>
      <c r="F11" s="2080"/>
      <c r="G11" s="2080"/>
      <c r="H11" s="2080"/>
      <c r="I11" s="2080"/>
      <c r="J11" s="2080"/>
      <c r="K11" s="2080"/>
      <c r="L11" s="2080"/>
      <c r="M11" s="2080"/>
      <c r="N11" s="2080"/>
      <c r="O11" s="2080"/>
      <c r="P11" s="2080"/>
      <c r="Q11" s="2080"/>
      <c r="R11" s="2080"/>
      <c r="S11" s="2081"/>
      <c r="T11" s="2084"/>
      <c r="U11" s="2085"/>
      <c r="V11" s="2085"/>
      <c r="W11" s="2085"/>
      <c r="X11" s="2056"/>
      <c r="Y11" s="2057"/>
      <c r="Z11" s="2056"/>
      <c r="AA11" s="2057"/>
      <c r="AB11" s="1049" t="s">
        <v>1847</v>
      </c>
      <c r="AC11" s="1049" t="s">
        <v>1848</v>
      </c>
      <c r="AD11" s="1049" t="s">
        <v>1849</v>
      </c>
      <c r="AE11" s="2066"/>
      <c r="AF11" s="2069"/>
    </row>
    <row r="12" spans="1:32" ht="30" customHeight="1" x14ac:dyDescent="0.25">
      <c r="A12" s="2017"/>
      <c r="B12" s="2018"/>
      <c r="C12" s="2018"/>
      <c r="D12" s="2018"/>
      <c r="E12" s="2018"/>
      <c r="F12" s="2018"/>
      <c r="G12" s="2018"/>
      <c r="H12" s="2018"/>
      <c r="I12" s="2018"/>
      <c r="J12" s="2018"/>
      <c r="K12" s="2018"/>
      <c r="L12" s="2018"/>
      <c r="M12" s="2018"/>
      <c r="N12" s="2018"/>
      <c r="O12" s="2018"/>
      <c r="P12" s="2018"/>
      <c r="Q12" s="2018"/>
      <c r="R12" s="2018"/>
      <c r="S12" s="2018"/>
      <c r="T12" s="2018"/>
      <c r="U12" s="2018"/>
      <c r="V12" s="2018"/>
      <c r="W12" s="2018"/>
      <c r="X12" s="2018"/>
      <c r="Y12" s="2094"/>
      <c r="Z12" s="2096" t="s">
        <v>2157</v>
      </c>
      <c r="AA12" s="2097"/>
      <c r="AB12" s="1050">
        <v>5</v>
      </c>
      <c r="AC12" s="1050">
        <v>0</v>
      </c>
      <c r="AD12" s="1050">
        <v>0</v>
      </c>
      <c r="AE12" s="1051">
        <v>1</v>
      </c>
      <c r="AF12" s="1052">
        <f>AB12*AE12</f>
        <v>5</v>
      </c>
    </row>
    <row r="13" spans="1:32" ht="15.75" x14ac:dyDescent="0.25">
      <c r="A13" s="2017"/>
      <c r="B13" s="2018"/>
      <c r="C13" s="2018"/>
      <c r="D13" s="2018"/>
      <c r="E13" s="2018"/>
      <c r="F13" s="2018"/>
      <c r="G13" s="2018"/>
      <c r="H13" s="2018"/>
      <c r="I13" s="2018"/>
      <c r="J13" s="2018"/>
      <c r="K13" s="2018"/>
      <c r="L13" s="2018"/>
      <c r="M13" s="2018"/>
      <c r="N13" s="2018"/>
      <c r="O13" s="2018"/>
      <c r="P13" s="2018"/>
      <c r="Q13" s="2018"/>
      <c r="R13" s="2018"/>
      <c r="S13" s="2018"/>
      <c r="T13" s="2018"/>
      <c r="U13" s="2018"/>
      <c r="V13" s="2018"/>
      <c r="W13" s="2018"/>
      <c r="X13" s="2018"/>
      <c r="Y13" s="2094"/>
      <c r="Z13" s="2096"/>
      <c r="AA13" s="2097"/>
      <c r="AB13" s="1053"/>
      <c r="AC13" s="1053"/>
      <c r="AD13" s="1050"/>
      <c r="AE13" s="1051"/>
      <c r="AF13" s="1052"/>
    </row>
    <row r="14" spans="1:32" ht="15.75" x14ac:dyDescent="0.25">
      <c r="A14" s="2017"/>
      <c r="B14" s="2018"/>
      <c r="C14" s="2018"/>
      <c r="D14" s="2018"/>
      <c r="E14" s="2018"/>
      <c r="F14" s="2018"/>
      <c r="G14" s="2018"/>
      <c r="H14" s="2018"/>
      <c r="I14" s="2018"/>
      <c r="J14" s="2018"/>
      <c r="K14" s="2018"/>
      <c r="L14" s="2018"/>
      <c r="M14" s="2018"/>
      <c r="N14" s="2018"/>
      <c r="O14" s="2018"/>
      <c r="P14" s="2018"/>
      <c r="Q14" s="2018"/>
      <c r="R14" s="2018"/>
      <c r="S14" s="2018"/>
      <c r="T14" s="2018"/>
      <c r="U14" s="2018"/>
      <c r="V14" s="2018"/>
      <c r="W14" s="2018"/>
      <c r="X14" s="2018"/>
      <c r="Y14" s="2094"/>
      <c r="Z14" s="2096"/>
      <c r="AA14" s="2097"/>
      <c r="AB14" s="1053"/>
      <c r="AC14" s="1053"/>
      <c r="AD14" s="1050"/>
      <c r="AE14" s="1051"/>
      <c r="AF14" s="1052"/>
    </row>
    <row r="15" spans="1:32" ht="15.75" x14ac:dyDescent="0.25">
      <c r="A15" s="2017"/>
      <c r="B15" s="2018"/>
      <c r="C15" s="2018"/>
      <c r="D15" s="2018"/>
      <c r="E15" s="2018"/>
      <c r="F15" s="2018"/>
      <c r="G15" s="2018"/>
      <c r="H15" s="2018"/>
      <c r="I15" s="2018"/>
      <c r="J15" s="2018"/>
      <c r="K15" s="2018"/>
      <c r="L15" s="2018"/>
      <c r="M15" s="2018"/>
      <c r="N15" s="2018"/>
      <c r="O15" s="2018"/>
      <c r="P15" s="2018"/>
      <c r="Q15" s="2018"/>
      <c r="R15" s="2018"/>
      <c r="S15" s="2018"/>
      <c r="T15" s="2018"/>
      <c r="U15" s="2018"/>
      <c r="V15" s="2018"/>
      <c r="W15" s="2018"/>
      <c r="X15" s="2018"/>
      <c r="Y15" s="2094"/>
      <c r="Z15" s="2096"/>
      <c r="AA15" s="2097"/>
      <c r="AB15" s="1053"/>
      <c r="AC15" s="1053"/>
      <c r="AD15" s="1050"/>
      <c r="AE15" s="1051"/>
      <c r="AF15" s="1052"/>
    </row>
    <row r="16" spans="1:32" ht="15.75" x14ac:dyDescent="0.25">
      <c r="A16" s="2017"/>
      <c r="B16" s="2018"/>
      <c r="C16" s="2018"/>
      <c r="D16" s="2018"/>
      <c r="E16" s="2018"/>
      <c r="F16" s="2018"/>
      <c r="G16" s="2018"/>
      <c r="H16" s="2018"/>
      <c r="I16" s="2018"/>
      <c r="J16" s="2018"/>
      <c r="K16" s="2018"/>
      <c r="L16" s="2018"/>
      <c r="M16" s="2018"/>
      <c r="N16" s="2018"/>
      <c r="O16" s="2018"/>
      <c r="P16" s="2018"/>
      <c r="Q16" s="2018"/>
      <c r="R16" s="2018"/>
      <c r="S16" s="2018"/>
      <c r="T16" s="2018"/>
      <c r="U16" s="2018"/>
      <c r="V16" s="2018"/>
      <c r="W16" s="2018"/>
      <c r="X16" s="2018"/>
      <c r="Y16" s="2094"/>
      <c r="Z16" s="2096"/>
      <c r="AA16" s="2097"/>
      <c r="AB16" s="1053"/>
      <c r="AC16" s="1053"/>
      <c r="AD16" s="1050"/>
      <c r="AE16" s="1051"/>
      <c r="AF16" s="1052"/>
    </row>
    <row r="17" spans="1:32" ht="15.75" x14ac:dyDescent="0.25">
      <c r="A17" s="2017"/>
      <c r="B17" s="2018"/>
      <c r="C17" s="2018"/>
      <c r="D17" s="2018"/>
      <c r="E17" s="2018"/>
      <c r="F17" s="2018"/>
      <c r="G17" s="2018"/>
      <c r="H17" s="2018"/>
      <c r="I17" s="2018"/>
      <c r="J17" s="2018"/>
      <c r="K17" s="2018"/>
      <c r="L17" s="2018"/>
      <c r="M17" s="2018"/>
      <c r="N17" s="2018"/>
      <c r="O17" s="2018"/>
      <c r="P17" s="2018"/>
      <c r="Q17" s="2018"/>
      <c r="R17" s="2018"/>
      <c r="S17" s="2018"/>
      <c r="T17" s="2018"/>
      <c r="U17" s="2018"/>
      <c r="V17" s="2018"/>
      <c r="W17" s="2018"/>
      <c r="X17" s="2018"/>
      <c r="Y17" s="2094"/>
      <c r="Z17" s="2096"/>
      <c r="AA17" s="2097"/>
      <c r="AB17" s="1053"/>
      <c r="AC17" s="1053"/>
      <c r="AD17" s="1053"/>
      <c r="AE17" s="1051"/>
      <c r="AF17" s="1052"/>
    </row>
    <row r="18" spans="1:32" ht="15.75" x14ac:dyDescent="0.25">
      <c r="A18" s="2017"/>
      <c r="B18" s="2018"/>
      <c r="C18" s="2018"/>
      <c r="D18" s="2018"/>
      <c r="E18" s="2018"/>
      <c r="F18" s="2018"/>
      <c r="G18" s="2018"/>
      <c r="H18" s="2018"/>
      <c r="I18" s="2018"/>
      <c r="J18" s="2018"/>
      <c r="K18" s="2018"/>
      <c r="L18" s="2018"/>
      <c r="M18" s="2018"/>
      <c r="N18" s="2018"/>
      <c r="O18" s="2018"/>
      <c r="P18" s="2018"/>
      <c r="Q18" s="2018"/>
      <c r="R18" s="2018"/>
      <c r="S18" s="2018"/>
      <c r="T18" s="2018"/>
      <c r="U18" s="2018"/>
      <c r="V18" s="2018"/>
      <c r="W18" s="2018"/>
      <c r="X18" s="2018"/>
      <c r="Y18" s="2094"/>
      <c r="Z18" s="2096"/>
      <c r="AA18" s="2097"/>
      <c r="AB18" s="1053"/>
      <c r="AC18" s="1053"/>
      <c r="AD18" s="1053"/>
      <c r="AE18" s="1051"/>
      <c r="AF18" s="1052"/>
    </row>
    <row r="19" spans="1:32" ht="15.75" x14ac:dyDescent="0.25">
      <c r="A19" s="2017"/>
      <c r="B19" s="2018"/>
      <c r="C19" s="2018"/>
      <c r="D19" s="2018"/>
      <c r="E19" s="2018"/>
      <c r="F19" s="2018"/>
      <c r="G19" s="2018"/>
      <c r="H19" s="2018"/>
      <c r="I19" s="2018"/>
      <c r="J19" s="2018"/>
      <c r="K19" s="2018"/>
      <c r="L19" s="2018"/>
      <c r="M19" s="2018"/>
      <c r="N19" s="2018"/>
      <c r="O19" s="2018"/>
      <c r="P19" s="2018"/>
      <c r="Q19" s="2018"/>
      <c r="R19" s="2018"/>
      <c r="S19" s="2018"/>
      <c r="T19" s="2018"/>
      <c r="U19" s="2018"/>
      <c r="V19" s="2018"/>
      <c r="W19" s="2018"/>
      <c r="X19" s="2018"/>
      <c r="Y19" s="2094"/>
      <c r="Z19" s="2096"/>
      <c r="AA19" s="2097"/>
      <c r="AB19" s="1053"/>
      <c r="AC19" s="1053"/>
      <c r="AD19" s="1053"/>
      <c r="AE19" s="1051"/>
      <c r="AF19" s="1052"/>
    </row>
    <row r="20" spans="1:32" ht="15.75" x14ac:dyDescent="0.25">
      <c r="A20" s="2017"/>
      <c r="B20" s="2018"/>
      <c r="C20" s="2018"/>
      <c r="D20" s="2018"/>
      <c r="E20" s="2018"/>
      <c r="F20" s="2018"/>
      <c r="G20" s="2018"/>
      <c r="H20" s="2018"/>
      <c r="I20" s="2018"/>
      <c r="J20" s="2018"/>
      <c r="K20" s="2018"/>
      <c r="L20" s="2018"/>
      <c r="M20" s="2018"/>
      <c r="N20" s="2018"/>
      <c r="O20" s="2018"/>
      <c r="P20" s="2018"/>
      <c r="Q20" s="2018"/>
      <c r="R20" s="2018"/>
      <c r="S20" s="2018"/>
      <c r="T20" s="2018"/>
      <c r="U20" s="2018"/>
      <c r="V20" s="2018"/>
      <c r="W20" s="2018"/>
      <c r="X20" s="2018"/>
      <c r="Y20" s="2094"/>
      <c r="Z20" s="2096"/>
      <c r="AA20" s="2097"/>
      <c r="AB20" s="1053"/>
      <c r="AC20" s="1053"/>
      <c r="AD20" s="1053"/>
      <c r="AE20" s="1050"/>
      <c r="AF20" s="1054"/>
    </row>
    <row r="21" spans="1:32" ht="15.75" x14ac:dyDescent="0.25">
      <c r="A21" s="2017"/>
      <c r="B21" s="2018"/>
      <c r="C21" s="2018"/>
      <c r="D21" s="2018"/>
      <c r="E21" s="2018"/>
      <c r="F21" s="2018"/>
      <c r="G21" s="2018"/>
      <c r="H21" s="2018"/>
      <c r="I21" s="2018"/>
      <c r="J21" s="2018"/>
      <c r="K21" s="2018"/>
      <c r="L21" s="2018"/>
      <c r="M21" s="2018"/>
      <c r="N21" s="2018"/>
      <c r="O21" s="2018"/>
      <c r="P21" s="2018"/>
      <c r="Q21" s="2018"/>
      <c r="R21" s="2018"/>
      <c r="S21" s="2018"/>
      <c r="T21" s="2018"/>
      <c r="U21" s="2018"/>
      <c r="V21" s="2018"/>
      <c r="W21" s="2018"/>
      <c r="X21" s="2018"/>
      <c r="Y21" s="2094"/>
      <c r="Z21" s="2096"/>
      <c r="AA21" s="2097"/>
      <c r="AB21" s="1053"/>
      <c r="AC21" s="1053"/>
      <c r="AD21" s="1053"/>
      <c r="AE21" s="1051"/>
      <c r="AF21" s="1054"/>
    </row>
    <row r="22" spans="1:32" ht="15.75" x14ac:dyDescent="0.25">
      <c r="A22" s="2017"/>
      <c r="B22" s="2018"/>
      <c r="C22" s="2018"/>
      <c r="D22" s="2018"/>
      <c r="E22" s="2018"/>
      <c r="F22" s="2018"/>
      <c r="G22" s="2018"/>
      <c r="H22" s="2018"/>
      <c r="I22" s="2018"/>
      <c r="J22" s="2018"/>
      <c r="K22" s="2018"/>
      <c r="L22" s="2018"/>
      <c r="M22" s="2018"/>
      <c r="N22" s="2018"/>
      <c r="O22" s="2018"/>
      <c r="P22" s="2018"/>
      <c r="Q22" s="2018"/>
      <c r="R22" s="2018"/>
      <c r="S22" s="2018"/>
      <c r="T22" s="2018"/>
      <c r="U22" s="2018"/>
      <c r="V22" s="2018"/>
      <c r="W22" s="2018"/>
      <c r="X22" s="2018"/>
      <c r="Y22" s="2094"/>
      <c r="Z22" s="2096"/>
      <c r="AA22" s="2097"/>
      <c r="AB22" s="1053"/>
      <c r="AC22" s="1053"/>
      <c r="AD22" s="1053"/>
      <c r="AE22" s="1051"/>
      <c r="AF22" s="1054"/>
    </row>
    <row r="23" spans="1:32" ht="15.75" x14ac:dyDescent="0.25">
      <c r="A23" s="2017"/>
      <c r="B23" s="2018"/>
      <c r="C23" s="2018"/>
      <c r="D23" s="2018"/>
      <c r="E23" s="2018"/>
      <c r="F23" s="2018"/>
      <c r="G23" s="2018"/>
      <c r="H23" s="2018"/>
      <c r="I23" s="2018"/>
      <c r="J23" s="2018"/>
      <c r="K23" s="2018"/>
      <c r="L23" s="2018"/>
      <c r="M23" s="2018"/>
      <c r="N23" s="2018"/>
      <c r="O23" s="2018"/>
      <c r="P23" s="2018"/>
      <c r="Q23" s="2018"/>
      <c r="R23" s="2018"/>
      <c r="S23" s="2018"/>
      <c r="T23" s="2018"/>
      <c r="U23" s="2018"/>
      <c r="V23" s="2018"/>
      <c r="W23" s="2018"/>
      <c r="X23" s="2018"/>
      <c r="Y23" s="2094"/>
      <c r="Z23" s="2096"/>
      <c r="AA23" s="2097"/>
      <c r="AB23" s="1053"/>
      <c r="AC23" s="1053"/>
      <c r="AD23" s="1053"/>
      <c r="AE23" s="1051"/>
      <c r="AF23" s="1054"/>
    </row>
    <row r="24" spans="1:32" ht="15.75" x14ac:dyDescent="0.25">
      <c r="A24" s="2017"/>
      <c r="B24" s="2018"/>
      <c r="C24" s="2018"/>
      <c r="D24" s="2018"/>
      <c r="E24" s="2018"/>
      <c r="F24" s="2018"/>
      <c r="G24" s="2018"/>
      <c r="H24" s="2018"/>
      <c r="I24" s="2018"/>
      <c r="J24" s="2018"/>
      <c r="K24" s="2018"/>
      <c r="L24" s="2018"/>
      <c r="M24" s="2018"/>
      <c r="N24" s="2018"/>
      <c r="O24" s="2018"/>
      <c r="P24" s="2018"/>
      <c r="Q24" s="2018"/>
      <c r="R24" s="2018"/>
      <c r="S24" s="2018"/>
      <c r="T24" s="2018"/>
      <c r="U24" s="2018"/>
      <c r="V24" s="2018"/>
      <c r="W24" s="2018"/>
      <c r="X24" s="2018"/>
      <c r="Y24" s="2094"/>
      <c r="Z24" s="2096"/>
      <c r="AA24" s="2097"/>
      <c r="AB24" s="1053"/>
      <c r="AC24" s="1053"/>
      <c r="AD24" s="1053"/>
      <c r="AE24" s="1051"/>
      <c r="AF24" s="1054"/>
    </row>
    <row r="25" spans="1:32" ht="15.75" x14ac:dyDescent="0.25">
      <c r="A25" s="2017"/>
      <c r="B25" s="2018"/>
      <c r="C25" s="2018"/>
      <c r="D25" s="2018"/>
      <c r="E25" s="2018"/>
      <c r="F25" s="2018"/>
      <c r="G25" s="2018"/>
      <c r="H25" s="2018"/>
      <c r="I25" s="2018"/>
      <c r="J25" s="2018"/>
      <c r="K25" s="2018"/>
      <c r="L25" s="2018"/>
      <c r="M25" s="2018"/>
      <c r="N25" s="2018"/>
      <c r="O25" s="2018"/>
      <c r="P25" s="2018"/>
      <c r="Q25" s="2018"/>
      <c r="R25" s="2018"/>
      <c r="S25" s="2018"/>
      <c r="T25" s="2018"/>
      <c r="U25" s="2018"/>
      <c r="V25" s="2018"/>
      <c r="W25" s="2018"/>
      <c r="X25" s="2018"/>
      <c r="Y25" s="2094"/>
      <c r="Z25" s="2096"/>
      <c r="AA25" s="2097"/>
      <c r="AB25" s="1053"/>
      <c r="AC25" s="1053"/>
      <c r="AD25" s="1053"/>
      <c r="AE25" s="1051"/>
      <c r="AF25" s="1054"/>
    </row>
    <row r="26" spans="1:32" ht="15.75" x14ac:dyDescent="0.25">
      <c r="A26" s="2017"/>
      <c r="B26" s="2018"/>
      <c r="C26" s="2018"/>
      <c r="D26" s="2018"/>
      <c r="E26" s="2018"/>
      <c r="F26" s="2018"/>
      <c r="G26" s="2018"/>
      <c r="H26" s="2018"/>
      <c r="I26" s="2018"/>
      <c r="J26" s="2018"/>
      <c r="K26" s="2018"/>
      <c r="L26" s="2018"/>
      <c r="M26" s="2018"/>
      <c r="N26" s="2018"/>
      <c r="O26" s="2018"/>
      <c r="P26" s="2018"/>
      <c r="Q26" s="2018"/>
      <c r="R26" s="2018"/>
      <c r="S26" s="2018"/>
      <c r="T26" s="2018"/>
      <c r="U26" s="2018"/>
      <c r="V26" s="2018"/>
      <c r="W26" s="2018"/>
      <c r="X26" s="2018"/>
      <c r="Y26" s="2094"/>
      <c r="Z26" s="2096"/>
      <c r="AA26" s="2097"/>
      <c r="AB26" s="1055"/>
      <c r="AC26" s="1055"/>
      <c r="AD26" s="1055"/>
      <c r="AE26" s="1051"/>
      <c r="AF26" s="1056"/>
    </row>
    <row r="27" spans="1:32" ht="15.75" x14ac:dyDescent="0.25">
      <c r="A27" s="2017"/>
      <c r="B27" s="2018"/>
      <c r="C27" s="2018"/>
      <c r="D27" s="2018"/>
      <c r="E27" s="2018"/>
      <c r="F27" s="2018"/>
      <c r="G27" s="2018"/>
      <c r="H27" s="2018"/>
      <c r="I27" s="2018"/>
      <c r="J27" s="2018"/>
      <c r="K27" s="2018"/>
      <c r="L27" s="2018"/>
      <c r="M27" s="2018"/>
      <c r="N27" s="2018"/>
      <c r="O27" s="2018"/>
      <c r="P27" s="2018"/>
      <c r="Q27" s="2018"/>
      <c r="R27" s="2018"/>
      <c r="S27" s="2018"/>
      <c r="T27" s="2018"/>
      <c r="U27" s="2018"/>
      <c r="V27" s="2018"/>
      <c r="W27" s="2018"/>
      <c r="X27" s="2018"/>
      <c r="Y27" s="2094"/>
      <c r="Z27" s="2096"/>
      <c r="AA27" s="2097"/>
      <c r="AB27" s="1055"/>
      <c r="AC27" s="1055"/>
      <c r="AD27" s="1055"/>
      <c r="AE27" s="1055"/>
      <c r="AF27" s="1056"/>
    </row>
    <row r="28" spans="1:32" ht="15.75" x14ac:dyDescent="0.25">
      <c r="A28" s="2017"/>
      <c r="B28" s="2018"/>
      <c r="C28" s="2018"/>
      <c r="D28" s="2018"/>
      <c r="E28" s="2018"/>
      <c r="F28" s="2018"/>
      <c r="G28" s="2018"/>
      <c r="H28" s="2018"/>
      <c r="I28" s="2018"/>
      <c r="J28" s="2018"/>
      <c r="K28" s="2018"/>
      <c r="L28" s="2018"/>
      <c r="M28" s="2018"/>
      <c r="N28" s="2018"/>
      <c r="O28" s="2018"/>
      <c r="P28" s="2018"/>
      <c r="Q28" s="2018"/>
      <c r="R28" s="2018"/>
      <c r="S28" s="2018"/>
      <c r="T28" s="2018"/>
      <c r="U28" s="2018"/>
      <c r="V28" s="2018"/>
      <c r="W28" s="2018"/>
      <c r="X28" s="2018"/>
      <c r="Y28" s="2094"/>
      <c r="Z28" s="2096"/>
      <c r="AA28" s="2097"/>
      <c r="AB28" s="1055"/>
      <c r="AC28" s="1055"/>
      <c r="AD28" s="1055"/>
      <c r="AE28" s="1055"/>
      <c r="AF28" s="1056"/>
    </row>
    <row r="29" spans="1:32" ht="15.75" x14ac:dyDescent="0.25">
      <c r="A29" s="2017"/>
      <c r="B29" s="2018"/>
      <c r="C29" s="2018"/>
      <c r="D29" s="2018"/>
      <c r="E29" s="2018"/>
      <c r="F29" s="2018"/>
      <c r="G29" s="2018"/>
      <c r="H29" s="2018"/>
      <c r="I29" s="2018"/>
      <c r="J29" s="2018"/>
      <c r="K29" s="2018"/>
      <c r="L29" s="2018"/>
      <c r="M29" s="2018"/>
      <c r="N29" s="2018"/>
      <c r="O29" s="2018"/>
      <c r="P29" s="2018"/>
      <c r="Q29" s="2018"/>
      <c r="R29" s="2018"/>
      <c r="S29" s="2018"/>
      <c r="T29" s="2018"/>
      <c r="U29" s="2018"/>
      <c r="V29" s="2018"/>
      <c r="W29" s="2018"/>
      <c r="X29" s="2018"/>
      <c r="Y29" s="2094"/>
      <c r="Z29" s="2096"/>
      <c r="AA29" s="2097"/>
      <c r="AB29" s="1055"/>
      <c r="AC29" s="1055"/>
      <c r="AD29" s="1055"/>
      <c r="AE29" s="1055"/>
      <c r="AF29" s="1056"/>
    </row>
    <row r="30" spans="1:32" ht="15.75" x14ac:dyDescent="0.25">
      <c r="A30" s="2017"/>
      <c r="B30" s="2018"/>
      <c r="C30" s="2018"/>
      <c r="D30" s="2018"/>
      <c r="E30" s="2018"/>
      <c r="F30" s="2018"/>
      <c r="G30" s="2018"/>
      <c r="H30" s="2018"/>
      <c r="I30" s="2018"/>
      <c r="J30" s="2018"/>
      <c r="K30" s="2018"/>
      <c r="L30" s="2018"/>
      <c r="M30" s="2018"/>
      <c r="N30" s="2018"/>
      <c r="O30" s="2018"/>
      <c r="P30" s="2018"/>
      <c r="Q30" s="2018"/>
      <c r="R30" s="2018"/>
      <c r="S30" s="2018"/>
      <c r="T30" s="2018"/>
      <c r="U30" s="2018"/>
      <c r="V30" s="2018"/>
      <c r="W30" s="2018"/>
      <c r="X30" s="2018"/>
      <c r="Y30" s="2094"/>
      <c r="Z30" s="2096"/>
      <c r="AA30" s="2097"/>
      <c r="AB30" s="1055"/>
      <c r="AC30" s="1055"/>
      <c r="AD30" s="1055"/>
      <c r="AE30" s="1055"/>
      <c r="AF30" s="1056"/>
    </row>
    <row r="31" spans="1:32" ht="16.5" thickBot="1" x14ac:dyDescent="0.3">
      <c r="A31" s="2019"/>
      <c r="B31" s="2020"/>
      <c r="C31" s="2020"/>
      <c r="D31" s="2020"/>
      <c r="E31" s="2020"/>
      <c r="F31" s="2020"/>
      <c r="G31" s="2020"/>
      <c r="H31" s="2020"/>
      <c r="I31" s="2020"/>
      <c r="J31" s="2020"/>
      <c r="K31" s="2020"/>
      <c r="L31" s="2020"/>
      <c r="M31" s="2020"/>
      <c r="N31" s="2020"/>
      <c r="O31" s="2020"/>
      <c r="P31" s="2020"/>
      <c r="Q31" s="2020"/>
      <c r="R31" s="2020"/>
      <c r="S31" s="2020"/>
      <c r="T31" s="2020"/>
      <c r="U31" s="2020"/>
      <c r="V31" s="2020"/>
      <c r="W31" s="2020"/>
      <c r="X31" s="2020"/>
      <c r="Y31" s="2095"/>
      <c r="Z31" s="2098"/>
      <c r="AA31" s="2099"/>
      <c r="AB31" s="1057"/>
      <c r="AC31" s="1057"/>
      <c r="AD31" s="1057"/>
      <c r="AE31" s="1057"/>
      <c r="AF31" s="1058"/>
    </row>
    <row r="32" spans="1:32" ht="15.75" x14ac:dyDescent="0.25">
      <c r="A32" s="2009" t="s">
        <v>2158</v>
      </c>
      <c r="B32" s="2010"/>
      <c r="C32" s="2010"/>
      <c r="D32" s="2010"/>
      <c r="E32" s="2010"/>
      <c r="F32" s="2010"/>
      <c r="G32" s="2010"/>
      <c r="H32" s="2010"/>
      <c r="I32" s="2010"/>
      <c r="J32" s="2010"/>
      <c r="K32" s="2010"/>
      <c r="L32" s="2010"/>
      <c r="M32" s="2010"/>
      <c r="N32" s="2010"/>
      <c r="O32" s="2010"/>
      <c r="P32" s="2010"/>
      <c r="Q32" s="2010"/>
      <c r="R32" s="2010"/>
      <c r="S32" s="2010"/>
      <c r="T32" s="2010"/>
      <c r="U32" s="2010"/>
      <c r="V32" s="2010"/>
      <c r="W32" s="2010"/>
      <c r="X32" s="2010"/>
      <c r="Y32" s="2010"/>
      <c r="Z32" s="2013" t="s">
        <v>1850</v>
      </c>
      <c r="AA32" s="2013"/>
      <c r="AB32" s="2013"/>
      <c r="AC32" s="2013"/>
      <c r="AD32" s="2013"/>
      <c r="AE32" s="2013"/>
      <c r="AF32" s="1059">
        <f>SUM(AF12:AF31)</f>
        <v>5</v>
      </c>
    </row>
    <row r="33" spans="1:32" ht="15.75" x14ac:dyDescent="0.25">
      <c r="A33" s="2011"/>
      <c r="B33" s="2012"/>
      <c r="C33" s="2012"/>
      <c r="D33" s="2012"/>
      <c r="E33" s="2012"/>
      <c r="F33" s="2012"/>
      <c r="G33" s="2012"/>
      <c r="H33" s="2012"/>
      <c r="I33" s="2012"/>
      <c r="J33" s="2012"/>
      <c r="K33" s="2012"/>
      <c r="L33" s="2012"/>
      <c r="M33" s="2012"/>
      <c r="N33" s="2012"/>
      <c r="O33" s="2012"/>
      <c r="P33" s="2012"/>
      <c r="Q33" s="2012"/>
      <c r="R33" s="2012"/>
      <c r="S33" s="2012"/>
      <c r="T33" s="2012"/>
      <c r="U33" s="2012"/>
      <c r="V33" s="2012"/>
      <c r="W33" s="2012"/>
      <c r="X33" s="2012"/>
      <c r="Y33" s="2012"/>
      <c r="Z33" s="2014" t="s">
        <v>1851</v>
      </c>
      <c r="AA33" s="2014"/>
      <c r="AB33" s="2014"/>
      <c r="AC33" s="2014"/>
      <c r="AD33" s="2014"/>
      <c r="AE33" s="2014"/>
      <c r="AF33" s="1060">
        <v>0</v>
      </c>
    </row>
    <row r="34" spans="1:32" ht="15.75" x14ac:dyDescent="0.25">
      <c r="A34" s="2011"/>
      <c r="B34" s="2012"/>
      <c r="C34" s="2012"/>
      <c r="D34" s="2012"/>
      <c r="E34" s="2012"/>
      <c r="F34" s="2012"/>
      <c r="G34" s="2012"/>
      <c r="H34" s="2012"/>
      <c r="I34" s="2012"/>
      <c r="J34" s="2012"/>
      <c r="K34" s="2012"/>
      <c r="L34" s="2012"/>
      <c r="M34" s="2012"/>
      <c r="N34" s="2012"/>
      <c r="O34" s="2012"/>
      <c r="P34" s="2012"/>
      <c r="Q34" s="2012"/>
      <c r="R34" s="2012"/>
      <c r="S34" s="2012"/>
      <c r="T34" s="2012"/>
      <c r="U34" s="2012"/>
      <c r="V34" s="2012"/>
      <c r="W34" s="2012"/>
      <c r="X34" s="2012"/>
      <c r="Y34" s="2012"/>
      <c r="Z34" s="2015" t="s">
        <v>1833</v>
      </c>
      <c r="AA34" s="2015"/>
      <c r="AB34" s="2015"/>
      <c r="AC34" s="2015"/>
      <c r="AD34" s="2015"/>
      <c r="AE34" s="2015"/>
      <c r="AF34" s="1061">
        <f>SUM(AF32:AF33)</f>
        <v>5</v>
      </c>
    </row>
    <row r="35" spans="1:32" x14ac:dyDescent="0.2">
      <c r="A35" s="2012" t="s">
        <v>1859</v>
      </c>
      <c r="B35" s="2012"/>
      <c r="C35" s="2012"/>
      <c r="D35" s="2012"/>
      <c r="E35" s="2012"/>
      <c r="F35" s="2012"/>
      <c r="G35" s="2012"/>
      <c r="H35" s="2012"/>
      <c r="I35" s="2012"/>
      <c r="J35" s="2012"/>
      <c r="K35" s="2012"/>
      <c r="L35" s="2012"/>
      <c r="M35" s="2012"/>
      <c r="N35" s="2012"/>
      <c r="O35" s="2012"/>
      <c r="P35" s="2012"/>
      <c r="Q35" s="2012"/>
      <c r="R35" s="2012"/>
      <c r="S35" s="2012"/>
      <c r="T35" s="2016" t="s">
        <v>1840</v>
      </c>
      <c r="U35" s="2016"/>
      <c r="V35" s="2016"/>
      <c r="W35" s="2016"/>
      <c r="X35" s="2016"/>
      <c r="Y35" s="2016"/>
      <c r="Z35" s="2016"/>
      <c r="AA35" s="2016"/>
      <c r="AB35" s="2012" t="s">
        <v>1852</v>
      </c>
      <c r="AC35" s="2012"/>
      <c r="AD35" s="2012"/>
      <c r="AE35" s="2012"/>
      <c r="AF35" s="2012"/>
    </row>
    <row r="36" spans="1:32" x14ac:dyDescent="0.2">
      <c r="A36" s="2012"/>
      <c r="B36" s="2012"/>
      <c r="C36" s="2012"/>
      <c r="D36" s="2012"/>
      <c r="E36" s="2012"/>
      <c r="F36" s="2012"/>
      <c r="G36" s="2012"/>
      <c r="H36" s="2012"/>
      <c r="I36" s="2012"/>
      <c r="J36" s="2012"/>
      <c r="K36" s="2012"/>
      <c r="L36" s="2012"/>
      <c r="M36" s="2012"/>
      <c r="N36" s="2012"/>
      <c r="O36" s="2012"/>
      <c r="P36" s="2012"/>
      <c r="Q36" s="2012"/>
      <c r="R36" s="2012"/>
      <c r="S36" s="2012"/>
      <c r="T36" s="2016"/>
      <c r="U36" s="2016"/>
      <c r="V36" s="2016"/>
      <c r="W36" s="2016"/>
      <c r="X36" s="2016"/>
      <c r="Y36" s="2016"/>
      <c r="Z36" s="2016"/>
      <c r="AA36" s="2016"/>
      <c r="AB36" s="2012"/>
      <c r="AC36" s="2012"/>
      <c r="AD36" s="2012"/>
      <c r="AE36" s="2012"/>
      <c r="AF36" s="2012"/>
    </row>
    <row r="37" spans="1:32" ht="16.5" thickBot="1" x14ac:dyDescent="0.25">
      <c r="A37" s="1062"/>
      <c r="B37" s="1062"/>
      <c r="C37" s="1062"/>
      <c r="D37" s="1062"/>
      <c r="E37" s="1062"/>
      <c r="F37" s="1062"/>
      <c r="G37" s="1062"/>
      <c r="H37" s="1062"/>
      <c r="I37" s="1062"/>
      <c r="J37" s="1062"/>
      <c r="K37" s="1062"/>
      <c r="L37" s="1062"/>
      <c r="M37" s="1062"/>
      <c r="N37" s="1062"/>
      <c r="O37" s="1062"/>
      <c r="P37" s="1062"/>
      <c r="Q37" s="1062"/>
      <c r="R37" s="1062"/>
      <c r="S37" s="1062"/>
      <c r="T37" s="1063"/>
      <c r="U37" s="1063"/>
      <c r="V37" s="1063"/>
      <c r="W37" s="1063"/>
      <c r="X37" s="1063"/>
      <c r="Y37" s="1063"/>
      <c r="Z37" s="1063"/>
      <c r="AA37" s="1063"/>
      <c r="AB37" s="1062"/>
      <c r="AC37" s="1062"/>
      <c r="AD37" s="1062"/>
      <c r="AE37" s="1064"/>
      <c r="AF37" s="1065"/>
    </row>
    <row r="38" spans="1:32" ht="15.75" x14ac:dyDescent="0.2">
      <c r="A38" s="2025" t="s">
        <v>1854</v>
      </c>
      <c r="B38" s="2026"/>
      <c r="C38" s="2026"/>
      <c r="D38" s="2026"/>
      <c r="E38" s="2026"/>
      <c r="F38" s="2026"/>
      <c r="G38" s="2026"/>
      <c r="H38" s="2026"/>
      <c r="I38" s="2026"/>
      <c r="J38" s="2026"/>
      <c r="K38" s="2026"/>
      <c r="L38" s="2026"/>
      <c r="M38" s="2026"/>
      <c r="N38" s="2026"/>
      <c r="O38" s="2026"/>
      <c r="P38" s="2026"/>
      <c r="Q38" s="2026"/>
      <c r="R38" s="2026"/>
      <c r="S38" s="2026"/>
      <c r="T38" s="2026"/>
      <c r="U38" s="2026"/>
      <c r="V38" s="2026"/>
      <c r="W38" s="2026"/>
      <c r="X38" s="2026"/>
      <c r="Y38" s="2026"/>
      <c r="Z38" s="2026"/>
      <c r="AA38" s="2026"/>
      <c r="AB38" s="2026"/>
      <c r="AC38" s="2026"/>
      <c r="AD38" s="2026"/>
      <c r="AE38" s="1041" t="s">
        <v>1834</v>
      </c>
      <c r="AF38" s="1042" t="s">
        <v>1835</v>
      </c>
    </row>
    <row r="39" spans="1:32" ht="16.5" thickBot="1" x14ac:dyDescent="0.25">
      <c r="A39" s="2027"/>
      <c r="B39" s="2028"/>
      <c r="C39" s="2028"/>
      <c r="D39" s="2028"/>
      <c r="E39" s="2028"/>
      <c r="F39" s="2028"/>
      <c r="G39" s="2028"/>
      <c r="H39" s="2028"/>
      <c r="I39" s="2028"/>
      <c r="J39" s="2028"/>
      <c r="K39" s="2028"/>
      <c r="L39" s="2028"/>
      <c r="M39" s="2028"/>
      <c r="N39" s="2028"/>
      <c r="O39" s="2028"/>
      <c r="P39" s="2028"/>
      <c r="Q39" s="2028"/>
      <c r="R39" s="2028"/>
      <c r="S39" s="2028"/>
      <c r="T39" s="2028"/>
      <c r="U39" s="2028"/>
      <c r="V39" s="2028"/>
      <c r="W39" s="2028"/>
      <c r="X39" s="2028"/>
      <c r="Y39" s="2028"/>
      <c r="Z39" s="2028"/>
      <c r="AA39" s="2028"/>
      <c r="AB39" s="2028"/>
      <c r="AC39" s="2028"/>
      <c r="AD39" s="2028"/>
      <c r="AE39" s="1041" t="s">
        <v>1836</v>
      </c>
      <c r="AF39" s="1044">
        <v>1</v>
      </c>
    </row>
    <row r="40" spans="1:32" ht="15.75" x14ac:dyDescent="0.2">
      <c r="A40" s="2029"/>
      <c r="B40" s="2030"/>
      <c r="C40" s="2030"/>
      <c r="D40" s="2031"/>
      <c r="E40" s="2025" t="str">
        <f>'01'!$A$12</f>
        <v>"CONSTRUCCION SISTEMA DE ACUEDUCTO FASE II DEL MUNICIPIO DE TESALIA DPTO DEL HUILA"</v>
      </c>
      <c r="F40" s="2026"/>
      <c r="G40" s="2026"/>
      <c r="H40" s="2026"/>
      <c r="I40" s="2026"/>
      <c r="J40" s="2026"/>
      <c r="K40" s="2026"/>
      <c r="L40" s="2026"/>
      <c r="M40" s="2026"/>
      <c r="N40" s="2026"/>
      <c r="O40" s="2026"/>
      <c r="P40" s="2026"/>
      <c r="Q40" s="2026"/>
      <c r="R40" s="2026"/>
      <c r="S40" s="2026"/>
      <c r="T40" s="2026"/>
      <c r="U40" s="2026"/>
      <c r="V40" s="2026"/>
      <c r="W40" s="2026"/>
      <c r="X40" s="2026"/>
      <c r="Y40" s="2026"/>
      <c r="Z40" s="2026"/>
      <c r="AA40" s="2026"/>
      <c r="AB40" s="2026"/>
      <c r="AC40" s="2026"/>
      <c r="AD40" s="2035"/>
      <c r="AE40" s="1041" t="s">
        <v>847</v>
      </c>
      <c r="AF40" s="1045">
        <f>'01'!$M$13</f>
        <v>0</v>
      </c>
    </row>
    <row r="41" spans="1:32" ht="16.5" thickBot="1" x14ac:dyDescent="0.25">
      <c r="A41" s="2032"/>
      <c r="B41" s="2033"/>
      <c r="C41" s="2033"/>
      <c r="D41" s="2034"/>
      <c r="E41" s="2027"/>
      <c r="F41" s="2028"/>
      <c r="G41" s="2028"/>
      <c r="H41" s="2028"/>
      <c r="I41" s="2028"/>
      <c r="J41" s="2028"/>
      <c r="K41" s="2028"/>
      <c r="L41" s="2028"/>
      <c r="M41" s="2028"/>
      <c r="N41" s="2028"/>
      <c r="O41" s="2028"/>
      <c r="P41" s="2028"/>
      <c r="Q41" s="2028"/>
      <c r="R41" s="2028"/>
      <c r="S41" s="2028"/>
      <c r="T41" s="2028"/>
      <c r="U41" s="2028"/>
      <c r="V41" s="2028"/>
      <c r="W41" s="2028"/>
      <c r="X41" s="2028"/>
      <c r="Y41" s="2028"/>
      <c r="Z41" s="2028"/>
      <c r="AA41" s="2028"/>
      <c r="AB41" s="2028"/>
      <c r="AC41" s="2028"/>
      <c r="AD41" s="2036"/>
      <c r="AE41" s="1041" t="s">
        <v>1837</v>
      </c>
      <c r="AF41" s="1042" t="s">
        <v>1838</v>
      </c>
    </row>
    <row r="42" spans="1:32" ht="15.75" x14ac:dyDescent="0.25">
      <c r="A42" s="2037" t="s">
        <v>1860</v>
      </c>
      <c r="B42" s="2038"/>
      <c r="C42" s="2038"/>
      <c r="D42" s="2038"/>
      <c r="E42" s="2038"/>
      <c r="F42" s="2038"/>
      <c r="G42" s="2038"/>
      <c r="H42" s="2038"/>
      <c r="I42" s="2038"/>
      <c r="J42" s="2038"/>
      <c r="K42" s="2038"/>
      <c r="L42" s="2038"/>
      <c r="M42" s="2038"/>
      <c r="N42" s="2038"/>
      <c r="O42" s="2038"/>
      <c r="P42" s="2038"/>
      <c r="Q42" s="2038"/>
      <c r="R42" s="2038"/>
      <c r="S42" s="2038"/>
      <c r="T42" s="2038"/>
      <c r="U42" s="2038"/>
      <c r="V42" s="2038"/>
      <c r="W42" s="2038"/>
      <c r="X42" s="2038"/>
      <c r="Y42" s="2038"/>
      <c r="Z42" s="2038"/>
      <c r="AA42" s="2038"/>
      <c r="AB42" s="2038"/>
      <c r="AC42" s="2038"/>
      <c r="AD42" s="2038"/>
      <c r="AE42" s="2039" t="s">
        <v>1839</v>
      </c>
      <c r="AF42" s="2040"/>
    </row>
    <row r="43" spans="1:32" ht="15.75" x14ac:dyDescent="0.25">
      <c r="A43" s="2041" t="s">
        <v>1840</v>
      </c>
      <c r="B43" s="2042"/>
      <c r="C43" s="2042"/>
      <c r="D43" s="2042"/>
      <c r="E43" s="2042"/>
      <c r="F43" s="2042"/>
      <c r="G43" s="2042"/>
      <c r="H43" s="2042"/>
      <c r="I43" s="2042"/>
      <c r="J43" s="2042"/>
      <c r="K43" s="2042"/>
      <c r="L43" s="2042"/>
      <c r="M43" s="2042"/>
      <c r="N43" s="2042"/>
      <c r="O43" s="2042"/>
      <c r="P43" s="2042"/>
      <c r="Q43" s="2042"/>
      <c r="R43" s="2042"/>
      <c r="S43" s="2042"/>
      <c r="T43" s="2042"/>
      <c r="U43" s="2042"/>
      <c r="V43" s="2042"/>
      <c r="W43" s="2042"/>
      <c r="X43" s="2042"/>
      <c r="Y43" s="2042"/>
      <c r="Z43" s="2042"/>
      <c r="AA43" s="2042"/>
      <c r="AB43" s="2042"/>
      <c r="AC43" s="2042"/>
      <c r="AD43" s="2043"/>
      <c r="AE43" s="2014" t="s">
        <v>1841</v>
      </c>
      <c r="AF43" s="2044"/>
    </row>
    <row r="44" spans="1:32" ht="15.75" x14ac:dyDescent="0.25">
      <c r="A44" s="2045" t="s">
        <v>1853</v>
      </c>
      <c r="B44" s="2046"/>
      <c r="C44" s="2046"/>
      <c r="D44" s="2046"/>
      <c r="E44" s="2046"/>
      <c r="F44" s="2046"/>
      <c r="G44" s="2046"/>
      <c r="H44" s="2046"/>
      <c r="I44" s="2046"/>
      <c r="J44" s="2046"/>
      <c r="K44" s="2046"/>
      <c r="L44" s="2046"/>
      <c r="M44" s="2046"/>
      <c r="N44" s="2046"/>
      <c r="O44" s="2046"/>
      <c r="P44" s="2046"/>
      <c r="Q44" s="2046"/>
      <c r="R44" s="2046"/>
      <c r="S44" s="2046"/>
      <c r="T44" s="2046"/>
      <c r="U44" s="2046"/>
      <c r="V44" s="2046"/>
      <c r="W44" s="2046"/>
      <c r="X44" s="2046"/>
      <c r="Y44" s="2046"/>
      <c r="Z44" s="2046"/>
      <c r="AA44" s="2046"/>
      <c r="AB44" s="2046"/>
      <c r="AC44" s="2046"/>
      <c r="AD44" s="2046"/>
      <c r="AE44" s="2047">
        <f>'01'!$M$13</f>
        <v>0</v>
      </c>
      <c r="AF44" s="2044"/>
    </row>
    <row r="45" spans="1:32" x14ac:dyDescent="0.2">
      <c r="A45" s="1046"/>
      <c r="B45" s="1047"/>
      <c r="C45" s="1047"/>
      <c r="D45" s="1047"/>
      <c r="E45" s="1047"/>
      <c r="F45" s="1047"/>
      <c r="G45" s="1047"/>
      <c r="H45" s="1047"/>
      <c r="I45" s="1047"/>
      <c r="J45" s="1047"/>
      <c r="K45" s="1047"/>
      <c r="L45" s="1047"/>
      <c r="M45" s="1047"/>
      <c r="N45" s="1047"/>
      <c r="O45" s="1047"/>
      <c r="P45" s="1047"/>
      <c r="Q45" s="1047"/>
      <c r="R45" s="1047"/>
      <c r="S45" s="1047"/>
      <c r="T45" s="1047"/>
      <c r="U45" s="1047"/>
      <c r="V45" s="1047"/>
      <c r="W45" s="1047"/>
      <c r="X45" s="1047"/>
      <c r="Y45" s="1047"/>
      <c r="Z45" s="1047"/>
      <c r="AA45" s="1047"/>
      <c r="AB45" s="1047"/>
      <c r="AC45" s="1047"/>
      <c r="AD45" s="1047"/>
      <c r="AE45" s="1047"/>
      <c r="AF45" s="1048"/>
    </row>
    <row r="46" spans="1:32" ht="15.75" x14ac:dyDescent="0.2">
      <c r="A46" s="2048" t="s">
        <v>1842</v>
      </c>
      <c r="B46" s="2049"/>
      <c r="C46" s="2049"/>
      <c r="D46" s="2049"/>
      <c r="E46" s="2049"/>
      <c r="F46" s="2050" t="str">
        <f>'01'!$H$16</f>
        <v>A -EMPATE CON LÍNEA DE ADUCCIÓN</v>
      </c>
      <c r="G46" s="2049"/>
      <c r="H46" s="2049"/>
      <c r="I46" s="2049"/>
      <c r="J46" s="2049"/>
      <c r="K46" s="2049"/>
      <c r="L46" s="2049"/>
      <c r="M46" s="2049"/>
      <c r="N46" s="2049"/>
      <c r="O46" s="2049"/>
      <c r="P46" s="2049"/>
      <c r="Q46" s="2049"/>
      <c r="R46" s="2049"/>
      <c r="S46" s="2049"/>
      <c r="T46" s="2049"/>
      <c r="U46" s="2049"/>
      <c r="V46" s="2049"/>
      <c r="W46" s="2049"/>
      <c r="X46" s="2049"/>
      <c r="Y46" s="2051"/>
      <c r="Z46" s="2052" t="s">
        <v>1843</v>
      </c>
      <c r="AA46" s="2053"/>
      <c r="AB46" s="2058" t="s">
        <v>1844</v>
      </c>
      <c r="AC46" s="2059"/>
      <c r="AD46" s="2060"/>
      <c r="AE46" s="2064" t="s">
        <v>1845</v>
      </c>
      <c r="AF46" s="2067" t="s">
        <v>1846</v>
      </c>
    </row>
    <row r="47" spans="1:32" x14ac:dyDescent="0.2">
      <c r="A47" s="2070" t="str">
        <f>'01'!A20</f>
        <v>A-02-01</v>
      </c>
      <c r="B47" s="2071"/>
      <c r="C47" s="2072"/>
      <c r="D47" s="2076" t="str">
        <f>VLOOKUP(A47,'01'!$A$12:$N$299,3,FALSE)</f>
        <v>EXCAVACIÓN MECÁNICA EN MATERIAL COMÚN (INCLUYE MAQUINARIA)</v>
      </c>
      <c r="E47" s="2077"/>
      <c r="F47" s="2077"/>
      <c r="G47" s="2077"/>
      <c r="H47" s="2077"/>
      <c r="I47" s="2077"/>
      <c r="J47" s="2077"/>
      <c r="K47" s="2077"/>
      <c r="L47" s="2077"/>
      <c r="M47" s="2077"/>
      <c r="N47" s="2077"/>
      <c r="O47" s="2077"/>
      <c r="P47" s="2077"/>
      <c r="Q47" s="2077"/>
      <c r="R47" s="2077"/>
      <c r="S47" s="2078"/>
      <c r="T47" s="2082" t="s">
        <v>124</v>
      </c>
      <c r="U47" s="2083"/>
      <c r="V47" s="2083"/>
      <c r="W47" s="2083"/>
      <c r="X47" s="2052" t="str">
        <f>VLOOKUP(A47,'01'!$A$12:$N$299,9,FALSE)</f>
        <v>M3</v>
      </c>
      <c r="Y47" s="2053"/>
      <c r="Z47" s="2054"/>
      <c r="AA47" s="2055"/>
      <c r="AB47" s="2061"/>
      <c r="AC47" s="2062"/>
      <c r="AD47" s="2063"/>
      <c r="AE47" s="2065"/>
      <c r="AF47" s="2068"/>
    </row>
    <row r="48" spans="1:32" ht="15.75" x14ac:dyDescent="0.25">
      <c r="A48" s="2073"/>
      <c r="B48" s="2074"/>
      <c r="C48" s="2075"/>
      <c r="D48" s="2079"/>
      <c r="E48" s="2080"/>
      <c r="F48" s="2080"/>
      <c r="G48" s="2080"/>
      <c r="H48" s="2080"/>
      <c r="I48" s="2080"/>
      <c r="J48" s="2080"/>
      <c r="K48" s="2080"/>
      <c r="L48" s="2080"/>
      <c r="M48" s="2080"/>
      <c r="N48" s="2080"/>
      <c r="O48" s="2080"/>
      <c r="P48" s="2080"/>
      <c r="Q48" s="2080"/>
      <c r="R48" s="2080"/>
      <c r="S48" s="2081"/>
      <c r="T48" s="2084"/>
      <c r="U48" s="2085"/>
      <c r="V48" s="2085"/>
      <c r="W48" s="2085"/>
      <c r="X48" s="2056"/>
      <c r="Y48" s="2057"/>
      <c r="Z48" s="2056"/>
      <c r="AA48" s="2057"/>
      <c r="AB48" s="1049" t="s">
        <v>1847</v>
      </c>
      <c r="AC48" s="1049" t="s">
        <v>1848</v>
      </c>
      <c r="AD48" s="1049" t="s">
        <v>2159</v>
      </c>
      <c r="AE48" s="2066"/>
      <c r="AF48" s="2069"/>
    </row>
    <row r="49" spans="1:32" ht="15.75" x14ac:dyDescent="0.25">
      <c r="A49" s="2017"/>
      <c r="B49" s="2018"/>
      <c r="C49" s="2018"/>
      <c r="D49" s="2018"/>
      <c r="E49" s="2018"/>
      <c r="F49" s="2018"/>
      <c r="G49" s="2018"/>
      <c r="H49" s="2018"/>
      <c r="I49" s="2018"/>
      <c r="J49" s="2018"/>
      <c r="K49" s="2018"/>
      <c r="L49" s="2018"/>
      <c r="M49" s="2018"/>
      <c r="N49" s="2018"/>
      <c r="O49" s="2018"/>
      <c r="P49" s="2018"/>
      <c r="Q49" s="2018"/>
      <c r="R49" s="2018"/>
      <c r="S49" s="2018"/>
      <c r="T49" s="2018"/>
      <c r="U49" s="2018"/>
      <c r="V49" s="2018"/>
      <c r="W49" s="2018"/>
      <c r="X49" s="2018"/>
      <c r="Y49" s="2094"/>
      <c r="Z49" s="2096" t="s">
        <v>2157</v>
      </c>
      <c r="AA49" s="2097"/>
      <c r="AB49" s="1050">
        <f>AB12</f>
        <v>5</v>
      </c>
      <c r="AC49" s="1050">
        <v>1</v>
      </c>
      <c r="AD49" s="1050">
        <v>0.9</v>
      </c>
      <c r="AE49" s="1051">
        <v>1</v>
      </c>
      <c r="AF49" s="1052">
        <f>AD49*AC49*AB49</f>
        <v>4.5</v>
      </c>
    </row>
    <row r="50" spans="1:32" ht="15.75" x14ac:dyDescent="0.25">
      <c r="A50" s="2017"/>
      <c r="B50" s="2018"/>
      <c r="C50" s="2018"/>
      <c r="D50" s="2018"/>
      <c r="E50" s="2018"/>
      <c r="F50" s="2018"/>
      <c r="G50" s="2018"/>
      <c r="H50" s="2018"/>
      <c r="I50" s="2018"/>
      <c r="J50" s="2018"/>
      <c r="K50" s="2018"/>
      <c r="L50" s="2018"/>
      <c r="M50" s="2018"/>
      <c r="N50" s="2018"/>
      <c r="O50" s="2018"/>
      <c r="P50" s="2018"/>
      <c r="Q50" s="2018"/>
      <c r="R50" s="2018"/>
      <c r="S50" s="2018"/>
      <c r="T50" s="2018"/>
      <c r="U50" s="2018"/>
      <c r="V50" s="2018"/>
      <c r="W50" s="2018"/>
      <c r="X50" s="2018"/>
      <c r="Y50" s="2094"/>
      <c r="Z50" s="2096"/>
      <c r="AA50" s="2097"/>
      <c r="AB50" s="1053"/>
      <c r="AC50" s="1053"/>
      <c r="AD50" s="1050"/>
      <c r="AE50" s="1051"/>
      <c r="AF50" s="1052"/>
    </row>
    <row r="51" spans="1:32" ht="15.75" x14ac:dyDescent="0.25">
      <c r="A51" s="2017"/>
      <c r="B51" s="2018"/>
      <c r="C51" s="2018"/>
      <c r="D51" s="2018"/>
      <c r="E51" s="2018"/>
      <c r="F51" s="2018"/>
      <c r="G51" s="2018"/>
      <c r="H51" s="2018"/>
      <c r="I51" s="2018"/>
      <c r="J51" s="2018"/>
      <c r="K51" s="2018"/>
      <c r="L51" s="2018"/>
      <c r="M51" s="2018"/>
      <c r="N51" s="2018"/>
      <c r="O51" s="2018"/>
      <c r="P51" s="2018"/>
      <c r="Q51" s="2018"/>
      <c r="R51" s="2018"/>
      <c r="S51" s="2018"/>
      <c r="T51" s="2018"/>
      <c r="U51" s="2018"/>
      <c r="V51" s="2018"/>
      <c r="W51" s="2018"/>
      <c r="X51" s="2018"/>
      <c r="Y51" s="2094"/>
      <c r="Z51" s="2096"/>
      <c r="AA51" s="2097"/>
      <c r="AB51" s="1053"/>
      <c r="AC51" s="1053"/>
      <c r="AD51" s="1050"/>
      <c r="AE51" s="1051"/>
      <c r="AF51" s="1052"/>
    </row>
    <row r="52" spans="1:32" ht="15.75" x14ac:dyDescent="0.25">
      <c r="A52" s="2017"/>
      <c r="B52" s="2018"/>
      <c r="C52" s="2018"/>
      <c r="D52" s="2018"/>
      <c r="E52" s="2018"/>
      <c r="F52" s="2018"/>
      <c r="G52" s="2018"/>
      <c r="H52" s="2018"/>
      <c r="I52" s="2018"/>
      <c r="J52" s="2018"/>
      <c r="K52" s="2018"/>
      <c r="L52" s="2018"/>
      <c r="M52" s="2018"/>
      <c r="N52" s="2018"/>
      <c r="O52" s="2018"/>
      <c r="P52" s="2018"/>
      <c r="Q52" s="2018"/>
      <c r="R52" s="2018"/>
      <c r="S52" s="2018"/>
      <c r="T52" s="2018"/>
      <c r="U52" s="2018"/>
      <c r="V52" s="2018"/>
      <c r="W52" s="2018"/>
      <c r="X52" s="2018"/>
      <c r="Y52" s="2094"/>
      <c r="Z52" s="2096"/>
      <c r="AA52" s="2097"/>
      <c r="AB52" s="1053"/>
      <c r="AC52" s="1053"/>
      <c r="AD52" s="1050"/>
      <c r="AE52" s="1051"/>
      <c r="AF52" s="1052"/>
    </row>
    <row r="53" spans="1:32" ht="15.75" x14ac:dyDescent="0.25">
      <c r="A53" s="2017"/>
      <c r="B53" s="2018"/>
      <c r="C53" s="2018"/>
      <c r="D53" s="2018"/>
      <c r="E53" s="2018"/>
      <c r="F53" s="2018"/>
      <c r="G53" s="2018"/>
      <c r="H53" s="2018"/>
      <c r="I53" s="2018"/>
      <c r="J53" s="2018"/>
      <c r="K53" s="2018"/>
      <c r="L53" s="2018"/>
      <c r="M53" s="2018"/>
      <c r="N53" s="2018"/>
      <c r="O53" s="2018"/>
      <c r="P53" s="2018"/>
      <c r="Q53" s="2018"/>
      <c r="R53" s="2018"/>
      <c r="S53" s="2018"/>
      <c r="T53" s="2018"/>
      <c r="U53" s="2018"/>
      <c r="V53" s="2018"/>
      <c r="W53" s="2018"/>
      <c r="X53" s="2018"/>
      <c r="Y53" s="2094"/>
      <c r="Z53" s="2096"/>
      <c r="AA53" s="2097"/>
      <c r="AB53" s="1053"/>
      <c r="AC53" s="1053"/>
      <c r="AD53" s="1050"/>
      <c r="AE53" s="1051"/>
      <c r="AF53" s="1052"/>
    </row>
    <row r="54" spans="1:32" ht="15.75" x14ac:dyDescent="0.25">
      <c r="A54" s="2017"/>
      <c r="B54" s="2018"/>
      <c r="C54" s="2018"/>
      <c r="D54" s="2018"/>
      <c r="E54" s="2018"/>
      <c r="F54" s="2018"/>
      <c r="G54" s="2018"/>
      <c r="H54" s="2018"/>
      <c r="I54" s="2018"/>
      <c r="J54" s="2018"/>
      <c r="K54" s="2018"/>
      <c r="L54" s="2018"/>
      <c r="M54" s="2018"/>
      <c r="N54" s="2018"/>
      <c r="O54" s="2018"/>
      <c r="P54" s="2018"/>
      <c r="Q54" s="2018"/>
      <c r="R54" s="2018"/>
      <c r="S54" s="2018"/>
      <c r="T54" s="2018"/>
      <c r="U54" s="2018"/>
      <c r="V54" s="2018"/>
      <c r="W54" s="2018"/>
      <c r="X54" s="2018"/>
      <c r="Y54" s="2094"/>
      <c r="Z54" s="2096"/>
      <c r="AA54" s="2097"/>
      <c r="AB54" s="1053"/>
      <c r="AC54" s="1053"/>
      <c r="AD54" s="1053"/>
      <c r="AE54" s="1051"/>
      <c r="AF54" s="1052"/>
    </row>
    <row r="55" spans="1:32" ht="15.75" x14ac:dyDescent="0.25">
      <c r="A55" s="2017"/>
      <c r="B55" s="2018"/>
      <c r="C55" s="2018"/>
      <c r="D55" s="2018"/>
      <c r="E55" s="2018"/>
      <c r="F55" s="2018"/>
      <c r="G55" s="2018"/>
      <c r="H55" s="2018"/>
      <c r="I55" s="2018"/>
      <c r="J55" s="2018"/>
      <c r="K55" s="2018"/>
      <c r="L55" s="2018"/>
      <c r="M55" s="2018"/>
      <c r="N55" s="2018"/>
      <c r="O55" s="2018"/>
      <c r="P55" s="2018"/>
      <c r="Q55" s="2018"/>
      <c r="R55" s="2018"/>
      <c r="S55" s="2018"/>
      <c r="T55" s="2018"/>
      <c r="U55" s="2018"/>
      <c r="V55" s="2018"/>
      <c r="W55" s="2018"/>
      <c r="X55" s="2018"/>
      <c r="Y55" s="2094"/>
      <c r="Z55" s="2096"/>
      <c r="AA55" s="2097"/>
      <c r="AB55" s="1053"/>
      <c r="AC55" s="1053"/>
      <c r="AD55" s="1053"/>
      <c r="AE55" s="1051"/>
      <c r="AF55" s="1052"/>
    </row>
    <row r="56" spans="1:32" ht="15.75" x14ac:dyDescent="0.25">
      <c r="A56" s="2017"/>
      <c r="B56" s="2018"/>
      <c r="C56" s="2018"/>
      <c r="D56" s="2018"/>
      <c r="E56" s="2018"/>
      <c r="F56" s="2018"/>
      <c r="G56" s="2018"/>
      <c r="H56" s="2018"/>
      <c r="I56" s="2018"/>
      <c r="J56" s="2018"/>
      <c r="K56" s="2018"/>
      <c r="L56" s="2018"/>
      <c r="M56" s="2018"/>
      <c r="N56" s="2018"/>
      <c r="O56" s="2018"/>
      <c r="P56" s="2018"/>
      <c r="Q56" s="2018"/>
      <c r="R56" s="2018"/>
      <c r="S56" s="2018"/>
      <c r="T56" s="2018"/>
      <c r="U56" s="2018"/>
      <c r="V56" s="2018"/>
      <c r="W56" s="2018"/>
      <c r="X56" s="2018"/>
      <c r="Y56" s="2094"/>
      <c r="Z56" s="2096"/>
      <c r="AA56" s="2097"/>
      <c r="AB56" s="1053"/>
      <c r="AC56" s="1053"/>
      <c r="AD56" s="1053"/>
      <c r="AE56" s="1051"/>
      <c r="AF56" s="1052"/>
    </row>
    <row r="57" spans="1:32" ht="15.75" x14ac:dyDescent="0.25">
      <c r="A57" s="2017"/>
      <c r="B57" s="2018"/>
      <c r="C57" s="2018"/>
      <c r="D57" s="2018"/>
      <c r="E57" s="2018"/>
      <c r="F57" s="2018"/>
      <c r="G57" s="2018"/>
      <c r="H57" s="2018"/>
      <c r="I57" s="2018"/>
      <c r="J57" s="2018"/>
      <c r="K57" s="2018"/>
      <c r="L57" s="2018"/>
      <c r="M57" s="2018"/>
      <c r="N57" s="2018"/>
      <c r="O57" s="2018"/>
      <c r="P57" s="2018"/>
      <c r="Q57" s="2018"/>
      <c r="R57" s="2018"/>
      <c r="S57" s="2018"/>
      <c r="T57" s="2018"/>
      <c r="U57" s="2018"/>
      <c r="V57" s="2018"/>
      <c r="W57" s="2018"/>
      <c r="X57" s="2018"/>
      <c r="Y57" s="2094"/>
      <c r="Z57" s="2096"/>
      <c r="AA57" s="2097"/>
      <c r="AB57" s="1053"/>
      <c r="AC57" s="1053"/>
      <c r="AD57" s="1053"/>
      <c r="AE57" s="1050"/>
      <c r="AF57" s="1054"/>
    </row>
    <row r="58" spans="1:32" ht="15.75" x14ac:dyDescent="0.25">
      <c r="A58" s="2017"/>
      <c r="B58" s="2018"/>
      <c r="C58" s="2018"/>
      <c r="D58" s="2018"/>
      <c r="E58" s="2018"/>
      <c r="F58" s="2018"/>
      <c r="G58" s="2018"/>
      <c r="H58" s="2018"/>
      <c r="I58" s="2018"/>
      <c r="J58" s="2018"/>
      <c r="K58" s="2018"/>
      <c r="L58" s="2018"/>
      <c r="M58" s="2018"/>
      <c r="N58" s="2018"/>
      <c r="O58" s="2018"/>
      <c r="P58" s="2018"/>
      <c r="Q58" s="2018"/>
      <c r="R58" s="2018"/>
      <c r="S58" s="2018"/>
      <c r="T58" s="2018"/>
      <c r="U58" s="2018"/>
      <c r="V58" s="2018"/>
      <c r="W58" s="2018"/>
      <c r="X58" s="2018"/>
      <c r="Y58" s="2094"/>
      <c r="Z58" s="2096"/>
      <c r="AA58" s="2097"/>
      <c r="AB58" s="1053"/>
      <c r="AC58" s="1053"/>
      <c r="AD58" s="1053"/>
      <c r="AE58" s="1051"/>
      <c r="AF58" s="1054"/>
    </row>
    <row r="59" spans="1:32" ht="15.75" x14ac:dyDescent="0.25">
      <c r="A59" s="2017"/>
      <c r="B59" s="2018"/>
      <c r="C59" s="2018"/>
      <c r="D59" s="2018"/>
      <c r="E59" s="2018"/>
      <c r="F59" s="2018"/>
      <c r="G59" s="2018"/>
      <c r="H59" s="2018"/>
      <c r="I59" s="2018"/>
      <c r="J59" s="2018"/>
      <c r="K59" s="2018"/>
      <c r="L59" s="2018"/>
      <c r="M59" s="2018"/>
      <c r="N59" s="2018"/>
      <c r="O59" s="2018"/>
      <c r="P59" s="2018"/>
      <c r="Q59" s="2018"/>
      <c r="R59" s="2018"/>
      <c r="S59" s="2018"/>
      <c r="T59" s="2018"/>
      <c r="U59" s="2018"/>
      <c r="V59" s="2018"/>
      <c r="W59" s="2018"/>
      <c r="X59" s="2018"/>
      <c r="Y59" s="2094"/>
      <c r="Z59" s="2096"/>
      <c r="AA59" s="2097"/>
      <c r="AB59" s="1053"/>
      <c r="AC59" s="1053"/>
      <c r="AD59" s="1053"/>
      <c r="AE59" s="1051"/>
      <c r="AF59" s="1054"/>
    </row>
    <row r="60" spans="1:32" ht="15.75" x14ac:dyDescent="0.25">
      <c r="A60" s="2017"/>
      <c r="B60" s="2018"/>
      <c r="C60" s="2018"/>
      <c r="D60" s="2018"/>
      <c r="E60" s="2018"/>
      <c r="F60" s="2018"/>
      <c r="G60" s="2018"/>
      <c r="H60" s="2018"/>
      <c r="I60" s="2018"/>
      <c r="J60" s="2018"/>
      <c r="K60" s="2018"/>
      <c r="L60" s="2018"/>
      <c r="M60" s="2018"/>
      <c r="N60" s="2018"/>
      <c r="O60" s="2018"/>
      <c r="P60" s="2018"/>
      <c r="Q60" s="2018"/>
      <c r="R60" s="2018"/>
      <c r="S60" s="2018"/>
      <c r="T60" s="2018"/>
      <c r="U60" s="2018"/>
      <c r="V60" s="2018"/>
      <c r="W60" s="2018"/>
      <c r="X60" s="2018"/>
      <c r="Y60" s="2094"/>
      <c r="Z60" s="2096"/>
      <c r="AA60" s="2097"/>
      <c r="AB60" s="1053"/>
      <c r="AC60" s="1053"/>
      <c r="AD60" s="1053"/>
      <c r="AE60" s="1051"/>
      <c r="AF60" s="1054"/>
    </row>
    <row r="61" spans="1:32" ht="15.75" x14ac:dyDescent="0.25">
      <c r="A61" s="2017"/>
      <c r="B61" s="2018"/>
      <c r="C61" s="2018"/>
      <c r="D61" s="2018"/>
      <c r="E61" s="2018"/>
      <c r="F61" s="2018"/>
      <c r="G61" s="2018"/>
      <c r="H61" s="2018"/>
      <c r="I61" s="2018"/>
      <c r="J61" s="2018"/>
      <c r="K61" s="2018"/>
      <c r="L61" s="2018"/>
      <c r="M61" s="2018"/>
      <c r="N61" s="2018"/>
      <c r="O61" s="2018"/>
      <c r="P61" s="2018"/>
      <c r="Q61" s="2018"/>
      <c r="R61" s="2018"/>
      <c r="S61" s="2018"/>
      <c r="T61" s="2018"/>
      <c r="U61" s="2018"/>
      <c r="V61" s="2018"/>
      <c r="W61" s="2018"/>
      <c r="X61" s="2018"/>
      <c r="Y61" s="2094"/>
      <c r="Z61" s="2096"/>
      <c r="AA61" s="2097"/>
      <c r="AB61" s="1053"/>
      <c r="AC61" s="1053"/>
      <c r="AD61" s="1053"/>
      <c r="AE61" s="1051"/>
      <c r="AF61" s="1054"/>
    </row>
    <row r="62" spans="1:32" ht="15.75" x14ac:dyDescent="0.25">
      <c r="A62" s="2017"/>
      <c r="B62" s="2018"/>
      <c r="C62" s="2018"/>
      <c r="D62" s="2018"/>
      <c r="E62" s="2018"/>
      <c r="F62" s="2018"/>
      <c r="G62" s="2018"/>
      <c r="H62" s="2018"/>
      <c r="I62" s="2018"/>
      <c r="J62" s="2018"/>
      <c r="K62" s="2018"/>
      <c r="L62" s="2018"/>
      <c r="M62" s="2018"/>
      <c r="N62" s="2018"/>
      <c r="O62" s="2018"/>
      <c r="P62" s="2018"/>
      <c r="Q62" s="2018"/>
      <c r="R62" s="2018"/>
      <c r="S62" s="2018"/>
      <c r="T62" s="2018"/>
      <c r="U62" s="2018"/>
      <c r="V62" s="2018"/>
      <c r="W62" s="2018"/>
      <c r="X62" s="2018"/>
      <c r="Y62" s="2094"/>
      <c r="Z62" s="2096"/>
      <c r="AA62" s="2097"/>
      <c r="AB62" s="1053"/>
      <c r="AC62" s="1053"/>
      <c r="AD62" s="1053"/>
      <c r="AE62" s="1051"/>
      <c r="AF62" s="1054"/>
    </row>
    <row r="63" spans="1:32" ht="15.75" x14ac:dyDescent="0.25">
      <c r="A63" s="2017"/>
      <c r="B63" s="2018"/>
      <c r="C63" s="2018"/>
      <c r="D63" s="2018"/>
      <c r="E63" s="2018"/>
      <c r="F63" s="2018"/>
      <c r="G63" s="2018"/>
      <c r="H63" s="2018"/>
      <c r="I63" s="2018"/>
      <c r="J63" s="2018"/>
      <c r="K63" s="2018"/>
      <c r="L63" s="2018"/>
      <c r="M63" s="2018"/>
      <c r="N63" s="2018"/>
      <c r="O63" s="2018"/>
      <c r="P63" s="2018"/>
      <c r="Q63" s="2018"/>
      <c r="R63" s="2018"/>
      <c r="S63" s="2018"/>
      <c r="T63" s="2018"/>
      <c r="U63" s="2018"/>
      <c r="V63" s="2018"/>
      <c r="W63" s="2018"/>
      <c r="X63" s="2018"/>
      <c r="Y63" s="2094"/>
      <c r="Z63" s="2096"/>
      <c r="AA63" s="2097"/>
      <c r="AB63" s="1055"/>
      <c r="AC63" s="1055"/>
      <c r="AD63" s="1055"/>
      <c r="AE63" s="1051"/>
      <c r="AF63" s="1056"/>
    </row>
    <row r="64" spans="1:32" ht="15.75" x14ac:dyDescent="0.25">
      <c r="A64" s="2017"/>
      <c r="B64" s="2018"/>
      <c r="C64" s="2018"/>
      <c r="D64" s="2018"/>
      <c r="E64" s="2018"/>
      <c r="F64" s="2018"/>
      <c r="G64" s="2018"/>
      <c r="H64" s="2018"/>
      <c r="I64" s="2018"/>
      <c r="J64" s="2018"/>
      <c r="K64" s="2018"/>
      <c r="L64" s="2018"/>
      <c r="M64" s="2018"/>
      <c r="N64" s="2018"/>
      <c r="O64" s="2018"/>
      <c r="P64" s="2018"/>
      <c r="Q64" s="2018"/>
      <c r="R64" s="2018"/>
      <c r="S64" s="2018"/>
      <c r="T64" s="2018"/>
      <c r="U64" s="2018"/>
      <c r="V64" s="2018"/>
      <c r="W64" s="2018"/>
      <c r="X64" s="2018"/>
      <c r="Y64" s="2094"/>
      <c r="Z64" s="2096"/>
      <c r="AA64" s="2097"/>
      <c r="AB64" s="1055"/>
      <c r="AC64" s="1055"/>
      <c r="AD64" s="1055"/>
      <c r="AE64" s="1055"/>
      <c r="AF64" s="1056"/>
    </row>
    <row r="65" spans="1:32" ht="15.75" x14ac:dyDescent="0.25">
      <c r="A65" s="2017"/>
      <c r="B65" s="2018"/>
      <c r="C65" s="2018"/>
      <c r="D65" s="2018"/>
      <c r="E65" s="2018"/>
      <c r="F65" s="2018"/>
      <c r="G65" s="2018"/>
      <c r="H65" s="2018"/>
      <c r="I65" s="2018"/>
      <c r="J65" s="2018"/>
      <c r="K65" s="2018"/>
      <c r="L65" s="2018"/>
      <c r="M65" s="2018"/>
      <c r="N65" s="2018"/>
      <c r="O65" s="2018"/>
      <c r="P65" s="2018"/>
      <c r="Q65" s="2018"/>
      <c r="R65" s="2018"/>
      <c r="S65" s="2018"/>
      <c r="T65" s="2018"/>
      <c r="U65" s="2018"/>
      <c r="V65" s="2018"/>
      <c r="W65" s="2018"/>
      <c r="X65" s="2018"/>
      <c r="Y65" s="2094"/>
      <c r="Z65" s="2096"/>
      <c r="AA65" s="2097"/>
      <c r="AB65" s="1055"/>
      <c r="AC65" s="1055"/>
      <c r="AD65" s="1055"/>
      <c r="AE65" s="1055"/>
      <c r="AF65" s="1056"/>
    </row>
    <row r="66" spans="1:32" ht="15.75" x14ac:dyDescent="0.25">
      <c r="A66" s="2017"/>
      <c r="B66" s="2018"/>
      <c r="C66" s="2018"/>
      <c r="D66" s="2018"/>
      <c r="E66" s="2018"/>
      <c r="F66" s="2018"/>
      <c r="G66" s="2018"/>
      <c r="H66" s="2018"/>
      <c r="I66" s="2018"/>
      <c r="J66" s="2018"/>
      <c r="K66" s="2018"/>
      <c r="L66" s="2018"/>
      <c r="M66" s="2018"/>
      <c r="N66" s="2018"/>
      <c r="O66" s="2018"/>
      <c r="P66" s="2018"/>
      <c r="Q66" s="2018"/>
      <c r="R66" s="2018"/>
      <c r="S66" s="2018"/>
      <c r="T66" s="2018"/>
      <c r="U66" s="2018"/>
      <c r="V66" s="2018"/>
      <c r="W66" s="2018"/>
      <c r="X66" s="2018"/>
      <c r="Y66" s="2094"/>
      <c r="Z66" s="2096"/>
      <c r="AA66" s="2097"/>
      <c r="AB66" s="1055"/>
      <c r="AC66" s="1055"/>
      <c r="AD66" s="1055"/>
      <c r="AE66" s="1055"/>
      <c r="AF66" s="1056"/>
    </row>
    <row r="67" spans="1:32" ht="15.75" x14ac:dyDescent="0.25">
      <c r="A67" s="2017"/>
      <c r="B67" s="2018"/>
      <c r="C67" s="2018"/>
      <c r="D67" s="2018"/>
      <c r="E67" s="2018"/>
      <c r="F67" s="2018"/>
      <c r="G67" s="2018"/>
      <c r="H67" s="2018"/>
      <c r="I67" s="2018"/>
      <c r="J67" s="2018"/>
      <c r="K67" s="2018"/>
      <c r="L67" s="2018"/>
      <c r="M67" s="2018"/>
      <c r="N67" s="2018"/>
      <c r="O67" s="2018"/>
      <c r="P67" s="2018"/>
      <c r="Q67" s="2018"/>
      <c r="R67" s="2018"/>
      <c r="S67" s="2018"/>
      <c r="T67" s="2018"/>
      <c r="U67" s="2018"/>
      <c r="V67" s="2018"/>
      <c r="W67" s="2018"/>
      <c r="X67" s="2018"/>
      <c r="Y67" s="2094"/>
      <c r="Z67" s="2096"/>
      <c r="AA67" s="2097"/>
      <c r="AB67" s="1055"/>
      <c r="AC67" s="1055"/>
      <c r="AD67" s="1055"/>
      <c r="AE67" s="1055"/>
      <c r="AF67" s="1056"/>
    </row>
    <row r="68" spans="1:32" ht="16.5" thickBot="1" x14ac:dyDescent="0.3">
      <c r="A68" s="2019"/>
      <c r="B68" s="2020"/>
      <c r="C68" s="2020"/>
      <c r="D68" s="2020"/>
      <c r="E68" s="2020"/>
      <c r="F68" s="2020"/>
      <c r="G68" s="2020"/>
      <c r="H68" s="2020"/>
      <c r="I68" s="2020"/>
      <c r="J68" s="2020"/>
      <c r="K68" s="2020"/>
      <c r="L68" s="2020"/>
      <c r="M68" s="2020"/>
      <c r="N68" s="2020"/>
      <c r="O68" s="2020"/>
      <c r="P68" s="2020"/>
      <c r="Q68" s="2020"/>
      <c r="R68" s="2020"/>
      <c r="S68" s="2020"/>
      <c r="T68" s="2020"/>
      <c r="U68" s="2020"/>
      <c r="V68" s="2020"/>
      <c r="W68" s="2020"/>
      <c r="X68" s="2020"/>
      <c r="Y68" s="2095"/>
      <c r="Z68" s="2098"/>
      <c r="AA68" s="2099"/>
      <c r="AB68" s="1057"/>
      <c r="AC68" s="1057"/>
      <c r="AD68" s="1057"/>
      <c r="AE68" s="1057"/>
      <c r="AF68" s="1058"/>
    </row>
    <row r="69" spans="1:32" ht="15.75" x14ac:dyDescent="0.25">
      <c r="A69" s="2009" t="s">
        <v>2158</v>
      </c>
      <c r="B69" s="2010"/>
      <c r="C69" s="2010"/>
      <c r="D69" s="2010"/>
      <c r="E69" s="2010"/>
      <c r="F69" s="2010"/>
      <c r="G69" s="2010"/>
      <c r="H69" s="2010"/>
      <c r="I69" s="2010"/>
      <c r="J69" s="2010"/>
      <c r="K69" s="2010"/>
      <c r="L69" s="2010"/>
      <c r="M69" s="2010"/>
      <c r="N69" s="2010"/>
      <c r="O69" s="2010"/>
      <c r="P69" s="2010"/>
      <c r="Q69" s="2010"/>
      <c r="R69" s="2010"/>
      <c r="S69" s="2010"/>
      <c r="T69" s="2010"/>
      <c r="U69" s="2010"/>
      <c r="V69" s="2010"/>
      <c r="W69" s="2010"/>
      <c r="X69" s="2010"/>
      <c r="Y69" s="2010"/>
      <c r="Z69" s="2013" t="s">
        <v>1850</v>
      </c>
      <c r="AA69" s="2013"/>
      <c r="AB69" s="2013"/>
      <c r="AC69" s="2013"/>
      <c r="AD69" s="2013"/>
      <c r="AE69" s="2013"/>
      <c r="AF69" s="1059">
        <f>SUM(AF49:AF68)</f>
        <v>4.5</v>
      </c>
    </row>
    <row r="70" spans="1:32" ht="15.75" x14ac:dyDescent="0.25">
      <c r="A70" s="2011"/>
      <c r="B70" s="2012"/>
      <c r="C70" s="2012"/>
      <c r="D70" s="2012"/>
      <c r="E70" s="2012"/>
      <c r="F70" s="2012"/>
      <c r="G70" s="2012"/>
      <c r="H70" s="2012"/>
      <c r="I70" s="2012"/>
      <c r="J70" s="2012"/>
      <c r="K70" s="2012"/>
      <c r="L70" s="2012"/>
      <c r="M70" s="2012"/>
      <c r="N70" s="2012"/>
      <c r="O70" s="2012"/>
      <c r="P70" s="2012"/>
      <c r="Q70" s="2012"/>
      <c r="R70" s="2012"/>
      <c r="S70" s="2012"/>
      <c r="T70" s="2012"/>
      <c r="U70" s="2012"/>
      <c r="V70" s="2012"/>
      <c r="W70" s="2012"/>
      <c r="X70" s="2012"/>
      <c r="Y70" s="2012"/>
      <c r="Z70" s="2014" t="s">
        <v>1851</v>
      </c>
      <c r="AA70" s="2014"/>
      <c r="AB70" s="2014"/>
      <c r="AC70" s="2014"/>
      <c r="AD70" s="2014"/>
      <c r="AE70" s="2014"/>
      <c r="AF70" s="1060">
        <v>0</v>
      </c>
    </row>
    <row r="71" spans="1:32" ht="15.75" x14ac:dyDescent="0.25">
      <c r="A71" s="2011"/>
      <c r="B71" s="2012"/>
      <c r="C71" s="2012"/>
      <c r="D71" s="2012"/>
      <c r="E71" s="2012"/>
      <c r="F71" s="2012"/>
      <c r="G71" s="2012"/>
      <c r="H71" s="2012"/>
      <c r="I71" s="2012"/>
      <c r="J71" s="2012"/>
      <c r="K71" s="2012"/>
      <c r="L71" s="2012"/>
      <c r="M71" s="2012"/>
      <c r="N71" s="2012"/>
      <c r="O71" s="2012"/>
      <c r="P71" s="2012"/>
      <c r="Q71" s="2012"/>
      <c r="R71" s="2012"/>
      <c r="S71" s="2012"/>
      <c r="T71" s="2012"/>
      <c r="U71" s="2012"/>
      <c r="V71" s="2012"/>
      <c r="W71" s="2012"/>
      <c r="X71" s="2012"/>
      <c r="Y71" s="2012"/>
      <c r="Z71" s="2015" t="s">
        <v>1833</v>
      </c>
      <c r="AA71" s="2015"/>
      <c r="AB71" s="2015"/>
      <c r="AC71" s="2015"/>
      <c r="AD71" s="2015"/>
      <c r="AE71" s="2015"/>
      <c r="AF71" s="1061">
        <f>SUM(AF69:AF70)</f>
        <v>4.5</v>
      </c>
    </row>
    <row r="72" spans="1:32" x14ac:dyDescent="0.2">
      <c r="A72" s="2012" t="s">
        <v>1859</v>
      </c>
      <c r="B72" s="2012"/>
      <c r="C72" s="2012"/>
      <c r="D72" s="2012"/>
      <c r="E72" s="2012"/>
      <c r="F72" s="2012"/>
      <c r="G72" s="2012"/>
      <c r="H72" s="2012"/>
      <c r="I72" s="2012"/>
      <c r="J72" s="2012"/>
      <c r="K72" s="2012"/>
      <c r="L72" s="2012"/>
      <c r="M72" s="2012"/>
      <c r="N72" s="2012"/>
      <c r="O72" s="2012"/>
      <c r="P72" s="2012"/>
      <c r="Q72" s="2012"/>
      <c r="R72" s="2012"/>
      <c r="S72" s="2012"/>
      <c r="T72" s="2016" t="s">
        <v>1840</v>
      </c>
      <c r="U72" s="2016"/>
      <c r="V72" s="2016"/>
      <c r="W72" s="2016"/>
      <c r="X72" s="2016"/>
      <c r="Y72" s="2016"/>
      <c r="Z72" s="2016"/>
      <c r="AA72" s="2016"/>
      <c r="AB72" s="2012" t="s">
        <v>1852</v>
      </c>
      <c r="AC72" s="2012"/>
      <c r="AD72" s="2012"/>
      <c r="AE72" s="2012"/>
      <c r="AF72" s="2012"/>
    </row>
    <row r="73" spans="1:32" x14ac:dyDescent="0.2">
      <c r="A73" s="2012"/>
      <c r="B73" s="2012"/>
      <c r="C73" s="2012"/>
      <c r="D73" s="2012"/>
      <c r="E73" s="2012"/>
      <c r="F73" s="2012"/>
      <c r="G73" s="2012"/>
      <c r="H73" s="2012"/>
      <c r="I73" s="2012"/>
      <c r="J73" s="2012"/>
      <c r="K73" s="2012"/>
      <c r="L73" s="2012"/>
      <c r="M73" s="2012"/>
      <c r="N73" s="2012"/>
      <c r="O73" s="2012"/>
      <c r="P73" s="2012"/>
      <c r="Q73" s="2012"/>
      <c r="R73" s="2012"/>
      <c r="S73" s="2012"/>
      <c r="T73" s="2016"/>
      <c r="U73" s="2016"/>
      <c r="V73" s="2016"/>
      <c r="W73" s="2016"/>
      <c r="X73" s="2016"/>
      <c r="Y73" s="2016"/>
      <c r="Z73" s="2016"/>
      <c r="AA73" s="2016"/>
      <c r="AB73" s="2012"/>
      <c r="AC73" s="2012"/>
      <c r="AD73" s="2012"/>
      <c r="AE73" s="2012"/>
      <c r="AF73" s="2012"/>
    </row>
    <row r="74" spans="1:32" ht="16.5" thickBot="1" x14ac:dyDescent="0.25">
      <c r="A74" s="1062"/>
      <c r="B74" s="1062"/>
      <c r="C74" s="1062"/>
      <c r="D74" s="1062"/>
      <c r="E74" s="1062"/>
      <c r="F74" s="1062"/>
      <c r="G74" s="1062"/>
      <c r="H74" s="1062"/>
      <c r="I74" s="1062"/>
      <c r="J74" s="1062"/>
      <c r="K74" s="1062"/>
      <c r="L74" s="1062"/>
      <c r="M74" s="1062"/>
      <c r="N74" s="1062"/>
      <c r="O74" s="1062"/>
      <c r="P74" s="1062"/>
      <c r="Q74" s="1062"/>
      <c r="R74" s="1062"/>
      <c r="S74" s="1062"/>
      <c r="T74" s="1063"/>
      <c r="U74" s="1063"/>
      <c r="V74" s="1063"/>
      <c r="W74" s="1063"/>
      <c r="X74" s="1063"/>
      <c r="Y74" s="1063"/>
      <c r="Z74" s="1063"/>
      <c r="AA74" s="1063"/>
      <c r="AB74" s="1062"/>
      <c r="AC74" s="1062"/>
      <c r="AD74" s="1062"/>
      <c r="AE74" s="1064"/>
      <c r="AF74" s="1065"/>
    </row>
    <row r="75" spans="1:32" ht="15.75" x14ac:dyDescent="0.2">
      <c r="A75" s="2025" t="s">
        <v>1854</v>
      </c>
      <c r="B75" s="2026"/>
      <c r="C75" s="2026"/>
      <c r="D75" s="2026"/>
      <c r="E75" s="2026"/>
      <c r="F75" s="2026"/>
      <c r="G75" s="2026"/>
      <c r="H75" s="2026"/>
      <c r="I75" s="2026"/>
      <c r="J75" s="2026"/>
      <c r="K75" s="2026"/>
      <c r="L75" s="2026"/>
      <c r="M75" s="2026"/>
      <c r="N75" s="2026"/>
      <c r="O75" s="2026"/>
      <c r="P75" s="2026"/>
      <c r="Q75" s="2026"/>
      <c r="R75" s="2026"/>
      <c r="S75" s="2026"/>
      <c r="T75" s="2026"/>
      <c r="U75" s="2026"/>
      <c r="V75" s="2026"/>
      <c r="W75" s="2026"/>
      <c r="X75" s="2026"/>
      <c r="Y75" s="2026"/>
      <c r="Z75" s="2026"/>
      <c r="AA75" s="2026"/>
      <c r="AB75" s="2026"/>
      <c r="AC75" s="2026"/>
      <c r="AD75" s="2026"/>
      <c r="AE75" s="1041" t="s">
        <v>1834</v>
      </c>
      <c r="AF75" s="1042" t="s">
        <v>1835</v>
      </c>
    </row>
    <row r="76" spans="1:32" ht="16.5" thickBot="1" x14ac:dyDescent="0.25">
      <c r="A76" s="2027"/>
      <c r="B76" s="2028"/>
      <c r="C76" s="2028"/>
      <c r="D76" s="2028"/>
      <c r="E76" s="2028"/>
      <c r="F76" s="2028"/>
      <c r="G76" s="2028"/>
      <c r="H76" s="2028"/>
      <c r="I76" s="2028"/>
      <c r="J76" s="2028"/>
      <c r="K76" s="2028"/>
      <c r="L76" s="2028"/>
      <c r="M76" s="2028"/>
      <c r="N76" s="2028"/>
      <c r="O76" s="2028"/>
      <c r="P76" s="2028"/>
      <c r="Q76" s="2028"/>
      <c r="R76" s="2028"/>
      <c r="S76" s="2028"/>
      <c r="T76" s="2028"/>
      <c r="U76" s="2028"/>
      <c r="V76" s="2028"/>
      <c r="W76" s="2028"/>
      <c r="X76" s="2028"/>
      <c r="Y76" s="2028"/>
      <c r="Z76" s="2028"/>
      <c r="AA76" s="2028"/>
      <c r="AB76" s="2028"/>
      <c r="AC76" s="2028"/>
      <c r="AD76" s="2028"/>
      <c r="AE76" s="1041" t="s">
        <v>1836</v>
      </c>
      <c r="AF76" s="1044">
        <v>1</v>
      </c>
    </row>
    <row r="77" spans="1:32" ht="15.75" x14ac:dyDescent="0.2">
      <c r="A77" s="2029"/>
      <c r="B77" s="2030"/>
      <c r="C77" s="2030"/>
      <c r="D77" s="2031"/>
      <c r="E77" s="2025" t="str">
        <f>'01'!$A$12</f>
        <v>"CONSTRUCCION SISTEMA DE ACUEDUCTO FASE II DEL MUNICIPIO DE TESALIA DPTO DEL HUILA"</v>
      </c>
      <c r="F77" s="2026"/>
      <c r="G77" s="2026"/>
      <c r="H77" s="2026"/>
      <c r="I77" s="2026"/>
      <c r="J77" s="2026"/>
      <c r="K77" s="2026"/>
      <c r="L77" s="2026"/>
      <c r="M77" s="2026"/>
      <c r="N77" s="2026"/>
      <c r="O77" s="2026"/>
      <c r="P77" s="2026"/>
      <c r="Q77" s="2026"/>
      <c r="R77" s="2026"/>
      <c r="S77" s="2026"/>
      <c r="T77" s="2026"/>
      <c r="U77" s="2026"/>
      <c r="V77" s="2026"/>
      <c r="W77" s="2026"/>
      <c r="X77" s="2026"/>
      <c r="Y77" s="2026"/>
      <c r="Z77" s="2026"/>
      <c r="AA77" s="2026"/>
      <c r="AB77" s="2026"/>
      <c r="AC77" s="2026"/>
      <c r="AD77" s="2035"/>
      <c r="AE77" s="1041" t="s">
        <v>847</v>
      </c>
      <c r="AF77" s="1045">
        <f>'01'!$M$13</f>
        <v>0</v>
      </c>
    </row>
    <row r="78" spans="1:32" ht="16.5" thickBot="1" x14ac:dyDescent="0.25">
      <c r="A78" s="2032"/>
      <c r="B78" s="2033"/>
      <c r="C78" s="2033"/>
      <c r="D78" s="2034"/>
      <c r="E78" s="2027"/>
      <c r="F78" s="2028"/>
      <c r="G78" s="2028"/>
      <c r="H78" s="2028"/>
      <c r="I78" s="2028"/>
      <c r="J78" s="2028"/>
      <c r="K78" s="2028"/>
      <c r="L78" s="2028"/>
      <c r="M78" s="2028"/>
      <c r="N78" s="2028"/>
      <c r="O78" s="2028"/>
      <c r="P78" s="2028"/>
      <c r="Q78" s="2028"/>
      <c r="R78" s="2028"/>
      <c r="S78" s="2028"/>
      <c r="T78" s="2028"/>
      <c r="U78" s="2028"/>
      <c r="V78" s="2028"/>
      <c r="W78" s="2028"/>
      <c r="X78" s="2028"/>
      <c r="Y78" s="2028"/>
      <c r="Z78" s="2028"/>
      <c r="AA78" s="2028"/>
      <c r="AB78" s="2028"/>
      <c r="AC78" s="2028"/>
      <c r="AD78" s="2036"/>
      <c r="AE78" s="1041" t="s">
        <v>1837</v>
      </c>
      <c r="AF78" s="1042" t="s">
        <v>1838</v>
      </c>
    </row>
    <row r="79" spans="1:32" ht="15.75" x14ac:dyDescent="0.25">
      <c r="A79" s="2037" t="s">
        <v>1860</v>
      </c>
      <c r="B79" s="2038"/>
      <c r="C79" s="2038"/>
      <c r="D79" s="2038"/>
      <c r="E79" s="2038"/>
      <c r="F79" s="2038"/>
      <c r="G79" s="2038"/>
      <c r="H79" s="2038"/>
      <c r="I79" s="2038"/>
      <c r="J79" s="2038"/>
      <c r="K79" s="2038"/>
      <c r="L79" s="2038"/>
      <c r="M79" s="2038"/>
      <c r="N79" s="2038"/>
      <c r="O79" s="2038"/>
      <c r="P79" s="2038"/>
      <c r="Q79" s="2038"/>
      <c r="R79" s="2038"/>
      <c r="S79" s="2038"/>
      <c r="T79" s="2038"/>
      <c r="U79" s="2038"/>
      <c r="V79" s="2038"/>
      <c r="W79" s="2038"/>
      <c r="X79" s="2038"/>
      <c r="Y79" s="2038"/>
      <c r="Z79" s="2038"/>
      <c r="AA79" s="2038"/>
      <c r="AB79" s="2038"/>
      <c r="AC79" s="2038"/>
      <c r="AD79" s="2038"/>
      <c r="AE79" s="2039" t="s">
        <v>1839</v>
      </c>
      <c r="AF79" s="2040"/>
    </row>
    <row r="80" spans="1:32" ht="15.75" x14ac:dyDescent="0.25">
      <c r="A80" s="2041" t="s">
        <v>1840</v>
      </c>
      <c r="B80" s="2042"/>
      <c r="C80" s="2042"/>
      <c r="D80" s="2042"/>
      <c r="E80" s="2042"/>
      <c r="F80" s="2042"/>
      <c r="G80" s="2042"/>
      <c r="H80" s="2042"/>
      <c r="I80" s="2042"/>
      <c r="J80" s="2042"/>
      <c r="K80" s="2042"/>
      <c r="L80" s="2042"/>
      <c r="M80" s="2042"/>
      <c r="N80" s="2042"/>
      <c r="O80" s="2042"/>
      <c r="P80" s="2042"/>
      <c r="Q80" s="2042"/>
      <c r="R80" s="2042"/>
      <c r="S80" s="2042"/>
      <c r="T80" s="2042"/>
      <c r="U80" s="2042"/>
      <c r="V80" s="2042"/>
      <c r="W80" s="2042"/>
      <c r="X80" s="2042"/>
      <c r="Y80" s="2042"/>
      <c r="Z80" s="2042"/>
      <c r="AA80" s="2042"/>
      <c r="AB80" s="2042"/>
      <c r="AC80" s="2042"/>
      <c r="AD80" s="2043"/>
      <c r="AE80" s="2014" t="s">
        <v>1841</v>
      </c>
      <c r="AF80" s="2044"/>
    </row>
    <row r="81" spans="1:32" ht="15.75" x14ac:dyDescent="0.25">
      <c r="A81" s="2045" t="s">
        <v>1853</v>
      </c>
      <c r="B81" s="2046"/>
      <c r="C81" s="2046"/>
      <c r="D81" s="2046"/>
      <c r="E81" s="2046"/>
      <c r="F81" s="2046"/>
      <c r="G81" s="2046"/>
      <c r="H81" s="2046"/>
      <c r="I81" s="2046"/>
      <c r="J81" s="2046"/>
      <c r="K81" s="2046"/>
      <c r="L81" s="2046"/>
      <c r="M81" s="2046"/>
      <c r="N81" s="2046"/>
      <c r="O81" s="2046"/>
      <c r="P81" s="2046"/>
      <c r="Q81" s="2046"/>
      <c r="R81" s="2046"/>
      <c r="S81" s="2046"/>
      <c r="T81" s="2046"/>
      <c r="U81" s="2046"/>
      <c r="V81" s="2046"/>
      <c r="W81" s="2046"/>
      <c r="X81" s="2046"/>
      <c r="Y81" s="2046"/>
      <c r="Z81" s="2046"/>
      <c r="AA81" s="2046"/>
      <c r="AB81" s="2046"/>
      <c r="AC81" s="2046"/>
      <c r="AD81" s="2046"/>
      <c r="AE81" s="2047">
        <f>'01'!$M$13</f>
        <v>0</v>
      </c>
      <c r="AF81" s="2044"/>
    </row>
    <row r="82" spans="1:32" x14ac:dyDescent="0.2">
      <c r="A82" s="1046"/>
      <c r="B82" s="1047"/>
      <c r="C82" s="1047"/>
      <c r="D82" s="1047"/>
      <c r="E82" s="1047"/>
      <c r="F82" s="1047"/>
      <c r="G82" s="1047"/>
      <c r="H82" s="1047"/>
      <c r="I82" s="1047"/>
      <c r="J82" s="1047"/>
      <c r="K82" s="1047"/>
      <c r="L82" s="1047"/>
      <c r="M82" s="1047"/>
      <c r="N82" s="1047"/>
      <c r="O82" s="1047"/>
      <c r="P82" s="1047"/>
      <c r="Q82" s="1047"/>
      <c r="R82" s="1047"/>
      <c r="S82" s="1047"/>
      <c r="T82" s="1047"/>
      <c r="U82" s="1047"/>
      <c r="V82" s="1047"/>
      <c r="W82" s="1047"/>
      <c r="X82" s="1047"/>
      <c r="Y82" s="1047"/>
      <c r="Z82" s="1047"/>
      <c r="AA82" s="1047"/>
      <c r="AB82" s="1047"/>
      <c r="AC82" s="1047"/>
      <c r="AD82" s="1047"/>
      <c r="AE82" s="1047"/>
      <c r="AF82" s="1048"/>
    </row>
    <row r="83" spans="1:32" ht="15.75" x14ac:dyDescent="0.2">
      <c r="A83" s="2048" t="s">
        <v>1842</v>
      </c>
      <c r="B83" s="2049"/>
      <c r="C83" s="2049"/>
      <c r="D83" s="2049"/>
      <c r="E83" s="2049"/>
      <c r="F83" s="2050" t="str">
        <f>'01'!$H$16</f>
        <v>A -EMPATE CON LÍNEA DE ADUCCIÓN</v>
      </c>
      <c r="G83" s="2049"/>
      <c r="H83" s="2049"/>
      <c r="I83" s="2049"/>
      <c r="J83" s="2049"/>
      <c r="K83" s="2049"/>
      <c r="L83" s="2049"/>
      <c r="M83" s="2049"/>
      <c r="N83" s="2049"/>
      <c r="O83" s="2049"/>
      <c r="P83" s="2049"/>
      <c r="Q83" s="2049"/>
      <c r="R83" s="2049"/>
      <c r="S83" s="2049"/>
      <c r="T83" s="2049"/>
      <c r="U83" s="2049"/>
      <c r="V83" s="2049"/>
      <c r="W83" s="2049"/>
      <c r="X83" s="2049"/>
      <c r="Y83" s="2051"/>
      <c r="Z83" s="2052" t="s">
        <v>1843</v>
      </c>
      <c r="AA83" s="2053"/>
      <c r="AB83" s="2058" t="s">
        <v>1844</v>
      </c>
      <c r="AC83" s="2059"/>
      <c r="AD83" s="2060"/>
      <c r="AE83" s="2064" t="s">
        <v>1845</v>
      </c>
      <c r="AF83" s="2067" t="s">
        <v>1846</v>
      </c>
    </row>
    <row r="84" spans="1:32" x14ac:dyDescent="0.2">
      <c r="A84" s="2070" t="str">
        <f>'01'!A22</f>
        <v>A-03-01</v>
      </c>
      <c r="B84" s="2071"/>
      <c r="C84" s="2072"/>
      <c r="D84" s="2076" t="str">
        <f>VLOOKUP(A84,'01'!$A$12:$N$299,3,FALSE)</f>
        <v>RELLENO CON ARENA PARA BASE DE TUBERÍA</v>
      </c>
      <c r="E84" s="2077"/>
      <c r="F84" s="2077"/>
      <c r="G84" s="2077"/>
      <c r="H84" s="2077"/>
      <c r="I84" s="2077"/>
      <c r="J84" s="2077"/>
      <c r="K84" s="2077"/>
      <c r="L84" s="2077"/>
      <c r="M84" s="2077"/>
      <c r="N84" s="2077"/>
      <c r="O84" s="2077"/>
      <c r="P84" s="2077"/>
      <c r="Q84" s="2077"/>
      <c r="R84" s="2077"/>
      <c r="S84" s="2078"/>
      <c r="T84" s="2082" t="s">
        <v>124</v>
      </c>
      <c r="U84" s="2083"/>
      <c r="V84" s="2083"/>
      <c r="W84" s="2083"/>
      <c r="X84" s="2052" t="str">
        <f>VLOOKUP(A84,'01'!$A$12:$N$299,9,FALSE)</f>
        <v>M3</v>
      </c>
      <c r="Y84" s="2053"/>
      <c r="Z84" s="2054"/>
      <c r="AA84" s="2055"/>
      <c r="AB84" s="2061"/>
      <c r="AC84" s="2062"/>
      <c r="AD84" s="2063"/>
      <c r="AE84" s="2065"/>
      <c r="AF84" s="2068"/>
    </row>
    <row r="85" spans="1:32" ht="15.75" x14ac:dyDescent="0.25">
      <c r="A85" s="2073"/>
      <c r="B85" s="2074"/>
      <c r="C85" s="2075"/>
      <c r="D85" s="2079"/>
      <c r="E85" s="2080"/>
      <c r="F85" s="2080"/>
      <c r="G85" s="2080"/>
      <c r="H85" s="2080"/>
      <c r="I85" s="2080"/>
      <c r="J85" s="2080"/>
      <c r="K85" s="2080"/>
      <c r="L85" s="2080"/>
      <c r="M85" s="2080"/>
      <c r="N85" s="2080"/>
      <c r="O85" s="2080"/>
      <c r="P85" s="2080"/>
      <c r="Q85" s="2080"/>
      <c r="R85" s="2080"/>
      <c r="S85" s="2081"/>
      <c r="T85" s="2084"/>
      <c r="U85" s="2085"/>
      <c r="V85" s="2085"/>
      <c r="W85" s="2085"/>
      <c r="X85" s="2056"/>
      <c r="Y85" s="2057"/>
      <c r="Z85" s="2056"/>
      <c r="AA85" s="2057"/>
      <c r="AB85" s="1049" t="s">
        <v>1847</v>
      </c>
      <c r="AC85" s="1049" t="s">
        <v>1848</v>
      </c>
      <c r="AD85" s="1049" t="s">
        <v>2159</v>
      </c>
      <c r="AE85" s="2066"/>
      <c r="AF85" s="2069"/>
    </row>
    <row r="86" spans="1:32" ht="15.75" x14ac:dyDescent="0.25">
      <c r="A86" s="2017"/>
      <c r="B86" s="2018"/>
      <c r="C86" s="2018"/>
      <c r="D86" s="2018"/>
      <c r="E86" s="2018"/>
      <c r="F86" s="2018"/>
      <c r="G86" s="2018"/>
      <c r="H86" s="2018"/>
      <c r="I86" s="2018"/>
      <c r="J86" s="2018"/>
      <c r="K86" s="2018"/>
      <c r="L86" s="2018"/>
      <c r="M86" s="2018"/>
      <c r="N86" s="2018"/>
      <c r="O86" s="2018"/>
      <c r="P86" s="2018"/>
      <c r="Q86" s="2018"/>
      <c r="R86" s="2018"/>
      <c r="S86" s="2018"/>
      <c r="T86" s="2018"/>
      <c r="U86" s="2018"/>
      <c r="V86" s="2018"/>
      <c r="W86" s="2018"/>
      <c r="X86" s="2018"/>
      <c r="Y86" s="2094"/>
      <c r="Z86" s="2096" t="s">
        <v>2157</v>
      </c>
      <c r="AA86" s="2097"/>
      <c r="AB86" s="1050">
        <f>AB49</f>
        <v>5</v>
      </c>
      <c r="AC86" s="1050">
        <f>+AC49</f>
        <v>1</v>
      </c>
      <c r="AD86" s="1050">
        <v>0.15</v>
      </c>
      <c r="AE86" s="1051">
        <v>1</v>
      </c>
      <c r="AF86" s="1052">
        <f>AD86*AC86*AB86</f>
        <v>0.75</v>
      </c>
    </row>
    <row r="87" spans="1:32" ht="15.75" x14ac:dyDescent="0.25">
      <c r="A87" s="2017"/>
      <c r="B87" s="2018"/>
      <c r="C87" s="2018"/>
      <c r="D87" s="2018"/>
      <c r="E87" s="2018"/>
      <c r="F87" s="2018"/>
      <c r="G87" s="2018"/>
      <c r="H87" s="2018"/>
      <c r="I87" s="2018"/>
      <c r="J87" s="2018"/>
      <c r="K87" s="2018"/>
      <c r="L87" s="2018"/>
      <c r="M87" s="2018"/>
      <c r="N87" s="2018"/>
      <c r="O87" s="2018"/>
      <c r="P87" s="2018"/>
      <c r="Q87" s="2018"/>
      <c r="R87" s="2018"/>
      <c r="S87" s="2018"/>
      <c r="T87" s="2018"/>
      <c r="U87" s="2018"/>
      <c r="V87" s="2018"/>
      <c r="W87" s="2018"/>
      <c r="X87" s="2018"/>
      <c r="Y87" s="2094"/>
      <c r="Z87" s="2096"/>
      <c r="AA87" s="2097"/>
      <c r="AB87" s="1053"/>
      <c r="AC87" s="1053"/>
      <c r="AD87" s="1050"/>
      <c r="AE87" s="1051"/>
      <c r="AF87" s="1052"/>
    </row>
    <row r="88" spans="1:32" ht="15.75" x14ac:dyDescent="0.25">
      <c r="A88" s="2017"/>
      <c r="B88" s="2018"/>
      <c r="C88" s="2018"/>
      <c r="D88" s="2018"/>
      <c r="E88" s="2018"/>
      <c r="F88" s="2018"/>
      <c r="G88" s="2018"/>
      <c r="H88" s="2018"/>
      <c r="I88" s="2018"/>
      <c r="J88" s="2018"/>
      <c r="K88" s="2018"/>
      <c r="L88" s="2018"/>
      <c r="M88" s="2018"/>
      <c r="N88" s="2018"/>
      <c r="O88" s="2018"/>
      <c r="P88" s="2018"/>
      <c r="Q88" s="2018"/>
      <c r="R88" s="2018"/>
      <c r="S88" s="2018"/>
      <c r="T88" s="2018"/>
      <c r="U88" s="2018"/>
      <c r="V88" s="2018"/>
      <c r="W88" s="2018"/>
      <c r="X88" s="2018"/>
      <c r="Y88" s="2094"/>
      <c r="Z88" s="2096"/>
      <c r="AA88" s="2097"/>
      <c r="AB88" s="1053"/>
      <c r="AC88" s="1053"/>
      <c r="AD88" s="1050"/>
      <c r="AE88" s="1051"/>
      <c r="AF88" s="1052"/>
    </row>
    <row r="89" spans="1:32" ht="15.75" x14ac:dyDescent="0.25">
      <c r="A89" s="2017"/>
      <c r="B89" s="2018"/>
      <c r="C89" s="2018"/>
      <c r="D89" s="2018"/>
      <c r="E89" s="2018"/>
      <c r="F89" s="2018"/>
      <c r="G89" s="2018"/>
      <c r="H89" s="2018"/>
      <c r="I89" s="2018"/>
      <c r="J89" s="2018"/>
      <c r="K89" s="2018"/>
      <c r="L89" s="2018"/>
      <c r="M89" s="2018"/>
      <c r="N89" s="2018"/>
      <c r="O89" s="2018"/>
      <c r="P89" s="2018"/>
      <c r="Q89" s="2018"/>
      <c r="R89" s="2018"/>
      <c r="S89" s="2018"/>
      <c r="T89" s="2018"/>
      <c r="U89" s="2018"/>
      <c r="V89" s="2018"/>
      <c r="W89" s="2018"/>
      <c r="X89" s="2018"/>
      <c r="Y89" s="2094"/>
      <c r="Z89" s="2096"/>
      <c r="AA89" s="2097"/>
      <c r="AB89" s="1053"/>
      <c r="AC89" s="1053"/>
      <c r="AD89" s="1050"/>
      <c r="AE89" s="1051"/>
      <c r="AF89" s="1052"/>
    </row>
    <row r="90" spans="1:32" ht="15.75" x14ac:dyDescent="0.25">
      <c r="A90" s="2017"/>
      <c r="B90" s="2018"/>
      <c r="C90" s="2018"/>
      <c r="D90" s="2018"/>
      <c r="E90" s="2018"/>
      <c r="F90" s="2018"/>
      <c r="G90" s="2018"/>
      <c r="H90" s="2018"/>
      <c r="I90" s="2018"/>
      <c r="J90" s="2018"/>
      <c r="K90" s="2018"/>
      <c r="L90" s="2018"/>
      <c r="M90" s="2018"/>
      <c r="N90" s="2018"/>
      <c r="O90" s="2018"/>
      <c r="P90" s="2018"/>
      <c r="Q90" s="2018"/>
      <c r="R90" s="2018"/>
      <c r="S90" s="2018"/>
      <c r="T90" s="2018"/>
      <c r="U90" s="2018"/>
      <c r="V90" s="2018"/>
      <c r="W90" s="2018"/>
      <c r="X90" s="2018"/>
      <c r="Y90" s="2094"/>
      <c r="Z90" s="2096"/>
      <c r="AA90" s="2097"/>
      <c r="AB90" s="1053"/>
      <c r="AC90" s="1053"/>
      <c r="AD90" s="1050"/>
      <c r="AE90" s="1051"/>
      <c r="AF90" s="1052"/>
    </row>
    <row r="91" spans="1:32" ht="15.75" x14ac:dyDescent="0.25">
      <c r="A91" s="2017"/>
      <c r="B91" s="2018"/>
      <c r="C91" s="2018"/>
      <c r="D91" s="2018"/>
      <c r="E91" s="2018"/>
      <c r="F91" s="2018"/>
      <c r="G91" s="2018"/>
      <c r="H91" s="2018"/>
      <c r="I91" s="2018"/>
      <c r="J91" s="2018"/>
      <c r="K91" s="2018"/>
      <c r="L91" s="2018"/>
      <c r="M91" s="2018"/>
      <c r="N91" s="2018"/>
      <c r="O91" s="2018"/>
      <c r="P91" s="2018"/>
      <c r="Q91" s="2018"/>
      <c r="R91" s="2018"/>
      <c r="S91" s="2018"/>
      <c r="T91" s="2018"/>
      <c r="U91" s="2018"/>
      <c r="V91" s="2018"/>
      <c r="W91" s="2018"/>
      <c r="X91" s="2018"/>
      <c r="Y91" s="2094"/>
      <c r="Z91" s="2096"/>
      <c r="AA91" s="2097"/>
      <c r="AB91" s="1053"/>
      <c r="AC91" s="1053"/>
      <c r="AD91" s="1053"/>
      <c r="AE91" s="1051"/>
      <c r="AF91" s="1052"/>
    </row>
    <row r="92" spans="1:32" ht="15.75" x14ac:dyDescent="0.25">
      <c r="A92" s="2017"/>
      <c r="B92" s="2018"/>
      <c r="C92" s="2018"/>
      <c r="D92" s="2018"/>
      <c r="E92" s="2018"/>
      <c r="F92" s="2018"/>
      <c r="G92" s="2018"/>
      <c r="H92" s="2018"/>
      <c r="I92" s="2018"/>
      <c r="J92" s="2018"/>
      <c r="K92" s="2018"/>
      <c r="L92" s="2018"/>
      <c r="M92" s="2018"/>
      <c r="N92" s="2018"/>
      <c r="O92" s="2018"/>
      <c r="P92" s="2018"/>
      <c r="Q92" s="2018"/>
      <c r="R92" s="2018"/>
      <c r="S92" s="2018"/>
      <c r="T92" s="2018"/>
      <c r="U92" s="2018"/>
      <c r="V92" s="2018"/>
      <c r="W92" s="2018"/>
      <c r="X92" s="2018"/>
      <c r="Y92" s="2094"/>
      <c r="Z92" s="2096"/>
      <c r="AA92" s="2097"/>
      <c r="AB92" s="1053"/>
      <c r="AC92" s="1053"/>
      <c r="AD92" s="1053"/>
      <c r="AE92" s="1051"/>
      <c r="AF92" s="1052"/>
    </row>
    <row r="93" spans="1:32" ht="15.75" x14ac:dyDescent="0.25">
      <c r="A93" s="2017"/>
      <c r="B93" s="2018"/>
      <c r="C93" s="2018"/>
      <c r="D93" s="2018"/>
      <c r="E93" s="2018"/>
      <c r="F93" s="2018"/>
      <c r="G93" s="2018"/>
      <c r="H93" s="2018"/>
      <c r="I93" s="2018"/>
      <c r="J93" s="2018"/>
      <c r="K93" s="2018"/>
      <c r="L93" s="2018"/>
      <c r="M93" s="2018"/>
      <c r="N93" s="2018"/>
      <c r="O93" s="2018"/>
      <c r="P93" s="2018"/>
      <c r="Q93" s="2018"/>
      <c r="R93" s="2018"/>
      <c r="S93" s="2018"/>
      <c r="T93" s="2018"/>
      <c r="U93" s="2018"/>
      <c r="V93" s="2018"/>
      <c r="W93" s="2018"/>
      <c r="X93" s="2018"/>
      <c r="Y93" s="2094"/>
      <c r="Z93" s="2096"/>
      <c r="AA93" s="2097"/>
      <c r="AB93" s="1053"/>
      <c r="AC93" s="1053"/>
      <c r="AD93" s="1053"/>
      <c r="AE93" s="1051"/>
      <c r="AF93" s="1052"/>
    </row>
    <row r="94" spans="1:32" ht="15.75" x14ac:dyDescent="0.25">
      <c r="A94" s="2017"/>
      <c r="B94" s="2018"/>
      <c r="C94" s="2018"/>
      <c r="D94" s="2018"/>
      <c r="E94" s="2018"/>
      <c r="F94" s="2018"/>
      <c r="G94" s="2018"/>
      <c r="H94" s="2018"/>
      <c r="I94" s="2018"/>
      <c r="J94" s="2018"/>
      <c r="K94" s="2018"/>
      <c r="L94" s="2018"/>
      <c r="M94" s="2018"/>
      <c r="N94" s="2018"/>
      <c r="O94" s="2018"/>
      <c r="P94" s="2018"/>
      <c r="Q94" s="2018"/>
      <c r="R94" s="2018"/>
      <c r="S94" s="2018"/>
      <c r="T94" s="2018"/>
      <c r="U94" s="2018"/>
      <c r="V94" s="2018"/>
      <c r="W94" s="2018"/>
      <c r="X94" s="2018"/>
      <c r="Y94" s="2094"/>
      <c r="Z94" s="2096"/>
      <c r="AA94" s="2097"/>
      <c r="AB94" s="1053"/>
      <c r="AC94" s="1053"/>
      <c r="AD94" s="1053"/>
      <c r="AE94" s="1050"/>
      <c r="AF94" s="1054"/>
    </row>
    <row r="95" spans="1:32" ht="15.75" x14ac:dyDescent="0.25">
      <c r="A95" s="2017"/>
      <c r="B95" s="2018"/>
      <c r="C95" s="2018"/>
      <c r="D95" s="2018"/>
      <c r="E95" s="2018"/>
      <c r="F95" s="2018"/>
      <c r="G95" s="2018"/>
      <c r="H95" s="2018"/>
      <c r="I95" s="2018"/>
      <c r="J95" s="2018"/>
      <c r="K95" s="2018"/>
      <c r="L95" s="2018"/>
      <c r="M95" s="2018"/>
      <c r="N95" s="2018"/>
      <c r="O95" s="2018"/>
      <c r="P95" s="2018"/>
      <c r="Q95" s="2018"/>
      <c r="R95" s="2018"/>
      <c r="S95" s="2018"/>
      <c r="T95" s="2018"/>
      <c r="U95" s="2018"/>
      <c r="V95" s="2018"/>
      <c r="W95" s="2018"/>
      <c r="X95" s="2018"/>
      <c r="Y95" s="2094"/>
      <c r="Z95" s="2096"/>
      <c r="AA95" s="2097"/>
      <c r="AB95" s="1053"/>
      <c r="AC95" s="1053"/>
      <c r="AD95" s="1053"/>
      <c r="AE95" s="1051"/>
      <c r="AF95" s="1054"/>
    </row>
    <row r="96" spans="1:32" ht="15.75" x14ac:dyDescent="0.25">
      <c r="A96" s="2017"/>
      <c r="B96" s="2018"/>
      <c r="C96" s="2018"/>
      <c r="D96" s="2018"/>
      <c r="E96" s="2018"/>
      <c r="F96" s="2018"/>
      <c r="G96" s="2018"/>
      <c r="H96" s="2018"/>
      <c r="I96" s="2018"/>
      <c r="J96" s="2018"/>
      <c r="K96" s="2018"/>
      <c r="L96" s="2018"/>
      <c r="M96" s="2018"/>
      <c r="N96" s="2018"/>
      <c r="O96" s="2018"/>
      <c r="P96" s="2018"/>
      <c r="Q96" s="2018"/>
      <c r="R96" s="2018"/>
      <c r="S96" s="2018"/>
      <c r="T96" s="2018"/>
      <c r="U96" s="2018"/>
      <c r="V96" s="2018"/>
      <c r="W96" s="2018"/>
      <c r="X96" s="2018"/>
      <c r="Y96" s="2094"/>
      <c r="Z96" s="2096"/>
      <c r="AA96" s="2097"/>
      <c r="AB96" s="1053"/>
      <c r="AC96" s="1053"/>
      <c r="AD96" s="1053"/>
      <c r="AE96" s="1051"/>
      <c r="AF96" s="1054"/>
    </row>
    <row r="97" spans="1:32" ht="15.75" x14ac:dyDescent="0.25">
      <c r="A97" s="2017"/>
      <c r="B97" s="2018"/>
      <c r="C97" s="2018"/>
      <c r="D97" s="2018"/>
      <c r="E97" s="2018"/>
      <c r="F97" s="2018"/>
      <c r="G97" s="2018"/>
      <c r="H97" s="2018"/>
      <c r="I97" s="2018"/>
      <c r="J97" s="2018"/>
      <c r="K97" s="2018"/>
      <c r="L97" s="2018"/>
      <c r="M97" s="2018"/>
      <c r="N97" s="2018"/>
      <c r="O97" s="2018"/>
      <c r="P97" s="2018"/>
      <c r="Q97" s="2018"/>
      <c r="R97" s="2018"/>
      <c r="S97" s="2018"/>
      <c r="T97" s="2018"/>
      <c r="U97" s="2018"/>
      <c r="V97" s="2018"/>
      <c r="W97" s="2018"/>
      <c r="X97" s="2018"/>
      <c r="Y97" s="2094"/>
      <c r="Z97" s="2096"/>
      <c r="AA97" s="2097"/>
      <c r="AB97" s="1053"/>
      <c r="AC97" s="1053"/>
      <c r="AD97" s="1053"/>
      <c r="AE97" s="1051"/>
      <c r="AF97" s="1054"/>
    </row>
    <row r="98" spans="1:32" ht="15.75" x14ac:dyDescent="0.25">
      <c r="A98" s="2017"/>
      <c r="B98" s="2018"/>
      <c r="C98" s="2018"/>
      <c r="D98" s="2018"/>
      <c r="E98" s="2018"/>
      <c r="F98" s="2018"/>
      <c r="G98" s="2018"/>
      <c r="H98" s="2018"/>
      <c r="I98" s="2018"/>
      <c r="J98" s="2018"/>
      <c r="K98" s="2018"/>
      <c r="L98" s="2018"/>
      <c r="M98" s="2018"/>
      <c r="N98" s="2018"/>
      <c r="O98" s="2018"/>
      <c r="P98" s="2018"/>
      <c r="Q98" s="2018"/>
      <c r="R98" s="2018"/>
      <c r="S98" s="2018"/>
      <c r="T98" s="2018"/>
      <c r="U98" s="2018"/>
      <c r="V98" s="2018"/>
      <c r="W98" s="2018"/>
      <c r="X98" s="2018"/>
      <c r="Y98" s="2094"/>
      <c r="Z98" s="2096"/>
      <c r="AA98" s="2097"/>
      <c r="AB98" s="1053"/>
      <c r="AC98" s="1053"/>
      <c r="AD98" s="1053"/>
      <c r="AE98" s="1051"/>
      <c r="AF98" s="1054"/>
    </row>
    <row r="99" spans="1:32" ht="15.75" x14ac:dyDescent="0.25">
      <c r="A99" s="2017"/>
      <c r="B99" s="2018"/>
      <c r="C99" s="2018"/>
      <c r="D99" s="2018"/>
      <c r="E99" s="2018"/>
      <c r="F99" s="2018"/>
      <c r="G99" s="2018"/>
      <c r="H99" s="2018"/>
      <c r="I99" s="2018"/>
      <c r="J99" s="2018"/>
      <c r="K99" s="2018"/>
      <c r="L99" s="2018"/>
      <c r="M99" s="2018"/>
      <c r="N99" s="2018"/>
      <c r="O99" s="2018"/>
      <c r="P99" s="2018"/>
      <c r="Q99" s="2018"/>
      <c r="R99" s="2018"/>
      <c r="S99" s="2018"/>
      <c r="T99" s="2018"/>
      <c r="U99" s="2018"/>
      <c r="V99" s="2018"/>
      <c r="W99" s="2018"/>
      <c r="X99" s="2018"/>
      <c r="Y99" s="2094"/>
      <c r="Z99" s="2096"/>
      <c r="AA99" s="2097"/>
      <c r="AB99" s="1053"/>
      <c r="AC99" s="1053"/>
      <c r="AD99" s="1053"/>
      <c r="AE99" s="1051"/>
      <c r="AF99" s="1054"/>
    </row>
    <row r="100" spans="1:32" ht="15.75" x14ac:dyDescent="0.25">
      <c r="A100" s="2017"/>
      <c r="B100" s="2018"/>
      <c r="C100" s="2018"/>
      <c r="D100" s="2018"/>
      <c r="E100" s="2018"/>
      <c r="F100" s="2018"/>
      <c r="G100" s="2018"/>
      <c r="H100" s="2018"/>
      <c r="I100" s="2018"/>
      <c r="J100" s="2018"/>
      <c r="K100" s="2018"/>
      <c r="L100" s="2018"/>
      <c r="M100" s="2018"/>
      <c r="N100" s="2018"/>
      <c r="O100" s="2018"/>
      <c r="P100" s="2018"/>
      <c r="Q100" s="2018"/>
      <c r="R100" s="2018"/>
      <c r="S100" s="2018"/>
      <c r="T100" s="2018"/>
      <c r="U100" s="2018"/>
      <c r="V100" s="2018"/>
      <c r="W100" s="2018"/>
      <c r="X100" s="2018"/>
      <c r="Y100" s="2094"/>
      <c r="Z100" s="2096"/>
      <c r="AA100" s="2097"/>
      <c r="AB100" s="1055"/>
      <c r="AC100" s="1055"/>
      <c r="AD100" s="1055"/>
      <c r="AE100" s="1051"/>
      <c r="AF100" s="1056"/>
    </row>
    <row r="101" spans="1:32" ht="15.75" x14ac:dyDescent="0.25">
      <c r="A101" s="2017"/>
      <c r="B101" s="2018"/>
      <c r="C101" s="2018"/>
      <c r="D101" s="2018"/>
      <c r="E101" s="2018"/>
      <c r="F101" s="2018"/>
      <c r="G101" s="2018"/>
      <c r="H101" s="2018"/>
      <c r="I101" s="2018"/>
      <c r="J101" s="2018"/>
      <c r="K101" s="2018"/>
      <c r="L101" s="2018"/>
      <c r="M101" s="2018"/>
      <c r="N101" s="2018"/>
      <c r="O101" s="2018"/>
      <c r="P101" s="2018"/>
      <c r="Q101" s="2018"/>
      <c r="R101" s="2018"/>
      <c r="S101" s="2018"/>
      <c r="T101" s="2018"/>
      <c r="U101" s="2018"/>
      <c r="V101" s="2018"/>
      <c r="W101" s="2018"/>
      <c r="X101" s="2018"/>
      <c r="Y101" s="2094"/>
      <c r="Z101" s="2096"/>
      <c r="AA101" s="2097"/>
      <c r="AB101" s="1055"/>
      <c r="AC101" s="1055"/>
      <c r="AD101" s="1055"/>
      <c r="AE101" s="1055"/>
      <c r="AF101" s="1056"/>
    </row>
    <row r="102" spans="1:32" ht="15.75" x14ac:dyDescent="0.25">
      <c r="A102" s="2017"/>
      <c r="B102" s="2018"/>
      <c r="C102" s="2018"/>
      <c r="D102" s="2018"/>
      <c r="E102" s="2018"/>
      <c r="F102" s="2018"/>
      <c r="G102" s="2018"/>
      <c r="H102" s="2018"/>
      <c r="I102" s="2018"/>
      <c r="J102" s="2018"/>
      <c r="K102" s="2018"/>
      <c r="L102" s="2018"/>
      <c r="M102" s="2018"/>
      <c r="N102" s="2018"/>
      <c r="O102" s="2018"/>
      <c r="P102" s="2018"/>
      <c r="Q102" s="2018"/>
      <c r="R102" s="2018"/>
      <c r="S102" s="2018"/>
      <c r="T102" s="2018"/>
      <c r="U102" s="2018"/>
      <c r="V102" s="2018"/>
      <c r="W102" s="2018"/>
      <c r="X102" s="2018"/>
      <c r="Y102" s="2094"/>
      <c r="Z102" s="2096"/>
      <c r="AA102" s="2097"/>
      <c r="AB102" s="1055"/>
      <c r="AC102" s="1055"/>
      <c r="AD102" s="1055"/>
      <c r="AE102" s="1055"/>
      <c r="AF102" s="1056"/>
    </row>
    <row r="103" spans="1:32" ht="15.75" x14ac:dyDescent="0.25">
      <c r="A103" s="2017"/>
      <c r="B103" s="2018"/>
      <c r="C103" s="2018"/>
      <c r="D103" s="2018"/>
      <c r="E103" s="2018"/>
      <c r="F103" s="2018"/>
      <c r="G103" s="2018"/>
      <c r="H103" s="2018"/>
      <c r="I103" s="2018"/>
      <c r="J103" s="2018"/>
      <c r="K103" s="2018"/>
      <c r="L103" s="2018"/>
      <c r="M103" s="2018"/>
      <c r="N103" s="2018"/>
      <c r="O103" s="2018"/>
      <c r="P103" s="2018"/>
      <c r="Q103" s="2018"/>
      <c r="R103" s="2018"/>
      <c r="S103" s="2018"/>
      <c r="T103" s="2018"/>
      <c r="U103" s="2018"/>
      <c r="V103" s="2018"/>
      <c r="W103" s="2018"/>
      <c r="X103" s="2018"/>
      <c r="Y103" s="2094"/>
      <c r="Z103" s="2096"/>
      <c r="AA103" s="2097"/>
      <c r="AB103" s="1055"/>
      <c r="AC103" s="1055"/>
      <c r="AD103" s="1055"/>
      <c r="AE103" s="1055"/>
      <c r="AF103" s="1056"/>
    </row>
    <row r="104" spans="1:32" ht="15.75" x14ac:dyDescent="0.25">
      <c r="A104" s="2017"/>
      <c r="B104" s="2018"/>
      <c r="C104" s="2018"/>
      <c r="D104" s="2018"/>
      <c r="E104" s="2018"/>
      <c r="F104" s="2018"/>
      <c r="G104" s="2018"/>
      <c r="H104" s="2018"/>
      <c r="I104" s="2018"/>
      <c r="J104" s="2018"/>
      <c r="K104" s="2018"/>
      <c r="L104" s="2018"/>
      <c r="M104" s="2018"/>
      <c r="N104" s="2018"/>
      <c r="O104" s="2018"/>
      <c r="P104" s="2018"/>
      <c r="Q104" s="2018"/>
      <c r="R104" s="2018"/>
      <c r="S104" s="2018"/>
      <c r="T104" s="2018"/>
      <c r="U104" s="2018"/>
      <c r="V104" s="2018"/>
      <c r="W104" s="2018"/>
      <c r="X104" s="2018"/>
      <c r="Y104" s="2094"/>
      <c r="Z104" s="2096"/>
      <c r="AA104" s="2097"/>
      <c r="AB104" s="1055"/>
      <c r="AC104" s="1055"/>
      <c r="AD104" s="1055"/>
      <c r="AE104" s="1055"/>
      <c r="AF104" s="1056"/>
    </row>
    <row r="105" spans="1:32" ht="16.5" thickBot="1" x14ac:dyDescent="0.3">
      <c r="A105" s="2019"/>
      <c r="B105" s="2020"/>
      <c r="C105" s="2020"/>
      <c r="D105" s="2020"/>
      <c r="E105" s="2020"/>
      <c r="F105" s="2020"/>
      <c r="G105" s="2020"/>
      <c r="H105" s="2020"/>
      <c r="I105" s="2020"/>
      <c r="J105" s="2020"/>
      <c r="K105" s="2020"/>
      <c r="L105" s="2020"/>
      <c r="M105" s="2020"/>
      <c r="N105" s="2020"/>
      <c r="O105" s="2020"/>
      <c r="P105" s="2020"/>
      <c r="Q105" s="2020"/>
      <c r="R105" s="2020"/>
      <c r="S105" s="2020"/>
      <c r="T105" s="2020"/>
      <c r="U105" s="2020"/>
      <c r="V105" s="2020"/>
      <c r="W105" s="2020"/>
      <c r="X105" s="2020"/>
      <c r="Y105" s="2095"/>
      <c r="Z105" s="2098"/>
      <c r="AA105" s="2099"/>
      <c r="AB105" s="1057"/>
      <c r="AC105" s="1057"/>
      <c r="AD105" s="1057"/>
      <c r="AE105" s="1057"/>
      <c r="AF105" s="1058"/>
    </row>
    <row r="106" spans="1:32" ht="15.75" x14ac:dyDescent="0.25">
      <c r="A106" s="2009" t="s">
        <v>2158</v>
      </c>
      <c r="B106" s="2010"/>
      <c r="C106" s="2010"/>
      <c r="D106" s="2010"/>
      <c r="E106" s="2010"/>
      <c r="F106" s="2010"/>
      <c r="G106" s="2010"/>
      <c r="H106" s="2010"/>
      <c r="I106" s="2010"/>
      <c r="J106" s="2010"/>
      <c r="K106" s="2010"/>
      <c r="L106" s="2010"/>
      <c r="M106" s="2010"/>
      <c r="N106" s="2010"/>
      <c r="O106" s="2010"/>
      <c r="P106" s="2010"/>
      <c r="Q106" s="2010"/>
      <c r="R106" s="2010"/>
      <c r="S106" s="2010"/>
      <c r="T106" s="2010"/>
      <c r="U106" s="2010"/>
      <c r="V106" s="2010"/>
      <c r="W106" s="2010"/>
      <c r="X106" s="2010"/>
      <c r="Y106" s="2010"/>
      <c r="Z106" s="2013" t="s">
        <v>1850</v>
      </c>
      <c r="AA106" s="2013"/>
      <c r="AB106" s="2013"/>
      <c r="AC106" s="2013"/>
      <c r="AD106" s="2013"/>
      <c r="AE106" s="2013"/>
      <c r="AF106" s="1059">
        <f>SUM(AF86:AF105)</f>
        <v>0.75</v>
      </c>
    </row>
    <row r="107" spans="1:32" ht="15.75" x14ac:dyDescent="0.25">
      <c r="A107" s="2011"/>
      <c r="B107" s="2012"/>
      <c r="C107" s="2012"/>
      <c r="D107" s="2012"/>
      <c r="E107" s="2012"/>
      <c r="F107" s="2012"/>
      <c r="G107" s="2012"/>
      <c r="H107" s="2012"/>
      <c r="I107" s="2012"/>
      <c r="J107" s="2012"/>
      <c r="K107" s="2012"/>
      <c r="L107" s="2012"/>
      <c r="M107" s="2012"/>
      <c r="N107" s="2012"/>
      <c r="O107" s="2012"/>
      <c r="P107" s="2012"/>
      <c r="Q107" s="2012"/>
      <c r="R107" s="2012"/>
      <c r="S107" s="2012"/>
      <c r="T107" s="2012"/>
      <c r="U107" s="2012"/>
      <c r="V107" s="2012"/>
      <c r="W107" s="2012"/>
      <c r="X107" s="2012"/>
      <c r="Y107" s="2012"/>
      <c r="Z107" s="2014" t="s">
        <v>1851</v>
      </c>
      <c r="AA107" s="2014"/>
      <c r="AB107" s="2014"/>
      <c r="AC107" s="2014"/>
      <c r="AD107" s="2014"/>
      <c r="AE107" s="2014"/>
      <c r="AF107" s="1060">
        <v>0</v>
      </c>
    </row>
    <row r="108" spans="1:32" ht="15.75" x14ac:dyDescent="0.25">
      <c r="A108" s="2011"/>
      <c r="B108" s="2012"/>
      <c r="C108" s="2012"/>
      <c r="D108" s="2012"/>
      <c r="E108" s="2012"/>
      <c r="F108" s="2012"/>
      <c r="G108" s="2012"/>
      <c r="H108" s="2012"/>
      <c r="I108" s="2012"/>
      <c r="J108" s="2012"/>
      <c r="K108" s="2012"/>
      <c r="L108" s="2012"/>
      <c r="M108" s="2012"/>
      <c r="N108" s="2012"/>
      <c r="O108" s="2012"/>
      <c r="P108" s="2012"/>
      <c r="Q108" s="2012"/>
      <c r="R108" s="2012"/>
      <c r="S108" s="2012"/>
      <c r="T108" s="2012"/>
      <c r="U108" s="2012"/>
      <c r="V108" s="2012"/>
      <c r="W108" s="2012"/>
      <c r="X108" s="2012"/>
      <c r="Y108" s="2012"/>
      <c r="Z108" s="2015" t="s">
        <v>1833</v>
      </c>
      <c r="AA108" s="2015"/>
      <c r="AB108" s="2015"/>
      <c r="AC108" s="2015"/>
      <c r="AD108" s="2015"/>
      <c r="AE108" s="2015"/>
      <c r="AF108" s="1061">
        <f>SUM(AF106:AF107)</f>
        <v>0.75</v>
      </c>
    </row>
    <row r="109" spans="1:32" x14ac:dyDescent="0.2">
      <c r="A109" s="2012" t="s">
        <v>1859</v>
      </c>
      <c r="B109" s="2012"/>
      <c r="C109" s="2012"/>
      <c r="D109" s="2012"/>
      <c r="E109" s="2012"/>
      <c r="F109" s="2012"/>
      <c r="G109" s="2012"/>
      <c r="H109" s="2012"/>
      <c r="I109" s="2012"/>
      <c r="J109" s="2012"/>
      <c r="K109" s="2012"/>
      <c r="L109" s="2012"/>
      <c r="M109" s="2012"/>
      <c r="N109" s="2012"/>
      <c r="O109" s="2012"/>
      <c r="P109" s="2012"/>
      <c r="Q109" s="2012"/>
      <c r="R109" s="2012"/>
      <c r="S109" s="2012"/>
      <c r="T109" s="2016" t="s">
        <v>1840</v>
      </c>
      <c r="U109" s="2016"/>
      <c r="V109" s="2016"/>
      <c r="W109" s="2016"/>
      <c r="X109" s="2016"/>
      <c r="Y109" s="2016"/>
      <c r="Z109" s="2016"/>
      <c r="AA109" s="2016"/>
      <c r="AB109" s="2012" t="s">
        <v>1852</v>
      </c>
      <c r="AC109" s="2012"/>
      <c r="AD109" s="2012"/>
      <c r="AE109" s="2012"/>
      <c r="AF109" s="2012"/>
    </row>
    <row r="110" spans="1:32" x14ac:dyDescent="0.2">
      <c r="A110" s="2012"/>
      <c r="B110" s="2012"/>
      <c r="C110" s="2012"/>
      <c r="D110" s="2012"/>
      <c r="E110" s="2012"/>
      <c r="F110" s="2012"/>
      <c r="G110" s="2012"/>
      <c r="H110" s="2012"/>
      <c r="I110" s="2012"/>
      <c r="J110" s="2012"/>
      <c r="K110" s="2012"/>
      <c r="L110" s="2012"/>
      <c r="M110" s="2012"/>
      <c r="N110" s="2012"/>
      <c r="O110" s="2012"/>
      <c r="P110" s="2012"/>
      <c r="Q110" s="2012"/>
      <c r="R110" s="2012"/>
      <c r="S110" s="2012"/>
      <c r="T110" s="2016"/>
      <c r="U110" s="2016"/>
      <c r="V110" s="2016"/>
      <c r="W110" s="2016"/>
      <c r="X110" s="2016"/>
      <c r="Y110" s="2016"/>
      <c r="Z110" s="2016"/>
      <c r="AA110" s="2016"/>
      <c r="AB110" s="2012"/>
      <c r="AC110" s="2012"/>
      <c r="AD110" s="2012"/>
      <c r="AE110" s="2012"/>
      <c r="AF110" s="2012"/>
    </row>
    <row r="111" spans="1:32" ht="16.5" thickBot="1" x14ac:dyDescent="0.25">
      <c r="A111" s="1062"/>
      <c r="B111" s="1062"/>
      <c r="C111" s="1062"/>
      <c r="D111" s="1062"/>
      <c r="E111" s="1062"/>
      <c r="F111" s="1062"/>
      <c r="G111" s="1062"/>
      <c r="H111" s="1062"/>
      <c r="I111" s="1062"/>
      <c r="J111" s="1062"/>
      <c r="K111" s="1062"/>
      <c r="L111" s="1062"/>
      <c r="M111" s="1062"/>
      <c r="N111" s="1062"/>
      <c r="O111" s="1062"/>
      <c r="P111" s="1062"/>
      <c r="Q111" s="1062"/>
      <c r="R111" s="1062"/>
      <c r="S111" s="1062"/>
      <c r="T111" s="1063"/>
      <c r="U111" s="1063"/>
      <c r="V111" s="1063"/>
      <c r="W111" s="1063"/>
      <c r="X111" s="1063"/>
      <c r="Y111" s="1063"/>
      <c r="Z111" s="1063"/>
      <c r="AA111" s="1063"/>
      <c r="AB111" s="1062"/>
      <c r="AC111" s="1062"/>
      <c r="AD111" s="1062"/>
      <c r="AE111" s="1064"/>
      <c r="AF111" s="1065"/>
    </row>
    <row r="112" spans="1:32" ht="15.75" x14ac:dyDescent="0.2">
      <c r="A112" s="2025" t="s">
        <v>1854</v>
      </c>
      <c r="B112" s="2026"/>
      <c r="C112" s="2026"/>
      <c r="D112" s="2026"/>
      <c r="E112" s="2026"/>
      <c r="F112" s="2026"/>
      <c r="G112" s="2026"/>
      <c r="H112" s="2026"/>
      <c r="I112" s="2026"/>
      <c r="J112" s="2026"/>
      <c r="K112" s="2026"/>
      <c r="L112" s="2026"/>
      <c r="M112" s="2026"/>
      <c r="N112" s="2026"/>
      <c r="O112" s="2026"/>
      <c r="P112" s="2026"/>
      <c r="Q112" s="2026"/>
      <c r="R112" s="2026"/>
      <c r="S112" s="2026"/>
      <c r="T112" s="2026"/>
      <c r="U112" s="2026"/>
      <c r="V112" s="2026"/>
      <c r="W112" s="2026"/>
      <c r="X112" s="2026"/>
      <c r="Y112" s="2026"/>
      <c r="Z112" s="2026"/>
      <c r="AA112" s="2026"/>
      <c r="AB112" s="2026"/>
      <c r="AC112" s="2026"/>
      <c r="AD112" s="2026"/>
      <c r="AE112" s="1041" t="s">
        <v>1834</v>
      </c>
      <c r="AF112" s="1042" t="s">
        <v>1835</v>
      </c>
    </row>
    <row r="113" spans="1:32" ht="16.5" thickBot="1" x14ac:dyDescent="0.25">
      <c r="A113" s="2027"/>
      <c r="B113" s="2028"/>
      <c r="C113" s="2028"/>
      <c r="D113" s="2028"/>
      <c r="E113" s="2028"/>
      <c r="F113" s="2028"/>
      <c r="G113" s="2028"/>
      <c r="H113" s="2028"/>
      <c r="I113" s="2028"/>
      <c r="J113" s="2028"/>
      <c r="K113" s="2028"/>
      <c r="L113" s="2028"/>
      <c r="M113" s="2028"/>
      <c r="N113" s="2028"/>
      <c r="O113" s="2028"/>
      <c r="P113" s="2028"/>
      <c r="Q113" s="2028"/>
      <c r="R113" s="2028"/>
      <c r="S113" s="2028"/>
      <c r="T113" s="2028"/>
      <c r="U113" s="2028"/>
      <c r="V113" s="2028"/>
      <c r="W113" s="2028"/>
      <c r="X113" s="2028"/>
      <c r="Y113" s="2028"/>
      <c r="Z113" s="2028"/>
      <c r="AA113" s="2028"/>
      <c r="AB113" s="2028"/>
      <c r="AC113" s="2028"/>
      <c r="AD113" s="2028"/>
      <c r="AE113" s="1041" t="s">
        <v>1836</v>
      </c>
      <c r="AF113" s="1044">
        <v>1</v>
      </c>
    </row>
    <row r="114" spans="1:32" ht="15.75" x14ac:dyDescent="0.2">
      <c r="A114" s="2029"/>
      <c r="B114" s="2030"/>
      <c r="C114" s="2030"/>
      <c r="D114" s="2031"/>
      <c r="E114" s="2025" t="str">
        <f>'01'!$A$12</f>
        <v>"CONSTRUCCION SISTEMA DE ACUEDUCTO FASE II DEL MUNICIPIO DE TESALIA DPTO DEL HUILA"</v>
      </c>
      <c r="F114" s="2026"/>
      <c r="G114" s="2026"/>
      <c r="H114" s="2026"/>
      <c r="I114" s="2026"/>
      <c r="J114" s="2026"/>
      <c r="K114" s="2026"/>
      <c r="L114" s="2026"/>
      <c r="M114" s="2026"/>
      <c r="N114" s="2026"/>
      <c r="O114" s="2026"/>
      <c r="P114" s="2026"/>
      <c r="Q114" s="2026"/>
      <c r="R114" s="2026"/>
      <c r="S114" s="2026"/>
      <c r="T114" s="2026"/>
      <c r="U114" s="2026"/>
      <c r="V114" s="2026"/>
      <c r="W114" s="2026"/>
      <c r="X114" s="2026"/>
      <c r="Y114" s="2026"/>
      <c r="Z114" s="2026"/>
      <c r="AA114" s="2026"/>
      <c r="AB114" s="2026"/>
      <c r="AC114" s="2026"/>
      <c r="AD114" s="2035"/>
      <c r="AE114" s="1041" t="s">
        <v>847</v>
      </c>
      <c r="AF114" s="1045">
        <f>'01'!$M$13</f>
        <v>0</v>
      </c>
    </row>
    <row r="115" spans="1:32" ht="16.5" thickBot="1" x14ac:dyDescent="0.25">
      <c r="A115" s="2032"/>
      <c r="B115" s="2033"/>
      <c r="C115" s="2033"/>
      <c r="D115" s="2034"/>
      <c r="E115" s="2027"/>
      <c r="F115" s="2028"/>
      <c r="G115" s="2028"/>
      <c r="H115" s="2028"/>
      <c r="I115" s="2028"/>
      <c r="J115" s="2028"/>
      <c r="K115" s="2028"/>
      <c r="L115" s="2028"/>
      <c r="M115" s="2028"/>
      <c r="N115" s="2028"/>
      <c r="O115" s="2028"/>
      <c r="P115" s="2028"/>
      <c r="Q115" s="2028"/>
      <c r="R115" s="2028"/>
      <c r="S115" s="2028"/>
      <c r="T115" s="2028"/>
      <c r="U115" s="2028"/>
      <c r="V115" s="2028"/>
      <c r="W115" s="2028"/>
      <c r="X115" s="2028"/>
      <c r="Y115" s="2028"/>
      <c r="Z115" s="2028"/>
      <c r="AA115" s="2028"/>
      <c r="AB115" s="2028"/>
      <c r="AC115" s="2028"/>
      <c r="AD115" s="2036"/>
      <c r="AE115" s="1041" t="s">
        <v>1837</v>
      </c>
      <c r="AF115" s="1042" t="s">
        <v>1838</v>
      </c>
    </row>
    <row r="116" spans="1:32" ht="15.75" x14ac:dyDescent="0.25">
      <c r="A116" s="2037" t="s">
        <v>1860</v>
      </c>
      <c r="B116" s="2038"/>
      <c r="C116" s="2038"/>
      <c r="D116" s="2038"/>
      <c r="E116" s="2038"/>
      <c r="F116" s="2038"/>
      <c r="G116" s="2038"/>
      <c r="H116" s="2038"/>
      <c r="I116" s="2038"/>
      <c r="J116" s="2038"/>
      <c r="K116" s="2038"/>
      <c r="L116" s="2038"/>
      <c r="M116" s="2038"/>
      <c r="N116" s="2038"/>
      <c r="O116" s="2038"/>
      <c r="P116" s="2038"/>
      <c r="Q116" s="2038"/>
      <c r="R116" s="2038"/>
      <c r="S116" s="2038"/>
      <c r="T116" s="2038"/>
      <c r="U116" s="2038"/>
      <c r="V116" s="2038"/>
      <c r="W116" s="2038"/>
      <c r="X116" s="2038"/>
      <c r="Y116" s="2038"/>
      <c r="Z116" s="2038"/>
      <c r="AA116" s="2038"/>
      <c r="AB116" s="2038"/>
      <c r="AC116" s="2038"/>
      <c r="AD116" s="2038"/>
      <c r="AE116" s="2039" t="s">
        <v>1839</v>
      </c>
      <c r="AF116" s="2040"/>
    </row>
    <row r="117" spans="1:32" ht="15.75" x14ac:dyDescent="0.25">
      <c r="A117" s="2041" t="s">
        <v>1840</v>
      </c>
      <c r="B117" s="2042"/>
      <c r="C117" s="2042"/>
      <c r="D117" s="2042"/>
      <c r="E117" s="2042"/>
      <c r="F117" s="2042"/>
      <c r="G117" s="2042"/>
      <c r="H117" s="2042"/>
      <c r="I117" s="2042"/>
      <c r="J117" s="2042"/>
      <c r="K117" s="2042"/>
      <c r="L117" s="2042"/>
      <c r="M117" s="2042"/>
      <c r="N117" s="2042"/>
      <c r="O117" s="2042"/>
      <c r="P117" s="2042"/>
      <c r="Q117" s="2042"/>
      <c r="R117" s="2042"/>
      <c r="S117" s="2042"/>
      <c r="T117" s="2042"/>
      <c r="U117" s="2042"/>
      <c r="V117" s="2042"/>
      <c r="W117" s="2042"/>
      <c r="X117" s="2042"/>
      <c r="Y117" s="2042"/>
      <c r="Z117" s="2042"/>
      <c r="AA117" s="2042"/>
      <c r="AB117" s="2042"/>
      <c r="AC117" s="2042"/>
      <c r="AD117" s="2043"/>
      <c r="AE117" s="2014" t="s">
        <v>1841</v>
      </c>
      <c r="AF117" s="2044"/>
    </row>
    <row r="118" spans="1:32" ht="15.75" x14ac:dyDescent="0.25">
      <c r="A118" s="2045" t="s">
        <v>1853</v>
      </c>
      <c r="B118" s="2046"/>
      <c r="C118" s="2046"/>
      <c r="D118" s="2046"/>
      <c r="E118" s="2046"/>
      <c r="F118" s="2046"/>
      <c r="G118" s="2046"/>
      <c r="H118" s="2046"/>
      <c r="I118" s="2046"/>
      <c r="J118" s="2046"/>
      <c r="K118" s="2046"/>
      <c r="L118" s="2046"/>
      <c r="M118" s="2046"/>
      <c r="N118" s="2046"/>
      <c r="O118" s="2046"/>
      <c r="P118" s="2046"/>
      <c r="Q118" s="2046"/>
      <c r="R118" s="2046"/>
      <c r="S118" s="2046"/>
      <c r="T118" s="2046"/>
      <c r="U118" s="2046"/>
      <c r="V118" s="2046"/>
      <c r="W118" s="2046"/>
      <c r="X118" s="2046"/>
      <c r="Y118" s="2046"/>
      <c r="Z118" s="2046"/>
      <c r="AA118" s="2046"/>
      <c r="AB118" s="2046"/>
      <c r="AC118" s="2046"/>
      <c r="AD118" s="2046"/>
      <c r="AE118" s="2047">
        <f>'01'!$M$13</f>
        <v>0</v>
      </c>
      <c r="AF118" s="2044"/>
    </row>
    <row r="119" spans="1:32" x14ac:dyDescent="0.2">
      <c r="A119" s="1046"/>
      <c r="B119" s="1047"/>
      <c r="C119" s="1047"/>
      <c r="D119" s="1047"/>
      <c r="E119" s="1047"/>
      <c r="F119" s="1047"/>
      <c r="G119" s="1047"/>
      <c r="H119" s="1047"/>
      <c r="I119" s="1047"/>
      <c r="J119" s="1047"/>
      <c r="K119" s="1047"/>
      <c r="L119" s="1047"/>
      <c r="M119" s="1047"/>
      <c r="N119" s="1047"/>
      <c r="O119" s="1047"/>
      <c r="P119" s="1047"/>
      <c r="Q119" s="1047"/>
      <c r="R119" s="1047"/>
      <c r="S119" s="1047"/>
      <c r="T119" s="1047"/>
      <c r="U119" s="1047"/>
      <c r="V119" s="1047"/>
      <c r="W119" s="1047"/>
      <c r="X119" s="1047"/>
      <c r="Y119" s="1047"/>
      <c r="Z119" s="1047"/>
      <c r="AA119" s="1047"/>
      <c r="AB119" s="1047"/>
      <c r="AC119" s="1047"/>
      <c r="AD119" s="1047"/>
      <c r="AE119" s="1047"/>
      <c r="AF119" s="1048"/>
    </row>
    <row r="120" spans="1:32" ht="15.75" x14ac:dyDescent="0.2">
      <c r="A120" s="2048" t="s">
        <v>1842</v>
      </c>
      <c r="B120" s="2049"/>
      <c r="C120" s="2049"/>
      <c r="D120" s="2049"/>
      <c r="E120" s="2049"/>
      <c r="F120" s="2050" t="str">
        <f>'01'!$H$16</f>
        <v>A -EMPATE CON LÍNEA DE ADUCCIÓN</v>
      </c>
      <c r="G120" s="2049"/>
      <c r="H120" s="2049"/>
      <c r="I120" s="2049"/>
      <c r="J120" s="2049"/>
      <c r="K120" s="2049"/>
      <c r="L120" s="2049"/>
      <c r="M120" s="2049"/>
      <c r="N120" s="2049"/>
      <c r="O120" s="2049"/>
      <c r="P120" s="2049"/>
      <c r="Q120" s="2049"/>
      <c r="R120" s="2049"/>
      <c r="S120" s="2049"/>
      <c r="T120" s="2049"/>
      <c r="U120" s="2049"/>
      <c r="V120" s="2049"/>
      <c r="W120" s="2049"/>
      <c r="X120" s="2049"/>
      <c r="Y120" s="2051"/>
      <c r="Z120" s="2052" t="s">
        <v>1843</v>
      </c>
      <c r="AA120" s="2053"/>
      <c r="AB120" s="2058" t="s">
        <v>1844</v>
      </c>
      <c r="AC120" s="2059"/>
      <c r="AD120" s="2060"/>
      <c r="AE120" s="2064" t="s">
        <v>1845</v>
      </c>
      <c r="AF120" s="2067" t="s">
        <v>1846</v>
      </c>
    </row>
    <row r="121" spans="1:32" x14ac:dyDescent="0.2">
      <c r="A121" s="2070" t="str">
        <f>'01'!A23</f>
        <v>A-03-02</v>
      </c>
      <c r="B121" s="2071"/>
      <c r="C121" s="2072"/>
      <c r="D121" s="2076" t="str">
        <f>VLOOKUP(A121,'01'!$A$12:$N$299,3,FALSE)</f>
        <v>RELLENO CON TRITURADO PASANTE DE 3/4"</v>
      </c>
      <c r="E121" s="2077"/>
      <c r="F121" s="2077"/>
      <c r="G121" s="2077"/>
      <c r="H121" s="2077"/>
      <c r="I121" s="2077"/>
      <c r="J121" s="2077"/>
      <c r="K121" s="2077"/>
      <c r="L121" s="2077"/>
      <c r="M121" s="2077"/>
      <c r="N121" s="2077"/>
      <c r="O121" s="2077"/>
      <c r="P121" s="2077"/>
      <c r="Q121" s="2077"/>
      <c r="R121" s="2077"/>
      <c r="S121" s="2078"/>
      <c r="T121" s="2082" t="s">
        <v>124</v>
      </c>
      <c r="U121" s="2083"/>
      <c r="V121" s="2083"/>
      <c r="W121" s="2083"/>
      <c r="X121" s="2052" t="str">
        <f>VLOOKUP(A121,'01'!$A$12:$N$299,9,FALSE)</f>
        <v>M3</v>
      </c>
      <c r="Y121" s="2053"/>
      <c r="Z121" s="2054"/>
      <c r="AA121" s="2055"/>
      <c r="AB121" s="2061"/>
      <c r="AC121" s="2062"/>
      <c r="AD121" s="2063"/>
      <c r="AE121" s="2065"/>
      <c r="AF121" s="2068"/>
    </row>
    <row r="122" spans="1:32" ht="15.75" x14ac:dyDescent="0.25">
      <c r="A122" s="2073"/>
      <c r="B122" s="2074"/>
      <c r="C122" s="2075"/>
      <c r="D122" s="2079"/>
      <c r="E122" s="2080"/>
      <c r="F122" s="2080"/>
      <c r="G122" s="2080"/>
      <c r="H122" s="2080"/>
      <c r="I122" s="2080"/>
      <c r="J122" s="2080"/>
      <c r="K122" s="2080"/>
      <c r="L122" s="2080"/>
      <c r="M122" s="2080"/>
      <c r="N122" s="2080"/>
      <c r="O122" s="2080"/>
      <c r="P122" s="2080"/>
      <c r="Q122" s="2080"/>
      <c r="R122" s="2080"/>
      <c r="S122" s="2081"/>
      <c r="T122" s="2084"/>
      <c r="U122" s="2085"/>
      <c r="V122" s="2085"/>
      <c r="W122" s="2085"/>
      <c r="X122" s="2056"/>
      <c r="Y122" s="2057"/>
      <c r="Z122" s="2056"/>
      <c r="AA122" s="2057"/>
      <c r="AB122" s="1049" t="s">
        <v>1847</v>
      </c>
      <c r="AC122" s="1049" t="s">
        <v>1848</v>
      </c>
      <c r="AD122" s="1049" t="s">
        <v>2159</v>
      </c>
      <c r="AE122" s="2066"/>
      <c r="AF122" s="2069"/>
    </row>
    <row r="123" spans="1:32" ht="15.75" x14ac:dyDescent="0.25">
      <c r="A123" s="2017"/>
      <c r="B123" s="2018"/>
      <c r="C123" s="2018"/>
      <c r="D123" s="2018"/>
      <c r="E123" s="2018"/>
      <c r="F123" s="2018"/>
      <c r="G123" s="2018"/>
      <c r="H123" s="2018"/>
      <c r="I123" s="2018"/>
      <c r="J123" s="2018"/>
      <c r="K123" s="2018"/>
      <c r="L123" s="2018"/>
      <c r="M123" s="2018"/>
      <c r="N123" s="2018"/>
      <c r="O123" s="2018"/>
      <c r="P123" s="2018"/>
      <c r="Q123" s="2018"/>
      <c r="R123" s="2018"/>
      <c r="S123" s="2018"/>
      <c r="T123" s="2018"/>
      <c r="U123" s="2018"/>
      <c r="V123" s="2018"/>
      <c r="W123" s="2018"/>
      <c r="X123" s="2018"/>
      <c r="Y123" s="2094"/>
      <c r="Z123" s="2096" t="s">
        <v>2157</v>
      </c>
      <c r="AA123" s="2097"/>
      <c r="AB123" s="1050">
        <f>AB86</f>
        <v>5</v>
      </c>
      <c r="AC123" s="1050">
        <f>+AC86</f>
        <v>1</v>
      </c>
      <c r="AD123" s="1050">
        <v>0.15</v>
      </c>
      <c r="AE123" s="1051">
        <v>1</v>
      </c>
      <c r="AF123" s="1052">
        <f>AD123*AC123*AB123</f>
        <v>0.75</v>
      </c>
    </row>
    <row r="124" spans="1:32" ht="15.75" x14ac:dyDescent="0.25">
      <c r="A124" s="2017"/>
      <c r="B124" s="2018"/>
      <c r="C124" s="2018"/>
      <c r="D124" s="2018"/>
      <c r="E124" s="2018"/>
      <c r="F124" s="2018"/>
      <c r="G124" s="2018"/>
      <c r="H124" s="2018"/>
      <c r="I124" s="2018"/>
      <c r="J124" s="2018"/>
      <c r="K124" s="2018"/>
      <c r="L124" s="2018"/>
      <c r="M124" s="2018"/>
      <c r="N124" s="2018"/>
      <c r="O124" s="2018"/>
      <c r="P124" s="2018"/>
      <c r="Q124" s="2018"/>
      <c r="R124" s="2018"/>
      <c r="S124" s="2018"/>
      <c r="T124" s="2018"/>
      <c r="U124" s="2018"/>
      <c r="V124" s="2018"/>
      <c r="W124" s="2018"/>
      <c r="X124" s="2018"/>
      <c r="Y124" s="2094"/>
      <c r="Z124" s="2096"/>
      <c r="AA124" s="2097"/>
      <c r="AB124" s="1053"/>
      <c r="AC124" s="1053"/>
      <c r="AD124" s="1050"/>
      <c r="AE124" s="1051"/>
      <c r="AF124" s="1052"/>
    </row>
    <row r="125" spans="1:32" ht="15.75" x14ac:dyDescent="0.25">
      <c r="A125" s="2017"/>
      <c r="B125" s="2018"/>
      <c r="C125" s="2018"/>
      <c r="D125" s="2018"/>
      <c r="E125" s="2018"/>
      <c r="F125" s="2018"/>
      <c r="G125" s="2018"/>
      <c r="H125" s="2018"/>
      <c r="I125" s="2018"/>
      <c r="J125" s="2018"/>
      <c r="K125" s="2018"/>
      <c r="L125" s="2018"/>
      <c r="M125" s="2018"/>
      <c r="N125" s="2018"/>
      <c r="O125" s="2018"/>
      <c r="P125" s="2018"/>
      <c r="Q125" s="2018"/>
      <c r="R125" s="2018"/>
      <c r="S125" s="2018"/>
      <c r="T125" s="2018"/>
      <c r="U125" s="2018"/>
      <c r="V125" s="2018"/>
      <c r="W125" s="2018"/>
      <c r="X125" s="2018"/>
      <c r="Y125" s="2094"/>
      <c r="Z125" s="2096"/>
      <c r="AA125" s="2097"/>
      <c r="AB125" s="1053"/>
      <c r="AC125" s="1053"/>
      <c r="AD125" s="1050"/>
      <c r="AE125" s="1051"/>
      <c r="AF125" s="1052"/>
    </row>
    <row r="126" spans="1:32" ht="15.75" x14ac:dyDescent="0.25">
      <c r="A126" s="2017"/>
      <c r="B126" s="2018"/>
      <c r="C126" s="2018"/>
      <c r="D126" s="2018"/>
      <c r="E126" s="2018"/>
      <c r="F126" s="2018"/>
      <c r="G126" s="2018"/>
      <c r="H126" s="2018"/>
      <c r="I126" s="2018"/>
      <c r="J126" s="2018"/>
      <c r="K126" s="2018"/>
      <c r="L126" s="2018"/>
      <c r="M126" s="2018"/>
      <c r="N126" s="2018"/>
      <c r="O126" s="2018"/>
      <c r="P126" s="2018"/>
      <c r="Q126" s="2018"/>
      <c r="R126" s="2018"/>
      <c r="S126" s="2018"/>
      <c r="T126" s="2018"/>
      <c r="U126" s="2018"/>
      <c r="V126" s="2018"/>
      <c r="W126" s="2018"/>
      <c r="X126" s="2018"/>
      <c r="Y126" s="2094"/>
      <c r="Z126" s="2096"/>
      <c r="AA126" s="2097"/>
      <c r="AB126" s="1053"/>
      <c r="AC126" s="1053"/>
      <c r="AD126" s="1050"/>
      <c r="AE126" s="1051"/>
      <c r="AF126" s="1052"/>
    </row>
    <row r="127" spans="1:32" ht="15.75" x14ac:dyDescent="0.25">
      <c r="A127" s="2017"/>
      <c r="B127" s="2018"/>
      <c r="C127" s="2018"/>
      <c r="D127" s="2018"/>
      <c r="E127" s="2018"/>
      <c r="F127" s="2018"/>
      <c r="G127" s="2018"/>
      <c r="H127" s="2018"/>
      <c r="I127" s="2018"/>
      <c r="J127" s="2018"/>
      <c r="K127" s="2018"/>
      <c r="L127" s="2018"/>
      <c r="M127" s="2018"/>
      <c r="N127" s="2018"/>
      <c r="O127" s="2018"/>
      <c r="P127" s="2018"/>
      <c r="Q127" s="2018"/>
      <c r="R127" s="2018"/>
      <c r="S127" s="2018"/>
      <c r="T127" s="2018"/>
      <c r="U127" s="2018"/>
      <c r="V127" s="2018"/>
      <c r="W127" s="2018"/>
      <c r="X127" s="2018"/>
      <c r="Y127" s="2094"/>
      <c r="Z127" s="2096"/>
      <c r="AA127" s="2097"/>
      <c r="AB127" s="1053"/>
      <c r="AC127" s="1053"/>
      <c r="AD127" s="1050"/>
      <c r="AE127" s="1051"/>
      <c r="AF127" s="1052"/>
    </row>
    <row r="128" spans="1:32" ht="15.75" x14ac:dyDescent="0.25">
      <c r="A128" s="2017"/>
      <c r="B128" s="2018"/>
      <c r="C128" s="2018"/>
      <c r="D128" s="2018"/>
      <c r="E128" s="2018"/>
      <c r="F128" s="2018"/>
      <c r="G128" s="2018"/>
      <c r="H128" s="2018"/>
      <c r="I128" s="2018"/>
      <c r="J128" s="2018"/>
      <c r="K128" s="2018"/>
      <c r="L128" s="2018"/>
      <c r="M128" s="2018"/>
      <c r="N128" s="2018"/>
      <c r="O128" s="2018"/>
      <c r="P128" s="2018"/>
      <c r="Q128" s="2018"/>
      <c r="R128" s="2018"/>
      <c r="S128" s="2018"/>
      <c r="T128" s="2018"/>
      <c r="U128" s="2018"/>
      <c r="V128" s="2018"/>
      <c r="W128" s="2018"/>
      <c r="X128" s="2018"/>
      <c r="Y128" s="2094"/>
      <c r="Z128" s="2096"/>
      <c r="AA128" s="2097"/>
      <c r="AB128" s="1053"/>
      <c r="AC128" s="1053"/>
      <c r="AD128" s="1053"/>
      <c r="AE128" s="1051"/>
      <c r="AF128" s="1052"/>
    </row>
    <row r="129" spans="1:32" ht="15.75" x14ac:dyDescent="0.25">
      <c r="A129" s="2017"/>
      <c r="B129" s="2018"/>
      <c r="C129" s="2018"/>
      <c r="D129" s="2018"/>
      <c r="E129" s="2018"/>
      <c r="F129" s="2018"/>
      <c r="G129" s="2018"/>
      <c r="H129" s="2018"/>
      <c r="I129" s="2018"/>
      <c r="J129" s="2018"/>
      <c r="K129" s="2018"/>
      <c r="L129" s="2018"/>
      <c r="M129" s="2018"/>
      <c r="N129" s="2018"/>
      <c r="O129" s="2018"/>
      <c r="P129" s="2018"/>
      <c r="Q129" s="2018"/>
      <c r="R129" s="2018"/>
      <c r="S129" s="2018"/>
      <c r="T129" s="2018"/>
      <c r="U129" s="2018"/>
      <c r="V129" s="2018"/>
      <c r="W129" s="2018"/>
      <c r="X129" s="2018"/>
      <c r="Y129" s="2094"/>
      <c r="Z129" s="2096"/>
      <c r="AA129" s="2097"/>
      <c r="AB129" s="1053"/>
      <c r="AC129" s="1053"/>
      <c r="AD129" s="1053"/>
      <c r="AE129" s="1051"/>
      <c r="AF129" s="1052"/>
    </row>
    <row r="130" spans="1:32" ht="15.75" x14ac:dyDescent="0.25">
      <c r="A130" s="2017"/>
      <c r="B130" s="2018"/>
      <c r="C130" s="2018"/>
      <c r="D130" s="2018"/>
      <c r="E130" s="2018"/>
      <c r="F130" s="2018"/>
      <c r="G130" s="2018"/>
      <c r="H130" s="2018"/>
      <c r="I130" s="2018"/>
      <c r="J130" s="2018"/>
      <c r="K130" s="2018"/>
      <c r="L130" s="2018"/>
      <c r="M130" s="2018"/>
      <c r="N130" s="2018"/>
      <c r="O130" s="2018"/>
      <c r="P130" s="2018"/>
      <c r="Q130" s="2018"/>
      <c r="R130" s="2018"/>
      <c r="S130" s="2018"/>
      <c r="T130" s="2018"/>
      <c r="U130" s="2018"/>
      <c r="V130" s="2018"/>
      <c r="W130" s="2018"/>
      <c r="X130" s="2018"/>
      <c r="Y130" s="2094"/>
      <c r="Z130" s="2096"/>
      <c r="AA130" s="2097"/>
      <c r="AB130" s="1053"/>
      <c r="AC130" s="1053"/>
      <c r="AD130" s="1053"/>
      <c r="AE130" s="1051"/>
      <c r="AF130" s="1052"/>
    </row>
    <row r="131" spans="1:32" ht="15.75" x14ac:dyDescent="0.25">
      <c r="A131" s="2017"/>
      <c r="B131" s="2018"/>
      <c r="C131" s="2018"/>
      <c r="D131" s="2018"/>
      <c r="E131" s="2018"/>
      <c r="F131" s="2018"/>
      <c r="G131" s="2018"/>
      <c r="H131" s="2018"/>
      <c r="I131" s="2018"/>
      <c r="J131" s="2018"/>
      <c r="K131" s="2018"/>
      <c r="L131" s="2018"/>
      <c r="M131" s="2018"/>
      <c r="N131" s="2018"/>
      <c r="O131" s="2018"/>
      <c r="P131" s="2018"/>
      <c r="Q131" s="2018"/>
      <c r="R131" s="2018"/>
      <c r="S131" s="2018"/>
      <c r="T131" s="2018"/>
      <c r="U131" s="2018"/>
      <c r="V131" s="2018"/>
      <c r="W131" s="2018"/>
      <c r="X131" s="2018"/>
      <c r="Y131" s="2094"/>
      <c r="Z131" s="2096"/>
      <c r="AA131" s="2097"/>
      <c r="AB131" s="1053"/>
      <c r="AC131" s="1053"/>
      <c r="AD131" s="1053"/>
      <c r="AE131" s="1050"/>
      <c r="AF131" s="1054"/>
    </row>
    <row r="132" spans="1:32" ht="15.75" x14ac:dyDescent="0.25">
      <c r="A132" s="2017"/>
      <c r="B132" s="2018"/>
      <c r="C132" s="2018"/>
      <c r="D132" s="2018"/>
      <c r="E132" s="2018"/>
      <c r="F132" s="2018"/>
      <c r="G132" s="2018"/>
      <c r="H132" s="2018"/>
      <c r="I132" s="2018"/>
      <c r="J132" s="2018"/>
      <c r="K132" s="2018"/>
      <c r="L132" s="2018"/>
      <c r="M132" s="2018"/>
      <c r="N132" s="2018"/>
      <c r="O132" s="2018"/>
      <c r="P132" s="2018"/>
      <c r="Q132" s="2018"/>
      <c r="R132" s="2018"/>
      <c r="S132" s="2018"/>
      <c r="T132" s="2018"/>
      <c r="U132" s="2018"/>
      <c r="V132" s="2018"/>
      <c r="W132" s="2018"/>
      <c r="X132" s="2018"/>
      <c r="Y132" s="2094"/>
      <c r="Z132" s="2096"/>
      <c r="AA132" s="2097"/>
      <c r="AB132" s="1053"/>
      <c r="AC132" s="1053"/>
      <c r="AD132" s="1053"/>
      <c r="AE132" s="1051"/>
      <c r="AF132" s="1054"/>
    </row>
    <row r="133" spans="1:32" ht="15.75" x14ac:dyDescent="0.25">
      <c r="A133" s="2017"/>
      <c r="B133" s="2018"/>
      <c r="C133" s="2018"/>
      <c r="D133" s="2018"/>
      <c r="E133" s="2018"/>
      <c r="F133" s="2018"/>
      <c r="G133" s="2018"/>
      <c r="H133" s="2018"/>
      <c r="I133" s="2018"/>
      <c r="J133" s="2018"/>
      <c r="K133" s="2018"/>
      <c r="L133" s="2018"/>
      <c r="M133" s="2018"/>
      <c r="N133" s="2018"/>
      <c r="O133" s="2018"/>
      <c r="P133" s="2018"/>
      <c r="Q133" s="2018"/>
      <c r="R133" s="2018"/>
      <c r="S133" s="2018"/>
      <c r="T133" s="2018"/>
      <c r="U133" s="2018"/>
      <c r="V133" s="2018"/>
      <c r="W133" s="2018"/>
      <c r="X133" s="2018"/>
      <c r="Y133" s="2094"/>
      <c r="Z133" s="2096"/>
      <c r="AA133" s="2097"/>
      <c r="AB133" s="1053"/>
      <c r="AC133" s="1053"/>
      <c r="AD133" s="1053"/>
      <c r="AE133" s="1051"/>
      <c r="AF133" s="1054"/>
    </row>
    <row r="134" spans="1:32" ht="15.75" x14ac:dyDescent="0.25">
      <c r="A134" s="2017"/>
      <c r="B134" s="2018"/>
      <c r="C134" s="2018"/>
      <c r="D134" s="2018"/>
      <c r="E134" s="2018"/>
      <c r="F134" s="2018"/>
      <c r="G134" s="2018"/>
      <c r="H134" s="2018"/>
      <c r="I134" s="2018"/>
      <c r="J134" s="2018"/>
      <c r="K134" s="2018"/>
      <c r="L134" s="2018"/>
      <c r="M134" s="2018"/>
      <c r="N134" s="2018"/>
      <c r="O134" s="2018"/>
      <c r="P134" s="2018"/>
      <c r="Q134" s="2018"/>
      <c r="R134" s="2018"/>
      <c r="S134" s="2018"/>
      <c r="T134" s="2018"/>
      <c r="U134" s="2018"/>
      <c r="V134" s="2018"/>
      <c r="W134" s="2018"/>
      <c r="X134" s="2018"/>
      <c r="Y134" s="2094"/>
      <c r="Z134" s="2096"/>
      <c r="AA134" s="2097"/>
      <c r="AB134" s="1053"/>
      <c r="AC134" s="1053"/>
      <c r="AD134" s="1053"/>
      <c r="AE134" s="1051"/>
      <c r="AF134" s="1054"/>
    </row>
    <row r="135" spans="1:32" ht="15.75" x14ac:dyDescent="0.25">
      <c r="A135" s="2017"/>
      <c r="B135" s="2018"/>
      <c r="C135" s="2018"/>
      <c r="D135" s="2018"/>
      <c r="E135" s="2018"/>
      <c r="F135" s="2018"/>
      <c r="G135" s="2018"/>
      <c r="H135" s="2018"/>
      <c r="I135" s="2018"/>
      <c r="J135" s="2018"/>
      <c r="K135" s="2018"/>
      <c r="L135" s="2018"/>
      <c r="M135" s="2018"/>
      <c r="N135" s="2018"/>
      <c r="O135" s="2018"/>
      <c r="P135" s="2018"/>
      <c r="Q135" s="2018"/>
      <c r="R135" s="2018"/>
      <c r="S135" s="2018"/>
      <c r="T135" s="2018"/>
      <c r="U135" s="2018"/>
      <c r="V135" s="2018"/>
      <c r="W135" s="2018"/>
      <c r="X135" s="2018"/>
      <c r="Y135" s="2094"/>
      <c r="Z135" s="2096"/>
      <c r="AA135" s="2097"/>
      <c r="AB135" s="1053"/>
      <c r="AC135" s="1053"/>
      <c r="AD135" s="1053"/>
      <c r="AE135" s="1051"/>
      <c r="AF135" s="1054"/>
    </row>
    <row r="136" spans="1:32" ht="15.75" x14ac:dyDescent="0.25">
      <c r="A136" s="2017"/>
      <c r="B136" s="2018"/>
      <c r="C136" s="2018"/>
      <c r="D136" s="2018"/>
      <c r="E136" s="2018"/>
      <c r="F136" s="2018"/>
      <c r="G136" s="2018"/>
      <c r="H136" s="2018"/>
      <c r="I136" s="2018"/>
      <c r="J136" s="2018"/>
      <c r="K136" s="2018"/>
      <c r="L136" s="2018"/>
      <c r="M136" s="2018"/>
      <c r="N136" s="2018"/>
      <c r="O136" s="2018"/>
      <c r="P136" s="2018"/>
      <c r="Q136" s="2018"/>
      <c r="R136" s="2018"/>
      <c r="S136" s="2018"/>
      <c r="T136" s="2018"/>
      <c r="U136" s="2018"/>
      <c r="V136" s="2018"/>
      <c r="W136" s="2018"/>
      <c r="X136" s="2018"/>
      <c r="Y136" s="2094"/>
      <c r="Z136" s="2096"/>
      <c r="AA136" s="2097"/>
      <c r="AB136" s="1053"/>
      <c r="AC136" s="1053"/>
      <c r="AD136" s="1053"/>
      <c r="AE136" s="1051"/>
      <c r="AF136" s="1054"/>
    </row>
    <row r="137" spans="1:32" ht="15.75" x14ac:dyDescent="0.25">
      <c r="A137" s="2017"/>
      <c r="B137" s="2018"/>
      <c r="C137" s="2018"/>
      <c r="D137" s="2018"/>
      <c r="E137" s="2018"/>
      <c r="F137" s="2018"/>
      <c r="G137" s="2018"/>
      <c r="H137" s="2018"/>
      <c r="I137" s="2018"/>
      <c r="J137" s="2018"/>
      <c r="K137" s="2018"/>
      <c r="L137" s="2018"/>
      <c r="M137" s="2018"/>
      <c r="N137" s="2018"/>
      <c r="O137" s="2018"/>
      <c r="P137" s="2018"/>
      <c r="Q137" s="2018"/>
      <c r="R137" s="2018"/>
      <c r="S137" s="2018"/>
      <c r="T137" s="2018"/>
      <c r="U137" s="2018"/>
      <c r="V137" s="2018"/>
      <c r="W137" s="2018"/>
      <c r="X137" s="2018"/>
      <c r="Y137" s="2094"/>
      <c r="Z137" s="2096"/>
      <c r="AA137" s="2097"/>
      <c r="AB137" s="1055"/>
      <c r="AC137" s="1055"/>
      <c r="AD137" s="1055"/>
      <c r="AE137" s="1051"/>
      <c r="AF137" s="1056"/>
    </row>
    <row r="138" spans="1:32" ht="15.75" x14ac:dyDescent="0.25">
      <c r="A138" s="2017"/>
      <c r="B138" s="2018"/>
      <c r="C138" s="2018"/>
      <c r="D138" s="2018"/>
      <c r="E138" s="2018"/>
      <c r="F138" s="2018"/>
      <c r="G138" s="2018"/>
      <c r="H138" s="2018"/>
      <c r="I138" s="2018"/>
      <c r="J138" s="2018"/>
      <c r="K138" s="2018"/>
      <c r="L138" s="2018"/>
      <c r="M138" s="2018"/>
      <c r="N138" s="2018"/>
      <c r="O138" s="2018"/>
      <c r="P138" s="2018"/>
      <c r="Q138" s="2018"/>
      <c r="R138" s="2018"/>
      <c r="S138" s="2018"/>
      <c r="T138" s="2018"/>
      <c r="U138" s="2018"/>
      <c r="V138" s="2018"/>
      <c r="W138" s="2018"/>
      <c r="X138" s="2018"/>
      <c r="Y138" s="2094"/>
      <c r="Z138" s="2096"/>
      <c r="AA138" s="2097"/>
      <c r="AB138" s="1055"/>
      <c r="AC138" s="1055"/>
      <c r="AD138" s="1055"/>
      <c r="AE138" s="1055"/>
      <c r="AF138" s="1056"/>
    </row>
    <row r="139" spans="1:32" ht="15.75" x14ac:dyDescent="0.25">
      <c r="A139" s="2017"/>
      <c r="B139" s="2018"/>
      <c r="C139" s="2018"/>
      <c r="D139" s="2018"/>
      <c r="E139" s="2018"/>
      <c r="F139" s="2018"/>
      <c r="G139" s="2018"/>
      <c r="H139" s="2018"/>
      <c r="I139" s="2018"/>
      <c r="J139" s="2018"/>
      <c r="K139" s="2018"/>
      <c r="L139" s="2018"/>
      <c r="M139" s="2018"/>
      <c r="N139" s="2018"/>
      <c r="O139" s="2018"/>
      <c r="P139" s="2018"/>
      <c r="Q139" s="2018"/>
      <c r="R139" s="2018"/>
      <c r="S139" s="2018"/>
      <c r="T139" s="2018"/>
      <c r="U139" s="2018"/>
      <c r="V139" s="2018"/>
      <c r="W139" s="2018"/>
      <c r="X139" s="2018"/>
      <c r="Y139" s="2094"/>
      <c r="Z139" s="2096"/>
      <c r="AA139" s="2097"/>
      <c r="AB139" s="1055"/>
      <c r="AC139" s="1055"/>
      <c r="AD139" s="1055"/>
      <c r="AE139" s="1055"/>
      <c r="AF139" s="1056"/>
    </row>
    <row r="140" spans="1:32" ht="15.75" x14ac:dyDescent="0.25">
      <c r="A140" s="2017"/>
      <c r="B140" s="2018"/>
      <c r="C140" s="2018"/>
      <c r="D140" s="2018"/>
      <c r="E140" s="2018"/>
      <c r="F140" s="2018"/>
      <c r="G140" s="2018"/>
      <c r="H140" s="2018"/>
      <c r="I140" s="2018"/>
      <c r="J140" s="2018"/>
      <c r="K140" s="2018"/>
      <c r="L140" s="2018"/>
      <c r="M140" s="2018"/>
      <c r="N140" s="2018"/>
      <c r="O140" s="2018"/>
      <c r="P140" s="2018"/>
      <c r="Q140" s="2018"/>
      <c r="R140" s="2018"/>
      <c r="S140" s="2018"/>
      <c r="T140" s="2018"/>
      <c r="U140" s="2018"/>
      <c r="V140" s="2018"/>
      <c r="W140" s="2018"/>
      <c r="X140" s="2018"/>
      <c r="Y140" s="2094"/>
      <c r="Z140" s="2096"/>
      <c r="AA140" s="2097"/>
      <c r="AB140" s="1055"/>
      <c r="AC140" s="1055"/>
      <c r="AD140" s="1055"/>
      <c r="AE140" s="1055"/>
      <c r="AF140" s="1056"/>
    </row>
    <row r="141" spans="1:32" ht="15.75" x14ac:dyDescent="0.25">
      <c r="A141" s="2017"/>
      <c r="B141" s="2018"/>
      <c r="C141" s="2018"/>
      <c r="D141" s="2018"/>
      <c r="E141" s="2018"/>
      <c r="F141" s="2018"/>
      <c r="G141" s="2018"/>
      <c r="H141" s="2018"/>
      <c r="I141" s="2018"/>
      <c r="J141" s="2018"/>
      <c r="K141" s="2018"/>
      <c r="L141" s="2018"/>
      <c r="M141" s="2018"/>
      <c r="N141" s="2018"/>
      <c r="O141" s="2018"/>
      <c r="P141" s="2018"/>
      <c r="Q141" s="2018"/>
      <c r="R141" s="2018"/>
      <c r="S141" s="2018"/>
      <c r="T141" s="2018"/>
      <c r="U141" s="2018"/>
      <c r="V141" s="2018"/>
      <c r="W141" s="2018"/>
      <c r="X141" s="2018"/>
      <c r="Y141" s="2094"/>
      <c r="Z141" s="2096"/>
      <c r="AA141" s="2097"/>
      <c r="AB141" s="1055"/>
      <c r="AC141" s="1055"/>
      <c r="AD141" s="1055"/>
      <c r="AE141" s="1055"/>
      <c r="AF141" s="1056"/>
    </row>
    <row r="142" spans="1:32" ht="16.5" thickBot="1" x14ac:dyDescent="0.3">
      <c r="A142" s="2019"/>
      <c r="B142" s="2020"/>
      <c r="C142" s="2020"/>
      <c r="D142" s="2020"/>
      <c r="E142" s="2020"/>
      <c r="F142" s="2020"/>
      <c r="G142" s="2020"/>
      <c r="H142" s="2020"/>
      <c r="I142" s="2020"/>
      <c r="J142" s="2020"/>
      <c r="K142" s="2020"/>
      <c r="L142" s="2020"/>
      <c r="M142" s="2020"/>
      <c r="N142" s="2020"/>
      <c r="O142" s="2020"/>
      <c r="P142" s="2020"/>
      <c r="Q142" s="2020"/>
      <c r="R142" s="2020"/>
      <c r="S142" s="2020"/>
      <c r="T142" s="2020"/>
      <c r="U142" s="2020"/>
      <c r="V142" s="2020"/>
      <c r="W142" s="2020"/>
      <c r="X142" s="2020"/>
      <c r="Y142" s="2095"/>
      <c r="Z142" s="2098"/>
      <c r="AA142" s="2099"/>
      <c r="AB142" s="1057"/>
      <c r="AC142" s="1057"/>
      <c r="AD142" s="1057"/>
      <c r="AE142" s="1057"/>
      <c r="AF142" s="1058"/>
    </row>
    <row r="143" spans="1:32" ht="15.75" x14ac:dyDescent="0.25">
      <c r="A143" s="2009" t="s">
        <v>2158</v>
      </c>
      <c r="B143" s="2010"/>
      <c r="C143" s="2010"/>
      <c r="D143" s="2010"/>
      <c r="E143" s="2010"/>
      <c r="F143" s="2010"/>
      <c r="G143" s="2010"/>
      <c r="H143" s="2010"/>
      <c r="I143" s="2010"/>
      <c r="J143" s="2010"/>
      <c r="K143" s="2010"/>
      <c r="L143" s="2010"/>
      <c r="M143" s="2010"/>
      <c r="N143" s="2010"/>
      <c r="O143" s="2010"/>
      <c r="P143" s="2010"/>
      <c r="Q143" s="2010"/>
      <c r="R143" s="2010"/>
      <c r="S143" s="2010"/>
      <c r="T143" s="2010"/>
      <c r="U143" s="2010"/>
      <c r="V143" s="2010"/>
      <c r="W143" s="2010"/>
      <c r="X143" s="2010"/>
      <c r="Y143" s="2010"/>
      <c r="Z143" s="2013" t="s">
        <v>1850</v>
      </c>
      <c r="AA143" s="2013"/>
      <c r="AB143" s="2013"/>
      <c r="AC143" s="2013"/>
      <c r="AD143" s="2013"/>
      <c r="AE143" s="2013"/>
      <c r="AF143" s="1059">
        <f>SUM(AF123:AF142)</f>
        <v>0.75</v>
      </c>
    </row>
    <row r="144" spans="1:32" ht="15.75" x14ac:dyDescent="0.25">
      <c r="A144" s="2011"/>
      <c r="B144" s="2012"/>
      <c r="C144" s="2012"/>
      <c r="D144" s="2012"/>
      <c r="E144" s="2012"/>
      <c r="F144" s="2012"/>
      <c r="G144" s="2012"/>
      <c r="H144" s="2012"/>
      <c r="I144" s="2012"/>
      <c r="J144" s="2012"/>
      <c r="K144" s="2012"/>
      <c r="L144" s="2012"/>
      <c r="M144" s="2012"/>
      <c r="N144" s="2012"/>
      <c r="O144" s="2012"/>
      <c r="P144" s="2012"/>
      <c r="Q144" s="2012"/>
      <c r="R144" s="2012"/>
      <c r="S144" s="2012"/>
      <c r="T144" s="2012"/>
      <c r="U144" s="2012"/>
      <c r="V144" s="2012"/>
      <c r="W144" s="2012"/>
      <c r="X144" s="2012"/>
      <c r="Y144" s="2012"/>
      <c r="Z144" s="2014" t="s">
        <v>1851</v>
      </c>
      <c r="AA144" s="2014"/>
      <c r="AB144" s="2014"/>
      <c r="AC144" s="2014"/>
      <c r="AD144" s="2014"/>
      <c r="AE144" s="2014"/>
      <c r="AF144" s="1060">
        <v>0</v>
      </c>
    </row>
    <row r="145" spans="1:32" ht="15.75" x14ac:dyDescent="0.25">
      <c r="A145" s="2011"/>
      <c r="B145" s="2012"/>
      <c r="C145" s="2012"/>
      <c r="D145" s="2012"/>
      <c r="E145" s="2012"/>
      <c r="F145" s="2012"/>
      <c r="G145" s="2012"/>
      <c r="H145" s="2012"/>
      <c r="I145" s="2012"/>
      <c r="J145" s="2012"/>
      <c r="K145" s="2012"/>
      <c r="L145" s="2012"/>
      <c r="M145" s="2012"/>
      <c r="N145" s="2012"/>
      <c r="O145" s="2012"/>
      <c r="P145" s="2012"/>
      <c r="Q145" s="2012"/>
      <c r="R145" s="2012"/>
      <c r="S145" s="2012"/>
      <c r="T145" s="2012"/>
      <c r="U145" s="2012"/>
      <c r="V145" s="2012"/>
      <c r="W145" s="2012"/>
      <c r="X145" s="2012"/>
      <c r="Y145" s="2012"/>
      <c r="Z145" s="2015" t="s">
        <v>1833</v>
      </c>
      <c r="AA145" s="2015"/>
      <c r="AB145" s="2015"/>
      <c r="AC145" s="2015"/>
      <c r="AD145" s="2015"/>
      <c r="AE145" s="2015"/>
      <c r="AF145" s="1061">
        <f>SUM(AF143:AF144)</f>
        <v>0.75</v>
      </c>
    </row>
    <row r="146" spans="1:32" x14ac:dyDescent="0.2">
      <c r="A146" s="2012" t="s">
        <v>1859</v>
      </c>
      <c r="B146" s="2012"/>
      <c r="C146" s="2012"/>
      <c r="D146" s="2012"/>
      <c r="E146" s="2012"/>
      <c r="F146" s="2012"/>
      <c r="G146" s="2012"/>
      <c r="H146" s="2012"/>
      <c r="I146" s="2012"/>
      <c r="J146" s="2012"/>
      <c r="K146" s="2012"/>
      <c r="L146" s="2012"/>
      <c r="M146" s="2012"/>
      <c r="N146" s="2012"/>
      <c r="O146" s="2012"/>
      <c r="P146" s="2012"/>
      <c r="Q146" s="2012"/>
      <c r="R146" s="2012"/>
      <c r="S146" s="2012"/>
      <c r="T146" s="2016" t="s">
        <v>1840</v>
      </c>
      <c r="U146" s="2016"/>
      <c r="V146" s="2016"/>
      <c r="W146" s="2016"/>
      <c r="X146" s="2016"/>
      <c r="Y146" s="2016"/>
      <c r="Z146" s="2016"/>
      <c r="AA146" s="2016"/>
      <c r="AB146" s="2012" t="s">
        <v>1852</v>
      </c>
      <c r="AC146" s="2012"/>
      <c r="AD146" s="2012"/>
      <c r="AE146" s="2012"/>
      <c r="AF146" s="2012"/>
    </row>
    <row r="147" spans="1:32" x14ac:dyDescent="0.2">
      <c r="A147" s="2012"/>
      <c r="B147" s="2012"/>
      <c r="C147" s="2012"/>
      <c r="D147" s="2012"/>
      <c r="E147" s="2012"/>
      <c r="F147" s="2012"/>
      <c r="G147" s="2012"/>
      <c r="H147" s="2012"/>
      <c r="I147" s="2012"/>
      <c r="J147" s="2012"/>
      <c r="K147" s="2012"/>
      <c r="L147" s="2012"/>
      <c r="M147" s="2012"/>
      <c r="N147" s="2012"/>
      <c r="O147" s="2012"/>
      <c r="P147" s="2012"/>
      <c r="Q147" s="2012"/>
      <c r="R147" s="2012"/>
      <c r="S147" s="2012"/>
      <c r="T147" s="2016"/>
      <c r="U147" s="2016"/>
      <c r="V147" s="2016"/>
      <c r="W147" s="2016"/>
      <c r="X147" s="2016"/>
      <c r="Y147" s="2016"/>
      <c r="Z147" s="2016"/>
      <c r="AA147" s="2016"/>
      <c r="AB147" s="2012"/>
      <c r="AC147" s="2012"/>
      <c r="AD147" s="2012"/>
      <c r="AE147" s="2012"/>
      <c r="AF147" s="2012"/>
    </row>
    <row r="148" spans="1:32" ht="16.5" thickBot="1" x14ac:dyDescent="0.25">
      <c r="A148" s="1062"/>
      <c r="B148" s="1062"/>
      <c r="C148" s="1062"/>
      <c r="D148" s="1062"/>
      <c r="E148" s="1062"/>
      <c r="F148" s="1062"/>
      <c r="G148" s="1062"/>
      <c r="H148" s="1062"/>
      <c r="I148" s="1062"/>
      <c r="J148" s="1062"/>
      <c r="K148" s="1062"/>
      <c r="L148" s="1062"/>
      <c r="M148" s="1062"/>
      <c r="N148" s="1062"/>
      <c r="O148" s="1062"/>
      <c r="P148" s="1062"/>
      <c r="Q148" s="1062"/>
      <c r="R148" s="1062"/>
      <c r="S148" s="1062"/>
      <c r="T148" s="1063"/>
      <c r="U148" s="1063"/>
      <c r="V148" s="1063"/>
      <c r="W148" s="1063"/>
      <c r="X148" s="1063"/>
      <c r="Y148" s="1063"/>
      <c r="Z148" s="1063"/>
      <c r="AA148" s="1063"/>
      <c r="AB148" s="1062"/>
      <c r="AC148" s="1062"/>
      <c r="AD148" s="1062"/>
      <c r="AE148" s="1064"/>
      <c r="AF148" s="1065"/>
    </row>
    <row r="149" spans="1:32" ht="15.75" x14ac:dyDescent="0.2">
      <c r="A149" s="2025" t="s">
        <v>1854</v>
      </c>
      <c r="B149" s="2026"/>
      <c r="C149" s="2026"/>
      <c r="D149" s="2026"/>
      <c r="E149" s="2026"/>
      <c r="F149" s="2026"/>
      <c r="G149" s="2026"/>
      <c r="H149" s="2026"/>
      <c r="I149" s="2026"/>
      <c r="J149" s="2026"/>
      <c r="K149" s="2026"/>
      <c r="L149" s="2026"/>
      <c r="M149" s="2026"/>
      <c r="N149" s="2026"/>
      <c r="O149" s="2026"/>
      <c r="P149" s="2026"/>
      <c r="Q149" s="2026"/>
      <c r="R149" s="2026"/>
      <c r="S149" s="2026"/>
      <c r="T149" s="2026"/>
      <c r="U149" s="2026"/>
      <c r="V149" s="2026"/>
      <c r="W149" s="2026"/>
      <c r="X149" s="2026"/>
      <c r="Y149" s="2026"/>
      <c r="Z149" s="2026"/>
      <c r="AA149" s="2026"/>
      <c r="AB149" s="2026"/>
      <c r="AC149" s="2026"/>
      <c r="AD149" s="2026"/>
      <c r="AE149" s="1041" t="s">
        <v>1834</v>
      </c>
      <c r="AF149" s="1042" t="s">
        <v>1835</v>
      </c>
    </row>
    <row r="150" spans="1:32" ht="16.5" thickBot="1" x14ac:dyDescent="0.25">
      <c r="A150" s="2027"/>
      <c r="B150" s="2028"/>
      <c r="C150" s="2028"/>
      <c r="D150" s="2028"/>
      <c r="E150" s="2028"/>
      <c r="F150" s="2028"/>
      <c r="G150" s="2028"/>
      <c r="H150" s="2028"/>
      <c r="I150" s="2028"/>
      <c r="J150" s="2028"/>
      <c r="K150" s="2028"/>
      <c r="L150" s="2028"/>
      <c r="M150" s="2028"/>
      <c r="N150" s="2028"/>
      <c r="O150" s="2028"/>
      <c r="P150" s="2028"/>
      <c r="Q150" s="2028"/>
      <c r="R150" s="2028"/>
      <c r="S150" s="2028"/>
      <c r="T150" s="2028"/>
      <c r="U150" s="2028"/>
      <c r="V150" s="2028"/>
      <c r="W150" s="2028"/>
      <c r="X150" s="2028"/>
      <c r="Y150" s="2028"/>
      <c r="Z150" s="2028"/>
      <c r="AA150" s="2028"/>
      <c r="AB150" s="2028"/>
      <c r="AC150" s="2028"/>
      <c r="AD150" s="2028"/>
      <c r="AE150" s="1041" t="s">
        <v>1836</v>
      </c>
      <c r="AF150" s="1044">
        <v>1</v>
      </c>
    </row>
    <row r="151" spans="1:32" ht="15.75" x14ac:dyDescent="0.2">
      <c r="A151" s="2029"/>
      <c r="B151" s="2030"/>
      <c r="C151" s="2030"/>
      <c r="D151" s="2031"/>
      <c r="E151" s="2025" t="str">
        <f>'01'!$A$12</f>
        <v>"CONSTRUCCION SISTEMA DE ACUEDUCTO FASE II DEL MUNICIPIO DE TESALIA DPTO DEL HUILA"</v>
      </c>
      <c r="F151" s="2026"/>
      <c r="G151" s="2026"/>
      <c r="H151" s="2026"/>
      <c r="I151" s="2026"/>
      <c r="J151" s="2026"/>
      <c r="K151" s="2026"/>
      <c r="L151" s="2026"/>
      <c r="M151" s="2026"/>
      <c r="N151" s="2026"/>
      <c r="O151" s="2026"/>
      <c r="P151" s="2026"/>
      <c r="Q151" s="2026"/>
      <c r="R151" s="2026"/>
      <c r="S151" s="2026"/>
      <c r="T151" s="2026"/>
      <c r="U151" s="2026"/>
      <c r="V151" s="2026"/>
      <c r="W151" s="2026"/>
      <c r="X151" s="2026"/>
      <c r="Y151" s="2026"/>
      <c r="Z151" s="2026"/>
      <c r="AA151" s="2026"/>
      <c r="AB151" s="2026"/>
      <c r="AC151" s="2026"/>
      <c r="AD151" s="2035"/>
      <c r="AE151" s="1041" t="s">
        <v>847</v>
      </c>
      <c r="AF151" s="1045">
        <f>'01'!$M$13</f>
        <v>0</v>
      </c>
    </row>
    <row r="152" spans="1:32" ht="16.5" thickBot="1" x14ac:dyDescent="0.25">
      <c r="A152" s="2032"/>
      <c r="B152" s="2033"/>
      <c r="C152" s="2033"/>
      <c r="D152" s="2034"/>
      <c r="E152" s="2027"/>
      <c r="F152" s="2028"/>
      <c r="G152" s="2028"/>
      <c r="H152" s="2028"/>
      <c r="I152" s="2028"/>
      <c r="J152" s="2028"/>
      <c r="K152" s="2028"/>
      <c r="L152" s="2028"/>
      <c r="M152" s="2028"/>
      <c r="N152" s="2028"/>
      <c r="O152" s="2028"/>
      <c r="P152" s="2028"/>
      <c r="Q152" s="2028"/>
      <c r="R152" s="2028"/>
      <c r="S152" s="2028"/>
      <c r="T152" s="2028"/>
      <c r="U152" s="2028"/>
      <c r="V152" s="2028"/>
      <c r="W152" s="2028"/>
      <c r="X152" s="2028"/>
      <c r="Y152" s="2028"/>
      <c r="Z152" s="2028"/>
      <c r="AA152" s="2028"/>
      <c r="AB152" s="2028"/>
      <c r="AC152" s="2028"/>
      <c r="AD152" s="2036"/>
      <c r="AE152" s="1041" t="s">
        <v>1837</v>
      </c>
      <c r="AF152" s="1042" t="s">
        <v>1838</v>
      </c>
    </row>
    <row r="153" spans="1:32" ht="15.75" x14ac:dyDescent="0.25">
      <c r="A153" s="2037" t="s">
        <v>1860</v>
      </c>
      <c r="B153" s="2038"/>
      <c r="C153" s="2038"/>
      <c r="D153" s="2038"/>
      <c r="E153" s="2038"/>
      <c r="F153" s="2038"/>
      <c r="G153" s="2038"/>
      <c r="H153" s="2038"/>
      <c r="I153" s="2038"/>
      <c r="J153" s="2038"/>
      <c r="K153" s="2038"/>
      <c r="L153" s="2038"/>
      <c r="M153" s="2038"/>
      <c r="N153" s="2038"/>
      <c r="O153" s="2038"/>
      <c r="P153" s="2038"/>
      <c r="Q153" s="2038"/>
      <c r="R153" s="2038"/>
      <c r="S153" s="2038"/>
      <c r="T153" s="2038"/>
      <c r="U153" s="2038"/>
      <c r="V153" s="2038"/>
      <c r="W153" s="2038"/>
      <c r="X153" s="2038"/>
      <c r="Y153" s="2038"/>
      <c r="Z153" s="2038"/>
      <c r="AA153" s="2038"/>
      <c r="AB153" s="2038"/>
      <c r="AC153" s="2038"/>
      <c r="AD153" s="2038"/>
      <c r="AE153" s="2039" t="s">
        <v>1839</v>
      </c>
      <c r="AF153" s="2040"/>
    </row>
    <row r="154" spans="1:32" ht="15.75" x14ac:dyDescent="0.25">
      <c r="A154" s="2041" t="s">
        <v>1840</v>
      </c>
      <c r="B154" s="2042"/>
      <c r="C154" s="2042"/>
      <c r="D154" s="2042"/>
      <c r="E154" s="2042"/>
      <c r="F154" s="2042"/>
      <c r="G154" s="2042"/>
      <c r="H154" s="2042"/>
      <c r="I154" s="2042"/>
      <c r="J154" s="2042"/>
      <c r="K154" s="2042"/>
      <c r="L154" s="2042"/>
      <c r="M154" s="2042"/>
      <c r="N154" s="2042"/>
      <c r="O154" s="2042"/>
      <c r="P154" s="2042"/>
      <c r="Q154" s="2042"/>
      <c r="R154" s="2042"/>
      <c r="S154" s="2042"/>
      <c r="T154" s="2042"/>
      <c r="U154" s="2042"/>
      <c r="V154" s="2042"/>
      <c r="W154" s="2042"/>
      <c r="X154" s="2042"/>
      <c r="Y154" s="2042"/>
      <c r="Z154" s="2042"/>
      <c r="AA154" s="2042"/>
      <c r="AB154" s="2042"/>
      <c r="AC154" s="2042"/>
      <c r="AD154" s="2043"/>
      <c r="AE154" s="2014" t="s">
        <v>1841</v>
      </c>
      <c r="AF154" s="2044"/>
    </row>
    <row r="155" spans="1:32" ht="15.75" x14ac:dyDescent="0.25">
      <c r="A155" s="2045" t="s">
        <v>1853</v>
      </c>
      <c r="B155" s="2046"/>
      <c r="C155" s="2046"/>
      <c r="D155" s="2046"/>
      <c r="E155" s="2046"/>
      <c r="F155" s="2046"/>
      <c r="G155" s="2046"/>
      <c r="H155" s="2046"/>
      <c r="I155" s="2046"/>
      <c r="J155" s="2046"/>
      <c r="K155" s="2046"/>
      <c r="L155" s="2046"/>
      <c r="M155" s="2046"/>
      <c r="N155" s="2046"/>
      <c r="O155" s="2046"/>
      <c r="P155" s="2046"/>
      <c r="Q155" s="2046"/>
      <c r="R155" s="2046"/>
      <c r="S155" s="2046"/>
      <c r="T155" s="2046"/>
      <c r="U155" s="2046"/>
      <c r="V155" s="2046"/>
      <c r="W155" s="2046"/>
      <c r="X155" s="2046"/>
      <c r="Y155" s="2046"/>
      <c r="Z155" s="2046"/>
      <c r="AA155" s="2046"/>
      <c r="AB155" s="2046"/>
      <c r="AC155" s="2046"/>
      <c r="AD155" s="2046"/>
      <c r="AE155" s="2047">
        <f>'01'!$M$13</f>
        <v>0</v>
      </c>
      <c r="AF155" s="2044"/>
    </row>
    <row r="156" spans="1:32" x14ac:dyDescent="0.2">
      <c r="A156" s="1046"/>
      <c r="B156" s="1047"/>
      <c r="C156" s="1047"/>
      <c r="D156" s="1047"/>
      <c r="E156" s="1047"/>
      <c r="F156" s="1047"/>
      <c r="G156" s="1047"/>
      <c r="H156" s="1047"/>
      <c r="I156" s="1047"/>
      <c r="J156" s="1047"/>
      <c r="K156" s="1047"/>
      <c r="L156" s="1047"/>
      <c r="M156" s="1047"/>
      <c r="N156" s="1047"/>
      <c r="O156" s="1047"/>
      <c r="P156" s="1047"/>
      <c r="Q156" s="1047"/>
      <c r="R156" s="1047"/>
      <c r="S156" s="1047"/>
      <c r="T156" s="1047"/>
      <c r="U156" s="1047"/>
      <c r="V156" s="1047"/>
      <c r="W156" s="1047"/>
      <c r="X156" s="1047"/>
      <c r="Y156" s="1047"/>
      <c r="Z156" s="1047"/>
      <c r="AA156" s="1047"/>
      <c r="AB156" s="1047"/>
      <c r="AC156" s="1047"/>
      <c r="AD156" s="1047"/>
      <c r="AE156" s="1047"/>
      <c r="AF156" s="1048"/>
    </row>
    <row r="157" spans="1:32" ht="15.75" x14ac:dyDescent="0.2">
      <c r="A157" s="2048" t="s">
        <v>1842</v>
      </c>
      <c r="B157" s="2049"/>
      <c r="C157" s="2049"/>
      <c r="D157" s="2049"/>
      <c r="E157" s="2049"/>
      <c r="F157" s="2050" t="str">
        <f>'01'!$H$16</f>
        <v>A -EMPATE CON LÍNEA DE ADUCCIÓN</v>
      </c>
      <c r="G157" s="2049"/>
      <c r="H157" s="2049"/>
      <c r="I157" s="2049"/>
      <c r="J157" s="2049"/>
      <c r="K157" s="2049"/>
      <c r="L157" s="2049"/>
      <c r="M157" s="2049"/>
      <c r="N157" s="2049"/>
      <c r="O157" s="2049"/>
      <c r="P157" s="2049"/>
      <c r="Q157" s="2049"/>
      <c r="R157" s="2049"/>
      <c r="S157" s="2049"/>
      <c r="T157" s="2049"/>
      <c r="U157" s="2049"/>
      <c r="V157" s="2049"/>
      <c r="W157" s="2049"/>
      <c r="X157" s="2049"/>
      <c r="Y157" s="2051"/>
      <c r="Z157" s="2052" t="s">
        <v>1843</v>
      </c>
      <c r="AA157" s="2053"/>
      <c r="AB157" s="2058" t="s">
        <v>1844</v>
      </c>
      <c r="AC157" s="2059"/>
      <c r="AD157" s="2060"/>
      <c r="AE157" s="2064" t="s">
        <v>1845</v>
      </c>
      <c r="AF157" s="2067" t="s">
        <v>1846</v>
      </c>
    </row>
    <row r="158" spans="1:32" x14ac:dyDescent="0.2">
      <c r="A158" s="2070" t="str">
        <f>'01'!A24</f>
        <v>A-03-03</v>
      </c>
      <c r="B158" s="2071"/>
      <c r="C158" s="2072"/>
      <c r="D158" s="2076" t="str">
        <f>VLOOKUP(A158,'01'!$A$12:$N$299,3,FALSE)</f>
        <v>RELLENO CON MATERIAL SELECCIONADO DE LA EXCAVACIÓN, COMPACTADO CON EQUIPO MECÁNICO EN CAPAS DE 0,20 m</v>
      </c>
      <c r="E158" s="2077"/>
      <c r="F158" s="2077"/>
      <c r="G158" s="2077"/>
      <c r="H158" s="2077"/>
      <c r="I158" s="2077"/>
      <c r="J158" s="2077"/>
      <c r="K158" s="2077"/>
      <c r="L158" s="2077"/>
      <c r="M158" s="2077"/>
      <c r="N158" s="2077"/>
      <c r="O158" s="2077"/>
      <c r="P158" s="2077"/>
      <c r="Q158" s="2077"/>
      <c r="R158" s="2077"/>
      <c r="S158" s="2078"/>
      <c r="T158" s="2082" t="s">
        <v>124</v>
      </c>
      <c r="U158" s="2083"/>
      <c r="V158" s="2083"/>
      <c r="W158" s="2083"/>
      <c r="X158" s="2052" t="str">
        <f>VLOOKUP(A158,'01'!$A$12:$N$299,9,FALSE)</f>
        <v>M3</v>
      </c>
      <c r="Y158" s="2053"/>
      <c r="Z158" s="2054"/>
      <c r="AA158" s="2055"/>
      <c r="AB158" s="2061"/>
      <c r="AC158" s="2062"/>
      <c r="AD158" s="2063"/>
      <c r="AE158" s="2065"/>
      <c r="AF158" s="2068"/>
    </row>
    <row r="159" spans="1:32" ht="15.75" x14ac:dyDescent="0.25">
      <c r="A159" s="2073"/>
      <c r="B159" s="2074"/>
      <c r="C159" s="2075"/>
      <c r="D159" s="2079"/>
      <c r="E159" s="2080"/>
      <c r="F159" s="2080"/>
      <c r="G159" s="2080"/>
      <c r="H159" s="2080"/>
      <c r="I159" s="2080"/>
      <c r="J159" s="2080"/>
      <c r="K159" s="2080"/>
      <c r="L159" s="2080"/>
      <c r="M159" s="2080"/>
      <c r="N159" s="2080"/>
      <c r="O159" s="2080"/>
      <c r="P159" s="2080"/>
      <c r="Q159" s="2080"/>
      <c r="R159" s="2080"/>
      <c r="S159" s="2081"/>
      <c r="T159" s="2084"/>
      <c r="U159" s="2085"/>
      <c r="V159" s="2085"/>
      <c r="W159" s="2085"/>
      <c r="X159" s="2056"/>
      <c r="Y159" s="2057"/>
      <c r="Z159" s="2056"/>
      <c r="AA159" s="2057"/>
      <c r="AB159" s="1049" t="s">
        <v>1847</v>
      </c>
      <c r="AC159" s="1049" t="s">
        <v>1848</v>
      </c>
      <c r="AD159" s="1049" t="s">
        <v>2159</v>
      </c>
      <c r="AE159" s="2066"/>
      <c r="AF159" s="2069"/>
    </row>
    <row r="160" spans="1:32" ht="15.75" x14ac:dyDescent="0.25">
      <c r="A160" s="2017"/>
      <c r="B160" s="2018"/>
      <c r="C160" s="2018"/>
      <c r="D160" s="2018"/>
      <c r="E160" s="2018"/>
      <c r="F160" s="2018"/>
      <c r="G160" s="2018"/>
      <c r="H160" s="2018"/>
      <c r="I160" s="2018"/>
      <c r="J160" s="2018"/>
      <c r="K160" s="2018"/>
      <c r="L160" s="2018"/>
      <c r="M160" s="2018"/>
      <c r="N160" s="2018"/>
      <c r="O160" s="2018"/>
      <c r="P160" s="2018"/>
      <c r="Q160" s="2018"/>
      <c r="R160" s="2018"/>
      <c r="S160" s="2018"/>
      <c r="T160" s="2018"/>
      <c r="U160" s="2018"/>
      <c r="V160" s="2018"/>
      <c r="W160" s="2018"/>
      <c r="X160" s="2018"/>
      <c r="Y160" s="2094"/>
      <c r="Z160" s="2096" t="s">
        <v>2157</v>
      </c>
      <c r="AA160" s="2097"/>
      <c r="AB160" s="1050">
        <f>AB123</f>
        <v>5</v>
      </c>
      <c r="AC160" s="1050">
        <f>+AC123</f>
        <v>1</v>
      </c>
      <c r="AD160" s="1050">
        <f>AD49-AD86-AD123</f>
        <v>0.6</v>
      </c>
      <c r="AE160" s="1051">
        <v>1</v>
      </c>
      <c r="AF160" s="1052">
        <f>AD160*AC160*AB160</f>
        <v>3</v>
      </c>
    </row>
    <row r="161" spans="1:32" ht="15.75" x14ac:dyDescent="0.25">
      <c r="A161" s="2017"/>
      <c r="B161" s="2018"/>
      <c r="C161" s="2018"/>
      <c r="D161" s="2018"/>
      <c r="E161" s="2018"/>
      <c r="F161" s="2018"/>
      <c r="G161" s="2018"/>
      <c r="H161" s="2018"/>
      <c r="I161" s="2018"/>
      <c r="J161" s="2018"/>
      <c r="K161" s="2018"/>
      <c r="L161" s="2018"/>
      <c r="M161" s="2018"/>
      <c r="N161" s="2018"/>
      <c r="O161" s="2018"/>
      <c r="P161" s="2018"/>
      <c r="Q161" s="2018"/>
      <c r="R161" s="2018"/>
      <c r="S161" s="2018"/>
      <c r="T161" s="2018"/>
      <c r="U161" s="2018"/>
      <c r="V161" s="2018"/>
      <c r="W161" s="2018"/>
      <c r="X161" s="2018"/>
      <c r="Y161" s="2094"/>
      <c r="Z161" s="2096"/>
      <c r="AA161" s="2097"/>
      <c r="AB161" s="1053"/>
      <c r="AC161" s="1053"/>
      <c r="AD161" s="1050"/>
      <c r="AE161" s="1051"/>
      <c r="AF161" s="1052"/>
    </row>
    <row r="162" spans="1:32" ht="15.75" x14ac:dyDescent="0.25">
      <c r="A162" s="2017"/>
      <c r="B162" s="2018"/>
      <c r="C162" s="2018"/>
      <c r="D162" s="2018"/>
      <c r="E162" s="2018"/>
      <c r="F162" s="2018"/>
      <c r="G162" s="2018"/>
      <c r="H162" s="2018"/>
      <c r="I162" s="2018"/>
      <c r="J162" s="2018"/>
      <c r="K162" s="2018"/>
      <c r="L162" s="2018"/>
      <c r="M162" s="2018"/>
      <c r="N162" s="2018"/>
      <c r="O162" s="2018"/>
      <c r="P162" s="2018"/>
      <c r="Q162" s="2018"/>
      <c r="R162" s="2018"/>
      <c r="S162" s="2018"/>
      <c r="T162" s="2018"/>
      <c r="U162" s="2018"/>
      <c r="V162" s="2018"/>
      <c r="W162" s="2018"/>
      <c r="X162" s="2018"/>
      <c r="Y162" s="2094"/>
      <c r="Z162" s="2096"/>
      <c r="AA162" s="2097"/>
      <c r="AB162" s="1053"/>
      <c r="AC162" s="1053"/>
      <c r="AD162" s="1050"/>
      <c r="AE162" s="1051"/>
      <c r="AF162" s="1052"/>
    </row>
    <row r="163" spans="1:32" ht="15.75" x14ac:dyDescent="0.25">
      <c r="A163" s="2017"/>
      <c r="B163" s="2018"/>
      <c r="C163" s="2018"/>
      <c r="D163" s="2018"/>
      <c r="E163" s="2018"/>
      <c r="F163" s="2018"/>
      <c r="G163" s="2018"/>
      <c r="H163" s="2018"/>
      <c r="I163" s="2018"/>
      <c r="J163" s="2018"/>
      <c r="K163" s="2018"/>
      <c r="L163" s="2018"/>
      <c r="M163" s="2018"/>
      <c r="N163" s="2018"/>
      <c r="O163" s="2018"/>
      <c r="P163" s="2018"/>
      <c r="Q163" s="2018"/>
      <c r="R163" s="2018"/>
      <c r="S163" s="2018"/>
      <c r="T163" s="2018"/>
      <c r="U163" s="2018"/>
      <c r="V163" s="2018"/>
      <c r="W163" s="2018"/>
      <c r="X163" s="2018"/>
      <c r="Y163" s="2094"/>
      <c r="Z163" s="2096"/>
      <c r="AA163" s="2097"/>
      <c r="AB163" s="1053"/>
      <c r="AC163" s="1053"/>
      <c r="AD163" s="1050"/>
      <c r="AE163" s="1051"/>
      <c r="AF163" s="1052"/>
    </row>
    <row r="164" spans="1:32" ht="15.75" x14ac:dyDescent="0.25">
      <c r="A164" s="2017"/>
      <c r="B164" s="2018"/>
      <c r="C164" s="2018"/>
      <c r="D164" s="2018"/>
      <c r="E164" s="2018"/>
      <c r="F164" s="2018"/>
      <c r="G164" s="2018"/>
      <c r="H164" s="2018"/>
      <c r="I164" s="2018"/>
      <c r="J164" s="2018"/>
      <c r="K164" s="2018"/>
      <c r="L164" s="2018"/>
      <c r="M164" s="2018"/>
      <c r="N164" s="2018"/>
      <c r="O164" s="2018"/>
      <c r="P164" s="2018"/>
      <c r="Q164" s="2018"/>
      <c r="R164" s="2018"/>
      <c r="S164" s="2018"/>
      <c r="T164" s="2018"/>
      <c r="U164" s="2018"/>
      <c r="V164" s="2018"/>
      <c r="W164" s="2018"/>
      <c r="X164" s="2018"/>
      <c r="Y164" s="2094"/>
      <c r="Z164" s="2096"/>
      <c r="AA164" s="2097"/>
      <c r="AB164" s="1053"/>
      <c r="AC164" s="1053"/>
      <c r="AD164" s="1050"/>
      <c r="AE164" s="1051"/>
      <c r="AF164" s="1052"/>
    </row>
    <row r="165" spans="1:32" ht="15.75" x14ac:dyDescent="0.25">
      <c r="A165" s="2017"/>
      <c r="B165" s="2018"/>
      <c r="C165" s="2018"/>
      <c r="D165" s="2018"/>
      <c r="E165" s="2018"/>
      <c r="F165" s="2018"/>
      <c r="G165" s="2018"/>
      <c r="H165" s="2018"/>
      <c r="I165" s="2018"/>
      <c r="J165" s="2018"/>
      <c r="K165" s="2018"/>
      <c r="L165" s="2018"/>
      <c r="M165" s="2018"/>
      <c r="N165" s="2018"/>
      <c r="O165" s="2018"/>
      <c r="P165" s="2018"/>
      <c r="Q165" s="2018"/>
      <c r="R165" s="2018"/>
      <c r="S165" s="2018"/>
      <c r="T165" s="2018"/>
      <c r="U165" s="2018"/>
      <c r="V165" s="2018"/>
      <c r="W165" s="2018"/>
      <c r="X165" s="2018"/>
      <c r="Y165" s="2094"/>
      <c r="Z165" s="2096"/>
      <c r="AA165" s="2097"/>
      <c r="AB165" s="1053"/>
      <c r="AC165" s="1053"/>
      <c r="AD165" s="1053"/>
      <c r="AE165" s="1051"/>
      <c r="AF165" s="1052"/>
    </row>
    <row r="166" spans="1:32" ht="15.75" x14ac:dyDescent="0.25">
      <c r="A166" s="2017"/>
      <c r="B166" s="2018"/>
      <c r="C166" s="2018"/>
      <c r="D166" s="2018"/>
      <c r="E166" s="2018"/>
      <c r="F166" s="2018"/>
      <c r="G166" s="2018"/>
      <c r="H166" s="2018"/>
      <c r="I166" s="2018"/>
      <c r="J166" s="2018"/>
      <c r="K166" s="2018"/>
      <c r="L166" s="2018"/>
      <c r="M166" s="2018"/>
      <c r="N166" s="2018"/>
      <c r="O166" s="2018"/>
      <c r="P166" s="2018"/>
      <c r="Q166" s="2018"/>
      <c r="R166" s="2018"/>
      <c r="S166" s="2018"/>
      <c r="T166" s="2018"/>
      <c r="U166" s="2018"/>
      <c r="V166" s="2018"/>
      <c r="W166" s="2018"/>
      <c r="X166" s="2018"/>
      <c r="Y166" s="2094"/>
      <c r="Z166" s="2096"/>
      <c r="AA166" s="2097"/>
      <c r="AB166" s="1053"/>
      <c r="AC166" s="1053"/>
      <c r="AD166" s="1053"/>
      <c r="AE166" s="1051"/>
      <c r="AF166" s="1052"/>
    </row>
    <row r="167" spans="1:32" ht="15.75" x14ac:dyDescent="0.25">
      <c r="A167" s="2017"/>
      <c r="B167" s="2018"/>
      <c r="C167" s="2018"/>
      <c r="D167" s="2018"/>
      <c r="E167" s="2018"/>
      <c r="F167" s="2018"/>
      <c r="G167" s="2018"/>
      <c r="H167" s="2018"/>
      <c r="I167" s="2018"/>
      <c r="J167" s="2018"/>
      <c r="K167" s="2018"/>
      <c r="L167" s="2018"/>
      <c r="M167" s="2018"/>
      <c r="N167" s="2018"/>
      <c r="O167" s="2018"/>
      <c r="P167" s="2018"/>
      <c r="Q167" s="2018"/>
      <c r="R167" s="2018"/>
      <c r="S167" s="2018"/>
      <c r="T167" s="2018"/>
      <c r="U167" s="2018"/>
      <c r="V167" s="2018"/>
      <c r="W167" s="2018"/>
      <c r="X167" s="2018"/>
      <c r="Y167" s="2094"/>
      <c r="Z167" s="2096"/>
      <c r="AA167" s="2097"/>
      <c r="AB167" s="1053"/>
      <c r="AC167" s="1053"/>
      <c r="AD167" s="1053"/>
      <c r="AE167" s="1051"/>
      <c r="AF167" s="1052"/>
    </row>
    <row r="168" spans="1:32" ht="15.75" x14ac:dyDescent="0.25">
      <c r="A168" s="2017"/>
      <c r="B168" s="2018"/>
      <c r="C168" s="2018"/>
      <c r="D168" s="2018"/>
      <c r="E168" s="2018"/>
      <c r="F168" s="2018"/>
      <c r="G168" s="2018"/>
      <c r="H168" s="2018"/>
      <c r="I168" s="2018"/>
      <c r="J168" s="2018"/>
      <c r="K168" s="2018"/>
      <c r="L168" s="2018"/>
      <c r="M168" s="2018"/>
      <c r="N168" s="2018"/>
      <c r="O168" s="2018"/>
      <c r="P168" s="2018"/>
      <c r="Q168" s="2018"/>
      <c r="R168" s="2018"/>
      <c r="S168" s="2018"/>
      <c r="T168" s="2018"/>
      <c r="U168" s="2018"/>
      <c r="V168" s="2018"/>
      <c r="W168" s="2018"/>
      <c r="X168" s="2018"/>
      <c r="Y168" s="2094"/>
      <c r="Z168" s="2096"/>
      <c r="AA168" s="2097"/>
      <c r="AB168" s="1053"/>
      <c r="AC168" s="1053"/>
      <c r="AD168" s="1053"/>
      <c r="AE168" s="1050"/>
      <c r="AF168" s="1054"/>
    </row>
    <row r="169" spans="1:32" ht="15.75" x14ac:dyDescent="0.25">
      <c r="A169" s="2017"/>
      <c r="B169" s="2018"/>
      <c r="C169" s="2018"/>
      <c r="D169" s="2018"/>
      <c r="E169" s="2018"/>
      <c r="F169" s="2018"/>
      <c r="G169" s="2018"/>
      <c r="H169" s="2018"/>
      <c r="I169" s="2018"/>
      <c r="J169" s="2018"/>
      <c r="K169" s="2018"/>
      <c r="L169" s="2018"/>
      <c r="M169" s="2018"/>
      <c r="N169" s="2018"/>
      <c r="O169" s="2018"/>
      <c r="P169" s="2018"/>
      <c r="Q169" s="2018"/>
      <c r="R169" s="2018"/>
      <c r="S169" s="2018"/>
      <c r="T169" s="2018"/>
      <c r="U169" s="2018"/>
      <c r="V169" s="2018"/>
      <c r="W169" s="2018"/>
      <c r="X169" s="2018"/>
      <c r="Y169" s="2094"/>
      <c r="Z169" s="2096"/>
      <c r="AA169" s="2097"/>
      <c r="AB169" s="1053"/>
      <c r="AC169" s="1053"/>
      <c r="AD169" s="1053"/>
      <c r="AE169" s="1051"/>
      <c r="AF169" s="1054"/>
    </row>
    <row r="170" spans="1:32" ht="15.75" x14ac:dyDescent="0.25">
      <c r="A170" s="2017"/>
      <c r="B170" s="2018"/>
      <c r="C170" s="2018"/>
      <c r="D170" s="2018"/>
      <c r="E170" s="2018"/>
      <c r="F170" s="2018"/>
      <c r="G170" s="2018"/>
      <c r="H170" s="2018"/>
      <c r="I170" s="2018"/>
      <c r="J170" s="2018"/>
      <c r="K170" s="2018"/>
      <c r="L170" s="2018"/>
      <c r="M170" s="2018"/>
      <c r="N170" s="2018"/>
      <c r="O170" s="2018"/>
      <c r="P170" s="2018"/>
      <c r="Q170" s="2018"/>
      <c r="R170" s="2018"/>
      <c r="S170" s="2018"/>
      <c r="T170" s="2018"/>
      <c r="U170" s="2018"/>
      <c r="V170" s="2018"/>
      <c r="W170" s="2018"/>
      <c r="X170" s="2018"/>
      <c r="Y170" s="2094"/>
      <c r="Z170" s="2096"/>
      <c r="AA170" s="2097"/>
      <c r="AB170" s="1053"/>
      <c r="AC170" s="1053"/>
      <c r="AD170" s="1053"/>
      <c r="AE170" s="1051"/>
      <c r="AF170" s="1054"/>
    </row>
    <row r="171" spans="1:32" ht="15.75" x14ac:dyDescent="0.25">
      <c r="A171" s="2017"/>
      <c r="B171" s="2018"/>
      <c r="C171" s="2018"/>
      <c r="D171" s="2018"/>
      <c r="E171" s="2018"/>
      <c r="F171" s="2018"/>
      <c r="G171" s="2018"/>
      <c r="H171" s="2018"/>
      <c r="I171" s="2018"/>
      <c r="J171" s="2018"/>
      <c r="K171" s="2018"/>
      <c r="L171" s="2018"/>
      <c r="M171" s="2018"/>
      <c r="N171" s="2018"/>
      <c r="O171" s="2018"/>
      <c r="P171" s="2018"/>
      <c r="Q171" s="2018"/>
      <c r="R171" s="2018"/>
      <c r="S171" s="2018"/>
      <c r="T171" s="2018"/>
      <c r="U171" s="2018"/>
      <c r="V171" s="2018"/>
      <c r="W171" s="2018"/>
      <c r="X171" s="2018"/>
      <c r="Y171" s="2094"/>
      <c r="Z171" s="2096"/>
      <c r="AA171" s="2097"/>
      <c r="AB171" s="1053"/>
      <c r="AC171" s="1053"/>
      <c r="AD171" s="1053"/>
      <c r="AE171" s="1051"/>
      <c r="AF171" s="1054"/>
    </row>
    <row r="172" spans="1:32" ht="15.75" x14ac:dyDescent="0.25">
      <c r="A172" s="2017"/>
      <c r="B172" s="2018"/>
      <c r="C172" s="2018"/>
      <c r="D172" s="2018"/>
      <c r="E172" s="2018"/>
      <c r="F172" s="2018"/>
      <c r="G172" s="2018"/>
      <c r="H172" s="2018"/>
      <c r="I172" s="2018"/>
      <c r="J172" s="2018"/>
      <c r="K172" s="2018"/>
      <c r="L172" s="2018"/>
      <c r="M172" s="2018"/>
      <c r="N172" s="2018"/>
      <c r="O172" s="2018"/>
      <c r="P172" s="2018"/>
      <c r="Q172" s="2018"/>
      <c r="R172" s="2018"/>
      <c r="S172" s="2018"/>
      <c r="T172" s="2018"/>
      <c r="U172" s="2018"/>
      <c r="V172" s="2018"/>
      <c r="W172" s="2018"/>
      <c r="X172" s="2018"/>
      <c r="Y172" s="2094"/>
      <c r="Z172" s="2096"/>
      <c r="AA172" s="2097"/>
      <c r="AB172" s="1053"/>
      <c r="AC172" s="1053"/>
      <c r="AD172" s="1053"/>
      <c r="AE172" s="1051"/>
      <c r="AF172" s="1054"/>
    </row>
    <row r="173" spans="1:32" ht="15.75" x14ac:dyDescent="0.25">
      <c r="A173" s="2017"/>
      <c r="B173" s="2018"/>
      <c r="C173" s="2018"/>
      <c r="D173" s="2018"/>
      <c r="E173" s="2018"/>
      <c r="F173" s="2018"/>
      <c r="G173" s="2018"/>
      <c r="H173" s="2018"/>
      <c r="I173" s="2018"/>
      <c r="J173" s="2018"/>
      <c r="K173" s="2018"/>
      <c r="L173" s="2018"/>
      <c r="M173" s="2018"/>
      <c r="N173" s="2018"/>
      <c r="O173" s="2018"/>
      <c r="P173" s="2018"/>
      <c r="Q173" s="2018"/>
      <c r="R173" s="2018"/>
      <c r="S173" s="2018"/>
      <c r="T173" s="2018"/>
      <c r="U173" s="2018"/>
      <c r="V173" s="2018"/>
      <c r="W173" s="2018"/>
      <c r="X173" s="2018"/>
      <c r="Y173" s="2094"/>
      <c r="Z173" s="2096"/>
      <c r="AA173" s="2097"/>
      <c r="AB173" s="1053"/>
      <c r="AC173" s="1053"/>
      <c r="AD173" s="1053"/>
      <c r="AE173" s="1051"/>
      <c r="AF173" s="1054"/>
    </row>
    <row r="174" spans="1:32" ht="15.75" x14ac:dyDescent="0.25">
      <c r="A174" s="2017"/>
      <c r="B174" s="2018"/>
      <c r="C174" s="2018"/>
      <c r="D174" s="2018"/>
      <c r="E174" s="2018"/>
      <c r="F174" s="2018"/>
      <c r="G174" s="2018"/>
      <c r="H174" s="2018"/>
      <c r="I174" s="2018"/>
      <c r="J174" s="2018"/>
      <c r="K174" s="2018"/>
      <c r="L174" s="2018"/>
      <c r="M174" s="2018"/>
      <c r="N174" s="2018"/>
      <c r="O174" s="2018"/>
      <c r="P174" s="2018"/>
      <c r="Q174" s="2018"/>
      <c r="R174" s="2018"/>
      <c r="S174" s="2018"/>
      <c r="T174" s="2018"/>
      <c r="U174" s="2018"/>
      <c r="V174" s="2018"/>
      <c r="W174" s="2018"/>
      <c r="X174" s="2018"/>
      <c r="Y174" s="2094"/>
      <c r="Z174" s="2096"/>
      <c r="AA174" s="2097"/>
      <c r="AB174" s="1055"/>
      <c r="AC174" s="1055"/>
      <c r="AD174" s="1055"/>
      <c r="AE174" s="1051"/>
      <c r="AF174" s="1056"/>
    </row>
    <row r="175" spans="1:32" ht="15.75" x14ac:dyDescent="0.25">
      <c r="A175" s="2017"/>
      <c r="B175" s="2018"/>
      <c r="C175" s="2018"/>
      <c r="D175" s="2018"/>
      <c r="E175" s="2018"/>
      <c r="F175" s="2018"/>
      <c r="G175" s="2018"/>
      <c r="H175" s="2018"/>
      <c r="I175" s="2018"/>
      <c r="J175" s="2018"/>
      <c r="K175" s="2018"/>
      <c r="L175" s="2018"/>
      <c r="M175" s="2018"/>
      <c r="N175" s="2018"/>
      <c r="O175" s="2018"/>
      <c r="P175" s="2018"/>
      <c r="Q175" s="2018"/>
      <c r="R175" s="2018"/>
      <c r="S175" s="2018"/>
      <c r="T175" s="2018"/>
      <c r="U175" s="2018"/>
      <c r="V175" s="2018"/>
      <c r="W175" s="2018"/>
      <c r="X175" s="2018"/>
      <c r="Y175" s="2094"/>
      <c r="Z175" s="2096"/>
      <c r="AA175" s="2097"/>
      <c r="AB175" s="1055"/>
      <c r="AC175" s="1055"/>
      <c r="AD175" s="1055"/>
      <c r="AE175" s="1055"/>
      <c r="AF175" s="1056"/>
    </row>
    <row r="176" spans="1:32" ht="15.75" x14ac:dyDescent="0.25">
      <c r="A176" s="2017"/>
      <c r="B176" s="2018"/>
      <c r="C176" s="2018"/>
      <c r="D176" s="2018"/>
      <c r="E176" s="2018"/>
      <c r="F176" s="2018"/>
      <c r="G176" s="2018"/>
      <c r="H176" s="2018"/>
      <c r="I176" s="2018"/>
      <c r="J176" s="2018"/>
      <c r="K176" s="2018"/>
      <c r="L176" s="2018"/>
      <c r="M176" s="2018"/>
      <c r="N176" s="2018"/>
      <c r="O176" s="2018"/>
      <c r="P176" s="2018"/>
      <c r="Q176" s="2018"/>
      <c r="R176" s="2018"/>
      <c r="S176" s="2018"/>
      <c r="T176" s="2018"/>
      <c r="U176" s="2018"/>
      <c r="V176" s="2018"/>
      <c r="W176" s="2018"/>
      <c r="X176" s="2018"/>
      <c r="Y176" s="2094"/>
      <c r="Z176" s="2096"/>
      <c r="AA176" s="2097"/>
      <c r="AB176" s="1055"/>
      <c r="AC176" s="1055"/>
      <c r="AD176" s="1055"/>
      <c r="AE176" s="1055"/>
      <c r="AF176" s="1056"/>
    </row>
    <row r="177" spans="1:32" ht="15.75" x14ac:dyDescent="0.25">
      <c r="A177" s="2017"/>
      <c r="B177" s="2018"/>
      <c r="C177" s="2018"/>
      <c r="D177" s="2018"/>
      <c r="E177" s="2018"/>
      <c r="F177" s="2018"/>
      <c r="G177" s="2018"/>
      <c r="H177" s="2018"/>
      <c r="I177" s="2018"/>
      <c r="J177" s="2018"/>
      <c r="K177" s="2018"/>
      <c r="L177" s="2018"/>
      <c r="M177" s="2018"/>
      <c r="N177" s="2018"/>
      <c r="O177" s="2018"/>
      <c r="P177" s="2018"/>
      <c r="Q177" s="2018"/>
      <c r="R177" s="2018"/>
      <c r="S177" s="2018"/>
      <c r="T177" s="2018"/>
      <c r="U177" s="2018"/>
      <c r="V177" s="2018"/>
      <c r="W177" s="2018"/>
      <c r="X177" s="2018"/>
      <c r="Y177" s="2094"/>
      <c r="Z177" s="2096"/>
      <c r="AA177" s="2097"/>
      <c r="AB177" s="1055"/>
      <c r="AC177" s="1055"/>
      <c r="AD177" s="1055"/>
      <c r="AE177" s="1055"/>
      <c r="AF177" s="1056"/>
    </row>
    <row r="178" spans="1:32" ht="15.75" x14ac:dyDescent="0.25">
      <c r="A178" s="2017"/>
      <c r="B178" s="2018"/>
      <c r="C178" s="2018"/>
      <c r="D178" s="2018"/>
      <c r="E178" s="2018"/>
      <c r="F178" s="2018"/>
      <c r="G178" s="2018"/>
      <c r="H178" s="2018"/>
      <c r="I178" s="2018"/>
      <c r="J178" s="2018"/>
      <c r="K178" s="2018"/>
      <c r="L178" s="2018"/>
      <c r="M178" s="2018"/>
      <c r="N178" s="2018"/>
      <c r="O178" s="2018"/>
      <c r="P178" s="2018"/>
      <c r="Q178" s="2018"/>
      <c r="R178" s="2018"/>
      <c r="S178" s="2018"/>
      <c r="T178" s="2018"/>
      <c r="U178" s="2018"/>
      <c r="V178" s="2018"/>
      <c r="W178" s="2018"/>
      <c r="X178" s="2018"/>
      <c r="Y178" s="2094"/>
      <c r="Z178" s="2096"/>
      <c r="AA178" s="2097"/>
      <c r="AB178" s="1055"/>
      <c r="AC178" s="1055"/>
      <c r="AD178" s="1055"/>
      <c r="AE178" s="1055"/>
      <c r="AF178" s="1056"/>
    </row>
    <row r="179" spans="1:32" ht="16.5" thickBot="1" x14ac:dyDescent="0.3">
      <c r="A179" s="2019"/>
      <c r="B179" s="2020"/>
      <c r="C179" s="2020"/>
      <c r="D179" s="2020"/>
      <c r="E179" s="2020"/>
      <c r="F179" s="2020"/>
      <c r="G179" s="2020"/>
      <c r="H179" s="2020"/>
      <c r="I179" s="2020"/>
      <c r="J179" s="2020"/>
      <c r="K179" s="2020"/>
      <c r="L179" s="2020"/>
      <c r="M179" s="2020"/>
      <c r="N179" s="2020"/>
      <c r="O179" s="2020"/>
      <c r="P179" s="2020"/>
      <c r="Q179" s="2020"/>
      <c r="R179" s="2020"/>
      <c r="S179" s="2020"/>
      <c r="T179" s="2020"/>
      <c r="U179" s="2020"/>
      <c r="V179" s="2020"/>
      <c r="W179" s="2020"/>
      <c r="X179" s="2020"/>
      <c r="Y179" s="2095"/>
      <c r="Z179" s="2098"/>
      <c r="AA179" s="2099"/>
      <c r="AB179" s="1057"/>
      <c r="AC179" s="1057"/>
      <c r="AD179" s="1057"/>
      <c r="AE179" s="1057"/>
      <c r="AF179" s="1058"/>
    </row>
    <row r="180" spans="1:32" ht="15.75" x14ac:dyDescent="0.25">
      <c r="A180" s="2009" t="s">
        <v>2158</v>
      </c>
      <c r="B180" s="2010"/>
      <c r="C180" s="2010"/>
      <c r="D180" s="2010"/>
      <c r="E180" s="2010"/>
      <c r="F180" s="2010"/>
      <c r="G180" s="2010"/>
      <c r="H180" s="2010"/>
      <c r="I180" s="2010"/>
      <c r="J180" s="2010"/>
      <c r="K180" s="2010"/>
      <c r="L180" s="2010"/>
      <c r="M180" s="2010"/>
      <c r="N180" s="2010"/>
      <c r="O180" s="2010"/>
      <c r="P180" s="2010"/>
      <c r="Q180" s="2010"/>
      <c r="R180" s="2010"/>
      <c r="S180" s="2010"/>
      <c r="T180" s="2010"/>
      <c r="U180" s="2010"/>
      <c r="V180" s="2010"/>
      <c r="W180" s="2010"/>
      <c r="X180" s="2010"/>
      <c r="Y180" s="2010"/>
      <c r="Z180" s="2013" t="s">
        <v>1850</v>
      </c>
      <c r="AA180" s="2013"/>
      <c r="AB180" s="2013"/>
      <c r="AC180" s="2013"/>
      <c r="AD180" s="2013"/>
      <c r="AE180" s="2013"/>
      <c r="AF180" s="1059">
        <f>SUM(AF160:AF179)</f>
        <v>3</v>
      </c>
    </row>
    <row r="181" spans="1:32" ht="15.75" x14ac:dyDescent="0.25">
      <c r="A181" s="2011"/>
      <c r="B181" s="2012"/>
      <c r="C181" s="2012"/>
      <c r="D181" s="2012"/>
      <c r="E181" s="2012"/>
      <c r="F181" s="2012"/>
      <c r="G181" s="2012"/>
      <c r="H181" s="2012"/>
      <c r="I181" s="2012"/>
      <c r="J181" s="2012"/>
      <c r="K181" s="2012"/>
      <c r="L181" s="2012"/>
      <c r="M181" s="2012"/>
      <c r="N181" s="2012"/>
      <c r="O181" s="2012"/>
      <c r="P181" s="2012"/>
      <c r="Q181" s="2012"/>
      <c r="R181" s="2012"/>
      <c r="S181" s="2012"/>
      <c r="T181" s="2012"/>
      <c r="U181" s="2012"/>
      <c r="V181" s="2012"/>
      <c r="W181" s="2012"/>
      <c r="X181" s="2012"/>
      <c r="Y181" s="2012"/>
      <c r="Z181" s="2014" t="s">
        <v>1851</v>
      </c>
      <c r="AA181" s="2014"/>
      <c r="AB181" s="2014"/>
      <c r="AC181" s="2014"/>
      <c r="AD181" s="2014"/>
      <c r="AE181" s="2014"/>
      <c r="AF181" s="1060">
        <v>0</v>
      </c>
    </row>
    <row r="182" spans="1:32" ht="15.75" x14ac:dyDescent="0.25">
      <c r="A182" s="2011"/>
      <c r="B182" s="2012"/>
      <c r="C182" s="2012"/>
      <c r="D182" s="2012"/>
      <c r="E182" s="2012"/>
      <c r="F182" s="2012"/>
      <c r="G182" s="2012"/>
      <c r="H182" s="2012"/>
      <c r="I182" s="2012"/>
      <c r="J182" s="2012"/>
      <c r="K182" s="2012"/>
      <c r="L182" s="2012"/>
      <c r="M182" s="2012"/>
      <c r="N182" s="2012"/>
      <c r="O182" s="2012"/>
      <c r="P182" s="2012"/>
      <c r="Q182" s="2012"/>
      <c r="R182" s="2012"/>
      <c r="S182" s="2012"/>
      <c r="T182" s="2012"/>
      <c r="U182" s="2012"/>
      <c r="V182" s="2012"/>
      <c r="W182" s="2012"/>
      <c r="X182" s="2012"/>
      <c r="Y182" s="2012"/>
      <c r="Z182" s="2015" t="s">
        <v>1833</v>
      </c>
      <c r="AA182" s="2015"/>
      <c r="AB182" s="2015"/>
      <c r="AC182" s="2015"/>
      <c r="AD182" s="2015"/>
      <c r="AE182" s="2015"/>
      <c r="AF182" s="1061">
        <f>SUM(AF180:AF181)</f>
        <v>3</v>
      </c>
    </row>
    <row r="183" spans="1:32" x14ac:dyDescent="0.2">
      <c r="A183" s="2012" t="s">
        <v>1859</v>
      </c>
      <c r="B183" s="2012"/>
      <c r="C183" s="2012"/>
      <c r="D183" s="2012"/>
      <c r="E183" s="2012"/>
      <c r="F183" s="2012"/>
      <c r="G183" s="2012"/>
      <c r="H183" s="2012"/>
      <c r="I183" s="2012"/>
      <c r="J183" s="2012"/>
      <c r="K183" s="2012"/>
      <c r="L183" s="2012"/>
      <c r="M183" s="2012"/>
      <c r="N183" s="2012"/>
      <c r="O183" s="2012"/>
      <c r="P183" s="2012"/>
      <c r="Q183" s="2012"/>
      <c r="R183" s="2012"/>
      <c r="S183" s="2012"/>
      <c r="T183" s="2016" t="s">
        <v>1840</v>
      </c>
      <c r="U183" s="2016"/>
      <c r="V183" s="2016"/>
      <c r="W183" s="2016"/>
      <c r="X183" s="2016"/>
      <c r="Y183" s="2016"/>
      <c r="Z183" s="2016"/>
      <c r="AA183" s="2016"/>
      <c r="AB183" s="2012" t="s">
        <v>1852</v>
      </c>
      <c r="AC183" s="2012"/>
      <c r="AD183" s="2012"/>
      <c r="AE183" s="2012"/>
      <c r="AF183" s="2012"/>
    </row>
    <row r="184" spans="1:32" x14ac:dyDescent="0.2">
      <c r="A184" s="2012"/>
      <c r="B184" s="2012"/>
      <c r="C184" s="2012"/>
      <c r="D184" s="2012"/>
      <c r="E184" s="2012"/>
      <c r="F184" s="2012"/>
      <c r="G184" s="2012"/>
      <c r="H184" s="2012"/>
      <c r="I184" s="2012"/>
      <c r="J184" s="2012"/>
      <c r="K184" s="2012"/>
      <c r="L184" s="2012"/>
      <c r="M184" s="2012"/>
      <c r="N184" s="2012"/>
      <c r="O184" s="2012"/>
      <c r="P184" s="2012"/>
      <c r="Q184" s="2012"/>
      <c r="R184" s="2012"/>
      <c r="S184" s="2012"/>
      <c r="T184" s="2016"/>
      <c r="U184" s="2016"/>
      <c r="V184" s="2016"/>
      <c r="W184" s="2016"/>
      <c r="X184" s="2016"/>
      <c r="Y184" s="2016"/>
      <c r="Z184" s="2016"/>
      <c r="AA184" s="2016"/>
      <c r="AB184" s="2012"/>
      <c r="AC184" s="2012"/>
      <c r="AD184" s="2012"/>
      <c r="AE184" s="2012"/>
      <c r="AF184" s="2012"/>
    </row>
    <row r="185" spans="1:32" ht="16.5" thickBot="1" x14ac:dyDescent="0.25">
      <c r="A185" s="1062"/>
      <c r="B185" s="1062"/>
      <c r="C185" s="1062"/>
      <c r="D185" s="1062"/>
      <c r="E185" s="1062"/>
      <c r="F185" s="1062"/>
      <c r="G185" s="1062"/>
      <c r="H185" s="1062"/>
      <c r="I185" s="1062"/>
      <c r="J185" s="1062"/>
      <c r="K185" s="1062"/>
      <c r="L185" s="1062"/>
      <c r="M185" s="1062"/>
      <c r="N185" s="1062"/>
      <c r="O185" s="1062"/>
      <c r="P185" s="1062"/>
      <c r="Q185" s="1062"/>
      <c r="R185" s="1062"/>
      <c r="S185" s="1062"/>
      <c r="T185" s="1063"/>
      <c r="U185" s="1063"/>
      <c r="V185" s="1063"/>
      <c r="W185" s="1063"/>
      <c r="X185" s="1063"/>
      <c r="Y185" s="1063"/>
      <c r="Z185" s="1063"/>
      <c r="AA185" s="1063"/>
      <c r="AB185" s="1062"/>
      <c r="AC185" s="1062"/>
      <c r="AD185" s="1062"/>
      <c r="AE185" s="1064"/>
      <c r="AF185" s="1065"/>
    </row>
    <row r="186" spans="1:32" ht="15.75" x14ac:dyDescent="0.2">
      <c r="A186" s="2025" t="s">
        <v>1854</v>
      </c>
      <c r="B186" s="2026"/>
      <c r="C186" s="2026"/>
      <c r="D186" s="2026"/>
      <c r="E186" s="2026"/>
      <c r="F186" s="2026"/>
      <c r="G186" s="2026"/>
      <c r="H186" s="2026"/>
      <c r="I186" s="2026"/>
      <c r="J186" s="2026"/>
      <c r="K186" s="2026"/>
      <c r="L186" s="2026"/>
      <c r="M186" s="2026"/>
      <c r="N186" s="2026"/>
      <c r="O186" s="2026"/>
      <c r="P186" s="2026"/>
      <c r="Q186" s="2026"/>
      <c r="R186" s="2026"/>
      <c r="S186" s="2026"/>
      <c r="T186" s="2026"/>
      <c r="U186" s="2026"/>
      <c r="V186" s="2026"/>
      <c r="W186" s="2026"/>
      <c r="X186" s="2026"/>
      <c r="Y186" s="2026"/>
      <c r="Z186" s="2026"/>
      <c r="AA186" s="2026"/>
      <c r="AB186" s="2026"/>
      <c r="AC186" s="2026"/>
      <c r="AD186" s="2026"/>
      <c r="AE186" s="1041" t="s">
        <v>1834</v>
      </c>
      <c r="AF186" s="1042" t="s">
        <v>1835</v>
      </c>
    </row>
    <row r="187" spans="1:32" ht="16.5" thickBot="1" x14ac:dyDescent="0.25">
      <c r="A187" s="2027"/>
      <c r="B187" s="2028"/>
      <c r="C187" s="2028"/>
      <c r="D187" s="2028"/>
      <c r="E187" s="2028"/>
      <c r="F187" s="2028"/>
      <c r="G187" s="2028"/>
      <c r="H187" s="2028"/>
      <c r="I187" s="2028"/>
      <c r="J187" s="2028"/>
      <c r="K187" s="2028"/>
      <c r="L187" s="2028"/>
      <c r="M187" s="2028"/>
      <c r="N187" s="2028"/>
      <c r="O187" s="2028"/>
      <c r="P187" s="2028"/>
      <c r="Q187" s="2028"/>
      <c r="R187" s="2028"/>
      <c r="S187" s="2028"/>
      <c r="T187" s="2028"/>
      <c r="U187" s="2028"/>
      <c r="V187" s="2028"/>
      <c r="W187" s="2028"/>
      <c r="X187" s="2028"/>
      <c r="Y187" s="2028"/>
      <c r="Z187" s="2028"/>
      <c r="AA187" s="2028"/>
      <c r="AB187" s="2028"/>
      <c r="AC187" s="2028"/>
      <c r="AD187" s="2028"/>
      <c r="AE187" s="1041" t="s">
        <v>1836</v>
      </c>
      <c r="AF187" s="1044">
        <v>1</v>
      </c>
    </row>
    <row r="188" spans="1:32" ht="15.75" x14ac:dyDescent="0.2">
      <c r="A188" s="2029"/>
      <c r="B188" s="2030"/>
      <c r="C188" s="2030"/>
      <c r="D188" s="2031"/>
      <c r="E188" s="2025" t="str">
        <f>'01'!$A$12</f>
        <v>"CONSTRUCCION SISTEMA DE ACUEDUCTO FASE II DEL MUNICIPIO DE TESALIA DPTO DEL HUILA"</v>
      </c>
      <c r="F188" s="2026"/>
      <c r="G188" s="2026"/>
      <c r="H188" s="2026"/>
      <c r="I188" s="2026"/>
      <c r="J188" s="2026"/>
      <c r="K188" s="2026"/>
      <c r="L188" s="2026"/>
      <c r="M188" s="2026"/>
      <c r="N188" s="2026"/>
      <c r="O188" s="2026"/>
      <c r="P188" s="2026"/>
      <c r="Q188" s="2026"/>
      <c r="R188" s="2026"/>
      <c r="S188" s="2026"/>
      <c r="T188" s="2026"/>
      <c r="U188" s="2026"/>
      <c r="V188" s="2026"/>
      <c r="W188" s="2026"/>
      <c r="X188" s="2026"/>
      <c r="Y188" s="2026"/>
      <c r="Z188" s="2026"/>
      <c r="AA188" s="2026"/>
      <c r="AB188" s="2026"/>
      <c r="AC188" s="2026"/>
      <c r="AD188" s="2035"/>
      <c r="AE188" s="1041" t="s">
        <v>847</v>
      </c>
      <c r="AF188" s="1045">
        <f>'01'!$M$13</f>
        <v>0</v>
      </c>
    </row>
    <row r="189" spans="1:32" ht="16.5" thickBot="1" x14ac:dyDescent="0.25">
      <c r="A189" s="2032"/>
      <c r="B189" s="2033"/>
      <c r="C189" s="2033"/>
      <c r="D189" s="2034"/>
      <c r="E189" s="2027"/>
      <c r="F189" s="2028"/>
      <c r="G189" s="2028"/>
      <c r="H189" s="2028"/>
      <c r="I189" s="2028"/>
      <c r="J189" s="2028"/>
      <c r="K189" s="2028"/>
      <c r="L189" s="2028"/>
      <c r="M189" s="2028"/>
      <c r="N189" s="2028"/>
      <c r="O189" s="2028"/>
      <c r="P189" s="2028"/>
      <c r="Q189" s="2028"/>
      <c r="R189" s="2028"/>
      <c r="S189" s="2028"/>
      <c r="T189" s="2028"/>
      <c r="U189" s="2028"/>
      <c r="V189" s="2028"/>
      <c r="W189" s="2028"/>
      <c r="X189" s="2028"/>
      <c r="Y189" s="2028"/>
      <c r="Z189" s="2028"/>
      <c r="AA189" s="2028"/>
      <c r="AB189" s="2028"/>
      <c r="AC189" s="2028"/>
      <c r="AD189" s="2036"/>
      <c r="AE189" s="1041" t="s">
        <v>1837</v>
      </c>
      <c r="AF189" s="1042" t="s">
        <v>1838</v>
      </c>
    </row>
    <row r="190" spans="1:32" ht="15.75" x14ac:dyDescent="0.25">
      <c r="A190" s="2037" t="s">
        <v>1860</v>
      </c>
      <c r="B190" s="2038"/>
      <c r="C190" s="2038"/>
      <c r="D190" s="2038"/>
      <c r="E190" s="2038"/>
      <c r="F190" s="2038"/>
      <c r="G190" s="2038"/>
      <c r="H190" s="2038"/>
      <c r="I190" s="2038"/>
      <c r="J190" s="2038"/>
      <c r="K190" s="2038"/>
      <c r="L190" s="2038"/>
      <c r="M190" s="2038"/>
      <c r="N190" s="2038"/>
      <c r="O190" s="2038"/>
      <c r="P190" s="2038"/>
      <c r="Q190" s="2038"/>
      <c r="R190" s="2038"/>
      <c r="S190" s="2038"/>
      <c r="T190" s="2038"/>
      <c r="U190" s="2038"/>
      <c r="V190" s="2038"/>
      <c r="W190" s="2038"/>
      <c r="X190" s="2038"/>
      <c r="Y190" s="2038"/>
      <c r="Z190" s="2038"/>
      <c r="AA190" s="2038"/>
      <c r="AB190" s="2038"/>
      <c r="AC190" s="2038"/>
      <c r="AD190" s="2038"/>
      <c r="AE190" s="2039" t="s">
        <v>1839</v>
      </c>
      <c r="AF190" s="2040"/>
    </row>
    <row r="191" spans="1:32" ht="15.75" x14ac:dyDescent="0.25">
      <c r="A191" s="2041" t="s">
        <v>1840</v>
      </c>
      <c r="B191" s="2042"/>
      <c r="C191" s="2042"/>
      <c r="D191" s="2042"/>
      <c r="E191" s="2042"/>
      <c r="F191" s="2042"/>
      <c r="G191" s="2042"/>
      <c r="H191" s="2042"/>
      <c r="I191" s="2042"/>
      <c r="J191" s="2042"/>
      <c r="K191" s="2042"/>
      <c r="L191" s="2042"/>
      <c r="M191" s="2042"/>
      <c r="N191" s="2042"/>
      <c r="O191" s="2042"/>
      <c r="P191" s="2042"/>
      <c r="Q191" s="2042"/>
      <c r="R191" s="2042"/>
      <c r="S191" s="2042"/>
      <c r="T191" s="2042"/>
      <c r="U191" s="2042"/>
      <c r="V191" s="2042"/>
      <c r="W191" s="2042"/>
      <c r="X191" s="2042"/>
      <c r="Y191" s="2042"/>
      <c r="Z191" s="2042"/>
      <c r="AA191" s="2042"/>
      <c r="AB191" s="2042"/>
      <c r="AC191" s="2042"/>
      <c r="AD191" s="2043"/>
      <c r="AE191" s="2014" t="s">
        <v>1841</v>
      </c>
      <c r="AF191" s="2044"/>
    </row>
    <row r="192" spans="1:32" ht="15.75" x14ac:dyDescent="0.25">
      <c r="A192" s="2045" t="s">
        <v>1853</v>
      </c>
      <c r="B192" s="2046"/>
      <c r="C192" s="2046"/>
      <c r="D192" s="2046"/>
      <c r="E192" s="2046"/>
      <c r="F192" s="2046"/>
      <c r="G192" s="2046"/>
      <c r="H192" s="2046"/>
      <c r="I192" s="2046"/>
      <c r="J192" s="2046"/>
      <c r="K192" s="2046"/>
      <c r="L192" s="2046"/>
      <c r="M192" s="2046"/>
      <c r="N192" s="2046"/>
      <c r="O192" s="2046"/>
      <c r="P192" s="2046"/>
      <c r="Q192" s="2046"/>
      <c r="R192" s="2046"/>
      <c r="S192" s="2046"/>
      <c r="T192" s="2046"/>
      <c r="U192" s="2046"/>
      <c r="V192" s="2046"/>
      <c r="W192" s="2046"/>
      <c r="X192" s="2046"/>
      <c r="Y192" s="2046"/>
      <c r="Z192" s="2046"/>
      <c r="AA192" s="2046"/>
      <c r="AB192" s="2046"/>
      <c r="AC192" s="2046"/>
      <c r="AD192" s="2046"/>
      <c r="AE192" s="2047">
        <f>'01'!$M$13</f>
        <v>0</v>
      </c>
      <c r="AF192" s="2044"/>
    </row>
    <row r="193" spans="1:32" x14ac:dyDescent="0.2">
      <c r="A193" s="1046"/>
      <c r="B193" s="1047"/>
      <c r="C193" s="1047"/>
      <c r="D193" s="1047"/>
      <c r="E193" s="1047"/>
      <c r="F193" s="1047"/>
      <c r="G193" s="1047"/>
      <c r="H193" s="1047"/>
      <c r="I193" s="1047"/>
      <c r="J193" s="1047"/>
      <c r="K193" s="1047"/>
      <c r="L193" s="1047"/>
      <c r="M193" s="1047"/>
      <c r="N193" s="1047"/>
      <c r="O193" s="1047"/>
      <c r="P193" s="1047"/>
      <c r="Q193" s="1047"/>
      <c r="R193" s="1047"/>
      <c r="S193" s="1047"/>
      <c r="T193" s="1047"/>
      <c r="U193" s="1047"/>
      <c r="V193" s="1047"/>
      <c r="W193" s="1047"/>
      <c r="X193" s="1047"/>
      <c r="Y193" s="1047"/>
      <c r="Z193" s="1047"/>
      <c r="AA193" s="1047"/>
      <c r="AB193" s="1047"/>
      <c r="AC193" s="1047"/>
      <c r="AD193" s="1047"/>
      <c r="AE193" s="1047"/>
      <c r="AF193" s="1048"/>
    </row>
    <row r="194" spans="1:32" ht="15.75" x14ac:dyDescent="0.2">
      <c r="A194" s="2048" t="s">
        <v>1842</v>
      </c>
      <c r="B194" s="2049"/>
      <c r="C194" s="2049"/>
      <c r="D194" s="2049"/>
      <c r="E194" s="2049"/>
      <c r="F194" s="2050" t="str">
        <f>'01'!$H$16</f>
        <v>A -EMPATE CON LÍNEA DE ADUCCIÓN</v>
      </c>
      <c r="G194" s="2049"/>
      <c r="H194" s="2049"/>
      <c r="I194" s="2049"/>
      <c r="J194" s="2049"/>
      <c r="K194" s="2049"/>
      <c r="L194" s="2049"/>
      <c r="M194" s="2049"/>
      <c r="N194" s="2049"/>
      <c r="O194" s="2049"/>
      <c r="P194" s="2049"/>
      <c r="Q194" s="2049"/>
      <c r="R194" s="2049"/>
      <c r="S194" s="2049"/>
      <c r="T194" s="2049"/>
      <c r="U194" s="2049"/>
      <c r="V194" s="2049"/>
      <c r="W194" s="2049"/>
      <c r="X194" s="2049"/>
      <c r="Y194" s="2051"/>
      <c r="Z194" s="2052" t="s">
        <v>1843</v>
      </c>
      <c r="AA194" s="2053"/>
      <c r="AB194" s="2058" t="s">
        <v>1844</v>
      </c>
      <c r="AC194" s="2059"/>
      <c r="AD194" s="2060"/>
      <c r="AE194" s="2064" t="s">
        <v>2184</v>
      </c>
      <c r="AF194" s="2067" t="s">
        <v>1846</v>
      </c>
    </row>
    <row r="195" spans="1:32" x14ac:dyDescent="0.2">
      <c r="A195" s="2070" t="str">
        <f>'01'!A26</f>
        <v>A-04-01</v>
      </c>
      <c r="B195" s="2071"/>
      <c r="C195" s="2072"/>
      <c r="D195" s="2076" t="str">
        <f>VLOOKUP(A195,'01'!$A$12:$N$299,3,FALSE)</f>
        <v>RETIRO DE MATERIAL SOBRANTE HASTA BOTADERO AUTORIZADO (INCLUYE FACTOR DE EXPANSIÓN)</v>
      </c>
      <c r="E195" s="2077"/>
      <c r="F195" s="2077"/>
      <c r="G195" s="2077"/>
      <c r="H195" s="2077"/>
      <c r="I195" s="2077"/>
      <c r="J195" s="2077"/>
      <c r="K195" s="2077"/>
      <c r="L195" s="2077"/>
      <c r="M195" s="2077"/>
      <c r="N195" s="2077"/>
      <c r="O195" s="2077"/>
      <c r="P195" s="2077"/>
      <c r="Q195" s="2077"/>
      <c r="R195" s="2077"/>
      <c r="S195" s="2078"/>
      <c r="T195" s="2082" t="s">
        <v>124</v>
      </c>
      <c r="U195" s="2083"/>
      <c r="V195" s="2083"/>
      <c r="W195" s="2083"/>
      <c r="X195" s="2052" t="str">
        <f>VLOOKUP(A195,'01'!$A$12:$N$299,9,FALSE)</f>
        <v>M3-KM</v>
      </c>
      <c r="Y195" s="2053"/>
      <c r="Z195" s="2054"/>
      <c r="AA195" s="2055"/>
      <c r="AB195" s="2061"/>
      <c r="AC195" s="2062"/>
      <c r="AD195" s="2063"/>
      <c r="AE195" s="2065"/>
      <c r="AF195" s="2068"/>
    </row>
    <row r="196" spans="1:32" ht="31.5" x14ac:dyDescent="0.25">
      <c r="A196" s="2073"/>
      <c r="B196" s="2074"/>
      <c r="C196" s="2075"/>
      <c r="D196" s="2079"/>
      <c r="E196" s="2080"/>
      <c r="F196" s="2080"/>
      <c r="G196" s="2080"/>
      <c r="H196" s="2080"/>
      <c r="I196" s="2080"/>
      <c r="J196" s="2080"/>
      <c r="K196" s="2080"/>
      <c r="L196" s="2080"/>
      <c r="M196" s="2080"/>
      <c r="N196" s="2080"/>
      <c r="O196" s="2080"/>
      <c r="P196" s="2080"/>
      <c r="Q196" s="2080"/>
      <c r="R196" s="2080"/>
      <c r="S196" s="2081"/>
      <c r="T196" s="2084"/>
      <c r="U196" s="2085"/>
      <c r="V196" s="2085"/>
      <c r="W196" s="2085"/>
      <c r="X196" s="2056"/>
      <c r="Y196" s="2057"/>
      <c r="Z196" s="2056"/>
      <c r="AA196" s="2057"/>
      <c r="AB196" s="1122" t="s">
        <v>2180</v>
      </c>
      <c r="AC196" s="1122" t="s">
        <v>2181</v>
      </c>
      <c r="AD196" s="1122" t="s">
        <v>1869</v>
      </c>
      <c r="AE196" s="2066"/>
      <c r="AF196" s="2069"/>
    </row>
    <row r="197" spans="1:32" ht="15.75" x14ac:dyDescent="0.25">
      <c r="A197" s="2017"/>
      <c r="B197" s="2018"/>
      <c r="C197" s="2018"/>
      <c r="D197" s="2018"/>
      <c r="E197" s="2018"/>
      <c r="F197" s="2018"/>
      <c r="G197" s="2018"/>
      <c r="H197" s="2018"/>
      <c r="I197" s="2018"/>
      <c r="J197" s="2018"/>
      <c r="K197" s="2018"/>
      <c r="L197" s="2018"/>
      <c r="M197" s="2018"/>
      <c r="N197" s="2018"/>
      <c r="O197" s="2018"/>
      <c r="P197" s="2018"/>
      <c r="Q197" s="2018"/>
      <c r="R197" s="2018"/>
      <c r="S197" s="2018"/>
      <c r="T197" s="2018"/>
      <c r="U197" s="2018"/>
      <c r="V197" s="2018"/>
      <c r="W197" s="2018"/>
      <c r="X197" s="2018"/>
      <c r="Y197" s="2094"/>
      <c r="Z197" s="2096" t="s">
        <v>2157</v>
      </c>
      <c r="AA197" s="2097"/>
      <c r="AB197" s="1050">
        <f>AF71</f>
        <v>4.5</v>
      </c>
      <c r="AC197" s="1050">
        <f>AF182</f>
        <v>3</v>
      </c>
      <c r="AD197" s="1050">
        <v>1.25</v>
      </c>
      <c r="AE197" s="1051">
        <f>+'01'!$E$15</f>
        <v>5</v>
      </c>
      <c r="AF197" s="1052">
        <f>ROUND(AD197*AE197*(AB197-AC197),2)</f>
        <v>9.3800000000000008</v>
      </c>
    </row>
    <row r="198" spans="1:32" ht="15.75" x14ac:dyDescent="0.25">
      <c r="A198" s="2017"/>
      <c r="B198" s="2018"/>
      <c r="C198" s="2018"/>
      <c r="D198" s="2018"/>
      <c r="E198" s="2018"/>
      <c r="F198" s="2018"/>
      <c r="G198" s="2018"/>
      <c r="H198" s="2018"/>
      <c r="I198" s="2018"/>
      <c r="J198" s="2018"/>
      <c r="K198" s="2018"/>
      <c r="L198" s="2018"/>
      <c r="M198" s="2018"/>
      <c r="N198" s="2018"/>
      <c r="O198" s="2018"/>
      <c r="P198" s="2018"/>
      <c r="Q198" s="2018"/>
      <c r="R198" s="2018"/>
      <c r="S198" s="2018"/>
      <c r="T198" s="2018"/>
      <c r="U198" s="2018"/>
      <c r="V198" s="2018"/>
      <c r="W198" s="2018"/>
      <c r="X198" s="2018"/>
      <c r="Y198" s="2094"/>
      <c r="Z198" s="2096"/>
      <c r="AA198" s="2097"/>
      <c r="AB198" s="1053"/>
      <c r="AC198" s="1053"/>
      <c r="AD198" s="1050"/>
      <c r="AE198" s="1051"/>
      <c r="AF198" s="1052"/>
    </row>
    <row r="199" spans="1:32" ht="15.75" x14ac:dyDescent="0.25">
      <c r="A199" s="2017"/>
      <c r="B199" s="2018"/>
      <c r="C199" s="2018"/>
      <c r="D199" s="2018"/>
      <c r="E199" s="2018"/>
      <c r="F199" s="2018"/>
      <c r="G199" s="2018"/>
      <c r="H199" s="2018"/>
      <c r="I199" s="2018"/>
      <c r="J199" s="2018"/>
      <c r="K199" s="2018"/>
      <c r="L199" s="2018"/>
      <c r="M199" s="2018"/>
      <c r="N199" s="2018"/>
      <c r="O199" s="2018"/>
      <c r="P199" s="2018"/>
      <c r="Q199" s="2018"/>
      <c r="R199" s="2018"/>
      <c r="S199" s="2018"/>
      <c r="T199" s="2018"/>
      <c r="U199" s="2018"/>
      <c r="V199" s="2018"/>
      <c r="W199" s="2018"/>
      <c r="X199" s="2018"/>
      <c r="Y199" s="2094"/>
      <c r="Z199" s="2096"/>
      <c r="AA199" s="2097"/>
      <c r="AB199" s="1053"/>
      <c r="AC199" s="1053"/>
      <c r="AD199" s="1050"/>
      <c r="AE199" s="1051"/>
      <c r="AF199" s="1052"/>
    </row>
    <row r="200" spans="1:32" ht="15.75" x14ac:dyDescent="0.25">
      <c r="A200" s="2017"/>
      <c r="B200" s="2018"/>
      <c r="C200" s="2018"/>
      <c r="D200" s="2018"/>
      <c r="E200" s="2018"/>
      <c r="F200" s="2018"/>
      <c r="G200" s="2018"/>
      <c r="H200" s="2018"/>
      <c r="I200" s="2018"/>
      <c r="J200" s="2018"/>
      <c r="K200" s="2018"/>
      <c r="L200" s="2018"/>
      <c r="M200" s="2018"/>
      <c r="N200" s="2018"/>
      <c r="O200" s="2018"/>
      <c r="P200" s="2018"/>
      <c r="Q200" s="2018"/>
      <c r="R200" s="2018"/>
      <c r="S200" s="2018"/>
      <c r="T200" s="2018"/>
      <c r="U200" s="2018"/>
      <c r="V200" s="2018"/>
      <c r="W200" s="2018"/>
      <c r="X200" s="2018"/>
      <c r="Y200" s="2094"/>
      <c r="Z200" s="2096"/>
      <c r="AA200" s="2097"/>
      <c r="AB200" s="1053"/>
      <c r="AC200" s="1053"/>
      <c r="AD200" s="1050"/>
      <c r="AE200" s="1051"/>
      <c r="AF200" s="1052"/>
    </row>
    <row r="201" spans="1:32" ht="15.75" x14ac:dyDescent="0.25">
      <c r="A201" s="2017"/>
      <c r="B201" s="2018"/>
      <c r="C201" s="2018"/>
      <c r="D201" s="2018"/>
      <c r="E201" s="2018"/>
      <c r="F201" s="2018"/>
      <c r="G201" s="2018"/>
      <c r="H201" s="2018"/>
      <c r="I201" s="2018"/>
      <c r="J201" s="2018"/>
      <c r="K201" s="2018"/>
      <c r="L201" s="2018"/>
      <c r="M201" s="2018"/>
      <c r="N201" s="2018"/>
      <c r="O201" s="2018"/>
      <c r="P201" s="2018"/>
      <c r="Q201" s="2018"/>
      <c r="R201" s="2018"/>
      <c r="S201" s="2018"/>
      <c r="T201" s="2018"/>
      <c r="U201" s="2018"/>
      <c r="V201" s="2018"/>
      <c r="W201" s="2018"/>
      <c r="X201" s="2018"/>
      <c r="Y201" s="2094"/>
      <c r="Z201" s="2096"/>
      <c r="AA201" s="2097"/>
      <c r="AB201" s="1053"/>
      <c r="AC201" s="1053"/>
      <c r="AD201" s="1050"/>
      <c r="AE201" s="1051"/>
      <c r="AF201" s="1052"/>
    </row>
    <row r="202" spans="1:32" ht="15.75" x14ac:dyDescent="0.25">
      <c r="A202" s="2017"/>
      <c r="B202" s="2018"/>
      <c r="C202" s="2018"/>
      <c r="D202" s="2018"/>
      <c r="E202" s="2018"/>
      <c r="F202" s="2018"/>
      <c r="G202" s="2018"/>
      <c r="H202" s="2018"/>
      <c r="I202" s="2018"/>
      <c r="J202" s="2018"/>
      <c r="K202" s="2018"/>
      <c r="L202" s="2018"/>
      <c r="M202" s="2018"/>
      <c r="N202" s="2018"/>
      <c r="O202" s="2018"/>
      <c r="P202" s="2018"/>
      <c r="Q202" s="2018"/>
      <c r="R202" s="2018"/>
      <c r="S202" s="2018"/>
      <c r="T202" s="2018"/>
      <c r="U202" s="2018"/>
      <c r="V202" s="2018"/>
      <c r="W202" s="2018"/>
      <c r="X202" s="2018"/>
      <c r="Y202" s="2094"/>
      <c r="Z202" s="2096"/>
      <c r="AA202" s="2097"/>
      <c r="AB202" s="1053"/>
      <c r="AC202" s="1053"/>
      <c r="AD202" s="1053"/>
      <c r="AE202" s="1051"/>
      <c r="AF202" s="1052"/>
    </row>
    <row r="203" spans="1:32" ht="15.75" x14ac:dyDescent="0.25">
      <c r="A203" s="2017"/>
      <c r="B203" s="2018"/>
      <c r="C203" s="2018"/>
      <c r="D203" s="2018"/>
      <c r="E203" s="2018"/>
      <c r="F203" s="2018"/>
      <c r="G203" s="2018"/>
      <c r="H203" s="2018"/>
      <c r="I203" s="2018"/>
      <c r="J203" s="2018"/>
      <c r="K203" s="2018"/>
      <c r="L203" s="2018"/>
      <c r="M203" s="2018"/>
      <c r="N203" s="2018"/>
      <c r="O203" s="2018"/>
      <c r="P203" s="2018"/>
      <c r="Q203" s="2018"/>
      <c r="R203" s="2018"/>
      <c r="S203" s="2018"/>
      <c r="T203" s="2018"/>
      <c r="U203" s="2018"/>
      <c r="V203" s="2018"/>
      <c r="W203" s="2018"/>
      <c r="X203" s="2018"/>
      <c r="Y203" s="2094"/>
      <c r="Z203" s="2096"/>
      <c r="AA203" s="2097"/>
      <c r="AB203" s="1053"/>
      <c r="AC203" s="1053"/>
      <c r="AD203" s="1053"/>
      <c r="AE203" s="1051"/>
      <c r="AF203" s="1052"/>
    </row>
    <row r="204" spans="1:32" ht="15.75" x14ac:dyDescent="0.25">
      <c r="A204" s="2017"/>
      <c r="B204" s="2018"/>
      <c r="C204" s="2018"/>
      <c r="D204" s="2018"/>
      <c r="E204" s="2018"/>
      <c r="F204" s="2018"/>
      <c r="G204" s="2018"/>
      <c r="H204" s="2018"/>
      <c r="I204" s="2018"/>
      <c r="J204" s="2018"/>
      <c r="K204" s="2018"/>
      <c r="L204" s="2018"/>
      <c r="M204" s="2018"/>
      <c r="N204" s="2018"/>
      <c r="O204" s="2018"/>
      <c r="P204" s="2018"/>
      <c r="Q204" s="2018"/>
      <c r="R204" s="2018"/>
      <c r="S204" s="2018"/>
      <c r="T204" s="2018"/>
      <c r="U204" s="2018"/>
      <c r="V204" s="2018"/>
      <c r="W204" s="2018"/>
      <c r="X204" s="2018"/>
      <c r="Y204" s="2094"/>
      <c r="Z204" s="2096"/>
      <c r="AA204" s="2097"/>
      <c r="AB204" s="1053"/>
      <c r="AC204" s="1053"/>
      <c r="AD204" s="1053"/>
      <c r="AE204" s="1051"/>
      <c r="AF204" s="1052"/>
    </row>
    <row r="205" spans="1:32" ht="15.75" x14ac:dyDescent="0.25">
      <c r="A205" s="2017"/>
      <c r="B205" s="2018"/>
      <c r="C205" s="2018"/>
      <c r="D205" s="2018"/>
      <c r="E205" s="2018"/>
      <c r="F205" s="2018"/>
      <c r="G205" s="2018"/>
      <c r="H205" s="2018"/>
      <c r="I205" s="2018"/>
      <c r="J205" s="2018"/>
      <c r="K205" s="2018"/>
      <c r="L205" s="2018"/>
      <c r="M205" s="2018"/>
      <c r="N205" s="2018"/>
      <c r="O205" s="2018"/>
      <c r="P205" s="2018"/>
      <c r="Q205" s="2018"/>
      <c r="R205" s="2018"/>
      <c r="S205" s="2018"/>
      <c r="T205" s="2018"/>
      <c r="U205" s="2018"/>
      <c r="V205" s="2018"/>
      <c r="W205" s="2018"/>
      <c r="X205" s="2018"/>
      <c r="Y205" s="2094"/>
      <c r="Z205" s="2096"/>
      <c r="AA205" s="2097"/>
      <c r="AB205" s="1053"/>
      <c r="AC205" s="1053"/>
      <c r="AD205" s="1053"/>
      <c r="AE205" s="1050"/>
      <c r="AF205" s="1054"/>
    </row>
    <row r="206" spans="1:32" ht="15.75" x14ac:dyDescent="0.25">
      <c r="A206" s="2017"/>
      <c r="B206" s="2018"/>
      <c r="C206" s="2018"/>
      <c r="D206" s="2018"/>
      <c r="E206" s="2018"/>
      <c r="F206" s="2018"/>
      <c r="G206" s="2018"/>
      <c r="H206" s="2018"/>
      <c r="I206" s="2018"/>
      <c r="J206" s="2018"/>
      <c r="K206" s="2018"/>
      <c r="L206" s="2018"/>
      <c r="M206" s="2018"/>
      <c r="N206" s="2018"/>
      <c r="O206" s="2018"/>
      <c r="P206" s="2018"/>
      <c r="Q206" s="2018"/>
      <c r="R206" s="2018"/>
      <c r="S206" s="2018"/>
      <c r="T206" s="2018"/>
      <c r="U206" s="2018"/>
      <c r="V206" s="2018"/>
      <c r="W206" s="2018"/>
      <c r="X206" s="2018"/>
      <c r="Y206" s="2094"/>
      <c r="Z206" s="2096"/>
      <c r="AA206" s="2097"/>
      <c r="AB206" s="1053"/>
      <c r="AC206" s="1053"/>
      <c r="AD206" s="1053"/>
      <c r="AE206" s="1051"/>
      <c r="AF206" s="1054"/>
    </row>
    <row r="207" spans="1:32" ht="15.75" x14ac:dyDescent="0.25">
      <c r="A207" s="2017"/>
      <c r="B207" s="2018"/>
      <c r="C207" s="2018"/>
      <c r="D207" s="2018"/>
      <c r="E207" s="2018"/>
      <c r="F207" s="2018"/>
      <c r="G207" s="2018"/>
      <c r="H207" s="2018"/>
      <c r="I207" s="2018"/>
      <c r="J207" s="2018"/>
      <c r="K207" s="2018"/>
      <c r="L207" s="2018"/>
      <c r="M207" s="2018"/>
      <c r="N207" s="2018"/>
      <c r="O207" s="2018"/>
      <c r="P207" s="2018"/>
      <c r="Q207" s="2018"/>
      <c r="R207" s="2018"/>
      <c r="S207" s="2018"/>
      <c r="T207" s="2018"/>
      <c r="U207" s="2018"/>
      <c r="V207" s="2018"/>
      <c r="W207" s="2018"/>
      <c r="X207" s="2018"/>
      <c r="Y207" s="2094"/>
      <c r="Z207" s="2096"/>
      <c r="AA207" s="2097"/>
      <c r="AB207" s="1053"/>
      <c r="AC207" s="1053"/>
      <c r="AD207" s="1053"/>
      <c r="AE207" s="1051"/>
      <c r="AF207" s="1054"/>
    </row>
    <row r="208" spans="1:32" ht="15.75" x14ac:dyDescent="0.25">
      <c r="A208" s="2017"/>
      <c r="B208" s="2018"/>
      <c r="C208" s="2018"/>
      <c r="D208" s="2018"/>
      <c r="E208" s="2018"/>
      <c r="F208" s="2018"/>
      <c r="G208" s="2018"/>
      <c r="H208" s="2018"/>
      <c r="I208" s="2018"/>
      <c r="J208" s="2018"/>
      <c r="K208" s="2018"/>
      <c r="L208" s="2018"/>
      <c r="M208" s="2018"/>
      <c r="N208" s="2018"/>
      <c r="O208" s="2018"/>
      <c r="P208" s="2018"/>
      <c r="Q208" s="2018"/>
      <c r="R208" s="2018"/>
      <c r="S208" s="2018"/>
      <c r="T208" s="2018"/>
      <c r="U208" s="2018"/>
      <c r="V208" s="2018"/>
      <c r="W208" s="2018"/>
      <c r="X208" s="2018"/>
      <c r="Y208" s="2094"/>
      <c r="Z208" s="2096"/>
      <c r="AA208" s="2097"/>
      <c r="AB208" s="1053"/>
      <c r="AC208" s="1053"/>
      <c r="AD208" s="1053"/>
      <c r="AE208" s="1051"/>
      <c r="AF208" s="1054"/>
    </row>
    <row r="209" spans="1:32" ht="15.75" x14ac:dyDescent="0.25">
      <c r="A209" s="2017"/>
      <c r="B209" s="2018"/>
      <c r="C209" s="2018"/>
      <c r="D209" s="2018"/>
      <c r="E209" s="2018"/>
      <c r="F209" s="2018"/>
      <c r="G209" s="2018"/>
      <c r="H209" s="2018"/>
      <c r="I209" s="2018"/>
      <c r="J209" s="2018"/>
      <c r="K209" s="2018"/>
      <c r="L209" s="2018"/>
      <c r="M209" s="2018"/>
      <c r="N209" s="2018"/>
      <c r="O209" s="2018"/>
      <c r="P209" s="2018"/>
      <c r="Q209" s="2018"/>
      <c r="R209" s="2018"/>
      <c r="S209" s="2018"/>
      <c r="T209" s="2018"/>
      <c r="U209" s="2018"/>
      <c r="V209" s="2018"/>
      <c r="W209" s="2018"/>
      <c r="X209" s="2018"/>
      <c r="Y209" s="2094"/>
      <c r="Z209" s="2096"/>
      <c r="AA209" s="2097"/>
      <c r="AB209" s="1053"/>
      <c r="AC209" s="1053"/>
      <c r="AD209" s="1053"/>
      <c r="AE209" s="1051"/>
      <c r="AF209" s="1054"/>
    </row>
    <row r="210" spans="1:32" ht="15.75" x14ac:dyDescent="0.25">
      <c r="A210" s="2017"/>
      <c r="B210" s="2018"/>
      <c r="C210" s="2018"/>
      <c r="D210" s="2018"/>
      <c r="E210" s="2018"/>
      <c r="F210" s="2018"/>
      <c r="G210" s="2018"/>
      <c r="H210" s="2018"/>
      <c r="I210" s="2018"/>
      <c r="J210" s="2018"/>
      <c r="K210" s="2018"/>
      <c r="L210" s="2018"/>
      <c r="M210" s="2018"/>
      <c r="N210" s="2018"/>
      <c r="O210" s="2018"/>
      <c r="P210" s="2018"/>
      <c r="Q210" s="2018"/>
      <c r="R210" s="2018"/>
      <c r="S210" s="2018"/>
      <c r="T210" s="2018"/>
      <c r="U210" s="2018"/>
      <c r="V210" s="2018"/>
      <c r="W210" s="2018"/>
      <c r="X210" s="2018"/>
      <c r="Y210" s="2094"/>
      <c r="Z210" s="2096"/>
      <c r="AA210" s="2097"/>
      <c r="AB210" s="1053"/>
      <c r="AC210" s="1053"/>
      <c r="AD210" s="1053"/>
      <c r="AE210" s="1051"/>
      <c r="AF210" s="1054"/>
    </row>
    <row r="211" spans="1:32" ht="15.75" x14ac:dyDescent="0.25">
      <c r="A211" s="2017"/>
      <c r="B211" s="2018"/>
      <c r="C211" s="2018"/>
      <c r="D211" s="2018"/>
      <c r="E211" s="2018"/>
      <c r="F211" s="2018"/>
      <c r="G211" s="2018"/>
      <c r="H211" s="2018"/>
      <c r="I211" s="2018"/>
      <c r="J211" s="2018"/>
      <c r="K211" s="2018"/>
      <c r="L211" s="2018"/>
      <c r="M211" s="2018"/>
      <c r="N211" s="2018"/>
      <c r="O211" s="2018"/>
      <c r="P211" s="2018"/>
      <c r="Q211" s="2018"/>
      <c r="R211" s="2018"/>
      <c r="S211" s="2018"/>
      <c r="T211" s="2018"/>
      <c r="U211" s="2018"/>
      <c r="V211" s="2018"/>
      <c r="W211" s="2018"/>
      <c r="X211" s="2018"/>
      <c r="Y211" s="2094"/>
      <c r="Z211" s="2096"/>
      <c r="AA211" s="2097"/>
      <c r="AB211" s="1055"/>
      <c r="AC211" s="1055"/>
      <c r="AD211" s="1055"/>
      <c r="AE211" s="1051"/>
      <c r="AF211" s="1056"/>
    </row>
    <row r="212" spans="1:32" ht="15.75" x14ac:dyDescent="0.25">
      <c r="A212" s="2017"/>
      <c r="B212" s="2018"/>
      <c r="C212" s="2018"/>
      <c r="D212" s="2018"/>
      <c r="E212" s="2018"/>
      <c r="F212" s="2018"/>
      <c r="G212" s="2018"/>
      <c r="H212" s="2018"/>
      <c r="I212" s="2018"/>
      <c r="J212" s="2018"/>
      <c r="K212" s="2018"/>
      <c r="L212" s="2018"/>
      <c r="M212" s="2018"/>
      <c r="N212" s="2018"/>
      <c r="O212" s="2018"/>
      <c r="P212" s="2018"/>
      <c r="Q212" s="2018"/>
      <c r="R212" s="2018"/>
      <c r="S212" s="2018"/>
      <c r="T212" s="2018"/>
      <c r="U212" s="2018"/>
      <c r="V212" s="2018"/>
      <c r="W212" s="2018"/>
      <c r="X212" s="2018"/>
      <c r="Y212" s="2094"/>
      <c r="Z212" s="2096"/>
      <c r="AA212" s="2097"/>
      <c r="AB212" s="1055"/>
      <c r="AC212" s="1055"/>
      <c r="AD212" s="1055"/>
      <c r="AE212" s="1055"/>
      <c r="AF212" s="1056"/>
    </row>
    <row r="213" spans="1:32" ht="15.75" x14ac:dyDescent="0.25">
      <c r="A213" s="2017"/>
      <c r="B213" s="2018"/>
      <c r="C213" s="2018"/>
      <c r="D213" s="2018"/>
      <c r="E213" s="2018"/>
      <c r="F213" s="2018"/>
      <c r="G213" s="2018"/>
      <c r="H213" s="2018"/>
      <c r="I213" s="2018"/>
      <c r="J213" s="2018"/>
      <c r="K213" s="2018"/>
      <c r="L213" s="2018"/>
      <c r="M213" s="2018"/>
      <c r="N213" s="2018"/>
      <c r="O213" s="2018"/>
      <c r="P213" s="2018"/>
      <c r="Q213" s="2018"/>
      <c r="R213" s="2018"/>
      <c r="S213" s="2018"/>
      <c r="T213" s="2018"/>
      <c r="U213" s="2018"/>
      <c r="V213" s="2018"/>
      <c r="W213" s="2018"/>
      <c r="X213" s="2018"/>
      <c r="Y213" s="2094"/>
      <c r="Z213" s="2096"/>
      <c r="AA213" s="2097"/>
      <c r="AB213" s="1055"/>
      <c r="AC213" s="1055"/>
      <c r="AD213" s="1055"/>
      <c r="AE213" s="1055"/>
      <c r="AF213" s="1056"/>
    </row>
    <row r="214" spans="1:32" ht="15.75" x14ac:dyDescent="0.25">
      <c r="A214" s="2017"/>
      <c r="B214" s="2018"/>
      <c r="C214" s="2018"/>
      <c r="D214" s="2018"/>
      <c r="E214" s="2018"/>
      <c r="F214" s="2018"/>
      <c r="G214" s="2018"/>
      <c r="H214" s="2018"/>
      <c r="I214" s="2018"/>
      <c r="J214" s="2018"/>
      <c r="K214" s="2018"/>
      <c r="L214" s="2018"/>
      <c r="M214" s="2018"/>
      <c r="N214" s="2018"/>
      <c r="O214" s="2018"/>
      <c r="P214" s="2018"/>
      <c r="Q214" s="2018"/>
      <c r="R214" s="2018"/>
      <c r="S214" s="2018"/>
      <c r="T214" s="2018"/>
      <c r="U214" s="2018"/>
      <c r="V214" s="2018"/>
      <c r="W214" s="2018"/>
      <c r="X214" s="2018"/>
      <c r="Y214" s="2094"/>
      <c r="Z214" s="2096"/>
      <c r="AA214" s="2097"/>
      <c r="AB214" s="1055"/>
      <c r="AC214" s="1055"/>
      <c r="AD214" s="1055"/>
      <c r="AE214" s="1055"/>
      <c r="AF214" s="1056"/>
    </row>
    <row r="215" spans="1:32" ht="15.75" x14ac:dyDescent="0.25">
      <c r="A215" s="2017"/>
      <c r="B215" s="2018"/>
      <c r="C215" s="2018"/>
      <c r="D215" s="2018"/>
      <c r="E215" s="2018"/>
      <c r="F215" s="2018"/>
      <c r="G215" s="2018"/>
      <c r="H215" s="2018"/>
      <c r="I215" s="2018"/>
      <c r="J215" s="2018"/>
      <c r="K215" s="2018"/>
      <c r="L215" s="2018"/>
      <c r="M215" s="2018"/>
      <c r="N215" s="2018"/>
      <c r="O215" s="2018"/>
      <c r="P215" s="2018"/>
      <c r="Q215" s="2018"/>
      <c r="R215" s="2018"/>
      <c r="S215" s="2018"/>
      <c r="T215" s="2018"/>
      <c r="U215" s="2018"/>
      <c r="V215" s="2018"/>
      <c r="W215" s="2018"/>
      <c r="X215" s="2018"/>
      <c r="Y215" s="2094"/>
      <c r="Z215" s="2096"/>
      <c r="AA215" s="2097"/>
      <c r="AB215" s="1055"/>
      <c r="AC215" s="1055"/>
      <c r="AD215" s="1055"/>
      <c r="AE215" s="1055"/>
      <c r="AF215" s="1056"/>
    </row>
    <row r="216" spans="1:32" ht="16.5" thickBot="1" x14ac:dyDescent="0.3">
      <c r="A216" s="2019"/>
      <c r="B216" s="2020"/>
      <c r="C216" s="2020"/>
      <c r="D216" s="2020"/>
      <c r="E216" s="2020"/>
      <c r="F216" s="2020"/>
      <c r="G216" s="2020"/>
      <c r="H216" s="2020"/>
      <c r="I216" s="2020"/>
      <c r="J216" s="2020"/>
      <c r="K216" s="2020"/>
      <c r="L216" s="2020"/>
      <c r="M216" s="2020"/>
      <c r="N216" s="2020"/>
      <c r="O216" s="2020"/>
      <c r="P216" s="2020"/>
      <c r="Q216" s="2020"/>
      <c r="R216" s="2020"/>
      <c r="S216" s="2020"/>
      <c r="T216" s="2020"/>
      <c r="U216" s="2020"/>
      <c r="V216" s="2020"/>
      <c r="W216" s="2020"/>
      <c r="X216" s="2020"/>
      <c r="Y216" s="2095"/>
      <c r="Z216" s="2098"/>
      <c r="AA216" s="2099"/>
      <c r="AB216" s="1057"/>
      <c r="AC216" s="1057"/>
      <c r="AD216" s="1057"/>
      <c r="AE216" s="1057"/>
      <c r="AF216" s="1058"/>
    </row>
    <row r="217" spans="1:32" ht="15.75" x14ac:dyDescent="0.25">
      <c r="A217" s="2009" t="s">
        <v>2158</v>
      </c>
      <c r="B217" s="2010"/>
      <c r="C217" s="2010"/>
      <c r="D217" s="2010"/>
      <c r="E217" s="2010"/>
      <c r="F217" s="2010"/>
      <c r="G217" s="2010"/>
      <c r="H217" s="2010"/>
      <c r="I217" s="2010"/>
      <c r="J217" s="2010"/>
      <c r="K217" s="2010"/>
      <c r="L217" s="2010"/>
      <c r="M217" s="2010"/>
      <c r="N217" s="2010"/>
      <c r="O217" s="2010"/>
      <c r="P217" s="2010"/>
      <c r="Q217" s="2010"/>
      <c r="R217" s="2010"/>
      <c r="S217" s="2010"/>
      <c r="T217" s="2010"/>
      <c r="U217" s="2010"/>
      <c r="V217" s="2010"/>
      <c r="W217" s="2010"/>
      <c r="X217" s="2010"/>
      <c r="Y217" s="2010"/>
      <c r="Z217" s="2013" t="s">
        <v>1850</v>
      </c>
      <c r="AA217" s="2013"/>
      <c r="AB217" s="2013"/>
      <c r="AC217" s="2013"/>
      <c r="AD217" s="2013"/>
      <c r="AE217" s="2013"/>
      <c r="AF217" s="1059">
        <f>SUM(AF197:AF216)</f>
        <v>9.3800000000000008</v>
      </c>
    </row>
    <row r="218" spans="1:32" ht="15.75" x14ac:dyDescent="0.25">
      <c r="A218" s="2011"/>
      <c r="B218" s="2012"/>
      <c r="C218" s="2012"/>
      <c r="D218" s="2012"/>
      <c r="E218" s="2012"/>
      <c r="F218" s="2012"/>
      <c r="G218" s="2012"/>
      <c r="H218" s="2012"/>
      <c r="I218" s="2012"/>
      <c r="J218" s="2012"/>
      <c r="K218" s="2012"/>
      <c r="L218" s="2012"/>
      <c r="M218" s="2012"/>
      <c r="N218" s="2012"/>
      <c r="O218" s="2012"/>
      <c r="P218" s="2012"/>
      <c r="Q218" s="2012"/>
      <c r="R218" s="2012"/>
      <c r="S218" s="2012"/>
      <c r="T218" s="2012"/>
      <c r="U218" s="2012"/>
      <c r="V218" s="2012"/>
      <c r="W218" s="2012"/>
      <c r="X218" s="2012"/>
      <c r="Y218" s="2012"/>
      <c r="Z218" s="2014" t="s">
        <v>1851</v>
      </c>
      <c r="AA218" s="2014"/>
      <c r="AB218" s="2014"/>
      <c r="AC218" s="2014"/>
      <c r="AD218" s="2014"/>
      <c r="AE218" s="2014"/>
      <c r="AF218" s="1060">
        <v>0</v>
      </c>
    </row>
    <row r="219" spans="1:32" ht="15.75" x14ac:dyDescent="0.25">
      <c r="A219" s="2011"/>
      <c r="B219" s="2012"/>
      <c r="C219" s="2012"/>
      <c r="D219" s="2012"/>
      <c r="E219" s="2012"/>
      <c r="F219" s="2012"/>
      <c r="G219" s="2012"/>
      <c r="H219" s="2012"/>
      <c r="I219" s="2012"/>
      <c r="J219" s="2012"/>
      <c r="K219" s="2012"/>
      <c r="L219" s="2012"/>
      <c r="M219" s="2012"/>
      <c r="N219" s="2012"/>
      <c r="O219" s="2012"/>
      <c r="P219" s="2012"/>
      <c r="Q219" s="2012"/>
      <c r="R219" s="2012"/>
      <c r="S219" s="2012"/>
      <c r="T219" s="2012"/>
      <c r="U219" s="2012"/>
      <c r="V219" s="2012"/>
      <c r="W219" s="2012"/>
      <c r="X219" s="2012"/>
      <c r="Y219" s="2012"/>
      <c r="Z219" s="2015" t="s">
        <v>1833</v>
      </c>
      <c r="AA219" s="2015"/>
      <c r="AB219" s="2015"/>
      <c r="AC219" s="2015"/>
      <c r="AD219" s="2015"/>
      <c r="AE219" s="2015"/>
      <c r="AF219" s="1061">
        <f>SUM(AF217:AF218)</f>
        <v>9.3800000000000008</v>
      </c>
    </row>
    <row r="220" spans="1:32" x14ac:dyDescent="0.2">
      <c r="A220" s="2012" t="s">
        <v>1859</v>
      </c>
      <c r="B220" s="2012"/>
      <c r="C220" s="2012"/>
      <c r="D220" s="2012"/>
      <c r="E220" s="2012"/>
      <c r="F220" s="2012"/>
      <c r="G220" s="2012"/>
      <c r="H220" s="2012"/>
      <c r="I220" s="2012"/>
      <c r="J220" s="2012"/>
      <c r="K220" s="2012"/>
      <c r="L220" s="2012"/>
      <c r="M220" s="2012"/>
      <c r="N220" s="2012"/>
      <c r="O220" s="2012"/>
      <c r="P220" s="2012"/>
      <c r="Q220" s="2012"/>
      <c r="R220" s="2012"/>
      <c r="S220" s="2012"/>
      <c r="T220" s="2016" t="s">
        <v>1840</v>
      </c>
      <c r="U220" s="2016"/>
      <c r="V220" s="2016"/>
      <c r="W220" s="2016"/>
      <c r="X220" s="2016"/>
      <c r="Y220" s="2016"/>
      <c r="Z220" s="2016"/>
      <c r="AA220" s="2016"/>
      <c r="AB220" s="2012" t="s">
        <v>1852</v>
      </c>
      <c r="AC220" s="2012"/>
      <c r="AD220" s="2012"/>
      <c r="AE220" s="2012"/>
      <c r="AF220" s="2012"/>
    </row>
    <row r="221" spans="1:32" x14ac:dyDescent="0.2">
      <c r="A221" s="2012"/>
      <c r="B221" s="2012"/>
      <c r="C221" s="2012"/>
      <c r="D221" s="2012"/>
      <c r="E221" s="2012"/>
      <c r="F221" s="2012"/>
      <c r="G221" s="2012"/>
      <c r="H221" s="2012"/>
      <c r="I221" s="2012"/>
      <c r="J221" s="2012"/>
      <c r="K221" s="2012"/>
      <c r="L221" s="2012"/>
      <c r="M221" s="2012"/>
      <c r="N221" s="2012"/>
      <c r="O221" s="2012"/>
      <c r="P221" s="2012"/>
      <c r="Q221" s="2012"/>
      <c r="R221" s="2012"/>
      <c r="S221" s="2012"/>
      <c r="T221" s="2016"/>
      <c r="U221" s="2016"/>
      <c r="V221" s="2016"/>
      <c r="W221" s="2016"/>
      <c r="X221" s="2016"/>
      <c r="Y221" s="2016"/>
      <c r="Z221" s="2016"/>
      <c r="AA221" s="2016"/>
      <c r="AB221" s="2012"/>
      <c r="AC221" s="2012"/>
      <c r="AD221" s="2012"/>
      <c r="AE221" s="2012"/>
      <c r="AF221" s="2012"/>
    </row>
    <row r="222" spans="1:32" ht="16.5" thickBot="1" x14ac:dyDescent="0.25">
      <c r="A222" s="1062"/>
      <c r="B222" s="1062"/>
      <c r="C222" s="1062"/>
      <c r="D222" s="1062"/>
      <c r="E222" s="1062"/>
      <c r="F222" s="1062"/>
      <c r="G222" s="1062"/>
      <c r="H222" s="1062"/>
      <c r="I222" s="1062"/>
      <c r="J222" s="1062"/>
      <c r="K222" s="1062"/>
      <c r="L222" s="1062"/>
      <c r="M222" s="1062"/>
      <c r="N222" s="1062"/>
      <c r="O222" s="1062"/>
      <c r="P222" s="1062"/>
      <c r="Q222" s="1062"/>
      <c r="R222" s="1062"/>
      <c r="S222" s="1062"/>
      <c r="T222" s="1063"/>
      <c r="U222" s="1063"/>
      <c r="V222" s="1063"/>
      <c r="W222" s="1063"/>
      <c r="X222" s="1063"/>
      <c r="Y222" s="1063"/>
      <c r="Z222" s="1063"/>
      <c r="AA222" s="1063"/>
      <c r="AB222" s="1062"/>
      <c r="AC222" s="1062"/>
      <c r="AD222" s="1062"/>
      <c r="AE222" s="1064"/>
      <c r="AF222" s="1065"/>
    </row>
    <row r="223" spans="1:32" ht="15.75" x14ac:dyDescent="0.2">
      <c r="A223" s="2025" t="s">
        <v>1854</v>
      </c>
      <c r="B223" s="2026"/>
      <c r="C223" s="2026"/>
      <c r="D223" s="2026"/>
      <c r="E223" s="2026"/>
      <c r="F223" s="2026"/>
      <c r="G223" s="2026"/>
      <c r="H223" s="2026"/>
      <c r="I223" s="2026"/>
      <c r="J223" s="2026"/>
      <c r="K223" s="2026"/>
      <c r="L223" s="2026"/>
      <c r="M223" s="2026"/>
      <c r="N223" s="2026"/>
      <c r="O223" s="2026"/>
      <c r="P223" s="2026"/>
      <c r="Q223" s="2026"/>
      <c r="R223" s="2026"/>
      <c r="S223" s="2026"/>
      <c r="T223" s="2026"/>
      <c r="U223" s="2026"/>
      <c r="V223" s="2026"/>
      <c r="W223" s="2026"/>
      <c r="X223" s="2026"/>
      <c r="Y223" s="2026"/>
      <c r="Z223" s="2026"/>
      <c r="AA223" s="2026"/>
      <c r="AB223" s="2026"/>
      <c r="AC223" s="2026"/>
      <c r="AD223" s="2026"/>
      <c r="AE223" s="1041" t="s">
        <v>1834</v>
      </c>
      <c r="AF223" s="1042" t="s">
        <v>1835</v>
      </c>
    </row>
    <row r="224" spans="1:32" ht="16.5" thickBot="1" x14ac:dyDescent="0.25">
      <c r="A224" s="2027"/>
      <c r="B224" s="2028"/>
      <c r="C224" s="2028"/>
      <c r="D224" s="2028"/>
      <c r="E224" s="2028"/>
      <c r="F224" s="2028"/>
      <c r="G224" s="2028"/>
      <c r="H224" s="2028"/>
      <c r="I224" s="2028"/>
      <c r="J224" s="2028"/>
      <c r="K224" s="2028"/>
      <c r="L224" s="2028"/>
      <c r="M224" s="2028"/>
      <c r="N224" s="2028"/>
      <c r="O224" s="2028"/>
      <c r="P224" s="2028"/>
      <c r="Q224" s="2028"/>
      <c r="R224" s="2028"/>
      <c r="S224" s="2028"/>
      <c r="T224" s="2028"/>
      <c r="U224" s="2028"/>
      <c r="V224" s="2028"/>
      <c r="W224" s="2028"/>
      <c r="X224" s="2028"/>
      <c r="Y224" s="2028"/>
      <c r="Z224" s="2028"/>
      <c r="AA224" s="2028"/>
      <c r="AB224" s="2028"/>
      <c r="AC224" s="2028"/>
      <c r="AD224" s="2028"/>
      <c r="AE224" s="1041" t="s">
        <v>1836</v>
      </c>
      <c r="AF224" s="1044">
        <v>1</v>
      </c>
    </row>
    <row r="225" spans="1:32" ht="15.75" x14ac:dyDescent="0.2">
      <c r="A225" s="2029"/>
      <c r="B225" s="2030"/>
      <c r="C225" s="2030"/>
      <c r="D225" s="2031"/>
      <c r="E225" s="2025" t="str">
        <f>'01'!$A$12</f>
        <v>"CONSTRUCCION SISTEMA DE ACUEDUCTO FASE II DEL MUNICIPIO DE TESALIA DPTO DEL HUILA"</v>
      </c>
      <c r="F225" s="2026"/>
      <c r="G225" s="2026"/>
      <c r="H225" s="2026"/>
      <c r="I225" s="2026"/>
      <c r="J225" s="2026"/>
      <c r="K225" s="2026"/>
      <c r="L225" s="2026"/>
      <c r="M225" s="2026"/>
      <c r="N225" s="2026"/>
      <c r="O225" s="2026"/>
      <c r="P225" s="2026"/>
      <c r="Q225" s="2026"/>
      <c r="R225" s="2026"/>
      <c r="S225" s="2026"/>
      <c r="T225" s="2026"/>
      <c r="U225" s="2026"/>
      <c r="V225" s="2026"/>
      <c r="W225" s="2026"/>
      <c r="X225" s="2026"/>
      <c r="Y225" s="2026"/>
      <c r="Z225" s="2026"/>
      <c r="AA225" s="2026"/>
      <c r="AB225" s="2026"/>
      <c r="AC225" s="2026"/>
      <c r="AD225" s="2035"/>
      <c r="AE225" s="1041" t="s">
        <v>847</v>
      </c>
      <c r="AF225" s="1045">
        <f>'01'!$M$13</f>
        <v>0</v>
      </c>
    </row>
    <row r="226" spans="1:32" ht="16.5" thickBot="1" x14ac:dyDescent="0.25">
      <c r="A226" s="2032"/>
      <c r="B226" s="2033"/>
      <c r="C226" s="2033"/>
      <c r="D226" s="2034"/>
      <c r="E226" s="2027"/>
      <c r="F226" s="2028"/>
      <c r="G226" s="2028"/>
      <c r="H226" s="2028"/>
      <c r="I226" s="2028"/>
      <c r="J226" s="2028"/>
      <c r="K226" s="2028"/>
      <c r="L226" s="2028"/>
      <c r="M226" s="2028"/>
      <c r="N226" s="2028"/>
      <c r="O226" s="2028"/>
      <c r="P226" s="2028"/>
      <c r="Q226" s="2028"/>
      <c r="R226" s="2028"/>
      <c r="S226" s="2028"/>
      <c r="T226" s="2028"/>
      <c r="U226" s="2028"/>
      <c r="V226" s="2028"/>
      <c r="W226" s="2028"/>
      <c r="X226" s="2028"/>
      <c r="Y226" s="2028"/>
      <c r="Z226" s="2028"/>
      <c r="AA226" s="2028"/>
      <c r="AB226" s="2028"/>
      <c r="AC226" s="2028"/>
      <c r="AD226" s="2036"/>
      <c r="AE226" s="1041" t="s">
        <v>1837</v>
      </c>
      <c r="AF226" s="1042" t="s">
        <v>1838</v>
      </c>
    </row>
    <row r="227" spans="1:32" ht="15.75" x14ac:dyDescent="0.25">
      <c r="A227" s="2037" t="s">
        <v>1860</v>
      </c>
      <c r="B227" s="2038"/>
      <c r="C227" s="2038"/>
      <c r="D227" s="2038"/>
      <c r="E227" s="2038"/>
      <c r="F227" s="2038"/>
      <c r="G227" s="2038"/>
      <c r="H227" s="2038"/>
      <c r="I227" s="2038"/>
      <c r="J227" s="2038"/>
      <c r="K227" s="2038"/>
      <c r="L227" s="2038"/>
      <c r="M227" s="2038"/>
      <c r="N227" s="2038"/>
      <c r="O227" s="2038"/>
      <c r="P227" s="2038"/>
      <c r="Q227" s="2038"/>
      <c r="R227" s="2038"/>
      <c r="S227" s="2038"/>
      <c r="T227" s="2038"/>
      <c r="U227" s="2038"/>
      <c r="V227" s="2038"/>
      <c r="W227" s="2038"/>
      <c r="X227" s="2038"/>
      <c r="Y227" s="2038"/>
      <c r="Z227" s="2038"/>
      <c r="AA227" s="2038"/>
      <c r="AB227" s="2038"/>
      <c r="AC227" s="2038"/>
      <c r="AD227" s="2038"/>
      <c r="AE227" s="2039" t="s">
        <v>1839</v>
      </c>
      <c r="AF227" s="2040"/>
    </row>
    <row r="228" spans="1:32" ht="15.75" x14ac:dyDescent="0.25">
      <c r="A228" s="2041" t="s">
        <v>1840</v>
      </c>
      <c r="B228" s="2042"/>
      <c r="C228" s="2042"/>
      <c r="D228" s="2042"/>
      <c r="E228" s="2042"/>
      <c r="F228" s="2042"/>
      <c r="G228" s="2042"/>
      <c r="H228" s="2042"/>
      <c r="I228" s="2042"/>
      <c r="J228" s="2042"/>
      <c r="K228" s="2042"/>
      <c r="L228" s="2042"/>
      <c r="M228" s="2042"/>
      <c r="N228" s="2042"/>
      <c r="O228" s="2042"/>
      <c r="P228" s="2042"/>
      <c r="Q228" s="2042"/>
      <c r="R228" s="2042"/>
      <c r="S228" s="2042"/>
      <c r="T228" s="2042"/>
      <c r="U228" s="2042"/>
      <c r="V228" s="2042"/>
      <c r="W228" s="2042"/>
      <c r="X228" s="2042"/>
      <c r="Y228" s="2042"/>
      <c r="Z228" s="2042"/>
      <c r="AA228" s="2042"/>
      <c r="AB228" s="2042"/>
      <c r="AC228" s="2042"/>
      <c r="AD228" s="2043"/>
      <c r="AE228" s="2014" t="s">
        <v>1841</v>
      </c>
      <c r="AF228" s="2044"/>
    </row>
    <row r="229" spans="1:32" ht="15.75" x14ac:dyDescent="0.25">
      <c r="A229" s="2045" t="s">
        <v>1853</v>
      </c>
      <c r="B229" s="2046"/>
      <c r="C229" s="2046"/>
      <c r="D229" s="2046"/>
      <c r="E229" s="2046"/>
      <c r="F229" s="2046"/>
      <c r="G229" s="2046"/>
      <c r="H229" s="2046"/>
      <c r="I229" s="2046"/>
      <c r="J229" s="2046"/>
      <c r="K229" s="2046"/>
      <c r="L229" s="2046"/>
      <c r="M229" s="2046"/>
      <c r="N229" s="2046"/>
      <c r="O229" s="2046"/>
      <c r="P229" s="2046"/>
      <c r="Q229" s="2046"/>
      <c r="R229" s="2046"/>
      <c r="S229" s="2046"/>
      <c r="T229" s="2046"/>
      <c r="U229" s="2046"/>
      <c r="V229" s="2046"/>
      <c r="W229" s="2046"/>
      <c r="X229" s="2046"/>
      <c r="Y229" s="2046"/>
      <c r="Z229" s="2046"/>
      <c r="AA229" s="2046"/>
      <c r="AB229" s="2046"/>
      <c r="AC229" s="2046"/>
      <c r="AD229" s="2046"/>
      <c r="AE229" s="2047">
        <f>'01'!$M$13</f>
        <v>0</v>
      </c>
      <c r="AF229" s="2044"/>
    </row>
    <row r="230" spans="1:32" x14ac:dyDescent="0.2">
      <c r="A230" s="1046"/>
      <c r="B230" s="1047"/>
      <c r="C230" s="1047"/>
      <c r="D230" s="1047"/>
      <c r="E230" s="1047"/>
      <c r="F230" s="1047"/>
      <c r="G230" s="1047"/>
      <c r="H230" s="1047"/>
      <c r="I230" s="1047"/>
      <c r="J230" s="1047"/>
      <c r="K230" s="1047"/>
      <c r="L230" s="1047"/>
      <c r="M230" s="1047"/>
      <c r="N230" s="1047"/>
      <c r="O230" s="1047"/>
      <c r="P230" s="1047"/>
      <c r="Q230" s="1047"/>
      <c r="R230" s="1047"/>
      <c r="S230" s="1047"/>
      <c r="T230" s="1047"/>
      <c r="U230" s="1047"/>
      <c r="V230" s="1047"/>
      <c r="W230" s="1047"/>
      <c r="X230" s="1047"/>
      <c r="Y230" s="1047"/>
      <c r="Z230" s="1047"/>
      <c r="AA230" s="1047"/>
      <c r="AB230" s="1047"/>
      <c r="AC230" s="1047"/>
      <c r="AD230" s="1047"/>
      <c r="AE230" s="1047"/>
      <c r="AF230" s="1048"/>
    </row>
    <row r="231" spans="1:32" ht="15.75" x14ac:dyDescent="0.2">
      <c r="A231" s="2048" t="s">
        <v>1842</v>
      </c>
      <c r="B231" s="2049"/>
      <c r="C231" s="2049"/>
      <c r="D231" s="2049"/>
      <c r="E231" s="2049"/>
      <c r="F231" s="2050" t="str">
        <f>'01'!$H$16</f>
        <v>A -EMPATE CON LÍNEA DE ADUCCIÓN</v>
      </c>
      <c r="G231" s="2049"/>
      <c r="H231" s="2049"/>
      <c r="I231" s="2049"/>
      <c r="J231" s="2049"/>
      <c r="K231" s="2049"/>
      <c r="L231" s="2049"/>
      <c r="M231" s="2049"/>
      <c r="N231" s="2049"/>
      <c r="O231" s="2049"/>
      <c r="P231" s="2049"/>
      <c r="Q231" s="2049"/>
      <c r="R231" s="2049"/>
      <c r="S231" s="2049"/>
      <c r="T231" s="2049"/>
      <c r="U231" s="2049"/>
      <c r="V231" s="2049"/>
      <c r="W231" s="2049"/>
      <c r="X231" s="2049"/>
      <c r="Y231" s="2051"/>
      <c r="Z231" s="2052" t="s">
        <v>1843</v>
      </c>
      <c r="AA231" s="2053"/>
      <c r="AB231" s="2058" t="s">
        <v>1844</v>
      </c>
      <c r="AC231" s="2059"/>
      <c r="AD231" s="2060"/>
      <c r="AE231" s="2064" t="s">
        <v>1845</v>
      </c>
      <c r="AF231" s="2067" t="s">
        <v>1846</v>
      </c>
    </row>
    <row r="232" spans="1:32" x14ac:dyDescent="0.2">
      <c r="A232" s="2070" t="str">
        <f>'01'!A27</f>
        <v>A-04-02</v>
      </c>
      <c r="B232" s="2071"/>
      <c r="C232" s="2072"/>
      <c r="D232" s="2076" t="str">
        <f>VLOOKUP(A232,'01'!$A$12:$N$299,3,FALSE)</f>
        <v>DISPOSICIÓN DE MATERIAL PROVENIENTE DE EXCAVACIÓN (NO INCLUYE TRANSPORTE)</v>
      </c>
      <c r="E232" s="2077"/>
      <c r="F232" s="2077"/>
      <c r="G232" s="2077"/>
      <c r="H232" s="2077"/>
      <c r="I232" s="2077"/>
      <c r="J232" s="2077"/>
      <c r="K232" s="2077"/>
      <c r="L232" s="2077"/>
      <c r="M232" s="2077"/>
      <c r="N232" s="2077"/>
      <c r="O232" s="2077"/>
      <c r="P232" s="2077"/>
      <c r="Q232" s="2077"/>
      <c r="R232" s="2077"/>
      <c r="S232" s="2078"/>
      <c r="T232" s="2082" t="s">
        <v>124</v>
      </c>
      <c r="U232" s="2083"/>
      <c r="V232" s="2083"/>
      <c r="W232" s="2083"/>
      <c r="X232" s="2052" t="str">
        <f>VLOOKUP(A232,'01'!$A$12:$N$299,9,FALSE)</f>
        <v>M3</v>
      </c>
      <c r="Y232" s="2053"/>
      <c r="Z232" s="2054"/>
      <c r="AA232" s="2055"/>
      <c r="AB232" s="2061"/>
      <c r="AC232" s="2062"/>
      <c r="AD232" s="2063"/>
      <c r="AE232" s="2065"/>
      <c r="AF232" s="2068"/>
    </row>
    <row r="233" spans="1:32" ht="31.5" x14ac:dyDescent="0.25">
      <c r="A233" s="2073"/>
      <c r="B233" s="2074"/>
      <c r="C233" s="2075"/>
      <c r="D233" s="2079"/>
      <c r="E233" s="2080"/>
      <c r="F233" s="2080"/>
      <c r="G233" s="2080"/>
      <c r="H233" s="2080"/>
      <c r="I233" s="2080"/>
      <c r="J233" s="2080"/>
      <c r="K233" s="2080"/>
      <c r="L233" s="2080"/>
      <c r="M233" s="2080"/>
      <c r="N233" s="2080"/>
      <c r="O233" s="2080"/>
      <c r="P233" s="2080"/>
      <c r="Q233" s="2080"/>
      <c r="R233" s="2080"/>
      <c r="S233" s="2081"/>
      <c r="T233" s="2084"/>
      <c r="U233" s="2085"/>
      <c r="V233" s="2085"/>
      <c r="W233" s="2085"/>
      <c r="X233" s="2056"/>
      <c r="Y233" s="2057"/>
      <c r="Z233" s="2056"/>
      <c r="AA233" s="2057"/>
      <c r="AB233" s="1122" t="s">
        <v>2180</v>
      </c>
      <c r="AC233" s="1122" t="s">
        <v>2181</v>
      </c>
      <c r="AD233" s="1122" t="s">
        <v>1869</v>
      </c>
      <c r="AE233" s="2066"/>
      <c r="AF233" s="2069"/>
    </row>
    <row r="234" spans="1:32" ht="15.75" x14ac:dyDescent="0.25">
      <c r="A234" s="2017"/>
      <c r="B234" s="2018"/>
      <c r="C234" s="2018"/>
      <c r="D234" s="2018"/>
      <c r="E234" s="2018"/>
      <c r="F234" s="2018"/>
      <c r="G234" s="2018"/>
      <c r="H234" s="2018"/>
      <c r="I234" s="2018"/>
      <c r="J234" s="2018"/>
      <c r="K234" s="2018"/>
      <c r="L234" s="2018"/>
      <c r="M234" s="2018"/>
      <c r="N234" s="2018"/>
      <c r="O234" s="2018"/>
      <c r="P234" s="2018"/>
      <c r="Q234" s="2018"/>
      <c r="R234" s="2018"/>
      <c r="S234" s="2018"/>
      <c r="T234" s="2018"/>
      <c r="U234" s="2018"/>
      <c r="V234" s="2018"/>
      <c r="W234" s="2018"/>
      <c r="X234" s="2018"/>
      <c r="Y234" s="2094"/>
      <c r="Z234" s="2096" t="s">
        <v>2157</v>
      </c>
      <c r="AA234" s="2097"/>
      <c r="AB234" s="1050">
        <f>AB197</f>
        <v>4.5</v>
      </c>
      <c r="AC234" s="1050">
        <f>AC197</f>
        <v>3</v>
      </c>
      <c r="AD234" s="1050">
        <v>1.25</v>
      </c>
      <c r="AE234" s="1051">
        <v>1</v>
      </c>
      <c r="AF234" s="1052">
        <f>ROUND(AD234*(AB234-AC234),2)</f>
        <v>1.88</v>
      </c>
    </row>
    <row r="235" spans="1:32" ht="15.75" x14ac:dyDescent="0.25">
      <c r="A235" s="2017"/>
      <c r="B235" s="2018"/>
      <c r="C235" s="2018"/>
      <c r="D235" s="2018"/>
      <c r="E235" s="2018"/>
      <c r="F235" s="2018"/>
      <c r="G235" s="2018"/>
      <c r="H235" s="2018"/>
      <c r="I235" s="2018"/>
      <c r="J235" s="2018"/>
      <c r="K235" s="2018"/>
      <c r="L235" s="2018"/>
      <c r="M235" s="2018"/>
      <c r="N235" s="2018"/>
      <c r="O235" s="2018"/>
      <c r="P235" s="2018"/>
      <c r="Q235" s="2018"/>
      <c r="R235" s="2018"/>
      <c r="S235" s="2018"/>
      <c r="T235" s="2018"/>
      <c r="U235" s="2018"/>
      <c r="V235" s="2018"/>
      <c r="W235" s="2018"/>
      <c r="X235" s="2018"/>
      <c r="Y235" s="2094"/>
      <c r="Z235" s="2096"/>
      <c r="AA235" s="2097"/>
      <c r="AB235" s="1053"/>
      <c r="AC235" s="1053"/>
      <c r="AD235" s="1050"/>
      <c r="AE235" s="1051"/>
      <c r="AF235" s="1052"/>
    </row>
    <row r="236" spans="1:32" ht="15.75" x14ac:dyDescent="0.25">
      <c r="A236" s="2017"/>
      <c r="B236" s="2018"/>
      <c r="C236" s="2018"/>
      <c r="D236" s="2018"/>
      <c r="E236" s="2018"/>
      <c r="F236" s="2018"/>
      <c r="G236" s="2018"/>
      <c r="H236" s="2018"/>
      <c r="I236" s="2018"/>
      <c r="J236" s="2018"/>
      <c r="K236" s="2018"/>
      <c r="L236" s="2018"/>
      <c r="M236" s="2018"/>
      <c r="N236" s="2018"/>
      <c r="O236" s="2018"/>
      <c r="P236" s="2018"/>
      <c r="Q236" s="2018"/>
      <c r="R236" s="2018"/>
      <c r="S236" s="2018"/>
      <c r="T236" s="2018"/>
      <c r="U236" s="2018"/>
      <c r="V236" s="2018"/>
      <c r="W236" s="2018"/>
      <c r="X236" s="2018"/>
      <c r="Y236" s="2094"/>
      <c r="Z236" s="2096"/>
      <c r="AA236" s="2097"/>
      <c r="AB236" s="1053"/>
      <c r="AC236" s="1053"/>
      <c r="AD236" s="1050"/>
      <c r="AE236" s="1051"/>
      <c r="AF236" s="1052"/>
    </row>
    <row r="237" spans="1:32" ht="15.75" x14ac:dyDescent="0.25">
      <c r="A237" s="2017"/>
      <c r="B237" s="2018"/>
      <c r="C237" s="2018"/>
      <c r="D237" s="2018"/>
      <c r="E237" s="2018"/>
      <c r="F237" s="2018"/>
      <c r="G237" s="2018"/>
      <c r="H237" s="2018"/>
      <c r="I237" s="2018"/>
      <c r="J237" s="2018"/>
      <c r="K237" s="2018"/>
      <c r="L237" s="2018"/>
      <c r="M237" s="2018"/>
      <c r="N237" s="2018"/>
      <c r="O237" s="2018"/>
      <c r="P237" s="2018"/>
      <c r="Q237" s="2018"/>
      <c r="R237" s="2018"/>
      <c r="S237" s="2018"/>
      <c r="T237" s="2018"/>
      <c r="U237" s="2018"/>
      <c r="V237" s="2018"/>
      <c r="W237" s="2018"/>
      <c r="X237" s="2018"/>
      <c r="Y237" s="2094"/>
      <c r="Z237" s="2096"/>
      <c r="AA237" s="2097"/>
      <c r="AB237" s="1053"/>
      <c r="AC237" s="1053"/>
      <c r="AD237" s="1050"/>
      <c r="AE237" s="1051"/>
      <c r="AF237" s="1052"/>
    </row>
    <row r="238" spans="1:32" ht="15.75" x14ac:dyDescent="0.25">
      <c r="A238" s="2017"/>
      <c r="B238" s="2018"/>
      <c r="C238" s="2018"/>
      <c r="D238" s="2018"/>
      <c r="E238" s="2018"/>
      <c r="F238" s="2018"/>
      <c r="G238" s="2018"/>
      <c r="H238" s="2018"/>
      <c r="I238" s="2018"/>
      <c r="J238" s="2018"/>
      <c r="K238" s="2018"/>
      <c r="L238" s="2018"/>
      <c r="M238" s="2018"/>
      <c r="N238" s="2018"/>
      <c r="O238" s="2018"/>
      <c r="P238" s="2018"/>
      <c r="Q238" s="2018"/>
      <c r="R238" s="2018"/>
      <c r="S238" s="2018"/>
      <c r="T238" s="2018"/>
      <c r="U238" s="2018"/>
      <c r="V238" s="2018"/>
      <c r="W238" s="2018"/>
      <c r="X238" s="2018"/>
      <c r="Y238" s="2094"/>
      <c r="Z238" s="2096"/>
      <c r="AA238" s="2097"/>
      <c r="AB238" s="1053"/>
      <c r="AC238" s="1053"/>
      <c r="AD238" s="1050"/>
      <c r="AE238" s="1051"/>
      <c r="AF238" s="1052"/>
    </row>
    <row r="239" spans="1:32" ht="15.75" x14ac:dyDescent="0.25">
      <c r="A239" s="2017"/>
      <c r="B239" s="2018"/>
      <c r="C239" s="2018"/>
      <c r="D239" s="2018"/>
      <c r="E239" s="2018"/>
      <c r="F239" s="2018"/>
      <c r="G239" s="2018"/>
      <c r="H239" s="2018"/>
      <c r="I239" s="2018"/>
      <c r="J239" s="2018"/>
      <c r="K239" s="2018"/>
      <c r="L239" s="2018"/>
      <c r="M239" s="2018"/>
      <c r="N239" s="2018"/>
      <c r="O239" s="2018"/>
      <c r="P239" s="2018"/>
      <c r="Q239" s="2018"/>
      <c r="R239" s="2018"/>
      <c r="S239" s="2018"/>
      <c r="T239" s="2018"/>
      <c r="U239" s="2018"/>
      <c r="V239" s="2018"/>
      <c r="W239" s="2018"/>
      <c r="X239" s="2018"/>
      <c r="Y239" s="2094"/>
      <c r="Z239" s="2096"/>
      <c r="AA239" s="2097"/>
      <c r="AB239" s="1053"/>
      <c r="AC239" s="1053"/>
      <c r="AD239" s="1053"/>
      <c r="AE239" s="1051"/>
      <c r="AF239" s="1052"/>
    </row>
    <row r="240" spans="1:32" ht="15.75" x14ac:dyDescent="0.25">
      <c r="A240" s="2017"/>
      <c r="B240" s="2018"/>
      <c r="C240" s="2018"/>
      <c r="D240" s="2018"/>
      <c r="E240" s="2018"/>
      <c r="F240" s="2018"/>
      <c r="G240" s="2018"/>
      <c r="H240" s="2018"/>
      <c r="I240" s="2018"/>
      <c r="J240" s="2018"/>
      <c r="K240" s="2018"/>
      <c r="L240" s="2018"/>
      <c r="M240" s="2018"/>
      <c r="N240" s="2018"/>
      <c r="O240" s="2018"/>
      <c r="P240" s="2018"/>
      <c r="Q240" s="2018"/>
      <c r="R240" s="2018"/>
      <c r="S240" s="2018"/>
      <c r="T240" s="2018"/>
      <c r="U240" s="2018"/>
      <c r="V240" s="2018"/>
      <c r="W240" s="2018"/>
      <c r="X240" s="2018"/>
      <c r="Y240" s="2094"/>
      <c r="Z240" s="2096"/>
      <c r="AA240" s="2097"/>
      <c r="AB240" s="1053"/>
      <c r="AC240" s="1053"/>
      <c r="AD240" s="1053"/>
      <c r="AE240" s="1051"/>
      <c r="AF240" s="1052"/>
    </row>
    <row r="241" spans="1:32" ht="15.75" x14ac:dyDescent="0.25">
      <c r="A241" s="2017"/>
      <c r="B241" s="2018"/>
      <c r="C241" s="2018"/>
      <c r="D241" s="2018"/>
      <c r="E241" s="2018"/>
      <c r="F241" s="2018"/>
      <c r="G241" s="2018"/>
      <c r="H241" s="2018"/>
      <c r="I241" s="2018"/>
      <c r="J241" s="2018"/>
      <c r="K241" s="2018"/>
      <c r="L241" s="2018"/>
      <c r="M241" s="2018"/>
      <c r="N241" s="2018"/>
      <c r="O241" s="2018"/>
      <c r="P241" s="2018"/>
      <c r="Q241" s="2018"/>
      <c r="R241" s="2018"/>
      <c r="S241" s="2018"/>
      <c r="T241" s="2018"/>
      <c r="U241" s="2018"/>
      <c r="V241" s="2018"/>
      <c r="W241" s="2018"/>
      <c r="X241" s="2018"/>
      <c r="Y241" s="2094"/>
      <c r="Z241" s="2096"/>
      <c r="AA241" s="2097"/>
      <c r="AB241" s="1053"/>
      <c r="AC241" s="1053"/>
      <c r="AD241" s="1053"/>
      <c r="AE241" s="1051"/>
      <c r="AF241" s="1052"/>
    </row>
    <row r="242" spans="1:32" ht="15.75" x14ac:dyDescent="0.25">
      <c r="A242" s="2017"/>
      <c r="B242" s="2018"/>
      <c r="C242" s="2018"/>
      <c r="D242" s="2018"/>
      <c r="E242" s="2018"/>
      <c r="F242" s="2018"/>
      <c r="G242" s="2018"/>
      <c r="H242" s="2018"/>
      <c r="I242" s="2018"/>
      <c r="J242" s="2018"/>
      <c r="K242" s="2018"/>
      <c r="L242" s="2018"/>
      <c r="M242" s="2018"/>
      <c r="N242" s="2018"/>
      <c r="O242" s="2018"/>
      <c r="P242" s="2018"/>
      <c r="Q242" s="2018"/>
      <c r="R242" s="2018"/>
      <c r="S242" s="2018"/>
      <c r="T242" s="2018"/>
      <c r="U242" s="2018"/>
      <c r="V242" s="2018"/>
      <c r="W242" s="2018"/>
      <c r="X242" s="2018"/>
      <c r="Y242" s="2094"/>
      <c r="Z242" s="2096"/>
      <c r="AA242" s="2097"/>
      <c r="AB242" s="1053"/>
      <c r="AC242" s="1053"/>
      <c r="AD242" s="1053"/>
      <c r="AE242" s="1050"/>
      <c r="AF242" s="1054"/>
    </row>
    <row r="243" spans="1:32" ht="15.75" x14ac:dyDescent="0.25">
      <c r="A243" s="2017"/>
      <c r="B243" s="2018"/>
      <c r="C243" s="2018"/>
      <c r="D243" s="2018"/>
      <c r="E243" s="2018"/>
      <c r="F243" s="2018"/>
      <c r="G243" s="2018"/>
      <c r="H243" s="2018"/>
      <c r="I243" s="2018"/>
      <c r="J243" s="2018"/>
      <c r="K243" s="2018"/>
      <c r="L243" s="2018"/>
      <c r="M243" s="2018"/>
      <c r="N243" s="2018"/>
      <c r="O243" s="2018"/>
      <c r="P243" s="2018"/>
      <c r="Q243" s="2018"/>
      <c r="R243" s="2018"/>
      <c r="S243" s="2018"/>
      <c r="T243" s="2018"/>
      <c r="U243" s="2018"/>
      <c r="V243" s="2018"/>
      <c r="W243" s="2018"/>
      <c r="X243" s="2018"/>
      <c r="Y243" s="2094"/>
      <c r="Z243" s="2096"/>
      <c r="AA243" s="2097"/>
      <c r="AB243" s="1053"/>
      <c r="AC243" s="1053"/>
      <c r="AD243" s="1053"/>
      <c r="AE243" s="1051"/>
      <c r="AF243" s="1054"/>
    </row>
    <row r="244" spans="1:32" ht="15.75" x14ac:dyDescent="0.25">
      <c r="A244" s="2017"/>
      <c r="B244" s="2018"/>
      <c r="C244" s="2018"/>
      <c r="D244" s="2018"/>
      <c r="E244" s="2018"/>
      <c r="F244" s="2018"/>
      <c r="G244" s="2018"/>
      <c r="H244" s="2018"/>
      <c r="I244" s="2018"/>
      <c r="J244" s="2018"/>
      <c r="K244" s="2018"/>
      <c r="L244" s="2018"/>
      <c r="M244" s="2018"/>
      <c r="N244" s="2018"/>
      <c r="O244" s="2018"/>
      <c r="P244" s="2018"/>
      <c r="Q244" s="2018"/>
      <c r="R244" s="2018"/>
      <c r="S244" s="2018"/>
      <c r="T244" s="2018"/>
      <c r="U244" s="2018"/>
      <c r="V244" s="2018"/>
      <c r="W244" s="2018"/>
      <c r="X244" s="2018"/>
      <c r="Y244" s="2094"/>
      <c r="Z244" s="2096"/>
      <c r="AA244" s="2097"/>
      <c r="AB244" s="1053"/>
      <c r="AC244" s="1053"/>
      <c r="AD244" s="1053"/>
      <c r="AE244" s="1051"/>
      <c r="AF244" s="1054"/>
    </row>
    <row r="245" spans="1:32" ht="15.75" x14ac:dyDescent="0.25">
      <c r="A245" s="2017"/>
      <c r="B245" s="2018"/>
      <c r="C245" s="2018"/>
      <c r="D245" s="2018"/>
      <c r="E245" s="2018"/>
      <c r="F245" s="2018"/>
      <c r="G245" s="2018"/>
      <c r="H245" s="2018"/>
      <c r="I245" s="2018"/>
      <c r="J245" s="2018"/>
      <c r="K245" s="2018"/>
      <c r="L245" s="2018"/>
      <c r="M245" s="2018"/>
      <c r="N245" s="2018"/>
      <c r="O245" s="2018"/>
      <c r="P245" s="2018"/>
      <c r="Q245" s="2018"/>
      <c r="R245" s="2018"/>
      <c r="S245" s="2018"/>
      <c r="T245" s="2018"/>
      <c r="U245" s="2018"/>
      <c r="V245" s="2018"/>
      <c r="W245" s="2018"/>
      <c r="X245" s="2018"/>
      <c r="Y245" s="2094"/>
      <c r="Z245" s="2096"/>
      <c r="AA245" s="2097"/>
      <c r="AB245" s="1053"/>
      <c r="AC245" s="1053"/>
      <c r="AD245" s="1053"/>
      <c r="AE245" s="1051"/>
      <c r="AF245" s="1054"/>
    </row>
    <row r="246" spans="1:32" ht="15.75" x14ac:dyDescent="0.25">
      <c r="A246" s="2017"/>
      <c r="B246" s="2018"/>
      <c r="C246" s="2018"/>
      <c r="D246" s="2018"/>
      <c r="E246" s="2018"/>
      <c r="F246" s="2018"/>
      <c r="G246" s="2018"/>
      <c r="H246" s="2018"/>
      <c r="I246" s="2018"/>
      <c r="J246" s="2018"/>
      <c r="K246" s="2018"/>
      <c r="L246" s="2018"/>
      <c r="M246" s="2018"/>
      <c r="N246" s="2018"/>
      <c r="O246" s="2018"/>
      <c r="P246" s="2018"/>
      <c r="Q246" s="2018"/>
      <c r="R246" s="2018"/>
      <c r="S246" s="2018"/>
      <c r="T246" s="2018"/>
      <c r="U246" s="2018"/>
      <c r="V246" s="2018"/>
      <c r="W246" s="2018"/>
      <c r="X246" s="2018"/>
      <c r="Y246" s="2094"/>
      <c r="Z246" s="2096"/>
      <c r="AA246" s="2097"/>
      <c r="AB246" s="1053"/>
      <c r="AC246" s="1053"/>
      <c r="AD246" s="1053"/>
      <c r="AE246" s="1051"/>
      <c r="AF246" s="1054"/>
    </row>
    <row r="247" spans="1:32" ht="15.75" x14ac:dyDescent="0.25">
      <c r="A247" s="2017"/>
      <c r="B247" s="2018"/>
      <c r="C247" s="2018"/>
      <c r="D247" s="2018"/>
      <c r="E247" s="2018"/>
      <c r="F247" s="2018"/>
      <c r="G247" s="2018"/>
      <c r="H247" s="2018"/>
      <c r="I247" s="2018"/>
      <c r="J247" s="2018"/>
      <c r="K247" s="2018"/>
      <c r="L247" s="2018"/>
      <c r="M247" s="2018"/>
      <c r="N247" s="2018"/>
      <c r="O247" s="2018"/>
      <c r="P247" s="2018"/>
      <c r="Q247" s="2018"/>
      <c r="R247" s="2018"/>
      <c r="S247" s="2018"/>
      <c r="T247" s="2018"/>
      <c r="U247" s="2018"/>
      <c r="V247" s="2018"/>
      <c r="W247" s="2018"/>
      <c r="X247" s="2018"/>
      <c r="Y247" s="2094"/>
      <c r="Z247" s="2096"/>
      <c r="AA247" s="2097"/>
      <c r="AB247" s="1053"/>
      <c r="AC247" s="1053"/>
      <c r="AD247" s="1053"/>
      <c r="AE247" s="1051"/>
      <c r="AF247" s="1054"/>
    </row>
    <row r="248" spans="1:32" ht="15.75" x14ac:dyDescent="0.25">
      <c r="A248" s="2017"/>
      <c r="B248" s="2018"/>
      <c r="C248" s="2018"/>
      <c r="D248" s="2018"/>
      <c r="E248" s="2018"/>
      <c r="F248" s="2018"/>
      <c r="G248" s="2018"/>
      <c r="H248" s="2018"/>
      <c r="I248" s="2018"/>
      <c r="J248" s="2018"/>
      <c r="K248" s="2018"/>
      <c r="L248" s="2018"/>
      <c r="M248" s="2018"/>
      <c r="N248" s="2018"/>
      <c r="O248" s="2018"/>
      <c r="P248" s="2018"/>
      <c r="Q248" s="2018"/>
      <c r="R248" s="2018"/>
      <c r="S248" s="2018"/>
      <c r="T248" s="2018"/>
      <c r="U248" s="2018"/>
      <c r="V248" s="2018"/>
      <c r="W248" s="2018"/>
      <c r="X248" s="2018"/>
      <c r="Y248" s="2094"/>
      <c r="Z248" s="2096"/>
      <c r="AA248" s="2097"/>
      <c r="AB248" s="1055"/>
      <c r="AC248" s="1055"/>
      <c r="AD248" s="1055"/>
      <c r="AE248" s="1051"/>
      <c r="AF248" s="1056"/>
    </row>
    <row r="249" spans="1:32" ht="15.75" x14ac:dyDescent="0.25">
      <c r="A249" s="2017"/>
      <c r="B249" s="2018"/>
      <c r="C249" s="2018"/>
      <c r="D249" s="2018"/>
      <c r="E249" s="2018"/>
      <c r="F249" s="2018"/>
      <c r="G249" s="2018"/>
      <c r="H249" s="2018"/>
      <c r="I249" s="2018"/>
      <c r="J249" s="2018"/>
      <c r="K249" s="2018"/>
      <c r="L249" s="2018"/>
      <c r="M249" s="2018"/>
      <c r="N249" s="2018"/>
      <c r="O249" s="2018"/>
      <c r="P249" s="2018"/>
      <c r="Q249" s="2018"/>
      <c r="R249" s="2018"/>
      <c r="S249" s="2018"/>
      <c r="T249" s="2018"/>
      <c r="U249" s="2018"/>
      <c r="V249" s="2018"/>
      <c r="W249" s="2018"/>
      <c r="X249" s="2018"/>
      <c r="Y249" s="2094"/>
      <c r="Z249" s="2096"/>
      <c r="AA249" s="2097"/>
      <c r="AB249" s="1055"/>
      <c r="AC249" s="1055"/>
      <c r="AD249" s="1055"/>
      <c r="AE249" s="1055"/>
      <c r="AF249" s="1056"/>
    </row>
    <row r="250" spans="1:32" ht="15.75" x14ac:dyDescent="0.25">
      <c r="A250" s="2017"/>
      <c r="B250" s="2018"/>
      <c r="C250" s="2018"/>
      <c r="D250" s="2018"/>
      <c r="E250" s="2018"/>
      <c r="F250" s="2018"/>
      <c r="G250" s="2018"/>
      <c r="H250" s="2018"/>
      <c r="I250" s="2018"/>
      <c r="J250" s="2018"/>
      <c r="K250" s="2018"/>
      <c r="L250" s="2018"/>
      <c r="M250" s="2018"/>
      <c r="N250" s="2018"/>
      <c r="O250" s="2018"/>
      <c r="P250" s="2018"/>
      <c r="Q250" s="2018"/>
      <c r="R250" s="2018"/>
      <c r="S250" s="2018"/>
      <c r="T250" s="2018"/>
      <c r="U250" s="2018"/>
      <c r="V250" s="2018"/>
      <c r="W250" s="2018"/>
      <c r="X250" s="2018"/>
      <c r="Y250" s="2094"/>
      <c r="Z250" s="2096"/>
      <c r="AA250" s="2097"/>
      <c r="AB250" s="1055"/>
      <c r="AC250" s="1055"/>
      <c r="AD250" s="1055"/>
      <c r="AE250" s="1055"/>
      <c r="AF250" s="1056"/>
    </row>
    <row r="251" spans="1:32" ht="15.75" x14ac:dyDescent="0.25">
      <c r="A251" s="2017"/>
      <c r="B251" s="2018"/>
      <c r="C251" s="2018"/>
      <c r="D251" s="2018"/>
      <c r="E251" s="2018"/>
      <c r="F251" s="2018"/>
      <c r="G251" s="2018"/>
      <c r="H251" s="2018"/>
      <c r="I251" s="2018"/>
      <c r="J251" s="2018"/>
      <c r="K251" s="2018"/>
      <c r="L251" s="2018"/>
      <c r="M251" s="2018"/>
      <c r="N251" s="2018"/>
      <c r="O251" s="2018"/>
      <c r="P251" s="2018"/>
      <c r="Q251" s="2018"/>
      <c r="R251" s="2018"/>
      <c r="S251" s="2018"/>
      <c r="T251" s="2018"/>
      <c r="U251" s="2018"/>
      <c r="V251" s="2018"/>
      <c r="W251" s="2018"/>
      <c r="X251" s="2018"/>
      <c r="Y251" s="2094"/>
      <c r="Z251" s="2096"/>
      <c r="AA251" s="2097"/>
      <c r="AB251" s="1055"/>
      <c r="AC251" s="1055"/>
      <c r="AD251" s="1055"/>
      <c r="AE251" s="1055"/>
      <c r="AF251" s="1056"/>
    </row>
    <row r="252" spans="1:32" ht="15.75" x14ac:dyDescent="0.25">
      <c r="A252" s="2017"/>
      <c r="B252" s="2018"/>
      <c r="C252" s="2018"/>
      <c r="D252" s="2018"/>
      <c r="E252" s="2018"/>
      <c r="F252" s="2018"/>
      <c r="G252" s="2018"/>
      <c r="H252" s="2018"/>
      <c r="I252" s="2018"/>
      <c r="J252" s="2018"/>
      <c r="K252" s="2018"/>
      <c r="L252" s="2018"/>
      <c r="M252" s="2018"/>
      <c r="N252" s="2018"/>
      <c r="O252" s="2018"/>
      <c r="P252" s="2018"/>
      <c r="Q252" s="2018"/>
      <c r="R252" s="2018"/>
      <c r="S252" s="2018"/>
      <c r="T252" s="2018"/>
      <c r="U252" s="2018"/>
      <c r="V252" s="2018"/>
      <c r="W252" s="2018"/>
      <c r="X252" s="2018"/>
      <c r="Y252" s="2094"/>
      <c r="Z252" s="2096"/>
      <c r="AA252" s="2097"/>
      <c r="AB252" s="1055"/>
      <c r="AC252" s="1055"/>
      <c r="AD252" s="1055"/>
      <c r="AE252" s="1055"/>
      <c r="AF252" s="1056"/>
    </row>
    <row r="253" spans="1:32" ht="16.5" thickBot="1" x14ac:dyDescent="0.3">
      <c r="A253" s="2019"/>
      <c r="B253" s="2020"/>
      <c r="C253" s="2020"/>
      <c r="D253" s="2020"/>
      <c r="E253" s="2020"/>
      <c r="F253" s="2020"/>
      <c r="G253" s="2020"/>
      <c r="H253" s="2020"/>
      <c r="I253" s="2020"/>
      <c r="J253" s="2020"/>
      <c r="K253" s="2020"/>
      <c r="L253" s="2020"/>
      <c r="M253" s="2020"/>
      <c r="N253" s="2020"/>
      <c r="O253" s="2020"/>
      <c r="P253" s="2020"/>
      <c r="Q253" s="2020"/>
      <c r="R253" s="2020"/>
      <c r="S253" s="2020"/>
      <c r="T253" s="2020"/>
      <c r="U253" s="2020"/>
      <c r="V253" s="2020"/>
      <c r="W253" s="2020"/>
      <c r="X253" s="2020"/>
      <c r="Y253" s="2095"/>
      <c r="Z253" s="2098"/>
      <c r="AA253" s="2099"/>
      <c r="AB253" s="1057"/>
      <c r="AC253" s="1057"/>
      <c r="AD253" s="1057"/>
      <c r="AE253" s="1057"/>
      <c r="AF253" s="1058"/>
    </row>
    <row r="254" spans="1:32" ht="15.75" x14ac:dyDescent="0.25">
      <c r="A254" s="2009" t="s">
        <v>2158</v>
      </c>
      <c r="B254" s="2010"/>
      <c r="C254" s="2010"/>
      <c r="D254" s="2010"/>
      <c r="E254" s="2010"/>
      <c r="F254" s="2010"/>
      <c r="G254" s="2010"/>
      <c r="H254" s="2010"/>
      <c r="I254" s="2010"/>
      <c r="J254" s="2010"/>
      <c r="K254" s="2010"/>
      <c r="L254" s="2010"/>
      <c r="M254" s="2010"/>
      <c r="N254" s="2010"/>
      <c r="O254" s="2010"/>
      <c r="P254" s="2010"/>
      <c r="Q254" s="2010"/>
      <c r="R254" s="2010"/>
      <c r="S254" s="2010"/>
      <c r="T254" s="2010"/>
      <c r="U254" s="2010"/>
      <c r="V254" s="2010"/>
      <c r="W254" s="2010"/>
      <c r="X254" s="2010"/>
      <c r="Y254" s="2010"/>
      <c r="Z254" s="2013" t="s">
        <v>1850</v>
      </c>
      <c r="AA254" s="2013"/>
      <c r="AB254" s="2013"/>
      <c r="AC254" s="2013"/>
      <c r="AD254" s="2013"/>
      <c r="AE254" s="2013"/>
      <c r="AF254" s="1059">
        <f>SUM(AF234:AF253)</f>
        <v>1.88</v>
      </c>
    </row>
    <row r="255" spans="1:32" ht="15.75" x14ac:dyDescent="0.25">
      <c r="A255" s="2011"/>
      <c r="B255" s="2012"/>
      <c r="C255" s="2012"/>
      <c r="D255" s="2012"/>
      <c r="E255" s="2012"/>
      <c r="F255" s="2012"/>
      <c r="G255" s="2012"/>
      <c r="H255" s="2012"/>
      <c r="I255" s="2012"/>
      <c r="J255" s="2012"/>
      <c r="K255" s="2012"/>
      <c r="L255" s="2012"/>
      <c r="M255" s="2012"/>
      <c r="N255" s="2012"/>
      <c r="O255" s="2012"/>
      <c r="P255" s="2012"/>
      <c r="Q255" s="2012"/>
      <c r="R255" s="2012"/>
      <c r="S255" s="2012"/>
      <c r="T255" s="2012"/>
      <c r="U255" s="2012"/>
      <c r="V255" s="2012"/>
      <c r="W255" s="2012"/>
      <c r="X255" s="2012"/>
      <c r="Y255" s="2012"/>
      <c r="Z255" s="2014" t="s">
        <v>1851</v>
      </c>
      <c r="AA255" s="2014"/>
      <c r="AB255" s="2014"/>
      <c r="AC255" s="2014"/>
      <c r="AD255" s="2014"/>
      <c r="AE255" s="2014"/>
      <c r="AF255" s="1060">
        <v>0</v>
      </c>
    </row>
    <row r="256" spans="1:32" ht="15.75" x14ac:dyDescent="0.25">
      <c r="A256" s="2011"/>
      <c r="B256" s="2012"/>
      <c r="C256" s="2012"/>
      <c r="D256" s="2012"/>
      <c r="E256" s="2012"/>
      <c r="F256" s="2012"/>
      <c r="G256" s="2012"/>
      <c r="H256" s="2012"/>
      <c r="I256" s="2012"/>
      <c r="J256" s="2012"/>
      <c r="K256" s="2012"/>
      <c r="L256" s="2012"/>
      <c r="M256" s="2012"/>
      <c r="N256" s="2012"/>
      <c r="O256" s="2012"/>
      <c r="P256" s="2012"/>
      <c r="Q256" s="2012"/>
      <c r="R256" s="2012"/>
      <c r="S256" s="2012"/>
      <c r="T256" s="2012"/>
      <c r="U256" s="2012"/>
      <c r="V256" s="2012"/>
      <c r="W256" s="2012"/>
      <c r="X256" s="2012"/>
      <c r="Y256" s="2012"/>
      <c r="Z256" s="2015" t="s">
        <v>1833</v>
      </c>
      <c r="AA256" s="2015"/>
      <c r="AB256" s="2015"/>
      <c r="AC256" s="2015"/>
      <c r="AD256" s="2015"/>
      <c r="AE256" s="2015"/>
      <c r="AF256" s="1061">
        <f>SUM(AF254:AF255)</f>
        <v>1.88</v>
      </c>
    </row>
    <row r="257" spans="1:32" x14ac:dyDescent="0.2">
      <c r="A257" s="2012" t="s">
        <v>1859</v>
      </c>
      <c r="B257" s="2012"/>
      <c r="C257" s="2012"/>
      <c r="D257" s="2012"/>
      <c r="E257" s="2012"/>
      <c r="F257" s="2012"/>
      <c r="G257" s="2012"/>
      <c r="H257" s="2012"/>
      <c r="I257" s="2012"/>
      <c r="J257" s="2012"/>
      <c r="K257" s="2012"/>
      <c r="L257" s="2012"/>
      <c r="M257" s="2012"/>
      <c r="N257" s="2012"/>
      <c r="O257" s="2012"/>
      <c r="P257" s="2012"/>
      <c r="Q257" s="2012"/>
      <c r="R257" s="2012"/>
      <c r="S257" s="2012"/>
      <c r="T257" s="2016" t="s">
        <v>1840</v>
      </c>
      <c r="U257" s="2016"/>
      <c r="V257" s="2016"/>
      <c r="W257" s="2016"/>
      <c r="X257" s="2016"/>
      <c r="Y257" s="2016"/>
      <c r="Z257" s="2016"/>
      <c r="AA257" s="2016"/>
      <c r="AB257" s="2012" t="s">
        <v>1852</v>
      </c>
      <c r="AC257" s="2012"/>
      <c r="AD257" s="2012"/>
      <c r="AE257" s="2012"/>
      <c r="AF257" s="2012"/>
    </row>
    <row r="258" spans="1:32" x14ac:dyDescent="0.2">
      <c r="A258" s="2012"/>
      <c r="B258" s="2012"/>
      <c r="C258" s="2012"/>
      <c r="D258" s="2012"/>
      <c r="E258" s="2012"/>
      <c r="F258" s="2012"/>
      <c r="G258" s="2012"/>
      <c r="H258" s="2012"/>
      <c r="I258" s="2012"/>
      <c r="J258" s="2012"/>
      <c r="K258" s="2012"/>
      <c r="L258" s="2012"/>
      <c r="M258" s="2012"/>
      <c r="N258" s="2012"/>
      <c r="O258" s="2012"/>
      <c r="P258" s="2012"/>
      <c r="Q258" s="2012"/>
      <c r="R258" s="2012"/>
      <c r="S258" s="2012"/>
      <c r="T258" s="2016"/>
      <c r="U258" s="2016"/>
      <c r="V258" s="2016"/>
      <c r="W258" s="2016"/>
      <c r="X258" s="2016"/>
      <c r="Y258" s="2016"/>
      <c r="Z258" s="2016"/>
      <c r="AA258" s="2016"/>
      <c r="AB258" s="2012"/>
      <c r="AC258" s="2012"/>
      <c r="AD258" s="2012"/>
      <c r="AE258" s="2012"/>
      <c r="AF258" s="2012"/>
    </row>
    <row r="259" spans="1:32" ht="16.5" thickBot="1" x14ac:dyDescent="0.25">
      <c r="A259" s="1062"/>
      <c r="B259" s="1062"/>
      <c r="C259" s="1062"/>
      <c r="D259" s="1062"/>
      <c r="E259" s="1062"/>
      <c r="F259" s="1062"/>
      <c r="G259" s="1062"/>
      <c r="H259" s="1062"/>
      <c r="I259" s="1062"/>
      <c r="J259" s="1062"/>
      <c r="K259" s="1062"/>
      <c r="L259" s="1062"/>
      <c r="M259" s="1062"/>
      <c r="N259" s="1062"/>
      <c r="O259" s="1062"/>
      <c r="P259" s="1062"/>
      <c r="Q259" s="1062"/>
      <c r="R259" s="1062"/>
      <c r="S259" s="1062"/>
      <c r="T259" s="1063"/>
      <c r="U259" s="1063"/>
      <c r="V259" s="1063"/>
      <c r="W259" s="1063"/>
      <c r="X259" s="1063"/>
      <c r="Y259" s="1063"/>
      <c r="Z259" s="1063"/>
      <c r="AA259" s="1063"/>
      <c r="AB259" s="1062"/>
      <c r="AC259" s="1062"/>
      <c r="AD259" s="1062"/>
      <c r="AE259" s="1064"/>
      <c r="AF259" s="1065"/>
    </row>
    <row r="260" spans="1:32" ht="15.75" x14ac:dyDescent="0.2">
      <c r="A260" s="2025" t="s">
        <v>1854</v>
      </c>
      <c r="B260" s="2026"/>
      <c r="C260" s="2026"/>
      <c r="D260" s="2026"/>
      <c r="E260" s="2026"/>
      <c r="F260" s="2026"/>
      <c r="G260" s="2026"/>
      <c r="H260" s="2026"/>
      <c r="I260" s="2026"/>
      <c r="J260" s="2026"/>
      <c r="K260" s="2026"/>
      <c r="L260" s="2026"/>
      <c r="M260" s="2026"/>
      <c r="N260" s="2026"/>
      <c r="O260" s="2026"/>
      <c r="P260" s="2026"/>
      <c r="Q260" s="2026"/>
      <c r="R260" s="2026"/>
      <c r="S260" s="2026"/>
      <c r="T260" s="2026"/>
      <c r="U260" s="2026"/>
      <c r="V260" s="2026"/>
      <c r="W260" s="2026"/>
      <c r="X260" s="2026"/>
      <c r="Y260" s="2026"/>
      <c r="Z260" s="2026"/>
      <c r="AA260" s="2026"/>
      <c r="AB260" s="2026"/>
      <c r="AC260" s="2026"/>
      <c r="AD260" s="2026"/>
      <c r="AE260" s="1041" t="s">
        <v>1834</v>
      </c>
      <c r="AF260" s="1042" t="s">
        <v>1835</v>
      </c>
    </row>
    <row r="261" spans="1:32" ht="16.5" thickBot="1" x14ac:dyDescent="0.25">
      <c r="A261" s="2027"/>
      <c r="B261" s="2028"/>
      <c r="C261" s="2028"/>
      <c r="D261" s="2028"/>
      <c r="E261" s="2028"/>
      <c r="F261" s="2028"/>
      <c r="G261" s="2028"/>
      <c r="H261" s="2028"/>
      <c r="I261" s="2028"/>
      <c r="J261" s="2028"/>
      <c r="K261" s="2028"/>
      <c r="L261" s="2028"/>
      <c r="M261" s="2028"/>
      <c r="N261" s="2028"/>
      <c r="O261" s="2028"/>
      <c r="P261" s="2028"/>
      <c r="Q261" s="2028"/>
      <c r="R261" s="2028"/>
      <c r="S261" s="2028"/>
      <c r="T261" s="2028"/>
      <c r="U261" s="2028"/>
      <c r="V261" s="2028"/>
      <c r="W261" s="2028"/>
      <c r="X261" s="2028"/>
      <c r="Y261" s="2028"/>
      <c r="Z261" s="2028"/>
      <c r="AA261" s="2028"/>
      <c r="AB261" s="2028"/>
      <c r="AC261" s="2028"/>
      <c r="AD261" s="2028"/>
      <c r="AE261" s="1041" t="s">
        <v>1836</v>
      </c>
      <c r="AF261" s="1044">
        <v>1</v>
      </c>
    </row>
    <row r="262" spans="1:32" ht="15.75" x14ac:dyDescent="0.2">
      <c r="A262" s="2029"/>
      <c r="B262" s="2030"/>
      <c r="C262" s="2030"/>
      <c r="D262" s="2031"/>
      <c r="E262" s="2025" t="str">
        <f>'01'!$A$12</f>
        <v>"CONSTRUCCION SISTEMA DE ACUEDUCTO FASE II DEL MUNICIPIO DE TESALIA DPTO DEL HUILA"</v>
      </c>
      <c r="F262" s="2026"/>
      <c r="G262" s="2026"/>
      <c r="H262" s="2026"/>
      <c r="I262" s="2026"/>
      <c r="J262" s="2026"/>
      <c r="K262" s="2026"/>
      <c r="L262" s="2026"/>
      <c r="M262" s="2026"/>
      <c r="N262" s="2026"/>
      <c r="O262" s="2026"/>
      <c r="P262" s="2026"/>
      <c r="Q262" s="2026"/>
      <c r="R262" s="2026"/>
      <c r="S262" s="2026"/>
      <c r="T262" s="2026"/>
      <c r="U262" s="2026"/>
      <c r="V262" s="2026"/>
      <c r="W262" s="2026"/>
      <c r="X262" s="2026"/>
      <c r="Y262" s="2026"/>
      <c r="Z262" s="2026"/>
      <c r="AA262" s="2026"/>
      <c r="AB262" s="2026"/>
      <c r="AC262" s="2026"/>
      <c r="AD262" s="2035"/>
      <c r="AE262" s="1041" t="s">
        <v>847</v>
      </c>
      <c r="AF262" s="1045">
        <f>'01'!$M$13</f>
        <v>0</v>
      </c>
    </row>
    <row r="263" spans="1:32" ht="16.5" thickBot="1" x14ac:dyDescent="0.25">
      <c r="A263" s="2032"/>
      <c r="B263" s="2033"/>
      <c r="C263" s="2033"/>
      <c r="D263" s="2034"/>
      <c r="E263" s="2027"/>
      <c r="F263" s="2028"/>
      <c r="G263" s="2028"/>
      <c r="H263" s="2028"/>
      <c r="I263" s="2028"/>
      <c r="J263" s="2028"/>
      <c r="K263" s="2028"/>
      <c r="L263" s="2028"/>
      <c r="M263" s="2028"/>
      <c r="N263" s="2028"/>
      <c r="O263" s="2028"/>
      <c r="P263" s="2028"/>
      <c r="Q263" s="2028"/>
      <c r="R263" s="2028"/>
      <c r="S263" s="2028"/>
      <c r="T263" s="2028"/>
      <c r="U263" s="2028"/>
      <c r="V263" s="2028"/>
      <c r="W263" s="2028"/>
      <c r="X263" s="2028"/>
      <c r="Y263" s="2028"/>
      <c r="Z263" s="2028"/>
      <c r="AA263" s="2028"/>
      <c r="AB263" s="2028"/>
      <c r="AC263" s="2028"/>
      <c r="AD263" s="2036"/>
      <c r="AE263" s="1041" t="s">
        <v>1837</v>
      </c>
      <c r="AF263" s="1042" t="s">
        <v>1838</v>
      </c>
    </row>
    <row r="264" spans="1:32" ht="15.75" x14ac:dyDescent="0.25">
      <c r="A264" s="2037" t="s">
        <v>1860</v>
      </c>
      <c r="B264" s="2038"/>
      <c r="C264" s="2038"/>
      <c r="D264" s="2038"/>
      <c r="E264" s="2038"/>
      <c r="F264" s="2038"/>
      <c r="G264" s="2038"/>
      <c r="H264" s="2038"/>
      <c r="I264" s="2038"/>
      <c r="J264" s="2038"/>
      <c r="K264" s="2038"/>
      <c r="L264" s="2038"/>
      <c r="M264" s="2038"/>
      <c r="N264" s="2038"/>
      <c r="O264" s="2038"/>
      <c r="P264" s="2038"/>
      <c r="Q264" s="2038"/>
      <c r="R264" s="2038"/>
      <c r="S264" s="2038"/>
      <c r="T264" s="2038"/>
      <c r="U264" s="2038"/>
      <c r="V264" s="2038"/>
      <c r="W264" s="2038"/>
      <c r="X264" s="2038"/>
      <c r="Y264" s="2038"/>
      <c r="Z264" s="2038"/>
      <c r="AA264" s="2038"/>
      <c r="AB264" s="2038"/>
      <c r="AC264" s="2038"/>
      <c r="AD264" s="2038"/>
      <c r="AE264" s="2039" t="s">
        <v>1839</v>
      </c>
      <c r="AF264" s="2040"/>
    </row>
    <row r="265" spans="1:32" ht="15.75" x14ac:dyDescent="0.25">
      <c r="A265" s="2041" t="s">
        <v>1840</v>
      </c>
      <c r="B265" s="2042"/>
      <c r="C265" s="2042"/>
      <c r="D265" s="2042"/>
      <c r="E265" s="2042"/>
      <c r="F265" s="2042"/>
      <c r="G265" s="2042"/>
      <c r="H265" s="2042"/>
      <c r="I265" s="2042"/>
      <c r="J265" s="2042"/>
      <c r="K265" s="2042"/>
      <c r="L265" s="2042"/>
      <c r="M265" s="2042"/>
      <c r="N265" s="2042"/>
      <c r="O265" s="2042"/>
      <c r="P265" s="2042"/>
      <c r="Q265" s="2042"/>
      <c r="R265" s="2042"/>
      <c r="S265" s="2042"/>
      <c r="T265" s="2042"/>
      <c r="U265" s="2042"/>
      <c r="V265" s="2042"/>
      <c r="W265" s="2042"/>
      <c r="X265" s="2042"/>
      <c r="Y265" s="2042"/>
      <c r="Z265" s="2042"/>
      <c r="AA265" s="2042"/>
      <c r="AB265" s="2042"/>
      <c r="AC265" s="2042"/>
      <c r="AD265" s="2043"/>
      <c r="AE265" s="2014" t="s">
        <v>1841</v>
      </c>
      <c r="AF265" s="2044"/>
    </row>
    <row r="266" spans="1:32" ht="15.75" x14ac:dyDescent="0.25">
      <c r="A266" s="2045" t="s">
        <v>1853</v>
      </c>
      <c r="B266" s="2046"/>
      <c r="C266" s="2046"/>
      <c r="D266" s="2046"/>
      <c r="E266" s="2046"/>
      <c r="F266" s="2046"/>
      <c r="G266" s="2046"/>
      <c r="H266" s="2046"/>
      <c r="I266" s="2046"/>
      <c r="J266" s="2046"/>
      <c r="K266" s="2046"/>
      <c r="L266" s="2046"/>
      <c r="M266" s="2046"/>
      <c r="N266" s="2046"/>
      <c r="O266" s="2046"/>
      <c r="P266" s="2046"/>
      <c r="Q266" s="2046"/>
      <c r="R266" s="2046"/>
      <c r="S266" s="2046"/>
      <c r="T266" s="2046"/>
      <c r="U266" s="2046"/>
      <c r="V266" s="2046"/>
      <c r="W266" s="2046"/>
      <c r="X266" s="2046"/>
      <c r="Y266" s="2046"/>
      <c r="Z266" s="2046"/>
      <c r="AA266" s="2046"/>
      <c r="AB266" s="2046"/>
      <c r="AC266" s="2046"/>
      <c r="AD266" s="2046"/>
      <c r="AE266" s="2047">
        <f>'01'!$M$13</f>
        <v>0</v>
      </c>
      <c r="AF266" s="2044"/>
    </row>
    <row r="267" spans="1:32" x14ac:dyDescent="0.2">
      <c r="A267" s="1046"/>
      <c r="B267" s="1047"/>
      <c r="C267" s="1047"/>
      <c r="D267" s="1047"/>
      <c r="E267" s="1047"/>
      <c r="F267" s="1047"/>
      <c r="G267" s="1047"/>
      <c r="H267" s="1047"/>
      <c r="I267" s="1047"/>
      <c r="J267" s="1047"/>
      <c r="K267" s="1047"/>
      <c r="L267" s="1047"/>
      <c r="M267" s="1047"/>
      <c r="N267" s="1047"/>
      <c r="O267" s="1047"/>
      <c r="P267" s="1047"/>
      <c r="Q267" s="1047"/>
      <c r="R267" s="1047"/>
      <c r="S267" s="1047"/>
      <c r="T267" s="1047"/>
      <c r="U267" s="1047"/>
      <c r="V267" s="1047"/>
      <c r="W267" s="1047"/>
      <c r="X267" s="1047"/>
      <c r="Y267" s="1047"/>
      <c r="Z267" s="1047"/>
      <c r="AA267" s="1047"/>
      <c r="AB267" s="1047"/>
      <c r="AC267" s="1047"/>
      <c r="AD267" s="1047"/>
      <c r="AE267" s="1047"/>
      <c r="AF267" s="1048"/>
    </row>
    <row r="268" spans="1:32" ht="15.75" customHeight="1" x14ac:dyDescent="0.2">
      <c r="A268" s="2048" t="s">
        <v>1842</v>
      </c>
      <c r="B268" s="2049"/>
      <c r="C268" s="2049"/>
      <c r="D268" s="2049"/>
      <c r="E268" s="2049"/>
      <c r="F268" s="2050" t="str">
        <f>'01'!$H$16</f>
        <v>A -EMPATE CON LÍNEA DE ADUCCIÓN</v>
      </c>
      <c r="G268" s="2049"/>
      <c r="H268" s="2049"/>
      <c r="I268" s="2049"/>
      <c r="J268" s="2049"/>
      <c r="K268" s="2049"/>
      <c r="L268" s="2049"/>
      <c r="M268" s="2049"/>
      <c r="N268" s="2049"/>
      <c r="O268" s="2049"/>
      <c r="P268" s="2049"/>
      <c r="Q268" s="2049"/>
      <c r="R268" s="2049"/>
      <c r="S268" s="2049"/>
      <c r="T268" s="2049"/>
      <c r="U268" s="2049"/>
      <c r="V268" s="2049"/>
      <c r="W268" s="2049"/>
      <c r="X268" s="2049"/>
      <c r="Y268" s="2051"/>
      <c r="Z268" s="2052" t="s">
        <v>1843</v>
      </c>
      <c r="AA268" s="2053"/>
      <c r="AB268" s="2058" t="s">
        <v>1844</v>
      </c>
      <c r="AC268" s="2059"/>
      <c r="AD268" s="2060"/>
      <c r="AE268" s="2064" t="s">
        <v>1845</v>
      </c>
      <c r="AF268" s="2067" t="s">
        <v>1846</v>
      </c>
    </row>
    <row r="269" spans="1:32" ht="12.75" customHeight="1" x14ac:dyDescent="0.2">
      <c r="A269" s="2070" t="str">
        <f>'01'!A29</f>
        <v>A-05-01</v>
      </c>
      <c r="B269" s="2071"/>
      <c r="C269" s="2072"/>
      <c r="D269" s="2076" t="str">
        <f>VLOOKUP(A269,'01'!$A$12:$N$299,3,FALSE)</f>
        <v>SUMINISTRO E INSTALACIÓN DE TUBERÍA PVC UM Ø6" RDE 21 (INCLUYE PEGAMENTO, LIMPIADOR, HERRAMIENTA MENOR Y MANO DE OBRA)</v>
      </c>
      <c r="E269" s="2077"/>
      <c r="F269" s="2077"/>
      <c r="G269" s="2077"/>
      <c r="H269" s="2077"/>
      <c r="I269" s="2077"/>
      <c r="J269" s="2077"/>
      <c r="K269" s="2077"/>
      <c r="L269" s="2077"/>
      <c r="M269" s="2077"/>
      <c r="N269" s="2077"/>
      <c r="O269" s="2077"/>
      <c r="P269" s="2077"/>
      <c r="Q269" s="2077"/>
      <c r="R269" s="2077"/>
      <c r="S269" s="2078"/>
      <c r="T269" s="2082" t="s">
        <v>124</v>
      </c>
      <c r="U269" s="2083"/>
      <c r="V269" s="2083"/>
      <c r="W269" s="2083"/>
      <c r="X269" s="2052" t="str">
        <f>VLOOKUP(A269,'01'!$A$12:$N$299,9,FALSE)</f>
        <v>ML</v>
      </c>
      <c r="Y269" s="2053"/>
      <c r="Z269" s="2054"/>
      <c r="AA269" s="2055"/>
      <c r="AB269" s="2061"/>
      <c r="AC269" s="2062"/>
      <c r="AD269" s="2063"/>
      <c r="AE269" s="2065"/>
      <c r="AF269" s="2068"/>
    </row>
    <row r="270" spans="1:32" ht="15.75" x14ac:dyDescent="0.25">
      <c r="A270" s="2073"/>
      <c r="B270" s="2074"/>
      <c r="C270" s="2075"/>
      <c r="D270" s="2079"/>
      <c r="E270" s="2080"/>
      <c r="F270" s="2080"/>
      <c r="G270" s="2080"/>
      <c r="H270" s="2080"/>
      <c r="I270" s="2080"/>
      <c r="J270" s="2080"/>
      <c r="K270" s="2080"/>
      <c r="L270" s="2080"/>
      <c r="M270" s="2080"/>
      <c r="N270" s="2080"/>
      <c r="O270" s="2080"/>
      <c r="P270" s="2080"/>
      <c r="Q270" s="2080"/>
      <c r="R270" s="2080"/>
      <c r="S270" s="2081"/>
      <c r="T270" s="2084"/>
      <c r="U270" s="2085"/>
      <c r="V270" s="2085"/>
      <c r="W270" s="2085"/>
      <c r="X270" s="2056"/>
      <c r="Y270" s="2057"/>
      <c r="Z270" s="2056"/>
      <c r="AA270" s="2057"/>
      <c r="AB270" s="1049" t="s">
        <v>1847</v>
      </c>
      <c r="AC270" s="1049" t="s">
        <v>1848</v>
      </c>
      <c r="AD270" s="1049" t="s">
        <v>1849</v>
      </c>
      <c r="AE270" s="2066"/>
      <c r="AF270" s="2069"/>
    </row>
    <row r="271" spans="1:32" ht="15.75" customHeight="1" x14ac:dyDescent="0.25">
      <c r="A271" s="2017"/>
      <c r="B271" s="2018"/>
      <c r="C271" s="2018"/>
      <c r="D271" s="2018"/>
      <c r="E271" s="2018"/>
      <c r="F271" s="2018"/>
      <c r="G271" s="2018"/>
      <c r="H271" s="2018"/>
      <c r="I271" s="2018"/>
      <c r="J271" s="2018"/>
      <c r="K271" s="2018"/>
      <c r="L271" s="2018"/>
      <c r="M271" s="2018"/>
      <c r="N271" s="2018"/>
      <c r="O271" s="2018"/>
      <c r="P271" s="2018"/>
      <c r="Q271" s="2018"/>
      <c r="R271" s="2018"/>
      <c r="S271" s="2018"/>
      <c r="T271" s="2018"/>
      <c r="U271" s="2018"/>
      <c r="V271" s="2018"/>
      <c r="W271" s="2018"/>
      <c r="X271" s="2018"/>
      <c r="Y271" s="2094"/>
      <c r="Z271" s="2096" t="s">
        <v>2157</v>
      </c>
      <c r="AA271" s="2097"/>
      <c r="AB271" s="1050">
        <f>AB12</f>
        <v>5</v>
      </c>
      <c r="AC271" s="1050">
        <v>0</v>
      </c>
      <c r="AD271" s="1050">
        <v>0</v>
      </c>
      <c r="AE271" s="1051">
        <v>1</v>
      </c>
      <c r="AF271" s="1052">
        <f>ROUND(AB271*AE271,2)</f>
        <v>5</v>
      </c>
    </row>
    <row r="272" spans="1:32" ht="15.75" x14ac:dyDescent="0.25">
      <c r="A272" s="2017"/>
      <c r="B272" s="2018"/>
      <c r="C272" s="2018"/>
      <c r="D272" s="2018"/>
      <c r="E272" s="2018"/>
      <c r="F272" s="2018"/>
      <c r="G272" s="2018"/>
      <c r="H272" s="2018"/>
      <c r="I272" s="2018"/>
      <c r="J272" s="2018"/>
      <c r="K272" s="2018"/>
      <c r="L272" s="2018"/>
      <c r="M272" s="2018"/>
      <c r="N272" s="2018"/>
      <c r="O272" s="2018"/>
      <c r="P272" s="2018"/>
      <c r="Q272" s="2018"/>
      <c r="R272" s="2018"/>
      <c r="S272" s="2018"/>
      <c r="T272" s="2018"/>
      <c r="U272" s="2018"/>
      <c r="V272" s="2018"/>
      <c r="W272" s="2018"/>
      <c r="X272" s="2018"/>
      <c r="Y272" s="2094"/>
      <c r="Z272" s="2096"/>
      <c r="AA272" s="2097"/>
      <c r="AB272" s="1053"/>
      <c r="AC272" s="1053"/>
      <c r="AD272" s="1050"/>
      <c r="AE272" s="1051"/>
      <c r="AF272" s="1052"/>
    </row>
    <row r="273" spans="1:32" ht="15.75" x14ac:dyDescent="0.25">
      <c r="A273" s="2017"/>
      <c r="B273" s="2018"/>
      <c r="C273" s="2018"/>
      <c r="D273" s="2018"/>
      <c r="E273" s="2018"/>
      <c r="F273" s="2018"/>
      <c r="G273" s="2018"/>
      <c r="H273" s="2018"/>
      <c r="I273" s="2018"/>
      <c r="J273" s="2018"/>
      <c r="K273" s="2018"/>
      <c r="L273" s="2018"/>
      <c r="M273" s="2018"/>
      <c r="N273" s="2018"/>
      <c r="O273" s="2018"/>
      <c r="P273" s="2018"/>
      <c r="Q273" s="2018"/>
      <c r="R273" s="2018"/>
      <c r="S273" s="2018"/>
      <c r="T273" s="2018"/>
      <c r="U273" s="2018"/>
      <c r="V273" s="2018"/>
      <c r="W273" s="2018"/>
      <c r="X273" s="2018"/>
      <c r="Y273" s="2094"/>
      <c r="Z273" s="2096"/>
      <c r="AA273" s="2097"/>
      <c r="AB273" s="1053"/>
      <c r="AC273" s="1053"/>
      <c r="AD273" s="1050"/>
      <c r="AE273" s="1051"/>
      <c r="AF273" s="1052"/>
    </row>
    <row r="274" spans="1:32" ht="15.75" x14ac:dyDescent="0.25">
      <c r="A274" s="2017"/>
      <c r="B274" s="2018"/>
      <c r="C274" s="2018"/>
      <c r="D274" s="2018"/>
      <c r="E274" s="2018"/>
      <c r="F274" s="2018"/>
      <c r="G274" s="2018"/>
      <c r="H274" s="2018"/>
      <c r="I274" s="2018"/>
      <c r="J274" s="2018"/>
      <c r="K274" s="2018"/>
      <c r="L274" s="2018"/>
      <c r="M274" s="2018"/>
      <c r="N274" s="2018"/>
      <c r="O274" s="2018"/>
      <c r="P274" s="2018"/>
      <c r="Q274" s="2018"/>
      <c r="R274" s="2018"/>
      <c r="S274" s="2018"/>
      <c r="T274" s="2018"/>
      <c r="U274" s="2018"/>
      <c r="V274" s="2018"/>
      <c r="W274" s="2018"/>
      <c r="X274" s="2018"/>
      <c r="Y274" s="2094"/>
      <c r="Z274" s="2096"/>
      <c r="AA274" s="2097"/>
      <c r="AB274" s="1053"/>
      <c r="AC274" s="1053"/>
      <c r="AD274" s="1050"/>
      <c r="AE274" s="1051"/>
      <c r="AF274" s="1052"/>
    </row>
    <row r="275" spans="1:32" ht="15.75" x14ac:dyDescent="0.25">
      <c r="A275" s="2017"/>
      <c r="B275" s="2018"/>
      <c r="C275" s="2018"/>
      <c r="D275" s="2018"/>
      <c r="E275" s="2018"/>
      <c r="F275" s="2018"/>
      <c r="G275" s="2018"/>
      <c r="H275" s="2018"/>
      <c r="I275" s="2018"/>
      <c r="J275" s="2018"/>
      <c r="K275" s="2018"/>
      <c r="L275" s="2018"/>
      <c r="M275" s="2018"/>
      <c r="N275" s="2018"/>
      <c r="O275" s="2018"/>
      <c r="P275" s="2018"/>
      <c r="Q275" s="2018"/>
      <c r="R275" s="2018"/>
      <c r="S275" s="2018"/>
      <c r="T275" s="2018"/>
      <c r="U275" s="2018"/>
      <c r="V275" s="2018"/>
      <c r="W275" s="2018"/>
      <c r="X275" s="2018"/>
      <c r="Y275" s="2094"/>
      <c r="Z275" s="2096"/>
      <c r="AA275" s="2097"/>
      <c r="AB275" s="1053"/>
      <c r="AC275" s="1053"/>
      <c r="AD275" s="1050"/>
      <c r="AE275" s="1051"/>
      <c r="AF275" s="1052"/>
    </row>
    <row r="276" spans="1:32" ht="15.75" x14ac:dyDescent="0.25">
      <c r="A276" s="2017"/>
      <c r="B276" s="2018"/>
      <c r="C276" s="2018"/>
      <c r="D276" s="2018"/>
      <c r="E276" s="2018"/>
      <c r="F276" s="2018"/>
      <c r="G276" s="2018"/>
      <c r="H276" s="2018"/>
      <c r="I276" s="2018"/>
      <c r="J276" s="2018"/>
      <c r="K276" s="2018"/>
      <c r="L276" s="2018"/>
      <c r="M276" s="2018"/>
      <c r="N276" s="2018"/>
      <c r="O276" s="2018"/>
      <c r="P276" s="2018"/>
      <c r="Q276" s="2018"/>
      <c r="R276" s="2018"/>
      <c r="S276" s="2018"/>
      <c r="T276" s="2018"/>
      <c r="U276" s="2018"/>
      <c r="V276" s="2018"/>
      <c r="W276" s="2018"/>
      <c r="X276" s="2018"/>
      <c r="Y276" s="2094"/>
      <c r="Z276" s="2096"/>
      <c r="AA276" s="2097"/>
      <c r="AB276" s="1053"/>
      <c r="AC276" s="1053"/>
      <c r="AD276" s="1053"/>
      <c r="AE276" s="1051"/>
      <c r="AF276" s="1052"/>
    </row>
    <row r="277" spans="1:32" ht="15.75" x14ac:dyDescent="0.25">
      <c r="A277" s="2017"/>
      <c r="B277" s="2018"/>
      <c r="C277" s="2018"/>
      <c r="D277" s="2018"/>
      <c r="E277" s="2018"/>
      <c r="F277" s="2018"/>
      <c r="G277" s="2018"/>
      <c r="H277" s="2018"/>
      <c r="I277" s="2018"/>
      <c r="J277" s="2018"/>
      <c r="K277" s="2018"/>
      <c r="L277" s="2018"/>
      <c r="M277" s="2018"/>
      <c r="N277" s="2018"/>
      <c r="O277" s="2018"/>
      <c r="P277" s="2018"/>
      <c r="Q277" s="2018"/>
      <c r="R277" s="2018"/>
      <c r="S277" s="2018"/>
      <c r="T277" s="2018"/>
      <c r="U277" s="2018"/>
      <c r="V277" s="2018"/>
      <c r="W277" s="2018"/>
      <c r="X277" s="2018"/>
      <c r="Y277" s="2094"/>
      <c r="Z277" s="2096"/>
      <c r="AA277" s="2097"/>
      <c r="AB277" s="1053"/>
      <c r="AC277" s="1053"/>
      <c r="AD277" s="1053"/>
      <c r="AE277" s="1051"/>
      <c r="AF277" s="1052"/>
    </row>
    <row r="278" spans="1:32" ht="15.75" x14ac:dyDescent="0.25">
      <c r="A278" s="2017"/>
      <c r="B278" s="2018"/>
      <c r="C278" s="2018"/>
      <c r="D278" s="2018"/>
      <c r="E278" s="2018"/>
      <c r="F278" s="2018"/>
      <c r="G278" s="2018"/>
      <c r="H278" s="2018"/>
      <c r="I278" s="2018"/>
      <c r="J278" s="2018"/>
      <c r="K278" s="2018"/>
      <c r="L278" s="2018"/>
      <c r="M278" s="2018"/>
      <c r="N278" s="2018"/>
      <c r="O278" s="2018"/>
      <c r="P278" s="2018"/>
      <c r="Q278" s="2018"/>
      <c r="R278" s="2018"/>
      <c r="S278" s="2018"/>
      <c r="T278" s="2018"/>
      <c r="U278" s="2018"/>
      <c r="V278" s="2018"/>
      <c r="W278" s="2018"/>
      <c r="X278" s="2018"/>
      <c r="Y278" s="2094"/>
      <c r="Z278" s="2096"/>
      <c r="AA278" s="2097"/>
      <c r="AB278" s="1053"/>
      <c r="AC278" s="1053"/>
      <c r="AD278" s="1053"/>
      <c r="AE278" s="1051"/>
      <c r="AF278" s="1052"/>
    </row>
    <row r="279" spans="1:32" ht="15.75" x14ac:dyDescent="0.25">
      <c r="A279" s="2017"/>
      <c r="B279" s="2018"/>
      <c r="C279" s="2018"/>
      <c r="D279" s="2018"/>
      <c r="E279" s="2018"/>
      <c r="F279" s="2018"/>
      <c r="G279" s="2018"/>
      <c r="H279" s="2018"/>
      <c r="I279" s="2018"/>
      <c r="J279" s="2018"/>
      <c r="K279" s="2018"/>
      <c r="L279" s="2018"/>
      <c r="M279" s="2018"/>
      <c r="N279" s="2018"/>
      <c r="O279" s="2018"/>
      <c r="P279" s="2018"/>
      <c r="Q279" s="2018"/>
      <c r="R279" s="2018"/>
      <c r="S279" s="2018"/>
      <c r="T279" s="2018"/>
      <c r="U279" s="2018"/>
      <c r="V279" s="2018"/>
      <c r="W279" s="2018"/>
      <c r="X279" s="2018"/>
      <c r="Y279" s="2094"/>
      <c r="Z279" s="2096"/>
      <c r="AA279" s="2097"/>
      <c r="AB279" s="1053"/>
      <c r="AC279" s="1053"/>
      <c r="AD279" s="1053"/>
      <c r="AE279" s="1050"/>
      <c r="AF279" s="1054"/>
    </row>
    <row r="280" spans="1:32" ht="15.75" x14ac:dyDescent="0.25">
      <c r="A280" s="2017"/>
      <c r="B280" s="2018"/>
      <c r="C280" s="2018"/>
      <c r="D280" s="2018"/>
      <c r="E280" s="2018"/>
      <c r="F280" s="2018"/>
      <c r="G280" s="2018"/>
      <c r="H280" s="2018"/>
      <c r="I280" s="2018"/>
      <c r="J280" s="2018"/>
      <c r="K280" s="2018"/>
      <c r="L280" s="2018"/>
      <c r="M280" s="2018"/>
      <c r="N280" s="2018"/>
      <c r="O280" s="2018"/>
      <c r="P280" s="2018"/>
      <c r="Q280" s="2018"/>
      <c r="R280" s="2018"/>
      <c r="S280" s="2018"/>
      <c r="T280" s="2018"/>
      <c r="U280" s="2018"/>
      <c r="V280" s="2018"/>
      <c r="W280" s="2018"/>
      <c r="X280" s="2018"/>
      <c r="Y280" s="2094"/>
      <c r="Z280" s="2096"/>
      <c r="AA280" s="2097"/>
      <c r="AB280" s="1053"/>
      <c r="AC280" s="1053"/>
      <c r="AD280" s="1053"/>
      <c r="AE280" s="1051"/>
      <c r="AF280" s="1054"/>
    </row>
    <row r="281" spans="1:32" ht="15.75" x14ac:dyDescent="0.25">
      <c r="A281" s="2017"/>
      <c r="B281" s="2018"/>
      <c r="C281" s="2018"/>
      <c r="D281" s="2018"/>
      <c r="E281" s="2018"/>
      <c r="F281" s="2018"/>
      <c r="G281" s="2018"/>
      <c r="H281" s="2018"/>
      <c r="I281" s="2018"/>
      <c r="J281" s="2018"/>
      <c r="K281" s="2018"/>
      <c r="L281" s="2018"/>
      <c r="M281" s="2018"/>
      <c r="N281" s="2018"/>
      <c r="O281" s="2018"/>
      <c r="P281" s="2018"/>
      <c r="Q281" s="2018"/>
      <c r="R281" s="2018"/>
      <c r="S281" s="2018"/>
      <c r="T281" s="2018"/>
      <c r="U281" s="2018"/>
      <c r="V281" s="2018"/>
      <c r="W281" s="2018"/>
      <c r="X281" s="2018"/>
      <c r="Y281" s="2094"/>
      <c r="Z281" s="2096"/>
      <c r="AA281" s="2097"/>
      <c r="AB281" s="1053"/>
      <c r="AC281" s="1053"/>
      <c r="AD281" s="1053"/>
      <c r="AE281" s="1051"/>
      <c r="AF281" s="1054"/>
    </row>
    <row r="282" spans="1:32" ht="15.75" x14ac:dyDescent="0.25">
      <c r="A282" s="2017"/>
      <c r="B282" s="2018"/>
      <c r="C282" s="2018"/>
      <c r="D282" s="2018"/>
      <c r="E282" s="2018"/>
      <c r="F282" s="2018"/>
      <c r="G282" s="2018"/>
      <c r="H282" s="2018"/>
      <c r="I282" s="2018"/>
      <c r="J282" s="2018"/>
      <c r="K282" s="2018"/>
      <c r="L282" s="2018"/>
      <c r="M282" s="2018"/>
      <c r="N282" s="2018"/>
      <c r="O282" s="2018"/>
      <c r="P282" s="2018"/>
      <c r="Q282" s="2018"/>
      <c r="R282" s="2018"/>
      <c r="S282" s="2018"/>
      <c r="T282" s="2018"/>
      <c r="U282" s="2018"/>
      <c r="V282" s="2018"/>
      <c r="W282" s="2018"/>
      <c r="X282" s="2018"/>
      <c r="Y282" s="2094"/>
      <c r="Z282" s="2096"/>
      <c r="AA282" s="2097"/>
      <c r="AB282" s="1053"/>
      <c r="AC282" s="1053"/>
      <c r="AD282" s="1053"/>
      <c r="AE282" s="1051"/>
      <c r="AF282" s="1054"/>
    </row>
    <row r="283" spans="1:32" ht="15.75" x14ac:dyDescent="0.25">
      <c r="A283" s="2017"/>
      <c r="B283" s="2018"/>
      <c r="C283" s="2018"/>
      <c r="D283" s="2018"/>
      <c r="E283" s="2018"/>
      <c r="F283" s="2018"/>
      <c r="G283" s="2018"/>
      <c r="H283" s="2018"/>
      <c r="I283" s="2018"/>
      <c r="J283" s="2018"/>
      <c r="K283" s="2018"/>
      <c r="L283" s="2018"/>
      <c r="M283" s="2018"/>
      <c r="N283" s="2018"/>
      <c r="O283" s="2018"/>
      <c r="P283" s="2018"/>
      <c r="Q283" s="2018"/>
      <c r="R283" s="2018"/>
      <c r="S283" s="2018"/>
      <c r="T283" s="2018"/>
      <c r="U283" s="2018"/>
      <c r="V283" s="2018"/>
      <c r="W283" s="2018"/>
      <c r="X283" s="2018"/>
      <c r="Y283" s="2094"/>
      <c r="Z283" s="2096"/>
      <c r="AA283" s="2097"/>
      <c r="AB283" s="1053"/>
      <c r="AC283" s="1053"/>
      <c r="AD283" s="1053"/>
      <c r="AE283" s="1051"/>
      <c r="AF283" s="1054"/>
    </row>
    <row r="284" spans="1:32" ht="15.75" x14ac:dyDescent="0.25">
      <c r="A284" s="2017"/>
      <c r="B284" s="2018"/>
      <c r="C284" s="2018"/>
      <c r="D284" s="2018"/>
      <c r="E284" s="2018"/>
      <c r="F284" s="2018"/>
      <c r="G284" s="2018"/>
      <c r="H284" s="2018"/>
      <c r="I284" s="2018"/>
      <c r="J284" s="2018"/>
      <c r="K284" s="2018"/>
      <c r="L284" s="2018"/>
      <c r="M284" s="2018"/>
      <c r="N284" s="2018"/>
      <c r="O284" s="2018"/>
      <c r="P284" s="2018"/>
      <c r="Q284" s="2018"/>
      <c r="R284" s="2018"/>
      <c r="S284" s="2018"/>
      <c r="T284" s="2018"/>
      <c r="U284" s="2018"/>
      <c r="V284" s="2018"/>
      <c r="W284" s="2018"/>
      <c r="X284" s="2018"/>
      <c r="Y284" s="2094"/>
      <c r="Z284" s="2096"/>
      <c r="AA284" s="2097"/>
      <c r="AB284" s="1053"/>
      <c r="AC284" s="1053"/>
      <c r="AD284" s="1053"/>
      <c r="AE284" s="1051"/>
      <c r="AF284" s="1054"/>
    </row>
    <row r="285" spans="1:32" ht="15.75" x14ac:dyDescent="0.25">
      <c r="A285" s="2017"/>
      <c r="B285" s="2018"/>
      <c r="C285" s="2018"/>
      <c r="D285" s="2018"/>
      <c r="E285" s="2018"/>
      <c r="F285" s="2018"/>
      <c r="G285" s="2018"/>
      <c r="H285" s="2018"/>
      <c r="I285" s="2018"/>
      <c r="J285" s="2018"/>
      <c r="K285" s="2018"/>
      <c r="L285" s="2018"/>
      <c r="M285" s="2018"/>
      <c r="N285" s="2018"/>
      <c r="O285" s="2018"/>
      <c r="P285" s="2018"/>
      <c r="Q285" s="2018"/>
      <c r="R285" s="2018"/>
      <c r="S285" s="2018"/>
      <c r="T285" s="2018"/>
      <c r="U285" s="2018"/>
      <c r="V285" s="2018"/>
      <c r="W285" s="2018"/>
      <c r="X285" s="2018"/>
      <c r="Y285" s="2094"/>
      <c r="Z285" s="2096"/>
      <c r="AA285" s="2097"/>
      <c r="AB285" s="1055"/>
      <c r="AC285" s="1055"/>
      <c r="AD285" s="1055"/>
      <c r="AE285" s="1051"/>
      <c r="AF285" s="1056"/>
    </row>
    <row r="286" spans="1:32" ht="15.75" x14ac:dyDescent="0.25">
      <c r="A286" s="2017"/>
      <c r="B286" s="2018"/>
      <c r="C286" s="2018"/>
      <c r="D286" s="2018"/>
      <c r="E286" s="2018"/>
      <c r="F286" s="2018"/>
      <c r="G286" s="2018"/>
      <c r="H286" s="2018"/>
      <c r="I286" s="2018"/>
      <c r="J286" s="2018"/>
      <c r="K286" s="2018"/>
      <c r="L286" s="2018"/>
      <c r="M286" s="2018"/>
      <c r="N286" s="2018"/>
      <c r="O286" s="2018"/>
      <c r="P286" s="2018"/>
      <c r="Q286" s="2018"/>
      <c r="R286" s="2018"/>
      <c r="S286" s="2018"/>
      <c r="T286" s="2018"/>
      <c r="U286" s="2018"/>
      <c r="V286" s="2018"/>
      <c r="W286" s="2018"/>
      <c r="X286" s="2018"/>
      <c r="Y286" s="2094"/>
      <c r="Z286" s="2096"/>
      <c r="AA286" s="2097"/>
      <c r="AB286" s="1055"/>
      <c r="AC286" s="1055"/>
      <c r="AD286" s="1055"/>
      <c r="AE286" s="1055"/>
      <c r="AF286" s="1056"/>
    </row>
    <row r="287" spans="1:32" ht="15.75" x14ac:dyDescent="0.25">
      <c r="A287" s="2017"/>
      <c r="B287" s="2018"/>
      <c r="C287" s="2018"/>
      <c r="D287" s="2018"/>
      <c r="E287" s="2018"/>
      <c r="F287" s="2018"/>
      <c r="G287" s="2018"/>
      <c r="H287" s="2018"/>
      <c r="I287" s="2018"/>
      <c r="J287" s="2018"/>
      <c r="K287" s="2018"/>
      <c r="L287" s="2018"/>
      <c r="M287" s="2018"/>
      <c r="N287" s="2018"/>
      <c r="O287" s="2018"/>
      <c r="P287" s="2018"/>
      <c r="Q287" s="2018"/>
      <c r="R287" s="2018"/>
      <c r="S287" s="2018"/>
      <c r="T287" s="2018"/>
      <c r="U287" s="2018"/>
      <c r="V287" s="2018"/>
      <c r="W287" s="2018"/>
      <c r="X287" s="2018"/>
      <c r="Y287" s="2094"/>
      <c r="Z287" s="2096"/>
      <c r="AA287" s="2097"/>
      <c r="AB287" s="1055"/>
      <c r="AC287" s="1055"/>
      <c r="AD287" s="1055"/>
      <c r="AE287" s="1055"/>
      <c r="AF287" s="1056"/>
    </row>
    <row r="288" spans="1:32" ht="15.75" x14ac:dyDescent="0.25">
      <c r="A288" s="2017"/>
      <c r="B288" s="2018"/>
      <c r="C288" s="2018"/>
      <c r="D288" s="2018"/>
      <c r="E288" s="2018"/>
      <c r="F288" s="2018"/>
      <c r="G288" s="2018"/>
      <c r="H288" s="2018"/>
      <c r="I288" s="2018"/>
      <c r="J288" s="2018"/>
      <c r="K288" s="2018"/>
      <c r="L288" s="2018"/>
      <c r="M288" s="2018"/>
      <c r="N288" s="2018"/>
      <c r="O288" s="2018"/>
      <c r="P288" s="2018"/>
      <c r="Q288" s="2018"/>
      <c r="R288" s="2018"/>
      <c r="S288" s="2018"/>
      <c r="T288" s="2018"/>
      <c r="U288" s="2018"/>
      <c r="V288" s="2018"/>
      <c r="W288" s="2018"/>
      <c r="X288" s="2018"/>
      <c r="Y288" s="2094"/>
      <c r="Z288" s="2096"/>
      <c r="AA288" s="2097"/>
      <c r="AB288" s="1055"/>
      <c r="AC288" s="1055"/>
      <c r="AD288" s="1055"/>
      <c r="AE288" s="1055"/>
      <c r="AF288" s="1056"/>
    </row>
    <row r="289" spans="1:32" ht="15.75" x14ac:dyDescent="0.25">
      <c r="A289" s="2017"/>
      <c r="B289" s="2018"/>
      <c r="C289" s="2018"/>
      <c r="D289" s="2018"/>
      <c r="E289" s="2018"/>
      <c r="F289" s="2018"/>
      <c r="G289" s="2018"/>
      <c r="H289" s="2018"/>
      <c r="I289" s="2018"/>
      <c r="J289" s="2018"/>
      <c r="K289" s="2018"/>
      <c r="L289" s="2018"/>
      <c r="M289" s="2018"/>
      <c r="N289" s="2018"/>
      <c r="O289" s="2018"/>
      <c r="P289" s="2018"/>
      <c r="Q289" s="2018"/>
      <c r="R289" s="2018"/>
      <c r="S289" s="2018"/>
      <c r="T289" s="2018"/>
      <c r="U289" s="2018"/>
      <c r="V289" s="2018"/>
      <c r="W289" s="2018"/>
      <c r="X289" s="2018"/>
      <c r="Y289" s="2094"/>
      <c r="Z289" s="2096"/>
      <c r="AA289" s="2097"/>
      <c r="AB289" s="1055"/>
      <c r="AC289" s="1055"/>
      <c r="AD289" s="1055"/>
      <c r="AE289" s="1055"/>
      <c r="AF289" s="1056"/>
    </row>
    <row r="290" spans="1:32" ht="16.5" thickBot="1" x14ac:dyDescent="0.3">
      <c r="A290" s="2019"/>
      <c r="B290" s="2020"/>
      <c r="C290" s="2020"/>
      <c r="D290" s="2020"/>
      <c r="E290" s="2020"/>
      <c r="F290" s="2020"/>
      <c r="G290" s="2020"/>
      <c r="H290" s="2020"/>
      <c r="I290" s="2020"/>
      <c r="J290" s="2020"/>
      <c r="K290" s="2020"/>
      <c r="L290" s="2020"/>
      <c r="M290" s="2020"/>
      <c r="N290" s="2020"/>
      <c r="O290" s="2020"/>
      <c r="P290" s="2020"/>
      <c r="Q290" s="2020"/>
      <c r="R290" s="2020"/>
      <c r="S290" s="2020"/>
      <c r="T290" s="2020"/>
      <c r="U290" s="2020"/>
      <c r="V290" s="2020"/>
      <c r="W290" s="2020"/>
      <c r="X290" s="2020"/>
      <c r="Y290" s="2095"/>
      <c r="Z290" s="2098"/>
      <c r="AA290" s="2099"/>
      <c r="AB290" s="1057"/>
      <c r="AC290" s="1057"/>
      <c r="AD290" s="1057"/>
      <c r="AE290" s="1057"/>
      <c r="AF290" s="1058"/>
    </row>
    <row r="291" spans="1:32" ht="15.75" x14ac:dyDescent="0.25">
      <c r="A291" s="2009" t="s">
        <v>2158</v>
      </c>
      <c r="B291" s="2010"/>
      <c r="C291" s="2010"/>
      <c r="D291" s="2010"/>
      <c r="E291" s="2010"/>
      <c r="F291" s="2010"/>
      <c r="G291" s="2010"/>
      <c r="H291" s="2010"/>
      <c r="I291" s="2010"/>
      <c r="J291" s="2010"/>
      <c r="K291" s="2010"/>
      <c r="L291" s="2010"/>
      <c r="M291" s="2010"/>
      <c r="N291" s="2010"/>
      <c r="O291" s="2010"/>
      <c r="P291" s="2010"/>
      <c r="Q291" s="2010"/>
      <c r="R291" s="2010"/>
      <c r="S291" s="2010"/>
      <c r="T291" s="2010"/>
      <c r="U291" s="2010"/>
      <c r="V291" s="2010"/>
      <c r="W291" s="2010"/>
      <c r="X291" s="2010"/>
      <c r="Y291" s="2010"/>
      <c r="Z291" s="2013" t="s">
        <v>1850</v>
      </c>
      <c r="AA291" s="2013"/>
      <c r="AB291" s="2013"/>
      <c r="AC291" s="2013"/>
      <c r="AD291" s="2013"/>
      <c r="AE291" s="2013"/>
      <c r="AF291" s="1059">
        <f>SUM(AF271:AF290)</f>
        <v>5</v>
      </c>
    </row>
    <row r="292" spans="1:32" ht="15.75" x14ac:dyDescent="0.25">
      <c r="A292" s="2011"/>
      <c r="B292" s="2012"/>
      <c r="C292" s="2012"/>
      <c r="D292" s="2012"/>
      <c r="E292" s="2012"/>
      <c r="F292" s="2012"/>
      <c r="G292" s="2012"/>
      <c r="H292" s="2012"/>
      <c r="I292" s="2012"/>
      <c r="J292" s="2012"/>
      <c r="K292" s="2012"/>
      <c r="L292" s="2012"/>
      <c r="M292" s="2012"/>
      <c r="N292" s="2012"/>
      <c r="O292" s="2012"/>
      <c r="P292" s="2012"/>
      <c r="Q292" s="2012"/>
      <c r="R292" s="2012"/>
      <c r="S292" s="2012"/>
      <c r="T292" s="2012"/>
      <c r="U292" s="2012"/>
      <c r="V292" s="2012"/>
      <c r="W292" s="2012"/>
      <c r="X292" s="2012"/>
      <c r="Y292" s="2012"/>
      <c r="Z292" s="2014" t="s">
        <v>1851</v>
      </c>
      <c r="AA292" s="2014"/>
      <c r="AB292" s="2014"/>
      <c r="AC292" s="2014"/>
      <c r="AD292" s="2014"/>
      <c r="AE292" s="2014"/>
      <c r="AF292" s="1060">
        <v>0</v>
      </c>
    </row>
    <row r="293" spans="1:32" ht="15.75" x14ac:dyDescent="0.25">
      <c r="A293" s="2011"/>
      <c r="B293" s="2012"/>
      <c r="C293" s="2012"/>
      <c r="D293" s="2012"/>
      <c r="E293" s="2012"/>
      <c r="F293" s="2012"/>
      <c r="G293" s="2012"/>
      <c r="H293" s="2012"/>
      <c r="I293" s="2012"/>
      <c r="J293" s="2012"/>
      <c r="K293" s="2012"/>
      <c r="L293" s="2012"/>
      <c r="M293" s="2012"/>
      <c r="N293" s="2012"/>
      <c r="O293" s="2012"/>
      <c r="P293" s="2012"/>
      <c r="Q293" s="2012"/>
      <c r="R293" s="2012"/>
      <c r="S293" s="2012"/>
      <c r="T293" s="2012"/>
      <c r="U293" s="2012"/>
      <c r="V293" s="2012"/>
      <c r="W293" s="2012"/>
      <c r="X293" s="2012"/>
      <c r="Y293" s="2012"/>
      <c r="Z293" s="2015" t="s">
        <v>1833</v>
      </c>
      <c r="AA293" s="2015"/>
      <c r="AB293" s="2015"/>
      <c r="AC293" s="2015"/>
      <c r="AD293" s="2015"/>
      <c r="AE293" s="2015"/>
      <c r="AF293" s="1061">
        <f>SUM(AF291:AF292)</f>
        <v>5</v>
      </c>
    </row>
    <row r="294" spans="1:32" x14ac:dyDescent="0.2">
      <c r="A294" s="2012" t="s">
        <v>1859</v>
      </c>
      <c r="B294" s="2012"/>
      <c r="C294" s="2012"/>
      <c r="D294" s="2012"/>
      <c r="E294" s="2012"/>
      <c r="F294" s="2012"/>
      <c r="G294" s="2012"/>
      <c r="H294" s="2012"/>
      <c r="I294" s="2012"/>
      <c r="J294" s="2012"/>
      <c r="K294" s="2012"/>
      <c r="L294" s="2012"/>
      <c r="M294" s="2012"/>
      <c r="N294" s="2012"/>
      <c r="O294" s="2012"/>
      <c r="P294" s="2012"/>
      <c r="Q294" s="2012"/>
      <c r="R294" s="2012"/>
      <c r="S294" s="2012"/>
      <c r="T294" s="2016" t="s">
        <v>1840</v>
      </c>
      <c r="U294" s="2016"/>
      <c r="V294" s="2016"/>
      <c r="W294" s="2016"/>
      <c r="X294" s="2016"/>
      <c r="Y294" s="2016"/>
      <c r="Z294" s="2016"/>
      <c r="AA294" s="2016"/>
      <c r="AB294" s="2012" t="s">
        <v>1852</v>
      </c>
      <c r="AC294" s="2012"/>
      <c r="AD294" s="2012"/>
      <c r="AE294" s="2012"/>
      <c r="AF294" s="2012"/>
    </row>
    <row r="295" spans="1:32" x14ac:dyDescent="0.2">
      <c r="A295" s="2012"/>
      <c r="B295" s="2012"/>
      <c r="C295" s="2012"/>
      <c r="D295" s="2012"/>
      <c r="E295" s="2012"/>
      <c r="F295" s="2012"/>
      <c r="G295" s="2012"/>
      <c r="H295" s="2012"/>
      <c r="I295" s="2012"/>
      <c r="J295" s="2012"/>
      <c r="K295" s="2012"/>
      <c r="L295" s="2012"/>
      <c r="M295" s="2012"/>
      <c r="N295" s="2012"/>
      <c r="O295" s="2012"/>
      <c r="P295" s="2012"/>
      <c r="Q295" s="2012"/>
      <c r="R295" s="2012"/>
      <c r="S295" s="2012"/>
      <c r="T295" s="2016"/>
      <c r="U295" s="2016"/>
      <c r="V295" s="2016"/>
      <c r="W295" s="2016"/>
      <c r="X295" s="2016"/>
      <c r="Y295" s="2016"/>
      <c r="Z295" s="2016"/>
      <c r="AA295" s="2016"/>
      <c r="AB295" s="2012"/>
      <c r="AC295" s="2012"/>
      <c r="AD295" s="2012"/>
      <c r="AE295" s="2012"/>
      <c r="AF295" s="2012"/>
    </row>
    <row r="296" spans="1:32" ht="16.5" thickBot="1" x14ac:dyDescent="0.25">
      <c r="A296" s="1062"/>
      <c r="B296" s="1062"/>
      <c r="C296" s="1062"/>
      <c r="D296" s="1062"/>
      <c r="E296" s="1062"/>
      <c r="F296" s="1062"/>
      <c r="G296" s="1062"/>
      <c r="H296" s="1062"/>
      <c r="I296" s="1062"/>
      <c r="J296" s="1062"/>
      <c r="K296" s="1062"/>
      <c r="L296" s="1062"/>
      <c r="M296" s="1062"/>
      <c r="N296" s="1062"/>
      <c r="O296" s="1062"/>
      <c r="P296" s="1062"/>
      <c r="Q296" s="1062"/>
      <c r="R296" s="1062"/>
      <c r="S296" s="1062"/>
      <c r="T296" s="1063"/>
      <c r="U296" s="1063"/>
      <c r="V296" s="1063"/>
      <c r="W296" s="1063"/>
      <c r="X296" s="1063"/>
      <c r="Y296" s="1063"/>
      <c r="Z296" s="1063"/>
      <c r="AA296" s="1063"/>
      <c r="AB296" s="1062"/>
      <c r="AC296" s="1062"/>
      <c r="AD296" s="1062"/>
      <c r="AE296" s="1064"/>
      <c r="AF296" s="1065"/>
    </row>
    <row r="297" spans="1:32" ht="15.75" x14ac:dyDescent="0.2">
      <c r="A297" s="2025" t="s">
        <v>1854</v>
      </c>
      <c r="B297" s="2026"/>
      <c r="C297" s="2026"/>
      <c r="D297" s="2026"/>
      <c r="E297" s="2026"/>
      <c r="F297" s="2026"/>
      <c r="G297" s="2026"/>
      <c r="H297" s="2026"/>
      <c r="I297" s="2026"/>
      <c r="J297" s="2026"/>
      <c r="K297" s="2026"/>
      <c r="L297" s="2026"/>
      <c r="M297" s="2026"/>
      <c r="N297" s="2026"/>
      <c r="O297" s="2026"/>
      <c r="P297" s="2026"/>
      <c r="Q297" s="2026"/>
      <c r="R297" s="2026"/>
      <c r="S297" s="2026"/>
      <c r="T297" s="2026"/>
      <c r="U297" s="2026"/>
      <c r="V297" s="2026"/>
      <c r="W297" s="2026"/>
      <c r="X297" s="2026"/>
      <c r="Y297" s="2026"/>
      <c r="Z297" s="2026"/>
      <c r="AA297" s="2026"/>
      <c r="AB297" s="2026"/>
      <c r="AC297" s="2026"/>
      <c r="AD297" s="2026"/>
      <c r="AE297" s="1041" t="s">
        <v>1834</v>
      </c>
      <c r="AF297" s="1042" t="s">
        <v>1835</v>
      </c>
    </row>
    <row r="298" spans="1:32" ht="16.5" thickBot="1" x14ac:dyDescent="0.25">
      <c r="A298" s="2027"/>
      <c r="B298" s="2028"/>
      <c r="C298" s="2028"/>
      <c r="D298" s="2028"/>
      <c r="E298" s="2028"/>
      <c r="F298" s="2028"/>
      <c r="G298" s="2028"/>
      <c r="H298" s="2028"/>
      <c r="I298" s="2028"/>
      <c r="J298" s="2028"/>
      <c r="K298" s="2028"/>
      <c r="L298" s="2028"/>
      <c r="M298" s="2028"/>
      <c r="N298" s="2028"/>
      <c r="O298" s="2028"/>
      <c r="P298" s="2028"/>
      <c r="Q298" s="2028"/>
      <c r="R298" s="2028"/>
      <c r="S298" s="2028"/>
      <c r="T298" s="2028"/>
      <c r="U298" s="2028"/>
      <c r="V298" s="2028"/>
      <c r="W298" s="2028"/>
      <c r="X298" s="2028"/>
      <c r="Y298" s="2028"/>
      <c r="Z298" s="2028"/>
      <c r="AA298" s="2028"/>
      <c r="AB298" s="2028"/>
      <c r="AC298" s="2028"/>
      <c r="AD298" s="2028"/>
      <c r="AE298" s="1041" t="s">
        <v>1836</v>
      </c>
      <c r="AF298" s="1044">
        <v>1</v>
      </c>
    </row>
    <row r="299" spans="1:32" ht="15.75" x14ac:dyDescent="0.2">
      <c r="A299" s="2029"/>
      <c r="B299" s="2030"/>
      <c r="C299" s="2030"/>
      <c r="D299" s="2031"/>
      <c r="E299" s="2025" t="str">
        <f>'01'!$A$12</f>
        <v>"CONSTRUCCION SISTEMA DE ACUEDUCTO FASE II DEL MUNICIPIO DE TESALIA DPTO DEL HUILA"</v>
      </c>
      <c r="F299" s="2026"/>
      <c r="G299" s="2026"/>
      <c r="H299" s="2026"/>
      <c r="I299" s="2026"/>
      <c r="J299" s="2026"/>
      <c r="K299" s="2026"/>
      <c r="L299" s="2026"/>
      <c r="M299" s="2026"/>
      <c r="N299" s="2026"/>
      <c r="O299" s="2026"/>
      <c r="P299" s="2026"/>
      <c r="Q299" s="2026"/>
      <c r="R299" s="2026"/>
      <c r="S299" s="2026"/>
      <c r="T299" s="2026"/>
      <c r="U299" s="2026"/>
      <c r="V299" s="2026"/>
      <c r="W299" s="2026"/>
      <c r="X299" s="2026"/>
      <c r="Y299" s="2026"/>
      <c r="Z299" s="2026"/>
      <c r="AA299" s="2026"/>
      <c r="AB299" s="2026"/>
      <c r="AC299" s="2026"/>
      <c r="AD299" s="2035"/>
      <c r="AE299" s="1041" t="s">
        <v>847</v>
      </c>
      <c r="AF299" s="1045">
        <f>'01'!$M$13</f>
        <v>0</v>
      </c>
    </row>
    <row r="300" spans="1:32" ht="16.5" thickBot="1" x14ac:dyDescent="0.25">
      <c r="A300" s="2032"/>
      <c r="B300" s="2033"/>
      <c r="C300" s="2033"/>
      <c r="D300" s="2034"/>
      <c r="E300" s="2027"/>
      <c r="F300" s="2028"/>
      <c r="G300" s="2028"/>
      <c r="H300" s="2028"/>
      <c r="I300" s="2028"/>
      <c r="J300" s="2028"/>
      <c r="K300" s="2028"/>
      <c r="L300" s="2028"/>
      <c r="M300" s="2028"/>
      <c r="N300" s="2028"/>
      <c r="O300" s="2028"/>
      <c r="P300" s="2028"/>
      <c r="Q300" s="2028"/>
      <c r="R300" s="2028"/>
      <c r="S300" s="2028"/>
      <c r="T300" s="2028"/>
      <c r="U300" s="2028"/>
      <c r="V300" s="2028"/>
      <c r="W300" s="2028"/>
      <c r="X300" s="2028"/>
      <c r="Y300" s="2028"/>
      <c r="Z300" s="2028"/>
      <c r="AA300" s="2028"/>
      <c r="AB300" s="2028"/>
      <c r="AC300" s="2028"/>
      <c r="AD300" s="2036"/>
      <c r="AE300" s="1041" t="s">
        <v>1837</v>
      </c>
      <c r="AF300" s="1042" t="s">
        <v>1838</v>
      </c>
    </row>
    <row r="301" spans="1:32" ht="15.75" x14ac:dyDescent="0.25">
      <c r="A301" s="2037" t="s">
        <v>1860</v>
      </c>
      <c r="B301" s="2038"/>
      <c r="C301" s="2038"/>
      <c r="D301" s="2038"/>
      <c r="E301" s="2038"/>
      <c r="F301" s="2038"/>
      <c r="G301" s="2038"/>
      <c r="H301" s="2038"/>
      <c r="I301" s="2038"/>
      <c r="J301" s="2038"/>
      <c r="K301" s="2038"/>
      <c r="L301" s="2038"/>
      <c r="M301" s="2038"/>
      <c r="N301" s="2038"/>
      <c r="O301" s="2038"/>
      <c r="P301" s="2038"/>
      <c r="Q301" s="2038"/>
      <c r="R301" s="2038"/>
      <c r="S301" s="2038"/>
      <c r="T301" s="2038"/>
      <c r="U301" s="2038"/>
      <c r="V301" s="2038"/>
      <c r="W301" s="2038"/>
      <c r="X301" s="2038"/>
      <c r="Y301" s="2038"/>
      <c r="Z301" s="2038"/>
      <c r="AA301" s="2038"/>
      <c r="AB301" s="2038"/>
      <c r="AC301" s="2038"/>
      <c r="AD301" s="2038"/>
      <c r="AE301" s="2039" t="s">
        <v>1839</v>
      </c>
      <c r="AF301" s="2040"/>
    </row>
    <row r="302" spans="1:32" ht="15.75" x14ac:dyDescent="0.25">
      <c r="A302" s="2041" t="s">
        <v>1840</v>
      </c>
      <c r="B302" s="2042"/>
      <c r="C302" s="2042"/>
      <c r="D302" s="2042"/>
      <c r="E302" s="2042"/>
      <c r="F302" s="2042"/>
      <c r="G302" s="2042"/>
      <c r="H302" s="2042"/>
      <c r="I302" s="2042"/>
      <c r="J302" s="2042"/>
      <c r="K302" s="2042"/>
      <c r="L302" s="2042"/>
      <c r="M302" s="2042"/>
      <c r="N302" s="2042"/>
      <c r="O302" s="2042"/>
      <c r="P302" s="2042"/>
      <c r="Q302" s="2042"/>
      <c r="R302" s="2042"/>
      <c r="S302" s="2042"/>
      <c r="T302" s="2042"/>
      <c r="U302" s="2042"/>
      <c r="V302" s="2042"/>
      <c r="W302" s="2042"/>
      <c r="X302" s="2042"/>
      <c r="Y302" s="2042"/>
      <c r="Z302" s="2042"/>
      <c r="AA302" s="2042"/>
      <c r="AB302" s="2042"/>
      <c r="AC302" s="2042"/>
      <c r="AD302" s="2043"/>
      <c r="AE302" s="2014" t="s">
        <v>1841</v>
      </c>
      <c r="AF302" s="2044"/>
    </row>
    <row r="303" spans="1:32" ht="15.75" x14ac:dyDescent="0.25">
      <c r="A303" s="2045" t="s">
        <v>1853</v>
      </c>
      <c r="B303" s="2046"/>
      <c r="C303" s="2046"/>
      <c r="D303" s="2046"/>
      <c r="E303" s="2046"/>
      <c r="F303" s="2046"/>
      <c r="G303" s="2046"/>
      <c r="H303" s="2046"/>
      <c r="I303" s="2046"/>
      <c r="J303" s="2046"/>
      <c r="K303" s="2046"/>
      <c r="L303" s="2046"/>
      <c r="M303" s="2046"/>
      <c r="N303" s="2046"/>
      <c r="O303" s="2046"/>
      <c r="P303" s="2046"/>
      <c r="Q303" s="2046"/>
      <c r="R303" s="2046"/>
      <c r="S303" s="2046"/>
      <c r="T303" s="2046"/>
      <c r="U303" s="2046"/>
      <c r="V303" s="2046"/>
      <c r="W303" s="2046"/>
      <c r="X303" s="2046"/>
      <c r="Y303" s="2046"/>
      <c r="Z303" s="2046"/>
      <c r="AA303" s="2046"/>
      <c r="AB303" s="2046"/>
      <c r="AC303" s="2046"/>
      <c r="AD303" s="2046"/>
      <c r="AE303" s="2047">
        <f>'01'!$M$13</f>
        <v>0</v>
      </c>
      <c r="AF303" s="2044"/>
    </row>
    <row r="304" spans="1:32" x14ac:dyDescent="0.2">
      <c r="A304" s="1046"/>
      <c r="B304" s="1047"/>
      <c r="C304" s="1047"/>
      <c r="D304" s="1047"/>
      <c r="E304" s="1047"/>
      <c r="F304" s="1047"/>
      <c r="G304" s="1047"/>
      <c r="H304" s="1047"/>
      <c r="I304" s="1047"/>
      <c r="J304" s="1047"/>
      <c r="K304" s="1047"/>
      <c r="L304" s="1047"/>
      <c r="M304" s="1047"/>
      <c r="N304" s="1047"/>
      <c r="O304" s="1047"/>
      <c r="P304" s="1047"/>
      <c r="Q304" s="1047"/>
      <c r="R304" s="1047"/>
      <c r="S304" s="1047"/>
      <c r="T304" s="1047"/>
      <c r="U304" s="1047"/>
      <c r="V304" s="1047"/>
      <c r="W304" s="1047"/>
      <c r="X304" s="1047"/>
      <c r="Y304" s="1047"/>
      <c r="Z304" s="1047"/>
      <c r="AA304" s="1047"/>
      <c r="AB304" s="1047"/>
      <c r="AC304" s="1047"/>
      <c r="AD304" s="1047"/>
      <c r="AE304" s="1047"/>
      <c r="AF304" s="1048"/>
    </row>
    <row r="305" spans="1:32" ht="15.75" x14ac:dyDescent="0.2">
      <c r="A305" s="2048" t="s">
        <v>1842</v>
      </c>
      <c r="B305" s="2049"/>
      <c r="C305" s="2049"/>
      <c r="D305" s="2049"/>
      <c r="E305" s="2049"/>
      <c r="F305" s="2050" t="str">
        <f>'01'!$H$16</f>
        <v>A -EMPATE CON LÍNEA DE ADUCCIÓN</v>
      </c>
      <c r="G305" s="2049"/>
      <c r="H305" s="2049"/>
      <c r="I305" s="2049"/>
      <c r="J305" s="2049"/>
      <c r="K305" s="2049"/>
      <c r="L305" s="2049"/>
      <c r="M305" s="2049"/>
      <c r="N305" s="2049"/>
      <c r="O305" s="2049"/>
      <c r="P305" s="2049"/>
      <c r="Q305" s="2049"/>
      <c r="R305" s="2049"/>
      <c r="S305" s="2049"/>
      <c r="T305" s="2049"/>
      <c r="U305" s="2049"/>
      <c r="V305" s="2049"/>
      <c r="W305" s="2049"/>
      <c r="X305" s="2049"/>
      <c r="Y305" s="2051"/>
      <c r="Z305" s="2052" t="s">
        <v>1843</v>
      </c>
      <c r="AA305" s="2053"/>
      <c r="AB305" s="2058" t="s">
        <v>1844</v>
      </c>
      <c r="AC305" s="2059"/>
      <c r="AD305" s="2060"/>
      <c r="AE305" s="2064" t="s">
        <v>1845</v>
      </c>
      <c r="AF305" s="2067" t="s">
        <v>1846</v>
      </c>
    </row>
    <row r="306" spans="1:32" x14ac:dyDescent="0.2">
      <c r="A306" s="2070" t="str">
        <f>'01'!A31</f>
        <v>A-06-01</v>
      </c>
      <c r="B306" s="2071"/>
      <c r="C306" s="2072"/>
      <c r="D306" s="2076" t="str">
        <f>VLOOKUP(A306,'01'!$A$12:$N$299,3,FALSE)</f>
        <v>ESTACIÓN DE MACROMEDICIÓN L=1.90M, A=1.60M DE Ø6" A TODO COSTO (INCLUYE CONFORMACIÓN DE CAJA EN CONCRETO DE 4000 PSI, ACERO DE REFUERZO, TUBERÍA, ACCESORIOS, MATERIALES, HERRRAMIENTA MENOR Y MANO DE OBRA)</v>
      </c>
      <c r="E306" s="2077"/>
      <c r="F306" s="2077"/>
      <c r="G306" s="2077"/>
      <c r="H306" s="2077"/>
      <c r="I306" s="2077"/>
      <c r="J306" s="2077"/>
      <c r="K306" s="2077"/>
      <c r="L306" s="2077"/>
      <c r="M306" s="2077"/>
      <c r="N306" s="2077"/>
      <c r="O306" s="2077"/>
      <c r="P306" s="2077"/>
      <c r="Q306" s="2077"/>
      <c r="R306" s="2077"/>
      <c r="S306" s="2078"/>
      <c r="T306" s="2082" t="s">
        <v>124</v>
      </c>
      <c r="U306" s="2083"/>
      <c r="V306" s="2083"/>
      <c r="W306" s="2083"/>
      <c r="X306" s="2052" t="str">
        <f>VLOOKUP(A306,'01'!$A$12:$N$299,9,FALSE)</f>
        <v>UND</v>
      </c>
      <c r="Y306" s="2053"/>
      <c r="Z306" s="2054"/>
      <c r="AA306" s="2055"/>
      <c r="AB306" s="2061"/>
      <c r="AC306" s="2062"/>
      <c r="AD306" s="2063"/>
      <c r="AE306" s="2065"/>
      <c r="AF306" s="2068"/>
    </row>
    <row r="307" spans="1:32" ht="15.75" x14ac:dyDescent="0.25">
      <c r="A307" s="2073"/>
      <c r="B307" s="2074"/>
      <c r="C307" s="2075"/>
      <c r="D307" s="2079"/>
      <c r="E307" s="2080"/>
      <c r="F307" s="2080"/>
      <c r="G307" s="2080"/>
      <c r="H307" s="2080"/>
      <c r="I307" s="2080"/>
      <c r="J307" s="2080"/>
      <c r="K307" s="2080"/>
      <c r="L307" s="2080"/>
      <c r="M307" s="2080"/>
      <c r="N307" s="2080"/>
      <c r="O307" s="2080"/>
      <c r="P307" s="2080"/>
      <c r="Q307" s="2080"/>
      <c r="R307" s="2080"/>
      <c r="S307" s="2081"/>
      <c r="T307" s="2084"/>
      <c r="U307" s="2085"/>
      <c r="V307" s="2085"/>
      <c r="W307" s="2085"/>
      <c r="X307" s="2056"/>
      <c r="Y307" s="2057"/>
      <c r="Z307" s="2056"/>
      <c r="AA307" s="2057"/>
      <c r="AB307" s="1049" t="s">
        <v>1847</v>
      </c>
      <c r="AC307" s="1049" t="s">
        <v>1848</v>
      </c>
      <c r="AD307" s="1049" t="s">
        <v>1849</v>
      </c>
      <c r="AE307" s="2066"/>
      <c r="AF307" s="2069"/>
    </row>
    <row r="308" spans="1:32" ht="15.75" x14ac:dyDescent="0.25">
      <c r="A308" s="2017"/>
      <c r="B308" s="2018"/>
      <c r="C308" s="2018"/>
      <c r="D308" s="2018"/>
      <c r="E308" s="2018"/>
      <c r="F308" s="2018"/>
      <c r="G308" s="2018"/>
      <c r="H308" s="2018"/>
      <c r="I308" s="2018"/>
      <c r="J308" s="2018"/>
      <c r="K308" s="2018"/>
      <c r="L308" s="2018"/>
      <c r="M308" s="2018"/>
      <c r="N308" s="2018"/>
      <c r="O308" s="2018"/>
      <c r="P308" s="2018"/>
      <c r="Q308" s="2018"/>
      <c r="R308" s="2018"/>
      <c r="S308" s="2018"/>
      <c r="T308" s="2018"/>
      <c r="U308" s="2018"/>
      <c r="V308" s="2018"/>
      <c r="W308" s="2018"/>
      <c r="X308" s="2018"/>
      <c r="Y308" s="2094"/>
      <c r="Z308" s="2096" t="s">
        <v>2157</v>
      </c>
      <c r="AA308" s="2097"/>
      <c r="AB308" s="1050">
        <v>0</v>
      </c>
      <c r="AC308" s="1050">
        <v>0</v>
      </c>
      <c r="AD308" s="1050">
        <v>0</v>
      </c>
      <c r="AE308" s="1051">
        <v>1</v>
      </c>
      <c r="AF308" s="1052">
        <f>AE308</f>
        <v>1</v>
      </c>
    </row>
    <row r="309" spans="1:32" ht="15.75" x14ac:dyDescent="0.25">
      <c r="A309" s="2017"/>
      <c r="B309" s="2018"/>
      <c r="C309" s="2018"/>
      <c r="D309" s="2018"/>
      <c r="E309" s="2018"/>
      <c r="F309" s="2018"/>
      <c r="G309" s="2018"/>
      <c r="H309" s="2018"/>
      <c r="I309" s="2018"/>
      <c r="J309" s="2018"/>
      <c r="K309" s="2018"/>
      <c r="L309" s="2018"/>
      <c r="M309" s="2018"/>
      <c r="N309" s="2018"/>
      <c r="O309" s="2018"/>
      <c r="P309" s="2018"/>
      <c r="Q309" s="2018"/>
      <c r="R309" s="2018"/>
      <c r="S309" s="2018"/>
      <c r="T309" s="2018"/>
      <c r="U309" s="2018"/>
      <c r="V309" s="2018"/>
      <c r="W309" s="2018"/>
      <c r="X309" s="2018"/>
      <c r="Y309" s="2094"/>
      <c r="Z309" s="2096"/>
      <c r="AA309" s="2097"/>
      <c r="AB309" s="1053"/>
      <c r="AC309" s="1053"/>
      <c r="AD309" s="1050"/>
      <c r="AE309" s="1051"/>
      <c r="AF309" s="1052"/>
    </row>
    <row r="310" spans="1:32" ht="15.75" x14ac:dyDescent="0.25">
      <c r="A310" s="2017"/>
      <c r="B310" s="2018"/>
      <c r="C310" s="2018"/>
      <c r="D310" s="2018"/>
      <c r="E310" s="2018"/>
      <c r="F310" s="2018"/>
      <c r="G310" s="2018"/>
      <c r="H310" s="2018"/>
      <c r="I310" s="2018"/>
      <c r="J310" s="2018"/>
      <c r="K310" s="2018"/>
      <c r="L310" s="2018"/>
      <c r="M310" s="2018"/>
      <c r="N310" s="2018"/>
      <c r="O310" s="2018"/>
      <c r="P310" s="2018"/>
      <c r="Q310" s="2018"/>
      <c r="R310" s="2018"/>
      <c r="S310" s="2018"/>
      <c r="T310" s="2018"/>
      <c r="U310" s="2018"/>
      <c r="V310" s="2018"/>
      <c r="W310" s="2018"/>
      <c r="X310" s="2018"/>
      <c r="Y310" s="2094"/>
      <c r="Z310" s="2096"/>
      <c r="AA310" s="2097"/>
      <c r="AB310" s="1053"/>
      <c r="AC310" s="1053"/>
      <c r="AD310" s="1050"/>
      <c r="AE310" s="1051"/>
      <c r="AF310" s="1052"/>
    </row>
    <row r="311" spans="1:32" ht="15.75" x14ac:dyDescent="0.25">
      <c r="A311" s="2017"/>
      <c r="B311" s="2018"/>
      <c r="C311" s="2018"/>
      <c r="D311" s="2018"/>
      <c r="E311" s="2018"/>
      <c r="F311" s="2018"/>
      <c r="G311" s="2018"/>
      <c r="H311" s="2018"/>
      <c r="I311" s="2018"/>
      <c r="J311" s="2018"/>
      <c r="K311" s="2018"/>
      <c r="L311" s="2018"/>
      <c r="M311" s="2018"/>
      <c r="N311" s="2018"/>
      <c r="O311" s="2018"/>
      <c r="P311" s="2018"/>
      <c r="Q311" s="2018"/>
      <c r="R311" s="2018"/>
      <c r="S311" s="2018"/>
      <c r="T311" s="2018"/>
      <c r="U311" s="2018"/>
      <c r="V311" s="2018"/>
      <c r="W311" s="2018"/>
      <c r="X311" s="2018"/>
      <c r="Y311" s="2094"/>
      <c r="Z311" s="2096"/>
      <c r="AA311" s="2097"/>
      <c r="AB311" s="1053"/>
      <c r="AC311" s="1053"/>
      <c r="AD311" s="1050"/>
      <c r="AE311" s="1051"/>
      <c r="AF311" s="1052"/>
    </row>
    <row r="312" spans="1:32" ht="15.75" x14ac:dyDescent="0.25">
      <c r="A312" s="2017"/>
      <c r="B312" s="2018"/>
      <c r="C312" s="2018"/>
      <c r="D312" s="2018"/>
      <c r="E312" s="2018"/>
      <c r="F312" s="2018"/>
      <c r="G312" s="2018"/>
      <c r="H312" s="2018"/>
      <c r="I312" s="2018"/>
      <c r="J312" s="2018"/>
      <c r="K312" s="2018"/>
      <c r="L312" s="2018"/>
      <c r="M312" s="2018"/>
      <c r="N312" s="2018"/>
      <c r="O312" s="2018"/>
      <c r="P312" s="2018"/>
      <c r="Q312" s="2018"/>
      <c r="R312" s="2018"/>
      <c r="S312" s="2018"/>
      <c r="T312" s="2018"/>
      <c r="U312" s="2018"/>
      <c r="V312" s="2018"/>
      <c r="W312" s="2018"/>
      <c r="X312" s="2018"/>
      <c r="Y312" s="2094"/>
      <c r="Z312" s="2096"/>
      <c r="AA312" s="2097"/>
      <c r="AB312" s="1053"/>
      <c r="AC312" s="1053"/>
      <c r="AD312" s="1050"/>
      <c r="AE312" s="1051"/>
      <c r="AF312" s="1052"/>
    </row>
    <row r="313" spans="1:32" ht="15.75" x14ac:dyDescent="0.25">
      <c r="A313" s="2017"/>
      <c r="B313" s="2018"/>
      <c r="C313" s="2018"/>
      <c r="D313" s="2018"/>
      <c r="E313" s="2018"/>
      <c r="F313" s="2018"/>
      <c r="G313" s="2018"/>
      <c r="H313" s="2018"/>
      <c r="I313" s="2018"/>
      <c r="J313" s="2018"/>
      <c r="K313" s="2018"/>
      <c r="L313" s="2018"/>
      <c r="M313" s="2018"/>
      <c r="N313" s="2018"/>
      <c r="O313" s="2018"/>
      <c r="P313" s="2018"/>
      <c r="Q313" s="2018"/>
      <c r="R313" s="2018"/>
      <c r="S313" s="2018"/>
      <c r="T313" s="2018"/>
      <c r="U313" s="2018"/>
      <c r="V313" s="2018"/>
      <c r="W313" s="2018"/>
      <c r="X313" s="2018"/>
      <c r="Y313" s="2094"/>
      <c r="Z313" s="2096"/>
      <c r="AA313" s="2097"/>
      <c r="AB313" s="1053"/>
      <c r="AC313" s="1053"/>
      <c r="AD313" s="1053"/>
      <c r="AE313" s="1051"/>
      <c r="AF313" s="1052"/>
    </row>
    <row r="314" spans="1:32" ht="15.75" x14ac:dyDescent="0.25">
      <c r="A314" s="2017"/>
      <c r="B314" s="2018"/>
      <c r="C314" s="2018"/>
      <c r="D314" s="2018"/>
      <c r="E314" s="2018"/>
      <c r="F314" s="2018"/>
      <c r="G314" s="2018"/>
      <c r="H314" s="2018"/>
      <c r="I314" s="2018"/>
      <c r="J314" s="2018"/>
      <c r="K314" s="2018"/>
      <c r="L314" s="2018"/>
      <c r="M314" s="2018"/>
      <c r="N314" s="2018"/>
      <c r="O314" s="2018"/>
      <c r="P314" s="2018"/>
      <c r="Q314" s="2018"/>
      <c r="R314" s="2018"/>
      <c r="S314" s="2018"/>
      <c r="T314" s="2018"/>
      <c r="U314" s="2018"/>
      <c r="V314" s="2018"/>
      <c r="W314" s="2018"/>
      <c r="X314" s="2018"/>
      <c r="Y314" s="2094"/>
      <c r="Z314" s="2096"/>
      <c r="AA314" s="2097"/>
      <c r="AB314" s="1053"/>
      <c r="AC314" s="1053"/>
      <c r="AD314" s="1053"/>
      <c r="AE314" s="1051"/>
      <c r="AF314" s="1052"/>
    </row>
    <row r="315" spans="1:32" ht="15.75" x14ac:dyDescent="0.25">
      <c r="A315" s="2017"/>
      <c r="B315" s="2018"/>
      <c r="C315" s="2018"/>
      <c r="D315" s="2018"/>
      <c r="E315" s="2018"/>
      <c r="F315" s="2018"/>
      <c r="G315" s="2018"/>
      <c r="H315" s="2018"/>
      <c r="I315" s="2018"/>
      <c r="J315" s="2018"/>
      <c r="K315" s="2018"/>
      <c r="L315" s="2018"/>
      <c r="M315" s="2018"/>
      <c r="N315" s="2018"/>
      <c r="O315" s="2018"/>
      <c r="P315" s="2018"/>
      <c r="Q315" s="2018"/>
      <c r="R315" s="2018"/>
      <c r="S315" s="2018"/>
      <c r="T315" s="2018"/>
      <c r="U315" s="2018"/>
      <c r="V315" s="2018"/>
      <c r="W315" s="2018"/>
      <c r="X315" s="2018"/>
      <c r="Y315" s="2094"/>
      <c r="Z315" s="2096"/>
      <c r="AA315" s="2097"/>
      <c r="AB315" s="1053"/>
      <c r="AC315" s="1053"/>
      <c r="AD315" s="1053"/>
      <c r="AE315" s="1051"/>
      <c r="AF315" s="1052"/>
    </row>
    <row r="316" spans="1:32" ht="15.75" x14ac:dyDescent="0.25">
      <c r="A316" s="2017"/>
      <c r="B316" s="2018"/>
      <c r="C316" s="2018"/>
      <c r="D316" s="2018"/>
      <c r="E316" s="2018"/>
      <c r="F316" s="2018"/>
      <c r="G316" s="2018"/>
      <c r="H316" s="2018"/>
      <c r="I316" s="2018"/>
      <c r="J316" s="2018"/>
      <c r="K316" s="2018"/>
      <c r="L316" s="2018"/>
      <c r="M316" s="2018"/>
      <c r="N316" s="2018"/>
      <c r="O316" s="2018"/>
      <c r="P316" s="2018"/>
      <c r="Q316" s="2018"/>
      <c r="R316" s="2018"/>
      <c r="S316" s="2018"/>
      <c r="T316" s="2018"/>
      <c r="U316" s="2018"/>
      <c r="V316" s="2018"/>
      <c r="W316" s="2018"/>
      <c r="X316" s="2018"/>
      <c r="Y316" s="2094"/>
      <c r="Z316" s="2096"/>
      <c r="AA316" s="2097"/>
      <c r="AB316" s="1053"/>
      <c r="AC316" s="1053"/>
      <c r="AD316" s="1053"/>
      <c r="AE316" s="1050"/>
      <c r="AF316" s="1054"/>
    </row>
    <row r="317" spans="1:32" ht="15.75" x14ac:dyDescent="0.25">
      <c r="A317" s="2017"/>
      <c r="B317" s="2018"/>
      <c r="C317" s="2018"/>
      <c r="D317" s="2018"/>
      <c r="E317" s="2018"/>
      <c r="F317" s="2018"/>
      <c r="G317" s="2018"/>
      <c r="H317" s="2018"/>
      <c r="I317" s="2018"/>
      <c r="J317" s="2018"/>
      <c r="K317" s="2018"/>
      <c r="L317" s="2018"/>
      <c r="M317" s="2018"/>
      <c r="N317" s="2018"/>
      <c r="O317" s="2018"/>
      <c r="P317" s="2018"/>
      <c r="Q317" s="2018"/>
      <c r="R317" s="2018"/>
      <c r="S317" s="2018"/>
      <c r="T317" s="2018"/>
      <c r="U317" s="2018"/>
      <c r="V317" s="2018"/>
      <c r="W317" s="2018"/>
      <c r="X317" s="2018"/>
      <c r="Y317" s="2094"/>
      <c r="Z317" s="2096"/>
      <c r="AA317" s="2097"/>
      <c r="AB317" s="1053"/>
      <c r="AC317" s="1053"/>
      <c r="AD317" s="1053"/>
      <c r="AE317" s="1051"/>
      <c r="AF317" s="1054"/>
    </row>
    <row r="318" spans="1:32" ht="15.75" x14ac:dyDescent="0.25">
      <c r="A318" s="2017"/>
      <c r="B318" s="2018"/>
      <c r="C318" s="2018"/>
      <c r="D318" s="2018"/>
      <c r="E318" s="2018"/>
      <c r="F318" s="2018"/>
      <c r="G318" s="2018"/>
      <c r="H318" s="2018"/>
      <c r="I318" s="2018"/>
      <c r="J318" s="2018"/>
      <c r="K318" s="2018"/>
      <c r="L318" s="2018"/>
      <c r="M318" s="2018"/>
      <c r="N318" s="2018"/>
      <c r="O318" s="2018"/>
      <c r="P318" s="2018"/>
      <c r="Q318" s="2018"/>
      <c r="R318" s="2018"/>
      <c r="S318" s="2018"/>
      <c r="T318" s="2018"/>
      <c r="U318" s="2018"/>
      <c r="V318" s="2018"/>
      <c r="W318" s="2018"/>
      <c r="X318" s="2018"/>
      <c r="Y318" s="2094"/>
      <c r="Z318" s="2096"/>
      <c r="AA318" s="2097"/>
      <c r="AB318" s="1053"/>
      <c r="AC318" s="1053"/>
      <c r="AD318" s="1053"/>
      <c r="AE318" s="1051"/>
      <c r="AF318" s="1054"/>
    </row>
    <row r="319" spans="1:32" ht="15.75" x14ac:dyDescent="0.25">
      <c r="A319" s="2017"/>
      <c r="B319" s="2018"/>
      <c r="C319" s="2018"/>
      <c r="D319" s="2018"/>
      <c r="E319" s="2018"/>
      <c r="F319" s="2018"/>
      <c r="G319" s="2018"/>
      <c r="H319" s="2018"/>
      <c r="I319" s="2018"/>
      <c r="J319" s="2018"/>
      <c r="K319" s="2018"/>
      <c r="L319" s="2018"/>
      <c r="M319" s="2018"/>
      <c r="N319" s="2018"/>
      <c r="O319" s="2018"/>
      <c r="P319" s="2018"/>
      <c r="Q319" s="2018"/>
      <c r="R319" s="2018"/>
      <c r="S319" s="2018"/>
      <c r="T319" s="2018"/>
      <c r="U319" s="2018"/>
      <c r="V319" s="2018"/>
      <c r="W319" s="2018"/>
      <c r="X319" s="2018"/>
      <c r="Y319" s="2094"/>
      <c r="Z319" s="2096"/>
      <c r="AA319" s="2097"/>
      <c r="AB319" s="1053"/>
      <c r="AC319" s="1053"/>
      <c r="AD319" s="1053"/>
      <c r="AE319" s="1051"/>
      <c r="AF319" s="1054"/>
    </row>
    <row r="320" spans="1:32" ht="15.75" x14ac:dyDescent="0.25">
      <c r="A320" s="2017"/>
      <c r="B320" s="2018"/>
      <c r="C320" s="2018"/>
      <c r="D320" s="2018"/>
      <c r="E320" s="2018"/>
      <c r="F320" s="2018"/>
      <c r="G320" s="2018"/>
      <c r="H320" s="2018"/>
      <c r="I320" s="2018"/>
      <c r="J320" s="2018"/>
      <c r="K320" s="2018"/>
      <c r="L320" s="2018"/>
      <c r="M320" s="2018"/>
      <c r="N320" s="2018"/>
      <c r="O320" s="2018"/>
      <c r="P320" s="2018"/>
      <c r="Q320" s="2018"/>
      <c r="R320" s="2018"/>
      <c r="S320" s="2018"/>
      <c r="T320" s="2018"/>
      <c r="U320" s="2018"/>
      <c r="V320" s="2018"/>
      <c r="W320" s="2018"/>
      <c r="X320" s="2018"/>
      <c r="Y320" s="2094"/>
      <c r="Z320" s="2096"/>
      <c r="AA320" s="2097"/>
      <c r="AB320" s="1053"/>
      <c r="AC320" s="1053"/>
      <c r="AD320" s="1053"/>
      <c r="AE320" s="1051"/>
      <c r="AF320" s="1054"/>
    </row>
    <row r="321" spans="1:32" ht="15.75" x14ac:dyDescent="0.25">
      <c r="A321" s="2017"/>
      <c r="B321" s="2018"/>
      <c r="C321" s="2018"/>
      <c r="D321" s="2018"/>
      <c r="E321" s="2018"/>
      <c r="F321" s="2018"/>
      <c r="G321" s="2018"/>
      <c r="H321" s="2018"/>
      <c r="I321" s="2018"/>
      <c r="J321" s="2018"/>
      <c r="K321" s="2018"/>
      <c r="L321" s="2018"/>
      <c r="M321" s="2018"/>
      <c r="N321" s="2018"/>
      <c r="O321" s="2018"/>
      <c r="P321" s="2018"/>
      <c r="Q321" s="2018"/>
      <c r="R321" s="2018"/>
      <c r="S321" s="2018"/>
      <c r="T321" s="2018"/>
      <c r="U321" s="2018"/>
      <c r="V321" s="2018"/>
      <c r="W321" s="2018"/>
      <c r="X321" s="2018"/>
      <c r="Y321" s="2094"/>
      <c r="Z321" s="2096"/>
      <c r="AA321" s="2097"/>
      <c r="AB321" s="1053"/>
      <c r="AC321" s="1053"/>
      <c r="AD321" s="1053"/>
      <c r="AE321" s="1051"/>
      <c r="AF321" s="1054"/>
    </row>
    <row r="322" spans="1:32" ht="15.75" x14ac:dyDescent="0.25">
      <c r="A322" s="2017"/>
      <c r="B322" s="2018"/>
      <c r="C322" s="2018"/>
      <c r="D322" s="2018"/>
      <c r="E322" s="2018"/>
      <c r="F322" s="2018"/>
      <c r="G322" s="2018"/>
      <c r="H322" s="2018"/>
      <c r="I322" s="2018"/>
      <c r="J322" s="2018"/>
      <c r="K322" s="2018"/>
      <c r="L322" s="2018"/>
      <c r="M322" s="2018"/>
      <c r="N322" s="2018"/>
      <c r="O322" s="2018"/>
      <c r="P322" s="2018"/>
      <c r="Q322" s="2018"/>
      <c r="R322" s="2018"/>
      <c r="S322" s="2018"/>
      <c r="T322" s="2018"/>
      <c r="U322" s="2018"/>
      <c r="V322" s="2018"/>
      <c r="W322" s="2018"/>
      <c r="X322" s="2018"/>
      <c r="Y322" s="2094"/>
      <c r="Z322" s="2096"/>
      <c r="AA322" s="2097"/>
      <c r="AB322" s="1055"/>
      <c r="AC322" s="1055"/>
      <c r="AD322" s="1055"/>
      <c r="AE322" s="1051"/>
      <c r="AF322" s="1056"/>
    </row>
    <row r="323" spans="1:32" ht="15.75" x14ac:dyDescent="0.25">
      <c r="A323" s="2017"/>
      <c r="B323" s="2018"/>
      <c r="C323" s="2018"/>
      <c r="D323" s="2018"/>
      <c r="E323" s="2018"/>
      <c r="F323" s="2018"/>
      <c r="G323" s="2018"/>
      <c r="H323" s="2018"/>
      <c r="I323" s="2018"/>
      <c r="J323" s="2018"/>
      <c r="K323" s="2018"/>
      <c r="L323" s="2018"/>
      <c r="M323" s="2018"/>
      <c r="N323" s="2018"/>
      <c r="O323" s="2018"/>
      <c r="P323" s="2018"/>
      <c r="Q323" s="2018"/>
      <c r="R323" s="2018"/>
      <c r="S323" s="2018"/>
      <c r="T323" s="2018"/>
      <c r="U323" s="2018"/>
      <c r="V323" s="2018"/>
      <c r="W323" s="2018"/>
      <c r="X323" s="2018"/>
      <c r="Y323" s="2094"/>
      <c r="Z323" s="2096"/>
      <c r="AA323" s="2097"/>
      <c r="AB323" s="1055"/>
      <c r="AC323" s="1055"/>
      <c r="AD323" s="1055"/>
      <c r="AE323" s="1055"/>
      <c r="AF323" s="1056"/>
    </row>
    <row r="324" spans="1:32" ht="15.75" x14ac:dyDescent="0.25">
      <c r="A324" s="2017"/>
      <c r="B324" s="2018"/>
      <c r="C324" s="2018"/>
      <c r="D324" s="2018"/>
      <c r="E324" s="2018"/>
      <c r="F324" s="2018"/>
      <c r="G324" s="2018"/>
      <c r="H324" s="2018"/>
      <c r="I324" s="2018"/>
      <c r="J324" s="2018"/>
      <c r="K324" s="2018"/>
      <c r="L324" s="2018"/>
      <c r="M324" s="2018"/>
      <c r="N324" s="2018"/>
      <c r="O324" s="2018"/>
      <c r="P324" s="2018"/>
      <c r="Q324" s="2018"/>
      <c r="R324" s="2018"/>
      <c r="S324" s="2018"/>
      <c r="T324" s="2018"/>
      <c r="U324" s="2018"/>
      <c r="V324" s="2018"/>
      <c r="W324" s="2018"/>
      <c r="X324" s="2018"/>
      <c r="Y324" s="2094"/>
      <c r="Z324" s="2096"/>
      <c r="AA324" s="2097"/>
      <c r="AB324" s="1055"/>
      <c r="AC324" s="1055"/>
      <c r="AD324" s="1055"/>
      <c r="AE324" s="1055"/>
      <c r="AF324" s="1056"/>
    </row>
    <row r="325" spans="1:32" ht="15.75" x14ac:dyDescent="0.25">
      <c r="A325" s="2017"/>
      <c r="B325" s="2018"/>
      <c r="C325" s="2018"/>
      <c r="D325" s="2018"/>
      <c r="E325" s="2018"/>
      <c r="F325" s="2018"/>
      <c r="G325" s="2018"/>
      <c r="H325" s="2018"/>
      <c r="I325" s="2018"/>
      <c r="J325" s="2018"/>
      <c r="K325" s="2018"/>
      <c r="L325" s="2018"/>
      <c r="M325" s="2018"/>
      <c r="N325" s="2018"/>
      <c r="O325" s="2018"/>
      <c r="P325" s="2018"/>
      <c r="Q325" s="2018"/>
      <c r="R325" s="2018"/>
      <c r="S325" s="2018"/>
      <c r="T325" s="2018"/>
      <c r="U325" s="2018"/>
      <c r="V325" s="2018"/>
      <c r="W325" s="2018"/>
      <c r="X325" s="2018"/>
      <c r="Y325" s="2094"/>
      <c r="Z325" s="2096"/>
      <c r="AA325" s="2097"/>
      <c r="AB325" s="1055"/>
      <c r="AC325" s="1055"/>
      <c r="AD325" s="1055"/>
      <c r="AE325" s="1055"/>
      <c r="AF325" s="1056"/>
    </row>
    <row r="326" spans="1:32" ht="15.75" x14ac:dyDescent="0.25">
      <c r="A326" s="2017"/>
      <c r="B326" s="2018"/>
      <c r="C326" s="2018"/>
      <c r="D326" s="2018"/>
      <c r="E326" s="2018"/>
      <c r="F326" s="2018"/>
      <c r="G326" s="2018"/>
      <c r="H326" s="2018"/>
      <c r="I326" s="2018"/>
      <c r="J326" s="2018"/>
      <c r="K326" s="2018"/>
      <c r="L326" s="2018"/>
      <c r="M326" s="2018"/>
      <c r="N326" s="2018"/>
      <c r="O326" s="2018"/>
      <c r="P326" s="2018"/>
      <c r="Q326" s="2018"/>
      <c r="R326" s="2018"/>
      <c r="S326" s="2018"/>
      <c r="T326" s="2018"/>
      <c r="U326" s="2018"/>
      <c r="V326" s="2018"/>
      <c r="W326" s="2018"/>
      <c r="X326" s="2018"/>
      <c r="Y326" s="2094"/>
      <c r="Z326" s="2096"/>
      <c r="AA326" s="2097"/>
      <c r="AB326" s="1055"/>
      <c r="AC326" s="1055"/>
      <c r="AD326" s="1055"/>
      <c r="AE326" s="1055"/>
      <c r="AF326" s="1056"/>
    </row>
    <row r="327" spans="1:32" ht="16.5" thickBot="1" x14ac:dyDescent="0.3">
      <c r="A327" s="2019"/>
      <c r="B327" s="2020"/>
      <c r="C327" s="2020"/>
      <c r="D327" s="2020"/>
      <c r="E327" s="2020"/>
      <c r="F327" s="2020"/>
      <c r="G327" s="2020"/>
      <c r="H327" s="2020"/>
      <c r="I327" s="2020"/>
      <c r="J327" s="2020"/>
      <c r="K327" s="2020"/>
      <c r="L327" s="2020"/>
      <c r="M327" s="2020"/>
      <c r="N327" s="2020"/>
      <c r="O327" s="2020"/>
      <c r="P327" s="2020"/>
      <c r="Q327" s="2020"/>
      <c r="R327" s="2020"/>
      <c r="S327" s="2020"/>
      <c r="T327" s="2020"/>
      <c r="U327" s="2020"/>
      <c r="V327" s="2020"/>
      <c r="W327" s="2020"/>
      <c r="X327" s="2020"/>
      <c r="Y327" s="2095"/>
      <c r="Z327" s="2098"/>
      <c r="AA327" s="2099"/>
      <c r="AB327" s="1057"/>
      <c r="AC327" s="1057"/>
      <c r="AD327" s="1057"/>
      <c r="AE327" s="1057"/>
      <c r="AF327" s="1058"/>
    </row>
    <row r="328" spans="1:32" ht="15.75" x14ac:dyDescent="0.25">
      <c r="A328" s="2009" t="s">
        <v>2158</v>
      </c>
      <c r="B328" s="2010"/>
      <c r="C328" s="2010"/>
      <c r="D328" s="2010"/>
      <c r="E328" s="2010"/>
      <c r="F328" s="2010"/>
      <c r="G328" s="2010"/>
      <c r="H328" s="2010"/>
      <c r="I328" s="2010"/>
      <c r="J328" s="2010"/>
      <c r="K328" s="2010"/>
      <c r="L328" s="2010"/>
      <c r="M328" s="2010"/>
      <c r="N328" s="2010"/>
      <c r="O328" s="2010"/>
      <c r="P328" s="2010"/>
      <c r="Q328" s="2010"/>
      <c r="R328" s="2010"/>
      <c r="S328" s="2010"/>
      <c r="T328" s="2010"/>
      <c r="U328" s="2010"/>
      <c r="V328" s="2010"/>
      <c r="W328" s="2010"/>
      <c r="X328" s="2010"/>
      <c r="Y328" s="2010"/>
      <c r="Z328" s="2013" t="s">
        <v>1850</v>
      </c>
      <c r="AA328" s="2013"/>
      <c r="AB328" s="2013"/>
      <c r="AC328" s="2013"/>
      <c r="AD328" s="2013"/>
      <c r="AE328" s="2013"/>
      <c r="AF328" s="1059">
        <f>SUM(AF308:AF327)</f>
        <v>1</v>
      </c>
    </row>
    <row r="329" spans="1:32" ht="15.75" x14ac:dyDescent="0.25">
      <c r="A329" s="2011"/>
      <c r="B329" s="2012"/>
      <c r="C329" s="2012"/>
      <c r="D329" s="2012"/>
      <c r="E329" s="2012"/>
      <c r="F329" s="2012"/>
      <c r="G329" s="2012"/>
      <c r="H329" s="2012"/>
      <c r="I329" s="2012"/>
      <c r="J329" s="2012"/>
      <c r="K329" s="2012"/>
      <c r="L329" s="2012"/>
      <c r="M329" s="2012"/>
      <c r="N329" s="2012"/>
      <c r="O329" s="2012"/>
      <c r="P329" s="2012"/>
      <c r="Q329" s="2012"/>
      <c r="R329" s="2012"/>
      <c r="S329" s="2012"/>
      <c r="T329" s="2012"/>
      <c r="U329" s="2012"/>
      <c r="V329" s="2012"/>
      <c r="W329" s="2012"/>
      <c r="X329" s="2012"/>
      <c r="Y329" s="2012"/>
      <c r="Z329" s="2014" t="s">
        <v>1851</v>
      </c>
      <c r="AA329" s="2014"/>
      <c r="AB329" s="2014"/>
      <c r="AC329" s="2014"/>
      <c r="AD329" s="2014"/>
      <c r="AE329" s="2014"/>
      <c r="AF329" s="1060">
        <v>0</v>
      </c>
    </row>
    <row r="330" spans="1:32" ht="15.75" x14ac:dyDescent="0.25">
      <c r="A330" s="2011"/>
      <c r="B330" s="2012"/>
      <c r="C330" s="2012"/>
      <c r="D330" s="2012"/>
      <c r="E330" s="2012"/>
      <c r="F330" s="2012"/>
      <c r="G330" s="2012"/>
      <c r="H330" s="2012"/>
      <c r="I330" s="2012"/>
      <c r="J330" s="2012"/>
      <c r="K330" s="2012"/>
      <c r="L330" s="2012"/>
      <c r="M330" s="2012"/>
      <c r="N330" s="2012"/>
      <c r="O330" s="2012"/>
      <c r="P330" s="2012"/>
      <c r="Q330" s="2012"/>
      <c r="R330" s="2012"/>
      <c r="S330" s="2012"/>
      <c r="T330" s="2012"/>
      <c r="U330" s="2012"/>
      <c r="V330" s="2012"/>
      <c r="W330" s="2012"/>
      <c r="X330" s="2012"/>
      <c r="Y330" s="2012"/>
      <c r="Z330" s="2015" t="s">
        <v>1833</v>
      </c>
      <c r="AA330" s="2015"/>
      <c r="AB330" s="2015"/>
      <c r="AC330" s="2015"/>
      <c r="AD330" s="2015"/>
      <c r="AE330" s="2015"/>
      <c r="AF330" s="1061">
        <f>SUM(AF328:AF329)</f>
        <v>1</v>
      </c>
    </row>
    <row r="331" spans="1:32" x14ac:dyDescent="0.2">
      <c r="A331" s="2012" t="s">
        <v>1859</v>
      </c>
      <c r="B331" s="2012"/>
      <c r="C331" s="2012"/>
      <c r="D331" s="2012"/>
      <c r="E331" s="2012"/>
      <c r="F331" s="2012"/>
      <c r="G331" s="2012"/>
      <c r="H331" s="2012"/>
      <c r="I331" s="2012"/>
      <c r="J331" s="2012"/>
      <c r="K331" s="2012"/>
      <c r="L331" s="2012"/>
      <c r="M331" s="2012"/>
      <c r="N331" s="2012"/>
      <c r="O331" s="2012"/>
      <c r="P331" s="2012"/>
      <c r="Q331" s="2012"/>
      <c r="R331" s="2012"/>
      <c r="S331" s="2012"/>
      <c r="T331" s="2016" t="s">
        <v>1840</v>
      </c>
      <c r="U331" s="2016"/>
      <c r="V331" s="2016"/>
      <c r="W331" s="2016"/>
      <c r="X331" s="2016"/>
      <c r="Y331" s="2016"/>
      <c r="Z331" s="2016"/>
      <c r="AA331" s="2016"/>
      <c r="AB331" s="2012" t="s">
        <v>1852</v>
      </c>
      <c r="AC331" s="2012"/>
      <c r="AD331" s="2012"/>
      <c r="AE331" s="2012"/>
      <c r="AF331" s="2012"/>
    </row>
    <row r="332" spans="1:32" x14ac:dyDescent="0.2">
      <c r="A332" s="2012"/>
      <c r="B332" s="2012"/>
      <c r="C332" s="2012"/>
      <c r="D332" s="2012"/>
      <c r="E332" s="2012"/>
      <c r="F332" s="2012"/>
      <c r="G332" s="2012"/>
      <c r="H332" s="2012"/>
      <c r="I332" s="2012"/>
      <c r="J332" s="2012"/>
      <c r="K332" s="2012"/>
      <c r="L332" s="2012"/>
      <c r="M332" s="2012"/>
      <c r="N332" s="2012"/>
      <c r="O332" s="2012"/>
      <c r="P332" s="2012"/>
      <c r="Q332" s="2012"/>
      <c r="R332" s="2012"/>
      <c r="S332" s="2012"/>
      <c r="T332" s="2016"/>
      <c r="U332" s="2016"/>
      <c r="V332" s="2016"/>
      <c r="W332" s="2016"/>
      <c r="X332" s="2016"/>
      <c r="Y332" s="2016"/>
      <c r="Z332" s="2016"/>
      <c r="AA332" s="2016"/>
      <c r="AB332" s="2012"/>
      <c r="AC332" s="2012"/>
      <c r="AD332" s="2012"/>
      <c r="AE332" s="2012"/>
      <c r="AF332" s="2012"/>
    </row>
    <row r="333" spans="1:32" ht="16.5" thickBot="1" x14ac:dyDescent="0.25">
      <c r="A333" s="1062"/>
      <c r="B333" s="1062"/>
      <c r="C333" s="1062"/>
      <c r="D333" s="1062"/>
      <c r="E333" s="1062"/>
      <c r="F333" s="1062"/>
      <c r="G333" s="1062"/>
      <c r="H333" s="1062"/>
      <c r="I333" s="1062"/>
      <c r="J333" s="1062"/>
      <c r="K333" s="1062"/>
      <c r="L333" s="1062"/>
      <c r="M333" s="1062"/>
      <c r="N333" s="1062"/>
      <c r="O333" s="1062"/>
      <c r="P333" s="1062"/>
      <c r="Q333" s="1062"/>
      <c r="R333" s="1062"/>
      <c r="S333" s="1062"/>
      <c r="T333" s="1063"/>
      <c r="U333" s="1063"/>
      <c r="V333" s="1063"/>
      <c r="W333" s="1063"/>
      <c r="X333" s="1063"/>
      <c r="Y333" s="1063"/>
      <c r="Z333" s="1063"/>
      <c r="AA333" s="1063"/>
      <c r="AB333" s="1062"/>
      <c r="AC333" s="1062"/>
      <c r="AD333" s="1062"/>
      <c r="AE333" s="1064"/>
      <c r="AF333" s="1065"/>
    </row>
    <row r="334" spans="1:32" ht="20.45" customHeight="1" x14ac:dyDescent="0.2">
      <c r="A334" s="2025" t="s">
        <v>1854</v>
      </c>
      <c r="B334" s="2026"/>
      <c r="C334" s="2026"/>
      <c r="D334" s="2026"/>
      <c r="E334" s="2026"/>
      <c r="F334" s="2026"/>
      <c r="G334" s="2026"/>
      <c r="H334" s="2026"/>
      <c r="I334" s="2026"/>
      <c r="J334" s="2026"/>
      <c r="K334" s="2026"/>
      <c r="L334" s="2026"/>
      <c r="M334" s="2026"/>
      <c r="N334" s="2026"/>
      <c r="O334" s="2026"/>
      <c r="P334" s="2026"/>
      <c r="Q334" s="2026"/>
      <c r="R334" s="2026"/>
      <c r="S334" s="2026"/>
      <c r="T334" s="2026"/>
      <c r="U334" s="2026"/>
      <c r="V334" s="2026"/>
      <c r="W334" s="2026"/>
      <c r="X334" s="2026"/>
      <c r="Y334" s="2026"/>
      <c r="Z334" s="2026"/>
      <c r="AA334" s="2026"/>
      <c r="AB334" s="2026"/>
      <c r="AC334" s="2026"/>
      <c r="AD334" s="2026"/>
      <c r="AE334" s="1041" t="s">
        <v>1834</v>
      </c>
      <c r="AF334" s="1042" t="s">
        <v>1835</v>
      </c>
    </row>
    <row r="335" spans="1:32" ht="25.9" customHeight="1" thickBot="1" x14ac:dyDescent="0.25">
      <c r="A335" s="2027"/>
      <c r="B335" s="2028"/>
      <c r="C335" s="2028"/>
      <c r="D335" s="2028"/>
      <c r="E335" s="2028"/>
      <c r="F335" s="2028"/>
      <c r="G335" s="2028"/>
      <c r="H335" s="2028"/>
      <c r="I335" s="2028"/>
      <c r="J335" s="2028"/>
      <c r="K335" s="2028"/>
      <c r="L335" s="2028"/>
      <c r="M335" s="2028"/>
      <c r="N335" s="2028"/>
      <c r="O335" s="2028"/>
      <c r="P335" s="2028"/>
      <c r="Q335" s="2028"/>
      <c r="R335" s="2028"/>
      <c r="S335" s="2028"/>
      <c r="T335" s="2028"/>
      <c r="U335" s="2028"/>
      <c r="V335" s="2028"/>
      <c r="W335" s="2028"/>
      <c r="X335" s="2028"/>
      <c r="Y335" s="2028"/>
      <c r="Z335" s="2028"/>
      <c r="AA335" s="2028"/>
      <c r="AB335" s="2028"/>
      <c r="AC335" s="2028"/>
      <c r="AD335" s="2028"/>
      <c r="AE335" s="1041" t="s">
        <v>1836</v>
      </c>
      <c r="AF335" s="1044">
        <v>1</v>
      </c>
    </row>
    <row r="336" spans="1:32" ht="15.75" x14ac:dyDescent="0.2">
      <c r="A336" s="2029"/>
      <c r="B336" s="2030"/>
      <c r="C336" s="2030"/>
      <c r="D336" s="2031"/>
      <c r="E336" s="2025" t="str">
        <f>'01'!$A$12</f>
        <v>"CONSTRUCCION SISTEMA DE ACUEDUCTO FASE II DEL MUNICIPIO DE TESALIA DPTO DEL HUILA"</v>
      </c>
      <c r="F336" s="2026"/>
      <c r="G336" s="2026"/>
      <c r="H336" s="2026"/>
      <c r="I336" s="2026"/>
      <c r="J336" s="2026"/>
      <c r="K336" s="2026"/>
      <c r="L336" s="2026"/>
      <c r="M336" s="2026"/>
      <c r="N336" s="2026"/>
      <c r="O336" s="2026"/>
      <c r="P336" s="2026"/>
      <c r="Q336" s="2026"/>
      <c r="R336" s="2026"/>
      <c r="S336" s="2026"/>
      <c r="T336" s="2026"/>
      <c r="U336" s="2026"/>
      <c r="V336" s="2026"/>
      <c r="W336" s="2026"/>
      <c r="X336" s="2026"/>
      <c r="Y336" s="2026"/>
      <c r="Z336" s="2026"/>
      <c r="AA336" s="2026"/>
      <c r="AB336" s="2026"/>
      <c r="AC336" s="2026"/>
      <c r="AD336" s="2035"/>
      <c r="AE336" s="1041" t="s">
        <v>847</v>
      </c>
      <c r="AF336" s="1045">
        <f>'01'!$M$13</f>
        <v>0</v>
      </c>
    </row>
    <row r="337" spans="1:32" ht="16.5" thickBot="1" x14ac:dyDescent="0.25">
      <c r="A337" s="2032"/>
      <c r="B337" s="2033"/>
      <c r="C337" s="2033"/>
      <c r="D337" s="2034"/>
      <c r="E337" s="2027"/>
      <c r="F337" s="2028"/>
      <c r="G337" s="2028"/>
      <c r="H337" s="2028"/>
      <c r="I337" s="2028"/>
      <c r="J337" s="2028"/>
      <c r="K337" s="2028"/>
      <c r="L337" s="2028"/>
      <c r="M337" s="2028"/>
      <c r="N337" s="2028"/>
      <c r="O337" s="2028"/>
      <c r="P337" s="2028"/>
      <c r="Q337" s="2028"/>
      <c r="R337" s="2028"/>
      <c r="S337" s="2028"/>
      <c r="T337" s="2028"/>
      <c r="U337" s="2028"/>
      <c r="V337" s="2028"/>
      <c r="W337" s="2028"/>
      <c r="X337" s="2028"/>
      <c r="Y337" s="2028"/>
      <c r="Z337" s="2028"/>
      <c r="AA337" s="2028"/>
      <c r="AB337" s="2028"/>
      <c r="AC337" s="2028"/>
      <c r="AD337" s="2036"/>
      <c r="AE337" s="1041" t="s">
        <v>1837</v>
      </c>
      <c r="AF337" s="1042" t="s">
        <v>1838</v>
      </c>
    </row>
    <row r="338" spans="1:32" ht="15.75" x14ac:dyDescent="0.25">
      <c r="A338" s="2037" t="s">
        <v>1860</v>
      </c>
      <c r="B338" s="2038"/>
      <c r="C338" s="2038"/>
      <c r="D338" s="2038"/>
      <c r="E338" s="2038"/>
      <c r="F338" s="2038"/>
      <c r="G338" s="2038"/>
      <c r="H338" s="2038"/>
      <c r="I338" s="2038"/>
      <c r="J338" s="2038"/>
      <c r="K338" s="2038"/>
      <c r="L338" s="2038"/>
      <c r="M338" s="2038"/>
      <c r="N338" s="2038"/>
      <c r="O338" s="2038"/>
      <c r="P338" s="2038"/>
      <c r="Q338" s="2038"/>
      <c r="R338" s="2038"/>
      <c r="S338" s="2038"/>
      <c r="T338" s="2038"/>
      <c r="U338" s="2038"/>
      <c r="V338" s="2038"/>
      <c r="W338" s="2038"/>
      <c r="X338" s="2038"/>
      <c r="Y338" s="2038"/>
      <c r="Z338" s="2038"/>
      <c r="AA338" s="2038"/>
      <c r="AB338" s="2038"/>
      <c r="AC338" s="2038"/>
      <c r="AD338" s="2038"/>
      <c r="AE338" s="2039" t="s">
        <v>1839</v>
      </c>
      <c r="AF338" s="2040"/>
    </row>
    <row r="339" spans="1:32" ht="15.75" x14ac:dyDescent="0.25">
      <c r="A339" s="2041" t="s">
        <v>1840</v>
      </c>
      <c r="B339" s="2042"/>
      <c r="C339" s="2042"/>
      <c r="D339" s="2042"/>
      <c r="E339" s="2042"/>
      <c r="F339" s="2042"/>
      <c r="G339" s="2042"/>
      <c r="H339" s="2042"/>
      <c r="I339" s="2042"/>
      <c r="J339" s="2042"/>
      <c r="K339" s="2042"/>
      <c r="L339" s="2042"/>
      <c r="M339" s="2042"/>
      <c r="N339" s="2042"/>
      <c r="O339" s="2042"/>
      <c r="P339" s="2042"/>
      <c r="Q339" s="2042"/>
      <c r="R339" s="2042"/>
      <c r="S339" s="2042"/>
      <c r="T339" s="2042"/>
      <c r="U339" s="2042"/>
      <c r="V339" s="2042"/>
      <c r="W339" s="2042"/>
      <c r="X339" s="2042"/>
      <c r="Y339" s="2042"/>
      <c r="Z339" s="2042"/>
      <c r="AA339" s="2042"/>
      <c r="AB339" s="2042"/>
      <c r="AC339" s="2042"/>
      <c r="AD339" s="2043"/>
      <c r="AE339" s="2014" t="s">
        <v>1841</v>
      </c>
      <c r="AF339" s="2044"/>
    </row>
    <row r="340" spans="1:32" ht="15.75" x14ac:dyDescent="0.25">
      <c r="A340" s="2045" t="s">
        <v>1853</v>
      </c>
      <c r="B340" s="2046"/>
      <c r="C340" s="2046"/>
      <c r="D340" s="2046"/>
      <c r="E340" s="2046"/>
      <c r="F340" s="2046"/>
      <c r="G340" s="2046"/>
      <c r="H340" s="2046"/>
      <c r="I340" s="2046"/>
      <c r="J340" s="2046"/>
      <c r="K340" s="2046"/>
      <c r="L340" s="2046"/>
      <c r="M340" s="2046"/>
      <c r="N340" s="2046"/>
      <c r="O340" s="2046"/>
      <c r="P340" s="2046"/>
      <c r="Q340" s="2046"/>
      <c r="R340" s="2046"/>
      <c r="S340" s="2046"/>
      <c r="T340" s="2046"/>
      <c r="U340" s="2046"/>
      <c r="V340" s="2046"/>
      <c r="W340" s="2046"/>
      <c r="X340" s="2046"/>
      <c r="Y340" s="2046"/>
      <c r="Z340" s="2046"/>
      <c r="AA340" s="2046"/>
      <c r="AB340" s="2046"/>
      <c r="AC340" s="2046"/>
      <c r="AD340" s="2046"/>
      <c r="AE340" s="2047">
        <f>'01'!$M$13</f>
        <v>0</v>
      </c>
      <c r="AF340" s="2044"/>
    </row>
    <row r="341" spans="1:32" x14ac:dyDescent="0.2">
      <c r="A341" s="1046"/>
      <c r="B341" s="1047"/>
      <c r="C341" s="1047"/>
      <c r="D341" s="1047"/>
      <c r="E341" s="1047"/>
      <c r="F341" s="1047"/>
      <c r="G341" s="1047"/>
      <c r="H341" s="1047"/>
      <c r="I341" s="1047"/>
      <c r="J341" s="1047"/>
      <c r="K341" s="1047"/>
      <c r="L341" s="1047"/>
      <c r="M341" s="1047"/>
      <c r="N341" s="1047"/>
      <c r="O341" s="1047"/>
      <c r="P341" s="1047"/>
      <c r="Q341" s="1047"/>
      <c r="R341" s="1047"/>
      <c r="S341" s="1047"/>
      <c r="T341" s="1047"/>
      <c r="U341" s="1047"/>
      <c r="V341" s="1047"/>
      <c r="W341" s="1047"/>
      <c r="X341" s="1047"/>
      <c r="Y341" s="1047"/>
      <c r="Z341" s="1047"/>
      <c r="AA341" s="1047"/>
      <c r="AB341" s="1047"/>
      <c r="AC341" s="1047"/>
      <c r="AD341" s="1047"/>
      <c r="AE341" s="1047"/>
      <c r="AF341" s="1048"/>
    </row>
    <row r="342" spans="1:32" ht="15.75" x14ac:dyDescent="0.2">
      <c r="A342" s="2048" t="s">
        <v>1842</v>
      </c>
      <c r="B342" s="2049"/>
      <c r="C342" s="2049"/>
      <c r="D342" s="2049"/>
      <c r="E342" s="2049"/>
      <c r="F342" s="2050" t="str">
        <f>'01'!$H$16</f>
        <v>A -EMPATE CON LÍNEA DE ADUCCIÓN</v>
      </c>
      <c r="G342" s="2049"/>
      <c r="H342" s="2049"/>
      <c r="I342" s="2049"/>
      <c r="J342" s="2049"/>
      <c r="K342" s="2049"/>
      <c r="L342" s="2049"/>
      <c r="M342" s="2049"/>
      <c r="N342" s="2049"/>
      <c r="O342" s="2049"/>
      <c r="P342" s="2049"/>
      <c r="Q342" s="2049"/>
      <c r="R342" s="2049"/>
      <c r="S342" s="2049"/>
      <c r="T342" s="2049"/>
      <c r="U342" s="2049"/>
      <c r="V342" s="2049"/>
      <c r="W342" s="2049"/>
      <c r="X342" s="2049"/>
      <c r="Y342" s="2051"/>
      <c r="Z342" s="2052" t="s">
        <v>1843</v>
      </c>
      <c r="AA342" s="2053"/>
      <c r="AB342" s="2058" t="s">
        <v>1844</v>
      </c>
      <c r="AC342" s="2059"/>
      <c r="AD342" s="2060"/>
      <c r="AE342" s="2064" t="s">
        <v>1845</v>
      </c>
      <c r="AF342" s="2067" t="s">
        <v>1846</v>
      </c>
    </row>
    <row r="343" spans="1:32" x14ac:dyDescent="0.2">
      <c r="A343" s="2070" t="e">
        <f>'01'!#REF!</f>
        <v>#REF!</v>
      </c>
      <c r="B343" s="2071"/>
      <c r="C343" s="2072"/>
      <c r="D343" s="2076" t="e">
        <f>VLOOKUP(A343,'01'!$A$12:$N$299,3,FALSE)</f>
        <v>#REF!</v>
      </c>
      <c r="E343" s="2077"/>
      <c r="F343" s="2077"/>
      <c r="G343" s="2077"/>
      <c r="H343" s="2077"/>
      <c r="I343" s="2077"/>
      <c r="J343" s="2077"/>
      <c r="K343" s="2077"/>
      <c r="L343" s="2077"/>
      <c r="M343" s="2077"/>
      <c r="N343" s="2077"/>
      <c r="O343" s="2077"/>
      <c r="P343" s="2077"/>
      <c r="Q343" s="2077"/>
      <c r="R343" s="2077"/>
      <c r="S343" s="2078"/>
      <c r="T343" s="2082" t="s">
        <v>124</v>
      </c>
      <c r="U343" s="2083"/>
      <c r="V343" s="2083"/>
      <c r="W343" s="2083"/>
      <c r="X343" s="2052" t="e">
        <f>VLOOKUP(A343,'01'!$A$12:$N$299,9,FALSE)</f>
        <v>#REF!</v>
      </c>
      <c r="Y343" s="2053"/>
      <c r="Z343" s="2054"/>
      <c r="AA343" s="2055"/>
      <c r="AB343" s="2061"/>
      <c r="AC343" s="2062"/>
      <c r="AD343" s="2063"/>
      <c r="AE343" s="2065"/>
      <c r="AF343" s="2068"/>
    </row>
    <row r="344" spans="1:32" ht="15.75" x14ac:dyDescent="0.25">
      <c r="A344" s="2073"/>
      <c r="B344" s="2074"/>
      <c r="C344" s="2075"/>
      <c r="D344" s="2079"/>
      <c r="E344" s="2080"/>
      <c r="F344" s="2080"/>
      <c r="G344" s="2080"/>
      <c r="H344" s="2080"/>
      <c r="I344" s="2080"/>
      <c r="J344" s="2080"/>
      <c r="K344" s="2080"/>
      <c r="L344" s="2080"/>
      <c r="M344" s="2080"/>
      <c r="N344" s="2080"/>
      <c r="O344" s="2080"/>
      <c r="P344" s="2080"/>
      <c r="Q344" s="2080"/>
      <c r="R344" s="2080"/>
      <c r="S344" s="2081"/>
      <c r="T344" s="2084"/>
      <c r="U344" s="2085"/>
      <c r="V344" s="2085"/>
      <c r="W344" s="2085"/>
      <c r="X344" s="2056"/>
      <c r="Y344" s="2057"/>
      <c r="Z344" s="2056"/>
      <c r="AA344" s="2057"/>
      <c r="AB344" s="1049" t="s">
        <v>1847</v>
      </c>
      <c r="AC344" s="1049" t="s">
        <v>1848</v>
      </c>
      <c r="AD344" s="1049" t="s">
        <v>1849</v>
      </c>
      <c r="AE344" s="2066"/>
      <c r="AF344" s="2069"/>
    </row>
    <row r="345" spans="1:32" ht="15.75" x14ac:dyDescent="0.25">
      <c r="A345" s="2017"/>
      <c r="B345" s="2018"/>
      <c r="C345" s="2018"/>
      <c r="D345" s="2018"/>
      <c r="E345" s="2018"/>
      <c r="F345" s="2018"/>
      <c r="G345" s="2018"/>
      <c r="H345" s="2018"/>
      <c r="I345" s="2018"/>
      <c r="J345" s="2018"/>
      <c r="K345" s="2018"/>
      <c r="L345" s="2018"/>
      <c r="M345" s="2018"/>
      <c r="N345" s="2018"/>
      <c r="O345" s="2018"/>
      <c r="P345" s="2018"/>
      <c r="Q345" s="2018"/>
      <c r="R345" s="2018"/>
      <c r="S345" s="2018"/>
      <c r="T345" s="2018"/>
      <c r="U345" s="2018"/>
      <c r="V345" s="2018"/>
      <c r="W345" s="2018"/>
      <c r="X345" s="2018"/>
      <c r="Y345" s="2094"/>
      <c r="Z345" s="2096" t="s">
        <v>2157</v>
      </c>
      <c r="AA345" s="2097"/>
      <c r="AB345" s="1050">
        <v>0</v>
      </c>
      <c r="AC345" s="1050">
        <v>0</v>
      </c>
      <c r="AD345" s="1050">
        <v>0</v>
      </c>
      <c r="AE345" s="1051">
        <v>1</v>
      </c>
      <c r="AF345" s="1052">
        <f>AE345</f>
        <v>1</v>
      </c>
    </row>
    <row r="346" spans="1:32" ht="15.75" x14ac:dyDescent="0.25">
      <c r="A346" s="2017"/>
      <c r="B346" s="2018"/>
      <c r="C346" s="2018"/>
      <c r="D346" s="2018"/>
      <c r="E346" s="2018"/>
      <c r="F346" s="2018"/>
      <c r="G346" s="2018"/>
      <c r="H346" s="2018"/>
      <c r="I346" s="2018"/>
      <c r="J346" s="2018"/>
      <c r="K346" s="2018"/>
      <c r="L346" s="2018"/>
      <c r="M346" s="2018"/>
      <c r="N346" s="2018"/>
      <c r="O346" s="2018"/>
      <c r="P346" s="2018"/>
      <c r="Q346" s="2018"/>
      <c r="R346" s="2018"/>
      <c r="S346" s="2018"/>
      <c r="T346" s="2018"/>
      <c r="U346" s="2018"/>
      <c r="V346" s="2018"/>
      <c r="W346" s="2018"/>
      <c r="X346" s="2018"/>
      <c r="Y346" s="2094"/>
      <c r="Z346" s="2096"/>
      <c r="AA346" s="2097"/>
      <c r="AB346" s="1053"/>
      <c r="AC346" s="1053"/>
      <c r="AD346" s="1050"/>
      <c r="AE346" s="1051"/>
      <c r="AF346" s="1052"/>
    </row>
    <row r="347" spans="1:32" ht="15.75" x14ac:dyDescent="0.25">
      <c r="A347" s="2017"/>
      <c r="B347" s="2018"/>
      <c r="C347" s="2018"/>
      <c r="D347" s="2018"/>
      <c r="E347" s="2018"/>
      <c r="F347" s="2018"/>
      <c r="G347" s="2018"/>
      <c r="H347" s="2018"/>
      <c r="I347" s="2018"/>
      <c r="J347" s="2018"/>
      <c r="K347" s="2018"/>
      <c r="L347" s="2018"/>
      <c r="M347" s="2018"/>
      <c r="N347" s="2018"/>
      <c r="O347" s="2018"/>
      <c r="P347" s="2018"/>
      <c r="Q347" s="2018"/>
      <c r="R347" s="2018"/>
      <c r="S347" s="2018"/>
      <c r="T347" s="2018"/>
      <c r="U347" s="2018"/>
      <c r="V347" s="2018"/>
      <c r="W347" s="2018"/>
      <c r="X347" s="2018"/>
      <c r="Y347" s="2094"/>
      <c r="Z347" s="2096"/>
      <c r="AA347" s="2097"/>
      <c r="AB347" s="1053"/>
      <c r="AC347" s="1053"/>
      <c r="AD347" s="1050"/>
      <c r="AE347" s="1051"/>
      <c r="AF347" s="1052"/>
    </row>
    <row r="348" spans="1:32" ht="15.75" x14ac:dyDescent="0.25">
      <c r="A348" s="2017"/>
      <c r="B348" s="2018"/>
      <c r="C348" s="2018"/>
      <c r="D348" s="2018"/>
      <c r="E348" s="2018"/>
      <c r="F348" s="2018"/>
      <c r="G348" s="2018"/>
      <c r="H348" s="2018"/>
      <c r="I348" s="2018"/>
      <c r="J348" s="2018"/>
      <c r="K348" s="2018"/>
      <c r="L348" s="2018"/>
      <c r="M348" s="2018"/>
      <c r="N348" s="2018"/>
      <c r="O348" s="2018"/>
      <c r="P348" s="2018"/>
      <c r="Q348" s="2018"/>
      <c r="R348" s="2018"/>
      <c r="S348" s="2018"/>
      <c r="T348" s="2018"/>
      <c r="U348" s="2018"/>
      <c r="V348" s="2018"/>
      <c r="W348" s="2018"/>
      <c r="X348" s="2018"/>
      <c r="Y348" s="2094"/>
      <c r="Z348" s="2096"/>
      <c r="AA348" s="2097"/>
      <c r="AB348" s="1053"/>
      <c r="AC348" s="1053"/>
      <c r="AD348" s="1050"/>
      <c r="AE348" s="1051"/>
      <c r="AF348" s="1052"/>
    </row>
    <row r="349" spans="1:32" ht="15.75" x14ac:dyDescent="0.25">
      <c r="A349" s="2017"/>
      <c r="B349" s="2018"/>
      <c r="C349" s="2018"/>
      <c r="D349" s="2018"/>
      <c r="E349" s="2018"/>
      <c r="F349" s="2018"/>
      <c r="G349" s="2018"/>
      <c r="H349" s="2018"/>
      <c r="I349" s="2018"/>
      <c r="J349" s="2018"/>
      <c r="K349" s="2018"/>
      <c r="L349" s="2018"/>
      <c r="M349" s="2018"/>
      <c r="N349" s="2018"/>
      <c r="O349" s="2018"/>
      <c r="P349" s="2018"/>
      <c r="Q349" s="2018"/>
      <c r="R349" s="2018"/>
      <c r="S349" s="2018"/>
      <c r="T349" s="2018"/>
      <c r="U349" s="2018"/>
      <c r="V349" s="2018"/>
      <c r="W349" s="2018"/>
      <c r="X349" s="2018"/>
      <c r="Y349" s="2094"/>
      <c r="Z349" s="2096"/>
      <c r="AA349" s="2097"/>
      <c r="AB349" s="1053"/>
      <c r="AC349" s="1053"/>
      <c r="AD349" s="1050"/>
      <c r="AE349" s="1051"/>
      <c r="AF349" s="1052"/>
    </row>
    <row r="350" spans="1:32" ht="15.75" x14ac:dyDescent="0.25">
      <c r="A350" s="2017"/>
      <c r="B350" s="2018"/>
      <c r="C350" s="2018"/>
      <c r="D350" s="2018"/>
      <c r="E350" s="2018"/>
      <c r="F350" s="2018"/>
      <c r="G350" s="2018"/>
      <c r="H350" s="2018"/>
      <c r="I350" s="2018"/>
      <c r="J350" s="2018"/>
      <c r="K350" s="2018"/>
      <c r="L350" s="2018"/>
      <c r="M350" s="2018"/>
      <c r="N350" s="2018"/>
      <c r="O350" s="2018"/>
      <c r="P350" s="2018"/>
      <c r="Q350" s="2018"/>
      <c r="R350" s="2018"/>
      <c r="S350" s="2018"/>
      <c r="T350" s="2018"/>
      <c r="U350" s="2018"/>
      <c r="V350" s="2018"/>
      <c r="W350" s="2018"/>
      <c r="X350" s="2018"/>
      <c r="Y350" s="2094"/>
      <c r="Z350" s="2096"/>
      <c r="AA350" s="2097"/>
      <c r="AB350" s="1053"/>
      <c r="AC350" s="1053"/>
      <c r="AD350" s="1053"/>
      <c r="AE350" s="1051"/>
      <c r="AF350" s="1052"/>
    </row>
    <row r="351" spans="1:32" ht="15.75" x14ac:dyDescent="0.25">
      <c r="A351" s="2017"/>
      <c r="B351" s="2018"/>
      <c r="C351" s="2018"/>
      <c r="D351" s="2018"/>
      <c r="E351" s="2018"/>
      <c r="F351" s="2018"/>
      <c r="G351" s="2018"/>
      <c r="H351" s="2018"/>
      <c r="I351" s="2018"/>
      <c r="J351" s="2018"/>
      <c r="K351" s="2018"/>
      <c r="L351" s="2018"/>
      <c r="M351" s="2018"/>
      <c r="N351" s="2018"/>
      <c r="O351" s="2018"/>
      <c r="P351" s="2018"/>
      <c r="Q351" s="2018"/>
      <c r="R351" s="2018"/>
      <c r="S351" s="2018"/>
      <c r="T351" s="2018"/>
      <c r="U351" s="2018"/>
      <c r="V351" s="2018"/>
      <c r="W351" s="2018"/>
      <c r="X351" s="2018"/>
      <c r="Y351" s="2094"/>
      <c r="Z351" s="2096"/>
      <c r="AA351" s="2097"/>
      <c r="AB351" s="1053"/>
      <c r="AC351" s="1053"/>
      <c r="AD351" s="1053"/>
      <c r="AE351" s="1051"/>
      <c r="AF351" s="1052"/>
    </row>
    <row r="352" spans="1:32" ht="15.75" x14ac:dyDescent="0.25">
      <c r="A352" s="2017"/>
      <c r="B352" s="2018"/>
      <c r="C352" s="2018"/>
      <c r="D352" s="2018"/>
      <c r="E352" s="2018"/>
      <c r="F352" s="2018"/>
      <c r="G352" s="2018"/>
      <c r="H352" s="2018"/>
      <c r="I352" s="2018"/>
      <c r="J352" s="2018"/>
      <c r="K352" s="2018"/>
      <c r="L352" s="2018"/>
      <c r="M352" s="2018"/>
      <c r="N352" s="2018"/>
      <c r="O352" s="2018"/>
      <c r="P352" s="2018"/>
      <c r="Q352" s="2018"/>
      <c r="R352" s="2018"/>
      <c r="S352" s="2018"/>
      <c r="T352" s="2018"/>
      <c r="U352" s="2018"/>
      <c r="V352" s="2018"/>
      <c r="W352" s="2018"/>
      <c r="X352" s="2018"/>
      <c r="Y352" s="2094"/>
      <c r="Z352" s="2096"/>
      <c r="AA352" s="2097"/>
      <c r="AB352" s="1053"/>
      <c r="AC352" s="1053"/>
      <c r="AD352" s="1053"/>
      <c r="AE352" s="1051"/>
      <c r="AF352" s="1052"/>
    </row>
    <row r="353" spans="1:32" ht="15.75" x14ac:dyDescent="0.25">
      <c r="A353" s="2017"/>
      <c r="B353" s="2018"/>
      <c r="C353" s="2018"/>
      <c r="D353" s="2018"/>
      <c r="E353" s="2018"/>
      <c r="F353" s="2018"/>
      <c r="G353" s="2018"/>
      <c r="H353" s="2018"/>
      <c r="I353" s="2018"/>
      <c r="J353" s="2018"/>
      <c r="K353" s="2018"/>
      <c r="L353" s="2018"/>
      <c r="M353" s="2018"/>
      <c r="N353" s="2018"/>
      <c r="O353" s="2018"/>
      <c r="P353" s="2018"/>
      <c r="Q353" s="2018"/>
      <c r="R353" s="2018"/>
      <c r="S353" s="2018"/>
      <c r="T353" s="2018"/>
      <c r="U353" s="2018"/>
      <c r="V353" s="2018"/>
      <c r="W353" s="2018"/>
      <c r="X353" s="2018"/>
      <c r="Y353" s="2094"/>
      <c r="Z353" s="2096"/>
      <c r="AA353" s="2097"/>
      <c r="AB353" s="1053"/>
      <c r="AC353" s="1053"/>
      <c r="AD353" s="1053"/>
      <c r="AE353" s="1050"/>
      <c r="AF353" s="1054"/>
    </row>
    <row r="354" spans="1:32" ht="15.75" x14ac:dyDescent="0.25">
      <c r="A354" s="2017"/>
      <c r="B354" s="2018"/>
      <c r="C354" s="2018"/>
      <c r="D354" s="2018"/>
      <c r="E354" s="2018"/>
      <c r="F354" s="2018"/>
      <c r="G354" s="2018"/>
      <c r="H354" s="2018"/>
      <c r="I354" s="2018"/>
      <c r="J354" s="2018"/>
      <c r="K354" s="2018"/>
      <c r="L354" s="2018"/>
      <c r="M354" s="2018"/>
      <c r="N354" s="2018"/>
      <c r="O354" s="2018"/>
      <c r="P354" s="2018"/>
      <c r="Q354" s="2018"/>
      <c r="R354" s="2018"/>
      <c r="S354" s="2018"/>
      <c r="T354" s="2018"/>
      <c r="U354" s="2018"/>
      <c r="V354" s="2018"/>
      <c r="W354" s="2018"/>
      <c r="X354" s="2018"/>
      <c r="Y354" s="2094"/>
      <c r="Z354" s="2096"/>
      <c r="AA354" s="2097"/>
      <c r="AB354" s="1053"/>
      <c r="AC354" s="1053"/>
      <c r="AD354" s="1053"/>
      <c r="AE354" s="1051"/>
      <c r="AF354" s="1054"/>
    </row>
    <row r="355" spans="1:32" ht="15.75" x14ac:dyDescent="0.25">
      <c r="A355" s="2017"/>
      <c r="B355" s="2018"/>
      <c r="C355" s="2018"/>
      <c r="D355" s="2018"/>
      <c r="E355" s="2018"/>
      <c r="F355" s="2018"/>
      <c r="G355" s="2018"/>
      <c r="H355" s="2018"/>
      <c r="I355" s="2018"/>
      <c r="J355" s="2018"/>
      <c r="K355" s="2018"/>
      <c r="L355" s="2018"/>
      <c r="M355" s="2018"/>
      <c r="N355" s="2018"/>
      <c r="O355" s="2018"/>
      <c r="P355" s="2018"/>
      <c r="Q355" s="2018"/>
      <c r="R355" s="2018"/>
      <c r="S355" s="2018"/>
      <c r="T355" s="2018"/>
      <c r="U355" s="2018"/>
      <c r="V355" s="2018"/>
      <c r="W355" s="2018"/>
      <c r="X355" s="2018"/>
      <c r="Y355" s="2094"/>
      <c r="Z355" s="2096"/>
      <c r="AA355" s="2097"/>
      <c r="AB355" s="1053"/>
      <c r="AC355" s="1053"/>
      <c r="AD355" s="1053"/>
      <c r="AE355" s="1051"/>
      <c r="AF355" s="1054"/>
    </row>
    <row r="356" spans="1:32" ht="15.75" x14ac:dyDescent="0.25">
      <c r="A356" s="2017"/>
      <c r="B356" s="2018"/>
      <c r="C356" s="2018"/>
      <c r="D356" s="2018"/>
      <c r="E356" s="2018"/>
      <c r="F356" s="2018"/>
      <c r="G356" s="2018"/>
      <c r="H356" s="2018"/>
      <c r="I356" s="2018"/>
      <c r="J356" s="2018"/>
      <c r="K356" s="2018"/>
      <c r="L356" s="2018"/>
      <c r="M356" s="2018"/>
      <c r="N356" s="2018"/>
      <c r="O356" s="2018"/>
      <c r="P356" s="2018"/>
      <c r="Q356" s="2018"/>
      <c r="R356" s="2018"/>
      <c r="S356" s="2018"/>
      <c r="T356" s="2018"/>
      <c r="U356" s="2018"/>
      <c r="V356" s="2018"/>
      <c r="W356" s="2018"/>
      <c r="X356" s="2018"/>
      <c r="Y356" s="2094"/>
      <c r="Z356" s="2096"/>
      <c r="AA356" s="2097"/>
      <c r="AB356" s="1053"/>
      <c r="AC356" s="1053"/>
      <c r="AD356" s="1053"/>
      <c r="AE356" s="1051"/>
      <c r="AF356" s="1054"/>
    </row>
    <row r="357" spans="1:32" ht="15.75" x14ac:dyDescent="0.25">
      <c r="A357" s="2017"/>
      <c r="B357" s="2018"/>
      <c r="C357" s="2018"/>
      <c r="D357" s="2018"/>
      <c r="E357" s="2018"/>
      <c r="F357" s="2018"/>
      <c r="G357" s="2018"/>
      <c r="H357" s="2018"/>
      <c r="I357" s="2018"/>
      <c r="J357" s="2018"/>
      <c r="K357" s="2018"/>
      <c r="L357" s="2018"/>
      <c r="M357" s="2018"/>
      <c r="N357" s="2018"/>
      <c r="O357" s="2018"/>
      <c r="P357" s="2018"/>
      <c r="Q357" s="2018"/>
      <c r="R357" s="2018"/>
      <c r="S357" s="2018"/>
      <c r="T357" s="2018"/>
      <c r="U357" s="2018"/>
      <c r="V357" s="2018"/>
      <c r="W357" s="2018"/>
      <c r="X357" s="2018"/>
      <c r="Y357" s="2094"/>
      <c r="Z357" s="2096"/>
      <c r="AA357" s="2097"/>
      <c r="AB357" s="1053"/>
      <c r="AC357" s="1053"/>
      <c r="AD357" s="1053"/>
      <c r="AE357" s="1051"/>
      <c r="AF357" s="1054"/>
    </row>
    <row r="358" spans="1:32" ht="15.75" x14ac:dyDescent="0.25">
      <c r="A358" s="2017"/>
      <c r="B358" s="2018"/>
      <c r="C358" s="2018"/>
      <c r="D358" s="2018"/>
      <c r="E358" s="2018"/>
      <c r="F358" s="2018"/>
      <c r="G358" s="2018"/>
      <c r="H358" s="2018"/>
      <c r="I358" s="2018"/>
      <c r="J358" s="2018"/>
      <c r="K358" s="2018"/>
      <c r="L358" s="2018"/>
      <c r="M358" s="2018"/>
      <c r="N358" s="2018"/>
      <c r="O358" s="2018"/>
      <c r="P358" s="2018"/>
      <c r="Q358" s="2018"/>
      <c r="R358" s="2018"/>
      <c r="S358" s="2018"/>
      <c r="T358" s="2018"/>
      <c r="U358" s="2018"/>
      <c r="V358" s="2018"/>
      <c r="W358" s="2018"/>
      <c r="X358" s="2018"/>
      <c r="Y358" s="2094"/>
      <c r="Z358" s="2096"/>
      <c r="AA358" s="2097"/>
      <c r="AB358" s="1053"/>
      <c r="AC358" s="1053"/>
      <c r="AD358" s="1053"/>
      <c r="AE358" s="1051"/>
      <c r="AF358" s="1054"/>
    </row>
    <row r="359" spans="1:32" ht="15.75" x14ac:dyDescent="0.25">
      <c r="A359" s="2017"/>
      <c r="B359" s="2018"/>
      <c r="C359" s="2018"/>
      <c r="D359" s="2018"/>
      <c r="E359" s="2018"/>
      <c r="F359" s="2018"/>
      <c r="G359" s="2018"/>
      <c r="H359" s="2018"/>
      <c r="I359" s="2018"/>
      <c r="J359" s="2018"/>
      <c r="K359" s="2018"/>
      <c r="L359" s="2018"/>
      <c r="M359" s="2018"/>
      <c r="N359" s="2018"/>
      <c r="O359" s="2018"/>
      <c r="P359" s="2018"/>
      <c r="Q359" s="2018"/>
      <c r="R359" s="2018"/>
      <c r="S359" s="2018"/>
      <c r="T359" s="2018"/>
      <c r="U359" s="2018"/>
      <c r="V359" s="2018"/>
      <c r="W359" s="2018"/>
      <c r="X359" s="2018"/>
      <c r="Y359" s="2094"/>
      <c r="Z359" s="2096"/>
      <c r="AA359" s="2097"/>
      <c r="AB359" s="1055"/>
      <c r="AC359" s="1055"/>
      <c r="AD359" s="1055"/>
      <c r="AE359" s="1051"/>
      <c r="AF359" s="1056"/>
    </row>
    <row r="360" spans="1:32" ht="15.75" x14ac:dyDescent="0.25">
      <c r="A360" s="2017"/>
      <c r="B360" s="2018"/>
      <c r="C360" s="2018"/>
      <c r="D360" s="2018"/>
      <c r="E360" s="2018"/>
      <c r="F360" s="2018"/>
      <c r="G360" s="2018"/>
      <c r="H360" s="2018"/>
      <c r="I360" s="2018"/>
      <c r="J360" s="2018"/>
      <c r="K360" s="2018"/>
      <c r="L360" s="2018"/>
      <c r="M360" s="2018"/>
      <c r="N360" s="2018"/>
      <c r="O360" s="2018"/>
      <c r="P360" s="2018"/>
      <c r="Q360" s="2018"/>
      <c r="R360" s="2018"/>
      <c r="S360" s="2018"/>
      <c r="T360" s="2018"/>
      <c r="U360" s="2018"/>
      <c r="V360" s="2018"/>
      <c r="W360" s="2018"/>
      <c r="X360" s="2018"/>
      <c r="Y360" s="2094"/>
      <c r="Z360" s="2096"/>
      <c r="AA360" s="2097"/>
      <c r="AB360" s="1055"/>
      <c r="AC360" s="1055"/>
      <c r="AD360" s="1055"/>
      <c r="AE360" s="1055"/>
      <c r="AF360" s="1056"/>
    </row>
    <row r="361" spans="1:32" ht="15.75" x14ac:dyDescent="0.25">
      <c r="A361" s="2017"/>
      <c r="B361" s="2018"/>
      <c r="C361" s="2018"/>
      <c r="D361" s="2018"/>
      <c r="E361" s="2018"/>
      <c r="F361" s="2018"/>
      <c r="G361" s="2018"/>
      <c r="H361" s="2018"/>
      <c r="I361" s="2018"/>
      <c r="J361" s="2018"/>
      <c r="K361" s="2018"/>
      <c r="L361" s="2018"/>
      <c r="M361" s="2018"/>
      <c r="N361" s="2018"/>
      <c r="O361" s="2018"/>
      <c r="P361" s="2018"/>
      <c r="Q361" s="2018"/>
      <c r="R361" s="2018"/>
      <c r="S361" s="2018"/>
      <c r="T361" s="2018"/>
      <c r="U361" s="2018"/>
      <c r="V361" s="2018"/>
      <c r="W361" s="2018"/>
      <c r="X361" s="2018"/>
      <c r="Y361" s="2094"/>
      <c r="Z361" s="2096"/>
      <c r="AA361" s="2097"/>
      <c r="AB361" s="1055"/>
      <c r="AC361" s="1055"/>
      <c r="AD361" s="1055"/>
      <c r="AE361" s="1055"/>
      <c r="AF361" s="1056"/>
    </row>
    <row r="362" spans="1:32" ht="15.75" x14ac:dyDescent="0.25">
      <c r="A362" s="2017"/>
      <c r="B362" s="2018"/>
      <c r="C362" s="2018"/>
      <c r="D362" s="2018"/>
      <c r="E362" s="2018"/>
      <c r="F362" s="2018"/>
      <c r="G362" s="2018"/>
      <c r="H362" s="2018"/>
      <c r="I362" s="2018"/>
      <c r="J362" s="2018"/>
      <c r="K362" s="2018"/>
      <c r="L362" s="2018"/>
      <c r="M362" s="2018"/>
      <c r="N362" s="2018"/>
      <c r="O362" s="2018"/>
      <c r="P362" s="2018"/>
      <c r="Q362" s="2018"/>
      <c r="R362" s="2018"/>
      <c r="S362" s="2018"/>
      <c r="T362" s="2018"/>
      <c r="U362" s="2018"/>
      <c r="V362" s="2018"/>
      <c r="W362" s="2018"/>
      <c r="X362" s="2018"/>
      <c r="Y362" s="2094"/>
      <c r="Z362" s="2096"/>
      <c r="AA362" s="2097"/>
      <c r="AB362" s="1055"/>
      <c r="AC362" s="1055"/>
      <c r="AD362" s="1055"/>
      <c r="AE362" s="1055"/>
      <c r="AF362" s="1056"/>
    </row>
    <row r="363" spans="1:32" ht="15.75" x14ac:dyDescent="0.25">
      <c r="A363" s="2017"/>
      <c r="B363" s="2018"/>
      <c r="C363" s="2018"/>
      <c r="D363" s="2018"/>
      <c r="E363" s="2018"/>
      <c r="F363" s="2018"/>
      <c r="G363" s="2018"/>
      <c r="H363" s="2018"/>
      <c r="I363" s="2018"/>
      <c r="J363" s="2018"/>
      <c r="K363" s="2018"/>
      <c r="L363" s="2018"/>
      <c r="M363" s="2018"/>
      <c r="N363" s="2018"/>
      <c r="O363" s="2018"/>
      <c r="P363" s="2018"/>
      <c r="Q363" s="2018"/>
      <c r="R363" s="2018"/>
      <c r="S363" s="2018"/>
      <c r="T363" s="2018"/>
      <c r="U363" s="2018"/>
      <c r="V363" s="2018"/>
      <c r="W363" s="2018"/>
      <c r="X363" s="2018"/>
      <c r="Y363" s="2094"/>
      <c r="Z363" s="2096"/>
      <c r="AA363" s="2097"/>
      <c r="AB363" s="1055"/>
      <c r="AC363" s="1055"/>
      <c r="AD363" s="1055"/>
      <c r="AE363" s="1055"/>
      <c r="AF363" s="1056"/>
    </row>
    <row r="364" spans="1:32" ht="16.5" thickBot="1" x14ac:dyDescent="0.3">
      <c r="A364" s="2019"/>
      <c r="B364" s="2020"/>
      <c r="C364" s="2020"/>
      <c r="D364" s="2020"/>
      <c r="E364" s="2020"/>
      <c r="F364" s="2020"/>
      <c r="G364" s="2020"/>
      <c r="H364" s="2020"/>
      <c r="I364" s="2020"/>
      <c r="J364" s="2020"/>
      <c r="K364" s="2020"/>
      <c r="L364" s="2020"/>
      <c r="M364" s="2020"/>
      <c r="N364" s="2020"/>
      <c r="O364" s="2020"/>
      <c r="P364" s="2020"/>
      <c r="Q364" s="2020"/>
      <c r="R364" s="2020"/>
      <c r="S364" s="2020"/>
      <c r="T364" s="2020"/>
      <c r="U364" s="2020"/>
      <c r="V364" s="2020"/>
      <c r="W364" s="2020"/>
      <c r="X364" s="2020"/>
      <c r="Y364" s="2095"/>
      <c r="Z364" s="2098"/>
      <c r="AA364" s="2099"/>
      <c r="AB364" s="1057"/>
      <c r="AC364" s="1057"/>
      <c r="AD364" s="1057"/>
      <c r="AE364" s="1057"/>
      <c r="AF364" s="1058"/>
    </row>
    <row r="365" spans="1:32" ht="15.75" x14ac:dyDescent="0.25">
      <c r="A365" s="2009" t="s">
        <v>2158</v>
      </c>
      <c r="B365" s="2010"/>
      <c r="C365" s="2010"/>
      <c r="D365" s="2010"/>
      <c r="E365" s="2010"/>
      <c r="F365" s="2010"/>
      <c r="G365" s="2010"/>
      <c r="H365" s="2010"/>
      <c r="I365" s="2010"/>
      <c r="J365" s="2010"/>
      <c r="K365" s="2010"/>
      <c r="L365" s="2010"/>
      <c r="M365" s="2010"/>
      <c r="N365" s="2010"/>
      <c r="O365" s="2010"/>
      <c r="P365" s="2010"/>
      <c r="Q365" s="2010"/>
      <c r="R365" s="2010"/>
      <c r="S365" s="2010"/>
      <c r="T365" s="2010"/>
      <c r="U365" s="2010"/>
      <c r="V365" s="2010"/>
      <c r="W365" s="2010"/>
      <c r="X365" s="2010"/>
      <c r="Y365" s="2010"/>
      <c r="Z365" s="2013" t="s">
        <v>1850</v>
      </c>
      <c r="AA365" s="2013"/>
      <c r="AB365" s="2013"/>
      <c r="AC365" s="2013"/>
      <c r="AD365" s="2013"/>
      <c r="AE365" s="2013"/>
      <c r="AF365" s="1059">
        <f>SUM(AF345:AF364)</f>
        <v>1</v>
      </c>
    </row>
    <row r="366" spans="1:32" ht="15.75" x14ac:dyDescent="0.25">
      <c r="A366" s="2011"/>
      <c r="B366" s="2012"/>
      <c r="C366" s="2012"/>
      <c r="D366" s="2012"/>
      <c r="E366" s="2012"/>
      <c r="F366" s="2012"/>
      <c r="G366" s="2012"/>
      <c r="H366" s="2012"/>
      <c r="I366" s="2012"/>
      <c r="J366" s="2012"/>
      <c r="K366" s="2012"/>
      <c r="L366" s="2012"/>
      <c r="M366" s="2012"/>
      <c r="N366" s="2012"/>
      <c r="O366" s="2012"/>
      <c r="P366" s="2012"/>
      <c r="Q366" s="2012"/>
      <c r="R366" s="2012"/>
      <c r="S366" s="2012"/>
      <c r="T366" s="2012"/>
      <c r="U366" s="2012"/>
      <c r="V366" s="2012"/>
      <c r="W366" s="2012"/>
      <c r="X366" s="2012"/>
      <c r="Y366" s="2012"/>
      <c r="Z366" s="2014" t="s">
        <v>1851</v>
      </c>
      <c r="AA366" s="2014"/>
      <c r="AB366" s="2014"/>
      <c r="AC366" s="2014"/>
      <c r="AD366" s="2014"/>
      <c r="AE366" s="2014"/>
      <c r="AF366" s="1060">
        <v>0</v>
      </c>
    </row>
    <row r="367" spans="1:32" ht="15.75" x14ac:dyDescent="0.25">
      <c r="A367" s="2011"/>
      <c r="B367" s="2012"/>
      <c r="C367" s="2012"/>
      <c r="D367" s="2012"/>
      <c r="E367" s="2012"/>
      <c r="F367" s="2012"/>
      <c r="G367" s="2012"/>
      <c r="H367" s="2012"/>
      <c r="I367" s="2012"/>
      <c r="J367" s="2012"/>
      <c r="K367" s="2012"/>
      <c r="L367" s="2012"/>
      <c r="M367" s="2012"/>
      <c r="N367" s="2012"/>
      <c r="O367" s="2012"/>
      <c r="P367" s="2012"/>
      <c r="Q367" s="2012"/>
      <c r="R367" s="2012"/>
      <c r="S367" s="2012"/>
      <c r="T367" s="2012"/>
      <c r="U367" s="2012"/>
      <c r="V367" s="2012"/>
      <c r="W367" s="2012"/>
      <c r="X367" s="2012"/>
      <c r="Y367" s="2012"/>
      <c r="Z367" s="2015" t="s">
        <v>1833</v>
      </c>
      <c r="AA367" s="2015"/>
      <c r="AB367" s="2015"/>
      <c r="AC367" s="2015"/>
      <c r="AD367" s="2015"/>
      <c r="AE367" s="2015"/>
      <c r="AF367" s="1158">
        <f>SUM(AF365:AF366)</f>
        <v>1</v>
      </c>
    </row>
    <row r="368" spans="1:32" x14ac:dyDescent="0.2">
      <c r="A368" s="2012" t="s">
        <v>1859</v>
      </c>
      <c r="B368" s="2012"/>
      <c r="C368" s="2012"/>
      <c r="D368" s="2012"/>
      <c r="E368" s="2012"/>
      <c r="F368" s="2012"/>
      <c r="G368" s="2012"/>
      <c r="H368" s="2012"/>
      <c r="I368" s="2012"/>
      <c r="J368" s="2012"/>
      <c r="K368" s="2012"/>
      <c r="L368" s="2012"/>
      <c r="M368" s="2012"/>
      <c r="N368" s="2012"/>
      <c r="O368" s="2012"/>
      <c r="P368" s="2012"/>
      <c r="Q368" s="2012"/>
      <c r="R368" s="2012"/>
      <c r="S368" s="2012"/>
      <c r="T368" s="2016" t="s">
        <v>1840</v>
      </c>
      <c r="U368" s="2016"/>
      <c r="V368" s="2016"/>
      <c r="W368" s="2016"/>
      <c r="X368" s="2016"/>
      <c r="Y368" s="2016"/>
      <c r="Z368" s="2016"/>
      <c r="AA368" s="2016"/>
      <c r="AB368" s="2012" t="s">
        <v>1852</v>
      </c>
      <c r="AC368" s="2012"/>
      <c r="AD368" s="2012"/>
      <c r="AE368" s="2012"/>
      <c r="AF368" s="2012"/>
    </row>
    <row r="369" spans="1:32" x14ac:dyDescent="0.2">
      <c r="A369" s="2012"/>
      <c r="B369" s="2012"/>
      <c r="C369" s="2012"/>
      <c r="D369" s="2012"/>
      <c r="E369" s="2012"/>
      <c r="F369" s="2012"/>
      <c r="G369" s="2012"/>
      <c r="H369" s="2012"/>
      <c r="I369" s="2012"/>
      <c r="J369" s="2012"/>
      <c r="K369" s="2012"/>
      <c r="L369" s="2012"/>
      <c r="M369" s="2012"/>
      <c r="N369" s="2012"/>
      <c r="O369" s="2012"/>
      <c r="P369" s="2012"/>
      <c r="Q369" s="2012"/>
      <c r="R369" s="2012"/>
      <c r="S369" s="2012"/>
      <c r="T369" s="2016"/>
      <c r="U369" s="2016"/>
      <c r="V369" s="2016"/>
      <c r="W369" s="2016"/>
      <c r="X369" s="2016"/>
      <c r="Y369" s="2016"/>
      <c r="Z369" s="2016"/>
      <c r="AA369" s="2016"/>
      <c r="AB369" s="2012"/>
      <c r="AC369" s="2012"/>
      <c r="AD369" s="2012"/>
      <c r="AE369" s="2012"/>
      <c r="AF369" s="2012"/>
    </row>
    <row r="370" spans="1:32" ht="16.5" thickBot="1" x14ac:dyDescent="0.25">
      <c r="A370" s="1062"/>
      <c r="B370" s="1062"/>
      <c r="C370" s="1062"/>
      <c r="D370" s="1062"/>
      <c r="E370" s="1062"/>
      <c r="F370" s="1062"/>
      <c r="G370" s="1062"/>
      <c r="H370" s="1062"/>
      <c r="I370" s="1062"/>
      <c r="J370" s="1062"/>
      <c r="K370" s="1062"/>
      <c r="L370" s="1062"/>
      <c r="M370" s="1062"/>
      <c r="N370" s="1062"/>
      <c r="O370" s="1062"/>
      <c r="P370" s="1062"/>
      <c r="Q370" s="1062"/>
      <c r="R370" s="1062"/>
      <c r="S370" s="1062"/>
      <c r="T370" s="1063"/>
      <c r="U370" s="1063"/>
      <c r="V370" s="1063"/>
      <c r="W370" s="1063"/>
      <c r="X370" s="1063"/>
      <c r="Y370" s="1063"/>
      <c r="Z370" s="1063"/>
      <c r="AA370" s="1063"/>
      <c r="AB370" s="1062"/>
      <c r="AC370" s="1062"/>
      <c r="AD370" s="1062"/>
      <c r="AE370" s="1064"/>
      <c r="AF370" s="1065"/>
    </row>
    <row r="371" spans="1:32" s="1043" customFormat="1" ht="30" customHeight="1" x14ac:dyDescent="0.2">
      <c r="A371" s="2025" t="s">
        <v>1854</v>
      </c>
      <c r="B371" s="2026"/>
      <c r="C371" s="2026"/>
      <c r="D371" s="2026"/>
      <c r="E371" s="2026"/>
      <c r="F371" s="2026"/>
      <c r="G371" s="2026"/>
      <c r="H371" s="2026"/>
      <c r="I371" s="2026"/>
      <c r="J371" s="2026"/>
      <c r="K371" s="2026"/>
      <c r="L371" s="2026"/>
      <c r="M371" s="2026"/>
      <c r="N371" s="2026"/>
      <c r="O371" s="2026"/>
      <c r="P371" s="2026"/>
      <c r="Q371" s="2026"/>
      <c r="R371" s="2026"/>
      <c r="S371" s="2026"/>
      <c r="T371" s="2026"/>
      <c r="U371" s="2026"/>
      <c r="V371" s="2026"/>
      <c r="W371" s="2026"/>
      <c r="X371" s="2026"/>
      <c r="Y371" s="2026"/>
      <c r="Z371" s="2026"/>
      <c r="AA371" s="2026"/>
      <c r="AB371" s="2026"/>
      <c r="AC371" s="2026"/>
      <c r="AD371" s="2026"/>
      <c r="AE371" s="1041" t="s">
        <v>1834</v>
      </c>
      <c r="AF371" s="1042" t="s">
        <v>1835</v>
      </c>
    </row>
    <row r="372" spans="1:32" s="1043" customFormat="1" ht="30" customHeight="1" thickBot="1" x14ac:dyDescent="0.25">
      <c r="A372" s="2027"/>
      <c r="B372" s="2028"/>
      <c r="C372" s="2028"/>
      <c r="D372" s="2028"/>
      <c r="E372" s="2028"/>
      <c r="F372" s="2028"/>
      <c r="G372" s="2028"/>
      <c r="H372" s="2028"/>
      <c r="I372" s="2028"/>
      <c r="J372" s="2028"/>
      <c r="K372" s="2028"/>
      <c r="L372" s="2028"/>
      <c r="M372" s="2028"/>
      <c r="N372" s="2028"/>
      <c r="O372" s="2028"/>
      <c r="P372" s="2028"/>
      <c r="Q372" s="2028"/>
      <c r="R372" s="2028"/>
      <c r="S372" s="2028"/>
      <c r="T372" s="2028"/>
      <c r="U372" s="2028"/>
      <c r="V372" s="2028"/>
      <c r="W372" s="2028"/>
      <c r="X372" s="2028"/>
      <c r="Y372" s="2028"/>
      <c r="Z372" s="2028"/>
      <c r="AA372" s="2028"/>
      <c r="AB372" s="2028"/>
      <c r="AC372" s="2028"/>
      <c r="AD372" s="2028"/>
      <c r="AE372" s="1041" t="s">
        <v>1836</v>
      </c>
      <c r="AF372" s="1044">
        <v>1</v>
      </c>
    </row>
    <row r="373" spans="1:32" s="1043" customFormat="1" ht="15.75" customHeight="1" x14ac:dyDescent="0.2">
      <c r="A373" s="2029"/>
      <c r="B373" s="2030"/>
      <c r="C373" s="2030"/>
      <c r="D373" s="2031"/>
      <c r="E373" s="2025" t="str">
        <f>'01'!$A$12</f>
        <v>"CONSTRUCCION SISTEMA DE ACUEDUCTO FASE II DEL MUNICIPIO DE TESALIA DPTO DEL HUILA"</v>
      </c>
      <c r="F373" s="2026"/>
      <c r="G373" s="2026"/>
      <c r="H373" s="2026"/>
      <c r="I373" s="2026"/>
      <c r="J373" s="2026"/>
      <c r="K373" s="2026"/>
      <c r="L373" s="2026"/>
      <c r="M373" s="2026"/>
      <c r="N373" s="2026"/>
      <c r="O373" s="2026"/>
      <c r="P373" s="2026"/>
      <c r="Q373" s="2026"/>
      <c r="R373" s="2026"/>
      <c r="S373" s="2026"/>
      <c r="T373" s="2026"/>
      <c r="U373" s="2026"/>
      <c r="V373" s="2026"/>
      <c r="W373" s="2026"/>
      <c r="X373" s="2026"/>
      <c r="Y373" s="2026"/>
      <c r="Z373" s="2026"/>
      <c r="AA373" s="2026"/>
      <c r="AB373" s="2026"/>
      <c r="AC373" s="2026"/>
      <c r="AD373" s="2035"/>
      <c r="AE373" s="1041" t="s">
        <v>847</v>
      </c>
      <c r="AF373" s="1045">
        <f>'01'!$M$13</f>
        <v>0</v>
      </c>
    </row>
    <row r="374" spans="1:32" s="1043" customFormat="1" ht="30" customHeight="1" thickBot="1" x14ac:dyDescent="0.25">
      <c r="A374" s="2032"/>
      <c r="B374" s="2033"/>
      <c r="C374" s="2033"/>
      <c r="D374" s="2034"/>
      <c r="E374" s="2027"/>
      <c r="F374" s="2028"/>
      <c r="G374" s="2028"/>
      <c r="H374" s="2028"/>
      <c r="I374" s="2028"/>
      <c r="J374" s="2028"/>
      <c r="K374" s="2028"/>
      <c r="L374" s="2028"/>
      <c r="M374" s="2028"/>
      <c r="N374" s="2028"/>
      <c r="O374" s="2028"/>
      <c r="P374" s="2028"/>
      <c r="Q374" s="2028"/>
      <c r="R374" s="2028"/>
      <c r="S374" s="2028"/>
      <c r="T374" s="2028"/>
      <c r="U374" s="2028"/>
      <c r="V374" s="2028"/>
      <c r="W374" s="2028"/>
      <c r="X374" s="2028"/>
      <c r="Y374" s="2028"/>
      <c r="Z374" s="2028"/>
      <c r="AA374" s="2028"/>
      <c r="AB374" s="2028"/>
      <c r="AC374" s="2028"/>
      <c r="AD374" s="2036"/>
      <c r="AE374" s="1041" t="s">
        <v>1837</v>
      </c>
      <c r="AF374" s="1042" t="s">
        <v>1838</v>
      </c>
    </row>
    <row r="375" spans="1:32" s="1043" customFormat="1" ht="15.75" x14ac:dyDescent="0.25">
      <c r="A375" s="2037" t="s">
        <v>1860</v>
      </c>
      <c r="B375" s="2038"/>
      <c r="C375" s="2038"/>
      <c r="D375" s="2038"/>
      <c r="E375" s="2038"/>
      <c r="F375" s="2038"/>
      <c r="G375" s="2038"/>
      <c r="H375" s="2038"/>
      <c r="I375" s="2038"/>
      <c r="J375" s="2038"/>
      <c r="K375" s="2038"/>
      <c r="L375" s="2038"/>
      <c r="M375" s="2038"/>
      <c r="N375" s="2038"/>
      <c r="O375" s="2038"/>
      <c r="P375" s="2038"/>
      <c r="Q375" s="2038"/>
      <c r="R375" s="2038"/>
      <c r="S375" s="2038"/>
      <c r="T375" s="2038"/>
      <c r="U375" s="2038"/>
      <c r="V375" s="2038"/>
      <c r="W375" s="2038"/>
      <c r="X375" s="2038"/>
      <c r="Y375" s="2038"/>
      <c r="Z375" s="2038"/>
      <c r="AA375" s="2038"/>
      <c r="AB375" s="2038"/>
      <c r="AC375" s="2038"/>
      <c r="AD375" s="2038"/>
      <c r="AE375" s="2039" t="s">
        <v>1839</v>
      </c>
      <c r="AF375" s="2040"/>
    </row>
    <row r="376" spans="1:32" s="1043" customFormat="1" ht="15.75" x14ac:dyDescent="0.25">
      <c r="A376" s="2041" t="s">
        <v>1840</v>
      </c>
      <c r="B376" s="2042"/>
      <c r="C376" s="2042"/>
      <c r="D376" s="2042"/>
      <c r="E376" s="2042"/>
      <c r="F376" s="2042"/>
      <c r="G376" s="2042"/>
      <c r="H376" s="2042"/>
      <c r="I376" s="2042"/>
      <c r="J376" s="2042"/>
      <c r="K376" s="2042"/>
      <c r="L376" s="2042"/>
      <c r="M376" s="2042"/>
      <c r="N376" s="2042"/>
      <c r="O376" s="2042"/>
      <c r="P376" s="2042"/>
      <c r="Q376" s="2042"/>
      <c r="R376" s="2042"/>
      <c r="S376" s="2042"/>
      <c r="T376" s="2042"/>
      <c r="U376" s="2042"/>
      <c r="V376" s="2042"/>
      <c r="W376" s="2042"/>
      <c r="X376" s="2042"/>
      <c r="Y376" s="2042"/>
      <c r="Z376" s="2042"/>
      <c r="AA376" s="2042"/>
      <c r="AB376" s="2042"/>
      <c r="AC376" s="2042"/>
      <c r="AD376" s="2043"/>
      <c r="AE376" s="2014" t="s">
        <v>1841</v>
      </c>
      <c r="AF376" s="2044"/>
    </row>
    <row r="377" spans="1:32" s="1043" customFormat="1" ht="15.75" x14ac:dyDescent="0.25">
      <c r="A377" s="2045" t="s">
        <v>1853</v>
      </c>
      <c r="B377" s="2046"/>
      <c r="C377" s="2046"/>
      <c r="D377" s="2046"/>
      <c r="E377" s="2046"/>
      <c r="F377" s="2046"/>
      <c r="G377" s="2046"/>
      <c r="H377" s="2046"/>
      <c r="I377" s="2046"/>
      <c r="J377" s="2046"/>
      <c r="K377" s="2046"/>
      <c r="L377" s="2046"/>
      <c r="M377" s="2046"/>
      <c r="N377" s="2046"/>
      <c r="O377" s="2046"/>
      <c r="P377" s="2046"/>
      <c r="Q377" s="2046"/>
      <c r="R377" s="2046"/>
      <c r="S377" s="2046"/>
      <c r="T377" s="2046"/>
      <c r="U377" s="2046"/>
      <c r="V377" s="2046"/>
      <c r="W377" s="2046"/>
      <c r="X377" s="2046"/>
      <c r="Y377" s="2046"/>
      <c r="Z377" s="2046"/>
      <c r="AA377" s="2046"/>
      <c r="AB377" s="2046"/>
      <c r="AC377" s="2046"/>
      <c r="AD377" s="2046"/>
      <c r="AE377" s="2047">
        <f>'01'!$M$13</f>
        <v>0</v>
      </c>
      <c r="AF377" s="2044"/>
    </row>
    <row r="378" spans="1:32" s="1043" customFormat="1" x14ac:dyDescent="0.2">
      <c r="A378" s="1046"/>
      <c r="B378" s="1047"/>
      <c r="C378" s="1047"/>
      <c r="D378" s="1047"/>
      <c r="E378" s="1047"/>
      <c r="F378" s="1047"/>
      <c r="G378" s="1047"/>
      <c r="H378" s="1047"/>
      <c r="I378" s="1047"/>
      <c r="J378" s="1047"/>
      <c r="K378" s="1047"/>
      <c r="L378" s="1047"/>
      <c r="M378" s="1047"/>
      <c r="N378" s="1047"/>
      <c r="O378" s="1047"/>
      <c r="P378" s="1047"/>
      <c r="Q378" s="1047"/>
      <c r="R378" s="1047"/>
      <c r="S378" s="1047"/>
      <c r="T378" s="1047"/>
      <c r="U378" s="1047"/>
      <c r="V378" s="1047"/>
      <c r="W378" s="1047"/>
      <c r="X378" s="1047"/>
      <c r="Y378" s="1047"/>
      <c r="Z378" s="1047"/>
      <c r="AA378" s="1047"/>
      <c r="AB378" s="1047"/>
      <c r="AC378" s="1047"/>
      <c r="AD378" s="1047"/>
      <c r="AE378" s="1047"/>
      <c r="AF378" s="1048"/>
    </row>
    <row r="379" spans="1:32" s="1043" customFormat="1" ht="15.75" customHeight="1" x14ac:dyDescent="0.2">
      <c r="A379" s="2048" t="s">
        <v>1842</v>
      </c>
      <c r="B379" s="2049"/>
      <c r="C379" s="2049"/>
      <c r="D379" s="2049"/>
      <c r="E379" s="2049"/>
      <c r="F379" s="2050" t="str">
        <f>'01'!$H$33</f>
        <v>B - CÁMARA DE LLEGADA Y AQUIETAMIENTO DEL AGUA</v>
      </c>
      <c r="G379" s="2049"/>
      <c r="H379" s="2049"/>
      <c r="I379" s="2049"/>
      <c r="J379" s="2049"/>
      <c r="K379" s="2049"/>
      <c r="L379" s="2049"/>
      <c r="M379" s="2049"/>
      <c r="N379" s="2049"/>
      <c r="O379" s="2049"/>
      <c r="P379" s="2049"/>
      <c r="Q379" s="2049"/>
      <c r="R379" s="2049"/>
      <c r="S379" s="2049"/>
      <c r="T379" s="2049"/>
      <c r="U379" s="2049"/>
      <c r="V379" s="2049"/>
      <c r="W379" s="2049"/>
      <c r="X379" s="2049"/>
      <c r="Y379" s="2051"/>
      <c r="Z379" s="2052" t="s">
        <v>1843</v>
      </c>
      <c r="AA379" s="2053"/>
      <c r="AB379" s="2058" t="s">
        <v>1844</v>
      </c>
      <c r="AC379" s="2059"/>
      <c r="AD379" s="2060"/>
      <c r="AE379" s="2064" t="s">
        <v>1845</v>
      </c>
      <c r="AF379" s="2067" t="s">
        <v>1846</v>
      </c>
    </row>
    <row r="380" spans="1:32" s="1043" customFormat="1" ht="15.75" customHeight="1" x14ac:dyDescent="0.2">
      <c r="A380" s="2070" t="str">
        <f>'01'!A36</f>
        <v>B-01-01</v>
      </c>
      <c r="B380" s="2071"/>
      <c r="C380" s="2072"/>
      <c r="D380" s="2076" t="str">
        <f>VLOOKUP(A380,'01'!$A$12:$N$299,3,FALSE)</f>
        <v>LOCALIZACIÓN Y REPLANTEO. INCLUYE: MATERIALES, EQUIPOS, COMISIÓN TOPOGRÁFICA PARA CONTROL DE NIVELES PERMANENTES Y PLANOS RECORD.</v>
      </c>
      <c r="E380" s="2077"/>
      <c r="F380" s="2077"/>
      <c r="G380" s="2077"/>
      <c r="H380" s="2077"/>
      <c r="I380" s="2077"/>
      <c r="J380" s="2077"/>
      <c r="K380" s="2077"/>
      <c r="L380" s="2077"/>
      <c r="M380" s="2077"/>
      <c r="N380" s="2077"/>
      <c r="O380" s="2077"/>
      <c r="P380" s="2077"/>
      <c r="Q380" s="2077"/>
      <c r="R380" s="2077"/>
      <c r="S380" s="2078"/>
      <c r="T380" s="2082" t="s">
        <v>124</v>
      </c>
      <c r="U380" s="2083"/>
      <c r="V380" s="2083"/>
      <c r="W380" s="2083"/>
      <c r="X380" s="2052" t="str">
        <f>VLOOKUP(A380,'01'!$A$12:$N$299,9,FALSE)</f>
        <v>M2</v>
      </c>
      <c r="Y380" s="2053"/>
      <c r="Z380" s="2054"/>
      <c r="AA380" s="2055"/>
      <c r="AB380" s="2061"/>
      <c r="AC380" s="2062"/>
      <c r="AD380" s="2063"/>
      <c r="AE380" s="2065"/>
      <c r="AF380" s="2068"/>
    </row>
    <row r="381" spans="1:32" s="1043" customFormat="1" ht="15.75" x14ac:dyDescent="0.25">
      <c r="A381" s="2073"/>
      <c r="B381" s="2074"/>
      <c r="C381" s="2075"/>
      <c r="D381" s="2079"/>
      <c r="E381" s="2080"/>
      <c r="F381" s="2080"/>
      <c r="G381" s="2080"/>
      <c r="H381" s="2080"/>
      <c r="I381" s="2080"/>
      <c r="J381" s="2080"/>
      <c r="K381" s="2080"/>
      <c r="L381" s="2080"/>
      <c r="M381" s="2080"/>
      <c r="N381" s="2080"/>
      <c r="O381" s="2080"/>
      <c r="P381" s="2080"/>
      <c r="Q381" s="2080"/>
      <c r="R381" s="2080"/>
      <c r="S381" s="2081"/>
      <c r="T381" s="2084"/>
      <c r="U381" s="2085"/>
      <c r="V381" s="2085"/>
      <c r="W381" s="2085"/>
      <c r="X381" s="2056"/>
      <c r="Y381" s="2057"/>
      <c r="Z381" s="2056"/>
      <c r="AA381" s="2057"/>
      <c r="AB381" s="1049" t="s">
        <v>1847</v>
      </c>
      <c r="AC381" s="1049" t="s">
        <v>1848</v>
      </c>
      <c r="AD381" s="1049" t="s">
        <v>1849</v>
      </c>
      <c r="AE381" s="2066"/>
      <c r="AF381" s="2069"/>
    </row>
    <row r="382" spans="1:32" s="1043" customFormat="1" ht="15.75" x14ac:dyDescent="0.25">
      <c r="A382" s="2017"/>
      <c r="B382" s="2018"/>
      <c r="C382" s="2018"/>
      <c r="D382" s="2018"/>
      <c r="E382" s="2018"/>
      <c r="F382" s="2018"/>
      <c r="G382" s="2018"/>
      <c r="H382" s="2018"/>
      <c r="I382" s="2018"/>
      <c r="J382" s="2018"/>
      <c r="K382" s="2018"/>
      <c r="L382" s="2018"/>
      <c r="M382" s="2018"/>
      <c r="N382" s="2018"/>
      <c r="O382" s="2018"/>
      <c r="P382" s="2018"/>
      <c r="Q382" s="2018"/>
      <c r="R382" s="2018"/>
      <c r="S382" s="2018"/>
      <c r="T382" s="2018"/>
      <c r="U382" s="2018"/>
      <c r="V382" s="2018"/>
      <c r="W382" s="2018"/>
      <c r="X382" s="2018"/>
      <c r="Y382" s="2094"/>
      <c r="Z382" s="2096" t="s">
        <v>1856</v>
      </c>
      <c r="AA382" s="2097"/>
      <c r="AB382" s="1050">
        <v>1.6</v>
      </c>
      <c r="AC382" s="1050">
        <v>1.6</v>
      </c>
      <c r="AD382" s="1050">
        <f>AC382*AB382</f>
        <v>2.5600000000000005</v>
      </c>
      <c r="AE382" s="1051">
        <v>1</v>
      </c>
      <c r="AF382" s="1052">
        <f>ROUND(AE382*AD382,2)</f>
        <v>2.56</v>
      </c>
    </row>
    <row r="383" spans="1:32" s="1043" customFormat="1" ht="30" customHeight="1" x14ac:dyDescent="0.25">
      <c r="A383" s="2017"/>
      <c r="B383" s="2018"/>
      <c r="C383" s="2018"/>
      <c r="D383" s="2018"/>
      <c r="E383" s="2018"/>
      <c r="F383" s="2018"/>
      <c r="G383" s="2018"/>
      <c r="H383" s="2018"/>
      <c r="I383" s="2018"/>
      <c r="J383" s="2018"/>
      <c r="K383" s="2018"/>
      <c r="L383" s="2018"/>
      <c r="M383" s="2018"/>
      <c r="N383" s="2018"/>
      <c r="O383" s="2018"/>
      <c r="P383" s="2018"/>
      <c r="Q383" s="2018"/>
      <c r="R383" s="2018"/>
      <c r="S383" s="2018"/>
      <c r="T383" s="2018"/>
      <c r="U383" s="2018"/>
      <c r="V383" s="2018"/>
      <c r="W383" s="2018"/>
      <c r="X383" s="2018"/>
      <c r="Y383" s="2094"/>
      <c r="Z383" s="2096" t="s">
        <v>1857</v>
      </c>
      <c r="AA383" s="2097"/>
      <c r="AB383" s="1053">
        <v>2</v>
      </c>
      <c r="AC383" s="1053">
        <v>1.8</v>
      </c>
      <c r="AD383" s="1050">
        <f>AC383*AB383</f>
        <v>3.6</v>
      </c>
      <c r="AE383" s="1051">
        <v>1</v>
      </c>
      <c r="AF383" s="1052">
        <f>ROUND(AE383*AD383,2)</f>
        <v>3.6</v>
      </c>
    </row>
    <row r="384" spans="1:32" s="1043" customFormat="1" ht="30" customHeight="1" x14ac:dyDescent="0.25">
      <c r="A384" s="2017"/>
      <c r="B384" s="2018"/>
      <c r="C384" s="2018"/>
      <c r="D384" s="2018"/>
      <c r="E384" s="2018"/>
      <c r="F384" s="2018"/>
      <c r="G384" s="2018"/>
      <c r="H384" s="2018"/>
      <c r="I384" s="2018"/>
      <c r="J384" s="2018"/>
      <c r="K384" s="2018"/>
      <c r="L384" s="2018"/>
      <c r="M384" s="2018"/>
      <c r="N384" s="2018"/>
      <c r="O384" s="2018"/>
      <c r="P384" s="2018"/>
      <c r="Q384" s="2018"/>
      <c r="R384" s="2018"/>
      <c r="S384" s="2018"/>
      <c r="T384" s="2018"/>
      <c r="U384" s="2018"/>
      <c r="V384" s="2018"/>
      <c r="W384" s="2018"/>
      <c r="X384" s="2018"/>
      <c r="Y384" s="2094"/>
      <c r="Z384" s="2096" t="s">
        <v>1096</v>
      </c>
      <c r="AA384" s="2097"/>
      <c r="AB384" s="1053">
        <v>1.8</v>
      </c>
      <c r="AC384" s="1053">
        <v>3.6</v>
      </c>
      <c r="AD384" s="1050">
        <f>AC384*AB384</f>
        <v>6.48</v>
      </c>
      <c r="AE384" s="1051">
        <v>1</v>
      </c>
      <c r="AF384" s="1052">
        <f>ROUND(AE384*AD384,2)</f>
        <v>6.48</v>
      </c>
    </row>
    <row r="385" spans="1:32" s="1043" customFormat="1" ht="15.75" x14ac:dyDescent="0.25">
      <c r="A385" s="2017"/>
      <c r="B385" s="2018"/>
      <c r="C385" s="2018"/>
      <c r="D385" s="2018"/>
      <c r="E385" s="2018"/>
      <c r="F385" s="2018"/>
      <c r="G385" s="2018"/>
      <c r="H385" s="2018"/>
      <c r="I385" s="2018"/>
      <c r="J385" s="2018"/>
      <c r="K385" s="2018"/>
      <c r="L385" s="2018"/>
      <c r="M385" s="2018"/>
      <c r="N385" s="2018"/>
      <c r="O385" s="2018"/>
      <c r="P385" s="2018"/>
      <c r="Q385" s="2018"/>
      <c r="R385" s="2018"/>
      <c r="S385" s="2018"/>
      <c r="T385" s="2018"/>
      <c r="U385" s="2018"/>
      <c r="V385" s="2018"/>
      <c r="W385" s="2018"/>
      <c r="X385" s="2018"/>
      <c r="Y385" s="2094"/>
      <c r="Z385" s="2096" t="s">
        <v>1858</v>
      </c>
      <c r="AA385" s="2097"/>
      <c r="AB385" s="1053">
        <v>10.199999999999999</v>
      </c>
      <c r="AC385" s="1053">
        <v>2.4</v>
      </c>
      <c r="AD385" s="1050">
        <f>AC385*AB385</f>
        <v>24.479999999999997</v>
      </c>
      <c r="AE385" s="1051">
        <v>1</v>
      </c>
      <c r="AF385" s="1052">
        <f>ROUND(AE385*AD385,2)</f>
        <v>24.48</v>
      </c>
    </row>
    <row r="386" spans="1:32" s="1043" customFormat="1" ht="30" customHeight="1" x14ac:dyDescent="0.25">
      <c r="A386" s="2017"/>
      <c r="B386" s="2018"/>
      <c r="C386" s="2018"/>
      <c r="D386" s="2018"/>
      <c r="E386" s="2018"/>
      <c r="F386" s="2018"/>
      <c r="G386" s="2018"/>
      <c r="H386" s="2018"/>
      <c r="I386" s="2018"/>
      <c r="J386" s="2018"/>
      <c r="K386" s="2018"/>
      <c r="L386" s="2018"/>
      <c r="M386" s="2018"/>
      <c r="N386" s="2018"/>
      <c r="O386" s="2018"/>
      <c r="P386" s="2018"/>
      <c r="Q386" s="2018"/>
      <c r="R386" s="2018"/>
      <c r="S386" s="2018"/>
      <c r="T386" s="2018"/>
      <c r="U386" s="2018"/>
      <c r="V386" s="2018"/>
      <c r="W386" s="2018"/>
      <c r="X386" s="2018"/>
      <c r="Y386" s="2094"/>
      <c r="Z386" s="2096" t="s">
        <v>1098</v>
      </c>
      <c r="AA386" s="2097"/>
      <c r="AB386" s="1053">
        <f>1.55+0.6</f>
        <v>2.15</v>
      </c>
      <c r="AC386" s="1053">
        <v>4.7</v>
      </c>
      <c r="AD386" s="1050">
        <f>AC386*AB386</f>
        <v>10.105</v>
      </c>
      <c r="AE386" s="1051">
        <v>1</v>
      </c>
      <c r="AF386" s="1052">
        <f>ROUND(AE386*AD386,2)</f>
        <v>10.11</v>
      </c>
    </row>
    <row r="387" spans="1:32" s="1043" customFormat="1" ht="15.75" x14ac:dyDescent="0.25">
      <c r="A387" s="2017"/>
      <c r="B387" s="2018"/>
      <c r="C387" s="2018"/>
      <c r="D387" s="2018"/>
      <c r="E387" s="2018"/>
      <c r="F387" s="2018"/>
      <c r="G387" s="2018"/>
      <c r="H387" s="2018"/>
      <c r="I387" s="2018"/>
      <c r="J387" s="2018"/>
      <c r="K387" s="2018"/>
      <c r="L387" s="2018"/>
      <c r="M387" s="2018"/>
      <c r="N387" s="2018"/>
      <c r="O387" s="2018"/>
      <c r="P387" s="2018"/>
      <c r="Q387" s="2018"/>
      <c r="R387" s="2018"/>
      <c r="S387" s="2018"/>
      <c r="T387" s="2018"/>
      <c r="U387" s="2018"/>
      <c r="V387" s="2018"/>
      <c r="W387" s="2018"/>
      <c r="X387" s="2018"/>
      <c r="Y387" s="2094"/>
      <c r="Z387" s="2096"/>
      <c r="AA387" s="2097"/>
      <c r="AB387" s="1053"/>
      <c r="AC387" s="1053"/>
      <c r="AD387" s="1053"/>
      <c r="AE387" s="1051"/>
      <c r="AF387" s="1052"/>
    </row>
    <row r="388" spans="1:32" s="1043" customFormat="1" ht="15.75" x14ac:dyDescent="0.25">
      <c r="A388" s="2017"/>
      <c r="B388" s="2018"/>
      <c r="C388" s="2018"/>
      <c r="D388" s="2018"/>
      <c r="E388" s="2018"/>
      <c r="F388" s="2018"/>
      <c r="G388" s="2018"/>
      <c r="H388" s="2018"/>
      <c r="I388" s="2018"/>
      <c r="J388" s="2018"/>
      <c r="K388" s="2018"/>
      <c r="L388" s="2018"/>
      <c r="M388" s="2018"/>
      <c r="N388" s="2018"/>
      <c r="O388" s="2018"/>
      <c r="P388" s="2018"/>
      <c r="Q388" s="2018"/>
      <c r="R388" s="2018"/>
      <c r="S388" s="2018"/>
      <c r="T388" s="2018"/>
      <c r="U388" s="2018"/>
      <c r="V388" s="2018"/>
      <c r="W388" s="2018"/>
      <c r="X388" s="2018"/>
      <c r="Y388" s="2094"/>
      <c r="Z388" s="2096"/>
      <c r="AA388" s="2097"/>
      <c r="AB388" s="1053"/>
      <c r="AC388" s="1053"/>
      <c r="AD388" s="1053"/>
      <c r="AE388" s="1051"/>
      <c r="AF388" s="1052"/>
    </row>
    <row r="389" spans="1:32" s="1043" customFormat="1" ht="15.75" x14ac:dyDescent="0.25">
      <c r="A389" s="2017"/>
      <c r="B389" s="2018"/>
      <c r="C389" s="2018"/>
      <c r="D389" s="2018"/>
      <c r="E389" s="2018"/>
      <c r="F389" s="2018"/>
      <c r="G389" s="2018"/>
      <c r="H389" s="2018"/>
      <c r="I389" s="2018"/>
      <c r="J389" s="2018"/>
      <c r="K389" s="2018"/>
      <c r="L389" s="2018"/>
      <c r="M389" s="2018"/>
      <c r="N389" s="2018"/>
      <c r="O389" s="2018"/>
      <c r="P389" s="2018"/>
      <c r="Q389" s="2018"/>
      <c r="R389" s="2018"/>
      <c r="S389" s="2018"/>
      <c r="T389" s="2018"/>
      <c r="U389" s="2018"/>
      <c r="V389" s="2018"/>
      <c r="W389" s="2018"/>
      <c r="X389" s="2018"/>
      <c r="Y389" s="2094"/>
      <c r="Z389" s="2096"/>
      <c r="AA389" s="2097"/>
      <c r="AB389" s="1053"/>
      <c r="AC389" s="1053"/>
      <c r="AD389" s="1053"/>
      <c r="AE389" s="1051"/>
      <c r="AF389" s="1052"/>
    </row>
    <row r="390" spans="1:32" s="1043" customFormat="1" ht="15.75" x14ac:dyDescent="0.25">
      <c r="A390" s="2017"/>
      <c r="B390" s="2018"/>
      <c r="C390" s="2018"/>
      <c r="D390" s="2018"/>
      <c r="E390" s="2018"/>
      <c r="F390" s="2018"/>
      <c r="G390" s="2018"/>
      <c r="H390" s="2018"/>
      <c r="I390" s="2018"/>
      <c r="J390" s="2018"/>
      <c r="K390" s="2018"/>
      <c r="L390" s="2018"/>
      <c r="M390" s="2018"/>
      <c r="N390" s="2018"/>
      <c r="O390" s="2018"/>
      <c r="P390" s="2018"/>
      <c r="Q390" s="2018"/>
      <c r="R390" s="2018"/>
      <c r="S390" s="2018"/>
      <c r="T390" s="2018"/>
      <c r="U390" s="2018"/>
      <c r="V390" s="2018"/>
      <c r="W390" s="2018"/>
      <c r="X390" s="2018"/>
      <c r="Y390" s="2094"/>
      <c r="Z390" s="2096"/>
      <c r="AA390" s="2097"/>
      <c r="AB390" s="1053"/>
      <c r="AC390" s="1053"/>
      <c r="AD390" s="1053"/>
      <c r="AE390" s="1050"/>
      <c r="AF390" s="1054"/>
    </row>
    <row r="391" spans="1:32" s="1043" customFormat="1" ht="15.75" x14ac:dyDescent="0.25">
      <c r="A391" s="2017"/>
      <c r="B391" s="2018"/>
      <c r="C391" s="2018"/>
      <c r="D391" s="2018"/>
      <c r="E391" s="2018"/>
      <c r="F391" s="2018"/>
      <c r="G391" s="2018"/>
      <c r="H391" s="2018"/>
      <c r="I391" s="2018"/>
      <c r="J391" s="2018"/>
      <c r="K391" s="2018"/>
      <c r="L391" s="2018"/>
      <c r="M391" s="2018"/>
      <c r="N391" s="2018"/>
      <c r="O391" s="2018"/>
      <c r="P391" s="2018"/>
      <c r="Q391" s="2018"/>
      <c r="R391" s="2018"/>
      <c r="S391" s="2018"/>
      <c r="T391" s="2018"/>
      <c r="U391" s="2018"/>
      <c r="V391" s="2018"/>
      <c r="W391" s="2018"/>
      <c r="X391" s="2018"/>
      <c r="Y391" s="2094"/>
      <c r="Z391" s="2096"/>
      <c r="AA391" s="2097"/>
      <c r="AB391" s="1053"/>
      <c r="AC391" s="1053"/>
      <c r="AD391" s="1053"/>
      <c r="AE391" s="1051"/>
      <c r="AF391" s="1054"/>
    </row>
    <row r="392" spans="1:32" s="1043" customFormat="1" ht="15.75" x14ac:dyDescent="0.25">
      <c r="A392" s="2017"/>
      <c r="B392" s="2018"/>
      <c r="C392" s="2018"/>
      <c r="D392" s="2018"/>
      <c r="E392" s="2018"/>
      <c r="F392" s="2018"/>
      <c r="G392" s="2018"/>
      <c r="H392" s="2018"/>
      <c r="I392" s="2018"/>
      <c r="J392" s="2018"/>
      <c r="K392" s="2018"/>
      <c r="L392" s="2018"/>
      <c r="M392" s="2018"/>
      <c r="N392" s="2018"/>
      <c r="O392" s="2018"/>
      <c r="P392" s="2018"/>
      <c r="Q392" s="2018"/>
      <c r="R392" s="2018"/>
      <c r="S392" s="2018"/>
      <c r="T392" s="2018"/>
      <c r="U392" s="2018"/>
      <c r="V392" s="2018"/>
      <c r="W392" s="2018"/>
      <c r="X392" s="2018"/>
      <c r="Y392" s="2094"/>
      <c r="Z392" s="2096"/>
      <c r="AA392" s="2097"/>
      <c r="AB392" s="1053"/>
      <c r="AC392" s="1053"/>
      <c r="AD392" s="1053"/>
      <c r="AE392" s="1051"/>
      <c r="AF392" s="1054"/>
    </row>
    <row r="393" spans="1:32" s="1043" customFormat="1" ht="15.75" x14ac:dyDescent="0.25">
      <c r="A393" s="2017"/>
      <c r="B393" s="2018"/>
      <c r="C393" s="2018"/>
      <c r="D393" s="2018"/>
      <c r="E393" s="2018"/>
      <c r="F393" s="2018"/>
      <c r="G393" s="2018"/>
      <c r="H393" s="2018"/>
      <c r="I393" s="2018"/>
      <c r="J393" s="2018"/>
      <c r="K393" s="2018"/>
      <c r="L393" s="2018"/>
      <c r="M393" s="2018"/>
      <c r="N393" s="2018"/>
      <c r="O393" s="2018"/>
      <c r="P393" s="2018"/>
      <c r="Q393" s="2018"/>
      <c r="R393" s="2018"/>
      <c r="S393" s="2018"/>
      <c r="T393" s="2018"/>
      <c r="U393" s="2018"/>
      <c r="V393" s="2018"/>
      <c r="W393" s="2018"/>
      <c r="X393" s="2018"/>
      <c r="Y393" s="2094"/>
      <c r="Z393" s="2096"/>
      <c r="AA393" s="2097"/>
      <c r="AB393" s="1053"/>
      <c r="AC393" s="1053"/>
      <c r="AD393" s="1053"/>
      <c r="AE393" s="1051"/>
      <c r="AF393" s="1054"/>
    </row>
    <row r="394" spans="1:32" s="1043" customFormat="1" ht="15.75" x14ac:dyDescent="0.25">
      <c r="A394" s="2017"/>
      <c r="B394" s="2018"/>
      <c r="C394" s="2018"/>
      <c r="D394" s="2018"/>
      <c r="E394" s="2018"/>
      <c r="F394" s="2018"/>
      <c r="G394" s="2018"/>
      <c r="H394" s="2018"/>
      <c r="I394" s="2018"/>
      <c r="J394" s="2018"/>
      <c r="K394" s="2018"/>
      <c r="L394" s="2018"/>
      <c r="M394" s="2018"/>
      <c r="N394" s="2018"/>
      <c r="O394" s="2018"/>
      <c r="P394" s="2018"/>
      <c r="Q394" s="2018"/>
      <c r="R394" s="2018"/>
      <c r="S394" s="2018"/>
      <c r="T394" s="2018"/>
      <c r="U394" s="2018"/>
      <c r="V394" s="2018"/>
      <c r="W394" s="2018"/>
      <c r="X394" s="2018"/>
      <c r="Y394" s="2094"/>
      <c r="Z394" s="2096"/>
      <c r="AA394" s="2097"/>
      <c r="AB394" s="1053"/>
      <c r="AC394" s="1053"/>
      <c r="AD394" s="1053"/>
      <c r="AE394" s="1051"/>
      <c r="AF394" s="1054"/>
    </row>
    <row r="395" spans="1:32" s="1043" customFormat="1" ht="15.75" x14ac:dyDescent="0.25">
      <c r="A395" s="2017"/>
      <c r="B395" s="2018"/>
      <c r="C395" s="2018"/>
      <c r="D395" s="2018"/>
      <c r="E395" s="2018"/>
      <c r="F395" s="2018"/>
      <c r="G395" s="2018"/>
      <c r="H395" s="2018"/>
      <c r="I395" s="2018"/>
      <c r="J395" s="2018"/>
      <c r="K395" s="2018"/>
      <c r="L395" s="2018"/>
      <c r="M395" s="2018"/>
      <c r="N395" s="2018"/>
      <c r="O395" s="2018"/>
      <c r="P395" s="2018"/>
      <c r="Q395" s="2018"/>
      <c r="R395" s="2018"/>
      <c r="S395" s="2018"/>
      <c r="T395" s="2018"/>
      <c r="U395" s="2018"/>
      <c r="V395" s="2018"/>
      <c r="W395" s="2018"/>
      <c r="X395" s="2018"/>
      <c r="Y395" s="2094"/>
      <c r="Z395" s="2096"/>
      <c r="AA395" s="2097"/>
      <c r="AB395" s="1053"/>
      <c r="AC395" s="1053"/>
      <c r="AD395" s="1053"/>
      <c r="AE395" s="1051"/>
      <c r="AF395" s="1054"/>
    </row>
    <row r="396" spans="1:32" s="1043" customFormat="1" ht="15.75" x14ac:dyDescent="0.25">
      <c r="A396" s="2017"/>
      <c r="B396" s="2018"/>
      <c r="C396" s="2018"/>
      <c r="D396" s="2018"/>
      <c r="E396" s="2018"/>
      <c r="F396" s="2018"/>
      <c r="G396" s="2018"/>
      <c r="H396" s="2018"/>
      <c r="I396" s="2018"/>
      <c r="J396" s="2018"/>
      <c r="K396" s="2018"/>
      <c r="L396" s="2018"/>
      <c r="M396" s="2018"/>
      <c r="N396" s="2018"/>
      <c r="O396" s="2018"/>
      <c r="P396" s="2018"/>
      <c r="Q396" s="2018"/>
      <c r="R396" s="2018"/>
      <c r="S396" s="2018"/>
      <c r="T396" s="2018"/>
      <c r="U396" s="2018"/>
      <c r="V396" s="2018"/>
      <c r="W396" s="2018"/>
      <c r="X396" s="2018"/>
      <c r="Y396" s="2094"/>
      <c r="Z396" s="2096"/>
      <c r="AA396" s="2097"/>
      <c r="AB396" s="1055"/>
      <c r="AC396" s="1055"/>
      <c r="AD396" s="1055"/>
      <c r="AE396" s="1051"/>
      <c r="AF396" s="1056"/>
    </row>
    <row r="397" spans="1:32" s="1043" customFormat="1" ht="15.75" x14ac:dyDescent="0.25">
      <c r="A397" s="2017"/>
      <c r="B397" s="2018"/>
      <c r="C397" s="2018"/>
      <c r="D397" s="2018"/>
      <c r="E397" s="2018"/>
      <c r="F397" s="2018"/>
      <c r="G397" s="2018"/>
      <c r="H397" s="2018"/>
      <c r="I397" s="2018"/>
      <c r="J397" s="2018"/>
      <c r="K397" s="2018"/>
      <c r="L397" s="2018"/>
      <c r="M397" s="2018"/>
      <c r="N397" s="2018"/>
      <c r="O397" s="2018"/>
      <c r="P397" s="2018"/>
      <c r="Q397" s="2018"/>
      <c r="R397" s="2018"/>
      <c r="S397" s="2018"/>
      <c r="T397" s="2018"/>
      <c r="U397" s="2018"/>
      <c r="V397" s="2018"/>
      <c r="W397" s="2018"/>
      <c r="X397" s="2018"/>
      <c r="Y397" s="2094"/>
      <c r="Z397" s="2096"/>
      <c r="AA397" s="2097"/>
      <c r="AB397" s="1055"/>
      <c r="AC397" s="1055"/>
      <c r="AD397" s="1055"/>
      <c r="AE397" s="1055"/>
      <c r="AF397" s="1056"/>
    </row>
    <row r="398" spans="1:32" s="1043" customFormat="1" ht="15.75" x14ac:dyDescent="0.25">
      <c r="A398" s="2017"/>
      <c r="B398" s="2018"/>
      <c r="C398" s="2018"/>
      <c r="D398" s="2018"/>
      <c r="E398" s="2018"/>
      <c r="F398" s="2018"/>
      <c r="G398" s="2018"/>
      <c r="H398" s="2018"/>
      <c r="I398" s="2018"/>
      <c r="J398" s="2018"/>
      <c r="K398" s="2018"/>
      <c r="L398" s="2018"/>
      <c r="M398" s="2018"/>
      <c r="N398" s="2018"/>
      <c r="O398" s="2018"/>
      <c r="P398" s="2018"/>
      <c r="Q398" s="2018"/>
      <c r="R398" s="2018"/>
      <c r="S398" s="2018"/>
      <c r="T398" s="2018"/>
      <c r="U398" s="2018"/>
      <c r="V398" s="2018"/>
      <c r="W398" s="2018"/>
      <c r="X398" s="2018"/>
      <c r="Y398" s="2094"/>
      <c r="Z398" s="2096"/>
      <c r="AA398" s="2097"/>
      <c r="AB398" s="1055"/>
      <c r="AC398" s="1055"/>
      <c r="AD398" s="1055"/>
      <c r="AE398" s="1055"/>
      <c r="AF398" s="1056"/>
    </row>
    <row r="399" spans="1:32" s="1043" customFormat="1" ht="15.75" x14ac:dyDescent="0.25">
      <c r="A399" s="2017"/>
      <c r="B399" s="2018"/>
      <c r="C399" s="2018"/>
      <c r="D399" s="2018"/>
      <c r="E399" s="2018"/>
      <c r="F399" s="2018"/>
      <c r="G399" s="2018"/>
      <c r="H399" s="2018"/>
      <c r="I399" s="2018"/>
      <c r="J399" s="2018"/>
      <c r="K399" s="2018"/>
      <c r="L399" s="2018"/>
      <c r="M399" s="2018"/>
      <c r="N399" s="2018"/>
      <c r="O399" s="2018"/>
      <c r="P399" s="2018"/>
      <c r="Q399" s="2018"/>
      <c r="R399" s="2018"/>
      <c r="S399" s="2018"/>
      <c r="T399" s="2018"/>
      <c r="U399" s="2018"/>
      <c r="V399" s="2018"/>
      <c r="W399" s="2018"/>
      <c r="X399" s="2018"/>
      <c r="Y399" s="2094"/>
      <c r="Z399" s="2096"/>
      <c r="AA399" s="2097"/>
      <c r="AB399" s="1055"/>
      <c r="AC399" s="1055"/>
      <c r="AD399" s="1055"/>
      <c r="AE399" s="1055"/>
      <c r="AF399" s="1056"/>
    </row>
    <row r="400" spans="1:32" s="1043" customFormat="1" ht="15.75" x14ac:dyDescent="0.25">
      <c r="A400" s="2017"/>
      <c r="B400" s="2018"/>
      <c r="C400" s="2018"/>
      <c r="D400" s="2018"/>
      <c r="E400" s="2018"/>
      <c r="F400" s="2018"/>
      <c r="G400" s="2018"/>
      <c r="H400" s="2018"/>
      <c r="I400" s="2018"/>
      <c r="J400" s="2018"/>
      <c r="K400" s="2018"/>
      <c r="L400" s="2018"/>
      <c r="M400" s="2018"/>
      <c r="N400" s="2018"/>
      <c r="O400" s="2018"/>
      <c r="P400" s="2018"/>
      <c r="Q400" s="2018"/>
      <c r="R400" s="2018"/>
      <c r="S400" s="2018"/>
      <c r="T400" s="2018"/>
      <c r="U400" s="2018"/>
      <c r="V400" s="2018"/>
      <c r="W400" s="2018"/>
      <c r="X400" s="2018"/>
      <c r="Y400" s="2094"/>
      <c r="Z400" s="2096"/>
      <c r="AA400" s="2097"/>
      <c r="AB400" s="1055"/>
      <c r="AC400" s="1055"/>
      <c r="AD400" s="1055"/>
      <c r="AE400" s="1055"/>
      <c r="AF400" s="1056"/>
    </row>
    <row r="401" spans="1:32" s="1043" customFormat="1" ht="16.5" thickBot="1" x14ac:dyDescent="0.3">
      <c r="A401" s="2019"/>
      <c r="B401" s="2020"/>
      <c r="C401" s="2020"/>
      <c r="D401" s="2020"/>
      <c r="E401" s="2020"/>
      <c r="F401" s="2020"/>
      <c r="G401" s="2020"/>
      <c r="H401" s="2020"/>
      <c r="I401" s="2020"/>
      <c r="J401" s="2020"/>
      <c r="K401" s="2020"/>
      <c r="L401" s="2020"/>
      <c r="M401" s="2020"/>
      <c r="N401" s="2020"/>
      <c r="O401" s="2020"/>
      <c r="P401" s="2020"/>
      <c r="Q401" s="2020"/>
      <c r="R401" s="2020"/>
      <c r="S401" s="2020"/>
      <c r="T401" s="2020"/>
      <c r="U401" s="2020"/>
      <c r="V401" s="2020"/>
      <c r="W401" s="2020"/>
      <c r="X401" s="2020"/>
      <c r="Y401" s="2095"/>
      <c r="Z401" s="2098"/>
      <c r="AA401" s="2099"/>
      <c r="AB401" s="1057"/>
      <c r="AC401" s="1057"/>
      <c r="AD401" s="1057"/>
      <c r="AE401" s="1057"/>
      <c r="AF401" s="1058"/>
    </row>
    <row r="402" spans="1:32" s="1043" customFormat="1" ht="15.75" x14ac:dyDescent="0.25">
      <c r="A402" s="2009" t="s">
        <v>1862</v>
      </c>
      <c r="B402" s="2010"/>
      <c r="C402" s="2010"/>
      <c r="D402" s="2010"/>
      <c r="E402" s="2010"/>
      <c r="F402" s="2010"/>
      <c r="G402" s="2010"/>
      <c r="H402" s="2010"/>
      <c r="I402" s="2010"/>
      <c r="J402" s="2010"/>
      <c r="K402" s="2010"/>
      <c r="L402" s="2010"/>
      <c r="M402" s="2010"/>
      <c r="N402" s="2010"/>
      <c r="O402" s="2010"/>
      <c r="P402" s="2010"/>
      <c r="Q402" s="2010"/>
      <c r="R402" s="2010"/>
      <c r="S402" s="2010"/>
      <c r="T402" s="2010"/>
      <c r="U402" s="2010"/>
      <c r="V402" s="2010"/>
      <c r="W402" s="2010"/>
      <c r="X402" s="2010"/>
      <c r="Y402" s="2010"/>
      <c r="Z402" s="2013" t="s">
        <v>1850</v>
      </c>
      <c r="AA402" s="2013"/>
      <c r="AB402" s="2013"/>
      <c r="AC402" s="2013"/>
      <c r="AD402" s="2013"/>
      <c r="AE402" s="2013"/>
      <c r="AF402" s="1059">
        <f>SUM(AF382:AF401)</f>
        <v>47.230000000000004</v>
      </c>
    </row>
    <row r="403" spans="1:32" s="1043" customFormat="1" ht="15.75" x14ac:dyDescent="0.25">
      <c r="A403" s="2011"/>
      <c r="B403" s="2012"/>
      <c r="C403" s="2012"/>
      <c r="D403" s="2012"/>
      <c r="E403" s="2012"/>
      <c r="F403" s="2012"/>
      <c r="G403" s="2012"/>
      <c r="H403" s="2012"/>
      <c r="I403" s="2012"/>
      <c r="J403" s="2012"/>
      <c r="K403" s="2012"/>
      <c r="L403" s="2012"/>
      <c r="M403" s="2012"/>
      <c r="N403" s="2012"/>
      <c r="O403" s="2012"/>
      <c r="P403" s="2012"/>
      <c r="Q403" s="2012"/>
      <c r="R403" s="2012"/>
      <c r="S403" s="2012"/>
      <c r="T403" s="2012"/>
      <c r="U403" s="2012"/>
      <c r="V403" s="2012"/>
      <c r="W403" s="2012"/>
      <c r="X403" s="2012"/>
      <c r="Y403" s="2012"/>
      <c r="Z403" s="2014" t="s">
        <v>1851</v>
      </c>
      <c r="AA403" s="2014"/>
      <c r="AB403" s="2014"/>
      <c r="AC403" s="2014"/>
      <c r="AD403" s="2014"/>
      <c r="AE403" s="2014"/>
      <c r="AF403" s="1060">
        <v>0</v>
      </c>
    </row>
    <row r="404" spans="1:32" s="1043" customFormat="1" ht="15.75" x14ac:dyDescent="0.25">
      <c r="A404" s="2011"/>
      <c r="B404" s="2012"/>
      <c r="C404" s="2012"/>
      <c r="D404" s="2012"/>
      <c r="E404" s="2012"/>
      <c r="F404" s="2012"/>
      <c r="G404" s="2012"/>
      <c r="H404" s="2012"/>
      <c r="I404" s="2012"/>
      <c r="J404" s="2012"/>
      <c r="K404" s="2012"/>
      <c r="L404" s="2012"/>
      <c r="M404" s="2012"/>
      <c r="N404" s="2012"/>
      <c r="O404" s="2012"/>
      <c r="P404" s="2012"/>
      <c r="Q404" s="2012"/>
      <c r="R404" s="2012"/>
      <c r="S404" s="2012"/>
      <c r="T404" s="2012"/>
      <c r="U404" s="2012"/>
      <c r="V404" s="2012"/>
      <c r="W404" s="2012"/>
      <c r="X404" s="2012"/>
      <c r="Y404" s="2012"/>
      <c r="Z404" s="2015" t="s">
        <v>1833</v>
      </c>
      <c r="AA404" s="2015"/>
      <c r="AB404" s="2015"/>
      <c r="AC404" s="2015"/>
      <c r="AD404" s="2015"/>
      <c r="AE404" s="2015"/>
      <c r="AF404" s="1061">
        <f>SUM(AF402:AF403)</f>
        <v>47.230000000000004</v>
      </c>
    </row>
    <row r="405" spans="1:32" s="1043" customFormat="1" x14ac:dyDescent="0.2">
      <c r="A405" s="2012" t="s">
        <v>1859</v>
      </c>
      <c r="B405" s="2012"/>
      <c r="C405" s="2012"/>
      <c r="D405" s="2012"/>
      <c r="E405" s="2012"/>
      <c r="F405" s="2012"/>
      <c r="G405" s="2012"/>
      <c r="H405" s="2012"/>
      <c r="I405" s="2012"/>
      <c r="J405" s="2012"/>
      <c r="K405" s="2012"/>
      <c r="L405" s="2012"/>
      <c r="M405" s="2012"/>
      <c r="N405" s="2012"/>
      <c r="O405" s="2012"/>
      <c r="P405" s="2012"/>
      <c r="Q405" s="2012"/>
      <c r="R405" s="2012"/>
      <c r="S405" s="2012"/>
      <c r="T405" s="2016" t="s">
        <v>1840</v>
      </c>
      <c r="U405" s="2016"/>
      <c r="V405" s="2016"/>
      <c r="W405" s="2016"/>
      <c r="X405" s="2016"/>
      <c r="Y405" s="2016"/>
      <c r="Z405" s="2016"/>
      <c r="AA405" s="2016"/>
      <c r="AB405" s="2012" t="s">
        <v>1852</v>
      </c>
      <c r="AC405" s="2012"/>
      <c r="AD405" s="2012"/>
      <c r="AE405" s="2012"/>
      <c r="AF405" s="2012"/>
    </row>
    <row r="406" spans="1:32" s="1043" customFormat="1" x14ac:dyDescent="0.2">
      <c r="A406" s="2012"/>
      <c r="B406" s="2012"/>
      <c r="C406" s="2012"/>
      <c r="D406" s="2012"/>
      <c r="E406" s="2012"/>
      <c r="F406" s="2012"/>
      <c r="G406" s="2012"/>
      <c r="H406" s="2012"/>
      <c r="I406" s="2012"/>
      <c r="J406" s="2012"/>
      <c r="K406" s="2012"/>
      <c r="L406" s="2012"/>
      <c r="M406" s="2012"/>
      <c r="N406" s="2012"/>
      <c r="O406" s="2012"/>
      <c r="P406" s="2012"/>
      <c r="Q406" s="2012"/>
      <c r="R406" s="2012"/>
      <c r="S406" s="2012"/>
      <c r="T406" s="2016"/>
      <c r="U406" s="2016"/>
      <c r="V406" s="2016"/>
      <c r="W406" s="2016"/>
      <c r="X406" s="2016"/>
      <c r="Y406" s="2016"/>
      <c r="Z406" s="2016"/>
      <c r="AA406" s="2016"/>
      <c r="AB406" s="2012"/>
      <c r="AC406" s="2012"/>
      <c r="AD406" s="2012"/>
      <c r="AE406" s="2012"/>
      <c r="AF406" s="2012"/>
    </row>
    <row r="407" spans="1:32" s="1043" customFormat="1" ht="16.5" thickBot="1" x14ac:dyDescent="0.25">
      <c r="A407" s="1062"/>
      <c r="B407" s="1062"/>
      <c r="C407" s="1062"/>
      <c r="D407" s="1062"/>
      <c r="E407" s="1062"/>
      <c r="F407" s="1062"/>
      <c r="G407" s="1062"/>
      <c r="H407" s="1062"/>
      <c r="I407" s="1062"/>
      <c r="J407" s="1062"/>
      <c r="K407" s="1062"/>
      <c r="L407" s="1062"/>
      <c r="M407" s="1062"/>
      <c r="N407" s="1062"/>
      <c r="O407" s="1062"/>
      <c r="P407" s="1062"/>
      <c r="Q407" s="1062"/>
      <c r="R407" s="1062"/>
      <c r="S407" s="1062"/>
      <c r="T407" s="1063"/>
      <c r="U407" s="1063"/>
      <c r="V407" s="1063"/>
      <c r="W407" s="1063"/>
      <c r="X407" s="1063"/>
      <c r="Y407" s="1063"/>
      <c r="Z407" s="1063"/>
      <c r="AA407" s="1063"/>
      <c r="AB407" s="1062"/>
      <c r="AC407" s="1062"/>
      <c r="AD407" s="1062"/>
      <c r="AE407" s="1064"/>
      <c r="AF407" s="1065"/>
    </row>
    <row r="408" spans="1:32" ht="30" customHeight="1" x14ac:dyDescent="0.2">
      <c r="A408" s="2025" t="s">
        <v>1854</v>
      </c>
      <c r="B408" s="2026"/>
      <c r="C408" s="2026"/>
      <c r="D408" s="2026"/>
      <c r="E408" s="2026"/>
      <c r="F408" s="2026"/>
      <c r="G408" s="2026"/>
      <c r="H408" s="2026"/>
      <c r="I408" s="2026"/>
      <c r="J408" s="2026"/>
      <c r="K408" s="2026"/>
      <c r="L408" s="2026"/>
      <c r="M408" s="2026"/>
      <c r="N408" s="2026"/>
      <c r="O408" s="2026"/>
      <c r="P408" s="2026"/>
      <c r="Q408" s="2026"/>
      <c r="R408" s="2026"/>
      <c r="S408" s="2026"/>
      <c r="T408" s="2026"/>
      <c r="U408" s="2026"/>
      <c r="V408" s="2026"/>
      <c r="W408" s="2026"/>
      <c r="X408" s="2026"/>
      <c r="Y408" s="2026"/>
      <c r="Z408" s="2026"/>
      <c r="AA408" s="2026"/>
      <c r="AB408" s="2026"/>
      <c r="AC408" s="2026"/>
      <c r="AD408" s="2026"/>
      <c r="AE408" s="1041" t="s">
        <v>1834</v>
      </c>
      <c r="AF408" s="1042" t="s">
        <v>1835</v>
      </c>
    </row>
    <row r="409" spans="1:32" ht="30" customHeight="1" thickBot="1" x14ac:dyDescent="0.25">
      <c r="A409" s="2027"/>
      <c r="B409" s="2028"/>
      <c r="C409" s="2028"/>
      <c r="D409" s="2028"/>
      <c r="E409" s="2028"/>
      <c r="F409" s="2028"/>
      <c r="G409" s="2028"/>
      <c r="H409" s="2028"/>
      <c r="I409" s="2028"/>
      <c r="J409" s="2028"/>
      <c r="K409" s="2028"/>
      <c r="L409" s="2028"/>
      <c r="M409" s="2028"/>
      <c r="N409" s="2028"/>
      <c r="O409" s="2028"/>
      <c r="P409" s="2028"/>
      <c r="Q409" s="2028"/>
      <c r="R409" s="2028"/>
      <c r="S409" s="2028"/>
      <c r="T409" s="2028"/>
      <c r="U409" s="2028"/>
      <c r="V409" s="2028"/>
      <c r="W409" s="2028"/>
      <c r="X409" s="2028"/>
      <c r="Y409" s="2028"/>
      <c r="Z409" s="2028"/>
      <c r="AA409" s="2028"/>
      <c r="AB409" s="2028"/>
      <c r="AC409" s="2028"/>
      <c r="AD409" s="2028"/>
      <c r="AE409" s="1041" t="s">
        <v>1836</v>
      </c>
      <c r="AF409" s="1044">
        <v>1</v>
      </c>
    </row>
    <row r="410" spans="1:32" ht="15.75" customHeight="1" x14ac:dyDescent="0.2">
      <c r="A410" s="2029"/>
      <c r="B410" s="2030"/>
      <c r="C410" s="2030"/>
      <c r="D410" s="2031"/>
      <c r="E410" s="2025" t="str">
        <f>'01'!$A$12</f>
        <v>"CONSTRUCCION SISTEMA DE ACUEDUCTO FASE II DEL MUNICIPIO DE TESALIA DPTO DEL HUILA"</v>
      </c>
      <c r="F410" s="2026"/>
      <c r="G410" s="2026"/>
      <c r="H410" s="2026"/>
      <c r="I410" s="2026"/>
      <c r="J410" s="2026"/>
      <c r="K410" s="2026"/>
      <c r="L410" s="2026"/>
      <c r="M410" s="2026"/>
      <c r="N410" s="2026"/>
      <c r="O410" s="2026"/>
      <c r="P410" s="2026"/>
      <c r="Q410" s="2026"/>
      <c r="R410" s="2026"/>
      <c r="S410" s="2026"/>
      <c r="T410" s="2026"/>
      <c r="U410" s="2026"/>
      <c r="V410" s="2026"/>
      <c r="W410" s="2026"/>
      <c r="X410" s="2026"/>
      <c r="Y410" s="2026"/>
      <c r="Z410" s="2026"/>
      <c r="AA410" s="2026"/>
      <c r="AB410" s="2026"/>
      <c r="AC410" s="2026"/>
      <c r="AD410" s="2035"/>
      <c r="AE410" s="1041" t="s">
        <v>847</v>
      </c>
      <c r="AF410" s="1045">
        <f>'01'!$M$13</f>
        <v>0</v>
      </c>
    </row>
    <row r="411" spans="1:32" ht="16.5" customHeight="1" thickBot="1" x14ac:dyDescent="0.25">
      <c r="A411" s="2032"/>
      <c r="B411" s="2033"/>
      <c r="C411" s="2033"/>
      <c r="D411" s="2034"/>
      <c r="E411" s="2027"/>
      <c r="F411" s="2028"/>
      <c r="G411" s="2028"/>
      <c r="H411" s="2028"/>
      <c r="I411" s="2028"/>
      <c r="J411" s="2028"/>
      <c r="K411" s="2028"/>
      <c r="L411" s="2028"/>
      <c r="M411" s="2028"/>
      <c r="N411" s="2028"/>
      <c r="O411" s="2028"/>
      <c r="P411" s="2028"/>
      <c r="Q411" s="2028"/>
      <c r="R411" s="2028"/>
      <c r="S411" s="2028"/>
      <c r="T411" s="2028"/>
      <c r="U411" s="2028"/>
      <c r="V411" s="2028"/>
      <c r="W411" s="2028"/>
      <c r="X411" s="2028"/>
      <c r="Y411" s="2028"/>
      <c r="Z411" s="2028"/>
      <c r="AA411" s="2028"/>
      <c r="AB411" s="2028"/>
      <c r="AC411" s="2028"/>
      <c r="AD411" s="2036"/>
      <c r="AE411" s="1041" t="s">
        <v>1837</v>
      </c>
      <c r="AF411" s="1042" t="s">
        <v>1838</v>
      </c>
    </row>
    <row r="412" spans="1:32" ht="15.75" x14ac:dyDescent="0.25">
      <c r="A412" s="2037" t="s">
        <v>1860</v>
      </c>
      <c r="B412" s="2038"/>
      <c r="C412" s="2038"/>
      <c r="D412" s="2038"/>
      <c r="E412" s="2038"/>
      <c r="F412" s="2038"/>
      <c r="G412" s="2038"/>
      <c r="H412" s="2038"/>
      <c r="I412" s="2038"/>
      <c r="J412" s="2038"/>
      <c r="K412" s="2038"/>
      <c r="L412" s="2038"/>
      <c r="M412" s="2038"/>
      <c r="N412" s="2038"/>
      <c r="O412" s="2038"/>
      <c r="P412" s="2038"/>
      <c r="Q412" s="2038"/>
      <c r="R412" s="2038"/>
      <c r="S412" s="2038"/>
      <c r="T412" s="2038"/>
      <c r="U412" s="2038"/>
      <c r="V412" s="2038"/>
      <c r="W412" s="2038"/>
      <c r="X412" s="2038"/>
      <c r="Y412" s="2038"/>
      <c r="Z412" s="2038"/>
      <c r="AA412" s="2038"/>
      <c r="AB412" s="2038"/>
      <c r="AC412" s="2038"/>
      <c r="AD412" s="2038"/>
      <c r="AE412" s="2039" t="s">
        <v>1839</v>
      </c>
      <c r="AF412" s="2040"/>
    </row>
    <row r="413" spans="1:32" ht="15.75" x14ac:dyDescent="0.25">
      <c r="A413" s="2041" t="s">
        <v>1840</v>
      </c>
      <c r="B413" s="2042"/>
      <c r="C413" s="2042"/>
      <c r="D413" s="2042"/>
      <c r="E413" s="2042"/>
      <c r="F413" s="2042"/>
      <c r="G413" s="2042"/>
      <c r="H413" s="2042"/>
      <c r="I413" s="2042"/>
      <c r="J413" s="2042"/>
      <c r="K413" s="2042"/>
      <c r="L413" s="2042"/>
      <c r="M413" s="2042"/>
      <c r="N413" s="2042"/>
      <c r="O413" s="2042"/>
      <c r="P413" s="2042"/>
      <c r="Q413" s="2042"/>
      <c r="R413" s="2042"/>
      <c r="S413" s="2042"/>
      <c r="T413" s="2042"/>
      <c r="U413" s="2042"/>
      <c r="V413" s="2042"/>
      <c r="W413" s="2042"/>
      <c r="X413" s="2042"/>
      <c r="Y413" s="2042"/>
      <c r="Z413" s="2042"/>
      <c r="AA413" s="2042"/>
      <c r="AB413" s="2042"/>
      <c r="AC413" s="2042"/>
      <c r="AD413" s="2043"/>
      <c r="AE413" s="2014" t="s">
        <v>1841</v>
      </c>
      <c r="AF413" s="2044"/>
    </row>
    <row r="414" spans="1:32" ht="15.75" x14ac:dyDescent="0.25">
      <c r="A414" s="2045" t="s">
        <v>1853</v>
      </c>
      <c r="B414" s="2046"/>
      <c r="C414" s="2046"/>
      <c r="D414" s="2046"/>
      <c r="E414" s="2046"/>
      <c r="F414" s="2046"/>
      <c r="G414" s="2046"/>
      <c r="H414" s="2046"/>
      <c r="I414" s="2046"/>
      <c r="J414" s="2046"/>
      <c r="K414" s="2046"/>
      <c r="L414" s="2046"/>
      <c r="M414" s="2046"/>
      <c r="N414" s="2046"/>
      <c r="O414" s="2046"/>
      <c r="P414" s="2046"/>
      <c r="Q414" s="2046"/>
      <c r="R414" s="2046"/>
      <c r="S414" s="2046"/>
      <c r="T414" s="2046"/>
      <c r="U414" s="2046"/>
      <c r="V414" s="2046"/>
      <c r="W414" s="2046"/>
      <c r="X414" s="2046"/>
      <c r="Y414" s="2046"/>
      <c r="Z414" s="2046"/>
      <c r="AA414" s="2046"/>
      <c r="AB414" s="2046"/>
      <c r="AC414" s="2046"/>
      <c r="AD414" s="2046"/>
      <c r="AE414" s="2047">
        <f>'01'!$M$13</f>
        <v>0</v>
      </c>
      <c r="AF414" s="2044"/>
    </row>
    <row r="415" spans="1:32" x14ac:dyDescent="0.2">
      <c r="A415" s="1046"/>
      <c r="B415" s="1047"/>
      <c r="C415" s="1047"/>
      <c r="D415" s="1047"/>
      <c r="E415" s="1047"/>
      <c r="F415" s="1047"/>
      <c r="G415" s="1047"/>
      <c r="H415" s="1047"/>
      <c r="I415" s="1047"/>
      <c r="J415" s="1047"/>
      <c r="K415" s="1047"/>
      <c r="L415" s="1047"/>
      <c r="M415" s="1047"/>
      <c r="N415" s="1047"/>
      <c r="O415" s="1047"/>
      <c r="P415" s="1047"/>
      <c r="Q415" s="1047"/>
      <c r="R415" s="1047"/>
      <c r="S415" s="1047"/>
      <c r="T415" s="1047"/>
      <c r="U415" s="1047"/>
      <c r="V415" s="1047"/>
      <c r="W415" s="1047"/>
      <c r="X415" s="1047"/>
      <c r="Y415" s="1047"/>
      <c r="Z415" s="1047"/>
      <c r="AA415" s="1047"/>
      <c r="AB415" s="1047"/>
      <c r="AC415" s="1047"/>
      <c r="AD415" s="1047"/>
      <c r="AE415" s="1047"/>
      <c r="AF415" s="1048"/>
    </row>
    <row r="416" spans="1:32" ht="15.75" x14ac:dyDescent="0.2">
      <c r="A416" s="2048" t="s">
        <v>1842</v>
      </c>
      <c r="B416" s="2049"/>
      <c r="C416" s="2049"/>
      <c r="D416" s="2049"/>
      <c r="E416" s="2049"/>
      <c r="F416" s="2050" t="str">
        <f>'01'!$H$33</f>
        <v>B - CÁMARA DE LLEGADA Y AQUIETAMIENTO DEL AGUA</v>
      </c>
      <c r="G416" s="2049"/>
      <c r="H416" s="2049"/>
      <c r="I416" s="2049"/>
      <c r="J416" s="2049"/>
      <c r="K416" s="2049"/>
      <c r="L416" s="2049"/>
      <c r="M416" s="2049"/>
      <c r="N416" s="2049"/>
      <c r="O416" s="2049"/>
      <c r="P416" s="2049"/>
      <c r="Q416" s="2049"/>
      <c r="R416" s="2049"/>
      <c r="S416" s="2049"/>
      <c r="T416" s="2049"/>
      <c r="U416" s="2049"/>
      <c r="V416" s="2049"/>
      <c r="W416" s="2049"/>
      <c r="X416" s="2049"/>
      <c r="Y416" s="2051"/>
      <c r="Z416" s="2052" t="s">
        <v>1843</v>
      </c>
      <c r="AA416" s="2053"/>
      <c r="AB416" s="2058" t="s">
        <v>1844</v>
      </c>
      <c r="AC416" s="2059"/>
      <c r="AD416" s="2060"/>
      <c r="AE416" s="2064" t="s">
        <v>1845</v>
      </c>
      <c r="AF416" s="2067" t="s">
        <v>1846</v>
      </c>
    </row>
    <row r="417" spans="1:34" x14ac:dyDescent="0.2">
      <c r="A417" s="2070" t="str">
        <f>'01'!A38</f>
        <v>B-02-01</v>
      </c>
      <c r="B417" s="2071"/>
      <c r="C417" s="2072"/>
      <c r="D417" s="2076" t="str">
        <f>VLOOKUP(A417,'01'!$A$12:$N$299,3,FALSE)</f>
        <v>EXCAVACIÓN MECÁNICA EN MATERIAL COMÚN (INCLUYE MAQUINARIA)</v>
      </c>
      <c r="E417" s="2077"/>
      <c r="F417" s="2077"/>
      <c r="G417" s="2077"/>
      <c r="H417" s="2077"/>
      <c r="I417" s="2077"/>
      <c r="J417" s="2077"/>
      <c r="K417" s="2077"/>
      <c r="L417" s="2077"/>
      <c r="M417" s="2077"/>
      <c r="N417" s="2077"/>
      <c r="O417" s="2077"/>
      <c r="P417" s="2077"/>
      <c r="Q417" s="2077"/>
      <c r="R417" s="2077"/>
      <c r="S417" s="2078"/>
      <c r="T417" s="2082" t="s">
        <v>124</v>
      </c>
      <c r="U417" s="2083"/>
      <c r="V417" s="2083"/>
      <c r="W417" s="2083"/>
      <c r="X417" s="2052" t="str">
        <f>VLOOKUP(A417,'01'!$A$12:$N$299,9,FALSE)</f>
        <v>M3</v>
      </c>
      <c r="Y417" s="2053"/>
      <c r="Z417" s="2054"/>
      <c r="AA417" s="2055"/>
      <c r="AB417" s="2061"/>
      <c r="AC417" s="2062"/>
      <c r="AD417" s="2063"/>
      <c r="AE417" s="2065"/>
      <c r="AF417" s="2068"/>
    </row>
    <row r="418" spans="1:34" ht="15.75" x14ac:dyDescent="0.25">
      <c r="A418" s="2073"/>
      <c r="B418" s="2074"/>
      <c r="C418" s="2075"/>
      <c r="D418" s="2079"/>
      <c r="E418" s="2080"/>
      <c r="F418" s="2080"/>
      <c r="G418" s="2080"/>
      <c r="H418" s="2080"/>
      <c r="I418" s="2080"/>
      <c r="J418" s="2080"/>
      <c r="K418" s="2080"/>
      <c r="L418" s="2080"/>
      <c r="M418" s="2080"/>
      <c r="N418" s="2080"/>
      <c r="O418" s="2080"/>
      <c r="P418" s="2080"/>
      <c r="Q418" s="2080"/>
      <c r="R418" s="2080"/>
      <c r="S418" s="2081"/>
      <c r="T418" s="2084"/>
      <c r="U418" s="2085"/>
      <c r="V418" s="2085"/>
      <c r="W418" s="2085"/>
      <c r="X418" s="2056"/>
      <c r="Y418" s="2057"/>
      <c r="Z418" s="2056"/>
      <c r="AA418" s="2057"/>
      <c r="AB418" s="1049" t="s">
        <v>1847</v>
      </c>
      <c r="AC418" s="1049" t="s">
        <v>1848</v>
      </c>
      <c r="AD418" s="1049" t="s">
        <v>1861</v>
      </c>
      <c r="AE418" s="2066"/>
      <c r="AF418" s="2069"/>
    </row>
    <row r="419" spans="1:34" ht="15.75" x14ac:dyDescent="0.25">
      <c r="A419" s="2017"/>
      <c r="B419" s="2018"/>
      <c r="C419" s="2018"/>
      <c r="D419" s="2018"/>
      <c r="E419" s="2018"/>
      <c r="F419" s="2018"/>
      <c r="G419" s="2018"/>
      <c r="H419" s="2018"/>
      <c r="I419" s="2018"/>
      <c r="J419" s="2018"/>
      <c r="K419" s="2018"/>
      <c r="L419" s="2018"/>
      <c r="M419" s="2018"/>
      <c r="N419" s="2018"/>
      <c r="O419" s="2018"/>
      <c r="P419" s="2018"/>
      <c r="Q419" s="2018"/>
      <c r="R419" s="2018"/>
      <c r="S419" s="2018"/>
      <c r="T419" s="2018"/>
      <c r="U419" s="2018"/>
      <c r="V419" s="2018"/>
      <c r="W419" s="2018"/>
      <c r="X419" s="2018"/>
      <c r="Y419" s="2094"/>
      <c r="Z419" s="2096" t="s">
        <v>1856</v>
      </c>
      <c r="AA419" s="2097"/>
      <c r="AB419" s="1050">
        <f>AB382</f>
        <v>1.6</v>
      </c>
      <c r="AC419" s="1050">
        <f>AC382</f>
        <v>1.6</v>
      </c>
      <c r="AD419" s="1050">
        <v>0.8</v>
      </c>
      <c r="AE419" s="1051">
        <v>1</v>
      </c>
      <c r="AF419" s="1052">
        <f>ROUND(AE419*AD419*AC419*AB419,2)</f>
        <v>2.0499999999999998</v>
      </c>
    </row>
    <row r="420" spans="1:34" ht="30" customHeight="1" x14ac:dyDescent="0.25">
      <c r="A420" s="2017"/>
      <c r="B420" s="2018"/>
      <c r="C420" s="2018"/>
      <c r="D420" s="2018"/>
      <c r="E420" s="2018"/>
      <c r="F420" s="2018"/>
      <c r="G420" s="2018"/>
      <c r="H420" s="2018"/>
      <c r="I420" s="2018"/>
      <c r="J420" s="2018"/>
      <c r="K420" s="2018"/>
      <c r="L420" s="2018"/>
      <c r="M420" s="2018"/>
      <c r="N420" s="2018"/>
      <c r="O420" s="2018"/>
      <c r="P420" s="2018"/>
      <c r="Q420" s="2018"/>
      <c r="R420" s="2018"/>
      <c r="S420" s="2018"/>
      <c r="T420" s="2018"/>
      <c r="U420" s="2018"/>
      <c r="V420" s="2018"/>
      <c r="W420" s="2018"/>
      <c r="X420" s="2018"/>
      <c r="Y420" s="2094"/>
      <c r="Z420" s="2096" t="s">
        <v>1857</v>
      </c>
      <c r="AA420" s="2097"/>
      <c r="AB420" s="1050">
        <f t="shared" ref="AB420:AC420" si="0">AB383</f>
        <v>2</v>
      </c>
      <c r="AC420" s="1050">
        <f t="shared" si="0"/>
        <v>1.8</v>
      </c>
      <c r="AD420" s="1050">
        <v>0.8</v>
      </c>
      <c r="AE420" s="1051">
        <v>1</v>
      </c>
      <c r="AF420" s="1052">
        <f t="shared" ref="AF420:AF425" si="1">ROUND(AE420*AD420*AC420*AB420,2)</f>
        <v>2.88</v>
      </c>
    </row>
    <row r="421" spans="1:34" ht="30" customHeight="1" x14ac:dyDescent="0.25">
      <c r="A421" s="2017"/>
      <c r="B421" s="2018"/>
      <c r="C421" s="2018"/>
      <c r="D421" s="2018"/>
      <c r="E421" s="2018"/>
      <c r="F421" s="2018"/>
      <c r="G421" s="2018"/>
      <c r="H421" s="2018"/>
      <c r="I421" s="2018"/>
      <c r="J421" s="2018"/>
      <c r="K421" s="2018"/>
      <c r="L421" s="2018"/>
      <c r="M421" s="2018"/>
      <c r="N421" s="2018"/>
      <c r="O421" s="2018"/>
      <c r="P421" s="2018"/>
      <c r="Q421" s="2018"/>
      <c r="R421" s="2018"/>
      <c r="S421" s="2018"/>
      <c r="T421" s="2018"/>
      <c r="U421" s="2018"/>
      <c r="V421" s="2018"/>
      <c r="W421" s="2018"/>
      <c r="X421" s="2018"/>
      <c r="Y421" s="2094"/>
      <c r="Z421" s="2096" t="s">
        <v>1096</v>
      </c>
      <c r="AA421" s="2097"/>
      <c r="AB421" s="1050">
        <f t="shared" ref="AB421:AC421" si="2">AB384</f>
        <v>1.8</v>
      </c>
      <c r="AC421" s="1050">
        <f t="shared" si="2"/>
        <v>3.6</v>
      </c>
      <c r="AD421" s="1050">
        <v>1.5</v>
      </c>
      <c r="AE421" s="1051">
        <v>1</v>
      </c>
      <c r="AF421" s="1052">
        <f t="shared" si="1"/>
        <v>9.7200000000000006</v>
      </c>
    </row>
    <row r="422" spans="1:34" ht="15.75" x14ac:dyDescent="0.25">
      <c r="A422" s="2017"/>
      <c r="B422" s="2018"/>
      <c r="C422" s="2018"/>
      <c r="D422" s="2018"/>
      <c r="E422" s="2018"/>
      <c r="F422" s="2018"/>
      <c r="G422" s="2018"/>
      <c r="H422" s="2018"/>
      <c r="I422" s="2018"/>
      <c r="J422" s="2018"/>
      <c r="K422" s="2018"/>
      <c r="L422" s="2018"/>
      <c r="M422" s="2018"/>
      <c r="N422" s="2018"/>
      <c r="O422" s="2018"/>
      <c r="P422" s="2018"/>
      <c r="Q422" s="2018"/>
      <c r="R422" s="2018"/>
      <c r="S422" s="2018"/>
      <c r="T422" s="2018"/>
      <c r="U422" s="2018"/>
      <c r="V422" s="2018"/>
      <c r="W422" s="2018"/>
      <c r="X422" s="2018"/>
      <c r="Y422" s="2094"/>
      <c r="Z422" s="2096" t="s">
        <v>1858</v>
      </c>
      <c r="AA422" s="2097"/>
      <c r="AB422" s="1050">
        <f t="shared" ref="AB422:AC422" si="3">AB385</f>
        <v>10.199999999999999</v>
      </c>
      <c r="AC422" s="1050">
        <f t="shared" si="3"/>
        <v>2.4</v>
      </c>
      <c r="AD422" s="1050">
        <v>0.8</v>
      </c>
      <c r="AE422" s="1051">
        <v>1</v>
      </c>
      <c r="AF422" s="1052">
        <f t="shared" si="1"/>
        <v>19.579999999999998</v>
      </c>
    </row>
    <row r="423" spans="1:34" ht="30" customHeight="1" x14ac:dyDescent="0.25">
      <c r="A423" s="2017"/>
      <c r="B423" s="2018"/>
      <c r="C423" s="2018"/>
      <c r="D423" s="2018"/>
      <c r="E423" s="2018"/>
      <c r="F423" s="2018"/>
      <c r="G423" s="2018"/>
      <c r="H423" s="2018"/>
      <c r="I423" s="2018"/>
      <c r="J423" s="2018"/>
      <c r="K423" s="2018"/>
      <c r="L423" s="2018"/>
      <c r="M423" s="2018"/>
      <c r="N423" s="2018"/>
      <c r="O423" s="2018"/>
      <c r="P423" s="2018"/>
      <c r="Q423" s="2018"/>
      <c r="R423" s="2018"/>
      <c r="S423" s="2018"/>
      <c r="T423" s="2018"/>
      <c r="U423" s="2018"/>
      <c r="V423" s="2018"/>
      <c r="W423" s="2018"/>
      <c r="X423" s="2018"/>
      <c r="Y423" s="2094"/>
      <c r="Z423" s="2096" t="s">
        <v>1098</v>
      </c>
      <c r="AA423" s="2097"/>
      <c r="AB423" s="1050">
        <f t="shared" ref="AB423:AC423" si="4">AB386</f>
        <v>2.15</v>
      </c>
      <c r="AC423" s="1050">
        <f t="shared" si="4"/>
        <v>4.7</v>
      </c>
      <c r="AD423" s="1050">
        <v>1.5</v>
      </c>
      <c r="AE423" s="1051">
        <v>1</v>
      </c>
      <c r="AF423" s="1052">
        <f t="shared" si="1"/>
        <v>15.16</v>
      </c>
      <c r="AH423" t="s">
        <v>1868</v>
      </c>
    </row>
    <row r="424" spans="1:34" ht="30" customHeight="1" x14ac:dyDescent="0.25">
      <c r="A424" s="2017"/>
      <c r="B424" s="2018"/>
      <c r="C424" s="2018"/>
      <c r="D424" s="2018"/>
      <c r="E424" s="2018"/>
      <c r="F424" s="2018"/>
      <c r="G424" s="2018"/>
      <c r="H424" s="2018"/>
      <c r="I424" s="2018"/>
      <c r="J424" s="2018"/>
      <c r="K424" s="2018"/>
      <c r="L424" s="2018"/>
      <c r="M424" s="2018"/>
      <c r="N424" s="2018"/>
      <c r="O424" s="2018"/>
      <c r="P424" s="2018"/>
      <c r="Q424" s="2018"/>
      <c r="R424" s="2018"/>
      <c r="S424" s="2018"/>
      <c r="T424" s="2018"/>
      <c r="U424" s="2018"/>
      <c r="V424" s="2018"/>
      <c r="W424" s="2018"/>
      <c r="X424" s="2018"/>
      <c r="Y424" s="2094"/>
      <c r="Z424" s="2096" t="s">
        <v>1622</v>
      </c>
      <c r="AA424" s="2097"/>
      <c r="AB424" s="1050">
        <v>12</v>
      </c>
      <c r="AC424" s="1050">
        <f>+AC49</f>
        <v>1</v>
      </c>
      <c r="AD424" s="1050">
        <v>1.5</v>
      </c>
      <c r="AE424" s="1051">
        <v>1</v>
      </c>
      <c r="AF424" s="1052">
        <f t="shared" si="1"/>
        <v>18</v>
      </c>
      <c r="AH424" t="s">
        <v>1863</v>
      </c>
    </row>
    <row r="425" spans="1:34" ht="30" customHeight="1" x14ac:dyDescent="0.25">
      <c r="A425" s="2017"/>
      <c r="B425" s="2018"/>
      <c r="C425" s="2018"/>
      <c r="D425" s="2018"/>
      <c r="E425" s="2018"/>
      <c r="F425" s="2018"/>
      <c r="G425" s="2018"/>
      <c r="H425" s="2018"/>
      <c r="I425" s="2018"/>
      <c r="J425" s="2018"/>
      <c r="K425" s="2018"/>
      <c r="L425" s="2018"/>
      <c r="M425" s="2018"/>
      <c r="N425" s="2018"/>
      <c r="O425" s="2018"/>
      <c r="P425" s="2018"/>
      <c r="Q425" s="2018"/>
      <c r="R425" s="2018"/>
      <c r="S425" s="2018"/>
      <c r="T425" s="2018"/>
      <c r="U425" s="2018"/>
      <c r="V425" s="2018"/>
      <c r="W425" s="2018"/>
      <c r="X425" s="2018"/>
      <c r="Y425" s="2094"/>
      <c r="Z425" s="2096" t="s">
        <v>1623</v>
      </c>
      <c r="AA425" s="2097"/>
      <c r="AB425" s="1050">
        <v>12</v>
      </c>
      <c r="AC425" s="1050">
        <f>+AC424</f>
        <v>1</v>
      </c>
      <c r="AD425" s="1050">
        <v>1.5</v>
      </c>
      <c r="AE425" s="1051">
        <v>1</v>
      </c>
      <c r="AF425" s="1052">
        <f t="shared" si="1"/>
        <v>18</v>
      </c>
      <c r="AH425" t="s">
        <v>1863</v>
      </c>
    </row>
    <row r="426" spans="1:34" ht="15.75" x14ac:dyDescent="0.25">
      <c r="A426" s="2017"/>
      <c r="B426" s="2018"/>
      <c r="C426" s="2018"/>
      <c r="D426" s="2018"/>
      <c r="E426" s="2018"/>
      <c r="F426" s="2018"/>
      <c r="G426" s="2018"/>
      <c r="H426" s="2018"/>
      <c r="I426" s="2018"/>
      <c r="J426" s="2018"/>
      <c r="K426" s="2018"/>
      <c r="L426" s="2018"/>
      <c r="M426" s="2018"/>
      <c r="N426" s="2018"/>
      <c r="O426" s="2018"/>
      <c r="P426" s="2018"/>
      <c r="Q426" s="2018"/>
      <c r="R426" s="2018"/>
      <c r="S426" s="2018"/>
      <c r="T426" s="2018"/>
      <c r="U426" s="2018"/>
      <c r="V426" s="2018"/>
      <c r="W426" s="2018"/>
      <c r="X426" s="2018"/>
      <c r="Y426" s="2094"/>
      <c r="Z426" s="2096"/>
      <c r="AA426" s="2097"/>
      <c r="AB426" s="1053"/>
      <c r="AC426" s="1053"/>
      <c r="AD426" s="1053"/>
      <c r="AE426" s="1051"/>
      <c r="AF426" s="1052"/>
    </row>
    <row r="427" spans="1:34" ht="15.75" x14ac:dyDescent="0.25">
      <c r="A427" s="2017"/>
      <c r="B427" s="2018"/>
      <c r="C427" s="2018"/>
      <c r="D427" s="2018"/>
      <c r="E427" s="2018"/>
      <c r="F427" s="2018"/>
      <c r="G427" s="2018"/>
      <c r="H427" s="2018"/>
      <c r="I427" s="2018"/>
      <c r="J427" s="2018"/>
      <c r="K427" s="2018"/>
      <c r="L427" s="2018"/>
      <c r="M427" s="2018"/>
      <c r="N427" s="2018"/>
      <c r="O427" s="2018"/>
      <c r="P427" s="2018"/>
      <c r="Q427" s="2018"/>
      <c r="R427" s="2018"/>
      <c r="S427" s="2018"/>
      <c r="T427" s="2018"/>
      <c r="U427" s="2018"/>
      <c r="V427" s="2018"/>
      <c r="W427" s="2018"/>
      <c r="X427" s="2018"/>
      <c r="Y427" s="2094"/>
      <c r="Z427" s="2096"/>
      <c r="AA427" s="2097"/>
      <c r="AB427" s="1053"/>
      <c r="AC427" s="1053"/>
      <c r="AD427" s="1053"/>
      <c r="AE427" s="1050"/>
      <c r="AF427" s="1054"/>
    </row>
    <row r="428" spans="1:34" ht="15.75" x14ac:dyDescent="0.25">
      <c r="A428" s="2017"/>
      <c r="B428" s="2018"/>
      <c r="C428" s="2018"/>
      <c r="D428" s="2018"/>
      <c r="E428" s="2018"/>
      <c r="F428" s="2018"/>
      <c r="G428" s="2018"/>
      <c r="H428" s="2018"/>
      <c r="I428" s="2018"/>
      <c r="J428" s="2018"/>
      <c r="K428" s="2018"/>
      <c r="L428" s="2018"/>
      <c r="M428" s="2018"/>
      <c r="N428" s="2018"/>
      <c r="O428" s="2018"/>
      <c r="P428" s="2018"/>
      <c r="Q428" s="2018"/>
      <c r="R428" s="2018"/>
      <c r="S428" s="2018"/>
      <c r="T428" s="2018"/>
      <c r="U428" s="2018"/>
      <c r="V428" s="2018"/>
      <c r="W428" s="2018"/>
      <c r="X428" s="2018"/>
      <c r="Y428" s="2094"/>
      <c r="Z428" s="2096"/>
      <c r="AA428" s="2097"/>
      <c r="AB428" s="1053"/>
      <c r="AC428" s="1053"/>
      <c r="AD428" s="1053"/>
      <c r="AE428" s="1051"/>
      <c r="AF428" s="1054"/>
    </row>
    <row r="429" spans="1:34" ht="15.75" x14ac:dyDescent="0.25">
      <c r="A429" s="2017"/>
      <c r="B429" s="2018"/>
      <c r="C429" s="2018"/>
      <c r="D429" s="2018"/>
      <c r="E429" s="2018"/>
      <c r="F429" s="2018"/>
      <c r="G429" s="2018"/>
      <c r="H429" s="2018"/>
      <c r="I429" s="2018"/>
      <c r="J429" s="2018"/>
      <c r="K429" s="2018"/>
      <c r="L429" s="2018"/>
      <c r="M429" s="2018"/>
      <c r="N429" s="2018"/>
      <c r="O429" s="2018"/>
      <c r="P429" s="2018"/>
      <c r="Q429" s="2018"/>
      <c r="R429" s="2018"/>
      <c r="S429" s="2018"/>
      <c r="T429" s="2018"/>
      <c r="U429" s="2018"/>
      <c r="V429" s="2018"/>
      <c r="W429" s="2018"/>
      <c r="X429" s="2018"/>
      <c r="Y429" s="2094"/>
      <c r="Z429" s="2096"/>
      <c r="AA429" s="2097"/>
      <c r="AB429" s="1053"/>
      <c r="AC429" s="1053"/>
      <c r="AD429" s="1053"/>
      <c r="AE429" s="1051"/>
      <c r="AF429" s="1054"/>
    </row>
    <row r="430" spans="1:34" ht="15.75" x14ac:dyDescent="0.25">
      <c r="A430" s="2017"/>
      <c r="B430" s="2018"/>
      <c r="C430" s="2018"/>
      <c r="D430" s="2018"/>
      <c r="E430" s="2018"/>
      <c r="F430" s="2018"/>
      <c r="G430" s="2018"/>
      <c r="H430" s="2018"/>
      <c r="I430" s="2018"/>
      <c r="J430" s="2018"/>
      <c r="K430" s="2018"/>
      <c r="L430" s="2018"/>
      <c r="M430" s="2018"/>
      <c r="N430" s="2018"/>
      <c r="O430" s="2018"/>
      <c r="P430" s="2018"/>
      <c r="Q430" s="2018"/>
      <c r="R430" s="2018"/>
      <c r="S430" s="2018"/>
      <c r="T430" s="2018"/>
      <c r="U430" s="2018"/>
      <c r="V430" s="2018"/>
      <c r="W430" s="2018"/>
      <c r="X430" s="2018"/>
      <c r="Y430" s="2094"/>
      <c r="Z430" s="2096"/>
      <c r="AA430" s="2097"/>
      <c r="AB430" s="1053"/>
      <c r="AC430" s="1053"/>
      <c r="AD430" s="1053"/>
      <c r="AE430" s="1051"/>
      <c r="AF430" s="1054"/>
    </row>
    <row r="431" spans="1:34" ht="15.75" x14ac:dyDescent="0.25">
      <c r="A431" s="2017"/>
      <c r="B431" s="2018"/>
      <c r="C431" s="2018"/>
      <c r="D431" s="2018"/>
      <c r="E431" s="2018"/>
      <c r="F431" s="2018"/>
      <c r="G431" s="2018"/>
      <c r="H431" s="2018"/>
      <c r="I431" s="2018"/>
      <c r="J431" s="2018"/>
      <c r="K431" s="2018"/>
      <c r="L431" s="2018"/>
      <c r="M431" s="2018"/>
      <c r="N431" s="2018"/>
      <c r="O431" s="2018"/>
      <c r="P431" s="2018"/>
      <c r="Q431" s="2018"/>
      <c r="R431" s="2018"/>
      <c r="S431" s="2018"/>
      <c r="T431" s="2018"/>
      <c r="U431" s="2018"/>
      <c r="V431" s="2018"/>
      <c r="W431" s="2018"/>
      <c r="X431" s="2018"/>
      <c r="Y431" s="2094"/>
      <c r="Z431" s="2096"/>
      <c r="AA431" s="2097"/>
      <c r="AB431" s="1053"/>
      <c r="AC431" s="1053"/>
      <c r="AD431" s="1053"/>
      <c r="AE431" s="1051"/>
      <c r="AF431" s="1054"/>
    </row>
    <row r="432" spans="1:34" ht="15.75" x14ac:dyDescent="0.25">
      <c r="A432" s="2017"/>
      <c r="B432" s="2018"/>
      <c r="C432" s="2018"/>
      <c r="D432" s="2018"/>
      <c r="E432" s="2018"/>
      <c r="F432" s="2018"/>
      <c r="G432" s="2018"/>
      <c r="H432" s="2018"/>
      <c r="I432" s="2018"/>
      <c r="J432" s="2018"/>
      <c r="K432" s="2018"/>
      <c r="L432" s="2018"/>
      <c r="M432" s="2018"/>
      <c r="N432" s="2018"/>
      <c r="O432" s="2018"/>
      <c r="P432" s="2018"/>
      <c r="Q432" s="2018"/>
      <c r="R432" s="2018"/>
      <c r="S432" s="2018"/>
      <c r="T432" s="2018"/>
      <c r="U432" s="2018"/>
      <c r="V432" s="2018"/>
      <c r="W432" s="2018"/>
      <c r="X432" s="2018"/>
      <c r="Y432" s="2094"/>
      <c r="Z432" s="2096"/>
      <c r="AA432" s="2097"/>
      <c r="AB432" s="1053"/>
      <c r="AC432" s="1053"/>
      <c r="AD432" s="1053"/>
      <c r="AE432" s="1051"/>
      <c r="AF432" s="1054"/>
    </row>
    <row r="433" spans="1:32" ht="15.75" x14ac:dyDescent="0.25">
      <c r="A433" s="2017"/>
      <c r="B433" s="2018"/>
      <c r="C433" s="2018"/>
      <c r="D433" s="2018"/>
      <c r="E433" s="2018"/>
      <c r="F433" s="2018"/>
      <c r="G433" s="2018"/>
      <c r="H433" s="2018"/>
      <c r="I433" s="2018"/>
      <c r="J433" s="2018"/>
      <c r="K433" s="2018"/>
      <c r="L433" s="2018"/>
      <c r="M433" s="2018"/>
      <c r="N433" s="2018"/>
      <c r="O433" s="2018"/>
      <c r="P433" s="2018"/>
      <c r="Q433" s="2018"/>
      <c r="R433" s="2018"/>
      <c r="S433" s="2018"/>
      <c r="T433" s="2018"/>
      <c r="U433" s="2018"/>
      <c r="V433" s="2018"/>
      <c r="W433" s="2018"/>
      <c r="X433" s="2018"/>
      <c r="Y433" s="2094"/>
      <c r="Z433" s="2096"/>
      <c r="AA433" s="2097"/>
      <c r="AB433" s="1055"/>
      <c r="AC433" s="1055"/>
      <c r="AD433" s="1055"/>
      <c r="AE433" s="1051"/>
      <c r="AF433" s="1056"/>
    </row>
    <row r="434" spans="1:32" ht="15.75" x14ac:dyDescent="0.25">
      <c r="A434" s="2017"/>
      <c r="B434" s="2018"/>
      <c r="C434" s="2018"/>
      <c r="D434" s="2018"/>
      <c r="E434" s="2018"/>
      <c r="F434" s="2018"/>
      <c r="G434" s="2018"/>
      <c r="H434" s="2018"/>
      <c r="I434" s="2018"/>
      <c r="J434" s="2018"/>
      <c r="K434" s="2018"/>
      <c r="L434" s="2018"/>
      <c r="M434" s="2018"/>
      <c r="N434" s="2018"/>
      <c r="O434" s="2018"/>
      <c r="P434" s="2018"/>
      <c r="Q434" s="2018"/>
      <c r="R434" s="2018"/>
      <c r="S434" s="2018"/>
      <c r="T434" s="2018"/>
      <c r="U434" s="2018"/>
      <c r="V434" s="2018"/>
      <c r="W434" s="2018"/>
      <c r="X434" s="2018"/>
      <c r="Y434" s="2094"/>
      <c r="Z434" s="2096"/>
      <c r="AA434" s="2097"/>
      <c r="AB434" s="1055"/>
      <c r="AC434" s="1055"/>
      <c r="AD434" s="1055"/>
      <c r="AE434" s="1055"/>
      <c r="AF434" s="1056"/>
    </row>
    <row r="435" spans="1:32" ht="15.75" x14ac:dyDescent="0.25">
      <c r="A435" s="2017"/>
      <c r="B435" s="2018"/>
      <c r="C435" s="2018"/>
      <c r="D435" s="2018"/>
      <c r="E435" s="2018"/>
      <c r="F435" s="2018"/>
      <c r="G435" s="2018"/>
      <c r="H435" s="2018"/>
      <c r="I435" s="2018"/>
      <c r="J435" s="2018"/>
      <c r="K435" s="2018"/>
      <c r="L435" s="2018"/>
      <c r="M435" s="2018"/>
      <c r="N435" s="2018"/>
      <c r="O435" s="2018"/>
      <c r="P435" s="2018"/>
      <c r="Q435" s="2018"/>
      <c r="R435" s="2018"/>
      <c r="S435" s="2018"/>
      <c r="T435" s="2018"/>
      <c r="U435" s="2018"/>
      <c r="V435" s="2018"/>
      <c r="W435" s="2018"/>
      <c r="X435" s="2018"/>
      <c r="Y435" s="2094"/>
      <c r="Z435" s="2096"/>
      <c r="AA435" s="2097"/>
      <c r="AB435" s="1055"/>
      <c r="AC435" s="1055"/>
      <c r="AD435" s="1055"/>
      <c r="AE435" s="1055"/>
      <c r="AF435" s="1056"/>
    </row>
    <row r="436" spans="1:32" ht="15.75" x14ac:dyDescent="0.25">
      <c r="A436" s="2017"/>
      <c r="B436" s="2018"/>
      <c r="C436" s="2018"/>
      <c r="D436" s="2018"/>
      <c r="E436" s="2018"/>
      <c r="F436" s="2018"/>
      <c r="G436" s="2018"/>
      <c r="H436" s="2018"/>
      <c r="I436" s="2018"/>
      <c r="J436" s="2018"/>
      <c r="K436" s="2018"/>
      <c r="L436" s="2018"/>
      <c r="M436" s="2018"/>
      <c r="N436" s="2018"/>
      <c r="O436" s="2018"/>
      <c r="P436" s="2018"/>
      <c r="Q436" s="2018"/>
      <c r="R436" s="2018"/>
      <c r="S436" s="2018"/>
      <c r="T436" s="2018"/>
      <c r="U436" s="2018"/>
      <c r="V436" s="2018"/>
      <c r="W436" s="2018"/>
      <c r="X436" s="2018"/>
      <c r="Y436" s="2094"/>
      <c r="Z436" s="2096"/>
      <c r="AA436" s="2097"/>
      <c r="AB436" s="1055"/>
      <c r="AC436" s="1055"/>
      <c r="AD436" s="1055"/>
      <c r="AE436" s="1055"/>
      <c r="AF436" s="1056"/>
    </row>
    <row r="437" spans="1:32" ht="15.75" x14ac:dyDescent="0.25">
      <c r="A437" s="2017"/>
      <c r="B437" s="2018"/>
      <c r="C437" s="2018"/>
      <c r="D437" s="2018"/>
      <c r="E437" s="2018"/>
      <c r="F437" s="2018"/>
      <c r="G437" s="2018"/>
      <c r="H437" s="2018"/>
      <c r="I437" s="2018"/>
      <c r="J437" s="2018"/>
      <c r="K437" s="2018"/>
      <c r="L437" s="2018"/>
      <c r="M437" s="2018"/>
      <c r="N437" s="2018"/>
      <c r="O437" s="2018"/>
      <c r="P437" s="2018"/>
      <c r="Q437" s="2018"/>
      <c r="R437" s="2018"/>
      <c r="S437" s="2018"/>
      <c r="T437" s="2018"/>
      <c r="U437" s="2018"/>
      <c r="V437" s="2018"/>
      <c r="W437" s="2018"/>
      <c r="X437" s="2018"/>
      <c r="Y437" s="2094"/>
      <c r="Z437" s="2096"/>
      <c r="AA437" s="2097"/>
      <c r="AB437" s="1055"/>
      <c r="AC437" s="1055"/>
      <c r="AD437" s="1055"/>
      <c r="AE437" s="1055"/>
      <c r="AF437" s="1056"/>
    </row>
    <row r="438" spans="1:32" ht="15.75" x14ac:dyDescent="0.25">
      <c r="A438" s="2017"/>
      <c r="B438" s="2018"/>
      <c r="C438" s="2018"/>
      <c r="D438" s="2018"/>
      <c r="E438" s="2018"/>
      <c r="F438" s="2018"/>
      <c r="G438" s="2018"/>
      <c r="H438" s="2018"/>
      <c r="I438" s="2018"/>
      <c r="J438" s="2018"/>
      <c r="K438" s="2018"/>
      <c r="L438" s="2018"/>
      <c r="M438" s="2018"/>
      <c r="N438" s="2018"/>
      <c r="O438" s="2018"/>
      <c r="P438" s="2018"/>
      <c r="Q438" s="2018"/>
      <c r="R438" s="2018"/>
      <c r="S438" s="2018"/>
      <c r="T438" s="2018"/>
      <c r="U438" s="2018"/>
      <c r="V438" s="2018"/>
      <c r="W438" s="2018"/>
      <c r="X438" s="2018"/>
      <c r="Y438" s="2094"/>
      <c r="Z438" s="2096"/>
      <c r="AA438" s="2097"/>
      <c r="AB438" s="1055"/>
      <c r="AC438" s="1055"/>
      <c r="AD438" s="1055"/>
      <c r="AE438" s="1055"/>
      <c r="AF438" s="1056"/>
    </row>
    <row r="439" spans="1:32" ht="16.5" thickBot="1" x14ac:dyDescent="0.3">
      <c r="A439" s="2019"/>
      <c r="B439" s="2020"/>
      <c r="C439" s="2020"/>
      <c r="D439" s="2020"/>
      <c r="E439" s="2020"/>
      <c r="F439" s="2020"/>
      <c r="G439" s="2020"/>
      <c r="H439" s="2020"/>
      <c r="I439" s="2020"/>
      <c r="J439" s="2020"/>
      <c r="K439" s="2020"/>
      <c r="L439" s="2020"/>
      <c r="M439" s="2020"/>
      <c r="N439" s="2020"/>
      <c r="O439" s="2020"/>
      <c r="P439" s="2020"/>
      <c r="Q439" s="2020"/>
      <c r="R439" s="2020"/>
      <c r="S439" s="2020"/>
      <c r="T439" s="2020"/>
      <c r="U439" s="2020"/>
      <c r="V439" s="2020"/>
      <c r="W439" s="2020"/>
      <c r="X439" s="2020"/>
      <c r="Y439" s="2095"/>
      <c r="Z439" s="2098"/>
      <c r="AA439" s="2099"/>
      <c r="AB439" s="1057"/>
      <c r="AC439" s="1057"/>
      <c r="AD439" s="1057"/>
      <c r="AE439" s="1057"/>
      <c r="AF439" s="1058"/>
    </row>
    <row r="440" spans="1:32" ht="15.75" x14ac:dyDescent="0.25">
      <c r="A440" s="2009" t="s">
        <v>1862</v>
      </c>
      <c r="B440" s="2010"/>
      <c r="C440" s="2010"/>
      <c r="D440" s="2010"/>
      <c r="E440" s="2010"/>
      <c r="F440" s="2010"/>
      <c r="G440" s="2010"/>
      <c r="H440" s="2010"/>
      <c r="I440" s="2010"/>
      <c r="J440" s="2010"/>
      <c r="K440" s="2010"/>
      <c r="L440" s="2010"/>
      <c r="M440" s="2010"/>
      <c r="N440" s="2010"/>
      <c r="O440" s="2010"/>
      <c r="P440" s="2010"/>
      <c r="Q440" s="2010"/>
      <c r="R440" s="2010"/>
      <c r="S440" s="2010"/>
      <c r="T440" s="2010"/>
      <c r="U440" s="2010"/>
      <c r="V440" s="2010"/>
      <c r="W440" s="2010"/>
      <c r="X440" s="2010"/>
      <c r="Y440" s="2010"/>
      <c r="Z440" s="2013" t="s">
        <v>1850</v>
      </c>
      <c r="AA440" s="2013"/>
      <c r="AB440" s="2013"/>
      <c r="AC440" s="2013"/>
      <c r="AD440" s="2013"/>
      <c r="AE440" s="2013"/>
      <c r="AF440" s="1059">
        <f>SUM(AF419:AF439)</f>
        <v>85.39</v>
      </c>
    </row>
    <row r="441" spans="1:32" ht="15.75" x14ac:dyDescent="0.25">
      <c r="A441" s="2011"/>
      <c r="B441" s="2012"/>
      <c r="C441" s="2012"/>
      <c r="D441" s="2012"/>
      <c r="E441" s="2012"/>
      <c r="F441" s="2012"/>
      <c r="G441" s="2012"/>
      <c r="H441" s="2012"/>
      <c r="I441" s="2012"/>
      <c r="J441" s="2012"/>
      <c r="K441" s="2012"/>
      <c r="L441" s="2012"/>
      <c r="M441" s="2012"/>
      <c r="N441" s="2012"/>
      <c r="O441" s="2012"/>
      <c r="P441" s="2012"/>
      <c r="Q441" s="2012"/>
      <c r="R441" s="2012"/>
      <c r="S441" s="2012"/>
      <c r="T441" s="2012"/>
      <c r="U441" s="2012"/>
      <c r="V441" s="2012"/>
      <c r="W441" s="2012"/>
      <c r="X441" s="2012"/>
      <c r="Y441" s="2012"/>
      <c r="Z441" s="2014" t="s">
        <v>1851</v>
      </c>
      <c r="AA441" s="2014"/>
      <c r="AB441" s="2014"/>
      <c r="AC441" s="2014"/>
      <c r="AD441" s="2014"/>
      <c r="AE441" s="2014"/>
      <c r="AF441" s="1060">
        <v>0</v>
      </c>
    </row>
    <row r="442" spans="1:32" ht="15.75" x14ac:dyDescent="0.25">
      <c r="A442" s="2011"/>
      <c r="B442" s="2012"/>
      <c r="C442" s="2012"/>
      <c r="D442" s="2012"/>
      <c r="E442" s="2012"/>
      <c r="F442" s="2012"/>
      <c r="G442" s="2012"/>
      <c r="H442" s="2012"/>
      <c r="I442" s="2012"/>
      <c r="J442" s="2012"/>
      <c r="K442" s="2012"/>
      <c r="L442" s="2012"/>
      <c r="M442" s="2012"/>
      <c r="N442" s="2012"/>
      <c r="O442" s="2012"/>
      <c r="P442" s="2012"/>
      <c r="Q442" s="2012"/>
      <c r="R442" s="2012"/>
      <c r="S442" s="2012"/>
      <c r="T442" s="2012"/>
      <c r="U442" s="2012"/>
      <c r="V442" s="2012"/>
      <c r="W442" s="2012"/>
      <c r="X442" s="2012"/>
      <c r="Y442" s="2012"/>
      <c r="Z442" s="2015" t="s">
        <v>1833</v>
      </c>
      <c r="AA442" s="2015"/>
      <c r="AB442" s="2015"/>
      <c r="AC442" s="2015"/>
      <c r="AD442" s="2015"/>
      <c r="AE442" s="2015"/>
      <c r="AF442" s="1061">
        <f>SUM(AF440:AF441)</f>
        <v>85.39</v>
      </c>
    </row>
    <row r="443" spans="1:32" x14ac:dyDescent="0.2">
      <c r="A443" s="2012" t="s">
        <v>1859</v>
      </c>
      <c r="B443" s="2012"/>
      <c r="C443" s="2012"/>
      <c r="D443" s="2012"/>
      <c r="E443" s="2012"/>
      <c r="F443" s="2012"/>
      <c r="G443" s="2012"/>
      <c r="H443" s="2012"/>
      <c r="I443" s="2012"/>
      <c r="J443" s="2012"/>
      <c r="K443" s="2012"/>
      <c r="L443" s="2012"/>
      <c r="M443" s="2012"/>
      <c r="N443" s="2012"/>
      <c r="O443" s="2012"/>
      <c r="P443" s="2012"/>
      <c r="Q443" s="2012"/>
      <c r="R443" s="2012"/>
      <c r="S443" s="2012"/>
      <c r="T443" s="2016" t="s">
        <v>1840</v>
      </c>
      <c r="U443" s="2016"/>
      <c r="V443" s="2016"/>
      <c r="W443" s="2016"/>
      <c r="X443" s="2016"/>
      <c r="Y443" s="2016"/>
      <c r="Z443" s="2016"/>
      <c r="AA443" s="2016"/>
      <c r="AB443" s="2012" t="s">
        <v>1852</v>
      </c>
      <c r="AC443" s="2012"/>
      <c r="AD443" s="2012"/>
      <c r="AE443" s="2012"/>
      <c r="AF443" s="2012"/>
    </row>
    <row r="444" spans="1:32" x14ac:dyDescent="0.2">
      <c r="A444" s="2012"/>
      <c r="B444" s="2012"/>
      <c r="C444" s="2012"/>
      <c r="D444" s="2012"/>
      <c r="E444" s="2012"/>
      <c r="F444" s="2012"/>
      <c r="G444" s="2012"/>
      <c r="H444" s="2012"/>
      <c r="I444" s="2012"/>
      <c r="J444" s="2012"/>
      <c r="K444" s="2012"/>
      <c r="L444" s="2012"/>
      <c r="M444" s="2012"/>
      <c r="N444" s="2012"/>
      <c r="O444" s="2012"/>
      <c r="P444" s="2012"/>
      <c r="Q444" s="2012"/>
      <c r="R444" s="2012"/>
      <c r="S444" s="2012"/>
      <c r="T444" s="2016"/>
      <c r="U444" s="2016"/>
      <c r="V444" s="2016"/>
      <c r="W444" s="2016"/>
      <c r="X444" s="2016"/>
      <c r="Y444" s="2016"/>
      <c r="Z444" s="2016"/>
      <c r="AA444" s="2016"/>
      <c r="AB444" s="2012"/>
      <c r="AC444" s="2012"/>
      <c r="AD444" s="2012"/>
      <c r="AE444" s="2012"/>
      <c r="AF444" s="2012"/>
    </row>
    <row r="445" spans="1:32" ht="16.5" thickBot="1" x14ac:dyDescent="0.25">
      <c r="A445" s="1062"/>
      <c r="B445" s="1062"/>
      <c r="C445" s="1062"/>
      <c r="D445" s="1062"/>
      <c r="E445" s="1062"/>
      <c r="F445" s="1062"/>
      <c r="G445" s="1062"/>
      <c r="H445" s="1062"/>
      <c r="I445" s="1062"/>
      <c r="J445" s="1062"/>
      <c r="K445" s="1062"/>
      <c r="L445" s="1062"/>
      <c r="M445" s="1062"/>
      <c r="N445" s="1062"/>
      <c r="O445" s="1062"/>
      <c r="P445" s="1062"/>
      <c r="Q445" s="1062"/>
      <c r="R445" s="1062"/>
      <c r="S445" s="1062"/>
      <c r="T445" s="1063"/>
      <c r="U445" s="1063"/>
      <c r="V445" s="1063"/>
      <c r="W445" s="1063"/>
      <c r="X445" s="1063"/>
      <c r="Y445" s="1063"/>
      <c r="Z445" s="1063"/>
      <c r="AA445" s="1063"/>
      <c r="AB445" s="1062"/>
      <c r="AC445" s="1062"/>
      <c r="AD445" s="1062"/>
      <c r="AE445" s="1062"/>
      <c r="AF445" s="1064"/>
    </row>
    <row r="446" spans="1:32" ht="26.45" customHeight="1" x14ac:dyDescent="0.2">
      <c r="A446" s="2025" t="s">
        <v>1854</v>
      </c>
      <c r="B446" s="2026"/>
      <c r="C446" s="2026"/>
      <c r="D446" s="2026"/>
      <c r="E446" s="2026"/>
      <c r="F446" s="2026"/>
      <c r="G446" s="2026"/>
      <c r="H446" s="2026"/>
      <c r="I446" s="2026"/>
      <c r="J446" s="2026"/>
      <c r="K446" s="2026"/>
      <c r="L446" s="2026"/>
      <c r="M446" s="2026"/>
      <c r="N446" s="2026"/>
      <c r="O446" s="2026"/>
      <c r="P446" s="2026"/>
      <c r="Q446" s="2026"/>
      <c r="R446" s="2026"/>
      <c r="S446" s="2026"/>
      <c r="T446" s="2026"/>
      <c r="U446" s="2026"/>
      <c r="V446" s="2026"/>
      <c r="W446" s="2026"/>
      <c r="X446" s="2026"/>
      <c r="Y446" s="2026"/>
      <c r="Z446" s="2026"/>
      <c r="AA446" s="2026"/>
      <c r="AB446" s="2026"/>
      <c r="AC446" s="2026"/>
      <c r="AD446" s="2026"/>
      <c r="AE446" s="1041" t="s">
        <v>1834</v>
      </c>
      <c r="AF446" s="1042" t="s">
        <v>1835</v>
      </c>
    </row>
    <row r="447" spans="1:32" ht="16.5" thickBot="1" x14ac:dyDescent="0.25">
      <c r="A447" s="2027"/>
      <c r="B447" s="2028"/>
      <c r="C447" s="2028"/>
      <c r="D447" s="2028"/>
      <c r="E447" s="2028"/>
      <c r="F447" s="2028"/>
      <c r="G447" s="2028"/>
      <c r="H447" s="2028"/>
      <c r="I447" s="2028"/>
      <c r="J447" s="2028"/>
      <c r="K447" s="2028"/>
      <c r="L447" s="2028"/>
      <c r="M447" s="2028"/>
      <c r="N447" s="2028"/>
      <c r="O447" s="2028"/>
      <c r="P447" s="2028"/>
      <c r="Q447" s="2028"/>
      <c r="R447" s="2028"/>
      <c r="S447" s="2028"/>
      <c r="T447" s="2028"/>
      <c r="U447" s="2028"/>
      <c r="V447" s="2028"/>
      <c r="W447" s="2028"/>
      <c r="X447" s="2028"/>
      <c r="Y447" s="2028"/>
      <c r="Z447" s="2028"/>
      <c r="AA447" s="2028"/>
      <c r="AB447" s="2028"/>
      <c r="AC447" s="2028"/>
      <c r="AD447" s="2028"/>
      <c r="AE447" s="1041" t="s">
        <v>1836</v>
      </c>
      <c r="AF447" s="1044">
        <v>1</v>
      </c>
    </row>
    <row r="448" spans="1:32" ht="15.75" x14ac:dyDescent="0.2">
      <c r="A448" s="2029"/>
      <c r="B448" s="2030"/>
      <c r="C448" s="2030"/>
      <c r="D448" s="2031"/>
      <c r="E448" s="2025" t="str">
        <f>'01'!$A$12</f>
        <v>"CONSTRUCCION SISTEMA DE ACUEDUCTO FASE II DEL MUNICIPIO DE TESALIA DPTO DEL HUILA"</v>
      </c>
      <c r="F448" s="2026"/>
      <c r="G448" s="2026"/>
      <c r="H448" s="2026"/>
      <c r="I448" s="2026"/>
      <c r="J448" s="2026"/>
      <c r="K448" s="2026"/>
      <c r="L448" s="2026"/>
      <c r="M448" s="2026"/>
      <c r="N448" s="2026"/>
      <c r="O448" s="2026"/>
      <c r="P448" s="2026"/>
      <c r="Q448" s="2026"/>
      <c r="R448" s="2026"/>
      <c r="S448" s="2026"/>
      <c r="T448" s="2026"/>
      <c r="U448" s="2026"/>
      <c r="V448" s="2026"/>
      <c r="W448" s="2026"/>
      <c r="X448" s="2026"/>
      <c r="Y448" s="2026"/>
      <c r="Z448" s="2026"/>
      <c r="AA448" s="2026"/>
      <c r="AB448" s="2026"/>
      <c r="AC448" s="2026"/>
      <c r="AD448" s="2035"/>
      <c r="AE448" s="1041" t="s">
        <v>847</v>
      </c>
      <c r="AF448" s="1045">
        <f>'01'!$M$13</f>
        <v>0</v>
      </c>
    </row>
    <row r="449" spans="1:34" ht="16.5" thickBot="1" x14ac:dyDescent="0.25">
      <c r="A449" s="2032"/>
      <c r="B449" s="2033"/>
      <c r="C449" s="2033"/>
      <c r="D449" s="2034"/>
      <c r="E449" s="2027"/>
      <c r="F449" s="2028"/>
      <c r="G449" s="2028"/>
      <c r="H449" s="2028"/>
      <c r="I449" s="2028"/>
      <c r="J449" s="2028"/>
      <c r="K449" s="2028"/>
      <c r="L449" s="2028"/>
      <c r="M449" s="2028"/>
      <c r="N449" s="2028"/>
      <c r="O449" s="2028"/>
      <c r="P449" s="2028"/>
      <c r="Q449" s="2028"/>
      <c r="R449" s="2028"/>
      <c r="S449" s="2028"/>
      <c r="T449" s="2028"/>
      <c r="U449" s="2028"/>
      <c r="V449" s="2028"/>
      <c r="W449" s="2028"/>
      <c r="X449" s="2028"/>
      <c r="Y449" s="2028"/>
      <c r="Z449" s="2028"/>
      <c r="AA449" s="2028"/>
      <c r="AB449" s="2028"/>
      <c r="AC449" s="2028"/>
      <c r="AD449" s="2036"/>
      <c r="AE449" s="1041" t="s">
        <v>1837</v>
      </c>
      <c r="AF449" s="1042" t="s">
        <v>1838</v>
      </c>
    </row>
    <row r="450" spans="1:34" ht="15.75" x14ac:dyDescent="0.25">
      <c r="A450" s="2037" t="s">
        <v>1860</v>
      </c>
      <c r="B450" s="2038"/>
      <c r="C450" s="2038"/>
      <c r="D450" s="2038"/>
      <c r="E450" s="2038"/>
      <c r="F450" s="2038"/>
      <c r="G450" s="2038"/>
      <c r="H450" s="2038"/>
      <c r="I450" s="2038"/>
      <c r="J450" s="2038"/>
      <c r="K450" s="2038"/>
      <c r="L450" s="2038"/>
      <c r="M450" s="2038"/>
      <c r="N450" s="2038"/>
      <c r="O450" s="2038"/>
      <c r="P450" s="2038"/>
      <c r="Q450" s="2038"/>
      <c r="R450" s="2038"/>
      <c r="S450" s="2038"/>
      <c r="T450" s="2038"/>
      <c r="U450" s="2038"/>
      <c r="V450" s="2038"/>
      <c r="W450" s="2038"/>
      <c r="X450" s="2038"/>
      <c r="Y450" s="2038"/>
      <c r="Z450" s="2038"/>
      <c r="AA450" s="2038"/>
      <c r="AB450" s="2038"/>
      <c r="AC450" s="2038"/>
      <c r="AD450" s="2038"/>
      <c r="AE450" s="2039" t="s">
        <v>1839</v>
      </c>
      <c r="AF450" s="2040"/>
    </row>
    <row r="451" spans="1:34" ht="15.75" x14ac:dyDescent="0.25">
      <c r="A451" s="2041" t="s">
        <v>1840</v>
      </c>
      <c r="B451" s="2042"/>
      <c r="C451" s="2042"/>
      <c r="D451" s="2042"/>
      <c r="E451" s="2042"/>
      <c r="F451" s="2042"/>
      <c r="G451" s="2042"/>
      <c r="H451" s="2042"/>
      <c r="I451" s="2042"/>
      <c r="J451" s="2042"/>
      <c r="K451" s="2042"/>
      <c r="L451" s="2042"/>
      <c r="M451" s="2042"/>
      <c r="N451" s="2042"/>
      <c r="O451" s="2042"/>
      <c r="P451" s="2042"/>
      <c r="Q451" s="2042"/>
      <c r="R451" s="2042"/>
      <c r="S451" s="2042"/>
      <c r="T451" s="2042"/>
      <c r="U451" s="2042"/>
      <c r="V451" s="2042"/>
      <c r="W451" s="2042"/>
      <c r="X451" s="2042"/>
      <c r="Y451" s="2042"/>
      <c r="Z451" s="2042"/>
      <c r="AA451" s="2042"/>
      <c r="AB451" s="2042"/>
      <c r="AC451" s="2042"/>
      <c r="AD451" s="2043"/>
      <c r="AE451" s="2014" t="s">
        <v>1841</v>
      </c>
      <c r="AF451" s="2044"/>
    </row>
    <row r="452" spans="1:34" ht="15.75" x14ac:dyDescent="0.25">
      <c r="A452" s="2045" t="s">
        <v>1853</v>
      </c>
      <c r="B452" s="2046"/>
      <c r="C452" s="2046"/>
      <c r="D452" s="2046"/>
      <c r="E452" s="2046"/>
      <c r="F452" s="2046"/>
      <c r="G452" s="2046"/>
      <c r="H452" s="2046"/>
      <c r="I452" s="2046"/>
      <c r="J452" s="2046"/>
      <c r="K452" s="2046"/>
      <c r="L452" s="2046"/>
      <c r="M452" s="2046"/>
      <c r="N452" s="2046"/>
      <c r="O452" s="2046"/>
      <c r="P452" s="2046"/>
      <c r="Q452" s="2046"/>
      <c r="R452" s="2046"/>
      <c r="S452" s="2046"/>
      <c r="T452" s="2046"/>
      <c r="U452" s="2046"/>
      <c r="V452" s="2046"/>
      <c r="W452" s="2046"/>
      <c r="X452" s="2046"/>
      <c r="Y452" s="2046"/>
      <c r="Z452" s="2046"/>
      <c r="AA452" s="2046"/>
      <c r="AB452" s="2046"/>
      <c r="AC452" s="2046"/>
      <c r="AD452" s="2046"/>
      <c r="AE452" s="2047">
        <f>'01'!$M$13</f>
        <v>0</v>
      </c>
      <c r="AF452" s="2044"/>
    </row>
    <row r="453" spans="1:34" x14ac:dyDescent="0.2">
      <c r="A453" s="1046"/>
      <c r="B453" s="1047"/>
      <c r="C453" s="1047"/>
      <c r="D453" s="1047"/>
      <c r="E453" s="1047"/>
      <c r="F453" s="1047"/>
      <c r="G453" s="1047"/>
      <c r="H453" s="1047"/>
      <c r="I453" s="1047"/>
      <c r="J453" s="1047"/>
      <c r="K453" s="1047"/>
      <c r="L453" s="1047"/>
      <c r="M453" s="1047"/>
      <c r="N453" s="1047"/>
      <c r="O453" s="1047"/>
      <c r="P453" s="1047"/>
      <c r="Q453" s="1047"/>
      <c r="R453" s="1047"/>
      <c r="S453" s="1047"/>
      <c r="T453" s="1047"/>
      <c r="U453" s="1047"/>
      <c r="V453" s="1047"/>
      <c r="W453" s="1047"/>
      <c r="X453" s="1047"/>
      <c r="Y453" s="1047"/>
      <c r="Z453" s="1047"/>
      <c r="AA453" s="1047"/>
      <c r="AB453" s="1047"/>
      <c r="AC453" s="1047"/>
      <c r="AD453" s="1047"/>
      <c r="AE453" s="1047"/>
      <c r="AF453" s="1048"/>
    </row>
    <row r="454" spans="1:34" ht="15.75" customHeight="1" x14ac:dyDescent="0.2">
      <c r="A454" s="2048" t="s">
        <v>1842</v>
      </c>
      <c r="B454" s="2049"/>
      <c r="C454" s="2049"/>
      <c r="D454" s="2049"/>
      <c r="E454" s="2049"/>
      <c r="F454" s="2050" t="str">
        <f>'01'!$H$33</f>
        <v>B - CÁMARA DE LLEGADA Y AQUIETAMIENTO DEL AGUA</v>
      </c>
      <c r="G454" s="2049"/>
      <c r="H454" s="2049"/>
      <c r="I454" s="2049"/>
      <c r="J454" s="2049"/>
      <c r="K454" s="2049"/>
      <c r="L454" s="2049"/>
      <c r="M454" s="2049"/>
      <c r="N454" s="2049"/>
      <c r="O454" s="2049"/>
      <c r="P454" s="2049"/>
      <c r="Q454" s="2049"/>
      <c r="R454" s="2049"/>
      <c r="S454" s="2049"/>
      <c r="T454" s="2049"/>
      <c r="U454" s="2049"/>
      <c r="V454" s="2049"/>
      <c r="W454" s="2049"/>
      <c r="X454" s="2049"/>
      <c r="Y454" s="2051"/>
      <c r="Z454" s="2052" t="s">
        <v>1843</v>
      </c>
      <c r="AA454" s="2053"/>
      <c r="AB454" s="2058" t="s">
        <v>1844</v>
      </c>
      <c r="AC454" s="2059"/>
      <c r="AD454" s="2060"/>
      <c r="AE454" s="2064" t="s">
        <v>1865</v>
      </c>
      <c r="AF454" s="2067" t="s">
        <v>1846</v>
      </c>
    </row>
    <row r="455" spans="1:34" ht="12.75" customHeight="1" x14ac:dyDescent="0.2">
      <c r="A455" s="2070" t="str">
        <f>'01'!A40</f>
        <v>B-03-01</v>
      </c>
      <c r="B455" s="2071"/>
      <c r="C455" s="2072"/>
      <c r="D455" s="2076" t="str">
        <f>VLOOKUP(A455,'01'!$A$12:$N$299,3,FALSE)</f>
        <v>RELLENO CON ARENA PARA BASE DE TUBERÍA</v>
      </c>
      <c r="E455" s="2077"/>
      <c r="F455" s="2077"/>
      <c r="G455" s="2077"/>
      <c r="H455" s="2077"/>
      <c r="I455" s="2077"/>
      <c r="J455" s="2077"/>
      <c r="K455" s="2077"/>
      <c r="L455" s="2077"/>
      <c r="M455" s="2077"/>
      <c r="N455" s="2077"/>
      <c r="O455" s="2077"/>
      <c r="P455" s="2077"/>
      <c r="Q455" s="2077"/>
      <c r="R455" s="2077"/>
      <c r="S455" s="2078"/>
      <c r="T455" s="2082" t="s">
        <v>124</v>
      </c>
      <c r="U455" s="2083"/>
      <c r="V455" s="2083"/>
      <c r="W455" s="2083"/>
      <c r="X455" s="2052" t="str">
        <f>VLOOKUP(A455,'01'!$A$12:$N$299,9,FALSE)</f>
        <v>M3</v>
      </c>
      <c r="Y455" s="2053"/>
      <c r="Z455" s="2054"/>
      <c r="AA455" s="2055"/>
      <c r="AB455" s="2061"/>
      <c r="AC455" s="2062"/>
      <c r="AD455" s="2063"/>
      <c r="AE455" s="2065"/>
      <c r="AF455" s="2068"/>
    </row>
    <row r="456" spans="1:34" ht="15.75" x14ac:dyDescent="0.25">
      <c r="A456" s="2073"/>
      <c r="B456" s="2074"/>
      <c r="C456" s="2075"/>
      <c r="D456" s="2079"/>
      <c r="E456" s="2080"/>
      <c r="F456" s="2080"/>
      <c r="G456" s="2080"/>
      <c r="H456" s="2080"/>
      <c r="I456" s="2080"/>
      <c r="J456" s="2080"/>
      <c r="K456" s="2080"/>
      <c r="L456" s="2080"/>
      <c r="M456" s="2080"/>
      <c r="N456" s="2080"/>
      <c r="O456" s="2080"/>
      <c r="P456" s="2080"/>
      <c r="Q456" s="2080"/>
      <c r="R456" s="2080"/>
      <c r="S456" s="2081"/>
      <c r="T456" s="2084"/>
      <c r="U456" s="2085"/>
      <c r="V456" s="2085"/>
      <c r="W456" s="2085"/>
      <c r="X456" s="2056"/>
      <c r="Y456" s="2057"/>
      <c r="Z456" s="2056"/>
      <c r="AA456" s="2057"/>
      <c r="AB456" s="1049" t="s">
        <v>1847</v>
      </c>
      <c r="AC456" s="1049" t="s">
        <v>1848</v>
      </c>
      <c r="AD456" s="1049" t="s">
        <v>1861</v>
      </c>
      <c r="AE456" s="2066"/>
      <c r="AF456" s="2069"/>
    </row>
    <row r="457" spans="1:34" ht="30" customHeight="1" x14ac:dyDescent="0.2">
      <c r="A457" s="2017"/>
      <c r="B457" s="2018"/>
      <c r="C457" s="2018"/>
      <c r="D457" s="2018"/>
      <c r="E457" s="2018"/>
      <c r="F457" s="2018"/>
      <c r="G457" s="2018"/>
      <c r="H457" s="2018"/>
      <c r="I457" s="2018"/>
      <c r="J457" s="2018"/>
      <c r="K457" s="2018"/>
      <c r="L457" s="2018"/>
      <c r="M457" s="2018"/>
      <c r="N457" s="2018"/>
      <c r="O457" s="2018"/>
      <c r="P457" s="2018"/>
      <c r="Q457" s="2018"/>
      <c r="R457" s="2018"/>
      <c r="S457" s="2018"/>
      <c r="T457" s="2018"/>
      <c r="U457" s="2018"/>
      <c r="V457" s="2018"/>
      <c r="W457" s="2018"/>
      <c r="X457" s="2018"/>
      <c r="Y457" s="2094"/>
      <c r="Z457" s="2096" t="s">
        <v>1622</v>
      </c>
      <c r="AA457" s="2097"/>
      <c r="AB457" s="1172">
        <f>+AB424</f>
        <v>12</v>
      </c>
      <c r="AC457" s="1172">
        <f>+AC424</f>
        <v>1</v>
      </c>
      <c r="AD457" s="1172">
        <v>0.1</v>
      </c>
      <c r="AE457" s="1173">
        <f>ROUND(PI()*(0.2^2)/4*AB457,2)</f>
        <v>0.38</v>
      </c>
      <c r="AF457" s="1171">
        <f>(AB457*AC457*AD457)-AE457</f>
        <v>0.82000000000000017</v>
      </c>
      <c r="AH457" t="s">
        <v>1864</v>
      </c>
    </row>
    <row r="458" spans="1:34" ht="30" customHeight="1" x14ac:dyDescent="0.2">
      <c r="A458" s="2017"/>
      <c r="B458" s="2018"/>
      <c r="C458" s="2018"/>
      <c r="D458" s="2018"/>
      <c r="E458" s="2018"/>
      <c r="F458" s="2018"/>
      <c r="G458" s="2018"/>
      <c r="H458" s="2018"/>
      <c r="I458" s="2018"/>
      <c r="J458" s="2018"/>
      <c r="K458" s="2018"/>
      <c r="L458" s="2018"/>
      <c r="M458" s="2018"/>
      <c r="N458" s="2018"/>
      <c r="O458" s="2018"/>
      <c r="P458" s="2018"/>
      <c r="Q458" s="2018"/>
      <c r="R458" s="2018"/>
      <c r="S458" s="2018"/>
      <c r="T458" s="2018"/>
      <c r="U458" s="2018"/>
      <c r="V458" s="2018"/>
      <c r="W458" s="2018"/>
      <c r="X458" s="2018"/>
      <c r="Y458" s="2094"/>
      <c r="Z458" s="2096" t="s">
        <v>1623</v>
      </c>
      <c r="AA458" s="2097"/>
      <c r="AB458" s="1172">
        <f>+AB425</f>
        <v>12</v>
      </c>
      <c r="AC458" s="1172">
        <f>+AC425</f>
        <v>1</v>
      </c>
      <c r="AD458" s="1172">
        <f>+AD457</f>
        <v>0.1</v>
      </c>
      <c r="AE458" s="1173">
        <f>ROUND(PI()*(0.2^2)/4*AB458,2)</f>
        <v>0.38</v>
      </c>
      <c r="AF458" s="1171">
        <f>(AB458*AC458*AD458)-AE458</f>
        <v>0.82000000000000017</v>
      </c>
      <c r="AH458" t="s">
        <v>1864</v>
      </c>
    </row>
    <row r="459" spans="1:34" ht="15.75" customHeight="1" x14ac:dyDescent="0.25">
      <c r="A459" s="2017"/>
      <c r="B459" s="2018"/>
      <c r="C459" s="2018"/>
      <c r="D459" s="2018"/>
      <c r="E459" s="2018"/>
      <c r="F459" s="2018"/>
      <c r="G459" s="2018"/>
      <c r="H459" s="2018"/>
      <c r="I459" s="2018"/>
      <c r="J459" s="2018"/>
      <c r="K459" s="2018"/>
      <c r="L459" s="2018"/>
      <c r="M459" s="2018"/>
      <c r="N459" s="2018"/>
      <c r="O459" s="2018"/>
      <c r="P459" s="2018"/>
      <c r="Q459" s="2018"/>
      <c r="R459" s="2018"/>
      <c r="S459" s="2018"/>
      <c r="T459" s="2018"/>
      <c r="U459" s="2018"/>
      <c r="V459" s="2018"/>
      <c r="W459" s="2018"/>
      <c r="X459" s="2018"/>
      <c r="Y459" s="2094"/>
      <c r="Z459" s="2096"/>
      <c r="AA459" s="2097"/>
      <c r="AB459" s="1050"/>
      <c r="AC459" s="1050"/>
      <c r="AD459" s="1050"/>
      <c r="AE459" s="1051"/>
      <c r="AF459" s="1052"/>
    </row>
    <row r="460" spans="1:34" ht="15.75" x14ac:dyDescent="0.25">
      <c r="A460" s="2017"/>
      <c r="B460" s="2018"/>
      <c r="C460" s="2018"/>
      <c r="D460" s="2018"/>
      <c r="E460" s="2018"/>
      <c r="F460" s="2018"/>
      <c r="G460" s="2018"/>
      <c r="H460" s="2018"/>
      <c r="I460" s="2018"/>
      <c r="J460" s="2018"/>
      <c r="K460" s="2018"/>
      <c r="L460" s="2018"/>
      <c r="M460" s="2018"/>
      <c r="N460" s="2018"/>
      <c r="O460" s="2018"/>
      <c r="P460" s="2018"/>
      <c r="Q460" s="2018"/>
      <c r="R460" s="2018"/>
      <c r="S460" s="2018"/>
      <c r="T460" s="2018"/>
      <c r="U460" s="2018"/>
      <c r="V460" s="2018"/>
      <c r="W460" s="2018"/>
      <c r="X460" s="2018"/>
      <c r="Y460" s="2094"/>
      <c r="Z460" s="2096"/>
      <c r="AA460" s="2097"/>
      <c r="AB460" s="1050"/>
      <c r="AC460" s="1050"/>
      <c r="AD460" s="1050"/>
      <c r="AE460" s="1051"/>
      <c r="AF460" s="1052"/>
    </row>
    <row r="461" spans="1:34" ht="15.75" customHeight="1" x14ac:dyDescent="0.25">
      <c r="A461" s="2017"/>
      <c r="B461" s="2018"/>
      <c r="C461" s="2018"/>
      <c r="D461" s="2018"/>
      <c r="E461" s="2018"/>
      <c r="F461" s="2018"/>
      <c r="G461" s="2018"/>
      <c r="H461" s="2018"/>
      <c r="I461" s="2018"/>
      <c r="J461" s="2018"/>
      <c r="K461" s="2018"/>
      <c r="L461" s="2018"/>
      <c r="M461" s="2018"/>
      <c r="N461" s="2018"/>
      <c r="O461" s="2018"/>
      <c r="P461" s="2018"/>
      <c r="Q461" s="2018"/>
      <c r="R461" s="2018"/>
      <c r="S461" s="2018"/>
      <c r="T461" s="2018"/>
      <c r="U461" s="2018"/>
      <c r="V461" s="2018"/>
      <c r="W461" s="2018"/>
      <c r="X461" s="2018"/>
      <c r="Y461" s="2094"/>
      <c r="Z461" s="2096"/>
      <c r="AA461" s="2097"/>
      <c r="AB461" s="1050"/>
      <c r="AC461" s="1050"/>
      <c r="AD461" s="1050"/>
      <c r="AE461" s="1051"/>
      <c r="AF461" s="1052"/>
    </row>
    <row r="462" spans="1:34" ht="15.75" customHeight="1" x14ac:dyDescent="0.25">
      <c r="A462" s="2017"/>
      <c r="B462" s="2018"/>
      <c r="C462" s="2018"/>
      <c r="D462" s="2018"/>
      <c r="E462" s="2018"/>
      <c r="F462" s="2018"/>
      <c r="G462" s="2018"/>
      <c r="H462" s="2018"/>
      <c r="I462" s="2018"/>
      <c r="J462" s="2018"/>
      <c r="K462" s="2018"/>
      <c r="L462" s="2018"/>
      <c r="M462" s="2018"/>
      <c r="N462" s="2018"/>
      <c r="O462" s="2018"/>
      <c r="P462" s="2018"/>
      <c r="Q462" s="2018"/>
      <c r="R462" s="2018"/>
      <c r="S462" s="2018"/>
      <c r="T462" s="2018"/>
      <c r="U462" s="2018"/>
      <c r="V462" s="2018"/>
      <c r="W462" s="2018"/>
      <c r="X462" s="2018"/>
      <c r="Y462" s="2094"/>
      <c r="AB462" s="1053"/>
      <c r="AC462" s="1053"/>
      <c r="AD462" s="1053"/>
      <c r="AE462" s="1051"/>
      <c r="AF462" s="1052"/>
    </row>
    <row r="463" spans="1:34" ht="15.75" customHeight="1" x14ac:dyDescent="0.25">
      <c r="A463" s="2017"/>
      <c r="B463" s="2018"/>
      <c r="C463" s="2018"/>
      <c r="D463" s="2018"/>
      <c r="E463" s="2018"/>
      <c r="F463" s="2018"/>
      <c r="G463" s="2018"/>
      <c r="H463" s="2018"/>
      <c r="I463" s="2018"/>
      <c r="J463" s="2018"/>
      <c r="K463" s="2018"/>
      <c r="L463" s="2018"/>
      <c r="M463" s="2018"/>
      <c r="N463" s="2018"/>
      <c r="O463" s="2018"/>
      <c r="P463" s="2018"/>
      <c r="Q463" s="2018"/>
      <c r="R463" s="2018"/>
      <c r="S463" s="2018"/>
      <c r="T463" s="2018"/>
      <c r="U463" s="2018"/>
      <c r="V463" s="2018"/>
      <c r="W463" s="2018"/>
      <c r="X463" s="2018"/>
      <c r="Y463" s="2094"/>
      <c r="AB463" s="1053"/>
      <c r="AC463" s="1053"/>
      <c r="AD463" s="1053"/>
      <c r="AE463" s="1051"/>
      <c r="AF463" s="1052"/>
    </row>
    <row r="464" spans="1:34" ht="15.75" x14ac:dyDescent="0.25">
      <c r="A464" s="2017"/>
      <c r="B464" s="2018"/>
      <c r="C464" s="2018"/>
      <c r="D464" s="2018"/>
      <c r="E464" s="2018"/>
      <c r="F464" s="2018"/>
      <c r="G464" s="2018"/>
      <c r="H464" s="2018"/>
      <c r="I464" s="2018"/>
      <c r="J464" s="2018"/>
      <c r="K464" s="2018"/>
      <c r="L464" s="2018"/>
      <c r="M464" s="2018"/>
      <c r="N464" s="2018"/>
      <c r="O464" s="2018"/>
      <c r="P464" s="2018"/>
      <c r="Q464" s="2018"/>
      <c r="R464" s="2018"/>
      <c r="S464" s="2018"/>
      <c r="T464" s="2018"/>
      <c r="U464" s="2018"/>
      <c r="V464" s="2018"/>
      <c r="W464" s="2018"/>
      <c r="X464" s="2018"/>
      <c r="Y464" s="2094"/>
      <c r="Z464" s="2096"/>
      <c r="AA464" s="2097"/>
      <c r="AB464" s="1053"/>
      <c r="AC464" s="1053"/>
      <c r="AD464" s="1053"/>
      <c r="AE464" s="1051"/>
      <c r="AF464" s="1052"/>
    </row>
    <row r="465" spans="1:32" ht="15.75" x14ac:dyDescent="0.25">
      <c r="A465" s="2017"/>
      <c r="B465" s="2018"/>
      <c r="C465" s="2018"/>
      <c r="D465" s="2018"/>
      <c r="E465" s="2018"/>
      <c r="F465" s="2018"/>
      <c r="G465" s="2018"/>
      <c r="H465" s="2018"/>
      <c r="I465" s="2018"/>
      <c r="J465" s="2018"/>
      <c r="K465" s="2018"/>
      <c r="L465" s="2018"/>
      <c r="M465" s="2018"/>
      <c r="N465" s="2018"/>
      <c r="O465" s="2018"/>
      <c r="P465" s="2018"/>
      <c r="Q465" s="2018"/>
      <c r="R465" s="2018"/>
      <c r="S465" s="2018"/>
      <c r="T465" s="2018"/>
      <c r="U465" s="2018"/>
      <c r="V465" s="2018"/>
      <c r="W465" s="2018"/>
      <c r="X465" s="2018"/>
      <c r="Y465" s="2094"/>
      <c r="Z465" s="2096"/>
      <c r="AA465" s="2097"/>
      <c r="AB465" s="1053"/>
      <c r="AC465" s="1053"/>
      <c r="AD465" s="1053"/>
      <c r="AE465" s="1050"/>
      <c r="AF465" s="1054"/>
    </row>
    <row r="466" spans="1:32" ht="15.75" x14ac:dyDescent="0.25">
      <c r="A466" s="2017"/>
      <c r="B466" s="2018"/>
      <c r="C466" s="2018"/>
      <c r="D466" s="2018"/>
      <c r="E466" s="2018"/>
      <c r="F466" s="2018"/>
      <c r="G466" s="2018"/>
      <c r="H466" s="2018"/>
      <c r="I466" s="2018"/>
      <c r="J466" s="2018"/>
      <c r="K466" s="2018"/>
      <c r="L466" s="2018"/>
      <c r="M466" s="2018"/>
      <c r="N466" s="2018"/>
      <c r="O466" s="2018"/>
      <c r="P466" s="2018"/>
      <c r="Q466" s="2018"/>
      <c r="R466" s="2018"/>
      <c r="S466" s="2018"/>
      <c r="T466" s="2018"/>
      <c r="U466" s="2018"/>
      <c r="V466" s="2018"/>
      <c r="W466" s="2018"/>
      <c r="X466" s="2018"/>
      <c r="Y466" s="2094"/>
      <c r="Z466" s="2096"/>
      <c r="AA466" s="2097"/>
      <c r="AB466" s="1053"/>
      <c r="AC466" s="1053"/>
      <c r="AD466" s="1053"/>
      <c r="AE466" s="1051"/>
      <c r="AF466" s="1054"/>
    </row>
    <row r="467" spans="1:32" ht="15.75" x14ac:dyDescent="0.25">
      <c r="A467" s="2017"/>
      <c r="B467" s="2018"/>
      <c r="C467" s="2018"/>
      <c r="D467" s="2018"/>
      <c r="E467" s="2018"/>
      <c r="F467" s="2018"/>
      <c r="G467" s="2018"/>
      <c r="H467" s="2018"/>
      <c r="I467" s="2018"/>
      <c r="J467" s="2018"/>
      <c r="K467" s="2018"/>
      <c r="L467" s="2018"/>
      <c r="M467" s="2018"/>
      <c r="N467" s="2018"/>
      <c r="O467" s="2018"/>
      <c r="P467" s="2018"/>
      <c r="Q467" s="2018"/>
      <c r="R467" s="2018"/>
      <c r="S467" s="2018"/>
      <c r="T467" s="2018"/>
      <c r="U467" s="2018"/>
      <c r="V467" s="2018"/>
      <c r="W467" s="2018"/>
      <c r="X467" s="2018"/>
      <c r="Y467" s="2094"/>
      <c r="Z467" s="2096"/>
      <c r="AA467" s="2097"/>
      <c r="AB467" s="1053"/>
      <c r="AC467" s="1053"/>
      <c r="AD467" s="1053"/>
      <c r="AE467" s="1051"/>
      <c r="AF467" s="1054"/>
    </row>
    <row r="468" spans="1:32" ht="15.75" x14ac:dyDescent="0.25">
      <c r="A468" s="2017"/>
      <c r="B468" s="2018"/>
      <c r="C468" s="2018"/>
      <c r="D468" s="2018"/>
      <c r="E468" s="2018"/>
      <c r="F468" s="2018"/>
      <c r="G468" s="2018"/>
      <c r="H468" s="2018"/>
      <c r="I468" s="2018"/>
      <c r="J468" s="2018"/>
      <c r="K468" s="2018"/>
      <c r="L468" s="2018"/>
      <c r="M468" s="2018"/>
      <c r="N468" s="2018"/>
      <c r="O468" s="2018"/>
      <c r="P468" s="2018"/>
      <c r="Q468" s="2018"/>
      <c r="R468" s="2018"/>
      <c r="S468" s="2018"/>
      <c r="T468" s="2018"/>
      <c r="U468" s="2018"/>
      <c r="V468" s="2018"/>
      <c r="W468" s="2018"/>
      <c r="X468" s="2018"/>
      <c r="Y468" s="2094"/>
      <c r="Z468" s="2096"/>
      <c r="AA468" s="2097"/>
      <c r="AB468" s="1053"/>
      <c r="AC468" s="1053"/>
      <c r="AD468" s="1053"/>
      <c r="AE468" s="1051"/>
      <c r="AF468" s="1054"/>
    </row>
    <row r="469" spans="1:32" ht="15.75" x14ac:dyDescent="0.25">
      <c r="A469" s="2017"/>
      <c r="B469" s="2018"/>
      <c r="C469" s="2018"/>
      <c r="D469" s="2018"/>
      <c r="E469" s="2018"/>
      <c r="F469" s="2018"/>
      <c r="G469" s="2018"/>
      <c r="H469" s="2018"/>
      <c r="I469" s="2018"/>
      <c r="J469" s="2018"/>
      <c r="K469" s="2018"/>
      <c r="L469" s="2018"/>
      <c r="M469" s="2018"/>
      <c r="N469" s="2018"/>
      <c r="O469" s="2018"/>
      <c r="P469" s="2018"/>
      <c r="Q469" s="2018"/>
      <c r="R469" s="2018"/>
      <c r="S469" s="2018"/>
      <c r="T469" s="2018"/>
      <c r="U469" s="2018"/>
      <c r="V469" s="2018"/>
      <c r="W469" s="2018"/>
      <c r="X469" s="2018"/>
      <c r="Y469" s="2094"/>
      <c r="Z469" s="2096"/>
      <c r="AA469" s="2097"/>
      <c r="AB469" s="1053"/>
      <c r="AC469" s="1053"/>
      <c r="AD469" s="1053"/>
      <c r="AE469" s="1051"/>
      <c r="AF469" s="1054"/>
    </row>
    <row r="470" spans="1:32" ht="15.75" x14ac:dyDescent="0.25">
      <c r="A470" s="2017"/>
      <c r="B470" s="2018"/>
      <c r="C470" s="2018"/>
      <c r="D470" s="2018"/>
      <c r="E470" s="2018"/>
      <c r="F470" s="2018"/>
      <c r="G470" s="2018"/>
      <c r="H470" s="2018"/>
      <c r="I470" s="2018"/>
      <c r="J470" s="2018"/>
      <c r="K470" s="2018"/>
      <c r="L470" s="2018"/>
      <c r="M470" s="2018"/>
      <c r="N470" s="2018"/>
      <c r="O470" s="2018"/>
      <c r="P470" s="2018"/>
      <c r="Q470" s="2018"/>
      <c r="R470" s="2018"/>
      <c r="S470" s="2018"/>
      <c r="T470" s="2018"/>
      <c r="U470" s="2018"/>
      <c r="V470" s="2018"/>
      <c r="W470" s="2018"/>
      <c r="X470" s="2018"/>
      <c r="Y470" s="2094"/>
      <c r="Z470" s="2096"/>
      <c r="AA470" s="2097"/>
      <c r="AB470" s="1053"/>
      <c r="AC470" s="1053"/>
      <c r="AD470" s="1053"/>
      <c r="AE470" s="1051"/>
      <c r="AF470" s="1054"/>
    </row>
    <row r="471" spans="1:32" ht="15.75" x14ac:dyDescent="0.25">
      <c r="A471" s="2017"/>
      <c r="B471" s="2018"/>
      <c r="C471" s="2018"/>
      <c r="D471" s="2018"/>
      <c r="E471" s="2018"/>
      <c r="F471" s="2018"/>
      <c r="G471" s="2018"/>
      <c r="H471" s="2018"/>
      <c r="I471" s="2018"/>
      <c r="J471" s="2018"/>
      <c r="K471" s="2018"/>
      <c r="L471" s="2018"/>
      <c r="M471" s="2018"/>
      <c r="N471" s="2018"/>
      <c r="O471" s="2018"/>
      <c r="P471" s="2018"/>
      <c r="Q471" s="2018"/>
      <c r="R471" s="2018"/>
      <c r="S471" s="2018"/>
      <c r="T471" s="2018"/>
      <c r="U471" s="2018"/>
      <c r="V471" s="2018"/>
      <c r="W471" s="2018"/>
      <c r="X471" s="2018"/>
      <c r="Y471" s="2094"/>
      <c r="Z471" s="2096"/>
      <c r="AA471" s="2097"/>
      <c r="AB471" s="1055"/>
      <c r="AC471" s="1055"/>
      <c r="AD471" s="1055"/>
      <c r="AE471" s="1051"/>
      <c r="AF471" s="1056"/>
    </row>
    <row r="472" spans="1:32" ht="15.75" x14ac:dyDescent="0.25">
      <c r="A472" s="2017"/>
      <c r="B472" s="2018"/>
      <c r="C472" s="2018"/>
      <c r="D472" s="2018"/>
      <c r="E472" s="2018"/>
      <c r="F472" s="2018"/>
      <c r="G472" s="2018"/>
      <c r="H472" s="2018"/>
      <c r="I472" s="2018"/>
      <c r="J472" s="2018"/>
      <c r="K472" s="2018"/>
      <c r="L472" s="2018"/>
      <c r="M472" s="2018"/>
      <c r="N472" s="2018"/>
      <c r="O472" s="2018"/>
      <c r="P472" s="2018"/>
      <c r="Q472" s="2018"/>
      <c r="R472" s="2018"/>
      <c r="S472" s="2018"/>
      <c r="T472" s="2018"/>
      <c r="U472" s="2018"/>
      <c r="V472" s="2018"/>
      <c r="W472" s="2018"/>
      <c r="X472" s="2018"/>
      <c r="Y472" s="2094"/>
      <c r="Z472" s="2096"/>
      <c r="AA472" s="2097"/>
      <c r="AB472" s="1055"/>
      <c r="AC472" s="1055"/>
      <c r="AD472" s="1055"/>
      <c r="AE472" s="1055"/>
      <c r="AF472" s="1056"/>
    </row>
    <row r="473" spans="1:32" ht="15.75" x14ac:dyDescent="0.25">
      <c r="A473" s="2017"/>
      <c r="B473" s="2018"/>
      <c r="C473" s="2018"/>
      <c r="D473" s="2018"/>
      <c r="E473" s="2018"/>
      <c r="F473" s="2018"/>
      <c r="G473" s="2018"/>
      <c r="H473" s="2018"/>
      <c r="I473" s="2018"/>
      <c r="J473" s="2018"/>
      <c r="K473" s="2018"/>
      <c r="L473" s="2018"/>
      <c r="M473" s="2018"/>
      <c r="N473" s="2018"/>
      <c r="O473" s="2018"/>
      <c r="P473" s="2018"/>
      <c r="Q473" s="2018"/>
      <c r="R473" s="2018"/>
      <c r="S473" s="2018"/>
      <c r="T473" s="2018"/>
      <c r="U473" s="2018"/>
      <c r="V473" s="2018"/>
      <c r="W473" s="2018"/>
      <c r="X473" s="2018"/>
      <c r="Y473" s="2094"/>
      <c r="Z473" s="2096"/>
      <c r="AA473" s="2097"/>
      <c r="AB473" s="1055"/>
      <c r="AC473" s="1055"/>
      <c r="AD473" s="1055"/>
      <c r="AE473" s="1055"/>
      <c r="AF473" s="1056"/>
    </row>
    <row r="474" spans="1:32" ht="15.75" x14ac:dyDescent="0.25">
      <c r="A474" s="2017"/>
      <c r="B474" s="2018"/>
      <c r="C474" s="2018"/>
      <c r="D474" s="2018"/>
      <c r="E474" s="2018"/>
      <c r="F474" s="2018"/>
      <c r="G474" s="2018"/>
      <c r="H474" s="2018"/>
      <c r="I474" s="2018"/>
      <c r="J474" s="2018"/>
      <c r="K474" s="2018"/>
      <c r="L474" s="2018"/>
      <c r="M474" s="2018"/>
      <c r="N474" s="2018"/>
      <c r="O474" s="2018"/>
      <c r="P474" s="2018"/>
      <c r="Q474" s="2018"/>
      <c r="R474" s="2018"/>
      <c r="S474" s="2018"/>
      <c r="T474" s="2018"/>
      <c r="U474" s="2018"/>
      <c r="V474" s="2018"/>
      <c r="W474" s="2018"/>
      <c r="X474" s="2018"/>
      <c r="Y474" s="2094"/>
      <c r="Z474" s="2096"/>
      <c r="AA474" s="2097"/>
      <c r="AB474" s="1055"/>
      <c r="AC474" s="1055"/>
      <c r="AD474" s="1055"/>
      <c r="AE474" s="1055"/>
      <c r="AF474" s="1056"/>
    </row>
    <row r="475" spans="1:32" ht="15.75" x14ac:dyDescent="0.25">
      <c r="A475" s="2017"/>
      <c r="B475" s="2018"/>
      <c r="C475" s="2018"/>
      <c r="D475" s="2018"/>
      <c r="E475" s="2018"/>
      <c r="F475" s="2018"/>
      <c r="G475" s="2018"/>
      <c r="H475" s="2018"/>
      <c r="I475" s="2018"/>
      <c r="J475" s="2018"/>
      <c r="K475" s="2018"/>
      <c r="L475" s="2018"/>
      <c r="M475" s="2018"/>
      <c r="N475" s="2018"/>
      <c r="O475" s="2018"/>
      <c r="P475" s="2018"/>
      <c r="Q475" s="2018"/>
      <c r="R475" s="2018"/>
      <c r="S475" s="2018"/>
      <c r="T475" s="2018"/>
      <c r="U475" s="2018"/>
      <c r="V475" s="2018"/>
      <c r="W475" s="2018"/>
      <c r="X475" s="2018"/>
      <c r="Y475" s="2094"/>
      <c r="Z475" s="2096"/>
      <c r="AA475" s="2097"/>
      <c r="AB475" s="1055"/>
      <c r="AC475" s="1055"/>
      <c r="AD475" s="1055"/>
      <c r="AE475" s="1055"/>
      <c r="AF475" s="1056"/>
    </row>
    <row r="476" spans="1:32" ht="15.75" x14ac:dyDescent="0.25">
      <c r="A476" s="2017"/>
      <c r="B476" s="2018"/>
      <c r="C476" s="2018"/>
      <c r="D476" s="2018"/>
      <c r="E476" s="2018"/>
      <c r="F476" s="2018"/>
      <c r="G476" s="2018"/>
      <c r="H476" s="2018"/>
      <c r="I476" s="2018"/>
      <c r="J476" s="2018"/>
      <c r="K476" s="2018"/>
      <c r="L476" s="2018"/>
      <c r="M476" s="2018"/>
      <c r="N476" s="2018"/>
      <c r="O476" s="2018"/>
      <c r="P476" s="2018"/>
      <c r="Q476" s="2018"/>
      <c r="R476" s="2018"/>
      <c r="S476" s="2018"/>
      <c r="T476" s="2018"/>
      <c r="U476" s="2018"/>
      <c r="V476" s="2018"/>
      <c r="W476" s="2018"/>
      <c r="X476" s="2018"/>
      <c r="Y476" s="2094"/>
      <c r="Z476" s="2096"/>
      <c r="AA476" s="2097"/>
      <c r="AB476" s="1055"/>
      <c r="AC476" s="1055"/>
      <c r="AD476" s="1055"/>
      <c r="AE476" s="1055"/>
      <c r="AF476" s="1056"/>
    </row>
    <row r="477" spans="1:32" ht="16.5" thickBot="1" x14ac:dyDescent="0.3">
      <c r="A477" s="2019"/>
      <c r="B477" s="2020"/>
      <c r="C477" s="2020"/>
      <c r="D477" s="2020"/>
      <c r="E477" s="2020"/>
      <c r="F477" s="2020"/>
      <c r="G477" s="2020"/>
      <c r="H477" s="2020"/>
      <c r="I477" s="2020"/>
      <c r="J477" s="2020"/>
      <c r="K477" s="2020"/>
      <c r="L477" s="2020"/>
      <c r="M477" s="2020"/>
      <c r="N477" s="2020"/>
      <c r="O477" s="2020"/>
      <c r="P477" s="2020"/>
      <c r="Q477" s="2020"/>
      <c r="R477" s="2020"/>
      <c r="S477" s="2020"/>
      <c r="T477" s="2020"/>
      <c r="U477" s="2020"/>
      <c r="V477" s="2020"/>
      <c r="W477" s="2020"/>
      <c r="X477" s="2020"/>
      <c r="Y477" s="2095"/>
      <c r="Z477" s="2098"/>
      <c r="AA477" s="2099"/>
      <c r="AB477" s="1057"/>
      <c r="AC477" s="1057"/>
      <c r="AD477" s="1057"/>
      <c r="AE477" s="1057"/>
      <c r="AF477" s="1058"/>
    </row>
    <row r="478" spans="1:32" ht="15.75" x14ac:dyDescent="0.25">
      <c r="A478" s="2009" t="s">
        <v>1866</v>
      </c>
      <c r="B478" s="2010"/>
      <c r="C478" s="2010"/>
      <c r="D478" s="2010"/>
      <c r="E478" s="2010"/>
      <c r="F478" s="2010"/>
      <c r="G478" s="2010"/>
      <c r="H478" s="2010"/>
      <c r="I478" s="2010"/>
      <c r="J478" s="2010"/>
      <c r="K478" s="2010"/>
      <c r="L478" s="2010"/>
      <c r="M478" s="2010"/>
      <c r="N478" s="2010"/>
      <c r="O478" s="2010"/>
      <c r="P478" s="2010"/>
      <c r="Q478" s="2010"/>
      <c r="R478" s="2010"/>
      <c r="S478" s="2010"/>
      <c r="T478" s="2010"/>
      <c r="U478" s="2010"/>
      <c r="V478" s="2010"/>
      <c r="W478" s="2010"/>
      <c r="X478" s="2010"/>
      <c r="Y478" s="2010"/>
      <c r="Z478" s="2013" t="s">
        <v>1850</v>
      </c>
      <c r="AA478" s="2013"/>
      <c r="AB478" s="2013"/>
      <c r="AC478" s="2013"/>
      <c r="AD478" s="2013"/>
      <c r="AE478" s="2013"/>
      <c r="AF478" s="1059">
        <f>SUM(AF457:AF477)</f>
        <v>1.6400000000000003</v>
      </c>
    </row>
    <row r="479" spans="1:32" ht="15.75" x14ac:dyDescent="0.25">
      <c r="A479" s="2011"/>
      <c r="B479" s="2012"/>
      <c r="C479" s="2012"/>
      <c r="D479" s="2012"/>
      <c r="E479" s="2012"/>
      <c r="F479" s="2012"/>
      <c r="G479" s="2012"/>
      <c r="H479" s="2012"/>
      <c r="I479" s="2012"/>
      <c r="J479" s="2012"/>
      <c r="K479" s="2012"/>
      <c r="L479" s="2012"/>
      <c r="M479" s="2012"/>
      <c r="N479" s="2012"/>
      <c r="O479" s="2012"/>
      <c r="P479" s="2012"/>
      <c r="Q479" s="2012"/>
      <c r="R479" s="2012"/>
      <c r="S479" s="2012"/>
      <c r="T479" s="2012"/>
      <c r="U479" s="2012"/>
      <c r="V479" s="2012"/>
      <c r="W479" s="2012"/>
      <c r="X479" s="2012"/>
      <c r="Y479" s="2012"/>
      <c r="Z479" s="2014" t="s">
        <v>1851</v>
      </c>
      <c r="AA479" s="2014"/>
      <c r="AB479" s="2014"/>
      <c r="AC479" s="2014"/>
      <c r="AD479" s="2014"/>
      <c r="AE479" s="2014"/>
      <c r="AF479" s="1060">
        <v>0</v>
      </c>
    </row>
    <row r="480" spans="1:32" ht="15.75" x14ac:dyDescent="0.25">
      <c r="A480" s="2011"/>
      <c r="B480" s="2012"/>
      <c r="C480" s="2012"/>
      <c r="D480" s="2012"/>
      <c r="E480" s="2012"/>
      <c r="F480" s="2012"/>
      <c r="G480" s="2012"/>
      <c r="H480" s="2012"/>
      <c r="I480" s="2012"/>
      <c r="J480" s="2012"/>
      <c r="K480" s="2012"/>
      <c r="L480" s="2012"/>
      <c r="M480" s="2012"/>
      <c r="N480" s="2012"/>
      <c r="O480" s="2012"/>
      <c r="P480" s="2012"/>
      <c r="Q480" s="2012"/>
      <c r="R480" s="2012"/>
      <c r="S480" s="2012"/>
      <c r="T480" s="2012"/>
      <c r="U480" s="2012"/>
      <c r="V480" s="2012"/>
      <c r="W480" s="2012"/>
      <c r="X480" s="2012"/>
      <c r="Y480" s="2012"/>
      <c r="Z480" s="2015" t="s">
        <v>1833</v>
      </c>
      <c r="AA480" s="2015"/>
      <c r="AB480" s="2015"/>
      <c r="AC480" s="2015"/>
      <c r="AD480" s="2015"/>
      <c r="AE480" s="2015"/>
      <c r="AF480" s="1061">
        <f>SUM(AF478:AF479)</f>
        <v>1.6400000000000003</v>
      </c>
    </row>
    <row r="481" spans="1:34" x14ac:dyDescent="0.2">
      <c r="A481" s="2012" t="s">
        <v>1859</v>
      </c>
      <c r="B481" s="2012"/>
      <c r="C481" s="2012"/>
      <c r="D481" s="2012"/>
      <c r="E481" s="2012"/>
      <c r="F481" s="2012"/>
      <c r="G481" s="2012"/>
      <c r="H481" s="2012"/>
      <c r="I481" s="2012"/>
      <c r="J481" s="2012"/>
      <c r="K481" s="2012"/>
      <c r="L481" s="2012"/>
      <c r="M481" s="2012"/>
      <c r="N481" s="2012"/>
      <c r="O481" s="2012"/>
      <c r="P481" s="2012"/>
      <c r="Q481" s="2012"/>
      <c r="R481" s="2012"/>
      <c r="S481" s="2012"/>
      <c r="T481" s="2016" t="s">
        <v>1840</v>
      </c>
      <c r="U481" s="2016"/>
      <c r="V481" s="2016"/>
      <c r="W481" s="2016"/>
      <c r="X481" s="2016"/>
      <c r="Y481" s="2016"/>
      <c r="Z481" s="2016"/>
      <c r="AA481" s="2016"/>
      <c r="AB481" s="2012" t="s">
        <v>1852</v>
      </c>
      <c r="AC481" s="2012"/>
      <c r="AD481" s="2012"/>
      <c r="AE481" s="2012"/>
      <c r="AF481" s="2012"/>
    </row>
    <row r="482" spans="1:34" x14ac:dyDescent="0.2">
      <c r="A482" s="2012"/>
      <c r="B482" s="2012"/>
      <c r="C482" s="2012"/>
      <c r="D482" s="2012"/>
      <c r="E482" s="2012"/>
      <c r="F482" s="2012"/>
      <c r="G482" s="2012"/>
      <c r="H482" s="2012"/>
      <c r="I482" s="2012"/>
      <c r="J482" s="2012"/>
      <c r="K482" s="2012"/>
      <c r="L482" s="2012"/>
      <c r="M482" s="2012"/>
      <c r="N482" s="2012"/>
      <c r="O482" s="2012"/>
      <c r="P482" s="2012"/>
      <c r="Q482" s="2012"/>
      <c r="R482" s="2012"/>
      <c r="S482" s="2012"/>
      <c r="T482" s="2016"/>
      <c r="U482" s="2016"/>
      <c r="V482" s="2016"/>
      <c r="W482" s="2016"/>
      <c r="X482" s="2016"/>
      <c r="Y482" s="2016"/>
      <c r="Z482" s="2016"/>
      <c r="AA482" s="2016"/>
      <c r="AB482" s="2012"/>
      <c r="AC482" s="2012"/>
      <c r="AD482" s="2012"/>
      <c r="AE482" s="2012"/>
      <c r="AF482" s="2012"/>
    </row>
    <row r="483" spans="1:34" ht="16.5" thickBot="1" x14ac:dyDescent="0.25">
      <c r="A483" s="1062"/>
      <c r="B483" s="1062"/>
      <c r="C483" s="1062"/>
      <c r="D483" s="1062"/>
      <c r="E483" s="1062"/>
      <c r="F483" s="1062"/>
      <c r="G483" s="1062"/>
      <c r="H483" s="1062"/>
      <c r="I483" s="1062"/>
      <c r="J483" s="1062"/>
      <c r="K483" s="1062"/>
      <c r="L483" s="1062"/>
      <c r="M483" s="1062"/>
      <c r="N483" s="1062"/>
      <c r="O483" s="1062"/>
      <c r="P483" s="1062"/>
      <c r="Q483" s="1062"/>
      <c r="R483" s="1062"/>
      <c r="S483" s="1062"/>
      <c r="T483" s="1063"/>
      <c r="U483" s="1063"/>
      <c r="V483" s="1063"/>
      <c r="W483" s="1063"/>
      <c r="X483" s="1063"/>
      <c r="Y483" s="1063"/>
      <c r="Z483" s="1063"/>
      <c r="AA483" s="1063"/>
      <c r="AB483" s="1062"/>
      <c r="AC483" s="1062"/>
      <c r="AD483" s="1062"/>
      <c r="AE483" s="1064"/>
      <c r="AF483" s="1065"/>
    </row>
    <row r="484" spans="1:34" ht="19.149999999999999" customHeight="1" x14ac:dyDescent="0.2">
      <c r="A484" s="2025" t="s">
        <v>1854</v>
      </c>
      <c r="B484" s="2026"/>
      <c r="C484" s="2026"/>
      <c r="D484" s="2026"/>
      <c r="E484" s="2026"/>
      <c r="F484" s="2026"/>
      <c r="G484" s="2026"/>
      <c r="H484" s="2026"/>
      <c r="I484" s="2026"/>
      <c r="J484" s="2026"/>
      <c r="K484" s="2026"/>
      <c r="L484" s="2026"/>
      <c r="M484" s="2026"/>
      <c r="N484" s="2026"/>
      <c r="O484" s="2026"/>
      <c r="P484" s="2026"/>
      <c r="Q484" s="2026"/>
      <c r="R484" s="2026"/>
      <c r="S484" s="2026"/>
      <c r="T484" s="2026"/>
      <c r="U484" s="2026"/>
      <c r="V484" s="2026"/>
      <c r="W484" s="2026"/>
      <c r="X484" s="2026"/>
      <c r="Y484" s="2026"/>
      <c r="Z484" s="2026"/>
      <c r="AA484" s="2026"/>
      <c r="AB484" s="2026"/>
      <c r="AC484" s="2026"/>
      <c r="AD484" s="2026"/>
      <c r="AE484" s="1041" t="s">
        <v>1834</v>
      </c>
      <c r="AF484" s="1042" t="s">
        <v>1835</v>
      </c>
    </row>
    <row r="485" spans="1:34" ht="24.6" customHeight="1" thickBot="1" x14ac:dyDescent="0.25">
      <c r="A485" s="2027"/>
      <c r="B485" s="2028"/>
      <c r="C485" s="2028"/>
      <c r="D485" s="2028"/>
      <c r="E485" s="2028"/>
      <c r="F485" s="2028"/>
      <c r="G485" s="2028"/>
      <c r="H485" s="2028"/>
      <c r="I485" s="2028"/>
      <c r="J485" s="2028"/>
      <c r="K485" s="2028"/>
      <c r="L485" s="2028"/>
      <c r="M485" s="2028"/>
      <c r="N485" s="2028"/>
      <c r="O485" s="2028"/>
      <c r="P485" s="2028"/>
      <c r="Q485" s="2028"/>
      <c r="R485" s="2028"/>
      <c r="S485" s="2028"/>
      <c r="T485" s="2028"/>
      <c r="U485" s="2028"/>
      <c r="V485" s="2028"/>
      <c r="W485" s="2028"/>
      <c r="X485" s="2028"/>
      <c r="Y485" s="2028"/>
      <c r="Z485" s="2028"/>
      <c r="AA485" s="2028"/>
      <c r="AB485" s="2028"/>
      <c r="AC485" s="2028"/>
      <c r="AD485" s="2028"/>
      <c r="AE485" s="1041" t="s">
        <v>1836</v>
      </c>
      <c r="AF485" s="1044">
        <v>1</v>
      </c>
    </row>
    <row r="486" spans="1:34" ht="15.75" x14ac:dyDescent="0.2">
      <c r="A486" s="2029"/>
      <c r="B486" s="2030"/>
      <c r="C486" s="2030"/>
      <c r="D486" s="2031"/>
      <c r="E486" s="2025" t="str">
        <f>'01'!$A$12</f>
        <v>"CONSTRUCCION SISTEMA DE ACUEDUCTO FASE II DEL MUNICIPIO DE TESALIA DPTO DEL HUILA"</v>
      </c>
      <c r="F486" s="2026"/>
      <c r="G486" s="2026"/>
      <c r="H486" s="2026"/>
      <c r="I486" s="2026"/>
      <c r="J486" s="2026"/>
      <c r="K486" s="2026"/>
      <c r="L486" s="2026"/>
      <c r="M486" s="2026"/>
      <c r="N486" s="2026"/>
      <c r="O486" s="2026"/>
      <c r="P486" s="2026"/>
      <c r="Q486" s="2026"/>
      <c r="R486" s="2026"/>
      <c r="S486" s="2026"/>
      <c r="T486" s="2026"/>
      <c r="U486" s="2026"/>
      <c r="V486" s="2026"/>
      <c r="W486" s="2026"/>
      <c r="X486" s="2026"/>
      <c r="Y486" s="2026"/>
      <c r="Z486" s="2026"/>
      <c r="AA486" s="2026"/>
      <c r="AB486" s="2026"/>
      <c r="AC486" s="2026"/>
      <c r="AD486" s="2035"/>
      <c r="AE486" s="1041" t="s">
        <v>847</v>
      </c>
      <c r="AF486" s="1045">
        <f>'01'!$M$13</f>
        <v>0</v>
      </c>
    </row>
    <row r="487" spans="1:34" ht="16.5" thickBot="1" x14ac:dyDescent="0.25">
      <c r="A487" s="2032"/>
      <c r="B487" s="2033"/>
      <c r="C487" s="2033"/>
      <c r="D487" s="2034"/>
      <c r="E487" s="2027"/>
      <c r="F487" s="2028"/>
      <c r="G487" s="2028"/>
      <c r="H487" s="2028"/>
      <c r="I487" s="2028"/>
      <c r="J487" s="2028"/>
      <c r="K487" s="2028"/>
      <c r="L487" s="2028"/>
      <c r="M487" s="2028"/>
      <c r="N487" s="2028"/>
      <c r="O487" s="2028"/>
      <c r="P487" s="2028"/>
      <c r="Q487" s="2028"/>
      <c r="R487" s="2028"/>
      <c r="S487" s="2028"/>
      <c r="T487" s="2028"/>
      <c r="U487" s="2028"/>
      <c r="V487" s="2028"/>
      <c r="W487" s="2028"/>
      <c r="X487" s="2028"/>
      <c r="Y487" s="2028"/>
      <c r="Z487" s="2028"/>
      <c r="AA487" s="2028"/>
      <c r="AB487" s="2028"/>
      <c r="AC487" s="2028"/>
      <c r="AD487" s="2036"/>
      <c r="AE487" s="1041" t="s">
        <v>1837</v>
      </c>
      <c r="AF487" s="1042" t="s">
        <v>1838</v>
      </c>
    </row>
    <row r="488" spans="1:34" ht="15.75" x14ac:dyDescent="0.25">
      <c r="A488" s="2037" t="s">
        <v>1860</v>
      </c>
      <c r="B488" s="2038"/>
      <c r="C488" s="2038"/>
      <c r="D488" s="2038"/>
      <c r="E488" s="2038"/>
      <c r="F488" s="2038"/>
      <c r="G488" s="2038"/>
      <c r="H488" s="2038"/>
      <c r="I488" s="2038"/>
      <c r="J488" s="2038"/>
      <c r="K488" s="2038"/>
      <c r="L488" s="2038"/>
      <c r="M488" s="2038"/>
      <c r="N488" s="2038"/>
      <c r="O488" s="2038"/>
      <c r="P488" s="2038"/>
      <c r="Q488" s="2038"/>
      <c r="R488" s="2038"/>
      <c r="S488" s="2038"/>
      <c r="T488" s="2038"/>
      <c r="U488" s="2038"/>
      <c r="V488" s="2038"/>
      <c r="W488" s="2038"/>
      <c r="X488" s="2038"/>
      <c r="Y488" s="2038"/>
      <c r="Z488" s="2038"/>
      <c r="AA488" s="2038"/>
      <c r="AB488" s="2038"/>
      <c r="AC488" s="2038"/>
      <c r="AD488" s="2038"/>
      <c r="AE488" s="2039" t="s">
        <v>1839</v>
      </c>
      <c r="AF488" s="2040"/>
    </row>
    <row r="489" spans="1:34" ht="15.75" x14ac:dyDescent="0.25">
      <c r="A489" s="2041" t="s">
        <v>1840</v>
      </c>
      <c r="B489" s="2042"/>
      <c r="C489" s="2042"/>
      <c r="D489" s="2042"/>
      <c r="E489" s="2042"/>
      <c r="F489" s="2042"/>
      <c r="G489" s="2042"/>
      <c r="H489" s="2042"/>
      <c r="I489" s="2042"/>
      <c r="J489" s="2042"/>
      <c r="K489" s="2042"/>
      <c r="L489" s="2042"/>
      <c r="M489" s="2042"/>
      <c r="N489" s="2042"/>
      <c r="O489" s="2042"/>
      <c r="P489" s="2042"/>
      <c r="Q489" s="2042"/>
      <c r="R489" s="2042"/>
      <c r="S489" s="2042"/>
      <c r="T489" s="2042"/>
      <c r="U489" s="2042"/>
      <c r="V489" s="2042"/>
      <c r="W489" s="2042"/>
      <c r="X489" s="2042"/>
      <c r="Y489" s="2042"/>
      <c r="Z489" s="2042"/>
      <c r="AA489" s="2042"/>
      <c r="AB489" s="2042"/>
      <c r="AC489" s="2042"/>
      <c r="AD489" s="2043"/>
      <c r="AE489" s="2014" t="s">
        <v>1841</v>
      </c>
      <c r="AF489" s="2044"/>
    </row>
    <row r="490" spans="1:34" ht="15.75" x14ac:dyDescent="0.25">
      <c r="A490" s="2045" t="s">
        <v>1853</v>
      </c>
      <c r="B490" s="2046"/>
      <c r="C490" s="2046"/>
      <c r="D490" s="2046"/>
      <c r="E490" s="2046"/>
      <c r="F490" s="2046"/>
      <c r="G490" s="2046"/>
      <c r="H490" s="2046"/>
      <c r="I490" s="2046"/>
      <c r="J490" s="2046"/>
      <c r="K490" s="2046"/>
      <c r="L490" s="2046"/>
      <c r="M490" s="2046"/>
      <c r="N490" s="2046"/>
      <c r="O490" s="2046"/>
      <c r="P490" s="2046"/>
      <c r="Q490" s="2046"/>
      <c r="R490" s="2046"/>
      <c r="S490" s="2046"/>
      <c r="T490" s="2046"/>
      <c r="U490" s="2046"/>
      <c r="V490" s="2046"/>
      <c r="W490" s="2046"/>
      <c r="X490" s="2046"/>
      <c r="Y490" s="2046"/>
      <c r="Z490" s="2046"/>
      <c r="AA490" s="2046"/>
      <c r="AB490" s="2046"/>
      <c r="AC490" s="2046"/>
      <c r="AD490" s="2046"/>
      <c r="AE490" s="2047">
        <f>'01'!$M$13</f>
        <v>0</v>
      </c>
      <c r="AF490" s="2044"/>
    </row>
    <row r="491" spans="1:34" x14ac:dyDescent="0.2">
      <c r="A491" s="1046"/>
      <c r="B491" s="1047"/>
      <c r="C491" s="1047"/>
      <c r="D491" s="1047"/>
      <c r="E491" s="1047"/>
      <c r="F491" s="1047"/>
      <c r="G491" s="1047"/>
      <c r="H491" s="1047"/>
      <c r="I491" s="1047"/>
      <c r="J491" s="1047"/>
      <c r="K491" s="1047"/>
      <c r="L491" s="1047"/>
      <c r="M491" s="1047"/>
      <c r="N491" s="1047"/>
      <c r="O491" s="1047"/>
      <c r="P491" s="1047"/>
      <c r="Q491" s="1047"/>
      <c r="R491" s="1047"/>
      <c r="S491" s="1047"/>
      <c r="T491" s="1047"/>
      <c r="U491" s="1047"/>
      <c r="V491" s="1047"/>
      <c r="W491" s="1047"/>
      <c r="X491" s="1047"/>
      <c r="Y491" s="1047"/>
      <c r="Z491" s="1047"/>
      <c r="AA491" s="1047"/>
      <c r="AB491" s="1047"/>
      <c r="AC491" s="1047"/>
      <c r="AD491" s="1047"/>
      <c r="AE491" s="1047"/>
      <c r="AF491" s="1048"/>
    </row>
    <row r="492" spans="1:34" ht="15.75" x14ac:dyDescent="0.2">
      <c r="A492" s="2048" t="s">
        <v>1842</v>
      </c>
      <c r="B492" s="2049"/>
      <c r="C492" s="2049"/>
      <c r="D492" s="2049"/>
      <c r="E492" s="2049"/>
      <c r="F492" s="2050" t="str">
        <f>'01'!$H$33</f>
        <v>B - CÁMARA DE LLEGADA Y AQUIETAMIENTO DEL AGUA</v>
      </c>
      <c r="G492" s="2049"/>
      <c r="H492" s="2049"/>
      <c r="I492" s="2049"/>
      <c r="J492" s="2049"/>
      <c r="K492" s="2049"/>
      <c r="L492" s="2049"/>
      <c r="M492" s="2049"/>
      <c r="N492" s="2049"/>
      <c r="O492" s="2049"/>
      <c r="P492" s="2049"/>
      <c r="Q492" s="2049"/>
      <c r="R492" s="2049"/>
      <c r="S492" s="2049"/>
      <c r="T492" s="2049"/>
      <c r="U492" s="2049"/>
      <c r="V492" s="2049"/>
      <c r="W492" s="2049"/>
      <c r="X492" s="2049"/>
      <c r="Y492" s="2051"/>
      <c r="Z492" s="2052" t="s">
        <v>1843</v>
      </c>
      <c r="AA492" s="2053"/>
      <c r="AB492" s="2058" t="s">
        <v>1844</v>
      </c>
      <c r="AC492" s="2059"/>
      <c r="AD492" s="2060"/>
      <c r="AE492" s="2064" t="s">
        <v>1845</v>
      </c>
      <c r="AF492" s="2067" t="s">
        <v>1846</v>
      </c>
    </row>
    <row r="493" spans="1:34" ht="12.75" customHeight="1" x14ac:dyDescent="0.2">
      <c r="A493" s="2070" t="str">
        <f>'01'!A41</f>
        <v>B-03-02</v>
      </c>
      <c r="B493" s="2071"/>
      <c r="C493" s="2072"/>
      <c r="D493" s="2076" t="str">
        <f>VLOOKUP(A493,'01'!$A$12:$N$299,3,FALSE)</f>
        <v>RELLENO EN RECEBO COMUN PROVENIENTE DE MATERIAL DE PRESTAMO, COMPACTADO MECANICAMENTE.</v>
      </c>
      <c r="E493" s="2077"/>
      <c r="F493" s="2077"/>
      <c r="G493" s="2077"/>
      <c r="H493" s="2077"/>
      <c r="I493" s="2077"/>
      <c r="J493" s="2077"/>
      <c r="K493" s="2077"/>
      <c r="L493" s="2077"/>
      <c r="M493" s="2077"/>
      <c r="N493" s="2077"/>
      <c r="O493" s="2077"/>
      <c r="P493" s="2077"/>
      <c r="Q493" s="2077"/>
      <c r="R493" s="2077"/>
      <c r="S493" s="2078"/>
      <c r="T493" s="2082" t="s">
        <v>124</v>
      </c>
      <c r="U493" s="2083"/>
      <c r="V493" s="2083"/>
      <c r="W493" s="2083"/>
      <c r="X493" s="2052" t="str">
        <f>VLOOKUP(A493,'01'!$A$12:$N$299,9,FALSE)</f>
        <v>M3</v>
      </c>
      <c r="Y493" s="2053"/>
      <c r="Z493" s="2054"/>
      <c r="AA493" s="2055"/>
      <c r="AB493" s="2061"/>
      <c r="AC493" s="2062"/>
      <c r="AD493" s="2063"/>
      <c r="AE493" s="2065"/>
      <c r="AF493" s="2068"/>
    </row>
    <row r="494" spans="1:34" ht="15.75" x14ac:dyDescent="0.25">
      <c r="A494" s="2073"/>
      <c r="B494" s="2074"/>
      <c r="C494" s="2075"/>
      <c r="D494" s="2079"/>
      <c r="E494" s="2080"/>
      <c r="F494" s="2080"/>
      <c r="G494" s="2080"/>
      <c r="H494" s="2080"/>
      <c r="I494" s="2080"/>
      <c r="J494" s="2080"/>
      <c r="K494" s="2080"/>
      <c r="L494" s="2080"/>
      <c r="M494" s="2080"/>
      <c r="N494" s="2080"/>
      <c r="O494" s="2080"/>
      <c r="P494" s="2080"/>
      <c r="Q494" s="2080"/>
      <c r="R494" s="2080"/>
      <c r="S494" s="2081"/>
      <c r="T494" s="2084"/>
      <c r="U494" s="2085"/>
      <c r="V494" s="2085"/>
      <c r="W494" s="2085"/>
      <c r="X494" s="2056"/>
      <c r="Y494" s="2057"/>
      <c r="Z494" s="2056"/>
      <c r="AA494" s="2057"/>
      <c r="AB494" s="1049" t="s">
        <v>1847</v>
      </c>
      <c r="AC494" s="1049" t="s">
        <v>1848</v>
      </c>
      <c r="AD494" s="1049" t="s">
        <v>1861</v>
      </c>
      <c r="AE494" s="2066"/>
      <c r="AF494" s="2069"/>
    </row>
    <row r="495" spans="1:34" ht="15.75" customHeight="1" x14ac:dyDescent="0.25">
      <c r="A495" s="2017"/>
      <c r="B495" s="2018"/>
      <c r="C495" s="2018"/>
      <c r="D495" s="2018"/>
      <c r="E495" s="2018"/>
      <c r="F495" s="2018"/>
      <c r="G495" s="2018"/>
      <c r="H495" s="2018"/>
      <c r="I495" s="2018"/>
      <c r="J495" s="2018"/>
      <c r="K495" s="2018"/>
      <c r="L495" s="2018"/>
      <c r="M495" s="2018"/>
      <c r="N495" s="2018"/>
      <c r="O495" s="2018"/>
      <c r="P495" s="2018"/>
      <c r="Q495" s="2018"/>
      <c r="R495" s="2018"/>
      <c r="S495" s="2018"/>
      <c r="T495" s="2018"/>
      <c r="U495" s="2018"/>
      <c r="V495" s="2018"/>
      <c r="W495" s="2018"/>
      <c r="X495" s="2018"/>
      <c r="Y495" s="2094"/>
      <c r="Z495" s="2096" t="s">
        <v>1856</v>
      </c>
      <c r="AA495" s="2097"/>
      <c r="AB495" s="1050">
        <f>AB419</f>
        <v>1.6</v>
      </c>
      <c r="AC495" s="1050">
        <f>AC419</f>
        <v>1.6</v>
      </c>
      <c r="AD495" s="1050">
        <v>0.1</v>
      </c>
      <c r="AE495" s="1051">
        <v>1</v>
      </c>
      <c r="AF495" s="1052">
        <f>ROUND(AE495*AD495*AC495*AB495,2)</f>
        <v>0.26</v>
      </c>
      <c r="AH495" s="481">
        <f>AD495-AD419</f>
        <v>-0.70000000000000007</v>
      </c>
    </row>
    <row r="496" spans="1:34" ht="15.75" customHeight="1" x14ac:dyDescent="0.25">
      <c r="A496" s="2017"/>
      <c r="B496" s="2018"/>
      <c r="C496" s="2018"/>
      <c r="D496" s="2018"/>
      <c r="E496" s="2018"/>
      <c r="F496" s="2018"/>
      <c r="G496" s="2018"/>
      <c r="H496" s="2018"/>
      <c r="I496" s="2018"/>
      <c r="J496" s="2018"/>
      <c r="K496" s="2018"/>
      <c r="L496" s="2018"/>
      <c r="M496" s="2018"/>
      <c r="N496" s="2018"/>
      <c r="O496" s="2018"/>
      <c r="P496" s="2018"/>
      <c r="Q496" s="2018"/>
      <c r="R496" s="2018"/>
      <c r="S496" s="2018"/>
      <c r="T496" s="2018"/>
      <c r="U496" s="2018"/>
      <c r="V496" s="2018"/>
      <c r="W496" s="2018"/>
      <c r="X496" s="2018"/>
      <c r="Y496" s="2094"/>
      <c r="Z496" s="2096" t="s">
        <v>1857</v>
      </c>
      <c r="AA496" s="2097"/>
      <c r="AB496" s="1050">
        <f t="shared" ref="AB496:AC496" si="5">AB420</f>
        <v>2</v>
      </c>
      <c r="AC496" s="1050">
        <f t="shared" si="5"/>
        <v>1.8</v>
      </c>
      <c r="AD496" s="1050">
        <f>+AD495</f>
        <v>0.1</v>
      </c>
      <c r="AE496" s="1051">
        <v>1</v>
      </c>
      <c r="AF496" s="1052">
        <f t="shared" ref="AF496:AF501" si="6">ROUND(AE496*AD496*AC496*AB496,2)</f>
        <v>0.36</v>
      </c>
      <c r="AG496" t="s">
        <v>1867</v>
      </c>
      <c r="AH496" s="481">
        <f t="shared" ref="AH496:AH501" si="7">AD496-AD420</f>
        <v>-0.70000000000000007</v>
      </c>
    </row>
    <row r="497" spans="1:34" ht="15.75" x14ac:dyDescent="0.25">
      <c r="A497" s="2017"/>
      <c r="B497" s="2018"/>
      <c r="C497" s="2018"/>
      <c r="D497" s="2018"/>
      <c r="E497" s="2018"/>
      <c r="F497" s="2018"/>
      <c r="G497" s="2018"/>
      <c r="H497" s="2018"/>
      <c r="I497" s="2018"/>
      <c r="J497" s="2018"/>
      <c r="K497" s="2018"/>
      <c r="L497" s="2018"/>
      <c r="M497" s="2018"/>
      <c r="N497" s="2018"/>
      <c r="O497" s="2018"/>
      <c r="P497" s="2018"/>
      <c r="Q497" s="2018"/>
      <c r="R497" s="2018"/>
      <c r="S497" s="2018"/>
      <c r="T497" s="2018"/>
      <c r="U497" s="2018"/>
      <c r="V497" s="2018"/>
      <c r="W497" s="2018"/>
      <c r="X497" s="2018"/>
      <c r="Y497" s="2094"/>
      <c r="Z497" s="2096" t="s">
        <v>1096</v>
      </c>
      <c r="AA497" s="2097"/>
      <c r="AB497" s="1050">
        <f t="shared" ref="AB497:AC497" si="8">AB421</f>
        <v>1.8</v>
      </c>
      <c r="AC497" s="1050">
        <f t="shared" si="8"/>
        <v>3.6</v>
      </c>
      <c r="AD497" s="1050">
        <f>+AD496</f>
        <v>0.1</v>
      </c>
      <c r="AE497" s="1051">
        <v>1</v>
      </c>
      <c r="AF497" s="1052">
        <f t="shared" si="6"/>
        <v>0.65</v>
      </c>
      <c r="AH497" s="481">
        <f t="shared" si="7"/>
        <v>-1.4</v>
      </c>
    </row>
    <row r="498" spans="1:34" ht="15.75" x14ac:dyDescent="0.25">
      <c r="A498" s="2017"/>
      <c r="B498" s="2018"/>
      <c r="C498" s="2018"/>
      <c r="D498" s="2018"/>
      <c r="E498" s="2018"/>
      <c r="F498" s="2018"/>
      <c r="G498" s="2018"/>
      <c r="H498" s="2018"/>
      <c r="I498" s="2018"/>
      <c r="J498" s="2018"/>
      <c r="K498" s="2018"/>
      <c r="L498" s="2018"/>
      <c r="M498" s="2018"/>
      <c r="N498" s="2018"/>
      <c r="O498" s="2018"/>
      <c r="P498" s="2018"/>
      <c r="Q498" s="2018"/>
      <c r="R498" s="2018"/>
      <c r="S498" s="2018"/>
      <c r="T498" s="2018"/>
      <c r="U498" s="2018"/>
      <c r="V498" s="2018"/>
      <c r="W498" s="2018"/>
      <c r="X498" s="2018"/>
      <c r="Y498" s="2094"/>
      <c r="Z498" s="2096" t="s">
        <v>1858</v>
      </c>
      <c r="AA498" s="2097"/>
      <c r="AB498" s="1050">
        <f t="shared" ref="AB498:AC498" si="9">AB422</f>
        <v>10.199999999999999</v>
      </c>
      <c r="AC498" s="1050">
        <f t="shared" si="9"/>
        <v>2.4</v>
      </c>
      <c r="AD498" s="1050">
        <f>+AD497</f>
        <v>0.1</v>
      </c>
      <c r="AE498" s="1051">
        <v>1</v>
      </c>
      <c r="AF498" s="1052">
        <f t="shared" si="6"/>
        <v>2.4500000000000002</v>
      </c>
      <c r="AH498" s="481">
        <f t="shared" si="7"/>
        <v>-0.70000000000000007</v>
      </c>
    </row>
    <row r="499" spans="1:34" ht="15.75" x14ac:dyDescent="0.25">
      <c r="A499" s="2017"/>
      <c r="B499" s="2018"/>
      <c r="C499" s="2018"/>
      <c r="D499" s="2018"/>
      <c r="E499" s="2018"/>
      <c r="F499" s="2018"/>
      <c r="G499" s="2018"/>
      <c r="H499" s="2018"/>
      <c r="I499" s="2018"/>
      <c r="J499" s="2018"/>
      <c r="K499" s="2018"/>
      <c r="L499" s="2018"/>
      <c r="M499" s="2018"/>
      <c r="N499" s="2018"/>
      <c r="O499" s="2018"/>
      <c r="P499" s="2018"/>
      <c r="Q499" s="2018"/>
      <c r="R499" s="2018"/>
      <c r="S499" s="2018"/>
      <c r="T499" s="2018"/>
      <c r="U499" s="2018"/>
      <c r="V499" s="2018"/>
      <c r="W499" s="2018"/>
      <c r="X499" s="2018"/>
      <c r="Y499" s="2094"/>
      <c r="Z499" s="2096" t="s">
        <v>1098</v>
      </c>
      <c r="AA499" s="2097"/>
      <c r="AB499" s="1050">
        <f t="shared" ref="AB499:AC499" si="10">AB423</f>
        <v>2.15</v>
      </c>
      <c r="AC499" s="1050">
        <f t="shared" si="10"/>
        <v>4.7</v>
      </c>
      <c r="AD499" s="1050">
        <f>+AD498</f>
        <v>0.1</v>
      </c>
      <c r="AE499" s="1051">
        <v>1</v>
      </c>
      <c r="AF499" s="1052">
        <f t="shared" si="6"/>
        <v>1.01</v>
      </c>
      <c r="AH499" s="481">
        <f t="shared" si="7"/>
        <v>-1.4</v>
      </c>
    </row>
    <row r="500" spans="1:34" ht="27" customHeight="1" x14ac:dyDescent="0.25">
      <c r="A500" s="2017"/>
      <c r="B500" s="2018"/>
      <c r="C500" s="2018"/>
      <c r="D500" s="2018"/>
      <c r="E500" s="2018"/>
      <c r="F500" s="2018"/>
      <c r="G500" s="2018"/>
      <c r="H500" s="2018"/>
      <c r="I500" s="2018"/>
      <c r="J500" s="2018"/>
      <c r="K500" s="2018"/>
      <c r="L500" s="2018"/>
      <c r="M500" s="2018"/>
      <c r="N500" s="2018"/>
      <c r="O500" s="2018"/>
      <c r="P500" s="2018"/>
      <c r="Q500" s="2018"/>
      <c r="R500" s="2018"/>
      <c r="S500" s="2018"/>
      <c r="T500" s="2018"/>
      <c r="U500" s="2018"/>
      <c r="V500" s="2018"/>
      <c r="W500" s="2018"/>
      <c r="X500" s="2018"/>
      <c r="Y500" s="2094"/>
      <c r="Z500" s="2096" t="s">
        <v>1622</v>
      </c>
      <c r="AA500" s="2097"/>
      <c r="AB500" s="1050">
        <f t="shared" ref="AB500:AC500" si="11">AB424</f>
        <v>12</v>
      </c>
      <c r="AC500" s="1050">
        <f t="shared" si="11"/>
        <v>1</v>
      </c>
      <c r="AD500" s="1050">
        <v>0.3</v>
      </c>
      <c r="AE500" s="1051">
        <v>1</v>
      </c>
      <c r="AF500" s="1052">
        <f t="shared" si="6"/>
        <v>3.6</v>
      </c>
      <c r="AH500" s="481">
        <f t="shared" si="7"/>
        <v>-1.2</v>
      </c>
    </row>
    <row r="501" spans="1:34" ht="31.15" customHeight="1" x14ac:dyDescent="0.25">
      <c r="A501" s="2017"/>
      <c r="B501" s="2018"/>
      <c r="C501" s="2018"/>
      <c r="D501" s="2018"/>
      <c r="E501" s="2018"/>
      <c r="F501" s="2018"/>
      <c r="G501" s="2018"/>
      <c r="H501" s="2018"/>
      <c r="I501" s="2018"/>
      <c r="J501" s="2018"/>
      <c r="K501" s="2018"/>
      <c r="L501" s="2018"/>
      <c r="M501" s="2018"/>
      <c r="N501" s="2018"/>
      <c r="O501" s="2018"/>
      <c r="P501" s="2018"/>
      <c r="Q501" s="2018"/>
      <c r="R501" s="2018"/>
      <c r="S501" s="2018"/>
      <c r="T501" s="2018"/>
      <c r="U501" s="2018"/>
      <c r="V501" s="2018"/>
      <c r="W501" s="2018"/>
      <c r="X501" s="2018"/>
      <c r="Y501" s="2094"/>
      <c r="Z501" s="2096" t="s">
        <v>1623</v>
      </c>
      <c r="AA501" s="2097"/>
      <c r="AB501" s="1050">
        <f t="shared" ref="AB501:AC501" si="12">AB425</f>
        <v>12</v>
      </c>
      <c r="AC501" s="1050">
        <f t="shared" si="12"/>
        <v>1</v>
      </c>
      <c r="AD501" s="1050">
        <f>+AD500</f>
        <v>0.3</v>
      </c>
      <c r="AE501" s="1051">
        <v>1</v>
      </c>
      <c r="AF501" s="1052">
        <f t="shared" si="6"/>
        <v>3.6</v>
      </c>
      <c r="AH501" s="481">
        <f t="shared" si="7"/>
        <v>-1.2</v>
      </c>
    </row>
    <row r="502" spans="1:34" ht="15.75" x14ac:dyDescent="0.25">
      <c r="A502" s="2017"/>
      <c r="B502" s="2018"/>
      <c r="C502" s="2018"/>
      <c r="D502" s="2018"/>
      <c r="E502" s="2018"/>
      <c r="F502" s="2018"/>
      <c r="G502" s="2018"/>
      <c r="H502" s="2018"/>
      <c r="I502" s="2018"/>
      <c r="J502" s="2018"/>
      <c r="K502" s="2018"/>
      <c r="L502" s="2018"/>
      <c r="M502" s="2018"/>
      <c r="N502" s="2018"/>
      <c r="O502" s="2018"/>
      <c r="P502" s="2018"/>
      <c r="Q502" s="2018"/>
      <c r="R502" s="2018"/>
      <c r="S502" s="2018"/>
      <c r="T502" s="2018"/>
      <c r="U502" s="2018"/>
      <c r="V502" s="2018"/>
      <c r="W502" s="2018"/>
      <c r="X502" s="2018"/>
      <c r="Y502" s="2094"/>
      <c r="Z502" s="2096"/>
      <c r="AA502" s="2097"/>
      <c r="AB502" s="1053"/>
      <c r="AC502" s="1053"/>
      <c r="AD502" s="1053"/>
      <c r="AE502" s="1051"/>
      <c r="AF502" s="1052"/>
    </row>
    <row r="503" spans="1:34" ht="15.75" x14ac:dyDescent="0.25">
      <c r="A503" s="2017"/>
      <c r="B503" s="2018"/>
      <c r="C503" s="2018"/>
      <c r="D503" s="2018"/>
      <c r="E503" s="2018"/>
      <c r="F503" s="2018"/>
      <c r="G503" s="2018"/>
      <c r="H503" s="2018"/>
      <c r="I503" s="2018"/>
      <c r="J503" s="2018"/>
      <c r="K503" s="2018"/>
      <c r="L503" s="2018"/>
      <c r="M503" s="2018"/>
      <c r="N503" s="2018"/>
      <c r="O503" s="2018"/>
      <c r="P503" s="2018"/>
      <c r="Q503" s="2018"/>
      <c r="R503" s="2018"/>
      <c r="S503" s="2018"/>
      <c r="T503" s="2018"/>
      <c r="U503" s="2018"/>
      <c r="V503" s="2018"/>
      <c r="W503" s="2018"/>
      <c r="X503" s="2018"/>
      <c r="Y503" s="2094"/>
      <c r="Z503" s="2096"/>
      <c r="AA503" s="2097"/>
      <c r="AB503" s="1053"/>
      <c r="AC503" s="1053"/>
      <c r="AD503" s="1053"/>
      <c r="AE503" s="1050"/>
      <c r="AF503" s="1054"/>
    </row>
    <row r="504" spans="1:34" ht="15.75" x14ac:dyDescent="0.25">
      <c r="A504" s="2017"/>
      <c r="B504" s="2018"/>
      <c r="C504" s="2018"/>
      <c r="D504" s="2018"/>
      <c r="E504" s="2018"/>
      <c r="F504" s="2018"/>
      <c r="G504" s="2018"/>
      <c r="H504" s="2018"/>
      <c r="I504" s="2018"/>
      <c r="J504" s="2018"/>
      <c r="K504" s="2018"/>
      <c r="L504" s="2018"/>
      <c r="M504" s="2018"/>
      <c r="N504" s="2018"/>
      <c r="O504" s="2018"/>
      <c r="P504" s="2018"/>
      <c r="Q504" s="2018"/>
      <c r="R504" s="2018"/>
      <c r="S504" s="2018"/>
      <c r="T504" s="2018"/>
      <c r="U504" s="2018"/>
      <c r="V504" s="2018"/>
      <c r="W504" s="2018"/>
      <c r="X504" s="2018"/>
      <c r="Y504" s="2094"/>
      <c r="Z504" s="2096"/>
      <c r="AA504" s="2097"/>
      <c r="AB504" s="1053"/>
      <c r="AC504" s="1053"/>
      <c r="AD504" s="1053"/>
      <c r="AE504" s="1051"/>
      <c r="AF504" s="1054"/>
    </row>
    <row r="505" spans="1:34" ht="15.75" x14ac:dyDescent="0.25">
      <c r="A505" s="2017"/>
      <c r="B505" s="2018"/>
      <c r="C505" s="2018"/>
      <c r="D505" s="2018"/>
      <c r="E505" s="2018"/>
      <c r="F505" s="2018"/>
      <c r="G505" s="2018"/>
      <c r="H505" s="2018"/>
      <c r="I505" s="2018"/>
      <c r="J505" s="2018"/>
      <c r="K505" s="2018"/>
      <c r="L505" s="2018"/>
      <c r="M505" s="2018"/>
      <c r="N505" s="2018"/>
      <c r="O505" s="2018"/>
      <c r="P505" s="2018"/>
      <c r="Q505" s="2018"/>
      <c r="R505" s="2018"/>
      <c r="S505" s="2018"/>
      <c r="T505" s="2018"/>
      <c r="U505" s="2018"/>
      <c r="V505" s="2018"/>
      <c r="W505" s="2018"/>
      <c r="X505" s="2018"/>
      <c r="Y505" s="2094"/>
      <c r="Z505" s="2096"/>
      <c r="AA505" s="2097"/>
      <c r="AB505" s="1053"/>
      <c r="AC505" s="1053"/>
      <c r="AD505" s="1053"/>
      <c r="AE505" s="1051"/>
      <c r="AF505" s="1054"/>
    </row>
    <row r="506" spans="1:34" ht="15.75" x14ac:dyDescent="0.25">
      <c r="A506" s="2017"/>
      <c r="B506" s="2018"/>
      <c r="C506" s="2018"/>
      <c r="D506" s="2018"/>
      <c r="E506" s="2018"/>
      <c r="F506" s="2018"/>
      <c r="G506" s="2018"/>
      <c r="H506" s="2018"/>
      <c r="I506" s="2018"/>
      <c r="J506" s="2018"/>
      <c r="K506" s="2018"/>
      <c r="L506" s="2018"/>
      <c r="M506" s="2018"/>
      <c r="N506" s="2018"/>
      <c r="O506" s="2018"/>
      <c r="P506" s="2018"/>
      <c r="Q506" s="2018"/>
      <c r="R506" s="2018"/>
      <c r="S506" s="2018"/>
      <c r="T506" s="2018"/>
      <c r="U506" s="2018"/>
      <c r="V506" s="2018"/>
      <c r="W506" s="2018"/>
      <c r="X506" s="2018"/>
      <c r="Y506" s="2094"/>
      <c r="Z506" s="2096"/>
      <c r="AA506" s="2097"/>
      <c r="AB506" s="1053"/>
      <c r="AC506" s="1053"/>
      <c r="AD506" s="1053"/>
      <c r="AE506" s="1051"/>
      <c r="AF506" s="1054"/>
    </row>
    <row r="507" spans="1:34" ht="15.75" x14ac:dyDescent="0.25">
      <c r="A507" s="2017"/>
      <c r="B507" s="2018"/>
      <c r="C507" s="2018"/>
      <c r="D507" s="2018"/>
      <c r="E507" s="2018"/>
      <c r="F507" s="2018"/>
      <c r="G507" s="2018"/>
      <c r="H507" s="2018"/>
      <c r="I507" s="2018"/>
      <c r="J507" s="2018"/>
      <c r="K507" s="2018"/>
      <c r="L507" s="2018"/>
      <c r="M507" s="2018"/>
      <c r="N507" s="2018"/>
      <c r="O507" s="2018"/>
      <c r="P507" s="2018"/>
      <c r="Q507" s="2018"/>
      <c r="R507" s="2018"/>
      <c r="S507" s="2018"/>
      <c r="T507" s="2018"/>
      <c r="U507" s="2018"/>
      <c r="V507" s="2018"/>
      <c r="W507" s="2018"/>
      <c r="X507" s="2018"/>
      <c r="Y507" s="2094"/>
      <c r="Z507" s="2096"/>
      <c r="AA507" s="2097"/>
      <c r="AB507" s="1053"/>
      <c r="AC507" s="1053"/>
      <c r="AD507" s="1053"/>
      <c r="AE507" s="1051"/>
      <c r="AF507" s="1054"/>
    </row>
    <row r="508" spans="1:34" ht="15.75" x14ac:dyDescent="0.25">
      <c r="A508" s="2017"/>
      <c r="B508" s="2018"/>
      <c r="C508" s="2018"/>
      <c r="D508" s="2018"/>
      <c r="E508" s="2018"/>
      <c r="F508" s="2018"/>
      <c r="G508" s="2018"/>
      <c r="H508" s="2018"/>
      <c r="I508" s="2018"/>
      <c r="J508" s="2018"/>
      <c r="K508" s="2018"/>
      <c r="L508" s="2018"/>
      <c r="M508" s="2018"/>
      <c r="N508" s="2018"/>
      <c r="O508" s="2018"/>
      <c r="P508" s="2018"/>
      <c r="Q508" s="2018"/>
      <c r="R508" s="2018"/>
      <c r="S508" s="2018"/>
      <c r="T508" s="2018"/>
      <c r="U508" s="2018"/>
      <c r="V508" s="2018"/>
      <c r="W508" s="2018"/>
      <c r="X508" s="2018"/>
      <c r="Y508" s="2094"/>
      <c r="Z508" s="2096"/>
      <c r="AA508" s="2097"/>
      <c r="AB508" s="1053"/>
      <c r="AC508" s="1053"/>
      <c r="AD508" s="1053"/>
      <c r="AE508" s="1051"/>
      <c r="AF508" s="1054"/>
    </row>
    <row r="509" spans="1:34" ht="15.75" x14ac:dyDescent="0.25">
      <c r="A509" s="2017"/>
      <c r="B509" s="2018"/>
      <c r="C509" s="2018"/>
      <c r="D509" s="2018"/>
      <c r="E509" s="2018"/>
      <c r="F509" s="2018"/>
      <c r="G509" s="2018"/>
      <c r="H509" s="2018"/>
      <c r="I509" s="2018"/>
      <c r="J509" s="2018"/>
      <c r="K509" s="2018"/>
      <c r="L509" s="2018"/>
      <c r="M509" s="2018"/>
      <c r="N509" s="2018"/>
      <c r="O509" s="2018"/>
      <c r="P509" s="2018"/>
      <c r="Q509" s="2018"/>
      <c r="R509" s="2018"/>
      <c r="S509" s="2018"/>
      <c r="T509" s="2018"/>
      <c r="U509" s="2018"/>
      <c r="V509" s="2018"/>
      <c r="W509" s="2018"/>
      <c r="X509" s="2018"/>
      <c r="Y509" s="2094"/>
      <c r="Z509" s="2096"/>
      <c r="AA509" s="2097"/>
      <c r="AB509" s="1055"/>
      <c r="AC509" s="1055"/>
      <c r="AD509" s="1055"/>
      <c r="AE509" s="1051"/>
      <c r="AF509" s="1056"/>
    </row>
    <row r="510" spans="1:34" ht="15.75" x14ac:dyDescent="0.25">
      <c r="A510" s="2017"/>
      <c r="B510" s="2018"/>
      <c r="C510" s="2018"/>
      <c r="D510" s="2018"/>
      <c r="E510" s="2018"/>
      <c r="F510" s="2018"/>
      <c r="G510" s="2018"/>
      <c r="H510" s="2018"/>
      <c r="I510" s="2018"/>
      <c r="J510" s="2018"/>
      <c r="K510" s="2018"/>
      <c r="L510" s="2018"/>
      <c r="M510" s="2018"/>
      <c r="N510" s="2018"/>
      <c r="O510" s="2018"/>
      <c r="P510" s="2018"/>
      <c r="Q510" s="2018"/>
      <c r="R510" s="2018"/>
      <c r="S510" s="2018"/>
      <c r="T510" s="2018"/>
      <c r="U510" s="2018"/>
      <c r="V510" s="2018"/>
      <c r="W510" s="2018"/>
      <c r="X510" s="2018"/>
      <c r="Y510" s="2094"/>
      <c r="Z510" s="2096"/>
      <c r="AA510" s="2097"/>
      <c r="AB510" s="1055"/>
      <c r="AC510" s="1055"/>
      <c r="AD510" s="1055"/>
      <c r="AE510" s="1055"/>
      <c r="AF510" s="1056"/>
    </row>
    <row r="511" spans="1:34" ht="15.75" x14ac:dyDescent="0.25">
      <c r="A511" s="2017"/>
      <c r="B511" s="2018"/>
      <c r="C511" s="2018"/>
      <c r="D511" s="2018"/>
      <c r="E511" s="2018"/>
      <c r="F511" s="2018"/>
      <c r="G511" s="2018"/>
      <c r="H511" s="2018"/>
      <c r="I511" s="2018"/>
      <c r="J511" s="2018"/>
      <c r="K511" s="2018"/>
      <c r="L511" s="2018"/>
      <c r="M511" s="2018"/>
      <c r="N511" s="2018"/>
      <c r="O511" s="2018"/>
      <c r="P511" s="2018"/>
      <c r="Q511" s="2018"/>
      <c r="R511" s="2018"/>
      <c r="S511" s="2018"/>
      <c r="T511" s="2018"/>
      <c r="U511" s="2018"/>
      <c r="V511" s="2018"/>
      <c r="W511" s="2018"/>
      <c r="X511" s="2018"/>
      <c r="Y511" s="2094"/>
      <c r="Z511" s="2096"/>
      <c r="AA511" s="2097"/>
      <c r="AB511" s="1055"/>
      <c r="AC511" s="1055"/>
      <c r="AD511" s="1055"/>
      <c r="AE511" s="1055"/>
      <c r="AF511" s="1056"/>
    </row>
    <row r="512" spans="1:34" ht="15.75" x14ac:dyDescent="0.25">
      <c r="A512" s="2017"/>
      <c r="B512" s="2018"/>
      <c r="C512" s="2018"/>
      <c r="D512" s="2018"/>
      <c r="E512" s="2018"/>
      <c r="F512" s="2018"/>
      <c r="G512" s="2018"/>
      <c r="H512" s="2018"/>
      <c r="I512" s="2018"/>
      <c r="J512" s="2018"/>
      <c r="K512" s="2018"/>
      <c r="L512" s="2018"/>
      <c r="M512" s="2018"/>
      <c r="N512" s="2018"/>
      <c r="O512" s="2018"/>
      <c r="P512" s="2018"/>
      <c r="Q512" s="2018"/>
      <c r="R512" s="2018"/>
      <c r="S512" s="2018"/>
      <c r="T512" s="2018"/>
      <c r="U512" s="2018"/>
      <c r="V512" s="2018"/>
      <c r="W512" s="2018"/>
      <c r="X512" s="2018"/>
      <c r="Y512" s="2094"/>
      <c r="Z512" s="2096"/>
      <c r="AA512" s="2097"/>
      <c r="AB512" s="1055"/>
      <c r="AC512" s="1055"/>
      <c r="AD512" s="1055"/>
      <c r="AE512" s="1055"/>
      <c r="AF512" s="1056"/>
    </row>
    <row r="513" spans="1:32" ht="15.75" x14ac:dyDescent="0.25">
      <c r="A513" s="2017"/>
      <c r="B513" s="2018"/>
      <c r="C513" s="2018"/>
      <c r="D513" s="2018"/>
      <c r="E513" s="2018"/>
      <c r="F513" s="2018"/>
      <c r="G513" s="2018"/>
      <c r="H513" s="2018"/>
      <c r="I513" s="2018"/>
      <c r="J513" s="2018"/>
      <c r="K513" s="2018"/>
      <c r="L513" s="2018"/>
      <c r="M513" s="2018"/>
      <c r="N513" s="2018"/>
      <c r="O513" s="2018"/>
      <c r="P513" s="2018"/>
      <c r="Q513" s="2018"/>
      <c r="R513" s="2018"/>
      <c r="S513" s="2018"/>
      <c r="T513" s="2018"/>
      <c r="U513" s="2018"/>
      <c r="V513" s="2018"/>
      <c r="W513" s="2018"/>
      <c r="X513" s="2018"/>
      <c r="Y513" s="2094"/>
      <c r="Z513" s="2096"/>
      <c r="AA513" s="2097"/>
      <c r="AB513" s="1055"/>
      <c r="AC513" s="1055"/>
      <c r="AD513" s="1055"/>
      <c r="AE513" s="1055"/>
      <c r="AF513" s="1056"/>
    </row>
    <row r="514" spans="1:32" ht="15.75" x14ac:dyDescent="0.25">
      <c r="A514" s="2017"/>
      <c r="B514" s="2018"/>
      <c r="C514" s="2018"/>
      <c r="D514" s="2018"/>
      <c r="E514" s="2018"/>
      <c r="F514" s="2018"/>
      <c r="G514" s="2018"/>
      <c r="H514" s="2018"/>
      <c r="I514" s="2018"/>
      <c r="J514" s="2018"/>
      <c r="K514" s="2018"/>
      <c r="L514" s="2018"/>
      <c r="M514" s="2018"/>
      <c r="N514" s="2018"/>
      <c r="O514" s="2018"/>
      <c r="P514" s="2018"/>
      <c r="Q514" s="2018"/>
      <c r="R514" s="2018"/>
      <c r="S514" s="2018"/>
      <c r="T514" s="2018"/>
      <c r="U514" s="2018"/>
      <c r="V514" s="2018"/>
      <c r="W514" s="2018"/>
      <c r="X514" s="2018"/>
      <c r="Y514" s="2094"/>
      <c r="Z514" s="2096"/>
      <c r="AA514" s="2097"/>
      <c r="AB514" s="1055"/>
      <c r="AC514" s="1055"/>
      <c r="AD514" s="1055"/>
      <c r="AE514" s="1055"/>
      <c r="AF514" s="1056"/>
    </row>
    <row r="515" spans="1:32" ht="16.5" thickBot="1" x14ac:dyDescent="0.3">
      <c r="A515" s="2019"/>
      <c r="B515" s="2020"/>
      <c r="C515" s="2020"/>
      <c r="D515" s="2020"/>
      <c r="E515" s="2020"/>
      <c r="F515" s="2020"/>
      <c r="G515" s="2020"/>
      <c r="H515" s="2020"/>
      <c r="I515" s="2020"/>
      <c r="J515" s="2020"/>
      <c r="K515" s="2020"/>
      <c r="L515" s="2020"/>
      <c r="M515" s="2020"/>
      <c r="N515" s="2020"/>
      <c r="O515" s="2020"/>
      <c r="P515" s="2020"/>
      <c r="Q515" s="2020"/>
      <c r="R515" s="2020"/>
      <c r="S515" s="2020"/>
      <c r="T515" s="2020"/>
      <c r="U515" s="2020"/>
      <c r="V515" s="2020"/>
      <c r="W515" s="2020"/>
      <c r="X515" s="2020"/>
      <c r="Y515" s="2095"/>
      <c r="Z515" s="2098"/>
      <c r="AA515" s="2099"/>
      <c r="AB515" s="1057"/>
      <c r="AC515" s="1057"/>
      <c r="AD515" s="1057"/>
      <c r="AE515" s="1057"/>
      <c r="AF515" s="1058"/>
    </row>
    <row r="516" spans="1:32" ht="15.75" x14ac:dyDescent="0.25">
      <c r="A516" s="2009" t="s">
        <v>1866</v>
      </c>
      <c r="B516" s="2010"/>
      <c r="C516" s="2010"/>
      <c r="D516" s="2010"/>
      <c r="E516" s="2010"/>
      <c r="F516" s="2010"/>
      <c r="G516" s="2010"/>
      <c r="H516" s="2010"/>
      <c r="I516" s="2010"/>
      <c r="J516" s="2010"/>
      <c r="K516" s="2010"/>
      <c r="L516" s="2010"/>
      <c r="M516" s="2010"/>
      <c r="N516" s="2010"/>
      <c r="O516" s="2010"/>
      <c r="P516" s="2010"/>
      <c r="Q516" s="2010"/>
      <c r="R516" s="2010"/>
      <c r="S516" s="2010"/>
      <c r="T516" s="2010"/>
      <c r="U516" s="2010"/>
      <c r="V516" s="2010"/>
      <c r="W516" s="2010"/>
      <c r="X516" s="2010"/>
      <c r="Y516" s="2010"/>
      <c r="Z516" s="2013" t="s">
        <v>1850</v>
      </c>
      <c r="AA516" s="2013"/>
      <c r="AB516" s="2013"/>
      <c r="AC516" s="2013"/>
      <c r="AD516" s="2013"/>
      <c r="AE516" s="2013"/>
      <c r="AF516" s="1059">
        <f>SUM(AF495:AF515)</f>
        <v>11.93</v>
      </c>
    </row>
    <row r="517" spans="1:32" ht="15.75" x14ac:dyDescent="0.25">
      <c r="A517" s="2011"/>
      <c r="B517" s="2012"/>
      <c r="C517" s="2012"/>
      <c r="D517" s="2012"/>
      <c r="E517" s="2012"/>
      <c r="F517" s="2012"/>
      <c r="G517" s="2012"/>
      <c r="H517" s="2012"/>
      <c r="I517" s="2012"/>
      <c r="J517" s="2012"/>
      <c r="K517" s="2012"/>
      <c r="L517" s="2012"/>
      <c r="M517" s="2012"/>
      <c r="N517" s="2012"/>
      <c r="O517" s="2012"/>
      <c r="P517" s="2012"/>
      <c r="Q517" s="2012"/>
      <c r="R517" s="2012"/>
      <c r="S517" s="2012"/>
      <c r="T517" s="2012"/>
      <c r="U517" s="2012"/>
      <c r="V517" s="2012"/>
      <c r="W517" s="2012"/>
      <c r="X517" s="2012"/>
      <c r="Y517" s="2012"/>
      <c r="Z517" s="2014" t="s">
        <v>1851</v>
      </c>
      <c r="AA517" s="2014"/>
      <c r="AB517" s="2014"/>
      <c r="AC517" s="2014"/>
      <c r="AD517" s="2014"/>
      <c r="AE517" s="2014"/>
      <c r="AF517" s="1060">
        <v>0</v>
      </c>
    </row>
    <row r="518" spans="1:32" ht="15.75" x14ac:dyDescent="0.25">
      <c r="A518" s="2011"/>
      <c r="B518" s="2012"/>
      <c r="C518" s="2012"/>
      <c r="D518" s="2012"/>
      <c r="E518" s="2012"/>
      <c r="F518" s="2012"/>
      <c r="G518" s="2012"/>
      <c r="H518" s="2012"/>
      <c r="I518" s="2012"/>
      <c r="J518" s="2012"/>
      <c r="K518" s="2012"/>
      <c r="L518" s="2012"/>
      <c r="M518" s="2012"/>
      <c r="N518" s="2012"/>
      <c r="O518" s="2012"/>
      <c r="P518" s="2012"/>
      <c r="Q518" s="2012"/>
      <c r="R518" s="2012"/>
      <c r="S518" s="2012"/>
      <c r="T518" s="2012"/>
      <c r="U518" s="2012"/>
      <c r="V518" s="2012"/>
      <c r="W518" s="2012"/>
      <c r="X518" s="2012"/>
      <c r="Y518" s="2012"/>
      <c r="Z518" s="2015" t="s">
        <v>1833</v>
      </c>
      <c r="AA518" s="2015"/>
      <c r="AB518" s="2015"/>
      <c r="AC518" s="2015"/>
      <c r="AD518" s="2015"/>
      <c r="AE518" s="2015"/>
      <c r="AF518" s="1061">
        <f>SUM(AF516:AF517)</f>
        <v>11.93</v>
      </c>
    </row>
    <row r="519" spans="1:32" x14ac:dyDescent="0.2">
      <c r="A519" s="2012" t="s">
        <v>1859</v>
      </c>
      <c r="B519" s="2012"/>
      <c r="C519" s="2012"/>
      <c r="D519" s="2012"/>
      <c r="E519" s="2012"/>
      <c r="F519" s="2012"/>
      <c r="G519" s="2012"/>
      <c r="H519" s="2012"/>
      <c r="I519" s="2012"/>
      <c r="J519" s="2012"/>
      <c r="K519" s="2012"/>
      <c r="L519" s="2012"/>
      <c r="M519" s="2012"/>
      <c r="N519" s="2012"/>
      <c r="O519" s="2012"/>
      <c r="P519" s="2012"/>
      <c r="Q519" s="2012"/>
      <c r="R519" s="2012"/>
      <c r="S519" s="2012"/>
      <c r="T519" s="2016" t="s">
        <v>1840</v>
      </c>
      <c r="U519" s="2016"/>
      <c r="V519" s="2016"/>
      <c r="W519" s="2016"/>
      <c r="X519" s="2016"/>
      <c r="Y519" s="2016"/>
      <c r="Z519" s="2016"/>
      <c r="AA519" s="2016"/>
      <c r="AB519" s="2012" t="s">
        <v>1852</v>
      </c>
      <c r="AC519" s="2012"/>
      <c r="AD519" s="2012"/>
      <c r="AE519" s="2012"/>
      <c r="AF519" s="2012"/>
    </row>
    <row r="520" spans="1:32" x14ac:dyDescent="0.2">
      <c r="A520" s="2012"/>
      <c r="B520" s="2012"/>
      <c r="C520" s="2012"/>
      <c r="D520" s="2012"/>
      <c r="E520" s="2012"/>
      <c r="F520" s="2012"/>
      <c r="G520" s="2012"/>
      <c r="H520" s="2012"/>
      <c r="I520" s="2012"/>
      <c r="J520" s="2012"/>
      <c r="K520" s="2012"/>
      <c r="L520" s="2012"/>
      <c r="M520" s="2012"/>
      <c r="N520" s="2012"/>
      <c r="O520" s="2012"/>
      <c r="P520" s="2012"/>
      <c r="Q520" s="2012"/>
      <c r="R520" s="2012"/>
      <c r="S520" s="2012"/>
      <c r="T520" s="2016"/>
      <c r="U520" s="2016"/>
      <c r="V520" s="2016"/>
      <c r="W520" s="2016"/>
      <c r="X520" s="2016"/>
      <c r="Y520" s="2016"/>
      <c r="Z520" s="2016"/>
      <c r="AA520" s="2016"/>
      <c r="AB520" s="2012"/>
      <c r="AC520" s="2012"/>
      <c r="AD520" s="2012"/>
      <c r="AE520" s="2012"/>
      <c r="AF520" s="2012"/>
    </row>
    <row r="521" spans="1:32" ht="13.5" thickBot="1" x14ac:dyDescent="0.25"/>
    <row r="522" spans="1:32" ht="19.149999999999999" customHeight="1" x14ac:dyDescent="0.2">
      <c r="A522" s="2025" t="s">
        <v>1854</v>
      </c>
      <c r="B522" s="2026"/>
      <c r="C522" s="2026"/>
      <c r="D522" s="2026"/>
      <c r="E522" s="2026"/>
      <c r="F522" s="2026"/>
      <c r="G522" s="2026"/>
      <c r="H522" s="2026"/>
      <c r="I522" s="2026"/>
      <c r="J522" s="2026"/>
      <c r="K522" s="2026"/>
      <c r="L522" s="2026"/>
      <c r="M522" s="2026"/>
      <c r="N522" s="2026"/>
      <c r="O522" s="2026"/>
      <c r="P522" s="2026"/>
      <c r="Q522" s="2026"/>
      <c r="R522" s="2026"/>
      <c r="S522" s="2026"/>
      <c r="T522" s="2026"/>
      <c r="U522" s="2026"/>
      <c r="V522" s="2026"/>
      <c r="W522" s="2026"/>
      <c r="X522" s="2026"/>
      <c r="Y522" s="2026"/>
      <c r="Z522" s="2026"/>
      <c r="AA522" s="2026"/>
      <c r="AB522" s="2026"/>
      <c r="AC522" s="2026"/>
      <c r="AD522" s="2026"/>
      <c r="AE522" s="1041" t="s">
        <v>1834</v>
      </c>
      <c r="AF522" s="1042" t="s">
        <v>1835</v>
      </c>
    </row>
    <row r="523" spans="1:32" ht="24.6" customHeight="1" thickBot="1" x14ac:dyDescent="0.25">
      <c r="A523" s="2027"/>
      <c r="B523" s="2028"/>
      <c r="C523" s="2028"/>
      <c r="D523" s="2028"/>
      <c r="E523" s="2028"/>
      <c r="F523" s="2028"/>
      <c r="G523" s="2028"/>
      <c r="H523" s="2028"/>
      <c r="I523" s="2028"/>
      <c r="J523" s="2028"/>
      <c r="K523" s="2028"/>
      <c r="L523" s="2028"/>
      <c r="M523" s="2028"/>
      <c r="N523" s="2028"/>
      <c r="O523" s="2028"/>
      <c r="P523" s="2028"/>
      <c r="Q523" s="2028"/>
      <c r="R523" s="2028"/>
      <c r="S523" s="2028"/>
      <c r="T523" s="2028"/>
      <c r="U523" s="2028"/>
      <c r="V523" s="2028"/>
      <c r="W523" s="2028"/>
      <c r="X523" s="2028"/>
      <c r="Y523" s="2028"/>
      <c r="Z523" s="2028"/>
      <c r="AA523" s="2028"/>
      <c r="AB523" s="2028"/>
      <c r="AC523" s="2028"/>
      <c r="AD523" s="2028"/>
      <c r="AE523" s="1041" t="s">
        <v>1836</v>
      </c>
      <c r="AF523" s="1044">
        <v>1</v>
      </c>
    </row>
    <row r="524" spans="1:32" ht="15.75" x14ac:dyDescent="0.2">
      <c r="A524" s="2029"/>
      <c r="B524" s="2030"/>
      <c r="C524" s="2030"/>
      <c r="D524" s="2031"/>
      <c r="E524" s="2025" t="str">
        <f>'01'!$A$12</f>
        <v>"CONSTRUCCION SISTEMA DE ACUEDUCTO FASE II DEL MUNICIPIO DE TESALIA DPTO DEL HUILA"</v>
      </c>
      <c r="F524" s="2026"/>
      <c r="G524" s="2026"/>
      <c r="H524" s="2026"/>
      <c r="I524" s="2026"/>
      <c r="J524" s="2026"/>
      <c r="K524" s="2026"/>
      <c r="L524" s="2026"/>
      <c r="M524" s="2026"/>
      <c r="N524" s="2026"/>
      <c r="O524" s="2026"/>
      <c r="P524" s="2026"/>
      <c r="Q524" s="2026"/>
      <c r="R524" s="2026"/>
      <c r="S524" s="2026"/>
      <c r="T524" s="2026"/>
      <c r="U524" s="2026"/>
      <c r="V524" s="2026"/>
      <c r="W524" s="2026"/>
      <c r="X524" s="2026"/>
      <c r="Y524" s="2026"/>
      <c r="Z524" s="2026"/>
      <c r="AA524" s="2026"/>
      <c r="AB524" s="2026"/>
      <c r="AC524" s="2026"/>
      <c r="AD524" s="2035"/>
      <c r="AE524" s="1041" t="s">
        <v>847</v>
      </c>
      <c r="AF524" s="1045">
        <f>'01'!$M$13</f>
        <v>0</v>
      </c>
    </row>
    <row r="525" spans="1:32" ht="16.5" thickBot="1" x14ac:dyDescent="0.25">
      <c r="A525" s="2032"/>
      <c r="B525" s="2033"/>
      <c r="C525" s="2033"/>
      <c r="D525" s="2034"/>
      <c r="E525" s="2027"/>
      <c r="F525" s="2028"/>
      <c r="G525" s="2028"/>
      <c r="H525" s="2028"/>
      <c r="I525" s="2028"/>
      <c r="J525" s="2028"/>
      <c r="K525" s="2028"/>
      <c r="L525" s="2028"/>
      <c r="M525" s="2028"/>
      <c r="N525" s="2028"/>
      <c r="O525" s="2028"/>
      <c r="P525" s="2028"/>
      <c r="Q525" s="2028"/>
      <c r="R525" s="2028"/>
      <c r="S525" s="2028"/>
      <c r="T525" s="2028"/>
      <c r="U525" s="2028"/>
      <c r="V525" s="2028"/>
      <c r="W525" s="2028"/>
      <c r="X525" s="2028"/>
      <c r="Y525" s="2028"/>
      <c r="Z525" s="2028"/>
      <c r="AA525" s="2028"/>
      <c r="AB525" s="2028"/>
      <c r="AC525" s="2028"/>
      <c r="AD525" s="2036"/>
      <c r="AE525" s="1041" t="s">
        <v>1837</v>
      </c>
      <c r="AF525" s="1042" t="s">
        <v>1838</v>
      </c>
    </row>
    <row r="526" spans="1:32" ht="15.75" x14ac:dyDescent="0.25">
      <c r="A526" s="2037" t="s">
        <v>1860</v>
      </c>
      <c r="B526" s="2038"/>
      <c r="C526" s="2038"/>
      <c r="D526" s="2038"/>
      <c r="E526" s="2038"/>
      <c r="F526" s="2038"/>
      <c r="G526" s="2038"/>
      <c r="H526" s="2038"/>
      <c r="I526" s="2038"/>
      <c r="J526" s="2038"/>
      <c r="K526" s="2038"/>
      <c r="L526" s="2038"/>
      <c r="M526" s="2038"/>
      <c r="N526" s="2038"/>
      <c r="O526" s="2038"/>
      <c r="P526" s="2038"/>
      <c r="Q526" s="2038"/>
      <c r="R526" s="2038"/>
      <c r="S526" s="2038"/>
      <c r="T526" s="2038"/>
      <c r="U526" s="2038"/>
      <c r="V526" s="2038"/>
      <c r="W526" s="2038"/>
      <c r="X526" s="2038"/>
      <c r="Y526" s="2038"/>
      <c r="Z526" s="2038"/>
      <c r="AA526" s="2038"/>
      <c r="AB526" s="2038"/>
      <c r="AC526" s="2038"/>
      <c r="AD526" s="2038"/>
      <c r="AE526" s="2039" t="s">
        <v>1839</v>
      </c>
      <c r="AF526" s="2040"/>
    </row>
    <row r="527" spans="1:32" ht="15.75" x14ac:dyDescent="0.25">
      <c r="A527" s="2041" t="s">
        <v>1840</v>
      </c>
      <c r="B527" s="2042"/>
      <c r="C527" s="2042"/>
      <c r="D527" s="2042"/>
      <c r="E527" s="2042"/>
      <c r="F527" s="2042"/>
      <c r="G527" s="2042"/>
      <c r="H527" s="2042"/>
      <c r="I527" s="2042"/>
      <c r="J527" s="2042"/>
      <c r="K527" s="2042"/>
      <c r="L527" s="2042"/>
      <c r="M527" s="2042"/>
      <c r="N527" s="2042"/>
      <c r="O527" s="2042"/>
      <c r="P527" s="2042"/>
      <c r="Q527" s="2042"/>
      <c r="R527" s="2042"/>
      <c r="S527" s="2042"/>
      <c r="T527" s="2042"/>
      <c r="U527" s="2042"/>
      <c r="V527" s="2042"/>
      <c r="W527" s="2042"/>
      <c r="X527" s="2042"/>
      <c r="Y527" s="2042"/>
      <c r="Z527" s="2042"/>
      <c r="AA527" s="2042"/>
      <c r="AB527" s="2042"/>
      <c r="AC527" s="2042"/>
      <c r="AD527" s="2043"/>
      <c r="AE527" s="2014" t="s">
        <v>1841</v>
      </c>
      <c r="AF527" s="2044"/>
    </row>
    <row r="528" spans="1:32" ht="15.75" x14ac:dyDescent="0.25">
      <c r="A528" s="2045" t="s">
        <v>1853</v>
      </c>
      <c r="B528" s="2046"/>
      <c r="C528" s="2046"/>
      <c r="D528" s="2046"/>
      <c r="E528" s="2046"/>
      <c r="F528" s="2046"/>
      <c r="G528" s="2046"/>
      <c r="H528" s="2046"/>
      <c r="I528" s="2046"/>
      <c r="J528" s="2046"/>
      <c r="K528" s="2046"/>
      <c r="L528" s="2046"/>
      <c r="M528" s="2046"/>
      <c r="N528" s="2046"/>
      <c r="O528" s="2046"/>
      <c r="P528" s="2046"/>
      <c r="Q528" s="2046"/>
      <c r="R528" s="2046"/>
      <c r="S528" s="2046"/>
      <c r="T528" s="2046"/>
      <c r="U528" s="2046"/>
      <c r="V528" s="2046"/>
      <c r="W528" s="2046"/>
      <c r="X528" s="2046"/>
      <c r="Y528" s="2046"/>
      <c r="Z528" s="2046"/>
      <c r="AA528" s="2046"/>
      <c r="AB528" s="2046"/>
      <c r="AC528" s="2046"/>
      <c r="AD528" s="2046"/>
      <c r="AE528" s="2047">
        <f>'01'!$M$13</f>
        <v>0</v>
      </c>
      <c r="AF528" s="2044"/>
    </row>
    <row r="529" spans="1:34" x14ac:dyDescent="0.2">
      <c r="A529" s="1046"/>
      <c r="B529" s="1047"/>
      <c r="C529" s="1047"/>
      <c r="D529" s="1047"/>
      <c r="E529" s="1047"/>
      <c r="F529" s="1047"/>
      <c r="G529" s="1047"/>
      <c r="H529" s="1047"/>
      <c r="I529" s="1047"/>
      <c r="J529" s="1047"/>
      <c r="K529" s="1047"/>
      <c r="L529" s="1047"/>
      <c r="M529" s="1047"/>
      <c r="N529" s="1047"/>
      <c r="O529" s="1047"/>
      <c r="P529" s="1047"/>
      <c r="Q529" s="1047"/>
      <c r="R529" s="1047"/>
      <c r="S529" s="1047"/>
      <c r="T529" s="1047"/>
      <c r="U529" s="1047"/>
      <c r="V529" s="1047"/>
      <c r="W529" s="1047"/>
      <c r="X529" s="1047"/>
      <c r="Y529" s="1047"/>
      <c r="Z529" s="1047"/>
      <c r="AA529" s="1047"/>
      <c r="AB529" s="1047"/>
      <c r="AC529" s="1047"/>
      <c r="AD529" s="1047"/>
      <c r="AE529" s="1047"/>
      <c r="AF529" s="1048"/>
    </row>
    <row r="530" spans="1:34" ht="15.75" x14ac:dyDescent="0.2">
      <c r="A530" s="2048" t="s">
        <v>1842</v>
      </c>
      <c r="B530" s="2049"/>
      <c r="C530" s="2049"/>
      <c r="D530" s="2049"/>
      <c r="E530" s="2049"/>
      <c r="F530" s="2050" t="str">
        <f>'01'!$H$33</f>
        <v>B - CÁMARA DE LLEGADA Y AQUIETAMIENTO DEL AGUA</v>
      </c>
      <c r="G530" s="2049"/>
      <c r="H530" s="2049"/>
      <c r="I530" s="2049"/>
      <c r="J530" s="2049"/>
      <c r="K530" s="2049"/>
      <c r="L530" s="2049"/>
      <c r="M530" s="2049"/>
      <c r="N530" s="2049"/>
      <c r="O530" s="2049"/>
      <c r="P530" s="2049"/>
      <c r="Q530" s="2049"/>
      <c r="R530" s="2049"/>
      <c r="S530" s="2049"/>
      <c r="T530" s="2049"/>
      <c r="U530" s="2049"/>
      <c r="V530" s="2049"/>
      <c r="W530" s="2049"/>
      <c r="X530" s="2049"/>
      <c r="Y530" s="2051"/>
      <c r="Z530" s="2052" t="s">
        <v>1843</v>
      </c>
      <c r="AA530" s="2053"/>
      <c r="AB530" s="2058" t="s">
        <v>1844</v>
      </c>
      <c r="AC530" s="2059"/>
      <c r="AD530" s="2060"/>
      <c r="AE530" s="2064" t="s">
        <v>1845</v>
      </c>
      <c r="AF530" s="2067" t="s">
        <v>1846</v>
      </c>
    </row>
    <row r="531" spans="1:34" ht="12.75" customHeight="1" x14ac:dyDescent="0.2">
      <c r="A531" s="2070" t="str">
        <f>+'01'!A42</f>
        <v>B-03-03</v>
      </c>
      <c r="B531" s="2071"/>
      <c r="C531" s="2072"/>
      <c r="D531" s="2076" t="str">
        <f>VLOOKUP(A531,'01'!$A$12:$N$299,3,FALSE)</f>
        <v>RELLENO CON MATERIAL SELECCIONADO DE LA EXCAVACIÓN, COMPACTADO CON EQUIPO MECÁNICO EN CAPAS DE 0,20 m</v>
      </c>
      <c r="E531" s="2077"/>
      <c r="F531" s="2077"/>
      <c r="G531" s="2077"/>
      <c r="H531" s="2077"/>
      <c r="I531" s="2077"/>
      <c r="J531" s="2077"/>
      <c r="K531" s="2077"/>
      <c r="L531" s="2077"/>
      <c r="M531" s="2077"/>
      <c r="N531" s="2077"/>
      <c r="O531" s="2077"/>
      <c r="P531" s="2077"/>
      <c r="Q531" s="2077"/>
      <c r="R531" s="2077"/>
      <c r="S531" s="2078"/>
      <c r="T531" s="2082" t="s">
        <v>124</v>
      </c>
      <c r="U531" s="2083"/>
      <c r="V531" s="2083"/>
      <c r="W531" s="2083"/>
      <c r="X531" s="2052" t="str">
        <f>VLOOKUP(A531,'01'!$A$12:$N$299,9,FALSE)</f>
        <v>M3</v>
      </c>
      <c r="Y531" s="2053"/>
      <c r="Z531" s="2054"/>
      <c r="AA531" s="2055"/>
      <c r="AB531" s="2061"/>
      <c r="AC531" s="2062"/>
      <c r="AD531" s="2063"/>
      <c r="AE531" s="2065"/>
      <c r="AF531" s="2068"/>
    </row>
    <row r="532" spans="1:34" ht="15.75" x14ac:dyDescent="0.25">
      <c r="A532" s="2073"/>
      <c r="B532" s="2074"/>
      <c r="C532" s="2075"/>
      <c r="D532" s="2079"/>
      <c r="E532" s="2080"/>
      <c r="F532" s="2080"/>
      <c r="G532" s="2080"/>
      <c r="H532" s="2080"/>
      <c r="I532" s="2080"/>
      <c r="J532" s="2080"/>
      <c r="K532" s="2080"/>
      <c r="L532" s="2080"/>
      <c r="M532" s="2080"/>
      <c r="N532" s="2080"/>
      <c r="O532" s="2080"/>
      <c r="P532" s="2080"/>
      <c r="Q532" s="2080"/>
      <c r="R532" s="2080"/>
      <c r="S532" s="2081"/>
      <c r="T532" s="2084"/>
      <c r="U532" s="2085"/>
      <c r="V532" s="2085"/>
      <c r="W532" s="2085"/>
      <c r="X532" s="2056"/>
      <c r="Y532" s="2057"/>
      <c r="Z532" s="2056"/>
      <c r="AA532" s="2057"/>
      <c r="AB532" s="1049" t="s">
        <v>1847</v>
      </c>
      <c r="AC532" s="1049" t="s">
        <v>1848</v>
      </c>
      <c r="AD532" s="1049" t="s">
        <v>1861</v>
      </c>
      <c r="AE532" s="2066"/>
      <c r="AF532" s="2069"/>
    </row>
    <row r="533" spans="1:34" ht="31.15" customHeight="1" x14ac:dyDescent="0.25">
      <c r="A533" s="2017"/>
      <c r="B533" s="2018"/>
      <c r="C533" s="2018"/>
      <c r="D533" s="2018"/>
      <c r="E533" s="2018"/>
      <c r="F533" s="2018"/>
      <c r="G533" s="2018"/>
      <c r="H533" s="2018"/>
      <c r="I533" s="2018"/>
      <c r="J533" s="2018"/>
      <c r="K533" s="2018"/>
      <c r="L533" s="2018"/>
      <c r="M533" s="2018"/>
      <c r="N533" s="2018"/>
      <c r="O533" s="2018"/>
      <c r="P533" s="2018"/>
      <c r="Q533" s="2018"/>
      <c r="R533" s="2018"/>
      <c r="S533" s="2018"/>
      <c r="T533" s="2018"/>
      <c r="U533" s="2018"/>
      <c r="V533" s="2018"/>
      <c r="W533" s="2018"/>
      <c r="X533" s="2018"/>
      <c r="Y533" s="2094"/>
      <c r="Z533" s="2096" t="s">
        <v>1622</v>
      </c>
      <c r="AA533" s="2097"/>
      <c r="AB533" s="1050">
        <f>+AB500</f>
        <v>12</v>
      </c>
      <c r="AC533" s="1050">
        <f>+AC500</f>
        <v>1</v>
      </c>
      <c r="AD533" s="1050">
        <f>+AD424-AD457-AD500</f>
        <v>1.0999999999999999</v>
      </c>
      <c r="AE533" s="1051">
        <v>1</v>
      </c>
      <c r="AF533" s="1052">
        <f>ROUND(AE533*AD533*AC533*AB533,2)</f>
        <v>13.2</v>
      </c>
      <c r="AH533" s="481"/>
    </row>
    <row r="534" spans="1:34" ht="33" customHeight="1" x14ac:dyDescent="0.25">
      <c r="A534" s="2017"/>
      <c r="B534" s="2018"/>
      <c r="C534" s="2018"/>
      <c r="D534" s="2018"/>
      <c r="E534" s="2018"/>
      <c r="F534" s="2018"/>
      <c r="G534" s="2018"/>
      <c r="H534" s="2018"/>
      <c r="I534" s="2018"/>
      <c r="J534" s="2018"/>
      <c r="K534" s="2018"/>
      <c r="L534" s="2018"/>
      <c r="M534" s="2018"/>
      <c r="N534" s="2018"/>
      <c r="O534" s="2018"/>
      <c r="P534" s="2018"/>
      <c r="Q534" s="2018"/>
      <c r="R534" s="2018"/>
      <c r="S534" s="2018"/>
      <c r="T534" s="2018"/>
      <c r="U534" s="2018"/>
      <c r="V534" s="2018"/>
      <c r="W534" s="2018"/>
      <c r="X534" s="2018"/>
      <c r="Y534" s="2094"/>
      <c r="Z534" s="2096" t="s">
        <v>1623</v>
      </c>
      <c r="AA534" s="2097"/>
      <c r="AB534" s="1050">
        <f>+AB533</f>
        <v>12</v>
      </c>
      <c r="AC534" s="1050">
        <f>+AC533</f>
        <v>1</v>
      </c>
      <c r="AD534" s="1050">
        <f>+AD425-AD458-AD501</f>
        <v>1.0999999999999999</v>
      </c>
      <c r="AE534" s="1051">
        <v>1</v>
      </c>
      <c r="AF534" s="1052">
        <f>ROUND(AE534*AD534*AC534*AB534,2)</f>
        <v>13.2</v>
      </c>
      <c r="AH534" s="481"/>
    </row>
    <row r="535" spans="1:34" ht="15.75" x14ac:dyDescent="0.25">
      <c r="A535" s="2017"/>
      <c r="B535" s="2018"/>
      <c r="C535" s="2018"/>
      <c r="D535" s="2018"/>
      <c r="E535" s="2018"/>
      <c r="F535" s="2018"/>
      <c r="G535" s="2018"/>
      <c r="H535" s="2018"/>
      <c r="I535" s="2018"/>
      <c r="J535" s="2018"/>
      <c r="K535" s="2018"/>
      <c r="L535" s="2018"/>
      <c r="M535" s="2018"/>
      <c r="N535" s="2018"/>
      <c r="O535" s="2018"/>
      <c r="P535" s="2018"/>
      <c r="Q535" s="2018"/>
      <c r="R535" s="2018"/>
      <c r="S535" s="2018"/>
      <c r="T535" s="2018"/>
      <c r="U535" s="2018"/>
      <c r="V535" s="2018"/>
      <c r="W535" s="2018"/>
      <c r="X535" s="2018"/>
      <c r="Y535" s="2094"/>
      <c r="Z535" s="2096"/>
      <c r="AA535" s="2097"/>
      <c r="AB535" s="1050"/>
      <c r="AC535" s="1050"/>
      <c r="AD535" s="1050"/>
      <c r="AE535" s="1051"/>
      <c r="AF535" s="1052"/>
      <c r="AH535" s="481"/>
    </row>
    <row r="536" spans="1:34" ht="15.75" x14ac:dyDescent="0.25">
      <c r="A536" s="2017"/>
      <c r="B536" s="2018"/>
      <c r="C536" s="2018"/>
      <c r="D536" s="2018"/>
      <c r="E536" s="2018"/>
      <c r="F536" s="2018"/>
      <c r="G536" s="2018"/>
      <c r="H536" s="2018"/>
      <c r="I536" s="2018"/>
      <c r="J536" s="2018"/>
      <c r="K536" s="2018"/>
      <c r="L536" s="2018"/>
      <c r="M536" s="2018"/>
      <c r="N536" s="2018"/>
      <c r="O536" s="2018"/>
      <c r="P536" s="2018"/>
      <c r="Q536" s="2018"/>
      <c r="R536" s="2018"/>
      <c r="S536" s="2018"/>
      <c r="T536" s="2018"/>
      <c r="U536" s="2018"/>
      <c r="V536" s="2018"/>
      <c r="W536" s="2018"/>
      <c r="X536" s="2018"/>
      <c r="Y536" s="2094"/>
      <c r="Z536" s="2096"/>
      <c r="AA536" s="2097"/>
      <c r="AB536" s="1050"/>
      <c r="AC536" s="1050"/>
      <c r="AD536" s="1050"/>
      <c r="AE536" s="1051"/>
      <c r="AF536" s="1052"/>
      <c r="AH536" s="481"/>
    </row>
    <row r="537" spans="1:34" ht="15.75" x14ac:dyDescent="0.25">
      <c r="A537" s="2017"/>
      <c r="B537" s="2018"/>
      <c r="C537" s="2018"/>
      <c r="D537" s="2018"/>
      <c r="E537" s="2018"/>
      <c r="F537" s="2018"/>
      <c r="G537" s="2018"/>
      <c r="H537" s="2018"/>
      <c r="I537" s="2018"/>
      <c r="J537" s="2018"/>
      <c r="K537" s="2018"/>
      <c r="L537" s="2018"/>
      <c r="M537" s="2018"/>
      <c r="N537" s="2018"/>
      <c r="O537" s="2018"/>
      <c r="P537" s="2018"/>
      <c r="Q537" s="2018"/>
      <c r="R537" s="2018"/>
      <c r="S537" s="2018"/>
      <c r="T537" s="2018"/>
      <c r="U537" s="2018"/>
      <c r="V537" s="2018"/>
      <c r="W537" s="2018"/>
      <c r="X537" s="2018"/>
      <c r="Y537" s="2094"/>
      <c r="Z537" s="2096"/>
      <c r="AA537" s="2097"/>
      <c r="AB537" s="1050"/>
      <c r="AC537" s="1050"/>
      <c r="AD537" s="1050"/>
      <c r="AE537" s="1051"/>
      <c r="AF537" s="1052"/>
      <c r="AH537" s="481"/>
    </row>
    <row r="538" spans="1:34" ht="16.149999999999999" customHeight="1" x14ac:dyDescent="0.25">
      <c r="A538" s="2017"/>
      <c r="B538" s="2018"/>
      <c r="C538" s="2018"/>
      <c r="D538" s="2018"/>
      <c r="E538" s="2018"/>
      <c r="F538" s="2018"/>
      <c r="G538" s="2018"/>
      <c r="H538" s="2018"/>
      <c r="I538" s="2018"/>
      <c r="J538" s="2018"/>
      <c r="K538" s="2018"/>
      <c r="L538" s="2018"/>
      <c r="M538" s="2018"/>
      <c r="N538" s="2018"/>
      <c r="O538" s="2018"/>
      <c r="P538" s="2018"/>
      <c r="Q538" s="2018"/>
      <c r="R538" s="2018"/>
      <c r="S538" s="2018"/>
      <c r="T538" s="2018"/>
      <c r="U538" s="2018"/>
      <c r="V538" s="2018"/>
      <c r="W538" s="2018"/>
      <c r="X538" s="2018"/>
      <c r="Y538" s="2094"/>
      <c r="Z538" s="2096"/>
      <c r="AA538" s="2097"/>
      <c r="AB538" s="1050"/>
      <c r="AC538" s="1050"/>
      <c r="AD538" s="1050"/>
      <c r="AE538" s="1050"/>
      <c r="AF538" s="1050"/>
      <c r="AH538" s="481"/>
    </row>
    <row r="539" spans="1:34" ht="19.899999999999999" customHeight="1" x14ac:dyDescent="0.25">
      <c r="A539" s="2017"/>
      <c r="B539" s="2018"/>
      <c r="C539" s="2018"/>
      <c r="D539" s="2018"/>
      <c r="E539" s="2018"/>
      <c r="F539" s="2018"/>
      <c r="G539" s="2018"/>
      <c r="H539" s="2018"/>
      <c r="I539" s="2018"/>
      <c r="J539" s="2018"/>
      <c r="K539" s="2018"/>
      <c r="L539" s="2018"/>
      <c r="M539" s="2018"/>
      <c r="N539" s="2018"/>
      <c r="O539" s="2018"/>
      <c r="P539" s="2018"/>
      <c r="Q539" s="2018"/>
      <c r="R539" s="2018"/>
      <c r="S539" s="2018"/>
      <c r="T539" s="2018"/>
      <c r="U539" s="2018"/>
      <c r="V539" s="2018"/>
      <c r="W539" s="2018"/>
      <c r="X539" s="2018"/>
      <c r="Y539" s="2094"/>
      <c r="Z539" s="2096"/>
      <c r="AA539" s="2097"/>
      <c r="AB539" s="1050"/>
      <c r="AC539" s="1050"/>
      <c r="AD539" s="1050"/>
      <c r="AE539" s="1050"/>
      <c r="AF539" s="1050"/>
      <c r="AH539" s="481"/>
    </row>
    <row r="540" spans="1:34" ht="15.75" x14ac:dyDescent="0.25">
      <c r="A540" s="2017"/>
      <c r="B540" s="2018"/>
      <c r="C540" s="2018"/>
      <c r="D540" s="2018"/>
      <c r="E540" s="2018"/>
      <c r="F540" s="2018"/>
      <c r="G540" s="2018"/>
      <c r="H540" s="2018"/>
      <c r="I540" s="2018"/>
      <c r="J540" s="2018"/>
      <c r="K540" s="2018"/>
      <c r="L540" s="2018"/>
      <c r="M540" s="2018"/>
      <c r="N540" s="2018"/>
      <c r="O540" s="2018"/>
      <c r="P540" s="2018"/>
      <c r="Q540" s="2018"/>
      <c r="R540" s="2018"/>
      <c r="S540" s="2018"/>
      <c r="T540" s="2018"/>
      <c r="U540" s="2018"/>
      <c r="V540" s="2018"/>
      <c r="W540" s="2018"/>
      <c r="X540" s="2018"/>
      <c r="Y540" s="2094"/>
      <c r="Z540" s="2096"/>
      <c r="AA540" s="2097"/>
      <c r="AB540" s="1050"/>
      <c r="AC540" s="1050"/>
      <c r="AD540" s="1050"/>
      <c r="AE540" s="1050"/>
      <c r="AF540" s="1050"/>
    </row>
    <row r="541" spans="1:34" ht="15.75" x14ac:dyDescent="0.25">
      <c r="A541" s="2017"/>
      <c r="B541" s="2018"/>
      <c r="C541" s="2018"/>
      <c r="D541" s="2018"/>
      <c r="E541" s="2018"/>
      <c r="F541" s="2018"/>
      <c r="G541" s="2018"/>
      <c r="H541" s="2018"/>
      <c r="I541" s="2018"/>
      <c r="J541" s="2018"/>
      <c r="K541" s="2018"/>
      <c r="L541" s="2018"/>
      <c r="M541" s="2018"/>
      <c r="N541" s="2018"/>
      <c r="O541" s="2018"/>
      <c r="P541" s="2018"/>
      <c r="Q541" s="2018"/>
      <c r="R541" s="2018"/>
      <c r="S541" s="2018"/>
      <c r="T541" s="2018"/>
      <c r="U541" s="2018"/>
      <c r="V541" s="2018"/>
      <c r="W541" s="2018"/>
      <c r="X541" s="2018"/>
      <c r="Y541" s="2094"/>
      <c r="Z541" s="2096"/>
      <c r="AA541" s="2097"/>
      <c r="AB541" s="1053"/>
      <c r="AC541" s="1053"/>
      <c r="AD541" s="1053"/>
      <c r="AE541" s="1050"/>
      <c r="AF541" s="1054"/>
    </row>
    <row r="542" spans="1:34" ht="15.75" x14ac:dyDescent="0.25">
      <c r="A542" s="2017"/>
      <c r="B542" s="2018"/>
      <c r="C542" s="2018"/>
      <c r="D542" s="2018"/>
      <c r="E542" s="2018"/>
      <c r="F542" s="2018"/>
      <c r="G542" s="2018"/>
      <c r="H542" s="2018"/>
      <c r="I542" s="2018"/>
      <c r="J542" s="2018"/>
      <c r="K542" s="2018"/>
      <c r="L542" s="2018"/>
      <c r="M542" s="2018"/>
      <c r="N542" s="2018"/>
      <c r="O542" s="2018"/>
      <c r="P542" s="2018"/>
      <c r="Q542" s="2018"/>
      <c r="R542" s="2018"/>
      <c r="S542" s="2018"/>
      <c r="T542" s="2018"/>
      <c r="U542" s="2018"/>
      <c r="V542" s="2018"/>
      <c r="W542" s="2018"/>
      <c r="X542" s="2018"/>
      <c r="Y542" s="2094"/>
      <c r="Z542" s="2096"/>
      <c r="AA542" s="2097"/>
      <c r="AB542" s="1053"/>
      <c r="AC542" s="1053"/>
      <c r="AD542" s="1053"/>
      <c r="AE542" s="1051"/>
      <c r="AF542" s="1054"/>
    </row>
    <row r="543" spans="1:34" ht="15.75" x14ac:dyDescent="0.25">
      <c r="A543" s="2017"/>
      <c r="B543" s="2018"/>
      <c r="C543" s="2018"/>
      <c r="D543" s="2018"/>
      <c r="E543" s="2018"/>
      <c r="F543" s="2018"/>
      <c r="G543" s="2018"/>
      <c r="H543" s="2018"/>
      <c r="I543" s="2018"/>
      <c r="J543" s="2018"/>
      <c r="K543" s="2018"/>
      <c r="L543" s="2018"/>
      <c r="M543" s="2018"/>
      <c r="N543" s="2018"/>
      <c r="O543" s="2018"/>
      <c r="P543" s="2018"/>
      <c r="Q543" s="2018"/>
      <c r="R543" s="2018"/>
      <c r="S543" s="2018"/>
      <c r="T543" s="2018"/>
      <c r="U543" s="2018"/>
      <c r="V543" s="2018"/>
      <c r="W543" s="2018"/>
      <c r="X543" s="2018"/>
      <c r="Y543" s="2094"/>
      <c r="Z543" s="2096"/>
      <c r="AA543" s="2097"/>
      <c r="AB543" s="1053"/>
      <c r="AC543" s="1053"/>
      <c r="AD543" s="1053"/>
      <c r="AE543" s="1051"/>
      <c r="AF543" s="1054"/>
    </row>
    <row r="544" spans="1:34" ht="15.75" x14ac:dyDescent="0.25">
      <c r="A544" s="2017"/>
      <c r="B544" s="2018"/>
      <c r="C544" s="2018"/>
      <c r="D544" s="2018"/>
      <c r="E544" s="2018"/>
      <c r="F544" s="2018"/>
      <c r="G544" s="2018"/>
      <c r="H544" s="2018"/>
      <c r="I544" s="2018"/>
      <c r="J544" s="2018"/>
      <c r="K544" s="2018"/>
      <c r="L544" s="2018"/>
      <c r="M544" s="2018"/>
      <c r="N544" s="2018"/>
      <c r="O544" s="2018"/>
      <c r="P544" s="2018"/>
      <c r="Q544" s="2018"/>
      <c r="R544" s="2018"/>
      <c r="S544" s="2018"/>
      <c r="T544" s="2018"/>
      <c r="U544" s="2018"/>
      <c r="V544" s="2018"/>
      <c r="W544" s="2018"/>
      <c r="X544" s="2018"/>
      <c r="Y544" s="2094"/>
      <c r="Z544" s="2096"/>
      <c r="AA544" s="2097"/>
      <c r="AB544" s="1053"/>
      <c r="AC544" s="1053"/>
      <c r="AD544" s="1053"/>
      <c r="AE544" s="1051"/>
      <c r="AF544" s="1054"/>
    </row>
    <row r="545" spans="1:32" ht="15.75" x14ac:dyDescent="0.25">
      <c r="A545" s="2017"/>
      <c r="B545" s="2018"/>
      <c r="C545" s="2018"/>
      <c r="D545" s="2018"/>
      <c r="E545" s="2018"/>
      <c r="F545" s="2018"/>
      <c r="G545" s="2018"/>
      <c r="H545" s="2018"/>
      <c r="I545" s="2018"/>
      <c r="J545" s="2018"/>
      <c r="K545" s="2018"/>
      <c r="L545" s="2018"/>
      <c r="M545" s="2018"/>
      <c r="N545" s="2018"/>
      <c r="O545" s="2018"/>
      <c r="P545" s="2018"/>
      <c r="Q545" s="2018"/>
      <c r="R545" s="2018"/>
      <c r="S545" s="2018"/>
      <c r="T545" s="2018"/>
      <c r="U545" s="2018"/>
      <c r="V545" s="2018"/>
      <c r="W545" s="2018"/>
      <c r="X545" s="2018"/>
      <c r="Y545" s="2094"/>
      <c r="Z545" s="2096"/>
      <c r="AA545" s="2097"/>
      <c r="AB545" s="1053"/>
      <c r="AC545" s="1053"/>
      <c r="AD545" s="1053"/>
      <c r="AE545" s="1051"/>
      <c r="AF545" s="1054"/>
    </row>
    <row r="546" spans="1:32" ht="15.75" x14ac:dyDescent="0.25">
      <c r="A546" s="2017"/>
      <c r="B546" s="2018"/>
      <c r="C546" s="2018"/>
      <c r="D546" s="2018"/>
      <c r="E546" s="2018"/>
      <c r="F546" s="2018"/>
      <c r="G546" s="2018"/>
      <c r="H546" s="2018"/>
      <c r="I546" s="2018"/>
      <c r="J546" s="2018"/>
      <c r="K546" s="2018"/>
      <c r="L546" s="2018"/>
      <c r="M546" s="2018"/>
      <c r="N546" s="2018"/>
      <c r="O546" s="2018"/>
      <c r="P546" s="2018"/>
      <c r="Q546" s="2018"/>
      <c r="R546" s="2018"/>
      <c r="S546" s="2018"/>
      <c r="T546" s="2018"/>
      <c r="U546" s="2018"/>
      <c r="V546" s="2018"/>
      <c r="W546" s="2018"/>
      <c r="X546" s="2018"/>
      <c r="Y546" s="2094"/>
      <c r="Z546" s="2096"/>
      <c r="AA546" s="2097"/>
      <c r="AB546" s="1053"/>
      <c r="AC546" s="1053"/>
      <c r="AD546" s="1053"/>
      <c r="AE546" s="1051"/>
      <c r="AF546" s="1054"/>
    </row>
    <row r="547" spans="1:32" ht="15.75" x14ac:dyDescent="0.25">
      <c r="A547" s="2017"/>
      <c r="B547" s="2018"/>
      <c r="C547" s="2018"/>
      <c r="D547" s="2018"/>
      <c r="E547" s="2018"/>
      <c r="F547" s="2018"/>
      <c r="G547" s="2018"/>
      <c r="H547" s="2018"/>
      <c r="I547" s="2018"/>
      <c r="J547" s="2018"/>
      <c r="K547" s="2018"/>
      <c r="L547" s="2018"/>
      <c r="M547" s="2018"/>
      <c r="N547" s="2018"/>
      <c r="O547" s="2018"/>
      <c r="P547" s="2018"/>
      <c r="Q547" s="2018"/>
      <c r="R547" s="2018"/>
      <c r="S547" s="2018"/>
      <c r="T547" s="2018"/>
      <c r="U547" s="2018"/>
      <c r="V547" s="2018"/>
      <c r="W547" s="2018"/>
      <c r="X547" s="2018"/>
      <c r="Y547" s="2094"/>
      <c r="Z547" s="2096"/>
      <c r="AA547" s="2097"/>
      <c r="AB547" s="1055"/>
      <c r="AC547" s="1055"/>
      <c r="AD547" s="1055"/>
      <c r="AE547" s="1051"/>
      <c r="AF547" s="1056"/>
    </row>
    <row r="548" spans="1:32" ht="15.75" x14ac:dyDescent="0.25">
      <c r="A548" s="2017"/>
      <c r="B548" s="2018"/>
      <c r="C548" s="2018"/>
      <c r="D548" s="2018"/>
      <c r="E548" s="2018"/>
      <c r="F548" s="2018"/>
      <c r="G548" s="2018"/>
      <c r="H548" s="2018"/>
      <c r="I548" s="2018"/>
      <c r="J548" s="2018"/>
      <c r="K548" s="2018"/>
      <c r="L548" s="2018"/>
      <c r="M548" s="2018"/>
      <c r="N548" s="2018"/>
      <c r="O548" s="2018"/>
      <c r="P548" s="2018"/>
      <c r="Q548" s="2018"/>
      <c r="R548" s="2018"/>
      <c r="S548" s="2018"/>
      <c r="T548" s="2018"/>
      <c r="U548" s="2018"/>
      <c r="V548" s="2018"/>
      <c r="W548" s="2018"/>
      <c r="X548" s="2018"/>
      <c r="Y548" s="2094"/>
      <c r="Z548" s="2096"/>
      <c r="AA548" s="2097"/>
      <c r="AB548" s="1055"/>
      <c r="AC548" s="1055"/>
      <c r="AD548" s="1055"/>
      <c r="AE548" s="1055"/>
      <c r="AF548" s="1056"/>
    </row>
    <row r="549" spans="1:32" ht="15.75" x14ac:dyDescent="0.25">
      <c r="A549" s="2017"/>
      <c r="B549" s="2018"/>
      <c r="C549" s="2018"/>
      <c r="D549" s="2018"/>
      <c r="E549" s="2018"/>
      <c r="F549" s="2018"/>
      <c r="G549" s="2018"/>
      <c r="H549" s="2018"/>
      <c r="I549" s="2018"/>
      <c r="J549" s="2018"/>
      <c r="K549" s="2018"/>
      <c r="L549" s="2018"/>
      <c r="M549" s="2018"/>
      <c r="N549" s="2018"/>
      <c r="O549" s="2018"/>
      <c r="P549" s="2018"/>
      <c r="Q549" s="2018"/>
      <c r="R549" s="2018"/>
      <c r="S549" s="2018"/>
      <c r="T549" s="2018"/>
      <c r="U549" s="2018"/>
      <c r="V549" s="2018"/>
      <c r="W549" s="2018"/>
      <c r="X549" s="2018"/>
      <c r="Y549" s="2094"/>
      <c r="Z549" s="2096"/>
      <c r="AA549" s="2097"/>
      <c r="AB549" s="1055"/>
      <c r="AC549" s="1055"/>
      <c r="AD549" s="1055"/>
      <c r="AE549" s="1055"/>
      <c r="AF549" s="1056"/>
    </row>
    <row r="550" spans="1:32" ht="15.75" x14ac:dyDescent="0.25">
      <c r="A550" s="2017"/>
      <c r="B550" s="2018"/>
      <c r="C550" s="2018"/>
      <c r="D550" s="2018"/>
      <c r="E550" s="2018"/>
      <c r="F550" s="2018"/>
      <c r="G550" s="2018"/>
      <c r="H550" s="2018"/>
      <c r="I550" s="2018"/>
      <c r="J550" s="2018"/>
      <c r="K550" s="2018"/>
      <c r="L550" s="2018"/>
      <c r="M550" s="2018"/>
      <c r="N550" s="2018"/>
      <c r="O550" s="2018"/>
      <c r="P550" s="2018"/>
      <c r="Q550" s="2018"/>
      <c r="R550" s="2018"/>
      <c r="S550" s="2018"/>
      <c r="T550" s="2018"/>
      <c r="U550" s="2018"/>
      <c r="V550" s="2018"/>
      <c r="W550" s="2018"/>
      <c r="X550" s="2018"/>
      <c r="Y550" s="2094"/>
      <c r="Z550" s="2096"/>
      <c r="AA550" s="2097"/>
      <c r="AB550" s="1055"/>
      <c r="AC550" s="1055"/>
      <c r="AD550" s="1055"/>
      <c r="AE550" s="1055"/>
      <c r="AF550" s="1056"/>
    </row>
    <row r="551" spans="1:32" ht="15.75" x14ac:dyDescent="0.25">
      <c r="A551" s="2017"/>
      <c r="B551" s="2018"/>
      <c r="C551" s="2018"/>
      <c r="D551" s="2018"/>
      <c r="E551" s="2018"/>
      <c r="F551" s="2018"/>
      <c r="G551" s="2018"/>
      <c r="H551" s="2018"/>
      <c r="I551" s="2018"/>
      <c r="J551" s="2018"/>
      <c r="K551" s="2018"/>
      <c r="L551" s="2018"/>
      <c r="M551" s="2018"/>
      <c r="N551" s="2018"/>
      <c r="O551" s="2018"/>
      <c r="P551" s="2018"/>
      <c r="Q551" s="2018"/>
      <c r="R551" s="2018"/>
      <c r="S551" s="2018"/>
      <c r="T551" s="2018"/>
      <c r="U551" s="2018"/>
      <c r="V551" s="2018"/>
      <c r="W551" s="2018"/>
      <c r="X551" s="2018"/>
      <c r="Y551" s="2094"/>
      <c r="Z551" s="2096"/>
      <c r="AA551" s="2097"/>
      <c r="AB551" s="1055"/>
      <c r="AC551" s="1055"/>
      <c r="AD551" s="1055"/>
      <c r="AE551" s="1055"/>
      <c r="AF551" s="1056"/>
    </row>
    <row r="552" spans="1:32" ht="15.75" x14ac:dyDescent="0.25">
      <c r="A552" s="2017"/>
      <c r="B552" s="2018"/>
      <c r="C552" s="2018"/>
      <c r="D552" s="2018"/>
      <c r="E552" s="2018"/>
      <c r="F552" s="2018"/>
      <c r="G552" s="2018"/>
      <c r="H552" s="2018"/>
      <c r="I552" s="2018"/>
      <c r="J552" s="2018"/>
      <c r="K552" s="2018"/>
      <c r="L552" s="2018"/>
      <c r="M552" s="2018"/>
      <c r="N552" s="2018"/>
      <c r="O552" s="2018"/>
      <c r="P552" s="2018"/>
      <c r="Q552" s="2018"/>
      <c r="R552" s="2018"/>
      <c r="S552" s="2018"/>
      <c r="T552" s="2018"/>
      <c r="U552" s="2018"/>
      <c r="V552" s="2018"/>
      <c r="W552" s="2018"/>
      <c r="X552" s="2018"/>
      <c r="Y552" s="2094"/>
      <c r="Z552" s="2096"/>
      <c r="AA552" s="2097"/>
      <c r="AB552" s="1055"/>
      <c r="AC552" s="1055"/>
      <c r="AD552" s="1055"/>
      <c r="AE552" s="1055"/>
      <c r="AF552" s="1056"/>
    </row>
    <row r="553" spans="1:32" ht="16.5" thickBot="1" x14ac:dyDescent="0.3">
      <c r="A553" s="2019"/>
      <c r="B553" s="2020"/>
      <c r="C553" s="2020"/>
      <c r="D553" s="2020"/>
      <c r="E553" s="2020"/>
      <c r="F553" s="2020"/>
      <c r="G553" s="2020"/>
      <c r="H553" s="2020"/>
      <c r="I553" s="2020"/>
      <c r="J553" s="2020"/>
      <c r="K553" s="2020"/>
      <c r="L553" s="2020"/>
      <c r="M553" s="2020"/>
      <c r="N553" s="2020"/>
      <c r="O553" s="2020"/>
      <c r="P553" s="2020"/>
      <c r="Q553" s="2020"/>
      <c r="R553" s="2020"/>
      <c r="S553" s="2020"/>
      <c r="T553" s="2020"/>
      <c r="U553" s="2020"/>
      <c r="V553" s="2020"/>
      <c r="W553" s="2020"/>
      <c r="X553" s="2020"/>
      <c r="Y553" s="2095"/>
      <c r="Z553" s="2098"/>
      <c r="AA553" s="2099"/>
      <c r="AB553" s="1057"/>
      <c r="AC553" s="1057"/>
      <c r="AD553" s="1057"/>
      <c r="AE553" s="1057"/>
      <c r="AF553" s="1058"/>
    </row>
    <row r="554" spans="1:32" ht="15.75" x14ac:dyDescent="0.25">
      <c r="A554" s="2009" t="s">
        <v>1855</v>
      </c>
      <c r="B554" s="2010"/>
      <c r="C554" s="2010"/>
      <c r="D554" s="2010"/>
      <c r="E554" s="2010"/>
      <c r="F554" s="2010"/>
      <c r="G554" s="2010"/>
      <c r="H554" s="2010"/>
      <c r="I554" s="2010"/>
      <c r="J554" s="2010"/>
      <c r="K554" s="2010"/>
      <c r="L554" s="2010"/>
      <c r="M554" s="2010"/>
      <c r="N554" s="2010"/>
      <c r="O554" s="2010"/>
      <c r="P554" s="2010"/>
      <c r="Q554" s="2010"/>
      <c r="R554" s="2010"/>
      <c r="S554" s="2010"/>
      <c r="T554" s="2010"/>
      <c r="U554" s="2010"/>
      <c r="V554" s="2010"/>
      <c r="W554" s="2010"/>
      <c r="X554" s="2010"/>
      <c r="Y554" s="2010"/>
      <c r="Z554" s="2013" t="s">
        <v>1850</v>
      </c>
      <c r="AA554" s="2013"/>
      <c r="AB554" s="2013"/>
      <c r="AC554" s="2013"/>
      <c r="AD554" s="2013"/>
      <c r="AE554" s="2013"/>
      <c r="AF554" s="1059">
        <f>SUM(AF533:AF553)</f>
        <v>26.4</v>
      </c>
    </row>
    <row r="555" spans="1:32" ht="15.75" x14ac:dyDescent="0.25">
      <c r="A555" s="2011"/>
      <c r="B555" s="2012"/>
      <c r="C555" s="2012"/>
      <c r="D555" s="2012"/>
      <c r="E555" s="2012"/>
      <c r="F555" s="2012"/>
      <c r="G555" s="2012"/>
      <c r="H555" s="2012"/>
      <c r="I555" s="2012"/>
      <c r="J555" s="2012"/>
      <c r="K555" s="2012"/>
      <c r="L555" s="2012"/>
      <c r="M555" s="2012"/>
      <c r="N555" s="2012"/>
      <c r="O555" s="2012"/>
      <c r="P555" s="2012"/>
      <c r="Q555" s="2012"/>
      <c r="R555" s="2012"/>
      <c r="S555" s="2012"/>
      <c r="T555" s="2012"/>
      <c r="U555" s="2012"/>
      <c r="V555" s="2012"/>
      <c r="W555" s="2012"/>
      <c r="X555" s="2012"/>
      <c r="Y555" s="2012"/>
      <c r="Z555" s="2014" t="s">
        <v>1851</v>
      </c>
      <c r="AA555" s="2014"/>
      <c r="AB555" s="2014"/>
      <c r="AC555" s="2014"/>
      <c r="AD555" s="2014"/>
      <c r="AE555" s="2014"/>
      <c r="AF555" s="1060">
        <v>0</v>
      </c>
    </row>
    <row r="556" spans="1:32" ht="15.75" x14ac:dyDescent="0.25">
      <c r="A556" s="2011"/>
      <c r="B556" s="2012"/>
      <c r="C556" s="2012"/>
      <c r="D556" s="2012"/>
      <c r="E556" s="2012"/>
      <c r="F556" s="2012"/>
      <c r="G556" s="2012"/>
      <c r="H556" s="2012"/>
      <c r="I556" s="2012"/>
      <c r="J556" s="2012"/>
      <c r="K556" s="2012"/>
      <c r="L556" s="2012"/>
      <c r="M556" s="2012"/>
      <c r="N556" s="2012"/>
      <c r="O556" s="2012"/>
      <c r="P556" s="2012"/>
      <c r="Q556" s="2012"/>
      <c r="R556" s="2012"/>
      <c r="S556" s="2012"/>
      <c r="T556" s="2012"/>
      <c r="U556" s="2012"/>
      <c r="V556" s="2012"/>
      <c r="W556" s="2012"/>
      <c r="X556" s="2012"/>
      <c r="Y556" s="2012"/>
      <c r="Z556" s="2015" t="s">
        <v>1833</v>
      </c>
      <c r="AA556" s="2015"/>
      <c r="AB556" s="2015"/>
      <c r="AC556" s="2015"/>
      <c r="AD556" s="2015"/>
      <c r="AE556" s="2015"/>
      <c r="AF556" s="1061">
        <f>SUM(AF554:AF555)</f>
        <v>26.4</v>
      </c>
    </row>
    <row r="557" spans="1:32" x14ac:dyDescent="0.2">
      <c r="A557" s="2012" t="s">
        <v>1859</v>
      </c>
      <c r="B557" s="2012"/>
      <c r="C557" s="2012"/>
      <c r="D557" s="2012"/>
      <c r="E557" s="2012"/>
      <c r="F557" s="2012"/>
      <c r="G557" s="2012"/>
      <c r="H557" s="2012"/>
      <c r="I557" s="2012"/>
      <c r="J557" s="2012"/>
      <c r="K557" s="2012"/>
      <c r="L557" s="2012"/>
      <c r="M557" s="2012"/>
      <c r="N557" s="2012"/>
      <c r="O557" s="2012"/>
      <c r="P557" s="2012"/>
      <c r="Q557" s="2012"/>
      <c r="R557" s="2012"/>
      <c r="S557" s="2012"/>
      <c r="T557" s="2016" t="s">
        <v>1840</v>
      </c>
      <c r="U557" s="2016"/>
      <c r="V557" s="2016"/>
      <c r="W557" s="2016"/>
      <c r="X557" s="2016"/>
      <c r="Y557" s="2016"/>
      <c r="Z557" s="2016"/>
      <c r="AA557" s="2016"/>
      <c r="AB557" s="2012" t="s">
        <v>1852</v>
      </c>
      <c r="AC557" s="2012"/>
      <c r="AD557" s="2012"/>
      <c r="AE557" s="2012"/>
      <c r="AF557" s="2012"/>
    </row>
    <row r="558" spans="1:32" x14ac:dyDescent="0.2">
      <c r="A558" s="2012"/>
      <c r="B558" s="2012"/>
      <c r="C558" s="2012"/>
      <c r="D558" s="2012"/>
      <c r="E558" s="2012"/>
      <c r="F558" s="2012"/>
      <c r="G558" s="2012"/>
      <c r="H558" s="2012"/>
      <c r="I558" s="2012"/>
      <c r="J558" s="2012"/>
      <c r="K558" s="2012"/>
      <c r="L558" s="2012"/>
      <c r="M558" s="2012"/>
      <c r="N558" s="2012"/>
      <c r="O558" s="2012"/>
      <c r="P558" s="2012"/>
      <c r="Q558" s="2012"/>
      <c r="R558" s="2012"/>
      <c r="S558" s="2012"/>
      <c r="T558" s="2016"/>
      <c r="U558" s="2016"/>
      <c r="V558" s="2016"/>
      <c r="W558" s="2016"/>
      <c r="X558" s="2016"/>
      <c r="Y558" s="2016"/>
      <c r="Z558" s="2016"/>
      <c r="AA558" s="2016"/>
      <c r="AB558" s="2012"/>
      <c r="AC558" s="2012"/>
      <c r="AD558" s="2012"/>
      <c r="AE558" s="2012"/>
      <c r="AF558" s="2012"/>
    </row>
    <row r="559" spans="1:32" ht="13.5" thickBot="1" x14ac:dyDescent="0.25"/>
    <row r="560" spans="1:32" ht="21.6" customHeight="1" x14ac:dyDescent="0.2">
      <c r="A560" s="2025" t="s">
        <v>1854</v>
      </c>
      <c r="B560" s="2026"/>
      <c r="C560" s="2026"/>
      <c r="D560" s="2026"/>
      <c r="E560" s="2026"/>
      <c r="F560" s="2026"/>
      <c r="G560" s="2026"/>
      <c r="H560" s="2026"/>
      <c r="I560" s="2026"/>
      <c r="J560" s="2026"/>
      <c r="K560" s="2026"/>
      <c r="L560" s="2026"/>
      <c r="M560" s="2026"/>
      <c r="N560" s="2026"/>
      <c r="O560" s="2026"/>
      <c r="P560" s="2026"/>
      <c r="Q560" s="2026"/>
      <c r="R560" s="2026"/>
      <c r="S560" s="2026"/>
      <c r="T560" s="2026"/>
      <c r="U560" s="2026"/>
      <c r="V560" s="2026"/>
      <c r="W560" s="2026"/>
      <c r="X560" s="2026"/>
      <c r="Y560" s="2026"/>
      <c r="Z560" s="2026"/>
      <c r="AA560" s="2026"/>
      <c r="AB560" s="2026"/>
      <c r="AC560" s="2026"/>
      <c r="AD560" s="2026"/>
      <c r="AE560" s="1041" t="s">
        <v>1834</v>
      </c>
      <c r="AF560" s="1042" t="s">
        <v>1835</v>
      </c>
    </row>
    <row r="561" spans="1:32" ht="22.15" customHeight="1" thickBot="1" x14ac:dyDescent="0.25">
      <c r="A561" s="2027"/>
      <c r="B561" s="2028"/>
      <c r="C561" s="2028"/>
      <c r="D561" s="2028"/>
      <c r="E561" s="2028"/>
      <c r="F561" s="2028"/>
      <c r="G561" s="2028"/>
      <c r="H561" s="2028"/>
      <c r="I561" s="2028"/>
      <c r="J561" s="2028"/>
      <c r="K561" s="2028"/>
      <c r="L561" s="2028"/>
      <c r="M561" s="2028"/>
      <c r="N561" s="2028"/>
      <c r="O561" s="2028"/>
      <c r="P561" s="2028"/>
      <c r="Q561" s="2028"/>
      <c r="R561" s="2028"/>
      <c r="S561" s="2028"/>
      <c r="T561" s="2028"/>
      <c r="U561" s="2028"/>
      <c r="V561" s="2028"/>
      <c r="W561" s="2028"/>
      <c r="X561" s="2028"/>
      <c r="Y561" s="2028"/>
      <c r="Z561" s="2028"/>
      <c r="AA561" s="2028"/>
      <c r="AB561" s="2028"/>
      <c r="AC561" s="2028"/>
      <c r="AD561" s="2028"/>
      <c r="AE561" s="1041" t="s">
        <v>1836</v>
      </c>
      <c r="AF561" s="1044">
        <v>1</v>
      </c>
    </row>
    <row r="562" spans="1:32" ht="15.75" x14ac:dyDescent="0.2">
      <c r="A562" s="2029"/>
      <c r="B562" s="2030"/>
      <c r="C562" s="2030"/>
      <c r="D562" s="2031"/>
      <c r="E562" s="2025" t="str">
        <f>'01'!$A$12</f>
        <v>"CONSTRUCCION SISTEMA DE ACUEDUCTO FASE II DEL MUNICIPIO DE TESALIA DPTO DEL HUILA"</v>
      </c>
      <c r="F562" s="2026"/>
      <c r="G562" s="2026"/>
      <c r="H562" s="2026"/>
      <c r="I562" s="2026"/>
      <c r="J562" s="2026"/>
      <c r="K562" s="2026"/>
      <c r="L562" s="2026"/>
      <c r="M562" s="2026"/>
      <c r="N562" s="2026"/>
      <c r="O562" s="2026"/>
      <c r="P562" s="2026"/>
      <c r="Q562" s="2026"/>
      <c r="R562" s="2026"/>
      <c r="S562" s="2026"/>
      <c r="T562" s="2026"/>
      <c r="U562" s="2026"/>
      <c r="V562" s="2026"/>
      <c r="W562" s="2026"/>
      <c r="X562" s="2026"/>
      <c r="Y562" s="2026"/>
      <c r="Z562" s="2026"/>
      <c r="AA562" s="2026"/>
      <c r="AB562" s="2026"/>
      <c r="AC562" s="2026"/>
      <c r="AD562" s="2035"/>
      <c r="AE562" s="1041" t="s">
        <v>847</v>
      </c>
      <c r="AF562" s="1045">
        <f>'01'!$M$13</f>
        <v>0</v>
      </c>
    </row>
    <row r="563" spans="1:32" ht="16.5" thickBot="1" x14ac:dyDescent="0.25">
      <c r="A563" s="2032"/>
      <c r="B563" s="2033"/>
      <c r="C563" s="2033"/>
      <c r="D563" s="2034"/>
      <c r="E563" s="2027"/>
      <c r="F563" s="2028"/>
      <c r="G563" s="2028"/>
      <c r="H563" s="2028"/>
      <c r="I563" s="2028"/>
      <c r="J563" s="2028"/>
      <c r="K563" s="2028"/>
      <c r="L563" s="2028"/>
      <c r="M563" s="2028"/>
      <c r="N563" s="2028"/>
      <c r="O563" s="2028"/>
      <c r="P563" s="2028"/>
      <c r="Q563" s="2028"/>
      <c r="R563" s="2028"/>
      <c r="S563" s="2028"/>
      <c r="T563" s="2028"/>
      <c r="U563" s="2028"/>
      <c r="V563" s="2028"/>
      <c r="W563" s="2028"/>
      <c r="X563" s="2028"/>
      <c r="Y563" s="2028"/>
      <c r="Z563" s="2028"/>
      <c r="AA563" s="2028"/>
      <c r="AB563" s="2028"/>
      <c r="AC563" s="2028"/>
      <c r="AD563" s="2036"/>
      <c r="AE563" s="1041" t="s">
        <v>1837</v>
      </c>
      <c r="AF563" s="1042" t="s">
        <v>1838</v>
      </c>
    </row>
    <row r="564" spans="1:32" ht="15.75" x14ac:dyDescent="0.25">
      <c r="A564" s="2037" t="s">
        <v>1860</v>
      </c>
      <c r="B564" s="2038"/>
      <c r="C564" s="2038"/>
      <c r="D564" s="2038"/>
      <c r="E564" s="2038"/>
      <c r="F564" s="2038"/>
      <c r="G564" s="2038"/>
      <c r="H564" s="2038"/>
      <c r="I564" s="2038"/>
      <c r="J564" s="2038"/>
      <c r="K564" s="2038"/>
      <c r="L564" s="2038"/>
      <c r="M564" s="2038"/>
      <c r="N564" s="2038"/>
      <c r="O564" s="2038"/>
      <c r="P564" s="2038"/>
      <c r="Q564" s="2038"/>
      <c r="R564" s="2038"/>
      <c r="S564" s="2038"/>
      <c r="T564" s="2038"/>
      <c r="U564" s="2038"/>
      <c r="V564" s="2038"/>
      <c r="W564" s="2038"/>
      <c r="X564" s="2038"/>
      <c r="Y564" s="2038"/>
      <c r="Z564" s="2038"/>
      <c r="AA564" s="2038"/>
      <c r="AB564" s="2038"/>
      <c r="AC564" s="2038"/>
      <c r="AD564" s="2038"/>
      <c r="AE564" s="2039" t="s">
        <v>1839</v>
      </c>
      <c r="AF564" s="2040"/>
    </row>
    <row r="565" spans="1:32" ht="15.75" x14ac:dyDescent="0.25">
      <c r="A565" s="2041" t="s">
        <v>1840</v>
      </c>
      <c r="B565" s="2042"/>
      <c r="C565" s="2042"/>
      <c r="D565" s="2042"/>
      <c r="E565" s="2042"/>
      <c r="F565" s="2042"/>
      <c r="G565" s="2042"/>
      <c r="H565" s="2042"/>
      <c r="I565" s="2042"/>
      <c r="J565" s="2042"/>
      <c r="K565" s="2042"/>
      <c r="L565" s="2042"/>
      <c r="M565" s="2042"/>
      <c r="N565" s="2042"/>
      <c r="O565" s="2042"/>
      <c r="P565" s="2042"/>
      <c r="Q565" s="2042"/>
      <c r="R565" s="2042"/>
      <c r="S565" s="2042"/>
      <c r="T565" s="2042"/>
      <c r="U565" s="2042"/>
      <c r="V565" s="2042"/>
      <c r="W565" s="2042"/>
      <c r="X565" s="2042"/>
      <c r="Y565" s="2042"/>
      <c r="Z565" s="2042"/>
      <c r="AA565" s="2042"/>
      <c r="AB565" s="2042"/>
      <c r="AC565" s="2042"/>
      <c r="AD565" s="2043"/>
      <c r="AE565" s="2014" t="s">
        <v>1841</v>
      </c>
      <c r="AF565" s="2044"/>
    </row>
    <row r="566" spans="1:32" ht="15.75" x14ac:dyDescent="0.25">
      <c r="A566" s="2045" t="s">
        <v>1853</v>
      </c>
      <c r="B566" s="2046"/>
      <c r="C566" s="2046"/>
      <c r="D566" s="2046"/>
      <c r="E566" s="2046"/>
      <c r="F566" s="2046"/>
      <c r="G566" s="2046"/>
      <c r="H566" s="2046"/>
      <c r="I566" s="2046"/>
      <c r="J566" s="2046"/>
      <c r="K566" s="2046"/>
      <c r="L566" s="2046"/>
      <c r="M566" s="2046"/>
      <c r="N566" s="2046"/>
      <c r="O566" s="2046"/>
      <c r="P566" s="2046"/>
      <c r="Q566" s="2046"/>
      <c r="R566" s="2046"/>
      <c r="S566" s="2046"/>
      <c r="T566" s="2046"/>
      <c r="U566" s="2046"/>
      <c r="V566" s="2046"/>
      <c r="W566" s="2046"/>
      <c r="X566" s="2046"/>
      <c r="Y566" s="2046"/>
      <c r="Z566" s="2046"/>
      <c r="AA566" s="2046"/>
      <c r="AB566" s="2046"/>
      <c r="AC566" s="2046"/>
      <c r="AD566" s="2046"/>
      <c r="AE566" s="2047">
        <f>'01'!$M$13</f>
        <v>0</v>
      </c>
      <c r="AF566" s="2044"/>
    </row>
    <row r="567" spans="1:32" x14ac:dyDescent="0.2">
      <c r="A567" s="1046"/>
      <c r="B567" s="1047"/>
      <c r="C567" s="1047"/>
      <c r="D567" s="1047"/>
      <c r="E567" s="1047"/>
      <c r="F567" s="1047"/>
      <c r="G567" s="1047"/>
      <c r="H567" s="1047"/>
      <c r="I567" s="1047"/>
      <c r="J567" s="1047"/>
      <c r="K567" s="1047"/>
      <c r="L567" s="1047"/>
      <c r="M567" s="1047"/>
      <c r="N567" s="1047"/>
      <c r="O567" s="1047"/>
      <c r="P567" s="1047"/>
      <c r="Q567" s="1047"/>
      <c r="R567" s="1047"/>
      <c r="S567" s="1047"/>
      <c r="T567" s="1047"/>
      <c r="U567" s="1047"/>
      <c r="V567" s="1047"/>
      <c r="W567" s="1047"/>
      <c r="X567" s="1047"/>
      <c r="Y567" s="1047"/>
      <c r="Z567" s="1047"/>
      <c r="AA567" s="1047"/>
      <c r="AB567" s="1047"/>
      <c r="AC567" s="1047"/>
      <c r="AD567" s="1047"/>
      <c r="AE567" s="1047"/>
      <c r="AF567" s="1048"/>
    </row>
    <row r="568" spans="1:32" ht="15.75" x14ac:dyDescent="0.2">
      <c r="A568" s="2048" t="s">
        <v>1842</v>
      </c>
      <c r="B568" s="2049"/>
      <c r="C568" s="2049"/>
      <c r="D568" s="2049"/>
      <c r="E568" s="2049"/>
      <c r="F568" s="2050" t="str">
        <f>'01'!$H$33</f>
        <v>B - CÁMARA DE LLEGADA Y AQUIETAMIENTO DEL AGUA</v>
      </c>
      <c r="G568" s="2049"/>
      <c r="H568" s="2049"/>
      <c r="I568" s="2049"/>
      <c r="J568" s="2049"/>
      <c r="K568" s="2049"/>
      <c r="L568" s="2049"/>
      <c r="M568" s="2049"/>
      <c r="N568" s="2049"/>
      <c r="O568" s="2049"/>
      <c r="P568" s="2049"/>
      <c r="Q568" s="2049"/>
      <c r="R568" s="2049"/>
      <c r="S568" s="2049"/>
      <c r="T568" s="2049"/>
      <c r="U568" s="2049"/>
      <c r="V568" s="2049"/>
      <c r="W568" s="2049"/>
      <c r="X568" s="2049"/>
      <c r="Y568" s="2051"/>
      <c r="Z568" s="2052" t="s">
        <v>1843</v>
      </c>
      <c r="AA568" s="2053"/>
      <c r="AB568" s="2058" t="s">
        <v>1844</v>
      </c>
      <c r="AC568" s="2059"/>
      <c r="AD568" s="2060"/>
      <c r="AE568" s="2064" t="s">
        <v>2184</v>
      </c>
      <c r="AF568" s="2067" t="s">
        <v>1846</v>
      </c>
    </row>
    <row r="569" spans="1:32" x14ac:dyDescent="0.2">
      <c r="A569" s="2070" t="str">
        <f>'01'!A44</f>
        <v>B-04-01</v>
      </c>
      <c r="B569" s="2071"/>
      <c r="C569" s="2072"/>
      <c r="D569" s="2076" t="str">
        <f>VLOOKUP(A569,'01'!$A$12:$N$299,3,FALSE)</f>
        <v>RETIRO DE MATERIAL SOBRANTE HASTA BOTADERO AUTORIZADO (INCLUYE FACTOR DE EXPANSIÓN)</v>
      </c>
      <c r="E569" s="2077"/>
      <c r="F569" s="2077"/>
      <c r="G569" s="2077"/>
      <c r="H569" s="2077"/>
      <c r="I569" s="2077"/>
      <c r="J569" s="2077"/>
      <c r="K569" s="2077"/>
      <c r="L569" s="2077"/>
      <c r="M569" s="2077"/>
      <c r="N569" s="2077"/>
      <c r="O569" s="2077"/>
      <c r="P569" s="2077"/>
      <c r="Q569" s="2077"/>
      <c r="R569" s="2077"/>
      <c r="S569" s="2078"/>
      <c r="T569" s="2082" t="s">
        <v>124</v>
      </c>
      <c r="U569" s="2083"/>
      <c r="V569" s="2083"/>
      <c r="W569" s="2083"/>
      <c r="X569" s="2052" t="str">
        <f>VLOOKUP(A569,'01'!$A$12:$N$299,9,FALSE)</f>
        <v>M3-KM</v>
      </c>
      <c r="Y569" s="2053"/>
      <c r="Z569" s="2054"/>
      <c r="AA569" s="2055"/>
      <c r="AB569" s="2061"/>
      <c r="AC569" s="2062"/>
      <c r="AD569" s="2063"/>
      <c r="AE569" s="2065"/>
      <c r="AF569" s="2068"/>
    </row>
    <row r="570" spans="1:32" ht="31.5" x14ac:dyDescent="0.25">
      <c r="A570" s="2073"/>
      <c r="B570" s="2074"/>
      <c r="C570" s="2075"/>
      <c r="D570" s="2079"/>
      <c r="E570" s="2080"/>
      <c r="F570" s="2080"/>
      <c r="G570" s="2080"/>
      <c r="H570" s="2080"/>
      <c r="I570" s="2080"/>
      <c r="J570" s="2080"/>
      <c r="K570" s="2080"/>
      <c r="L570" s="2080"/>
      <c r="M570" s="2080"/>
      <c r="N570" s="2080"/>
      <c r="O570" s="2080"/>
      <c r="P570" s="2080"/>
      <c r="Q570" s="2080"/>
      <c r="R570" s="2080"/>
      <c r="S570" s="2081"/>
      <c r="T570" s="2084"/>
      <c r="U570" s="2085"/>
      <c r="V570" s="2085"/>
      <c r="W570" s="2085"/>
      <c r="X570" s="2056"/>
      <c r="Y570" s="2057"/>
      <c r="Z570" s="2056"/>
      <c r="AA570" s="2057"/>
      <c r="AB570" s="1122" t="s">
        <v>2180</v>
      </c>
      <c r="AC570" s="1122" t="s">
        <v>2181</v>
      </c>
      <c r="AD570" s="1122" t="s">
        <v>1869</v>
      </c>
      <c r="AE570" s="2066"/>
      <c r="AF570" s="2069"/>
    </row>
    <row r="571" spans="1:32" ht="15.75" x14ac:dyDescent="0.25">
      <c r="A571" s="2017"/>
      <c r="B571" s="2018"/>
      <c r="C571" s="2018"/>
      <c r="D571" s="2018"/>
      <c r="E571" s="2018"/>
      <c r="F571" s="2018"/>
      <c r="G571" s="2018"/>
      <c r="H571" s="2018"/>
      <c r="I571" s="2018"/>
      <c r="J571" s="2018"/>
      <c r="K571" s="2018"/>
      <c r="L571" s="2018"/>
      <c r="M571" s="2018"/>
      <c r="N571" s="2018"/>
      <c r="O571" s="2018"/>
      <c r="P571" s="2018"/>
      <c r="Q571" s="2018"/>
      <c r="R571" s="2018"/>
      <c r="S571" s="2018"/>
      <c r="T571" s="2018"/>
      <c r="U571" s="2018"/>
      <c r="V571" s="2018"/>
      <c r="W571" s="2018"/>
      <c r="X571" s="2018"/>
      <c r="Y571" s="2094"/>
      <c r="Z571" s="2096"/>
      <c r="AA571" s="2097"/>
      <c r="AB571" s="1050">
        <f>AF442</f>
        <v>85.39</v>
      </c>
      <c r="AC571" s="1050">
        <f>+AF556</f>
        <v>26.4</v>
      </c>
      <c r="AD571" s="1050">
        <f>AD197</f>
        <v>1.25</v>
      </c>
      <c r="AE571" s="1051">
        <f>AE197</f>
        <v>5</v>
      </c>
      <c r="AF571" s="1052">
        <f>ROUND((AB571-AC571)*AD571*AE571,2)</f>
        <v>368.69</v>
      </c>
    </row>
    <row r="572" spans="1:32" ht="15.75" x14ac:dyDescent="0.25">
      <c r="A572" s="2017"/>
      <c r="B572" s="2018"/>
      <c r="C572" s="2018"/>
      <c r="D572" s="2018"/>
      <c r="E572" s="2018"/>
      <c r="F572" s="2018"/>
      <c r="G572" s="2018"/>
      <c r="H572" s="2018"/>
      <c r="I572" s="2018"/>
      <c r="J572" s="2018"/>
      <c r="K572" s="2018"/>
      <c r="L572" s="2018"/>
      <c r="M572" s="2018"/>
      <c r="N572" s="2018"/>
      <c r="O572" s="2018"/>
      <c r="P572" s="2018"/>
      <c r="Q572" s="2018"/>
      <c r="R572" s="2018"/>
      <c r="S572" s="2018"/>
      <c r="T572" s="2018"/>
      <c r="U572" s="2018"/>
      <c r="V572" s="2018"/>
      <c r="W572" s="2018"/>
      <c r="X572" s="2018"/>
      <c r="Y572" s="2094"/>
      <c r="Z572" s="2096"/>
      <c r="AA572" s="2097"/>
      <c r="AB572" s="1050"/>
      <c r="AC572" s="1050"/>
      <c r="AD572" s="1050"/>
      <c r="AE572" s="1051"/>
      <c r="AF572" s="1052"/>
    </row>
    <row r="573" spans="1:32" ht="15.75" x14ac:dyDescent="0.25">
      <c r="A573" s="2017"/>
      <c r="B573" s="2018"/>
      <c r="C573" s="2018"/>
      <c r="D573" s="2018"/>
      <c r="E573" s="2018"/>
      <c r="F573" s="2018"/>
      <c r="G573" s="2018"/>
      <c r="H573" s="2018"/>
      <c r="I573" s="2018"/>
      <c r="J573" s="2018"/>
      <c r="K573" s="2018"/>
      <c r="L573" s="2018"/>
      <c r="M573" s="2018"/>
      <c r="N573" s="2018"/>
      <c r="O573" s="2018"/>
      <c r="P573" s="2018"/>
      <c r="Q573" s="2018"/>
      <c r="R573" s="2018"/>
      <c r="S573" s="2018"/>
      <c r="T573" s="2018"/>
      <c r="U573" s="2018"/>
      <c r="V573" s="2018"/>
      <c r="W573" s="2018"/>
      <c r="X573" s="2018"/>
      <c r="Y573" s="2094"/>
      <c r="Z573" s="2096"/>
      <c r="AA573" s="2097"/>
      <c r="AB573" s="1050"/>
      <c r="AC573" s="1050"/>
      <c r="AD573" s="1050"/>
      <c r="AE573" s="1051"/>
      <c r="AF573" s="1052"/>
    </row>
    <row r="574" spans="1:32" ht="15.75" x14ac:dyDescent="0.25">
      <c r="A574" s="2017"/>
      <c r="B574" s="2018"/>
      <c r="C574" s="2018"/>
      <c r="D574" s="2018"/>
      <c r="E574" s="2018"/>
      <c r="F574" s="2018"/>
      <c r="G574" s="2018"/>
      <c r="H574" s="2018"/>
      <c r="I574" s="2018"/>
      <c r="J574" s="2018"/>
      <c r="K574" s="2018"/>
      <c r="L574" s="2018"/>
      <c r="M574" s="2018"/>
      <c r="N574" s="2018"/>
      <c r="O574" s="2018"/>
      <c r="P574" s="2018"/>
      <c r="Q574" s="2018"/>
      <c r="R574" s="2018"/>
      <c r="S574" s="2018"/>
      <c r="T574" s="2018"/>
      <c r="U574" s="2018"/>
      <c r="V574" s="2018"/>
      <c r="W574" s="2018"/>
      <c r="X574" s="2018"/>
      <c r="Y574" s="2094"/>
      <c r="Z574" s="2096"/>
      <c r="AA574" s="2097"/>
      <c r="AB574" s="1050"/>
      <c r="AC574" s="1050"/>
      <c r="AD574" s="1050"/>
      <c r="AE574" s="1051"/>
      <c r="AF574" s="1052"/>
    </row>
    <row r="575" spans="1:32" ht="15.75" x14ac:dyDescent="0.25">
      <c r="A575" s="2017"/>
      <c r="B575" s="2018"/>
      <c r="C575" s="2018"/>
      <c r="D575" s="2018"/>
      <c r="E575" s="2018"/>
      <c r="F575" s="2018"/>
      <c r="G575" s="2018"/>
      <c r="H575" s="2018"/>
      <c r="I575" s="2018"/>
      <c r="J575" s="2018"/>
      <c r="K575" s="2018"/>
      <c r="L575" s="2018"/>
      <c r="M575" s="2018"/>
      <c r="N575" s="2018"/>
      <c r="O575" s="2018"/>
      <c r="P575" s="2018"/>
      <c r="Q575" s="2018"/>
      <c r="R575" s="2018"/>
      <c r="S575" s="2018"/>
      <c r="T575" s="2018"/>
      <c r="U575" s="2018"/>
      <c r="V575" s="2018"/>
      <c r="W575" s="2018"/>
      <c r="X575" s="2018"/>
      <c r="Y575" s="2094"/>
      <c r="Z575" s="2096"/>
      <c r="AA575" s="2097"/>
      <c r="AB575" s="1050"/>
      <c r="AC575" s="1050"/>
      <c r="AD575" s="1050"/>
      <c r="AE575" s="1051"/>
      <c r="AF575" s="1052"/>
    </row>
    <row r="576" spans="1:32" ht="15.75" x14ac:dyDescent="0.25">
      <c r="A576" s="2017"/>
      <c r="B576" s="2018"/>
      <c r="C576" s="2018"/>
      <c r="D576" s="2018"/>
      <c r="E576" s="2018"/>
      <c r="F576" s="2018"/>
      <c r="G576" s="2018"/>
      <c r="H576" s="2018"/>
      <c r="I576" s="2018"/>
      <c r="J576" s="2018"/>
      <c r="K576" s="2018"/>
      <c r="L576" s="2018"/>
      <c r="M576" s="2018"/>
      <c r="N576" s="2018"/>
      <c r="O576" s="2018"/>
      <c r="P576" s="2018"/>
      <c r="Q576" s="2018"/>
      <c r="R576" s="2018"/>
      <c r="S576" s="2018"/>
      <c r="T576" s="2018"/>
      <c r="U576" s="2018"/>
      <c r="V576" s="2018"/>
      <c r="W576" s="2018"/>
      <c r="X576" s="2018"/>
      <c r="Y576" s="2094"/>
      <c r="Z576" s="2096"/>
      <c r="AA576" s="2097"/>
      <c r="AB576" s="1050"/>
      <c r="AC576" s="1050"/>
      <c r="AD576" s="1050"/>
      <c r="AE576" s="1051"/>
      <c r="AF576" s="1052"/>
    </row>
    <row r="577" spans="1:32" ht="15.75" x14ac:dyDescent="0.25">
      <c r="A577" s="2017"/>
      <c r="B577" s="2018"/>
      <c r="C577" s="2018"/>
      <c r="D577" s="2018"/>
      <c r="E577" s="2018"/>
      <c r="F577" s="2018"/>
      <c r="G577" s="2018"/>
      <c r="H577" s="2018"/>
      <c r="I577" s="2018"/>
      <c r="J577" s="2018"/>
      <c r="K577" s="2018"/>
      <c r="L577" s="2018"/>
      <c r="M577" s="2018"/>
      <c r="N577" s="2018"/>
      <c r="O577" s="2018"/>
      <c r="P577" s="2018"/>
      <c r="Q577" s="2018"/>
      <c r="R577" s="2018"/>
      <c r="S577" s="2018"/>
      <c r="T577" s="2018"/>
      <c r="U577" s="2018"/>
      <c r="V577" s="2018"/>
      <c r="W577" s="2018"/>
      <c r="X577" s="2018"/>
      <c r="Y577" s="2094"/>
      <c r="Z577" s="2096"/>
      <c r="AA577" s="2097"/>
      <c r="AB577" s="1050"/>
      <c r="AC577" s="1050"/>
      <c r="AD577" s="1050"/>
      <c r="AE577" s="1051"/>
      <c r="AF577" s="1052"/>
    </row>
    <row r="578" spans="1:32" ht="15.75" x14ac:dyDescent="0.25">
      <c r="A578" s="2017"/>
      <c r="B578" s="2018"/>
      <c r="C578" s="2018"/>
      <c r="D578" s="2018"/>
      <c r="E578" s="2018"/>
      <c r="F578" s="2018"/>
      <c r="G578" s="2018"/>
      <c r="H578" s="2018"/>
      <c r="I578" s="2018"/>
      <c r="J578" s="2018"/>
      <c r="K578" s="2018"/>
      <c r="L578" s="2018"/>
      <c r="M578" s="2018"/>
      <c r="N578" s="2018"/>
      <c r="O578" s="2018"/>
      <c r="P578" s="2018"/>
      <c r="Q578" s="2018"/>
      <c r="R578" s="2018"/>
      <c r="S578" s="2018"/>
      <c r="T578" s="2018"/>
      <c r="U578" s="2018"/>
      <c r="V578" s="2018"/>
      <c r="W578" s="2018"/>
      <c r="X578" s="2018"/>
      <c r="Y578" s="2094"/>
      <c r="Z578" s="2096"/>
      <c r="AA578" s="2097"/>
      <c r="AB578" s="1053"/>
      <c r="AC578" s="1053"/>
      <c r="AD578" s="1053"/>
      <c r="AE578" s="1051"/>
      <c r="AF578" s="1052"/>
    </row>
    <row r="579" spans="1:32" ht="15.75" x14ac:dyDescent="0.25">
      <c r="A579" s="2017"/>
      <c r="B579" s="2018"/>
      <c r="C579" s="2018"/>
      <c r="D579" s="2018"/>
      <c r="E579" s="2018"/>
      <c r="F579" s="2018"/>
      <c r="G579" s="2018"/>
      <c r="H579" s="2018"/>
      <c r="I579" s="2018"/>
      <c r="J579" s="2018"/>
      <c r="K579" s="2018"/>
      <c r="L579" s="2018"/>
      <c r="M579" s="2018"/>
      <c r="N579" s="2018"/>
      <c r="O579" s="2018"/>
      <c r="P579" s="2018"/>
      <c r="Q579" s="2018"/>
      <c r="R579" s="2018"/>
      <c r="S579" s="2018"/>
      <c r="T579" s="2018"/>
      <c r="U579" s="2018"/>
      <c r="V579" s="2018"/>
      <c r="W579" s="2018"/>
      <c r="X579" s="2018"/>
      <c r="Y579" s="2094"/>
      <c r="Z579" s="2096"/>
      <c r="AA579" s="2097"/>
      <c r="AB579" s="1053"/>
      <c r="AC579" s="1053"/>
      <c r="AD579" s="1053"/>
      <c r="AE579" s="1050"/>
      <c r="AF579" s="1054"/>
    </row>
    <row r="580" spans="1:32" ht="15.75" x14ac:dyDescent="0.25">
      <c r="A580" s="2017"/>
      <c r="B580" s="2018"/>
      <c r="C580" s="2018"/>
      <c r="D580" s="2018"/>
      <c r="E580" s="2018"/>
      <c r="F580" s="2018"/>
      <c r="G580" s="2018"/>
      <c r="H580" s="2018"/>
      <c r="I580" s="2018"/>
      <c r="J580" s="2018"/>
      <c r="K580" s="2018"/>
      <c r="L580" s="2018"/>
      <c r="M580" s="2018"/>
      <c r="N580" s="2018"/>
      <c r="O580" s="2018"/>
      <c r="P580" s="2018"/>
      <c r="Q580" s="2018"/>
      <c r="R580" s="2018"/>
      <c r="S580" s="2018"/>
      <c r="T580" s="2018"/>
      <c r="U580" s="2018"/>
      <c r="V580" s="2018"/>
      <c r="W580" s="2018"/>
      <c r="X580" s="2018"/>
      <c r="Y580" s="2094"/>
      <c r="Z580" s="2096"/>
      <c r="AA580" s="2097"/>
      <c r="AB580" s="1053"/>
      <c r="AC580" s="1053"/>
      <c r="AD580" s="1053"/>
      <c r="AE580" s="1051"/>
      <c r="AF580" s="1054"/>
    </row>
    <row r="581" spans="1:32" ht="15.75" x14ac:dyDescent="0.25">
      <c r="A581" s="2017"/>
      <c r="B581" s="2018"/>
      <c r="C581" s="2018"/>
      <c r="D581" s="2018"/>
      <c r="E581" s="2018"/>
      <c r="F581" s="2018"/>
      <c r="G581" s="2018"/>
      <c r="H581" s="2018"/>
      <c r="I581" s="2018"/>
      <c r="J581" s="2018"/>
      <c r="K581" s="2018"/>
      <c r="L581" s="2018"/>
      <c r="M581" s="2018"/>
      <c r="N581" s="2018"/>
      <c r="O581" s="2018"/>
      <c r="P581" s="2018"/>
      <c r="Q581" s="2018"/>
      <c r="R581" s="2018"/>
      <c r="S581" s="2018"/>
      <c r="T581" s="2018"/>
      <c r="U581" s="2018"/>
      <c r="V581" s="2018"/>
      <c r="W581" s="2018"/>
      <c r="X581" s="2018"/>
      <c r="Y581" s="2094"/>
      <c r="Z581" s="2096"/>
      <c r="AA581" s="2097"/>
      <c r="AB581" s="1053"/>
      <c r="AC581" s="1053"/>
      <c r="AD581" s="1053"/>
      <c r="AE581" s="1051"/>
      <c r="AF581" s="1054"/>
    </row>
    <row r="582" spans="1:32" ht="15.75" x14ac:dyDescent="0.25">
      <c r="A582" s="2017"/>
      <c r="B582" s="2018"/>
      <c r="C582" s="2018"/>
      <c r="D582" s="2018"/>
      <c r="E582" s="2018"/>
      <c r="F582" s="2018"/>
      <c r="G582" s="2018"/>
      <c r="H582" s="2018"/>
      <c r="I582" s="2018"/>
      <c r="J582" s="2018"/>
      <c r="K582" s="2018"/>
      <c r="L582" s="2018"/>
      <c r="M582" s="2018"/>
      <c r="N582" s="2018"/>
      <c r="O582" s="2018"/>
      <c r="P582" s="2018"/>
      <c r="Q582" s="2018"/>
      <c r="R582" s="2018"/>
      <c r="S582" s="2018"/>
      <c r="T582" s="2018"/>
      <c r="U582" s="2018"/>
      <c r="V582" s="2018"/>
      <c r="W582" s="2018"/>
      <c r="X582" s="2018"/>
      <c r="Y582" s="2094"/>
      <c r="Z582" s="2096"/>
      <c r="AA582" s="2097"/>
      <c r="AB582" s="1053"/>
      <c r="AC582" s="1053"/>
      <c r="AD582" s="1053"/>
      <c r="AE582" s="1051"/>
      <c r="AF582" s="1054"/>
    </row>
    <row r="583" spans="1:32" ht="15.75" x14ac:dyDescent="0.25">
      <c r="A583" s="2017"/>
      <c r="B583" s="2018"/>
      <c r="C583" s="2018"/>
      <c r="D583" s="2018"/>
      <c r="E583" s="2018"/>
      <c r="F583" s="2018"/>
      <c r="G583" s="2018"/>
      <c r="H583" s="2018"/>
      <c r="I583" s="2018"/>
      <c r="J583" s="2018"/>
      <c r="K583" s="2018"/>
      <c r="L583" s="2018"/>
      <c r="M583" s="2018"/>
      <c r="N583" s="2018"/>
      <c r="O583" s="2018"/>
      <c r="P583" s="2018"/>
      <c r="Q583" s="2018"/>
      <c r="R583" s="2018"/>
      <c r="S583" s="2018"/>
      <c r="T583" s="2018"/>
      <c r="U583" s="2018"/>
      <c r="V583" s="2018"/>
      <c r="W583" s="2018"/>
      <c r="X583" s="2018"/>
      <c r="Y583" s="2094"/>
      <c r="Z583" s="2096"/>
      <c r="AA583" s="2097"/>
      <c r="AB583" s="1053"/>
      <c r="AC583" s="1053"/>
      <c r="AD583" s="1053"/>
      <c r="AE583" s="1051"/>
      <c r="AF583" s="1054"/>
    </row>
    <row r="584" spans="1:32" ht="15.75" x14ac:dyDescent="0.25">
      <c r="A584" s="2017"/>
      <c r="B584" s="2018"/>
      <c r="C584" s="2018"/>
      <c r="D584" s="2018"/>
      <c r="E584" s="2018"/>
      <c r="F584" s="2018"/>
      <c r="G584" s="2018"/>
      <c r="H584" s="2018"/>
      <c r="I584" s="2018"/>
      <c r="J584" s="2018"/>
      <c r="K584" s="2018"/>
      <c r="L584" s="2018"/>
      <c r="M584" s="2018"/>
      <c r="N584" s="2018"/>
      <c r="O584" s="2018"/>
      <c r="P584" s="2018"/>
      <c r="Q584" s="2018"/>
      <c r="R584" s="2018"/>
      <c r="S584" s="2018"/>
      <c r="T584" s="2018"/>
      <c r="U584" s="2018"/>
      <c r="V584" s="2018"/>
      <c r="W584" s="2018"/>
      <c r="X584" s="2018"/>
      <c r="Y584" s="2094"/>
      <c r="Z584" s="2096"/>
      <c r="AA584" s="2097"/>
      <c r="AB584" s="1053"/>
      <c r="AC584" s="1053"/>
      <c r="AD584" s="1053"/>
      <c r="AE584" s="1051"/>
      <c r="AF584" s="1054"/>
    </row>
    <row r="585" spans="1:32" ht="15.75" x14ac:dyDescent="0.25">
      <c r="A585" s="2017"/>
      <c r="B585" s="2018"/>
      <c r="C585" s="2018"/>
      <c r="D585" s="2018"/>
      <c r="E585" s="2018"/>
      <c r="F585" s="2018"/>
      <c r="G585" s="2018"/>
      <c r="H585" s="2018"/>
      <c r="I585" s="2018"/>
      <c r="J585" s="2018"/>
      <c r="K585" s="2018"/>
      <c r="L585" s="2018"/>
      <c r="M585" s="2018"/>
      <c r="N585" s="2018"/>
      <c r="O585" s="2018"/>
      <c r="P585" s="2018"/>
      <c r="Q585" s="2018"/>
      <c r="R585" s="2018"/>
      <c r="S585" s="2018"/>
      <c r="T585" s="2018"/>
      <c r="U585" s="2018"/>
      <c r="V585" s="2018"/>
      <c r="W585" s="2018"/>
      <c r="X585" s="2018"/>
      <c r="Y585" s="2094"/>
      <c r="Z585" s="2096"/>
      <c r="AA585" s="2097"/>
      <c r="AB585" s="1055"/>
      <c r="AC585" s="1055"/>
      <c r="AD585" s="1055"/>
      <c r="AE585" s="1051"/>
      <c r="AF585" s="1056"/>
    </row>
    <row r="586" spans="1:32" ht="15.75" x14ac:dyDescent="0.25">
      <c r="A586" s="2017"/>
      <c r="B586" s="2018"/>
      <c r="C586" s="2018"/>
      <c r="D586" s="2018"/>
      <c r="E586" s="2018"/>
      <c r="F586" s="2018"/>
      <c r="G586" s="2018"/>
      <c r="H586" s="2018"/>
      <c r="I586" s="2018"/>
      <c r="J586" s="2018"/>
      <c r="K586" s="2018"/>
      <c r="L586" s="2018"/>
      <c r="M586" s="2018"/>
      <c r="N586" s="2018"/>
      <c r="O586" s="2018"/>
      <c r="P586" s="2018"/>
      <c r="Q586" s="2018"/>
      <c r="R586" s="2018"/>
      <c r="S586" s="2018"/>
      <c r="T586" s="2018"/>
      <c r="U586" s="2018"/>
      <c r="V586" s="2018"/>
      <c r="W586" s="2018"/>
      <c r="X586" s="2018"/>
      <c r="Y586" s="2094"/>
      <c r="Z586" s="2096"/>
      <c r="AA586" s="2097"/>
      <c r="AB586" s="1055"/>
      <c r="AC586" s="1055"/>
      <c r="AD586" s="1055"/>
      <c r="AE586" s="1055"/>
      <c r="AF586" s="1056"/>
    </row>
    <row r="587" spans="1:32" ht="15.75" x14ac:dyDescent="0.25">
      <c r="A587" s="2017"/>
      <c r="B587" s="2018"/>
      <c r="C587" s="2018"/>
      <c r="D587" s="2018"/>
      <c r="E587" s="2018"/>
      <c r="F587" s="2018"/>
      <c r="G587" s="2018"/>
      <c r="H587" s="2018"/>
      <c r="I587" s="2018"/>
      <c r="J587" s="2018"/>
      <c r="K587" s="2018"/>
      <c r="L587" s="2018"/>
      <c r="M587" s="2018"/>
      <c r="N587" s="2018"/>
      <c r="O587" s="2018"/>
      <c r="P587" s="2018"/>
      <c r="Q587" s="2018"/>
      <c r="R587" s="2018"/>
      <c r="S587" s="2018"/>
      <c r="T587" s="2018"/>
      <c r="U587" s="2018"/>
      <c r="V587" s="2018"/>
      <c r="W587" s="2018"/>
      <c r="X587" s="2018"/>
      <c r="Y587" s="2094"/>
      <c r="Z587" s="2096"/>
      <c r="AA587" s="2097"/>
      <c r="AB587" s="1055"/>
      <c r="AC587" s="1055"/>
      <c r="AD587" s="1055"/>
      <c r="AE587" s="1055"/>
      <c r="AF587" s="1056"/>
    </row>
    <row r="588" spans="1:32" ht="15.75" x14ac:dyDescent="0.25">
      <c r="A588" s="2017"/>
      <c r="B588" s="2018"/>
      <c r="C588" s="2018"/>
      <c r="D588" s="2018"/>
      <c r="E588" s="2018"/>
      <c r="F588" s="2018"/>
      <c r="G588" s="2018"/>
      <c r="H588" s="2018"/>
      <c r="I588" s="2018"/>
      <c r="J588" s="2018"/>
      <c r="K588" s="2018"/>
      <c r="L588" s="2018"/>
      <c r="M588" s="2018"/>
      <c r="N588" s="2018"/>
      <c r="O588" s="2018"/>
      <c r="P588" s="2018"/>
      <c r="Q588" s="2018"/>
      <c r="R588" s="2018"/>
      <c r="S588" s="2018"/>
      <c r="T588" s="2018"/>
      <c r="U588" s="2018"/>
      <c r="V588" s="2018"/>
      <c r="W588" s="2018"/>
      <c r="X588" s="2018"/>
      <c r="Y588" s="2094"/>
      <c r="Z588" s="2096"/>
      <c r="AA588" s="2097"/>
      <c r="AB588" s="1055"/>
      <c r="AC588" s="1055"/>
      <c r="AD588" s="1055"/>
      <c r="AE588" s="1055"/>
      <c r="AF588" s="1056"/>
    </row>
    <row r="589" spans="1:32" ht="15.75" x14ac:dyDescent="0.25">
      <c r="A589" s="2017"/>
      <c r="B589" s="2018"/>
      <c r="C589" s="2018"/>
      <c r="D589" s="2018"/>
      <c r="E589" s="2018"/>
      <c r="F589" s="2018"/>
      <c r="G589" s="2018"/>
      <c r="H589" s="2018"/>
      <c r="I589" s="2018"/>
      <c r="J589" s="2018"/>
      <c r="K589" s="2018"/>
      <c r="L589" s="2018"/>
      <c r="M589" s="2018"/>
      <c r="N589" s="2018"/>
      <c r="O589" s="2018"/>
      <c r="P589" s="2018"/>
      <c r="Q589" s="2018"/>
      <c r="R589" s="2018"/>
      <c r="S589" s="2018"/>
      <c r="T589" s="2018"/>
      <c r="U589" s="2018"/>
      <c r="V589" s="2018"/>
      <c r="W589" s="2018"/>
      <c r="X589" s="2018"/>
      <c r="Y589" s="2094"/>
      <c r="Z589" s="2096"/>
      <c r="AA589" s="2097"/>
      <c r="AB589" s="1055"/>
      <c r="AC589" s="1055"/>
      <c r="AD589" s="1055"/>
      <c r="AE589" s="1055"/>
      <c r="AF589" s="1056"/>
    </row>
    <row r="590" spans="1:32" ht="15.75" x14ac:dyDescent="0.25">
      <c r="A590" s="2017"/>
      <c r="B590" s="2018"/>
      <c r="C590" s="2018"/>
      <c r="D590" s="2018"/>
      <c r="E590" s="2018"/>
      <c r="F590" s="2018"/>
      <c r="G590" s="2018"/>
      <c r="H590" s="2018"/>
      <c r="I590" s="2018"/>
      <c r="J590" s="2018"/>
      <c r="K590" s="2018"/>
      <c r="L590" s="2018"/>
      <c r="M590" s="2018"/>
      <c r="N590" s="2018"/>
      <c r="O590" s="2018"/>
      <c r="P590" s="2018"/>
      <c r="Q590" s="2018"/>
      <c r="R590" s="2018"/>
      <c r="S590" s="2018"/>
      <c r="T590" s="2018"/>
      <c r="U590" s="2018"/>
      <c r="V590" s="2018"/>
      <c r="W590" s="2018"/>
      <c r="X590" s="2018"/>
      <c r="Y590" s="2094"/>
      <c r="Z590" s="2096"/>
      <c r="AA590" s="2097"/>
      <c r="AB590" s="1055"/>
      <c r="AC590" s="1055"/>
      <c r="AD590" s="1055"/>
      <c r="AE590" s="1055"/>
      <c r="AF590" s="1056"/>
    </row>
    <row r="591" spans="1:32" ht="16.5" thickBot="1" x14ac:dyDescent="0.3">
      <c r="A591" s="2019"/>
      <c r="B591" s="2020"/>
      <c r="C591" s="2020"/>
      <c r="D591" s="2020"/>
      <c r="E591" s="2020"/>
      <c r="F591" s="2020"/>
      <c r="G591" s="2020"/>
      <c r="H591" s="2020"/>
      <c r="I591" s="2020"/>
      <c r="J591" s="2020"/>
      <c r="K591" s="2020"/>
      <c r="L591" s="2020"/>
      <c r="M591" s="2020"/>
      <c r="N591" s="2020"/>
      <c r="O591" s="2020"/>
      <c r="P591" s="2020"/>
      <c r="Q591" s="2020"/>
      <c r="R591" s="2020"/>
      <c r="S591" s="2020"/>
      <c r="T591" s="2020"/>
      <c r="U591" s="2020"/>
      <c r="V591" s="2020"/>
      <c r="W591" s="2020"/>
      <c r="X591" s="2020"/>
      <c r="Y591" s="2095"/>
      <c r="Z591" s="2098"/>
      <c r="AA591" s="2099"/>
      <c r="AB591" s="1057"/>
      <c r="AC591" s="1057"/>
      <c r="AD591" s="1057"/>
      <c r="AE591" s="1057"/>
      <c r="AF591" s="1058"/>
    </row>
    <row r="592" spans="1:32" ht="15.75" x14ac:dyDescent="0.25">
      <c r="A592" s="2009" t="s">
        <v>2411</v>
      </c>
      <c r="B592" s="2010"/>
      <c r="C592" s="2010"/>
      <c r="D592" s="2010"/>
      <c r="E592" s="2010"/>
      <c r="F592" s="2010"/>
      <c r="G592" s="2010"/>
      <c r="H592" s="2010"/>
      <c r="I592" s="2010"/>
      <c r="J592" s="2010"/>
      <c r="K592" s="2010"/>
      <c r="L592" s="2010"/>
      <c r="M592" s="2010"/>
      <c r="N592" s="2010"/>
      <c r="O592" s="2010"/>
      <c r="P592" s="2010"/>
      <c r="Q592" s="2010"/>
      <c r="R592" s="2010"/>
      <c r="S592" s="2010"/>
      <c r="T592" s="2010"/>
      <c r="U592" s="2010"/>
      <c r="V592" s="2010"/>
      <c r="W592" s="2010"/>
      <c r="X592" s="2010"/>
      <c r="Y592" s="2010"/>
      <c r="Z592" s="2013" t="s">
        <v>1850</v>
      </c>
      <c r="AA592" s="2013"/>
      <c r="AB592" s="2013"/>
      <c r="AC592" s="2013"/>
      <c r="AD592" s="2013"/>
      <c r="AE592" s="2013"/>
      <c r="AF592" s="1059">
        <f>SUM(AF571:AF591)</f>
        <v>368.69</v>
      </c>
    </row>
    <row r="593" spans="1:32" ht="15.75" x14ac:dyDescent="0.25">
      <c r="A593" s="2011"/>
      <c r="B593" s="2012"/>
      <c r="C593" s="2012"/>
      <c r="D593" s="2012"/>
      <c r="E593" s="2012"/>
      <c r="F593" s="2012"/>
      <c r="G593" s="2012"/>
      <c r="H593" s="2012"/>
      <c r="I593" s="2012"/>
      <c r="J593" s="2012"/>
      <c r="K593" s="2012"/>
      <c r="L593" s="2012"/>
      <c r="M593" s="2012"/>
      <c r="N593" s="2012"/>
      <c r="O593" s="2012"/>
      <c r="P593" s="2012"/>
      <c r="Q593" s="2012"/>
      <c r="R593" s="2012"/>
      <c r="S593" s="2012"/>
      <c r="T593" s="2012"/>
      <c r="U593" s="2012"/>
      <c r="V593" s="2012"/>
      <c r="W593" s="2012"/>
      <c r="X593" s="2012"/>
      <c r="Y593" s="2012"/>
      <c r="Z593" s="2014" t="s">
        <v>1851</v>
      </c>
      <c r="AA593" s="2014"/>
      <c r="AB593" s="2014"/>
      <c r="AC593" s="2014"/>
      <c r="AD593" s="2014"/>
      <c r="AE593" s="2014"/>
      <c r="AF593" s="1060">
        <v>0</v>
      </c>
    </row>
    <row r="594" spans="1:32" ht="15.75" x14ac:dyDescent="0.25">
      <c r="A594" s="2011"/>
      <c r="B594" s="2012"/>
      <c r="C594" s="2012"/>
      <c r="D594" s="2012"/>
      <c r="E594" s="2012"/>
      <c r="F594" s="2012"/>
      <c r="G594" s="2012"/>
      <c r="H594" s="2012"/>
      <c r="I594" s="2012"/>
      <c r="J594" s="2012"/>
      <c r="K594" s="2012"/>
      <c r="L594" s="2012"/>
      <c r="M594" s="2012"/>
      <c r="N594" s="2012"/>
      <c r="O594" s="2012"/>
      <c r="P594" s="2012"/>
      <c r="Q594" s="2012"/>
      <c r="R594" s="2012"/>
      <c r="S594" s="2012"/>
      <c r="T594" s="2012"/>
      <c r="U594" s="2012"/>
      <c r="V594" s="2012"/>
      <c r="W594" s="2012"/>
      <c r="X594" s="2012"/>
      <c r="Y594" s="2012"/>
      <c r="Z594" s="2015" t="s">
        <v>1833</v>
      </c>
      <c r="AA594" s="2015"/>
      <c r="AB594" s="2015"/>
      <c r="AC594" s="2015"/>
      <c r="AD594" s="2015"/>
      <c r="AE594" s="2015"/>
      <c r="AF594" s="1061">
        <f>SUM(AF592:AF593)</f>
        <v>368.69</v>
      </c>
    </row>
    <row r="595" spans="1:32" x14ac:dyDescent="0.2">
      <c r="A595" s="2012" t="s">
        <v>1859</v>
      </c>
      <c r="B595" s="2012"/>
      <c r="C595" s="2012"/>
      <c r="D595" s="2012"/>
      <c r="E595" s="2012"/>
      <c r="F595" s="2012"/>
      <c r="G595" s="2012"/>
      <c r="H595" s="2012"/>
      <c r="I595" s="2012"/>
      <c r="J595" s="2012"/>
      <c r="K595" s="2012"/>
      <c r="L595" s="2012"/>
      <c r="M595" s="2012"/>
      <c r="N595" s="2012"/>
      <c r="O595" s="2012"/>
      <c r="P595" s="2012"/>
      <c r="Q595" s="2012"/>
      <c r="R595" s="2012"/>
      <c r="S595" s="2012"/>
      <c r="T595" s="2016" t="s">
        <v>1840</v>
      </c>
      <c r="U595" s="2016"/>
      <c r="V595" s="2016"/>
      <c r="W595" s="2016"/>
      <c r="X595" s="2016"/>
      <c r="Y595" s="2016"/>
      <c r="Z595" s="2016"/>
      <c r="AA595" s="2016"/>
      <c r="AB595" s="2012" t="s">
        <v>1852</v>
      </c>
      <c r="AC595" s="2012"/>
      <c r="AD595" s="2012"/>
      <c r="AE595" s="2012"/>
      <c r="AF595" s="2012"/>
    </row>
    <row r="596" spans="1:32" x14ac:dyDescent="0.2">
      <c r="A596" s="2012"/>
      <c r="B596" s="2012"/>
      <c r="C596" s="2012"/>
      <c r="D596" s="2012"/>
      <c r="E596" s="2012"/>
      <c r="F596" s="2012"/>
      <c r="G596" s="2012"/>
      <c r="H596" s="2012"/>
      <c r="I596" s="2012"/>
      <c r="J596" s="2012"/>
      <c r="K596" s="2012"/>
      <c r="L596" s="2012"/>
      <c r="M596" s="2012"/>
      <c r="N596" s="2012"/>
      <c r="O596" s="2012"/>
      <c r="P596" s="2012"/>
      <c r="Q596" s="2012"/>
      <c r="R596" s="2012"/>
      <c r="S596" s="2012"/>
      <c r="T596" s="2016"/>
      <c r="U596" s="2016"/>
      <c r="V596" s="2016"/>
      <c r="W596" s="2016"/>
      <c r="X596" s="2016"/>
      <c r="Y596" s="2016"/>
      <c r="Z596" s="2016"/>
      <c r="AA596" s="2016"/>
      <c r="AB596" s="2012"/>
      <c r="AC596" s="2012"/>
      <c r="AD596" s="2012"/>
      <c r="AE596" s="2012"/>
      <c r="AF596" s="2012"/>
    </row>
    <row r="597" spans="1:32" ht="16.5" thickBot="1" x14ac:dyDescent="0.25">
      <c r="A597" s="1062"/>
      <c r="B597" s="1062"/>
      <c r="C597" s="1062"/>
      <c r="D597" s="1062"/>
      <c r="E597" s="1062"/>
      <c r="F597" s="1062"/>
      <c r="G597" s="1062"/>
      <c r="H597" s="1062"/>
      <c r="I597" s="1062"/>
      <c r="J597" s="1062"/>
      <c r="K597" s="1062"/>
      <c r="L597" s="1062"/>
      <c r="M597" s="1062"/>
      <c r="N597" s="1062"/>
      <c r="O597" s="1062"/>
      <c r="P597" s="1062"/>
      <c r="Q597" s="1062"/>
      <c r="R597" s="1062"/>
      <c r="S597" s="1062"/>
      <c r="T597" s="1063"/>
      <c r="U597" s="1063"/>
      <c r="V597" s="1063"/>
      <c r="W597" s="1063"/>
      <c r="X597" s="1063"/>
      <c r="Y597" s="1063"/>
      <c r="Z597" s="1063"/>
      <c r="AA597" s="1063"/>
      <c r="AB597" s="1062"/>
      <c r="AC597" s="1062"/>
      <c r="AD597" s="1062"/>
      <c r="AE597" s="1064"/>
      <c r="AF597" s="1065"/>
    </row>
    <row r="598" spans="1:32" ht="22.15" customHeight="1" x14ac:dyDescent="0.2">
      <c r="A598" s="2025" t="s">
        <v>1854</v>
      </c>
      <c r="B598" s="2026"/>
      <c r="C598" s="2026"/>
      <c r="D598" s="2026"/>
      <c r="E598" s="2026"/>
      <c r="F598" s="2026"/>
      <c r="G598" s="2026"/>
      <c r="H598" s="2026"/>
      <c r="I598" s="2026"/>
      <c r="J598" s="2026"/>
      <c r="K598" s="2026"/>
      <c r="L598" s="2026"/>
      <c r="M598" s="2026"/>
      <c r="N598" s="2026"/>
      <c r="O598" s="2026"/>
      <c r="P598" s="2026"/>
      <c r="Q598" s="2026"/>
      <c r="R598" s="2026"/>
      <c r="S598" s="2026"/>
      <c r="T598" s="2026"/>
      <c r="U598" s="2026"/>
      <c r="V598" s="2026"/>
      <c r="W598" s="2026"/>
      <c r="X598" s="2026"/>
      <c r="Y598" s="2026"/>
      <c r="Z598" s="2026"/>
      <c r="AA598" s="2026"/>
      <c r="AB598" s="2026"/>
      <c r="AC598" s="2026"/>
      <c r="AD598" s="2026"/>
      <c r="AE598" s="1041" t="s">
        <v>1834</v>
      </c>
      <c r="AF598" s="1042" t="s">
        <v>1835</v>
      </c>
    </row>
    <row r="599" spans="1:32" ht="24" customHeight="1" thickBot="1" x14ac:dyDescent="0.25">
      <c r="A599" s="2027"/>
      <c r="B599" s="2028"/>
      <c r="C599" s="2028"/>
      <c r="D599" s="2028"/>
      <c r="E599" s="2028"/>
      <c r="F599" s="2028"/>
      <c r="G599" s="2028"/>
      <c r="H599" s="2028"/>
      <c r="I599" s="2028"/>
      <c r="J599" s="2028"/>
      <c r="K599" s="2028"/>
      <c r="L599" s="2028"/>
      <c r="M599" s="2028"/>
      <c r="N599" s="2028"/>
      <c r="O599" s="2028"/>
      <c r="P599" s="2028"/>
      <c r="Q599" s="2028"/>
      <c r="R599" s="2028"/>
      <c r="S599" s="2028"/>
      <c r="T599" s="2028"/>
      <c r="U599" s="2028"/>
      <c r="V599" s="2028"/>
      <c r="W599" s="2028"/>
      <c r="X599" s="2028"/>
      <c r="Y599" s="2028"/>
      <c r="Z599" s="2028"/>
      <c r="AA599" s="2028"/>
      <c r="AB599" s="2028"/>
      <c r="AC599" s="2028"/>
      <c r="AD599" s="2028"/>
      <c r="AE599" s="1041" t="s">
        <v>1836</v>
      </c>
      <c r="AF599" s="1044">
        <v>1</v>
      </c>
    </row>
    <row r="600" spans="1:32" ht="15.75" x14ac:dyDescent="0.2">
      <c r="A600" s="2029"/>
      <c r="B600" s="2030"/>
      <c r="C600" s="2030"/>
      <c r="D600" s="2031"/>
      <c r="E600" s="2025" t="str">
        <f>'01'!$A$12</f>
        <v>"CONSTRUCCION SISTEMA DE ACUEDUCTO FASE II DEL MUNICIPIO DE TESALIA DPTO DEL HUILA"</v>
      </c>
      <c r="F600" s="2026"/>
      <c r="G600" s="2026"/>
      <c r="H600" s="2026"/>
      <c r="I600" s="2026"/>
      <c r="J600" s="2026"/>
      <c r="K600" s="2026"/>
      <c r="L600" s="2026"/>
      <c r="M600" s="2026"/>
      <c r="N600" s="2026"/>
      <c r="O600" s="2026"/>
      <c r="P600" s="2026"/>
      <c r="Q600" s="2026"/>
      <c r="R600" s="2026"/>
      <c r="S600" s="2026"/>
      <c r="T600" s="2026"/>
      <c r="U600" s="2026"/>
      <c r="V600" s="2026"/>
      <c r="W600" s="2026"/>
      <c r="X600" s="2026"/>
      <c r="Y600" s="2026"/>
      <c r="Z600" s="2026"/>
      <c r="AA600" s="2026"/>
      <c r="AB600" s="2026"/>
      <c r="AC600" s="2026"/>
      <c r="AD600" s="2035"/>
      <c r="AE600" s="1041" t="s">
        <v>847</v>
      </c>
      <c r="AF600" s="1045">
        <f>'01'!$M$13</f>
        <v>0</v>
      </c>
    </row>
    <row r="601" spans="1:32" ht="16.5" thickBot="1" x14ac:dyDescent="0.25">
      <c r="A601" s="2032"/>
      <c r="B601" s="2033"/>
      <c r="C601" s="2033"/>
      <c r="D601" s="2034"/>
      <c r="E601" s="2027"/>
      <c r="F601" s="2028"/>
      <c r="G601" s="2028"/>
      <c r="H601" s="2028"/>
      <c r="I601" s="2028"/>
      <c r="J601" s="2028"/>
      <c r="K601" s="2028"/>
      <c r="L601" s="2028"/>
      <c r="M601" s="2028"/>
      <c r="N601" s="2028"/>
      <c r="O601" s="2028"/>
      <c r="P601" s="2028"/>
      <c r="Q601" s="2028"/>
      <c r="R601" s="2028"/>
      <c r="S601" s="2028"/>
      <c r="T601" s="2028"/>
      <c r="U601" s="2028"/>
      <c r="V601" s="2028"/>
      <c r="W601" s="2028"/>
      <c r="X601" s="2028"/>
      <c r="Y601" s="2028"/>
      <c r="Z601" s="2028"/>
      <c r="AA601" s="2028"/>
      <c r="AB601" s="2028"/>
      <c r="AC601" s="2028"/>
      <c r="AD601" s="2036"/>
      <c r="AE601" s="1041" t="s">
        <v>1837</v>
      </c>
      <c r="AF601" s="1042" t="s">
        <v>1838</v>
      </c>
    </row>
    <row r="602" spans="1:32" ht="15.75" x14ac:dyDescent="0.25">
      <c r="A602" s="2037" t="s">
        <v>1860</v>
      </c>
      <c r="B602" s="2038"/>
      <c r="C602" s="2038"/>
      <c r="D602" s="2038"/>
      <c r="E602" s="2038"/>
      <c r="F602" s="2038"/>
      <c r="G602" s="2038"/>
      <c r="H602" s="2038"/>
      <c r="I602" s="2038"/>
      <c r="J602" s="2038"/>
      <c r="K602" s="2038"/>
      <c r="L602" s="2038"/>
      <c r="M602" s="2038"/>
      <c r="N602" s="2038"/>
      <c r="O602" s="2038"/>
      <c r="P602" s="2038"/>
      <c r="Q602" s="2038"/>
      <c r="R602" s="2038"/>
      <c r="S602" s="2038"/>
      <c r="T602" s="2038"/>
      <c r="U602" s="2038"/>
      <c r="V602" s="2038"/>
      <c r="W602" s="2038"/>
      <c r="X602" s="2038"/>
      <c r="Y602" s="2038"/>
      <c r="Z602" s="2038"/>
      <c r="AA602" s="2038"/>
      <c r="AB602" s="2038"/>
      <c r="AC602" s="2038"/>
      <c r="AD602" s="2038"/>
      <c r="AE602" s="2039" t="s">
        <v>1839</v>
      </c>
      <c r="AF602" s="2040"/>
    </row>
    <row r="603" spans="1:32" ht="15.75" x14ac:dyDescent="0.25">
      <c r="A603" s="2041" t="s">
        <v>1840</v>
      </c>
      <c r="B603" s="2042"/>
      <c r="C603" s="2042"/>
      <c r="D603" s="2042"/>
      <c r="E603" s="2042"/>
      <c r="F603" s="2042"/>
      <c r="G603" s="2042"/>
      <c r="H603" s="2042"/>
      <c r="I603" s="2042"/>
      <c r="J603" s="2042"/>
      <c r="K603" s="2042"/>
      <c r="L603" s="2042"/>
      <c r="M603" s="2042"/>
      <c r="N603" s="2042"/>
      <c r="O603" s="2042"/>
      <c r="P603" s="2042"/>
      <c r="Q603" s="2042"/>
      <c r="R603" s="2042"/>
      <c r="S603" s="2042"/>
      <c r="T603" s="2042"/>
      <c r="U603" s="2042"/>
      <c r="V603" s="2042"/>
      <c r="W603" s="2042"/>
      <c r="X603" s="2042"/>
      <c r="Y603" s="2042"/>
      <c r="Z603" s="2042"/>
      <c r="AA603" s="2042"/>
      <c r="AB603" s="2042"/>
      <c r="AC603" s="2042"/>
      <c r="AD603" s="2043"/>
      <c r="AE603" s="2014" t="s">
        <v>1841</v>
      </c>
      <c r="AF603" s="2044"/>
    </row>
    <row r="604" spans="1:32" ht="15.75" x14ac:dyDescent="0.25">
      <c r="A604" s="2045" t="s">
        <v>1853</v>
      </c>
      <c r="B604" s="2046"/>
      <c r="C604" s="2046"/>
      <c r="D604" s="2046"/>
      <c r="E604" s="2046"/>
      <c r="F604" s="2046"/>
      <c r="G604" s="2046"/>
      <c r="H604" s="2046"/>
      <c r="I604" s="2046"/>
      <c r="J604" s="2046"/>
      <c r="K604" s="2046"/>
      <c r="L604" s="2046"/>
      <c r="M604" s="2046"/>
      <c r="N604" s="2046"/>
      <c r="O604" s="2046"/>
      <c r="P604" s="2046"/>
      <c r="Q604" s="2046"/>
      <c r="R604" s="2046"/>
      <c r="S604" s="2046"/>
      <c r="T604" s="2046"/>
      <c r="U604" s="2046"/>
      <c r="V604" s="2046"/>
      <c r="W604" s="2046"/>
      <c r="X604" s="2046"/>
      <c r="Y604" s="2046"/>
      <c r="Z604" s="2046"/>
      <c r="AA604" s="2046"/>
      <c r="AB604" s="2046"/>
      <c r="AC604" s="2046"/>
      <c r="AD604" s="2046"/>
      <c r="AE604" s="2047">
        <f>'01'!$M$13</f>
        <v>0</v>
      </c>
      <c r="AF604" s="2044"/>
    </row>
    <row r="605" spans="1:32" x14ac:dyDescent="0.2">
      <c r="A605" s="1046"/>
      <c r="B605" s="1047"/>
      <c r="C605" s="1047"/>
      <c r="D605" s="1047"/>
      <c r="E605" s="1047"/>
      <c r="F605" s="1047"/>
      <c r="G605" s="1047"/>
      <c r="H605" s="1047"/>
      <c r="I605" s="1047"/>
      <c r="J605" s="1047"/>
      <c r="K605" s="1047"/>
      <c r="L605" s="1047"/>
      <c r="M605" s="1047"/>
      <c r="N605" s="1047"/>
      <c r="O605" s="1047"/>
      <c r="P605" s="1047"/>
      <c r="Q605" s="1047"/>
      <c r="R605" s="1047"/>
      <c r="S605" s="1047"/>
      <c r="T605" s="1047"/>
      <c r="U605" s="1047"/>
      <c r="V605" s="1047"/>
      <c r="W605" s="1047"/>
      <c r="X605" s="1047"/>
      <c r="Y605" s="1047"/>
      <c r="Z605" s="1047"/>
      <c r="AA605" s="1047"/>
      <c r="AB605" s="1047"/>
      <c r="AC605" s="1047"/>
      <c r="AD605" s="1047"/>
      <c r="AE605" s="1047"/>
      <c r="AF605" s="1048"/>
    </row>
    <row r="606" spans="1:32" ht="15.75" x14ac:dyDescent="0.2">
      <c r="A606" s="2048" t="s">
        <v>1842</v>
      </c>
      <c r="B606" s="2049"/>
      <c r="C606" s="2049"/>
      <c r="D606" s="2049"/>
      <c r="E606" s="2049"/>
      <c r="F606" s="2050" t="str">
        <f>'01'!$H$33</f>
        <v>B - CÁMARA DE LLEGADA Y AQUIETAMIENTO DEL AGUA</v>
      </c>
      <c r="G606" s="2049"/>
      <c r="H606" s="2049"/>
      <c r="I606" s="2049"/>
      <c r="J606" s="2049"/>
      <c r="K606" s="2049"/>
      <c r="L606" s="2049"/>
      <c r="M606" s="2049"/>
      <c r="N606" s="2049"/>
      <c r="O606" s="2049"/>
      <c r="P606" s="2049"/>
      <c r="Q606" s="2049"/>
      <c r="R606" s="2049"/>
      <c r="S606" s="2049"/>
      <c r="T606" s="2049"/>
      <c r="U606" s="2049"/>
      <c r="V606" s="2049"/>
      <c r="W606" s="2049"/>
      <c r="X606" s="2049"/>
      <c r="Y606" s="2051"/>
      <c r="Z606" s="2052" t="s">
        <v>1843</v>
      </c>
      <c r="AA606" s="2053"/>
      <c r="AB606" s="2058" t="s">
        <v>1844</v>
      </c>
      <c r="AC606" s="2059"/>
      <c r="AD606" s="2060"/>
      <c r="AE606" s="2064" t="s">
        <v>2184</v>
      </c>
      <c r="AF606" s="2067" t="s">
        <v>1846</v>
      </c>
    </row>
    <row r="607" spans="1:32" x14ac:dyDescent="0.2">
      <c r="A607" s="2070" t="str">
        <f>'01'!A45</f>
        <v>B-04-02</v>
      </c>
      <c r="B607" s="2071"/>
      <c r="C607" s="2072"/>
      <c r="D607" s="2076" t="str">
        <f>VLOOKUP(A607,'01'!$A$12:$N$299,3,FALSE)</f>
        <v>DISPOSICIÓN DE MATERIAL PROVENIENTE DE EXCAVACIÓN (NO INCLUYE TRANSPORTE)</v>
      </c>
      <c r="E607" s="2077"/>
      <c r="F607" s="2077"/>
      <c r="G607" s="2077"/>
      <c r="H607" s="2077"/>
      <c r="I607" s="2077"/>
      <c r="J607" s="2077"/>
      <c r="K607" s="2077"/>
      <c r="L607" s="2077"/>
      <c r="M607" s="2077"/>
      <c r="N607" s="2077"/>
      <c r="O607" s="2077"/>
      <c r="P607" s="2077"/>
      <c r="Q607" s="2077"/>
      <c r="R607" s="2077"/>
      <c r="S607" s="2078"/>
      <c r="T607" s="2082" t="s">
        <v>124</v>
      </c>
      <c r="U607" s="2083"/>
      <c r="V607" s="2083"/>
      <c r="W607" s="2083"/>
      <c r="X607" s="2052" t="str">
        <f>VLOOKUP(A607,'01'!$A$12:$N$299,9,FALSE)</f>
        <v>M3</v>
      </c>
      <c r="Y607" s="2053"/>
      <c r="Z607" s="2054"/>
      <c r="AA607" s="2055"/>
      <c r="AB607" s="2061"/>
      <c r="AC607" s="2062"/>
      <c r="AD607" s="2063"/>
      <c r="AE607" s="2065"/>
      <c r="AF607" s="2068"/>
    </row>
    <row r="608" spans="1:32" ht="31.5" x14ac:dyDescent="0.25">
      <c r="A608" s="2073"/>
      <c r="B608" s="2074"/>
      <c r="C608" s="2075"/>
      <c r="D608" s="2079"/>
      <c r="E608" s="2080"/>
      <c r="F608" s="2080"/>
      <c r="G608" s="2080"/>
      <c r="H608" s="2080"/>
      <c r="I608" s="2080"/>
      <c r="J608" s="2080"/>
      <c r="K608" s="2080"/>
      <c r="L608" s="2080"/>
      <c r="M608" s="2080"/>
      <c r="N608" s="2080"/>
      <c r="O608" s="2080"/>
      <c r="P608" s="2080"/>
      <c r="Q608" s="2080"/>
      <c r="R608" s="2080"/>
      <c r="S608" s="2081"/>
      <c r="T608" s="2084"/>
      <c r="U608" s="2085"/>
      <c r="V608" s="2085"/>
      <c r="W608" s="2085"/>
      <c r="X608" s="2056"/>
      <c r="Y608" s="2057"/>
      <c r="Z608" s="2056"/>
      <c r="AA608" s="2057"/>
      <c r="AB608" s="1122" t="s">
        <v>2180</v>
      </c>
      <c r="AC608" s="1122" t="s">
        <v>2181</v>
      </c>
      <c r="AD608" s="1122" t="s">
        <v>1869</v>
      </c>
      <c r="AE608" s="2066"/>
      <c r="AF608" s="2069"/>
    </row>
    <row r="609" spans="1:32" ht="15.75" x14ac:dyDescent="0.25">
      <c r="A609" s="2017"/>
      <c r="B609" s="2018"/>
      <c r="C609" s="2018"/>
      <c r="D609" s="2018"/>
      <c r="E609" s="2018"/>
      <c r="F609" s="2018"/>
      <c r="G609" s="2018"/>
      <c r="H609" s="2018"/>
      <c r="I609" s="2018"/>
      <c r="J609" s="2018"/>
      <c r="K609" s="2018"/>
      <c r="L609" s="2018"/>
      <c r="M609" s="2018"/>
      <c r="N609" s="2018"/>
      <c r="O609" s="2018"/>
      <c r="P609" s="2018"/>
      <c r="Q609" s="2018"/>
      <c r="R609" s="2018"/>
      <c r="S609" s="2018"/>
      <c r="T609" s="2018"/>
      <c r="U609" s="2018"/>
      <c r="V609" s="2018"/>
      <c r="W609" s="2018"/>
      <c r="X609" s="2018"/>
      <c r="Y609" s="2094"/>
      <c r="Z609" s="2096"/>
      <c r="AA609" s="2097"/>
      <c r="AB609" s="1050">
        <f>AF442</f>
        <v>85.39</v>
      </c>
      <c r="AC609" s="1050">
        <f>+AC571</f>
        <v>26.4</v>
      </c>
      <c r="AD609" s="1050">
        <f>AD197</f>
        <v>1.25</v>
      </c>
      <c r="AE609" s="1051">
        <f>AE197</f>
        <v>5</v>
      </c>
      <c r="AF609" s="1052">
        <f>ROUND((AB609-AC609)*AD609,2)</f>
        <v>73.739999999999995</v>
      </c>
    </row>
    <row r="610" spans="1:32" ht="15.75" x14ac:dyDescent="0.25">
      <c r="A610" s="2017"/>
      <c r="B610" s="2018"/>
      <c r="C610" s="2018"/>
      <c r="D610" s="2018"/>
      <c r="E610" s="2018"/>
      <c r="F610" s="2018"/>
      <c r="G610" s="2018"/>
      <c r="H610" s="2018"/>
      <c r="I610" s="2018"/>
      <c r="J610" s="2018"/>
      <c r="K610" s="2018"/>
      <c r="L610" s="2018"/>
      <c r="M610" s="2018"/>
      <c r="N610" s="2018"/>
      <c r="O610" s="2018"/>
      <c r="P610" s="2018"/>
      <c r="Q610" s="2018"/>
      <c r="R610" s="2018"/>
      <c r="S610" s="2018"/>
      <c r="T610" s="2018"/>
      <c r="U610" s="2018"/>
      <c r="V610" s="2018"/>
      <c r="W610" s="2018"/>
      <c r="X610" s="2018"/>
      <c r="Y610" s="2094"/>
      <c r="Z610" s="2096"/>
      <c r="AA610" s="2097"/>
      <c r="AB610" s="1050"/>
      <c r="AC610" s="1050"/>
      <c r="AD610" s="1050"/>
      <c r="AE610" s="1051"/>
      <c r="AF610" s="1052"/>
    </row>
    <row r="611" spans="1:32" ht="15.75" x14ac:dyDescent="0.25">
      <c r="A611" s="2017"/>
      <c r="B611" s="2018"/>
      <c r="C611" s="2018"/>
      <c r="D611" s="2018"/>
      <c r="E611" s="2018"/>
      <c r="F611" s="2018"/>
      <c r="G611" s="2018"/>
      <c r="H611" s="2018"/>
      <c r="I611" s="2018"/>
      <c r="J611" s="2018"/>
      <c r="K611" s="2018"/>
      <c r="L611" s="2018"/>
      <c r="M611" s="2018"/>
      <c r="N611" s="2018"/>
      <c r="O611" s="2018"/>
      <c r="P611" s="2018"/>
      <c r="Q611" s="2018"/>
      <c r="R611" s="2018"/>
      <c r="S611" s="2018"/>
      <c r="T611" s="2018"/>
      <c r="U611" s="2018"/>
      <c r="V611" s="2018"/>
      <c r="W611" s="2018"/>
      <c r="X611" s="2018"/>
      <c r="Y611" s="2094"/>
      <c r="Z611" s="2096"/>
      <c r="AA611" s="2097"/>
      <c r="AB611" s="1050"/>
      <c r="AC611" s="1050"/>
      <c r="AD611" s="1050"/>
      <c r="AE611" s="1051"/>
      <c r="AF611" s="1052"/>
    </row>
    <row r="612" spans="1:32" ht="15.75" x14ac:dyDescent="0.25">
      <c r="A612" s="2017"/>
      <c r="B612" s="2018"/>
      <c r="C612" s="2018"/>
      <c r="D612" s="2018"/>
      <c r="E612" s="2018"/>
      <c r="F612" s="2018"/>
      <c r="G612" s="2018"/>
      <c r="H612" s="2018"/>
      <c r="I612" s="2018"/>
      <c r="J612" s="2018"/>
      <c r="K612" s="2018"/>
      <c r="L612" s="2018"/>
      <c r="M612" s="2018"/>
      <c r="N612" s="2018"/>
      <c r="O612" s="2018"/>
      <c r="P612" s="2018"/>
      <c r="Q612" s="2018"/>
      <c r="R612" s="2018"/>
      <c r="S612" s="2018"/>
      <c r="T612" s="2018"/>
      <c r="U612" s="2018"/>
      <c r="V612" s="2018"/>
      <c r="W612" s="2018"/>
      <c r="X612" s="2018"/>
      <c r="Y612" s="2094"/>
      <c r="Z612" s="2096"/>
      <c r="AA612" s="2097"/>
      <c r="AB612" s="1050"/>
      <c r="AC612" s="1050"/>
      <c r="AD612" s="1050"/>
      <c r="AE612" s="1051"/>
      <c r="AF612" s="1052"/>
    </row>
    <row r="613" spans="1:32" ht="15.75" x14ac:dyDescent="0.25">
      <c r="A613" s="2017"/>
      <c r="B613" s="2018"/>
      <c r="C613" s="2018"/>
      <c r="D613" s="2018"/>
      <c r="E613" s="2018"/>
      <c r="F613" s="2018"/>
      <c r="G613" s="2018"/>
      <c r="H613" s="2018"/>
      <c r="I613" s="2018"/>
      <c r="J613" s="2018"/>
      <c r="K613" s="2018"/>
      <c r="L613" s="2018"/>
      <c r="M613" s="2018"/>
      <c r="N613" s="2018"/>
      <c r="O613" s="2018"/>
      <c r="P613" s="2018"/>
      <c r="Q613" s="2018"/>
      <c r="R613" s="2018"/>
      <c r="S613" s="2018"/>
      <c r="T613" s="2018"/>
      <c r="U613" s="2018"/>
      <c r="V613" s="2018"/>
      <c r="W613" s="2018"/>
      <c r="X613" s="2018"/>
      <c r="Y613" s="2094"/>
      <c r="Z613" s="2096"/>
      <c r="AA613" s="2097"/>
      <c r="AB613" s="1050"/>
      <c r="AC613" s="1050"/>
      <c r="AD613" s="1050"/>
      <c r="AE613" s="1051"/>
      <c r="AF613" s="1052"/>
    </row>
    <row r="614" spans="1:32" ht="15.75" x14ac:dyDescent="0.25">
      <c r="A614" s="2017"/>
      <c r="B614" s="2018"/>
      <c r="C614" s="2018"/>
      <c r="D614" s="2018"/>
      <c r="E614" s="2018"/>
      <c r="F614" s="2018"/>
      <c r="G614" s="2018"/>
      <c r="H614" s="2018"/>
      <c r="I614" s="2018"/>
      <c r="J614" s="2018"/>
      <c r="K614" s="2018"/>
      <c r="L614" s="2018"/>
      <c r="M614" s="2018"/>
      <c r="N614" s="2018"/>
      <c r="O614" s="2018"/>
      <c r="P614" s="2018"/>
      <c r="Q614" s="2018"/>
      <c r="R614" s="2018"/>
      <c r="S614" s="2018"/>
      <c r="T614" s="2018"/>
      <c r="U614" s="2018"/>
      <c r="V614" s="2018"/>
      <c r="W614" s="2018"/>
      <c r="X614" s="2018"/>
      <c r="Y614" s="2094"/>
      <c r="Z614" s="2096"/>
      <c r="AA614" s="2097"/>
      <c r="AB614" s="1050"/>
      <c r="AC614" s="1050"/>
      <c r="AD614" s="1050"/>
      <c r="AE614" s="1051"/>
      <c r="AF614" s="1052"/>
    </row>
    <row r="615" spans="1:32" ht="15.75" x14ac:dyDescent="0.25">
      <c r="A615" s="2017"/>
      <c r="B615" s="2018"/>
      <c r="C615" s="2018"/>
      <c r="D615" s="2018"/>
      <c r="E615" s="2018"/>
      <c r="F615" s="2018"/>
      <c r="G615" s="2018"/>
      <c r="H615" s="2018"/>
      <c r="I615" s="2018"/>
      <c r="J615" s="2018"/>
      <c r="K615" s="2018"/>
      <c r="L615" s="2018"/>
      <c r="M615" s="2018"/>
      <c r="N615" s="2018"/>
      <c r="O615" s="2018"/>
      <c r="P615" s="2018"/>
      <c r="Q615" s="2018"/>
      <c r="R615" s="2018"/>
      <c r="S615" s="2018"/>
      <c r="T615" s="2018"/>
      <c r="U615" s="2018"/>
      <c r="V615" s="2018"/>
      <c r="W615" s="2018"/>
      <c r="X615" s="2018"/>
      <c r="Y615" s="2094"/>
      <c r="Z615" s="2096"/>
      <c r="AA615" s="2097"/>
      <c r="AB615" s="1050"/>
      <c r="AC615" s="1050"/>
      <c r="AD615" s="1050"/>
      <c r="AE615" s="1051"/>
      <c r="AF615" s="1052"/>
    </row>
    <row r="616" spans="1:32" ht="15.75" x14ac:dyDescent="0.25">
      <c r="A616" s="2017"/>
      <c r="B616" s="2018"/>
      <c r="C616" s="2018"/>
      <c r="D616" s="2018"/>
      <c r="E616" s="2018"/>
      <c r="F616" s="2018"/>
      <c r="G616" s="2018"/>
      <c r="H616" s="2018"/>
      <c r="I616" s="2018"/>
      <c r="J616" s="2018"/>
      <c r="K616" s="2018"/>
      <c r="L616" s="2018"/>
      <c r="M616" s="2018"/>
      <c r="N616" s="2018"/>
      <c r="O616" s="2018"/>
      <c r="P616" s="2018"/>
      <c r="Q616" s="2018"/>
      <c r="R616" s="2018"/>
      <c r="S616" s="2018"/>
      <c r="T616" s="2018"/>
      <c r="U616" s="2018"/>
      <c r="V616" s="2018"/>
      <c r="W616" s="2018"/>
      <c r="X616" s="2018"/>
      <c r="Y616" s="2094"/>
      <c r="Z616" s="2096"/>
      <c r="AA616" s="2097"/>
      <c r="AB616" s="1053"/>
      <c r="AC616" s="1053"/>
      <c r="AD616" s="1053"/>
      <c r="AE616" s="1051"/>
      <c r="AF616" s="1052"/>
    </row>
    <row r="617" spans="1:32" ht="15.75" x14ac:dyDescent="0.25">
      <c r="A617" s="2017"/>
      <c r="B617" s="2018"/>
      <c r="C617" s="2018"/>
      <c r="D617" s="2018"/>
      <c r="E617" s="2018"/>
      <c r="F617" s="2018"/>
      <c r="G617" s="2018"/>
      <c r="H617" s="2018"/>
      <c r="I617" s="2018"/>
      <c r="J617" s="2018"/>
      <c r="K617" s="2018"/>
      <c r="L617" s="2018"/>
      <c r="M617" s="2018"/>
      <c r="N617" s="2018"/>
      <c r="O617" s="2018"/>
      <c r="P617" s="2018"/>
      <c r="Q617" s="2018"/>
      <c r="R617" s="2018"/>
      <c r="S617" s="2018"/>
      <c r="T617" s="2018"/>
      <c r="U617" s="2018"/>
      <c r="V617" s="2018"/>
      <c r="W617" s="2018"/>
      <c r="X617" s="2018"/>
      <c r="Y617" s="2094"/>
      <c r="Z617" s="2096"/>
      <c r="AA617" s="2097"/>
      <c r="AB617" s="1053"/>
      <c r="AC617" s="1053"/>
      <c r="AD617" s="1053"/>
      <c r="AE617" s="1050"/>
      <c r="AF617" s="1054"/>
    </row>
    <row r="618" spans="1:32" ht="15.75" x14ac:dyDescent="0.25">
      <c r="A618" s="2017"/>
      <c r="B618" s="2018"/>
      <c r="C618" s="2018"/>
      <c r="D618" s="2018"/>
      <c r="E618" s="2018"/>
      <c r="F618" s="2018"/>
      <c r="G618" s="2018"/>
      <c r="H618" s="2018"/>
      <c r="I618" s="2018"/>
      <c r="J618" s="2018"/>
      <c r="K618" s="2018"/>
      <c r="L618" s="2018"/>
      <c r="M618" s="2018"/>
      <c r="N618" s="2018"/>
      <c r="O618" s="2018"/>
      <c r="P618" s="2018"/>
      <c r="Q618" s="2018"/>
      <c r="R618" s="2018"/>
      <c r="S618" s="2018"/>
      <c r="T618" s="2018"/>
      <c r="U618" s="2018"/>
      <c r="V618" s="2018"/>
      <c r="W618" s="2018"/>
      <c r="X618" s="2018"/>
      <c r="Y618" s="2094"/>
      <c r="Z618" s="2096"/>
      <c r="AA618" s="2097"/>
      <c r="AB618" s="1053"/>
      <c r="AC618" s="1053"/>
      <c r="AD618" s="1053"/>
      <c r="AE618" s="1051"/>
      <c r="AF618" s="1054"/>
    </row>
    <row r="619" spans="1:32" ht="15.75" x14ac:dyDescent="0.25">
      <c r="A619" s="2017"/>
      <c r="B619" s="2018"/>
      <c r="C619" s="2018"/>
      <c r="D619" s="2018"/>
      <c r="E619" s="2018"/>
      <c r="F619" s="2018"/>
      <c r="G619" s="2018"/>
      <c r="H619" s="2018"/>
      <c r="I619" s="2018"/>
      <c r="J619" s="2018"/>
      <c r="K619" s="2018"/>
      <c r="L619" s="2018"/>
      <c r="M619" s="2018"/>
      <c r="N619" s="2018"/>
      <c r="O619" s="2018"/>
      <c r="P619" s="2018"/>
      <c r="Q619" s="2018"/>
      <c r="R619" s="2018"/>
      <c r="S619" s="2018"/>
      <c r="T619" s="2018"/>
      <c r="U619" s="2018"/>
      <c r="V619" s="2018"/>
      <c r="W619" s="2018"/>
      <c r="X619" s="2018"/>
      <c r="Y619" s="2094"/>
      <c r="Z619" s="2096"/>
      <c r="AA619" s="2097"/>
      <c r="AB619" s="1053"/>
      <c r="AC619" s="1053"/>
      <c r="AD619" s="1053"/>
      <c r="AE619" s="1051"/>
      <c r="AF619" s="1054"/>
    </row>
    <row r="620" spans="1:32" ht="15.75" x14ac:dyDescent="0.25">
      <c r="A620" s="2017"/>
      <c r="B620" s="2018"/>
      <c r="C620" s="2018"/>
      <c r="D620" s="2018"/>
      <c r="E620" s="2018"/>
      <c r="F620" s="2018"/>
      <c r="G620" s="2018"/>
      <c r="H620" s="2018"/>
      <c r="I620" s="2018"/>
      <c r="J620" s="2018"/>
      <c r="K620" s="2018"/>
      <c r="L620" s="2018"/>
      <c r="M620" s="2018"/>
      <c r="N620" s="2018"/>
      <c r="O620" s="2018"/>
      <c r="P620" s="2018"/>
      <c r="Q620" s="2018"/>
      <c r="R620" s="2018"/>
      <c r="S620" s="2018"/>
      <c r="T620" s="2018"/>
      <c r="U620" s="2018"/>
      <c r="V620" s="2018"/>
      <c r="W620" s="2018"/>
      <c r="X620" s="2018"/>
      <c r="Y620" s="2094"/>
      <c r="Z620" s="2096"/>
      <c r="AA620" s="2097"/>
      <c r="AB620" s="1053"/>
      <c r="AC620" s="1053"/>
      <c r="AD620" s="1053"/>
      <c r="AE620" s="1051"/>
      <c r="AF620" s="1054"/>
    </row>
    <row r="621" spans="1:32" ht="15.75" x14ac:dyDescent="0.25">
      <c r="A621" s="2017"/>
      <c r="B621" s="2018"/>
      <c r="C621" s="2018"/>
      <c r="D621" s="2018"/>
      <c r="E621" s="2018"/>
      <c r="F621" s="2018"/>
      <c r="G621" s="2018"/>
      <c r="H621" s="2018"/>
      <c r="I621" s="2018"/>
      <c r="J621" s="2018"/>
      <c r="K621" s="2018"/>
      <c r="L621" s="2018"/>
      <c r="M621" s="2018"/>
      <c r="N621" s="2018"/>
      <c r="O621" s="2018"/>
      <c r="P621" s="2018"/>
      <c r="Q621" s="2018"/>
      <c r="R621" s="2018"/>
      <c r="S621" s="2018"/>
      <c r="T621" s="2018"/>
      <c r="U621" s="2018"/>
      <c r="V621" s="2018"/>
      <c r="W621" s="2018"/>
      <c r="X621" s="2018"/>
      <c r="Y621" s="2094"/>
      <c r="Z621" s="2096"/>
      <c r="AA621" s="2097"/>
      <c r="AB621" s="1053"/>
      <c r="AC621" s="1053"/>
      <c r="AD621" s="1053"/>
      <c r="AE621" s="1051"/>
      <c r="AF621" s="1054"/>
    </row>
    <row r="622" spans="1:32" ht="15.75" x14ac:dyDescent="0.25">
      <c r="A622" s="2017"/>
      <c r="B622" s="2018"/>
      <c r="C622" s="2018"/>
      <c r="D622" s="2018"/>
      <c r="E622" s="2018"/>
      <c r="F622" s="2018"/>
      <c r="G622" s="2018"/>
      <c r="H622" s="2018"/>
      <c r="I622" s="2018"/>
      <c r="J622" s="2018"/>
      <c r="K622" s="2018"/>
      <c r="L622" s="2018"/>
      <c r="M622" s="2018"/>
      <c r="N622" s="2018"/>
      <c r="O622" s="2018"/>
      <c r="P622" s="2018"/>
      <c r="Q622" s="2018"/>
      <c r="R622" s="2018"/>
      <c r="S622" s="2018"/>
      <c r="T622" s="2018"/>
      <c r="U622" s="2018"/>
      <c r="V622" s="2018"/>
      <c r="W622" s="2018"/>
      <c r="X622" s="2018"/>
      <c r="Y622" s="2094"/>
      <c r="Z622" s="2096"/>
      <c r="AA622" s="2097"/>
      <c r="AB622" s="1053"/>
      <c r="AC622" s="1053"/>
      <c r="AD622" s="1053"/>
      <c r="AE622" s="1051"/>
      <c r="AF622" s="1054"/>
    </row>
    <row r="623" spans="1:32" ht="15.75" x14ac:dyDescent="0.25">
      <c r="A623" s="2017"/>
      <c r="B623" s="2018"/>
      <c r="C623" s="2018"/>
      <c r="D623" s="2018"/>
      <c r="E623" s="2018"/>
      <c r="F623" s="2018"/>
      <c r="G623" s="2018"/>
      <c r="H623" s="2018"/>
      <c r="I623" s="2018"/>
      <c r="J623" s="2018"/>
      <c r="K623" s="2018"/>
      <c r="L623" s="2018"/>
      <c r="M623" s="2018"/>
      <c r="N623" s="2018"/>
      <c r="O623" s="2018"/>
      <c r="P623" s="2018"/>
      <c r="Q623" s="2018"/>
      <c r="R623" s="2018"/>
      <c r="S623" s="2018"/>
      <c r="T623" s="2018"/>
      <c r="U623" s="2018"/>
      <c r="V623" s="2018"/>
      <c r="W623" s="2018"/>
      <c r="X623" s="2018"/>
      <c r="Y623" s="2094"/>
      <c r="Z623" s="2096"/>
      <c r="AA623" s="2097"/>
      <c r="AB623" s="1055"/>
      <c r="AC623" s="1055"/>
      <c r="AD623" s="1055"/>
      <c r="AE623" s="1051"/>
      <c r="AF623" s="1056"/>
    </row>
    <row r="624" spans="1:32" ht="15.75" x14ac:dyDescent="0.25">
      <c r="A624" s="2017"/>
      <c r="B624" s="2018"/>
      <c r="C624" s="2018"/>
      <c r="D624" s="2018"/>
      <c r="E624" s="2018"/>
      <c r="F624" s="2018"/>
      <c r="G624" s="2018"/>
      <c r="H624" s="2018"/>
      <c r="I624" s="2018"/>
      <c r="J624" s="2018"/>
      <c r="K624" s="2018"/>
      <c r="L624" s="2018"/>
      <c r="M624" s="2018"/>
      <c r="N624" s="2018"/>
      <c r="O624" s="2018"/>
      <c r="P624" s="2018"/>
      <c r="Q624" s="2018"/>
      <c r="R624" s="2018"/>
      <c r="S624" s="2018"/>
      <c r="T624" s="2018"/>
      <c r="U624" s="2018"/>
      <c r="V624" s="2018"/>
      <c r="W624" s="2018"/>
      <c r="X624" s="2018"/>
      <c r="Y624" s="2094"/>
      <c r="Z624" s="2096"/>
      <c r="AA624" s="2097"/>
      <c r="AB624" s="1055"/>
      <c r="AC624" s="1055"/>
      <c r="AD624" s="1055"/>
      <c r="AE624" s="1055"/>
      <c r="AF624" s="1056"/>
    </row>
    <row r="625" spans="1:32" ht="15.75" x14ac:dyDescent="0.25">
      <c r="A625" s="2017"/>
      <c r="B625" s="2018"/>
      <c r="C625" s="2018"/>
      <c r="D625" s="2018"/>
      <c r="E625" s="2018"/>
      <c r="F625" s="2018"/>
      <c r="G625" s="2018"/>
      <c r="H625" s="2018"/>
      <c r="I625" s="2018"/>
      <c r="J625" s="2018"/>
      <c r="K625" s="2018"/>
      <c r="L625" s="2018"/>
      <c r="M625" s="2018"/>
      <c r="N625" s="2018"/>
      <c r="O625" s="2018"/>
      <c r="P625" s="2018"/>
      <c r="Q625" s="2018"/>
      <c r="R625" s="2018"/>
      <c r="S625" s="2018"/>
      <c r="T625" s="2018"/>
      <c r="U625" s="2018"/>
      <c r="V625" s="2018"/>
      <c r="W625" s="2018"/>
      <c r="X625" s="2018"/>
      <c r="Y625" s="2094"/>
      <c r="Z625" s="2096"/>
      <c r="AA625" s="2097"/>
      <c r="AB625" s="1055"/>
      <c r="AC625" s="1055"/>
      <c r="AD625" s="1055"/>
      <c r="AE625" s="1055"/>
      <c r="AF625" s="1056"/>
    </row>
    <row r="626" spans="1:32" ht="15.75" x14ac:dyDescent="0.25">
      <c r="A626" s="2017"/>
      <c r="B626" s="2018"/>
      <c r="C626" s="2018"/>
      <c r="D626" s="2018"/>
      <c r="E626" s="2018"/>
      <c r="F626" s="2018"/>
      <c r="G626" s="2018"/>
      <c r="H626" s="2018"/>
      <c r="I626" s="2018"/>
      <c r="J626" s="2018"/>
      <c r="K626" s="2018"/>
      <c r="L626" s="2018"/>
      <c r="M626" s="2018"/>
      <c r="N626" s="2018"/>
      <c r="O626" s="2018"/>
      <c r="P626" s="2018"/>
      <c r="Q626" s="2018"/>
      <c r="R626" s="2018"/>
      <c r="S626" s="2018"/>
      <c r="T626" s="2018"/>
      <c r="U626" s="2018"/>
      <c r="V626" s="2018"/>
      <c r="W626" s="2018"/>
      <c r="X626" s="2018"/>
      <c r="Y626" s="2094"/>
      <c r="Z626" s="2096"/>
      <c r="AA626" s="2097"/>
      <c r="AB626" s="1055"/>
      <c r="AC626" s="1055"/>
      <c r="AD626" s="1055"/>
      <c r="AE626" s="1055"/>
      <c r="AF626" s="1056"/>
    </row>
    <row r="627" spans="1:32" ht="15.75" x14ac:dyDescent="0.25">
      <c r="A627" s="2017"/>
      <c r="B627" s="2018"/>
      <c r="C627" s="2018"/>
      <c r="D627" s="2018"/>
      <c r="E627" s="2018"/>
      <c r="F627" s="2018"/>
      <c r="G627" s="2018"/>
      <c r="H627" s="2018"/>
      <c r="I627" s="2018"/>
      <c r="J627" s="2018"/>
      <c r="K627" s="2018"/>
      <c r="L627" s="2018"/>
      <c r="M627" s="2018"/>
      <c r="N627" s="2018"/>
      <c r="O627" s="2018"/>
      <c r="P627" s="2018"/>
      <c r="Q627" s="2018"/>
      <c r="R627" s="2018"/>
      <c r="S627" s="2018"/>
      <c r="T627" s="2018"/>
      <c r="U627" s="2018"/>
      <c r="V627" s="2018"/>
      <c r="W627" s="2018"/>
      <c r="X627" s="2018"/>
      <c r="Y627" s="2094"/>
      <c r="Z627" s="2096"/>
      <c r="AA627" s="2097"/>
      <c r="AB627" s="1055"/>
      <c r="AC627" s="1055"/>
      <c r="AD627" s="1055"/>
      <c r="AE627" s="1055"/>
      <c r="AF627" s="1056"/>
    </row>
    <row r="628" spans="1:32" ht="15.75" x14ac:dyDescent="0.25">
      <c r="A628" s="2017"/>
      <c r="B628" s="2018"/>
      <c r="C628" s="2018"/>
      <c r="D628" s="2018"/>
      <c r="E628" s="2018"/>
      <c r="F628" s="2018"/>
      <c r="G628" s="2018"/>
      <c r="H628" s="2018"/>
      <c r="I628" s="2018"/>
      <c r="J628" s="2018"/>
      <c r="K628" s="2018"/>
      <c r="L628" s="2018"/>
      <c r="M628" s="2018"/>
      <c r="N628" s="2018"/>
      <c r="O628" s="2018"/>
      <c r="P628" s="2018"/>
      <c r="Q628" s="2018"/>
      <c r="R628" s="2018"/>
      <c r="S628" s="2018"/>
      <c r="T628" s="2018"/>
      <c r="U628" s="2018"/>
      <c r="V628" s="2018"/>
      <c r="W628" s="2018"/>
      <c r="X628" s="2018"/>
      <c r="Y628" s="2094"/>
      <c r="Z628" s="2096"/>
      <c r="AA628" s="2097"/>
      <c r="AB628" s="1055"/>
      <c r="AC628" s="1055"/>
      <c r="AD628" s="1055"/>
      <c r="AE628" s="1055"/>
      <c r="AF628" s="1056"/>
    </row>
    <row r="629" spans="1:32" ht="16.5" thickBot="1" x14ac:dyDescent="0.3">
      <c r="A629" s="2019"/>
      <c r="B629" s="2020"/>
      <c r="C629" s="2020"/>
      <c r="D629" s="2020"/>
      <c r="E629" s="2020"/>
      <c r="F629" s="2020"/>
      <c r="G629" s="2020"/>
      <c r="H629" s="2020"/>
      <c r="I629" s="2020"/>
      <c r="J629" s="2020"/>
      <c r="K629" s="2020"/>
      <c r="L629" s="2020"/>
      <c r="M629" s="2020"/>
      <c r="N629" s="2020"/>
      <c r="O629" s="2020"/>
      <c r="P629" s="2020"/>
      <c r="Q629" s="2020"/>
      <c r="R629" s="2020"/>
      <c r="S629" s="2020"/>
      <c r="T629" s="2020"/>
      <c r="U629" s="2020"/>
      <c r="V629" s="2020"/>
      <c r="W629" s="2020"/>
      <c r="X629" s="2020"/>
      <c r="Y629" s="2095"/>
      <c r="Z629" s="2098"/>
      <c r="AA629" s="2099"/>
      <c r="AB629" s="1057"/>
      <c r="AC629" s="1057"/>
      <c r="AD629" s="1057"/>
      <c r="AE629" s="1057"/>
      <c r="AF629" s="1058"/>
    </row>
    <row r="630" spans="1:32" ht="15.75" x14ac:dyDescent="0.25">
      <c r="A630" s="2009" t="s">
        <v>2411</v>
      </c>
      <c r="B630" s="2010"/>
      <c r="C630" s="2010"/>
      <c r="D630" s="2010"/>
      <c r="E630" s="2010"/>
      <c r="F630" s="2010"/>
      <c r="G630" s="2010"/>
      <c r="H630" s="2010"/>
      <c r="I630" s="2010"/>
      <c r="J630" s="2010"/>
      <c r="K630" s="2010"/>
      <c r="L630" s="2010"/>
      <c r="M630" s="2010"/>
      <c r="N630" s="2010"/>
      <c r="O630" s="2010"/>
      <c r="P630" s="2010"/>
      <c r="Q630" s="2010"/>
      <c r="R630" s="2010"/>
      <c r="S630" s="2010"/>
      <c r="T630" s="2010"/>
      <c r="U630" s="2010"/>
      <c r="V630" s="2010"/>
      <c r="W630" s="2010"/>
      <c r="X630" s="2010"/>
      <c r="Y630" s="2010"/>
      <c r="Z630" s="2013" t="s">
        <v>1850</v>
      </c>
      <c r="AA630" s="2013"/>
      <c r="AB630" s="2013"/>
      <c r="AC630" s="2013"/>
      <c r="AD630" s="2013"/>
      <c r="AE630" s="2013"/>
      <c r="AF630" s="1059">
        <f>SUM(AF609:AF629)</f>
        <v>73.739999999999995</v>
      </c>
    </row>
    <row r="631" spans="1:32" ht="15.75" x14ac:dyDescent="0.25">
      <c r="A631" s="2011"/>
      <c r="B631" s="2012"/>
      <c r="C631" s="2012"/>
      <c r="D631" s="2012"/>
      <c r="E631" s="2012"/>
      <c r="F631" s="2012"/>
      <c r="G631" s="2012"/>
      <c r="H631" s="2012"/>
      <c r="I631" s="2012"/>
      <c r="J631" s="2012"/>
      <c r="K631" s="2012"/>
      <c r="L631" s="2012"/>
      <c r="M631" s="2012"/>
      <c r="N631" s="2012"/>
      <c r="O631" s="2012"/>
      <c r="P631" s="2012"/>
      <c r="Q631" s="2012"/>
      <c r="R631" s="2012"/>
      <c r="S631" s="2012"/>
      <c r="T631" s="2012"/>
      <c r="U631" s="2012"/>
      <c r="V631" s="2012"/>
      <c r="W631" s="2012"/>
      <c r="X631" s="2012"/>
      <c r="Y631" s="2012"/>
      <c r="Z631" s="2014" t="s">
        <v>1851</v>
      </c>
      <c r="AA631" s="2014"/>
      <c r="AB631" s="2014"/>
      <c r="AC631" s="2014"/>
      <c r="AD631" s="2014"/>
      <c r="AE631" s="2014"/>
      <c r="AF631" s="1060">
        <v>0</v>
      </c>
    </row>
    <row r="632" spans="1:32" ht="15.75" x14ac:dyDescent="0.25">
      <c r="A632" s="2011"/>
      <c r="B632" s="2012"/>
      <c r="C632" s="2012"/>
      <c r="D632" s="2012"/>
      <c r="E632" s="2012"/>
      <c r="F632" s="2012"/>
      <c r="G632" s="2012"/>
      <c r="H632" s="2012"/>
      <c r="I632" s="2012"/>
      <c r="J632" s="2012"/>
      <c r="K632" s="2012"/>
      <c r="L632" s="2012"/>
      <c r="M632" s="2012"/>
      <c r="N632" s="2012"/>
      <c r="O632" s="2012"/>
      <c r="P632" s="2012"/>
      <c r="Q632" s="2012"/>
      <c r="R632" s="2012"/>
      <c r="S632" s="2012"/>
      <c r="T632" s="2012"/>
      <c r="U632" s="2012"/>
      <c r="V632" s="2012"/>
      <c r="W632" s="2012"/>
      <c r="X632" s="2012"/>
      <c r="Y632" s="2012"/>
      <c r="Z632" s="2015" t="s">
        <v>1833</v>
      </c>
      <c r="AA632" s="2015"/>
      <c r="AB632" s="2015"/>
      <c r="AC632" s="2015"/>
      <c r="AD632" s="2015"/>
      <c r="AE632" s="2015"/>
      <c r="AF632" s="1061">
        <f>SUM(AF630:AF631)</f>
        <v>73.739999999999995</v>
      </c>
    </row>
    <row r="633" spans="1:32" x14ac:dyDescent="0.2">
      <c r="A633" s="2012" t="s">
        <v>1859</v>
      </c>
      <c r="B633" s="2012"/>
      <c r="C633" s="2012"/>
      <c r="D633" s="2012"/>
      <c r="E633" s="2012"/>
      <c r="F633" s="2012"/>
      <c r="G633" s="2012"/>
      <c r="H633" s="2012"/>
      <c r="I633" s="2012"/>
      <c r="J633" s="2012"/>
      <c r="K633" s="2012"/>
      <c r="L633" s="2012"/>
      <c r="M633" s="2012"/>
      <c r="N633" s="2012"/>
      <c r="O633" s="2012"/>
      <c r="P633" s="2012"/>
      <c r="Q633" s="2012"/>
      <c r="R633" s="2012"/>
      <c r="S633" s="2012"/>
      <c r="T633" s="2016" t="s">
        <v>1840</v>
      </c>
      <c r="U633" s="2016"/>
      <c r="V633" s="2016"/>
      <c r="W633" s="2016"/>
      <c r="X633" s="2016"/>
      <c r="Y633" s="2016"/>
      <c r="Z633" s="2016"/>
      <c r="AA633" s="2016"/>
      <c r="AB633" s="2012" t="s">
        <v>1852</v>
      </c>
      <c r="AC633" s="2012"/>
      <c r="AD633" s="2012"/>
      <c r="AE633" s="2012"/>
      <c r="AF633" s="2012"/>
    </row>
    <row r="634" spans="1:32" x14ac:dyDescent="0.2">
      <c r="A634" s="2012"/>
      <c r="B634" s="2012"/>
      <c r="C634" s="2012"/>
      <c r="D634" s="2012"/>
      <c r="E634" s="2012"/>
      <c r="F634" s="2012"/>
      <c r="G634" s="2012"/>
      <c r="H634" s="2012"/>
      <c r="I634" s="2012"/>
      <c r="J634" s="2012"/>
      <c r="K634" s="2012"/>
      <c r="L634" s="2012"/>
      <c r="M634" s="2012"/>
      <c r="N634" s="2012"/>
      <c r="O634" s="2012"/>
      <c r="P634" s="2012"/>
      <c r="Q634" s="2012"/>
      <c r="R634" s="2012"/>
      <c r="S634" s="2012"/>
      <c r="T634" s="2016"/>
      <c r="U634" s="2016"/>
      <c r="V634" s="2016"/>
      <c r="W634" s="2016"/>
      <c r="X634" s="2016"/>
      <c r="Y634" s="2016"/>
      <c r="Z634" s="2016"/>
      <c r="AA634" s="2016"/>
      <c r="AB634" s="2012"/>
      <c r="AC634" s="2012"/>
      <c r="AD634" s="2012"/>
      <c r="AE634" s="2012"/>
      <c r="AF634" s="2012"/>
    </row>
    <row r="635" spans="1:32" ht="16.5" thickBot="1" x14ac:dyDescent="0.25">
      <c r="A635" s="1062"/>
      <c r="B635" s="1062"/>
      <c r="C635" s="1062"/>
      <c r="D635" s="1062"/>
      <c r="E635" s="1062"/>
      <c r="F635" s="1062"/>
      <c r="G635" s="1062"/>
      <c r="H635" s="1062"/>
      <c r="I635" s="1062"/>
      <c r="J635" s="1062"/>
      <c r="K635" s="1062"/>
      <c r="L635" s="1062"/>
      <c r="M635" s="1062"/>
      <c r="N635" s="1062"/>
      <c r="O635" s="1062"/>
      <c r="P635" s="1062"/>
      <c r="Q635" s="1062"/>
      <c r="R635" s="1062"/>
      <c r="S635" s="1062"/>
      <c r="T635" s="1063"/>
      <c r="U635" s="1063"/>
      <c r="V635" s="1063"/>
      <c r="W635" s="1063"/>
      <c r="X635" s="1063"/>
      <c r="Y635" s="1063"/>
      <c r="Z635" s="1063"/>
      <c r="AA635" s="1063"/>
      <c r="AB635" s="1062"/>
      <c r="AC635" s="1062"/>
      <c r="AD635" s="1062"/>
      <c r="AE635" s="1064"/>
      <c r="AF635" s="1065"/>
    </row>
    <row r="636" spans="1:32" ht="30" customHeight="1" x14ac:dyDescent="0.2">
      <c r="A636" s="2025" t="s">
        <v>1854</v>
      </c>
      <c r="B636" s="2026"/>
      <c r="C636" s="2026"/>
      <c r="D636" s="2026"/>
      <c r="E636" s="2026"/>
      <c r="F636" s="2026"/>
      <c r="G636" s="2026"/>
      <c r="H636" s="2026"/>
      <c r="I636" s="2026"/>
      <c r="J636" s="2026"/>
      <c r="K636" s="2026"/>
      <c r="L636" s="2026"/>
      <c r="M636" s="2026"/>
      <c r="N636" s="2026"/>
      <c r="O636" s="2026"/>
      <c r="P636" s="2026"/>
      <c r="Q636" s="2026"/>
      <c r="R636" s="2026"/>
      <c r="S636" s="2026"/>
      <c r="T636" s="2026"/>
      <c r="U636" s="2026"/>
      <c r="V636" s="2026"/>
      <c r="W636" s="2026"/>
      <c r="X636" s="2026"/>
      <c r="Y636" s="2026"/>
      <c r="Z636" s="2026"/>
      <c r="AA636" s="2026"/>
      <c r="AB636" s="2026"/>
      <c r="AC636" s="2026"/>
      <c r="AD636" s="2026"/>
      <c r="AE636" s="1041" t="s">
        <v>1834</v>
      </c>
      <c r="AF636" s="1042" t="s">
        <v>1835</v>
      </c>
    </row>
    <row r="637" spans="1:32" ht="30" customHeight="1" thickBot="1" x14ac:dyDescent="0.25">
      <c r="A637" s="2027"/>
      <c r="B637" s="2028"/>
      <c r="C637" s="2028"/>
      <c r="D637" s="2028"/>
      <c r="E637" s="2028"/>
      <c r="F637" s="2028"/>
      <c r="G637" s="2028"/>
      <c r="H637" s="2028"/>
      <c r="I637" s="2028"/>
      <c r="J637" s="2028"/>
      <c r="K637" s="2028"/>
      <c r="L637" s="2028"/>
      <c r="M637" s="2028"/>
      <c r="N637" s="2028"/>
      <c r="O637" s="2028"/>
      <c r="P637" s="2028"/>
      <c r="Q637" s="2028"/>
      <c r="R637" s="2028"/>
      <c r="S637" s="2028"/>
      <c r="T637" s="2028"/>
      <c r="U637" s="2028"/>
      <c r="V637" s="2028"/>
      <c r="W637" s="2028"/>
      <c r="X637" s="2028"/>
      <c r="Y637" s="2028"/>
      <c r="Z637" s="2028"/>
      <c r="AA637" s="2028"/>
      <c r="AB637" s="2028"/>
      <c r="AC637" s="2028"/>
      <c r="AD637" s="2028"/>
      <c r="AE637" s="1041" t="s">
        <v>1836</v>
      </c>
      <c r="AF637" s="1044">
        <v>1</v>
      </c>
    </row>
    <row r="638" spans="1:32" ht="15.75" x14ac:dyDescent="0.2">
      <c r="A638" s="2029"/>
      <c r="B638" s="2030"/>
      <c r="C638" s="2030"/>
      <c r="D638" s="2031"/>
      <c r="E638" s="2025" t="str">
        <f>'01'!$A$12</f>
        <v>"CONSTRUCCION SISTEMA DE ACUEDUCTO FASE II DEL MUNICIPIO DE TESALIA DPTO DEL HUILA"</v>
      </c>
      <c r="F638" s="2026"/>
      <c r="G638" s="2026"/>
      <c r="H638" s="2026"/>
      <c r="I638" s="2026"/>
      <c r="J638" s="2026"/>
      <c r="K638" s="2026"/>
      <c r="L638" s="2026"/>
      <c r="M638" s="2026"/>
      <c r="N638" s="2026"/>
      <c r="O638" s="2026"/>
      <c r="P638" s="2026"/>
      <c r="Q638" s="2026"/>
      <c r="R638" s="2026"/>
      <c r="S638" s="2026"/>
      <c r="T638" s="2026"/>
      <c r="U638" s="2026"/>
      <c r="V638" s="2026"/>
      <c r="W638" s="2026"/>
      <c r="X638" s="2026"/>
      <c r="Y638" s="2026"/>
      <c r="Z638" s="2026"/>
      <c r="AA638" s="2026"/>
      <c r="AB638" s="2026"/>
      <c r="AC638" s="2026"/>
      <c r="AD638" s="2035"/>
      <c r="AE638" s="1041" t="s">
        <v>847</v>
      </c>
      <c r="AF638" s="1045">
        <f>'01'!$M$13</f>
        <v>0</v>
      </c>
    </row>
    <row r="639" spans="1:32" ht="16.5" thickBot="1" x14ac:dyDescent="0.25">
      <c r="A639" s="2032"/>
      <c r="B639" s="2033"/>
      <c r="C639" s="2033"/>
      <c r="D639" s="2034"/>
      <c r="E639" s="2027"/>
      <c r="F639" s="2028"/>
      <c r="G639" s="2028"/>
      <c r="H639" s="2028"/>
      <c r="I639" s="2028"/>
      <c r="J639" s="2028"/>
      <c r="K639" s="2028"/>
      <c r="L639" s="2028"/>
      <c r="M639" s="2028"/>
      <c r="N639" s="2028"/>
      <c r="O639" s="2028"/>
      <c r="P639" s="2028"/>
      <c r="Q639" s="2028"/>
      <c r="R639" s="2028"/>
      <c r="S639" s="2028"/>
      <c r="T639" s="2028"/>
      <c r="U639" s="2028"/>
      <c r="V639" s="2028"/>
      <c r="W639" s="2028"/>
      <c r="X639" s="2028"/>
      <c r="Y639" s="2028"/>
      <c r="Z639" s="2028"/>
      <c r="AA639" s="2028"/>
      <c r="AB639" s="2028"/>
      <c r="AC639" s="2028"/>
      <c r="AD639" s="2036"/>
      <c r="AE639" s="1041" t="s">
        <v>1837</v>
      </c>
      <c r="AF639" s="1042" t="s">
        <v>1838</v>
      </c>
    </row>
    <row r="640" spans="1:32" ht="15.75" x14ac:dyDescent="0.25">
      <c r="A640" s="2037" t="s">
        <v>1860</v>
      </c>
      <c r="B640" s="2038"/>
      <c r="C640" s="2038"/>
      <c r="D640" s="2038"/>
      <c r="E640" s="2038"/>
      <c r="F640" s="2038"/>
      <c r="G640" s="2038"/>
      <c r="H640" s="2038"/>
      <c r="I640" s="2038"/>
      <c r="J640" s="2038"/>
      <c r="K640" s="2038"/>
      <c r="L640" s="2038"/>
      <c r="M640" s="2038"/>
      <c r="N640" s="2038"/>
      <c r="O640" s="2038"/>
      <c r="P640" s="2038"/>
      <c r="Q640" s="2038"/>
      <c r="R640" s="2038"/>
      <c r="S640" s="2038"/>
      <c r="T640" s="2038"/>
      <c r="U640" s="2038"/>
      <c r="V640" s="2038"/>
      <c r="W640" s="2038"/>
      <c r="X640" s="2038"/>
      <c r="Y640" s="2038"/>
      <c r="Z640" s="2038"/>
      <c r="AA640" s="2038"/>
      <c r="AB640" s="2038"/>
      <c r="AC640" s="2038"/>
      <c r="AD640" s="2038"/>
      <c r="AE640" s="2039" t="s">
        <v>1839</v>
      </c>
      <c r="AF640" s="2040"/>
    </row>
    <row r="641" spans="1:32" ht="15.75" x14ac:dyDescent="0.25">
      <c r="A641" s="2041" t="s">
        <v>1840</v>
      </c>
      <c r="B641" s="2042"/>
      <c r="C641" s="2042"/>
      <c r="D641" s="2042"/>
      <c r="E641" s="2042"/>
      <c r="F641" s="2042"/>
      <c r="G641" s="2042"/>
      <c r="H641" s="2042"/>
      <c r="I641" s="2042"/>
      <c r="J641" s="2042"/>
      <c r="K641" s="2042"/>
      <c r="L641" s="2042"/>
      <c r="M641" s="2042"/>
      <c r="N641" s="2042"/>
      <c r="O641" s="2042"/>
      <c r="P641" s="2042"/>
      <c r="Q641" s="2042"/>
      <c r="R641" s="2042"/>
      <c r="S641" s="2042"/>
      <c r="T641" s="2042"/>
      <c r="U641" s="2042"/>
      <c r="V641" s="2042"/>
      <c r="W641" s="2042"/>
      <c r="X641" s="2042"/>
      <c r="Y641" s="2042"/>
      <c r="Z641" s="2042"/>
      <c r="AA641" s="2042"/>
      <c r="AB641" s="2042"/>
      <c r="AC641" s="2042"/>
      <c r="AD641" s="2043"/>
      <c r="AE641" s="2014" t="s">
        <v>1841</v>
      </c>
      <c r="AF641" s="2044"/>
    </row>
    <row r="642" spans="1:32" ht="15.75" x14ac:dyDescent="0.25">
      <c r="A642" s="2045" t="s">
        <v>1853</v>
      </c>
      <c r="B642" s="2046"/>
      <c r="C642" s="2046"/>
      <c r="D642" s="2046"/>
      <c r="E642" s="2046"/>
      <c r="F642" s="2046"/>
      <c r="G642" s="2046"/>
      <c r="H642" s="2046"/>
      <c r="I642" s="2046"/>
      <c r="J642" s="2046"/>
      <c r="K642" s="2046"/>
      <c r="L642" s="2046"/>
      <c r="M642" s="2046"/>
      <c r="N642" s="2046"/>
      <c r="O642" s="2046"/>
      <c r="P642" s="2046"/>
      <c r="Q642" s="2046"/>
      <c r="R642" s="2046"/>
      <c r="S642" s="2046"/>
      <c r="T642" s="2046"/>
      <c r="U642" s="2046"/>
      <c r="V642" s="2046"/>
      <c r="W642" s="2046"/>
      <c r="X642" s="2046"/>
      <c r="Y642" s="2046"/>
      <c r="Z642" s="2046"/>
      <c r="AA642" s="2046"/>
      <c r="AB642" s="2046"/>
      <c r="AC642" s="2046"/>
      <c r="AD642" s="2046"/>
      <c r="AE642" s="2047">
        <f>'01'!$M$13</f>
        <v>0</v>
      </c>
      <c r="AF642" s="2044"/>
    </row>
    <row r="643" spans="1:32" x14ac:dyDescent="0.2">
      <c r="A643" s="1046"/>
      <c r="B643" s="1047"/>
      <c r="C643" s="1047"/>
      <c r="D643" s="1047"/>
      <c r="E643" s="1047"/>
      <c r="F643" s="1047"/>
      <c r="G643" s="1047"/>
      <c r="H643" s="1047"/>
      <c r="I643" s="1047"/>
      <c r="J643" s="1047"/>
      <c r="K643" s="1047"/>
      <c r="L643" s="1047"/>
      <c r="M643" s="1047"/>
      <c r="N643" s="1047"/>
      <c r="O643" s="1047"/>
      <c r="P643" s="1047"/>
      <c r="Q643" s="1047"/>
      <c r="R643" s="1047"/>
      <c r="S643" s="1047"/>
      <c r="T643" s="1047"/>
      <c r="U643" s="1047"/>
      <c r="V643" s="1047"/>
      <c r="W643" s="1047"/>
      <c r="X643" s="1047"/>
      <c r="Y643" s="1047"/>
      <c r="Z643" s="1047"/>
      <c r="AA643" s="1047"/>
      <c r="AB643" s="1047"/>
      <c r="AC643" s="1047"/>
      <c r="AD643" s="1047"/>
      <c r="AE643" s="1047"/>
      <c r="AF643" s="1048"/>
    </row>
    <row r="644" spans="1:32" ht="15.75" x14ac:dyDescent="0.2">
      <c r="A644" s="2048" t="s">
        <v>1842</v>
      </c>
      <c r="B644" s="2049"/>
      <c r="C644" s="2049"/>
      <c r="D644" s="2049"/>
      <c r="E644" s="2049"/>
      <c r="F644" s="2050" t="str">
        <f>'01'!$H$33</f>
        <v>B - CÁMARA DE LLEGADA Y AQUIETAMIENTO DEL AGUA</v>
      </c>
      <c r="G644" s="2049"/>
      <c r="H644" s="2049"/>
      <c r="I644" s="2049"/>
      <c r="J644" s="2049"/>
      <c r="K644" s="2049"/>
      <c r="L644" s="2049"/>
      <c r="M644" s="2049"/>
      <c r="N644" s="2049"/>
      <c r="O644" s="2049"/>
      <c r="P644" s="2049"/>
      <c r="Q644" s="2049"/>
      <c r="R644" s="2049"/>
      <c r="S644" s="2049"/>
      <c r="T644" s="2049"/>
      <c r="U644" s="2049"/>
      <c r="V644" s="2049"/>
      <c r="W644" s="2049"/>
      <c r="X644" s="2049"/>
      <c r="Y644" s="2051"/>
      <c r="Z644" s="2052" t="s">
        <v>1843</v>
      </c>
      <c r="AA644" s="2053"/>
      <c r="AB644" s="2058" t="s">
        <v>1844</v>
      </c>
      <c r="AC644" s="2059"/>
      <c r="AD644" s="2060"/>
      <c r="AE644" s="2064" t="s">
        <v>1845</v>
      </c>
      <c r="AF644" s="2067" t="s">
        <v>1846</v>
      </c>
    </row>
    <row r="645" spans="1:32" x14ac:dyDescent="0.2">
      <c r="A645" s="2070" t="str">
        <f>'01'!A47</f>
        <v>B-05-01</v>
      </c>
      <c r="B645" s="2071"/>
      <c r="C645" s="2072"/>
      <c r="D645" s="2076" t="str">
        <f>VLOOKUP(A645,'01'!$A$12:$N$299,3,FALSE)</f>
        <v>CONCRETO PARA SOLADO, LIMPIEZA Y/O RELLENOS FLUIDOS (140KG/CM2) - ESPESOR=0.05 METROS.</v>
      </c>
      <c r="E645" s="2077"/>
      <c r="F645" s="2077"/>
      <c r="G645" s="2077"/>
      <c r="H645" s="2077"/>
      <c r="I645" s="2077"/>
      <c r="J645" s="2077"/>
      <c r="K645" s="2077"/>
      <c r="L645" s="2077"/>
      <c r="M645" s="2077"/>
      <c r="N645" s="2077"/>
      <c r="O645" s="2077"/>
      <c r="P645" s="2077"/>
      <c r="Q645" s="2077"/>
      <c r="R645" s="2077"/>
      <c r="S645" s="2078"/>
      <c r="T645" s="2082" t="s">
        <v>124</v>
      </c>
      <c r="U645" s="2083"/>
      <c r="V645" s="2083"/>
      <c r="W645" s="2083"/>
      <c r="X645" s="2052" t="str">
        <f>VLOOKUP(A645,'01'!$A$12:$N$299,9,FALSE)</f>
        <v>M3</v>
      </c>
      <c r="Y645" s="2053"/>
      <c r="Z645" s="2054"/>
      <c r="AA645" s="2055"/>
      <c r="AB645" s="2061"/>
      <c r="AC645" s="2062"/>
      <c r="AD645" s="2063"/>
      <c r="AE645" s="2065"/>
      <c r="AF645" s="2068"/>
    </row>
    <row r="646" spans="1:32" ht="15.75" x14ac:dyDescent="0.25">
      <c r="A646" s="2073"/>
      <c r="B646" s="2074"/>
      <c r="C646" s="2075"/>
      <c r="D646" s="2079"/>
      <c r="E646" s="2080"/>
      <c r="F646" s="2080"/>
      <c r="G646" s="2080"/>
      <c r="H646" s="2080"/>
      <c r="I646" s="2080"/>
      <c r="J646" s="2080"/>
      <c r="K646" s="2080"/>
      <c r="L646" s="2080"/>
      <c r="M646" s="2080"/>
      <c r="N646" s="2080"/>
      <c r="O646" s="2080"/>
      <c r="P646" s="2080"/>
      <c r="Q646" s="2080"/>
      <c r="R646" s="2080"/>
      <c r="S646" s="2081"/>
      <c r="T646" s="2084"/>
      <c r="U646" s="2085"/>
      <c r="V646" s="2085"/>
      <c r="W646" s="2085"/>
      <c r="X646" s="2056"/>
      <c r="Y646" s="2057"/>
      <c r="Z646" s="2056"/>
      <c r="AA646" s="2057"/>
      <c r="AB646" s="1049" t="s">
        <v>1847</v>
      </c>
      <c r="AC646" s="1049" t="s">
        <v>1848</v>
      </c>
      <c r="AD646" s="1049" t="s">
        <v>1861</v>
      </c>
      <c r="AE646" s="2066"/>
      <c r="AF646" s="2069"/>
    </row>
    <row r="647" spans="1:32" ht="15.75" x14ac:dyDescent="0.25">
      <c r="A647" s="2017"/>
      <c r="B647" s="2018"/>
      <c r="C647" s="2018"/>
      <c r="D647" s="2018"/>
      <c r="E647" s="2018"/>
      <c r="F647" s="2018"/>
      <c r="G647" s="2018"/>
      <c r="H647" s="2018"/>
      <c r="I647" s="2018"/>
      <c r="J647" s="2018"/>
      <c r="K647" s="2018"/>
      <c r="L647" s="2018"/>
      <c r="M647" s="2018"/>
      <c r="N647" s="2018"/>
      <c r="O647" s="2018"/>
      <c r="P647" s="2018"/>
      <c r="Q647" s="2018"/>
      <c r="R647" s="2018"/>
      <c r="S647" s="2018"/>
      <c r="T647" s="2018"/>
      <c r="U647" s="2018"/>
      <c r="V647" s="2018"/>
      <c r="W647" s="2018"/>
      <c r="X647" s="2018"/>
      <c r="Y647" s="2094"/>
      <c r="Z647" s="2096" t="s">
        <v>1856</v>
      </c>
      <c r="AA647" s="2097"/>
      <c r="AB647" s="1050">
        <v>1</v>
      </c>
      <c r="AC647" s="1050">
        <v>1</v>
      </c>
      <c r="AD647" s="1050">
        <v>0.05</v>
      </c>
      <c r="AE647" s="1051">
        <v>1</v>
      </c>
      <c r="AF647" s="1052">
        <f>ROUND(AE647*AD647*AC647*AB647,2)</f>
        <v>0.05</v>
      </c>
    </row>
    <row r="648" spans="1:32" ht="15.75" x14ac:dyDescent="0.25">
      <c r="A648" s="2017"/>
      <c r="B648" s="2018"/>
      <c r="C648" s="2018"/>
      <c r="D648" s="2018"/>
      <c r="E648" s="2018"/>
      <c r="F648" s="2018"/>
      <c r="G648" s="2018"/>
      <c r="H648" s="2018"/>
      <c r="I648" s="2018"/>
      <c r="J648" s="2018"/>
      <c r="K648" s="2018"/>
      <c r="L648" s="2018"/>
      <c r="M648" s="2018"/>
      <c r="N648" s="2018"/>
      <c r="O648" s="2018"/>
      <c r="P648" s="2018"/>
      <c r="Q648" s="2018"/>
      <c r="R648" s="2018"/>
      <c r="S648" s="2018"/>
      <c r="T648" s="2018"/>
      <c r="U648" s="2018"/>
      <c r="V648" s="2018"/>
      <c r="W648" s="2018"/>
      <c r="X648" s="2018"/>
      <c r="Y648" s="2094"/>
      <c r="Z648" s="2096" t="s">
        <v>1857</v>
      </c>
      <c r="AA648" s="2097"/>
      <c r="AB648" s="1050">
        <v>1.4</v>
      </c>
      <c r="AC648" s="1050">
        <v>1.2</v>
      </c>
      <c r="AD648" s="1050">
        <v>0.05</v>
      </c>
      <c r="AE648" s="1051">
        <v>1</v>
      </c>
      <c r="AF648" s="1052">
        <f>ROUND(AE648*AD648*AC648*AB648,2)</f>
        <v>0.08</v>
      </c>
    </row>
    <row r="649" spans="1:32" ht="15.75" x14ac:dyDescent="0.25">
      <c r="A649" s="2017"/>
      <c r="B649" s="2018"/>
      <c r="C649" s="2018"/>
      <c r="D649" s="2018"/>
      <c r="E649" s="2018"/>
      <c r="F649" s="2018"/>
      <c r="G649" s="2018"/>
      <c r="H649" s="2018"/>
      <c r="I649" s="2018"/>
      <c r="J649" s="2018"/>
      <c r="K649" s="2018"/>
      <c r="L649" s="2018"/>
      <c r="M649" s="2018"/>
      <c r="N649" s="2018"/>
      <c r="O649" s="2018"/>
      <c r="P649" s="2018"/>
      <c r="Q649" s="2018"/>
      <c r="R649" s="2018"/>
      <c r="S649" s="2018"/>
      <c r="T649" s="2018"/>
      <c r="U649" s="2018"/>
      <c r="V649" s="2018"/>
      <c r="W649" s="2018"/>
      <c r="X649" s="2018"/>
      <c r="Y649" s="2094"/>
      <c r="Z649" s="2096" t="s">
        <v>1096</v>
      </c>
      <c r="AA649" s="2097"/>
      <c r="AB649" s="1050">
        <v>3</v>
      </c>
      <c r="AC649" s="1050">
        <v>1.2</v>
      </c>
      <c r="AD649" s="1050">
        <v>0.05</v>
      </c>
      <c r="AE649" s="1051">
        <v>1</v>
      </c>
      <c r="AF649" s="1052">
        <f t="shared" ref="AF649:AF651" si="13">ROUND(AE649*AD649*AC649*AB649,2)</f>
        <v>0.18</v>
      </c>
    </row>
    <row r="650" spans="1:32" ht="15.75" x14ac:dyDescent="0.25">
      <c r="A650" s="2017"/>
      <c r="B650" s="2018"/>
      <c r="C650" s="2018"/>
      <c r="D650" s="2018"/>
      <c r="E650" s="2018"/>
      <c r="F650" s="2018"/>
      <c r="G650" s="2018"/>
      <c r="H650" s="2018"/>
      <c r="I650" s="2018"/>
      <c r="J650" s="2018"/>
      <c r="K650" s="2018"/>
      <c r="L650" s="2018"/>
      <c r="M650" s="2018"/>
      <c r="N650" s="2018"/>
      <c r="O650" s="2018"/>
      <c r="P650" s="2018"/>
      <c r="Q650" s="2018"/>
      <c r="R650" s="2018"/>
      <c r="S650" s="2018"/>
      <c r="T650" s="2018"/>
      <c r="U650" s="2018"/>
      <c r="V650" s="2018"/>
      <c r="W650" s="2018"/>
      <c r="X650" s="2018"/>
      <c r="Y650" s="2094"/>
      <c r="Z650" s="2096" t="s">
        <v>1858</v>
      </c>
      <c r="AA650" s="2097"/>
      <c r="AB650" s="1050">
        <v>9.6</v>
      </c>
      <c r="AC650" s="1050">
        <v>1.8</v>
      </c>
      <c r="AD650" s="1050">
        <v>0.05</v>
      </c>
      <c r="AE650" s="1051">
        <v>1</v>
      </c>
      <c r="AF650" s="1052">
        <f t="shared" si="13"/>
        <v>0.86</v>
      </c>
    </row>
    <row r="651" spans="1:32" ht="15.75" x14ac:dyDescent="0.25">
      <c r="A651" s="2017"/>
      <c r="B651" s="2018"/>
      <c r="C651" s="2018"/>
      <c r="D651" s="2018"/>
      <c r="E651" s="2018"/>
      <c r="F651" s="2018"/>
      <c r="G651" s="2018"/>
      <c r="H651" s="2018"/>
      <c r="I651" s="2018"/>
      <c r="J651" s="2018"/>
      <c r="K651" s="2018"/>
      <c r="L651" s="2018"/>
      <c r="M651" s="2018"/>
      <c r="N651" s="2018"/>
      <c r="O651" s="2018"/>
      <c r="P651" s="2018"/>
      <c r="Q651" s="2018"/>
      <c r="R651" s="2018"/>
      <c r="S651" s="2018"/>
      <c r="T651" s="2018"/>
      <c r="U651" s="2018"/>
      <c r="V651" s="2018"/>
      <c r="W651" s="2018"/>
      <c r="X651" s="2018"/>
      <c r="Y651" s="2094"/>
      <c r="Z651" s="2096" t="s">
        <v>1098</v>
      </c>
      <c r="AA651" s="2097"/>
      <c r="AB651" s="1050">
        <v>4.0999999999999996</v>
      </c>
      <c r="AC651" s="1050">
        <v>1.55</v>
      </c>
      <c r="AD651" s="1050">
        <v>0.05</v>
      </c>
      <c r="AE651" s="1051">
        <v>1</v>
      </c>
      <c r="AF651" s="1052">
        <f t="shared" si="13"/>
        <v>0.32</v>
      </c>
    </row>
    <row r="652" spans="1:32" ht="15.75" x14ac:dyDescent="0.25">
      <c r="A652" s="2017"/>
      <c r="B652" s="2018"/>
      <c r="C652" s="2018"/>
      <c r="D652" s="2018"/>
      <c r="E652" s="2018"/>
      <c r="F652" s="2018"/>
      <c r="G652" s="2018"/>
      <c r="H652" s="2018"/>
      <c r="I652" s="2018"/>
      <c r="J652" s="2018"/>
      <c r="K652" s="2018"/>
      <c r="L652" s="2018"/>
      <c r="M652" s="2018"/>
      <c r="N652" s="2018"/>
      <c r="O652" s="2018"/>
      <c r="P652" s="2018"/>
      <c r="Q652" s="2018"/>
      <c r="R652" s="2018"/>
      <c r="S652" s="2018"/>
      <c r="T652" s="2018"/>
      <c r="U652" s="2018"/>
      <c r="V652" s="2018"/>
      <c r="W652" s="2018"/>
      <c r="X652" s="2018"/>
      <c r="Y652" s="2094"/>
      <c r="Z652" s="2096"/>
      <c r="AA652" s="2097"/>
      <c r="AB652" s="1050"/>
      <c r="AC652" s="1050"/>
      <c r="AD652" s="1050"/>
      <c r="AE652" s="1051"/>
      <c r="AF652" s="1052"/>
    </row>
    <row r="653" spans="1:32" ht="15.75" x14ac:dyDescent="0.25">
      <c r="A653" s="2017"/>
      <c r="B653" s="2018"/>
      <c r="C653" s="2018"/>
      <c r="D653" s="2018"/>
      <c r="E653" s="2018"/>
      <c r="F653" s="2018"/>
      <c r="G653" s="2018"/>
      <c r="H653" s="2018"/>
      <c r="I653" s="2018"/>
      <c r="J653" s="2018"/>
      <c r="K653" s="2018"/>
      <c r="L653" s="2018"/>
      <c r="M653" s="2018"/>
      <c r="N653" s="2018"/>
      <c r="O653" s="2018"/>
      <c r="P653" s="2018"/>
      <c r="Q653" s="2018"/>
      <c r="R653" s="2018"/>
      <c r="S653" s="2018"/>
      <c r="T653" s="2018"/>
      <c r="U653" s="2018"/>
      <c r="V653" s="2018"/>
      <c r="W653" s="2018"/>
      <c r="X653" s="2018"/>
      <c r="Y653" s="2094"/>
      <c r="Z653" s="2096"/>
      <c r="AA653" s="2097"/>
      <c r="AB653" s="1050"/>
      <c r="AC653" s="1050"/>
      <c r="AD653" s="1050"/>
      <c r="AE653" s="1051"/>
      <c r="AF653" s="1052"/>
    </row>
    <row r="654" spans="1:32" ht="15.75" x14ac:dyDescent="0.25">
      <c r="A654" s="2017"/>
      <c r="B654" s="2018"/>
      <c r="C654" s="2018"/>
      <c r="D654" s="2018"/>
      <c r="E654" s="2018"/>
      <c r="F654" s="2018"/>
      <c r="G654" s="2018"/>
      <c r="H654" s="2018"/>
      <c r="I654" s="2018"/>
      <c r="J654" s="2018"/>
      <c r="K654" s="2018"/>
      <c r="L654" s="2018"/>
      <c r="M654" s="2018"/>
      <c r="N654" s="2018"/>
      <c r="O654" s="2018"/>
      <c r="P654" s="2018"/>
      <c r="Q654" s="2018"/>
      <c r="R654" s="2018"/>
      <c r="S654" s="2018"/>
      <c r="T654" s="2018"/>
      <c r="U654" s="2018"/>
      <c r="V654" s="2018"/>
      <c r="W654" s="2018"/>
      <c r="X654" s="2018"/>
      <c r="Y654" s="2094"/>
      <c r="Z654" s="2096"/>
      <c r="AA654" s="2097"/>
      <c r="AB654" s="1053"/>
      <c r="AC654" s="1053"/>
      <c r="AD654" s="1053"/>
      <c r="AE654" s="1051"/>
      <c r="AF654" s="1052"/>
    </row>
    <row r="655" spans="1:32" ht="15.75" x14ac:dyDescent="0.25">
      <c r="A655" s="2017"/>
      <c r="B655" s="2018"/>
      <c r="C655" s="2018"/>
      <c r="D655" s="2018"/>
      <c r="E655" s="2018"/>
      <c r="F655" s="2018"/>
      <c r="G655" s="2018"/>
      <c r="H655" s="2018"/>
      <c r="I655" s="2018"/>
      <c r="J655" s="2018"/>
      <c r="K655" s="2018"/>
      <c r="L655" s="2018"/>
      <c r="M655" s="2018"/>
      <c r="N655" s="2018"/>
      <c r="O655" s="2018"/>
      <c r="P655" s="2018"/>
      <c r="Q655" s="2018"/>
      <c r="R655" s="2018"/>
      <c r="S655" s="2018"/>
      <c r="T655" s="2018"/>
      <c r="U655" s="2018"/>
      <c r="V655" s="2018"/>
      <c r="W655" s="2018"/>
      <c r="X655" s="2018"/>
      <c r="Y655" s="2094"/>
      <c r="Z655" s="2096"/>
      <c r="AA655" s="2097"/>
      <c r="AB655" s="1053"/>
      <c r="AC655" s="1053"/>
      <c r="AD655" s="1053"/>
      <c r="AE655" s="1050"/>
      <c r="AF655" s="1054"/>
    </row>
    <row r="656" spans="1:32" ht="15.75" x14ac:dyDescent="0.25">
      <c r="A656" s="2017"/>
      <c r="B656" s="2018"/>
      <c r="C656" s="2018"/>
      <c r="D656" s="2018"/>
      <c r="E656" s="2018"/>
      <c r="F656" s="2018"/>
      <c r="G656" s="2018"/>
      <c r="H656" s="2018"/>
      <c r="I656" s="2018"/>
      <c r="J656" s="2018"/>
      <c r="K656" s="2018"/>
      <c r="L656" s="2018"/>
      <c r="M656" s="2018"/>
      <c r="N656" s="2018"/>
      <c r="O656" s="2018"/>
      <c r="P656" s="2018"/>
      <c r="Q656" s="2018"/>
      <c r="R656" s="2018"/>
      <c r="S656" s="2018"/>
      <c r="T656" s="2018"/>
      <c r="U656" s="2018"/>
      <c r="V656" s="2018"/>
      <c r="W656" s="2018"/>
      <c r="X656" s="2018"/>
      <c r="Y656" s="2094"/>
      <c r="Z656" s="2096"/>
      <c r="AA656" s="2097"/>
      <c r="AB656" s="1053"/>
      <c r="AC656" s="1053"/>
      <c r="AD656" s="1053"/>
      <c r="AE656" s="1051"/>
      <c r="AF656" s="1054"/>
    </row>
    <row r="657" spans="1:32" ht="15.75" x14ac:dyDescent="0.25">
      <c r="A657" s="2017"/>
      <c r="B657" s="2018"/>
      <c r="C657" s="2018"/>
      <c r="D657" s="2018"/>
      <c r="E657" s="2018"/>
      <c r="F657" s="2018"/>
      <c r="G657" s="2018"/>
      <c r="H657" s="2018"/>
      <c r="I657" s="2018"/>
      <c r="J657" s="2018"/>
      <c r="K657" s="2018"/>
      <c r="L657" s="2018"/>
      <c r="M657" s="2018"/>
      <c r="N657" s="2018"/>
      <c r="O657" s="2018"/>
      <c r="P657" s="2018"/>
      <c r="Q657" s="2018"/>
      <c r="R657" s="2018"/>
      <c r="S657" s="2018"/>
      <c r="T657" s="2018"/>
      <c r="U657" s="2018"/>
      <c r="V657" s="2018"/>
      <c r="W657" s="2018"/>
      <c r="X657" s="2018"/>
      <c r="Y657" s="2094"/>
      <c r="Z657" s="2096"/>
      <c r="AA657" s="2097"/>
      <c r="AB657" s="1053"/>
      <c r="AC657" s="1053"/>
      <c r="AD657" s="1053"/>
      <c r="AE657" s="1051"/>
      <c r="AF657" s="1054"/>
    </row>
    <row r="658" spans="1:32" ht="15.75" x14ac:dyDescent="0.25">
      <c r="A658" s="2017"/>
      <c r="B658" s="2018"/>
      <c r="C658" s="2018"/>
      <c r="D658" s="2018"/>
      <c r="E658" s="2018"/>
      <c r="F658" s="2018"/>
      <c r="G658" s="2018"/>
      <c r="H658" s="2018"/>
      <c r="I658" s="2018"/>
      <c r="J658" s="2018"/>
      <c r="K658" s="2018"/>
      <c r="L658" s="2018"/>
      <c r="M658" s="2018"/>
      <c r="N658" s="2018"/>
      <c r="O658" s="2018"/>
      <c r="P658" s="2018"/>
      <c r="Q658" s="2018"/>
      <c r="R658" s="2018"/>
      <c r="S658" s="2018"/>
      <c r="T658" s="2018"/>
      <c r="U658" s="2018"/>
      <c r="V658" s="2018"/>
      <c r="W658" s="2018"/>
      <c r="X658" s="2018"/>
      <c r="Y658" s="2094"/>
      <c r="Z658" s="2096"/>
      <c r="AA658" s="2097"/>
      <c r="AB658" s="1053"/>
      <c r="AC658" s="1053"/>
      <c r="AD658" s="1053"/>
      <c r="AE658" s="1051"/>
      <c r="AF658" s="1054"/>
    </row>
    <row r="659" spans="1:32" ht="15.75" x14ac:dyDescent="0.25">
      <c r="A659" s="2017"/>
      <c r="B659" s="2018"/>
      <c r="C659" s="2018"/>
      <c r="D659" s="2018"/>
      <c r="E659" s="2018"/>
      <c r="F659" s="2018"/>
      <c r="G659" s="2018"/>
      <c r="H659" s="2018"/>
      <c r="I659" s="2018"/>
      <c r="J659" s="2018"/>
      <c r="K659" s="2018"/>
      <c r="L659" s="2018"/>
      <c r="M659" s="2018"/>
      <c r="N659" s="2018"/>
      <c r="O659" s="2018"/>
      <c r="P659" s="2018"/>
      <c r="Q659" s="2018"/>
      <c r="R659" s="2018"/>
      <c r="S659" s="2018"/>
      <c r="T659" s="2018"/>
      <c r="U659" s="2018"/>
      <c r="V659" s="2018"/>
      <c r="W659" s="2018"/>
      <c r="X659" s="2018"/>
      <c r="Y659" s="2094"/>
      <c r="Z659" s="2096"/>
      <c r="AA659" s="2097"/>
      <c r="AB659" s="1053"/>
      <c r="AC659" s="1053"/>
      <c r="AD659" s="1053"/>
      <c r="AE659" s="1051"/>
      <c r="AF659" s="1054"/>
    </row>
    <row r="660" spans="1:32" ht="15.75" x14ac:dyDescent="0.25">
      <c r="A660" s="2017"/>
      <c r="B660" s="2018"/>
      <c r="C660" s="2018"/>
      <c r="D660" s="2018"/>
      <c r="E660" s="2018"/>
      <c r="F660" s="2018"/>
      <c r="G660" s="2018"/>
      <c r="H660" s="2018"/>
      <c r="I660" s="2018"/>
      <c r="J660" s="2018"/>
      <c r="K660" s="2018"/>
      <c r="L660" s="2018"/>
      <c r="M660" s="2018"/>
      <c r="N660" s="2018"/>
      <c r="O660" s="2018"/>
      <c r="P660" s="2018"/>
      <c r="Q660" s="2018"/>
      <c r="R660" s="2018"/>
      <c r="S660" s="2018"/>
      <c r="T660" s="2018"/>
      <c r="U660" s="2018"/>
      <c r="V660" s="2018"/>
      <c r="W660" s="2018"/>
      <c r="X660" s="2018"/>
      <c r="Y660" s="2094"/>
      <c r="Z660" s="2096"/>
      <c r="AA660" s="2097"/>
      <c r="AB660" s="1053"/>
      <c r="AC660" s="1053"/>
      <c r="AD660" s="1053"/>
      <c r="AE660" s="1051"/>
      <c r="AF660" s="1054"/>
    </row>
    <row r="661" spans="1:32" ht="15.75" x14ac:dyDescent="0.25">
      <c r="A661" s="2017"/>
      <c r="B661" s="2018"/>
      <c r="C661" s="2018"/>
      <c r="D661" s="2018"/>
      <c r="E661" s="2018"/>
      <c r="F661" s="2018"/>
      <c r="G661" s="2018"/>
      <c r="H661" s="2018"/>
      <c r="I661" s="2018"/>
      <c r="J661" s="2018"/>
      <c r="K661" s="2018"/>
      <c r="L661" s="2018"/>
      <c r="M661" s="2018"/>
      <c r="N661" s="2018"/>
      <c r="O661" s="2018"/>
      <c r="P661" s="2018"/>
      <c r="Q661" s="2018"/>
      <c r="R661" s="2018"/>
      <c r="S661" s="2018"/>
      <c r="T661" s="2018"/>
      <c r="U661" s="2018"/>
      <c r="V661" s="2018"/>
      <c r="W661" s="2018"/>
      <c r="X661" s="2018"/>
      <c r="Y661" s="2094"/>
      <c r="Z661" s="2096"/>
      <c r="AA661" s="2097"/>
      <c r="AB661" s="1055"/>
      <c r="AC661" s="1055"/>
      <c r="AD661" s="1055"/>
      <c r="AE661" s="1051"/>
      <c r="AF661" s="1056"/>
    </row>
    <row r="662" spans="1:32" ht="15.75" x14ac:dyDescent="0.25">
      <c r="A662" s="2017"/>
      <c r="B662" s="2018"/>
      <c r="C662" s="2018"/>
      <c r="D662" s="2018"/>
      <c r="E662" s="2018"/>
      <c r="F662" s="2018"/>
      <c r="G662" s="2018"/>
      <c r="H662" s="2018"/>
      <c r="I662" s="2018"/>
      <c r="J662" s="2018"/>
      <c r="K662" s="2018"/>
      <c r="L662" s="2018"/>
      <c r="M662" s="2018"/>
      <c r="N662" s="2018"/>
      <c r="O662" s="2018"/>
      <c r="P662" s="2018"/>
      <c r="Q662" s="2018"/>
      <c r="R662" s="2018"/>
      <c r="S662" s="2018"/>
      <c r="T662" s="2018"/>
      <c r="U662" s="2018"/>
      <c r="V662" s="2018"/>
      <c r="W662" s="2018"/>
      <c r="X662" s="2018"/>
      <c r="Y662" s="2094"/>
      <c r="Z662" s="2096"/>
      <c r="AA662" s="2097"/>
      <c r="AB662" s="1055"/>
      <c r="AC662" s="1055"/>
      <c r="AD662" s="1055"/>
      <c r="AE662" s="1055"/>
      <c r="AF662" s="1056"/>
    </row>
    <row r="663" spans="1:32" ht="15.75" x14ac:dyDescent="0.25">
      <c r="A663" s="2017"/>
      <c r="B663" s="2018"/>
      <c r="C663" s="2018"/>
      <c r="D663" s="2018"/>
      <c r="E663" s="2018"/>
      <c r="F663" s="2018"/>
      <c r="G663" s="2018"/>
      <c r="H663" s="2018"/>
      <c r="I663" s="2018"/>
      <c r="J663" s="2018"/>
      <c r="K663" s="2018"/>
      <c r="L663" s="2018"/>
      <c r="M663" s="2018"/>
      <c r="N663" s="2018"/>
      <c r="O663" s="2018"/>
      <c r="P663" s="2018"/>
      <c r="Q663" s="2018"/>
      <c r="R663" s="2018"/>
      <c r="S663" s="2018"/>
      <c r="T663" s="2018"/>
      <c r="U663" s="2018"/>
      <c r="V663" s="2018"/>
      <c r="W663" s="2018"/>
      <c r="X663" s="2018"/>
      <c r="Y663" s="2094"/>
      <c r="Z663" s="2096"/>
      <c r="AA663" s="2097"/>
      <c r="AB663" s="1055"/>
      <c r="AC663" s="1055"/>
      <c r="AD663" s="1055"/>
      <c r="AE663" s="1055"/>
      <c r="AF663" s="1056"/>
    </row>
    <row r="664" spans="1:32" ht="15.75" x14ac:dyDescent="0.25">
      <c r="A664" s="2017"/>
      <c r="B664" s="2018"/>
      <c r="C664" s="2018"/>
      <c r="D664" s="2018"/>
      <c r="E664" s="2018"/>
      <c r="F664" s="2018"/>
      <c r="G664" s="2018"/>
      <c r="H664" s="2018"/>
      <c r="I664" s="2018"/>
      <c r="J664" s="2018"/>
      <c r="K664" s="2018"/>
      <c r="L664" s="2018"/>
      <c r="M664" s="2018"/>
      <c r="N664" s="2018"/>
      <c r="O664" s="2018"/>
      <c r="P664" s="2018"/>
      <c r="Q664" s="2018"/>
      <c r="R664" s="2018"/>
      <c r="S664" s="2018"/>
      <c r="T664" s="2018"/>
      <c r="U664" s="2018"/>
      <c r="V664" s="2018"/>
      <c r="W664" s="2018"/>
      <c r="X664" s="2018"/>
      <c r="Y664" s="2094"/>
      <c r="Z664" s="2096"/>
      <c r="AA664" s="2097"/>
      <c r="AB664" s="1055"/>
      <c r="AC664" s="1055"/>
      <c r="AD664" s="1055"/>
      <c r="AE664" s="1055"/>
      <c r="AF664" s="1056"/>
    </row>
    <row r="665" spans="1:32" ht="15.75" x14ac:dyDescent="0.25">
      <c r="A665" s="2017"/>
      <c r="B665" s="2018"/>
      <c r="C665" s="2018"/>
      <c r="D665" s="2018"/>
      <c r="E665" s="2018"/>
      <c r="F665" s="2018"/>
      <c r="G665" s="2018"/>
      <c r="H665" s="2018"/>
      <c r="I665" s="2018"/>
      <c r="J665" s="2018"/>
      <c r="K665" s="2018"/>
      <c r="L665" s="2018"/>
      <c r="M665" s="2018"/>
      <c r="N665" s="2018"/>
      <c r="O665" s="2018"/>
      <c r="P665" s="2018"/>
      <c r="Q665" s="2018"/>
      <c r="R665" s="2018"/>
      <c r="S665" s="2018"/>
      <c r="T665" s="2018"/>
      <c r="U665" s="2018"/>
      <c r="V665" s="2018"/>
      <c r="W665" s="2018"/>
      <c r="X665" s="2018"/>
      <c r="Y665" s="2094"/>
      <c r="Z665" s="2096"/>
      <c r="AA665" s="2097"/>
      <c r="AB665" s="1055"/>
      <c r="AC665" s="1055"/>
      <c r="AD665" s="1055"/>
      <c r="AE665" s="1055"/>
      <c r="AF665" s="1056"/>
    </row>
    <row r="666" spans="1:32" ht="15.75" x14ac:dyDescent="0.25">
      <c r="A666" s="2017"/>
      <c r="B666" s="2018"/>
      <c r="C666" s="2018"/>
      <c r="D666" s="2018"/>
      <c r="E666" s="2018"/>
      <c r="F666" s="2018"/>
      <c r="G666" s="2018"/>
      <c r="H666" s="2018"/>
      <c r="I666" s="2018"/>
      <c r="J666" s="2018"/>
      <c r="K666" s="2018"/>
      <c r="L666" s="2018"/>
      <c r="M666" s="2018"/>
      <c r="N666" s="2018"/>
      <c r="O666" s="2018"/>
      <c r="P666" s="2018"/>
      <c r="Q666" s="2018"/>
      <c r="R666" s="2018"/>
      <c r="S666" s="2018"/>
      <c r="T666" s="2018"/>
      <c r="U666" s="2018"/>
      <c r="V666" s="2018"/>
      <c r="W666" s="2018"/>
      <c r="X666" s="2018"/>
      <c r="Y666" s="2094"/>
      <c r="Z666" s="2096"/>
      <c r="AA666" s="2097"/>
      <c r="AB666" s="1055"/>
      <c r="AC666" s="1055"/>
      <c r="AD666" s="1055"/>
      <c r="AE666" s="1055"/>
      <c r="AF666" s="1056"/>
    </row>
    <row r="667" spans="1:32" ht="16.5" thickBot="1" x14ac:dyDescent="0.3">
      <c r="A667" s="2019"/>
      <c r="B667" s="2020"/>
      <c r="C667" s="2020"/>
      <c r="D667" s="2020"/>
      <c r="E667" s="2020"/>
      <c r="F667" s="2020"/>
      <c r="G667" s="2020"/>
      <c r="H667" s="2020"/>
      <c r="I667" s="2020"/>
      <c r="J667" s="2020"/>
      <c r="K667" s="2020"/>
      <c r="L667" s="2020"/>
      <c r="M667" s="2020"/>
      <c r="N667" s="2020"/>
      <c r="O667" s="2020"/>
      <c r="P667" s="2020"/>
      <c r="Q667" s="2020"/>
      <c r="R667" s="2020"/>
      <c r="S667" s="2020"/>
      <c r="T667" s="2020"/>
      <c r="U667" s="2020"/>
      <c r="V667" s="2020"/>
      <c r="W667" s="2020"/>
      <c r="X667" s="2020"/>
      <c r="Y667" s="2095"/>
      <c r="Z667" s="2098"/>
      <c r="AA667" s="2099"/>
      <c r="AB667" s="1057"/>
      <c r="AC667" s="1057"/>
      <c r="AD667" s="1057"/>
      <c r="AE667" s="1057"/>
      <c r="AF667" s="1058"/>
    </row>
    <row r="668" spans="1:32" ht="15.75" x14ac:dyDescent="0.25">
      <c r="A668" s="2009" t="s">
        <v>1855</v>
      </c>
      <c r="B668" s="2010"/>
      <c r="C668" s="2010"/>
      <c r="D668" s="2010"/>
      <c r="E668" s="2010"/>
      <c r="F668" s="2010"/>
      <c r="G668" s="2010"/>
      <c r="H668" s="2010"/>
      <c r="I668" s="2010"/>
      <c r="J668" s="2010"/>
      <c r="K668" s="2010"/>
      <c r="L668" s="2010"/>
      <c r="M668" s="2010"/>
      <c r="N668" s="2010"/>
      <c r="O668" s="2010"/>
      <c r="P668" s="2010"/>
      <c r="Q668" s="2010"/>
      <c r="R668" s="2010"/>
      <c r="S668" s="2010"/>
      <c r="T668" s="2010"/>
      <c r="U668" s="2010"/>
      <c r="V668" s="2010"/>
      <c r="W668" s="2010"/>
      <c r="X668" s="2010"/>
      <c r="Y668" s="2010"/>
      <c r="Z668" s="2013" t="s">
        <v>1850</v>
      </c>
      <c r="AA668" s="2013"/>
      <c r="AB668" s="2013"/>
      <c r="AC668" s="2013"/>
      <c r="AD668" s="2013"/>
      <c r="AE668" s="2013"/>
      <c r="AF668" s="1059">
        <f>SUM(AF647:AF667)</f>
        <v>1.49</v>
      </c>
    </row>
    <row r="669" spans="1:32" ht="15.75" x14ac:dyDescent="0.25">
      <c r="A669" s="2011"/>
      <c r="B669" s="2012"/>
      <c r="C669" s="2012"/>
      <c r="D669" s="2012"/>
      <c r="E669" s="2012"/>
      <c r="F669" s="2012"/>
      <c r="G669" s="2012"/>
      <c r="H669" s="2012"/>
      <c r="I669" s="2012"/>
      <c r="J669" s="2012"/>
      <c r="K669" s="2012"/>
      <c r="L669" s="2012"/>
      <c r="M669" s="2012"/>
      <c r="N669" s="2012"/>
      <c r="O669" s="2012"/>
      <c r="P669" s="2012"/>
      <c r="Q669" s="2012"/>
      <c r="R669" s="2012"/>
      <c r="S669" s="2012"/>
      <c r="T669" s="2012"/>
      <c r="U669" s="2012"/>
      <c r="V669" s="2012"/>
      <c r="W669" s="2012"/>
      <c r="X669" s="2012"/>
      <c r="Y669" s="2012"/>
      <c r="Z669" s="2014" t="s">
        <v>1851</v>
      </c>
      <c r="AA669" s="2014"/>
      <c r="AB669" s="2014"/>
      <c r="AC669" s="2014"/>
      <c r="AD669" s="2014"/>
      <c r="AE669" s="2014"/>
      <c r="AF669" s="1060">
        <v>0</v>
      </c>
    </row>
    <row r="670" spans="1:32" ht="15.75" x14ac:dyDescent="0.25">
      <c r="A670" s="2011"/>
      <c r="B670" s="2012"/>
      <c r="C670" s="2012"/>
      <c r="D670" s="2012"/>
      <c r="E670" s="2012"/>
      <c r="F670" s="2012"/>
      <c r="G670" s="2012"/>
      <c r="H670" s="2012"/>
      <c r="I670" s="2012"/>
      <c r="J670" s="2012"/>
      <c r="K670" s="2012"/>
      <c r="L670" s="2012"/>
      <c r="M670" s="2012"/>
      <c r="N670" s="2012"/>
      <c r="O670" s="2012"/>
      <c r="P670" s="2012"/>
      <c r="Q670" s="2012"/>
      <c r="R670" s="2012"/>
      <c r="S670" s="2012"/>
      <c r="T670" s="2012"/>
      <c r="U670" s="2012"/>
      <c r="V670" s="2012"/>
      <c r="W670" s="2012"/>
      <c r="X670" s="2012"/>
      <c r="Y670" s="2012"/>
      <c r="Z670" s="2015" t="s">
        <v>1833</v>
      </c>
      <c r="AA670" s="2015"/>
      <c r="AB670" s="2015"/>
      <c r="AC670" s="2015"/>
      <c r="AD670" s="2015"/>
      <c r="AE670" s="2015"/>
      <c r="AF670" s="1061">
        <f>SUM(AF668:AF669)</f>
        <v>1.49</v>
      </c>
    </row>
    <row r="671" spans="1:32" x14ac:dyDescent="0.2">
      <c r="A671" s="2012" t="s">
        <v>1859</v>
      </c>
      <c r="B671" s="2012"/>
      <c r="C671" s="2012"/>
      <c r="D671" s="2012"/>
      <c r="E671" s="2012"/>
      <c r="F671" s="2012"/>
      <c r="G671" s="2012"/>
      <c r="H671" s="2012"/>
      <c r="I671" s="2012"/>
      <c r="J671" s="2012"/>
      <c r="K671" s="2012"/>
      <c r="L671" s="2012"/>
      <c r="M671" s="2012"/>
      <c r="N671" s="2012"/>
      <c r="O671" s="2012"/>
      <c r="P671" s="2012"/>
      <c r="Q671" s="2012"/>
      <c r="R671" s="2012"/>
      <c r="S671" s="2012"/>
      <c r="T671" s="2016" t="s">
        <v>1840</v>
      </c>
      <c r="U671" s="2016"/>
      <c r="V671" s="2016"/>
      <c r="W671" s="2016"/>
      <c r="X671" s="2016"/>
      <c r="Y671" s="2016"/>
      <c r="Z671" s="2016"/>
      <c r="AA671" s="2016"/>
      <c r="AB671" s="2012" t="s">
        <v>1852</v>
      </c>
      <c r="AC671" s="2012"/>
      <c r="AD671" s="2012"/>
      <c r="AE671" s="2012"/>
      <c r="AF671" s="2012"/>
    </row>
    <row r="672" spans="1:32" x14ac:dyDescent="0.2">
      <c r="A672" s="2012"/>
      <c r="B672" s="2012"/>
      <c r="C672" s="2012"/>
      <c r="D672" s="2012"/>
      <c r="E672" s="2012"/>
      <c r="F672" s="2012"/>
      <c r="G672" s="2012"/>
      <c r="H672" s="2012"/>
      <c r="I672" s="2012"/>
      <c r="J672" s="2012"/>
      <c r="K672" s="2012"/>
      <c r="L672" s="2012"/>
      <c r="M672" s="2012"/>
      <c r="N672" s="2012"/>
      <c r="O672" s="2012"/>
      <c r="P672" s="2012"/>
      <c r="Q672" s="2012"/>
      <c r="R672" s="2012"/>
      <c r="S672" s="2012"/>
      <c r="T672" s="2016"/>
      <c r="U672" s="2016"/>
      <c r="V672" s="2016"/>
      <c r="W672" s="2016"/>
      <c r="X672" s="2016"/>
      <c r="Y672" s="2016"/>
      <c r="Z672" s="2016"/>
      <c r="AA672" s="2016"/>
      <c r="AB672" s="2012"/>
      <c r="AC672" s="2012"/>
      <c r="AD672" s="2012"/>
      <c r="AE672" s="2012"/>
      <c r="AF672" s="2012"/>
    </row>
    <row r="673" spans="1:32" ht="13.5" thickBot="1" x14ac:dyDescent="0.25"/>
    <row r="674" spans="1:32" ht="24.6" customHeight="1" x14ac:dyDescent="0.2">
      <c r="A674" s="2025" t="s">
        <v>1854</v>
      </c>
      <c r="B674" s="2026"/>
      <c r="C674" s="2026"/>
      <c r="D674" s="2026"/>
      <c r="E674" s="2026"/>
      <c r="F674" s="2026"/>
      <c r="G674" s="2026"/>
      <c r="H674" s="2026"/>
      <c r="I674" s="2026"/>
      <c r="J674" s="2026"/>
      <c r="K674" s="2026"/>
      <c r="L674" s="2026"/>
      <c r="M674" s="2026"/>
      <c r="N674" s="2026"/>
      <c r="O674" s="2026"/>
      <c r="P674" s="2026"/>
      <c r="Q674" s="2026"/>
      <c r="R674" s="2026"/>
      <c r="S674" s="2026"/>
      <c r="T674" s="2026"/>
      <c r="U674" s="2026"/>
      <c r="V674" s="2026"/>
      <c r="W674" s="2026"/>
      <c r="X674" s="2026"/>
      <c r="Y674" s="2026"/>
      <c r="Z674" s="2026"/>
      <c r="AA674" s="2026"/>
      <c r="AB674" s="2026"/>
      <c r="AC674" s="2026"/>
      <c r="AD674" s="2026"/>
      <c r="AE674" s="1041" t="s">
        <v>1834</v>
      </c>
      <c r="AF674" s="1042" t="s">
        <v>1835</v>
      </c>
    </row>
    <row r="675" spans="1:32" ht="21.6" customHeight="1" thickBot="1" x14ac:dyDescent="0.25">
      <c r="A675" s="2027"/>
      <c r="B675" s="2028"/>
      <c r="C675" s="2028"/>
      <c r="D675" s="2028"/>
      <c r="E675" s="2028"/>
      <c r="F675" s="2028"/>
      <c r="G675" s="2028"/>
      <c r="H675" s="2028"/>
      <c r="I675" s="2028"/>
      <c r="J675" s="2028"/>
      <c r="K675" s="2028"/>
      <c r="L675" s="2028"/>
      <c r="M675" s="2028"/>
      <c r="N675" s="2028"/>
      <c r="O675" s="2028"/>
      <c r="P675" s="2028"/>
      <c r="Q675" s="2028"/>
      <c r="R675" s="2028"/>
      <c r="S675" s="2028"/>
      <c r="T675" s="2028"/>
      <c r="U675" s="2028"/>
      <c r="V675" s="2028"/>
      <c r="W675" s="2028"/>
      <c r="X675" s="2028"/>
      <c r="Y675" s="2028"/>
      <c r="Z675" s="2028"/>
      <c r="AA675" s="2028"/>
      <c r="AB675" s="2028"/>
      <c r="AC675" s="2028"/>
      <c r="AD675" s="2028"/>
      <c r="AE675" s="1041" t="s">
        <v>1836</v>
      </c>
      <c r="AF675" s="1044">
        <v>1</v>
      </c>
    </row>
    <row r="676" spans="1:32" ht="15.75" x14ac:dyDescent="0.2">
      <c r="A676" s="2029"/>
      <c r="B676" s="2030"/>
      <c r="C676" s="2030"/>
      <c r="D676" s="2031"/>
      <c r="E676" s="2025" t="str">
        <f>'01'!$A$12</f>
        <v>"CONSTRUCCION SISTEMA DE ACUEDUCTO FASE II DEL MUNICIPIO DE TESALIA DPTO DEL HUILA"</v>
      </c>
      <c r="F676" s="2026"/>
      <c r="G676" s="2026"/>
      <c r="H676" s="2026"/>
      <c r="I676" s="2026"/>
      <c r="J676" s="2026"/>
      <c r="K676" s="2026"/>
      <c r="L676" s="2026"/>
      <c r="M676" s="2026"/>
      <c r="N676" s="2026"/>
      <c r="O676" s="2026"/>
      <c r="P676" s="2026"/>
      <c r="Q676" s="2026"/>
      <c r="R676" s="2026"/>
      <c r="S676" s="2026"/>
      <c r="T676" s="2026"/>
      <c r="U676" s="2026"/>
      <c r="V676" s="2026"/>
      <c r="W676" s="2026"/>
      <c r="X676" s="2026"/>
      <c r="Y676" s="2026"/>
      <c r="Z676" s="2026"/>
      <c r="AA676" s="2026"/>
      <c r="AB676" s="2026"/>
      <c r="AC676" s="2026"/>
      <c r="AD676" s="2035"/>
      <c r="AE676" s="1041" t="s">
        <v>847</v>
      </c>
      <c r="AF676" s="1045">
        <f>'01'!$M$13</f>
        <v>0</v>
      </c>
    </row>
    <row r="677" spans="1:32" ht="16.5" thickBot="1" x14ac:dyDescent="0.25">
      <c r="A677" s="2032"/>
      <c r="B677" s="2033"/>
      <c r="C677" s="2033"/>
      <c r="D677" s="2034"/>
      <c r="E677" s="2027"/>
      <c r="F677" s="2028"/>
      <c r="G677" s="2028"/>
      <c r="H677" s="2028"/>
      <c r="I677" s="2028"/>
      <c r="J677" s="2028"/>
      <c r="K677" s="2028"/>
      <c r="L677" s="2028"/>
      <c r="M677" s="2028"/>
      <c r="N677" s="2028"/>
      <c r="O677" s="2028"/>
      <c r="P677" s="2028"/>
      <c r="Q677" s="2028"/>
      <c r="R677" s="2028"/>
      <c r="S677" s="2028"/>
      <c r="T677" s="2028"/>
      <c r="U677" s="2028"/>
      <c r="V677" s="2028"/>
      <c r="W677" s="2028"/>
      <c r="X677" s="2028"/>
      <c r="Y677" s="2028"/>
      <c r="Z677" s="2028"/>
      <c r="AA677" s="2028"/>
      <c r="AB677" s="2028"/>
      <c r="AC677" s="2028"/>
      <c r="AD677" s="2036"/>
      <c r="AE677" s="1041" t="s">
        <v>1837</v>
      </c>
      <c r="AF677" s="1042" t="s">
        <v>1838</v>
      </c>
    </row>
    <row r="678" spans="1:32" ht="15.75" x14ac:dyDescent="0.25">
      <c r="A678" s="2037" t="s">
        <v>1860</v>
      </c>
      <c r="B678" s="2038"/>
      <c r="C678" s="2038"/>
      <c r="D678" s="2038"/>
      <c r="E678" s="2038"/>
      <c r="F678" s="2038"/>
      <c r="G678" s="2038"/>
      <c r="H678" s="2038"/>
      <c r="I678" s="2038"/>
      <c r="J678" s="2038"/>
      <c r="K678" s="2038"/>
      <c r="L678" s="2038"/>
      <c r="M678" s="2038"/>
      <c r="N678" s="2038"/>
      <c r="O678" s="2038"/>
      <c r="P678" s="2038"/>
      <c r="Q678" s="2038"/>
      <c r="R678" s="2038"/>
      <c r="S678" s="2038"/>
      <c r="T678" s="2038"/>
      <c r="U678" s="2038"/>
      <c r="V678" s="2038"/>
      <c r="W678" s="2038"/>
      <c r="X678" s="2038"/>
      <c r="Y678" s="2038"/>
      <c r="Z678" s="2038"/>
      <c r="AA678" s="2038"/>
      <c r="AB678" s="2038"/>
      <c r="AC678" s="2038"/>
      <c r="AD678" s="2038"/>
      <c r="AE678" s="2039" t="s">
        <v>1839</v>
      </c>
      <c r="AF678" s="2040"/>
    </row>
    <row r="679" spans="1:32" ht="15.75" x14ac:dyDescent="0.25">
      <c r="A679" s="2041" t="s">
        <v>1840</v>
      </c>
      <c r="B679" s="2042"/>
      <c r="C679" s="2042"/>
      <c r="D679" s="2042"/>
      <c r="E679" s="2042"/>
      <c r="F679" s="2042"/>
      <c r="G679" s="2042"/>
      <c r="H679" s="2042"/>
      <c r="I679" s="2042"/>
      <c r="J679" s="2042"/>
      <c r="K679" s="2042"/>
      <c r="L679" s="2042"/>
      <c r="M679" s="2042"/>
      <c r="N679" s="2042"/>
      <c r="O679" s="2042"/>
      <c r="P679" s="2042"/>
      <c r="Q679" s="2042"/>
      <c r="R679" s="2042"/>
      <c r="S679" s="2042"/>
      <c r="T679" s="2042"/>
      <c r="U679" s="2042"/>
      <c r="V679" s="2042"/>
      <c r="W679" s="2042"/>
      <c r="X679" s="2042"/>
      <c r="Y679" s="2042"/>
      <c r="Z679" s="2042"/>
      <c r="AA679" s="2042"/>
      <c r="AB679" s="2042"/>
      <c r="AC679" s="2042"/>
      <c r="AD679" s="2043"/>
      <c r="AE679" s="2014" t="s">
        <v>1841</v>
      </c>
      <c r="AF679" s="2044"/>
    </row>
    <row r="680" spans="1:32" ht="15.75" x14ac:dyDescent="0.25">
      <c r="A680" s="2045" t="s">
        <v>1853</v>
      </c>
      <c r="B680" s="2046"/>
      <c r="C680" s="2046"/>
      <c r="D680" s="2046"/>
      <c r="E680" s="2046"/>
      <c r="F680" s="2046"/>
      <c r="G680" s="2046"/>
      <c r="H680" s="2046"/>
      <c r="I680" s="2046"/>
      <c r="J680" s="2046"/>
      <c r="K680" s="2046"/>
      <c r="L680" s="2046"/>
      <c r="M680" s="2046"/>
      <c r="N680" s="2046"/>
      <c r="O680" s="2046"/>
      <c r="P680" s="2046"/>
      <c r="Q680" s="2046"/>
      <c r="R680" s="2046"/>
      <c r="S680" s="2046"/>
      <c r="T680" s="2046"/>
      <c r="U680" s="2046"/>
      <c r="V680" s="2046"/>
      <c r="W680" s="2046"/>
      <c r="X680" s="2046"/>
      <c r="Y680" s="2046"/>
      <c r="Z680" s="2046"/>
      <c r="AA680" s="2046"/>
      <c r="AB680" s="2046"/>
      <c r="AC680" s="2046"/>
      <c r="AD680" s="2046"/>
      <c r="AE680" s="2047">
        <f>'01'!$M$13</f>
        <v>0</v>
      </c>
      <c r="AF680" s="2044"/>
    </row>
    <row r="681" spans="1:32" x14ac:dyDescent="0.2">
      <c r="A681" s="1046"/>
      <c r="B681" s="1047"/>
      <c r="C681" s="1047"/>
      <c r="D681" s="1047"/>
      <c r="E681" s="1047"/>
      <c r="F681" s="1047"/>
      <c r="G681" s="1047"/>
      <c r="H681" s="1047"/>
      <c r="I681" s="1047"/>
      <c r="J681" s="1047"/>
      <c r="K681" s="1047"/>
      <c r="L681" s="1047"/>
      <c r="M681" s="1047"/>
      <c r="N681" s="1047"/>
      <c r="O681" s="1047"/>
      <c r="P681" s="1047"/>
      <c r="Q681" s="1047"/>
      <c r="R681" s="1047"/>
      <c r="S681" s="1047"/>
      <c r="T681" s="1047"/>
      <c r="U681" s="1047"/>
      <c r="V681" s="1047"/>
      <c r="W681" s="1047"/>
      <c r="X681" s="1047"/>
      <c r="Y681" s="1047"/>
      <c r="Z681" s="1047"/>
      <c r="AA681" s="1047"/>
      <c r="AB681" s="1047"/>
      <c r="AC681" s="1047"/>
      <c r="AD681" s="1047"/>
      <c r="AE681" s="1047"/>
      <c r="AF681" s="1048"/>
    </row>
    <row r="682" spans="1:32" ht="15.75" x14ac:dyDescent="0.2">
      <c r="A682" s="2048" t="s">
        <v>1842</v>
      </c>
      <c r="B682" s="2049"/>
      <c r="C682" s="2049"/>
      <c r="D682" s="2049"/>
      <c r="E682" s="2049"/>
      <c r="F682" s="2050" t="str">
        <f>'01'!$H$33</f>
        <v>B - CÁMARA DE LLEGADA Y AQUIETAMIENTO DEL AGUA</v>
      </c>
      <c r="G682" s="2049"/>
      <c r="H682" s="2049"/>
      <c r="I682" s="2049"/>
      <c r="J682" s="2049"/>
      <c r="K682" s="2049"/>
      <c r="L682" s="2049"/>
      <c r="M682" s="2049"/>
      <c r="N682" s="2049"/>
      <c r="O682" s="2049"/>
      <c r="P682" s="2049"/>
      <c r="Q682" s="2049"/>
      <c r="R682" s="2049"/>
      <c r="S682" s="2049"/>
      <c r="T682" s="2049"/>
      <c r="U682" s="2049"/>
      <c r="V682" s="2049"/>
      <c r="W682" s="2049"/>
      <c r="X682" s="2049"/>
      <c r="Y682" s="2051"/>
      <c r="Z682" s="2052" t="s">
        <v>1843</v>
      </c>
      <c r="AA682" s="2053"/>
      <c r="AB682" s="2058" t="s">
        <v>1844</v>
      </c>
      <c r="AC682" s="2059"/>
      <c r="AD682" s="2060"/>
      <c r="AE682" s="2064" t="s">
        <v>1845</v>
      </c>
      <c r="AF682" s="2067" t="s">
        <v>1846</v>
      </c>
    </row>
    <row r="683" spans="1:32" x14ac:dyDescent="0.2">
      <c r="A683" s="2070" t="str">
        <f>'01'!A48</f>
        <v>B-05-02</v>
      </c>
      <c r="B683" s="2071"/>
      <c r="C683" s="2072"/>
      <c r="D683" s="2076" t="str">
        <f>VLOOKUP(A683,'01'!$A$12:$N$299,3,FALSE)</f>
        <v>CONCRETO DE FC=280 KG/CM2, IMPERMEABILIZADO PARA ESTRUCTURAS ENTERRADAS Y SEMIENTERRADAS.</v>
      </c>
      <c r="E683" s="2077"/>
      <c r="F683" s="2077"/>
      <c r="G683" s="2077"/>
      <c r="H683" s="2077"/>
      <c r="I683" s="2077"/>
      <c r="J683" s="2077"/>
      <c r="K683" s="2077"/>
      <c r="L683" s="2077"/>
      <c r="M683" s="2077"/>
      <c r="N683" s="2077"/>
      <c r="O683" s="2077"/>
      <c r="P683" s="2077"/>
      <c r="Q683" s="2077"/>
      <c r="R683" s="2077"/>
      <c r="S683" s="2078"/>
      <c r="T683" s="2082" t="s">
        <v>124</v>
      </c>
      <c r="U683" s="2083"/>
      <c r="V683" s="2083"/>
      <c r="W683" s="2083"/>
      <c r="X683" s="2052" t="str">
        <f>VLOOKUP(A683,'01'!$A$12:$N$299,9,FALSE)</f>
        <v>M3</v>
      </c>
      <c r="Y683" s="2053"/>
      <c r="Z683" s="2054"/>
      <c r="AA683" s="2055"/>
      <c r="AB683" s="2061"/>
      <c r="AC683" s="2062"/>
      <c r="AD683" s="2063"/>
      <c r="AE683" s="2065"/>
      <c r="AF683" s="2068"/>
    </row>
    <row r="684" spans="1:32" ht="15.75" x14ac:dyDescent="0.25">
      <c r="A684" s="2073"/>
      <c r="B684" s="2074"/>
      <c r="C684" s="2075"/>
      <c r="D684" s="2079"/>
      <c r="E684" s="2080"/>
      <c r="F684" s="2080"/>
      <c r="G684" s="2080"/>
      <c r="H684" s="2080"/>
      <c r="I684" s="2080"/>
      <c r="J684" s="2080"/>
      <c r="K684" s="2080"/>
      <c r="L684" s="2080"/>
      <c r="M684" s="2080"/>
      <c r="N684" s="2080"/>
      <c r="O684" s="2080"/>
      <c r="P684" s="2080"/>
      <c r="Q684" s="2080"/>
      <c r="R684" s="2080"/>
      <c r="S684" s="2081"/>
      <c r="T684" s="2084"/>
      <c r="U684" s="2085"/>
      <c r="V684" s="2085"/>
      <c r="W684" s="2085"/>
      <c r="X684" s="2056"/>
      <c r="Y684" s="2057"/>
      <c r="Z684" s="2056"/>
      <c r="AA684" s="2057"/>
      <c r="AB684" s="1049" t="s">
        <v>1847</v>
      </c>
      <c r="AC684" s="1049" t="s">
        <v>1848</v>
      </c>
      <c r="AD684" s="1049" t="s">
        <v>1861</v>
      </c>
      <c r="AE684" s="2066"/>
      <c r="AF684" s="2069"/>
    </row>
    <row r="685" spans="1:32" ht="15.75" x14ac:dyDescent="0.25">
      <c r="A685" s="2017"/>
      <c r="B685" s="2018"/>
      <c r="C685" s="2018"/>
      <c r="D685" s="2018"/>
      <c r="E685" s="2018"/>
      <c r="F685" s="2018"/>
      <c r="G685" s="2018"/>
      <c r="H685" s="2018"/>
      <c r="I685" s="2018"/>
      <c r="J685" s="2018"/>
      <c r="K685" s="2018"/>
      <c r="L685" s="2018"/>
      <c r="M685" s="2018"/>
      <c r="N685" s="2018"/>
      <c r="O685" s="2018"/>
      <c r="P685" s="2018"/>
      <c r="Q685" s="2018"/>
      <c r="R685" s="2018"/>
      <c r="S685" s="2018"/>
      <c r="T685" s="2018"/>
      <c r="U685" s="2018"/>
      <c r="V685" s="2018"/>
      <c r="W685" s="2018"/>
      <c r="X685" s="2018"/>
      <c r="Y685" s="2018"/>
      <c r="Z685" s="2110" t="s">
        <v>1095</v>
      </c>
      <c r="AA685" s="2111"/>
      <c r="AB685" s="1050">
        <v>1</v>
      </c>
      <c r="AC685" s="1050">
        <v>1</v>
      </c>
      <c r="AD685" s="1050">
        <v>0.1</v>
      </c>
      <c r="AE685" s="1050">
        <v>2</v>
      </c>
      <c r="AF685" s="1052">
        <f>ROUND(AE685*AD685*AC685*AB685,2)</f>
        <v>0.2</v>
      </c>
    </row>
    <row r="686" spans="1:32" ht="15.75" x14ac:dyDescent="0.25">
      <c r="A686" s="2017"/>
      <c r="B686" s="2018"/>
      <c r="C686" s="2018"/>
      <c r="D686" s="2018"/>
      <c r="E686" s="2018"/>
      <c r="F686" s="2018"/>
      <c r="G686" s="2018"/>
      <c r="H686" s="2018"/>
      <c r="I686" s="2018"/>
      <c r="J686" s="2018"/>
      <c r="K686" s="2018"/>
      <c r="L686" s="2018"/>
      <c r="M686" s="2018"/>
      <c r="N686" s="2018"/>
      <c r="O686" s="2018"/>
      <c r="P686" s="2018"/>
      <c r="Q686" s="2018"/>
      <c r="R686" s="2018"/>
      <c r="S686" s="2018"/>
      <c r="T686" s="2018"/>
      <c r="U686" s="2018"/>
      <c r="V686" s="2018"/>
      <c r="W686" s="2018"/>
      <c r="X686" s="2018"/>
      <c r="Y686" s="2018"/>
      <c r="Z686" s="2112"/>
      <c r="AA686" s="2113"/>
      <c r="AB686" s="1050">
        <v>0.8</v>
      </c>
      <c r="AC686" s="1050">
        <v>0.8</v>
      </c>
      <c r="AD686" s="1050">
        <v>0.1</v>
      </c>
      <c r="AE686" s="1050">
        <v>2</v>
      </c>
      <c r="AF686" s="1052">
        <f>ROUND(AE686*AD686*AC686*AB686,2)</f>
        <v>0.13</v>
      </c>
    </row>
    <row r="687" spans="1:32" ht="15.75" x14ac:dyDescent="0.25">
      <c r="A687" s="2017"/>
      <c r="B687" s="2018"/>
      <c r="C687" s="2018"/>
      <c r="D687" s="2018"/>
      <c r="E687" s="2018"/>
      <c r="F687" s="2018"/>
      <c r="G687" s="2018"/>
      <c r="H687" s="2018"/>
      <c r="I687" s="2018"/>
      <c r="J687" s="2018"/>
      <c r="K687" s="2018"/>
      <c r="L687" s="2018"/>
      <c r="M687" s="2018"/>
      <c r="N687" s="2018"/>
      <c r="O687" s="2018"/>
      <c r="P687" s="2018"/>
      <c r="Q687" s="2018"/>
      <c r="R687" s="2018"/>
      <c r="S687" s="2018"/>
      <c r="T687" s="2018"/>
      <c r="U687" s="2018"/>
      <c r="V687" s="2018"/>
      <c r="W687" s="2018"/>
      <c r="X687" s="2018"/>
      <c r="Y687" s="2018"/>
      <c r="Z687" s="2114"/>
      <c r="AA687" s="2115"/>
      <c r="AB687" s="1050">
        <v>1</v>
      </c>
      <c r="AC687" s="1050">
        <v>1</v>
      </c>
      <c r="AD687" s="1050">
        <v>0.1</v>
      </c>
      <c r="AE687" s="1050">
        <v>2</v>
      </c>
      <c r="AF687" s="1052">
        <f t="shared" ref="AF687:AF689" si="14">ROUND(AE687*AD687*AC687*AB687,2)</f>
        <v>0.2</v>
      </c>
    </row>
    <row r="688" spans="1:32" ht="15.75" x14ac:dyDescent="0.25">
      <c r="A688" s="2017"/>
      <c r="B688" s="2018"/>
      <c r="C688" s="2018"/>
      <c r="D688" s="2018"/>
      <c r="E688" s="2018"/>
      <c r="F688" s="2018"/>
      <c r="G688" s="2018"/>
      <c r="H688" s="2018"/>
      <c r="I688" s="2018"/>
      <c r="J688" s="2018"/>
      <c r="K688" s="2018"/>
      <c r="L688" s="2018"/>
      <c r="M688" s="2018"/>
      <c r="N688" s="2018"/>
      <c r="O688" s="2018"/>
      <c r="P688" s="2018"/>
      <c r="Q688" s="2018"/>
      <c r="R688" s="2018"/>
      <c r="S688" s="2018"/>
      <c r="T688" s="2018"/>
      <c r="U688" s="2018"/>
      <c r="V688" s="2018"/>
      <c r="W688" s="2018"/>
      <c r="X688" s="2018"/>
      <c r="Y688" s="2018"/>
      <c r="Z688" s="2116" t="s">
        <v>2297</v>
      </c>
      <c r="AA688" s="2117"/>
      <c r="AB688" s="1050">
        <v>1.4</v>
      </c>
      <c r="AC688" s="1050">
        <v>1.2</v>
      </c>
      <c r="AD688" s="1050">
        <v>0.2</v>
      </c>
      <c r="AE688" s="1050">
        <v>1</v>
      </c>
      <c r="AF688" s="1052">
        <f t="shared" si="14"/>
        <v>0.34</v>
      </c>
    </row>
    <row r="689" spans="1:32" ht="15.75" x14ac:dyDescent="0.25">
      <c r="A689" s="2017"/>
      <c r="B689" s="2018"/>
      <c r="C689" s="2018"/>
      <c r="D689" s="2018"/>
      <c r="E689" s="2018"/>
      <c r="F689" s="2018"/>
      <c r="G689" s="2018"/>
      <c r="H689" s="2018"/>
      <c r="I689" s="2018"/>
      <c r="J689" s="2018"/>
      <c r="K689" s="2018"/>
      <c r="L689" s="2018"/>
      <c r="M689" s="2018"/>
      <c r="N689" s="2018"/>
      <c r="O689" s="2018"/>
      <c r="P689" s="2018"/>
      <c r="Q689" s="2018"/>
      <c r="R689" s="2018"/>
      <c r="S689" s="2018"/>
      <c r="T689" s="2018"/>
      <c r="U689" s="2018"/>
      <c r="V689" s="2018"/>
      <c r="W689" s="2018"/>
      <c r="X689" s="2018"/>
      <c r="Y689" s="2018"/>
      <c r="Z689" s="2118"/>
      <c r="AA689" s="2119"/>
      <c r="AB689" s="1050">
        <v>1.4</v>
      </c>
      <c r="AC689" s="1050">
        <v>0.8</v>
      </c>
      <c r="AD689" s="1050">
        <v>0.2</v>
      </c>
      <c r="AE689" s="1050">
        <v>2</v>
      </c>
      <c r="AF689" s="1052">
        <f t="shared" si="14"/>
        <v>0.45</v>
      </c>
    </row>
    <row r="690" spans="1:32" ht="15.75" x14ac:dyDescent="0.25">
      <c r="A690" s="2017"/>
      <c r="B690" s="2018"/>
      <c r="C690" s="2018"/>
      <c r="D690" s="2018"/>
      <c r="E690" s="2018"/>
      <c r="F690" s="2018"/>
      <c r="G690" s="2018"/>
      <c r="H690" s="2018"/>
      <c r="I690" s="2018"/>
      <c r="J690" s="2018"/>
      <c r="K690" s="2018"/>
      <c r="L690" s="2018"/>
      <c r="M690" s="2018"/>
      <c r="N690" s="2018"/>
      <c r="O690" s="2018"/>
      <c r="P690" s="2018"/>
      <c r="Q690" s="2018"/>
      <c r="R690" s="2018"/>
      <c r="S690" s="2018"/>
      <c r="T690" s="2018"/>
      <c r="U690" s="2018"/>
      <c r="V690" s="2018"/>
      <c r="W690" s="2018"/>
      <c r="X690" s="2018"/>
      <c r="Y690" s="2018"/>
      <c r="Z690" s="2120"/>
      <c r="AA690" s="2121"/>
      <c r="AB690" s="1050">
        <v>0.8</v>
      </c>
      <c r="AC690" s="1050">
        <v>0.8</v>
      </c>
      <c r="AD690" s="1050">
        <v>0.2</v>
      </c>
      <c r="AE690" s="1050">
        <v>1</v>
      </c>
      <c r="AF690" s="1052">
        <f>ROUND(AE690*AD690*AC690*AB690,2)</f>
        <v>0.13</v>
      </c>
    </row>
    <row r="691" spans="1:32" ht="15.75" x14ac:dyDescent="0.25">
      <c r="A691" s="2017"/>
      <c r="B691" s="2018"/>
      <c r="C691" s="2018"/>
      <c r="D691" s="2018"/>
      <c r="E691" s="2018"/>
      <c r="F691" s="2018"/>
      <c r="G691" s="2018"/>
      <c r="H691" s="2018"/>
      <c r="I691" s="2018"/>
      <c r="J691" s="2018"/>
      <c r="K691" s="2018"/>
      <c r="L691" s="2018"/>
      <c r="M691" s="2018"/>
      <c r="N691" s="2018"/>
      <c r="O691" s="2018"/>
      <c r="P691" s="2018"/>
      <c r="Q691" s="2018"/>
      <c r="R691" s="2018"/>
      <c r="S691" s="2018"/>
      <c r="T691" s="2018"/>
      <c r="U691" s="2018"/>
      <c r="V691" s="2018"/>
      <c r="W691" s="2018"/>
      <c r="X691" s="2018"/>
      <c r="Y691" s="2018"/>
      <c r="Z691" s="2116" t="s">
        <v>1096</v>
      </c>
      <c r="AA691" s="2117"/>
      <c r="AB691" s="1050">
        <v>3</v>
      </c>
      <c r="AC691" s="1050">
        <v>1.2</v>
      </c>
      <c r="AD691" s="1050">
        <v>0.2</v>
      </c>
      <c r="AE691" s="1050">
        <v>1</v>
      </c>
      <c r="AF691" s="1052">
        <f t="shared" ref="AF691:AF706" si="15">ROUND(AE691*AD691*AC691*AB691,2)</f>
        <v>0.72</v>
      </c>
    </row>
    <row r="692" spans="1:32" ht="15.75" x14ac:dyDescent="0.25">
      <c r="A692" s="2017"/>
      <c r="B692" s="2018"/>
      <c r="C692" s="2018"/>
      <c r="D692" s="2018"/>
      <c r="E692" s="2018"/>
      <c r="F692" s="2018"/>
      <c r="G692" s="2018"/>
      <c r="H692" s="2018"/>
      <c r="I692" s="2018"/>
      <c r="J692" s="2018"/>
      <c r="K692" s="2018"/>
      <c r="L692" s="2018"/>
      <c r="M692" s="2018"/>
      <c r="N692" s="2018"/>
      <c r="O692" s="2018"/>
      <c r="P692" s="2018"/>
      <c r="Q692" s="2018"/>
      <c r="R692" s="2018"/>
      <c r="S692" s="2018"/>
      <c r="T692" s="2018"/>
      <c r="U692" s="2018"/>
      <c r="V692" s="2018"/>
      <c r="W692" s="2018"/>
      <c r="X692" s="2018"/>
      <c r="Y692" s="2018"/>
      <c r="Z692" s="2118"/>
      <c r="AA692" s="2119"/>
      <c r="AB692" s="1050">
        <v>1.4</v>
      </c>
      <c r="AC692" s="1050">
        <v>2</v>
      </c>
      <c r="AD692" s="1050">
        <v>0.2</v>
      </c>
      <c r="AE692" s="1050">
        <v>2</v>
      </c>
      <c r="AF692" s="1052">
        <f t="shared" si="15"/>
        <v>1.1200000000000001</v>
      </c>
    </row>
    <row r="693" spans="1:32" ht="15.75" x14ac:dyDescent="0.25">
      <c r="A693" s="2017"/>
      <c r="B693" s="2018"/>
      <c r="C693" s="2018"/>
      <c r="D693" s="2018"/>
      <c r="E693" s="2018"/>
      <c r="F693" s="2018"/>
      <c r="G693" s="2018"/>
      <c r="H693" s="2018"/>
      <c r="I693" s="2018"/>
      <c r="J693" s="2018"/>
      <c r="K693" s="2018"/>
      <c r="L693" s="2018"/>
      <c r="M693" s="2018"/>
      <c r="N693" s="2018"/>
      <c r="O693" s="2018"/>
      <c r="P693" s="2018"/>
      <c r="Q693" s="2018"/>
      <c r="R693" s="2018"/>
      <c r="S693" s="2018"/>
      <c r="T693" s="2018"/>
      <c r="U693" s="2018"/>
      <c r="V693" s="2018"/>
      <c r="W693" s="2018"/>
      <c r="X693" s="2018"/>
      <c r="Y693" s="2018"/>
      <c r="Z693" s="2118"/>
      <c r="AA693" s="2119"/>
      <c r="AB693" s="1050">
        <v>1.6</v>
      </c>
      <c r="AC693" s="1050">
        <v>1.7</v>
      </c>
      <c r="AD693" s="1050">
        <v>0.2</v>
      </c>
      <c r="AE693" s="1050">
        <v>2</v>
      </c>
      <c r="AF693" s="1052">
        <f t="shared" si="15"/>
        <v>1.0900000000000001</v>
      </c>
    </row>
    <row r="694" spans="1:32" ht="15.75" x14ac:dyDescent="0.25">
      <c r="A694" s="2017"/>
      <c r="B694" s="2018"/>
      <c r="C694" s="2018"/>
      <c r="D694" s="2018"/>
      <c r="E694" s="2018"/>
      <c r="F694" s="2018"/>
      <c r="G694" s="2018"/>
      <c r="H694" s="2018"/>
      <c r="I694" s="2018"/>
      <c r="J694" s="2018"/>
      <c r="K694" s="2018"/>
      <c r="L694" s="2018"/>
      <c r="M694" s="2018"/>
      <c r="N694" s="2018"/>
      <c r="O694" s="2018"/>
      <c r="P694" s="2018"/>
      <c r="Q694" s="2018"/>
      <c r="R694" s="2018"/>
      <c r="S694" s="2018"/>
      <c r="T694" s="2018"/>
      <c r="U694" s="2018"/>
      <c r="V694" s="2018"/>
      <c r="W694" s="2018"/>
      <c r="X694" s="2018"/>
      <c r="Y694" s="2018"/>
      <c r="Z694" s="2118"/>
      <c r="AA694" s="2119"/>
      <c r="AB694" s="1050">
        <v>0.8</v>
      </c>
      <c r="AC694" s="1050">
        <v>1.7</v>
      </c>
      <c r="AD694" s="1050">
        <v>0.2</v>
      </c>
      <c r="AE694" s="1050">
        <v>1</v>
      </c>
      <c r="AF694" s="1052">
        <f t="shared" si="15"/>
        <v>0.27</v>
      </c>
    </row>
    <row r="695" spans="1:32" ht="15.75" x14ac:dyDescent="0.25">
      <c r="A695" s="2017"/>
      <c r="B695" s="2018"/>
      <c r="C695" s="2018"/>
      <c r="D695" s="2018"/>
      <c r="E695" s="2018"/>
      <c r="F695" s="2018"/>
      <c r="G695" s="2018"/>
      <c r="H695" s="2018"/>
      <c r="I695" s="2018"/>
      <c r="J695" s="2018"/>
      <c r="K695" s="2018"/>
      <c r="L695" s="2018"/>
      <c r="M695" s="2018"/>
      <c r="N695" s="2018"/>
      <c r="O695" s="2018"/>
      <c r="P695" s="2018"/>
      <c r="Q695" s="2018"/>
      <c r="R695" s="2018"/>
      <c r="S695" s="2018"/>
      <c r="T695" s="2018"/>
      <c r="U695" s="2018"/>
      <c r="V695" s="2018"/>
      <c r="W695" s="2018"/>
      <c r="X695" s="2018"/>
      <c r="Y695" s="2018"/>
      <c r="Z695" s="2118"/>
      <c r="AA695" s="2119"/>
      <c r="AB695" s="1050">
        <v>0.8</v>
      </c>
      <c r="AC695" s="1050">
        <v>2</v>
      </c>
      <c r="AD695" s="1050">
        <v>0.2</v>
      </c>
      <c r="AE695" s="1050">
        <v>2</v>
      </c>
      <c r="AF695" s="1052">
        <f t="shared" si="15"/>
        <v>0.64</v>
      </c>
    </row>
    <row r="696" spans="1:32" ht="15.75" x14ac:dyDescent="0.25">
      <c r="A696" s="2017"/>
      <c r="B696" s="2018"/>
      <c r="C696" s="2018"/>
      <c r="D696" s="2018"/>
      <c r="E696" s="2018"/>
      <c r="F696" s="2018"/>
      <c r="G696" s="2018"/>
      <c r="H696" s="2018"/>
      <c r="I696" s="2018"/>
      <c r="J696" s="2018"/>
      <c r="K696" s="2018"/>
      <c r="L696" s="2018"/>
      <c r="M696" s="2018"/>
      <c r="N696" s="2018"/>
      <c r="O696" s="2018"/>
      <c r="P696" s="2018"/>
      <c r="Q696" s="2018"/>
      <c r="R696" s="2018"/>
      <c r="S696" s="2018"/>
      <c r="T696" s="2018"/>
      <c r="U696" s="2018"/>
      <c r="V696" s="2018"/>
      <c r="W696" s="2018"/>
      <c r="X696" s="2018"/>
      <c r="Y696" s="2018"/>
      <c r="Z696" s="2118"/>
      <c r="AA696" s="2119"/>
      <c r="AB696" s="1050">
        <v>3</v>
      </c>
      <c r="AC696" s="1050">
        <v>1.2</v>
      </c>
      <c r="AD696" s="1050">
        <v>0.15</v>
      </c>
      <c r="AE696" s="1050">
        <v>1</v>
      </c>
      <c r="AF696" s="1052">
        <f t="shared" si="15"/>
        <v>0.54</v>
      </c>
    </row>
    <row r="697" spans="1:32" ht="15.75" x14ac:dyDescent="0.25">
      <c r="A697" s="2017"/>
      <c r="B697" s="2018"/>
      <c r="C697" s="2018"/>
      <c r="D697" s="2018"/>
      <c r="E697" s="2018"/>
      <c r="F697" s="2018"/>
      <c r="G697" s="2018"/>
      <c r="H697" s="2018"/>
      <c r="I697" s="2018"/>
      <c r="J697" s="2018"/>
      <c r="K697" s="2018"/>
      <c r="L697" s="2018"/>
      <c r="M697" s="2018"/>
      <c r="N697" s="2018"/>
      <c r="O697" s="2018"/>
      <c r="P697" s="2018"/>
      <c r="Q697" s="2018"/>
      <c r="R697" s="2018"/>
      <c r="S697" s="2018"/>
      <c r="T697" s="2018"/>
      <c r="U697" s="2018"/>
      <c r="V697" s="2018"/>
      <c r="W697" s="2018"/>
      <c r="X697" s="2018"/>
      <c r="Y697" s="2018"/>
      <c r="Z697" s="2110" t="s">
        <v>1097</v>
      </c>
      <c r="AA697" s="2111"/>
      <c r="AB697" s="1050">
        <v>9.6</v>
      </c>
      <c r="AC697" s="1050">
        <v>1.8</v>
      </c>
      <c r="AD697" s="1050">
        <v>0.2</v>
      </c>
      <c r="AE697" s="1050">
        <v>1</v>
      </c>
      <c r="AF697" s="1052">
        <f t="shared" si="15"/>
        <v>3.46</v>
      </c>
    </row>
    <row r="698" spans="1:32" ht="15.75" x14ac:dyDescent="0.25">
      <c r="A698" s="2017"/>
      <c r="B698" s="2018"/>
      <c r="C698" s="2018"/>
      <c r="D698" s="2018"/>
      <c r="E698" s="2018"/>
      <c r="F698" s="2018"/>
      <c r="G698" s="2018"/>
      <c r="H698" s="2018"/>
      <c r="I698" s="2018"/>
      <c r="J698" s="2018"/>
      <c r="K698" s="2018"/>
      <c r="L698" s="2018"/>
      <c r="M698" s="2018"/>
      <c r="N698" s="2018"/>
      <c r="O698" s="2018"/>
      <c r="P698" s="2018"/>
      <c r="Q698" s="2018"/>
      <c r="R698" s="2018"/>
      <c r="S698" s="2018"/>
      <c r="T698" s="2018"/>
      <c r="U698" s="2018"/>
      <c r="V698" s="2018"/>
      <c r="W698" s="2018"/>
      <c r="X698" s="2018"/>
      <c r="Y698" s="2018"/>
      <c r="Z698" s="2112"/>
      <c r="AA698" s="2113"/>
      <c r="AB698" s="1050">
        <v>9.6</v>
      </c>
      <c r="AC698" s="1050">
        <v>1</v>
      </c>
      <c r="AD698" s="1050">
        <v>0.2</v>
      </c>
      <c r="AE698" s="1050">
        <v>3</v>
      </c>
      <c r="AF698" s="1052">
        <f t="shared" si="15"/>
        <v>5.76</v>
      </c>
    </row>
    <row r="699" spans="1:32" ht="15.75" x14ac:dyDescent="0.25">
      <c r="A699" s="2017"/>
      <c r="B699" s="2018"/>
      <c r="C699" s="2018"/>
      <c r="D699" s="2018"/>
      <c r="E699" s="2018"/>
      <c r="F699" s="2018"/>
      <c r="G699" s="2018"/>
      <c r="H699" s="2018"/>
      <c r="I699" s="2018"/>
      <c r="J699" s="2018"/>
      <c r="K699" s="2018"/>
      <c r="L699" s="2018"/>
      <c r="M699" s="2018"/>
      <c r="N699" s="2018"/>
      <c r="O699" s="2018"/>
      <c r="P699" s="2018"/>
      <c r="Q699" s="2018"/>
      <c r="R699" s="2018"/>
      <c r="S699" s="2018"/>
      <c r="T699" s="2018"/>
      <c r="U699" s="2018"/>
      <c r="V699" s="2018"/>
      <c r="W699" s="2018"/>
      <c r="X699" s="2018"/>
      <c r="Y699" s="2018"/>
      <c r="Z699" s="2112"/>
      <c r="AA699" s="2113"/>
      <c r="AB699" s="1050">
        <v>0.6</v>
      </c>
      <c r="AC699" s="1050">
        <v>0.8</v>
      </c>
      <c r="AD699" s="1050">
        <v>0.1</v>
      </c>
      <c r="AE699" s="1050">
        <v>2</v>
      </c>
      <c r="AF699" s="1052">
        <f t="shared" si="15"/>
        <v>0.1</v>
      </c>
    </row>
    <row r="700" spans="1:32" ht="15.75" x14ac:dyDescent="0.25">
      <c r="A700" s="2017"/>
      <c r="B700" s="2018"/>
      <c r="C700" s="2018"/>
      <c r="D700" s="2018"/>
      <c r="E700" s="2018"/>
      <c r="F700" s="2018"/>
      <c r="G700" s="2018"/>
      <c r="H700" s="2018"/>
      <c r="I700" s="2018"/>
      <c r="J700" s="2018"/>
      <c r="K700" s="2018"/>
      <c r="L700" s="2018"/>
      <c r="M700" s="2018"/>
      <c r="N700" s="2018"/>
      <c r="O700" s="2018"/>
      <c r="P700" s="2018"/>
      <c r="Q700" s="2018"/>
      <c r="R700" s="2018"/>
      <c r="S700" s="2018"/>
      <c r="T700" s="2018"/>
      <c r="U700" s="2018"/>
      <c r="V700" s="2018"/>
      <c r="W700" s="2018"/>
      <c r="X700" s="2018"/>
      <c r="Y700" s="2018"/>
      <c r="Z700" s="2114"/>
      <c r="AA700" s="2115"/>
      <c r="AB700" s="1050">
        <v>0.6</v>
      </c>
      <c r="AC700" s="1050">
        <v>0.45</v>
      </c>
      <c r="AD700" s="1050">
        <v>0.4</v>
      </c>
      <c r="AE700" s="1050">
        <v>2</v>
      </c>
      <c r="AF700" s="1052">
        <f t="shared" si="15"/>
        <v>0.22</v>
      </c>
    </row>
    <row r="701" spans="1:32" ht="15.75" x14ac:dyDescent="0.25">
      <c r="A701" s="2017"/>
      <c r="B701" s="2018"/>
      <c r="C701" s="2018"/>
      <c r="D701" s="2018"/>
      <c r="E701" s="2018"/>
      <c r="F701" s="2018"/>
      <c r="G701" s="2018"/>
      <c r="H701" s="2018"/>
      <c r="I701" s="2018"/>
      <c r="J701" s="2018"/>
      <c r="K701" s="2018"/>
      <c r="L701" s="2018"/>
      <c r="M701" s="2018"/>
      <c r="N701" s="2018"/>
      <c r="O701" s="2018"/>
      <c r="P701" s="2018"/>
      <c r="Q701" s="2018"/>
      <c r="R701" s="2018"/>
      <c r="S701" s="2018"/>
      <c r="T701" s="2018"/>
      <c r="U701" s="2018"/>
      <c r="V701" s="2018"/>
      <c r="W701" s="2018"/>
      <c r="X701" s="2018"/>
      <c r="Y701" s="2018"/>
      <c r="Z701" s="2122" t="s">
        <v>1098</v>
      </c>
      <c r="AA701" s="2123"/>
      <c r="AB701" s="1050">
        <v>4.0999999999999996</v>
      </c>
      <c r="AC701" s="1050">
        <v>1.55</v>
      </c>
      <c r="AD701" s="1050">
        <v>0.15</v>
      </c>
      <c r="AE701" s="1050">
        <v>1</v>
      </c>
      <c r="AF701" s="1052">
        <f t="shared" si="15"/>
        <v>0.95</v>
      </c>
    </row>
    <row r="702" spans="1:32" ht="15.75" x14ac:dyDescent="0.25">
      <c r="A702" s="2017"/>
      <c r="B702" s="2018"/>
      <c r="C702" s="2018"/>
      <c r="D702" s="2018"/>
      <c r="E702" s="2018"/>
      <c r="F702" s="2018"/>
      <c r="G702" s="2018"/>
      <c r="H702" s="2018"/>
      <c r="I702" s="2018"/>
      <c r="J702" s="2018"/>
      <c r="K702" s="2018"/>
      <c r="L702" s="2018"/>
      <c r="M702" s="2018"/>
      <c r="N702" s="2018"/>
      <c r="O702" s="2018"/>
      <c r="P702" s="2018"/>
      <c r="Q702" s="2018"/>
      <c r="R702" s="2018"/>
      <c r="S702" s="2018"/>
      <c r="T702" s="2018"/>
      <c r="U702" s="2018"/>
      <c r="V702" s="2018"/>
      <c r="W702" s="2018"/>
      <c r="X702" s="2018"/>
      <c r="Y702" s="2018"/>
      <c r="Z702" s="2124"/>
      <c r="AA702" s="2125"/>
      <c r="AB702" s="1050">
        <v>4.0999999999999996</v>
      </c>
      <c r="AC702" s="1050">
        <v>1.55</v>
      </c>
      <c r="AD702" s="1050">
        <v>0.2</v>
      </c>
      <c r="AE702" s="1050">
        <v>1</v>
      </c>
      <c r="AF702" s="1052">
        <f t="shared" si="15"/>
        <v>1.27</v>
      </c>
    </row>
    <row r="703" spans="1:32" ht="15.75" x14ac:dyDescent="0.25">
      <c r="A703" s="2017"/>
      <c r="B703" s="2018"/>
      <c r="C703" s="2018"/>
      <c r="D703" s="2018"/>
      <c r="E703" s="2018"/>
      <c r="F703" s="2018"/>
      <c r="G703" s="2018"/>
      <c r="H703" s="2018"/>
      <c r="I703" s="2018"/>
      <c r="J703" s="2018"/>
      <c r="K703" s="2018"/>
      <c r="L703" s="2018"/>
      <c r="M703" s="2018"/>
      <c r="N703" s="2018"/>
      <c r="O703" s="2018"/>
      <c r="P703" s="2018"/>
      <c r="Q703" s="2018"/>
      <c r="R703" s="2018"/>
      <c r="S703" s="2018"/>
      <c r="T703" s="2018"/>
      <c r="U703" s="2018"/>
      <c r="V703" s="2018"/>
      <c r="W703" s="2018"/>
      <c r="X703" s="2018"/>
      <c r="Y703" s="2018"/>
      <c r="Z703" s="2124"/>
      <c r="AA703" s="2125"/>
      <c r="AB703" s="1050">
        <v>1.4</v>
      </c>
      <c r="AC703" s="1050">
        <v>2.25</v>
      </c>
      <c r="AD703" s="1050">
        <v>0.2</v>
      </c>
      <c r="AE703" s="1050">
        <v>2</v>
      </c>
      <c r="AF703" s="1052">
        <f t="shared" si="15"/>
        <v>1.26</v>
      </c>
    </row>
    <row r="704" spans="1:32" ht="15.75" x14ac:dyDescent="0.25">
      <c r="A704" s="2017"/>
      <c r="B704" s="2018"/>
      <c r="C704" s="2018"/>
      <c r="D704" s="2018"/>
      <c r="E704" s="2018"/>
      <c r="F704" s="2018"/>
      <c r="G704" s="2018"/>
      <c r="H704" s="2018"/>
      <c r="I704" s="2018"/>
      <c r="J704" s="2018"/>
      <c r="K704" s="2018"/>
      <c r="L704" s="2018"/>
      <c r="M704" s="2018"/>
      <c r="N704" s="2018"/>
      <c r="O704" s="2018"/>
      <c r="P704" s="2018"/>
      <c r="Q704" s="2018"/>
      <c r="R704" s="2018"/>
      <c r="S704" s="2018"/>
      <c r="T704" s="2018"/>
      <c r="U704" s="2018"/>
      <c r="V704" s="2018"/>
      <c r="W704" s="2018"/>
      <c r="X704" s="2018"/>
      <c r="Y704" s="2018"/>
      <c r="Z704" s="2124"/>
      <c r="AA704" s="2125"/>
      <c r="AB704" s="1050">
        <v>2.7</v>
      </c>
      <c r="AC704" s="1050">
        <v>1.95</v>
      </c>
      <c r="AD704" s="1050">
        <v>0.2</v>
      </c>
      <c r="AE704" s="1050">
        <v>2</v>
      </c>
      <c r="AF704" s="1052">
        <f t="shared" si="15"/>
        <v>2.11</v>
      </c>
    </row>
    <row r="705" spans="1:32" ht="15.75" x14ac:dyDescent="0.25">
      <c r="A705" s="2017"/>
      <c r="B705" s="2018"/>
      <c r="C705" s="2018"/>
      <c r="D705" s="2018"/>
      <c r="E705" s="2018"/>
      <c r="F705" s="2018"/>
      <c r="G705" s="2018"/>
      <c r="H705" s="2018"/>
      <c r="I705" s="2018"/>
      <c r="J705" s="2018"/>
      <c r="K705" s="2018"/>
      <c r="L705" s="2018"/>
      <c r="M705" s="2018"/>
      <c r="N705" s="2018"/>
      <c r="O705" s="2018"/>
      <c r="P705" s="2018"/>
      <c r="Q705" s="2018"/>
      <c r="R705" s="2018"/>
      <c r="S705" s="2018"/>
      <c r="T705" s="2018"/>
      <c r="U705" s="2018"/>
      <c r="V705" s="2018"/>
      <c r="W705" s="2018"/>
      <c r="X705" s="2018"/>
      <c r="Y705" s="2018"/>
      <c r="Z705" s="2124"/>
      <c r="AA705" s="2125"/>
      <c r="AB705" s="1050">
        <v>1.1499999999999999</v>
      </c>
      <c r="AC705" s="1050">
        <v>2.25</v>
      </c>
      <c r="AD705" s="1050">
        <v>0.2</v>
      </c>
      <c r="AE705" s="1050">
        <v>2</v>
      </c>
      <c r="AF705" s="1052">
        <f t="shared" si="15"/>
        <v>1.04</v>
      </c>
    </row>
    <row r="706" spans="1:32" ht="15.75" x14ac:dyDescent="0.25">
      <c r="A706" s="2017"/>
      <c r="B706" s="2018"/>
      <c r="C706" s="2018"/>
      <c r="D706" s="2018"/>
      <c r="E706" s="2018"/>
      <c r="F706" s="2018"/>
      <c r="G706" s="2018"/>
      <c r="H706" s="2018"/>
      <c r="I706" s="2018"/>
      <c r="J706" s="2018"/>
      <c r="K706" s="2018"/>
      <c r="L706" s="2018"/>
      <c r="M706" s="2018"/>
      <c r="N706" s="2018"/>
      <c r="O706" s="2018"/>
      <c r="P706" s="2018"/>
      <c r="Q706" s="2018"/>
      <c r="R706" s="2018"/>
      <c r="S706" s="2018"/>
      <c r="T706" s="2018"/>
      <c r="U706" s="2018"/>
      <c r="V706" s="2018"/>
      <c r="W706" s="2018"/>
      <c r="X706" s="2018"/>
      <c r="Y706" s="2018"/>
      <c r="Z706" s="2126"/>
      <c r="AA706" s="2127"/>
      <c r="AB706" s="1050">
        <v>1.1499999999999999</v>
      </c>
      <c r="AC706" s="1050">
        <v>1.95</v>
      </c>
      <c r="AD706" s="1050">
        <v>0.2</v>
      </c>
      <c r="AE706" s="1050">
        <v>2</v>
      </c>
      <c r="AF706" s="1052">
        <f t="shared" si="15"/>
        <v>0.9</v>
      </c>
    </row>
    <row r="707" spans="1:32" ht="16.5" thickBot="1" x14ac:dyDescent="0.3">
      <c r="A707" s="2019"/>
      <c r="B707" s="2020"/>
      <c r="C707" s="2020"/>
      <c r="D707" s="2020"/>
      <c r="E707" s="2020"/>
      <c r="F707" s="2020"/>
      <c r="G707" s="2020"/>
      <c r="H707" s="2020"/>
      <c r="I707" s="2020"/>
      <c r="J707" s="2020"/>
      <c r="K707" s="2020"/>
      <c r="L707" s="2020"/>
      <c r="M707" s="2020"/>
      <c r="N707" s="2020"/>
      <c r="O707" s="2020"/>
      <c r="P707" s="2020"/>
      <c r="Q707" s="2020"/>
      <c r="R707" s="2020"/>
      <c r="S707" s="2020"/>
      <c r="T707" s="2020"/>
      <c r="U707" s="2020"/>
      <c r="V707" s="2020"/>
      <c r="W707" s="2020"/>
      <c r="X707" s="2020"/>
      <c r="Y707" s="2020"/>
      <c r="Z707" s="2024"/>
      <c r="AA707" s="2024"/>
      <c r="AB707" s="1057"/>
      <c r="AC707" s="1057"/>
      <c r="AD707" s="1057"/>
      <c r="AE707" s="1057"/>
      <c r="AF707" s="1058"/>
    </row>
    <row r="708" spans="1:32" ht="15.75" x14ac:dyDescent="0.25">
      <c r="A708" s="2009" t="s">
        <v>1855</v>
      </c>
      <c r="B708" s="2010"/>
      <c r="C708" s="2010"/>
      <c r="D708" s="2010"/>
      <c r="E708" s="2010"/>
      <c r="F708" s="2010"/>
      <c r="G708" s="2010"/>
      <c r="H708" s="2010"/>
      <c r="I708" s="2010"/>
      <c r="J708" s="2010"/>
      <c r="K708" s="2010"/>
      <c r="L708" s="2010"/>
      <c r="M708" s="2010"/>
      <c r="N708" s="2010"/>
      <c r="O708" s="2010"/>
      <c r="P708" s="2010"/>
      <c r="Q708" s="2010"/>
      <c r="R708" s="2010"/>
      <c r="S708" s="2010"/>
      <c r="T708" s="2010"/>
      <c r="U708" s="2010"/>
      <c r="V708" s="2010"/>
      <c r="W708" s="2010"/>
      <c r="X708" s="2010"/>
      <c r="Y708" s="2010"/>
      <c r="Z708" s="2013" t="s">
        <v>1850</v>
      </c>
      <c r="AA708" s="2013"/>
      <c r="AB708" s="2013"/>
      <c r="AC708" s="2013"/>
      <c r="AD708" s="2013"/>
      <c r="AE708" s="2013"/>
      <c r="AF708" s="1059">
        <f>SUM(AF685:AF707)</f>
        <v>22.9</v>
      </c>
    </row>
    <row r="709" spans="1:32" ht="15.75" x14ac:dyDescent="0.25">
      <c r="A709" s="2011"/>
      <c r="B709" s="2012"/>
      <c r="C709" s="2012"/>
      <c r="D709" s="2012"/>
      <c r="E709" s="2012"/>
      <c r="F709" s="2012"/>
      <c r="G709" s="2012"/>
      <c r="H709" s="2012"/>
      <c r="I709" s="2012"/>
      <c r="J709" s="2012"/>
      <c r="K709" s="2012"/>
      <c r="L709" s="2012"/>
      <c r="M709" s="2012"/>
      <c r="N709" s="2012"/>
      <c r="O709" s="2012"/>
      <c r="P709" s="2012"/>
      <c r="Q709" s="2012"/>
      <c r="R709" s="2012"/>
      <c r="S709" s="2012"/>
      <c r="T709" s="2012"/>
      <c r="U709" s="2012"/>
      <c r="V709" s="2012"/>
      <c r="W709" s="2012"/>
      <c r="X709" s="2012"/>
      <c r="Y709" s="2012"/>
      <c r="Z709" s="2014" t="s">
        <v>1851</v>
      </c>
      <c r="AA709" s="2014"/>
      <c r="AB709" s="2014"/>
      <c r="AC709" s="2014"/>
      <c r="AD709" s="2014"/>
      <c r="AE709" s="2014"/>
      <c r="AF709" s="1060">
        <v>0</v>
      </c>
    </row>
    <row r="710" spans="1:32" ht="15.75" x14ac:dyDescent="0.25">
      <c r="A710" s="2011"/>
      <c r="B710" s="2012"/>
      <c r="C710" s="2012"/>
      <c r="D710" s="2012"/>
      <c r="E710" s="2012"/>
      <c r="F710" s="2012"/>
      <c r="G710" s="2012"/>
      <c r="H710" s="2012"/>
      <c r="I710" s="2012"/>
      <c r="J710" s="2012"/>
      <c r="K710" s="2012"/>
      <c r="L710" s="2012"/>
      <c r="M710" s="2012"/>
      <c r="N710" s="2012"/>
      <c r="O710" s="2012"/>
      <c r="P710" s="2012"/>
      <c r="Q710" s="2012"/>
      <c r="R710" s="2012"/>
      <c r="S710" s="2012"/>
      <c r="T710" s="2012"/>
      <c r="U710" s="2012"/>
      <c r="V710" s="2012"/>
      <c r="W710" s="2012"/>
      <c r="X710" s="2012"/>
      <c r="Y710" s="2012"/>
      <c r="Z710" s="2015" t="s">
        <v>1833</v>
      </c>
      <c r="AA710" s="2015"/>
      <c r="AB710" s="2015"/>
      <c r="AC710" s="2015"/>
      <c r="AD710" s="2015"/>
      <c r="AE710" s="2015"/>
      <c r="AF710" s="1061">
        <f>SUM(AF708:AF709)</f>
        <v>22.9</v>
      </c>
    </row>
    <row r="711" spans="1:32" x14ac:dyDescent="0.2">
      <c r="A711" s="2012" t="s">
        <v>1859</v>
      </c>
      <c r="B711" s="2012"/>
      <c r="C711" s="2012"/>
      <c r="D711" s="2012"/>
      <c r="E711" s="2012"/>
      <c r="F711" s="2012"/>
      <c r="G711" s="2012"/>
      <c r="H711" s="2012"/>
      <c r="I711" s="2012"/>
      <c r="J711" s="2012"/>
      <c r="K711" s="2012"/>
      <c r="L711" s="2012"/>
      <c r="M711" s="2012"/>
      <c r="N711" s="2012"/>
      <c r="O711" s="2012"/>
      <c r="P711" s="2012"/>
      <c r="Q711" s="2012"/>
      <c r="R711" s="2012"/>
      <c r="S711" s="2012"/>
      <c r="T711" s="2016" t="s">
        <v>1840</v>
      </c>
      <c r="U711" s="2016"/>
      <c r="V711" s="2016"/>
      <c r="W711" s="2016"/>
      <c r="X711" s="2016"/>
      <c r="Y711" s="2016"/>
      <c r="Z711" s="2016"/>
      <c r="AA711" s="2016"/>
      <c r="AB711" s="2012" t="s">
        <v>1852</v>
      </c>
      <c r="AC711" s="2012"/>
      <c r="AD711" s="2012"/>
      <c r="AE711" s="2012"/>
      <c r="AF711" s="2012"/>
    </row>
    <row r="712" spans="1:32" x14ac:dyDescent="0.2">
      <c r="A712" s="2012"/>
      <c r="B712" s="2012"/>
      <c r="C712" s="2012"/>
      <c r="D712" s="2012"/>
      <c r="E712" s="2012"/>
      <c r="F712" s="2012"/>
      <c r="G712" s="2012"/>
      <c r="H712" s="2012"/>
      <c r="I712" s="2012"/>
      <c r="J712" s="2012"/>
      <c r="K712" s="2012"/>
      <c r="L712" s="2012"/>
      <c r="M712" s="2012"/>
      <c r="N712" s="2012"/>
      <c r="O712" s="2012"/>
      <c r="P712" s="2012"/>
      <c r="Q712" s="2012"/>
      <c r="R712" s="2012"/>
      <c r="S712" s="2012"/>
      <c r="T712" s="2016"/>
      <c r="U712" s="2016"/>
      <c r="V712" s="2016"/>
      <c r="W712" s="2016"/>
      <c r="X712" s="2016"/>
      <c r="Y712" s="2016"/>
      <c r="Z712" s="2016"/>
      <c r="AA712" s="2016"/>
      <c r="AB712" s="2012"/>
      <c r="AC712" s="2012"/>
      <c r="AD712" s="2012"/>
      <c r="AE712" s="2012"/>
      <c r="AF712" s="2012"/>
    </row>
    <row r="713" spans="1:32" ht="13.5" thickBot="1" x14ac:dyDescent="0.25"/>
    <row r="714" spans="1:32" ht="21.6" customHeight="1" x14ac:dyDescent="0.2">
      <c r="A714" s="2025" t="s">
        <v>1854</v>
      </c>
      <c r="B714" s="2026"/>
      <c r="C714" s="2026"/>
      <c r="D714" s="2026"/>
      <c r="E714" s="2026"/>
      <c r="F714" s="2026"/>
      <c r="G714" s="2026"/>
      <c r="H714" s="2026"/>
      <c r="I714" s="2026"/>
      <c r="J714" s="2026"/>
      <c r="K714" s="2026"/>
      <c r="L714" s="2026"/>
      <c r="M714" s="2026"/>
      <c r="N714" s="2026"/>
      <c r="O714" s="2026"/>
      <c r="P714" s="2026"/>
      <c r="Q714" s="2026"/>
      <c r="R714" s="2026"/>
      <c r="S714" s="2026"/>
      <c r="T714" s="2026"/>
      <c r="U714" s="2026"/>
      <c r="V714" s="2026"/>
      <c r="W714" s="2026"/>
      <c r="X714" s="2026"/>
      <c r="Y714" s="2026"/>
      <c r="Z714" s="2026"/>
      <c r="AA714" s="2026"/>
      <c r="AB714" s="2026"/>
      <c r="AC714" s="2026"/>
      <c r="AD714" s="2026"/>
      <c r="AE714" s="1041" t="s">
        <v>1834</v>
      </c>
      <c r="AF714" s="1042" t="s">
        <v>1835</v>
      </c>
    </row>
    <row r="715" spans="1:32" ht="24" customHeight="1" thickBot="1" x14ac:dyDescent="0.25">
      <c r="A715" s="2027"/>
      <c r="B715" s="2028"/>
      <c r="C715" s="2028"/>
      <c r="D715" s="2028"/>
      <c r="E715" s="2028"/>
      <c r="F715" s="2028"/>
      <c r="G715" s="2028"/>
      <c r="H715" s="2028"/>
      <c r="I715" s="2028"/>
      <c r="J715" s="2028"/>
      <c r="K715" s="2028"/>
      <c r="L715" s="2028"/>
      <c r="M715" s="2028"/>
      <c r="N715" s="2028"/>
      <c r="O715" s="2028"/>
      <c r="P715" s="2028"/>
      <c r="Q715" s="2028"/>
      <c r="R715" s="2028"/>
      <c r="S715" s="2028"/>
      <c r="T715" s="2028"/>
      <c r="U715" s="2028"/>
      <c r="V715" s="2028"/>
      <c r="W715" s="2028"/>
      <c r="X715" s="2028"/>
      <c r="Y715" s="2028"/>
      <c r="Z715" s="2028"/>
      <c r="AA715" s="2028"/>
      <c r="AB715" s="2028"/>
      <c r="AC715" s="2028"/>
      <c r="AD715" s="2028"/>
      <c r="AE715" s="1041" t="s">
        <v>1836</v>
      </c>
      <c r="AF715" s="1044">
        <v>1</v>
      </c>
    </row>
    <row r="716" spans="1:32" ht="15.75" x14ac:dyDescent="0.2">
      <c r="A716" s="2029"/>
      <c r="B716" s="2030"/>
      <c r="C716" s="2030"/>
      <c r="D716" s="2031"/>
      <c r="E716" s="2025" t="str">
        <f>'01'!$A$12</f>
        <v>"CONSTRUCCION SISTEMA DE ACUEDUCTO FASE II DEL MUNICIPIO DE TESALIA DPTO DEL HUILA"</v>
      </c>
      <c r="F716" s="2026"/>
      <c r="G716" s="2026"/>
      <c r="H716" s="2026"/>
      <c r="I716" s="2026"/>
      <c r="J716" s="2026"/>
      <c r="K716" s="2026"/>
      <c r="L716" s="2026"/>
      <c r="M716" s="2026"/>
      <c r="N716" s="2026"/>
      <c r="O716" s="2026"/>
      <c r="P716" s="2026"/>
      <c r="Q716" s="2026"/>
      <c r="R716" s="2026"/>
      <c r="S716" s="2026"/>
      <c r="T716" s="2026"/>
      <c r="U716" s="2026"/>
      <c r="V716" s="2026"/>
      <c r="W716" s="2026"/>
      <c r="X716" s="2026"/>
      <c r="Y716" s="2026"/>
      <c r="Z716" s="2026"/>
      <c r="AA716" s="2026"/>
      <c r="AB716" s="2026"/>
      <c r="AC716" s="2026"/>
      <c r="AD716" s="2035"/>
      <c r="AE716" s="1041" t="s">
        <v>847</v>
      </c>
      <c r="AF716" s="1045">
        <f>'01'!$M$13</f>
        <v>0</v>
      </c>
    </row>
    <row r="717" spans="1:32" ht="16.5" thickBot="1" x14ac:dyDescent="0.25">
      <c r="A717" s="2032"/>
      <c r="B717" s="2033"/>
      <c r="C717" s="2033"/>
      <c r="D717" s="2034"/>
      <c r="E717" s="2027"/>
      <c r="F717" s="2028"/>
      <c r="G717" s="2028"/>
      <c r="H717" s="2028"/>
      <c r="I717" s="2028"/>
      <c r="J717" s="2028"/>
      <c r="K717" s="2028"/>
      <c r="L717" s="2028"/>
      <c r="M717" s="2028"/>
      <c r="N717" s="2028"/>
      <c r="O717" s="2028"/>
      <c r="P717" s="2028"/>
      <c r="Q717" s="2028"/>
      <c r="R717" s="2028"/>
      <c r="S717" s="2028"/>
      <c r="T717" s="2028"/>
      <c r="U717" s="2028"/>
      <c r="V717" s="2028"/>
      <c r="W717" s="2028"/>
      <c r="X717" s="2028"/>
      <c r="Y717" s="2028"/>
      <c r="Z717" s="2028"/>
      <c r="AA717" s="2028"/>
      <c r="AB717" s="2028"/>
      <c r="AC717" s="2028"/>
      <c r="AD717" s="2036"/>
      <c r="AE717" s="1041" t="s">
        <v>1837</v>
      </c>
      <c r="AF717" s="1042" t="s">
        <v>1838</v>
      </c>
    </row>
    <row r="718" spans="1:32" ht="15.75" x14ac:dyDescent="0.25">
      <c r="A718" s="2037" t="s">
        <v>1860</v>
      </c>
      <c r="B718" s="2038"/>
      <c r="C718" s="2038"/>
      <c r="D718" s="2038"/>
      <c r="E718" s="2038"/>
      <c r="F718" s="2038"/>
      <c r="G718" s="2038"/>
      <c r="H718" s="2038"/>
      <c r="I718" s="2038"/>
      <c r="J718" s="2038"/>
      <c r="K718" s="2038"/>
      <c r="L718" s="2038"/>
      <c r="M718" s="2038"/>
      <c r="N718" s="2038"/>
      <c r="O718" s="2038"/>
      <c r="P718" s="2038"/>
      <c r="Q718" s="2038"/>
      <c r="R718" s="2038"/>
      <c r="S718" s="2038"/>
      <c r="T718" s="2038"/>
      <c r="U718" s="2038"/>
      <c r="V718" s="2038"/>
      <c r="W718" s="2038"/>
      <c r="X718" s="2038"/>
      <c r="Y718" s="2038"/>
      <c r="Z718" s="2038"/>
      <c r="AA718" s="2038"/>
      <c r="AB718" s="2038"/>
      <c r="AC718" s="2038"/>
      <c r="AD718" s="2038"/>
      <c r="AE718" s="2039" t="s">
        <v>1839</v>
      </c>
      <c r="AF718" s="2040"/>
    </row>
    <row r="719" spans="1:32" ht="15.75" x14ac:dyDescent="0.25">
      <c r="A719" s="2041" t="s">
        <v>1840</v>
      </c>
      <c r="B719" s="2042"/>
      <c r="C719" s="2042"/>
      <c r="D719" s="2042"/>
      <c r="E719" s="2042"/>
      <c r="F719" s="2042"/>
      <c r="G719" s="2042"/>
      <c r="H719" s="2042"/>
      <c r="I719" s="2042"/>
      <c r="J719" s="2042"/>
      <c r="K719" s="2042"/>
      <c r="L719" s="2042"/>
      <c r="M719" s="2042"/>
      <c r="N719" s="2042"/>
      <c r="O719" s="2042"/>
      <c r="P719" s="2042"/>
      <c r="Q719" s="2042"/>
      <c r="R719" s="2042"/>
      <c r="S719" s="2042"/>
      <c r="T719" s="2042"/>
      <c r="U719" s="2042"/>
      <c r="V719" s="2042"/>
      <c r="W719" s="2042"/>
      <c r="X719" s="2042"/>
      <c r="Y719" s="2042"/>
      <c r="Z719" s="2042"/>
      <c r="AA719" s="2042"/>
      <c r="AB719" s="2042"/>
      <c r="AC719" s="2042"/>
      <c r="AD719" s="2043"/>
      <c r="AE719" s="2014" t="s">
        <v>1841</v>
      </c>
      <c r="AF719" s="2044"/>
    </row>
    <row r="720" spans="1:32" ht="15.75" x14ac:dyDescent="0.25">
      <c r="A720" s="2045" t="s">
        <v>1853</v>
      </c>
      <c r="B720" s="2046"/>
      <c r="C720" s="2046"/>
      <c r="D720" s="2046"/>
      <c r="E720" s="2046"/>
      <c r="F720" s="2046"/>
      <c r="G720" s="2046"/>
      <c r="H720" s="2046"/>
      <c r="I720" s="2046"/>
      <c r="J720" s="2046"/>
      <c r="K720" s="2046"/>
      <c r="L720" s="2046"/>
      <c r="M720" s="2046"/>
      <c r="N720" s="2046"/>
      <c r="O720" s="2046"/>
      <c r="P720" s="2046"/>
      <c r="Q720" s="2046"/>
      <c r="R720" s="2046"/>
      <c r="S720" s="2046"/>
      <c r="T720" s="2046"/>
      <c r="U720" s="2046"/>
      <c r="V720" s="2046"/>
      <c r="W720" s="2046"/>
      <c r="X720" s="2046"/>
      <c r="Y720" s="2046"/>
      <c r="Z720" s="2046"/>
      <c r="AA720" s="2046"/>
      <c r="AB720" s="2046"/>
      <c r="AC720" s="2046"/>
      <c r="AD720" s="2046"/>
      <c r="AE720" s="2047">
        <f>'01'!$M$13</f>
        <v>0</v>
      </c>
      <c r="AF720" s="2044"/>
    </row>
    <row r="721" spans="1:32" x14ac:dyDescent="0.2">
      <c r="A721" s="1046"/>
      <c r="B721" s="1047"/>
      <c r="C721" s="1047"/>
      <c r="D721" s="1047"/>
      <c r="E721" s="1047"/>
      <c r="F721" s="1047"/>
      <c r="G721" s="1047"/>
      <c r="H721" s="1047"/>
      <c r="I721" s="1047"/>
      <c r="J721" s="1047"/>
      <c r="K721" s="1047"/>
      <c r="L721" s="1047"/>
      <c r="M721" s="1047"/>
      <c r="N721" s="1047"/>
      <c r="O721" s="1047"/>
      <c r="P721" s="1047"/>
      <c r="Q721" s="1047"/>
      <c r="R721" s="1047"/>
      <c r="S721" s="1047"/>
      <c r="T721" s="1047"/>
      <c r="U721" s="1047"/>
      <c r="V721" s="1047"/>
      <c r="W721" s="1047"/>
      <c r="X721" s="1047"/>
      <c r="Y721" s="1047"/>
      <c r="Z721" s="1047"/>
      <c r="AA721" s="1047"/>
      <c r="AB721" s="1047"/>
      <c r="AC721" s="1047"/>
      <c r="AD721" s="1047"/>
      <c r="AE721" s="1047"/>
      <c r="AF721" s="1048"/>
    </row>
    <row r="722" spans="1:32" ht="15.75" x14ac:dyDescent="0.2">
      <c r="A722" s="2048" t="s">
        <v>1842</v>
      </c>
      <c r="B722" s="2049"/>
      <c r="C722" s="2049"/>
      <c r="D722" s="2049"/>
      <c r="E722" s="2049"/>
      <c r="F722" s="2050" t="str">
        <f>'01'!$H$33</f>
        <v>B - CÁMARA DE LLEGADA Y AQUIETAMIENTO DEL AGUA</v>
      </c>
      <c r="G722" s="2049"/>
      <c r="H722" s="2049"/>
      <c r="I722" s="2049"/>
      <c r="J722" s="2049"/>
      <c r="K722" s="2049"/>
      <c r="L722" s="2049"/>
      <c r="M722" s="2049"/>
      <c r="N722" s="2049"/>
      <c r="O722" s="2049"/>
      <c r="P722" s="2049"/>
      <c r="Q722" s="2049"/>
      <c r="R722" s="2049"/>
      <c r="S722" s="2049"/>
      <c r="T722" s="2049"/>
      <c r="U722" s="2049"/>
      <c r="V722" s="2049"/>
      <c r="W722" s="2049"/>
      <c r="X722" s="2049"/>
      <c r="Y722" s="2051"/>
      <c r="Z722" s="2052" t="s">
        <v>2204</v>
      </c>
      <c r="AA722" s="2053"/>
      <c r="AB722" s="2058" t="s">
        <v>2218</v>
      </c>
      <c r="AC722" s="2059"/>
      <c r="AD722" s="2060"/>
      <c r="AE722" s="2064" t="s">
        <v>2217</v>
      </c>
      <c r="AF722" s="2067" t="s">
        <v>1846</v>
      </c>
    </row>
    <row r="723" spans="1:32" x14ac:dyDescent="0.2">
      <c r="A723" s="2070" t="str">
        <f>'01'!A50</f>
        <v>B-06-01</v>
      </c>
      <c r="B723" s="2071"/>
      <c r="C723" s="2072"/>
      <c r="D723" s="2076" t="str">
        <f>VLOOKUP(A723,'01'!$A$12:$N$299,3,FALSE)</f>
        <v>ACERO DE REFUERZO FIGURADO FY= 420 MPA-60000 PSI, CORRUGADO. INCLUYE TRANSPORTE CON DESCARGA, TRANSPORTE INTERNO, ALAMBRE DE AMARRE, CERTIFICADOS Y TODOS LOS ELEMENTOS NECESARIOS PARA SU CORRECTA INSTALACIÓN, SEGÚN DISEÑO Y RECOMENDACIONES.</v>
      </c>
      <c r="E723" s="2077"/>
      <c r="F723" s="2077"/>
      <c r="G723" s="2077"/>
      <c r="H723" s="2077"/>
      <c r="I723" s="2077"/>
      <c r="J723" s="2077"/>
      <c r="K723" s="2077"/>
      <c r="L723" s="2077"/>
      <c r="M723" s="2077"/>
      <c r="N723" s="2077"/>
      <c r="O723" s="2077"/>
      <c r="P723" s="2077"/>
      <c r="Q723" s="2077"/>
      <c r="R723" s="2077"/>
      <c r="S723" s="2078"/>
      <c r="T723" s="2082" t="s">
        <v>124</v>
      </c>
      <c r="U723" s="2083"/>
      <c r="V723" s="2083"/>
      <c r="W723" s="2083"/>
      <c r="X723" s="2052" t="str">
        <f>VLOOKUP(A723,'01'!$A$12:$N$299,9,FALSE)</f>
        <v>KG</v>
      </c>
      <c r="Y723" s="2053"/>
      <c r="Z723" s="2054"/>
      <c r="AA723" s="2055"/>
      <c r="AB723" s="2061"/>
      <c r="AC723" s="2062"/>
      <c r="AD723" s="2063"/>
      <c r="AE723" s="2065"/>
      <c r="AF723" s="2068"/>
    </row>
    <row r="724" spans="1:32" ht="47.25" x14ac:dyDescent="0.25">
      <c r="A724" s="2073"/>
      <c r="B724" s="2074"/>
      <c r="C724" s="2075"/>
      <c r="D724" s="2079"/>
      <c r="E724" s="2080"/>
      <c r="F724" s="2080"/>
      <c r="G724" s="2080"/>
      <c r="H724" s="2080"/>
      <c r="I724" s="2080"/>
      <c r="J724" s="2080"/>
      <c r="K724" s="2080"/>
      <c r="L724" s="2080"/>
      <c r="M724" s="2080"/>
      <c r="N724" s="2080"/>
      <c r="O724" s="2080"/>
      <c r="P724" s="2080"/>
      <c r="Q724" s="2080"/>
      <c r="R724" s="2080"/>
      <c r="S724" s="2081"/>
      <c r="T724" s="2084"/>
      <c r="U724" s="2085"/>
      <c r="V724" s="2085"/>
      <c r="W724" s="2085"/>
      <c r="X724" s="2056"/>
      <c r="Y724" s="2057"/>
      <c r="Z724" s="2056"/>
      <c r="AA724" s="2057"/>
      <c r="AB724" s="1049" t="s">
        <v>1847</v>
      </c>
      <c r="AC724" s="1049" t="s">
        <v>116</v>
      </c>
      <c r="AD724" s="1122" t="s">
        <v>2219</v>
      </c>
      <c r="AE724" s="2066"/>
      <c r="AF724" s="2069"/>
    </row>
    <row r="725" spans="1:32" ht="15.75" x14ac:dyDescent="0.25">
      <c r="A725" s="2017"/>
      <c r="B725" s="2018"/>
      <c r="C725" s="2018"/>
      <c r="D725" s="2018"/>
      <c r="E725" s="2018"/>
      <c r="F725" s="2018"/>
      <c r="G725" s="2018"/>
      <c r="H725" s="2018"/>
      <c r="I725" s="2018"/>
      <c r="J725" s="2018"/>
      <c r="K725" s="2018"/>
      <c r="L725" s="2018"/>
      <c r="M725" s="2018"/>
      <c r="N725" s="2018"/>
      <c r="O725" s="2018"/>
      <c r="P725" s="2018"/>
      <c r="Q725" s="2018"/>
      <c r="R725" s="2018"/>
      <c r="S725" s="2018"/>
      <c r="T725" s="2018"/>
      <c r="U725" s="2018"/>
      <c r="V725" s="2018"/>
      <c r="W725" s="2018"/>
      <c r="X725" s="2018"/>
      <c r="Y725" s="2018"/>
      <c r="Z725" s="2022">
        <v>1</v>
      </c>
      <c r="AA725" s="2022"/>
      <c r="AB725" s="1050">
        <v>0.95</v>
      </c>
      <c r="AC725" s="1050">
        <v>8</v>
      </c>
      <c r="AD725" s="1050">
        <f>AC725*AB725</f>
        <v>7.6</v>
      </c>
      <c r="AE725" s="1050">
        <v>1</v>
      </c>
      <c r="AF725" s="1052">
        <f>AE725*AD725</f>
        <v>7.6</v>
      </c>
    </row>
    <row r="726" spans="1:32" ht="15.75" x14ac:dyDescent="0.25">
      <c r="A726" s="2017"/>
      <c r="B726" s="2018"/>
      <c r="C726" s="2018"/>
      <c r="D726" s="2018"/>
      <c r="E726" s="2018"/>
      <c r="F726" s="2018"/>
      <c r="G726" s="2018"/>
      <c r="H726" s="2018"/>
      <c r="I726" s="2018"/>
      <c r="J726" s="2018"/>
      <c r="K726" s="2018"/>
      <c r="L726" s="2018"/>
      <c r="M726" s="2018"/>
      <c r="N726" s="2018"/>
      <c r="O726" s="2018"/>
      <c r="P726" s="2018"/>
      <c r="Q726" s="2018"/>
      <c r="R726" s="2018"/>
      <c r="S726" s="2018"/>
      <c r="T726" s="2018"/>
      <c r="U726" s="2018"/>
      <c r="V726" s="2018"/>
      <c r="W726" s="2018"/>
      <c r="X726" s="2018"/>
      <c r="Y726" s="2018"/>
      <c r="Z726" s="2022">
        <v>2</v>
      </c>
      <c r="AA726" s="2022"/>
      <c r="AB726" s="1050">
        <v>0.95</v>
      </c>
      <c r="AC726" s="1050">
        <v>8</v>
      </c>
      <c r="AD726" s="1050">
        <f t="shared" ref="AD726:AD775" si="16">AC726*AB726</f>
        <v>7.6</v>
      </c>
      <c r="AE726" s="1050">
        <v>1</v>
      </c>
      <c r="AF726" s="1052">
        <f t="shared" ref="AF726:AF775" si="17">AE726*AD726</f>
        <v>7.6</v>
      </c>
    </row>
    <row r="727" spans="1:32" ht="15.75" x14ac:dyDescent="0.25">
      <c r="A727" s="2017"/>
      <c r="B727" s="2018"/>
      <c r="C727" s="2018"/>
      <c r="D727" s="2018"/>
      <c r="E727" s="2018"/>
      <c r="F727" s="2018"/>
      <c r="G727" s="2018"/>
      <c r="H727" s="2018"/>
      <c r="I727" s="2018"/>
      <c r="J727" s="2018"/>
      <c r="K727" s="2018"/>
      <c r="L727" s="2018"/>
      <c r="M727" s="2018"/>
      <c r="N727" s="2018"/>
      <c r="O727" s="2018"/>
      <c r="P727" s="2018"/>
      <c r="Q727" s="2018"/>
      <c r="R727" s="2018"/>
      <c r="S727" s="2018"/>
      <c r="T727" s="2018"/>
      <c r="U727" s="2018"/>
      <c r="V727" s="2018"/>
      <c r="W727" s="2018"/>
      <c r="X727" s="2018"/>
      <c r="Y727" s="2018"/>
      <c r="Z727" s="2022">
        <v>3</v>
      </c>
      <c r="AA727" s="2022"/>
      <c r="AB727" s="1050">
        <v>2.5</v>
      </c>
      <c r="AC727" s="1050">
        <v>5</v>
      </c>
      <c r="AD727" s="1050">
        <f t="shared" si="16"/>
        <v>12.5</v>
      </c>
      <c r="AE727" s="1050">
        <v>1</v>
      </c>
      <c r="AF727" s="1052">
        <f t="shared" si="17"/>
        <v>12.5</v>
      </c>
    </row>
    <row r="728" spans="1:32" ht="15.75" x14ac:dyDescent="0.25">
      <c r="A728" s="2017"/>
      <c r="B728" s="2018"/>
      <c r="C728" s="2018"/>
      <c r="D728" s="2018"/>
      <c r="E728" s="2018"/>
      <c r="F728" s="2018"/>
      <c r="G728" s="2018"/>
      <c r="H728" s="2018"/>
      <c r="I728" s="2018"/>
      <c r="J728" s="2018"/>
      <c r="K728" s="2018"/>
      <c r="L728" s="2018"/>
      <c r="M728" s="2018"/>
      <c r="N728" s="2018"/>
      <c r="O728" s="2018"/>
      <c r="P728" s="2018"/>
      <c r="Q728" s="2018"/>
      <c r="R728" s="2018"/>
      <c r="S728" s="2018"/>
      <c r="T728" s="2018"/>
      <c r="U728" s="2018"/>
      <c r="V728" s="2018"/>
      <c r="W728" s="2018"/>
      <c r="X728" s="2018"/>
      <c r="Y728" s="2018"/>
      <c r="Z728" s="2105">
        <v>4</v>
      </c>
      <c r="AA728" s="2105"/>
      <c r="AB728" s="1050">
        <v>2.5</v>
      </c>
      <c r="AC728" s="1050">
        <v>5</v>
      </c>
      <c r="AD728" s="1050">
        <f t="shared" si="16"/>
        <v>12.5</v>
      </c>
      <c r="AE728" s="1050">
        <v>1</v>
      </c>
      <c r="AF728" s="1052">
        <f t="shared" si="17"/>
        <v>12.5</v>
      </c>
    </row>
    <row r="729" spans="1:32" ht="15.75" x14ac:dyDescent="0.25">
      <c r="A729" s="2017"/>
      <c r="B729" s="2018"/>
      <c r="C729" s="2018"/>
      <c r="D729" s="2018"/>
      <c r="E729" s="2018"/>
      <c r="F729" s="2018"/>
      <c r="G729" s="2018"/>
      <c r="H729" s="2018"/>
      <c r="I729" s="2018"/>
      <c r="J729" s="2018"/>
      <c r="K729" s="2018"/>
      <c r="L729" s="2018"/>
      <c r="M729" s="2018"/>
      <c r="N729" s="2018"/>
      <c r="O729" s="2018"/>
      <c r="P729" s="2018"/>
      <c r="Q729" s="2018"/>
      <c r="R729" s="2018"/>
      <c r="S729" s="2018"/>
      <c r="T729" s="2018"/>
      <c r="U729" s="2018"/>
      <c r="V729" s="2018"/>
      <c r="W729" s="2018"/>
      <c r="X729" s="2018"/>
      <c r="Y729" s="2018"/>
      <c r="Z729" s="2105">
        <v>5</v>
      </c>
      <c r="AA729" s="2105"/>
      <c r="AB729" s="1050">
        <v>4</v>
      </c>
      <c r="AC729" s="1050">
        <v>7</v>
      </c>
      <c r="AD729" s="1050">
        <f t="shared" si="16"/>
        <v>28</v>
      </c>
      <c r="AE729" s="1050">
        <v>1</v>
      </c>
      <c r="AF729" s="1052">
        <f t="shared" si="17"/>
        <v>28</v>
      </c>
    </row>
    <row r="730" spans="1:32" ht="15.75" x14ac:dyDescent="0.25">
      <c r="A730" s="2017"/>
      <c r="B730" s="2018"/>
      <c r="C730" s="2018"/>
      <c r="D730" s="2018"/>
      <c r="E730" s="2018"/>
      <c r="F730" s="2018"/>
      <c r="G730" s="2018"/>
      <c r="H730" s="2018"/>
      <c r="I730" s="2018"/>
      <c r="J730" s="2018"/>
      <c r="K730" s="2018"/>
      <c r="L730" s="2018"/>
      <c r="M730" s="2018"/>
      <c r="N730" s="2018"/>
      <c r="O730" s="2018"/>
      <c r="P730" s="2018"/>
      <c r="Q730" s="2018"/>
      <c r="R730" s="2018"/>
      <c r="S730" s="2018"/>
      <c r="T730" s="2018"/>
      <c r="U730" s="2018"/>
      <c r="V730" s="2018"/>
      <c r="W730" s="2018"/>
      <c r="X730" s="2018"/>
      <c r="Y730" s="2018"/>
      <c r="Z730" s="2105">
        <v>6</v>
      </c>
      <c r="AA730" s="2105"/>
      <c r="AB730" s="1050">
        <v>1.1499999999999999</v>
      </c>
      <c r="AC730" s="1050">
        <v>21</v>
      </c>
      <c r="AD730" s="1050">
        <f t="shared" si="16"/>
        <v>24.15</v>
      </c>
      <c r="AE730" s="1050">
        <v>1</v>
      </c>
      <c r="AF730" s="1052">
        <f t="shared" si="17"/>
        <v>24.15</v>
      </c>
    </row>
    <row r="731" spans="1:32" ht="15.75" x14ac:dyDescent="0.25">
      <c r="A731" s="2017"/>
      <c r="B731" s="2018"/>
      <c r="C731" s="2018"/>
      <c r="D731" s="2018"/>
      <c r="E731" s="2018"/>
      <c r="F731" s="2018"/>
      <c r="G731" s="2018"/>
      <c r="H731" s="2018"/>
      <c r="I731" s="2018"/>
      <c r="J731" s="2018"/>
      <c r="K731" s="2018"/>
      <c r="L731" s="2018"/>
      <c r="M731" s="2018"/>
      <c r="N731" s="2018"/>
      <c r="O731" s="2018"/>
      <c r="P731" s="2018"/>
      <c r="Q731" s="2018"/>
      <c r="R731" s="2018"/>
      <c r="S731" s="2018"/>
      <c r="T731" s="2018"/>
      <c r="U731" s="2018"/>
      <c r="V731" s="2018"/>
      <c r="W731" s="2018"/>
      <c r="X731" s="2018"/>
      <c r="Y731" s="2018"/>
      <c r="Z731" s="2105">
        <v>7</v>
      </c>
      <c r="AA731" s="2105"/>
      <c r="AB731" s="1050">
        <v>2.95</v>
      </c>
      <c r="AC731" s="1050">
        <v>9</v>
      </c>
      <c r="AD731" s="1050">
        <f t="shared" si="16"/>
        <v>26.55</v>
      </c>
      <c r="AE731" s="1050">
        <v>1</v>
      </c>
      <c r="AF731" s="1052">
        <f t="shared" si="17"/>
        <v>26.55</v>
      </c>
    </row>
    <row r="732" spans="1:32" ht="15.75" x14ac:dyDescent="0.25">
      <c r="A732" s="2017"/>
      <c r="B732" s="2018"/>
      <c r="C732" s="2018"/>
      <c r="D732" s="2018"/>
      <c r="E732" s="2018"/>
      <c r="F732" s="2018"/>
      <c r="G732" s="2018"/>
      <c r="H732" s="2018"/>
      <c r="I732" s="2018"/>
      <c r="J732" s="2018"/>
      <c r="K732" s="2018"/>
      <c r="L732" s="2018"/>
      <c r="M732" s="2018"/>
      <c r="N732" s="2018"/>
      <c r="O732" s="2018"/>
      <c r="P732" s="2018"/>
      <c r="Q732" s="2018"/>
      <c r="R732" s="2018"/>
      <c r="S732" s="2018"/>
      <c r="T732" s="2018"/>
      <c r="U732" s="2018"/>
      <c r="V732" s="2018"/>
      <c r="W732" s="2018"/>
      <c r="X732" s="2018"/>
      <c r="Y732" s="2018"/>
      <c r="Z732" s="2105">
        <v>8</v>
      </c>
      <c r="AA732" s="2105"/>
      <c r="AB732" s="1050">
        <v>3.1</v>
      </c>
      <c r="AC732" s="1050">
        <v>7</v>
      </c>
      <c r="AD732" s="1050">
        <f t="shared" si="16"/>
        <v>21.7</v>
      </c>
      <c r="AE732" s="1050">
        <v>1</v>
      </c>
      <c r="AF732" s="1052">
        <f t="shared" si="17"/>
        <v>21.7</v>
      </c>
    </row>
    <row r="733" spans="1:32" ht="15.75" x14ac:dyDescent="0.25">
      <c r="A733" s="2017"/>
      <c r="B733" s="2018"/>
      <c r="C733" s="2018"/>
      <c r="D733" s="2018"/>
      <c r="E733" s="2018"/>
      <c r="F733" s="2018"/>
      <c r="G733" s="2018"/>
      <c r="H733" s="2018"/>
      <c r="I733" s="2018"/>
      <c r="J733" s="2018"/>
      <c r="K733" s="2018"/>
      <c r="L733" s="2018"/>
      <c r="M733" s="2018"/>
      <c r="N733" s="2018"/>
      <c r="O733" s="2018"/>
      <c r="P733" s="2018"/>
      <c r="Q733" s="2018"/>
      <c r="R733" s="2018"/>
      <c r="S733" s="2018"/>
      <c r="T733" s="2018"/>
      <c r="U733" s="2018"/>
      <c r="V733" s="2018"/>
      <c r="W733" s="2018"/>
      <c r="X733" s="2018"/>
      <c r="Y733" s="2018"/>
      <c r="Z733" s="2105">
        <v>9</v>
      </c>
      <c r="AA733" s="2105"/>
      <c r="AB733" s="1050">
        <v>3.55</v>
      </c>
      <c r="AC733" s="1050">
        <v>9</v>
      </c>
      <c r="AD733" s="1050">
        <f t="shared" si="16"/>
        <v>31.95</v>
      </c>
      <c r="AE733" s="1050">
        <v>1</v>
      </c>
      <c r="AF733" s="1052">
        <f t="shared" si="17"/>
        <v>31.95</v>
      </c>
    </row>
    <row r="734" spans="1:32" ht="15.75" x14ac:dyDescent="0.25">
      <c r="A734" s="2017"/>
      <c r="B734" s="2018"/>
      <c r="C734" s="2018"/>
      <c r="D734" s="2018"/>
      <c r="E734" s="2018"/>
      <c r="F734" s="2018"/>
      <c r="G734" s="2018"/>
      <c r="H734" s="2018"/>
      <c r="I734" s="2018"/>
      <c r="J734" s="2018"/>
      <c r="K734" s="2018"/>
      <c r="L734" s="2018"/>
      <c r="M734" s="2018"/>
      <c r="N734" s="2018"/>
      <c r="O734" s="2018"/>
      <c r="P734" s="2018"/>
      <c r="Q734" s="2018"/>
      <c r="R734" s="2018"/>
      <c r="S734" s="2018"/>
      <c r="T734" s="2018"/>
      <c r="U734" s="2018"/>
      <c r="V734" s="2018"/>
      <c r="W734" s="2018"/>
      <c r="X734" s="2018"/>
      <c r="Y734" s="2018"/>
      <c r="Z734" s="2105">
        <v>10</v>
      </c>
      <c r="AA734" s="2105"/>
      <c r="AB734" s="1050">
        <v>1.65</v>
      </c>
      <c r="AC734" s="1050">
        <v>7</v>
      </c>
      <c r="AD734" s="1050">
        <f t="shared" si="16"/>
        <v>11.549999999999999</v>
      </c>
      <c r="AE734" s="1050">
        <v>1</v>
      </c>
      <c r="AF734" s="1052">
        <f t="shared" si="17"/>
        <v>11.549999999999999</v>
      </c>
    </row>
    <row r="735" spans="1:32" ht="15.75" x14ac:dyDescent="0.25">
      <c r="A735" s="2017"/>
      <c r="B735" s="2018"/>
      <c r="C735" s="2018"/>
      <c r="D735" s="2018"/>
      <c r="E735" s="2018"/>
      <c r="F735" s="2018"/>
      <c r="G735" s="2018"/>
      <c r="H735" s="2018"/>
      <c r="I735" s="2018"/>
      <c r="J735" s="2018"/>
      <c r="K735" s="2018"/>
      <c r="L735" s="2018"/>
      <c r="M735" s="2018"/>
      <c r="N735" s="2018"/>
      <c r="O735" s="2018"/>
      <c r="P735" s="2018"/>
      <c r="Q735" s="2018"/>
      <c r="R735" s="2018"/>
      <c r="S735" s="2018"/>
      <c r="T735" s="2018"/>
      <c r="U735" s="2018"/>
      <c r="V735" s="2018"/>
      <c r="W735" s="2018"/>
      <c r="X735" s="2018"/>
      <c r="Y735" s="2018"/>
      <c r="Z735" s="2105" t="s">
        <v>2205</v>
      </c>
      <c r="AA735" s="2105"/>
      <c r="AB735" s="1050">
        <v>1.65</v>
      </c>
      <c r="AC735" s="1050">
        <v>18</v>
      </c>
      <c r="AD735" s="1050">
        <f t="shared" si="16"/>
        <v>29.7</v>
      </c>
      <c r="AE735" s="1050">
        <v>1</v>
      </c>
      <c r="AF735" s="1052">
        <f t="shared" si="17"/>
        <v>29.7</v>
      </c>
    </row>
    <row r="736" spans="1:32" ht="15.75" x14ac:dyDescent="0.25">
      <c r="A736" s="2017"/>
      <c r="B736" s="2018"/>
      <c r="C736" s="2018"/>
      <c r="D736" s="2018"/>
      <c r="E736" s="2018"/>
      <c r="F736" s="2018"/>
      <c r="G736" s="2018"/>
      <c r="H736" s="2018"/>
      <c r="I736" s="2018"/>
      <c r="J736" s="2018"/>
      <c r="K736" s="2018"/>
      <c r="L736" s="2018"/>
      <c r="M736" s="2018"/>
      <c r="N736" s="2018"/>
      <c r="O736" s="2018"/>
      <c r="P736" s="2018"/>
      <c r="Q736" s="2018"/>
      <c r="R736" s="2018"/>
      <c r="S736" s="2018"/>
      <c r="T736" s="2018"/>
      <c r="U736" s="2018"/>
      <c r="V736" s="2018"/>
      <c r="W736" s="2018"/>
      <c r="X736" s="2018"/>
      <c r="Y736" s="2018"/>
      <c r="Z736" s="2105">
        <v>11</v>
      </c>
      <c r="AA736" s="2105"/>
      <c r="AB736" s="1050">
        <v>4.75</v>
      </c>
      <c r="AC736" s="1050">
        <v>6</v>
      </c>
      <c r="AD736" s="1050">
        <f t="shared" si="16"/>
        <v>28.5</v>
      </c>
      <c r="AE736" s="1050">
        <v>1</v>
      </c>
      <c r="AF736" s="1052">
        <f t="shared" si="17"/>
        <v>28.5</v>
      </c>
    </row>
    <row r="737" spans="1:32" ht="15.75" x14ac:dyDescent="0.25">
      <c r="A737" s="2017"/>
      <c r="B737" s="2018"/>
      <c r="C737" s="2018"/>
      <c r="D737" s="2018"/>
      <c r="E737" s="2018"/>
      <c r="F737" s="2018"/>
      <c r="G737" s="2018"/>
      <c r="H737" s="2018"/>
      <c r="I737" s="2018"/>
      <c r="J737" s="2018"/>
      <c r="K737" s="2018"/>
      <c r="L737" s="2018"/>
      <c r="M737" s="2018"/>
      <c r="N737" s="2018"/>
      <c r="O737" s="2018"/>
      <c r="P737" s="2018"/>
      <c r="Q737" s="2018"/>
      <c r="R737" s="2018"/>
      <c r="S737" s="2018"/>
      <c r="T737" s="2018"/>
      <c r="U737" s="2018"/>
      <c r="V737" s="2018"/>
      <c r="W737" s="2018"/>
      <c r="X737" s="2018"/>
      <c r="Y737" s="2018"/>
      <c r="Z737" s="2105">
        <v>12</v>
      </c>
      <c r="AA737" s="2105"/>
      <c r="AB737" s="1050">
        <v>1.85</v>
      </c>
      <c r="AC737" s="1050">
        <v>6</v>
      </c>
      <c r="AD737" s="1050">
        <f t="shared" si="16"/>
        <v>11.100000000000001</v>
      </c>
      <c r="AE737" s="1050">
        <v>1</v>
      </c>
      <c r="AF737" s="1052">
        <f t="shared" si="17"/>
        <v>11.100000000000001</v>
      </c>
    </row>
    <row r="738" spans="1:32" ht="15.75" x14ac:dyDescent="0.25">
      <c r="A738" s="2017"/>
      <c r="B738" s="2018"/>
      <c r="C738" s="2018"/>
      <c r="D738" s="2018"/>
      <c r="E738" s="2018"/>
      <c r="F738" s="2018"/>
      <c r="G738" s="2018"/>
      <c r="H738" s="2018"/>
      <c r="I738" s="2018"/>
      <c r="J738" s="2018"/>
      <c r="K738" s="2018"/>
      <c r="L738" s="2018"/>
      <c r="M738" s="2018"/>
      <c r="N738" s="2018"/>
      <c r="O738" s="2018"/>
      <c r="P738" s="2018"/>
      <c r="Q738" s="2018"/>
      <c r="R738" s="2018"/>
      <c r="S738" s="2018"/>
      <c r="T738" s="2018"/>
      <c r="U738" s="2018"/>
      <c r="V738" s="2018"/>
      <c r="W738" s="2018"/>
      <c r="X738" s="2018"/>
      <c r="Y738" s="2018"/>
      <c r="Z738" s="2105" t="s">
        <v>2206</v>
      </c>
      <c r="AA738" s="2105"/>
      <c r="AB738" s="1050">
        <v>2.25</v>
      </c>
      <c r="AC738" s="1050">
        <v>12</v>
      </c>
      <c r="AD738" s="1050">
        <f t="shared" si="16"/>
        <v>27</v>
      </c>
      <c r="AE738" s="1050">
        <v>1</v>
      </c>
      <c r="AF738" s="1052">
        <f t="shared" si="17"/>
        <v>27</v>
      </c>
    </row>
    <row r="739" spans="1:32" ht="15.75" x14ac:dyDescent="0.25">
      <c r="A739" s="2017"/>
      <c r="B739" s="2018"/>
      <c r="C739" s="2018"/>
      <c r="D739" s="2018"/>
      <c r="E739" s="2018"/>
      <c r="F739" s="2018"/>
      <c r="G739" s="2018"/>
      <c r="H739" s="2018"/>
      <c r="I739" s="2018"/>
      <c r="J739" s="2018"/>
      <c r="K739" s="2018"/>
      <c r="L739" s="2018"/>
      <c r="M739" s="2018"/>
      <c r="N739" s="2018"/>
      <c r="O739" s="2018"/>
      <c r="P739" s="2018"/>
      <c r="Q739" s="2018"/>
      <c r="R739" s="2018"/>
      <c r="S739" s="2018"/>
      <c r="T739" s="2018"/>
      <c r="U739" s="2018"/>
      <c r="V739" s="2018"/>
      <c r="W739" s="2018"/>
      <c r="X739" s="2018"/>
      <c r="Y739" s="2018"/>
      <c r="Z739" s="2105">
        <v>13</v>
      </c>
      <c r="AA739" s="2105"/>
      <c r="AB739" s="1050">
        <v>2.25</v>
      </c>
      <c r="AC739" s="1050">
        <v>7</v>
      </c>
      <c r="AD739" s="1050">
        <f t="shared" si="16"/>
        <v>15.75</v>
      </c>
      <c r="AE739" s="1050">
        <v>1</v>
      </c>
      <c r="AF739" s="1052">
        <f t="shared" si="17"/>
        <v>15.75</v>
      </c>
    </row>
    <row r="740" spans="1:32" ht="15.75" x14ac:dyDescent="0.25">
      <c r="A740" s="2017"/>
      <c r="B740" s="2018"/>
      <c r="C740" s="2018"/>
      <c r="D740" s="2018"/>
      <c r="E740" s="2018"/>
      <c r="F740" s="2018"/>
      <c r="G740" s="2018"/>
      <c r="H740" s="2018"/>
      <c r="I740" s="2018"/>
      <c r="J740" s="2018"/>
      <c r="K740" s="2018"/>
      <c r="L740" s="2018"/>
      <c r="M740" s="2018"/>
      <c r="N740" s="2018"/>
      <c r="O740" s="2018"/>
      <c r="P740" s="2018"/>
      <c r="Q740" s="2018"/>
      <c r="R740" s="2018"/>
      <c r="S740" s="2018"/>
      <c r="T740" s="2018"/>
      <c r="U740" s="2018"/>
      <c r="V740" s="2018"/>
      <c r="W740" s="2018"/>
      <c r="X740" s="2018"/>
      <c r="Y740" s="2018"/>
      <c r="Z740" s="2105">
        <v>14</v>
      </c>
      <c r="AA740" s="2105"/>
      <c r="AB740" s="1050">
        <v>1.85</v>
      </c>
      <c r="AC740" s="1050">
        <v>9</v>
      </c>
      <c r="AD740" s="1050">
        <f t="shared" si="16"/>
        <v>16.650000000000002</v>
      </c>
      <c r="AE740" s="1050">
        <v>1</v>
      </c>
      <c r="AF740" s="1052">
        <f t="shared" si="17"/>
        <v>16.650000000000002</v>
      </c>
    </row>
    <row r="741" spans="1:32" ht="15.75" x14ac:dyDescent="0.25">
      <c r="A741" s="2017"/>
      <c r="B741" s="2018"/>
      <c r="C741" s="2018"/>
      <c r="D741" s="2018"/>
      <c r="E741" s="2018"/>
      <c r="F741" s="2018"/>
      <c r="G741" s="2018"/>
      <c r="H741" s="2018"/>
      <c r="I741" s="2018"/>
      <c r="J741" s="2018"/>
      <c r="K741" s="2018"/>
      <c r="L741" s="2018"/>
      <c r="M741" s="2018"/>
      <c r="N741" s="2018"/>
      <c r="O741" s="2018"/>
      <c r="P741" s="2018"/>
      <c r="Q741" s="2018"/>
      <c r="R741" s="2018"/>
      <c r="S741" s="2018"/>
      <c r="T741" s="2018"/>
      <c r="U741" s="2018"/>
      <c r="V741" s="2018"/>
      <c r="W741" s="2018"/>
      <c r="X741" s="2018"/>
      <c r="Y741" s="2018"/>
      <c r="Z741" s="2105">
        <v>15</v>
      </c>
      <c r="AA741" s="2105"/>
      <c r="AB741" s="1050">
        <v>5.35</v>
      </c>
      <c r="AC741" s="1050">
        <v>14</v>
      </c>
      <c r="AD741" s="1050">
        <f t="shared" si="16"/>
        <v>74.899999999999991</v>
      </c>
      <c r="AE741" s="1050">
        <v>1</v>
      </c>
      <c r="AF741" s="1052">
        <f t="shared" si="17"/>
        <v>74.899999999999991</v>
      </c>
    </row>
    <row r="742" spans="1:32" ht="15.75" x14ac:dyDescent="0.25">
      <c r="A742" s="2017"/>
      <c r="B742" s="2018"/>
      <c r="C742" s="2018"/>
      <c r="D742" s="2018"/>
      <c r="E742" s="2018"/>
      <c r="F742" s="2018"/>
      <c r="G742" s="2018"/>
      <c r="H742" s="2018"/>
      <c r="I742" s="2018"/>
      <c r="J742" s="2018"/>
      <c r="K742" s="2018"/>
      <c r="L742" s="2018"/>
      <c r="M742" s="2018"/>
      <c r="N742" s="2018"/>
      <c r="O742" s="2018"/>
      <c r="P742" s="2018"/>
      <c r="Q742" s="2018"/>
      <c r="R742" s="2018"/>
      <c r="S742" s="2018"/>
      <c r="T742" s="2018"/>
      <c r="U742" s="2018"/>
      <c r="V742" s="2018"/>
      <c r="W742" s="2018"/>
      <c r="X742" s="2018"/>
      <c r="Y742" s="2018"/>
      <c r="Z742" s="2105">
        <v>16</v>
      </c>
      <c r="AA742" s="2105"/>
      <c r="AB742" s="1050">
        <v>7.15</v>
      </c>
      <c r="AC742" s="1050">
        <v>5</v>
      </c>
      <c r="AD742" s="1050">
        <f t="shared" si="16"/>
        <v>35.75</v>
      </c>
      <c r="AE742" s="1050">
        <v>1</v>
      </c>
      <c r="AF742" s="1052">
        <f t="shared" si="17"/>
        <v>35.75</v>
      </c>
    </row>
    <row r="743" spans="1:32" ht="15.75" x14ac:dyDescent="0.25">
      <c r="A743" s="2017"/>
      <c r="B743" s="2018"/>
      <c r="C743" s="2018"/>
      <c r="D743" s="2018"/>
      <c r="E743" s="2018"/>
      <c r="F743" s="2018"/>
      <c r="G743" s="2018"/>
      <c r="H743" s="2018"/>
      <c r="I743" s="2018"/>
      <c r="J743" s="2018"/>
      <c r="K743" s="2018"/>
      <c r="L743" s="2018"/>
      <c r="M743" s="2018"/>
      <c r="N743" s="2018"/>
      <c r="O743" s="2018"/>
      <c r="P743" s="2018"/>
      <c r="Q743" s="2018"/>
      <c r="R743" s="2018"/>
      <c r="S743" s="2018"/>
      <c r="T743" s="2018"/>
      <c r="U743" s="2018"/>
      <c r="V743" s="2018"/>
      <c r="W743" s="2018"/>
      <c r="X743" s="2018"/>
      <c r="Y743" s="2018"/>
      <c r="Z743" s="2105">
        <v>17</v>
      </c>
      <c r="AA743" s="2105"/>
      <c r="AB743" s="1050">
        <v>2.5499999999999998</v>
      </c>
      <c r="AC743" s="1050">
        <v>32</v>
      </c>
      <c r="AD743" s="1050">
        <f t="shared" si="16"/>
        <v>81.599999999999994</v>
      </c>
      <c r="AE743" s="1050">
        <v>1</v>
      </c>
      <c r="AF743" s="1052">
        <f t="shared" si="17"/>
        <v>81.599999999999994</v>
      </c>
    </row>
    <row r="744" spans="1:32" ht="15.75" x14ac:dyDescent="0.25">
      <c r="A744" s="2017"/>
      <c r="B744" s="2018"/>
      <c r="C744" s="2018"/>
      <c r="D744" s="2018"/>
      <c r="E744" s="2018"/>
      <c r="F744" s="2018"/>
      <c r="G744" s="2018"/>
      <c r="H744" s="2018"/>
      <c r="I744" s="2018"/>
      <c r="J744" s="2018"/>
      <c r="K744" s="2018"/>
      <c r="L744" s="2018"/>
      <c r="M744" s="2018"/>
      <c r="N744" s="2018"/>
      <c r="O744" s="2018"/>
      <c r="P744" s="2018"/>
      <c r="Q744" s="2018"/>
      <c r="R744" s="2018"/>
      <c r="S744" s="2018"/>
      <c r="T744" s="2018"/>
      <c r="U744" s="2018"/>
      <c r="V744" s="2018"/>
      <c r="W744" s="2018"/>
      <c r="X744" s="2018"/>
      <c r="Y744" s="2018"/>
      <c r="Z744" s="2105" t="s">
        <v>2207</v>
      </c>
      <c r="AA744" s="2105"/>
      <c r="AB744" s="1050">
        <v>2.5499999999999998</v>
      </c>
      <c r="AC744" s="1050">
        <v>28</v>
      </c>
      <c r="AD744" s="1050">
        <f t="shared" si="16"/>
        <v>71.399999999999991</v>
      </c>
      <c r="AE744" s="1050">
        <v>1</v>
      </c>
      <c r="AF744" s="1052">
        <f t="shared" si="17"/>
        <v>71.399999999999991</v>
      </c>
    </row>
    <row r="745" spans="1:32" ht="15.75" x14ac:dyDescent="0.25">
      <c r="A745" s="2017"/>
      <c r="B745" s="2018"/>
      <c r="C745" s="2018"/>
      <c r="D745" s="2018"/>
      <c r="E745" s="2018"/>
      <c r="F745" s="2018"/>
      <c r="G745" s="2018"/>
      <c r="H745" s="2018"/>
      <c r="I745" s="2018"/>
      <c r="J745" s="2018"/>
      <c r="K745" s="2018"/>
      <c r="L745" s="2018"/>
      <c r="M745" s="2018"/>
      <c r="N745" s="2018"/>
      <c r="O745" s="2018"/>
      <c r="P745" s="2018"/>
      <c r="Q745" s="2018"/>
      <c r="R745" s="2018"/>
      <c r="S745" s="2018"/>
      <c r="T745" s="2018"/>
      <c r="U745" s="2018"/>
      <c r="V745" s="2018"/>
      <c r="W745" s="2018"/>
      <c r="X745" s="2018"/>
      <c r="Y745" s="2018"/>
      <c r="Z745" s="2105">
        <v>18</v>
      </c>
      <c r="AA745" s="2105"/>
      <c r="AB745" s="1050">
        <v>3.65</v>
      </c>
      <c r="AC745" s="1050">
        <v>40</v>
      </c>
      <c r="AD745" s="1050">
        <f t="shared" si="16"/>
        <v>146</v>
      </c>
      <c r="AE745" s="1050">
        <v>1</v>
      </c>
      <c r="AF745" s="1052">
        <f t="shared" si="17"/>
        <v>146</v>
      </c>
    </row>
    <row r="746" spans="1:32" ht="15.75" x14ac:dyDescent="0.25">
      <c r="A746" s="2017"/>
      <c r="B746" s="2018"/>
      <c r="C746" s="2018"/>
      <c r="D746" s="2018"/>
      <c r="E746" s="2018"/>
      <c r="F746" s="2018"/>
      <c r="G746" s="2018"/>
      <c r="H746" s="2018"/>
      <c r="I746" s="2018"/>
      <c r="J746" s="2018"/>
      <c r="K746" s="2018"/>
      <c r="L746" s="2018"/>
      <c r="M746" s="2018"/>
      <c r="N746" s="2018"/>
      <c r="O746" s="2018"/>
      <c r="P746" s="2018"/>
      <c r="Q746" s="2018"/>
      <c r="R746" s="2018"/>
      <c r="S746" s="2018"/>
      <c r="T746" s="2018"/>
      <c r="U746" s="2018"/>
      <c r="V746" s="2018"/>
      <c r="W746" s="2018"/>
      <c r="X746" s="2018"/>
      <c r="Y746" s="2018"/>
      <c r="Z746" s="2105" t="s">
        <v>2208</v>
      </c>
      <c r="AA746" s="2105"/>
      <c r="AB746" s="1050">
        <v>1.85</v>
      </c>
      <c r="AC746" s="1050">
        <v>10</v>
      </c>
      <c r="AD746" s="1050">
        <f t="shared" si="16"/>
        <v>18.5</v>
      </c>
      <c r="AE746" s="1050">
        <v>1</v>
      </c>
      <c r="AF746" s="1052">
        <f t="shared" si="17"/>
        <v>18.5</v>
      </c>
    </row>
    <row r="747" spans="1:32" ht="15.75" x14ac:dyDescent="0.25">
      <c r="A747" s="2017"/>
      <c r="B747" s="2018"/>
      <c r="C747" s="2018"/>
      <c r="D747" s="2018"/>
      <c r="E747" s="2018"/>
      <c r="F747" s="2018"/>
      <c r="G747" s="2018"/>
      <c r="H747" s="2018"/>
      <c r="I747" s="2018"/>
      <c r="J747" s="2018"/>
      <c r="K747" s="2018"/>
      <c r="L747" s="2018"/>
      <c r="M747" s="2018"/>
      <c r="N747" s="2018"/>
      <c r="O747" s="2018"/>
      <c r="P747" s="2018"/>
      <c r="Q747" s="2018"/>
      <c r="R747" s="2018"/>
      <c r="S747" s="2018"/>
      <c r="T747" s="2018"/>
      <c r="U747" s="2018"/>
      <c r="V747" s="2018"/>
      <c r="W747" s="2018"/>
      <c r="X747" s="2018"/>
      <c r="Y747" s="2018"/>
      <c r="Z747" s="2105" t="s">
        <v>2209</v>
      </c>
      <c r="AA747" s="2105"/>
      <c r="AB747" s="1050">
        <v>1.85</v>
      </c>
      <c r="AC747" s="1050">
        <v>16</v>
      </c>
      <c r="AD747" s="1050">
        <f t="shared" si="16"/>
        <v>29.6</v>
      </c>
      <c r="AE747" s="1050">
        <v>1</v>
      </c>
      <c r="AF747" s="1052">
        <f t="shared" si="17"/>
        <v>29.6</v>
      </c>
    </row>
    <row r="748" spans="1:32" ht="15.75" x14ac:dyDescent="0.25">
      <c r="A748" s="2017"/>
      <c r="B748" s="2018"/>
      <c r="C748" s="2018"/>
      <c r="D748" s="2018"/>
      <c r="E748" s="2018"/>
      <c r="F748" s="2018"/>
      <c r="G748" s="2018"/>
      <c r="H748" s="2018"/>
      <c r="I748" s="2018"/>
      <c r="J748" s="2018"/>
      <c r="K748" s="2018"/>
      <c r="L748" s="2018"/>
      <c r="M748" s="2018"/>
      <c r="N748" s="2018"/>
      <c r="O748" s="2018"/>
      <c r="P748" s="2018"/>
      <c r="Q748" s="2018"/>
      <c r="R748" s="2018"/>
      <c r="S748" s="2018"/>
      <c r="T748" s="2018"/>
      <c r="U748" s="2018"/>
      <c r="V748" s="2018"/>
      <c r="W748" s="2018"/>
      <c r="X748" s="2018"/>
      <c r="Y748" s="2018"/>
      <c r="Z748" s="2105">
        <v>19</v>
      </c>
      <c r="AA748" s="2105"/>
      <c r="AB748" s="1050">
        <v>3.65</v>
      </c>
      <c r="AC748" s="1050">
        <v>20</v>
      </c>
      <c r="AD748" s="1050">
        <f t="shared" si="16"/>
        <v>73</v>
      </c>
      <c r="AE748" s="1050">
        <v>1</v>
      </c>
      <c r="AF748" s="1052">
        <f t="shared" si="17"/>
        <v>73</v>
      </c>
    </row>
    <row r="749" spans="1:32" ht="15.75" x14ac:dyDescent="0.25">
      <c r="A749" s="2017"/>
      <c r="B749" s="2018"/>
      <c r="C749" s="2018"/>
      <c r="D749" s="2018"/>
      <c r="E749" s="2018"/>
      <c r="F749" s="2018"/>
      <c r="G749" s="2018"/>
      <c r="H749" s="2018"/>
      <c r="I749" s="2018"/>
      <c r="J749" s="2018"/>
      <c r="K749" s="2018"/>
      <c r="L749" s="2018"/>
      <c r="M749" s="2018"/>
      <c r="N749" s="2018"/>
      <c r="O749" s="2018"/>
      <c r="P749" s="2018"/>
      <c r="Q749" s="2018"/>
      <c r="R749" s="2018"/>
      <c r="S749" s="2018"/>
      <c r="T749" s="2018"/>
      <c r="U749" s="2018"/>
      <c r="V749" s="2018"/>
      <c r="W749" s="2018"/>
      <c r="X749" s="2018"/>
      <c r="Y749" s="2018"/>
      <c r="Z749" s="2105" t="s">
        <v>2210</v>
      </c>
      <c r="AA749" s="2105"/>
      <c r="AB749" s="1050">
        <v>1.85</v>
      </c>
      <c r="AC749" s="1050">
        <v>10</v>
      </c>
      <c r="AD749" s="1050">
        <f t="shared" si="16"/>
        <v>18.5</v>
      </c>
      <c r="AE749" s="1050">
        <v>1</v>
      </c>
      <c r="AF749" s="1052">
        <f t="shared" si="17"/>
        <v>18.5</v>
      </c>
    </row>
    <row r="750" spans="1:32" ht="15.75" x14ac:dyDescent="0.25">
      <c r="A750" s="2017"/>
      <c r="B750" s="2018"/>
      <c r="C750" s="2018"/>
      <c r="D750" s="2018"/>
      <c r="E750" s="2018"/>
      <c r="F750" s="2018"/>
      <c r="G750" s="2018"/>
      <c r="H750" s="2018"/>
      <c r="I750" s="2018"/>
      <c r="J750" s="2018"/>
      <c r="K750" s="2018"/>
      <c r="L750" s="2018"/>
      <c r="M750" s="2018"/>
      <c r="N750" s="2018"/>
      <c r="O750" s="2018"/>
      <c r="P750" s="2018"/>
      <c r="Q750" s="2018"/>
      <c r="R750" s="2018"/>
      <c r="S750" s="2018"/>
      <c r="T750" s="2018"/>
      <c r="U750" s="2018"/>
      <c r="V750" s="2018"/>
      <c r="W750" s="2018"/>
      <c r="X750" s="2018"/>
      <c r="Y750" s="2018"/>
      <c r="Z750" s="2105" t="s">
        <v>2211</v>
      </c>
      <c r="AA750" s="2105"/>
      <c r="AB750" s="1050">
        <v>1.85</v>
      </c>
      <c r="AC750" s="1050">
        <v>8</v>
      </c>
      <c r="AD750" s="1050">
        <f t="shared" si="16"/>
        <v>14.8</v>
      </c>
      <c r="AE750" s="1050">
        <v>1</v>
      </c>
      <c r="AF750" s="1052">
        <f t="shared" si="17"/>
        <v>14.8</v>
      </c>
    </row>
    <row r="751" spans="1:32" ht="15.75" x14ac:dyDescent="0.25">
      <c r="A751" s="2017"/>
      <c r="B751" s="2018"/>
      <c r="C751" s="2018"/>
      <c r="D751" s="2018"/>
      <c r="E751" s="2018"/>
      <c r="F751" s="2018"/>
      <c r="G751" s="2018"/>
      <c r="H751" s="2018"/>
      <c r="I751" s="2018"/>
      <c r="J751" s="2018"/>
      <c r="K751" s="2018"/>
      <c r="L751" s="2018"/>
      <c r="M751" s="2018"/>
      <c r="N751" s="2018"/>
      <c r="O751" s="2018"/>
      <c r="P751" s="2018"/>
      <c r="Q751" s="2018"/>
      <c r="R751" s="2018"/>
      <c r="S751" s="2018"/>
      <c r="T751" s="2018"/>
      <c r="U751" s="2018"/>
      <c r="V751" s="2018"/>
      <c r="W751" s="2018"/>
      <c r="X751" s="2018"/>
      <c r="Y751" s="2018"/>
      <c r="Z751" s="2105">
        <v>20</v>
      </c>
      <c r="AA751" s="2105"/>
      <c r="AB751" s="1050">
        <v>1.85</v>
      </c>
      <c r="AC751" s="1050">
        <v>16</v>
      </c>
      <c r="AD751" s="1050">
        <f t="shared" si="16"/>
        <v>29.6</v>
      </c>
      <c r="AE751" s="1050">
        <v>1</v>
      </c>
      <c r="AF751" s="1052">
        <f t="shared" si="17"/>
        <v>29.6</v>
      </c>
    </row>
    <row r="752" spans="1:32" ht="15.75" x14ac:dyDescent="0.25">
      <c r="A752" s="2017"/>
      <c r="B752" s="2018"/>
      <c r="C752" s="2018"/>
      <c r="D752" s="2018"/>
      <c r="E752" s="2018"/>
      <c r="F752" s="2018"/>
      <c r="G752" s="2018"/>
      <c r="H752" s="2018"/>
      <c r="I752" s="2018"/>
      <c r="J752" s="2018"/>
      <c r="K752" s="2018"/>
      <c r="L752" s="2018"/>
      <c r="M752" s="2018"/>
      <c r="N752" s="2018"/>
      <c r="O752" s="2018"/>
      <c r="P752" s="2018"/>
      <c r="Q752" s="2018"/>
      <c r="R752" s="2018"/>
      <c r="S752" s="2018"/>
      <c r="T752" s="2018"/>
      <c r="U752" s="2018"/>
      <c r="V752" s="2018"/>
      <c r="W752" s="2018"/>
      <c r="X752" s="2018"/>
      <c r="Y752" s="2018"/>
      <c r="Z752" s="2105">
        <v>21</v>
      </c>
      <c r="AA752" s="2105"/>
      <c r="AB752" s="1050">
        <v>3.65</v>
      </c>
      <c r="AC752" s="1050">
        <v>7</v>
      </c>
      <c r="AD752" s="1050">
        <f t="shared" si="16"/>
        <v>25.55</v>
      </c>
      <c r="AE752" s="1050">
        <v>1</v>
      </c>
      <c r="AF752" s="1052">
        <f t="shared" si="17"/>
        <v>25.55</v>
      </c>
    </row>
    <row r="753" spans="1:32" ht="15.75" x14ac:dyDescent="0.25">
      <c r="A753" s="2017"/>
      <c r="B753" s="2018"/>
      <c r="C753" s="2018"/>
      <c r="D753" s="2018"/>
      <c r="E753" s="2018"/>
      <c r="F753" s="2018"/>
      <c r="G753" s="2018"/>
      <c r="H753" s="2018"/>
      <c r="I753" s="2018"/>
      <c r="J753" s="2018"/>
      <c r="K753" s="2018"/>
      <c r="L753" s="2018"/>
      <c r="M753" s="2018"/>
      <c r="N753" s="2018"/>
      <c r="O753" s="2018"/>
      <c r="P753" s="2018"/>
      <c r="Q753" s="2018"/>
      <c r="R753" s="2018"/>
      <c r="S753" s="2018"/>
      <c r="T753" s="2018"/>
      <c r="U753" s="2018"/>
      <c r="V753" s="2018"/>
      <c r="W753" s="2018"/>
      <c r="X753" s="2018"/>
      <c r="Y753" s="2018"/>
      <c r="Z753" s="2105">
        <v>22</v>
      </c>
      <c r="AA753" s="2105"/>
      <c r="AB753" s="1050">
        <v>1.25</v>
      </c>
      <c r="AC753" s="1050">
        <v>12</v>
      </c>
      <c r="AD753" s="1050">
        <f t="shared" si="16"/>
        <v>15</v>
      </c>
      <c r="AE753" s="1050">
        <v>1</v>
      </c>
      <c r="AF753" s="1052">
        <f t="shared" si="17"/>
        <v>15</v>
      </c>
    </row>
    <row r="754" spans="1:32" ht="15.75" x14ac:dyDescent="0.25">
      <c r="A754" s="2017"/>
      <c r="B754" s="2018"/>
      <c r="C754" s="2018"/>
      <c r="D754" s="2018"/>
      <c r="E754" s="2018"/>
      <c r="F754" s="2018"/>
      <c r="G754" s="2018"/>
      <c r="H754" s="2018"/>
      <c r="I754" s="2018"/>
      <c r="J754" s="2018"/>
      <c r="K754" s="2018"/>
      <c r="L754" s="2018"/>
      <c r="M754" s="2018"/>
      <c r="N754" s="2018"/>
      <c r="O754" s="2018"/>
      <c r="P754" s="2018"/>
      <c r="Q754" s="2018"/>
      <c r="R754" s="2018"/>
      <c r="S754" s="2018"/>
      <c r="T754" s="2018"/>
      <c r="U754" s="2018"/>
      <c r="V754" s="2018"/>
      <c r="W754" s="2018"/>
      <c r="X754" s="2018"/>
      <c r="Y754" s="2018"/>
      <c r="Z754" s="2105">
        <v>23</v>
      </c>
      <c r="AA754" s="2105"/>
      <c r="AB754" s="1050">
        <v>2.0499999999999998</v>
      </c>
      <c r="AC754" s="1050">
        <v>7</v>
      </c>
      <c r="AD754" s="1050">
        <f t="shared" si="16"/>
        <v>14.349999999999998</v>
      </c>
      <c r="AE754" s="1050">
        <v>1</v>
      </c>
      <c r="AF754" s="1052">
        <f t="shared" si="17"/>
        <v>14.349999999999998</v>
      </c>
    </row>
    <row r="755" spans="1:32" ht="15.75" x14ac:dyDescent="0.25">
      <c r="A755" s="2017"/>
      <c r="B755" s="2018"/>
      <c r="C755" s="2018"/>
      <c r="D755" s="2018"/>
      <c r="E755" s="2018"/>
      <c r="F755" s="2018"/>
      <c r="G755" s="2018"/>
      <c r="H755" s="2018"/>
      <c r="I755" s="2018"/>
      <c r="J755" s="2018"/>
      <c r="K755" s="2018"/>
      <c r="L755" s="2018"/>
      <c r="M755" s="2018"/>
      <c r="N755" s="2018"/>
      <c r="O755" s="2018"/>
      <c r="P755" s="2018"/>
      <c r="Q755" s="2018"/>
      <c r="R755" s="2018"/>
      <c r="S755" s="2018"/>
      <c r="T755" s="2018"/>
      <c r="U755" s="2018"/>
      <c r="V755" s="2018"/>
      <c r="W755" s="2018"/>
      <c r="X755" s="2018"/>
      <c r="Y755" s="2018"/>
      <c r="Z755" s="2105">
        <v>24</v>
      </c>
      <c r="AA755" s="2105"/>
      <c r="AB755" s="1050">
        <v>4.55</v>
      </c>
      <c r="AC755" s="1050">
        <v>49</v>
      </c>
      <c r="AD755" s="1050">
        <f t="shared" si="16"/>
        <v>222.95</v>
      </c>
      <c r="AE755" s="1050">
        <v>1</v>
      </c>
      <c r="AF755" s="1052">
        <f t="shared" si="17"/>
        <v>222.95</v>
      </c>
    </row>
    <row r="756" spans="1:32" ht="15.75" x14ac:dyDescent="0.25">
      <c r="A756" s="2017"/>
      <c r="B756" s="2018"/>
      <c r="C756" s="2018"/>
      <c r="D756" s="2018"/>
      <c r="E756" s="2018"/>
      <c r="F756" s="2018"/>
      <c r="G756" s="2018"/>
      <c r="H756" s="2018"/>
      <c r="I756" s="2018"/>
      <c r="J756" s="2018"/>
      <c r="K756" s="2018"/>
      <c r="L756" s="2018"/>
      <c r="M756" s="2018"/>
      <c r="N756" s="2018"/>
      <c r="O756" s="2018"/>
      <c r="P756" s="2018"/>
      <c r="Q756" s="2018"/>
      <c r="R756" s="2018"/>
      <c r="S756" s="2018"/>
      <c r="T756" s="2018"/>
      <c r="U756" s="2018"/>
      <c r="V756" s="2018"/>
      <c r="W756" s="2018"/>
      <c r="X756" s="2018"/>
      <c r="Y756" s="2018"/>
      <c r="Z756" s="2105">
        <v>25</v>
      </c>
      <c r="AA756" s="2105"/>
      <c r="AB756" s="1050">
        <v>11.45</v>
      </c>
      <c r="AC756" s="1050">
        <v>28</v>
      </c>
      <c r="AD756" s="1050">
        <f t="shared" si="16"/>
        <v>320.59999999999997</v>
      </c>
      <c r="AE756" s="1050">
        <v>1</v>
      </c>
      <c r="AF756" s="1052">
        <f t="shared" si="17"/>
        <v>320.59999999999997</v>
      </c>
    </row>
    <row r="757" spans="1:32" ht="15.75" x14ac:dyDescent="0.25">
      <c r="A757" s="2017"/>
      <c r="B757" s="2018"/>
      <c r="C757" s="2018"/>
      <c r="D757" s="2018"/>
      <c r="E757" s="2018"/>
      <c r="F757" s="2018"/>
      <c r="G757" s="2018"/>
      <c r="H757" s="2018"/>
      <c r="I757" s="2018"/>
      <c r="J757" s="2018"/>
      <c r="K757" s="2018"/>
      <c r="L757" s="2018"/>
      <c r="M757" s="2018"/>
      <c r="N757" s="2018"/>
      <c r="O757" s="2018"/>
      <c r="P757" s="2018"/>
      <c r="Q757" s="2018"/>
      <c r="R757" s="2018"/>
      <c r="S757" s="2018"/>
      <c r="T757" s="2018"/>
      <c r="U757" s="2018"/>
      <c r="V757" s="2018"/>
      <c r="W757" s="2018"/>
      <c r="X757" s="2018"/>
      <c r="Y757" s="2018"/>
      <c r="Z757" s="2105">
        <v>26</v>
      </c>
      <c r="AA757" s="2105"/>
      <c r="AB757" s="1050">
        <v>1.85</v>
      </c>
      <c r="AC757" s="1050">
        <v>204</v>
      </c>
      <c r="AD757" s="1050">
        <f t="shared" si="16"/>
        <v>377.40000000000003</v>
      </c>
      <c r="AE757" s="1050">
        <v>1</v>
      </c>
      <c r="AF757" s="1052">
        <f t="shared" si="17"/>
        <v>377.40000000000003</v>
      </c>
    </row>
    <row r="758" spans="1:32" ht="15.75" x14ac:dyDescent="0.25">
      <c r="A758" s="2017"/>
      <c r="B758" s="2018"/>
      <c r="C758" s="2018"/>
      <c r="D758" s="2018"/>
      <c r="E758" s="2018"/>
      <c r="F758" s="2018"/>
      <c r="G758" s="2018"/>
      <c r="H758" s="2018"/>
      <c r="I758" s="2018"/>
      <c r="J758" s="2018"/>
      <c r="K758" s="2018"/>
      <c r="L758" s="2018"/>
      <c r="M758" s="2018"/>
      <c r="N758" s="2018"/>
      <c r="O758" s="2018"/>
      <c r="P758" s="2018"/>
      <c r="Q758" s="2018"/>
      <c r="R758" s="2018"/>
      <c r="S758" s="2018"/>
      <c r="T758" s="2018"/>
      <c r="U758" s="2018"/>
      <c r="V758" s="2018"/>
      <c r="W758" s="2018"/>
      <c r="X758" s="2018"/>
      <c r="Y758" s="2018"/>
      <c r="Z758" s="2105">
        <v>27</v>
      </c>
      <c r="AA758" s="2105"/>
      <c r="AB758" s="1050">
        <v>11.45</v>
      </c>
      <c r="AC758" s="1050">
        <v>20</v>
      </c>
      <c r="AD758" s="1050">
        <f t="shared" si="16"/>
        <v>229</v>
      </c>
      <c r="AE758" s="1050">
        <v>1</v>
      </c>
      <c r="AF758" s="1052">
        <f t="shared" si="17"/>
        <v>229</v>
      </c>
    </row>
    <row r="759" spans="1:32" ht="15.75" x14ac:dyDescent="0.25">
      <c r="A759" s="2017"/>
      <c r="B759" s="2018"/>
      <c r="C759" s="2018"/>
      <c r="D759" s="2018"/>
      <c r="E759" s="2018"/>
      <c r="F759" s="2018"/>
      <c r="G759" s="2018"/>
      <c r="H759" s="2018"/>
      <c r="I759" s="2018"/>
      <c r="J759" s="2018"/>
      <c r="K759" s="2018"/>
      <c r="L759" s="2018"/>
      <c r="M759" s="2018"/>
      <c r="N759" s="2018"/>
      <c r="O759" s="2018"/>
      <c r="P759" s="2018"/>
      <c r="Q759" s="2018"/>
      <c r="R759" s="2018"/>
      <c r="S759" s="2018"/>
      <c r="T759" s="2018"/>
      <c r="U759" s="2018"/>
      <c r="V759" s="2018"/>
      <c r="W759" s="2018"/>
      <c r="X759" s="2018"/>
      <c r="Y759" s="2018"/>
      <c r="Z759" s="2105">
        <v>28</v>
      </c>
      <c r="AA759" s="2105"/>
      <c r="AB759" s="1050">
        <v>2.4500000000000002</v>
      </c>
      <c r="AC759" s="1050">
        <v>51</v>
      </c>
      <c r="AD759" s="1050">
        <f t="shared" si="16"/>
        <v>124.95</v>
      </c>
      <c r="AE759" s="1050">
        <v>1</v>
      </c>
      <c r="AF759" s="1052">
        <f t="shared" si="17"/>
        <v>124.95</v>
      </c>
    </row>
    <row r="760" spans="1:32" ht="15.75" x14ac:dyDescent="0.25">
      <c r="A760" s="2017"/>
      <c r="B760" s="2018"/>
      <c r="C760" s="2018"/>
      <c r="D760" s="2018"/>
      <c r="E760" s="2018"/>
      <c r="F760" s="2018"/>
      <c r="G760" s="2018"/>
      <c r="H760" s="2018"/>
      <c r="I760" s="2018"/>
      <c r="J760" s="2018"/>
      <c r="K760" s="2018"/>
      <c r="L760" s="2018"/>
      <c r="M760" s="2018"/>
      <c r="N760" s="2018"/>
      <c r="O760" s="2018"/>
      <c r="P760" s="2018"/>
      <c r="Q760" s="2018"/>
      <c r="R760" s="2018"/>
      <c r="S760" s="2018"/>
      <c r="T760" s="2018"/>
      <c r="U760" s="2018"/>
      <c r="V760" s="2018"/>
      <c r="W760" s="2018"/>
      <c r="X760" s="2018"/>
      <c r="Y760" s="2018"/>
      <c r="Z760" s="2105">
        <v>29</v>
      </c>
      <c r="AA760" s="2105"/>
      <c r="AB760" s="1050">
        <v>0.88</v>
      </c>
      <c r="AC760" s="1050">
        <v>9</v>
      </c>
      <c r="AD760" s="1050">
        <f t="shared" si="16"/>
        <v>7.92</v>
      </c>
      <c r="AE760" s="1050">
        <v>0.56000000000000005</v>
      </c>
      <c r="AF760" s="1052">
        <f t="shared" si="17"/>
        <v>4.4352</v>
      </c>
    </row>
    <row r="761" spans="1:32" ht="15.75" x14ac:dyDescent="0.25">
      <c r="A761" s="2017"/>
      <c r="B761" s="2018"/>
      <c r="C761" s="2018"/>
      <c r="D761" s="2018"/>
      <c r="E761" s="2018"/>
      <c r="F761" s="2018"/>
      <c r="G761" s="2018"/>
      <c r="H761" s="2018"/>
      <c r="I761" s="2018"/>
      <c r="J761" s="2018"/>
      <c r="K761" s="2018"/>
      <c r="L761" s="2018"/>
      <c r="M761" s="2018"/>
      <c r="N761" s="2018"/>
      <c r="O761" s="2018"/>
      <c r="P761" s="2018"/>
      <c r="Q761" s="2018"/>
      <c r="R761" s="2018"/>
      <c r="S761" s="2018"/>
      <c r="T761" s="2018"/>
      <c r="U761" s="2018"/>
      <c r="V761" s="2018"/>
      <c r="W761" s="2018"/>
      <c r="X761" s="2018"/>
      <c r="Y761" s="2018"/>
      <c r="Z761" s="2105">
        <v>30</v>
      </c>
      <c r="AA761" s="2105"/>
      <c r="AB761" s="1050">
        <v>2.0499999999999998</v>
      </c>
      <c r="AC761" s="1050">
        <v>4</v>
      </c>
      <c r="AD761" s="1050">
        <f t="shared" si="16"/>
        <v>8.1999999999999993</v>
      </c>
      <c r="AE761" s="1050">
        <v>1</v>
      </c>
      <c r="AF761" s="1052">
        <f t="shared" si="17"/>
        <v>8.1999999999999993</v>
      </c>
    </row>
    <row r="762" spans="1:32" ht="15.75" x14ac:dyDescent="0.25">
      <c r="A762" s="2017"/>
      <c r="B762" s="2018"/>
      <c r="C762" s="2018"/>
      <c r="D762" s="2018"/>
      <c r="E762" s="2018"/>
      <c r="F762" s="2018"/>
      <c r="G762" s="2018"/>
      <c r="H762" s="2018"/>
      <c r="I762" s="2018"/>
      <c r="J762" s="2018"/>
      <c r="K762" s="2018"/>
      <c r="L762" s="2018"/>
      <c r="M762" s="2018"/>
      <c r="N762" s="2018"/>
      <c r="O762" s="2018"/>
      <c r="P762" s="2018"/>
      <c r="Q762" s="2018"/>
      <c r="R762" s="2018"/>
      <c r="S762" s="2018"/>
      <c r="T762" s="2018"/>
      <c r="U762" s="2018"/>
      <c r="V762" s="2018"/>
      <c r="W762" s="2018"/>
      <c r="X762" s="2018"/>
      <c r="Y762" s="2018"/>
      <c r="Z762" s="2105">
        <v>31</v>
      </c>
      <c r="AA762" s="2105"/>
      <c r="AB762" s="1050">
        <v>1.5</v>
      </c>
      <c r="AC762" s="1050">
        <v>28</v>
      </c>
      <c r="AD762" s="1050">
        <f t="shared" si="16"/>
        <v>42</v>
      </c>
      <c r="AE762" s="1050">
        <v>1</v>
      </c>
      <c r="AF762" s="1052">
        <f t="shared" si="17"/>
        <v>42</v>
      </c>
    </row>
    <row r="763" spans="1:32" ht="15.75" x14ac:dyDescent="0.25">
      <c r="A763" s="2017"/>
      <c r="B763" s="2018"/>
      <c r="C763" s="2018"/>
      <c r="D763" s="2018"/>
      <c r="E763" s="2018"/>
      <c r="F763" s="2018"/>
      <c r="G763" s="2018"/>
      <c r="H763" s="2018"/>
      <c r="I763" s="2018"/>
      <c r="J763" s="2018"/>
      <c r="K763" s="2018"/>
      <c r="L763" s="2018"/>
      <c r="M763" s="2018"/>
      <c r="N763" s="2018"/>
      <c r="O763" s="2018"/>
      <c r="P763" s="2018"/>
      <c r="Q763" s="2018"/>
      <c r="R763" s="2018"/>
      <c r="S763" s="2018"/>
      <c r="T763" s="2018"/>
      <c r="U763" s="2018"/>
      <c r="V763" s="2018"/>
      <c r="W763" s="2018"/>
      <c r="X763" s="2018"/>
      <c r="Y763" s="2018"/>
      <c r="Z763" s="2105">
        <v>32</v>
      </c>
      <c r="AA763" s="2105"/>
      <c r="AB763" s="1050">
        <v>4.05</v>
      </c>
      <c r="AC763" s="1050">
        <v>11</v>
      </c>
      <c r="AD763" s="1050">
        <f t="shared" si="16"/>
        <v>44.55</v>
      </c>
      <c r="AE763" s="1050">
        <v>1</v>
      </c>
      <c r="AF763" s="1052">
        <f t="shared" si="17"/>
        <v>44.55</v>
      </c>
    </row>
    <row r="764" spans="1:32" ht="15.75" x14ac:dyDescent="0.25">
      <c r="A764" s="2017"/>
      <c r="B764" s="2018"/>
      <c r="C764" s="2018"/>
      <c r="D764" s="2018"/>
      <c r="E764" s="2018"/>
      <c r="F764" s="2018"/>
      <c r="G764" s="2018"/>
      <c r="H764" s="2018"/>
      <c r="I764" s="2018"/>
      <c r="J764" s="2018"/>
      <c r="K764" s="2018"/>
      <c r="L764" s="2018"/>
      <c r="M764" s="2018"/>
      <c r="N764" s="2018"/>
      <c r="O764" s="2018"/>
      <c r="P764" s="2018"/>
      <c r="Q764" s="2018"/>
      <c r="R764" s="2018"/>
      <c r="S764" s="2018"/>
      <c r="T764" s="2018"/>
      <c r="U764" s="2018"/>
      <c r="V764" s="2018"/>
      <c r="W764" s="2018"/>
      <c r="X764" s="2018"/>
      <c r="Y764" s="2018"/>
      <c r="Z764" s="2105">
        <v>33</v>
      </c>
      <c r="AA764" s="2105"/>
      <c r="AB764" s="1050">
        <v>6.2</v>
      </c>
      <c r="AC764" s="1050">
        <v>19</v>
      </c>
      <c r="AD764" s="1050">
        <f t="shared" si="16"/>
        <v>117.8</v>
      </c>
      <c r="AE764" s="1050">
        <v>1</v>
      </c>
      <c r="AF764" s="1052">
        <f t="shared" si="17"/>
        <v>117.8</v>
      </c>
    </row>
    <row r="765" spans="1:32" ht="15.75" x14ac:dyDescent="0.25">
      <c r="A765" s="2017"/>
      <c r="B765" s="2018"/>
      <c r="C765" s="2018"/>
      <c r="D765" s="2018"/>
      <c r="E765" s="2018"/>
      <c r="F765" s="2018"/>
      <c r="G765" s="2018"/>
      <c r="H765" s="2018"/>
      <c r="I765" s="2018"/>
      <c r="J765" s="2018"/>
      <c r="K765" s="2018"/>
      <c r="L765" s="2018"/>
      <c r="M765" s="2018"/>
      <c r="N765" s="2018"/>
      <c r="O765" s="2018"/>
      <c r="P765" s="2018"/>
      <c r="Q765" s="2018"/>
      <c r="R765" s="2018"/>
      <c r="S765" s="2018"/>
      <c r="T765" s="2018"/>
      <c r="U765" s="2018"/>
      <c r="V765" s="2018"/>
      <c r="W765" s="2018"/>
      <c r="X765" s="2018"/>
      <c r="Y765" s="2018"/>
      <c r="Z765" s="2105">
        <v>34</v>
      </c>
      <c r="AA765" s="2105"/>
      <c r="AB765" s="1050">
        <v>8.75</v>
      </c>
      <c r="AC765" s="1050">
        <v>6</v>
      </c>
      <c r="AD765" s="1050">
        <f t="shared" si="16"/>
        <v>52.5</v>
      </c>
      <c r="AE765" s="1050">
        <v>1</v>
      </c>
      <c r="AF765" s="1052">
        <f t="shared" si="17"/>
        <v>52.5</v>
      </c>
    </row>
    <row r="766" spans="1:32" ht="15.75" x14ac:dyDescent="0.25">
      <c r="A766" s="2017"/>
      <c r="B766" s="2018"/>
      <c r="C766" s="2018"/>
      <c r="D766" s="2018"/>
      <c r="E766" s="2018"/>
      <c r="F766" s="2018"/>
      <c r="G766" s="2018"/>
      <c r="H766" s="2018"/>
      <c r="I766" s="2018"/>
      <c r="J766" s="2018"/>
      <c r="K766" s="2018"/>
      <c r="L766" s="2018"/>
      <c r="M766" s="2018"/>
      <c r="N766" s="2018"/>
      <c r="O766" s="2018"/>
      <c r="P766" s="2018"/>
      <c r="Q766" s="2018"/>
      <c r="R766" s="2018"/>
      <c r="S766" s="2018"/>
      <c r="T766" s="2018"/>
      <c r="U766" s="2018"/>
      <c r="V766" s="2018"/>
      <c r="W766" s="2018"/>
      <c r="X766" s="2018"/>
      <c r="Y766" s="2018"/>
      <c r="Z766" s="2105">
        <v>35</v>
      </c>
      <c r="AA766" s="2105"/>
      <c r="AB766" s="1050">
        <v>2.8</v>
      </c>
      <c r="AC766" s="1050">
        <v>42</v>
      </c>
      <c r="AD766" s="1050">
        <f t="shared" si="16"/>
        <v>117.6</v>
      </c>
      <c r="AE766" s="1050">
        <v>1</v>
      </c>
      <c r="AF766" s="1052">
        <f t="shared" si="17"/>
        <v>117.6</v>
      </c>
    </row>
    <row r="767" spans="1:32" ht="15.75" x14ac:dyDescent="0.25">
      <c r="A767" s="2017"/>
      <c r="B767" s="2018"/>
      <c r="C767" s="2018"/>
      <c r="D767" s="2018"/>
      <c r="E767" s="2018"/>
      <c r="F767" s="2018"/>
      <c r="G767" s="2018"/>
      <c r="H767" s="2018"/>
      <c r="I767" s="2018"/>
      <c r="J767" s="2018"/>
      <c r="K767" s="2018"/>
      <c r="L767" s="2018"/>
      <c r="M767" s="2018"/>
      <c r="N767" s="2018"/>
      <c r="O767" s="2018"/>
      <c r="P767" s="2018"/>
      <c r="Q767" s="2018"/>
      <c r="R767" s="2018"/>
      <c r="S767" s="2018"/>
      <c r="T767" s="2018"/>
      <c r="U767" s="2018"/>
      <c r="V767" s="2018"/>
      <c r="W767" s="2018"/>
      <c r="X767" s="2018"/>
      <c r="Y767" s="2018"/>
      <c r="Z767" s="2105" t="s">
        <v>2212</v>
      </c>
      <c r="AA767" s="2105"/>
      <c r="AB767" s="1050">
        <v>2.8</v>
      </c>
      <c r="AC767" s="1050">
        <v>48</v>
      </c>
      <c r="AD767" s="1050">
        <f t="shared" si="16"/>
        <v>134.39999999999998</v>
      </c>
      <c r="AE767" s="1050">
        <v>1</v>
      </c>
      <c r="AF767" s="1052">
        <f t="shared" si="17"/>
        <v>134.39999999999998</v>
      </c>
    </row>
    <row r="768" spans="1:32" ht="15.75" x14ac:dyDescent="0.25">
      <c r="A768" s="2017"/>
      <c r="B768" s="2018"/>
      <c r="C768" s="2018"/>
      <c r="D768" s="2018"/>
      <c r="E768" s="2018"/>
      <c r="F768" s="2018"/>
      <c r="G768" s="2018"/>
      <c r="H768" s="2018"/>
      <c r="I768" s="2018"/>
      <c r="J768" s="2018"/>
      <c r="K768" s="2018"/>
      <c r="L768" s="2018"/>
      <c r="M768" s="2018"/>
      <c r="N768" s="2018"/>
      <c r="O768" s="2018"/>
      <c r="P768" s="2018"/>
      <c r="Q768" s="2018"/>
      <c r="R768" s="2018"/>
      <c r="S768" s="2018"/>
      <c r="T768" s="2018"/>
      <c r="U768" s="2018"/>
      <c r="V768" s="2018"/>
      <c r="W768" s="2018"/>
      <c r="X768" s="2018"/>
      <c r="Y768" s="2018"/>
      <c r="Z768" s="2105">
        <v>36</v>
      </c>
      <c r="AA768" s="2105"/>
      <c r="AB768" s="1050">
        <v>4.75</v>
      </c>
      <c r="AC768" s="1050">
        <v>22</v>
      </c>
      <c r="AD768" s="1050">
        <f t="shared" si="16"/>
        <v>104.5</v>
      </c>
      <c r="AE768" s="1050">
        <v>1</v>
      </c>
      <c r="AF768" s="1052">
        <f t="shared" si="17"/>
        <v>104.5</v>
      </c>
    </row>
    <row r="769" spans="1:32" ht="15.75" x14ac:dyDescent="0.25">
      <c r="A769" s="2017"/>
      <c r="B769" s="2018"/>
      <c r="C769" s="2018"/>
      <c r="D769" s="2018"/>
      <c r="E769" s="2018"/>
      <c r="F769" s="2018"/>
      <c r="G769" s="2018"/>
      <c r="H769" s="2018"/>
      <c r="I769" s="2018"/>
      <c r="J769" s="2018"/>
      <c r="K769" s="2018"/>
      <c r="L769" s="2018"/>
      <c r="M769" s="2018"/>
      <c r="N769" s="2018"/>
      <c r="O769" s="2018"/>
      <c r="P769" s="2018"/>
      <c r="Q769" s="2018"/>
      <c r="R769" s="2018"/>
      <c r="S769" s="2018"/>
      <c r="T769" s="2018"/>
      <c r="U769" s="2018"/>
      <c r="V769" s="2018"/>
      <c r="W769" s="2018"/>
      <c r="X769" s="2018"/>
      <c r="Y769" s="2018"/>
      <c r="Z769" s="2105" t="s">
        <v>2213</v>
      </c>
      <c r="AA769" s="2105"/>
      <c r="AB769" s="1050">
        <v>2.2000000000000002</v>
      </c>
      <c r="AC769" s="1050">
        <v>33</v>
      </c>
      <c r="AD769" s="1050">
        <f t="shared" si="16"/>
        <v>72.600000000000009</v>
      </c>
      <c r="AE769" s="1050">
        <v>1</v>
      </c>
      <c r="AF769" s="1052">
        <f t="shared" si="17"/>
        <v>72.600000000000009</v>
      </c>
    </row>
    <row r="770" spans="1:32" ht="15.75" x14ac:dyDescent="0.25">
      <c r="A770" s="2017"/>
      <c r="B770" s="2018"/>
      <c r="C770" s="2018"/>
      <c r="D770" s="2018"/>
      <c r="E770" s="2018"/>
      <c r="F770" s="2018"/>
      <c r="G770" s="2018"/>
      <c r="H770" s="2018"/>
      <c r="I770" s="2018"/>
      <c r="J770" s="2018"/>
      <c r="K770" s="2018"/>
      <c r="L770" s="2018"/>
      <c r="M770" s="2018"/>
      <c r="N770" s="2018"/>
      <c r="O770" s="2018"/>
      <c r="P770" s="2018"/>
      <c r="Q770" s="2018"/>
      <c r="R770" s="2018"/>
      <c r="S770" s="2018"/>
      <c r="T770" s="2018"/>
      <c r="U770" s="2018"/>
      <c r="V770" s="2018"/>
      <c r="W770" s="2018"/>
      <c r="X770" s="2018"/>
      <c r="Y770" s="2018"/>
      <c r="Z770" s="2105" t="s">
        <v>2214</v>
      </c>
      <c r="AA770" s="2105"/>
      <c r="AB770" s="1050">
        <v>2.2000000000000002</v>
      </c>
      <c r="AC770" s="1050">
        <v>11</v>
      </c>
      <c r="AD770" s="1050">
        <f t="shared" si="16"/>
        <v>24.200000000000003</v>
      </c>
      <c r="AE770" s="1050">
        <v>1</v>
      </c>
      <c r="AF770" s="1052">
        <f t="shared" si="17"/>
        <v>24.200000000000003</v>
      </c>
    </row>
    <row r="771" spans="1:32" ht="15.75" x14ac:dyDescent="0.25">
      <c r="A771" s="2017"/>
      <c r="B771" s="2018"/>
      <c r="C771" s="2018"/>
      <c r="D771" s="2018"/>
      <c r="E771" s="2018"/>
      <c r="F771" s="2018"/>
      <c r="G771" s="2018"/>
      <c r="H771" s="2018"/>
      <c r="I771" s="2018"/>
      <c r="J771" s="2018"/>
      <c r="K771" s="2018"/>
      <c r="L771" s="2018"/>
      <c r="M771" s="2018"/>
      <c r="N771" s="2018"/>
      <c r="O771" s="2018"/>
      <c r="P771" s="2018"/>
      <c r="Q771" s="2018"/>
      <c r="R771" s="2018"/>
      <c r="S771" s="2018"/>
      <c r="T771" s="2018"/>
      <c r="U771" s="2018"/>
      <c r="V771" s="2018"/>
      <c r="W771" s="2018"/>
      <c r="X771" s="2018"/>
      <c r="Y771" s="2018"/>
      <c r="Z771" s="2105">
        <v>37</v>
      </c>
      <c r="AA771" s="2105"/>
      <c r="AB771" s="1050">
        <v>4.75</v>
      </c>
      <c r="AC771" s="1050">
        <v>22</v>
      </c>
      <c r="AD771" s="1050">
        <f t="shared" si="16"/>
        <v>104.5</v>
      </c>
      <c r="AE771" s="1050">
        <v>1</v>
      </c>
      <c r="AF771" s="1052">
        <f t="shared" si="17"/>
        <v>104.5</v>
      </c>
    </row>
    <row r="772" spans="1:32" ht="15.75" x14ac:dyDescent="0.25">
      <c r="A772" s="2017"/>
      <c r="B772" s="2018"/>
      <c r="C772" s="2018"/>
      <c r="D772" s="2018"/>
      <c r="E772" s="2018"/>
      <c r="F772" s="2018"/>
      <c r="G772" s="2018"/>
      <c r="H772" s="2018"/>
      <c r="I772" s="2018"/>
      <c r="J772" s="2018"/>
      <c r="K772" s="2018"/>
      <c r="L772" s="2018"/>
      <c r="M772" s="2018"/>
      <c r="N772" s="2018"/>
      <c r="O772" s="2018"/>
      <c r="P772" s="2018"/>
      <c r="Q772" s="2018"/>
      <c r="R772" s="2018"/>
      <c r="S772" s="2018"/>
      <c r="T772" s="2018"/>
      <c r="U772" s="2018"/>
      <c r="V772" s="2018"/>
      <c r="W772" s="2018"/>
      <c r="X772" s="2018"/>
      <c r="Y772" s="2018"/>
      <c r="Z772" s="2105" t="s">
        <v>2215</v>
      </c>
      <c r="AA772" s="2105"/>
      <c r="AB772" s="1050">
        <v>2.2000000000000002</v>
      </c>
      <c r="AC772" s="1050">
        <v>33</v>
      </c>
      <c r="AD772" s="1050">
        <f t="shared" si="16"/>
        <v>72.600000000000009</v>
      </c>
      <c r="AE772" s="1050">
        <v>1</v>
      </c>
      <c r="AF772" s="1052">
        <f t="shared" si="17"/>
        <v>72.600000000000009</v>
      </c>
    </row>
    <row r="773" spans="1:32" ht="15.75" x14ac:dyDescent="0.25">
      <c r="A773" s="2017"/>
      <c r="B773" s="2018"/>
      <c r="C773" s="2018"/>
      <c r="D773" s="2018"/>
      <c r="E773" s="2018"/>
      <c r="F773" s="2018"/>
      <c r="G773" s="2018"/>
      <c r="H773" s="2018"/>
      <c r="I773" s="2018"/>
      <c r="J773" s="2018"/>
      <c r="K773" s="2018"/>
      <c r="L773" s="2018"/>
      <c r="M773" s="2018"/>
      <c r="N773" s="2018"/>
      <c r="O773" s="2018"/>
      <c r="P773" s="2018"/>
      <c r="Q773" s="2018"/>
      <c r="R773" s="2018"/>
      <c r="S773" s="2018"/>
      <c r="T773" s="2018"/>
      <c r="U773" s="2018"/>
      <c r="V773" s="2018"/>
      <c r="W773" s="2018"/>
      <c r="X773" s="2018"/>
      <c r="Y773" s="2018"/>
      <c r="Z773" s="2105" t="s">
        <v>2216</v>
      </c>
      <c r="AA773" s="2105"/>
      <c r="AB773" s="1050">
        <v>2.2000000000000002</v>
      </c>
      <c r="AC773" s="1050">
        <v>8</v>
      </c>
      <c r="AD773" s="1050">
        <f t="shared" si="16"/>
        <v>17.600000000000001</v>
      </c>
      <c r="AE773" s="1050">
        <v>1</v>
      </c>
      <c r="AF773" s="1052">
        <f t="shared" si="17"/>
        <v>17.600000000000001</v>
      </c>
    </row>
    <row r="774" spans="1:32" ht="15.75" x14ac:dyDescent="0.25">
      <c r="A774" s="2017"/>
      <c r="B774" s="2018"/>
      <c r="C774" s="2018"/>
      <c r="D774" s="2018"/>
      <c r="E774" s="2018"/>
      <c r="F774" s="2018"/>
      <c r="G774" s="2018"/>
      <c r="H774" s="2018"/>
      <c r="I774" s="2018"/>
      <c r="J774" s="2018"/>
      <c r="K774" s="2018"/>
      <c r="L774" s="2018"/>
      <c r="M774" s="2018"/>
      <c r="N774" s="2018"/>
      <c r="O774" s="2018"/>
      <c r="P774" s="2018"/>
      <c r="Q774" s="2018"/>
      <c r="R774" s="2018"/>
      <c r="S774" s="2018"/>
      <c r="T774" s="2018"/>
      <c r="U774" s="2018"/>
      <c r="V774" s="2018"/>
      <c r="W774" s="2018"/>
      <c r="X774" s="2018"/>
      <c r="Y774" s="2018"/>
      <c r="Z774" s="2105">
        <v>38</v>
      </c>
      <c r="AA774" s="2105"/>
      <c r="AB774" s="1050">
        <v>2.2000000000000002</v>
      </c>
      <c r="AC774" s="1050">
        <v>21</v>
      </c>
      <c r="AD774" s="1050">
        <f t="shared" si="16"/>
        <v>46.2</v>
      </c>
      <c r="AE774" s="1050">
        <v>1</v>
      </c>
      <c r="AF774" s="1052">
        <f t="shared" si="17"/>
        <v>46.2</v>
      </c>
    </row>
    <row r="775" spans="1:32" ht="16.5" thickBot="1" x14ac:dyDescent="0.3">
      <c r="A775" s="2019"/>
      <c r="B775" s="2020"/>
      <c r="C775" s="2020"/>
      <c r="D775" s="2020"/>
      <c r="E775" s="2020"/>
      <c r="F775" s="2020"/>
      <c r="G775" s="2020"/>
      <c r="H775" s="2020"/>
      <c r="I775" s="2020"/>
      <c r="J775" s="2020"/>
      <c r="K775" s="2020"/>
      <c r="L775" s="2020"/>
      <c r="M775" s="2020"/>
      <c r="N775" s="2020"/>
      <c r="O775" s="2020"/>
      <c r="P775" s="2020"/>
      <c r="Q775" s="2020"/>
      <c r="R775" s="2020"/>
      <c r="S775" s="2020"/>
      <c r="T775" s="2020"/>
      <c r="U775" s="2020"/>
      <c r="V775" s="2020"/>
      <c r="W775" s="2020"/>
      <c r="X775" s="2020"/>
      <c r="Y775" s="2020"/>
      <c r="Z775" s="2105">
        <v>39</v>
      </c>
      <c r="AA775" s="2105"/>
      <c r="AB775" s="1050">
        <v>4.75</v>
      </c>
      <c r="AC775" s="1050">
        <v>8</v>
      </c>
      <c r="AD775" s="1050">
        <f t="shared" si="16"/>
        <v>38</v>
      </c>
      <c r="AE775" s="1050">
        <v>1</v>
      </c>
      <c r="AF775" s="1052">
        <f t="shared" si="17"/>
        <v>38</v>
      </c>
    </row>
    <row r="776" spans="1:32" ht="15.75" x14ac:dyDescent="0.25">
      <c r="A776" s="2009" t="s">
        <v>2220</v>
      </c>
      <c r="B776" s="2010"/>
      <c r="C776" s="2010"/>
      <c r="D776" s="2010"/>
      <c r="E776" s="2010"/>
      <c r="F776" s="2010"/>
      <c r="G776" s="2010"/>
      <c r="H776" s="2010"/>
      <c r="I776" s="2010"/>
      <c r="J776" s="2010"/>
      <c r="K776" s="2010"/>
      <c r="L776" s="2010"/>
      <c r="M776" s="2010"/>
      <c r="N776" s="2010"/>
      <c r="O776" s="2010"/>
      <c r="P776" s="2010"/>
      <c r="Q776" s="2010"/>
      <c r="R776" s="2010"/>
      <c r="S776" s="2010"/>
      <c r="T776" s="2010"/>
      <c r="U776" s="2010"/>
      <c r="V776" s="2010"/>
      <c r="W776" s="2010"/>
      <c r="X776" s="2010"/>
      <c r="Y776" s="2010"/>
      <c r="Z776" s="2013" t="s">
        <v>1850</v>
      </c>
      <c r="AA776" s="2013"/>
      <c r="AB776" s="2013"/>
      <c r="AC776" s="2013"/>
      <c r="AD776" s="2013"/>
      <c r="AE776" s="2013"/>
      <c r="AF776" s="1059">
        <f>SUM(AF725:AF775)</f>
        <v>3237.9351999999994</v>
      </c>
    </row>
    <row r="777" spans="1:32" ht="15.75" x14ac:dyDescent="0.25">
      <c r="A777" s="2011"/>
      <c r="B777" s="2012"/>
      <c r="C777" s="2012"/>
      <c r="D777" s="2012"/>
      <c r="E777" s="2012"/>
      <c r="F777" s="2012"/>
      <c r="G777" s="2012"/>
      <c r="H777" s="2012"/>
      <c r="I777" s="2012"/>
      <c r="J777" s="2012"/>
      <c r="K777" s="2012"/>
      <c r="L777" s="2012"/>
      <c r="M777" s="2012"/>
      <c r="N777" s="2012"/>
      <c r="O777" s="2012"/>
      <c r="P777" s="2012"/>
      <c r="Q777" s="2012"/>
      <c r="R777" s="2012"/>
      <c r="S777" s="2012"/>
      <c r="T777" s="2012"/>
      <c r="U777" s="2012"/>
      <c r="V777" s="2012"/>
      <c r="W777" s="2012"/>
      <c r="X777" s="2012"/>
      <c r="Y777" s="2012"/>
      <c r="Z777" s="2014"/>
      <c r="AA777" s="2014"/>
      <c r="AB777" s="2014"/>
      <c r="AC777" s="2014"/>
      <c r="AD777" s="2014"/>
      <c r="AE777" s="2014"/>
      <c r="AF777" s="1144"/>
    </row>
    <row r="778" spans="1:32" ht="15.75" x14ac:dyDescent="0.25">
      <c r="A778" s="2011"/>
      <c r="B778" s="2012"/>
      <c r="C778" s="2012"/>
      <c r="D778" s="2012"/>
      <c r="E778" s="2012"/>
      <c r="F778" s="2012"/>
      <c r="G778" s="2012"/>
      <c r="H778" s="2012"/>
      <c r="I778" s="2012"/>
      <c r="J778" s="2012"/>
      <c r="K778" s="2012"/>
      <c r="L778" s="2012"/>
      <c r="M778" s="2012"/>
      <c r="N778" s="2012"/>
      <c r="O778" s="2012"/>
      <c r="P778" s="2012"/>
      <c r="Q778" s="2012"/>
      <c r="R778" s="2012"/>
      <c r="S778" s="2012"/>
      <c r="T778" s="2012"/>
      <c r="U778" s="2012"/>
      <c r="V778" s="2012"/>
      <c r="W778" s="2012"/>
      <c r="X778" s="2012"/>
      <c r="Y778" s="2012"/>
      <c r="Z778" s="2015" t="s">
        <v>1833</v>
      </c>
      <c r="AA778" s="2015"/>
      <c r="AB778" s="2015"/>
      <c r="AC778" s="2015"/>
      <c r="AD778" s="2015"/>
      <c r="AE778" s="2015"/>
      <c r="AF778" s="1061">
        <f>AF776*(1+AF777)</f>
        <v>3237.9351999999994</v>
      </c>
    </row>
    <row r="779" spans="1:32" x14ac:dyDescent="0.2">
      <c r="A779" s="2012" t="s">
        <v>1859</v>
      </c>
      <c r="B779" s="2012"/>
      <c r="C779" s="2012"/>
      <c r="D779" s="2012"/>
      <c r="E779" s="2012"/>
      <c r="F779" s="2012"/>
      <c r="G779" s="2012"/>
      <c r="H779" s="2012"/>
      <c r="I779" s="2012"/>
      <c r="J779" s="2012"/>
      <c r="K779" s="2012"/>
      <c r="L779" s="2012"/>
      <c r="M779" s="2012"/>
      <c r="N779" s="2012"/>
      <c r="O779" s="2012"/>
      <c r="P779" s="2012"/>
      <c r="Q779" s="2012"/>
      <c r="R779" s="2012"/>
      <c r="S779" s="2012"/>
      <c r="T779" s="2016" t="s">
        <v>1840</v>
      </c>
      <c r="U779" s="2016"/>
      <c r="V779" s="2016"/>
      <c r="W779" s="2016"/>
      <c r="X779" s="2016"/>
      <c r="Y779" s="2016"/>
      <c r="Z779" s="2016"/>
      <c r="AA779" s="2016"/>
      <c r="AB779" s="2012" t="s">
        <v>1852</v>
      </c>
      <c r="AC779" s="2012"/>
      <c r="AD779" s="2012"/>
      <c r="AE779" s="2012"/>
      <c r="AF779" s="2012"/>
    </row>
    <row r="780" spans="1:32" x14ac:dyDescent="0.2">
      <c r="A780" s="2012"/>
      <c r="B780" s="2012"/>
      <c r="C780" s="2012"/>
      <c r="D780" s="2012"/>
      <c r="E780" s="2012"/>
      <c r="F780" s="2012"/>
      <c r="G780" s="2012"/>
      <c r="H780" s="2012"/>
      <c r="I780" s="2012"/>
      <c r="J780" s="2012"/>
      <c r="K780" s="2012"/>
      <c r="L780" s="2012"/>
      <c r="M780" s="2012"/>
      <c r="N780" s="2012"/>
      <c r="O780" s="2012"/>
      <c r="P780" s="2012"/>
      <c r="Q780" s="2012"/>
      <c r="R780" s="2012"/>
      <c r="S780" s="2012"/>
      <c r="T780" s="2016"/>
      <c r="U780" s="2016"/>
      <c r="V780" s="2016"/>
      <c r="W780" s="2016"/>
      <c r="X780" s="2016"/>
      <c r="Y780" s="2016"/>
      <c r="Z780" s="2016"/>
      <c r="AA780" s="2016"/>
      <c r="AB780" s="2012"/>
      <c r="AC780" s="2012"/>
      <c r="AD780" s="2012"/>
      <c r="AE780" s="2012"/>
      <c r="AF780" s="2012"/>
    </row>
    <row r="781" spans="1:32" ht="13.5" thickBot="1" x14ac:dyDescent="0.25"/>
    <row r="782" spans="1:32" ht="26.45" customHeight="1" x14ac:dyDescent="0.2">
      <c r="A782" s="2025" t="s">
        <v>1854</v>
      </c>
      <c r="B782" s="2026"/>
      <c r="C782" s="2026"/>
      <c r="D782" s="2026"/>
      <c r="E782" s="2026"/>
      <c r="F782" s="2026"/>
      <c r="G782" s="2026"/>
      <c r="H782" s="2026"/>
      <c r="I782" s="2026"/>
      <c r="J782" s="2026"/>
      <c r="K782" s="2026"/>
      <c r="L782" s="2026"/>
      <c r="M782" s="2026"/>
      <c r="N782" s="2026"/>
      <c r="O782" s="2026"/>
      <c r="P782" s="2026"/>
      <c r="Q782" s="2026"/>
      <c r="R782" s="2026"/>
      <c r="S782" s="2026"/>
      <c r="T782" s="2026"/>
      <c r="U782" s="2026"/>
      <c r="V782" s="2026"/>
      <c r="W782" s="2026"/>
      <c r="X782" s="2026"/>
      <c r="Y782" s="2026"/>
      <c r="Z782" s="2026"/>
      <c r="AA782" s="2026"/>
      <c r="AB782" s="2026"/>
      <c r="AC782" s="2026"/>
      <c r="AD782" s="2026"/>
      <c r="AE782" s="1041" t="s">
        <v>1834</v>
      </c>
      <c r="AF782" s="1042" t="s">
        <v>1835</v>
      </c>
    </row>
    <row r="783" spans="1:32" ht="21" customHeight="1" thickBot="1" x14ac:dyDescent="0.25">
      <c r="A783" s="2027"/>
      <c r="B783" s="2028"/>
      <c r="C783" s="2028"/>
      <c r="D783" s="2028"/>
      <c r="E783" s="2028"/>
      <c r="F783" s="2028"/>
      <c r="G783" s="2028"/>
      <c r="H783" s="2028"/>
      <c r="I783" s="2028"/>
      <c r="J783" s="2028"/>
      <c r="K783" s="2028"/>
      <c r="L783" s="2028"/>
      <c r="M783" s="2028"/>
      <c r="N783" s="2028"/>
      <c r="O783" s="2028"/>
      <c r="P783" s="2028"/>
      <c r="Q783" s="2028"/>
      <c r="R783" s="2028"/>
      <c r="S783" s="2028"/>
      <c r="T783" s="2028"/>
      <c r="U783" s="2028"/>
      <c r="V783" s="2028"/>
      <c r="W783" s="2028"/>
      <c r="X783" s="2028"/>
      <c r="Y783" s="2028"/>
      <c r="Z783" s="2028"/>
      <c r="AA783" s="2028"/>
      <c r="AB783" s="2028"/>
      <c r="AC783" s="2028"/>
      <c r="AD783" s="2028"/>
      <c r="AE783" s="1041" t="s">
        <v>1836</v>
      </c>
      <c r="AF783" s="1044">
        <v>1</v>
      </c>
    </row>
    <row r="784" spans="1:32" ht="15.75" x14ac:dyDescent="0.2">
      <c r="A784" s="2029"/>
      <c r="B784" s="2030"/>
      <c r="C784" s="2030"/>
      <c r="D784" s="2031"/>
      <c r="E784" s="2025" t="str">
        <f>'01'!$A$12</f>
        <v>"CONSTRUCCION SISTEMA DE ACUEDUCTO FASE II DEL MUNICIPIO DE TESALIA DPTO DEL HUILA"</v>
      </c>
      <c r="F784" s="2026"/>
      <c r="G784" s="2026"/>
      <c r="H784" s="2026"/>
      <c r="I784" s="2026"/>
      <c r="J784" s="2026"/>
      <c r="K784" s="2026"/>
      <c r="L784" s="2026"/>
      <c r="M784" s="2026"/>
      <c r="N784" s="2026"/>
      <c r="O784" s="2026"/>
      <c r="P784" s="2026"/>
      <c r="Q784" s="2026"/>
      <c r="R784" s="2026"/>
      <c r="S784" s="2026"/>
      <c r="T784" s="2026"/>
      <c r="U784" s="2026"/>
      <c r="V784" s="2026"/>
      <c r="W784" s="2026"/>
      <c r="X784" s="2026"/>
      <c r="Y784" s="2026"/>
      <c r="Z784" s="2026"/>
      <c r="AA784" s="2026"/>
      <c r="AB784" s="2026"/>
      <c r="AC784" s="2026"/>
      <c r="AD784" s="2035"/>
      <c r="AE784" s="1041" t="s">
        <v>847</v>
      </c>
      <c r="AF784" s="1045">
        <f>'01'!$M$13</f>
        <v>0</v>
      </c>
    </row>
    <row r="785" spans="1:32" ht="16.5" thickBot="1" x14ac:dyDescent="0.25">
      <c r="A785" s="2032"/>
      <c r="B785" s="2033"/>
      <c r="C785" s="2033"/>
      <c r="D785" s="2034"/>
      <c r="E785" s="2027"/>
      <c r="F785" s="2028"/>
      <c r="G785" s="2028"/>
      <c r="H785" s="2028"/>
      <c r="I785" s="2028"/>
      <c r="J785" s="2028"/>
      <c r="K785" s="2028"/>
      <c r="L785" s="2028"/>
      <c r="M785" s="2028"/>
      <c r="N785" s="2028"/>
      <c r="O785" s="2028"/>
      <c r="P785" s="2028"/>
      <c r="Q785" s="2028"/>
      <c r="R785" s="2028"/>
      <c r="S785" s="2028"/>
      <c r="T785" s="2028"/>
      <c r="U785" s="2028"/>
      <c r="V785" s="2028"/>
      <c r="W785" s="2028"/>
      <c r="X785" s="2028"/>
      <c r="Y785" s="2028"/>
      <c r="Z785" s="2028"/>
      <c r="AA785" s="2028"/>
      <c r="AB785" s="2028"/>
      <c r="AC785" s="2028"/>
      <c r="AD785" s="2036"/>
      <c r="AE785" s="1041" t="s">
        <v>1837</v>
      </c>
      <c r="AF785" s="1042" t="s">
        <v>1838</v>
      </c>
    </row>
    <row r="786" spans="1:32" ht="15.75" x14ac:dyDescent="0.25">
      <c r="A786" s="2037" t="s">
        <v>1860</v>
      </c>
      <c r="B786" s="2038"/>
      <c r="C786" s="2038"/>
      <c r="D786" s="2038"/>
      <c r="E786" s="2038"/>
      <c r="F786" s="2038"/>
      <c r="G786" s="2038"/>
      <c r="H786" s="2038"/>
      <c r="I786" s="2038"/>
      <c r="J786" s="2038"/>
      <c r="K786" s="2038"/>
      <c r="L786" s="2038"/>
      <c r="M786" s="2038"/>
      <c r="N786" s="2038"/>
      <c r="O786" s="2038"/>
      <c r="P786" s="2038"/>
      <c r="Q786" s="2038"/>
      <c r="R786" s="2038"/>
      <c r="S786" s="2038"/>
      <c r="T786" s="2038"/>
      <c r="U786" s="2038"/>
      <c r="V786" s="2038"/>
      <c r="W786" s="2038"/>
      <c r="X786" s="2038"/>
      <c r="Y786" s="2038"/>
      <c r="Z786" s="2038"/>
      <c r="AA786" s="2038"/>
      <c r="AB786" s="2038"/>
      <c r="AC786" s="2038"/>
      <c r="AD786" s="2038"/>
      <c r="AE786" s="2039" t="s">
        <v>1839</v>
      </c>
      <c r="AF786" s="2040"/>
    </row>
    <row r="787" spans="1:32" ht="15.75" x14ac:dyDescent="0.25">
      <c r="A787" s="2041" t="s">
        <v>1840</v>
      </c>
      <c r="B787" s="2042"/>
      <c r="C787" s="2042"/>
      <c r="D787" s="2042"/>
      <c r="E787" s="2042"/>
      <c r="F787" s="2042"/>
      <c r="G787" s="2042"/>
      <c r="H787" s="2042"/>
      <c r="I787" s="2042"/>
      <c r="J787" s="2042"/>
      <c r="K787" s="2042"/>
      <c r="L787" s="2042"/>
      <c r="M787" s="2042"/>
      <c r="N787" s="2042"/>
      <c r="O787" s="2042"/>
      <c r="P787" s="2042"/>
      <c r="Q787" s="2042"/>
      <c r="R787" s="2042"/>
      <c r="S787" s="2042"/>
      <c r="T787" s="2042"/>
      <c r="U787" s="2042"/>
      <c r="V787" s="2042"/>
      <c r="W787" s="2042"/>
      <c r="X787" s="2042"/>
      <c r="Y787" s="2042"/>
      <c r="Z787" s="2042"/>
      <c r="AA787" s="2042"/>
      <c r="AB787" s="2042"/>
      <c r="AC787" s="2042"/>
      <c r="AD787" s="2043"/>
      <c r="AE787" s="2014" t="s">
        <v>1841</v>
      </c>
      <c r="AF787" s="2044"/>
    </row>
    <row r="788" spans="1:32" ht="15.75" x14ac:dyDescent="0.25">
      <c r="A788" s="2045" t="s">
        <v>1853</v>
      </c>
      <c r="B788" s="2046"/>
      <c r="C788" s="2046"/>
      <c r="D788" s="2046"/>
      <c r="E788" s="2046"/>
      <c r="F788" s="2046"/>
      <c r="G788" s="2046"/>
      <c r="H788" s="2046"/>
      <c r="I788" s="2046"/>
      <c r="J788" s="2046"/>
      <c r="K788" s="2046"/>
      <c r="L788" s="2046"/>
      <c r="M788" s="2046"/>
      <c r="N788" s="2046"/>
      <c r="O788" s="2046"/>
      <c r="P788" s="2046"/>
      <c r="Q788" s="2046"/>
      <c r="R788" s="2046"/>
      <c r="S788" s="2046"/>
      <c r="T788" s="2046"/>
      <c r="U788" s="2046"/>
      <c r="V788" s="2046"/>
      <c r="W788" s="2046"/>
      <c r="X788" s="2046"/>
      <c r="Y788" s="2046"/>
      <c r="Z788" s="2046"/>
      <c r="AA788" s="2046"/>
      <c r="AB788" s="2046"/>
      <c r="AC788" s="2046"/>
      <c r="AD788" s="2046"/>
      <c r="AE788" s="2047">
        <f>'01'!$M$13</f>
        <v>0</v>
      </c>
      <c r="AF788" s="2044"/>
    </row>
    <row r="789" spans="1:32" x14ac:dyDescent="0.2">
      <c r="A789" s="1046"/>
      <c r="B789" s="1047"/>
      <c r="C789" s="1047"/>
      <c r="D789" s="1047"/>
      <c r="E789" s="1047"/>
      <c r="F789" s="1047"/>
      <c r="G789" s="1047"/>
      <c r="H789" s="1047"/>
      <c r="I789" s="1047"/>
      <c r="J789" s="1047"/>
      <c r="K789" s="1047"/>
      <c r="L789" s="1047"/>
      <c r="M789" s="1047"/>
      <c r="N789" s="1047"/>
      <c r="O789" s="1047"/>
      <c r="P789" s="1047"/>
      <c r="Q789" s="1047"/>
      <c r="R789" s="1047"/>
      <c r="S789" s="1047"/>
      <c r="T789" s="1047"/>
      <c r="U789" s="1047"/>
      <c r="V789" s="1047"/>
      <c r="W789" s="1047"/>
      <c r="X789" s="1047"/>
      <c r="Y789" s="1047"/>
      <c r="Z789" s="1047"/>
      <c r="AA789" s="1047"/>
      <c r="AB789" s="1047"/>
      <c r="AC789" s="1047"/>
      <c r="AD789" s="1047"/>
      <c r="AE789" s="1047"/>
      <c r="AF789" s="1048"/>
    </row>
    <row r="790" spans="1:32" ht="15.75" x14ac:dyDescent="0.2">
      <c r="A790" s="2048" t="s">
        <v>1842</v>
      </c>
      <c r="B790" s="2049"/>
      <c r="C790" s="2049"/>
      <c r="D790" s="2049"/>
      <c r="E790" s="2049"/>
      <c r="F790" s="2050" t="str">
        <f>'01'!$H$33</f>
        <v>B - CÁMARA DE LLEGADA Y AQUIETAMIENTO DEL AGUA</v>
      </c>
      <c r="G790" s="2049"/>
      <c r="H790" s="2049"/>
      <c r="I790" s="2049"/>
      <c r="J790" s="2049"/>
      <c r="K790" s="2049"/>
      <c r="L790" s="2049"/>
      <c r="M790" s="2049"/>
      <c r="N790" s="2049"/>
      <c r="O790" s="2049"/>
      <c r="P790" s="2049"/>
      <c r="Q790" s="2049"/>
      <c r="R790" s="2049"/>
      <c r="S790" s="2049"/>
      <c r="T790" s="2049"/>
      <c r="U790" s="2049"/>
      <c r="V790" s="2049"/>
      <c r="W790" s="2049"/>
      <c r="X790" s="2049"/>
      <c r="Y790" s="2051"/>
      <c r="Z790" s="2052" t="s">
        <v>1843</v>
      </c>
      <c r="AA790" s="2053"/>
      <c r="AB790" s="2058" t="s">
        <v>1844</v>
      </c>
      <c r="AC790" s="2059"/>
      <c r="AD790" s="2060"/>
      <c r="AE790" s="2064" t="s">
        <v>1845</v>
      </c>
      <c r="AF790" s="2067" t="s">
        <v>1846</v>
      </c>
    </row>
    <row r="791" spans="1:32" x14ac:dyDescent="0.2">
      <c r="A791" s="2070" t="str">
        <f>'01'!A52</f>
        <v>B-07-01</v>
      </c>
      <c r="B791" s="2071"/>
      <c r="C791" s="2072"/>
      <c r="D791" s="2076" t="str">
        <f>VLOOKUP(A791,'01'!$A$12:$N$299,3,FALSE)</f>
        <v>SUMINISTRO E INSTALACIÓN DE TUBERIA PVC UNION MECANICA DE 8". PRESIÓN DE TRABAJO 200 PSI.</v>
      </c>
      <c r="E791" s="2077"/>
      <c r="F791" s="2077"/>
      <c r="G791" s="2077"/>
      <c r="H791" s="2077"/>
      <c r="I791" s="2077"/>
      <c r="J791" s="2077"/>
      <c r="K791" s="2077"/>
      <c r="L791" s="2077"/>
      <c r="M791" s="2077"/>
      <c r="N791" s="2077"/>
      <c r="O791" s="2077"/>
      <c r="P791" s="2077"/>
      <c r="Q791" s="2077"/>
      <c r="R791" s="2077"/>
      <c r="S791" s="2078"/>
      <c r="T791" s="2082" t="s">
        <v>124</v>
      </c>
      <c r="U791" s="2083"/>
      <c r="V791" s="2083"/>
      <c r="W791" s="2083"/>
      <c r="X791" s="2052" t="str">
        <f>VLOOKUP(A791,'01'!$A$12:$N$299,9,FALSE)</f>
        <v>ML</v>
      </c>
      <c r="Y791" s="2053"/>
      <c r="Z791" s="2054"/>
      <c r="AA791" s="2055"/>
      <c r="AB791" s="2061"/>
      <c r="AC791" s="2062"/>
      <c r="AD791" s="2063"/>
      <c r="AE791" s="2065"/>
      <c r="AF791" s="2068"/>
    </row>
    <row r="792" spans="1:32" ht="15.75" x14ac:dyDescent="0.25">
      <c r="A792" s="2073"/>
      <c r="B792" s="2074"/>
      <c r="C792" s="2075"/>
      <c r="D792" s="2079"/>
      <c r="E792" s="2080"/>
      <c r="F792" s="2080"/>
      <c r="G792" s="2080"/>
      <c r="H792" s="2080"/>
      <c r="I792" s="2080"/>
      <c r="J792" s="2080"/>
      <c r="K792" s="2080"/>
      <c r="L792" s="2080"/>
      <c r="M792" s="2080"/>
      <c r="N792" s="2080"/>
      <c r="O792" s="2080"/>
      <c r="P792" s="2080"/>
      <c r="Q792" s="2080"/>
      <c r="R792" s="2080"/>
      <c r="S792" s="2081"/>
      <c r="T792" s="2084"/>
      <c r="U792" s="2085"/>
      <c r="V792" s="2085"/>
      <c r="W792" s="2085"/>
      <c r="X792" s="2056"/>
      <c r="Y792" s="2057"/>
      <c r="Z792" s="2056"/>
      <c r="AA792" s="2057"/>
      <c r="AB792" s="1049" t="s">
        <v>1847</v>
      </c>
      <c r="AC792" s="1049" t="s">
        <v>1848</v>
      </c>
      <c r="AD792" s="1049" t="s">
        <v>1861</v>
      </c>
      <c r="AE792" s="2066"/>
      <c r="AF792" s="2069"/>
    </row>
    <row r="793" spans="1:32" ht="15.75" x14ac:dyDescent="0.25">
      <c r="A793" s="2017"/>
      <c r="B793" s="2018"/>
      <c r="C793" s="2018"/>
      <c r="D793" s="2018"/>
      <c r="E793" s="2018"/>
      <c r="F793" s="2018"/>
      <c r="G793" s="2018"/>
      <c r="H793" s="2018"/>
      <c r="I793" s="2018"/>
      <c r="J793" s="2018"/>
      <c r="K793" s="2018"/>
      <c r="L793" s="2018"/>
      <c r="M793" s="2018"/>
      <c r="N793" s="2018"/>
      <c r="O793" s="2018"/>
      <c r="P793" s="2018"/>
      <c r="Q793" s="2018"/>
      <c r="R793" s="2018"/>
      <c r="S793" s="2018"/>
      <c r="T793" s="2018"/>
      <c r="U793" s="2018"/>
      <c r="V793" s="2018"/>
      <c r="W793" s="2018"/>
      <c r="X793" s="2018"/>
      <c r="Y793" s="2018"/>
      <c r="Z793" s="2022" t="s">
        <v>2294</v>
      </c>
      <c r="AA793" s="2022"/>
      <c r="AB793" s="1050">
        <v>12</v>
      </c>
      <c r="AC793" s="1050"/>
      <c r="AD793" s="1050"/>
      <c r="AE793" s="1050">
        <v>1</v>
      </c>
      <c r="AF793" s="1052">
        <f>AE793*AB793</f>
        <v>12</v>
      </c>
    </row>
    <row r="794" spans="1:32" ht="15.75" x14ac:dyDescent="0.25">
      <c r="A794" s="2017"/>
      <c r="B794" s="2018"/>
      <c r="C794" s="2018"/>
      <c r="D794" s="2018"/>
      <c r="E794" s="2018"/>
      <c r="F794" s="2018"/>
      <c r="G794" s="2018"/>
      <c r="H794" s="2018"/>
      <c r="I794" s="2018"/>
      <c r="J794" s="2018"/>
      <c r="K794" s="2018"/>
      <c r="L794" s="2018"/>
      <c r="M794" s="2018"/>
      <c r="N794" s="2018"/>
      <c r="O794" s="2018"/>
      <c r="P794" s="2018"/>
      <c r="Q794" s="2018"/>
      <c r="R794" s="2018"/>
      <c r="S794" s="2018"/>
      <c r="T794" s="2018"/>
      <c r="U794" s="2018"/>
      <c r="V794" s="2018"/>
      <c r="W794" s="2018"/>
      <c r="X794" s="2018"/>
      <c r="Y794" s="2018"/>
      <c r="Z794" s="2022" t="s">
        <v>2295</v>
      </c>
      <c r="AA794" s="2022"/>
      <c r="AB794" s="1050">
        <v>12</v>
      </c>
      <c r="AC794" s="1050"/>
      <c r="AD794" s="1050"/>
      <c r="AE794" s="1050">
        <v>1</v>
      </c>
      <c r="AF794" s="1052">
        <f>AE794*AB794</f>
        <v>12</v>
      </c>
    </row>
    <row r="795" spans="1:32" ht="15.75" x14ac:dyDescent="0.25">
      <c r="A795" s="2017"/>
      <c r="B795" s="2018"/>
      <c r="C795" s="2018"/>
      <c r="D795" s="2018"/>
      <c r="E795" s="2018"/>
      <c r="F795" s="2018"/>
      <c r="G795" s="2018"/>
      <c r="H795" s="2018"/>
      <c r="I795" s="2018"/>
      <c r="J795" s="2018"/>
      <c r="K795" s="2018"/>
      <c r="L795" s="2018"/>
      <c r="M795" s="2018"/>
      <c r="N795" s="2018"/>
      <c r="O795" s="2018"/>
      <c r="P795" s="2018"/>
      <c r="Q795" s="2018"/>
      <c r="R795" s="2018"/>
      <c r="S795" s="2018"/>
      <c r="T795" s="2018"/>
      <c r="U795" s="2018"/>
      <c r="V795" s="2018"/>
      <c r="W795" s="2018"/>
      <c r="X795" s="2018"/>
      <c r="Y795" s="2018"/>
      <c r="Z795" s="2022"/>
      <c r="AA795" s="2022"/>
      <c r="AB795" s="1050"/>
      <c r="AC795" s="1050"/>
      <c r="AD795" s="1050"/>
      <c r="AE795" s="1050"/>
      <c r="AF795" s="1052"/>
    </row>
    <row r="796" spans="1:32" ht="15.75" x14ac:dyDescent="0.25">
      <c r="A796" s="2017"/>
      <c r="B796" s="2018"/>
      <c r="C796" s="2018"/>
      <c r="D796" s="2018"/>
      <c r="E796" s="2018"/>
      <c r="F796" s="2018"/>
      <c r="G796" s="2018"/>
      <c r="H796" s="2018"/>
      <c r="I796" s="2018"/>
      <c r="J796" s="2018"/>
      <c r="K796" s="2018"/>
      <c r="L796" s="2018"/>
      <c r="M796" s="2018"/>
      <c r="N796" s="2018"/>
      <c r="O796" s="2018"/>
      <c r="P796" s="2018"/>
      <c r="Q796" s="2018"/>
      <c r="R796" s="2018"/>
      <c r="S796" s="2018"/>
      <c r="T796" s="2018"/>
      <c r="U796" s="2018"/>
      <c r="V796" s="2018"/>
      <c r="W796" s="2018"/>
      <c r="X796" s="2018"/>
      <c r="Y796" s="2018"/>
      <c r="Z796" s="2105"/>
      <c r="AA796" s="2105"/>
      <c r="AB796" s="1050"/>
      <c r="AC796" s="1050"/>
      <c r="AD796" s="1050"/>
      <c r="AE796" s="1050"/>
      <c r="AF796" s="1052"/>
    </row>
    <row r="797" spans="1:32" ht="15.75" x14ac:dyDescent="0.25">
      <c r="A797" s="2017"/>
      <c r="B797" s="2018"/>
      <c r="C797" s="2018"/>
      <c r="D797" s="2018"/>
      <c r="E797" s="2018"/>
      <c r="F797" s="2018"/>
      <c r="G797" s="2018"/>
      <c r="H797" s="2018"/>
      <c r="I797" s="2018"/>
      <c r="J797" s="2018"/>
      <c r="K797" s="2018"/>
      <c r="L797" s="2018"/>
      <c r="M797" s="2018"/>
      <c r="N797" s="2018"/>
      <c r="O797" s="2018"/>
      <c r="P797" s="2018"/>
      <c r="Q797" s="2018"/>
      <c r="R797" s="2018"/>
      <c r="S797" s="2018"/>
      <c r="T797" s="2018"/>
      <c r="U797" s="2018"/>
      <c r="V797" s="2018"/>
      <c r="W797" s="2018"/>
      <c r="X797" s="2018"/>
      <c r="Y797" s="2018"/>
      <c r="Z797" s="2105"/>
      <c r="AA797" s="2105"/>
      <c r="AB797" s="1050"/>
      <c r="AC797" s="1050"/>
      <c r="AD797" s="1050"/>
      <c r="AE797" s="1050"/>
      <c r="AF797" s="1052"/>
    </row>
    <row r="798" spans="1:32" ht="15.75" x14ac:dyDescent="0.25">
      <c r="A798" s="2017"/>
      <c r="B798" s="2018"/>
      <c r="C798" s="2018"/>
      <c r="D798" s="2018"/>
      <c r="E798" s="2018"/>
      <c r="F798" s="2018"/>
      <c r="G798" s="2018"/>
      <c r="H798" s="2018"/>
      <c r="I798" s="2018"/>
      <c r="J798" s="2018"/>
      <c r="K798" s="2018"/>
      <c r="L798" s="2018"/>
      <c r="M798" s="2018"/>
      <c r="N798" s="2018"/>
      <c r="O798" s="2018"/>
      <c r="P798" s="2018"/>
      <c r="Q798" s="2018"/>
      <c r="R798" s="2018"/>
      <c r="S798" s="2018"/>
      <c r="T798" s="2018"/>
      <c r="U798" s="2018"/>
      <c r="V798" s="2018"/>
      <c r="W798" s="2018"/>
      <c r="X798" s="2018"/>
      <c r="Y798" s="2018"/>
      <c r="Z798" s="2105"/>
      <c r="AA798" s="2105"/>
      <c r="AB798" s="1050"/>
      <c r="AC798" s="1050"/>
      <c r="AD798" s="1050"/>
      <c r="AE798" s="1050"/>
      <c r="AF798" s="1052"/>
    </row>
    <row r="799" spans="1:32" ht="15.75" x14ac:dyDescent="0.25">
      <c r="A799" s="2017"/>
      <c r="B799" s="2018"/>
      <c r="C799" s="2018"/>
      <c r="D799" s="2018"/>
      <c r="E799" s="2018"/>
      <c r="F799" s="2018"/>
      <c r="G799" s="2018"/>
      <c r="H799" s="2018"/>
      <c r="I799" s="2018"/>
      <c r="J799" s="2018"/>
      <c r="K799" s="2018"/>
      <c r="L799" s="2018"/>
      <c r="M799" s="2018"/>
      <c r="N799" s="2018"/>
      <c r="O799" s="2018"/>
      <c r="P799" s="2018"/>
      <c r="Q799" s="2018"/>
      <c r="R799" s="2018"/>
      <c r="S799" s="2018"/>
      <c r="T799" s="2018"/>
      <c r="U799" s="2018"/>
      <c r="V799" s="2018"/>
      <c r="W799" s="2018"/>
      <c r="X799" s="2018"/>
      <c r="Y799" s="2018"/>
      <c r="Z799" s="2105"/>
      <c r="AA799" s="2105"/>
      <c r="AB799" s="1050"/>
      <c r="AC799" s="1050"/>
      <c r="AD799" s="1050"/>
      <c r="AE799" s="1050"/>
      <c r="AF799" s="1052"/>
    </row>
    <row r="800" spans="1:32" ht="15.75" x14ac:dyDescent="0.25">
      <c r="A800" s="2017"/>
      <c r="B800" s="2018"/>
      <c r="C800" s="2018"/>
      <c r="D800" s="2018"/>
      <c r="E800" s="2018"/>
      <c r="F800" s="2018"/>
      <c r="G800" s="2018"/>
      <c r="H800" s="2018"/>
      <c r="I800" s="2018"/>
      <c r="J800" s="2018"/>
      <c r="K800" s="2018"/>
      <c r="L800" s="2018"/>
      <c r="M800" s="2018"/>
      <c r="N800" s="2018"/>
      <c r="O800" s="2018"/>
      <c r="P800" s="2018"/>
      <c r="Q800" s="2018"/>
      <c r="R800" s="2018"/>
      <c r="S800" s="2018"/>
      <c r="T800" s="2018"/>
      <c r="U800" s="2018"/>
      <c r="V800" s="2018"/>
      <c r="W800" s="2018"/>
      <c r="X800" s="2018"/>
      <c r="Y800" s="2018"/>
      <c r="Z800" s="2105"/>
      <c r="AA800" s="2105"/>
      <c r="AB800" s="1050"/>
      <c r="AC800" s="1050"/>
      <c r="AD800" s="1050"/>
      <c r="AE800" s="1050"/>
      <c r="AF800" s="1052"/>
    </row>
    <row r="801" spans="1:32" ht="15.75" x14ac:dyDescent="0.25">
      <c r="A801" s="2017"/>
      <c r="B801" s="2018"/>
      <c r="C801" s="2018"/>
      <c r="D801" s="2018"/>
      <c r="E801" s="2018"/>
      <c r="F801" s="2018"/>
      <c r="G801" s="2018"/>
      <c r="H801" s="2018"/>
      <c r="I801" s="2018"/>
      <c r="J801" s="2018"/>
      <c r="K801" s="2018"/>
      <c r="L801" s="2018"/>
      <c r="M801" s="2018"/>
      <c r="N801" s="2018"/>
      <c r="O801" s="2018"/>
      <c r="P801" s="2018"/>
      <c r="Q801" s="2018"/>
      <c r="R801" s="2018"/>
      <c r="S801" s="2018"/>
      <c r="T801" s="2018"/>
      <c r="U801" s="2018"/>
      <c r="V801" s="2018"/>
      <c r="W801" s="2018"/>
      <c r="X801" s="2018"/>
      <c r="Y801" s="2018"/>
      <c r="Z801" s="2105"/>
      <c r="AA801" s="2105"/>
      <c r="AB801" s="1050"/>
      <c r="AC801" s="1050"/>
      <c r="AD801" s="1050"/>
      <c r="AE801" s="1050"/>
      <c r="AF801" s="1052"/>
    </row>
    <row r="802" spans="1:32" ht="15.75" x14ac:dyDescent="0.25">
      <c r="A802" s="2017"/>
      <c r="B802" s="2018"/>
      <c r="C802" s="2018"/>
      <c r="D802" s="2018"/>
      <c r="E802" s="2018"/>
      <c r="F802" s="2018"/>
      <c r="G802" s="2018"/>
      <c r="H802" s="2018"/>
      <c r="I802" s="2018"/>
      <c r="J802" s="2018"/>
      <c r="K802" s="2018"/>
      <c r="L802" s="2018"/>
      <c r="M802" s="2018"/>
      <c r="N802" s="2018"/>
      <c r="O802" s="2018"/>
      <c r="P802" s="2018"/>
      <c r="Q802" s="2018"/>
      <c r="R802" s="2018"/>
      <c r="S802" s="2018"/>
      <c r="T802" s="2018"/>
      <c r="U802" s="2018"/>
      <c r="V802" s="2018"/>
      <c r="W802" s="2018"/>
      <c r="X802" s="2018"/>
      <c r="Y802" s="2018"/>
      <c r="Z802" s="2105"/>
      <c r="AA802" s="2105"/>
      <c r="AB802" s="1050"/>
      <c r="AC802" s="1050"/>
      <c r="AD802" s="1050"/>
      <c r="AE802" s="1050"/>
      <c r="AF802" s="1052"/>
    </row>
    <row r="803" spans="1:32" ht="15.75" x14ac:dyDescent="0.25">
      <c r="A803" s="2017"/>
      <c r="B803" s="2018"/>
      <c r="C803" s="2018"/>
      <c r="D803" s="2018"/>
      <c r="E803" s="2018"/>
      <c r="F803" s="2018"/>
      <c r="G803" s="2018"/>
      <c r="H803" s="2018"/>
      <c r="I803" s="2018"/>
      <c r="J803" s="2018"/>
      <c r="K803" s="2018"/>
      <c r="L803" s="2018"/>
      <c r="M803" s="2018"/>
      <c r="N803" s="2018"/>
      <c r="O803" s="2018"/>
      <c r="P803" s="2018"/>
      <c r="Q803" s="2018"/>
      <c r="R803" s="2018"/>
      <c r="S803" s="2018"/>
      <c r="T803" s="2018"/>
      <c r="U803" s="2018"/>
      <c r="V803" s="2018"/>
      <c r="W803" s="2018"/>
      <c r="X803" s="2018"/>
      <c r="Y803" s="2018"/>
      <c r="Z803" s="2105"/>
      <c r="AA803" s="2105"/>
      <c r="AB803" s="1050"/>
      <c r="AC803" s="1050"/>
      <c r="AD803" s="1050"/>
      <c r="AE803" s="1050"/>
      <c r="AF803" s="1052"/>
    </row>
    <row r="804" spans="1:32" ht="15.75" x14ac:dyDescent="0.25">
      <c r="A804" s="2017"/>
      <c r="B804" s="2018"/>
      <c r="C804" s="2018"/>
      <c r="D804" s="2018"/>
      <c r="E804" s="2018"/>
      <c r="F804" s="2018"/>
      <c r="G804" s="2018"/>
      <c r="H804" s="2018"/>
      <c r="I804" s="2018"/>
      <c r="J804" s="2018"/>
      <c r="K804" s="2018"/>
      <c r="L804" s="2018"/>
      <c r="M804" s="2018"/>
      <c r="N804" s="2018"/>
      <c r="O804" s="2018"/>
      <c r="P804" s="2018"/>
      <c r="Q804" s="2018"/>
      <c r="R804" s="2018"/>
      <c r="S804" s="2018"/>
      <c r="T804" s="2018"/>
      <c r="U804" s="2018"/>
      <c r="V804" s="2018"/>
      <c r="W804" s="2018"/>
      <c r="X804" s="2018"/>
      <c r="Y804" s="2018"/>
      <c r="Z804" s="2105"/>
      <c r="AA804" s="2105"/>
      <c r="AB804" s="1050"/>
      <c r="AC804" s="1050"/>
      <c r="AD804" s="1050"/>
      <c r="AE804" s="1050"/>
      <c r="AF804" s="1052"/>
    </row>
    <row r="805" spans="1:32" ht="15.75" x14ac:dyDescent="0.25">
      <c r="A805" s="2017"/>
      <c r="B805" s="2018"/>
      <c r="C805" s="2018"/>
      <c r="D805" s="2018"/>
      <c r="E805" s="2018"/>
      <c r="F805" s="2018"/>
      <c r="G805" s="2018"/>
      <c r="H805" s="2018"/>
      <c r="I805" s="2018"/>
      <c r="J805" s="2018"/>
      <c r="K805" s="2018"/>
      <c r="L805" s="2018"/>
      <c r="M805" s="2018"/>
      <c r="N805" s="2018"/>
      <c r="O805" s="2018"/>
      <c r="P805" s="2018"/>
      <c r="Q805" s="2018"/>
      <c r="R805" s="2018"/>
      <c r="S805" s="2018"/>
      <c r="T805" s="2018"/>
      <c r="U805" s="2018"/>
      <c r="V805" s="2018"/>
      <c r="W805" s="2018"/>
      <c r="X805" s="2018"/>
      <c r="Y805" s="2018"/>
      <c r="Z805" s="2105"/>
      <c r="AA805" s="2105"/>
      <c r="AB805" s="1050"/>
      <c r="AC805" s="1050"/>
      <c r="AD805" s="1050"/>
      <c r="AE805" s="1050"/>
      <c r="AF805" s="1052"/>
    </row>
    <row r="806" spans="1:32" ht="15.75" x14ac:dyDescent="0.25">
      <c r="A806" s="2017"/>
      <c r="B806" s="2018"/>
      <c r="C806" s="2018"/>
      <c r="D806" s="2018"/>
      <c r="E806" s="2018"/>
      <c r="F806" s="2018"/>
      <c r="G806" s="2018"/>
      <c r="H806" s="2018"/>
      <c r="I806" s="2018"/>
      <c r="J806" s="2018"/>
      <c r="K806" s="2018"/>
      <c r="L806" s="2018"/>
      <c r="M806" s="2018"/>
      <c r="N806" s="2018"/>
      <c r="O806" s="2018"/>
      <c r="P806" s="2018"/>
      <c r="Q806" s="2018"/>
      <c r="R806" s="2018"/>
      <c r="S806" s="2018"/>
      <c r="T806" s="2018"/>
      <c r="U806" s="2018"/>
      <c r="V806" s="2018"/>
      <c r="W806" s="2018"/>
      <c r="X806" s="2018"/>
      <c r="Y806" s="2018"/>
      <c r="Z806" s="2022"/>
      <c r="AA806" s="2022"/>
      <c r="AB806" s="1050"/>
      <c r="AC806" s="1050"/>
      <c r="AD806" s="1050"/>
      <c r="AE806" s="1050"/>
      <c r="AF806" s="1052"/>
    </row>
    <row r="807" spans="1:32" ht="15.75" x14ac:dyDescent="0.25">
      <c r="A807" s="2017"/>
      <c r="B807" s="2018"/>
      <c r="C807" s="2018"/>
      <c r="D807" s="2018"/>
      <c r="E807" s="2018"/>
      <c r="F807" s="2018"/>
      <c r="G807" s="2018"/>
      <c r="H807" s="2018"/>
      <c r="I807" s="2018"/>
      <c r="J807" s="2018"/>
      <c r="K807" s="2018"/>
      <c r="L807" s="2018"/>
      <c r="M807" s="2018"/>
      <c r="N807" s="2018"/>
      <c r="O807" s="2018"/>
      <c r="P807" s="2018"/>
      <c r="Q807" s="2018"/>
      <c r="R807" s="2018"/>
      <c r="S807" s="2018"/>
      <c r="T807" s="2018"/>
      <c r="U807" s="2018"/>
      <c r="V807" s="2018"/>
      <c r="W807" s="2018"/>
      <c r="X807" s="2018"/>
      <c r="Y807" s="2018"/>
      <c r="Z807" s="2022"/>
      <c r="AA807" s="2022"/>
      <c r="AB807" s="1050"/>
      <c r="AC807" s="1050"/>
      <c r="AD807" s="1050"/>
      <c r="AE807" s="1050"/>
      <c r="AF807" s="1052"/>
    </row>
    <row r="808" spans="1:32" ht="15.75" x14ac:dyDescent="0.25">
      <c r="A808" s="2017"/>
      <c r="B808" s="2018"/>
      <c r="C808" s="2018"/>
      <c r="D808" s="2018"/>
      <c r="E808" s="2018"/>
      <c r="F808" s="2018"/>
      <c r="G808" s="2018"/>
      <c r="H808" s="2018"/>
      <c r="I808" s="2018"/>
      <c r="J808" s="2018"/>
      <c r="K808" s="2018"/>
      <c r="L808" s="2018"/>
      <c r="M808" s="2018"/>
      <c r="N808" s="2018"/>
      <c r="O808" s="2018"/>
      <c r="P808" s="2018"/>
      <c r="Q808" s="2018"/>
      <c r="R808" s="2018"/>
      <c r="S808" s="2018"/>
      <c r="T808" s="2018"/>
      <c r="U808" s="2018"/>
      <c r="V808" s="2018"/>
      <c r="W808" s="2018"/>
      <c r="X808" s="2018"/>
      <c r="Y808" s="2018"/>
      <c r="Z808" s="2022"/>
      <c r="AA808" s="2022"/>
      <c r="AB808" s="1050"/>
      <c r="AC808" s="1050"/>
      <c r="AD808" s="1050"/>
      <c r="AE808" s="1050"/>
      <c r="AF808" s="1052"/>
    </row>
    <row r="809" spans="1:32" ht="15.75" x14ac:dyDescent="0.25">
      <c r="A809" s="2017"/>
      <c r="B809" s="2018"/>
      <c r="C809" s="2018"/>
      <c r="D809" s="2018"/>
      <c r="E809" s="2018"/>
      <c r="F809" s="2018"/>
      <c r="G809" s="2018"/>
      <c r="H809" s="2018"/>
      <c r="I809" s="2018"/>
      <c r="J809" s="2018"/>
      <c r="K809" s="2018"/>
      <c r="L809" s="2018"/>
      <c r="M809" s="2018"/>
      <c r="N809" s="2018"/>
      <c r="O809" s="2018"/>
      <c r="P809" s="2018"/>
      <c r="Q809" s="2018"/>
      <c r="R809" s="2018"/>
      <c r="S809" s="2018"/>
      <c r="T809" s="2018"/>
      <c r="U809" s="2018"/>
      <c r="V809" s="2018"/>
      <c r="W809" s="2018"/>
      <c r="X809" s="2018"/>
      <c r="Y809" s="2018"/>
      <c r="Z809" s="2022"/>
      <c r="AA809" s="2022"/>
      <c r="AB809" s="1050"/>
      <c r="AC809" s="1050"/>
      <c r="AD809" s="1050"/>
      <c r="AE809" s="1050"/>
      <c r="AF809" s="1052"/>
    </row>
    <row r="810" spans="1:32" ht="15.75" x14ac:dyDescent="0.25">
      <c r="A810" s="2017"/>
      <c r="B810" s="2018"/>
      <c r="C810" s="2018"/>
      <c r="D810" s="2018"/>
      <c r="E810" s="2018"/>
      <c r="F810" s="2018"/>
      <c r="G810" s="2018"/>
      <c r="H810" s="2018"/>
      <c r="I810" s="2018"/>
      <c r="J810" s="2018"/>
      <c r="K810" s="2018"/>
      <c r="L810" s="2018"/>
      <c r="M810" s="2018"/>
      <c r="N810" s="2018"/>
      <c r="O810" s="2018"/>
      <c r="P810" s="2018"/>
      <c r="Q810" s="2018"/>
      <c r="R810" s="2018"/>
      <c r="S810" s="2018"/>
      <c r="T810" s="2018"/>
      <c r="U810" s="2018"/>
      <c r="V810" s="2018"/>
      <c r="W810" s="2018"/>
      <c r="X810" s="2018"/>
      <c r="Y810" s="2018"/>
      <c r="Z810" s="2023"/>
      <c r="AA810" s="2023"/>
      <c r="AB810" s="1050"/>
      <c r="AC810" s="1050"/>
      <c r="AD810" s="1050"/>
      <c r="AE810" s="1050"/>
      <c r="AF810" s="1052"/>
    </row>
    <row r="811" spans="1:32" ht="15.75" x14ac:dyDescent="0.25">
      <c r="A811" s="2017"/>
      <c r="B811" s="2018"/>
      <c r="C811" s="2018"/>
      <c r="D811" s="2018"/>
      <c r="E811" s="2018"/>
      <c r="F811" s="2018"/>
      <c r="G811" s="2018"/>
      <c r="H811" s="2018"/>
      <c r="I811" s="2018"/>
      <c r="J811" s="2018"/>
      <c r="K811" s="2018"/>
      <c r="L811" s="2018"/>
      <c r="M811" s="2018"/>
      <c r="N811" s="2018"/>
      <c r="O811" s="2018"/>
      <c r="P811" s="2018"/>
      <c r="Q811" s="2018"/>
      <c r="R811" s="2018"/>
      <c r="S811" s="2018"/>
      <c r="T811" s="2018"/>
      <c r="U811" s="2018"/>
      <c r="V811" s="2018"/>
      <c r="W811" s="2018"/>
      <c r="X811" s="2018"/>
      <c r="Y811" s="2018"/>
      <c r="Z811" s="2023"/>
      <c r="AA811" s="2023"/>
      <c r="AB811" s="1050"/>
      <c r="AC811" s="1050"/>
      <c r="AD811" s="1050"/>
      <c r="AE811" s="1050"/>
      <c r="AF811" s="1052"/>
    </row>
    <row r="812" spans="1:32" ht="15.75" x14ac:dyDescent="0.25">
      <c r="A812" s="2017"/>
      <c r="B812" s="2018"/>
      <c r="C812" s="2018"/>
      <c r="D812" s="2018"/>
      <c r="E812" s="2018"/>
      <c r="F812" s="2018"/>
      <c r="G812" s="2018"/>
      <c r="H812" s="2018"/>
      <c r="I812" s="2018"/>
      <c r="J812" s="2018"/>
      <c r="K812" s="2018"/>
      <c r="L812" s="2018"/>
      <c r="M812" s="2018"/>
      <c r="N812" s="2018"/>
      <c r="O812" s="2018"/>
      <c r="P812" s="2018"/>
      <c r="Q812" s="2018"/>
      <c r="R812" s="2018"/>
      <c r="S812" s="2018"/>
      <c r="T812" s="2018"/>
      <c r="U812" s="2018"/>
      <c r="V812" s="2018"/>
      <c r="W812" s="2018"/>
      <c r="X812" s="2018"/>
      <c r="Y812" s="2018"/>
      <c r="Z812" s="2023"/>
      <c r="AA812" s="2023"/>
      <c r="AB812" s="1050"/>
      <c r="AC812" s="1050"/>
      <c r="AD812" s="1050"/>
      <c r="AE812" s="1050"/>
      <c r="AF812" s="1052"/>
    </row>
    <row r="813" spans="1:32" ht="15.75" x14ac:dyDescent="0.25">
      <c r="A813" s="2017"/>
      <c r="B813" s="2018"/>
      <c r="C813" s="2018"/>
      <c r="D813" s="2018"/>
      <c r="E813" s="2018"/>
      <c r="F813" s="2018"/>
      <c r="G813" s="2018"/>
      <c r="H813" s="2018"/>
      <c r="I813" s="2018"/>
      <c r="J813" s="2018"/>
      <c r="K813" s="2018"/>
      <c r="L813" s="2018"/>
      <c r="M813" s="2018"/>
      <c r="N813" s="2018"/>
      <c r="O813" s="2018"/>
      <c r="P813" s="2018"/>
      <c r="Q813" s="2018"/>
      <c r="R813" s="2018"/>
      <c r="S813" s="2018"/>
      <c r="T813" s="2018"/>
      <c r="U813" s="2018"/>
      <c r="V813" s="2018"/>
      <c r="W813" s="2018"/>
      <c r="X813" s="2018"/>
      <c r="Y813" s="2018"/>
      <c r="Z813" s="2023"/>
      <c r="AA813" s="2023"/>
      <c r="AB813" s="1050"/>
      <c r="AC813" s="1050"/>
      <c r="AD813" s="1050"/>
      <c r="AE813" s="1050"/>
      <c r="AF813" s="1052"/>
    </row>
    <row r="814" spans="1:32" ht="15.75" x14ac:dyDescent="0.25">
      <c r="A814" s="2017"/>
      <c r="B814" s="2018"/>
      <c r="C814" s="2018"/>
      <c r="D814" s="2018"/>
      <c r="E814" s="2018"/>
      <c r="F814" s="2018"/>
      <c r="G814" s="2018"/>
      <c r="H814" s="2018"/>
      <c r="I814" s="2018"/>
      <c r="J814" s="2018"/>
      <c r="K814" s="2018"/>
      <c r="L814" s="2018"/>
      <c r="M814" s="2018"/>
      <c r="N814" s="2018"/>
      <c r="O814" s="2018"/>
      <c r="P814" s="2018"/>
      <c r="Q814" s="2018"/>
      <c r="R814" s="2018"/>
      <c r="S814" s="2018"/>
      <c r="T814" s="2018"/>
      <c r="U814" s="2018"/>
      <c r="V814" s="2018"/>
      <c r="W814" s="2018"/>
      <c r="X814" s="2018"/>
      <c r="Y814" s="2018"/>
      <c r="Z814" s="2023"/>
      <c r="AA814" s="2023"/>
      <c r="AB814" s="1050"/>
      <c r="AC814" s="1050"/>
      <c r="AD814" s="1050"/>
      <c r="AE814" s="1050"/>
      <c r="AF814" s="1052"/>
    </row>
    <row r="815" spans="1:32" ht="15.75" x14ac:dyDescent="0.25">
      <c r="A815" s="2017"/>
      <c r="B815" s="2018"/>
      <c r="C815" s="2018"/>
      <c r="D815" s="2018"/>
      <c r="E815" s="2018"/>
      <c r="F815" s="2018"/>
      <c r="G815" s="2018"/>
      <c r="H815" s="2018"/>
      <c r="I815" s="2018"/>
      <c r="J815" s="2018"/>
      <c r="K815" s="2018"/>
      <c r="L815" s="2018"/>
      <c r="M815" s="2018"/>
      <c r="N815" s="2018"/>
      <c r="O815" s="2018"/>
      <c r="P815" s="2018"/>
      <c r="Q815" s="2018"/>
      <c r="R815" s="2018"/>
      <c r="S815" s="2018"/>
      <c r="T815" s="2018"/>
      <c r="U815" s="2018"/>
      <c r="V815" s="2018"/>
      <c r="W815" s="2018"/>
      <c r="X815" s="2018"/>
      <c r="Y815" s="2018"/>
      <c r="Z815" s="2023"/>
      <c r="AA815" s="2023"/>
      <c r="AB815" s="1050"/>
      <c r="AC815" s="1050"/>
      <c r="AD815" s="1050"/>
      <c r="AE815" s="1050"/>
      <c r="AF815" s="1052"/>
    </row>
    <row r="816" spans="1:32" ht="16.5" thickBot="1" x14ac:dyDescent="0.3">
      <c r="A816" s="2019"/>
      <c r="B816" s="2020"/>
      <c r="C816" s="2020"/>
      <c r="D816" s="2020"/>
      <c r="E816" s="2020"/>
      <c r="F816" s="2020"/>
      <c r="G816" s="2020"/>
      <c r="H816" s="2020"/>
      <c r="I816" s="2020"/>
      <c r="J816" s="2020"/>
      <c r="K816" s="2020"/>
      <c r="L816" s="2020"/>
      <c r="M816" s="2020"/>
      <c r="N816" s="2020"/>
      <c r="O816" s="2020"/>
      <c r="P816" s="2020"/>
      <c r="Q816" s="2020"/>
      <c r="R816" s="2020"/>
      <c r="S816" s="2020"/>
      <c r="T816" s="2020"/>
      <c r="U816" s="2020"/>
      <c r="V816" s="2020"/>
      <c r="W816" s="2020"/>
      <c r="X816" s="2020"/>
      <c r="Y816" s="2020"/>
      <c r="Z816" s="2024"/>
      <c r="AA816" s="2024"/>
      <c r="AB816" s="1057"/>
      <c r="AC816" s="1057"/>
      <c r="AD816" s="1057"/>
      <c r="AE816" s="1057"/>
      <c r="AF816" s="1058"/>
    </row>
    <row r="817" spans="1:32" ht="15.75" x14ac:dyDescent="0.25">
      <c r="A817" s="2009" t="s">
        <v>1855</v>
      </c>
      <c r="B817" s="2010"/>
      <c r="C817" s="2010"/>
      <c r="D817" s="2010"/>
      <c r="E817" s="2010"/>
      <c r="F817" s="2010"/>
      <c r="G817" s="2010"/>
      <c r="H817" s="2010"/>
      <c r="I817" s="2010"/>
      <c r="J817" s="2010"/>
      <c r="K817" s="2010"/>
      <c r="L817" s="2010"/>
      <c r="M817" s="2010"/>
      <c r="N817" s="2010"/>
      <c r="O817" s="2010"/>
      <c r="P817" s="2010"/>
      <c r="Q817" s="2010"/>
      <c r="R817" s="2010"/>
      <c r="S817" s="2010"/>
      <c r="T817" s="2010"/>
      <c r="U817" s="2010"/>
      <c r="V817" s="2010"/>
      <c r="W817" s="2010"/>
      <c r="X817" s="2010"/>
      <c r="Y817" s="2010"/>
      <c r="Z817" s="2013" t="s">
        <v>1850</v>
      </c>
      <c r="AA817" s="2013"/>
      <c r="AB817" s="2013"/>
      <c r="AC817" s="2013"/>
      <c r="AD817" s="2013"/>
      <c r="AE817" s="2013"/>
      <c r="AF817" s="1059">
        <f>SUM(AF793:AF816)</f>
        <v>24</v>
      </c>
    </row>
    <row r="818" spans="1:32" ht="15.75" x14ac:dyDescent="0.25">
      <c r="A818" s="2011"/>
      <c r="B818" s="2012"/>
      <c r="C818" s="2012"/>
      <c r="D818" s="2012"/>
      <c r="E818" s="2012"/>
      <c r="F818" s="2012"/>
      <c r="G818" s="2012"/>
      <c r="H818" s="2012"/>
      <c r="I818" s="2012"/>
      <c r="J818" s="2012"/>
      <c r="K818" s="2012"/>
      <c r="L818" s="2012"/>
      <c r="M818" s="2012"/>
      <c r="N818" s="2012"/>
      <c r="O818" s="2012"/>
      <c r="P818" s="2012"/>
      <c r="Q818" s="2012"/>
      <c r="R818" s="2012"/>
      <c r="S818" s="2012"/>
      <c r="T818" s="2012"/>
      <c r="U818" s="2012"/>
      <c r="V818" s="2012"/>
      <c r="W818" s="2012"/>
      <c r="X818" s="2012"/>
      <c r="Y818" s="2012"/>
      <c r="Z818" s="2014" t="s">
        <v>1851</v>
      </c>
      <c r="AA818" s="2014"/>
      <c r="AB818" s="2014"/>
      <c r="AC818" s="2014"/>
      <c r="AD818" s="2014"/>
      <c r="AE818" s="2014"/>
      <c r="AF818" s="1060">
        <v>0</v>
      </c>
    </row>
    <row r="819" spans="1:32" ht="15.75" x14ac:dyDescent="0.25">
      <c r="A819" s="2011"/>
      <c r="B819" s="2012"/>
      <c r="C819" s="2012"/>
      <c r="D819" s="2012"/>
      <c r="E819" s="2012"/>
      <c r="F819" s="2012"/>
      <c r="G819" s="2012"/>
      <c r="H819" s="2012"/>
      <c r="I819" s="2012"/>
      <c r="J819" s="2012"/>
      <c r="K819" s="2012"/>
      <c r="L819" s="2012"/>
      <c r="M819" s="2012"/>
      <c r="N819" s="2012"/>
      <c r="O819" s="2012"/>
      <c r="P819" s="2012"/>
      <c r="Q819" s="2012"/>
      <c r="R819" s="2012"/>
      <c r="S819" s="2012"/>
      <c r="T819" s="2012"/>
      <c r="U819" s="2012"/>
      <c r="V819" s="2012"/>
      <c r="W819" s="2012"/>
      <c r="X819" s="2012"/>
      <c r="Y819" s="2012"/>
      <c r="Z819" s="2015" t="s">
        <v>1833</v>
      </c>
      <c r="AA819" s="2015"/>
      <c r="AB819" s="2015"/>
      <c r="AC819" s="2015"/>
      <c r="AD819" s="2015"/>
      <c r="AE819" s="2015"/>
      <c r="AF819" s="1061">
        <f>SUM(AF817:AF818)</f>
        <v>24</v>
      </c>
    </row>
    <row r="820" spans="1:32" x14ac:dyDescent="0.2">
      <c r="A820" s="2012" t="s">
        <v>1859</v>
      </c>
      <c r="B820" s="2012"/>
      <c r="C820" s="2012"/>
      <c r="D820" s="2012"/>
      <c r="E820" s="2012"/>
      <c r="F820" s="2012"/>
      <c r="G820" s="2012"/>
      <c r="H820" s="2012"/>
      <c r="I820" s="2012"/>
      <c r="J820" s="2012"/>
      <c r="K820" s="2012"/>
      <c r="L820" s="2012"/>
      <c r="M820" s="2012"/>
      <c r="N820" s="2012"/>
      <c r="O820" s="2012"/>
      <c r="P820" s="2012"/>
      <c r="Q820" s="2012"/>
      <c r="R820" s="2012"/>
      <c r="S820" s="2012"/>
      <c r="T820" s="2016" t="s">
        <v>1840</v>
      </c>
      <c r="U820" s="2016"/>
      <c r="V820" s="2016"/>
      <c r="W820" s="2016"/>
      <c r="X820" s="2016"/>
      <c r="Y820" s="2016"/>
      <c r="Z820" s="2016"/>
      <c r="AA820" s="2016"/>
      <c r="AB820" s="2012" t="s">
        <v>1852</v>
      </c>
      <c r="AC820" s="2012"/>
      <c r="AD820" s="2012"/>
      <c r="AE820" s="2012"/>
      <c r="AF820" s="2012"/>
    </row>
    <row r="821" spans="1:32" x14ac:dyDescent="0.2">
      <c r="A821" s="2012"/>
      <c r="B821" s="2012"/>
      <c r="C821" s="2012"/>
      <c r="D821" s="2012"/>
      <c r="E821" s="2012"/>
      <c r="F821" s="2012"/>
      <c r="G821" s="2012"/>
      <c r="H821" s="2012"/>
      <c r="I821" s="2012"/>
      <c r="J821" s="2012"/>
      <c r="K821" s="2012"/>
      <c r="L821" s="2012"/>
      <c r="M821" s="2012"/>
      <c r="N821" s="2012"/>
      <c r="O821" s="2012"/>
      <c r="P821" s="2012"/>
      <c r="Q821" s="2012"/>
      <c r="R821" s="2012"/>
      <c r="S821" s="2012"/>
      <c r="T821" s="2016"/>
      <c r="U821" s="2016"/>
      <c r="V821" s="2016"/>
      <c r="W821" s="2016"/>
      <c r="X821" s="2016"/>
      <c r="Y821" s="2016"/>
      <c r="Z821" s="2016"/>
      <c r="AA821" s="2016"/>
      <c r="AB821" s="2012"/>
      <c r="AC821" s="2012"/>
      <c r="AD821" s="2012"/>
      <c r="AE821" s="2012"/>
      <c r="AF821" s="2012"/>
    </row>
    <row r="822" spans="1:32" ht="13.5" thickBot="1" x14ac:dyDescent="0.25"/>
    <row r="823" spans="1:32" ht="24.6" customHeight="1" x14ac:dyDescent="0.2">
      <c r="A823" s="2025" t="s">
        <v>1854</v>
      </c>
      <c r="B823" s="2026"/>
      <c r="C823" s="2026"/>
      <c r="D823" s="2026"/>
      <c r="E823" s="2026"/>
      <c r="F823" s="2026"/>
      <c r="G823" s="2026"/>
      <c r="H823" s="2026"/>
      <c r="I823" s="2026"/>
      <c r="J823" s="2026"/>
      <c r="K823" s="2026"/>
      <c r="L823" s="2026"/>
      <c r="M823" s="2026"/>
      <c r="N823" s="2026"/>
      <c r="O823" s="2026"/>
      <c r="P823" s="2026"/>
      <c r="Q823" s="2026"/>
      <c r="R823" s="2026"/>
      <c r="S823" s="2026"/>
      <c r="T823" s="2026"/>
      <c r="U823" s="2026"/>
      <c r="V823" s="2026"/>
      <c r="W823" s="2026"/>
      <c r="X823" s="2026"/>
      <c r="Y823" s="2026"/>
      <c r="Z823" s="2026"/>
      <c r="AA823" s="2026"/>
      <c r="AB823" s="2026"/>
      <c r="AC823" s="2026"/>
      <c r="AD823" s="2026"/>
      <c r="AE823" s="1041" t="s">
        <v>1834</v>
      </c>
      <c r="AF823" s="1042" t="s">
        <v>1835</v>
      </c>
    </row>
    <row r="824" spans="1:32" ht="27.6" customHeight="1" thickBot="1" x14ac:dyDescent="0.25">
      <c r="A824" s="2027"/>
      <c r="B824" s="2028"/>
      <c r="C824" s="2028"/>
      <c r="D824" s="2028"/>
      <c r="E824" s="2028"/>
      <c r="F824" s="2028"/>
      <c r="G824" s="2028"/>
      <c r="H824" s="2028"/>
      <c r="I824" s="2028"/>
      <c r="J824" s="2028"/>
      <c r="K824" s="2028"/>
      <c r="L824" s="2028"/>
      <c r="M824" s="2028"/>
      <c r="N824" s="2028"/>
      <c r="O824" s="2028"/>
      <c r="P824" s="2028"/>
      <c r="Q824" s="2028"/>
      <c r="R824" s="2028"/>
      <c r="S824" s="2028"/>
      <c r="T824" s="2028"/>
      <c r="U824" s="2028"/>
      <c r="V824" s="2028"/>
      <c r="W824" s="2028"/>
      <c r="X824" s="2028"/>
      <c r="Y824" s="2028"/>
      <c r="Z824" s="2028"/>
      <c r="AA824" s="2028"/>
      <c r="AB824" s="2028"/>
      <c r="AC824" s="2028"/>
      <c r="AD824" s="2028"/>
      <c r="AE824" s="1041" t="s">
        <v>1836</v>
      </c>
      <c r="AF824" s="1044">
        <v>1</v>
      </c>
    </row>
    <row r="825" spans="1:32" ht="15.75" x14ac:dyDescent="0.2">
      <c r="A825" s="2029"/>
      <c r="B825" s="2030"/>
      <c r="C825" s="2030"/>
      <c r="D825" s="2031"/>
      <c r="E825" s="2025" t="str">
        <f>'01'!$A$12</f>
        <v>"CONSTRUCCION SISTEMA DE ACUEDUCTO FASE II DEL MUNICIPIO DE TESALIA DPTO DEL HUILA"</v>
      </c>
      <c r="F825" s="2026"/>
      <c r="G825" s="2026"/>
      <c r="H825" s="2026"/>
      <c r="I825" s="2026"/>
      <c r="J825" s="2026"/>
      <c r="K825" s="2026"/>
      <c r="L825" s="2026"/>
      <c r="M825" s="2026"/>
      <c r="N825" s="2026"/>
      <c r="O825" s="2026"/>
      <c r="P825" s="2026"/>
      <c r="Q825" s="2026"/>
      <c r="R825" s="2026"/>
      <c r="S825" s="2026"/>
      <c r="T825" s="2026"/>
      <c r="U825" s="2026"/>
      <c r="V825" s="2026"/>
      <c r="W825" s="2026"/>
      <c r="X825" s="2026"/>
      <c r="Y825" s="2026"/>
      <c r="Z825" s="2026"/>
      <c r="AA825" s="2026"/>
      <c r="AB825" s="2026"/>
      <c r="AC825" s="2026"/>
      <c r="AD825" s="2035"/>
      <c r="AE825" s="1041" t="s">
        <v>847</v>
      </c>
      <c r="AF825" s="1045">
        <f>'01'!$M$13</f>
        <v>0</v>
      </c>
    </row>
    <row r="826" spans="1:32" ht="16.5" thickBot="1" x14ac:dyDescent="0.25">
      <c r="A826" s="2032"/>
      <c r="B826" s="2033"/>
      <c r="C826" s="2033"/>
      <c r="D826" s="2034"/>
      <c r="E826" s="2027"/>
      <c r="F826" s="2028"/>
      <c r="G826" s="2028"/>
      <c r="H826" s="2028"/>
      <c r="I826" s="2028"/>
      <c r="J826" s="2028"/>
      <c r="K826" s="2028"/>
      <c r="L826" s="2028"/>
      <c r="M826" s="2028"/>
      <c r="N826" s="2028"/>
      <c r="O826" s="2028"/>
      <c r="P826" s="2028"/>
      <c r="Q826" s="2028"/>
      <c r="R826" s="2028"/>
      <c r="S826" s="2028"/>
      <c r="T826" s="2028"/>
      <c r="U826" s="2028"/>
      <c r="V826" s="2028"/>
      <c r="W826" s="2028"/>
      <c r="X826" s="2028"/>
      <c r="Y826" s="2028"/>
      <c r="Z826" s="2028"/>
      <c r="AA826" s="2028"/>
      <c r="AB826" s="2028"/>
      <c r="AC826" s="2028"/>
      <c r="AD826" s="2036"/>
      <c r="AE826" s="1041" t="s">
        <v>1837</v>
      </c>
      <c r="AF826" s="1042" t="s">
        <v>1838</v>
      </c>
    </row>
    <row r="827" spans="1:32" ht="15.75" x14ac:dyDescent="0.25">
      <c r="A827" s="2037" t="s">
        <v>1860</v>
      </c>
      <c r="B827" s="2038"/>
      <c r="C827" s="2038"/>
      <c r="D827" s="2038"/>
      <c r="E827" s="2038"/>
      <c r="F827" s="2038"/>
      <c r="G827" s="2038"/>
      <c r="H827" s="2038"/>
      <c r="I827" s="2038"/>
      <c r="J827" s="2038"/>
      <c r="K827" s="2038"/>
      <c r="L827" s="2038"/>
      <c r="M827" s="2038"/>
      <c r="N827" s="2038"/>
      <c r="O827" s="2038"/>
      <c r="P827" s="2038"/>
      <c r="Q827" s="2038"/>
      <c r="R827" s="2038"/>
      <c r="S827" s="2038"/>
      <c r="T827" s="2038"/>
      <c r="U827" s="2038"/>
      <c r="V827" s="2038"/>
      <c r="W827" s="2038"/>
      <c r="X827" s="2038"/>
      <c r="Y827" s="2038"/>
      <c r="Z827" s="2038"/>
      <c r="AA827" s="2038"/>
      <c r="AB827" s="2038"/>
      <c r="AC827" s="2038"/>
      <c r="AD827" s="2038"/>
      <c r="AE827" s="2039" t="s">
        <v>1839</v>
      </c>
      <c r="AF827" s="2040"/>
    </row>
    <row r="828" spans="1:32" ht="15.75" x14ac:dyDescent="0.25">
      <c r="A828" s="2041" t="s">
        <v>1840</v>
      </c>
      <c r="B828" s="2042"/>
      <c r="C828" s="2042"/>
      <c r="D828" s="2042"/>
      <c r="E828" s="2042"/>
      <c r="F828" s="2042"/>
      <c r="G828" s="2042"/>
      <c r="H828" s="2042"/>
      <c r="I828" s="2042"/>
      <c r="J828" s="2042"/>
      <c r="K828" s="2042"/>
      <c r="L828" s="2042"/>
      <c r="M828" s="2042"/>
      <c r="N828" s="2042"/>
      <c r="O828" s="2042"/>
      <c r="P828" s="2042"/>
      <c r="Q828" s="2042"/>
      <c r="R828" s="2042"/>
      <c r="S828" s="2042"/>
      <c r="T828" s="2042"/>
      <c r="U828" s="2042"/>
      <c r="V828" s="2042"/>
      <c r="W828" s="2042"/>
      <c r="X828" s="2042"/>
      <c r="Y828" s="2042"/>
      <c r="Z828" s="2042"/>
      <c r="AA828" s="2042"/>
      <c r="AB828" s="2042"/>
      <c r="AC828" s="2042"/>
      <c r="AD828" s="2043"/>
      <c r="AE828" s="2014" t="s">
        <v>1841</v>
      </c>
      <c r="AF828" s="2044"/>
    </row>
    <row r="829" spans="1:32" ht="15.75" x14ac:dyDescent="0.25">
      <c r="A829" s="2045" t="s">
        <v>1853</v>
      </c>
      <c r="B829" s="2046"/>
      <c r="C829" s="2046"/>
      <c r="D829" s="2046"/>
      <c r="E829" s="2046"/>
      <c r="F829" s="2046"/>
      <c r="G829" s="2046"/>
      <c r="H829" s="2046"/>
      <c r="I829" s="2046"/>
      <c r="J829" s="2046"/>
      <c r="K829" s="2046"/>
      <c r="L829" s="2046"/>
      <c r="M829" s="2046"/>
      <c r="N829" s="2046"/>
      <c r="O829" s="2046"/>
      <c r="P829" s="2046"/>
      <c r="Q829" s="2046"/>
      <c r="R829" s="2046"/>
      <c r="S829" s="2046"/>
      <c r="T829" s="2046"/>
      <c r="U829" s="2046"/>
      <c r="V829" s="2046"/>
      <c r="W829" s="2046"/>
      <c r="X829" s="2046"/>
      <c r="Y829" s="2046"/>
      <c r="Z829" s="2046"/>
      <c r="AA829" s="2046"/>
      <c r="AB829" s="2046"/>
      <c r="AC829" s="2046"/>
      <c r="AD829" s="2046"/>
      <c r="AE829" s="2047">
        <f>'01'!$M$13</f>
        <v>0</v>
      </c>
      <c r="AF829" s="2044"/>
    </row>
    <row r="830" spans="1:32" x14ac:dyDescent="0.2">
      <c r="A830" s="1046"/>
      <c r="B830" s="1047"/>
      <c r="C830" s="1047"/>
      <c r="D830" s="1047"/>
      <c r="E830" s="1047"/>
      <c r="F830" s="1047"/>
      <c r="G830" s="1047"/>
      <c r="H830" s="1047"/>
      <c r="I830" s="1047"/>
      <c r="J830" s="1047"/>
      <c r="K830" s="1047"/>
      <c r="L830" s="1047"/>
      <c r="M830" s="1047"/>
      <c r="N830" s="1047"/>
      <c r="O830" s="1047"/>
      <c r="P830" s="1047"/>
      <c r="Q830" s="1047"/>
      <c r="R830" s="1047"/>
      <c r="S830" s="1047"/>
      <c r="T830" s="1047"/>
      <c r="U830" s="1047"/>
      <c r="V830" s="1047"/>
      <c r="W830" s="1047"/>
      <c r="X830" s="1047"/>
      <c r="Y830" s="1047"/>
      <c r="Z830" s="1047"/>
      <c r="AA830" s="1047"/>
      <c r="AB830" s="1047"/>
      <c r="AC830" s="1047"/>
      <c r="AD830" s="1047"/>
      <c r="AE830" s="1047"/>
      <c r="AF830" s="1048"/>
    </row>
    <row r="831" spans="1:32" ht="15.75" x14ac:dyDescent="0.2">
      <c r="A831" s="2048" t="s">
        <v>1842</v>
      </c>
      <c r="B831" s="2049"/>
      <c r="C831" s="2049"/>
      <c r="D831" s="2049"/>
      <c r="E831" s="2049"/>
      <c r="F831" s="2050" t="str">
        <f>'01'!$H$33</f>
        <v>B - CÁMARA DE LLEGADA Y AQUIETAMIENTO DEL AGUA</v>
      </c>
      <c r="G831" s="2049"/>
      <c r="H831" s="2049"/>
      <c r="I831" s="2049"/>
      <c r="J831" s="2049"/>
      <c r="K831" s="2049"/>
      <c r="L831" s="2049"/>
      <c r="M831" s="2049"/>
      <c r="N831" s="2049"/>
      <c r="O831" s="2049"/>
      <c r="P831" s="2049"/>
      <c r="Q831" s="2049"/>
      <c r="R831" s="2049"/>
      <c r="S831" s="2049"/>
      <c r="T831" s="2049"/>
      <c r="U831" s="2049"/>
      <c r="V831" s="2049"/>
      <c r="W831" s="2049"/>
      <c r="X831" s="2049"/>
      <c r="Y831" s="2051"/>
      <c r="Z831" s="2052" t="s">
        <v>1843</v>
      </c>
      <c r="AA831" s="2053"/>
      <c r="AB831" s="2058" t="s">
        <v>1844</v>
      </c>
      <c r="AC831" s="2059"/>
      <c r="AD831" s="2060"/>
      <c r="AE831" s="2064" t="s">
        <v>1845</v>
      </c>
      <c r="AF831" s="2067" t="s">
        <v>1846</v>
      </c>
    </row>
    <row r="832" spans="1:32" x14ac:dyDescent="0.2">
      <c r="A832" s="2070" t="str">
        <f>'01'!A54</f>
        <v>B-08-01</v>
      </c>
      <c r="B832" s="2071"/>
      <c r="C832" s="2072"/>
      <c r="D832" s="2076" t="str">
        <f>VLOOKUP(A832,'01'!$A$12:$N$299,3,FALSE)</f>
        <v>SUMINISTRO E INSTALACIÓN DE CINTA PVC DE 0.15 METROS PARA JUNTA DE CONSTRUCCION EN TANQUES.</v>
      </c>
      <c r="E832" s="2077"/>
      <c r="F832" s="2077"/>
      <c r="G832" s="2077"/>
      <c r="H832" s="2077"/>
      <c r="I832" s="2077"/>
      <c r="J832" s="2077"/>
      <c r="K832" s="2077"/>
      <c r="L832" s="2077"/>
      <c r="M832" s="2077"/>
      <c r="N832" s="2077"/>
      <c r="O832" s="2077"/>
      <c r="P832" s="2077"/>
      <c r="Q832" s="2077"/>
      <c r="R832" s="2077"/>
      <c r="S832" s="2078"/>
      <c r="T832" s="2082" t="s">
        <v>124</v>
      </c>
      <c r="U832" s="2083"/>
      <c r="V832" s="2083"/>
      <c r="W832" s="2083"/>
      <c r="X832" s="2052" t="str">
        <f>VLOOKUP(A832,'01'!$A$12:$N$299,9,FALSE)</f>
        <v>ML</v>
      </c>
      <c r="Y832" s="2053"/>
      <c r="Z832" s="2054"/>
      <c r="AA832" s="2055"/>
      <c r="AB832" s="2061"/>
      <c r="AC832" s="2062"/>
      <c r="AD832" s="2063"/>
      <c r="AE832" s="2065"/>
      <c r="AF832" s="2068"/>
    </row>
    <row r="833" spans="1:32" ht="15.75" x14ac:dyDescent="0.25">
      <c r="A833" s="2073"/>
      <c r="B833" s="2074"/>
      <c r="C833" s="2075"/>
      <c r="D833" s="2079"/>
      <c r="E833" s="2080"/>
      <c r="F833" s="2080"/>
      <c r="G833" s="2080"/>
      <c r="H833" s="2080"/>
      <c r="I833" s="2080"/>
      <c r="J833" s="2080"/>
      <c r="K833" s="2080"/>
      <c r="L833" s="2080"/>
      <c r="M833" s="2080"/>
      <c r="N833" s="2080"/>
      <c r="O833" s="2080"/>
      <c r="P833" s="2080"/>
      <c r="Q833" s="2080"/>
      <c r="R833" s="2080"/>
      <c r="S833" s="2081"/>
      <c r="T833" s="2084"/>
      <c r="U833" s="2085"/>
      <c r="V833" s="2085"/>
      <c r="W833" s="2085"/>
      <c r="X833" s="2056"/>
      <c r="Y833" s="2057"/>
      <c r="Z833" s="2056"/>
      <c r="AA833" s="2057"/>
      <c r="AB833" s="1049" t="s">
        <v>1847</v>
      </c>
      <c r="AC833" s="1049" t="s">
        <v>1848</v>
      </c>
      <c r="AD833" s="1049" t="s">
        <v>1861</v>
      </c>
      <c r="AE833" s="2066"/>
      <c r="AF833" s="2069"/>
    </row>
    <row r="834" spans="1:32" ht="30" customHeight="1" x14ac:dyDescent="0.25">
      <c r="A834" s="2017"/>
      <c r="B834" s="2018"/>
      <c r="C834" s="2018"/>
      <c r="D834" s="2018"/>
      <c r="E834" s="2018"/>
      <c r="F834" s="2018"/>
      <c r="G834" s="2018"/>
      <c r="H834" s="2018"/>
      <c r="I834" s="2018"/>
      <c r="J834" s="2018"/>
      <c r="K834" s="2018"/>
      <c r="L834" s="2018"/>
      <c r="M834" s="2018"/>
      <c r="N834" s="2018"/>
      <c r="O834" s="2018"/>
      <c r="P834" s="2018"/>
      <c r="Q834" s="2018"/>
      <c r="R834" s="2018"/>
      <c r="S834" s="2018"/>
      <c r="T834" s="2018"/>
      <c r="U834" s="2018"/>
      <c r="V834" s="2018"/>
      <c r="W834" s="2018"/>
      <c r="X834" s="2018"/>
      <c r="Y834" s="2018"/>
      <c r="Z834" s="2108" t="s">
        <v>1095</v>
      </c>
      <c r="AA834" s="2109"/>
      <c r="AB834" s="1151">
        <f>1*4</f>
        <v>4</v>
      </c>
      <c r="AC834" s="1050"/>
      <c r="AD834" s="1050"/>
      <c r="AE834" s="1050">
        <v>1</v>
      </c>
      <c r="AF834" s="1052">
        <f>ROUND(AE834*AB834,2)</f>
        <v>4</v>
      </c>
    </row>
    <row r="835" spans="1:32" ht="30" customHeight="1" x14ac:dyDescent="0.25">
      <c r="A835" s="2017"/>
      <c r="B835" s="2018"/>
      <c r="C835" s="2018"/>
      <c r="D835" s="2018"/>
      <c r="E835" s="2018"/>
      <c r="F835" s="2018"/>
      <c r="G835" s="2018"/>
      <c r="H835" s="2018"/>
      <c r="I835" s="2018"/>
      <c r="J835" s="2018"/>
      <c r="K835" s="2018"/>
      <c r="L835" s="2018"/>
      <c r="M835" s="2018"/>
      <c r="N835" s="2018"/>
      <c r="O835" s="2018"/>
      <c r="P835" s="2018"/>
      <c r="Q835" s="2018"/>
      <c r="R835" s="2018"/>
      <c r="S835" s="2018"/>
      <c r="T835" s="2018"/>
      <c r="U835" s="2018"/>
      <c r="V835" s="2018"/>
      <c r="W835" s="2018"/>
      <c r="X835" s="2018"/>
      <c r="Y835" s="2018"/>
      <c r="Z835" s="2106" t="s">
        <v>2297</v>
      </c>
      <c r="AA835" s="2107"/>
      <c r="AB835" s="1151">
        <f>1.4+1.2+1.4+1.2</f>
        <v>5.1999999999999993</v>
      </c>
      <c r="AC835" s="1050"/>
      <c r="AD835" s="1050"/>
      <c r="AE835" s="1050">
        <v>1</v>
      </c>
      <c r="AF835" s="1052">
        <f t="shared" ref="AF835:AF838" si="18">ROUND(AE835*AB835,2)</f>
        <v>5.2</v>
      </c>
    </row>
    <row r="836" spans="1:32" ht="30" customHeight="1" x14ac:dyDescent="0.25">
      <c r="A836" s="2017"/>
      <c r="B836" s="2018"/>
      <c r="C836" s="2018"/>
      <c r="D836" s="2018"/>
      <c r="E836" s="2018"/>
      <c r="F836" s="2018"/>
      <c r="G836" s="2018"/>
      <c r="H836" s="2018"/>
      <c r="I836" s="2018"/>
      <c r="J836" s="2018"/>
      <c r="K836" s="2018"/>
      <c r="L836" s="2018"/>
      <c r="M836" s="2018"/>
      <c r="N836" s="2018"/>
      <c r="O836" s="2018"/>
      <c r="P836" s="2018"/>
      <c r="Q836" s="2018"/>
      <c r="R836" s="2018"/>
      <c r="S836" s="2018"/>
      <c r="T836" s="2018"/>
      <c r="U836" s="2018"/>
      <c r="V836" s="2018"/>
      <c r="W836" s="2018"/>
      <c r="X836" s="2018"/>
      <c r="Y836" s="2018"/>
      <c r="Z836" s="2106" t="s">
        <v>1096</v>
      </c>
      <c r="AA836" s="2107"/>
      <c r="AB836" s="1151">
        <f>3+3+1.2+1.2+1.2</f>
        <v>9.6</v>
      </c>
      <c r="AC836" s="1050"/>
      <c r="AD836" s="1050"/>
      <c r="AE836" s="1050">
        <v>1</v>
      </c>
      <c r="AF836" s="1052">
        <f t="shared" si="18"/>
        <v>9.6</v>
      </c>
    </row>
    <row r="837" spans="1:32" ht="30" customHeight="1" x14ac:dyDescent="0.25">
      <c r="A837" s="2017"/>
      <c r="B837" s="2018"/>
      <c r="C837" s="2018"/>
      <c r="D837" s="2018"/>
      <c r="E837" s="2018"/>
      <c r="F837" s="2018"/>
      <c r="G837" s="2018"/>
      <c r="H837" s="2018"/>
      <c r="I837" s="2018"/>
      <c r="J837" s="2018"/>
      <c r="K837" s="2018"/>
      <c r="L837" s="2018"/>
      <c r="M837" s="2018"/>
      <c r="N837" s="2018"/>
      <c r="O837" s="2018"/>
      <c r="P837" s="2018"/>
      <c r="Q837" s="2018"/>
      <c r="R837" s="2018"/>
      <c r="S837" s="2018"/>
      <c r="T837" s="2018"/>
      <c r="U837" s="2018"/>
      <c r="V837" s="2018"/>
      <c r="W837" s="2018"/>
      <c r="X837" s="2018"/>
      <c r="Y837" s="2018"/>
      <c r="Z837" s="2106" t="s">
        <v>1097</v>
      </c>
      <c r="AA837" s="2107"/>
      <c r="AB837" s="1151">
        <f>1.8+1.8+1.8+1.8+9.6+9.6+9.6</f>
        <v>36</v>
      </c>
      <c r="AC837" s="1050"/>
      <c r="AD837" s="1050"/>
      <c r="AE837" s="1050">
        <v>1</v>
      </c>
      <c r="AF837" s="1052">
        <f t="shared" si="18"/>
        <v>36</v>
      </c>
    </row>
    <row r="838" spans="1:32" ht="30" customHeight="1" x14ac:dyDescent="0.25">
      <c r="A838" s="2017"/>
      <c r="B838" s="2018"/>
      <c r="C838" s="2018"/>
      <c r="D838" s="2018"/>
      <c r="E838" s="2018"/>
      <c r="F838" s="2018"/>
      <c r="G838" s="2018"/>
      <c r="H838" s="2018"/>
      <c r="I838" s="2018"/>
      <c r="J838" s="2018"/>
      <c r="K838" s="2018"/>
      <c r="L838" s="2018"/>
      <c r="M838" s="2018"/>
      <c r="N838" s="2018"/>
      <c r="O838" s="2018"/>
      <c r="P838" s="2018"/>
      <c r="Q838" s="2018"/>
      <c r="R838" s="2018"/>
      <c r="S838" s="2018"/>
      <c r="T838" s="2018"/>
      <c r="U838" s="2018"/>
      <c r="V838" s="2018"/>
      <c r="W838" s="2018"/>
      <c r="X838" s="2018"/>
      <c r="Y838" s="2018"/>
      <c r="Z838" s="2106" t="s">
        <v>1098</v>
      </c>
      <c r="AA838" s="2107"/>
      <c r="AB838" s="1151">
        <f>4.1+4.1+1.55+1.55+1.55+1.55</f>
        <v>14.400000000000002</v>
      </c>
      <c r="AC838" s="1050"/>
      <c r="AD838" s="1050"/>
      <c r="AE838" s="1050">
        <v>1</v>
      </c>
      <c r="AF838" s="1052">
        <f t="shared" si="18"/>
        <v>14.4</v>
      </c>
    </row>
    <row r="839" spans="1:32" ht="15.75" x14ac:dyDescent="0.25">
      <c r="A839" s="2017"/>
      <c r="B839" s="2018"/>
      <c r="C839" s="2018"/>
      <c r="D839" s="2018"/>
      <c r="E839" s="2018"/>
      <c r="F839" s="2018"/>
      <c r="G839" s="2018"/>
      <c r="H839" s="2018"/>
      <c r="I839" s="2018"/>
      <c r="J839" s="2018"/>
      <c r="K839" s="2018"/>
      <c r="L839" s="2018"/>
      <c r="M839" s="2018"/>
      <c r="N839" s="2018"/>
      <c r="O839" s="2018"/>
      <c r="P839" s="2018"/>
      <c r="Q839" s="2018"/>
      <c r="R839" s="2018"/>
      <c r="S839" s="2018"/>
      <c r="T839" s="2018"/>
      <c r="U839" s="2018"/>
      <c r="V839" s="2018"/>
      <c r="W839" s="2018"/>
      <c r="X839" s="2018"/>
      <c r="Y839" s="2018"/>
      <c r="Z839" s="2105"/>
      <c r="AA839" s="2105"/>
      <c r="AB839" s="1050"/>
      <c r="AC839" s="1050"/>
      <c r="AD839" s="1050"/>
      <c r="AE839" s="1050"/>
      <c r="AF839" s="1052"/>
    </row>
    <row r="840" spans="1:32" ht="15.75" x14ac:dyDescent="0.25">
      <c r="A840" s="2017"/>
      <c r="B840" s="2018"/>
      <c r="C840" s="2018"/>
      <c r="D840" s="2018"/>
      <c r="E840" s="2018"/>
      <c r="F840" s="2018"/>
      <c r="G840" s="2018"/>
      <c r="H840" s="2018"/>
      <c r="I840" s="2018"/>
      <c r="J840" s="2018"/>
      <c r="K840" s="2018"/>
      <c r="L840" s="2018"/>
      <c r="M840" s="2018"/>
      <c r="N840" s="2018"/>
      <c r="O840" s="2018"/>
      <c r="P840" s="2018"/>
      <c r="Q840" s="2018"/>
      <c r="R840" s="2018"/>
      <c r="S840" s="2018"/>
      <c r="T840" s="2018"/>
      <c r="U840" s="2018"/>
      <c r="V840" s="2018"/>
      <c r="W840" s="2018"/>
      <c r="X840" s="2018"/>
      <c r="Y840" s="2018"/>
      <c r="Z840" s="2105"/>
      <c r="AA840" s="2105"/>
      <c r="AB840" s="1050"/>
      <c r="AC840" s="1050"/>
      <c r="AD840" s="1050"/>
      <c r="AE840" s="1050"/>
      <c r="AF840" s="1052"/>
    </row>
    <row r="841" spans="1:32" ht="15.75" x14ac:dyDescent="0.25">
      <c r="A841" s="2017"/>
      <c r="B841" s="2018"/>
      <c r="C841" s="2018"/>
      <c r="D841" s="2018"/>
      <c r="E841" s="2018"/>
      <c r="F841" s="2018"/>
      <c r="G841" s="2018"/>
      <c r="H841" s="2018"/>
      <c r="I841" s="2018"/>
      <c r="J841" s="2018"/>
      <c r="K841" s="2018"/>
      <c r="L841" s="2018"/>
      <c r="M841" s="2018"/>
      <c r="N841" s="2018"/>
      <c r="O841" s="2018"/>
      <c r="P841" s="2018"/>
      <c r="Q841" s="2018"/>
      <c r="R841" s="2018"/>
      <c r="S841" s="2018"/>
      <c r="T841" s="2018"/>
      <c r="U841" s="2018"/>
      <c r="V841" s="2018"/>
      <c r="W841" s="2018"/>
      <c r="X841" s="2018"/>
      <c r="Y841" s="2018"/>
      <c r="Z841" s="2105"/>
      <c r="AA841" s="2105"/>
      <c r="AB841" s="1050"/>
      <c r="AC841" s="1050"/>
      <c r="AD841" s="1050"/>
      <c r="AE841" s="1050"/>
      <c r="AF841" s="1052"/>
    </row>
    <row r="842" spans="1:32" ht="15.75" x14ac:dyDescent="0.25">
      <c r="A842" s="2017"/>
      <c r="B842" s="2018"/>
      <c r="C842" s="2018"/>
      <c r="D842" s="2018"/>
      <c r="E842" s="2018"/>
      <c r="F842" s="2018"/>
      <c r="G842" s="2018"/>
      <c r="H842" s="2018"/>
      <c r="I842" s="2018"/>
      <c r="J842" s="2018"/>
      <c r="K842" s="2018"/>
      <c r="L842" s="2018"/>
      <c r="M842" s="2018"/>
      <c r="N842" s="2018"/>
      <c r="O842" s="2018"/>
      <c r="P842" s="2018"/>
      <c r="Q842" s="2018"/>
      <c r="R842" s="2018"/>
      <c r="S842" s="2018"/>
      <c r="T842" s="2018"/>
      <c r="U842" s="2018"/>
      <c r="V842" s="2018"/>
      <c r="W842" s="2018"/>
      <c r="X842" s="2018"/>
      <c r="Y842" s="2018"/>
      <c r="Z842" s="2105"/>
      <c r="AA842" s="2105"/>
      <c r="AB842" s="1050"/>
      <c r="AC842" s="1050"/>
      <c r="AD842" s="1050"/>
      <c r="AE842" s="1050"/>
      <c r="AF842" s="1052"/>
    </row>
    <row r="843" spans="1:32" ht="15.75" x14ac:dyDescent="0.25">
      <c r="A843" s="2017"/>
      <c r="B843" s="2018"/>
      <c r="C843" s="2018"/>
      <c r="D843" s="2018"/>
      <c r="E843" s="2018"/>
      <c r="F843" s="2018"/>
      <c r="G843" s="2018"/>
      <c r="H843" s="2018"/>
      <c r="I843" s="2018"/>
      <c r="J843" s="2018"/>
      <c r="K843" s="2018"/>
      <c r="L843" s="2018"/>
      <c r="M843" s="2018"/>
      <c r="N843" s="2018"/>
      <c r="O843" s="2018"/>
      <c r="P843" s="2018"/>
      <c r="Q843" s="2018"/>
      <c r="R843" s="2018"/>
      <c r="S843" s="2018"/>
      <c r="T843" s="2018"/>
      <c r="U843" s="2018"/>
      <c r="V843" s="2018"/>
      <c r="W843" s="2018"/>
      <c r="X843" s="2018"/>
      <c r="Y843" s="2018"/>
      <c r="Z843" s="2105"/>
      <c r="AA843" s="2105"/>
      <c r="AB843" s="1050"/>
      <c r="AC843" s="1050"/>
      <c r="AD843" s="1050"/>
      <c r="AE843" s="1050"/>
      <c r="AF843" s="1052"/>
    </row>
    <row r="844" spans="1:32" ht="15.75" x14ac:dyDescent="0.25">
      <c r="A844" s="2017"/>
      <c r="B844" s="2018"/>
      <c r="C844" s="2018"/>
      <c r="D844" s="2018"/>
      <c r="E844" s="2018"/>
      <c r="F844" s="2018"/>
      <c r="G844" s="2018"/>
      <c r="H844" s="2018"/>
      <c r="I844" s="2018"/>
      <c r="J844" s="2018"/>
      <c r="K844" s="2018"/>
      <c r="L844" s="2018"/>
      <c r="M844" s="2018"/>
      <c r="N844" s="2018"/>
      <c r="O844" s="2018"/>
      <c r="P844" s="2018"/>
      <c r="Q844" s="2018"/>
      <c r="R844" s="2018"/>
      <c r="S844" s="2018"/>
      <c r="T844" s="2018"/>
      <c r="U844" s="2018"/>
      <c r="V844" s="2018"/>
      <c r="W844" s="2018"/>
      <c r="X844" s="2018"/>
      <c r="Y844" s="2018"/>
      <c r="Z844" s="2105"/>
      <c r="AA844" s="2105"/>
      <c r="AB844" s="1050"/>
      <c r="AC844" s="1050"/>
      <c r="AD844" s="1050"/>
      <c r="AE844" s="1050"/>
      <c r="AF844" s="1052"/>
    </row>
    <row r="845" spans="1:32" ht="15.75" x14ac:dyDescent="0.25">
      <c r="A845" s="2017"/>
      <c r="B845" s="2018"/>
      <c r="C845" s="2018"/>
      <c r="D845" s="2018"/>
      <c r="E845" s="2018"/>
      <c r="F845" s="2018"/>
      <c r="G845" s="2018"/>
      <c r="H845" s="2018"/>
      <c r="I845" s="2018"/>
      <c r="J845" s="2018"/>
      <c r="K845" s="2018"/>
      <c r="L845" s="2018"/>
      <c r="M845" s="2018"/>
      <c r="N845" s="2018"/>
      <c r="O845" s="2018"/>
      <c r="P845" s="2018"/>
      <c r="Q845" s="2018"/>
      <c r="R845" s="2018"/>
      <c r="S845" s="2018"/>
      <c r="T845" s="2018"/>
      <c r="U845" s="2018"/>
      <c r="V845" s="2018"/>
      <c r="W845" s="2018"/>
      <c r="X845" s="2018"/>
      <c r="Y845" s="2018"/>
      <c r="Z845" s="2105"/>
      <c r="AA845" s="2105"/>
      <c r="AB845" s="1050"/>
      <c r="AC845" s="1050"/>
      <c r="AD845" s="1050"/>
      <c r="AE845" s="1050"/>
      <c r="AF845" s="1052"/>
    </row>
    <row r="846" spans="1:32" ht="15.75" x14ac:dyDescent="0.25">
      <c r="A846" s="2017"/>
      <c r="B846" s="2018"/>
      <c r="C846" s="2018"/>
      <c r="D846" s="2018"/>
      <c r="E846" s="2018"/>
      <c r="F846" s="2018"/>
      <c r="G846" s="2018"/>
      <c r="H846" s="2018"/>
      <c r="I846" s="2018"/>
      <c r="J846" s="2018"/>
      <c r="K846" s="2018"/>
      <c r="L846" s="2018"/>
      <c r="M846" s="2018"/>
      <c r="N846" s="2018"/>
      <c r="O846" s="2018"/>
      <c r="P846" s="2018"/>
      <c r="Q846" s="2018"/>
      <c r="R846" s="2018"/>
      <c r="S846" s="2018"/>
      <c r="T846" s="2018"/>
      <c r="U846" s="2018"/>
      <c r="V846" s="2018"/>
      <c r="W846" s="2018"/>
      <c r="X846" s="2018"/>
      <c r="Y846" s="2018"/>
      <c r="Z846" s="2105"/>
      <c r="AA846" s="2105"/>
      <c r="AB846" s="1050"/>
      <c r="AC846" s="1050"/>
      <c r="AD846" s="1050"/>
      <c r="AE846" s="1050"/>
      <c r="AF846" s="1052"/>
    </row>
    <row r="847" spans="1:32" ht="15.75" x14ac:dyDescent="0.25">
      <c r="A847" s="2017"/>
      <c r="B847" s="2018"/>
      <c r="C847" s="2018"/>
      <c r="D847" s="2018"/>
      <c r="E847" s="2018"/>
      <c r="F847" s="2018"/>
      <c r="G847" s="2018"/>
      <c r="H847" s="2018"/>
      <c r="I847" s="2018"/>
      <c r="J847" s="2018"/>
      <c r="K847" s="2018"/>
      <c r="L847" s="2018"/>
      <c r="M847" s="2018"/>
      <c r="N847" s="2018"/>
      <c r="O847" s="2018"/>
      <c r="P847" s="2018"/>
      <c r="Q847" s="2018"/>
      <c r="R847" s="2018"/>
      <c r="S847" s="2018"/>
      <c r="T847" s="2018"/>
      <c r="U847" s="2018"/>
      <c r="V847" s="2018"/>
      <c r="W847" s="2018"/>
      <c r="X847" s="2018"/>
      <c r="Y847" s="2018"/>
      <c r="Z847" s="2022"/>
      <c r="AA847" s="2022"/>
      <c r="AB847" s="1050"/>
      <c r="AC847" s="1050"/>
      <c r="AD847" s="1050"/>
      <c r="AE847" s="1050"/>
      <c r="AF847" s="1052"/>
    </row>
    <row r="848" spans="1:32" ht="15.75" x14ac:dyDescent="0.25">
      <c r="A848" s="2017"/>
      <c r="B848" s="2018"/>
      <c r="C848" s="2018"/>
      <c r="D848" s="2018"/>
      <c r="E848" s="2018"/>
      <c r="F848" s="2018"/>
      <c r="G848" s="2018"/>
      <c r="H848" s="2018"/>
      <c r="I848" s="2018"/>
      <c r="J848" s="2018"/>
      <c r="K848" s="2018"/>
      <c r="L848" s="2018"/>
      <c r="M848" s="2018"/>
      <c r="N848" s="2018"/>
      <c r="O848" s="2018"/>
      <c r="P848" s="2018"/>
      <c r="Q848" s="2018"/>
      <c r="R848" s="2018"/>
      <c r="S848" s="2018"/>
      <c r="T848" s="2018"/>
      <c r="U848" s="2018"/>
      <c r="V848" s="2018"/>
      <c r="W848" s="2018"/>
      <c r="X848" s="2018"/>
      <c r="Y848" s="2018"/>
      <c r="Z848" s="2022"/>
      <c r="AA848" s="2022"/>
      <c r="AB848" s="1050"/>
      <c r="AC848" s="1050"/>
      <c r="AD848" s="1050"/>
      <c r="AE848" s="1050"/>
      <c r="AF848" s="1052"/>
    </row>
    <row r="849" spans="1:32" ht="15.75" x14ac:dyDescent="0.25">
      <c r="A849" s="2017"/>
      <c r="B849" s="2018"/>
      <c r="C849" s="2018"/>
      <c r="D849" s="2018"/>
      <c r="E849" s="2018"/>
      <c r="F849" s="2018"/>
      <c r="G849" s="2018"/>
      <c r="H849" s="2018"/>
      <c r="I849" s="2018"/>
      <c r="J849" s="2018"/>
      <c r="K849" s="2018"/>
      <c r="L849" s="2018"/>
      <c r="M849" s="2018"/>
      <c r="N849" s="2018"/>
      <c r="O849" s="2018"/>
      <c r="P849" s="2018"/>
      <c r="Q849" s="2018"/>
      <c r="R849" s="2018"/>
      <c r="S849" s="2018"/>
      <c r="T849" s="2018"/>
      <c r="U849" s="2018"/>
      <c r="V849" s="2018"/>
      <c r="W849" s="2018"/>
      <c r="X849" s="2018"/>
      <c r="Y849" s="2018"/>
      <c r="Z849" s="2022"/>
      <c r="AA849" s="2022"/>
      <c r="AB849" s="1050"/>
      <c r="AC849" s="1050"/>
      <c r="AD849" s="1050"/>
      <c r="AE849" s="1050"/>
      <c r="AF849" s="1052"/>
    </row>
    <row r="850" spans="1:32" ht="15.75" x14ac:dyDescent="0.25">
      <c r="A850" s="2017"/>
      <c r="B850" s="2018"/>
      <c r="C850" s="2018"/>
      <c r="D850" s="2018"/>
      <c r="E850" s="2018"/>
      <c r="F850" s="2018"/>
      <c r="G850" s="2018"/>
      <c r="H850" s="2018"/>
      <c r="I850" s="2018"/>
      <c r="J850" s="2018"/>
      <c r="K850" s="2018"/>
      <c r="L850" s="2018"/>
      <c r="M850" s="2018"/>
      <c r="N850" s="2018"/>
      <c r="O850" s="2018"/>
      <c r="P850" s="2018"/>
      <c r="Q850" s="2018"/>
      <c r="R850" s="2018"/>
      <c r="S850" s="2018"/>
      <c r="T850" s="2018"/>
      <c r="U850" s="2018"/>
      <c r="V850" s="2018"/>
      <c r="W850" s="2018"/>
      <c r="X850" s="2018"/>
      <c r="Y850" s="2018"/>
      <c r="Z850" s="2022"/>
      <c r="AA850" s="2022"/>
      <c r="AB850" s="1050"/>
      <c r="AC850" s="1050"/>
      <c r="AD850" s="1050"/>
      <c r="AE850" s="1050"/>
      <c r="AF850" s="1052"/>
    </row>
    <row r="851" spans="1:32" ht="15.75" x14ac:dyDescent="0.25">
      <c r="A851" s="2017"/>
      <c r="B851" s="2018"/>
      <c r="C851" s="2018"/>
      <c r="D851" s="2018"/>
      <c r="E851" s="2018"/>
      <c r="F851" s="2018"/>
      <c r="G851" s="2018"/>
      <c r="H851" s="2018"/>
      <c r="I851" s="2018"/>
      <c r="J851" s="2018"/>
      <c r="K851" s="2018"/>
      <c r="L851" s="2018"/>
      <c r="M851" s="2018"/>
      <c r="N851" s="2018"/>
      <c r="O851" s="2018"/>
      <c r="P851" s="2018"/>
      <c r="Q851" s="2018"/>
      <c r="R851" s="2018"/>
      <c r="S851" s="2018"/>
      <c r="T851" s="2018"/>
      <c r="U851" s="2018"/>
      <c r="V851" s="2018"/>
      <c r="W851" s="2018"/>
      <c r="X851" s="2018"/>
      <c r="Y851" s="2018"/>
      <c r="Z851" s="2023"/>
      <c r="AA851" s="2023"/>
      <c r="AB851" s="1050"/>
      <c r="AC851" s="1050"/>
      <c r="AD851" s="1050"/>
      <c r="AE851" s="1050"/>
      <c r="AF851" s="1052"/>
    </row>
    <row r="852" spans="1:32" ht="15.75" x14ac:dyDescent="0.25">
      <c r="A852" s="2017"/>
      <c r="B852" s="2018"/>
      <c r="C852" s="2018"/>
      <c r="D852" s="2018"/>
      <c r="E852" s="2018"/>
      <c r="F852" s="2018"/>
      <c r="G852" s="2018"/>
      <c r="H852" s="2018"/>
      <c r="I852" s="2018"/>
      <c r="J852" s="2018"/>
      <c r="K852" s="2018"/>
      <c r="L852" s="2018"/>
      <c r="M852" s="2018"/>
      <c r="N852" s="2018"/>
      <c r="O852" s="2018"/>
      <c r="P852" s="2018"/>
      <c r="Q852" s="2018"/>
      <c r="R852" s="2018"/>
      <c r="S852" s="2018"/>
      <c r="T852" s="2018"/>
      <c r="U852" s="2018"/>
      <c r="V852" s="2018"/>
      <c r="W852" s="2018"/>
      <c r="X852" s="2018"/>
      <c r="Y852" s="2018"/>
      <c r="Z852" s="2023"/>
      <c r="AA852" s="2023"/>
      <c r="AB852" s="1050"/>
      <c r="AC852" s="1050"/>
      <c r="AD852" s="1050"/>
      <c r="AE852" s="1050"/>
      <c r="AF852" s="1052"/>
    </row>
    <row r="853" spans="1:32" ht="15.75" x14ac:dyDescent="0.25">
      <c r="A853" s="2017"/>
      <c r="B853" s="2018"/>
      <c r="C853" s="2018"/>
      <c r="D853" s="2018"/>
      <c r="E853" s="2018"/>
      <c r="F853" s="2018"/>
      <c r="G853" s="2018"/>
      <c r="H853" s="2018"/>
      <c r="I853" s="2018"/>
      <c r="J853" s="2018"/>
      <c r="K853" s="2018"/>
      <c r="L853" s="2018"/>
      <c r="M853" s="2018"/>
      <c r="N853" s="2018"/>
      <c r="O853" s="2018"/>
      <c r="P853" s="2018"/>
      <c r="Q853" s="2018"/>
      <c r="R853" s="2018"/>
      <c r="S853" s="2018"/>
      <c r="T853" s="2018"/>
      <c r="U853" s="2018"/>
      <c r="V853" s="2018"/>
      <c r="W853" s="2018"/>
      <c r="X853" s="2018"/>
      <c r="Y853" s="2018"/>
      <c r="Z853" s="2023"/>
      <c r="AA853" s="2023"/>
      <c r="AB853" s="1050"/>
      <c r="AC853" s="1050"/>
      <c r="AD853" s="1050"/>
      <c r="AE853" s="1050"/>
      <c r="AF853" s="1052"/>
    </row>
    <row r="854" spans="1:32" ht="15.75" x14ac:dyDescent="0.25">
      <c r="A854" s="2017"/>
      <c r="B854" s="2018"/>
      <c r="C854" s="2018"/>
      <c r="D854" s="2018"/>
      <c r="E854" s="2018"/>
      <c r="F854" s="2018"/>
      <c r="G854" s="2018"/>
      <c r="H854" s="2018"/>
      <c r="I854" s="2018"/>
      <c r="J854" s="2018"/>
      <c r="K854" s="2018"/>
      <c r="L854" s="2018"/>
      <c r="M854" s="2018"/>
      <c r="N854" s="2018"/>
      <c r="O854" s="2018"/>
      <c r="P854" s="2018"/>
      <c r="Q854" s="2018"/>
      <c r="R854" s="2018"/>
      <c r="S854" s="2018"/>
      <c r="T854" s="2018"/>
      <c r="U854" s="2018"/>
      <c r="V854" s="2018"/>
      <c r="W854" s="2018"/>
      <c r="X854" s="2018"/>
      <c r="Y854" s="2018"/>
      <c r="Z854" s="2023"/>
      <c r="AA854" s="2023"/>
      <c r="AB854" s="1050"/>
      <c r="AC854" s="1050"/>
      <c r="AD854" s="1050"/>
      <c r="AE854" s="1050"/>
      <c r="AF854" s="1052"/>
    </row>
    <row r="855" spans="1:32" ht="15.75" x14ac:dyDescent="0.25">
      <c r="A855" s="2017"/>
      <c r="B855" s="2018"/>
      <c r="C855" s="2018"/>
      <c r="D855" s="2018"/>
      <c r="E855" s="2018"/>
      <c r="F855" s="2018"/>
      <c r="G855" s="2018"/>
      <c r="H855" s="2018"/>
      <c r="I855" s="2018"/>
      <c r="J855" s="2018"/>
      <c r="K855" s="2018"/>
      <c r="L855" s="2018"/>
      <c r="M855" s="2018"/>
      <c r="N855" s="2018"/>
      <c r="O855" s="2018"/>
      <c r="P855" s="2018"/>
      <c r="Q855" s="2018"/>
      <c r="R855" s="2018"/>
      <c r="S855" s="2018"/>
      <c r="T855" s="2018"/>
      <c r="U855" s="2018"/>
      <c r="V855" s="2018"/>
      <c r="W855" s="2018"/>
      <c r="X855" s="2018"/>
      <c r="Y855" s="2018"/>
      <c r="Z855" s="2023"/>
      <c r="AA855" s="2023"/>
      <c r="AB855" s="1050"/>
      <c r="AC855" s="1050"/>
      <c r="AD855" s="1050"/>
      <c r="AE855" s="1050"/>
      <c r="AF855" s="1052"/>
    </row>
    <row r="856" spans="1:32" ht="15.75" x14ac:dyDescent="0.25">
      <c r="A856" s="2017"/>
      <c r="B856" s="2018"/>
      <c r="C856" s="2018"/>
      <c r="D856" s="2018"/>
      <c r="E856" s="2018"/>
      <c r="F856" s="2018"/>
      <c r="G856" s="2018"/>
      <c r="H856" s="2018"/>
      <c r="I856" s="2018"/>
      <c r="J856" s="2018"/>
      <c r="K856" s="2018"/>
      <c r="L856" s="2018"/>
      <c r="M856" s="2018"/>
      <c r="N856" s="2018"/>
      <c r="O856" s="2018"/>
      <c r="P856" s="2018"/>
      <c r="Q856" s="2018"/>
      <c r="R856" s="2018"/>
      <c r="S856" s="2018"/>
      <c r="T856" s="2018"/>
      <c r="U856" s="2018"/>
      <c r="V856" s="2018"/>
      <c r="W856" s="2018"/>
      <c r="X856" s="2018"/>
      <c r="Y856" s="2018"/>
      <c r="Z856" s="2023"/>
      <c r="AA856" s="2023"/>
      <c r="AB856" s="1050"/>
      <c r="AC856" s="1050"/>
      <c r="AD856" s="1050"/>
      <c r="AE856" s="1050"/>
      <c r="AF856" s="1052"/>
    </row>
    <row r="857" spans="1:32" ht="16.5" thickBot="1" x14ac:dyDescent="0.3">
      <c r="A857" s="2019"/>
      <c r="B857" s="2020"/>
      <c r="C857" s="2020"/>
      <c r="D857" s="2020"/>
      <c r="E857" s="2020"/>
      <c r="F857" s="2020"/>
      <c r="G857" s="2020"/>
      <c r="H857" s="2020"/>
      <c r="I857" s="2020"/>
      <c r="J857" s="2020"/>
      <c r="K857" s="2020"/>
      <c r="L857" s="2020"/>
      <c r="M857" s="2020"/>
      <c r="N857" s="2020"/>
      <c r="O857" s="2020"/>
      <c r="P857" s="2020"/>
      <c r="Q857" s="2020"/>
      <c r="R857" s="2020"/>
      <c r="S857" s="2020"/>
      <c r="T857" s="2020"/>
      <c r="U857" s="2020"/>
      <c r="V857" s="2020"/>
      <c r="W857" s="2020"/>
      <c r="X857" s="2020"/>
      <c r="Y857" s="2020"/>
      <c r="Z857" s="2024"/>
      <c r="AA857" s="2024"/>
      <c r="AB857" s="1057"/>
      <c r="AC857" s="1057"/>
      <c r="AD857" s="1057"/>
      <c r="AE857" s="1057"/>
      <c r="AF857" s="1058"/>
    </row>
    <row r="858" spans="1:32" ht="15.75" x14ac:dyDescent="0.25">
      <c r="A858" s="2009" t="s">
        <v>1855</v>
      </c>
      <c r="B858" s="2010"/>
      <c r="C858" s="2010"/>
      <c r="D858" s="2010"/>
      <c r="E858" s="2010"/>
      <c r="F858" s="2010"/>
      <c r="G858" s="2010"/>
      <c r="H858" s="2010"/>
      <c r="I858" s="2010"/>
      <c r="J858" s="2010"/>
      <c r="K858" s="2010"/>
      <c r="L858" s="2010"/>
      <c r="M858" s="2010"/>
      <c r="N858" s="2010"/>
      <c r="O858" s="2010"/>
      <c r="P858" s="2010"/>
      <c r="Q858" s="2010"/>
      <c r="R858" s="2010"/>
      <c r="S858" s="2010"/>
      <c r="T858" s="2010"/>
      <c r="U858" s="2010"/>
      <c r="V858" s="2010"/>
      <c r="W858" s="2010"/>
      <c r="X858" s="2010"/>
      <c r="Y858" s="2010"/>
      <c r="Z858" s="2013" t="s">
        <v>1850</v>
      </c>
      <c r="AA858" s="2013"/>
      <c r="AB858" s="2013"/>
      <c r="AC858" s="2013"/>
      <c r="AD858" s="2013"/>
      <c r="AE858" s="2013"/>
      <c r="AF858" s="1059">
        <f>SUM(AF834:AF857)</f>
        <v>69.2</v>
      </c>
    </row>
    <row r="859" spans="1:32" ht="15.75" x14ac:dyDescent="0.25">
      <c r="A859" s="2011"/>
      <c r="B859" s="2012"/>
      <c r="C859" s="2012"/>
      <c r="D859" s="2012"/>
      <c r="E859" s="2012"/>
      <c r="F859" s="2012"/>
      <c r="G859" s="2012"/>
      <c r="H859" s="2012"/>
      <c r="I859" s="2012"/>
      <c r="J859" s="2012"/>
      <c r="K859" s="2012"/>
      <c r="L859" s="2012"/>
      <c r="M859" s="2012"/>
      <c r="N859" s="2012"/>
      <c r="O859" s="2012"/>
      <c r="P859" s="2012"/>
      <c r="Q859" s="2012"/>
      <c r="R859" s="2012"/>
      <c r="S859" s="2012"/>
      <c r="T859" s="2012"/>
      <c r="U859" s="2012"/>
      <c r="V859" s="2012"/>
      <c r="W859" s="2012"/>
      <c r="X859" s="2012"/>
      <c r="Y859" s="2012"/>
      <c r="Z859" s="2014" t="s">
        <v>1851</v>
      </c>
      <c r="AA859" s="2014"/>
      <c r="AB859" s="2014"/>
      <c r="AC859" s="2014"/>
      <c r="AD859" s="2014"/>
      <c r="AE859" s="2014"/>
      <c r="AF859" s="1060">
        <v>0</v>
      </c>
    </row>
    <row r="860" spans="1:32" ht="15.75" x14ac:dyDescent="0.25">
      <c r="A860" s="2011"/>
      <c r="B860" s="2012"/>
      <c r="C860" s="2012"/>
      <c r="D860" s="2012"/>
      <c r="E860" s="2012"/>
      <c r="F860" s="2012"/>
      <c r="G860" s="2012"/>
      <c r="H860" s="2012"/>
      <c r="I860" s="2012"/>
      <c r="J860" s="2012"/>
      <c r="K860" s="2012"/>
      <c r="L860" s="2012"/>
      <c r="M860" s="2012"/>
      <c r="N860" s="2012"/>
      <c r="O860" s="2012"/>
      <c r="P860" s="2012"/>
      <c r="Q860" s="2012"/>
      <c r="R860" s="2012"/>
      <c r="S860" s="2012"/>
      <c r="T860" s="2012"/>
      <c r="U860" s="2012"/>
      <c r="V860" s="2012"/>
      <c r="W860" s="2012"/>
      <c r="X860" s="2012"/>
      <c r="Y860" s="2012"/>
      <c r="Z860" s="2015" t="s">
        <v>1833</v>
      </c>
      <c r="AA860" s="2015"/>
      <c r="AB860" s="2015"/>
      <c r="AC860" s="2015"/>
      <c r="AD860" s="2015"/>
      <c r="AE860" s="2015"/>
      <c r="AF860" s="1061">
        <f>SUM(AF858:AF859)</f>
        <v>69.2</v>
      </c>
    </row>
    <row r="861" spans="1:32" x14ac:dyDescent="0.2">
      <c r="A861" s="2012" t="s">
        <v>1859</v>
      </c>
      <c r="B861" s="2012"/>
      <c r="C861" s="2012"/>
      <c r="D861" s="2012"/>
      <c r="E861" s="2012"/>
      <c r="F861" s="2012"/>
      <c r="G861" s="2012"/>
      <c r="H861" s="2012"/>
      <c r="I861" s="2012"/>
      <c r="J861" s="2012"/>
      <c r="K861" s="2012"/>
      <c r="L861" s="2012"/>
      <c r="M861" s="2012"/>
      <c r="N861" s="2012"/>
      <c r="O861" s="2012"/>
      <c r="P861" s="2012"/>
      <c r="Q861" s="2012"/>
      <c r="R861" s="2012"/>
      <c r="S861" s="2012"/>
      <c r="T861" s="2016" t="s">
        <v>1840</v>
      </c>
      <c r="U861" s="2016"/>
      <c r="V861" s="2016"/>
      <c r="W861" s="2016"/>
      <c r="X861" s="2016"/>
      <c r="Y861" s="2016"/>
      <c r="Z861" s="2016"/>
      <c r="AA861" s="2016"/>
      <c r="AB861" s="2012" t="s">
        <v>1852</v>
      </c>
      <c r="AC861" s="2012"/>
      <c r="AD861" s="2012"/>
      <c r="AE861" s="2012"/>
      <c r="AF861" s="2012"/>
    </row>
    <row r="862" spans="1:32" x14ac:dyDescent="0.2">
      <c r="A862" s="2012"/>
      <c r="B862" s="2012"/>
      <c r="C862" s="2012"/>
      <c r="D862" s="2012"/>
      <c r="E862" s="2012"/>
      <c r="F862" s="2012"/>
      <c r="G862" s="2012"/>
      <c r="H862" s="2012"/>
      <c r="I862" s="2012"/>
      <c r="J862" s="2012"/>
      <c r="K862" s="2012"/>
      <c r="L862" s="2012"/>
      <c r="M862" s="2012"/>
      <c r="N862" s="2012"/>
      <c r="O862" s="2012"/>
      <c r="P862" s="2012"/>
      <c r="Q862" s="2012"/>
      <c r="R862" s="2012"/>
      <c r="S862" s="2012"/>
      <c r="T862" s="2016"/>
      <c r="U862" s="2016"/>
      <c r="V862" s="2016"/>
      <c r="W862" s="2016"/>
      <c r="X862" s="2016"/>
      <c r="Y862" s="2016"/>
      <c r="Z862" s="2016"/>
      <c r="AA862" s="2016"/>
      <c r="AB862" s="2012"/>
      <c r="AC862" s="2012"/>
      <c r="AD862" s="2012"/>
      <c r="AE862" s="2012"/>
      <c r="AF862" s="2012"/>
    </row>
    <row r="863" spans="1:32" ht="13.5" thickBot="1" x14ac:dyDescent="0.25"/>
    <row r="864" spans="1:32" ht="25.15" customHeight="1" x14ac:dyDescent="0.2">
      <c r="A864" s="2025" t="s">
        <v>1854</v>
      </c>
      <c r="B864" s="2026"/>
      <c r="C864" s="2026"/>
      <c r="D864" s="2026"/>
      <c r="E864" s="2026"/>
      <c r="F864" s="2026"/>
      <c r="G864" s="2026"/>
      <c r="H864" s="2026"/>
      <c r="I864" s="2026"/>
      <c r="J864" s="2026"/>
      <c r="K864" s="2026"/>
      <c r="L864" s="2026"/>
      <c r="M864" s="2026"/>
      <c r="N864" s="2026"/>
      <c r="O864" s="2026"/>
      <c r="P864" s="2026"/>
      <c r="Q864" s="2026"/>
      <c r="R864" s="2026"/>
      <c r="S864" s="2026"/>
      <c r="T864" s="2026"/>
      <c r="U864" s="2026"/>
      <c r="V864" s="2026"/>
      <c r="W864" s="2026"/>
      <c r="X864" s="2026"/>
      <c r="Y864" s="2026"/>
      <c r="Z864" s="2026"/>
      <c r="AA864" s="2026"/>
      <c r="AB864" s="2026"/>
      <c r="AC864" s="2026"/>
      <c r="AD864" s="2026"/>
      <c r="AE864" s="1041" t="s">
        <v>1834</v>
      </c>
      <c r="AF864" s="1042" t="s">
        <v>1835</v>
      </c>
    </row>
    <row r="865" spans="1:32" ht="24.6" customHeight="1" thickBot="1" x14ac:dyDescent="0.25">
      <c r="A865" s="2027"/>
      <c r="B865" s="2028"/>
      <c r="C865" s="2028"/>
      <c r="D865" s="2028"/>
      <c r="E865" s="2028"/>
      <c r="F865" s="2028"/>
      <c r="G865" s="2028"/>
      <c r="H865" s="2028"/>
      <c r="I865" s="2028"/>
      <c r="J865" s="2028"/>
      <c r="K865" s="2028"/>
      <c r="L865" s="2028"/>
      <c r="M865" s="2028"/>
      <c r="N865" s="2028"/>
      <c r="O865" s="2028"/>
      <c r="P865" s="2028"/>
      <c r="Q865" s="2028"/>
      <c r="R865" s="2028"/>
      <c r="S865" s="2028"/>
      <c r="T865" s="2028"/>
      <c r="U865" s="2028"/>
      <c r="V865" s="2028"/>
      <c r="W865" s="2028"/>
      <c r="X865" s="2028"/>
      <c r="Y865" s="2028"/>
      <c r="Z865" s="2028"/>
      <c r="AA865" s="2028"/>
      <c r="AB865" s="2028"/>
      <c r="AC865" s="2028"/>
      <c r="AD865" s="2028"/>
      <c r="AE865" s="1041" t="s">
        <v>1836</v>
      </c>
      <c r="AF865" s="1044">
        <v>1</v>
      </c>
    </row>
    <row r="866" spans="1:32" ht="15.75" x14ac:dyDescent="0.2">
      <c r="A866" s="2029"/>
      <c r="B866" s="2030"/>
      <c r="C866" s="2030"/>
      <c r="D866" s="2031"/>
      <c r="E866" s="2025" t="str">
        <f>'01'!$A$12</f>
        <v>"CONSTRUCCION SISTEMA DE ACUEDUCTO FASE II DEL MUNICIPIO DE TESALIA DPTO DEL HUILA"</v>
      </c>
      <c r="F866" s="2026"/>
      <c r="G866" s="2026"/>
      <c r="H866" s="2026"/>
      <c r="I866" s="2026"/>
      <c r="J866" s="2026"/>
      <c r="K866" s="2026"/>
      <c r="L866" s="2026"/>
      <c r="M866" s="2026"/>
      <c r="N866" s="2026"/>
      <c r="O866" s="2026"/>
      <c r="P866" s="2026"/>
      <c r="Q866" s="2026"/>
      <c r="R866" s="2026"/>
      <c r="S866" s="2026"/>
      <c r="T866" s="2026"/>
      <c r="U866" s="2026"/>
      <c r="V866" s="2026"/>
      <c r="W866" s="2026"/>
      <c r="X866" s="2026"/>
      <c r="Y866" s="2026"/>
      <c r="Z866" s="2026"/>
      <c r="AA866" s="2026"/>
      <c r="AB866" s="2026"/>
      <c r="AC866" s="2026"/>
      <c r="AD866" s="2035"/>
      <c r="AE866" s="1041" t="s">
        <v>847</v>
      </c>
      <c r="AF866" s="1045">
        <f>'01'!$M$13</f>
        <v>0</v>
      </c>
    </row>
    <row r="867" spans="1:32" ht="16.5" thickBot="1" x14ac:dyDescent="0.25">
      <c r="A867" s="2032"/>
      <c r="B867" s="2033"/>
      <c r="C867" s="2033"/>
      <c r="D867" s="2034"/>
      <c r="E867" s="2027"/>
      <c r="F867" s="2028"/>
      <c r="G867" s="2028"/>
      <c r="H867" s="2028"/>
      <c r="I867" s="2028"/>
      <c r="J867" s="2028"/>
      <c r="K867" s="2028"/>
      <c r="L867" s="2028"/>
      <c r="M867" s="2028"/>
      <c r="N867" s="2028"/>
      <c r="O867" s="2028"/>
      <c r="P867" s="2028"/>
      <c r="Q867" s="2028"/>
      <c r="R867" s="2028"/>
      <c r="S867" s="2028"/>
      <c r="T867" s="2028"/>
      <c r="U867" s="2028"/>
      <c r="V867" s="2028"/>
      <c r="W867" s="2028"/>
      <c r="X867" s="2028"/>
      <c r="Y867" s="2028"/>
      <c r="Z867" s="2028"/>
      <c r="AA867" s="2028"/>
      <c r="AB867" s="2028"/>
      <c r="AC867" s="2028"/>
      <c r="AD867" s="2036"/>
      <c r="AE867" s="1041" t="s">
        <v>1837</v>
      </c>
      <c r="AF867" s="1042" t="s">
        <v>1838</v>
      </c>
    </row>
    <row r="868" spans="1:32" ht="15.75" x14ac:dyDescent="0.25">
      <c r="A868" s="2037" t="s">
        <v>1860</v>
      </c>
      <c r="B868" s="2038"/>
      <c r="C868" s="2038"/>
      <c r="D868" s="2038"/>
      <c r="E868" s="2038"/>
      <c r="F868" s="2038"/>
      <c r="G868" s="2038"/>
      <c r="H868" s="2038"/>
      <c r="I868" s="2038"/>
      <c r="J868" s="2038"/>
      <c r="K868" s="2038"/>
      <c r="L868" s="2038"/>
      <c r="M868" s="2038"/>
      <c r="N868" s="2038"/>
      <c r="O868" s="2038"/>
      <c r="P868" s="2038"/>
      <c r="Q868" s="2038"/>
      <c r="R868" s="2038"/>
      <c r="S868" s="2038"/>
      <c r="T868" s="2038"/>
      <c r="U868" s="2038"/>
      <c r="V868" s="2038"/>
      <c r="W868" s="2038"/>
      <c r="X868" s="2038"/>
      <c r="Y868" s="2038"/>
      <c r="Z868" s="2038"/>
      <c r="AA868" s="2038"/>
      <c r="AB868" s="2038"/>
      <c r="AC868" s="2038"/>
      <c r="AD868" s="2038"/>
      <c r="AE868" s="2039" t="s">
        <v>1839</v>
      </c>
      <c r="AF868" s="2040"/>
    </row>
    <row r="869" spans="1:32" ht="15.75" x14ac:dyDescent="0.25">
      <c r="A869" s="2041" t="s">
        <v>1840</v>
      </c>
      <c r="B869" s="2042"/>
      <c r="C869" s="2042"/>
      <c r="D869" s="2042"/>
      <c r="E869" s="2042"/>
      <c r="F869" s="2042"/>
      <c r="G869" s="2042"/>
      <c r="H869" s="2042"/>
      <c r="I869" s="2042"/>
      <c r="J869" s="2042"/>
      <c r="K869" s="2042"/>
      <c r="L869" s="2042"/>
      <c r="M869" s="2042"/>
      <c r="N869" s="2042"/>
      <c r="O869" s="2042"/>
      <c r="P869" s="2042"/>
      <c r="Q869" s="2042"/>
      <c r="R869" s="2042"/>
      <c r="S869" s="2042"/>
      <c r="T869" s="2042"/>
      <c r="U869" s="2042"/>
      <c r="V869" s="2042"/>
      <c r="W869" s="2042"/>
      <c r="X869" s="2042"/>
      <c r="Y869" s="2042"/>
      <c r="Z869" s="2042"/>
      <c r="AA869" s="2042"/>
      <c r="AB869" s="2042"/>
      <c r="AC869" s="2042"/>
      <c r="AD869" s="2043"/>
      <c r="AE869" s="2014" t="s">
        <v>1841</v>
      </c>
      <c r="AF869" s="2044"/>
    </row>
    <row r="870" spans="1:32" ht="15.75" x14ac:dyDescent="0.25">
      <c r="A870" s="2045" t="s">
        <v>1853</v>
      </c>
      <c r="B870" s="2046"/>
      <c r="C870" s="2046"/>
      <c r="D870" s="2046"/>
      <c r="E870" s="2046"/>
      <c r="F870" s="2046"/>
      <c r="G870" s="2046"/>
      <c r="H870" s="2046"/>
      <c r="I870" s="2046"/>
      <c r="J870" s="2046"/>
      <c r="K870" s="2046"/>
      <c r="L870" s="2046"/>
      <c r="M870" s="2046"/>
      <c r="N870" s="2046"/>
      <c r="O870" s="2046"/>
      <c r="P870" s="2046"/>
      <c r="Q870" s="2046"/>
      <c r="R870" s="2046"/>
      <c r="S870" s="2046"/>
      <c r="T870" s="2046"/>
      <c r="U870" s="2046"/>
      <c r="V870" s="2046"/>
      <c r="W870" s="2046"/>
      <c r="X870" s="2046"/>
      <c r="Y870" s="2046"/>
      <c r="Z870" s="2046"/>
      <c r="AA870" s="2046"/>
      <c r="AB870" s="2046"/>
      <c r="AC870" s="2046"/>
      <c r="AD870" s="2046"/>
      <c r="AE870" s="2047">
        <f>'01'!$M$13</f>
        <v>0</v>
      </c>
      <c r="AF870" s="2044"/>
    </row>
    <row r="871" spans="1:32" x14ac:dyDescent="0.2">
      <c r="A871" s="1046"/>
      <c r="B871" s="1047"/>
      <c r="C871" s="1047"/>
      <c r="D871" s="1047"/>
      <c r="E871" s="1047"/>
      <c r="F871" s="1047"/>
      <c r="G871" s="1047"/>
      <c r="H871" s="1047"/>
      <c r="I871" s="1047"/>
      <c r="J871" s="1047"/>
      <c r="K871" s="1047"/>
      <c r="L871" s="1047"/>
      <c r="M871" s="1047"/>
      <c r="N871" s="1047"/>
      <c r="O871" s="1047"/>
      <c r="P871" s="1047"/>
      <c r="Q871" s="1047"/>
      <c r="R871" s="1047"/>
      <c r="S871" s="1047"/>
      <c r="T871" s="1047"/>
      <c r="U871" s="1047"/>
      <c r="V871" s="1047"/>
      <c r="W871" s="1047"/>
      <c r="X871" s="1047"/>
      <c r="Y871" s="1047"/>
      <c r="Z871" s="1047"/>
      <c r="AA871" s="1047"/>
      <c r="AB871" s="1047"/>
      <c r="AC871" s="1047"/>
      <c r="AD871" s="1047"/>
      <c r="AE871" s="1047"/>
      <c r="AF871" s="1048"/>
    </row>
    <row r="872" spans="1:32" ht="15.75" x14ac:dyDescent="0.2">
      <c r="A872" s="2048" t="s">
        <v>1842</v>
      </c>
      <c r="B872" s="2049"/>
      <c r="C872" s="2049"/>
      <c r="D872" s="2049"/>
      <c r="E872" s="2049"/>
      <c r="F872" s="2050" t="str">
        <f>'01'!$H$33</f>
        <v>B - CÁMARA DE LLEGADA Y AQUIETAMIENTO DEL AGUA</v>
      </c>
      <c r="G872" s="2049"/>
      <c r="H872" s="2049"/>
      <c r="I872" s="2049"/>
      <c r="J872" s="2049"/>
      <c r="K872" s="2049"/>
      <c r="L872" s="2049"/>
      <c r="M872" s="2049"/>
      <c r="N872" s="2049"/>
      <c r="O872" s="2049"/>
      <c r="P872" s="2049"/>
      <c r="Q872" s="2049"/>
      <c r="R872" s="2049"/>
      <c r="S872" s="2049"/>
      <c r="T872" s="2049"/>
      <c r="U872" s="2049"/>
      <c r="V872" s="2049"/>
      <c r="W872" s="2049"/>
      <c r="X872" s="2049"/>
      <c r="Y872" s="2051"/>
      <c r="Z872" s="2052" t="s">
        <v>1843</v>
      </c>
      <c r="AA872" s="2053"/>
      <c r="AB872" s="2058" t="s">
        <v>1844</v>
      </c>
      <c r="AC872" s="2059"/>
      <c r="AD872" s="2060"/>
      <c r="AE872" s="2064" t="s">
        <v>1845</v>
      </c>
      <c r="AF872" s="2067" t="s">
        <v>1846</v>
      </c>
    </row>
    <row r="873" spans="1:32" x14ac:dyDescent="0.2">
      <c r="A873" s="2070" t="str">
        <f>'01'!A55</f>
        <v>B-08-02</v>
      </c>
      <c r="B873" s="2071"/>
      <c r="C873" s="2072"/>
      <c r="D873" s="2076" t="str">
        <f>VLOOKUP(A873,'01'!$A$12:$N$299,3,FALSE)</f>
        <v>SUMINISTRO E INSTALACIÓN PASAMURO HD 6" BXB=0,75M Z=0.375 M.</v>
      </c>
      <c r="E873" s="2077"/>
      <c r="F873" s="2077"/>
      <c r="G873" s="2077"/>
      <c r="H873" s="2077"/>
      <c r="I873" s="2077"/>
      <c r="J873" s="2077"/>
      <c r="K873" s="2077"/>
      <c r="L873" s="2077"/>
      <c r="M873" s="2077"/>
      <c r="N873" s="2077"/>
      <c r="O873" s="2077"/>
      <c r="P873" s="2077"/>
      <c r="Q873" s="2077"/>
      <c r="R873" s="2077"/>
      <c r="S873" s="2078"/>
      <c r="T873" s="2082" t="s">
        <v>124</v>
      </c>
      <c r="U873" s="2083"/>
      <c r="V873" s="2083"/>
      <c r="W873" s="2083"/>
      <c r="X873" s="2052" t="str">
        <f>VLOOKUP(A873,'01'!$A$12:$N$299,9,FALSE)</f>
        <v>UND</v>
      </c>
      <c r="Y873" s="2053"/>
      <c r="Z873" s="2054"/>
      <c r="AA873" s="2055"/>
      <c r="AB873" s="2061"/>
      <c r="AC873" s="2062"/>
      <c r="AD873" s="2063"/>
      <c r="AE873" s="2065"/>
      <c r="AF873" s="2068"/>
    </row>
    <row r="874" spans="1:32" ht="15.75" x14ac:dyDescent="0.25">
      <c r="A874" s="2073"/>
      <c r="B874" s="2074"/>
      <c r="C874" s="2075"/>
      <c r="D874" s="2079"/>
      <c r="E874" s="2080"/>
      <c r="F874" s="2080"/>
      <c r="G874" s="2080"/>
      <c r="H874" s="2080"/>
      <c r="I874" s="2080"/>
      <c r="J874" s="2080"/>
      <c r="K874" s="2080"/>
      <c r="L874" s="2080"/>
      <c r="M874" s="2080"/>
      <c r="N874" s="2080"/>
      <c r="O874" s="2080"/>
      <c r="P874" s="2080"/>
      <c r="Q874" s="2080"/>
      <c r="R874" s="2080"/>
      <c r="S874" s="2081"/>
      <c r="T874" s="2084"/>
      <c r="U874" s="2085"/>
      <c r="V874" s="2085"/>
      <c r="W874" s="2085"/>
      <c r="X874" s="2056"/>
      <c r="Y874" s="2057"/>
      <c r="Z874" s="2056"/>
      <c r="AA874" s="2057"/>
      <c r="AB874" s="1049" t="s">
        <v>1847</v>
      </c>
      <c r="AC874" s="1049" t="s">
        <v>1848</v>
      </c>
      <c r="AD874" s="1049" t="s">
        <v>1861</v>
      </c>
      <c r="AE874" s="2066"/>
      <c r="AF874" s="2069"/>
    </row>
    <row r="875" spans="1:32" ht="15.75" x14ac:dyDescent="0.25">
      <c r="A875" s="2017"/>
      <c r="B875" s="2018"/>
      <c r="C875" s="2018"/>
      <c r="D875" s="2018"/>
      <c r="E875" s="2018"/>
      <c r="F875" s="2018"/>
      <c r="G875" s="2018"/>
      <c r="H875" s="2018"/>
      <c r="I875" s="2018"/>
      <c r="J875" s="2018"/>
      <c r="K875" s="2018"/>
      <c r="L875" s="2018"/>
      <c r="M875" s="2018"/>
      <c r="N875" s="2018"/>
      <c r="O875" s="2018"/>
      <c r="P875" s="2018"/>
      <c r="Q875" s="2018"/>
      <c r="R875" s="2018"/>
      <c r="S875" s="2018"/>
      <c r="T875" s="2018"/>
      <c r="U875" s="2018"/>
      <c r="V875" s="2018"/>
      <c r="W875" s="2018"/>
      <c r="X875" s="2018"/>
      <c r="Y875" s="2018"/>
      <c r="Z875" s="2108" t="s">
        <v>1095</v>
      </c>
      <c r="AA875" s="2109"/>
      <c r="AB875" s="1151"/>
      <c r="AC875" s="1050"/>
      <c r="AD875" s="1050"/>
      <c r="AE875" s="1050">
        <v>2</v>
      </c>
      <c r="AF875" s="1052">
        <f>AE875</f>
        <v>2</v>
      </c>
    </row>
    <row r="876" spans="1:32" ht="30" customHeight="1" x14ac:dyDescent="0.25">
      <c r="A876" s="2017"/>
      <c r="B876" s="2018"/>
      <c r="C876" s="2018"/>
      <c r="D876" s="2018"/>
      <c r="E876" s="2018"/>
      <c r="F876" s="2018"/>
      <c r="G876" s="2018"/>
      <c r="H876" s="2018"/>
      <c r="I876" s="2018"/>
      <c r="J876" s="2018"/>
      <c r="K876" s="2018"/>
      <c r="L876" s="2018"/>
      <c r="M876" s="2018"/>
      <c r="N876" s="2018"/>
      <c r="O876" s="2018"/>
      <c r="P876" s="2018"/>
      <c r="Q876" s="2018"/>
      <c r="R876" s="2018"/>
      <c r="S876" s="2018"/>
      <c r="T876" s="2018"/>
      <c r="U876" s="2018"/>
      <c r="V876" s="2018"/>
      <c r="W876" s="2018"/>
      <c r="X876" s="2018"/>
      <c r="Y876" s="2018"/>
      <c r="Z876" s="2106" t="s">
        <v>1096</v>
      </c>
      <c r="AA876" s="2107"/>
      <c r="AB876" s="1151"/>
      <c r="AC876" s="1050"/>
      <c r="AD876" s="1050"/>
      <c r="AE876" s="1050">
        <v>1</v>
      </c>
      <c r="AF876" s="1052">
        <f t="shared" ref="AF876:AF877" si="19">AE876</f>
        <v>1</v>
      </c>
    </row>
    <row r="877" spans="1:32" ht="15.75" x14ac:dyDescent="0.25">
      <c r="A877" s="2017"/>
      <c r="B877" s="2018"/>
      <c r="C877" s="2018"/>
      <c r="D877" s="2018"/>
      <c r="E877" s="2018"/>
      <c r="F877" s="2018"/>
      <c r="G877" s="2018"/>
      <c r="H877" s="2018"/>
      <c r="I877" s="2018"/>
      <c r="J877" s="2018"/>
      <c r="K877" s="2018"/>
      <c r="L877" s="2018"/>
      <c r="M877" s="2018"/>
      <c r="N877" s="2018"/>
      <c r="O877" s="2018"/>
      <c r="P877" s="2018"/>
      <c r="Q877" s="2018"/>
      <c r="R877" s="2018"/>
      <c r="S877" s="2018"/>
      <c r="T877" s="2018"/>
      <c r="U877" s="2018"/>
      <c r="V877" s="2018"/>
      <c r="W877" s="2018"/>
      <c r="X877" s="2018"/>
      <c r="Y877" s="2018"/>
      <c r="Z877" s="2106" t="s">
        <v>1097</v>
      </c>
      <c r="AA877" s="2107"/>
      <c r="AB877" s="1151"/>
      <c r="AC877" s="1050"/>
      <c r="AD877" s="1050"/>
      <c r="AE877" s="1050">
        <v>2</v>
      </c>
      <c r="AF877" s="1052">
        <f t="shared" si="19"/>
        <v>2</v>
      </c>
    </row>
    <row r="878" spans="1:32" ht="15.75" x14ac:dyDescent="0.25">
      <c r="A878" s="2017"/>
      <c r="B878" s="2018"/>
      <c r="C878" s="2018"/>
      <c r="D878" s="2018"/>
      <c r="E878" s="2018"/>
      <c r="F878" s="2018"/>
      <c r="G878" s="2018"/>
      <c r="H878" s="2018"/>
      <c r="I878" s="2018"/>
      <c r="J878" s="2018"/>
      <c r="K878" s="2018"/>
      <c r="L878" s="2018"/>
      <c r="M878" s="2018"/>
      <c r="N878" s="2018"/>
      <c r="O878" s="2018"/>
      <c r="P878" s="2018"/>
      <c r="Q878" s="2018"/>
      <c r="R878" s="2018"/>
      <c r="S878" s="2018"/>
      <c r="T878" s="2018"/>
      <c r="U878" s="2018"/>
      <c r="V878" s="2018"/>
      <c r="W878" s="2018"/>
      <c r="X878" s="2018"/>
      <c r="Y878" s="2018"/>
      <c r="Z878" s="2106"/>
      <c r="AA878" s="2107"/>
      <c r="AB878" s="1151"/>
      <c r="AC878" s="1050"/>
      <c r="AD878" s="1050"/>
      <c r="AE878" s="1050"/>
      <c r="AF878" s="1052"/>
    </row>
    <row r="879" spans="1:32" ht="15.75" x14ac:dyDescent="0.25">
      <c r="A879" s="2017"/>
      <c r="B879" s="2018"/>
      <c r="C879" s="2018"/>
      <c r="D879" s="2018"/>
      <c r="E879" s="2018"/>
      <c r="F879" s="2018"/>
      <c r="G879" s="2018"/>
      <c r="H879" s="2018"/>
      <c r="I879" s="2018"/>
      <c r="J879" s="2018"/>
      <c r="K879" s="2018"/>
      <c r="L879" s="2018"/>
      <c r="M879" s="2018"/>
      <c r="N879" s="2018"/>
      <c r="O879" s="2018"/>
      <c r="P879" s="2018"/>
      <c r="Q879" s="2018"/>
      <c r="R879" s="2018"/>
      <c r="S879" s="2018"/>
      <c r="T879" s="2018"/>
      <c r="U879" s="2018"/>
      <c r="V879" s="2018"/>
      <c r="W879" s="2018"/>
      <c r="X879" s="2018"/>
      <c r="Y879" s="2018"/>
      <c r="Z879" s="2106"/>
      <c r="AA879" s="2107"/>
      <c r="AB879" s="1151"/>
      <c r="AC879" s="1050"/>
      <c r="AD879" s="1050"/>
      <c r="AE879" s="1050"/>
      <c r="AF879" s="1052"/>
    </row>
    <row r="880" spans="1:32" ht="15.75" x14ac:dyDescent="0.25">
      <c r="A880" s="2017"/>
      <c r="B880" s="2018"/>
      <c r="C880" s="2018"/>
      <c r="D880" s="2018"/>
      <c r="E880" s="2018"/>
      <c r="F880" s="2018"/>
      <c r="G880" s="2018"/>
      <c r="H880" s="2018"/>
      <c r="I880" s="2018"/>
      <c r="J880" s="2018"/>
      <c r="K880" s="2018"/>
      <c r="L880" s="2018"/>
      <c r="M880" s="2018"/>
      <c r="N880" s="2018"/>
      <c r="O880" s="2018"/>
      <c r="P880" s="2018"/>
      <c r="Q880" s="2018"/>
      <c r="R880" s="2018"/>
      <c r="S880" s="2018"/>
      <c r="T880" s="2018"/>
      <c r="U880" s="2018"/>
      <c r="V880" s="2018"/>
      <c r="W880" s="2018"/>
      <c r="X880" s="2018"/>
      <c r="Y880" s="2018"/>
      <c r="Z880" s="2105"/>
      <c r="AA880" s="2105"/>
      <c r="AB880" s="1050"/>
      <c r="AC880" s="1050"/>
      <c r="AD880" s="1050"/>
      <c r="AE880" s="1050"/>
      <c r="AF880" s="1052"/>
    </row>
    <row r="881" spans="1:32" ht="15.75" x14ac:dyDescent="0.25">
      <c r="A881" s="2017"/>
      <c r="B881" s="2018"/>
      <c r="C881" s="2018"/>
      <c r="D881" s="2018"/>
      <c r="E881" s="2018"/>
      <c r="F881" s="2018"/>
      <c r="G881" s="2018"/>
      <c r="H881" s="2018"/>
      <c r="I881" s="2018"/>
      <c r="J881" s="2018"/>
      <c r="K881" s="2018"/>
      <c r="L881" s="2018"/>
      <c r="M881" s="2018"/>
      <c r="N881" s="2018"/>
      <c r="O881" s="2018"/>
      <c r="P881" s="2018"/>
      <c r="Q881" s="2018"/>
      <c r="R881" s="2018"/>
      <c r="S881" s="2018"/>
      <c r="T881" s="2018"/>
      <c r="U881" s="2018"/>
      <c r="V881" s="2018"/>
      <c r="W881" s="2018"/>
      <c r="X881" s="2018"/>
      <c r="Y881" s="2018"/>
      <c r="Z881" s="2105"/>
      <c r="AA881" s="2105"/>
      <c r="AB881" s="1050"/>
      <c r="AC881" s="1050"/>
      <c r="AD881" s="1050"/>
      <c r="AE881" s="1050"/>
      <c r="AF881" s="1052"/>
    </row>
    <row r="882" spans="1:32" ht="15.75" x14ac:dyDescent="0.25">
      <c r="A882" s="2017"/>
      <c r="B882" s="2018"/>
      <c r="C882" s="2018"/>
      <c r="D882" s="2018"/>
      <c r="E882" s="2018"/>
      <c r="F882" s="2018"/>
      <c r="G882" s="2018"/>
      <c r="H882" s="2018"/>
      <c r="I882" s="2018"/>
      <c r="J882" s="2018"/>
      <c r="K882" s="2018"/>
      <c r="L882" s="2018"/>
      <c r="M882" s="2018"/>
      <c r="N882" s="2018"/>
      <c r="O882" s="2018"/>
      <c r="P882" s="2018"/>
      <c r="Q882" s="2018"/>
      <c r="R882" s="2018"/>
      <c r="S882" s="2018"/>
      <c r="T882" s="2018"/>
      <c r="U882" s="2018"/>
      <c r="V882" s="2018"/>
      <c r="W882" s="2018"/>
      <c r="X882" s="2018"/>
      <c r="Y882" s="2018"/>
      <c r="Z882" s="2105"/>
      <c r="AA882" s="2105"/>
      <c r="AB882" s="1050"/>
      <c r="AC882" s="1050"/>
      <c r="AD882" s="1050"/>
      <c r="AE882" s="1050"/>
      <c r="AF882" s="1052"/>
    </row>
    <row r="883" spans="1:32" ht="15.75" x14ac:dyDescent="0.25">
      <c r="A883" s="2017"/>
      <c r="B883" s="2018"/>
      <c r="C883" s="2018"/>
      <c r="D883" s="2018"/>
      <c r="E883" s="2018"/>
      <c r="F883" s="2018"/>
      <c r="G883" s="2018"/>
      <c r="H883" s="2018"/>
      <c r="I883" s="2018"/>
      <c r="J883" s="2018"/>
      <c r="K883" s="2018"/>
      <c r="L883" s="2018"/>
      <c r="M883" s="2018"/>
      <c r="N883" s="2018"/>
      <c r="O883" s="2018"/>
      <c r="P883" s="2018"/>
      <c r="Q883" s="2018"/>
      <c r="R883" s="2018"/>
      <c r="S883" s="2018"/>
      <c r="T883" s="2018"/>
      <c r="U883" s="2018"/>
      <c r="V883" s="2018"/>
      <c r="W883" s="2018"/>
      <c r="X883" s="2018"/>
      <c r="Y883" s="2018"/>
      <c r="Z883" s="2105"/>
      <c r="AA883" s="2105"/>
      <c r="AB883" s="1050"/>
      <c r="AC883" s="1050"/>
      <c r="AD883" s="1050"/>
      <c r="AE883" s="1050"/>
      <c r="AF883" s="1052"/>
    </row>
    <row r="884" spans="1:32" ht="15.75" x14ac:dyDescent="0.25">
      <c r="A884" s="2017"/>
      <c r="B884" s="2018"/>
      <c r="C884" s="2018"/>
      <c r="D884" s="2018"/>
      <c r="E884" s="2018"/>
      <c r="F884" s="2018"/>
      <c r="G884" s="2018"/>
      <c r="H884" s="2018"/>
      <c r="I884" s="2018"/>
      <c r="J884" s="2018"/>
      <c r="K884" s="2018"/>
      <c r="L884" s="2018"/>
      <c r="M884" s="2018"/>
      <c r="N884" s="2018"/>
      <c r="O884" s="2018"/>
      <c r="P884" s="2018"/>
      <c r="Q884" s="2018"/>
      <c r="R884" s="2018"/>
      <c r="S884" s="2018"/>
      <c r="T884" s="2018"/>
      <c r="U884" s="2018"/>
      <c r="V884" s="2018"/>
      <c r="W884" s="2018"/>
      <c r="X884" s="2018"/>
      <c r="Y884" s="2018"/>
      <c r="Z884" s="2105"/>
      <c r="AA884" s="2105"/>
      <c r="AB884" s="1050"/>
      <c r="AC884" s="1050"/>
      <c r="AD884" s="1050"/>
      <c r="AE884" s="1050"/>
      <c r="AF884" s="1052"/>
    </row>
    <row r="885" spans="1:32" ht="15.75" x14ac:dyDescent="0.25">
      <c r="A885" s="2017"/>
      <c r="B885" s="2018"/>
      <c r="C885" s="2018"/>
      <c r="D885" s="2018"/>
      <c r="E885" s="2018"/>
      <c r="F885" s="2018"/>
      <c r="G885" s="2018"/>
      <c r="H885" s="2018"/>
      <c r="I885" s="2018"/>
      <c r="J885" s="2018"/>
      <c r="K885" s="2018"/>
      <c r="L885" s="2018"/>
      <c r="M885" s="2018"/>
      <c r="N885" s="2018"/>
      <c r="O885" s="2018"/>
      <c r="P885" s="2018"/>
      <c r="Q885" s="2018"/>
      <c r="R885" s="2018"/>
      <c r="S885" s="2018"/>
      <c r="T885" s="2018"/>
      <c r="U885" s="2018"/>
      <c r="V885" s="2018"/>
      <c r="W885" s="2018"/>
      <c r="X885" s="2018"/>
      <c r="Y885" s="2018"/>
      <c r="Z885" s="2105"/>
      <c r="AA885" s="2105"/>
      <c r="AB885" s="1050"/>
      <c r="AC885" s="1050"/>
      <c r="AD885" s="1050"/>
      <c r="AE885" s="1050"/>
      <c r="AF885" s="1052"/>
    </row>
    <row r="886" spans="1:32" ht="15.75" x14ac:dyDescent="0.25">
      <c r="A886" s="2017"/>
      <c r="B886" s="2018"/>
      <c r="C886" s="2018"/>
      <c r="D886" s="2018"/>
      <c r="E886" s="2018"/>
      <c r="F886" s="2018"/>
      <c r="G886" s="2018"/>
      <c r="H886" s="2018"/>
      <c r="I886" s="2018"/>
      <c r="J886" s="2018"/>
      <c r="K886" s="2018"/>
      <c r="L886" s="2018"/>
      <c r="M886" s="2018"/>
      <c r="N886" s="2018"/>
      <c r="O886" s="2018"/>
      <c r="P886" s="2018"/>
      <c r="Q886" s="2018"/>
      <c r="R886" s="2018"/>
      <c r="S886" s="2018"/>
      <c r="T886" s="2018"/>
      <c r="U886" s="2018"/>
      <c r="V886" s="2018"/>
      <c r="W886" s="2018"/>
      <c r="X886" s="2018"/>
      <c r="Y886" s="2018"/>
      <c r="Z886" s="2105"/>
      <c r="AA886" s="2105"/>
      <c r="AB886" s="1050"/>
      <c r="AC886" s="1050"/>
      <c r="AD886" s="1050"/>
      <c r="AE886" s="1050"/>
      <c r="AF886" s="1052"/>
    </row>
    <row r="887" spans="1:32" ht="15.75" x14ac:dyDescent="0.25">
      <c r="A887" s="2017"/>
      <c r="B887" s="2018"/>
      <c r="C887" s="2018"/>
      <c r="D887" s="2018"/>
      <c r="E887" s="2018"/>
      <c r="F887" s="2018"/>
      <c r="G887" s="2018"/>
      <c r="H887" s="2018"/>
      <c r="I887" s="2018"/>
      <c r="J887" s="2018"/>
      <c r="K887" s="2018"/>
      <c r="L887" s="2018"/>
      <c r="M887" s="2018"/>
      <c r="N887" s="2018"/>
      <c r="O887" s="2018"/>
      <c r="P887" s="2018"/>
      <c r="Q887" s="2018"/>
      <c r="R887" s="2018"/>
      <c r="S887" s="2018"/>
      <c r="T887" s="2018"/>
      <c r="U887" s="2018"/>
      <c r="V887" s="2018"/>
      <c r="W887" s="2018"/>
      <c r="X887" s="2018"/>
      <c r="Y887" s="2018"/>
      <c r="Z887" s="2105"/>
      <c r="AA887" s="2105"/>
      <c r="AB887" s="1050"/>
      <c r="AC887" s="1050"/>
      <c r="AD887" s="1050"/>
      <c r="AE887" s="1050"/>
      <c r="AF887" s="1052"/>
    </row>
    <row r="888" spans="1:32" ht="15.75" x14ac:dyDescent="0.25">
      <c r="A888" s="2017"/>
      <c r="B888" s="2018"/>
      <c r="C888" s="2018"/>
      <c r="D888" s="2018"/>
      <c r="E888" s="2018"/>
      <c r="F888" s="2018"/>
      <c r="G888" s="2018"/>
      <c r="H888" s="2018"/>
      <c r="I888" s="2018"/>
      <c r="J888" s="2018"/>
      <c r="K888" s="2018"/>
      <c r="L888" s="2018"/>
      <c r="M888" s="2018"/>
      <c r="N888" s="2018"/>
      <c r="O888" s="2018"/>
      <c r="P888" s="2018"/>
      <c r="Q888" s="2018"/>
      <c r="R888" s="2018"/>
      <c r="S888" s="2018"/>
      <c r="T888" s="2018"/>
      <c r="U888" s="2018"/>
      <c r="V888" s="2018"/>
      <c r="W888" s="2018"/>
      <c r="X888" s="2018"/>
      <c r="Y888" s="2018"/>
      <c r="Z888" s="2022"/>
      <c r="AA888" s="2022"/>
      <c r="AB888" s="1050"/>
      <c r="AC888" s="1050"/>
      <c r="AD888" s="1050"/>
      <c r="AE888" s="1050"/>
      <c r="AF888" s="1052"/>
    </row>
    <row r="889" spans="1:32" ht="15.75" x14ac:dyDescent="0.25">
      <c r="A889" s="2017"/>
      <c r="B889" s="2018"/>
      <c r="C889" s="2018"/>
      <c r="D889" s="2018"/>
      <c r="E889" s="2018"/>
      <c r="F889" s="2018"/>
      <c r="G889" s="2018"/>
      <c r="H889" s="2018"/>
      <c r="I889" s="2018"/>
      <c r="J889" s="2018"/>
      <c r="K889" s="2018"/>
      <c r="L889" s="2018"/>
      <c r="M889" s="2018"/>
      <c r="N889" s="2018"/>
      <c r="O889" s="2018"/>
      <c r="P889" s="2018"/>
      <c r="Q889" s="2018"/>
      <c r="R889" s="2018"/>
      <c r="S889" s="2018"/>
      <c r="T889" s="2018"/>
      <c r="U889" s="2018"/>
      <c r="V889" s="2018"/>
      <c r="W889" s="2018"/>
      <c r="X889" s="2018"/>
      <c r="Y889" s="2018"/>
      <c r="Z889" s="2022"/>
      <c r="AA889" s="2022"/>
      <c r="AB889" s="1050"/>
      <c r="AC889" s="1050"/>
      <c r="AD889" s="1050"/>
      <c r="AE889" s="1050"/>
      <c r="AF889" s="1052"/>
    </row>
    <row r="890" spans="1:32" ht="15.75" x14ac:dyDescent="0.25">
      <c r="A890" s="2017"/>
      <c r="B890" s="2018"/>
      <c r="C890" s="2018"/>
      <c r="D890" s="2018"/>
      <c r="E890" s="2018"/>
      <c r="F890" s="2018"/>
      <c r="G890" s="2018"/>
      <c r="H890" s="2018"/>
      <c r="I890" s="2018"/>
      <c r="J890" s="2018"/>
      <c r="K890" s="2018"/>
      <c r="L890" s="2018"/>
      <c r="M890" s="2018"/>
      <c r="N890" s="2018"/>
      <c r="O890" s="2018"/>
      <c r="P890" s="2018"/>
      <c r="Q890" s="2018"/>
      <c r="R890" s="2018"/>
      <c r="S890" s="2018"/>
      <c r="T890" s="2018"/>
      <c r="U890" s="2018"/>
      <c r="V890" s="2018"/>
      <c r="W890" s="2018"/>
      <c r="X890" s="2018"/>
      <c r="Y890" s="2018"/>
      <c r="Z890" s="2022"/>
      <c r="AA890" s="2022"/>
      <c r="AB890" s="1050"/>
      <c r="AC890" s="1050"/>
      <c r="AD890" s="1050"/>
      <c r="AE890" s="1050"/>
      <c r="AF890" s="1052"/>
    </row>
    <row r="891" spans="1:32" ht="15.75" x14ac:dyDescent="0.25">
      <c r="A891" s="2017"/>
      <c r="B891" s="2018"/>
      <c r="C891" s="2018"/>
      <c r="D891" s="2018"/>
      <c r="E891" s="2018"/>
      <c r="F891" s="2018"/>
      <c r="G891" s="2018"/>
      <c r="H891" s="2018"/>
      <c r="I891" s="2018"/>
      <c r="J891" s="2018"/>
      <c r="K891" s="2018"/>
      <c r="L891" s="2018"/>
      <c r="M891" s="2018"/>
      <c r="N891" s="2018"/>
      <c r="O891" s="2018"/>
      <c r="P891" s="2018"/>
      <c r="Q891" s="2018"/>
      <c r="R891" s="2018"/>
      <c r="S891" s="2018"/>
      <c r="T891" s="2018"/>
      <c r="U891" s="2018"/>
      <c r="V891" s="2018"/>
      <c r="W891" s="2018"/>
      <c r="X891" s="2018"/>
      <c r="Y891" s="2018"/>
      <c r="Z891" s="2022"/>
      <c r="AA891" s="2022"/>
      <c r="AB891" s="1050"/>
      <c r="AC891" s="1050"/>
      <c r="AD891" s="1050"/>
      <c r="AE891" s="1050"/>
      <c r="AF891" s="1052"/>
    </row>
    <row r="892" spans="1:32" ht="15.75" x14ac:dyDescent="0.25">
      <c r="A892" s="2017"/>
      <c r="B892" s="2018"/>
      <c r="C892" s="2018"/>
      <c r="D892" s="2018"/>
      <c r="E892" s="2018"/>
      <c r="F892" s="2018"/>
      <c r="G892" s="2018"/>
      <c r="H892" s="2018"/>
      <c r="I892" s="2018"/>
      <c r="J892" s="2018"/>
      <c r="K892" s="2018"/>
      <c r="L892" s="2018"/>
      <c r="M892" s="2018"/>
      <c r="N892" s="2018"/>
      <c r="O892" s="2018"/>
      <c r="P892" s="2018"/>
      <c r="Q892" s="2018"/>
      <c r="R892" s="2018"/>
      <c r="S892" s="2018"/>
      <c r="T892" s="2018"/>
      <c r="U892" s="2018"/>
      <c r="V892" s="2018"/>
      <c r="W892" s="2018"/>
      <c r="X892" s="2018"/>
      <c r="Y892" s="2018"/>
      <c r="Z892" s="2023"/>
      <c r="AA892" s="2023"/>
      <c r="AB892" s="1050"/>
      <c r="AC892" s="1050"/>
      <c r="AD892" s="1050"/>
      <c r="AE892" s="1050"/>
      <c r="AF892" s="1052"/>
    </row>
    <row r="893" spans="1:32" ht="15.75" x14ac:dyDescent="0.25">
      <c r="A893" s="2017"/>
      <c r="B893" s="2018"/>
      <c r="C893" s="2018"/>
      <c r="D893" s="2018"/>
      <c r="E893" s="2018"/>
      <c r="F893" s="2018"/>
      <c r="G893" s="2018"/>
      <c r="H893" s="2018"/>
      <c r="I893" s="2018"/>
      <c r="J893" s="2018"/>
      <c r="K893" s="2018"/>
      <c r="L893" s="2018"/>
      <c r="M893" s="2018"/>
      <c r="N893" s="2018"/>
      <c r="O893" s="2018"/>
      <c r="P893" s="2018"/>
      <c r="Q893" s="2018"/>
      <c r="R893" s="2018"/>
      <c r="S893" s="2018"/>
      <c r="T893" s="2018"/>
      <c r="U893" s="2018"/>
      <c r="V893" s="2018"/>
      <c r="W893" s="2018"/>
      <c r="X893" s="2018"/>
      <c r="Y893" s="2018"/>
      <c r="Z893" s="2023"/>
      <c r="AA893" s="2023"/>
      <c r="AB893" s="1050"/>
      <c r="AC893" s="1050"/>
      <c r="AD893" s="1050"/>
      <c r="AE893" s="1050"/>
      <c r="AF893" s="1052"/>
    </row>
    <row r="894" spans="1:32" ht="15.75" x14ac:dyDescent="0.25">
      <c r="A894" s="2017"/>
      <c r="B894" s="2018"/>
      <c r="C894" s="2018"/>
      <c r="D894" s="2018"/>
      <c r="E894" s="2018"/>
      <c r="F894" s="2018"/>
      <c r="G894" s="2018"/>
      <c r="H894" s="2018"/>
      <c r="I894" s="2018"/>
      <c r="J894" s="2018"/>
      <c r="K894" s="2018"/>
      <c r="L894" s="2018"/>
      <c r="M894" s="2018"/>
      <c r="N894" s="2018"/>
      <c r="O894" s="2018"/>
      <c r="P894" s="2018"/>
      <c r="Q894" s="2018"/>
      <c r="R894" s="2018"/>
      <c r="S894" s="2018"/>
      <c r="T894" s="2018"/>
      <c r="U894" s="2018"/>
      <c r="V894" s="2018"/>
      <c r="W894" s="2018"/>
      <c r="X894" s="2018"/>
      <c r="Y894" s="2018"/>
      <c r="Z894" s="2023"/>
      <c r="AA894" s="2023"/>
      <c r="AB894" s="1050"/>
      <c r="AC894" s="1050"/>
      <c r="AD894" s="1050"/>
      <c r="AE894" s="1050"/>
      <c r="AF894" s="1052"/>
    </row>
    <row r="895" spans="1:32" ht="15.75" x14ac:dyDescent="0.25">
      <c r="A895" s="2017"/>
      <c r="B895" s="2018"/>
      <c r="C895" s="2018"/>
      <c r="D895" s="2018"/>
      <c r="E895" s="2018"/>
      <c r="F895" s="2018"/>
      <c r="G895" s="2018"/>
      <c r="H895" s="2018"/>
      <c r="I895" s="2018"/>
      <c r="J895" s="2018"/>
      <c r="K895" s="2018"/>
      <c r="L895" s="2018"/>
      <c r="M895" s="2018"/>
      <c r="N895" s="2018"/>
      <c r="O895" s="2018"/>
      <c r="P895" s="2018"/>
      <c r="Q895" s="2018"/>
      <c r="R895" s="2018"/>
      <c r="S895" s="2018"/>
      <c r="T895" s="2018"/>
      <c r="U895" s="2018"/>
      <c r="V895" s="2018"/>
      <c r="W895" s="2018"/>
      <c r="X895" s="2018"/>
      <c r="Y895" s="2018"/>
      <c r="Z895" s="2023"/>
      <c r="AA895" s="2023"/>
      <c r="AB895" s="1050"/>
      <c r="AC895" s="1050"/>
      <c r="AD895" s="1050"/>
      <c r="AE895" s="1050"/>
      <c r="AF895" s="1052"/>
    </row>
    <row r="896" spans="1:32" ht="15.75" x14ac:dyDescent="0.25">
      <c r="A896" s="2017"/>
      <c r="B896" s="2018"/>
      <c r="C896" s="2018"/>
      <c r="D896" s="2018"/>
      <c r="E896" s="2018"/>
      <c r="F896" s="2018"/>
      <c r="G896" s="2018"/>
      <c r="H896" s="2018"/>
      <c r="I896" s="2018"/>
      <c r="J896" s="2018"/>
      <c r="K896" s="2018"/>
      <c r="L896" s="2018"/>
      <c r="M896" s="2018"/>
      <c r="N896" s="2018"/>
      <c r="O896" s="2018"/>
      <c r="P896" s="2018"/>
      <c r="Q896" s="2018"/>
      <c r="R896" s="2018"/>
      <c r="S896" s="2018"/>
      <c r="T896" s="2018"/>
      <c r="U896" s="2018"/>
      <c r="V896" s="2018"/>
      <c r="W896" s="2018"/>
      <c r="X896" s="2018"/>
      <c r="Y896" s="2018"/>
      <c r="Z896" s="2023"/>
      <c r="AA896" s="2023"/>
      <c r="AB896" s="1050"/>
      <c r="AC896" s="1050"/>
      <c r="AD896" s="1050"/>
      <c r="AE896" s="1050"/>
      <c r="AF896" s="1052"/>
    </row>
    <row r="897" spans="1:32" ht="15.75" x14ac:dyDescent="0.25">
      <c r="A897" s="2017"/>
      <c r="B897" s="2018"/>
      <c r="C897" s="2018"/>
      <c r="D897" s="2018"/>
      <c r="E897" s="2018"/>
      <c r="F897" s="2018"/>
      <c r="G897" s="2018"/>
      <c r="H897" s="2018"/>
      <c r="I897" s="2018"/>
      <c r="J897" s="2018"/>
      <c r="K897" s="2018"/>
      <c r="L897" s="2018"/>
      <c r="M897" s="2018"/>
      <c r="N897" s="2018"/>
      <c r="O897" s="2018"/>
      <c r="P897" s="2018"/>
      <c r="Q897" s="2018"/>
      <c r="R897" s="2018"/>
      <c r="S897" s="2018"/>
      <c r="T897" s="2018"/>
      <c r="U897" s="2018"/>
      <c r="V897" s="2018"/>
      <c r="W897" s="2018"/>
      <c r="X897" s="2018"/>
      <c r="Y897" s="2018"/>
      <c r="Z897" s="2023"/>
      <c r="AA897" s="2023"/>
      <c r="AB897" s="1050"/>
      <c r="AC897" s="1050"/>
      <c r="AD897" s="1050"/>
      <c r="AE897" s="1050"/>
      <c r="AF897" s="1052"/>
    </row>
    <row r="898" spans="1:32" ht="16.5" thickBot="1" x14ac:dyDescent="0.3">
      <c r="A898" s="2019"/>
      <c r="B898" s="2020"/>
      <c r="C898" s="2020"/>
      <c r="D898" s="2020"/>
      <c r="E898" s="2020"/>
      <c r="F898" s="2020"/>
      <c r="G898" s="2020"/>
      <c r="H898" s="2020"/>
      <c r="I898" s="2020"/>
      <c r="J898" s="2020"/>
      <c r="K898" s="2020"/>
      <c r="L898" s="2020"/>
      <c r="M898" s="2020"/>
      <c r="N898" s="2020"/>
      <c r="O898" s="2020"/>
      <c r="P898" s="2020"/>
      <c r="Q898" s="2020"/>
      <c r="R898" s="2020"/>
      <c r="S898" s="2020"/>
      <c r="T898" s="2020"/>
      <c r="U898" s="2020"/>
      <c r="V898" s="2020"/>
      <c r="W898" s="2020"/>
      <c r="X898" s="2020"/>
      <c r="Y898" s="2020"/>
      <c r="Z898" s="2024"/>
      <c r="AA898" s="2024"/>
      <c r="AB898" s="1057"/>
      <c r="AC898" s="1057"/>
      <c r="AD898" s="1057"/>
      <c r="AE898" s="1057"/>
      <c r="AF898" s="1058"/>
    </row>
    <row r="899" spans="1:32" ht="15.75" x14ac:dyDescent="0.25">
      <c r="A899" s="2009" t="s">
        <v>1855</v>
      </c>
      <c r="B899" s="2010"/>
      <c r="C899" s="2010"/>
      <c r="D899" s="2010"/>
      <c r="E899" s="2010"/>
      <c r="F899" s="2010"/>
      <c r="G899" s="2010"/>
      <c r="H899" s="2010"/>
      <c r="I899" s="2010"/>
      <c r="J899" s="2010"/>
      <c r="K899" s="2010"/>
      <c r="L899" s="2010"/>
      <c r="M899" s="2010"/>
      <c r="N899" s="2010"/>
      <c r="O899" s="2010"/>
      <c r="P899" s="2010"/>
      <c r="Q899" s="2010"/>
      <c r="R899" s="2010"/>
      <c r="S899" s="2010"/>
      <c r="T899" s="2010"/>
      <c r="U899" s="2010"/>
      <c r="V899" s="2010"/>
      <c r="W899" s="2010"/>
      <c r="X899" s="2010"/>
      <c r="Y899" s="2010"/>
      <c r="Z899" s="2013" t="s">
        <v>1850</v>
      </c>
      <c r="AA899" s="2013"/>
      <c r="AB899" s="2013"/>
      <c r="AC899" s="2013"/>
      <c r="AD899" s="2013"/>
      <c r="AE899" s="2013"/>
      <c r="AF899" s="1059">
        <f>SUM(AF875:AF898)</f>
        <v>5</v>
      </c>
    </row>
    <row r="900" spans="1:32" ht="15.75" x14ac:dyDescent="0.25">
      <c r="A900" s="2011"/>
      <c r="B900" s="2012"/>
      <c r="C900" s="2012"/>
      <c r="D900" s="2012"/>
      <c r="E900" s="2012"/>
      <c r="F900" s="2012"/>
      <c r="G900" s="2012"/>
      <c r="H900" s="2012"/>
      <c r="I900" s="2012"/>
      <c r="J900" s="2012"/>
      <c r="K900" s="2012"/>
      <c r="L900" s="2012"/>
      <c r="M900" s="2012"/>
      <c r="N900" s="2012"/>
      <c r="O900" s="2012"/>
      <c r="P900" s="2012"/>
      <c r="Q900" s="2012"/>
      <c r="R900" s="2012"/>
      <c r="S900" s="2012"/>
      <c r="T900" s="2012"/>
      <c r="U900" s="2012"/>
      <c r="V900" s="2012"/>
      <c r="W900" s="2012"/>
      <c r="X900" s="2012"/>
      <c r="Y900" s="2012"/>
      <c r="Z900" s="2014" t="s">
        <v>1851</v>
      </c>
      <c r="AA900" s="2014"/>
      <c r="AB900" s="2014"/>
      <c r="AC900" s="2014"/>
      <c r="AD900" s="2014"/>
      <c r="AE900" s="2014"/>
      <c r="AF900" s="1060">
        <v>0</v>
      </c>
    </row>
    <row r="901" spans="1:32" ht="15.75" x14ac:dyDescent="0.25">
      <c r="A901" s="2011"/>
      <c r="B901" s="2012"/>
      <c r="C901" s="2012"/>
      <c r="D901" s="2012"/>
      <c r="E901" s="2012"/>
      <c r="F901" s="2012"/>
      <c r="G901" s="2012"/>
      <c r="H901" s="2012"/>
      <c r="I901" s="2012"/>
      <c r="J901" s="2012"/>
      <c r="K901" s="2012"/>
      <c r="L901" s="2012"/>
      <c r="M901" s="2012"/>
      <c r="N901" s="2012"/>
      <c r="O901" s="2012"/>
      <c r="P901" s="2012"/>
      <c r="Q901" s="2012"/>
      <c r="R901" s="2012"/>
      <c r="S901" s="2012"/>
      <c r="T901" s="2012"/>
      <c r="U901" s="2012"/>
      <c r="V901" s="2012"/>
      <c r="W901" s="2012"/>
      <c r="X901" s="2012"/>
      <c r="Y901" s="2012"/>
      <c r="Z901" s="2015" t="s">
        <v>1833</v>
      </c>
      <c r="AA901" s="2015"/>
      <c r="AB901" s="2015"/>
      <c r="AC901" s="2015"/>
      <c r="AD901" s="2015"/>
      <c r="AE901" s="2015"/>
      <c r="AF901" s="1061">
        <f>SUM(AF899:AF900)</f>
        <v>5</v>
      </c>
    </row>
    <row r="902" spans="1:32" x14ac:dyDescent="0.2">
      <c r="A902" s="2012" t="s">
        <v>1859</v>
      </c>
      <c r="B902" s="2012"/>
      <c r="C902" s="2012"/>
      <c r="D902" s="2012"/>
      <c r="E902" s="2012"/>
      <c r="F902" s="2012"/>
      <c r="G902" s="2012"/>
      <c r="H902" s="2012"/>
      <c r="I902" s="2012"/>
      <c r="J902" s="2012"/>
      <c r="K902" s="2012"/>
      <c r="L902" s="2012"/>
      <c r="M902" s="2012"/>
      <c r="N902" s="2012"/>
      <c r="O902" s="2012"/>
      <c r="P902" s="2012"/>
      <c r="Q902" s="2012"/>
      <c r="R902" s="2012"/>
      <c r="S902" s="2012"/>
      <c r="T902" s="2016" t="s">
        <v>1840</v>
      </c>
      <c r="U902" s="2016"/>
      <c r="V902" s="2016"/>
      <c r="W902" s="2016"/>
      <c r="X902" s="2016"/>
      <c r="Y902" s="2016"/>
      <c r="Z902" s="2016"/>
      <c r="AA902" s="2016"/>
      <c r="AB902" s="2012" t="s">
        <v>1852</v>
      </c>
      <c r="AC902" s="2012"/>
      <c r="AD902" s="2012"/>
      <c r="AE902" s="2012"/>
      <c r="AF902" s="2012"/>
    </row>
    <row r="903" spans="1:32" x14ac:dyDescent="0.2">
      <c r="A903" s="2012"/>
      <c r="B903" s="2012"/>
      <c r="C903" s="2012"/>
      <c r="D903" s="2012"/>
      <c r="E903" s="2012"/>
      <c r="F903" s="2012"/>
      <c r="G903" s="2012"/>
      <c r="H903" s="2012"/>
      <c r="I903" s="2012"/>
      <c r="J903" s="2012"/>
      <c r="K903" s="2012"/>
      <c r="L903" s="2012"/>
      <c r="M903" s="2012"/>
      <c r="N903" s="2012"/>
      <c r="O903" s="2012"/>
      <c r="P903" s="2012"/>
      <c r="Q903" s="2012"/>
      <c r="R903" s="2012"/>
      <c r="S903" s="2012"/>
      <c r="T903" s="2016"/>
      <c r="U903" s="2016"/>
      <c r="V903" s="2016"/>
      <c r="W903" s="2016"/>
      <c r="X903" s="2016"/>
      <c r="Y903" s="2016"/>
      <c r="Z903" s="2016"/>
      <c r="AA903" s="2016"/>
      <c r="AB903" s="2012"/>
      <c r="AC903" s="2012"/>
      <c r="AD903" s="2012"/>
      <c r="AE903" s="2012"/>
      <c r="AF903" s="2012"/>
    </row>
    <row r="904" spans="1:32" ht="13.5" thickBot="1" x14ac:dyDescent="0.25"/>
    <row r="905" spans="1:32" ht="24" customHeight="1" x14ac:dyDescent="0.2">
      <c r="A905" s="2025" t="s">
        <v>1854</v>
      </c>
      <c r="B905" s="2026"/>
      <c r="C905" s="2026"/>
      <c r="D905" s="2026"/>
      <c r="E905" s="2026"/>
      <c r="F905" s="2026"/>
      <c r="G905" s="2026"/>
      <c r="H905" s="2026"/>
      <c r="I905" s="2026"/>
      <c r="J905" s="2026"/>
      <c r="K905" s="2026"/>
      <c r="L905" s="2026"/>
      <c r="M905" s="2026"/>
      <c r="N905" s="2026"/>
      <c r="O905" s="2026"/>
      <c r="P905" s="2026"/>
      <c r="Q905" s="2026"/>
      <c r="R905" s="2026"/>
      <c r="S905" s="2026"/>
      <c r="T905" s="2026"/>
      <c r="U905" s="2026"/>
      <c r="V905" s="2026"/>
      <c r="W905" s="2026"/>
      <c r="X905" s="2026"/>
      <c r="Y905" s="2026"/>
      <c r="Z905" s="2026"/>
      <c r="AA905" s="2026"/>
      <c r="AB905" s="2026"/>
      <c r="AC905" s="2026"/>
      <c r="AD905" s="2026"/>
      <c r="AE905" s="1041" t="s">
        <v>1834</v>
      </c>
      <c r="AF905" s="1042" t="s">
        <v>1835</v>
      </c>
    </row>
    <row r="906" spans="1:32" ht="28.9" customHeight="1" thickBot="1" x14ac:dyDescent="0.25">
      <c r="A906" s="2027"/>
      <c r="B906" s="2028"/>
      <c r="C906" s="2028"/>
      <c r="D906" s="2028"/>
      <c r="E906" s="2028"/>
      <c r="F906" s="2028"/>
      <c r="G906" s="2028"/>
      <c r="H906" s="2028"/>
      <c r="I906" s="2028"/>
      <c r="J906" s="2028"/>
      <c r="K906" s="2028"/>
      <c r="L906" s="2028"/>
      <c r="M906" s="2028"/>
      <c r="N906" s="2028"/>
      <c r="O906" s="2028"/>
      <c r="P906" s="2028"/>
      <c r="Q906" s="2028"/>
      <c r="R906" s="2028"/>
      <c r="S906" s="2028"/>
      <c r="T906" s="2028"/>
      <c r="U906" s="2028"/>
      <c r="V906" s="2028"/>
      <c r="W906" s="2028"/>
      <c r="X906" s="2028"/>
      <c r="Y906" s="2028"/>
      <c r="Z906" s="2028"/>
      <c r="AA906" s="2028"/>
      <c r="AB906" s="2028"/>
      <c r="AC906" s="2028"/>
      <c r="AD906" s="2028"/>
      <c r="AE906" s="1041" t="s">
        <v>1836</v>
      </c>
      <c r="AF906" s="1044">
        <v>1</v>
      </c>
    </row>
    <row r="907" spans="1:32" ht="15.75" x14ac:dyDescent="0.2">
      <c r="A907" s="2029"/>
      <c r="B907" s="2030"/>
      <c r="C907" s="2030"/>
      <c r="D907" s="2031"/>
      <c r="E907" s="2025" t="str">
        <f>'01'!$A$12</f>
        <v>"CONSTRUCCION SISTEMA DE ACUEDUCTO FASE II DEL MUNICIPIO DE TESALIA DPTO DEL HUILA"</v>
      </c>
      <c r="F907" s="2026"/>
      <c r="G907" s="2026"/>
      <c r="H907" s="2026"/>
      <c r="I907" s="2026"/>
      <c r="J907" s="2026"/>
      <c r="K907" s="2026"/>
      <c r="L907" s="2026"/>
      <c r="M907" s="2026"/>
      <c r="N907" s="2026"/>
      <c r="O907" s="2026"/>
      <c r="P907" s="2026"/>
      <c r="Q907" s="2026"/>
      <c r="R907" s="2026"/>
      <c r="S907" s="2026"/>
      <c r="T907" s="2026"/>
      <c r="U907" s="2026"/>
      <c r="V907" s="2026"/>
      <c r="W907" s="2026"/>
      <c r="X907" s="2026"/>
      <c r="Y907" s="2026"/>
      <c r="Z907" s="2026"/>
      <c r="AA907" s="2026"/>
      <c r="AB907" s="2026"/>
      <c r="AC907" s="2026"/>
      <c r="AD907" s="2035"/>
      <c r="AE907" s="1041" t="s">
        <v>847</v>
      </c>
      <c r="AF907" s="1045">
        <f>'01'!$M$13</f>
        <v>0</v>
      </c>
    </row>
    <row r="908" spans="1:32" ht="16.5" thickBot="1" x14ac:dyDescent="0.25">
      <c r="A908" s="2032"/>
      <c r="B908" s="2033"/>
      <c r="C908" s="2033"/>
      <c r="D908" s="2034"/>
      <c r="E908" s="2027"/>
      <c r="F908" s="2028"/>
      <c r="G908" s="2028"/>
      <c r="H908" s="2028"/>
      <c r="I908" s="2028"/>
      <c r="J908" s="2028"/>
      <c r="K908" s="2028"/>
      <c r="L908" s="2028"/>
      <c r="M908" s="2028"/>
      <c r="N908" s="2028"/>
      <c r="O908" s="2028"/>
      <c r="P908" s="2028"/>
      <c r="Q908" s="2028"/>
      <c r="R908" s="2028"/>
      <c r="S908" s="2028"/>
      <c r="T908" s="2028"/>
      <c r="U908" s="2028"/>
      <c r="V908" s="2028"/>
      <c r="W908" s="2028"/>
      <c r="X908" s="2028"/>
      <c r="Y908" s="2028"/>
      <c r="Z908" s="2028"/>
      <c r="AA908" s="2028"/>
      <c r="AB908" s="2028"/>
      <c r="AC908" s="2028"/>
      <c r="AD908" s="2036"/>
      <c r="AE908" s="1041" t="s">
        <v>1837</v>
      </c>
      <c r="AF908" s="1042" t="s">
        <v>1838</v>
      </c>
    </row>
    <row r="909" spans="1:32" ht="15.75" x14ac:dyDescent="0.25">
      <c r="A909" s="2037" t="s">
        <v>1860</v>
      </c>
      <c r="B909" s="2038"/>
      <c r="C909" s="2038"/>
      <c r="D909" s="2038"/>
      <c r="E909" s="2038"/>
      <c r="F909" s="2038"/>
      <c r="G909" s="2038"/>
      <c r="H909" s="2038"/>
      <c r="I909" s="2038"/>
      <c r="J909" s="2038"/>
      <c r="K909" s="2038"/>
      <c r="L909" s="2038"/>
      <c r="M909" s="2038"/>
      <c r="N909" s="2038"/>
      <c r="O909" s="2038"/>
      <c r="P909" s="2038"/>
      <c r="Q909" s="2038"/>
      <c r="R909" s="2038"/>
      <c r="S909" s="2038"/>
      <c r="T909" s="2038"/>
      <c r="U909" s="2038"/>
      <c r="V909" s="2038"/>
      <c r="W909" s="2038"/>
      <c r="X909" s="2038"/>
      <c r="Y909" s="2038"/>
      <c r="Z909" s="2038"/>
      <c r="AA909" s="2038"/>
      <c r="AB909" s="2038"/>
      <c r="AC909" s="2038"/>
      <c r="AD909" s="2038"/>
      <c r="AE909" s="2039" t="s">
        <v>1839</v>
      </c>
      <c r="AF909" s="2040"/>
    </row>
    <row r="910" spans="1:32" ht="15.75" x14ac:dyDescent="0.25">
      <c r="A910" s="2041" t="s">
        <v>1840</v>
      </c>
      <c r="B910" s="2042"/>
      <c r="C910" s="2042"/>
      <c r="D910" s="2042"/>
      <c r="E910" s="2042"/>
      <c r="F910" s="2042"/>
      <c r="G910" s="2042"/>
      <c r="H910" s="2042"/>
      <c r="I910" s="2042"/>
      <c r="J910" s="2042"/>
      <c r="K910" s="2042"/>
      <c r="L910" s="2042"/>
      <c r="M910" s="2042"/>
      <c r="N910" s="2042"/>
      <c r="O910" s="2042"/>
      <c r="P910" s="2042"/>
      <c r="Q910" s="2042"/>
      <c r="R910" s="2042"/>
      <c r="S910" s="2042"/>
      <c r="T910" s="2042"/>
      <c r="U910" s="2042"/>
      <c r="V910" s="2042"/>
      <c r="W910" s="2042"/>
      <c r="X910" s="2042"/>
      <c r="Y910" s="2042"/>
      <c r="Z910" s="2042"/>
      <c r="AA910" s="2042"/>
      <c r="AB910" s="2042"/>
      <c r="AC910" s="2042"/>
      <c r="AD910" s="2043"/>
      <c r="AE910" s="2014" t="s">
        <v>1841</v>
      </c>
      <c r="AF910" s="2044"/>
    </row>
    <row r="911" spans="1:32" ht="15.75" x14ac:dyDescent="0.25">
      <c r="A911" s="2045" t="s">
        <v>1853</v>
      </c>
      <c r="B911" s="2046"/>
      <c r="C911" s="2046"/>
      <c r="D911" s="2046"/>
      <c r="E911" s="2046"/>
      <c r="F911" s="2046"/>
      <c r="G911" s="2046"/>
      <c r="H911" s="2046"/>
      <c r="I911" s="2046"/>
      <c r="J911" s="2046"/>
      <c r="K911" s="2046"/>
      <c r="L911" s="2046"/>
      <c r="M911" s="2046"/>
      <c r="N911" s="2046"/>
      <c r="O911" s="2046"/>
      <c r="P911" s="2046"/>
      <c r="Q911" s="2046"/>
      <c r="R911" s="2046"/>
      <c r="S911" s="2046"/>
      <c r="T911" s="2046"/>
      <c r="U911" s="2046"/>
      <c r="V911" s="2046"/>
      <c r="W911" s="2046"/>
      <c r="X911" s="2046"/>
      <c r="Y911" s="2046"/>
      <c r="Z911" s="2046"/>
      <c r="AA911" s="2046"/>
      <c r="AB911" s="2046"/>
      <c r="AC911" s="2046"/>
      <c r="AD911" s="2046"/>
      <c r="AE911" s="2047">
        <f>'01'!$M$13</f>
        <v>0</v>
      </c>
      <c r="AF911" s="2044"/>
    </row>
    <row r="912" spans="1:32" x14ac:dyDescent="0.2">
      <c r="A912" s="1046"/>
      <c r="B912" s="1047"/>
      <c r="C912" s="1047"/>
      <c r="D912" s="1047"/>
      <c r="E912" s="1047"/>
      <c r="F912" s="1047"/>
      <c r="G912" s="1047"/>
      <c r="H912" s="1047"/>
      <c r="I912" s="1047"/>
      <c r="J912" s="1047"/>
      <c r="K912" s="1047"/>
      <c r="L912" s="1047"/>
      <c r="M912" s="1047"/>
      <c r="N912" s="1047"/>
      <c r="O912" s="1047"/>
      <c r="P912" s="1047"/>
      <c r="Q912" s="1047"/>
      <c r="R912" s="1047"/>
      <c r="S912" s="1047"/>
      <c r="T912" s="1047"/>
      <c r="U912" s="1047"/>
      <c r="V912" s="1047"/>
      <c r="W912" s="1047"/>
      <c r="X912" s="1047"/>
      <c r="Y912" s="1047"/>
      <c r="Z912" s="1047"/>
      <c r="AA912" s="1047"/>
      <c r="AB912" s="1047"/>
      <c r="AC912" s="1047"/>
      <c r="AD912" s="1047"/>
      <c r="AE912" s="1047"/>
      <c r="AF912" s="1048"/>
    </row>
    <row r="913" spans="1:32" ht="15.75" x14ac:dyDescent="0.2">
      <c r="A913" s="2048" t="s">
        <v>1842</v>
      </c>
      <c r="B913" s="2049"/>
      <c r="C913" s="2049"/>
      <c r="D913" s="2049"/>
      <c r="E913" s="2049"/>
      <c r="F913" s="2050" t="str">
        <f>'01'!$H$33</f>
        <v>B - CÁMARA DE LLEGADA Y AQUIETAMIENTO DEL AGUA</v>
      </c>
      <c r="G913" s="2049"/>
      <c r="H913" s="2049"/>
      <c r="I913" s="2049"/>
      <c r="J913" s="2049"/>
      <c r="K913" s="2049"/>
      <c r="L913" s="2049"/>
      <c r="M913" s="2049"/>
      <c r="N913" s="2049"/>
      <c r="O913" s="2049"/>
      <c r="P913" s="2049"/>
      <c r="Q913" s="2049"/>
      <c r="R913" s="2049"/>
      <c r="S913" s="2049"/>
      <c r="T913" s="2049"/>
      <c r="U913" s="2049"/>
      <c r="V913" s="2049"/>
      <c r="W913" s="2049"/>
      <c r="X913" s="2049"/>
      <c r="Y913" s="2051"/>
      <c r="Z913" s="2052" t="s">
        <v>1843</v>
      </c>
      <c r="AA913" s="2053"/>
      <c r="AB913" s="2058" t="s">
        <v>1844</v>
      </c>
      <c r="AC913" s="2059"/>
      <c r="AD913" s="2060"/>
      <c r="AE913" s="2064" t="s">
        <v>1845</v>
      </c>
      <c r="AF913" s="2067" t="s">
        <v>1846</v>
      </c>
    </row>
    <row r="914" spans="1:32" x14ac:dyDescent="0.2">
      <c r="A914" s="2070" t="str">
        <f>'01'!A56</f>
        <v>B-08-03</v>
      </c>
      <c r="B914" s="2071"/>
      <c r="C914" s="2072"/>
      <c r="D914" s="2076" t="str">
        <f>VLOOKUP(A914,'01'!$A$12:$N$299,3,FALSE)</f>
        <v>SUMINISTRO E INSTALACIÓN PASAMURO HD 8" BXB=0,75M Z=0.375 M.</v>
      </c>
      <c r="E914" s="2077"/>
      <c r="F914" s="2077"/>
      <c r="G914" s="2077"/>
      <c r="H914" s="2077"/>
      <c r="I914" s="2077"/>
      <c r="J914" s="2077"/>
      <c r="K914" s="2077"/>
      <c r="L914" s="2077"/>
      <c r="M914" s="2077"/>
      <c r="N914" s="2077"/>
      <c r="O914" s="2077"/>
      <c r="P914" s="2077"/>
      <c r="Q914" s="2077"/>
      <c r="R914" s="2077"/>
      <c r="S914" s="2078"/>
      <c r="T914" s="2082" t="s">
        <v>124</v>
      </c>
      <c r="U914" s="2083"/>
      <c r="V914" s="2083"/>
      <c r="W914" s="2083"/>
      <c r="X914" s="2052" t="str">
        <f>VLOOKUP(A914,'01'!$A$12:$N$299,9,FALSE)</f>
        <v>UND</v>
      </c>
      <c r="Y914" s="2053"/>
      <c r="Z914" s="2054"/>
      <c r="AA914" s="2055"/>
      <c r="AB914" s="2061"/>
      <c r="AC914" s="2062"/>
      <c r="AD914" s="2063"/>
      <c r="AE914" s="2065"/>
      <c r="AF914" s="2068"/>
    </row>
    <row r="915" spans="1:32" ht="15.75" x14ac:dyDescent="0.25">
      <c r="A915" s="2073"/>
      <c r="B915" s="2074"/>
      <c r="C915" s="2075"/>
      <c r="D915" s="2079"/>
      <c r="E915" s="2080"/>
      <c r="F915" s="2080"/>
      <c r="G915" s="2080"/>
      <c r="H915" s="2080"/>
      <c r="I915" s="2080"/>
      <c r="J915" s="2080"/>
      <c r="K915" s="2080"/>
      <c r="L915" s="2080"/>
      <c r="M915" s="2080"/>
      <c r="N915" s="2080"/>
      <c r="O915" s="2080"/>
      <c r="P915" s="2080"/>
      <c r="Q915" s="2080"/>
      <c r="R915" s="2080"/>
      <c r="S915" s="2081"/>
      <c r="T915" s="2084"/>
      <c r="U915" s="2085"/>
      <c r="V915" s="2085"/>
      <c r="W915" s="2085"/>
      <c r="X915" s="2056"/>
      <c r="Y915" s="2057"/>
      <c r="Z915" s="2056"/>
      <c r="AA915" s="2057"/>
      <c r="AB915" s="1049" t="s">
        <v>1847</v>
      </c>
      <c r="AC915" s="1049" t="s">
        <v>1848</v>
      </c>
      <c r="AD915" s="1049" t="s">
        <v>1861</v>
      </c>
      <c r="AE915" s="2066"/>
      <c r="AF915" s="2069"/>
    </row>
    <row r="916" spans="1:32" ht="30" customHeight="1" x14ac:dyDescent="0.25">
      <c r="A916" s="2017"/>
      <c r="B916" s="2018"/>
      <c r="C916" s="2018"/>
      <c r="D916" s="2018"/>
      <c r="E916" s="2018"/>
      <c r="F916" s="2018"/>
      <c r="G916" s="2018"/>
      <c r="H916" s="2018"/>
      <c r="I916" s="2018"/>
      <c r="J916" s="2018"/>
      <c r="K916" s="2018"/>
      <c r="L916" s="2018"/>
      <c r="M916" s="2018"/>
      <c r="N916" s="2018"/>
      <c r="O916" s="2018"/>
      <c r="P916" s="2018"/>
      <c r="Q916" s="2018"/>
      <c r="R916" s="2018"/>
      <c r="S916" s="2018"/>
      <c r="T916" s="2018"/>
      <c r="U916" s="2018"/>
      <c r="V916" s="2018"/>
      <c r="W916" s="2018"/>
      <c r="X916" s="2018"/>
      <c r="Y916" s="2018"/>
      <c r="Z916" s="2106" t="s">
        <v>1096</v>
      </c>
      <c r="AA916" s="2107"/>
      <c r="AB916" s="1151"/>
      <c r="AC916" s="1050"/>
      <c r="AD916" s="1050"/>
      <c r="AE916" s="1050">
        <v>2</v>
      </c>
      <c r="AF916" s="1052">
        <f>AE916</f>
        <v>2</v>
      </c>
    </row>
    <row r="917" spans="1:32" ht="30" customHeight="1" x14ac:dyDescent="0.25">
      <c r="A917" s="2017"/>
      <c r="B917" s="2018"/>
      <c r="C917" s="2018"/>
      <c r="D917" s="2018"/>
      <c r="E917" s="2018"/>
      <c r="F917" s="2018"/>
      <c r="G917" s="2018"/>
      <c r="H917" s="2018"/>
      <c r="I917" s="2018"/>
      <c r="J917" s="2018"/>
      <c r="K917" s="2018"/>
      <c r="L917" s="2018"/>
      <c r="M917" s="2018"/>
      <c r="N917" s="2018"/>
      <c r="O917" s="2018"/>
      <c r="P917" s="2018"/>
      <c r="Q917" s="2018"/>
      <c r="R917" s="2018"/>
      <c r="S917" s="2018"/>
      <c r="T917" s="2018"/>
      <c r="U917" s="2018"/>
      <c r="V917" s="2018"/>
      <c r="W917" s="2018"/>
      <c r="X917" s="2018"/>
      <c r="Y917" s="2018"/>
      <c r="Z917" s="2106" t="s">
        <v>1098</v>
      </c>
      <c r="AA917" s="2107"/>
      <c r="AB917" s="1151"/>
      <c r="AC917" s="1050"/>
      <c r="AD917" s="1050"/>
      <c r="AE917" s="1050">
        <v>5</v>
      </c>
      <c r="AF917" s="1052">
        <f t="shared" ref="AF917" si="20">AE917</f>
        <v>5</v>
      </c>
    </row>
    <row r="918" spans="1:32" ht="15.75" x14ac:dyDescent="0.25">
      <c r="A918" s="2017"/>
      <c r="B918" s="2018"/>
      <c r="C918" s="2018"/>
      <c r="D918" s="2018"/>
      <c r="E918" s="2018"/>
      <c r="F918" s="2018"/>
      <c r="G918" s="2018"/>
      <c r="H918" s="2018"/>
      <c r="I918" s="2018"/>
      <c r="J918" s="2018"/>
      <c r="K918" s="2018"/>
      <c r="L918" s="2018"/>
      <c r="M918" s="2018"/>
      <c r="N918" s="2018"/>
      <c r="O918" s="2018"/>
      <c r="P918" s="2018"/>
      <c r="Q918" s="2018"/>
      <c r="R918" s="2018"/>
      <c r="S918" s="2018"/>
      <c r="T918" s="2018"/>
      <c r="U918" s="2018"/>
      <c r="V918" s="2018"/>
      <c r="W918" s="2018"/>
      <c r="X918" s="2018"/>
      <c r="Y918" s="2018"/>
      <c r="Z918" s="2106"/>
      <c r="AA918" s="2107"/>
      <c r="AB918" s="1151"/>
      <c r="AC918" s="1050"/>
      <c r="AD918" s="1050"/>
      <c r="AE918" s="1050"/>
      <c r="AF918" s="1052"/>
    </row>
    <row r="919" spans="1:32" ht="15.75" x14ac:dyDescent="0.25">
      <c r="A919" s="2017"/>
      <c r="B919" s="2018"/>
      <c r="C919" s="2018"/>
      <c r="D919" s="2018"/>
      <c r="E919" s="2018"/>
      <c r="F919" s="2018"/>
      <c r="G919" s="2018"/>
      <c r="H919" s="2018"/>
      <c r="I919" s="2018"/>
      <c r="J919" s="2018"/>
      <c r="K919" s="2018"/>
      <c r="L919" s="2018"/>
      <c r="M919" s="2018"/>
      <c r="N919" s="2018"/>
      <c r="O919" s="2018"/>
      <c r="P919" s="2018"/>
      <c r="Q919" s="2018"/>
      <c r="R919" s="2018"/>
      <c r="S919" s="2018"/>
      <c r="T919" s="2018"/>
      <c r="U919" s="2018"/>
      <c r="V919" s="2018"/>
      <c r="W919" s="2018"/>
      <c r="X919" s="2018"/>
      <c r="Y919" s="2018"/>
      <c r="Z919" s="2106"/>
      <c r="AA919" s="2107"/>
      <c r="AB919" s="1151"/>
      <c r="AC919" s="1050"/>
      <c r="AD919" s="1050"/>
      <c r="AE919" s="1050"/>
      <c r="AF919" s="1052"/>
    </row>
    <row r="920" spans="1:32" ht="15.75" x14ac:dyDescent="0.25">
      <c r="A920" s="2017"/>
      <c r="B920" s="2018"/>
      <c r="C920" s="2018"/>
      <c r="D920" s="2018"/>
      <c r="E920" s="2018"/>
      <c r="F920" s="2018"/>
      <c r="G920" s="2018"/>
      <c r="H920" s="2018"/>
      <c r="I920" s="2018"/>
      <c r="J920" s="2018"/>
      <c r="K920" s="2018"/>
      <c r="L920" s="2018"/>
      <c r="M920" s="2018"/>
      <c r="N920" s="2018"/>
      <c r="O920" s="2018"/>
      <c r="P920" s="2018"/>
      <c r="Q920" s="2018"/>
      <c r="R920" s="2018"/>
      <c r="S920" s="2018"/>
      <c r="T920" s="2018"/>
      <c r="U920" s="2018"/>
      <c r="V920" s="2018"/>
      <c r="W920" s="2018"/>
      <c r="X920" s="2018"/>
      <c r="Y920" s="2018"/>
      <c r="Z920" s="2106"/>
      <c r="AA920" s="2107"/>
      <c r="AB920" s="1151"/>
      <c r="AC920" s="1050"/>
      <c r="AD920" s="1050"/>
      <c r="AE920" s="1050"/>
      <c r="AF920" s="1052"/>
    </row>
    <row r="921" spans="1:32" ht="15.75" x14ac:dyDescent="0.25">
      <c r="A921" s="2017"/>
      <c r="B921" s="2018"/>
      <c r="C921" s="2018"/>
      <c r="D921" s="2018"/>
      <c r="E921" s="2018"/>
      <c r="F921" s="2018"/>
      <c r="G921" s="2018"/>
      <c r="H921" s="2018"/>
      <c r="I921" s="2018"/>
      <c r="J921" s="2018"/>
      <c r="K921" s="2018"/>
      <c r="L921" s="2018"/>
      <c r="M921" s="2018"/>
      <c r="N921" s="2018"/>
      <c r="O921" s="2018"/>
      <c r="P921" s="2018"/>
      <c r="Q921" s="2018"/>
      <c r="R921" s="2018"/>
      <c r="S921" s="2018"/>
      <c r="T921" s="2018"/>
      <c r="U921" s="2018"/>
      <c r="V921" s="2018"/>
      <c r="W921" s="2018"/>
      <c r="X921" s="2018"/>
      <c r="Y921" s="2018"/>
      <c r="Z921" s="2105"/>
      <c r="AA921" s="2105"/>
      <c r="AB921" s="1050"/>
      <c r="AC921" s="1050"/>
      <c r="AD921" s="1050"/>
      <c r="AE921" s="1050"/>
      <c r="AF921" s="1052"/>
    </row>
    <row r="922" spans="1:32" ht="15.75" x14ac:dyDescent="0.25">
      <c r="A922" s="2017"/>
      <c r="B922" s="2018"/>
      <c r="C922" s="2018"/>
      <c r="D922" s="2018"/>
      <c r="E922" s="2018"/>
      <c r="F922" s="2018"/>
      <c r="G922" s="2018"/>
      <c r="H922" s="2018"/>
      <c r="I922" s="2018"/>
      <c r="J922" s="2018"/>
      <c r="K922" s="2018"/>
      <c r="L922" s="2018"/>
      <c r="M922" s="2018"/>
      <c r="N922" s="2018"/>
      <c r="O922" s="2018"/>
      <c r="P922" s="2018"/>
      <c r="Q922" s="2018"/>
      <c r="R922" s="2018"/>
      <c r="S922" s="2018"/>
      <c r="T922" s="2018"/>
      <c r="U922" s="2018"/>
      <c r="V922" s="2018"/>
      <c r="W922" s="2018"/>
      <c r="X922" s="2018"/>
      <c r="Y922" s="2018"/>
      <c r="Z922" s="2105"/>
      <c r="AA922" s="2105"/>
      <c r="AB922" s="1050"/>
      <c r="AC922" s="1050"/>
      <c r="AD922" s="1050"/>
      <c r="AE922" s="1050"/>
      <c r="AF922" s="1052"/>
    </row>
    <row r="923" spans="1:32" ht="15.75" x14ac:dyDescent="0.25">
      <c r="A923" s="2017"/>
      <c r="B923" s="2018"/>
      <c r="C923" s="2018"/>
      <c r="D923" s="2018"/>
      <c r="E923" s="2018"/>
      <c r="F923" s="2018"/>
      <c r="G923" s="2018"/>
      <c r="H923" s="2018"/>
      <c r="I923" s="2018"/>
      <c r="J923" s="2018"/>
      <c r="K923" s="2018"/>
      <c r="L923" s="2018"/>
      <c r="M923" s="2018"/>
      <c r="N923" s="2018"/>
      <c r="O923" s="2018"/>
      <c r="P923" s="2018"/>
      <c r="Q923" s="2018"/>
      <c r="R923" s="2018"/>
      <c r="S923" s="2018"/>
      <c r="T923" s="2018"/>
      <c r="U923" s="2018"/>
      <c r="V923" s="2018"/>
      <c r="W923" s="2018"/>
      <c r="X923" s="2018"/>
      <c r="Y923" s="2018"/>
      <c r="Z923" s="2105"/>
      <c r="AA923" s="2105"/>
      <c r="AB923" s="1050"/>
      <c r="AC923" s="1050"/>
      <c r="AD923" s="1050"/>
      <c r="AE923" s="1050"/>
      <c r="AF923" s="1052"/>
    </row>
    <row r="924" spans="1:32" ht="15.75" x14ac:dyDescent="0.25">
      <c r="A924" s="2017"/>
      <c r="B924" s="2018"/>
      <c r="C924" s="2018"/>
      <c r="D924" s="2018"/>
      <c r="E924" s="2018"/>
      <c r="F924" s="2018"/>
      <c r="G924" s="2018"/>
      <c r="H924" s="2018"/>
      <c r="I924" s="2018"/>
      <c r="J924" s="2018"/>
      <c r="K924" s="2018"/>
      <c r="L924" s="2018"/>
      <c r="M924" s="2018"/>
      <c r="N924" s="2018"/>
      <c r="O924" s="2018"/>
      <c r="P924" s="2018"/>
      <c r="Q924" s="2018"/>
      <c r="R924" s="2018"/>
      <c r="S924" s="2018"/>
      <c r="T924" s="2018"/>
      <c r="U924" s="2018"/>
      <c r="V924" s="2018"/>
      <c r="W924" s="2018"/>
      <c r="X924" s="2018"/>
      <c r="Y924" s="2018"/>
      <c r="Z924" s="2105"/>
      <c r="AA924" s="2105"/>
      <c r="AB924" s="1050"/>
      <c r="AC924" s="1050"/>
      <c r="AD924" s="1050"/>
      <c r="AE924" s="1050"/>
      <c r="AF924" s="1052"/>
    </row>
    <row r="925" spans="1:32" ht="15.75" x14ac:dyDescent="0.25">
      <c r="A925" s="2017"/>
      <c r="B925" s="2018"/>
      <c r="C925" s="2018"/>
      <c r="D925" s="2018"/>
      <c r="E925" s="2018"/>
      <c r="F925" s="2018"/>
      <c r="G925" s="2018"/>
      <c r="H925" s="2018"/>
      <c r="I925" s="2018"/>
      <c r="J925" s="2018"/>
      <c r="K925" s="2018"/>
      <c r="L925" s="2018"/>
      <c r="M925" s="2018"/>
      <c r="N925" s="2018"/>
      <c r="O925" s="2018"/>
      <c r="P925" s="2018"/>
      <c r="Q925" s="2018"/>
      <c r="R925" s="2018"/>
      <c r="S925" s="2018"/>
      <c r="T925" s="2018"/>
      <c r="U925" s="2018"/>
      <c r="V925" s="2018"/>
      <c r="W925" s="2018"/>
      <c r="X925" s="2018"/>
      <c r="Y925" s="2018"/>
      <c r="Z925" s="2105"/>
      <c r="AA925" s="2105"/>
      <c r="AB925" s="1050"/>
      <c r="AC925" s="1050"/>
      <c r="AD925" s="1050"/>
      <c r="AE925" s="1050"/>
      <c r="AF925" s="1052"/>
    </row>
    <row r="926" spans="1:32" ht="15.75" x14ac:dyDescent="0.25">
      <c r="A926" s="2017"/>
      <c r="B926" s="2018"/>
      <c r="C926" s="2018"/>
      <c r="D926" s="2018"/>
      <c r="E926" s="2018"/>
      <c r="F926" s="2018"/>
      <c r="G926" s="2018"/>
      <c r="H926" s="2018"/>
      <c r="I926" s="2018"/>
      <c r="J926" s="2018"/>
      <c r="K926" s="2018"/>
      <c r="L926" s="2018"/>
      <c r="M926" s="2018"/>
      <c r="N926" s="2018"/>
      <c r="O926" s="2018"/>
      <c r="P926" s="2018"/>
      <c r="Q926" s="2018"/>
      <c r="R926" s="2018"/>
      <c r="S926" s="2018"/>
      <c r="T926" s="2018"/>
      <c r="U926" s="2018"/>
      <c r="V926" s="2018"/>
      <c r="W926" s="2018"/>
      <c r="X926" s="2018"/>
      <c r="Y926" s="2018"/>
      <c r="Z926" s="2105"/>
      <c r="AA926" s="2105"/>
      <c r="AB926" s="1050"/>
      <c r="AC926" s="1050"/>
      <c r="AD926" s="1050"/>
      <c r="AE926" s="1050"/>
      <c r="AF926" s="1052"/>
    </row>
    <row r="927" spans="1:32" ht="15.75" x14ac:dyDescent="0.25">
      <c r="A927" s="2017"/>
      <c r="B927" s="2018"/>
      <c r="C927" s="2018"/>
      <c r="D927" s="2018"/>
      <c r="E927" s="2018"/>
      <c r="F927" s="2018"/>
      <c r="G927" s="2018"/>
      <c r="H927" s="2018"/>
      <c r="I927" s="2018"/>
      <c r="J927" s="2018"/>
      <c r="K927" s="2018"/>
      <c r="L927" s="2018"/>
      <c r="M927" s="2018"/>
      <c r="N927" s="2018"/>
      <c r="O927" s="2018"/>
      <c r="P927" s="2018"/>
      <c r="Q927" s="2018"/>
      <c r="R927" s="2018"/>
      <c r="S927" s="2018"/>
      <c r="T927" s="2018"/>
      <c r="U927" s="2018"/>
      <c r="V927" s="2018"/>
      <c r="W927" s="2018"/>
      <c r="X927" s="2018"/>
      <c r="Y927" s="2018"/>
      <c r="Z927" s="2105"/>
      <c r="AA927" s="2105"/>
      <c r="AB927" s="1050"/>
      <c r="AC927" s="1050"/>
      <c r="AD927" s="1050"/>
      <c r="AE927" s="1050"/>
      <c r="AF927" s="1052"/>
    </row>
    <row r="928" spans="1:32" ht="15.75" x14ac:dyDescent="0.25">
      <c r="A928" s="2017"/>
      <c r="B928" s="2018"/>
      <c r="C928" s="2018"/>
      <c r="D928" s="2018"/>
      <c r="E928" s="2018"/>
      <c r="F928" s="2018"/>
      <c r="G928" s="2018"/>
      <c r="H928" s="2018"/>
      <c r="I928" s="2018"/>
      <c r="J928" s="2018"/>
      <c r="K928" s="2018"/>
      <c r="L928" s="2018"/>
      <c r="M928" s="2018"/>
      <c r="N928" s="2018"/>
      <c r="O928" s="2018"/>
      <c r="P928" s="2018"/>
      <c r="Q928" s="2018"/>
      <c r="R928" s="2018"/>
      <c r="S928" s="2018"/>
      <c r="T928" s="2018"/>
      <c r="U928" s="2018"/>
      <c r="V928" s="2018"/>
      <c r="W928" s="2018"/>
      <c r="X928" s="2018"/>
      <c r="Y928" s="2018"/>
      <c r="Z928" s="2105"/>
      <c r="AA928" s="2105"/>
      <c r="AB928" s="1050"/>
      <c r="AC928" s="1050"/>
      <c r="AD928" s="1050"/>
      <c r="AE928" s="1050"/>
      <c r="AF928" s="1052"/>
    </row>
    <row r="929" spans="1:32" ht="15.75" x14ac:dyDescent="0.25">
      <c r="A929" s="2017"/>
      <c r="B929" s="2018"/>
      <c r="C929" s="2018"/>
      <c r="D929" s="2018"/>
      <c r="E929" s="2018"/>
      <c r="F929" s="2018"/>
      <c r="G929" s="2018"/>
      <c r="H929" s="2018"/>
      <c r="I929" s="2018"/>
      <c r="J929" s="2018"/>
      <c r="K929" s="2018"/>
      <c r="L929" s="2018"/>
      <c r="M929" s="2018"/>
      <c r="N929" s="2018"/>
      <c r="O929" s="2018"/>
      <c r="P929" s="2018"/>
      <c r="Q929" s="2018"/>
      <c r="R929" s="2018"/>
      <c r="S929" s="2018"/>
      <c r="T929" s="2018"/>
      <c r="U929" s="2018"/>
      <c r="V929" s="2018"/>
      <c r="W929" s="2018"/>
      <c r="X929" s="2018"/>
      <c r="Y929" s="2018"/>
      <c r="Z929" s="2022"/>
      <c r="AA929" s="2022"/>
      <c r="AB929" s="1050"/>
      <c r="AC929" s="1050"/>
      <c r="AD929" s="1050"/>
      <c r="AE929" s="1050"/>
      <c r="AF929" s="1052"/>
    </row>
    <row r="930" spans="1:32" ht="15.75" x14ac:dyDescent="0.25">
      <c r="A930" s="2017"/>
      <c r="B930" s="2018"/>
      <c r="C930" s="2018"/>
      <c r="D930" s="2018"/>
      <c r="E930" s="2018"/>
      <c r="F930" s="2018"/>
      <c r="G930" s="2018"/>
      <c r="H930" s="2018"/>
      <c r="I930" s="2018"/>
      <c r="J930" s="2018"/>
      <c r="K930" s="2018"/>
      <c r="L930" s="2018"/>
      <c r="M930" s="2018"/>
      <c r="N930" s="2018"/>
      <c r="O930" s="2018"/>
      <c r="P930" s="2018"/>
      <c r="Q930" s="2018"/>
      <c r="R930" s="2018"/>
      <c r="S930" s="2018"/>
      <c r="T930" s="2018"/>
      <c r="U930" s="2018"/>
      <c r="V930" s="2018"/>
      <c r="W930" s="2018"/>
      <c r="X930" s="2018"/>
      <c r="Y930" s="2018"/>
      <c r="Z930" s="2022"/>
      <c r="AA930" s="2022"/>
      <c r="AB930" s="1050"/>
      <c r="AC930" s="1050"/>
      <c r="AD930" s="1050"/>
      <c r="AE930" s="1050"/>
      <c r="AF930" s="1052"/>
    </row>
    <row r="931" spans="1:32" ht="15.75" x14ac:dyDescent="0.25">
      <c r="A931" s="2017"/>
      <c r="B931" s="2018"/>
      <c r="C931" s="2018"/>
      <c r="D931" s="2018"/>
      <c r="E931" s="2018"/>
      <c r="F931" s="2018"/>
      <c r="G931" s="2018"/>
      <c r="H931" s="2018"/>
      <c r="I931" s="2018"/>
      <c r="J931" s="2018"/>
      <c r="K931" s="2018"/>
      <c r="L931" s="2018"/>
      <c r="M931" s="2018"/>
      <c r="N931" s="2018"/>
      <c r="O931" s="2018"/>
      <c r="P931" s="2018"/>
      <c r="Q931" s="2018"/>
      <c r="R931" s="2018"/>
      <c r="S931" s="2018"/>
      <c r="T931" s="2018"/>
      <c r="U931" s="2018"/>
      <c r="V931" s="2018"/>
      <c r="W931" s="2018"/>
      <c r="X931" s="2018"/>
      <c r="Y931" s="2018"/>
      <c r="Z931" s="2022"/>
      <c r="AA931" s="2022"/>
      <c r="AB931" s="1050"/>
      <c r="AC931" s="1050"/>
      <c r="AD931" s="1050"/>
      <c r="AE931" s="1050"/>
      <c r="AF931" s="1052"/>
    </row>
    <row r="932" spans="1:32" ht="15.75" x14ac:dyDescent="0.25">
      <c r="A932" s="2017"/>
      <c r="B932" s="2018"/>
      <c r="C932" s="2018"/>
      <c r="D932" s="2018"/>
      <c r="E932" s="2018"/>
      <c r="F932" s="2018"/>
      <c r="G932" s="2018"/>
      <c r="H932" s="2018"/>
      <c r="I932" s="2018"/>
      <c r="J932" s="2018"/>
      <c r="K932" s="2018"/>
      <c r="L932" s="2018"/>
      <c r="M932" s="2018"/>
      <c r="N932" s="2018"/>
      <c r="O932" s="2018"/>
      <c r="P932" s="2018"/>
      <c r="Q932" s="2018"/>
      <c r="R932" s="2018"/>
      <c r="S932" s="2018"/>
      <c r="T932" s="2018"/>
      <c r="U932" s="2018"/>
      <c r="V932" s="2018"/>
      <c r="W932" s="2018"/>
      <c r="X932" s="2018"/>
      <c r="Y932" s="2018"/>
      <c r="Z932" s="2022"/>
      <c r="AA932" s="2022"/>
      <c r="AB932" s="1050"/>
      <c r="AC932" s="1050"/>
      <c r="AD932" s="1050"/>
      <c r="AE932" s="1050"/>
      <c r="AF932" s="1052"/>
    </row>
    <row r="933" spans="1:32" ht="15.75" x14ac:dyDescent="0.25">
      <c r="A933" s="2017"/>
      <c r="B933" s="2018"/>
      <c r="C933" s="2018"/>
      <c r="D933" s="2018"/>
      <c r="E933" s="2018"/>
      <c r="F933" s="2018"/>
      <c r="G933" s="2018"/>
      <c r="H933" s="2018"/>
      <c r="I933" s="2018"/>
      <c r="J933" s="2018"/>
      <c r="K933" s="2018"/>
      <c r="L933" s="2018"/>
      <c r="M933" s="2018"/>
      <c r="N933" s="2018"/>
      <c r="O933" s="2018"/>
      <c r="P933" s="2018"/>
      <c r="Q933" s="2018"/>
      <c r="R933" s="2018"/>
      <c r="S933" s="2018"/>
      <c r="T933" s="2018"/>
      <c r="U933" s="2018"/>
      <c r="V933" s="2018"/>
      <c r="W933" s="2018"/>
      <c r="X933" s="2018"/>
      <c r="Y933" s="2018"/>
      <c r="Z933" s="2023"/>
      <c r="AA933" s="2023"/>
      <c r="AB933" s="1050"/>
      <c r="AC933" s="1050"/>
      <c r="AD933" s="1050"/>
      <c r="AE933" s="1050"/>
      <c r="AF933" s="1052"/>
    </row>
    <row r="934" spans="1:32" ht="15.75" x14ac:dyDescent="0.25">
      <c r="A934" s="2017"/>
      <c r="B934" s="2018"/>
      <c r="C934" s="2018"/>
      <c r="D934" s="2018"/>
      <c r="E934" s="2018"/>
      <c r="F934" s="2018"/>
      <c r="G934" s="2018"/>
      <c r="H934" s="2018"/>
      <c r="I934" s="2018"/>
      <c r="J934" s="2018"/>
      <c r="K934" s="2018"/>
      <c r="L934" s="2018"/>
      <c r="M934" s="2018"/>
      <c r="N934" s="2018"/>
      <c r="O934" s="2018"/>
      <c r="P934" s="2018"/>
      <c r="Q934" s="2018"/>
      <c r="R934" s="2018"/>
      <c r="S934" s="2018"/>
      <c r="T934" s="2018"/>
      <c r="U934" s="2018"/>
      <c r="V934" s="2018"/>
      <c r="W934" s="2018"/>
      <c r="X934" s="2018"/>
      <c r="Y934" s="2018"/>
      <c r="Z934" s="2023"/>
      <c r="AA934" s="2023"/>
      <c r="AB934" s="1050"/>
      <c r="AC934" s="1050"/>
      <c r="AD934" s="1050"/>
      <c r="AE934" s="1050"/>
      <c r="AF934" s="1052"/>
    </row>
    <row r="935" spans="1:32" ht="15.75" x14ac:dyDescent="0.25">
      <c r="A935" s="2017"/>
      <c r="B935" s="2018"/>
      <c r="C935" s="2018"/>
      <c r="D935" s="2018"/>
      <c r="E935" s="2018"/>
      <c r="F935" s="2018"/>
      <c r="G935" s="2018"/>
      <c r="H935" s="2018"/>
      <c r="I935" s="2018"/>
      <c r="J935" s="2018"/>
      <c r="K935" s="2018"/>
      <c r="L935" s="2018"/>
      <c r="M935" s="2018"/>
      <c r="N935" s="2018"/>
      <c r="O935" s="2018"/>
      <c r="P935" s="2018"/>
      <c r="Q935" s="2018"/>
      <c r="R935" s="2018"/>
      <c r="S935" s="2018"/>
      <c r="T935" s="2018"/>
      <c r="U935" s="2018"/>
      <c r="V935" s="2018"/>
      <c r="W935" s="2018"/>
      <c r="X935" s="2018"/>
      <c r="Y935" s="2018"/>
      <c r="Z935" s="2023"/>
      <c r="AA935" s="2023"/>
      <c r="AB935" s="1050"/>
      <c r="AC935" s="1050"/>
      <c r="AD935" s="1050"/>
      <c r="AE935" s="1050"/>
      <c r="AF935" s="1052"/>
    </row>
    <row r="936" spans="1:32" ht="15.75" x14ac:dyDescent="0.25">
      <c r="A936" s="2017"/>
      <c r="B936" s="2018"/>
      <c r="C936" s="2018"/>
      <c r="D936" s="2018"/>
      <c r="E936" s="2018"/>
      <c r="F936" s="2018"/>
      <c r="G936" s="2018"/>
      <c r="H936" s="2018"/>
      <c r="I936" s="2018"/>
      <c r="J936" s="2018"/>
      <c r="K936" s="2018"/>
      <c r="L936" s="2018"/>
      <c r="M936" s="2018"/>
      <c r="N936" s="2018"/>
      <c r="O936" s="2018"/>
      <c r="P936" s="2018"/>
      <c r="Q936" s="2018"/>
      <c r="R936" s="2018"/>
      <c r="S936" s="2018"/>
      <c r="T936" s="2018"/>
      <c r="U936" s="2018"/>
      <c r="V936" s="2018"/>
      <c r="W936" s="2018"/>
      <c r="X936" s="2018"/>
      <c r="Y936" s="2018"/>
      <c r="Z936" s="2023"/>
      <c r="AA936" s="2023"/>
      <c r="AB936" s="1050"/>
      <c r="AC936" s="1050"/>
      <c r="AD936" s="1050"/>
      <c r="AE936" s="1050"/>
      <c r="AF936" s="1052"/>
    </row>
    <row r="937" spans="1:32" ht="15.75" x14ac:dyDescent="0.25">
      <c r="A937" s="2017"/>
      <c r="B937" s="2018"/>
      <c r="C937" s="2018"/>
      <c r="D937" s="2018"/>
      <c r="E937" s="2018"/>
      <c r="F937" s="2018"/>
      <c r="G937" s="2018"/>
      <c r="H937" s="2018"/>
      <c r="I937" s="2018"/>
      <c r="J937" s="2018"/>
      <c r="K937" s="2018"/>
      <c r="L937" s="2018"/>
      <c r="M937" s="2018"/>
      <c r="N937" s="2018"/>
      <c r="O937" s="2018"/>
      <c r="P937" s="2018"/>
      <c r="Q937" s="2018"/>
      <c r="R937" s="2018"/>
      <c r="S937" s="2018"/>
      <c r="T937" s="2018"/>
      <c r="U937" s="2018"/>
      <c r="V937" s="2018"/>
      <c r="W937" s="2018"/>
      <c r="X937" s="2018"/>
      <c r="Y937" s="2018"/>
      <c r="Z937" s="2023"/>
      <c r="AA937" s="2023"/>
      <c r="AB937" s="1050"/>
      <c r="AC937" s="1050"/>
      <c r="AD937" s="1050"/>
      <c r="AE937" s="1050"/>
      <c r="AF937" s="1052"/>
    </row>
    <row r="938" spans="1:32" ht="15.75" x14ac:dyDescent="0.25">
      <c r="A938" s="2017"/>
      <c r="B938" s="2018"/>
      <c r="C938" s="2018"/>
      <c r="D938" s="2018"/>
      <c r="E938" s="2018"/>
      <c r="F938" s="2018"/>
      <c r="G938" s="2018"/>
      <c r="H938" s="2018"/>
      <c r="I938" s="2018"/>
      <c r="J938" s="2018"/>
      <c r="K938" s="2018"/>
      <c r="L938" s="2018"/>
      <c r="M938" s="2018"/>
      <c r="N938" s="2018"/>
      <c r="O938" s="2018"/>
      <c r="P938" s="2018"/>
      <c r="Q938" s="2018"/>
      <c r="R938" s="2018"/>
      <c r="S938" s="2018"/>
      <c r="T938" s="2018"/>
      <c r="U938" s="2018"/>
      <c r="V938" s="2018"/>
      <c r="W938" s="2018"/>
      <c r="X938" s="2018"/>
      <c r="Y938" s="2018"/>
      <c r="Z938" s="2023"/>
      <c r="AA938" s="2023"/>
      <c r="AB938" s="1050"/>
      <c r="AC938" s="1050"/>
      <c r="AD938" s="1050"/>
      <c r="AE938" s="1050"/>
      <c r="AF938" s="1052"/>
    </row>
    <row r="939" spans="1:32" ht="16.5" thickBot="1" x14ac:dyDescent="0.3">
      <c r="A939" s="2019"/>
      <c r="B939" s="2020"/>
      <c r="C939" s="2020"/>
      <c r="D939" s="2020"/>
      <c r="E939" s="2020"/>
      <c r="F939" s="2020"/>
      <c r="G939" s="2020"/>
      <c r="H939" s="2020"/>
      <c r="I939" s="2020"/>
      <c r="J939" s="2020"/>
      <c r="K939" s="2020"/>
      <c r="L939" s="2020"/>
      <c r="M939" s="2020"/>
      <c r="N939" s="2020"/>
      <c r="O939" s="2020"/>
      <c r="P939" s="2020"/>
      <c r="Q939" s="2020"/>
      <c r="R939" s="2020"/>
      <c r="S939" s="2020"/>
      <c r="T939" s="2020"/>
      <c r="U939" s="2020"/>
      <c r="V939" s="2020"/>
      <c r="W939" s="2020"/>
      <c r="X939" s="2020"/>
      <c r="Y939" s="2020"/>
      <c r="Z939" s="2024"/>
      <c r="AA939" s="2024"/>
      <c r="AB939" s="1057"/>
      <c r="AC939" s="1057"/>
      <c r="AD939" s="1057"/>
      <c r="AE939" s="1057"/>
      <c r="AF939" s="1058"/>
    </row>
    <row r="940" spans="1:32" ht="15.75" x14ac:dyDescent="0.25">
      <c r="A940" s="2009" t="s">
        <v>1855</v>
      </c>
      <c r="B940" s="2010"/>
      <c r="C940" s="2010"/>
      <c r="D940" s="2010"/>
      <c r="E940" s="2010"/>
      <c r="F940" s="2010"/>
      <c r="G940" s="2010"/>
      <c r="H940" s="2010"/>
      <c r="I940" s="2010"/>
      <c r="J940" s="2010"/>
      <c r="K940" s="2010"/>
      <c r="L940" s="2010"/>
      <c r="M940" s="2010"/>
      <c r="N940" s="2010"/>
      <c r="O940" s="2010"/>
      <c r="P940" s="2010"/>
      <c r="Q940" s="2010"/>
      <c r="R940" s="2010"/>
      <c r="S940" s="2010"/>
      <c r="T940" s="2010"/>
      <c r="U940" s="2010"/>
      <c r="V940" s="2010"/>
      <c r="W940" s="2010"/>
      <c r="X940" s="2010"/>
      <c r="Y940" s="2010"/>
      <c r="Z940" s="2013" t="s">
        <v>1850</v>
      </c>
      <c r="AA940" s="2013"/>
      <c r="AB940" s="2013"/>
      <c r="AC940" s="2013"/>
      <c r="AD940" s="2013"/>
      <c r="AE940" s="2013"/>
      <c r="AF940" s="1059">
        <f>SUM(AF916:AF939)</f>
        <v>7</v>
      </c>
    </row>
    <row r="941" spans="1:32" ht="15.75" x14ac:dyDescent="0.25">
      <c r="A941" s="2011"/>
      <c r="B941" s="2012"/>
      <c r="C941" s="2012"/>
      <c r="D941" s="2012"/>
      <c r="E941" s="2012"/>
      <c r="F941" s="2012"/>
      <c r="G941" s="2012"/>
      <c r="H941" s="2012"/>
      <c r="I941" s="2012"/>
      <c r="J941" s="2012"/>
      <c r="K941" s="2012"/>
      <c r="L941" s="2012"/>
      <c r="M941" s="2012"/>
      <c r="N941" s="2012"/>
      <c r="O941" s="2012"/>
      <c r="P941" s="2012"/>
      <c r="Q941" s="2012"/>
      <c r="R941" s="2012"/>
      <c r="S941" s="2012"/>
      <c r="T941" s="2012"/>
      <c r="U941" s="2012"/>
      <c r="V941" s="2012"/>
      <c r="W941" s="2012"/>
      <c r="X941" s="2012"/>
      <c r="Y941" s="2012"/>
      <c r="Z941" s="2014" t="s">
        <v>1851</v>
      </c>
      <c r="AA941" s="2014"/>
      <c r="AB941" s="2014"/>
      <c r="AC941" s="2014"/>
      <c r="AD941" s="2014"/>
      <c r="AE941" s="2014"/>
      <c r="AF941" s="1060">
        <v>0</v>
      </c>
    </row>
    <row r="942" spans="1:32" ht="15.75" x14ac:dyDescent="0.25">
      <c r="A942" s="2011"/>
      <c r="B942" s="2012"/>
      <c r="C942" s="2012"/>
      <c r="D942" s="2012"/>
      <c r="E942" s="2012"/>
      <c r="F942" s="2012"/>
      <c r="G942" s="2012"/>
      <c r="H942" s="2012"/>
      <c r="I942" s="2012"/>
      <c r="J942" s="2012"/>
      <c r="K942" s="2012"/>
      <c r="L942" s="2012"/>
      <c r="M942" s="2012"/>
      <c r="N942" s="2012"/>
      <c r="O942" s="2012"/>
      <c r="P942" s="2012"/>
      <c r="Q942" s="2012"/>
      <c r="R942" s="2012"/>
      <c r="S942" s="2012"/>
      <c r="T942" s="2012"/>
      <c r="U942" s="2012"/>
      <c r="V942" s="2012"/>
      <c r="W942" s="2012"/>
      <c r="X942" s="2012"/>
      <c r="Y942" s="2012"/>
      <c r="Z942" s="2015" t="s">
        <v>1833</v>
      </c>
      <c r="AA942" s="2015"/>
      <c r="AB942" s="2015"/>
      <c r="AC942" s="2015"/>
      <c r="AD942" s="2015"/>
      <c r="AE942" s="2015"/>
      <c r="AF942" s="1061">
        <f>SUM(AF940:AF941)</f>
        <v>7</v>
      </c>
    </row>
    <row r="943" spans="1:32" x14ac:dyDescent="0.2">
      <c r="A943" s="2012" t="s">
        <v>1859</v>
      </c>
      <c r="B943" s="2012"/>
      <c r="C943" s="2012"/>
      <c r="D943" s="2012"/>
      <c r="E943" s="2012"/>
      <c r="F943" s="2012"/>
      <c r="G943" s="2012"/>
      <c r="H943" s="2012"/>
      <c r="I943" s="2012"/>
      <c r="J943" s="2012"/>
      <c r="K943" s="2012"/>
      <c r="L943" s="2012"/>
      <c r="M943" s="2012"/>
      <c r="N943" s="2012"/>
      <c r="O943" s="2012"/>
      <c r="P943" s="2012"/>
      <c r="Q943" s="2012"/>
      <c r="R943" s="2012"/>
      <c r="S943" s="2012"/>
      <c r="T943" s="2016" t="s">
        <v>1840</v>
      </c>
      <c r="U943" s="2016"/>
      <c r="V943" s="2016"/>
      <c r="W943" s="2016"/>
      <c r="X943" s="2016"/>
      <c r="Y943" s="2016"/>
      <c r="Z943" s="2016"/>
      <c r="AA943" s="2016"/>
      <c r="AB943" s="2012" t="s">
        <v>1852</v>
      </c>
      <c r="AC943" s="2012"/>
      <c r="AD943" s="2012"/>
      <c r="AE943" s="2012"/>
      <c r="AF943" s="2012"/>
    </row>
    <row r="944" spans="1:32" x14ac:dyDescent="0.2">
      <c r="A944" s="2012"/>
      <c r="B944" s="2012"/>
      <c r="C944" s="2012"/>
      <c r="D944" s="2012"/>
      <c r="E944" s="2012"/>
      <c r="F944" s="2012"/>
      <c r="G944" s="2012"/>
      <c r="H944" s="2012"/>
      <c r="I944" s="2012"/>
      <c r="J944" s="2012"/>
      <c r="K944" s="2012"/>
      <c r="L944" s="2012"/>
      <c r="M944" s="2012"/>
      <c r="N944" s="2012"/>
      <c r="O944" s="2012"/>
      <c r="P944" s="2012"/>
      <c r="Q944" s="2012"/>
      <c r="R944" s="2012"/>
      <c r="S944" s="2012"/>
      <c r="T944" s="2016"/>
      <c r="U944" s="2016"/>
      <c r="V944" s="2016"/>
      <c r="W944" s="2016"/>
      <c r="X944" s="2016"/>
      <c r="Y944" s="2016"/>
      <c r="Z944" s="2016"/>
      <c r="AA944" s="2016"/>
      <c r="AB944" s="2012"/>
      <c r="AC944" s="2012"/>
      <c r="AD944" s="2012"/>
      <c r="AE944" s="2012"/>
      <c r="AF944" s="2012"/>
    </row>
    <row r="945" spans="1:32" ht="13.5" thickBot="1" x14ac:dyDescent="0.25"/>
    <row r="946" spans="1:32" ht="29.45" customHeight="1" x14ac:dyDescent="0.2">
      <c r="A946" s="2025" t="s">
        <v>1854</v>
      </c>
      <c r="B946" s="2026"/>
      <c r="C946" s="2026"/>
      <c r="D946" s="2026"/>
      <c r="E946" s="2026"/>
      <c r="F946" s="2026"/>
      <c r="G946" s="2026"/>
      <c r="H946" s="2026"/>
      <c r="I946" s="2026"/>
      <c r="J946" s="2026"/>
      <c r="K946" s="2026"/>
      <c r="L946" s="2026"/>
      <c r="M946" s="2026"/>
      <c r="N946" s="2026"/>
      <c r="O946" s="2026"/>
      <c r="P946" s="2026"/>
      <c r="Q946" s="2026"/>
      <c r="R946" s="2026"/>
      <c r="S946" s="2026"/>
      <c r="T946" s="2026"/>
      <c r="U946" s="2026"/>
      <c r="V946" s="2026"/>
      <c r="W946" s="2026"/>
      <c r="X946" s="2026"/>
      <c r="Y946" s="2026"/>
      <c r="Z946" s="2026"/>
      <c r="AA946" s="2026"/>
      <c r="AB946" s="2026"/>
      <c r="AC946" s="2026"/>
      <c r="AD946" s="2026"/>
      <c r="AE946" s="1041" t="s">
        <v>1834</v>
      </c>
      <c r="AF946" s="1042" t="s">
        <v>1835</v>
      </c>
    </row>
    <row r="947" spans="1:32" ht="19.899999999999999" customHeight="1" thickBot="1" x14ac:dyDescent="0.25">
      <c r="A947" s="2027"/>
      <c r="B947" s="2028"/>
      <c r="C947" s="2028"/>
      <c r="D947" s="2028"/>
      <c r="E947" s="2028"/>
      <c r="F947" s="2028"/>
      <c r="G947" s="2028"/>
      <c r="H947" s="2028"/>
      <c r="I947" s="2028"/>
      <c r="J947" s="2028"/>
      <c r="K947" s="2028"/>
      <c r="L947" s="2028"/>
      <c r="M947" s="2028"/>
      <c r="N947" s="2028"/>
      <c r="O947" s="2028"/>
      <c r="P947" s="2028"/>
      <c r="Q947" s="2028"/>
      <c r="R947" s="2028"/>
      <c r="S947" s="2028"/>
      <c r="T947" s="2028"/>
      <c r="U947" s="2028"/>
      <c r="V947" s="2028"/>
      <c r="W947" s="2028"/>
      <c r="X947" s="2028"/>
      <c r="Y947" s="2028"/>
      <c r="Z947" s="2028"/>
      <c r="AA947" s="2028"/>
      <c r="AB947" s="2028"/>
      <c r="AC947" s="2028"/>
      <c r="AD947" s="2028"/>
      <c r="AE947" s="1041" t="s">
        <v>1836</v>
      </c>
      <c r="AF947" s="1044">
        <v>1</v>
      </c>
    </row>
    <row r="948" spans="1:32" ht="15.75" x14ac:dyDescent="0.2">
      <c r="A948" s="2029"/>
      <c r="B948" s="2030"/>
      <c r="C948" s="2030"/>
      <c r="D948" s="2031"/>
      <c r="E948" s="2025" t="str">
        <f>'01'!$A$12</f>
        <v>"CONSTRUCCION SISTEMA DE ACUEDUCTO FASE II DEL MUNICIPIO DE TESALIA DPTO DEL HUILA"</v>
      </c>
      <c r="F948" s="2026"/>
      <c r="G948" s="2026"/>
      <c r="H948" s="2026"/>
      <c r="I948" s="2026"/>
      <c r="J948" s="2026"/>
      <c r="K948" s="2026"/>
      <c r="L948" s="2026"/>
      <c r="M948" s="2026"/>
      <c r="N948" s="2026"/>
      <c r="O948" s="2026"/>
      <c r="P948" s="2026"/>
      <c r="Q948" s="2026"/>
      <c r="R948" s="2026"/>
      <c r="S948" s="2026"/>
      <c r="T948" s="2026"/>
      <c r="U948" s="2026"/>
      <c r="V948" s="2026"/>
      <c r="W948" s="2026"/>
      <c r="X948" s="2026"/>
      <c r="Y948" s="2026"/>
      <c r="Z948" s="2026"/>
      <c r="AA948" s="2026"/>
      <c r="AB948" s="2026"/>
      <c r="AC948" s="2026"/>
      <c r="AD948" s="2035"/>
      <c r="AE948" s="1041" t="s">
        <v>847</v>
      </c>
      <c r="AF948" s="1045">
        <f>'01'!$M$13</f>
        <v>0</v>
      </c>
    </row>
    <row r="949" spans="1:32" ht="16.5" thickBot="1" x14ac:dyDescent="0.25">
      <c r="A949" s="2032"/>
      <c r="B949" s="2033"/>
      <c r="C949" s="2033"/>
      <c r="D949" s="2034"/>
      <c r="E949" s="2027"/>
      <c r="F949" s="2028"/>
      <c r="G949" s="2028"/>
      <c r="H949" s="2028"/>
      <c r="I949" s="2028"/>
      <c r="J949" s="2028"/>
      <c r="K949" s="2028"/>
      <c r="L949" s="2028"/>
      <c r="M949" s="2028"/>
      <c r="N949" s="2028"/>
      <c r="O949" s="2028"/>
      <c r="P949" s="2028"/>
      <c r="Q949" s="2028"/>
      <c r="R949" s="2028"/>
      <c r="S949" s="2028"/>
      <c r="T949" s="2028"/>
      <c r="U949" s="2028"/>
      <c r="V949" s="2028"/>
      <c r="W949" s="2028"/>
      <c r="X949" s="2028"/>
      <c r="Y949" s="2028"/>
      <c r="Z949" s="2028"/>
      <c r="AA949" s="2028"/>
      <c r="AB949" s="2028"/>
      <c r="AC949" s="2028"/>
      <c r="AD949" s="2036"/>
      <c r="AE949" s="1041" t="s">
        <v>1837</v>
      </c>
      <c r="AF949" s="1042" t="s">
        <v>1838</v>
      </c>
    </row>
    <row r="950" spans="1:32" ht="15.75" x14ac:dyDescent="0.25">
      <c r="A950" s="2037" t="s">
        <v>1860</v>
      </c>
      <c r="B950" s="2038"/>
      <c r="C950" s="2038"/>
      <c r="D950" s="2038"/>
      <c r="E950" s="2038"/>
      <c r="F950" s="2038"/>
      <c r="G950" s="2038"/>
      <c r="H950" s="2038"/>
      <c r="I950" s="2038"/>
      <c r="J950" s="2038"/>
      <c r="K950" s="2038"/>
      <c r="L950" s="2038"/>
      <c r="M950" s="2038"/>
      <c r="N950" s="2038"/>
      <c r="O950" s="2038"/>
      <c r="P950" s="2038"/>
      <c r="Q950" s="2038"/>
      <c r="R950" s="2038"/>
      <c r="S950" s="2038"/>
      <c r="T950" s="2038"/>
      <c r="U950" s="2038"/>
      <c r="V950" s="2038"/>
      <c r="W950" s="2038"/>
      <c r="X950" s="2038"/>
      <c r="Y950" s="2038"/>
      <c r="Z950" s="2038"/>
      <c r="AA950" s="2038"/>
      <c r="AB950" s="2038"/>
      <c r="AC950" s="2038"/>
      <c r="AD950" s="2038"/>
      <c r="AE950" s="2039" t="s">
        <v>1839</v>
      </c>
      <c r="AF950" s="2040"/>
    </row>
    <row r="951" spans="1:32" ht="15.75" x14ac:dyDescent="0.25">
      <c r="A951" s="2041" t="s">
        <v>1840</v>
      </c>
      <c r="B951" s="2042"/>
      <c r="C951" s="2042"/>
      <c r="D951" s="2042"/>
      <c r="E951" s="2042"/>
      <c r="F951" s="2042"/>
      <c r="G951" s="2042"/>
      <c r="H951" s="2042"/>
      <c r="I951" s="2042"/>
      <c r="J951" s="2042"/>
      <c r="K951" s="2042"/>
      <c r="L951" s="2042"/>
      <c r="M951" s="2042"/>
      <c r="N951" s="2042"/>
      <c r="O951" s="2042"/>
      <c r="P951" s="2042"/>
      <c r="Q951" s="2042"/>
      <c r="R951" s="2042"/>
      <c r="S951" s="2042"/>
      <c r="T951" s="2042"/>
      <c r="U951" s="2042"/>
      <c r="V951" s="2042"/>
      <c r="W951" s="2042"/>
      <c r="X951" s="2042"/>
      <c r="Y951" s="2042"/>
      <c r="Z951" s="2042"/>
      <c r="AA951" s="2042"/>
      <c r="AB951" s="2042"/>
      <c r="AC951" s="2042"/>
      <c r="AD951" s="2043"/>
      <c r="AE951" s="2014" t="s">
        <v>1841</v>
      </c>
      <c r="AF951" s="2044"/>
    </row>
    <row r="952" spans="1:32" ht="15.75" x14ac:dyDescent="0.25">
      <c r="A952" s="2045" t="s">
        <v>1853</v>
      </c>
      <c r="B952" s="2046"/>
      <c r="C952" s="2046"/>
      <c r="D952" s="2046"/>
      <c r="E952" s="2046"/>
      <c r="F952" s="2046"/>
      <c r="G952" s="2046"/>
      <c r="H952" s="2046"/>
      <c r="I952" s="2046"/>
      <c r="J952" s="2046"/>
      <c r="K952" s="2046"/>
      <c r="L952" s="2046"/>
      <c r="M952" s="2046"/>
      <c r="N952" s="2046"/>
      <c r="O952" s="2046"/>
      <c r="P952" s="2046"/>
      <c r="Q952" s="2046"/>
      <c r="R952" s="2046"/>
      <c r="S952" s="2046"/>
      <c r="T952" s="2046"/>
      <c r="U952" s="2046"/>
      <c r="V952" s="2046"/>
      <c r="W952" s="2046"/>
      <c r="X952" s="2046"/>
      <c r="Y952" s="2046"/>
      <c r="Z952" s="2046"/>
      <c r="AA952" s="2046"/>
      <c r="AB952" s="2046"/>
      <c r="AC952" s="2046"/>
      <c r="AD952" s="2046"/>
      <c r="AE952" s="2047">
        <f>'01'!$M$13</f>
        <v>0</v>
      </c>
      <c r="AF952" s="2044"/>
    </row>
    <row r="953" spans="1:32" x14ac:dyDescent="0.2">
      <c r="A953" s="1046"/>
      <c r="B953" s="1047"/>
      <c r="C953" s="1047"/>
      <c r="D953" s="1047"/>
      <c r="E953" s="1047"/>
      <c r="F953" s="1047"/>
      <c r="G953" s="1047"/>
      <c r="H953" s="1047"/>
      <c r="I953" s="1047"/>
      <c r="J953" s="1047"/>
      <c r="K953" s="1047"/>
      <c r="L953" s="1047"/>
      <c r="M953" s="1047"/>
      <c r="N953" s="1047"/>
      <c r="O953" s="1047"/>
      <c r="P953" s="1047"/>
      <c r="Q953" s="1047"/>
      <c r="R953" s="1047"/>
      <c r="S953" s="1047"/>
      <c r="T953" s="1047"/>
      <c r="U953" s="1047"/>
      <c r="V953" s="1047"/>
      <c r="W953" s="1047"/>
      <c r="X953" s="1047"/>
      <c r="Y953" s="1047"/>
      <c r="Z953" s="1047"/>
      <c r="AA953" s="1047"/>
      <c r="AB953" s="1047"/>
      <c r="AC953" s="1047"/>
      <c r="AD953" s="1047"/>
      <c r="AE953" s="1047"/>
      <c r="AF953" s="1048"/>
    </row>
    <row r="954" spans="1:32" ht="15.75" x14ac:dyDescent="0.2">
      <c r="A954" s="2048" t="s">
        <v>1842</v>
      </c>
      <c r="B954" s="2049"/>
      <c r="C954" s="2049"/>
      <c r="D954" s="2049"/>
      <c r="E954" s="2049"/>
      <c r="F954" s="2050" t="str">
        <f>'01'!$H$33</f>
        <v>B - CÁMARA DE LLEGADA Y AQUIETAMIENTO DEL AGUA</v>
      </c>
      <c r="G954" s="2049"/>
      <c r="H954" s="2049"/>
      <c r="I954" s="2049"/>
      <c r="J954" s="2049"/>
      <c r="K954" s="2049"/>
      <c r="L954" s="2049"/>
      <c r="M954" s="2049"/>
      <c r="N954" s="2049"/>
      <c r="O954" s="2049"/>
      <c r="P954" s="2049"/>
      <c r="Q954" s="2049"/>
      <c r="R954" s="2049"/>
      <c r="S954" s="2049"/>
      <c r="T954" s="2049"/>
      <c r="U954" s="2049"/>
      <c r="V954" s="2049"/>
      <c r="W954" s="2049"/>
      <c r="X954" s="2049"/>
      <c r="Y954" s="2051"/>
      <c r="Z954" s="2052" t="s">
        <v>1843</v>
      </c>
      <c r="AA954" s="2053"/>
      <c r="AB954" s="2058" t="s">
        <v>1844</v>
      </c>
      <c r="AC954" s="2059"/>
      <c r="AD954" s="2060"/>
      <c r="AE954" s="2064" t="s">
        <v>1845</v>
      </c>
      <c r="AF954" s="2067" t="s">
        <v>1846</v>
      </c>
    </row>
    <row r="955" spans="1:32" x14ac:dyDescent="0.2">
      <c r="A955" s="2070" t="str">
        <f>'01'!A57</f>
        <v>B-08-04</v>
      </c>
      <c r="B955" s="2071"/>
      <c r="C955" s="2072"/>
      <c r="D955" s="2076" t="str">
        <f>VLOOKUP(A955,'01'!$A$12:$N$299,3,FALSE)</f>
        <v>SUMINISTRO E INSTALACIÓN VÁLVULA DE COMPUERTA ELASTICA VASTAGO NO ASCENDENTE EXTREMO BRIDADO PARA PVC DIAMETRO 6".</v>
      </c>
      <c r="E955" s="2077"/>
      <c r="F955" s="2077"/>
      <c r="G955" s="2077"/>
      <c r="H955" s="2077"/>
      <c r="I955" s="2077"/>
      <c r="J955" s="2077"/>
      <c r="K955" s="2077"/>
      <c r="L955" s="2077"/>
      <c r="M955" s="2077"/>
      <c r="N955" s="2077"/>
      <c r="O955" s="2077"/>
      <c r="P955" s="2077"/>
      <c r="Q955" s="2077"/>
      <c r="R955" s="2077"/>
      <c r="S955" s="2078"/>
      <c r="T955" s="2082" t="s">
        <v>124</v>
      </c>
      <c r="U955" s="2083"/>
      <c r="V955" s="2083"/>
      <c r="W955" s="2083"/>
      <c r="X955" s="2052" t="str">
        <f>VLOOKUP(A955,'01'!$A$12:$N$299,9,FALSE)</f>
        <v>UND</v>
      </c>
      <c r="Y955" s="2053"/>
      <c r="Z955" s="2054"/>
      <c r="AA955" s="2055"/>
      <c r="AB955" s="2061"/>
      <c r="AC955" s="2062"/>
      <c r="AD955" s="2063"/>
      <c r="AE955" s="2065"/>
      <c r="AF955" s="2068"/>
    </row>
    <row r="956" spans="1:32" ht="15.75" x14ac:dyDescent="0.25">
      <c r="A956" s="2073"/>
      <c r="B956" s="2074"/>
      <c r="C956" s="2075"/>
      <c r="D956" s="2079"/>
      <c r="E956" s="2080"/>
      <c r="F956" s="2080"/>
      <c r="G956" s="2080"/>
      <c r="H956" s="2080"/>
      <c r="I956" s="2080"/>
      <c r="J956" s="2080"/>
      <c r="K956" s="2080"/>
      <c r="L956" s="2080"/>
      <c r="M956" s="2080"/>
      <c r="N956" s="2080"/>
      <c r="O956" s="2080"/>
      <c r="P956" s="2080"/>
      <c r="Q956" s="2080"/>
      <c r="R956" s="2080"/>
      <c r="S956" s="2081"/>
      <c r="T956" s="2084"/>
      <c r="U956" s="2085"/>
      <c r="V956" s="2085"/>
      <c r="W956" s="2085"/>
      <c r="X956" s="2056"/>
      <c r="Y956" s="2057"/>
      <c r="Z956" s="2056"/>
      <c r="AA956" s="2057"/>
      <c r="AB956" s="1049" t="s">
        <v>1847</v>
      </c>
      <c r="AC956" s="1049" t="s">
        <v>1848</v>
      </c>
      <c r="AD956" s="1049" t="s">
        <v>1861</v>
      </c>
      <c r="AE956" s="2066"/>
      <c r="AF956" s="2069"/>
    </row>
    <row r="957" spans="1:32" ht="15.75" x14ac:dyDescent="0.25">
      <c r="A957" s="2017"/>
      <c r="B957" s="2018"/>
      <c r="C957" s="2018"/>
      <c r="D957" s="2018"/>
      <c r="E957" s="2018"/>
      <c r="F957" s="2018"/>
      <c r="G957" s="2018"/>
      <c r="H957" s="2018"/>
      <c r="I957" s="2018"/>
      <c r="J957" s="2018"/>
      <c r="K957" s="2018"/>
      <c r="L957" s="2018"/>
      <c r="M957" s="2018"/>
      <c r="N957" s="2018"/>
      <c r="O957" s="2018"/>
      <c r="P957" s="2018"/>
      <c r="Q957" s="2018"/>
      <c r="R957" s="2018"/>
      <c r="S957" s="2018"/>
      <c r="T957" s="2018"/>
      <c r="U957" s="2018"/>
      <c r="V957" s="2018"/>
      <c r="W957" s="2018"/>
      <c r="X957" s="2018"/>
      <c r="Y957" s="2018"/>
      <c r="Z957" s="2106" t="s">
        <v>1856</v>
      </c>
      <c r="AA957" s="2107"/>
      <c r="AB957" s="1151"/>
      <c r="AC957" s="1050"/>
      <c r="AD957" s="1050"/>
      <c r="AE957" s="1050">
        <v>1</v>
      </c>
      <c r="AF957" s="1052">
        <f>AE957</f>
        <v>1</v>
      </c>
    </row>
    <row r="958" spans="1:32" ht="15.75" x14ac:dyDescent="0.25">
      <c r="A958" s="2017"/>
      <c r="B958" s="2018"/>
      <c r="C958" s="2018"/>
      <c r="D958" s="2018"/>
      <c r="E958" s="2018"/>
      <c r="F958" s="2018"/>
      <c r="G958" s="2018"/>
      <c r="H958" s="2018"/>
      <c r="I958" s="2018"/>
      <c r="J958" s="2018"/>
      <c r="K958" s="2018"/>
      <c r="L958" s="2018"/>
      <c r="M958" s="2018"/>
      <c r="N958" s="2018"/>
      <c r="O958" s="2018"/>
      <c r="P958" s="2018"/>
      <c r="Q958" s="2018"/>
      <c r="R958" s="2018"/>
      <c r="S958" s="2018"/>
      <c r="T958" s="2018"/>
      <c r="U958" s="2018"/>
      <c r="V958" s="2018"/>
      <c r="W958" s="2018"/>
      <c r="X958" s="2018"/>
      <c r="Y958" s="2018"/>
      <c r="Z958" s="2106"/>
      <c r="AA958" s="2107"/>
      <c r="AB958" s="1151"/>
      <c r="AC958" s="1050"/>
      <c r="AD958" s="1050"/>
      <c r="AE958" s="1050"/>
      <c r="AF958" s="1052"/>
    </row>
    <row r="959" spans="1:32" ht="15.75" x14ac:dyDescent="0.25">
      <c r="A959" s="2017"/>
      <c r="B959" s="2018"/>
      <c r="C959" s="2018"/>
      <c r="D959" s="2018"/>
      <c r="E959" s="2018"/>
      <c r="F959" s="2018"/>
      <c r="G959" s="2018"/>
      <c r="H959" s="2018"/>
      <c r="I959" s="2018"/>
      <c r="J959" s="2018"/>
      <c r="K959" s="2018"/>
      <c r="L959" s="2018"/>
      <c r="M959" s="2018"/>
      <c r="N959" s="2018"/>
      <c r="O959" s="2018"/>
      <c r="P959" s="2018"/>
      <c r="Q959" s="2018"/>
      <c r="R959" s="2018"/>
      <c r="S959" s="2018"/>
      <c r="T959" s="2018"/>
      <c r="U959" s="2018"/>
      <c r="V959" s="2018"/>
      <c r="W959" s="2018"/>
      <c r="X959" s="2018"/>
      <c r="Y959" s="2018"/>
      <c r="Z959" s="2106"/>
      <c r="AA959" s="2107"/>
      <c r="AB959" s="1151"/>
      <c r="AC959" s="1050"/>
      <c r="AD959" s="1050"/>
      <c r="AE959" s="1050"/>
      <c r="AF959" s="1052"/>
    </row>
    <row r="960" spans="1:32" ht="15.75" x14ac:dyDescent="0.25">
      <c r="A960" s="2017"/>
      <c r="B960" s="2018"/>
      <c r="C960" s="2018"/>
      <c r="D960" s="2018"/>
      <c r="E960" s="2018"/>
      <c r="F960" s="2018"/>
      <c r="G960" s="2018"/>
      <c r="H960" s="2018"/>
      <c r="I960" s="2018"/>
      <c r="J960" s="2018"/>
      <c r="K960" s="2018"/>
      <c r="L960" s="2018"/>
      <c r="M960" s="2018"/>
      <c r="N960" s="2018"/>
      <c r="O960" s="2018"/>
      <c r="P960" s="2018"/>
      <c r="Q960" s="2018"/>
      <c r="R960" s="2018"/>
      <c r="S960" s="2018"/>
      <c r="T960" s="2018"/>
      <c r="U960" s="2018"/>
      <c r="V960" s="2018"/>
      <c r="W960" s="2018"/>
      <c r="X960" s="2018"/>
      <c r="Y960" s="2018"/>
      <c r="Z960" s="2106"/>
      <c r="AA960" s="2107"/>
      <c r="AB960" s="1151"/>
      <c r="AC960" s="1050"/>
      <c r="AD960" s="1050"/>
      <c r="AE960" s="1050"/>
      <c r="AF960" s="1052"/>
    </row>
    <row r="961" spans="1:32" ht="15.75" x14ac:dyDescent="0.25">
      <c r="A961" s="2017"/>
      <c r="B961" s="2018"/>
      <c r="C961" s="2018"/>
      <c r="D961" s="2018"/>
      <c r="E961" s="2018"/>
      <c r="F961" s="2018"/>
      <c r="G961" s="2018"/>
      <c r="H961" s="2018"/>
      <c r="I961" s="2018"/>
      <c r="J961" s="2018"/>
      <c r="K961" s="2018"/>
      <c r="L961" s="2018"/>
      <c r="M961" s="2018"/>
      <c r="N961" s="2018"/>
      <c r="O961" s="2018"/>
      <c r="P961" s="2018"/>
      <c r="Q961" s="2018"/>
      <c r="R961" s="2018"/>
      <c r="S961" s="2018"/>
      <c r="T961" s="2018"/>
      <c r="U961" s="2018"/>
      <c r="V961" s="2018"/>
      <c r="W961" s="2018"/>
      <c r="X961" s="2018"/>
      <c r="Y961" s="2018"/>
      <c r="Z961" s="2106"/>
      <c r="AA961" s="2107"/>
      <c r="AB961" s="1151"/>
      <c r="AC961" s="1050"/>
      <c r="AD961" s="1050"/>
      <c r="AE961" s="1050"/>
      <c r="AF961" s="1052"/>
    </row>
    <row r="962" spans="1:32" ht="15.75" x14ac:dyDescent="0.25">
      <c r="A962" s="2017"/>
      <c r="B962" s="2018"/>
      <c r="C962" s="2018"/>
      <c r="D962" s="2018"/>
      <c r="E962" s="2018"/>
      <c r="F962" s="2018"/>
      <c r="G962" s="2018"/>
      <c r="H962" s="2018"/>
      <c r="I962" s="2018"/>
      <c r="J962" s="2018"/>
      <c r="K962" s="2018"/>
      <c r="L962" s="2018"/>
      <c r="M962" s="2018"/>
      <c r="N962" s="2018"/>
      <c r="O962" s="2018"/>
      <c r="P962" s="2018"/>
      <c r="Q962" s="2018"/>
      <c r="R962" s="2018"/>
      <c r="S962" s="2018"/>
      <c r="T962" s="2018"/>
      <c r="U962" s="2018"/>
      <c r="V962" s="2018"/>
      <c r="W962" s="2018"/>
      <c r="X962" s="2018"/>
      <c r="Y962" s="2018"/>
      <c r="Z962" s="2105"/>
      <c r="AA962" s="2105"/>
      <c r="AB962" s="1050"/>
      <c r="AC962" s="1050"/>
      <c r="AD962" s="1050"/>
      <c r="AE962" s="1050"/>
      <c r="AF962" s="1052"/>
    </row>
    <row r="963" spans="1:32" ht="15.75" x14ac:dyDescent="0.25">
      <c r="A963" s="2017"/>
      <c r="B963" s="2018"/>
      <c r="C963" s="2018"/>
      <c r="D963" s="2018"/>
      <c r="E963" s="2018"/>
      <c r="F963" s="2018"/>
      <c r="G963" s="2018"/>
      <c r="H963" s="2018"/>
      <c r="I963" s="2018"/>
      <c r="J963" s="2018"/>
      <c r="K963" s="2018"/>
      <c r="L963" s="2018"/>
      <c r="M963" s="2018"/>
      <c r="N963" s="2018"/>
      <c r="O963" s="2018"/>
      <c r="P963" s="2018"/>
      <c r="Q963" s="2018"/>
      <c r="R963" s="2018"/>
      <c r="S963" s="2018"/>
      <c r="T963" s="2018"/>
      <c r="U963" s="2018"/>
      <c r="V963" s="2018"/>
      <c r="W963" s="2018"/>
      <c r="X963" s="2018"/>
      <c r="Y963" s="2018"/>
      <c r="Z963" s="2105"/>
      <c r="AA963" s="2105"/>
      <c r="AB963" s="1050"/>
      <c r="AC963" s="1050"/>
      <c r="AD963" s="1050"/>
      <c r="AE963" s="1050"/>
      <c r="AF963" s="1052"/>
    </row>
    <row r="964" spans="1:32" ht="15.75" x14ac:dyDescent="0.25">
      <c r="A964" s="2017"/>
      <c r="B964" s="2018"/>
      <c r="C964" s="2018"/>
      <c r="D964" s="2018"/>
      <c r="E964" s="2018"/>
      <c r="F964" s="2018"/>
      <c r="G964" s="2018"/>
      <c r="H964" s="2018"/>
      <c r="I964" s="2018"/>
      <c r="J964" s="2018"/>
      <c r="K964" s="2018"/>
      <c r="L964" s="2018"/>
      <c r="M964" s="2018"/>
      <c r="N964" s="2018"/>
      <c r="O964" s="2018"/>
      <c r="P964" s="2018"/>
      <c r="Q964" s="2018"/>
      <c r="R964" s="2018"/>
      <c r="S964" s="2018"/>
      <c r="T964" s="2018"/>
      <c r="U964" s="2018"/>
      <c r="V964" s="2018"/>
      <c r="W964" s="2018"/>
      <c r="X964" s="2018"/>
      <c r="Y964" s="2018"/>
      <c r="Z964" s="2105"/>
      <c r="AA964" s="2105"/>
      <c r="AB964" s="1050"/>
      <c r="AC964" s="1050"/>
      <c r="AD964" s="1050"/>
      <c r="AE964" s="1050"/>
      <c r="AF964" s="1052"/>
    </row>
    <row r="965" spans="1:32" ht="15.75" x14ac:dyDescent="0.25">
      <c r="A965" s="2017"/>
      <c r="B965" s="2018"/>
      <c r="C965" s="2018"/>
      <c r="D965" s="2018"/>
      <c r="E965" s="2018"/>
      <c r="F965" s="2018"/>
      <c r="G965" s="2018"/>
      <c r="H965" s="2018"/>
      <c r="I965" s="2018"/>
      <c r="J965" s="2018"/>
      <c r="K965" s="2018"/>
      <c r="L965" s="2018"/>
      <c r="M965" s="2018"/>
      <c r="N965" s="2018"/>
      <c r="O965" s="2018"/>
      <c r="P965" s="2018"/>
      <c r="Q965" s="2018"/>
      <c r="R965" s="2018"/>
      <c r="S965" s="2018"/>
      <c r="T965" s="2018"/>
      <c r="U965" s="2018"/>
      <c r="V965" s="2018"/>
      <c r="W965" s="2018"/>
      <c r="X965" s="2018"/>
      <c r="Y965" s="2018"/>
      <c r="Z965" s="2105"/>
      <c r="AA965" s="2105"/>
      <c r="AB965" s="1050"/>
      <c r="AC965" s="1050"/>
      <c r="AD965" s="1050"/>
      <c r="AE965" s="1050"/>
      <c r="AF965" s="1052"/>
    </row>
    <row r="966" spans="1:32" ht="15.75" x14ac:dyDescent="0.25">
      <c r="A966" s="2017"/>
      <c r="B966" s="2018"/>
      <c r="C966" s="2018"/>
      <c r="D966" s="2018"/>
      <c r="E966" s="2018"/>
      <c r="F966" s="2018"/>
      <c r="G966" s="2018"/>
      <c r="H966" s="2018"/>
      <c r="I966" s="2018"/>
      <c r="J966" s="2018"/>
      <c r="K966" s="2018"/>
      <c r="L966" s="2018"/>
      <c r="M966" s="2018"/>
      <c r="N966" s="2018"/>
      <c r="O966" s="2018"/>
      <c r="P966" s="2018"/>
      <c r="Q966" s="2018"/>
      <c r="R966" s="2018"/>
      <c r="S966" s="2018"/>
      <c r="T966" s="2018"/>
      <c r="U966" s="2018"/>
      <c r="V966" s="2018"/>
      <c r="W966" s="2018"/>
      <c r="X966" s="2018"/>
      <c r="Y966" s="2018"/>
      <c r="Z966" s="2105"/>
      <c r="AA966" s="2105"/>
      <c r="AB966" s="1050"/>
      <c r="AC966" s="1050"/>
      <c r="AD966" s="1050"/>
      <c r="AE966" s="1050"/>
      <c r="AF966" s="1052"/>
    </row>
    <row r="967" spans="1:32" ht="15.75" x14ac:dyDescent="0.25">
      <c r="A967" s="2017"/>
      <c r="B967" s="2018"/>
      <c r="C967" s="2018"/>
      <c r="D967" s="2018"/>
      <c r="E967" s="2018"/>
      <c r="F967" s="2018"/>
      <c r="G967" s="2018"/>
      <c r="H967" s="2018"/>
      <c r="I967" s="2018"/>
      <c r="J967" s="2018"/>
      <c r="K967" s="2018"/>
      <c r="L967" s="2018"/>
      <c r="M967" s="2018"/>
      <c r="N967" s="2018"/>
      <c r="O967" s="2018"/>
      <c r="P967" s="2018"/>
      <c r="Q967" s="2018"/>
      <c r="R967" s="2018"/>
      <c r="S967" s="2018"/>
      <c r="T967" s="2018"/>
      <c r="U967" s="2018"/>
      <c r="V967" s="2018"/>
      <c r="W967" s="2018"/>
      <c r="X967" s="2018"/>
      <c r="Y967" s="2018"/>
      <c r="Z967" s="2105"/>
      <c r="AA967" s="2105"/>
      <c r="AB967" s="1050"/>
      <c r="AC967" s="1050"/>
      <c r="AD967" s="1050"/>
      <c r="AE967" s="1050"/>
      <c r="AF967" s="1052"/>
    </row>
    <row r="968" spans="1:32" ht="15.75" x14ac:dyDescent="0.25">
      <c r="A968" s="2017"/>
      <c r="B968" s="2018"/>
      <c r="C968" s="2018"/>
      <c r="D968" s="2018"/>
      <c r="E968" s="2018"/>
      <c r="F968" s="2018"/>
      <c r="G968" s="2018"/>
      <c r="H968" s="2018"/>
      <c r="I968" s="2018"/>
      <c r="J968" s="2018"/>
      <c r="K968" s="2018"/>
      <c r="L968" s="2018"/>
      <c r="M968" s="2018"/>
      <c r="N968" s="2018"/>
      <c r="O968" s="2018"/>
      <c r="P968" s="2018"/>
      <c r="Q968" s="2018"/>
      <c r="R968" s="2018"/>
      <c r="S968" s="2018"/>
      <c r="T968" s="2018"/>
      <c r="U968" s="2018"/>
      <c r="V968" s="2018"/>
      <c r="W968" s="2018"/>
      <c r="X968" s="2018"/>
      <c r="Y968" s="2018"/>
      <c r="Z968" s="2105"/>
      <c r="AA968" s="2105"/>
      <c r="AB968" s="1050"/>
      <c r="AC968" s="1050"/>
      <c r="AD968" s="1050"/>
      <c r="AE968" s="1050"/>
      <c r="AF968" s="1052"/>
    </row>
    <row r="969" spans="1:32" ht="15.75" x14ac:dyDescent="0.25">
      <c r="A969" s="2017"/>
      <c r="B969" s="2018"/>
      <c r="C969" s="2018"/>
      <c r="D969" s="2018"/>
      <c r="E969" s="2018"/>
      <c r="F969" s="2018"/>
      <c r="G969" s="2018"/>
      <c r="H969" s="2018"/>
      <c r="I969" s="2018"/>
      <c r="J969" s="2018"/>
      <c r="K969" s="2018"/>
      <c r="L969" s="2018"/>
      <c r="M969" s="2018"/>
      <c r="N969" s="2018"/>
      <c r="O969" s="2018"/>
      <c r="P969" s="2018"/>
      <c r="Q969" s="2018"/>
      <c r="R969" s="2018"/>
      <c r="S969" s="2018"/>
      <c r="T969" s="2018"/>
      <c r="U969" s="2018"/>
      <c r="V969" s="2018"/>
      <c r="W969" s="2018"/>
      <c r="X969" s="2018"/>
      <c r="Y969" s="2018"/>
      <c r="Z969" s="2105"/>
      <c r="AA969" s="2105"/>
      <c r="AB969" s="1050"/>
      <c r="AC969" s="1050"/>
      <c r="AD969" s="1050"/>
      <c r="AE969" s="1050"/>
      <c r="AF969" s="1052"/>
    </row>
    <row r="970" spans="1:32" ht="15.75" x14ac:dyDescent="0.25">
      <c r="A970" s="2017"/>
      <c r="B970" s="2018"/>
      <c r="C970" s="2018"/>
      <c r="D970" s="2018"/>
      <c r="E970" s="2018"/>
      <c r="F970" s="2018"/>
      <c r="G970" s="2018"/>
      <c r="H970" s="2018"/>
      <c r="I970" s="2018"/>
      <c r="J970" s="2018"/>
      <c r="K970" s="2018"/>
      <c r="L970" s="2018"/>
      <c r="M970" s="2018"/>
      <c r="N970" s="2018"/>
      <c r="O970" s="2018"/>
      <c r="P970" s="2018"/>
      <c r="Q970" s="2018"/>
      <c r="R970" s="2018"/>
      <c r="S970" s="2018"/>
      <c r="T970" s="2018"/>
      <c r="U970" s="2018"/>
      <c r="V970" s="2018"/>
      <c r="W970" s="2018"/>
      <c r="X970" s="2018"/>
      <c r="Y970" s="2018"/>
      <c r="Z970" s="2022"/>
      <c r="AA970" s="2022"/>
      <c r="AB970" s="1050"/>
      <c r="AC970" s="1050"/>
      <c r="AD970" s="1050"/>
      <c r="AE970" s="1050"/>
      <c r="AF970" s="1052"/>
    </row>
    <row r="971" spans="1:32" ht="15.75" x14ac:dyDescent="0.25">
      <c r="A971" s="2017"/>
      <c r="B971" s="2018"/>
      <c r="C971" s="2018"/>
      <c r="D971" s="2018"/>
      <c r="E971" s="2018"/>
      <c r="F971" s="2018"/>
      <c r="G971" s="2018"/>
      <c r="H971" s="2018"/>
      <c r="I971" s="2018"/>
      <c r="J971" s="2018"/>
      <c r="K971" s="2018"/>
      <c r="L971" s="2018"/>
      <c r="M971" s="2018"/>
      <c r="N971" s="2018"/>
      <c r="O971" s="2018"/>
      <c r="P971" s="2018"/>
      <c r="Q971" s="2018"/>
      <c r="R971" s="2018"/>
      <c r="S971" s="2018"/>
      <c r="T971" s="2018"/>
      <c r="U971" s="2018"/>
      <c r="V971" s="2018"/>
      <c r="W971" s="2018"/>
      <c r="X971" s="2018"/>
      <c r="Y971" s="2018"/>
      <c r="Z971" s="2022"/>
      <c r="AA971" s="2022"/>
      <c r="AB971" s="1050"/>
      <c r="AC971" s="1050"/>
      <c r="AD971" s="1050"/>
      <c r="AE971" s="1050"/>
      <c r="AF971" s="1052"/>
    </row>
    <row r="972" spans="1:32" ht="15.75" x14ac:dyDescent="0.25">
      <c r="A972" s="2017"/>
      <c r="B972" s="2018"/>
      <c r="C972" s="2018"/>
      <c r="D972" s="2018"/>
      <c r="E972" s="2018"/>
      <c r="F972" s="2018"/>
      <c r="G972" s="2018"/>
      <c r="H972" s="2018"/>
      <c r="I972" s="2018"/>
      <c r="J972" s="2018"/>
      <c r="K972" s="2018"/>
      <c r="L972" s="2018"/>
      <c r="M972" s="2018"/>
      <c r="N972" s="2018"/>
      <c r="O972" s="2018"/>
      <c r="P972" s="2018"/>
      <c r="Q972" s="2018"/>
      <c r="R972" s="2018"/>
      <c r="S972" s="2018"/>
      <c r="T972" s="2018"/>
      <c r="U972" s="2018"/>
      <c r="V972" s="2018"/>
      <c r="W972" s="2018"/>
      <c r="X972" s="2018"/>
      <c r="Y972" s="2018"/>
      <c r="Z972" s="2022"/>
      <c r="AA972" s="2022"/>
      <c r="AB972" s="1050"/>
      <c r="AC972" s="1050"/>
      <c r="AD972" s="1050"/>
      <c r="AE972" s="1050"/>
      <c r="AF972" s="1052"/>
    </row>
    <row r="973" spans="1:32" ht="15.75" x14ac:dyDescent="0.25">
      <c r="A973" s="2017"/>
      <c r="B973" s="2018"/>
      <c r="C973" s="2018"/>
      <c r="D973" s="2018"/>
      <c r="E973" s="2018"/>
      <c r="F973" s="2018"/>
      <c r="G973" s="2018"/>
      <c r="H973" s="2018"/>
      <c r="I973" s="2018"/>
      <c r="J973" s="2018"/>
      <c r="K973" s="2018"/>
      <c r="L973" s="2018"/>
      <c r="M973" s="2018"/>
      <c r="N973" s="2018"/>
      <c r="O973" s="2018"/>
      <c r="P973" s="2018"/>
      <c r="Q973" s="2018"/>
      <c r="R973" s="2018"/>
      <c r="S973" s="2018"/>
      <c r="T973" s="2018"/>
      <c r="U973" s="2018"/>
      <c r="V973" s="2018"/>
      <c r="W973" s="2018"/>
      <c r="X973" s="2018"/>
      <c r="Y973" s="2018"/>
      <c r="Z973" s="2022"/>
      <c r="AA973" s="2022"/>
      <c r="AB973" s="1050"/>
      <c r="AC973" s="1050"/>
      <c r="AD973" s="1050"/>
      <c r="AE973" s="1050"/>
      <c r="AF973" s="1052"/>
    </row>
    <row r="974" spans="1:32" ht="15.75" x14ac:dyDescent="0.25">
      <c r="A974" s="2017"/>
      <c r="B974" s="2018"/>
      <c r="C974" s="2018"/>
      <c r="D974" s="2018"/>
      <c r="E974" s="2018"/>
      <c r="F974" s="2018"/>
      <c r="G974" s="2018"/>
      <c r="H974" s="2018"/>
      <c r="I974" s="2018"/>
      <c r="J974" s="2018"/>
      <c r="K974" s="2018"/>
      <c r="L974" s="2018"/>
      <c r="M974" s="2018"/>
      <c r="N974" s="2018"/>
      <c r="O974" s="2018"/>
      <c r="P974" s="2018"/>
      <c r="Q974" s="2018"/>
      <c r="R974" s="2018"/>
      <c r="S974" s="2018"/>
      <c r="T974" s="2018"/>
      <c r="U974" s="2018"/>
      <c r="V974" s="2018"/>
      <c r="W974" s="2018"/>
      <c r="X974" s="2018"/>
      <c r="Y974" s="2018"/>
      <c r="Z974" s="2023"/>
      <c r="AA974" s="2023"/>
      <c r="AB974" s="1050"/>
      <c r="AC974" s="1050"/>
      <c r="AD974" s="1050"/>
      <c r="AE974" s="1050"/>
      <c r="AF974" s="1052"/>
    </row>
    <row r="975" spans="1:32" ht="15.75" x14ac:dyDescent="0.25">
      <c r="A975" s="2017"/>
      <c r="B975" s="2018"/>
      <c r="C975" s="2018"/>
      <c r="D975" s="2018"/>
      <c r="E975" s="2018"/>
      <c r="F975" s="2018"/>
      <c r="G975" s="2018"/>
      <c r="H975" s="2018"/>
      <c r="I975" s="2018"/>
      <c r="J975" s="2018"/>
      <c r="K975" s="2018"/>
      <c r="L975" s="2018"/>
      <c r="M975" s="2018"/>
      <c r="N975" s="2018"/>
      <c r="O975" s="2018"/>
      <c r="P975" s="2018"/>
      <c r="Q975" s="2018"/>
      <c r="R975" s="2018"/>
      <c r="S975" s="2018"/>
      <c r="T975" s="2018"/>
      <c r="U975" s="2018"/>
      <c r="V975" s="2018"/>
      <c r="W975" s="2018"/>
      <c r="X975" s="2018"/>
      <c r="Y975" s="2018"/>
      <c r="Z975" s="2023"/>
      <c r="AA975" s="2023"/>
      <c r="AB975" s="1050"/>
      <c r="AC975" s="1050"/>
      <c r="AD975" s="1050"/>
      <c r="AE975" s="1050"/>
      <c r="AF975" s="1052"/>
    </row>
    <row r="976" spans="1:32" ht="15.75" x14ac:dyDescent="0.25">
      <c r="A976" s="2017"/>
      <c r="B976" s="2018"/>
      <c r="C976" s="2018"/>
      <c r="D976" s="2018"/>
      <c r="E976" s="2018"/>
      <c r="F976" s="2018"/>
      <c r="G976" s="2018"/>
      <c r="H976" s="2018"/>
      <c r="I976" s="2018"/>
      <c r="J976" s="2018"/>
      <c r="K976" s="2018"/>
      <c r="L976" s="2018"/>
      <c r="M976" s="2018"/>
      <c r="N976" s="2018"/>
      <c r="O976" s="2018"/>
      <c r="P976" s="2018"/>
      <c r="Q976" s="2018"/>
      <c r="R976" s="2018"/>
      <c r="S976" s="2018"/>
      <c r="T976" s="2018"/>
      <c r="U976" s="2018"/>
      <c r="V976" s="2018"/>
      <c r="W976" s="2018"/>
      <c r="X976" s="2018"/>
      <c r="Y976" s="2018"/>
      <c r="Z976" s="2023"/>
      <c r="AA976" s="2023"/>
      <c r="AB976" s="1050"/>
      <c r="AC976" s="1050"/>
      <c r="AD976" s="1050"/>
      <c r="AE976" s="1050"/>
      <c r="AF976" s="1052"/>
    </row>
    <row r="977" spans="1:32" ht="15.75" x14ac:dyDescent="0.25">
      <c r="A977" s="2017"/>
      <c r="B977" s="2018"/>
      <c r="C977" s="2018"/>
      <c r="D977" s="2018"/>
      <c r="E977" s="2018"/>
      <c r="F977" s="2018"/>
      <c r="G977" s="2018"/>
      <c r="H977" s="2018"/>
      <c r="I977" s="2018"/>
      <c r="J977" s="2018"/>
      <c r="K977" s="2018"/>
      <c r="L977" s="2018"/>
      <c r="M977" s="2018"/>
      <c r="N977" s="2018"/>
      <c r="O977" s="2018"/>
      <c r="P977" s="2018"/>
      <c r="Q977" s="2018"/>
      <c r="R977" s="2018"/>
      <c r="S977" s="2018"/>
      <c r="T977" s="2018"/>
      <c r="U977" s="2018"/>
      <c r="V977" s="2018"/>
      <c r="W977" s="2018"/>
      <c r="X977" s="2018"/>
      <c r="Y977" s="2018"/>
      <c r="Z977" s="2023"/>
      <c r="AA977" s="2023"/>
      <c r="AB977" s="1050"/>
      <c r="AC977" s="1050"/>
      <c r="AD977" s="1050"/>
      <c r="AE977" s="1050"/>
      <c r="AF977" s="1052"/>
    </row>
    <row r="978" spans="1:32" ht="15.75" x14ac:dyDescent="0.25">
      <c r="A978" s="2017"/>
      <c r="B978" s="2018"/>
      <c r="C978" s="2018"/>
      <c r="D978" s="2018"/>
      <c r="E978" s="2018"/>
      <c r="F978" s="2018"/>
      <c r="G978" s="2018"/>
      <c r="H978" s="2018"/>
      <c r="I978" s="2018"/>
      <c r="J978" s="2018"/>
      <c r="K978" s="2018"/>
      <c r="L978" s="2018"/>
      <c r="M978" s="2018"/>
      <c r="N978" s="2018"/>
      <c r="O978" s="2018"/>
      <c r="P978" s="2018"/>
      <c r="Q978" s="2018"/>
      <c r="R978" s="2018"/>
      <c r="S978" s="2018"/>
      <c r="T978" s="2018"/>
      <c r="U978" s="2018"/>
      <c r="V978" s="2018"/>
      <c r="W978" s="2018"/>
      <c r="X978" s="2018"/>
      <c r="Y978" s="2018"/>
      <c r="Z978" s="2023"/>
      <c r="AA978" s="2023"/>
      <c r="AB978" s="1050"/>
      <c r="AC978" s="1050"/>
      <c r="AD978" s="1050"/>
      <c r="AE978" s="1050"/>
      <c r="AF978" s="1052"/>
    </row>
    <row r="979" spans="1:32" ht="15.75" x14ac:dyDescent="0.25">
      <c r="A979" s="2017"/>
      <c r="B979" s="2018"/>
      <c r="C979" s="2018"/>
      <c r="D979" s="2018"/>
      <c r="E979" s="2018"/>
      <c r="F979" s="2018"/>
      <c r="G979" s="2018"/>
      <c r="H979" s="2018"/>
      <c r="I979" s="2018"/>
      <c r="J979" s="2018"/>
      <c r="K979" s="2018"/>
      <c r="L979" s="2018"/>
      <c r="M979" s="2018"/>
      <c r="N979" s="2018"/>
      <c r="O979" s="2018"/>
      <c r="P979" s="2018"/>
      <c r="Q979" s="2018"/>
      <c r="R979" s="2018"/>
      <c r="S979" s="2018"/>
      <c r="T979" s="2018"/>
      <c r="U979" s="2018"/>
      <c r="V979" s="2018"/>
      <c r="W979" s="2018"/>
      <c r="X979" s="2018"/>
      <c r="Y979" s="2018"/>
      <c r="Z979" s="2023"/>
      <c r="AA979" s="2023"/>
      <c r="AB979" s="1050"/>
      <c r="AC979" s="1050"/>
      <c r="AD979" s="1050"/>
      <c r="AE979" s="1050"/>
      <c r="AF979" s="1052"/>
    </row>
    <row r="980" spans="1:32" ht="16.5" thickBot="1" x14ac:dyDescent="0.3">
      <c r="A980" s="2019"/>
      <c r="B980" s="2020"/>
      <c r="C980" s="2020"/>
      <c r="D980" s="2020"/>
      <c r="E980" s="2020"/>
      <c r="F980" s="2020"/>
      <c r="G980" s="2020"/>
      <c r="H980" s="2020"/>
      <c r="I980" s="2020"/>
      <c r="J980" s="2020"/>
      <c r="K980" s="2020"/>
      <c r="L980" s="2020"/>
      <c r="M980" s="2020"/>
      <c r="N980" s="2020"/>
      <c r="O980" s="2020"/>
      <c r="P980" s="2020"/>
      <c r="Q980" s="2020"/>
      <c r="R980" s="2020"/>
      <c r="S980" s="2020"/>
      <c r="T980" s="2020"/>
      <c r="U980" s="2020"/>
      <c r="V980" s="2020"/>
      <c r="W980" s="2020"/>
      <c r="X980" s="2020"/>
      <c r="Y980" s="2020"/>
      <c r="Z980" s="2024"/>
      <c r="AA980" s="2024"/>
      <c r="AB980" s="1057"/>
      <c r="AC980" s="1057"/>
      <c r="AD980" s="1057"/>
      <c r="AE980" s="1057"/>
      <c r="AF980" s="1058"/>
    </row>
    <row r="981" spans="1:32" ht="15.75" x14ac:dyDescent="0.25">
      <c r="A981" s="2009" t="s">
        <v>1855</v>
      </c>
      <c r="B981" s="2010"/>
      <c r="C981" s="2010"/>
      <c r="D981" s="2010"/>
      <c r="E981" s="2010"/>
      <c r="F981" s="2010"/>
      <c r="G981" s="2010"/>
      <c r="H981" s="2010"/>
      <c r="I981" s="2010"/>
      <c r="J981" s="2010"/>
      <c r="K981" s="2010"/>
      <c r="L981" s="2010"/>
      <c r="M981" s="2010"/>
      <c r="N981" s="2010"/>
      <c r="O981" s="2010"/>
      <c r="P981" s="2010"/>
      <c r="Q981" s="2010"/>
      <c r="R981" s="2010"/>
      <c r="S981" s="2010"/>
      <c r="T981" s="2010"/>
      <c r="U981" s="2010"/>
      <c r="V981" s="2010"/>
      <c r="W981" s="2010"/>
      <c r="X981" s="2010"/>
      <c r="Y981" s="2010"/>
      <c r="Z981" s="2013" t="s">
        <v>1850</v>
      </c>
      <c r="AA981" s="2013"/>
      <c r="AB981" s="2013"/>
      <c r="AC981" s="2013"/>
      <c r="AD981" s="2013"/>
      <c r="AE981" s="2013"/>
      <c r="AF981" s="1059">
        <f>SUM(AF957:AF980)</f>
        <v>1</v>
      </c>
    </row>
    <row r="982" spans="1:32" ht="15.75" x14ac:dyDescent="0.25">
      <c r="A982" s="2011"/>
      <c r="B982" s="2012"/>
      <c r="C982" s="2012"/>
      <c r="D982" s="2012"/>
      <c r="E982" s="2012"/>
      <c r="F982" s="2012"/>
      <c r="G982" s="2012"/>
      <c r="H982" s="2012"/>
      <c r="I982" s="2012"/>
      <c r="J982" s="2012"/>
      <c r="K982" s="2012"/>
      <c r="L982" s="2012"/>
      <c r="M982" s="2012"/>
      <c r="N982" s="2012"/>
      <c r="O982" s="2012"/>
      <c r="P982" s="2012"/>
      <c r="Q982" s="2012"/>
      <c r="R982" s="2012"/>
      <c r="S982" s="2012"/>
      <c r="T982" s="2012"/>
      <c r="U982" s="2012"/>
      <c r="V982" s="2012"/>
      <c r="W982" s="2012"/>
      <c r="X982" s="2012"/>
      <c r="Y982" s="2012"/>
      <c r="Z982" s="2014" t="s">
        <v>1851</v>
      </c>
      <c r="AA982" s="2014"/>
      <c r="AB982" s="2014"/>
      <c r="AC982" s="2014"/>
      <c r="AD982" s="2014"/>
      <c r="AE982" s="2014"/>
      <c r="AF982" s="1060">
        <v>0</v>
      </c>
    </row>
    <row r="983" spans="1:32" ht="15.75" x14ac:dyDescent="0.25">
      <c r="A983" s="2011"/>
      <c r="B983" s="2012"/>
      <c r="C983" s="2012"/>
      <c r="D983" s="2012"/>
      <c r="E983" s="2012"/>
      <c r="F983" s="2012"/>
      <c r="G983" s="2012"/>
      <c r="H983" s="2012"/>
      <c r="I983" s="2012"/>
      <c r="J983" s="2012"/>
      <c r="K983" s="2012"/>
      <c r="L983" s="2012"/>
      <c r="M983" s="2012"/>
      <c r="N983" s="2012"/>
      <c r="O983" s="2012"/>
      <c r="P983" s="2012"/>
      <c r="Q983" s="2012"/>
      <c r="R983" s="2012"/>
      <c r="S983" s="2012"/>
      <c r="T983" s="2012"/>
      <c r="U983" s="2012"/>
      <c r="V983" s="2012"/>
      <c r="W983" s="2012"/>
      <c r="X983" s="2012"/>
      <c r="Y983" s="2012"/>
      <c r="Z983" s="2015" t="s">
        <v>1833</v>
      </c>
      <c r="AA983" s="2015"/>
      <c r="AB983" s="2015"/>
      <c r="AC983" s="2015"/>
      <c r="AD983" s="2015"/>
      <c r="AE983" s="2015"/>
      <c r="AF983" s="1061">
        <f>SUM(AF981:AF982)</f>
        <v>1</v>
      </c>
    </row>
    <row r="984" spans="1:32" x14ac:dyDescent="0.2">
      <c r="A984" s="2012" t="s">
        <v>1859</v>
      </c>
      <c r="B984" s="2012"/>
      <c r="C984" s="2012"/>
      <c r="D984" s="2012"/>
      <c r="E984" s="2012"/>
      <c r="F984" s="2012"/>
      <c r="G984" s="2012"/>
      <c r="H984" s="2012"/>
      <c r="I984" s="2012"/>
      <c r="J984" s="2012"/>
      <c r="K984" s="2012"/>
      <c r="L984" s="2012"/>
      <c r="M984" s="2012"/>
      <c r="N984" s="2012"/>
      <c r="O984" s="2012"/>
      <c r="P984" s="2012"/>
      <c r="Q984" s="2012"/>
      <c r="R984" s="2012"/>
      <c r="S984" s="2012"/>
      <c r="T984" s="2016" t="s">
        <v>1840</v>
      </c>
      <c r="U984" s="2016"/>
      <c r="V984" s="2016"/>
      <c r="W984" s="2016"/>
      <c r="X984" s="2016"/>
      <c r="Y984" s="2016"/>
      <c r="Z984" s="2016"/>
      <c r="AA984" s="2016"/>
      <c r="AB984" s="2012" t="s">
        <v>1852</v>
      </c>
      <c r="AC984" s="2012"/>
      <c r="AD984" s="2012"/>
      <c r="AE984" s="2012"/>
      <c r="AF984" s="2012"/>
    </row>
    <row r="985" spans="1:32" x14ac:dyDescent="0.2">
      <c r="A985" s="2012"/>
      <c r="B985" s="2012"/>
      <c r="C985" s="2012"/>
      <c r="D985" s="2012"/>
      <c r="E985" s="2012"/>
      <c r="F985" s="2012"/>
      <c r="G985" s="2012"/>
      <c r="H985" s="2012"/>
      <c r="I985" s="2012"/>
      <c r="J985" s="2012"/>
      <c r="K985" s="2012"/>
      <c r="L985" s="2012"/>
      <c r="M985" s="2012"/>
      <c r="N985" s="2012"/>
      <c r="O985" s="2012"/>
      <c r="P985" s="2012"/>
      <c r="Q985" s="2012"/>
      <c r="R985" s="2012"/>
      <c r="S985" s="2012"/>
      <c r="T985" s="2016"/>
      <c r="U985" s="2016"/>
      <c r="V985" s="2016"/>
      <c r="W985" s="2016"/>
      <c r="X985" s="2016"/>
      <c r="Y985" s="2016"/>
      <c r="Z985" s="2016"/>
      <c r="AA985" s="2016"/>
      <c r="AB985" s="2012"/>
      <c r="AC985" s="2012"/>
      <c r="AD985" s="2012"/>
      <c r="AE985" s="2012"/>
      <c r="AF985" s="2012"/>
    </row>
    <row r="986" spans="1:32" ht="13.5" thickBot="1" x14ac:dyDescent="0.25"/>
    <row r="987" spans="1:32" ht="23.45" customHeight="1" x14ac:dyDescent="0.2">
      <c r="A987" s="2025" t="s">
        <v>1854</v>
      </c>
      <c r="B987" s="2026"/>
      <c r="C987" s="2026"/>
      <c r="D987" s="2026"/>
      <c r="E987" s="2026"/>
      <c r="F987" s="2026"/>
      <c r="G987" s="2026"/>
      <c r="H987" s="2026"/>
      <c r="I987" s="2026"/>
      <c r="J987" s="2026"/>
      <c r="K987" s="2026"/>
      <c r="L987" s="2026"/>
      <c r="M987" s="2026"/>
      <c r="N987" s="2026"/>
      <c r="O987" s="2026"/>
      <c r="P987" s="2026"/>
      <c r="Q987" s="2026"/>
      <c r="R987" s="2026"/>
      <c r="S987" s="2026"/>
      <c r="T987" s="2026"/>
      <c r="U987" s="2026"/>
      <c r="V987" s="2026"/>
      <c r="W987" s="2026"/>
      <c r="X987" s="2026"/>
      <c r="Y987" s="2026"/>
      <c r="Z987" s="2026"/>
      <c r="AA987" s="2026"/>
      <c r="AB987" s="2026"/>
      <c r="AC987" s="2026"/>
      <c r="AD987" s="2026"/>
      <c r="AE987" s="1041" t="s">
        <v>1834</v>
      </c>
      <c r="AF987" s="1042" t="s">
        <v>1835</v>
      </c>
    </row>
    <row r="988" spans="1:32" ht="27" customHeight="1" thickBot="1" x14ac:dyDescent="0.25">
      <c r="A988" s="2027"/>
      <c r="B988" s="2028"/>
      <c r="C988" s="2028"/>
      <c r="D988" s="2028"/>
      <c r="E988" s="2028"/>
      <c r="F988" s="2028"/>
      <c r="G988" s="2028"/>
      <c r="H988" s="2028"/>
      <c r="I988" s="2028"/>
      <c r="J988" s="2028"/>
      <c r="K988" s="2028"/>
      <c r="L988" s="2028"/>
      <c r="M988" s="2028"/>
      <c r="N988" s="2028"/>
      <c r="O988" s="2028"/>
      <c r="P988" s="2028"/>
      <c r="Q988" s="2028"/>
      <c r="R988" s="2028"/>
      <c r="S988" s="2028"/>
      <c r="T988" s="2028"/>
      <c r="U988" s="2028"/>
      <c r="V988" s="2028"/>
      <c r="W988" s="2028"/>
      <c r="X988" s="2028"/>
      <c r="Y988" s="2028"/>
      <c r="Z988" s="2028"/>
      <c r="AA988" s="2028"/>
      <c r="AB988" s="2028"/>
      <c r="AC988" s="2028"/>
      <c r="AD988" s="2028"/>
      <c r="AE988" s="1041" t="s">
        <v>1836</v>
      </c>
      <c r="AF988" s="1044">
        <v>1</v>
      </c>
    </row>
    <row r="989" spans="1:32" ht="15.75" x14ac:dyDescent="0.2">
      <c r="A989" s="2029"/>
      <c r="B989" s="2030"/>
      <c r="C989" s="2030"/>
      <c r="D989" s="2031"/>
      <c r="E989" s="2025" t="str">
        <f>'01'!$A$12</f>
        <v>"CONSTRUCCION SISTEMA DE ACUEDUCTO FASE II DEL MUNICIPIO DE TESALIA DPTO DEL HUILA"</v>
      </c>
      <c r="F989" s="2026"/>
      <c r="G989" s="2026"/>
      <c r="H989" s="2026"/>
      <c r="I989" s="2026"/>
      <c r="J989" s="2026"/>
      <c r="K989" s="2026"/>
      <c r="L989" s="2026"/>
      <c r="M989" s="2026"/>
      <c r="N989" s="2026"/>
      <c r="O989" s="2026"/>
      <c r="P989" s="2026"/>
      <c r="Q989" s="2026"/>
      <c r="R989" s="2026"/>
      <c r="S989" s="2026"/>
      <c r="T989" s="2026"/>
      <c r="U989" s="2026"/>
      <c r="V989" s="2026"/>
      <c r="W989" s="2026"/>
      <c r="X989" s="2026"/>
      <c r="Y989" s="2026"/>
      <c r="Z989" s="2026"/>
      <c r="AA989" s="2026"/>
      <c r="AB989" s="2026"/>
      <c r="AC989" s="2026"/>
      <c r="AD989" s="2035"/>
      <c r="AE989" s="1041" t="s">
        <v>847</v>
      </c>
      <c r="AF989" s="1045">
        <f>'01'!$M$13</f>
        <v>0</v>
      </c>
    </row>
    <row r="990" spans="1:32" ht="16.5" thickBot="1" x14ac:dyDescent="0.25">
      <c r="A990" s="2032"/>
      <c r="B990" s="2033"/>
      <c r="C990" s="2033"/>
      <c r="D990" s="2034"/>
      <c r="E990" s="2027"/>
      <c r="F990" s="2028"/>
      <c r="G990" s="2028"/>
      <c r="H990" s="2028"/>
      <c r="I990" s="2028"/>
      <c r="J990" s="2028"/>
      <c r="K990" s="2028"/>
      <c r="L990" s="2028"/>
      <c r="M990" s="2028"/>
      <c r="N990" s="2028"/>
      <c r="O990" s="2028"/>
      <c r="P990" s="2028"/>
      <c r="Q990" s="2028"/>
      <c r="R990" s="2028"/>
      <c r="S990" s="2028"/>
      <c r="T990" s="2028"/>
      <c r="U990" s="2028"/>
      <c r="V990" s="2028"/>
      <c r="W990" s="2028"/>
      <c r="X990" s="2028"/>
      <c r="Y990" s="2028"/>
      <c r="Z990" s="2028"/>
      <c r="AA990" s="2028"/>
      <c r="AB990" s="2028"/>
      <c r="AC990" s="2028"/>
      <c r="AD990" s="2036"/>
      <c r="AE990" s="1041" t="s">
        <v>1837</v>
      </c>
      <c r="AF990" s="1042" t="s">
        <v>1838</v>
      </c>
    </row>
    <row r="991" spans="1:32" ht="15.75" x14ac:dyDescent="0.25">
      <c r="A991" s="2037" t="s">
        <v>1860</v>
      </c>
      <c r="B991" s="2038"/>
      <c r="C991" s="2038"/>
      <c r="D991" s="2038"/>
      <c r="E991" s="2038"/>
      <c r="F991" s="2038"/>
      <c r="G991" s="2038"/>
      <c r="H991" s="2038"/>
      <c r="I991" s="2038"/>
      <c r="J991" s="2038"/>
      <c r="K991" s="2038"/>
      <c r="L991" s="2038"/>
      <c r="M991" s="2038"/>
      <c r="N991" s="2038"/>
      <c r="O991" s="2038"/>
      <c r="P991" s="2038"/>
      <c r="Q991" s="2038"/>
      <c r="R991" s="2038"/>
      <c r="S991" s="2038"/>
      <c r="T991" s="2038"/>
      <c r="U991" s="2038"/>
      <c r="V991" s="2038"/>
      <c r="W991" s="2038"/>
      <c r="X991" s="2038"/>
      <c r="Y991" s="2038"/>
      <c r="Z991" s="2038"/>
      <c r="AA991" s="2038"/>
      <c r="AB991" s="2038"/>
      <c r="AC991" s="2038"/>
      <c r="AD991" s="2038"/>
      <c r="AE991" s="2039" t="s">
        <v>1839</v>
      </c>
      <c r="AF991" s="2040"/>
    </row>
    <row r="992" spans="1:32" ht="15.75" x14ac:dyDescent="0.25">
      <c r="A992" s="2041" t="s">
        <v>1840</v>
      </c>
      <c r="B992" s="2042"/>
      <c r="C992" s="2042"/>
      <c r="D992" s="2042"/>
      <c r="E992" s="2042"/>
      <c r="F992" s="2042"/>
      <c r="G992" s="2042"/>
      <c r="H992" s="2042"/>
      <c r="I992" s="2042"/>
      <c r="J992" s="2042"/>
      <c r="K992" s="2042"/>
      <c r="L992" s="2042"/>
      <c r="M992" s="2042"/>
      <c r="N992" s="2042"/>
      <c r="O992" s="2042"/>
      <c r="P992" s="2042"/>
      <c r="Q992" s="2042"/>
      <c r="R992" s="2042"/>
      <c r="S992" s="2042"/>
      <c r="T992" s="2042"/>
      <c r="U992" s="2042"/>
      <c r="V992" s="2042"/>
      <c r="W992" s="2042"/>
      <c r="X992" s="2042"/>
      <c r="Y992" s="2042"/>
      <c r="Z992" s="2042"/>
      <c r="AA992" s="2042"/>
      <c r="AB992" s="2042"/>
      <c r="AC992" s="2042"/>
      <c r="AD992" s="2043"/>
      <c r="AE992" s="2014" t="s">
        <v>1841</v>
      </c>
      <c r="AF992" s="2044"/>
    </row>
    <row r="993" spans="1:32" ht="15.75" x14ac:dyDescent="0.25">
      <c r="A993" s="2045" t="s">
        <v>1853</v>
      </c>
      <c r="B993" s="2046"/>
      <c r="C993" s="2046"/>
      <c r="D993" s="2046"/>
      <c r="E993" s="2046"/>
      <c r="F993" s="2046"/>
      <c r="G993" s="2046"/>
      <c r="H993" s="2046"/>
      <c r="I993" s="2046"/>
      <c r="J993" s="2046"/>
      <c r="K993" s="2046"/>
      <c r="L993" s="2046"/>
      <c r="M993" s="2046"/>
      <c r="N993" s="2046"/>
      <c r="O993" s="2046"/>
      <c r="P993" s="2046"/>
      <c r="Q993" s="2046"/>
      <c r="R993" s="2046"/>
      <c r="S993" s="2046"/>
      <c r="T993" s="2046"/>
      <c r="U993" s="2046"/>
      <c r="V993" s="2046"/>
      <c r="W993" s="2046"/>
      <c r="X993" s="2046"/>
      <c r="Y993" s="2046"/>
      <c r="Z993" s="2046"/>
      <c r="AA993" s="2046"/>
      <c r="AB993" s="2046"/>
      <c r="AC993" s="2046"/>
      <c r="AD993" s="2046"/>
      <c r="AE993" s="2047">
        <f>'01'!$M$13</f>
        <v>0</v>
      </c>
      <c r="AF993" s="2044"/>
    </row>
    <row r="994" spans="1:32" x14ac:dyDescent="0.2">
      <c r="A994" s="1046"/>
      <c r="B994" s="1047"/>
      <c r="C994" s="1047"/>
      <c r="D994" s="1047"/>
      <c r="E994" s="1047"/>
      <c r="F994" s="1047"/>
      <c r="G994" s="1047"/>
      <c r="H994" s="1047"/>
      <c r="I994" s="1047"/>
      <c r="J994" s="1047"/>
      <c r="K994" s="1047"/>
      <c r="L994" s="1047"/>
      <c r="M994" s="1047"/>
      <c r="N994" s="1047"/>
      <c r="O994" s="1047"/>
      <c r="P994" s="1047"/>
      <c r="Q994" s="1047"/>
      <c r="R994" s="1047"/>
      <c r="S994" s="1047"/>
      <c r="T994" s="1047"/>
      <c r="U994" s="1047"/>
      <c r="V994" s="1047"/>
      <c r="W994" s="1047"/>
      <c r="X994" s="1047"/>
      <c r="Y994" s="1047"/>
      <c r="Z994" s="1047"/>
      <c r="AA994" s="1047"/>
      <c r="AB994" s="1047"/>
      <c r="AC994" s="1047"/>
      <c r="AD994" s="1047"/>
      <c r="AE994" s="1047"/>
      <c r="AF994" s="1048"/>
    </row>
    <row r="995" spans="1:32" ht="15.75" x14ac:dyDescent="0.2">
      <c r="A995" s="2048" t="s">
        <v>1842</v>
      </c>
      <c r="B995" s="2049"/>
      <c r="C995" s="2049"/>
      <c r="D995" s="2049"/>
      <c r="E995" s="2049"/>
      <c r="F995" s="2050" t="str">
        <f>'01'!$H$33</f>
        <v>B - CÁMARA DE LLEGADA Y AQUIETAMIENTO DEL AGUA</v>
      </c>
      <c r="G995" s="2049"/>
      <c r="H995" s="2049"/>
      <c r="I995" s="2049"/>
      <c r="J995" s="2049"/>
      <c r="K995" s="2049"/>
      <c r="L995" s="2049"/>
      <c r="M995" s="2049"/>
      <c r="N995" s="2049"/>
      <c r="O995" s="2049"/>
      <c r="P995" s="2049"/>
      <c r="Q995" s="2049"/>
      <c r="R995" s="2049"/>
      <c r="S995" s="2049"/>
      <c r="T995" s="2049"/>
      <c r="U995" s="2049"/>
      <c r="V995" s="2049"/>
      <c r="W995" s="2049"/>
      <c r="X995" s="2049"/>
      <c r="Y995" s="2051"/>
      <c r="Z995" s="2052" t="s">
        <v>1843</v>
      </c>
      <c r="AA995" s="2053"/>
      <c r="AB995" s="2058" t="s">
        <v>1844</v>
      </c>
      <c r="AC995" s="2059"/>
      <c r="AD995" s="2060"/>
      <c r="AE995" s="2064" t="s">
        <v>1845</v>
      </c>
      <c r="AF995" s="2067" t="s">
        <v>1846</v>
      </c>
    </row>
    <row r="996" spans="1:32" x14ac:dyDescent="0.2">
      <c r="A996" s="2070" t="str">
        <f>'01'!A58</f>
        <v>B-08-05</v>
      </c>
      <c r="B996" s="2071"/>
      <c r="C996" s="2072"/>
      <c r="D996" s="2076" t="str">
        <f>VLOOKUP(A996,'01'!$A$12:$N$299,3,FALSE)</f>
        <v>SUMINISTRO E INSTALACIÓN VÁLVULA DE COMPUERTA ELASTICA VASTAGO NO ASCENDENTE EXTREMO BRIDADO PARA PVC DIAMETRO 8".</v>
      </c>
      <c r="E996" s="2077"/>
      <c r="F996" s="2077"/>
      <c r="G996" s="2077"/>
      <c r="H996" s="2077"/>
      <c r="I996" s="2077"/>
      <c r="J996" s="2077"/>
      <c r="K996" s="2077"/>
      <c r="L996" s="2077"/>
      <c r="M996" s="2077"/>
      <c r="N996" s="2077"/>
      <c r="O996" s="2077"/>
      <c r="P996" s="2077"/>
      <c r="Q996" s="2077"/>
      <c r="R996" s="2077"/>
      <c r="S996" s="2078"/>
      <c r="T996" s="2082" t="s">
        <v>124</v>
      </c>
      <c r="U996" s="2083"/>
      <c r="V996" s="2083"/>
      <c r="W996" s="2083"/>
      <c r="X996" s="2052" t="str">
        <f>VLOOKUP(A996,'01'!$A$12:$N$299,9,FALSE)</f>
        <v>UND</v>
      </c>
      <c r="Y996" s="2053"/>
      <c r="Z996" s="2054"/>
      <c r="AA996" s="2055"/>
      <c r="AB996" s="2061"/>
      <c r="AC996" s="2062"/>
      <c r="AD996" s="2063"/>
      <c r="AE996" s="2065"/>
      <c r="AF996" s="2068"/>
    </row>
    <row r="997" spans="1:32" ht="15.75" x14ac:dyDescent="0.25">
      <c r="A997" s="2073"/>
      <c r="B997" s="2074"/>
      <c r="C997" s="2075"/>
      <c r="D997" s="2079"/>
      <c r="E997" s="2080"/>
      <c r="F997" s="2080"/>
      <c r="G997" s="2080"/>
      <c r="H997" s="2080"/>
      <c r="I997" s="2080"/>
      <c r="J997" s="2080"/>
      <c r="K997" s="2080"/>
      <c r="L997" s="2080"/>
      <c r="M997" s="2080"/>
      <c r="N997" s="2080"/>
      <c r="O997" s="2080"/>
      <c r="P997" s="2080"/>
      <c r="Q997" s="2080"/>
      <c r="R997" s="2080"/>
      <c r="S997" s="2081"/>
      <c r="T997" s="2084"/>
      <c r="U997" s="2085"/>
      <c r="V997" s="2085"/>
      <c r="W997" s="2085"/>
      <c r="X997" s="2056"/>
      <c r="Y997" s="2057"/>
      <c r="Z997" s="2056"/>
      <c r="AA997" s="2057"/>
      <c r="AB997" s="1049" t="s">
        <v>1847</v>
      </c>
      <c r="AC997" s="1049" t="s">
        <v>1848</v>
      </c>
      <c r="AD997" s="1049" t="s">
        <v>1861</v>
      </c>
      <c r="AE997" s="2066"/>
      <c r="AF997" s="2069"/>
    </row>
    <row r="998" spans="1:32" ht="30" customHeight="1" x14ac:dyDescent="0.25">
      <c r="A998" s="2017"/>
      <c r="B998" s="2018"/>
      <c r="C998" s="2018"/>
      <c r="D998" s="2018"/>
      <c r="E998" s="2018"/>
      <c r="F998" s="2018"/>
      <c r="G998" s="2018"/>
      <c r="H998" s="2018"/>
      <c r="I998" s="2018"/>
      <c r="J998" s="2018"/>
      <c r="K998" s="2018"/>
      <c r="L998" s="2018"/>
      <c r="M998" s="2018"/>
      <c r="N998" s="2018"/>
      <c r="O998" s="2018"/>
      <c r="P998" s="2018"/>
      <c r="Q998" s="2018"/>
      <c r="R998" s="2018"/>
      <c r="S998" s="2018"/>
      <c r="T998" s="2018"/>
      <c r="U998" s="2018"/>
      <c r="V998" s="2018"/>
      <c r="W998" s="2018"/>
      <c r="X998" s="2018"/>
      <c r="Y998" s="2018"/>
      <c r="Z998" s="2106" t="s">
        <v>1096</v>
      </c>
      <c r="AA998" s="2107"/>
      <c r="AB998" s="1151"/>
      <c r="AC998" s="1050"/>
      <c r="AD998" s="1050"/>
      <c r="AE998" s="1050">
        <v>1</v>
      </c>
      <c r="AF998" s="1052">
        <f>AE998</f>
        <v>1</v>
      </c>
    </row>
    <row r="999" spans="1:32" ht="30" customHeight="1" x14ac:dyDescent="0.25">
      <c r="A999" s="2017"/>
      <c r="B999" s="2018"/>
      <c r="C999" s="2018"/>
      <c r="D999" s="2018"/>
      <c r="E999" s="2018"/>
      <c r="F999" s="2018"/>
      <c r="G999" s="2018"/>
      <c r="H999" s="2018"/>
      <c r="I999" s="2018"/>
      <c r="J999" s="2018"/>
      <c r="K999" s="2018"/>
      <c r="L999" s="2018"/>
      <c r="M999" s="2018"/>
      <c r="N999" s="2018"/>
      <c r="O999" s="2018"/>
      <c r="P999" s="2018"/>
      <c r="Q999" s="2018"/>
      <c r="R999" s="2018"/>
      <c r="S999" s="2018"/>
      <c r="T999" s="2018"/>
      <c r="U999" s="2018"/>
      <c r="V999" s="2018"/>
      <c r="W999" s="2018"/>
      <c r="X999" s="2018"/>
      <c r="Y999" s="2018"/>
      <c r="Z999" s="2106" t="s">
        <v>1098</v>
      </c>
      <c r="AA999" s="2107"/>
      <c r="AB999" s="1151"/>
      <c r="AC999" s="1050"/>
      <c r="AD999" s="1050"/>
      <c r="AE999" s="1050">
        <v>1</v>
      </c>
      <c r="AF999" s="1052">
        <f>AE999</f>
        <v>1</v>
      </c>
    </row>
    <row r="1000" spans="1:32" ht="15.75" x14ac:dyDescent="0.25">
      <c r="A1000" s="2017"/>
      <c r="B1000" s="2018"/>
      <c r="C1000" s="2018"/>
      <c r="D1000" s="2018"/>
      <c r="E1000" s="2018"/>
      <c r="F1000" s="2018"/>
      <c r="G1000" s="2018"/>
      <c r="H1000" s="2018"/>
      <c r="I1000" s="2018"/>
      <c r="J1000" s="2018"/>
      <c r="K1000" s="2018"/>
      <c r="L1000" s="2018"/>
      <c r="M1000" s="2018"/>
      <c r="N1000" s="2018"/>
      <c r="O1000" s="2018"/>
      <c r="P1000" s="2018"/>
      <c r="Q1000" s="2018"/>
      <c r="R1000" s="2018"/>
      <c r="S1000" s="2018"/>
      <c r="T1000" s="2018"/>
      <c r="U1000" s="2018"/>
      <c r="V1000" s="2018"/>
      <c r="W1000" s="2018"/>
      <c r="X1000" s="2018"/>
      <c r="Y1000" s="2018"/>
      <c r="Z1000" s="2106"/>
      <c r="AA1000" s="2107"/>
      <c r="AB1000" s="1151"/>
      <c r="AC1000" s="1050"/>
      <c r="AD1000" s="1050"/>
      <c r="AE1000" s="1050"/>
      <c r="AF1000" s="1052"/>
    </row>
    <row r="1001" spans="1:32" ht="15.75" x14ac:dyDescent="0.25">
      <c r="A1001" s="2017"/>
      <c r="B1001" s="2018"/>
      <c r="C1001" s="2018"/>
      <c r="D1001" s="2018"/>
      <c r="E1001" s="2018"/>
      <c r="F1001" s="2018"/>
      <c r="G1001" s="2018"/>
      <c r="H1001" s="2018"/>
      <c r="I1001" s="2018"/>
      <c r="J1001" s="2018"/>
      <c r="K1001" s="2018"/>
      <c r="L1001" s="2018"/>
      <c r="M1001" s="2018"/>
      <c r="N1001" s="2018"/>
      <c r="O1001" s="2018"/>
      <c r="P1001" s="2018"/>
      <c r="Q1001" s="2018"/>
      <c r="R1001" s="2018"/>
      <c r="S1001" s="2018"/>
      <c r="T1001" s="2018"/>
      <c r="U1001" s="2018"/>
      <c r="V1001" s="2018"/>
      <c r="W1001" s="2018"/>
      <c r="X1001" s="2018"/>
      <c r="Y1001" s="2018"/>
      <c r="Z1001" s="2106"/>
      <c r="AA1001" s="2107"/>
      <c r="AB1001" s="1151"/>
      <c r="AC1001" s="1050"/>
      <c r="AD1001" s="1050"/>
      <c r="AE1001" s="1050"/>
      <c r="AF1001" s="1052"/>
    </row>
    <row r="1002" spans="1:32" ht="15.75" x14ac:dyDescent="0.25">
      <c r="A1002" s="2017"/>
      <c r="B1002" s="2018"/>
      <c r="C1002" s="2018"/>
      <c r="D1002" s="2018"/>
      <c r="E1002" s="2018"/>
      <c r="F1002" s="2018"/>
      <c r="G1002" s="2018"/>
      <c r="H1002" s="2018"/>
      <c r="I1002" s="2018"/>
      <c r="J1002" s="2018"/>
      <c r="K1002" s="2018"/>
      <c r="L1002" s="2018"/>
      <c r="M1002" s="2018"/>
      <c r="N1002" s="2018"/>
      <c r="O1002" s="2018"/>
      <c r="P1002" s="2018"/>
      <c r="Q1002" s="2018"/>
      <c r="R1002" s="2018"/>
      <c r="S1002" s="2018"/>
      <c r="T1002" s="2018"/>
      <c r="U1002" s="2018"/>
      <c r="V1002" s="2018"/>
      <c r="W1002" s="2018"/>
      <c r="X1002" s="2018"/>
      <c r="Y1002" s="2018"/>
      <c r="Z1002" s="2106"/>
      <c r="AA1002" s="2107"/>
      <c r="AB1002" s="1151"/>
      <c r="AC1002" s="1050"/>
      <c r="AD1002" s="1050"/>
      <c r="AE1002" s="1050"/>
      <c r="AF1002" s="1052"/>
    </row>
    <row r="1003" spans="1:32" ht="15.75" x14ac:dyDescent="0.25">
      <c r="A1003" s="2017"/>
      <c r="B1003" s="2018"/>
      <c r="C1003" s="2018"/>
      <c r="D1003" s="2018"/>
      <c r="E1003" s="2018"/>
      <c r="F1003" s="2018"/>
      <c r="G1003" s="2018"/>
      <c r="H1003" s="2018"/>
      <c r="I1003" s="2018"/>
      <c r="J1003" s="2018"/>
      <c r="K1003" s="2018"/>
      <c r="L1003" s="2018"/>
      <c r="M1003" s="2018"/>
      <c r="N1003" s="2018"/>
      <c r="O1003" s="2018"/>
      <c r="P1003" s="2018"/>
      <c r="Q1003" s="2018"/>
      <c r="R1003" s="2018"/>
      <c r="S1003" s="2018"/>
      <c r="T1003" s="2018"/>
      <c r="U1003" s="2018"/>
      <c r="V1003" s="2018"/>
      <c r="W1003" s="2018"/>
      <c r="X1003" s="2018"/>
      <c r="Y1003" s="2018"/>
      <c r="Z1003" s="2105"/>
      <c r="AA1003" s="2105"/>
      <c r="AB1003" s="1050"/>
      <c r="AC1003" s="1050"/>
      <c r="AD1003" s="1050"/>
      <c r="AE1003" s="1050"/>
      <c r="AF1003" s="1052"/>
    </row>
    <row r="1004" spans="1:32" ht="15.75" x14ac:dyDescent="0.25">
      <c r="A1004" s="2017"/>
      <c r="B1004" s="2018"/>
      <c r="C1004" s="2018"/>
      <c r="D1004" s="2018"/>
      <c r="E1004" s="2018"/>
      <c r="F1004" s="2018"/>
      <c r="G1004" s="2018"/>
      <c r="H1004" s="2018"/>
      <c r="I1004" s="2018"/>
      <c r="J1004" s="2018"/>
      <c r="K1004" s="2018"/>
      <c r="L1004" s="2018"/>
      <c r="M1004" s="2018"/>
      <c r="N1004" s="2018"/>
      <c r="O1004" s="2018"/>
      <c r="P1004" s="2018"/>
      <c r="Q1004" s="2018"/>
      <c r="R1004" s="2018"/>
      <c r="S1004" s="2018"/>
      <c r="T1004" s="2018"/>
      <c r="U1004" s="2018"/>
      <c r="V1004" s="2018"/>
      <c r="W1004" s="2018"/>
      <c r="X1004" s="2018"/>
      <c r="Y1004" s="2018"/>
      <c r="Z1004" s="2105"/>
      <c r="AA1004" s="2105"/>
      <c r="AB1004" s="1050"/>
      <c r="AC1004" s="1050"/>
      <c r="AD1004" s="1050"/>
      <c r="AE1004" s="1050"/>
      <c r="AF1004" s="1052"/>
    </row>
    <row r="1005" spans="1:32" ht="15.75" x14ac:dyDescent="0.25">
      <c r="A1005" s="2017"/>
      <c r="B1005" s="2018"/>
      <c r="C1005" s="2018"/>
      <c r="D1005" s="2018"/>
      <c r="E1005" s="2018"/>
      <c r="F1005" s="2018"/>
      <c r="G1005" s="2018"/>
      <c r="H1005" s="2018"/>
      <c r="I1005" s="2018"/>
      <c r="J1005" s="2018"/>
      <c r="K1005" s="2018"/>
      <c r="L1005" s="2018"/>
      <c r="M1005" s="2018"/>
      <c r="N1005" s="2018"/>
      <c r="O1005" s="2018"/>
      <c r="P1005" s="2018"/>
      <c r="Q1005" s="2018"/>
      <c r="R1005" s="2018"/>
      <c r="S1005" s="2018"/>
      <c r="T1005" s="2018"/>
      <c r="U1005" s="2018"/>
      <c r="V1005" s="2018"/>
      <c r="W1005" s="2018"/>
      <c r="X1005" s="2018"/>
      <c r="Y1005" s="2018"/>
      <c r="Z1005" s="2105"/>
      <c r="AA1005" s="2105"/>
      <c r="AB1005" s="1050"/>
      <c r="AC1005" s="1050"/>
      <c r="AD1005" s="1050"/>
      <c r="AE1005" s="1050"/>
      <c r="AF1005" s="1052"/>
    </row>
    <row r="1006" spans="1:32" ht="15.75" x14ac:dyDescent="0.25">
      <c r="A1006" s="2017"/>
      <c r="B1006" s="2018"/>
      <c r="C1006" s="2018"/>
      <c r="D1006" s="2018"/>
      <c r="E1006" s="2018"/>
      <c r="F1006" s="2018"/>
      <c r="G1006" s="2018"/>
      <c r="H1006" s="2018"/>
      <c r="I1006" s="2018"/>
      <c r="J1006" s="2018"/>
      <c r="K1006" s="2018"/>
      <c r="L1006" s="2018"/>
      <c r="M1006" s="2018"/>
      <c r="N1006" s="2018"/>
      <c r="O1006" s="2018"/>
      <c r="P1006" s="2018"/>
      <c r="Q1006" s="2018"/>
      <c r="R1006" s="2018"/>
      <c r="S1006" s="2018"/>
      <c r="T1006" s="2018"/>
      <c r="U1006" s="2018"/>
      <c r="V1006" s="2018"/>
      <c r="W1006" s="2018"/>
      <c r="X1006" s="2018"/>
      <c r="Y1006" s="2018"/>
      <c r="Z1006" s="2105"/>
      <c r="AA1006" s="2105"/>
      <c r="AB1006" s="1050"/>
      <c r="AC1006" s="1050"/>
      <c r="AD1006" s="1050"/>
      <c r="AE1006" s="1050"/>
      <c r="AF1006" s="1052"/>
    </row>
    <row r="1007" spans="1:32" ht="15.75" x14ac:dyDescent="0.25">
      <c r="A1007" s="2017"/>
      <c r="B1007" s="2018"/>
      <c r="C1007" s="2018"/>
      <c r="D1007" s="2018"/>
      <c r="E1007" s="2018"/>
      <c r="F1007" s="2018"/>
      <c r="G1007" s="2018"/>
      <c r="H1007" s="2018"/>
      <c r="I1007" s="2018"/>
      <c r="J1007" s="2018"/>
      <c r="K1007" s="2018"/>
      <c r="L1007" s="2018"/>
      <c r="M1007" s="2018"/>
      <c r="N1007" s="2018"/>
      <c r="O1007" s="2018"/>
      <c r="P1007" s="2018"/>
      <c r="Q1007" s="2018"/>
      <c r="R1007" s="2018"/>
      <c r="S1007" s="2018"/>
      <c r="T1007" s="2018"/>
      <c r="U1007" s="2018"/>
      <c r="V1007" s="2018"/>
      <c r="W1007" s="2018"/>
      <c r="X1007" s="2018"/>
      <c r="Y1007" s="2018"/>
      <c r="Z1007" s="2105"/>
      <c r="AA1007" s="2105"/>
      <c r="AB1007" s="1050"/>
      <c r="AC1007" s="1050"/>
      <c r="AD1007" s="1050"/>
      <c r="AE1007" s="1050"/>
      <c r="AF1007" s="1052"/>
    </row>
    <row r="1008" spans="1:32" ht="15.75" x14ac:dyDescent="0.25">
      <c r="A1008" s="2017"/>
      <c r="B1008" s="2018"/>
      <c r="C1008" s="2018"/>
      <c r="D1008" s="2018"/>
      <c r="E1008" s="2018"/>
      <c r="F1008" s="2018"/>
      <c r="G1008" s="2018"/>
      <c r="H1008" s="2018"/>
      <c r="I1008" s="2018"/>
      <c r="J1008" s="2018"/>
      <c r="K1008" s="2018"/>
      <c r="L1008" s="2018"/>
      <c r="M1008" s="2018"/>
      <c r="N1008" s="2018"/>
      <c r="O1008" s="2018"/>
      <c r="P1008" s="2018"/>
      <c r="Q1008" s="2018"/>
      <c r="R1008" s="2018"/>
      <c r="S1008" s="2018"/>
      <c r="T1008" s="2018"/>
      <c r="U1008" s="2018"/>
      <c r="V1008" s="2018"/>
      <c r="W1008" s="2018"/>
      <c r="X1008" s="2018"/>
      <c r="Y1008" s="2018"/>
      <c r="Z1008" s="2105"/>
      <c r="AA1008" s="2105"/>
      <c r="AB1008" s="1050"/>
      <c r="AC1008" s="1050"/>
      <c r="AD1008" s="1050"/>
      <c r="AE1008" s="1050"/>
      <c r="AF1008" s="1052"/>
    </row>
    <row r="1009" spans="1:32" ht="15.75" x14ac:dyDescent="0.25">
      <c r="A1009" s="2017"/>
      <c r="B1009" s="2018"/>
      <c r="C1009" s="2018"/>
      <c r="D1009" s="2018"/>
      <c r="E1009" s="2018"/>
      <c r="F1009" s="2018"/>
      <c r="G1009" s="2018"/>
      <c r="H1009" s="2018"/>
      <c r="I1009" s="2018"/>
      <c r="J1009" s="2018"/>
      <c r="K1009" s="2018"/>
      <c r="L1009" s="2018"/>
      <c r="M1009" s="2018"/>
      <c r="N1009" s="2018"/>
      <c r="O1009" s="2018"/>
      <c r="P1009" s="2018"/>
      <c r="Q1009" s="2018"/>
      <c r="R1009" s="2018"/>
      <c r="S1009" s="2018"/>
      <c r="T1009" s="2018"/>
      <c r="U1009" s="2018"/>
      <c r="V1009" s="2018"/>
      <c r="W1009" s="2018"/>
      <c r="X1009" s="2018"/>
      <c r="Y1009" s="2018"/>
      <c r="Z1009" s="2105"/>
      <c r="AA1009" s="2105"/>
      <c r="AB1009" s="1050"/>
      <c r="AC1009" s="1050"/>
      <c r="AD1009" s="1050"/>
      <c r="AE1009" s="1050"/>
      <c r="AF1009" s="1052"/>
    </row>
    <row r="1010" spans="1:32" ht="15.75" x14ac:dyDescent="0.25">
      <c r="A1010" s="2017"/>
      <c r="B1010" s="2018"/>
      <c r="C1010" s="2018"/>
      <c r="D1010" s="2018"/>
      <c r="E1010" s="2018"/>
      <c r="F1010" s="2018"/>
      <c r="G1010" s="2018"/>
      <c r="H1010" s="2018"/>
      <c r="I1010" s="2018"/>
      <c r="J1010" s="2018"/>
      <c r="K1010" s="2018"/>
      <c r="L1010" s="2018"/>
      <c r="M1010" s="2018"/>
      <c r="N1010" s="2018"/>
      <c r="O1010" s="2018"/>
      <c r="P1010" s="2018"/>
      <c r="Q1010" s="2018"/>
      <c r="R1010" s="2018"/>
      <c r="S1010" s="2018"/>
      <c r="T1010" s="2018"/>
      <c r="U1010" s="2018"/>
      <c r="V1010" s="2018"/>
      <c r="W1010" s="2018"/>
      <c r="X1010" s="2018"/>
      <c r="Y1010" s="2018"/>
      <c r="Z1010" s="2105"/>
      <c r="AA1010" s="2105"/>
      <c r="AB1010" s="1050"/>
      <c r="AC1010" s="1050"/>
      <c r="AD1010" s="1050"/>
      <c r="AE1010" s="1050"/>
      <c r="AF1010" s="1052"/>
    </row>
    <row r="1011" spans="1:32" ht="15.75" x14ac:dyDescent="0.25">
      <c r="A1011" s="2017"/>
      <c r="B1011" s="2018"/>
      <c r="C1011" s="2018"/>
      <c r="D1011" s="2018"/>
      <c r="E1011" s="2018"/>
      <c r="F1011" s="2018"/>
      <c r="G1011" s="2018"/>
      <c r="H1011" s="2018"/>
      <c r="I1011" s="2018"/>
      <c r="J1011" s="2018"/>
      <c r="K1011" s="2018"/>
      <c r="L1011" s="2018"/>
      <c r="M1011" s="2018"/>
      <c r="N1011" s="2018"/>
      <c r="O1011" s="2018"/>
      <c r="P1011" s="2018"/>
      <c r="Q1011" s="2018"/>
      <c r="R1011" s="2018"/>
      <c r="S1011" s="2018"/>
      <c r="T1011" s="2018"/>
      <c r="U1011" s="2018"/>
      <c r="V1011" s="2018"/>
      <c r="W1011" s="2018"/>
      <c r="X1011" s="2018"/>
      <c r="Y1011" s="2018"/>
      <c r="Z1011" s="2022"/>
      <c r="AA1011" s="2022"/>
      <c r="AB1011" s="1050"/>
      <c r="AC1011" s="1050"/>
      <c r="AD1011" s="1050"/>
      <c r="AE1011" s="1050"/>
      <c r="AF1011" s="1052"/>
    </row>
    <row r="1012" spans="1:32" ht="15.75" x14ac:dyDescent="0.25">
      <c r="A1012" s="2017"/>
      <c r="B1012" s="2018"/>
      <c r="C1012" s="2018"/>
      <c r="D1012" s="2018"/>
      <c r="E1012" s="2018"/>
      <c r="F1012" s="2018"/>
      <c r="G1012" s="2018"/>
      <c r="H1012" s="2018"/>
      <c r="I1012" s="2018"/>
      <c r="J1012" s="2018"/>
      <c r="K1012" s="2018"/>
      <c r="L1012" s="2018"/>
      <c r="M1012" s="2018"/>
      <c r="N1012" s="2018"/>
      <c r="O1012" s="2018"/>
      <c r="P1012" s="2018"/>
      <c r="Q1012" s="2018"/>
      <c r="R1012" s="2018"/>
      <c r="S1012" s="2018"/>
      <c r="T1012" s="2018"/>
      <c r="U1012" s="2018"/>
      <c r="V1012" s="2018"/>
      <c r="W1012" s="2018"/>
      <c r="X1012" s="2018"/>
      <c r="Y1012" s="2018"/>
      <c r="Z1012" s="2022"/>
      <c r="AA1012" s="2022"/>
      <c r="AB1012" s="1050"/>
      <c r="AC1012" s="1050"/>
      <c r="AD1012" s="1050"/>
      <c r="AE1012" s="1050"/>
      <c r="AF1012" s="1052"/>
    </row>
    <row r="1013" spans="1:32" ht="15.75" x14ac:dyDescent="0.25">
      <c r="A1013" s="2017"/>
      <c r="B1013" s="2018"/>
      <c r="C1013" s="2018"/>
      <c r="D1013" s="2018"/>
      <c r="E1013" s="2018"/>
      <c r="F1013" s="2018"/>
      <c r="G1013" s="2018"/>
      <c r="H1013" s="2018"/>
      <c r="I1013" s="2018"/>
      <c r="J1013" s="2018"/>
      <c r="K1013" s="2018"/>
      <c r="L1013" s="2018"/>
      <c r="M1013" s="2018"/>
      <c r="N1013" s="2018"/>
      <c r="O1013" s="2018"/>
      <c r="P1013" s="2018"/>
      <c r="Q1013" s="2018"/>
      <c r="R1013" s="2018"/>
      <c r="S1013" s="2018"/>
      <c r="T1013" s="2018"/>
      <c r="U1013" s="2018"/>
      <c r="V1013" s="2018"/>
      <c r="W1013" s="2018"/>
      <c r="X1013" s="2018"/>
      <c r="Y1013" s="2018"/>
      <c r="Z1013" s="2022"/>
      <c r="AA1013" s="2022"/>
      <c r="AB1013" s="1050"/>
      <c r="AC1013" s="1050"/>
      <c r="AD1013" s="1050"/>
      <c r="AE1013" s="1050"/>
      <c r="AF1013" s="1052"/>
    </row>
    <row r="1014" spans="1:32" ht="15.75" x14ac:dyDescent="0.25">
      <c r="A1014" s="2017"/>
      <c r="B1014" s="2018"/>
      <c r="C1014" s="2018"/>
      <c r="D1014" s="2018"/>
      <c r="E1014" s="2018"/>
      <c r="F1014" s="2018"/>
      <c r="G1014" s="2018"/>
      <c r="H1014" s="2018"/>
      <c r="I1014" s="2018"/>
      <c r="J1014" s="2018"/>
      <c r="K1014" s="2018"/>
      <c r="L1014" s="2018"/>
      <c r="M1014" s="2018"/>
      <c r="N1014" s="2018"/>
      <c r="O1014" s="2018"/>
      <c r="P1014" s="2018"/>
      <c r="Q1014" s="2018"/>
      <c r="R1014" s="2018"/>
      <c r="S1014" s="2018"/>
      <c r="T1014" s="2018"/>
      <c r="U1014" s="2018"/>
      <c r="V1014" s="2018"/>
      <c r="W1014" s="2018"/>
      <c r="X1014" s="2018"/>
      <c r="Y1014" s="2018"/>
      <c r="Z1014" s="2022"/>
      <c r="AA1014" s="2022"/>
      <c r="AB1014" s="1050"/>
      <c r="AC1014" s="1050"/>
      <c r="AD1014" s="1050"/>
      <c r="AE1014" s="1050"/>
      <c r="AF1014" s="1052"/>
    </row>
    <row r="1015" spans="1:32" ht="15.75" x14ac:dyDescent="0.25">
      <c r="A1015" s="2017"/>
      <c r="B1015" s="2018"/>
      <c r="C1015" s="2018"/>
      <c r="D1015" s="2018"/>
      <c r="E1015" s="2018"/>
      <c r="F1015" s="2018"/>
      <c r="G1015" s="2018"/>
      <c r="H1015" s="2018"/>
      <c r="I1015" s="2018"/>
      <c r="J1015" s="2018"/>
      <c r="K1015" s="2018"/>
      <c r="L1015" s="2018"/>
      <c r="M1015" s="2018"/>
      <c r="N1015" s="2018"/>
      <c r="O1015" s="2018"/>
      <c r="P1015" s="2018"/>
      <c r="Q1015" s="2018"/>
      <c r="R1015" s="2018"/>
      <c r="S1015" s="2018"/>
      <c r="T1015" s="2018"/>
      <c r="U1015" s="2018"/>
      <c r="V1015" s="2018"/>
      <c r="W1015" s="2018"/>
      <c r="X1015" s="2018"/>
      <c r="Y1015" s="2018"/>
      <c r="Z1015" s="2023"/>
      <c r="AA1015" s="2023"/>
      <c r="AB1015" s="1050"/>
      <c r="AC1015" s="1050"/>
      <c r="AD1015" s="1050"/>
      <c r="AE1015" s="1050"/>
      <c r="AF1015" s="1052"/>
    </row>
    <row r="1016" spans="1:32" ht="15.75" x14ac:dyDescent="0.25">
      <c r="A1016" s="2017"/>
      <c r="B1016" s="2018"/>
      <c r="C1016" s="2018"/>
      <c r="D1016" s="2018"/>
      <c r="E1016" s="2018"/>
      <c r="F1016" s="2018"/>
      <c r="G1016" s="2018"/>
      <c r="H1016" s="2018"/>
      <c r="I1016" s="2018"/>
      <c r="J1016" s="2018"/>
      <c r="K1016" s="2018"/>
      <c r="L1016" s="2018"/>
      <c r="M1016" s="2018"/>
      <c r="N1016" s="2018"/>
      <c r="O1016" s="2018"/>
      <c r="P1016" s="2018"/>
      <c r="Q1016" s="2018"/>
      <c r="R1016" s="2018"/>
      <c r="S1016" s="2018"/>
      <c r="T1016" s="2018"/>
      <c r="U1016" s="2018"/>
      <c r="V1016" s="2018"/>
      <c r="W1016" s="2018"/>
      <c r="X1016" s="2018"/>
      <c r="Y1016" s="2018"/>
      <c r="Z1016" s="2023"/>
      <c r="AA1016" s="2023"/>
      <c r="AB1016" s="1050"/>
      <c r="AC1016" s="1050"/>
      <c r="AD1016" s="1050"/>
      <c r="AE1016" s="1050"/>
      <c r="AF1016" s="1052"/>
    </row>
    <row r="1017" spans="1:32" ht="15.75" x14ac:dyDescent="0.25">
      <c r="A1017" s="2017"/>
      <c r="B1017" s="2018"/>
      <c r="C1017" s="2018"/>
      <c r="D1017" s="2018"/>
      <c r="E1017" s="2018"/>
      <c r="F1017" s="2018"/>
      <c r="G1017" s="2018"/>
      <c r="H1017" s="2018"/>
      <c r="I1017" s="2018"/>
      <c r="J1017" s="2018"/>
      <c r="K1017" s="2018"/>
      <c r="L1017" s="2018"/>
      <c r="M1017" s="2018"/>
      <c r="N1017" s="2018"/>
      <c r="O1017" s="2018"/>
      <c r="P1017" s="2018"/>
      <c r="Q1017" s="2018"/>
      <c r="R1017" s="2018"/>
      <c r="S1017" s="2018"/>
      <c r="T1017" s="2018"/>
      <c r="U1017" s="2018"/>
      <c r="V1017" s="2018"/>
      <c r="W1017" s="2018"/>
      <c r="X1017" s="2018"/>
      <c r="Y1017" s="2018"/>
      <c r="Z1017" s="2023"/>
      <c r="AA1017" s="2023"/>
      <c r="AB1017" s="1050"/>
      <c r="AC1017" s="1050"/>
      <c r="AD1017" s="1050"/>
      <c r="AE1017" s="1050"/>
      <c r="AF1017" s="1052"/>
    </row>
    <row r="1018" spans="1:32" ht="15.75" x14ac:dyDescent="0.25">
      <c r="A1018" s="2017"/>
      <c r="B1018" s="2018"/>
      <c r="C1018" s="2018"/>
      <c r="D1018" s="2018"/>
      <c r="E1018" s="2018"/>
      <c r="F1018" s="2018"/>
      <c r="G1018" s="2018"/>
      <c r="H1018" s="2018"/>
      <c r="I1018" s="2018"/>
      <c r="J1018" s="2018"/>
      <c r="K1018" s="2018"/>
      <c r="L1018" s="2018"/>
      <c r="M1018" s="2018"/>
      <c r="N1018" s="2018"/>
      <c r="O1018" s="2018"/>
      <c r="P1018" s="2018"/>
      <c r="Q1018" s="2018"/>
      <c r="R1018" s="2018"/>
      <c r="S1018" s="2018"/>
      <c r="T1018" s="2018"/>
      <c r="U1018" s="2018"/>
      <c r="V1018" s="2018"/>
      <c r="W1018" s="2018"/>
      <c r="X1018" s="2018"/>
      <c r="Y1018" s="2018"/>
      <c r="Z1018" s="2023"/>
      <c r="AA1018" s="2023"/>
      <c r="AB1018" s="1050"/>
      <c r="AC1018" s="1050"/>
      <c r="AD1018" s="1050"/>
      <c r="AE1018" s="1050"/>
      <c r="AF1018" s="1052"/>
    </row>
    <row r="1019" spans="1:32" ht="15.75" x14ac:dyDescent="0.25">
      <c r="A1019" s="2017"/>
      <c r="B1019" s="2018"/>
      <c r="C1019" s="2018"/>
      <c r="D1019" s="2018"/>
      <c r="E1019" s="2018"/>
      <c r="F1019" s="2018"/>
      <c r="G1019" s="2018"/>
      <c r="H1019" s="2018"/>
      <c r="I1019" s="2018"/>
      <c r="J1019" s="2018"/>
      <c r="K1019" s="2018"/>
      <c r="L1019" s="2018"/>
      <c r="M1019" s="2018"/>
      <c r="N1019" s="2018"/>
      <c r="O1019" s="2018"/>
      <c r="P1019" s="2018"/>
      <c r="Q1019" s="2018"/>
      <c r="R1019" s="2018"/>
      <c r="S1019" s="2018"/>
      <c r="T1019" s="2018"/>
      <c r="U1019" s="2018"/>
      <c r="V1019" s="2018"/>
      <c r="W1019" s="2018"/>
      <c r="X1019" s="2018"/>
      <c r="Y1019" s="2018"/>
      <c r="Z1019" s="2023"/>
      <c r="AA1019" s="2023"/>
      <c r="AB1019" s="1050"/>
      <c r="AC1019" s="1050"/>
      <c r="AD1019" s="1050"/>
      <c r="AE1019" s="1050"/>
      <c r="AF1019" s="1052"/>
    </row>
    <row r="1020" spans="1:32" ht="15.75" x14ac:dyDescent="0.25">
      <c r="A1020" s="2017"/>
      <c r="B1020" s="2018"/>
      <c r="C1020" s="2018"/>
      <c r="D1020" s="2018"/>
      <c r="E1020" s="2018"/>
      <c r="F1020" s="2018"/>
      <c r="G1020" s="2018"/>
      <c r="H1020" s="2018"/>
      <c r="I1020" s="2018"/>
      <c r="J1020" s="2018"/>
      <c r="K1020" s="2018"/>
      <c r="L1020" s="2018"/>
      <c r="M1020" s="2018"/>
      <c r="N1020" s="2018"/>
      <c r="O1020" s="2018"/>
      <c r="P1020" s="2018"/>
      <c r="Q1020" s="2018"/>
      <c r="R1020" s="2018"/>
      <c r="S1020" s="2018"/>
      <c r="T1020" s="2018"/>
      <c r="U1020" s="2018"/>
      <c r="V1020" s="2018"/>
      <c r="W1020" s="2018"/>
      <c r="X1020" s="2018"/>
      <c r="Y1020" s="2018"/>
      <c r="Z1020" s="2023"/>
      <c r="AA1020" s="2023"/>
      <c r="AB1020" s="1050"/>
      <c r="AC1020" s="1050"/>
      <c r="AD1020" s="1050"/>
      <c r="AE1020" s="1050"/>
      <c r="AF1020" s="1052"/>
    </row>
    <row r="1021" spans="1:32" ht="16.5" thickBot="1" x14ac:dyDescent="0.3">
      <c r="A1021" s="2019"/>
      <c r="B1021" s="2020"/>
      <c r="C1021" s="2020"/>
      <c r="D1021" s="2020"/>
      <c r="E1021" s="2020"/>
      <c r="F1021" s="2020"/>
      <c r="G1021" s="2020"/>
      <c r="H1021" s="2020"/>
      <c r="I1021" s="2020"/>
      <c r="J1021" s="2020"/>
      <c r="K1021" s="2020"/>
      <c r="L1021" s="2020"/>
      <c r="M1021" s="2020"/>
      <c r="N1021" s="2020"/>
      <c r="O1021" s="2020"/>
      <c r="P1021" s="2020"/>
      <c r="Q1021" s="2020"/>
      <c r="R1021" s="2020"/>
      <c r="S1021" s="2020"/>
      <c r="T1021" s="2020"/>
      <c r="U1021" s="2020"/>
      <c r="V1021" s="2020"/>
      <c r="W1021" s="2020"/>
      <c r="X1021" s="2020"/>
      <c r="Y1021" s="2020"/>
      <c r="Z1021" s="2024"/>
      <c r="AA1021" s="2024"/>
      <c r="AB1021" s="1057"/>
      <c r="AC1021" s="1057"/>
      <c r="AD1021" s="1057"/>
      <c r="AE1021" s="1057"/>
      <c r="AF1021" s="1058"/>
    </row>
    <row r="1022" spans="1:32" ht="15.75" x14ac:dyDescent="0.25">
      <c r="A1022" s="2009" t="s">
        <v>1855</v>
      </c>
      <c r="B1022" s="2010"/>
      <c r="C1022" s="2010"/>
      <c r="D1022" s="2010"/>
      <c r="E1022" s="2010"/>
      <c r="F1022" s="2010"/>
      <c r="G1022" s="2010"/>
      <c r="H1022" s="2010"/>
      <c r="I1022" s="2010"/>
      <c r="J1022" s="2010"/>
      <c r="K1022" s="2010"/>
      <c r="L1022" s="2010"/>
      <c r="M1022" s="2010"/>
      <c r="N1022" s="2010"/>
      <c r="O1022" s="2010"/>
      <c r="P1022" s="2010"/>
      <c r="Q1022" s="2010"/>
      <c r="R1022" s="2010"/>
      <c r="S1022" s="2010"/>
      <c r="T1022" s="2010"/>
      <c r="U1022" s="2010"/>
      <c r="V1022" s="2010"/>
      <c r="W1022" s="2010"/>
      <c r="X1022" s="2010"/>
      <c r="Y1022" s="2010"/>
      <c r="Z1022" s="2013" t="s">
        <v>1850</v>
      </c>
      <c r="AA1022" s="2013"/>
      <c r="AB1022" s="2013"/>
      <c r="AC1022" s="2013"/>
      <c r="AD1022" s="2013"/>
      <c r="AE1022" s="2013"/>
      <c r="AF1022" s="1059">
        <f>SUM(AF998:AF1021)</f>
        <v>2</v>
      </c>
    </row>
    <row r="1023" spans="1:32" ht="15.75" x14ac:dyDescent="0.25">
      <c r="A1023" s="2011"/>
      <c r="B1023" s="2012"/>
      <c r="C1023" s="2012"/>
      <c r="D1023" s="2012"/>
      <c r="E1023" s="2012"/>
      <c r="F1023" s="2012"/>
      <c r="G1023" s="2012"/>
      <c r="H1023" s="2012"/>
      <c r="I1023" s="2012"/>
      <c r="J1023" s="2012"/>
      <c r="K1023" s="2012"/>
      <c r="L1023" s="2012"/>
      <c r="M1023" s="2012"/>
      <c r="N1023" s="2012"/>
      <c r="O1023" s="2012"/>
      <c r="P1023" s="2012"/>
      <c r="Q1023" s="2012"/>
      <c r="R1023" s="2012"/>
      <c r="S1023" s="2012"/>
      <c r="T1023" s="2012"/>
      <c r="U1023" s="2012"/>
      <c r="V1023" s="2012"/>
      <c r="W1023" s="2012"/>
      <c r="X1023" s="2012"/>
      <c r="Y1023" s="2012"/>
      <c r="Z1023" s="2014" t="s">
        <v>1851</v>
      </c>
      <c r="AA1023" s="2014"/>
      <c r="AB1023" s="2014"/>
      <c r="AC1023" s="2014"/>
      <c r="AD1023" s="2014"/>
      <c r="AE1023" s="2014"/>
      <c r="AF1023" s="1060">
        <v>0</v>
      </c>
    </row>
    <row r="1024" spans="1:32" ht="15.75" x14ac:dyDescent="0.25">
      <c r="A1024" s="2011"/>
      <c r="B1024" s="2012"/>
      <c r="C1024" s="2012"/>
      <c r="D1024" s="2012"/>
      <c r="E1024" s="2012"/>
      <c r="F1024" s="2012"/>
      <c r="G1024" s="2012"/>
      <c r="H1024" s="2012"/>
      <c r="I1024" s="2012"/>
      <c r="J1024" s="2012"/>
      <c r="K1024" s="2012"/>
      <c r="L1024" s="2012"/>
      <c r="M1024" s="2012"/>
      <c r="N1024" s="2012"/>
      <c r="O1024" s="2012"/>
      <c r="P1024" s="2012"/>
      <c r="Q1024" s="2012"/>
      <c r="R1024" s="2012"/>
      <c r="S1024" s="2012"/>
      <c r="T1024" s="2012"/>
      <c r="U1024" s="2012"/>
      <c r="V1024" s="2012"/>
      <c r="W1024" s="2012"/>
      <c r="X1024" s="2012"/>
      <c r="Y1024" s="2012"/>
      <c r="Z1024" s="2015" t="s">
        <v>1833</v>
      </c>
      <c r="AA1024" s="2015"/>
      <c r="AB1024" s="2015"/>
      <c r="AC1024" s="2015"/>
      <c r="AD1024" s="2015"/>
      <c r="AE1024" s="2015"/>
      <c r="AF1024" s="1061">
        <f>SUM(AF1022:AF1023)</f>
        <v>2</v>
      </c>
    </row>
    <row r="1025" spans="1:32" x14ac:dyDescent="0.2">
      <c r="A1025" s="2012" t="s">
        <v>1859</v>
      </c>
      <c r="B1025" s="2012"/>
      <c r="C1025" s="2012"/>
      <c r="D1025" s="2012"/>
      <c r="E1025" s="2012"/>
      <c r="F1025" s="2012"/>
      <c r="G1025" s="2012"/>
      <c r="H1025" s="2012"/>
      <c r="I1025" s="2012"/>
      <c r="J1025" s="2012"/>
      <c r="K1025" s="2012"/>
      <c r="L1025" s="2012"/>
      <c r="M1025" s="2012"/>
      <c r="N1025" s="2012"/>
      <c r="O1025" s="2012"/>
      <c r="P1025" s="2012"/>
      <c r="Q1025" s="2012"/>
      <c r="R1025" s="2012"/>
      <c r="S1025" s="2012"/>
      <c r="T1025" s="2016" t="s">
        <v>1840</v>
      </c>
      <c r="U1025" s="2016"/>
      <c r="V1025" s="2016"/>
      <c r="W1025" s="2016"/>
      <c r="X1025" s="2016"/>
      <c r="Y1025" s="2016"/>
      <c r="Z1025" s="2016"/>
      <c r="AA1025" s="2016"/>
      <c r="AB1025" s="2012" t="s">
        <v>1852</v>
      </c>
      <c r="AC1025" s="2012"/>
      <c r="AD1025" s="2012"/>
      <c r="AE1025" s="2012"/>
      <c r="AF1025" s="2012"/>
    </row>
    <row r="1026" spans="1:32" x14ac:dyDescent="0.2">
      <c r="A1026" s="2012"/>
      <c r="B1026" s="2012"/>
      <c r="C1026" s="2012"/>
      <c r="D1026" s="2012"/>
      <c r="E1026" s="2012"/>
      <c r="F1026" s="2012"/>
      <c r="G1026" s="2012"/>
      <c r="H1026" s="2012"/>
      <c r="I1026" s="2012"/>
      <c r="J1026" s="2012"/>
      <c r="K1026" s="2012"/>
      <c r="L1026" s="2012"/>
      <c r="M1026" s="2012"/>
      <c r="N1026" s="2012"/>
      <c r="O1026" s="2012"/>
      <c r="P1026" s="2012"/>
      <c r="Q1026" s="2012"/>
      <c r="R1026" s="2012"/>
      <c r="S1026" s="2012"/>
      <c r="T1026" s="2016"/>
      <c r="U1026" s="2016"/>
      <c r="V1026" s="2016"/>
      <c r="W1026" s="2016"/>
      <c r="X1026" s="2016"/>
      <c r="Y1026" s="2016"/>
      <c r="Z1026" s="2016"/>
      <c r="AA1026" s="2016"/>
      <c r="AB1026" s="2012"/>
      <c r="AC1026" s="2012"/>
      <c r="AD1026" s="2012"/>
      <c r="AE1026" s="2012"/>
      <c r="AF1026" s="2012"/>
    </row>
    <row r="1027" spans="1:32" ht="13.5" thickBot="1" x14ac:dyDescent="0.25"/>
    <row r="1028" spans="1:32" ht="15.75" x14ac:dyDescent="0.2">
      <c r="A1028" s="2025" t="s">
        <v>1854</v>
      </c>
      <c r="B1028" s="2026"/>
      <c r="C1028" s="2026"/>
      <c r="D1028" s="2026"/>
      <c r="E1028" s="2026"/>
      <c r="F1028" s="2026"/>
      <c r="G1028" s="2026"/>
      <c r="H1028" s="2026"/>
      <c r="I1028" s="2026"/>
      <c r="J1028" s="2026"/>
      <c r="K1028" s="2026"/>
      <c r="L1028" s="2026"/>
      <c r="M1028" s="2026"/>
      <c r="N1028" s="2026"/>
      <c r="O1028" s="2026"/>
      <c r="P1028" s="2026"/>
      <c r="Q1028" s="2026"/>
      <c r="R1028" s="2026"/>
      <c r="S1028" s="2026"/>
      <c r="T1028" s="2026"/>
      <c r="U1028" s="2026"/>
      <c r="V1028" s="2026"/>
      <c r="W1028" s="2026"/>
      <c r="X1028" s="2026"/>
      <c r="Y1028" s="2026"/>
      <c r="Z1028" s="2026"/>
      <c r="AA1028" s="2026"/>
      <c r="AB1028" s="2026"/>
      <c r="AC1028" s="2026"/>
      <c r="AD1028" s="2026"/>
      <c r="AE1028" s="1041" t="s">
        <v>1834</v>
      </c>
      <c r="AF1028" s="1042" t="s">
        <v>1835</v>
      </c>
    </row>
    <row r="1029" spans="1:32" ht="16.5" thickBot="1" x14ac:dyDescent="0.25">
      <c r="A1029" s="2027"/>
      <c r="B1029" s="2028"/>
      <c r="C1029" s="2028"/>
      <c r="D1029" s="2028"/>
      <c r="E1029" s="2028"/>
      <c r="F1029" s="2028"/>
      <c r="G1029" s="2028"/>
      <c r="H1029" s="2028"/>
      <c r="I1029" s="2028"/>
      <c r="J1029" s="2028"/>
      <c r="K1029" s="2028"/>
      <c r="L1029" s="2028"/>
      <c r="M1029" s="2028"/>
      <c r="N1029" s="2028"/>
      <c r="O1029" s="2028"/>
      <c r="P1029" s="2028"/>
      <c r="Q1029" s="2028"/>
      <c r="R1029" s="2028"/>
      <c r="S1029" s="2028"/>
      <c r="T1029" s="2028"/>
      <c r="U1029" s="2028"/>
      <c r="V1029" s="2028"/>
      <c r="W1029" s="2028"/>
      <c r="X1029" s="2028"/>
      <c r="Y1029" s="2028"/>
      <c r="Z1029" s="2028"/>
      <c r="AA1029" s="2028"/>
      <c r="AB1029" s="2028"/>
      <c r="AC1029" s="2028"/>
      <c r="AD1029" s="2028"/>
      <c r="AE1029" s="1041" t="s">
        <v>1836</v>
      </c>
      <c r="AF1029" s="1044">
        <v>1</v>
      </c>
    </row>
    <row r="1030" spans="1:32" ht="15.75" x14ac:dyDescent="0.2">
      <c r="A1030" s="2029"/>
      <c r="B1030" s="2030"/>
      <c r="C1030" s="2030"/>
      <c r="D1030" s="2031"/>
      <c r="E1030" s="2025" t="str">
        <f>'01'!$A$12</f>
        <v>"CONSTRUCCION SISTEMA DE ACUEDUCTO FASE II DEL MUNICIPIO DE TESALIA DPTO DEL HUILA"</v>
      </c>
      <c r="F1030" s="2026"/>
      <c r="G1030" s="2026"/>
      <c r="H1030" s="2026"/>
      <c r="I1030" s="2026"/>
      <c r="J1030" s="2026"/>
      <c r="K1030" s="2026"/>
      <c r="L1030" s="2026"/>
      <c r="M1030" s="2026"/>
      <c r="N1030" s="2026"/>
      <c r="O1030" s="2026"/>
      <c r="P1030" s="2026"/>
      <c r="Q1030" s="2026"/>
      <c r="R1030" s="2026"/>
      <c r="S1030" s="2026"/>
      <c r="T1030" s="2026"/>
      <c r="U1030" s="2026"/>
      <c r="V1030" s="2026"/>
      <c r="W1030" s="2026"/>
      <c r="X1030" s="2026"/>
      <c r="Y1030" s="2026"/>
      <c r="Z1030" s="2026"/>
      <c r="AA1030" s="2026"/>
      <c r="AB1030" s="2026"/>
      <c r="AC1030" s="2026"/>
      <c r="AD1030" s="2035"/>
      <c r="AE1030" s="1041" t="s">
        <v>847</v>
      </c>
      <c r="AF1030" s="1045">
        <f>'01'!$M$13</f>
        <v>0</v>
      </c>
    </row>
    <row r="1031" spans="1:32" ht="16.5" thickBot="1" x14ac:dyDescent="0.25">
      <c r="A1031" s="2032"/>
      <c r="B1031" s="2033"/>
      <c r="C1031" s="2033"/>
      <c r="D1031" s="2034"/>
      <c r="E1031" s="2027"/>
      <c r="F1031" s="2028"/>
      <c r="G1031" s="2028"/>
      <c r="H1031" s="2028"/>
      <c r="I1031" s="2028"/>
      <c r="J1031" s="2028"/>
      <c r="K1031" s="2028"/>
      <c r="L1031" s="2028"/>
      <c r="M1031" s="2028"/>
      <c r="N1031" s="2028"/>
      <c r="O1031" s="2028"/>
      <c r="P1031" s="2028"/>
      <c r="Q1031" s="2028"/>
      <c r="R1031" s="2028"/>
      <c r="S1031" s="2028"/>
      <c r="T1031" s="2028"/>
      <c r="U1031" s="2028"/>
      <c r="V1031" s="2028"/>
      <c r="W1031" s="2028"/>
      <c r="X1031" s="2028"/>
      <c r="Y1031" s="2028"/>
      <c r="Z1031" s="2028"/>
      <c r="AA1031" s="2028"/>
      <c r="AB1031" s="2028"/>
      <c r="AC1031" s="2028"/>
      <c r="AD1031" s="2036"/>
      <c r="AE1031" s="1041" t="s">
        <v>1837</v>
      </c>
      <c r="AF1031" s="1042" t="s">
        <v>1838</v>
      </c>
    </row>
    <row r="1032" spans="1:32" ht="15.75" x14ac:dyDescent="0.25">
      <c r="A1032" s="2037" t="s">
        <v>1860</v>
      </c>
      <c r="B1032" s="2038"/>
      <c r="C1032" s="2038"/>
      <c r="D1032" s="2038"/>
      <c r="E1032" s="2038"/>
      <c r="F1032" s="2038"/>
      <c r="G1032" s="2038"/>
      <c r="H1032" s="2038"/>
      <c r="I1032" s="2038"/>
      <c r="J1032" s="2038"/>
      <c r="K1032" s="2038"/>
      <c r="L1032" s="2038"/>
      <c r="M1032" s="2038"/>
      <c r="N1032" s="2038"/>
      <c r="O1032" s="2038"/>
      <c r="P1032" s="2038"/>
      <c r="Q1032" s="2038"/>
      <c r="R1032" s="2038"/>
      <c r="S1032" s="2038"/>
      <c r="T1032" s="2038"/>
      <c r="U1032" s="2038"/>
      <c r="V1032" s="2038"/>
      <c r="W1032" s="2038"/>
      <c r="X1032" s="2038"/>
      <c r="Y1032" s="2038"/>
      <c r="Z1032" s="2038"/>
      <c r="AA1032" s="2038"/>
      <c r="AB1032" s="2038"/>
      <c r="AC1032" s="2038"/>
      <c r="AD1032" s="2038"/>
      <c r="AE1032" s="2039" t="s">
        <v>1839</v>
      </c>
      <c r="AF1032" s="2040"/>
    </row>
    <row r="1033" spans="1:32" ht="15.75" x14ac:dyDescent="0.25">
      <c r="A1033" s="2041" t="s">
        <v>1840</v>
      </c>
      <c r="B1033" s="2042"/>
      <c r="C1033" s="2042"/>
      <c r="D1033" s="2042"/>
      <c r="E1033" s="2042"/>
      <c r="F1033" s="2042"/>
      <c r="G1033" s="2042"/>
      <c r="H1033" s="2042"/>
      <c r="I1033" s="2042"/>
      <c r="J1033" s="2042"/>
      <c r="K1033" s="2042"/>
      <c r="L1033" s="2042"/>
      <c r="M1033" s="2042"/>
      <c r="N1033" s="2042"/>
      <c r="O1033" s="2042"/>
      <c r="P1033" s="2042"/>
      <c r="Q1033" s="2042"/>
      <c r="R1033" s="2042"/>
      <c r="S1033" s="2042"/>
      <c r="T1033" s="2042"/>
      <c r="U1033" s="2042"/>
      <c r="V1033" s="2042"/>
      <c r="W1033" s="2042"/>
      <c r="X1033" s="2042"/>
      <c r="Y1033" s="2042"/>
      <c r="Z1033" s="2042"/>
      <c r="AA1033" s="2042"/>
      <c r="AB1033" s="2042"/>
      <c r="AC1033" s="2042"/>
      <c r="AD1033" s="2043"/>
      <c r="AE1033" s="2014" t="s">
        <v>1841</v>
      </c>
      <c r="AF1033" s="2044"/>
    </row>
    <row r="1034" spans="1:32" ht="15.75" x14ac:dyDescent="0.25">
      <c r="A1034" s="2045" t="s">
        <v>1853</v>
      </c>
      <c r="B1034" s="2046"/>
      <c r="C1034" s="2046"/>
      <c r="D1034" s="2046"/>
      <c r="E1034" s="2046"/>
      <c r="F1034" s="2046"/>
      <c r="G1034" s="2046"/>
      <c r="H1034" s="2046"/>
      <c r="I1034" s="2046"/>
      <c r="J1034" s="2046"/>
      <c r="K1034" s="2046"/>
      <c r="L1034" s="2046"/>
      <c r="M1034" s="2046"/>
      <c r="N1034" s="2046"/>
      <c r="O1034" s="2046"/>
      <c r="P1034" s="2046"/>
      <c r="Q1034" s="2046"/>
      <c r="R1034" s="2046"/>
      <c r="S1034" s="2046"/>
      <c r="T1034" s="2046"/>
      <c r="U1034" s="2046"/>
      <c r="V1034" s="2046"/>
      <c r="W1034" s="2046"/>
      <c r="X1034" s="2046"/>
      <c r="Y1034" s="2046"/>
      <c r="Z1034" s="2046"/>
      <c r="AA1034" s="2046"/>
      <c r="AB1034" s="2046"/>
      <c r="AC1034" s="2046"/>
      <c r="AD1034" s="2046"/>
      <c r="AE1034" s="2047">
        <f>'01'!$M$13</f>
        <v>0</v>
      </c>
      <c r="AF1034" s="2044"/>
    </row>
    <row r="1035" spans="1:32" x14ac:dyDescent="0.2">
      <c r="A1035" s="1046"/>
      <c r="B1035" s="1047"/>
      <c r="C1035" s="1047"/>
      <c r="D1035" s="1047"/>
      <c r="E1035" s="1047"/>
      <c r="F1035" s="1047"/>
      <c r="G1035" s="1047"/>
      <c r="H1035" s="1047"/>
      <c r="I1035" s="1047"/>
      <c r="J1035" s="1047"/>
      <c r="K1035" s="1047"/>
      <c r="L1035" s="1047"/>
      <c r="M1035" s="1047"/>
      <c r="N1035" s="1047"/>
      <c r="O1035" s="1047"/>
      <c r="P1035" s="1047"/>
      <c r="Q1035" s="1047"/>
      <c r="R1035" s="1047"/>
      <c r="S1035" s="1047"/>
      <c r="T1035" s="1047"/>
      <c r="U1035" s="1047"/>
      <c r="V1035" s="1047"/>
      <c r="W1035" s="1047"/>
      <c r="X1035" s="1047"/>
      <c r="Y1035" s="1047"/>
      <c r="Z1035" s="1047"/>
      <c r="AA1035" s="1047"/>
      <c r="AB1035" s="1047"/>
      <c r="AC1035" s="1047"/>
      <c r="AD1035" s="1047"/>
      <c r="AE1035" s="1047"/>
      <c r="AF1035" s="1048"/>
    </row>
    <row r="1036" spans="1:32" ht="15.75" x14ac:dyDescent="0.2">
      <c r="A1036" s="2048" t="s">
        <v>1842</v>
      </c>
      <c r="B1036" s="2049"/>
      <c r="C1036" s="2049"/>
      <c r="D1036" s="2049"/>
      <c r="E1036" s="2049"/>
      <c r="F1036" s="2050" t="str">
        <f>'01'!$H$33</f>
        <v>B - CÁMARA DE LLEGADA Y AQUIETAMIENTO DEL AGUA</v>
      </c>
      <c r="G1036" s="2049"/>
      <c r="H1036" s="2049"/>
      <c r="I1036" s="2049"/>
      <c r="J1036" s="2049"/>
      <c r="K1036" s="2049"/>
      <c r="L1036" s="2049"/>
      <c r="M1036" s="2049"/>
      <c r="N1036" s="2049"/>
      <c r="O1036" s="2049"/>
      <c r="P1036" s="2049"/>
      <c r="Q1036" s="2049"/>
      <c r="R1036" s="2049"/>
      <c r="S1036" s="2049"/>
      <c r="T1036" s="2049"/>
      <c r="U1036" s="2049"/>
      <c r="V1036" s="2049"/>
      <c r="W1036" s="2049"/>
      <c r="X1036" s="2049"/>
      <c r="Y1036" s="2051"/>
      <c r="Z1036" s="2052" t="s">
        <v>1843</v>
      </c>
      <c r="AA1036" s="2053"/>
      <c r="AB1036" s="2058" t="s">
        <v>1844</v>
      </c>
      <c r="AC1036" s="2059"/>
      <c r="AD1036" s="2060"/>
      <c r="AE1036" s="2064" t="s">
        <v>1845</v>
      </c>
      <c r="AF1036" s="2067" t="s">
        <v>1846</v>
      </c>
    </row>
    <row r="1037" spans="1:32" x14ac:dyDescent="0.2">
      <c r="A1037" s="2070" t="str">
        <f>'01'!A59</f>
        <v>B-08-06</v>
      </c>
      <c r="B1037" s="2071"/>
      <c r="C1037" s="2072"/>
      <c r="D1037" s="2076" t="str">
        <f>VLOOKUP(A1037,'01'!$A$12:$N$299,3,FALSE)</f>
        <v>SUMINISTRO E INSTALACIÓN COMPUERTA DE VASTAGO DESLIZANTE DE 6". INCLUYE COLUMNA DE MANIOBRA Y TODO LO NECESARIO PARA SU CORRECTO FUNCIONAMIENTO.</v>
      </c>
      <c r="E1037" s="2077"/>
      <c r="F1037" s="2077"/>
      <c r="G1037" s="2077"/>
      <c r="H1037" s="2077"/>
      <c r="I1037" s="2077"/>
      <c r="J1037" s="2077"/>
      <c r="K1037" s="2077"/>
      <c r="L1037" s="2077"/>
      <c r="M1037" s="2077"/>
      <c r="N1037" s="2077"/>
      <c r="O1037" s="2077"/>
      <c r="P1037" s="2077"/>
      <c r="Q1037" s="2077"/>
      <c r="R1037" s="2077"/>
      <c r="S1037" s="2078"/>
      <c r="T1037" s="2082" t="s">
        <v>124</v>
      </c>
      <c r="U1037" s="2083"/>
      <c r="V1037" s="2083"/>
      <c r="W1037" s="2083"/>
      <c r="X1037" s="2052" t="str">
        <f>VLOOKUP(A1037,'01'!$A$12:$N$299,9,FALSE)</f>
        <v>UND</v>
      </c>
      <c r="Y1037" s="2053"/>
      <c r="Z1037" s="2054"/>
      <c r="AA1037" s="2055"/>
      <c r="AB1037" s="2061"/>
      <c r="AC1037" s="2062"/>
      <c r="AD1037" s="2063"/>
      <c r="AE1037" s="2065"/>
      <c r="AF1037" s="2068"/>
    </row>
    <row r="1038" spans="1:32" ht="15.75" x14ac:dyDescent="0.25">
      <c r="A1038" s="2073"/>
      <c r="B1038" s="2074"/>
      <c r="C1038" s="2075"/>
      <c r="D1038" s="2079"/>
      <c r="E1038" s="2080"/>
      <c r="F1038" s="2080"/>
      <c r="G1038" s="2080"/>
      <c r="H1038" s="2080"/>
      <c r="I1038" s="2080"/>
      <c r="J1038" s="2080"/>
      <c r="K1038" s="2080"/>
      <c r="L1038" s="2080"/>
      <c r="M1038" s="2080"/>
      <c r="N1038" s="2080"/>
      <c r="O1038" s="2080"/>
      <c r="P1038" s="2080"/>
      <c r="Q1038" s="2080"/>
      <c r="R1038" s="2080"/>
      <c r="S1038" s="2081"/>
      <c r="T1038" s="2084"/>
      <c r="U1038" s="2085"/>
      <c r="V1038" s="2085"/>
      <c r="W1038" s="2085"/>
      <c r="X1038" s="2056"/>
      <c r="Y1038" s="2057"/>
      <c r="Z1038" s="2056"/>
      <c r="AA1038" s="2057"/>
      <c r="AB1038" s="1049" t="s">
        <v>1847</v>
      </c>
      <c r="AC1038" s="1049" t="s">
        <v>1848</v>
      </c>
      <c r="AD1038" s="1049" t="s">
        <v>1861</v>
      </c>
      <c r="AE1038" s="2066"/>
      <c r="AF1038" s="2069"/>
    </row>
    <row r="1039" spans="1:32" ht="30" customHeight="1" x14ac:dyDescent="0.25">
      <c r="A1039" s="2017"/>
      <c r="B1039" s="2018"/>
      <c r="C1039" s="2018"/>
      <c r="D1039" s="2018"/>
      <c r="E1039" s="2018"/>
      <c r="F1039" s="2018"/>
      <c r="G1039" s="2018"/>
      <c r="H1039" s="2018"/>
      <c r="I1039" s="2018"/>
      <c r="J1039" s="2018"/>
      <c r="K1039" s="2018"/>
      <c r="L1039" s="2018"/>
      <c r="M1039" s="2018"/>
      <c r="N1039" s="2018"/>
      <c r="O1039" s="2018"/>
      <c r="P1039" s="2018"/>
      <c r="Q1039" s="2018"/>
      <c r="R1039" s="2018"/>
      <c r="S1039" s="2018"/>
      <c r="T1039" s="2018"/>
      <c r="U1039" s="2018"/>
      <c r="V1039" s="2018"/>
      <c r="W1039" s="2018"/>
      <c r="X1039" s="2018"/>
      <c r="Y1039" s="2018"/>
      <c r="Z1039" s="2106" t="s">
        <v>1858</v>
      </c>
      <c r="AA1039" s="2107"/>
      <c r="AB1039" s="1151"/>
      <c r="AC1039" s="1050"/>
      <c r="AD1039" s="1050"/>
      <c r="AE1039" s="1050">
        <v>2</v>
      </c>
      <c r="AF1039" s="1052">
        <f>AE1039</f>
        <v>2</v>
      </c>
    </row>
    <row r="1040" spans="1:32" ht="15.75" x14ac:dyDescent="0.25">
      <c r="A1040" s="2017"/>
      <c r="B1040" s="2018"/>
      <c r="C1040" s="2018"/>
      <c r="D1040" s="2018"/>
      <c r="E1040" s="2018"/>
      <c r="F1040" s="2018"/>
      <c r="G1040" s="2018"/>
      <c r="H1040" s="2018"/>
      <c r="I1040" s="2018"/>
      <c r="J1040" s="2018"/>
      <c r="K1040" s="2018"/>
      <c r="L1040" s="2018"/>
      <c r="M1040" s="2018"/>
      <c r="N1040" s="2018"/>
      <c r="O1040" s="2018"/>
      <c r="P1040" s="2018"/>
      <c r="Q1040" s="2018"/>
      <c r="R1040" s="2018"/>
      <c r="S1040" s="2018"/>
      <c r="T1040" s="2018"/>
      <c r="U1040" s="2018"/>
      <c r="V1040" s="2018"/>
      <c r="W1040" s="2018"/>
      <c r="X1040" s="2018"/>
      <c r="Y1040" s="2018"/>
      <c r="Z1040" s="2106"/>
      <c r="AA1040" s="2107"/>
      <c r="AB1040" s="1151"/>
      <c r="AC1040" s="1050"/>
      <c r="AD1040" s="1050"/>
      <c r="AE1040" s="1050"/>
      <c r="AF1040" s="1052"/>
    </row>
    <row r="1041" spans="1:32" ht="15.75" x14ac:dyDescent="0.25">
      <c r="A1041" s="2017"/>
      <c r="B1041" s="2018"/>
      <c r="C1041" s="2018"/>
      <c r="D1041" s="2018"/>
      <c r="E1041" s="2018"/>
      <c r="F1041" s="2018"/>
      <c r="G1041" s="2018"/>
      <c r="H1041" s="2018"/>
      <c r="I1041" s="2018"/>
      <c r="J1041" s="2018"/>
      <c r="K1041" s="2018"/>
      <c r="L1041" s="2018"/>
      <c r="M1041" s="2018"/>
      <c r="N1041" s="2018"/>
      <c r="O1041" s="2018"/>
      <c r="P1041" s="2018"/>
      <c r="Q1041" s="2018"/>
      <c r="R1041" s="2018"/>
      <c r="S1041" s="2018"/>
      <c r="T1041" s="2018"/>
      <c r="U1041" s="2018"/>
      <c r="V1041" s="2018"/>
      <c r="W1041" s="2018"/>
      <c r="X1041" s="2018"/>
      <c r="Y1041" s="2018"/>
      <c r="Z1041" s="2106"/>
      <c r="AA1041" s="2107"/>
      <c r="AB1041" s="1151"/>
      <c r="AC1041" s="1050"/>
      <c r="AD1041" s="1050"/>
      <c r="AE1041" s="1050"/>
      <c r="AF1041" s="1052"/>
    </row>
    <row r="1042" spans="1:32" ht="15.75" x14ac:dyDescent="0.25">
      <c r="A1042" s="2017"/>
      <c r="B1042" s="2018"/>
      <c r="C1042" s="2018"/>
      <c r="D1042" s="2018"/>
      <c r="E1042" s="2018"/>
      <c r="F1042" s="2018"/>
      <c r="G1042" s="2018"/>
      <c r="H1042" s="2018"/>
      <c r="I1042" s="2018"/>
      <c r="J1042" s="2018"/>
      <c r="K1042" s="2018"/>
      <c r="L1042" s="2018"/>
      <c r="M1042" s="2018"/>
      <c r="N1042" s="2018"/>
      <c r="O1042" s="2018"/>
      <c r="P1042" s="2018"/>
      <c r="Q1042" s="2018"/>
      <c r="R1042" s="2018"/>
      <c r="S1042" s="2018"/>
      <c r="T1042" s="2018"/>
      <c r="U1042" s="2018"/>
      <c r="V1042" s="2018"/>
      <c r="W1042" s="2018"/>
      <c r="X1042" s="2018"/>
      <c r="Y1042" s="2018"/>
      <c r="Z1042" s="2106"/>
      <c r="AA1042" s="2107"/>
      <c r="AB1042" s="1151"/>
      <c r="AC1042" s="1050"/>
      <c r="AD1042" s="1050"/>
      <c r="AE1042" s="1050"/>
      <c r="AF1042" s="1052"/>
    </row>
    <row r="1043" spans="1:32" ht="15.75" x14ac:dyDescent="0.25">
      <c r="A1043" s="2017"/>
      <c r="B1043" s="2018"/>
      <c r="C1043" s="2018"/>
      <c r="D1043" s="2018"/>
      <c r="E1043" s="2018"/>
      <c r="F1043" s="2018"/>
      <c r="G1043" s="2018"/>
      <c r="H1043" s="2018"/>
      <c r="I1043" s="2018"/>
      <c r="J1043" s="2018"/>
      <c r="K1043" s="2018"/>
      <c r="L1043" s="2018"/>
      <c r="M1043" s="2018"/>
      <c r="N1043" s="2018"/>
      <c r="O1043" s="2018"/>
      <c r="P1043" s="2018"/>
      <c r="Q1043" s="2018"/>
      <c r="R1043" s="2018"/>
      <c r="S1043" s="2018"/>
      <c r="T1043" s="2018"/>
      <c r="U1043" s="2018"/>
      <c r="V1043" s="2018"/>
      <c r="W1043" s="2018"/>
      <c r="X1043" s="2018"/>
      <c r="Y1043" s="2018"/>
      <c r="Z1043" s="2106"/>
      <c r="AA1043" s="2107"/>
      <c r="AB1043" s="1151"/>
      <c r="AC1043" s="1050"/>
      <c r="AD1043" s="1050"/>
      <c r="AE1043" s="1050"/>
      <c r="AF1043" s="1052"/>
    </row>
    <row r="1044" spans="1:32" ht="15.75" x14ac:dyDescent="0.25">
      <c r="A1044" s="2017"/>
      <c r="B1044" s="2018"/>
      <c r="C1044" s="2018"/>
      <c r="D1044" s="2018"/>
      <c r="E1044" s="2018"/>
      <c r="F1044" s="2018"/>
      <c r="G1044" s="2018"/>
      <c r="H1044" s="2018"/>
      <c r="I1044" s="2018"/>
      <c r="J1044" s="2018"/>
      <c r="K1044" s="2018"/>
      <c r="L1044" s="2018"/>
      <c r="M1044" s="2018"/>
      <c r="N1044" s="2018"/>
      <c r="O1044" s="2018"/>
      <c r="P1044" s="2018"/>
      <c r="Q1044" s="2018"/>
      <c r="R1044" s="2018"/>
      <c r="S1044" s="2018"/>
      <c r="T1044" s="2018"/>
      <c r="U1044" s="2018"/>
      <c r="V1044" s="2018"/>
      <c r="W1044" s="2018"/>
      <c r="X1044" s="2018"/>
      <c r="Y1044" s="2018"/>
      <c r="Z1044" s="2105"/>
      <c r="AA1044" s="2105"/>
      <c r="AB1044" s="1050"/>
      <c r="AC1044" s="1050"/>
      <c r="AD1044" s="1050"/>
      <c r="AE1044" s="1050"/>
      <c r="AF1044" s="1052"/>
    </row>
    <row r="1045" spans="1:32" ht="15.75" x14ac:dyDescent="0.25">
      <c r="A1045" s="2017"/>
      <c r="B1045" s="2018"/>
      <c r="C1045" s="2018"/>
      <c r="D1045" s="2018"/>
      <c r="E1045" s="2018"/>
      <c r="F1045" s="2018"/>
      <c r="G1045" s="2018"/>
      <c r="H1045" s="2018"/>
      <c r="I1045" s="2018"/>
      <c r="J1045" s="2018"/>
      <c r="K1045" s="2018"/>
      <c r="L1045" s="2018"/>
      <c r="M1045" s="2018"/>
      <c r="N1045" s="2018"/>
      <c r="O1045" s="2018"/>
      <c r="P1045" s="2018"/>
      <c r="Q1045" s="2018"/>
      <c r="R1045" s="2018"/>
      <c r="S1045" s="2018"/>
      <c r="T1045" s="2018"/>
      <c r="U1045" s="2018"/>
      <c r="V1045" s="2018"/>
      <c r="W1045" s="2018"/>
      <c r="X1045" s="2018"/>
      <c r="Y1045" s="2018"/>
      <c r="Z1045" s="2105"/>
      <c r="AA1045" s="2105"/>
      <c r="AB1045" s="1050"/>
      <c r="AC1045" s="1050"/>
      <c r="AD1045" s="1050"/>
      <c r="AE1045" s="1050"/>
      <c r="AF1045" s="1052"/>
    </row>
    <row r="1046" spans="1:32" ht="15.75" x14ac:dyDescent="0.25">
      <c r="A1046" s="2017"/>
      <c r="B1046" s="2018"/>
      <c r="C1046" s="2018"/>
      <c r="D1046" s="2018"/>
      <c r="E1046" s="2018"/>
      <c r="F1046" s="2018"/>
      <c r="G1046" s="2018"/>
      <c r="H1046" s="2018"/>
      <c r="I1046" s="2018"/>
      <c r="J1046" s="2018"/>
      <c r="K1046" s="2018"/>
      <c r="L1046" s="2018"/>
      <c r="M1046" s="2018"/>
      <c r="N1046" s="2018"/>
      <c r="O1046" s="2018"/>
      <c r="P1046" s="2018"/>
      <c r="Q1046" s="2018"/>
      <c r="R1046" s="2018"/>
      <c r="S1046" s="2018"/>
      <c r="T1046" s="2018"/>
      <c r="U1046" s="2018"/>
      <c r="V1046" s="2018"/>
      <c r="W1046" s="2018"/>
      <c r="X1046" s="2018"/>
      <c r="Y1046" s="2018"/>
      <c r="Z1046" s="2105"/>
      <c r="AA1046" s="2105"/>
      <c r="AB1046" s="1050"/>
      <c r="AC1046" s="1050"/>
      <c r="AD1046" s="1050"/>
      <c r="AE1046" s="1050"/>
      <c r="AF1046" s="1052"/>
    </row>
    <row r="1047" spans="1:32" ht="15.75" x14ac:dyDescent="0.25">
      <c r="A1047" s="2017"/>
      <c r="B1047" s="2018"/>
      <c r="C1047" s="2018"/>
      <c r="D1047" s="2018"/>
      <c r="E1047" s="2018"/>
      <c r="F1047" s="2018"/>
      <c r="G1047" s="2018"/>
      <c r="H1047" s="2018"/>
      <c r="I1047" s="2018"/>
      <c r="J1047" s="2018"/>
      <c r="K1047" s="2018"/>
      <c r="L1047" s="2018"/>
      <c r="M1047" s="2018"/>
      <c r="N1047" s="2018"/>
      <c r="O1047" s="2018"/>
      <c r="P1047" s="2018"/>
      <c r="Q1047" s="2018"/>
      <c r="R1047" s="2018"/>
      <c r="S1047" s="2018"/>
      <c r="T1047" s="2018"/>
      <c r="U1047" s="2018"/>
      <c r="V1047" s="2018"/>
      <c r="W1047" s="2018"/>
      <c r="X1047" s="2018"/>
      <c r="Y1047" s="2018"/>
      <c r="Z1047" s="2105"/>
      <c r="AA1047" s="2105"/>
      <c r="AB1047" s="1050"/>
      <c r="AC1047" s="1050"/>
      <c r="AD1047" s="1050"/>
      <c r="AE1047" s="1050"/>
      <c r="AF1047" s="1052"/>
    </row>
    <row r="1048" spans="1:32" ht="15.75" x14ac:dyDescent="0.25">
      <c r="A1048" s="2017"/>
      <c r="B1048" s="2018"/>
      <c r="C1048" s="2018"/>
      <c r="D1048" s="2018"/>
      <c r="E1048" s="2018"/>
      <c r="F1048" s="2018"/>
      <c r="G1048" s="2018"/>
      <c r="H1048" s="2018"/>
      <c r="I1048" s="2018"/>
      <c r="J1048" s="2018"/>
      <c r="K1048" s="2018"/>
      <c r="L1048" s="2018"/>
      <c r="M1048" s="2018"/>
      <c r="N1048" s="2018"/>
      <c r="O1048" s="2018"/>
      <c r="P1048" s="2018"/>
      <c r="Q1048" s="2018"/>
      <c r="R1048" s="2018"/>
      <c r="S1048" s="2018"/>
      <c r="T1048" s="2018"/>
      <c r="U1048" s="2018"/>
      <c r="V1048" s="2018"/>
      <c r="W1048" s="2018"/>
      <c r="X1048" s="2018"/>
      <c r="Y1048" s="2018"/>
      <c r="Z1048" s="2105"/>
      <c r="AA1048" s="2105"/>
      <c r="AB1048" s="1050"/>
      <c r="AC1048" s="1050"/>
      <c r="AD1048" s="1050"/>
      <c r="AE1048" s="1050"/>
      <c r="AF1048" s="1052"/>
    </row>
    <row r="1049" spans="1:32" ht="15.75" x14ac:dyDescent="0.25">
      <c r="A1049" s="2017"/>
      <c r="B1049" s="2018"/>
      <c r="C1049" s="2018"/>
      <c r="D1049" s="2018"/>
      <c r="E1049" s="2018"/>
      <c r="F1049" s="2018"/>
      <c r="G1049" s="2018"/>
      <c r="H1049" s="2018"/>
      <c r="I1049" s="2018"/>
      <c r="J1049" s="2018"/>
      <c r="K1049" s="2018"/>
      <c r="L1049" s="2018"/>
      <c r="M1049" s="2018"/>
      <c r="N1049" s="2018"/>
      <c r="O1049" s="2018"/>
      <c r="P1049" s="2018"/>
      <c r="Q1049" s="2018"/>
      <c r="R1049" s="2018"/>
      <c r="S1049" s="2018"/>
      <c r="T1049" s="2018"/>
      <c r="U1049" s="2018"/>
      <c r="V1049" s="2018"/>
      <c r="W1049" s="2018"/>
      <c r="X1049" s="2018"/>
      <c r="Y1049" s="2018"/>
      <c r="Z1049" s="2105"/>
      <c r="AA1049" s="2105"/>
      <c r="AB1049" s="1050"/>
      <c r="AC1049" s="1050"/>
      <c r="AD1049" s="1050"/>
      <c r="AE1049" s="1050"/>
      <c r="AF1049" s="1052"/>
    </row>
    <row r="1050" spans="1:32" ht="15.75" x14ac:dyDescent="0.25">
      <c r="A1050" s="2017"/>
      <c r="B1050" s="2018"/>
      <c r="C1050" s="2018"/>
      <c r="D1050" s="2018"/>
      <c r="E1050" s="2018"/>
      <c r="F1050" s="2018"/>
      <c r="G1050" s="2018"/>
      <c r="H1050" s="2018"/>
      <c r="I1050" s="2018"/>
      <c r="J1050" s="2018"/>
      <c r="K1050" s="2018"/>
      <c r="L1050" s="2018"/>
      <c r="M1050" s="2018"/>
      <c r="N1050" s="2018"/>
      <c r="O1050" s="2018"/>
      <c r="P1050" s="2018"/>
      <c r="Q1050" s="2018"/>
      <c r="R1050" s="2018"/>
      <c r="S1050" s="2018"/>
      <c r="T1050" s="2018"/>
      <c r="U1050" s="2018"/>
      <c r="V1050" s="2018"/>
      <c r="W1050" s="2018"/>
      <c r="X1050" s="2018"/>
      <c r="Y1050" s="2018"/>
      <c r="Z1050" s="2105"/>
      <c r="AA1050" s="2105"/>
      <c r="AB1050" s="1050"/>
      <c r="AC1050" s="1050"/>
      <c r="AD1050" s="1050"/>
      <c r="AE1050" s="1050"/>
      <c r="AF1050" s="1052"/>
    </row>
    <row r="1051" spans="1:32" ht="15.75" x14ac:dyDescent="0.25">
      <c r="A1051" s="2017"/>
      <c r="B1051" s="2018"/>
      <c r="C1051" s="2018"/>
      <c r="D1051" s="2018"/>
      <c r="E1051" s="2018"/>
      <c r="F1051" s="2018"/>
      <c r="G1051" s="2018"/>
      <c r="H1051" s="2018"/>
      <c r="I1051" s="2018"/>
      <c r="J1051" s="2018"/>
      <c r="K1051" s="2018"/>
      <c r="L1051" s="2018"/>
      <c r="M1051" s="2018"/>
      <c r="N1051" s="2018"/>
      <c r="O1051" s="2018"/>
      <c r="P1051" s="2018"/>
      <c r="Q1051" s="2018"/>
      <c r="R1051" s="2018"/>
      <c r="S1051" s="2018"/>
      <c r="T1051" s="2018"/>
      <c r="U1051" s="2018"/>
      <c r="V1051" s="2018"/>
      <c r="W1051" s="2018"/>
      <c r="X1051" s="2018"/>
      <c r="Y1051" s="2018"/>
      <c r="Z1051" s="2105"/>
      <c r="AA1051" s="2105"/>
      <c r="AB1051" s="1050"/>
      <c r="AC1051" s="1050"/>
      <c r="AD1051" s="1050"/>
      <c r="AE1051" s="1050"/>
      <c r="AF1051" s="1052"/>
    </row>
    <row r="1052" spans="1:32" ht="15.75" x14ac:dyDescent="0.25">
      <c r="A1052" s="2017"/>
      <c r="B1052" s="2018"/>
      <c r="C1052" s="2018"/>
      <c r="D1052" s="2018"/>
      <c r="E1052" s="2018"/>
      <c r="F1052" s="2018"/>
      <c r="G1052" s="2018"/>
      <c r="H1052" s="2018"/>
      <c r="I1052" s="2018"/>
      <c r="J1052" s="2018"/>
      <c r="K1052" s="2018"/>
      <c r="L1052" s="2018"/>
      <c r="M1052" s="2018"/>
      <c r="N1052" s="2018"/>
      <c r="O1052" s="2018"/>
      <c r="P1052" s="2018"/>
      <c r="Q1052" s="2018"/>
      <c r="R1052" s="2018"/>
      <c r="S1052" s="2018"/>
      <c r="T1052" s="2018"/>
      <c r="U1052" s="2018"/>
      <c r="V1052" s="2018"/>
      <c r="W1052" s="2018"/>
      <c r="X1052" s="2018"/>
      <c r="Y1052" s="2018"/>
      <c r="Z1052" s="2022"/>
      <c r="AA1052" s="2022"/>
      <c r="AB1052" s="1050"/>
      <c r="AC1052" s="1050"/>
      <c r="AD1052" s="1050"/>
      <c r="AE1052" s="1050"/>
      <c r="AF1052" s="1052"/>
    </row>
    <row r="1053" spans="1:32" ht="15.75" x14ac:dyDescent="0.25">
      <c r="A1053" s="2017"/>
      <c r="B1053" s="2018"/>
      <c r="C1053" s="2018"/>
      <c r="D1053" s="2018"/>
      <c r="E1053" s="2018"/>
      <c r="F1053" s="2018"/>
      <c r="G1053" s="2018"/>
      <c r="H1053" s="2018"/>
      <c r="I1053" s="2018"/>
      <c r="J1053" s="2018"/>
      <c r="K1053" s="2018"/>
      <c r="L1053" s="2018"/>
      <c r="M1053" s="2018"/>
      <c r="N1053" s="2018"/>
      <c r="O1053" s="2018"/>
      <c r="P1053" s="2018"/>
      <c r="Q1053" s="2018"/>
      <c r="R1053" s="2018"/>
      <c r="S1053" s="2018"/>
      <c r="T1053" s="2018"/>
      <c r="U1053" s="2018"/>
      <c r="V1053" s="2018"/>
      <c r="W1053" s="2018"/>
      <c r="X1053" s="2018"/>
      <c r="Y1053" s="2018"/>
      <c r="Z1053" s="2022"/>
      <c r="AA1053" s="2022"/>
      <c r="AB1053" s="1050"/>
      <c r="AC1053" s="1050"/>
      <c r="AD1053" s="1050"/>
      <c r="AE1053" s="1050"/>
      <c r="AF1053" s="1052"/>
    </row>
    <row r="1054" spans="1:32" ht="15.75" x14ac:dyDescent="0.25">
      <c r="A1054" s="2017"/>
      <c r="B1054" s="2018"/>
      <c r="C1054" s="2018"/>
      <c r="D1054" s="2018"/>
      <c r="E1054" s="2018"/>
      <c r="F1054" s="2018"/>
      <c r="G1054" s="2018"/>
      <c r="H1054" s="2018"/>
      <c r="I1054" s="2018"/>
      <c r="J1054" s="2018"/>
      <c r="K1054" s="2018"/>
      <c r="L1054" s="2018"/>
      <c r="M1054" s="2018"/>
      <c r="N1054" s="2018"/>
      <c r="O1054" s="2018"/>
      <c r="P1054" s="2018"/>
      <c r="Q1054" s="2018"/>
      <c r="R1054" s="2018"/>
      <c r="S1054" s="2018"/>
      <c r="T1054" s="2018"/>
      <c r="U1054" s="2018"/>
      <c r="V1054" s="2018"/>
      <c r="W1054" s="2018"/>
      <c r="X1054" s="2018"/>
      <c r="Y1054" s="2018"/>
      <c r="Z1054" s="2022"/>
      <c r="AA1054" s="2022"/>
      <c r="AB1054" s="1050"/>
      <c r="AC1054" s="1050"/>
      <c r="AD1054" s="1050"/>
      <c r="AE1054" s="1050"/>
      <c r="AF1054" s="1052"/>
    </row>
    <row r="1055" spans="1:32" ht="15.75" x14ac:dyDescent="0.25">
      <c r="A1055" s="2017"/>
      <c r="B1055" s="2018"/>
      <c r="C1055" s="2018"/>
      <c r="D1055" s="2018"/>
      <c r="E1055" s="2018"/>
      <c r="F1055" s="2018"/>
      <c r="G1055" s="2018"/>
      <c r="H1055" s="2018"/>
      <c r="I1055" s="2018"/>
      <c r="J1055" s="2018"/>
      <c r="K1055" s="2018"/>
      <c r="L1055" s="2018"/>
      <c r="M1055" s="2018"/>
      <c r="N1055" s="2018"/>
      <c r="O1055" s="2018"/>
      <c r="P1055" s="2018"/>
      <c r="Q1055" s="2018"/>
      <c r="R1055" s="2018"/>
      <c r="S1055" s="2018"/>
      <c r="T1055" s="2018"/>
      <c r="U1055" s="2018"/>
      <c r="V1055" s="2018"/>
      <c r="W1055" s="2018"/>
      <c r="X1055" s="2018"/>
      <c r="Y1055" s="2018"/>
      <c r="Z1055" s="2022"/>
      <c r="AA1055" s="2022"/>
      <c r="AB1055" s="1050"/>
      <c r="AC1055" s="1050"/>
      <c r="AD1055" s="1050"/>
      <c r="AE1055" s="1050"/>
      <c r="AF1055" s="1052"/>
    </row>
    <row r="1056" spans="1:32" ht="15.75" x14ac:dyDescent="0.25">
      <c r="A1056" s="2017"/>
      <c r="B1056" s="2018"/>
      <c r="C1056" s="2018"/>
      <c r="D1056" s="2018"/>
      <c r="E1056" s="2018"/>
      <c r="F1056" s="2018"/>
      <c r="G1056" s="2018"/>
      <c r="H1056" s="2018"/>
      <c r="I1056" s="2018"/>
      <c r="J1056" s="2018"/>
      <c r="K1056" s="2018"/>
      <c r="L1056" s="2018"/>
      <c r="M1056" s="2018"/>
      <c r="N1056" s="2018"/>
      <c r="O1056" s="2018"/>
      <c r="P1056" s="2018"/>
      <c r="Q1056" s="2018"/>
      <c r="R1056" s="2018"/>
      <c r="S1056" s="2018"/>
      <c r="T1056" s="2018"/>
      <c r="U1056" s="2018"/>
      <c r="V1056" s="2018"/>
      <c r="W1056" s="2018"/>
      <c r="X1056" s="2018"/>
      <c r="Y1056" s="2018"/>
      <c r="Z1056" s="2023"/>
      <c r="AA1056" s="2023"/>
      <c r="AB1056" s="1050"/>
      <c r="AC1056" s="1050"/>
      <c r="AD1056" s="1050"/>
      <c r="AE1056" s="1050"/>
      <c r="AF1056" s="1052"/>
    </row>
    <row r="1057" spans="1:32" ht="15.75" x14ac:dyDescent="0.25">
      <c r="A1057" s="2017"/>
      <c r="B1057" s="2018"/>
      <c r="C1057" s="2018"/>
      <c r="D1057" s="2018"/>
      <c r="E1057" s="2018"/>
      <c r="F1057" s="2018"/>
      <c r="G1057" s="2018"/>
      <c r="H1057" s="2018"/>
      <c r="I1057" s="2018"/>
      <c r="J1057" s="2018"/>
      <c r="K1057" s="2018"/>
      <c r="L1057" s="2018"/>
      <c r="M1057" s="2018"/>
      <c r="N1057" s="2018"/>
      <c r="O1057" s="2018"/>
      <c r="P1057" s="2018"/>
      <c r="Q1057" s="2018"/>
      <c r="R1057" s="2018"/>
      <c r="S1057" s="2018"/>
      <c r="T1057" s="2018"/>
      <c r="U1057" s="2018"/>
      <c r="V1057" s="2018"/>
      <c r="W1057" s="2018"/>
      <c r="X1057" s="2018"/>
      <c r="Y1057" s="2018"/>
      <c r="Z1057" s="2023"/>
      <c r="AA1057" s="2023"/>
      <c r="AB1057" s="1050"/>
      <c r="AC1057" s="1050"/>
      <c r="AD1057" s="1050"/>
      <c r="AE1057" s="1050"/>
      <c r="AF1057" s="1052"/>
    </row>
    <row r="1058" spans="1:32" ht="15.75" x14ac:dyDescent="0.25">
      <c r="A1058" s="2017"/>
      <c r="B1058" s="2018"/>
      <c r="C1058" s="2018"/>
      <c r="D1058" s="2018"/>
      <c r="E1058" s="2018"/>
      <c r="F1058" s="2018"/>
      <c r="G1058" s="2018"/>
      <c r="H1058" s="2018"/>
      <c r="I1058" s="2018"/>
      <c r="J1058" s="2018"/>
      <c r="K1058" s="2018"/>
      <c r="L1058" s="2018"/>
      <c r="M1058" s="2018"/>
      <c r="N1058" s="2018"/>
      <c r="O1058" s="2018"/>
      <c r="P1058" s="2018"/>
      <c r="Q1058" s="2018"/>
      <c r="R1058" s="2018"/>
      <c r="S1058" s="2018"/>
      <c r="T1058" s="2018"/>
      <c r="U1058" s="2018"/>
      <c r="V1058" s="2018"/>
      <c r="W1058" s="2018"/>
      <c r="X1058" s="2018"/>
      <c r="Y1058" s="2018"/>
      <c r="Z1058" s="2023"/>
      <c r="AA1058" s="2023"/>
      <c r="AB1058" s="1050"/>
      <c r="AC1058" s="1050"/>
      <c r="AD1058" s="1050"/>
      <c r="AE1058" s="1050"/>
      <c r="AF1058" s="1052"/>
    </row>
    <row r="1059" spans="1:32" ht="15.75" x14ac:dyDescent="0.25">
      <c r="A1059" s="2017"/>
      <c r="B1059" s="2018"/>
      <c r="C1059" s="2018"/>
      <c r="D1059" s="2018"/>
      <c r="E1059" s="2018"/>
      <c r="F1059" s="2018"/>
      <c r="G1059" s="2018"/>
      <c r="H1059" s="2018"/>
      <c r="I1059" s="2018"/>
      <c r="J1059" s="2018"/>
      <c r="K1059" s="2018"/>
      <c r="L1059" s="2018"/>
      <c r="M1059" s="2018"/>
      <c r="N1059" s="2018"/>
      <c r="O1059" s="2018"/>
      <c r="P1059" s="2018"/>
      <c r="Q1059" s="2018"/>
      <c r="R1059" s="2018"/>
      <c r="S1059" s="2018"/>
      <c r="T1059" s="2018"/>
      <c r="U1059" s="2018"/>
      <c r="V1059" s="2018"/>
      <c r="W1059" s="2018"/>
      <c r="X1059" s="2018"/>
      <c r="Y1059" s="2018"/>
      <c r="Z1059" s="2023"/>
      <c r="AA1059" s="2023"/>
      <c r="AB1059" s="1050"/>
      <c r="AC1059" s="1050"/>
      <c r="AD1059" s="1050"/>
      <c r="AE1059" s="1050"/>
      <c r="AF1059" s="1052"/>
    </row>
    <row r="1060" spans="1:32" ht="15.75" x14ac:dyDescent="0.25">
      <c r="A1060" s="2017"/>
      <c r="B1060" s="2018"/>
      <c r="C1060" s="2018"/>
      <c r="D1060" s="2018"/>
      <c r="E1060" s="2018"/>
      <c r="F1060" s="2018"/>
      <c r="G1060" s="2018"/>
      <c r="H1060" s="2018"/>
      <c r="I1060" s="2018"/>
      <c r="J1060" s="2018"/>
      <c r="K1060" s="2018"/>
      <c r="L1060" s="2018"/>
      <c r="M1060" s="2018"/>
      <c r="N1060" s="2018"/>
      <c r="O1060" s="2018"/>
      <c r="P1060" s="2018"/>
      <c r="Q1060" s="2018"/>
      <c r="R1060" s="2018"/>
      <c r="S1060" s="2018"/>
      <c r="T1060" s="2018"/>
      <c r="U1060" s="2018"/>
      <c r="V1060" s="2018"/>
      <c r="W1060" s="2018"/>
      <c r="X1060" s="2018"/>
      <c r="Y1060" s="2018"/>
      <c r="Z1060" s="2023"/>
      <c r="AA1060" s="2023"/>
      <c r="AB1060" s="1050"/>
      <c r="AC1060" s="1050"/>
      <c r="AD1060" s="1050"/>
      <c r="AE1060" s="1050"/>
      <c r="AF1060" s="1052"/>
    </row>
    <row r="1061" spans="1:32" ht="15.75" x14ac:dyDescent="0.25">
      <c r="A1061" s="2017"/>
      <c r="B1061" s="2018"/>
      <c r="C1061" s="2018"/>
      <c r="D1061" s="2018"/>
      <c r="E1061" s="2018"/>
      <c r="F1061" s="2018"/>
      <c r="G1061" s="2018"/>
      <c r="H1061" s="2018"/>
      <c r="I1061" s="2018"/>
      <c r="J1061" s="2018"/>
      <c r="K1061" s="2018"/>
      <c r="L1061" s="2018"/>
      <c r="M1061" s="2018"/>
      <c r="N1061" s="2018"/>
      <c r="O1061" s="2018"/>
      <c r="P1061" s="2018"/>
      <c r="Q1061" s="2018"/>
      <c r="R1061" s="2018"/>
      <c r="S1061" s="2018"/>
      <c r="T1061" s="2018"/>
      <c r="U1061" s="2018"/>
      <c r="V1061" s="2018"/>
      <c r="W1061" s="2018"/>
      <c r="X1061" s="2018"/>
      <c r="Y1061" s="2018"/>
      <c r="Z1061" s="2023"/>
      <c r="AA1061" s="2023"/>
      <c r="AB1061" s="1050"/>
      <c r="AC1061" s="1050"/>
      <c r="AD1061" s="1050"/>
      <c r="AE1061" s="1050"/>
      <c r="AF1061" s="1052"/>
    </row>
    <row r="1062" spans="1:32" ht="16.5" thickBot="1" x14ac:dyDescent="0.3">
      <c r="A1062" s="2019"/>
      <c r="B1062" s="2020"/>
      <c r="C1062" s="2020"/>
      <c r="D1062" s="2020"/>
      <c r="E1062" s="2020"/>
      <c r="F1062" s="2020"/>
      <c r="G1062" s="2020"/>
      <c r="H1062" s="2020"/>
      <c r="I1062" s="2020"/>
      <c r="J1062" s="2020"/>
      <c r="K1062" s="2020"/>
      <c r="L1062" s="2020"/>
      <c r="M1062" s="2020"/>
      <c r="N1062" s="2020"/>
      <c r="O1062" s="2020"/>
      <c r="P1062" s="2020"/>
      <c r="Q1062" s="2020"/>
      <c r="R1062" s="2020"/>
      <c r="S1062" s="2020"/>
      <c r="T1062" s="2020"/>
      <c r="U1062" s="2020"/>
      <c r="V1062" s="2020"/>
      <c r="W1062" s="2020"/>
      <c r="X1062" s="2020"/>
      <c r="Y1062" s="2020"/>
      <c r="Z1062" s="2024"/>
      <c r="AA1062" s="2024"/>
      <c r="AB1062" s="1057"/>
      <c r="AC1062" s="1057"/>
      <c r="AD1062" s="1057"/>
      <c r="AE1062" s="1057"/>
      <c r="AF1062" s="1058"/>
    </row>
    <row r="1063" spans="1:32" ht="15.75" x14ac:dyDescent="0.25">
      <c r="A1063" s="2009" t="s">
        <v>1855</v>
      </c>
      <c r="B1063" s="2010"/>
      <c r="C1063" s="2010"/>
      <c r="D1063" s="2010"/>
      <c r="E1063" s="2010"/>
      <c r="F1063" s="2010"/>
      <c r="G1063" s="2010"/>
      <c r="H1063" s="2010"/>
      <c r="I1063" s="2010"/>
      <c r="J1063" s="2010"/>
      <c r="K1063" s="2010"/>
      <c r="L1063" s="2010"/>
      <c r="M1063" s="2010"/>
      <c r="N1063" s="2010"/>
      <c r="O1063" s="2010"/>
      <c r="P1063" s="2010"/>
      <c r="Q1063" s="2010"/>
      <c r="R1063" s="2010"/>
      <c r="S1063" s="2010"/>
      <c r="T1063" s="2010"/>
      <c r="U1063" s="2010"/>
      <c r="V1063" s="2010"/>
      <c r="W1063" s="2010"/>
      <c r="X1063" s="2010"/>
      <c r="Y1063" s="2010"/>
      <c r="Z1063" s="2013" t="s">
        <v>1850</v>
      </c>
      <c r="AA1063" s="2013"/>
      <c r="AB1063" s="2013"/>
      <c r="AC1063" s="2013"/>
      <c r="AD1063" s="2013"/>
      <c r="AE1063" s="2013"/>
      <c r="AF1063" s="1059">
        <f>SUM(AF1039:AF1062)</f>
        <v>2</v>
      </c>
    </row>
    <row r="1064" spans="1:32" ht="15.75" x14ac:dyDescent="0.25">
      <c r="A1064" s="2011"/>
      <c r="B1064" s="2012"/>
      <c r="C1064" s="2012"/>
      <c r="D1064" s="2012"/>
      <c r="E1064" s="2012"/>
      <c r="F1064" s="2012"/>
      <c r="G1064" s="2012"/>
      <c r="H1064" s="2012"/>
      <c r="I1064" s="2012"/>
      <c r="J1064" s="2012"/>
      <c r="K1064" s="2012"/>
      <c r="L1064" s="2012"/>
      <c r="M1064" s="2012"/>
      <c r="N1064" s="2012"/>
      <c r="O1064" s="2012"/>
      <c r="P1064" s="2012"/>
      <c r="Q1064" s="2012"/>
      <c r="R1064" s="2012"/>
      <c r="S1064" s="2012"/>
      <c r="T1064" s="2012"/>
      <c r="U1064" s="2012"/>
      <c r="V1064" s="2012"/>
      <c r="W1064" s="2012"/>
      <c r="X1064" s="2012"/>
      <c r="Y1064" s="2012"/>
      <c r="Z1064" s="2014" t="s">
        <v>1851</v>
      </c>
      <c r="AA1064" s="2014"/>
      <c r="AB1064" s="2014"/>
      <c r="AC1064" s="2014"/>
      <c r="AD1064" s="2014"/>
      <c r="AE1064" s="2014"/>
      <c r="AF1064" s="1060">
        <v>0</v>
      </c>
    </row>
    <row r="1065" spans="1:32" ht="15.75" x14ac:dyDescent="0.25">
      <c r="A1065" s="2011"/>
      <c r="B1065" s="2012"/>
      <c r="C1065" s="2012"/>
      <c r="D1065" s="2012"/>
      <c r="E1065" s="2012"/>
      <c r="F1065" s="2012"/>
      <c r="G1065" s="2012"/>
      <c r="H1065" s="2012"/>
      <c r="I1065" s="2012"/>
      <c r="J1065" s="2012"/>
      <c r="K1065" s="2012"/>
      <c r="L1065" s="2012"/>
      <c r="M1065" s="2012"/>
      <c r="N1065" s="2012"/>
      <c r="O1065" s="2012"/>
      <c r="P1065" s="2012"/>
      <c r="Q1065" s="2012"/>
      <c r="R1065" s="2012"/>
      <c r="S1065" s="2012"/>
      <c r="T1065" s="2012"/>
      <c r="U1065" s="2012"/>
      <c r="V1065" s="2012"/>
      <c r="W1065" s="2012"/>
      <c r="X1065" s="2012"/>
      <c r="Y1065" s="2012"/>
      <c r="Z1065" s="2015" t="s">
        <v>1833</v>
      </c>
      <c r="AA1065" s="2015"/>
      <c r="AB1065" s="2015"/>
      <c r="AC1065" s="2015"/>
      <c r="AD1065" s="2015"/>
      <c r="AE1065" s="2015"/>
      <c r="AF1065" s="1061">
        <f>SUM(AF1063:AF1064)</f>
        <v>2</v>
      </c>
    </row>
    <row r="1066" spans="1:32" x14ac:dyDescent="0.2">
      <c r="A1066" s="2012" t="s">
        <v>1859</v>
      </c>
      <c r="B1066" s="2012"/>
      <c r="C1066" s="2012"/>
      <c r="D1066" s="2012"/>
      <c r="E1066" s="2012"/>
      <c r="F1066" s="2012"/>
      <c r="G1066" s="2012"/>
      <c r="H1066" s="2012"/>
      <c r="I1066" s="2012"/>
      <c r="J1066" s="2012"/>
      <c r="K1066" s="2012"/>
      <c r="L1066" s="2012"/>
      <c r="M1066" s="2012"/>
      <c r="N1066" s="2012"/>
      <c r="O1066" s="2012"/>
      <c r="P1066" s="2012"/>
      <c r="Q1066" s="2012"/>
      <c r="R1066" s="2012"/>
      <c r="S1066" s="2012"/>
      <c r="T1066" s="2016" t="s">
        <v>1840</v>
      </c>
      <c r="U1066" s="2016"/>
      <c r="V1066" s="2016"/>
      <c r="W1066" s="2016"/>
      <c r="X1066" s="2016"/>
      <c r="Y1066" s="2016"/>
      <c r="Z1066" s="2016"/>
      <c r="AA1066" s="2016"/>
      <c r="AB1066" s="2012" t="s">
        <v>1852</v>
      </c>
      <c r="AC1066" s="2012"/>
      <c r="AD1066" s="2012"/>
      <c r="AE1066" s="2012"/>
      <c r="AF1066" s="2012"/>
    </row>
    <row r="1067" spans="1:32" x14ac:dyDescent="0.2">
      <c r="A1067" s="2012"/>
      <c r="B1067" s="2012"/>
      <c r="C1067" s="2012"/>
      <c r="D1067" s="2012"/>
      <c r="E1067" s="2012"/>
      <c r="F1067" s="2012"/>
      <c r="G1067" s="2012"/>
      <c r="H1067" s="2012"/>
      <c r="I1067" s="2012"/>
      <c r="J1067" s="2012"/>
      <c r="K1067" s="2012"/>
      <c r="L1067" s="2012"/>
      <c r="M1067" s="2012"/>
      <c r="N1067" s="2012"/>
      <c r="O1067" s="2012"/>
      <c r="P1067" s="2012"/>
      <c r="Q1067" s="2012"/>
      <c r="R1067" s="2012"/>
      <c r="S1067" s="2012"/>
      <c r="T1067" s="2016"/>
      <c r="U1067" s="2016"/>
      <c r="V1067" s="2016"/>
      <c r="W1067" s="2016"/>
      <c r="X1067" s="2016"/>
      <c r="Y1067" s="2016"/>
      <c r="Z1067" s="2016"/>
      <c r="AA1067" s="2016"/>
      <c r="AB1067" s="2012"/>
      <c r="AC1067" s="2012"/>
      <c r="AD1067" s="2012"/>
      <c r="AE1067" s="2012"/>
      <c r="AF1067" s="2012"/>
    </row>
    <row r="1068" spans="1:32" ht="13.5" thickBot="1" x14ac:dyDescent="0.25"/>
    <row r="1069" spans="1:32" ht="21.6" customHeight="1" x14ac:dyDescent="0.2">
      <c r="A1069" s="2025" t="s">
        <v>1854</v>
      </c>
      <c r="B1069" s="2026"/>
      <c r="C1069" s="2026"/>
      <c r="D1069" s="2026"/>
      <c r="E1069" s="2026"/>
      <c r="F1069" s="2026"/>
      <c r="G1069" s="2026"/>
      <c r="H1069" s="2026"/>
      <c r="I1069" s="2026"/>
      <c r="J1069" s="2026"/>
      <c r="K1069" s="2026"/>
      <c r="L1069" s="2026"/>
      <c r="M1069" s="2026"/>
      <c r="N1069" s="2026"/>
      <c r="O1069" s="2026"/>
      <c r="P1069" s="2026"/>
      <c r="Q1069" s="2026"/>
      <c r="R1069" s="2026"/>
      <c r="S1069" s="2026"/>
      <c r="T1069" s="2026"/>
      <c r="U1069" s="2026"/>
      <c r="V1069" s="2026"/>
      <c r="W1069" s="2026"/>
      <c r="X1069" s="2026"/>
      <c r="Y1069" s="2026"/>
      <c r="Z1069" s="2026"/>
      <c r="AA1069" s="2026"/>
      <c r="AB1069" s="2026"/>
      <c r="AC1069" s="2026"/>
      <c r="AD1069" s="2026"/>
      <c r="AE1069" s="1041" t="s">
        <v>1834</v>
      </c>
      <c r="AF1069" s="1042" t="s">
        <v>1835</v>
      </c>
    </row>
    <row r="1070" spans="1:32" ht="27" customHeight="1" thickBot="1" x14ac:dyDescent="0.25">
      <c r="A1070" s="2027"/>
      <c r="B1070" s="2028"/>
      <c r="C1070" s="2028"/>
      <c r="D1070" s="2028"/>
      <c r="E1070" s="2028"/>
      <c r="F1070" s="2028"/>
      <c r="G1070" s="2028"/>
      <c r="H1070" s="2028"/>
      <c r="I1070" s="2028"/>
      <c r="J1070" s="2028"/>
      <c r="K1070" s="2028"/>
      <c r="L1070" s="2028"/>
      <c r="M1070" s="2028"/>
      <c r="N1070" s="2028"/>
      <c r="O1070" s="2028"/>
      <c r="P1070" s="2028"/>
      <c r="Q1070" s="2028"/>
      <c r="R1070" s="2028"/>
      <c r="S1070" s="2028"/>
      <c r="T1070" s="2028"/>
      <c r="U1070" s="2028"/>
      <c r="V1070" s="2028"/>
      <c r="W1070" s="2028"/>
      <c r="X1070" s="2028"/>
      <c r="Y1070" s="2028"/>
      <c r="Z1070" s="2028"/>
      <c r="AA1070" s="2028"/>
      <c r="AB1070" s="2028"/>
      <c r="AC1070" s="2028"/>
      <c r="AD1070" s="2028"/>
      <c r="AE1070" s="1041" t="s">
        <v>1836</v>
      </c>
      <c r="AF1070" s="1044">
        <v>1</v>
      </c>
    </row>
    <row r="1071" spans="1:32" ht="15.75" x14ac:dyDescent="0.2">
      <c r="A1071" s="2029"/>
      <c r="B1071" s="2030"/>
      <c r="C1071" s="2030"/>
      <c r="D1071" s="2031"/>
      <c r="E1071" s="2025" t="str">
        <f>'01'!$A$12</f>
        <v>"CONSTRUCCION SISTEMA DE ACUEDUCTO FASE II DEL MUNICIPIO DE TESALIA DPTO DEL HUILA"</v>
      </c>
      <c r="F1071" s="2026"/>
      <c r="G1071" s="2026"/>
      <c r="H1071" s="2026"/>
      <c r="I1071" s="2026"/>
      <c r="J1071" s="2026"/>
      <c r="K1071" s="2026"/>
      <c r="L1071" s="2026"/>
      <c r="M1071" s="2026"/>
      <c r="N1071" s="2026"/>
      <c r="O1071" s="2026"/>
      <c r="P1071" s="2026"/>
      <c r="Q1071" s="2026"/>
      <c r="R1071" s="2026"/>
      <c r="S1071" s="2026"/>
      <c r="T1071" s="2026"/>
      <c r="U1071" s="2026"/>
      <c r="V1071" s="2026"/>
      <c r="W1071" s="2026"/>
      <c r="X1071" s="2026"/>
      <c r="Y1071" s="2026"/>
      <c r="Z1071" s="2026"/>
      <c r="AA1071" s="2026"/>
      <c r="AB1071" s="2026"/>
      <c r="AC1071" s="2026"/>
      <c r="AD1071" s="2035"/>
      <c r="AE1071" s="1041" t="s">
        <v>847</v>
      </c>
      <c r="AF1071" s="1045">
        <f>'01'!$M$13</f>
        <v>0</v>
      </c>
    </row>
    <row r="1072" spans="1:32" ht="16.5" thickBot="1" x14ac:dyDescent="0.25">
      <c r="A1072" s="2032"/>
      <c r="B1072" s="2033"/>
      <c r="C1072" s="2033"/>
      <c r="D1072" s="2034"/>
      <c r="E1072" s="2027"/>
      <c r="F1072" s="2028"/>
      <c r="G1072" s="2028"/>
      <c r="H1072" s="2028"/>
      <c r="I1072" s="2028"/>
      <c r="J1072" s="2028"/>
      <c r="K1072" s="2028"/>
      <c r="L1072" s="2028"/>
      <c r="M1072" s="2028"/>
      <c r="N1072" s="2028"/>
      <c r="O1072" s="2028"/>
      <c r="P1072" s="2028"/>
      <c r="Q1072" s="2028"/>
      <c r="R1072" s="2028"/>
      <c r="S1072" s="2028"/>
      <c r="T1072" s="2028"/>
      <c r="U1072" s="2028"/>
      <c r="V1072" s="2028"/>
      <c r="W1072" s="2028"/>
      <c r="X1072" s="2028"/>
      <c r="Y1072" s="2028"/>
      <c r="Z1072" s="2028"/>
      <c r="AA1072" s="2028"/>
      <c r="AB1072" s="2028"/>
      <c r="AC1072" s="2028"/>
      <c r="AD1072" s="2036"/>
      <c r="AE1072" s="1041" t="s">
        <v>1837</v>
      </c>
      <c r="AF1072" s="1042" t="s">
        <v>1838</v>
      </c>
    </row>
    <row r="1073" spans="1:32" ht="15.75" x14ac:dyDescent="0.25">
      <c r="A1073" s="2037" t="s">
        <v>1860</v>
      </c>
      <c r="B1073" s="2038"/>
      <c r="C1073" s="2038"/>
      <c r="D1073" s="2038"/>
      <c r="E1073" s="2038"/>
      <c r="F1073" s="2038"/>
      <c r="G1073" s="2038"/>
      <c r="H1073" s="2038"/>
      <c r="I1073" s="2038"/>
      <c r="J1073" s="2038"/>
      <c r="K1073" s="2038"/>
      <c r="L1073" s="2038"/>
      <c r="M1073" s="2038"/>
      <c r="N1073" s="2038"/>
      <c r="O1073" s="2038"/>
      <c r="P1073" s="2038"/>
      <c r="Q1073" s="2038"/>
      <c r="R1073" s="2038"/>
      <c r="S1073" s="2038"/>
      <c r="T1073" s="2038"/>
      <c r="U1073" s="2038"/>
      <c r="V1073" s="2038"/>
      <c r="W1073" s="2038"/>
      <c r="X1073" s="2038"/>
      <c r="Y1073" s="2038"/>
      <c r="Z1073" s="2038"/>
      <c r="AA1073" s="2038"/>
      <c r="AB1073" s="2038"/>
      <c r="AC1073" s="2038"/>
      <c r="AD1073" s="2038"/>
      <c r="AE1073" s="2039" t="s">
        <v>1839</v>
      </c>
      <c r="AF1073" s="2040"/>
    </row>
    <row r="1074" spans="1:32" ht="15.75" x14ac:dyDescent="0.25">
      <c r="A1074" s="2041" t="s">
        <v>1840</v>
      </c>
      <c r="B1074" s="2042"/>
      <c r="C1074" s="2042"/>
      <c r="D1074" s="2042"/>
      <c r="E1074" s="2042"/>
      <c r="F1074" s="2042"/>
      <c r="G1074" s="2042"/>
      <c r="H1074" s="2042"/>
      <c r="I1074" s="2042"/>
      <c r="J1074" s="2042"/>
      <c r="K1074" s="2042"/>
      <c r="L1074" s="2042"/>
      <c r="M1074" s="2042"/>
      <c r="N1074" s="2042"/>
      <c r="O1074" s="2042"/>
      <c r="P1074" s="2042"/>
      <c r="Q1074" s="2042"/>
      <c r="R1074" s="2042"/>
      <c r="S1074" s="2042"/>
      <c r="T1074" s="2042"/>
      <c r="U1074" s="2042"/>
      <c r="V1074" s="2042"/>
      <c r="W1074" s="2042"/>
      <c r="X1074" s="2042"/>
      <c r="Y1074" s="2042"/>
      <c r="Z1074" s="2042"/>
      <c r="AA1074" s="2042"/>
      <c r="AB1074" s="2042"/>
      <c r="AC1074" s="2042"/>
      <c r="AD1074" s="2043"/>
      <c r="AE1074" s="2014" t="s">
        <v>1841</v>
      </c>
      <c r="AF1074" s="2044"/>
    </row>
    <row r="1075" spans="1:32" ht="15.75" x14ac:dyDescent="0.25">
      <c r="A1075" s="2045" t="s">
        <v>1853</v>
      </c>
      <c r="B1075" s="2046"/>
      <c r="C1075" s="2046"/>
      <c r="D1075" s="2046"/>
      <c r="E1075" s="2046"/>
      <c r="F1075" s="2046"/>
      <c r="G1075" s="2046"/>
      <c r="H1075" s="2046"/>
      <c r="I1075" s="2046"/>
      <c r="J1075" s="2046"/>
      <c r="K1075" s="2046"/>
      <c r="L1075" s="2046"/>
      <c r="M1075" s="2046"/>
      <c r="N1075" s="2046"/>
      <c r="O1075" s="2046"/>
      <c r="P1075" s="2046"/>
      <c r="Q1075" s="2046"/>
      <c r="R1075" s="2046"/>
      <c r="S1075" s="2046"/>
      <c r="T1075" s="2046"/>
      <c r="U1075" s="2046"/>
      <c r="V1075" s="2046"/>
      <c r="W1075" s="2046"/>
      <c r="X1075" s="2046"/>
      <c r="Y1075" s="2046"/>
      <c r="Z1075" s="2046"/>
      <c r="AA1075" s="2046"/>
      <c r="AB1075" s="2046"/>
      <c r="AC1075" s="2046"/>
      <c r="AD1075" s="2046"/>
      <c r="AE1075" s="2047">
        <f>'01'!$M$13</f>
        <v>0</v>
      </c>
      <c r="AF1075" s="2044"/>
    </row>
    <row r="1076" spans="1:32" x14ac:dyDescent="0.2">
      <c r="A1076" s="1046"/>
      <c r="B1076" s="1047"/>
      <c r="C1076" s="1047"/>
      <c r="D1076" s="1047"/>
      <c r="E1076" s="1047"/>
      <c r="F1076" s="1047"/>
      <c r="G1076" s="1047"/>
      <c r="H1076" s="1047"/>
      <c r="I1076" s="1047"/>
      <c r="J1076" s="1047"/>
      <c r="K1076" s="1047"/>
      <c r="L1076" s="1047"/>
      <c r="M1076" s="1047"/>
      <c r="N1076" s="1047"/>
      <c r="O1076" s="1047"/>
      <c r="P1076" s="1047"/>
      <c r="Q1076" s="1047"/>
      <c r="R1076" s="1047"/>
      <c r="S1076" s="1047"/>
      <c r="T1076" s="1047"/>
      <c r="U1076" s="1047"/>
      <c r="V1076" s="1047"/>
      <c r="W1076" s="1047"/>
      <c r="X1076" s="1047"/>
      <c r="Y1076" s="1047"/>
      <c r="Z1076" s="1047"/>
      <c r="AA1076" s="1047"/>
      <c r="AB1076" s="1047"/>
      <c r="AC1076" s="1047"/>
      <c r="AD1076" s="1047"/>
      <c r="AE1076" s="1047"/>
      <c r="AF1076" s="1048"/>
    </row>
    <row r="1077" spans="1:32" ht="15.75" x14ac:dyDescent="0.2">
      <c r="A1077" s="2048" t="s">
        <v>1842</v>
      </c>
      <c r="B1077" s="2049"/>
      <c r="C1077" s="2049"/>
      <c r="D1077" s="2049"/>
      <c r="E1077" s="2049"/>
      <c r="F1077" s="2050" t="str">
        <f>'01'!$H$33</f>
        <v>B - CÁMARA DE LLEGADA Y AQUIETAMIENTO DEL AGUA</v>
      </c>
      <c r="G1077" s="2049"/>
      <c r="H1077" s="2049"/>
      <c r="I1077" s="2049"/>
      <c r="J1077" s="2049"/>
      <c r="K1077" s="2049"/>
      <c r="L1077" s="2049"/>
      <c r="M1077" s="2049"/>
      <c r="N1077" s="2049"/>
      <c r="O1077" s="2049"/>
      <c r="P1077" s="2049"/>
      <c r="Q1077" s="2049"/>
      <c r="R1077" s="2049"/>
      <c r="S1077" s="2049"/>
      <c r="T1077" s="2049"/>
      <c r="U1077" s="2049"/>
      <c r="V1077" s="2049"/>
      <c r="W1077" s="2049"/>
      <c r="X1077" s="2049"/>
      <c r="Y1077" s="2051"/>
      <c r="Z1077" s="2052" t="s">
        <v>1843</v>
      </c>
      <c r="AA1077" s="2053"/>
      <c r="AB1077" s="2058" t="s">
        <v>1844</v>
      </c>
      <c r="AC1077" s="2059"/>
      <c r="AD1077" s="2060"/>
      <c r="AE1077" s="2064" t="s">
        <v>1845</v>
      </c>
      <c r="AF1077" s="2067" t="s">
        <v>1846</v>
      </c>
    </row>
    <row r="1078" spans="1:32" x14ac:dyDescent="0.2">
      <c r="A1078" s="2070" t="str">
        <f>'01'!A60</f>
        <v>B-08-07</v>
      </c>
      <c r="B1078" s="2071"/>
      <c r="C1078" s="2072"/>
      <c r="D1078" s="2076" t="str">
        <f>VLOOKUP(A1078,'01'!$A$12:$N$299,3,FALSE)</f>
        <v>SUMINISTRO E INSTALACIÓN COMPUERTA DE VASTAGO DESLIZANTE DE 8". INCLUYE COLUMNA DE MANIOBRA Y TODO LO NECESARIO PARA SU CORRECTO FUNCIONAMIENTO.</v>
      </c>
      <c r="E1078" s="2077"/>
      <c r="F1078" s="2077"/>
      <c r="G1078" s="2077"/>
      <c r="H1078" s="2077"/>
      <c r="I1078" s="2077"/>
      <c r="J1078" s="2077"/>
      <c r="K1078" s="2077"/>
      <c r="L1078" s="2077"/>
      <c r="M1078" s="2077"/>
      <c r="N1078" s="2077"/>
      <c r="O1078" s="2077"/>
      <c r="P1078" s="2077"/>
      <c r="Q1078" s="2077"/>
      <c r="R1078" s="2077"/>
      <c r="S1078" s="2078"/>
      <c r="T1078" s="2082" t="s">
        <v>124</v>
      </c>
      <c r="U1078" s="2083"/>
      <c r="V1078" s="2083"/>
      <c r="W1078" s="2083"/>
      <c r="X1078" s="2052" t="str">
        <f>VLOOKUP(A1078,'01'!$A$12:$N$299,9,FALSE)</f>
        <v>UND</v>
      </c>
      <c r="Y1078" s="2053"/>
      <c r="Z1078" s="2054"/>
      <c r="AA1078" s="2055"/>
      <c r="AB1078" s="2061"/>
      <c r="AC1078" s="2062"/>
      <c r="AD1078" s="2063"/>
      <c r="AE1078" s="2065"/>
      <c r="AF1078" s="2068"/>
    </row>
    <row r="1079" spans="1:32" ht="15.75" x14ac:dyDescent="0.25">
      <c r="A1079" s="2073"/>
      <c r="B1079" s="2074"/>
      <c r="C1079" s="2075"/>
      <c r="D1079" s="2079"/>
      <c r="E1079" s="2080"/>
      <c r="F1079" s="2080"/>
      <c r="G1079" s="2080"/>
      <c r="H1079" s="2080"/>
      <c r="I1079" s="2080"/>
      <c r="J1079" s="2080"/>
      <c r="K1079" s="2080"/>
      <c r="L1079" s="2080"/>
      <c r="M1079" s="2080"/>
      <c r="N1079" s="2080"/>
      <c r="O1079" s="2080"/>
      <c r="P1079" s="2080"/>
      <c r="Q1079" s="2080"/>
      <c r="R1079" s="2080"/>
      <c r="S1079" s="2081"/>
      <c r="T1079" s="2084"/>
      <c r="U1079" s="2085"/>
      <c r="V1079" s="2085"/>
      <c r="W1079" s="2085"/>
      <c r="X1079" s="2056"/>
      <c r="Y1079" s="2057"/>
      <c r="Z1079" s="2056"/>
      <c r="AA1079" s="2057"/>
      <c r="AB1079" s="1049" t="s">
        <v>1847</v>
      </c>
      <c r="AC1079" s="1049" t="s">
        <v>1848</v>
      </c>
      <c r="AD1079" s="1049" t="s">
        <v>1861</v>
      </c>
      <c r="AE1079" s="2066"/>
      <c r="AF1079" s="2069"/>
    </row>
    <row r="1080" spans="1:32" ht="30" customHeight="1" x14ac:dyDescent="0.25">
      <c r="A1080" s="2017"/>
      <c r="B1080" s="2018"/>
      <c r="C1080" s="2018"/>
      <c r="D1080" s="2018"/>
      <c r="E1080" s="2018"/>
      <c r="F1080" s="2018"/>
      <c r="G1080" s="2018"/>
      <c r="H1080" s="2018"/>
      <c r="I1080" s="2018"/>
      <c r="J1080" s="2018"/>
      <c r="K1080" s="2018"/>
      <c r="L1080" s="2018"/>
      <c r="M1080" s="2018"/>
      <c r="N1080" s="2018"/>
      <c r="O1080" s="2018"/>
      <c r="P1080" s="2018"/>
      <c r="Q1080" s="2018"/>
      <c r="R1080" s="2018"/>
      <c r="S1080" s="2018"/>
      <c r="T1080" s="2018"/>
      <c r="U1080" s="2018"/>
      <c r="V1080" s="2018"/>
      <c r="W1080" s="2018"/>
      <c r="X1080" s="2018"/>
      <c r="Y1080" s="2018"/>
      <c r="Z1080" s="2106" t="s">
        <v>1098</v>
      </c>
      <c r="AA1080" s="2107"/>
      <c r="AB1080" s="1151"/>
      <c r="AC1080" s="1050"/>
      <c r="AD1080" s="1050"/>
      <c r="AE1080" s="1050">
        <v>3</v>
      </c>
      <c r="AF1080" s="1052">
        <f>AE1080</f>
        <v>3</v>
      </c>
    </row>
    <row r="1081" spans="1:32" ht="15.75" x14ac:dyDescent="0.25">
      <c r="A1081" s="2017"/>
      <c r="B1081" s="2018"/>
      <c r="C1081" s="2018"/>
      <c r="D1081" s="2018"/>
      <c r="E1081" s="2018"/>
      <c r="F1081" s="2018"/>
      <c r="G1081" s="2018"/>
      <c r="H1081" s="2018"/>
      <c r="I1081" s="2018"/>
      <c r="J1081" s="2018"/>
      <c r="K1081" s="2018"/>
      <c r="L1081" s="2018"/>
      <c r="M1081" s="2018"/>
      <c r="N1081" s="2018"/>
      <c r="O1081" s="2018"/>
      <c r="P1081" s="2018"/>
      <c r="Q1081" s="2018"/>
      <c r="R1081" s="2018"/>
      <c r="S1081" s="2018"/>
      <c r="T1081" s="2018"/>
      <c r="U1081" s="2018"/>
      <c r="V1081" s="2018"/>
      <c r="W1081" s="2018"/>
      <c r="X1081" s="2018"/>
      <c r="Y1081" s="2018"/>
      <c r="Z1081" s="2106"/>
      <c r="AA1081" s="2107"/>
      <c r="AB1081" s="1151"/>
      <c r="AC1081" s="1050"/>
      <c r="AD1081" s="1050"/>
      <c r="AE1081" s="1050"/>
      <c r="AF1081" s="1052"/>
    </row>
    <row r="1082" spans="1:32" ht="15.75" x14ac:dyDescent="0.25">
      <c r="A1082" s="2017"/>
      <c r="B1082" s="2018"/>
      <c r="C1082" s="2018"/>
      <c r="D1082" s="2018"/>
      <c r="E1082" s="2018"/>
      <c r="F1082" s="2018"/>
      <c r="G1082" s="2018"/>
      <c r="H1082" s="2018"/>
      <c r="I1082" s="2018"/>
      <c r="J1082" s="2018"/>
      <c r="K1082" s="2018"/>
      <c r="L1082" s="2018"/>
      <c r="M1082" s="2018"/>
      <c r="N1082" s="2018"/>
      <c r="O1082" s="2018"/>
      <c r="P1082" s="2018"/>
      <c r="Q1082" s="2018"/>
      <c r="R1082" s="2018"/>
      <c r="S1082" s="2018"/>
      <c r="T1082" s="2018"/>
      <c r="U1082" s="2018"/>
      <c r="V1082" s="2018"/>
      <c r="W1082" s="2018"/>
      <c r="X1082" s="2018"/>
      <c r="Y1082" s="2018"/>
      <c r="Z1082" s="2106"/>
      <c r="AA1082" s="2107"/>
      <c r="AB1082" s="1151"/>
      <c r="AC1082" s="1050"/>
      <c r="AD1082" s="1050"/>
      <c r="AE1082" s="1050"/>
      <c r="AF1082" s="1052"/>
    </row>
    <row r="1083" spans="1:32" ht="15.75" x14ac:dyDescent="0.25">
      <c r="A1083" s="2017"/>
      <c r="B1083" s="2018"/>
      <c r="C1083" s="2018"/>
      <c r="D1083" s="2018"/>
      <c r="E1083" s="2018"/>
      <c r="F1083" s="2018"/>
      <c r="G1083" s="2018"/>
      <c r="H1083" s="2018"/>
      <c r="I1083" s="2018"/>
      <c r="J1083" s="2018"/>
      <c r="K1083" s="2018"/>
      <c r="L1083" s="2018"/>
      <c r="M1083" s="2018"/>
      <c r="N1083" s="2018"/>
      <c r="O1083" s="2018"/>
      <c r="P1083" s="2018"/>
      <c r="Q1083" s="2018"/>
      <c r="R1083" s="2018"/>
      <c r="S1083" s="2018"/>
      <c r="T1083" s="2018"/>
      <c r="U1083" s="2018"/>
      <c r="V1083" s="2018"/>
      <c r="W1083" s="2018"/>
      <c r="X1083" s="2018"/>
      <c r="Y1083" s="2018"/>
      <c r="Z1083" s="2106"/>
      <c r="AA1083" s="2107"/>
      <c r="AB1083" s="1151"/>
      <c r="AC1083" s="1050"/>
      <c r="AD1083" s="1050"/>
      <c r="AE1083" s="1050"/>
      <c r="AF1083" s="1052"/>
    </row>
    <row r="1084" spans="1:32" ht="15.75" x14ac:dyDescent="0.25">
      <c r="A1084" s="2017"/>
      <c r="B1084" s="2018"/>
      <c r="C1084" s="2018"/>
      <c r="D1084" s="2018"/>
      <c r="E1084" s="2018"/>
      <c r="F1084" s="2018"/>
      <c r="G1084" s="2018"/>
      <c r="H1084" s="2018"/>
      <c r="I1084" s="2018"/>
      <c r="J1084" s="2018"/>
      <c r="K1084" s="2018"/>
      <c r="L1084" s="2018"/>
      <c r="M1084" s="2018"/>
      <c r="N1084" s="2018"/>
      <c r="O1084" s="2018"/>
      <c r="P1084" s="2018"/>
      <c r="Q1084" s="2018"/>
      <c r="R1084" s="2018"/>
      <c r="S1084" s="2018"/>
      <c r="T1084" s="2018"/>
      <c r="U1084" s="2018"/>
      <c r="V1084" s="2018"/>
      <c r="W1084" s="2018"/>
      <c r="X1084" s="2018"/>
      <c r="Y1084" s="2018"/>
      <c r="Z1084" s="2106"/>
      <c r="AA1084" s="2107"/>
      <c r="AB1084" s="1151"/>
      <c r="AC1084" s="1050"/>
      <c r="AD1084" s="1050"/>
      <c r="AE1084" s="1050"/>
      <c r="AF1084" s="1052"/>
    </row>
    <row r="1085" spans="1:32" ht="15.75" x14ac:dyDescent="0.25">
      <c r="A1085" s="2017"/>
      <c r="B1085" s="2018"/>
      <c r="C1085" s="2018"/>
      <c r="D1085" s="2018"/>
      <c r="E1085" s="2018"/>
      <c r="F1085" s="2018"/>
      <c r="G1085" s="2018"/>
      <c r="H1085" s="2018"/>
      <c r="I1085" s="2018"/>
      <c r="J1085" s="2018"/>
      <c r="K1085" s="2018"/>
      <c r="L1085" s="2018"/>
      <c r="M1085" s="2018"/>
      <c r="N1085" s="2018"/>
      <c r="O1085" s="2018"/>
      <c r="P1085" s="2018"/>
      <c r="Q1085" s="2018"/>
      <c r="R1085" s="2018"/>
      <c r="S1085" s="2018"/>
      <c r="T1085" s="2018"/>
      <c r="U1085" s="2018"/>
      <c r="V1085" s="2018"/>
      <c r="W1085" s="2018"/>
      <c r="X1085" s="2018"/>
      <c r="Y1085" s="2018"/>
      <c r="Z1085" s="2105"/>
      <c r="AA1085" s="2105"/>
      <c r="AB1085" s="1050"/>
      <c r="AC1085" s="1050"/>
      <c r="AD1085" s="1050"/>
      <c r="AE1085" s="1050"/>
      <c r="AF1085" s="1052"/>
    </row>
    <row r="1086" spans="1:32" ht="15.75" x14ac:dyDescent="0.25">
      <c r="A1086" s="2017"/>
      <c r="B1086" s="2018"/>
      <c r="C1086" s="2018"/>
      <c r="D1086" s="2018"/>
      <c r="E1086" s="2018"/>
      <c r="F1086" s="2018"/>
      <c r="G1086" s="2018"/>
      <c r="H1086" s="2018"/>
      <c r="I1086" s="2018"/>
      <c r="J1086" s="2018"/>
      <c r="K1086" s="2018"/>
      <c r="L1086" s="2018"/>
      <c r="M1086" s="2018"/>
      <c r="N1086" s="2018"/>
      <c r="O1086" s="2018"/>
      <c r="P1086" s="2018"/>
      <c r="Q1086" s="2018"/>
      <c r="R1086" s="2018"/>
      <c r="S1086" s="2018"/>
      <c r="T1086" s="2018"/>
      <c r="U1086" s="2018"/>
      <c r="V1086" s="2018"/>
      <c r="W1086" s="2018"/>
      <c r="X1086" s="2018"/>
      <c r="Y1086" s="2018"/>
      <c r="Z1086" s="2105"/>
      <c r="AA1086" s="2105"/>
      <c r="AB1086" s="1050"/>
      <c r="AC1086" s="1050"/>
      <c r="AD1086" s="1050"/>
      <c r="AE1086" s="1050"/>
      <c r="AF1086" s="1052"/>
    </row>
    <row r="1087" spans="1:32" ht="15.75" x14ac:dyDescent="0.25">
      <c r="A1087" s="2017"/>
      <c r="B1087" s="2018"/>
      <c r="C1087" s="2018"/>
      <c r="D1087" s="2018"/>
      <c r="E1087" s="2018"/>
      <c r="F1087" s="2018"/>
      <c r="G1087" s="2018"/>
      <c r="H1087" s="2018"/>
      <c r="I1087" s="2018"/>
      <c r="J1087" s="2018"/>
      <c r="K1087" s="2018"/>
      <c r="L1087" s="2018"/>
      <c r="M1087" s="2018"/>
      <c r="N1087" s="2018"/>
      <c r="O1087" s="2018"/>
      <c r="P1087" s="2018"/>
      <c r="Q1087" s="2018"/>
      <c r="R1087" s="2018"/>
      <c r="S1087" s="2018"/>
      <c r="T1087" s="2018"/>
      <c r="U1087" s="2018"/>
      <c r="V1087" s="2018"/>
      <c r="W1087" s="2018"/>
      <c r="X1087" s="2018"/>
      <c r="Y1087" s="2018"/>
      <c r="Z1087" s="2105"/>
      <c r="AA1087" s="2105"/>
      <c r="AB1087" s="1050"/>
      <c r="AC1087" s="1050"/>
      <c r="AD1087" s="1050"/>
      <c r="AE1087" s="1050"/>
      <c r="AF1087" s="1052"/>
    </row>
    <row r="1088" spans="1:32" ht="15.75" x14ac:dyDescent="0.25">
      <c r="A1088" s="2017"/>
      <c r="B1088" s="2018"/>
      <c r="C1088" s="2018"/>
      <c r="D1088" s="2018"/>
      <c r="E1088" s="2018"/>
      <c r="F1088" s="2018"/>
      <c r="G1088" s="2018"/>
      <c r="H1088" s="2018"/>
      <c r="I1088" s="2018"/>
      <c r="J1088" s="2018"/>
      <c r="K1088" s="2018"/>
      <c r="L1088" s="2018"/>
      <c r="M1088" s="2018"/>
      <c r="N1088" s="2018"/>
      <c r="O1088" s="2018"/>
      <c r="P1088" s="2018"/>
      <c r="Q1088" s="2018"/>
      <c r="R1088" s="2018"/>
      <c r="S1088" s="2018"/>
      <c r="T1088" s="2018"/>
      <c r="U1088" s="2018"/>
      <c r="V1088" s="2018"/>
      <c r="W1088" s="2018"/>
      <c r="X1088" s="2018"/>
      <c r="Y1088" s="2018"/>
      <c r="Z1088" s="2105"/>
      <c r="AA1088" s="2105"/>
      <c r="AB1088" s="1050"/>
      <c r="AC1088" s="1050"/>
      <c r="AD1088" s="1050"/>
      <c r="AE1088" s="1050"/>
      <c r="AF1088" s="1052"/>
    </row>
    <row r="1089" spans="1:32" ht="15.75" x14ac:dyDescent="0.25">
      <c r="A1089" s="2017"/>
      <c r="B1089" s="2018"/>
      <c r="C1089" s="2018"/>
      <c r="D1089" s="2018"/>
      <c r="E1089" s="2018"/>
      <c r="F1089" s="2018"/>
      <c r="G1089" s="2018"/>
      <c r="H1089" s="2018"/>
      <c r="I1089" s="2018"/>
      <c r="J1089" s="2018"/>
      <c r="K1089" s="2018"/>
      <c r="L1089" s="2018"/>
      <c r="M1089" s="2018"/>
      <c r="N1089" s="2018"/>
      <c r="O1089" s="2018"/>
      <c r="P1089" s="2018"/>
      <c r="Q1089" s="2018"/>
      <c r="R1089" s="2018"/>
      <c r="S1089" s="2018"/>
      <c r="T1089" s="2018"/>
      <c r="U1089" s="2018"/>
      <c r="V1089" s="2018"/>
      <c r="W1089" s="2018"/>
      <c r="X1089" s="2018"/>
      <c r="Y1089" s="2018"/>
      <c r="Z1089" s="2105"/>
      <c r="AA1089" s="2105"/>
      <c r="AB1089" s="1050"/>
      <c r="AC1089" s="1050"/>
      <c r="AD1089" s="1050"/>
      <c r="AE1089" s="1050"/>
      <c r="AF1089" s="1052"/>
    </row>
    <row r="1090" spans="1:32" ht="15.75" x14ac:dyDescent="0.25">
      <c r="A1090" s="2017"/>
      <c r="B1090" s="2018"/>
      <c r="C1090" s="2018"/>
      <c r="D1090" s="2018"/>
      <c r="E1090" s="2018"/>
      <c r="F1090" s="2018"/>
      <c r="G1090" s="2018"/>
      <c r="H1090" s="2018"/>
      <c r="I1090" s="2018"/>
      <c r="J1090" s="2018"/>
      <c r="K1090" s="2018"/>
      <c r="L1090" s="2018"/>
      <c r="M1090" s="2018"/>
      <c r="N1090" s="2018"/>
      <c r="O1090" s="2018"/>
      <c r="P1090" s="2018"/>
      <c r="Q1090" s="2018"/>
      <c r="R1090" s="2018"/>
      <c r="S1090" s="2018"/>
      <c r="T1090" s="2018"/>
      <c r="U1090" s="2018"/>
      <c r="V1090" s="2018"/>
      <c r="W1090" s="2018"/>
      <c r="X1090" s="2018"/>
      <c r="Y1090" s="2018"/>
      <c r="Z1090" s="2105"/>
      <c r="AA1090" s="2105"/>
      <c r="AB1090" s="1050"/>
      <c r="AC1090" s="1050"/>
      <c r="AD1090" s="1050"/>
      <c r="AE1090" s="1050"/>
      <c r="AF1090" s="1052"/>
    </row>
    <row r="1091" spans="1:32" ht="15.75" x14ac:dyDescent="0.25">
      <c r="A1091" s="2017"/>
      <c r="B1091" s="2018"/>
      <c r="C1091" s="2018"/>
      <c r="D1091" s="2018"/>
      <c r="E1091" s="2018"/>
      <c r="F1091" s="2018"/>
      <c r="G1091" s="2018"/>
      <c r="H1091" s="2018"/>
      <c r="I1091" s="2018"/>
      <c r="J1091" s="2018"/>
      <c r="K1091" s="2018"/>
      <c r="L1091" s="2018"/>
      <c r="M1091" s="2018"/>
      <c r="N1091" s="2018"/>
      <c r="O1091" s="2018"/>
      <c r="P1091" s="2018"/>
      <c r="Q1091" s="2018"/>
      <c r="R1091" s="2018"/>
      <c r="S1091" s="2018"/>
      <c r="T1091" s="2018"/>
      <c r="U1091" s="2018"/>
      <c r="V1091" s="2018"/>
      <c r="W1091" s="2018"/>
      <c r="X1091" s="2018"/>
      <c r="Y1091" s="2018"/>
      <c r="Z1091" s="2105"/>
      <c r="AA1091" s="2105"/>
      <c r="AB1091" s="1050"/>
      <c r="AC1091" s="1050"/>
      <c r="AD1091" s="1050"/>
      <c r="AE1091" s="1050"/>
      <c r="AF1091" s="1052"/>
    </row>
    <row r="1092" spans="1:32" ht="15.75" x14ac:dyDescent="0.25">
      <c r="A1092" s="2017"/>
      <c r="B1092" s="2018"/>
      <c r="C1092" s="2018"/>
      <c r="D1092" s="2018"/>
      <c r="E1092" s="2018"/>
      <c r="F1092" s="2018"/>
      <c r="G1092" s="2018"/>
      <c r="H1092" s="2018"/>
      <c r="I1092" s="2018"/>
      <c r="J1092" s="2018"/>
      <c r="K1092" s="2018"/>
      <c r="L1092" s="2018"/>
      <c r="M1092" s="2018"/>
      <c r="N1092" s="2018"/>
      <c r="O1092" s="2018"/>
      <c r="P1092" s="2018"/>
      <c r="Q1092" s="2018"/>
      <c r="R1092" s="2018"/>
      <c r="S1092" s="2018"/>
      <c r="T1092" s="2018"/>
      <c r="U1092" s="2018"/>
      <c r="V1092" s="2018"/>
      <c r="W1092" s="2018"/>
      <c r="X1092" s="2018"/>
      <c r="Y1092" s="2018"/>
      <c r="Z1092" s="2105"/>
      <c r="AA1092" s="2105"/>
      <c r="AB1092" s="1050"/>
      <c r="AC1092" s="1050"/>
      <c r="AD1092" s="1050"/>
      <c r="AE1092" s="1050"/>
      <c r="AF1092" s="1052"/>
    </row>
    <row r="1093" spans="1:32" ht="15.75" x14ac:dyDescent="0.25">
      <c r="A1093" s="2017"/>
      <c r="B1093" s="2018"/>
      <c r="C1093" s="2018"/>
      <c r="D1093" s="2018"/>
      <c r="E1093" s="2018"/>
      <c r="F1093" s="2018"/>
      <c r="G1093" s="2018"/>
      <c r="H1093" s="2018"/>
      <c r="I1093" s="2018"/>
      <c r="J1093" s="2018"/>
      <c r="K1093" s="2018"/>
      <c r="L1093" s="2018"/>
      <c r="M1093" s="2018"/>
      <c r="N1093" s="2018"/>
      <c r="O1093" s="2018"/>
      <c r="P1093" s="2018"/>
      <c r="Q1093" s="2018"/>
      <c r="R1093" s="2018"/>
      <c r="S1093" s="2018"/>
      <c r="T1093" s="2018"/>
      <c r="U1093" s="2018"/>
      <c r="V1093" s="2018"/>
      <c r="W1093" s="2018"/>
      <c r="X1093" s="2018"/>
      <c r="Y1093" s="2018"/>
      <c r="Z1093" s="2022"/>
      <c r="AA1093" s="2022"/>
      <c r="AB1093" s="1050"/>
      <c r="AC1093" s="1050"/>
      <c r="AD1093" s="1050"/>
      <c r="AE1093" s="1050"/>
      <c r="AF1093" s="1052"/>
    </row>
    <row r="1094" spans="1:32" ht="15.75" x14ac:dyDescent="0.25">
      <c r="A1094" s="2017"/>
      <c r="B1094" s="2018"/>
      <c r="C1094" s="2018"/>
      <c r="D1094" s="2018"/>
      <c r="E1094" s="2018"/>
      <c r="F1094" s="2018"/>
      <c r="G1094" s="2018"/>
      <c r="H1094" s="2018"/>
      <c r="I1094" s="2018"/>
      <c r="J1094" s="2018"/>
      <c r="K1094" s="2018"/>
      <c r="L1094" s="2018"/>
      <c r="M1094" s="2018"/>
      <c r="N1094" s="2018"/>
      <c r="O1094" s="2018"/>
      <c r="P1094" s="2018"/>
      <c r="Q1094" s="2018"/>
      <c r="R1094" s="2018"/>
      <c r="S1094" s="2018"/>
      <c r="T1094" s="2018"/>
      <c r="U1094" s="2018"/>
      <c r="V1094" s="2018"/>
      <c r="W1094" s="2018"/>
      <c r="X1094" s="2018"/>
      <c r="Y1094" s="2018"/>
      <c r="Z1094" s="2022"/>
      <c r="AA1094" s="2022"/>
      <c r="AB1094" s="1050"/>
      <c r="AC1094" s="1050"/>
      <c r="AD1094" s="1050"/>
      <c r="AE1094" s="1050"/>
      <c r="AF1094" s="1052"/>
    </row>
    <row r="1095" spans="1:32" ht="15.75" x14ac:dyDescent="0.25">
      <c r="A1095" s="2017"/>
      <c r="B1095" s="2018"/>
      <c r="C1095" s="2018"/>
      <c r="D1095" s="2018"/>
      <c r="E1095" s="2018"/>
      <c r="F1095" s="2018"/>
      <c r="G1095" s="2018"/>
      <c r="H1095" s="2018"/>
      <c r="I1095" s="2018"/>
      <c r="J1095" s="2018"/>
      <c r="K1095" s="2018"/>
      <c r="L1095" s="2018"/>
      <c r="M1095" s="2018"/>
      <c r="N1095" s="2018"/>
      <c r="O1095" s="2018"/>
      <c r="P1095" s="2018"/>
      <c r="Q1095" s="2018"/>
      <c r="R1095" s="2018"/>
      <c r="S1095" s="2018"/>
      <c r="T1095" s="2018"/>
      <c r="U1095" s="2018"/>
      <c r="V1095" s="2018"/>
      <c r="W1095" s="2018"/>
      <c r="X1095" s="2018"/>
      <c r="Y1095" s="2018"/>
      <c r="Z1095" s="2022"/>
      <c r="AA1095" s="2022"/>
      <c r="AB1095" s="1050"/>
      <c r="AC1095" s="1050"/>
      <c r="AD1095" s="1050"/>
      <c r="AE1095" s="1050"/>
      <c r="AF1095" s="1052"/>
    </row>
    <row r="1096" spans="1:32" ht="15.75" x14ac:dyDescent="0.25">
      <c r="A1096" s="2017"/>
      <c r="B1096" s="2018"/>
      <c r="C1096" s="2018"/>
      <c r="D1096" s="2018"/>
      <c r="E1096" s="2018"/>
      <c r="F1096" s="2018"/>
      <c r="G1096" s="2018"/>
      <c r="H1096" s="2018"/>
      <c r="I1096" s="2018"/>
      <c r="J1096" s="2018"/>
      <c r="K1096" s="2018"/>
      <c r="L1096" s="2018"/>
      <c r="M1096" s="2018"/>
      <c r="N1096" s="2018"/>
      <c r="O1096" s="2018"/>
      <c r="P1096" s="2018"/>
      <c r="Q1096" s="2018"/>
      <c r="R1096" s="2018"/>
      <c r="S1096" s="2018"/>
      <c r="T1096" s="2018"/>
      <c r="U1096" s="2018"/>
      <c r="V1096" s="2018"/>
      <c r="W1096" s="2018"/>
      <c r="X1096" s="2018"/>
      <c r="Y1096" s="2018"/>
      <c r="Z1096" s="2022"/>
      <c r="AA1096" s="2022"/>
      <c r="AB1096" s="1050"/>
      <c r="AC1096" s="1050"/>
      <c r="AD1096" s="1050"/>
      <c r="AE1096" s="1050"/>
      <c r="AF1096" s="1052"/>
    </row>
    <row r="1097" spans="1:32" ht="15.75" x14ac:dyDescent="0.25">
      <c r="A1097" s="2017"/>
      <c r="B1097" s="2018"/>
      <c r="C1097" s="2018"/>
      <c r="D1097" s="2018"/>
      <c r="E1097" s="2018"/>
      <c r="F1097" s="2018"/>
      <c r="G1097" s="2018"/>
      <c r="H1097" s="2018"/>
      <c r="I1097" s="2018"/>
      <c r="J1097" s="2018"/>
      <c r="K1097" s="2018"/>
      <c r="L1097" s="2018"/>
      <c r="M1097" s="2018"/>
      <c r="N1097" s="2018"/>
      <c r="O1097" s="2018"/>
      <c r="P1097" s="2018"/>
      <c r="Q1097" s="2018"/>
      <c r="R1097" s="2018"/>
      <c r="S1097" s="2018"/>
      <c r="T1097" s="2018"/>
      <c r="U1097" s="2018"/>
      <c r="V1097" s="2018"/>
      <c r="W1097" s="2018"/>
      <c r="X1097" s="2018"/>
      <c r="Y1097" s="2018"/>
      <c r="Z1097" s="2023"/>
      <c r="AA1097" s="2023"/>
      <c r="AB1097" s="1050"/>
      <c r="AC1097" s="1050"/>
      <c r="AD1097" s="1050"/>
      <c r="AE1097" s="1050"/>
      <c r="AF1097" s="1052"/>
    </row>
    <row r="1098" spans="1:32" ht="15.75" x14ac:dyDescent="0.25">
      <c r="A1098" s="2017"/>
      <c r="B1098" s="2018"/>
      <c r="C1098" s="2018"/>
      <c r="D1098" s="2018"/>
      <c r="E1098" s="2018"/>
      <c r="F1098" s="2018"/>
      <c r="G1098" s="2018"/>
      <c r="H1098" s="2018"/>
      <c r="I1098" s="2018"/>
      <c r="J1098" s="2018"/>
      <c r="K1098" s="2018"/>
      <c r="L1098" s="2018"/>
      <c r="M1098" s="2018"/>
      <c r="N1098" s="2018"/>
      <c r="O1098" s="2018"/>
      <c r="P1098" s="2018"/>
      <c r="Q1098" s="2018"/>
      <c r="R1098" s="2018"/>
      <c r="S1098" s="2018"/>
      <c r="T1098" s="2018"/>
      <c r="U1098" s="2018"/>
      <c r="V1098" s="2018"/>
      <c r="W1098" s="2018"/>
      <c r="X1098" s="2018"/>
      <c r="Y1098" s="2018"/>
      <c r="Z1098" s="2023"/>
      <c r="AA1098" s="2023"/>
      <c r="AB1098" s="1050"/>
      <c r="AC1098" s="1050"/>
      <c r="AD1098" s="1050"/>
      <c r="AE1098" s="1050"/>
      <c r="AF1098" s="1052"/>
    </row>
    <row r="1099" spans="1:32" ht="15.75" x14ac:dyDescent="0.25">
      <c r="A1099" s="2017"/>
      <c r="B1099" s="2018"/>
      <c r="C1099" s="2018"/>
      <c r="D1099" s="2018"/>
      <c r="E1099" s="2018"/>
      <c r="F1099" s="2018"/>
      <c r="G1099" s="2018"/>
      <c r="H1099" s="2018"/>
      <c r="I1099" s="2018"/>
      <c r="J1099" s="2018"/>
      <c r="K1099" s="2018"/>
      <c r="L1099" s="2018"/>
      <c r="M1099" s="2018"/>
      <c r="N1099" s="2018"/>
      <c r="O1099" s="2018"/>
      <c r="P1099" s="2018"/>
      <c r="Q1099" s="2018"/>
      <c r="R1099" s="2018"/>
      <c r="S1099" s="2018"/>
      <c r="T1099" s="2018"/>
      <c r="U1099" s="2018"/>
      <c r="V1099" s="2018"/>
      <c r="W1099" s="2018"/>
      <c r="X1099" s="2018"/>
      <c r="Y1099" s="2018"/>
      <c r="Z1099" s="2023"/>
      <c r="AA1099" s="2023"/>
      <c r="AB1099" s="1050"/>
      <c r="AC1099" s="1050"/>
      <c r="AD1099" s="1050"/>
      <c r="AE1099" s="1050"/>
      <c r="AF1099" s="1052"/>
    </row>
    <row r="1100" spans="1:32" ht="15.75" x14ac:dyDescent="0.25">
      <c r="A1100" s="2017"/>
      <c r="B1100" s="2018"/>
      <c r="C1100" s="2018"/>
      <c r="D1100" s="2018"/>
      <c r="E1100" s="2018"/>
      <c r="F1100" s="2018"/>
      <c r="G1100" s="2018"/>
      <c r="H1100" s="2018"/>
      <c r="I1100" s="2018"/>
      <c r="J1100" s="2018"/>
      <c r="K1100" s="2018"/>
      <c r="L1100" s="2018"/>
      <c r="M1100" s="2018"/>
      <c r="N1100" s="2018"/>
      <c r="O1100" s="2018"/>
      <c r="P1100" s="2018"/>
      <c r="Q1100" s="2018"/>
      <c r="R1100" s="2018"/>
      <c r="S1100" s="2018"/>
      <c r="T1100" s="2018"/>
      <c r="U1100" s="2018"/>
      <c r="V1100" s="2018"/>
      <c r="W1100" s="2018"/>
      <c r="X1100" s="2018"/>
      <c r="Y1100" s="2018"/>
      <c r="Z1100" s="2023"/>
      <c r="AA1100" s="2023"/>
      <c r="AB1100" s="1050"/>
      <c r="AC1100" s="1050"/>
      <c r="AD1100" s="1050"/>
      <c r="AE1100" s="1050"/>
      <c r="AF1100" s="1052"/>
    </row>
    <row r="1101" spans="1:32" ht="15.75" x14ac:dyDescent="0.25">
      <c r="A1101" s="2017"/>
      <c r="B1101" s="2018"/>
      <c r="C1101" s="2018"/>
      <c r="D1101" s="2018"/>
      <c r="E1101" s="2018"/>
      <c r="F1101" s="2018"/>
      <c r="G1101" s="2018"/>
      <c r="H1101" s="2018"/>
      <c r="I1101" s="2018"/>
      <c r="J1101" s="2018"/>
      <c r="K1101" s="2018"/>
      <c r="L1101" s="2018"/>
      <c r="M1101" s="2018"/>
      <c r="N1101" s="2018"/>
      <c r="O1101" s="2018"/>
      <c r="P1101" s="2018"/>
      <c r="Q1101" s="2018"/>
      <c r="R1101" s="2018"/>
      <c r="S1101" s="2018"/>
      <c r="T1101" s="2018"/>
      <c r="U1101" s="2018"/>
      <c r="V1101" s="2018"/>
      <c r="W1101" s="2018"/>
      <c r="X1101" s="2018"/>
      <c r="Y1101" s="2018"/>
      <c r="Z1101" s="2023"/>
      <c r="AA1101" s="2023"/>
      <c r="AB1101" s="1050"/>
      <c r="AC1101" s="1050"/>
      <c r="AD1101" s="1050"/>
      <c r="AE1101" s="1050"/>
      <c r="AF1101" s="1052"/>
    </row>
    <row r="1102" spans="1:32" ht="15.75" x14ac:dyDescent="0.25">
      <c r="A1102" s="2017"/>
      <c r="B1102" s="2018"/>
      <c r="C1102" s="2018"/>
      <c r="D1102" s="2018"/>
      <c r="E1102" s="2018"/>
      <c r="F1102" s="2018"/>
      <c r="G1102" s="2018"/>
      <c r="H1102" s="2018"/>
      <c r="I1102" s="2018"/>
      <c r="J1102" s="2018"/>
      <c r="K1102" s="2018"/>
      <c r="L1102" s="2018"/>
      <c r="M1102" s="2018"/>
      <c r="N1102" s="2018"/>
      <c r="O1102" s="2018"/>
      <c r="P1102" s="2018"/>
      <c r="Q1102" s="2018"/>
      <c r="R1102" s="2018"/>
      <c r="S1102" s="2018"/>
      <c r="T1102" s="2018"/>
      <c r="U1102" s="2018"/>
      <c r="V1102" s="2018"/>
      <c r="W1102" s="2018"/>
      <c r="X1102" s="2018"/>
      <c r="Y1102" s="2018"/>
      <c r="Z1102" s="2023"/>
      <c r="AA1102" s="2023"/>
      <c r="AB1102" s="1050"/>
      <c r="AC1102" s="1050"/>
      <c r="AD1102" s="1050"/>
      <c r="AE1102" s="1050"/>
      <c r="AF1102" s="1052"/>
    </row>
    <row r="1103" spans="1:32" ht="16.5" thickBot="1" x14ac:dyDescent="0.3">
      <c r="A1103" s="2019"/>
      <c r="B1103" s="2020"/>
      <c r="C1103" s="2020"/>
      <c r="D1103" s="2020"/>
      <c r="E1103" s="2020"/>
      <c r="F1103" s="2020"/>
      <c r="G1103" s="2020"/>
      <c r="H1103" s="2020"/>
      <c r="I1103" s="2020"/>
      <c r="J1103" s="2020"/>
      <c r="K1103" s="2020"/>
      <c r="L1103" s="2020"/>
      <c r="M1103" s="2020"/>
      <c r="N1103" s="2020"/>
      <c r="O1103" s="2020"/>
      <c r="P1103" s="2020"/>
      <c r="Q1103" s="2020"/>
      <c r="R1103" s="2020"/>
      <c r="S1103" s="2020"/>
      <c r="T1103" s="2020"/>
      <c r="U1103" s="2020"/>
      <c r="V1103" s="2020"/>
      <c r="W1103" s="2020"/>
      <c r="X1103" s="2020"/>
      <c r="Y1103" s="2020"/>
      <c r="Z1103" s="2024"/>
      <c r="AA1103" s="2024"/>
      <c r="AB1103" s="1057"/>
      <c r="AC1103" s="1057"/>
      <c r="AD1103" s="1057"/>
      <c r="AE1103" s="1057"/>
      <c r="AF1103" s="1058"/>
    </row>
    <row r="1104" spans="1:32" ht="15.75" x14ac:dyDescent="0.25">
      <c r="A1104" s="2009" t="s">
        <v>1855</v>
      </c>
      <c r="B1104" s="2010"/>
      <c r="C1104" s="2010"/>
      <c r="D1104" s="2010"/>
      <c r="E1104" s="2010"/>
      <c r="F1104" s="2010"/>
      <c r="G1104" s="2010"/>
      <c r="H1104" s="2010"/>
      <c r="I1104" s="2010"/>
      <c r="J1104" s="2010"/>
      <c r="K1104" s="2010"/>
      <c r="L1104" s="2010"/>
      <c r="M1104" s="2010"/>
      <c r="N1104" s="2010"/>
      <c r="O1104" s="2010"/>
      <c r="P1104" s="2010"/>
      <c r="Q1104" s="2010"/>
      <c r="R1104" s="2010"/>
      <c r="S1104" s="2010"/>
      <c r="T1104" s="2010"/>
      <c r="U1104" s="2010"/>
      <c r="V1104" s="2010"/>
      <c r="W1104" s="2010"/>
      <c r="X1104" s="2010"/>
      <c r="Y1104" s="2010"/>
      <c r="Z1104" s="2013" t="s">
        <v>1850</v>
      </c>
      <c r="AA1104" s="2013"/>
      <c r="AB1104" s="2013"/>
      <c r="AC1104" s="2013"/>
      <c r="AD1104" s="2013"/>
      <c r="AE1104" s="2013"/>
      <c r="AF1104" s="1059">
        <f>SUM(AF1080:AF1103)</f>
        <v>3</v>
      </c>
    </row>
    <row r="1105" spans="1:32" ht="15.75" x14ac:dyDescent="0.25">
      <c r="A1105" s="2011"/>
      <c r="B1105" s="2012"/>
      <c r="C1105" s="2012"/>
      <c r="D1105" s="2012"/>
      <c r="E1105" s="2012"/>
      <c r="F1105" s="2012"/>
      <c r="G1105" s="2012"/>
      <c r="H1105" s="2012"/>
      <c r="I1105" s="2012"/>
      <c r="J1105" s="2012"/>
      <c r="K1105" s="2012"/>
      <c r="L1105" s="2012"/>
      <c r="M1105" s="2012"/>
      <c r="N1105" s="2012"/>
      <c r="O1105" s="2012"/>
      <c r="P1105" s="2012"/>
      <c r="Q1105" s="2012"/>
      <c r="R1105" s="2012"/>
      <c r="S1105" s="2012"/>
      <c r="T1105" s="2012"/>
      <c r="U1105" s="2012"/>
      <c r="V1105" s="2012"/>
      <c r="W1105" s="2012"/>
      <c r="X1105" s="2012"/>
      <c r="Y1105" s="2012"/>
      <c r="Z1105" s="2014" t="s">
        <v>1851</v>
      </c>
      <c r="AA1105" s="2014"/>
      <c r="AB1105" s="2014"/>
      <c r="AC1105" s="2014"/>
      <c r="AD1105" s="2014"/>
      <c r="AE1105" s="2014"/>
      <c r="AF1105" s="1060">
        <v>0</v>
      </c>
    </row>
    <row r="1106" spans="1:32" ht="15.75" x14ac:dyDescent="0.25">
      <c r="A1106" s="2011"/>
      <c r="B1106" s="2012"/>
      <c r="C1106" s="2012"/>
      <c r="D1106" s="2012"/>
      <c r="E1106" s="2012"/>
      <c r="F1106" s="2012"/>
      <c r="G1106" s="2012"/>
      <c r="H1106" s="2012"/>
      <c r="I1106" s="2012"/>
      <c r="J1106" s="2012"/>
      <c r="K1106" s="2012"/>
      <c r="L1106" s="2012"/>
      <c r="M1106" s="2012"/>
      <c r="N1106" s="2012"/>
      <c r="O1106" s="2012"/>
      <c r="P1106" s="2012"/>
      <c r="Q1106" s="2012"/>
      <c r="R1106" s="2012"/>
      <c r="S1106" s="2012"/>
      <c r="T1106" s="2012"/>
      <c r="U1106" s="2012"/>
      <c r="V1106" s="2012"/>
      <c r="W1106" s="2012"/>
      <c r="X1106" s="2012"/>
      <c r="Y1106" s="2012"/>
      <c r="Z1106" s="2015" t="s">
        <v>1833</v>
      </c>
      <c r="AA1106" s="2015"/>
      <c r="AB1106" s="2015"/>
      <c r="AC1106" s="2015"/>
      <c r="AD1106" s="2015"/>
      <c r="AE1106" s="2015"/>
      <c r="AF1106" s="1061">
        <f>SUM(AF1104:AF1105)</f>
        <v>3</v>
      </c>
    </row>
    <row r="1107" spans="1:32" x14ac:dyDescent="0.2">
      <c r="A1107" s="2012" t="s">
        <v>1859</v>
      </c>
      <c r="B1107" s="2012"/>
      <c r="C1107" s="2012"/>
      <c r="D1107" s="2012"/>
      <c r="E1107" s="2012"/>
      <c r="F1107" s="2012"/>
      <c r="G1107" s="2012"/>
      <c r="H1107" s="2012"/>
      <c r="I1107" s="2012"/>
      <c r="J1107" s="2012"/>
      <c r="K1107" s="2012"/>
      <c r="L1107" s="2012"/>
      <c r="M1107" s="2012"/>
      <c r="N1107" s="2012"/>
      <c r="O1107" s="2012"/>
      <c r="P1107" s="2012"/>
      <c r="Q1107" s="2012"/>
      <c r="R1107" s="2012"/>
      <c r="S1107" s="2012"/>
      <c r="T1107" s="2016" t="s">
        <v>1840</v>
      </c>
      <c r="U1107" s="2016"/>
      <c r="V1107" s="2016"/>
      <c r="W1107" s="2016"/>
      <c r="X1107" s="2016"/>
      <c r="Y1107" s="2016"/>
      <c r="Z1107" s="2016"/>
      <c r="AA1107" s="2016"/>
      <c r="AB1107" s="2012" t="s">
        <v>1852</v>
      </c>
      <c r="AC1107" s="2012"/>
      <c r="AD1107" s="2012"/>
      <c r="AE1107" s="2012"/>
      <c r="AF1107" s="2012"/>
    </row>
    <row r="1108" spans="1:32" x14ac:dyDescent="0.2">
      <c r="A1108" s="2012"/>
      <c r="B1108" s="2012"/>
      <c r="C1108" s="2012"/>
      <c r="D1108" s="2012"/>
      <c r="E1108" s="2012"/>
      <c r="F1108" s="2012"/>
      <c r="G1108" s="2012"/>
      <c r="H1108" s="2012"/>
      <c r="I1108" s="2012"/>
      <c r="J1108" s="2012"/>
      <c r="K1108" s="2012"/>
      <c r="L1108" s="2012"/>
      <c r="M1108" s="2012"/>
      <c r="N1108" s="2012"/>
      <c r="O1108" s="2012"/>
      <c r="P1108" s="2012"/>
      <c r="Q1108" s="2012"/>
      <c r="R1108" s="2012"/>
      <c r="S1108" s="2012"/>
      <c r="T1108" s="2016"/>
      <c r="U1108" s="2016"/>
      <c r="V1108" s="2016"/>
      <c r="W1108" s="2016"/>
      <c r="X1108" s="2016"/>
      <c r="Y1108" s="2016"/>
      <c r="Z1108" s="2016"/>
      <c r="AA1108" s="2016"/>
      <c r="AB1108" s="2012"/>
      <c r="AC1108" s="2012"/>
      <c r="AD1108" s="2012"/>
      <c r="AE1108" s="2012"/>
      <c r="AF1108" s="2012"/>
    </row>
    <row r="1109" spans="1:32" ht="13.5" thickBot="1" x14ac:dyDescent="0.25"/>
    <row r="1110" spans="1:32" ht="23.45" customHeight="1" x14ac:dyDescent="0.2">
      <c r="A1110" s="2025" t="s">
        <v>1854</v>
      </c>
      <c r="B1110" s="2026"/>
      <c r="C1110" s="2026"/>
      <c r="D1110" s="2026"/>
      <c r="E1110" s="2026"/>
      <c r="F1110" s="2026"/>
      <c r="G1110" s="2026"/>
      <c r="H1110" s="2026"/>
      <c r="I1110" s="2026"/>
      <c r="J1110" s="2026"/>
      <c r="K1110" s="2026"/>
      <c r="L1110" s="2026"/>
      <c r="M1110" s="2026"/>
      <c r="N1110" s="2026"/>
      <c r="O1110" s="2026"/>
      <c r="P1110" s="2026"/>
      <c r="Q1110" s="2026"/>
      <c r="R1110" s="2026"/>
      <c r="S1110" s="2026"/>
      <c r="T1110" s="2026"/>
      <c r="U1110" s="2026"/>
      <c r="V1110" s="2026"/>
      <c r="W1110" s="2026"/>
      <c r="X1110" s="2026"/>
      <c r="Y1110" s="2026"/>
      <c r="Z1110" s="2026"/>
      <c r="AA1110" s="2026"/>
      <c r="AB1110" s="2026"/>
      <c r="AC1110" s="2026"/>
      <c r="AD1110" s="2026"/>
      <c r="AE1110" s="1041" t="s">
        <v>1834</v>
      </c>
      <c r="AF1110" s="1042" t="s">
        <v>1835</v>
      </c>
    </row>
    <row r="1111" spans="1:32" ht="24" customHeight="1" thickBot="1" x14ac:dyDescent="0.25">
      <c r="A1111" s="2027"/>
      <c r="B1111" s="2028"/>
      <c r="C1111" s="2028"/>
      <c r="D1111" s="2028"/>
      <c r="E1111" s="2028"/>
      <c r="F1111" s="2028"/>
      <c r="G1111" s="2028"/>
      <c r="H1111" s="2028"/>
      <c r="I1111" s="2028"/>
      <c r="J1111" s="2028"/>
      <c r="K1111" s="2028"/>
      <c r="L1111" s="2028"/>
      <c r="M1111" s="2028"/>
      <c r="N1111" s="2028"/>
      <c r="O1111" s="2028"/>
      <c r="P1111" s="2028"/>
      <c r="Q1111" s="2028"/>
      <c r="R1111" s="2028"/>
      <c r="S1111" s="2028"/>
      <c r="T1111" s="2028"/>
      <c r="U1111" s="2028"/>
      <c r="V1111" s="2028"/>
      <c r="W1111" s="2028"/>
      <c r="X1111" s="2028"/>
      <c r="Y1111" s="2028"/>
      <c r="Z1111" s="2028"/>
      <c r="AA1111" s="2028"/>
      <c r="AB1111" s="2028"/>
      <c r="AC1111" s="2028"/>
      <c r="AD1111" s="2028"/>
      <c r="AE1111" s="1041" t="s">
        <v>1836</v>
      </c>
      <c r="AF1111" s="1044">
        <v>1</v>
      </c>
    </row>
    <row r="1112" spans="1:32" ht="15.75" x14ac:dyDescent="0.2">
      <c r="A1112" s="2029"/>
      <c r="B1112" s="2030"/>
      <c r="C1112" s="2030"/>
      <c r="D1112" s="2031"/>
      <c r="E1112" s="2025" t="str">
        <f>'01'!$A$12</f>
        <v>"CONSTRUCCION SISTEMA DE ACUEDUCTO FASE II DEL MUNICIPIO DE TESALIA DPTO DEL HUILA"</v>
      </c>
      <c r="F1112" s="2026"/>
      <c r="G1112" s="2026"/>
      <c r="H1112" s="2026"/>
      <c r="I1112" s="2026"/>
      <c r="J1112" s="2026"/>
      <c r="K1112" s="2026"/>
      <c r="L1112" s="2026"/>
      <c r="M1112" s="2026"/>
      <c r="N1112" s="2026"/>
      <c r="O1112" s="2026"/>
      <c r="P1112" s="2026"/>
      <c r="Q1112" s="2026"/>
      <c r="R1112" s="2026"/>
      <c r="S1112" s="2026"/>
      <c r="T1112" s="2026"/>
      <c r="U1112" s="2026"/>
      <c r="V1112" s="2026"/>
      <c r="W1112" s="2026"/>
      <c r="X1112" s="2026"/>
      <c r="Y1112" s="2026"/>
      <c r="Z1112" s="2026"/>
      <c r="AA1112" s="2026"/>
      <c r="AB1112" s="2026"/>
      <c r="AC1112" s="2026"/>
      <c r="AD1112" s="2035"/>
      <c r="AE1112" s="1041" t="s">
        <v>847</v>
      </c>
      <c r="AF1112" s="1045">
        <f>'01'!$M$13</f>
        <v>0</v>
      </c>
    </row>
    <row r="1113" spans="1:32" ht="16.5" thickBot="1" x14ac:dyDescent="0.25">
      <c r="A1113" s="2032"/>
      <c r="B1113" s="2033"/>
      <c r="C1113" s="2033"/>
      <c r="D1113" s="2034"/>
      <c r="E1113" s="2027"/>
      <c r="F1113" s="2028"/>
      <c r="G1113" s="2028"/>
      <c r="H1113" s="2028"/>
      <c r="I1113" s="2028"/>
      <c r="J1113" s="2028"/>
      <c r="K1113" s="2028"/>
      <c r="L1113" s="2028"/>
      <c r="M1113" s="2028"/>
      <c r="N1113" s="2028"/>
      <c r="O1113" s="2028"/>
      <c r="P1113" s="2028"/>
      <c r="Q1113" s="2028"/>
      <c r="R1113" s="2028"/>
      <c r="S1113" s="2028"/>
      <c r="T1113" s="2028"/>
      <c r="U1113" s="2028"/>
      <c r="V1113" s="2028"/>
      <c r="W1113" s="2028"/>
      <c r="X1113" s="2028"/>
      <c r="Y1113" s="2028"/>
      <c r="Z1113" s="2028"/>
      <c r="AA1113" s="2028"/>
      <c r="AB1113" s="2028"/>
      <c r="AC1113" s="2028"/>
      <c r="AD1113" s="2036"/>
      <c r="AE1113" s="1041" t="s">
        <v>1837</v>
      </c>
      <c r="AF1113" s="1042" t="s">
        <v>1838</v>
      </c>
    </row>
    <row r="1114" spans="1:32" ht="15.75" x14ac:dyDescent="0.25">
      <c r="A1114" s="2037" t="s">
        <v>1860</v>
      </c>
      <c r="B1114" s="2038"/>
      <c r="C1114" s="2038"/>
      <c r="D1114" s="2038"/>
      <c r="E1114" s="2038"/>
      <c r="F1114" s="2038"/>
      <c r="G1114" s="2038"/>
      <c r="H1114" s="2038"/>
      <c r="I1114" s="2038"/>
      <c r="J1114" s="2038"/>
      <c r="K1114" s="2038"/>
      <c r="L1114" s="2038"/>
      <c r="M1114" s="2038"/>
      <c r="N1114" s="2038"/>
      <c r="O1114" s="2038"/>
      <c r="P1114" s="2038"/>
      <c r="Q1114" s="2038"/>
      <c r="R1114" s="2038"/>
      <c r="S1114" s="2038"/>
      <c r="T1114" s="2038"/>
      <c r="U1114" s="2038"/>
      <c r="V1114" s="2038"/>
      <c r="W1114" s="2038"/>
      <c r="X1114" s="2038"/>
      <c r="Y1114" s="2038"/>
      <c r="Z1114" s="2038"/>
      <c r="AA1114" s="2038"/>
      <c r="AB1114" s="2038"/>
      <c r="AC1114" s="2038"/>
      <c r="AD1114" s="2038"/>
      <c r="AE1114" s="2039" t="s">
        <v>1839</v>
      </c>
      <c r="AF1114" s="2040"/>
    </row>
    <row r="1115" spans="1:32" ht="15.75" x14ac:dyDescent="0.25">
      <c r="A1115" s="2041" t="s">
        <v>1840</v>
      </c>
      <c r="B1115" s="2042"/>
      <c r="C1115" s="2042"/>
      <c r="D1115" s="2042"/>
      <c r="E1115" s="2042"/>
      <c r="F1115" s="2042"/>
      <c r="G1115" s="2042"/>
      <c r="H1115" s="2042"/>
      <c r="I1115" s="2042"/>
      <c r="J1115" s="2042"/>
      <c r="K1115" s="2042"/>
      <c r="L1115" s="2042"/>
      <c r="M1115" s="2042"/>
      <c r="N1115" s="2042"/>
      <c r="O1115" s="2042"/>
      <c r="P1115" s="2042"/>
      <c r="Q1115" s="2042"/>
      <c r="R1115" s="2042"/>
      <c r="S1115" s="2042"/>
      <c r="T1115" s="2042"/>
      <c r="U1115" s="2042"/>
      <c r="V1115" s="2042"/>
      <c r="W1115" s="2042"/>
      <c r="X1115" s="2042"/>
      <c r="Y1115" s="2042"/>
      <c r="Z1115" s="2042"/>
      <c r="AA1115" s="2042"/>
      <c r="AB1115" s="2042"/>
      <c r="AC1115" s="2042"/>
      <c r="AD1115" s="2043"/>
      <c r="AE1115" s="2014" t="s">
        <v>1841</v>
      </c>
      <c r="AF1115" s="2044"/>
    </row>
    <row r="1116" spans="1:32" ht="15.75" x14ac:dyDescent="0.25">
      <c r="A1116" s="2045" t="s">
        <v>1853</v>
      </c>
      <c r="B1116" s="2046"/>
      <c r="C1116" s="2046"/>
      <c r="D1116" s="2046"/>
      <c r="E1116" s="2046"/>
      <c r="F1116" s="2046"/>
      <c r="G1116" s="2046"/>
      <c r="H1116" s="2046"/>
      <c r="I1116" s="2046"/>
      <c r="J1116" s="2046"/>
      <c r="K1116" s="2046"/>
      <c r="L1116" s="2046"/>
      <c r="M1116" s="2046"/>
      <c r="N1116" s="2046"/>
      <c r="O1116" s="2046"/>
      <c r="P1116" s="2046"/>
      <c r="Q1116" s="2046"/>
      <c r="R1116" s="2046"/>
      <c r="S1116" s="2046"/>
      <c r="T1116" s="2046"/>
      <c r="U1116" s="2046"/>
      <c r="V1116" s="2046"/>
      <c r="W1116" s="2046"/>
      <c r="X1116" s="2046"/>
      <c r="Y1116" s="2046"/>
      <c r="Z1116" s="2046"/>
      <c r="AA1116" s="2046"/>
      <c r="AB1116" s="2046"/>
      <c r="AC1116" s="2046"/>
      <c r="AD1116" s="2046"/>
      <c r="AE1116" s="2047">
        <f>'01'!$M$13</f>
        <v>0</v>
      </c>
      <c r="AF1116" s="2044"/>
    </row>
    <row r="1117" spans="1:32" x14ac:dyDescent="0.2">
      <c r="A1117" s="1046"/>
      <c r="B1117" s="1047"/>
      <c r="C1117" s="1047"/>
      <c r="D1117" s="1047"/>
      <c r="E1117" s="1047"/>
      <c r="F1117" s="1047"/>
      <c r="G1117" s="1047"/>
      <c r="H1117" s="1047"/>
      <c r="I1117" s="1047"/>
      <c r="J1117" s="1047"/>
      <c r="K1117" s="1047"/>
      <c r="L1117" s="1047"/>
      <c r="M1117" s="1047"/>
      <c r="N1117" s="1047"/>
      <c r="O1117" s="1047"/>
      <c r="P1117" s="1047"/>
      <c r="Q1117" s="1047"/>
      <c r="R1117" s="1047"/>
      <c r="S1117" s="1047"/>
      <c r="T1117" s="1047"/>
      <c r="U1117" s="1047"/>
      <c r="V1117" s="1047"/>
      <c r="W1117" s="1047"/>
      <c r="X1117" s="1047"/>
      <c r="Y1117" s="1047"/>
      <c r="Z1117" s="1047"/>
      <c r="AA1117" s="1047"/>
      <c r="AB1117" s="1047"/>
      <c r="AC1117" s="1047"/>
      <c r="AD1117" s="1047"/>
      <c r="AE1117" s="1047"/>
      <c r="AF1117" s="1048"/>
    </row>
    <row r="1118" spans="1:32" ht="15.75" x14ac:dyDescent="0.2">
      <c r="A1118" s="2048" t="s">
        <v>1842</v>
      </c>
      <c r="B1118" s="2049"/>
      <c r="C1118" s="2049"/>
      <c r="D1118" s="2049"/>
      <c r="E1118" s="2049"/>
      <c r="F1118" s="2050" t="str">
        <f>'01'!$H$33</f>
        <v>B - CÁMARA DE LLEGADA Y AQUIETAMIENTO DEL AGUA</v>
      </c>
      <c r="G1118" s="2049"/>
      <c r="H1118" s="2049"/>
      <c r="I1118" s="2049"/>
      <c r="J1118" s="2049"/>
      <c r="K1118" s="2049"/>
      <c r="L1118" s="2049"/>
      <c r="M1118" s="2049"/>
      <c r="N1118" s="2049"/>
      <c r="O1118" s="2049"/>
      <c r="P1118" s="2049"/>
      <c r="Q1118" s="2049"/>
      <c r="R1118" s="2049"/>
      <c r="S1118" s="2049"/>
      <c r="T1118" s="2049"/>
      <c r="U1118" s="2049"/>
      <c r="V1118" s="2049"/>
      <c r="W1118" s="2049"/>
      <c r="X1118" s="2049"/>
      <c r="Y1118" s="2051"/>
      <c r="Z1118" s="2052" t="s">
        <v>1843</v>
      </c>
      <c r="AA1118" s="2053"/>
      <c r="AB1118" s="2058" t="s">
        <v>1844</v>
      </c>
      <c r="AC1118" s="2059"/>
      <c r="AD1118" s="2060"/>
      <c r="AE1118" s="2064" t="s">
        <v>1845</v>
      </c>
      <c r="AF1118" s="2067" t="s">
        <v>1846</v>
      </c>
    </row>
    <row r="1119" spans="1:32" x14ac:dyDescent="0.2">
      <c r="A1119" s="2070" t="str">
        <f>'01'!A61</f>
        <v>B-08-08</v>
      </c>
      <c r="B1119" s="2071"/>
      <c r="C1119" s="2072"/>
      <c r="D1119" s="2076" t="str">
        <f>VLOOKUP(A1119,'01'!$A$12:$N$299,3,FALSE)</f>
        <v>SUMINISTRO E INSTALACIÓN CODO BXB. DE 6". INCLUYE ACCESORIOS DE ENTREGA E INSTALACION.</v>
      </c>
      <c r="E1119" s="2077"/>
      <c r="F1119" s="2077"/>
      <c r="G1119" s="2077"/>
      <c r="H1119" s="2077"/>
      <c r="I1119" s="2077"/>
      <c r="J1119" s="2077"/>
      <c r="K1119" s="2077"/>
      <c r="L1119" s="2077"/>
      <c r="M1119" s="2077"/>
      <c r="N1119" s="2077"/>
      <c r="O1119" s="2077"/>
      <c r="P1119" s="2077"/>
      <c r="Q1119" s="2077"/>
      <c r="R1119" s="2077"/>
      <c r="S1119" s="2078"/>
      <c r="T1119" s="2082" t="s">
        <v>124</v>
      </c>
      <c r="U1119" s="2083"/>
      <c r="V1119" s="2083"/>
      <c r="W1119" s="2083"/>
      <c r="X1119" s="2052" t="str">
        <f>VLOOKUP(A1119,'01'!$A$12:$N$299,9,FALSE)</f>
        <v>UND</v>
      </c>
      <c r="Y1119" s="2053"/>
      <c r="Z1119" s="2054"/>
      <c r="AA1119" s="2055"/>
      <c r="AB1119" s="2061"/>
      <c r="AC1119" s="2062"/>
      <c r="AD1119" s="2063"/>
      <c r="AE1119" s="2065"/>
      <c r="AF1119" s="2068"/>
    </row>
    <row r="1120" spans="1:32" ht="15.75" x14ac:dyDescent="0.25">
      <c r="A1120" s="2073"/>
      <c r="B1120" s="2074"/>
      <c r="C1120" s="2075"/>
      <c r="D1120" s="2079"/>
      <c r="E1120" s="2080"/>
      <c r="F1120" s="2080"/>
      <c r="G1120" s="2080"/>
      <c r="H1120" s="2080"/>
      <c r="I1120" s="2080"/>
      <c r="J1120" s="2080"/>
      <c r="K1120" s="2080"/>
      <c r="L1120" s="2080"/>
      <c r="M1120" s="2080"/>
      <c r="N1120" s="2080"/>
      <c r="O1120" s="2080"/>
      <c r="P1120" s="2080"/>
      <c r="Q1120" s="2080"/>
      <c r="R1120" s="2080"/>
      <c r="S1120" s="2081"/>
      <c r="T1120" s="2084"/>
      <c r="U1120" s="2085"/>
      <c r="V1120" s="2085"/>
      <c r="W1120" s="2085"/>
      <c r="X1120" s="2056"/>
      <c r="Y1120" s="2057"/>
      <c r="Z1120" s="2056"/>
      <c r="AA1120" s="2057"/>
      <c r="AB1120" s="1049" t="s">
        <v>1847</v>
      </c>
      <c r="AC1120" s="1049" t="s">
        <v>1848</v>
      </c>
      <c r="AD1120" s="1049" t="s">
        <v>1861</v>
      </c>
      <c r="AE1120" s="2066"/>
      <c r="AF1120" s="2069"/>
    </row>
    <row r="1121" spans="1:32" ht="30" customHeight="1" x14ac:dyDescent="0.25">
      <c r="A1121" s="2017"/>
      <c r="B1121" s="2018"/>
      <c r="C1121" s="2018"/>
      <c r="D1121" s="2018"/>
      <c r="E1121" s="2018"/>
      <c r="F1121" s="2018"/>
      <c r="G1121" s="2018"/>
      <c r="H1121" s="2018"/>
      <c r="I1121" s="2018"/>
      <c r="J1121" s="2018"/>
      <c r="K1121" s="2018"/>
      <c r="L1121" s="2018"/>
      <c r="M1121" s="2018"/>
      <c r="N1121" s="2018"/>
      <c r="O1121" s="2018"/>
      <c r="P1121" s="2018"/>
      <c r="Q1121" s="2018"/>
      <c r="R1121" s="2018"/>
      <c r="S1121" s="2018"/>
      <c r="T1121" s="2018"/>
      <c r="U1121" s="2018"/>
      <c r="V1121" s="2018"/>
      <c r="W1121" s="2018"/>
      <c r="X1121" s="2018"/>
      <c r="Y1121" s="2018"/>
      <c r="Z1121" s="2106" t="s">
        <v>2305</v>
      </c>
      <c r="AA1121" s="2107"/>
      <c r="AB1121" s="1151"/>
      <c r="AC1121" s="1050"/>
      <c r="AD1121" s="1050"/>
      <c r="AE1121" s="1050">
        <v>2</v>
      </c>
      <c r="AF1121" s="1052">
        <f>AE1121</f>
        <v>2</v>
      </c>
    </row>
    <row r="1122" spans="1:32" ht="15.75" x14ac:dyDescent="0.25">
      <c r="A1122" s="2017"/>
      <c r="B1122" s="2018"/>
      <c r="C1122" s="2018"/>
      <c r="D1122" s="2018"/>
      <c r="E1122" s="2018"/>
      <c r="F1122" s="2018"/>
      <c r="G1122" s="2018"/>
      <c r="H1122" s="2018"/>
      <c r="I1122" s="2018"/>
      <c r="J1122" s="2018"/>
      <c r="K1122" s="2018"/>
      <c r="L1122" s="2018"/>
      <c r="M1122" s="2018"/>
      <c r="N1122" s="2018"/>
      <c r="O1122" s="2018"/>
      <c r="P1122" s="2018"/>
      <c r="Q1122" s="2018"/>
      <c r="R1122" s="2018"/>
      <c r="S1122" s="2018"/>
      <c r="T1122" s="2018"/>
      <c r="U1122" s="2018"/>
      <c r="V1122" s="2018"/>
      <c r="W1122" s="2018"/>
      <c r="X1122" s="2018"/>
      <c r="Y1122" s="2018"/>
      <c r="Z1122" s="2106" t="s">
        <v>2306</v>
      </c>
      <c r="AA1122" s="2107"/>
      <c r="AB1122" s="1151"/>
      <c r="AC1122" s="1050"/>
      <c r="AD1122" s="1050"/>
      <c r="AE1122" s="1050">
        <v>1</v>
      </c>
      <c r="AF1122" s="1052">
        <f>AE1122</f>
        <v>1</v>
      </c>
    </row>
    <row r="1123" spans="1:32" ht="15.75" x14ac:dyDescent="0.25">
      <c r="A1123" s="2017"/>
      <c r="B1123" s="2018"/>
      <c r="C1123" s="2018"/>
      <c r="D1123" s="2018"/>
      <c r="E1123" s="2018"/>
      <c r="F1123" s="2018"/>
      <c r="G1123" s="2018"/>
      <c r="H1123" s="2018"/>
      <c r="I1123" s="2018"/>
      <c r="J1123" s="2018"/>
      <c r="K1123" s="2018"/>
      <c r="L1123" s="2018"/>
      <c r="M1123" s="2018"/>
      <c r="N1123" s="2018"/>
      <c r="O1123" s="2018"/>
      <c r="P1123" s="2018"/>
      <c r="Q1123" s="2018"/>
      <c r="R1123" s="2018"/>
      <c r="S1123" s="2018"/>
      <c r="T1123" s="2018"/>
      <c r="U1123" s="2018"/>
      <c r="V1123" s="2018"/>
      <c r="W1123" s="2018"/>
      <c r="X1123" s="2018"/>
      <c r="Y1123" s="2018"/>
      <c r="Z1123" s="2106"/>
      <c r="AA1123" s="2107"/>
      <c r="AB1123" s="1151"/>
      <c r="AC1123" s="1050"/>
      <c r="AD1123" s="1050"/>
      <c r="AE1123" s="1050"/>
      <c r="AF1123" s="1052"/>
    </row>
    <row r="1124" spans="1:32" ht="15.75" x14ac:dyDescent="0.25">
      <c r="A1124" s="2017"/>
      <c r="B1124" s="2018"/>
      <c r="C1124" s="2018"/>
      <c r="D1124" s="2018"/>
      <c r="E1124" s="2018"/>
      <c r="F1124" s="2018"/>
      <c r="G1124" s="2018"/>
      <c r="H1124" s="2018"/>
      <c r="I1124" s="2018"/>
      <c r="J1124" s="2018"/>
      <c r="K1124" s="2018"/>
      <c r="L1124" s="2018"/>
      <c r="M1124" s="2018"/>
      <c r="N1124" s="2018"/>
      <c r="O1124" s="2018"/>
      <c r="P1124" s="2018"/>
      <c r="Q1124" s="2018"/>
      <c r="R1124" s="2018"/>
      <c r="S1124" s="2018"/>
      <c r="T1124" s="2018"/>
      <c r="U1124" s="2018"/>
      <c r="V1124" s="2018"/>
      <c r="W1124" s="2018"/>
      <c r="X1124" s="2018"/>
      <c r="Y1124" s="2018"/>
      <c r="Z1124" s="2106"/>
      <c r="AA1124" s="2107"/>
      <c r="AB1124" s="1151"/>
      <c r="AC1124" s="1050"/>
      <c r="AD1124" s="1050"/>
      <c r="AE1124" s="1050"/>
      <c r="AF1124" s="1052"/>
    </row>
    <row r="1125" spans="1:32" ht="15.75" x14ac:dyDescent="0.25">
      <c r="A1125" s="2017"/>
      <c r="B1125" s="2018"/>
      <c r="C1125" s="2018"/>
      <c r="D1125" s="2018"/>
      <c r="E1125" s="2018"/>
      <c r="F1125" s="2018"/>
      <c r="G1125" s="2018"/>
      <c r="H1125" s="2018"/>
      <c r="I1125" s="2018"/>
      <c r="J1125" s="2018"/>
      <c r="K1125" s="2018"/>
      <c r="L1125" s="2018"/>
      <c r="M1125" s="2018"/>
      <c r="N1125" s="2018"/>
      <c r="O1125" s="2018"/>
      <c r="P1125" s="2018"/>
      <c r="Q1125" s="2018"/>
      <c r="R1125" s="2018"/>
      <c r="S1125" s="2018"/>
      <c r="T1125" s="2018"/>
      <c r="U1125" s="2018"/>
      <c r="V1125" s="2018"/>
      <c r="W1125" s="2018"/>
      <c r="X1125" s="2018"/>
      <c r="Y1125" s="2018"/>
      <c r="Z1125" s="2106"/>
      <c r="AA1125" s="2107"/>
      <c r="AB1125" s="1151"/>
      <c r="AC1125" s="1050"/>
      <c r="AD1125" s="1050"/>
      <c r="AE1125" s="1050"/>
      <c r="AF1125" s="1052"/>
    </row>
    <row r="1126" spans="1:32" ht="15.75" x14ac:dyDescent="0.25">
      <c r="A1126" s="2017"/>
      <c r="B1126" s="2018"/>
      <c r="C1126" s="2018"/>
      <c r="D1126" s="2018"/>
      <c r="E1126" s="2018"/>
      <c r="F1126" s="2018"/>
      <c r="G1126" s="2018"/>
      <c r="H1126" s="2018"/>
      <c r="I1126" s="2018"/>
      <c r="J1126" s="2018"/>
      <c r="K1126" s="2018"/>
      <c r="L1126" s="2018"/>
      <c r="M1126" s="2018"/>
      <c r="N1126" s="2018"/>
      <c r="O1126" s="2018"/>
      <c r="P1126" s="2018"/>
      <c r="Q1126" s="2018"/>
      <c r="R1126" s="2018"/>
      <c r="S1126" s="2018"/>
      <c r="T1126" s="2018"/>
      <c r="U1126" s="2018"/>
      <c r="V1126" s="2018"/>
      <c r="W1126" s="2018"/>
      <c r="X1126" s="2018"/>
      <c r="Y1126" s="2018"/>
      <c r="Z1126" s="2105"/>
      <c r="AA1126" s="2105"/>
      <c r="AB1126" s="1050"/>
      <c r="AC1126" s="1050"/>
      <c r="AD1126" s="1050"/>
      <c r="AE1126" s="1050"/>
      <c r="AF1126" s="1052"/>
    </row>
    <row r="1127" spans="1:32" ht="15.75" x14ac:dyDescent="0.25">
      <c r="A1127" s="2017"/>
      <c r="B1127" s="2018"/>
      <c r="C1127" s="2018"/>
      <c r="D1127" s="2018"/>
      <c r="E1127" s="2018"/>
      <c r="F1127" s="2018"/>
      <c r="G1127" s="2018"/>
      <c r="H1127" s="2018"/>
      <c r="I1127" s="2018"/>
      <c r="J1127" s="2018"/>
      <c r="K1127" s="2018"/>
      <c r="L1127" s="2018"/>
      <c r="M1127" s="2018"/>
      <c r="N1127" s="2018"/>
      <c r="O1127" s="2018"/>
      <c r="P1127" s="2018"/>
      <c r="Q1127" s="2018"/>
      <c r="R1127" s="2018"/>
      <c r="S1127" s="2018"/>
      <c r="T1127" s="2018"/>
      <c r="U1127" s="2018"/>
      <c r="V1127" s="2018"/>
      <c r="W1127" s="2018"/>
      <c r="X1127" s="2018"/>
      <c r="Y1127" s="2018"/>
      <c r="Z1127" s="2105"/>
      <c r="AA1127" s="2105"/>
      <c r="AB1127" s="1050"/>
      <c r="AC1127" s="1050"/>
      <c r="AD1127" s="1050"/>
      <c r="AE1127" s="1050"/>
      <c r="AF1127" s="1052"/>
    </row>
    <row r="1128" spans="1:32" ht="15.75" x14ac:dyDescent="0.25">
      <c r="A1128" s="2017"/>
      <c r="B1128" s="2018"/>
      <c r="C1128" s="2018"/>
      <c r="D1128" s="2018"/>
      <c r="E1128" s="2018"/>
      <c r="F1128" s="2018"/>
      <c r="G1128" s="2018"/>
      <c r="H1128" s="2018"/>
      <c r="I1128" s="2018"/>
      <c r="J1128" s="2018"/>
      <c r="K1128" s="2018"/>
      <c r="L1128" s="2018"/>
      <c r="M1128" s="2018"/>
      <c r="N1128" s="2018"/>
      <c r="O1128" s="2018"/>
      <c r="P1128" s="2018"/>
      <c r="Q1128" s="2018"/>
      <c r="R1128" s="2018"/>
      <c r="S1128" s="2018"/>
      <c r="T1128" s="2018"/>
      <c r="U1128" s="2018"/>
      <c r="V1128" s="2018"/>
      <c r="W1128" s="2018"/>
      <c r="X1128" s="2018"/>
      <c r="Y1128" s="2018"/>
      <c r="Z1128" s="2105"/>
      <c r="AA1128" s="2105"/>
      <c r="AB1128" s="1050"/>
      <c r="AC1128" s="1050"/>
      <c r="AD1128" s="1050"/>
      <c r="AE1128" s="1050"/>
      <c r="AF1128" s="1052"/>
    </row>
    <row r="1129" spans="1:32" ht="15.75" x14ac:dyDescent="0.25">
      <c r="A1129" s="2017"/>
      <c r="B1129" s="2018"/>
      <c r="C1129" s="2018"/>
      <c r="D1129" s="2018"/>
      <c r="E1129" s="2018"/>
      <c r="F1129" s="2018"/>
      <c r="G1129" s="2018"/>
      <c r="H1129" s="2018"/>
      <c r="I1129" s="2018"/>
      <c r="J1129" s="2018"/>
      <c r="K1129" s="2018"/>
      <c r="L1129" s="2018"/>
      <c r="M1129" s="2018"/>
      <c r="N1129" s="2018"/>
      <c r="O1129" s="2018"/>
      <c r="P1129" s="2018"/>
      <c r="Q1129" s="2018"/>
      <c r="R1129" s="2018"/>
      <c r="S1129" s="2018"/>
      <c r="T1129" s="2018"/>
      <c r="U1129" s="2018"/>
      <c r="V1129" s="2018"/>
      <c r="W1129" s="2018"/>
      <c r="X1129" s="2018"/>
      <c r="Y1129" s="2018"/>
      <c r="Z1129" s="2105"/>
      <c r="AA1129" s="2105"/>
      <c r="AB1129" s="1050"/>
      <c r="AC1129" s="1050"/>
      <c r="AD1129" s="1050"/>
      <c r="AE1129" s="1050"/>
      <c r="AF1129" s="1052"/>
    </row>
    <row r="1130" spans="1:32" ht="15.75" x14ac:dyDescent="0.25">
      <c r="A1130" s="2017"/>
      <c r="B1130" s="2018"/>
      <c r="C1130" s="2018"/>
      <c r="D1130" s="2018"/>
      <c r="E1130" s="2018"/>
      <c r="F1130" s="2018"/>
      <c r="G1130" s="2018"/>
      <c r="H1130" s="2018"/>
      <c r="I1130" s="2018"/>
      <c r="J1130" s="2018"/>
      <c r="K1130" s="2018"/>
      <c r="L1130" s="2018"/>
      <c r="M1130" s="2018"/>
      <c r="N1130" s="2018"/>
      <c r="O1130" s="2018"/>
      <c r="P1130" s="2018"/>
      <c r="Q1130" s="2018"/>
      <c r="R1130" s="2018"/>
      <c r="S1130" s="2018"/>
      <c r="T1130" s="2018"/>
      <c r="U1130" s="2018"/>
      <c r="V1130" s="2018"/>
      <c r="W1130" s="2018"/>
      <c r="X1130" s="2018"/>
      <c r="Y1130" s="2018"/>
      <c r="Z1130" s="2105"/>
      <c r="AA1130" s="2105"/>
      <c r="AB1130" s="1050"/>
      <c r="AC1130" s="1050"/>
      <c r="AD1130" s="1050"/>
      <c r="AE1130" s="1050"/>
      <c r="AF1130" s="1052"/>
    </row>
    <row r="1131" spans="1:32" ht="15.75" x14ac:dyDescent="0.25">
      <c r="A1131" s="2017"/>
      <c r="B1131" s="2018"/>
      <c r="C1131" s="2018"/>
      <c r="D1131" s="2018"/>
      <c r="E1131" s="2018"/>
      <c r="F1131" s="2018"/>
      <c r="G1131" s="2018"/>
      <c r="H1131" s="2018"/>
      <c r="I1131" s="2018"/>
      <c r="J1131" s="2018"/>
      <c r="K1131" s="2018"/>
      <c r="L1131" s="2018"/>
      <c r="M1131" s="2018"/>
      <c r="N1131" s="2018"/>
      <c r="O1131" s="2018"/>
      <c r="P1131" s="2018"/>
      <c r="Q1131" s="2018"/>
      <c r="R1131" s="2018"/>
      <c r="S1131" s="2018"/>
      <c r="T1131" s="2018"/>
      <c r="U1131" s="2018"/>
      <c r="V1131" s="2018"/>
      <c r="W1131" s="2018"/>
      <c r="X1131" s="2018"/>
      <c r="Y1131" s="2018"/>
      <c r="Z1131" s="2105"/>
      <c r="AA1131" s="2105"/>
      <c r="AB1131" s="1050"/>
      <c r="AC1131" s="1050"/>
      <c r="AD1131" s="1050"/>
      <c r="AE1131" s="1050"/>
      <c r="AF1131" s="1052"/>
    </row>
    <row r="1132" spans="1:32" ht="15.75" x14ac:dyDescent="0.25">
      <c r="A1132" s="2017"/>
      <c r="B1132" s="2018"/>
      <c r="C1132" s="2018"/>
      <c r="D1132" s="2018"/>
      <c r="E1132" s="2018"/>
      <c r="F1132" s="2018"/>
      <c r="G1132" s="2018"/>
      <c r="H1132" s="2018"/>
      <c r="I1132" s="2018"/>
      <c r="J1132" s="2018"/>
      <c r="K1132" s="2018"/>
      <c r="L1132" s="2018"/>
      <c r="M1132" s="2018"/>
      <c r="N1132" s="2018"/>
      <c r="O1132" s="2018"/>
      <c r="P1132" s="2018"/>
      <c r="Q1132" s="2018"/>
      <c r="R1132" s="2018"/>
      <c r="S1132" s="2018"/>
      <c r="T1132" s="2018"/>
      <c r="U1132" s="2018"/>
      <c r="V1132" s="2018"/>
      <c r="W1132" s="2018"/>
      <c r="X1132" s="2018"/>
      <c r="Y1132" s="2018"/>
      <c r="Z1132" s="2105"/>
      <c r="AA1132" s="2105"/>
      <c r="AB1132" s="1050"/>
      <c r="AC1132" s="1050"/>
      <c r="AD1132" s="1050"/>
      <c r="AE1132" s="1050"/>
      <c r="AF1132" s="1052"/>
    </row>
    <row r="1133" spans="1:32" ht="15.75" x14ac:dyDescent="0.25">
      <c r="A1133" s="2017"/>
      <c r="B1133" s="2018"/>
      <c r="C1133" s="2018"/>
      <c r="D1133" s="2018"/>
      <c r="E1133" s="2018"/>
      <c r="F1133" s="2018"/>
      <c r="G1133" s="2018"/>
      <c r="H1133" s="2018"/>
      <c r="I1133" s="2018"/>
      <c r="J1133" s="2018"/>
      <c r="K1133" s="2018"/>
      <c r="L1133" s="2018"/>
      <c r="M1133" s="2018"/>
      <c r="N1133" s="2018"/>
      <c r="O1133" s="2018"/>
      <c r="P1133" s="2018"/>
      <c r="Q1133" s="2018"/>
      <c r="R1133" s="2018"/>
      <c r="S1133" s="2018"/>
      <c r="T1133" s="2018"/>
      <c r="U1133" s="2018"/>
      <c r="V1133" s="2018"/>
      <c r="W1133" s="2018"/>
      <c r="X1133" s="2018"/>
      <c r="Y1133" s="2018"/>
      <c r="Z1133" s="2105"/>
      <c r="AA1133" s="2105"/>
      <c r="AB1133" s="1050"/>
      <c r="AC1133" s="1050"/>
      <c r="AD1133" s="1050"/>
      <c r="AE1133" s="1050"/>
      <c r="AF1133" s="1052"/>
    </row>
    <row r="1134" spans="1:32" ht="15.75" x14ac:dyDescent="0.25">
      <c r="A1134" s="2017"/>
      <c r="B1134" s="2018"/>
      <c r="C1134" s="2018"/>
      <c r="D1134" s="2018"/>
      <c r="E1134" s="2018"/>
      <c r="F1134" s="2018"/>
      <c r="G1134" s="2018"/>
      <c r="H1134" s="2018"/>
      <c r="I1134" s="2018"/>
      <c r="J1134" s="2018"/>
      <c r="K1134" s="2018"/>
      <c r="L1134" s="2018"/>
      <c r="M1134" s="2018"/>
      <c r="N1134" s="2018"/>
      <c r="O1134" s="2018"/>
      <c r="P1134" s="2018"/>
      <c r="Q1134" s="2018"/>
      <c r="R1134" s="2018"/>
      <c r="S1134" s="2018"/>
      <c r="T1134" s="2018"/>
      <c r="U1134" s="2018"/>
      <c r="V1134" s="2018"/>
      <c r="W1134" s="2018"/>
      <c r="X1134" s="2018"/>
      <c r="Y1134" s="2018"/>
      <c r="Z1134" s="2022"/>
      <c r="AA1134" s="2022"/>
      <c r="AB1134" s="1050"/>
      <c r="AC1134" s="1050"/>
      <c r="AD1134" s="1050"/>
      <c r="AE1134" s="1050"/>
      <c r="AF1134" s="1052"/>
    </row>
    <row r="1135" spans="1:32" ht="15.75" x14ac:dyDescent="0.25">
      <c r="A1135" s="2017"/>
      <c r="B1135" s="2018"/>
      <c r="C1135" s="2018"/>
      <c r="D1135" s="2018"/>
      <c r="E1135" s="2018"/>
      <c r="F1135" s="2018"/>
      <c r="G1135" s="2018"/>
      <c r="H1135" s="2018"/>
      <c r="I1135" s="2018"/>
      <c r="J1135" s="2018"/>
      <c r="K1135" s="2018"/>
      <c r="L1135" s="2018"/>
      <c r="M1135" s="2018"/>
      <c r="N1135" s="2018"/>
      <c r="O1135" s="2018"/>
      <c r="P1135" s="2018"/>
      <c r="Q1135" s="2018"/>
      <c r="R1135" s="2018"/>
      <c r="S1135" s="2018"/>
      <c r="T1135" s="2018"/>
      <c r="U1135" s="2018"/>
      <c r="V1135" s="2018"/>
      <c r="W1135" s="2018"/>
      <c r="X1135" s="2018"/>
      <c r="Y1135" s="2018"/>
      <c r="Z1135" s="2022"/>
      <c r="AA1135" s="2022"/>
      <c r="AB1135" s="1050"/>
      <c r="AC1135" s="1050"/>
      <c r="AD1135" s="1050"/>
      <c r="AE1135" s="1050"/>
      <c r="AF1135" s="1052"/>
    </row>
    <row r="1136" spans="1:32" ht="15.75" x14ac:dyDescent="0.25">
      <c r="A1136" s="2017"/>
      <c r="B1136" s="2018"/>
      <c r="C1136" s="2018"/>
      <c r="D1136" s="2018"/>
      <c r="E1136" s="2018"/>
      <c r="F1136" s="2018"/>
      <c r="G1136" s="2018"/>
      <c r="H1136" s="2018"/>
      <c r="I1136" s="2018"/>
      <c r="J1136" s="2018"/>
      <c r="K1136" s="2018"/>
      <c r="L1136" s="2018"/>
      <c r="M1136" s="2018"/>
      <c r="N1136" s="2018"/>
      <c r="O1136" s="2018"/>
      <c r="P1136" s="2018"/>
      <c r="Q1136" s="2018"/>
      <c r="R1136" s="2018"/>
      <c r="S1136" s="2018"/>
      <c r="T1136" s="2018"/>
      <c r="U1136" s="2018"/>
      <c r="V1136" s="2018"/>
      <c r="W1136" s="2018"/>
      <c r="X1136" s="2018"/>
      <c r="Y1136" s="2018"/>
      <c r="Z1136" s="2022"/>
      <c r="AA1136" s="2022"/>
      <c r="AB1136" s="1050"/>
      <c r="AC1136" s="1050"/>
      <c r="AD1136" s="1050"/>
      <c r="AE1136" s="1050"/>
      <c r="AF1136" s="1052"/>
    </row>
    <row r="1137" spans="1:32" ht="15.75" x14ac:dyDescent="0.25">
      <c r="A1137" s="2017"/>
      <c r="B1137" s="2018"/>
      <c r="C1137" s="2018"/>
      <c r="D1137" s="2018"/>
      <c r="E1137" s="2018"/>
      <c r="F1137" s="2018"/>
      <c r="G1137" s="2018"/>
      <c r="H1137" s="2018"/>
      <c r="I1137" s="2018"/>
      <c r="J1137" s="2018"/>
      <c r="K1137" s="2018"/>
      <c r="L1137" s="2018"/>
      <c r="M1137" s="2018"/>
      <c r="N1137" s="2018"/>
      <c r="O1137" s="2018"/>
      <c r="P1137" s="2018"/>
      <c r="Q1137" s="2018"/>
      <c r="R1137" s="2018"/>
      <c r="S1137" s="2018"/>
      <c r="T1137" s="2018"/>
      <c r="U1137" s="2018"/>
      <c r="V1137" s="2018"/>
      <c r="W1137" s="2018"/>
      <c r="X1137" s="2018"/>
      <c r="Y1137" s="2018"/>
      <c r="Z1137" s="2022"/>
      <c r="AA1137" s="2022"/>
      <c r="AB1137" s="1050"/>
      <c r="AC1137" s="1050"/>
      <c r="AD1137" s="1050"/>
      <c r="AE1137" s="1050"/>
      <c r="AF1137" s="1052"/>
    </row>
    <row r="1138" spans="1:32" ht="15.75" x14ac:dyDescent="0.25">
      <c r="A1138" s="2017"/>
      <c r="B1138" s="2018"/>
      <c r="C1138" s="2018"/>
      <c r="D1138" s="2018"/>
      <c r="E1138" s="2018"/>
      <c r="F1138" s="2018"/>
      <c r="G1138" s="2018"/>
      <c r="H1138" s="2018"/>
      <c r="I1138" s="2018"/>
      <c r="J1138" s="2018"/>
      <c r="K1138" s="2018"/>
      <c r="L1138" s="2018"/>
      <c r="M1138" s="2018"/>
      <c r="N1138" s="2018"/>
      <c r="O1138" s="2018"/>
      <c r="P1138" s="2018"/>
      <c r="Q1138" s="2018"/>
      <c r="R1138" s="2018"/>
      <c r="S1138" s="2018"/>
      <c r="T1138" s="2018"/>
      <c r="U1138" s="2018"/>
      <c r="V1138" s="2018"/>
      <c r="W1138" s="2018"/>
      <c r="X1138" s="2018"/>
      <c r="Y1138" s="2018"/>
      <c r="Z1138" s="2023"/>
      <c r="AA1138" s="2023"/>
      <c r="AB1138" s="1050"/>
      <c r="AC1138" s="1050"/>
      <c r="AD1138" s="1050"/>
      <c r="AE1138" s="1050"/>
      <c r="AF1138" s="1052"/>
    </row>
    <row r="1139" spans="1:32" ht="15.75" x14ac:dyDescent="0.25">
      <c r="A1139" s="2017"/>
      <c r="B1139" s="2018"/>
      <c r="C1139" s="2018"/>
      <c r="D1139" s="2018"/>
      <c r="E1139" s="2018"/>
      <c r="F1139" s="2018"/>
      <c r="G1139" s="2018"/>
      <c r="H1139" s="2018"/>
      <c r="I1139" s="2018"/>
      <c r="J1139" s="2018"/>
      <c r="K1139" s="2018"/>
      <c r="L1139" s="2018"/>
      <c r="M1139" s="2018"/>
      <c r="N1139" s="2018"/>
      <c r="O1139" s="2018"/>
      <c r="P1139" s="2018"/>
      <c r="Q1139" s="2018"/>
      <c r="R1139" s="2018"/>
      <c r="S1139" s="2018"/>
      <c r="T1139" s="2018"/>
      <c r="U1139" s="2018"/>
      <c r="V1139" s="2018"/>
      <c r="W1139" s="2018"/>
      <c r="X1139" s="2018"/>
      <c r="Y1139" s="2018"/>
      <c r="Z1139" s="2023"/>
      <c r="AA1139" s="2023"/>
      <c r="AB1139" s="1050"/>
      <c r="AC1139" s="1050"/>
      <c r="AD1139" s="1050"/>
      <c r="AE1139" s="1050"/>
      <c r="AF1139" s="1052"/>
    </row>
    <row r="1140" spans="1:32" ht="15.75" x14ac:dyDescent="0.25">
      <c r="A1140" s="2017"/>
      <c r="B1140" s="2018"/>
      <c r="C1140" s="2018"/>
      <c r="D1140" s="2018"/>
      <c r="E1140" s="2018"/>
      <c r="F1140" s="2018"/>
      <c r="G1140" s="2018"/>
      <c r="H1140" s="2018"/>
      <c r="I1140" s="2018"/>
      <c r="J1140" s="2018"/>
      <c r="K1140" s="2018"/>
      <c r="L1140" s="2018"/>
      <c r="M1140" s="2018"/>
      <c r="N1140" s="2018"/>
      <c r="O1140" s="2018"/>
      <c r="P1140" s="2018"/>
      <c r="Q1140" s="2018"/>
      <c r="R1140" s="2018"/>
      <c r="S1140" s="2018"/>
      <c r="T1140" s="2018"/>
      <c r="U1140" s="2018"/>
      <c r="V1140" s="2018"/>
      <c r="W1140" s="2018"/>
      <c r="X1140" s="2018"/>
      <c r="Y1140" s="2018"/>
      <c r="Z1140" s="2023"/>
      <c r="AA1140" s="2023"/>
      <c r="AB1140" s="1050"/>
      <c r="AC1140" s="1050"/>
      <c r="AD1140" s="1050"/>
      <c r="AE1140" s="1050"/>
      <c r="AF1140" s="1052"/>
    </row>
    <row r="1141" spans="1:32" ht="15.75" x14ac:dyDescent="0.25">
      <c r="A1141" s="2017"/>
      <c r="B1141" s="2018"/>
      <c r="C1141" s="2018"/>
      <c r="D1141" s="2018"/>
      <c r="E1141" s="2018"/>
      <c r="F1141" s="2018"/>
      <c r="G1141" s="2018"/>
      <c r="H1141" s="2018"/>
      <c r="I1141" s="2018"/>
      <c r="J1141" s="2018"/>
      <c r="K1141" s="2018"/>
      <c r="L1141" s="2018"/>
      <c r="M1141" s="2018"/>
      <c r="N1141" s="2018"/>
      <c r="O1141" s="2018"/>
      <c r="P1141" s="2018"/>
      <c r="Q1141" s="2018"/>
      <c r="R1141" s="2018"/>
      <c r="S1141" s="2018"/>
      <c r="T1141" s="2018"/>
      <c r="U1141" s="2018"/>
      <c r="V1141" s="2018"/>
      <c r="W1141" s="2018"/>
      <c r="X1141" s="2018"/>
      <c r="Y1141" s="2018"/>
      <c r="Z1141" s="2023"/>
      <c r="AA1141" s="2023"/>
      <c r="AB1141" s="1050"/>
      <c r="AC1141" s="1050"/>
      <c r="AD1141" s="1050"/>
      <c r="AE1141" s="1050"/>
      <c r="AF1141" s="1052"/>
    </row>
    <row r="1142" spans="1:32" ht="15.75" x14ac:dyDescent="0.25">
      <c r="A1142" s="2017"/>
      <c r="B1142" s="2018"/>
      <c r="C1142" s="2018"/>
      <c r="D1142" s="2018"/>
      <c r="E1142" s="2018"/>
      <c r="F1142" s="2018"/>
      <c r="G1142" s="2018"/>
      <c r="H1142" s="2018"/>
      <c r="I1142" s="2018"/>
      <c r="J1142" s="2018"/>
      <c r="K1142" s="2018"/>
      <c r="L1142" s="2018"/>
      <c r="M1142" s="2018"/>
      <c r="N1142" s="2018"/>
      <c r="O1142" s="2018"/>
      <c r="P1142" s="2018"/>
      <c r="Q1142" s="2018"/>
      <c r="R1142" s="2018"/>
      <c r="S1142" s="2018"/>
      <c r="T1142" s="2018"/>
      <c r="U1142" s="2018"/>
      <c r="V1142" s="2018"/>
      <c r="W1142" s="2018"/>
      <c r="X1142" s="2018"/>
      <c r="Y1142" s="2018"/>
      <c r="Z1142" s="2023"/>
      <c r="AA1142" s="2023"/>
      <c r="AB1142" s="1050"/>
      <c r="AC1142" s="1050"/>
      <c r="AD1142" s="1050"/>
      <c r="AE1142" s="1050"/>
      <c r="AF1142" s="1052"/>
    </row>
    <row r="1143" spans="1:32" ht="15.75" x14ac:dyDescent="0.25">
      <c r="A1143" s="2017"/>
      <c r="B1143" s="2018"/>
      <c r="C1143" s="2018"/>
      <c r="D1143" s="2018"/>
      <c r="E1143" s="2018"/>
      <c r="F1143" s="2018"/>
      <c r="G1143" s="2018"/>
      <c r="H1143" s="2018"/>
      <c r="I1143" s="2018"/>
      <c r="J1143" s="2018"/>
      <c r="K1143" s="2018"/>
      <c r="L1143" s="2018"/>
      <c r="M1143" s="2018"/>
      <c r="N1143" s="2018"/>
      <c r="O1143" s="2018"/>
      <c r="P1143" s="2018"/>
      <c r="Q1143" s="2018"/>
      <c r="R1143" s="2018"/>
      <c r="S1143" s="2018"/>
      <c r="T1143" s="2018"/>
      <c r="U1143" s="2018"/>
      <c r="V1143" s="2018"/>
      <c r="W1143" s="2018"/>
      <c r="X1143" s="2018"/>
      <c r="Y1143" s="2018"/>
      <c r="Z1143" s="2023"/>
      <c r="AA1143" s="2023"/>
      <c r="AB1143" s="1050"/>
      <c r="AC1143" s="1050"/>
      <c r="AD1143" s="1050"/>
      <c r="AE1143" s="1050"/>
      <c r="AF1143" s="1052"/>
    </row>
    <row r="1144" spans="1:32" ht="16.5" thickBot="1" x14ac:dyDescent="0.3">
      <c r="A1144" s="2019"/>
      <c r="B1144" s="2020"/>
      <c r="C1144" s="2020"/>
      <c r="D1144" s="2020"/>
      <c r="E1144" s="2020"/>
      <c r="F1144" s="2020"/>
      <c r="G1144" s="2020"/>
      <c r="H1144" s="2020"/>
      <c r="I1144" s="2020"/>
      <c r="J1144" s="2020"/>
      <c r="K1144" s="2020"/>
      <c r="L1144" s="2020"/>
      <c r="M1144" s="2020"/>
      <c r="N1144" s="2020"/>
      <c r="O1144" s="2020"/>
      <c r="P1144" s="2020"/>
      <c r="Q1144" s="2020"/>
      <c r="R1144" s="2020"/>
      <c r="S1144" s="2020"/>
      <c r="T1144" s="2020"/>
      <c r="U1144" s="2020"/>
      <c r="V1144" s="2020"/>
      <c r="W1144" s="2020"/>
      <c r="X1144" s="2020"/>
      <c r="Y1144" s="2020"/>
      <c r="Z1144" s="2024"/>
      <c r="AA1144" s="2024"/>
      <c r="AB1144" s="1057"/>
      <c r="AC1144" s="1057"/>
      <c r="AD1144" s="1057"/>
      <c r="AE1144" s="1057"/>
      <c r="AF1144" s="1058"/>
    </row>
    <row r="1145" spans="1:32" ht="15.75" x14ac:dyDescent="0.25">
      <c r="A1145" s="2009" t="s">
        <v>1855</v>
      </c>
      <c r="B1145" s="2010"/>
      <c r="C1145" s="2010"/>
      <c r="D1145" s="2010"/>
      <c r="E1145" s="2010"/>
      <c r="F1145" s="2010"/>
      <c r="G1145" s="2010"/>
      <c r="H1145" s="2010"/>
      <c r="I1145" s="2010"/>
      <c r="J1145" s="2010"/>
      <c r="K1145" s="2010"/>
      <c r="L1145" s="2010"/>
      <c r="M1145" s="2010"/>
      <c r="N1145" s="2010"/>
      <c r="O1145" s="2010"/>
      <c r="P1145" s="2010"/>
      <c r="Q1145" s="2010"/>
      <c r="R1145" s="2010"/>
      <c r="S1145" s="2010"/>
      <c r="T1145" s="2010"/>
      <c r="U1145" s="2010"/>
      <c r="V1145" s="2010"/>
      <c r="W1145" s="2010"/>
      <c r="X1145" s="2010"/>
      <c r="Y1145" s="2010"/>
      <c r="Z1145" s="2013" t="s">
        <v>1850</v>
      </c>
      <c r="AA1145" s="2013"/>
      <c r="AB1145" s="2013"/>
      <c r="AC1145" s="2013"/>
      <c r="AD1145" s="2013"/>
      <c r="AE1145" s="2013"/>
      <c r="AF1145" s="1059">
        <f>SUM(AF1121:AF1144)</f>
        <v>3</v>
      </c>
    </row>
    <row r="1146" spans="1:32" ht="15.75" x14ac:dyDescent="0.25">
      <c r="A1146" s="2011"/>
      <c r="B1146" s="2012"/>
      <c r="C1146" s="2012"/>
      <c r="D1146" s="2012"/>
      <c r="E1146" s="2012"/>
      <c r="F1146" s="2012"/>
      <c r="G1146" s="2012"/>
      <c r="H1146" s="2012"/>
      <c r="I1146" s="2012"/>
      <c r="J1146" s="2012"/>
      <c r="K1146" s="2012"/>
      <c r="L1146" s="2012"/>
      <c r="M1146" s="2012"/>
      <c r="N1146" s="2012"/>
      <c r="O1146" s="2012"/>
      <c r="P1146" s="2012"/>
      <c r="Q1146" s="2012"/>
      <c r="R1146" s="2012"/>
      <c r="S1146" s="2012"/>
      <c r="T1146" s="2012"/>
      <c r="U1146" s="2012"/>
      <c r="V1146" s="2012"/>
      <c r="W1146" s="2012"/>
      <c r="X1146" s="2012"/>
      <c r="Y1146" s="2012"/>
      <c r="Z1146" s="2014" t="s">
        <v>1851</v>
      </c>
      <c r="AA1146" s="2014"/>
      <c r="AB1146" s="2014"/>
      <c r="AC1146" s="2014"/>
      <c r="AD1146" s="2014"/>
      <c r="AE1146" s="2014"/>
      <c r="AF1146" s="1060">
        <v>0</v>
      </c>
    </row>
    <row r="1147" spans="1:32" ht="15.75" x14ac:dyDescent="0.25">
      <c r="A1147" s="2011"/>
      <c r="B1147" s="2012"/>
      <c r="C1147" s="2012"/>
      <c r="D1147" s="2012"/>
      <c r="E1147" s="2012"/>
      <c r="F1147" s="2012"/>
      <c r="G1147" s="2012"/>
      <c r="H1147" s="2012"/>
      <c r="I1147" s="2012"/>
      <c r="J1147" s="2012"/>
      <c r="K1147" s="2012"/>
      <c r="L1147" s="2012"/>
      <c r="M1147" s="2012"/>
      <c r="N1147" s="2012"/>
      <c r="O1147" s="2012"/>
      <c r="P1147" s="2012"/>
      <c r="Q1147" s="2012"/>
      <c r="R1147" s="2012"/>
      <c r="S1147" s="2012"/>
      <c r="T1147" s="2012"/>
      <c r="U1147" s="2012"/>
      <c r="V1147" s="2012"/>
      <c r="W1147" s="2012"/>
      <c r="X1147" s="2012"/>
      <c r="Y1147" s="2012"/>
      <c r="Z1147" s="2015" t="s">
        <v>1833</v>
      </c>
      <c r="AA1147" s="2015"/>
      <c r="AB1147" s="2015"/>
      <c r="AC1147" s="2015"/>
      <c r="AD1147" s="2015"/>
      <c r="AE1147" s="2015"/>
      <c r="AF1147" s="1061">
        <f>SUM(AF1145:AF1146)</f>
        <v>3</v>
      </c>
    </row>
    <row r="1148" spans="1:32" x14ac:dyDescent="0.2">
      <c r="A1148" s="2012" t="s">
        <v>1859</v>
      </c>
      <c r="B1148" s="2012"/>
      <c r="C1148" s="2012"/>
      <c r="D1148" s="2012"/>
      <c r="E1148" s="2012"/>
      <c r="F1148" s="2012"/>
      <c r="G1148" s="2012"/>
      <c r="H1148" s="2012"/>
      <c r="I1148" s="2012"/>
      <c r="J1148" s="2012"/>
      <c r="K1148" s="2012"/>
      <c r="L1148" s="2012"/>
      <c r="M1148" s="2012"/>
      <c r="N1148" s="2012"/>
      <c r="O1148" s="2012"/>
      <c r="P1148" s="2012"/>
      <c r="Q1148" s="2012"/>
      <c r="R1148" s="2012"/>
      <c r="S1148" s="2012"/>
      <c r="T1148" s="2016" t="s">
        <v>1840</v>
      </c>
      <c r="U1148" s="2016"/>
      <c r="V1148" s="2016"/>
      <c r="W1148" s="2016"/>
      <c r="X1148" s="2016"/>
      <c r="Y1148" s="2016"/>
      <c r="Z1148" s="2016"/>
      <c r="AA1148" s="2016"/>
      <c r="AB1148" s="2012" t="s">
        <v>1852</v>
      </c>
      <c r="AC1148" s="2012"/>
      <c r="AD1148" s="2012"/>
      <c r="AE1148" s="2012"/>
      <c r="AF1148" s="2012"/>
    </row>
    <row r="1149" spans="1:32" x14ac:dyDescent="0.2">
      <c r="A1149" s="2012"/>
      <c r="B1149" s="2012"/>
      <c r="C1149" s="2012"/>
      <c r="D1149" s="2012"/>
      <c r="E1149" s="2012"/>
      <c r="F1149" s="2012"/>
      <c r="G1149" s="2012"/>
      <c r="H1149" s="2012"/>
      <c r="I1149" s="2012"/>
      <c r="J1149" s="2012"/>
      <c r="K1149" s="2012"/>
      <c r="L1149" s="2012"/>
      <c r="M1149" s="2012"/>
      <c r="N1149" s="2012"/>
      <c r="O1149" s="2012"/>
      <c r="P1149" s="2012"/>
      <c r="Q1149" s="2012"/>
      <c r="R1149" s="2012"/>
      <c r="S1149" s="2012"/>
      <c r="T1149" s="2016"/>
      <c r="U1149" s="2016"/>
      <c r="V1149" s="2016"/>
      <c r="W1149" s="2016"/>
      <c r="X1149" s="2016"/>
      <c r="Y1149" s="2016"/>
      <c r="Z1149" s="2016"/>
      <c r="AA1149" s="2016"/>
      <c r="AB1149" s="2012"/>
      <c r="AC1149" s="2012"/>
      <c r="AD1149" s="2012"/>
      <c r="AE1149" s="2012"/>
      <c r="AF1149" s="2012"/>
    </row>
    <row r="1150" spans="1:32" ht="13.5" thickBot="1" x14ac:dyDescent="0.25"/>
    <row r="1151" spans="1:32" ht="26.45" customHeight="1" x14ac:dyDescent="0.2">
      <c r="A1151" s="2025" t="s">
        <v>1854</v>
      </c>
      <c r="B1151" s="2026"/>
      <c r="C1151" s="2026"/>
      <c r="D1151" s="2026"/>
      <c r="E1151" s="2026"/>
      <c r="F1151" s="2026"/>
      <c r="G1151" s="2026"/>
      <c r="H1151" s="2026"/>
      <c r="I1151" s="2026"/>
      <c r="J1151" s="2026"/>
      <c r="K1151" s="2026"/>
      <c r="L1151" s="2026"/>
      <c r="M1151" s="2026"/>
      <c r="N1151" s="2026"/>
      <c r="O1151" s="2026"/>
      <c r="P1151" s="2026"/>
      <c r="Q1151" s="2026"/>
      <c r="R1151" s="2026"/>
      <c r="S1151" s="2026"/>
      <c r="T1151" s="2026"/>
      <c r="U1151" s="2026"/>
      <c r="V1151" s="2026"/>
      <c r="W1151" s="2026"/>
      <c r="X1151" s="2026"/>
      <c r="Y1151" s="2026"/>
      <c r="Z1151" s="2026"/>
      <c r="AA1151" s="2026"/>
      <c r="AB1151" s="2026"/>
      <c r="AC1151" s="2026"/>
      <c r="AD1151" s="2026"/>
      <c r="AE1151" s="1041" t="s">
        <v>1834</v>
      </c>
      <c r="AF1151" s="1042" t="s">
        <v>1835</v>
      </c>
    </row>
    <row r="1152" spans="1:32" ht="19.149999999999999" customHeight="1" thickBot="1" x14ac:dyDescent="0.25">
      <c r="A1152" s="2027"/>
      <c r="B1152" s="2028"/>
      <c r="C1152" s="2028"/>
      <c r="D1152" s="2028"/>
      <c r="E1152" s="2028"/>
      <c r="F1152" s="2028"/>
      <c r="G1152" s="2028"/>
      <c r="H1152" s="2028"/>
      <c r="I1152" s="2028"/>
      <c r="J1152" s="2028"/>
      <c r="K1152" s="2028"/>
      <c r="L1152" s="2028"/>
      <c r="M1152" s="2028"/>
      <c r="N1152" s="2028"/>
      <c r="O1152" s="2028"/>
      <c r="P1152" s="2028"/>
      <c r="Q1152" s="2028"/>
      <c r="R1152" s="2028"/>
      <c r="S1152" s="2028"/>
      <c r="T1152" s="2028"/>
      <c r="U1152" s="2028"/>
      <c r="V1152" s="2028"/>
      <c r="W1152" s="2028"/>
      <c r="X1152" s="2028"/>
      <c r="Y1152" s="2028"/>
      <c r="Z1152" s="2028"/>
      <c r="AA1152" s="2028"/>
      <c r="AB1152" s="2028"/>
      <c r="AC1152" s="2028"/>
      <c r="AD1152" s="2028"/>
      <c r="AE1152" s="1041" t="s">
        <v>1836</v>
      </c>
      <c r="AF1152" s="1044">
        <v>1</v>
      </c>
    </row>
    <row r="1153" spans="1:32" ht="15.75" x14ac:dyDescent="0.2">
      <c r="A1153" s="2029"/>
      <c r="B1153" s="2030"/>
      <c r="C1153" s="2030"/>
      <c r="D1153" s="2031"/>
      <c r="E1153" s="2025" t="str">
        <f>'01'!$A$12</f>
        <v>"CONSTRUCCION SISTEMA DE ACUEDUCTO FASE II DEL MUNICIPIO DE TESALIA DPTO DEL HUILA"</v>
      </c>
      <c r="F1153" s="2026"/>
      <c r="G1153" s="2026"/>
      <c r="H1153" s="2026"/>
      <c r="I1153" s="2026"/>
      <c r="J1153" s="2026"/>
      <c r="K1153" s="2026"/>
      <c r="L1153" s="2026"/>
      <c r="M1153" s="2026"/>
      <c r="N1153" s="2026"/>
      <c r="O1153" s="2026"/>
      <c r="P1153" s="2026"/>
      <c r="Q1153" s="2026"/>
      <c r="R1153" s="2026"/>
      <c r="S1153" s="2026"/>
      <c r="T1153" s="2026"/>
      <c r="U1153" s="2026"/>
      <c r="V1153" s="2026"/>
      <c r="W1153" s="2026"/>
      <c r="X1153" s="2026"/>
      <c r="Y1153" s="2026"/>
      <c r="Z1153" s="2026"/>
      <c r="AA1153" s="2026"/>
      <c r="AB1153" s="2026"/>
      <c r="AC1153" s="2026"/>
      <c r="AD1153" s="2035"/>
      <c r="AE1153" s="1041" t="s">
        <v>847</v>
      </c>
      <c r="AF1153" s="1045">
        <f>'01'!$M$13</f>
        <v>0</v>
      </c>
    </row>
    <row r="1154" spans="1:32" ht="16.5" thickBot="1" x14ac:dyDescent="0.25">
      <c r="A1154" s="2032"/>
      <c r="B1154" s="2033"/>
      <c r="C1154" s="2033"/>
      <c r="D1154" s="2034"/>
      <c r="E1154" s="2027"/>
      <c r="F1154" s="2028"/>
      <c r="G1154" s="2028"/>
      <c r="H1154" s="2028"/>
      <c r="I1154" s="2028"/>
      <c r="J1154" s="2028"/>
      <c r="K1154" s="2028"/>
      <c r="L1154" s="2028"/>
      <c r="M1154" s="2028"/>
      <c r="N1154" s="2028"/>
      <c r="O1154" s="2028"/>
      <c r="P1154" s="2028"/>
      <c r="Q1154" s="2028"/>
      <c r="R1154" s="2028"/>
      <c r="S1154" s="2028"/>
      <c r="T1154" s="2028"/>
      <c r="U1154" s="2028"/>
      <c r="V1154" s="2028"/>
      <c r="W1154" s="2028"/>
      <c r="X1154" s="2028"/>
      <c r="Y1154" s="2028"/>
      <c r="Z1154" s="2028"/>
      <c r="AA1154" s="2028"/>
      <c r="AB1154" s="2028"/>
      <c r="AC1154" s="2028"/>
      <c r="AD1154" s="2036"/>
      <c r="AE1154" s="1041" t="s">
        <v>1837</v>
      </c>
      <c r="AF1154" s="1042" t="s">
        <v>1838</v>
      </c>
    </row>
    <row r="1155" spans="1:32" ht="15.75" x14ac:dyDescent="0.25">
      <c r="A1155" s="2037" t="s">
        <v>1860</v>
      </c>
      <c r="B1155" s="2038"/>
      <c r="C1155" s="2038"/>
      <c r="D1155" s="2038"/>
      <c r="E1155" s="2038"/>
      <c r="F1155" s="2038"/>
      <c r="G1155" s="2038"/>
      <c r="H1155" s="2038"/>
      <c r="I1155" s="2038"/>
      <c r="J1155" s="2038"/>
      <c r="K1155" s="2038"/>
      <c r="L1155" s="2038"/>
      <c r="M1155" s="2038"/>
      <c r="N1155" s="2038"/>
      <c r="O1155" s="2038"/>
      <c r="P1155" s="2038"/>
      <c r="Q1155" s="2038"/>
      <c r="R1155" s="2038"/>
      <c r="S1155" s="2038"/>
      <c r="T1155" s="2038"/>
      <c r="U1155" s="2038"/>
      <c r="V1155" s="2038"/>
      <c r="W1155" s="2038"/>
      <c r="X1155" s="2038"/>
      <c r="Y1155" s="2038"/>
      <c r="Z1155" s="2038"/>
      <c r="AA1155" s="2038"/>
      <c r="AB1155" s="2038"/>
      <c r="AC1155" s="2038"/>
      <c r="AD1155" s="2038"/>
      <c r="AE1155" s="2039" t="s">
        <v>1839</v>
      </c>
      <c r="AF1155" s="2040"/>
    </row>
    <row r="1156" spans="1:32" ht="15.75" x14ac:dyDescent="0.25">
      <c r="A1156" s="2041" t="s">
        <v>1840</v>
      </c>
      <c r="B1156" s="2042"/>
      <c r="C1156" s="2042"/>
      <c r="D1156" s="2042"/>
      <c r="E1156" s="2042"/>
      <c r="F1156" s="2042"/>
      <c r="G1156" s="2042"/>
      <c r="H1156" s="2042"/>
      <c r="I1156" s="2042"/>
      <c r="J1156" s="2042"/>
      <c r="K1156" s="2042"/>
      <c r="L1156" s="2042"/>
      <c r="M1156" s="2042"/>
      <c r="N1156" s="2042"/>
      <c r="O1156" s="2042"/>
      <c r="P1156" s="2042"/>
      <c r="Q1156" s="2042"/>
      <c r="R1156" s="2042"/>
      <c r="S1156" s="2042"/>
      <c r="T1156" s="2042"/>
      <c r="U1156" s="2042"/>
      <c r="V1156" s="2042"/>
      <c r="W1156" s="2042"/>
      <c r="X1156" s="2042"/>
      <c r="Y1156" s="2042"/>
      <c r="Z1156" s="2042"/>
      <c r="AA1156" s="2042"/>
      <c r="AB1156" s="2042"/>
      <c r="AC1156" s="2042"/>
      <c r="AD1156" s="2043"/>
      <c r="AE1156" s="2014" t="s">
        <v>1841</v>
      </c>
      <c r="AF1156" s="2044"/>
    </row>
    <row r="1157" spans="1:32" ht="15.75" x14ac:dyDescent="0.25">
      <c r="A1157" s="2045" t="s">
        <v>1853</v>
      </c>
      <c r="B1157" s="2046"/>
      <c r="C1157" s="2046"/>
      <c r="D1157" s="2046"/>
      <c r="E1157" s="2046"/>
      <c r="F1157" s="2046"/>
      <c r="G1157" s="2046"/>
      <c r="H1157" s="2046"/>
      <c r="I1157" s="2046"/>
      <c r="J1157" s="2046"/>
      <c r="K1157" s="2046"/>
      <c r="L1157" s="2046"/>
      <c r="M1157" s="2046"/>
      <c r="N1157" s="2046"/>
      <c r="O1157" s="2046"/>
      <c r="P1157" s="2046"/>
      <c r="Q1157" s="2046"/>
      <c r="R1157" s="2046"/>
      <c r="S1157" s="2046"/>
      <c r="T1157" s="2046"/>
      <c r="U1157" s="2046"/>
      <c r="V1157" s="2046"/>
      <c r="W1157" s="2046"/>
      <c r="X1157" s="2046"/>
      <c r="Y1157" s="2046"/>
      <c r="Z1157" s="2046"/>
      <c r="AA1157" s="2046"/>
      <c r="AB1157" s="2046"/>
      <c r="AC1157" s="2046"/>
      <c r="AD1157" s="2046"/>
      <c r="AE1157" s="2047">
        <f>'01'!$M$13</f>
        <v>0</v>
      </c>
      <c r="AF1157" s="2044"/>
    </row>
    <row r="1158" spans="1:32" x14ac:dyDescent="0.2">
      <c r="A1158" s="1046"/>
      <c r="B1158" s="1047"/>
      <c r="C1158" s="1047"/>
      <c r="D1158" s="1047"/>
      <c r="E1158" s="1047"/>
      <c r="F1158" s="1047"/>
      <c r="G1158" s="1047"/>
      <c r="H1158" s="1047"/>
      <c r="I1158" s="1047"/>
      <c r="J1158" s="1047"/>
      <c r="K1158" s="1047"/>
      <c r="L1158" s="1047"/>
      <c r="M1158" s="1047"/>
      <c r="N1158" s="1047"/>
      <c r="O1158" s="1047"/>
      <c r="P1158" s="1047"/>
      <c r="Q1158" s="1047"/>
      <c r="R1158" s="1047"/>
      <c r="S1158" s="1047"/>
      <c r="T1158" s="1047"/>
      <c r="U1158" s="1047"/>
      <c r="V1158" s="1047"/>
      <c r="W1158" s="1047"/>
      <c r="X1158" s="1047"/>
      <c r="Y1158" s="1047"/>
      <c r="Z1158" s="1047"/>
      <c r="AA1158" s="1047"/>
      <c r="AB1158" s="1047"/>
      <c r="AC1158" s="1047"/>
      <c r="AD1158" s="1047"/>
      <c r="AE1158" s="1047"/>
      <c r="AF1158" s="1048"/>
    </row>
    <row r="1159" spans="1:32" ht="30" customHeight="1" x14ac:dyDescent="0.2">
      <c r="A1159" s="2048" t="s">
        <v>1842</v>
      </c>
      <c r="B1159" s="2049"/>
      <c r="C1159" s="2049"/>
      <c r="D1159" s="2049"/>
      <c r="E1159" s="2049"/>
      <c r="F1159" s="2050" t="str">
        <f>'01'!$H$63</f>
        <v>C - FLOCULADOR, SEDIMENTADOR, CANAL DE AGUA SEDIMENTADA Y CANAL DE LAVADO</v>
      </c>
      <c r="G1159" s="2049"/>
      <c r="H1159" s="2049"/>
      <c r="I1159" s="2049"/>
      <c r="J1159" s="2049"/>
      <c r="K1159" s="2049"/>
      <c r="L1159" s="2049"/>
      <c r="M1159" s="2049"/>
      <c r="N1159" s="2049"/>
      <c r="O1159" s="2049"/>
      <c r="P1159" s="2049"/>
      <c r="Q1159" s="2049"/>
      <c r="R1159" s="2049"/>
      <c r="S1159" s="2049"/>
      <c r="T1159" s="2049"/>
      <c r="U1159" s="2049"/>
      <c r="V1159" s="2049"/>
      <c r="W1159" s="2049"/>
      <c r="X1159" s="2049"/>
      <c r="Y1159" s="2051"/>
      <c r="Z1159" s="2052" t="s">
        <v>1843</v>
      </c>
      <c r="AA1159" s="2053"/>
      <c r="AB1159" s="2058" t="s">
        <v>1844</v>
      </c>
      <c r="AC1159" s="2059"/>
      <c r="AD1159" s="2060"/>
      <c r="AE1159" s="2064" t="s">
        <v>1845</v>
      </c>
      <c r="AF1159" s="2067" t="s">
        <v>1846</v>
      </c>
    </row>
    <row r="1160" spans="1:32" x14ac:dyDescent="0.2">
      <c r="A1160" s="2070" t="str">
        <f>'01'!A66</f>
        <v>C-01-01</v>
      </c>
      <c r="B1160" s="2071"/>
      <c r="C1160" s="2072"/>
      <c r="D1160" s="2076" t="str">
        <f>VLOOKUP(A1160,'01'!$A$12:$N$299,3,FALSE)</f>
        <v>LOCALIZACIÓN Y REPLANTEO. INCLUYE: MATERIALES, EQUIPOS, COMISIÓN TOPOGRÁFICA PARA CONTROL DE NIVELES PERMANENTES Y PLANOS RECORD.</v>
      </c>
      <c r="E1160" s="2077"/>
      <c r="F1160" s="2077"/>
      <c r="G1160" s="2077"/>
      <c r="H1160" s="2077"/>
      <c r="I1160" s="2077"/>
      <c r="J1160" s="2077"/>
      <c r="K1160" s="2077"/>
      <c r="L1160" s="2077"/>
      <c r="M1160" s="2077"/>
      <c r="N1160" s="2077"/>
      <c r="O1160" s="2077"/>
      <c r="P1160" s="2077"/>
      <c r="Q1160" s="2077"/>
      <c r="R1160" s="2077"/>
      <c r="S1160" s="2078"/>
      <c r="T1160" s="2082" t="s">
        <v>124</v>
      </c>
      <c r="U1160" s="2083"/>
      <c r="V1160" s="2083"/>
      <c r="W1160" s="2083"/>
      <c r="X1160" s="2052" t="str">
        <f>VLOOKUP(A1160,'01'!$A$12:$N$299,9,FALSE)</f>
        <v>M2</v>
      </c>
      <c r="Y1160" s="2053"/>
      <c r="Z1160" s="2054"/>
      <c r="AA1160" s="2055"/>
      <c r="AB1160" s="2061"/>
      <c r="AC1160" s="2062"/>
      <c r="AD1160" s="2063"/>
      <c r="AE1160" s="2065"/>
      <c r="AF1160" s="2068"/>
    </row>
    <row r="1161" spans="1:32" ht="15.75" x14ac:dyDescent="0.25">
      <c r="A1161" s="2073"/>
      <c r="B1161" s="2074"/>
      <c r="C1161" s="2075"/>
      <c r="D1161" s="2079"/>
      <c r="E1161" s="2080"/>
      <c r="F1161" s="2080"/>
      <c r="G1161" s="2080"/>
      <c r="H1161" s="2080"/>
      <c r="I1161" s="2080"/>
      <c r="J1161" s="2080"/>
      <c r="K1161" s="2080"/>
      <c r="L1161" s="2080"/>
      <c r="M1161" s="2080"/>
      <c r="N1161" s="2080"/>
      <c r="O1161" s="2080"/>
      <c r="P1161" s="2080"/>
      <c r="Q1161" s="2080"/>
      <c r="R1161" s="2080"/>
      <c r="S1161" s="2081"/>
      <c r="T1161" s="2084"/>
      <c r="U1161" s="2085"/>
      <c r="V1161" s="2085"/>
      <c r="W1161" s="2085"/>
      <c r="X1161" s="2056"/>
      <c r="Y1161" s="2057"/>
      <c r="Z1161" s="2056"/>
      <c r="AA1161" s="2057"/>
      <c r="AB1161" s="1049" t="s">
        <v>1847</v>
      </c>
      <c r="AC1161" s="1049" t="s">
        <v>1848</v>
      </c>
      <c r="AD1161" s="1049" t="s">
        <v>1849</v>
      </c>
      <c r="AE1161" s="2066"/>
      <c r="AF1161" s="2069"/>
    </row>
    <row r="1162" spans="1:32" ht="15.75" x14ac:dyDescent="0.25">
      <c r="A1162" s="2017"/>
      <c r="B1162" s="2018"/>
      <c r="C1162" s="2018"/>
      <c r="D1162" s="2018"/>
      <c r="E1162" s="2018"/>
      <c r="F1162" s="2018"/>
      <c r="G1162" s="2018"/>
      <c r="H1162" s="2018"/>
      <c r="I1162" s="2018"/>
      <c r="J1162" s="2018"/>
      <c r="K1162" s="2018"/>
      <c r="L1162" s="2018"/>
      <c r="M1162" s="2018"/>
      <c r="N1162" s="2018"/>
      <c r="O1162" s="2018"/>
      <c r="P1162" s="2018"/>
      <c r="Q1162" s="2018"/>
      <c r="R1162" s="2018"/>
      <c r="S1162" s="2018"/>
      <c r="T1162" s="2018"/>
      <c r="U1162" s="2018"/>
      <c r="V1162" s="2018"/>
      <c r="W1162" s="2018"/>
      <c r="X1162" s="2018"/>
      <c r="Y1162" s="2094"/>
      <c r="Z1162" s="2096" t="s">
        <v>2308</v>
      </c>
      <c r="AA1162" s="2097"/>
      <c r="AB1162" s="1050">
        <v>11.5</v>
      </c>
      <c r="AC1162" s="1050">
        <v>6.05</v>
      </c>
      <c r="AD1162" s="1050">
        <f>AC1162*AB1162</f>
        <v>69.575000000000003</v>
      </c>
      <c r="AE1162" s="1051">
        <v>1</v>
      </c>
      <c r="AF1162" s="1052">
        <f>ROUND(AE1162*AD1162,2)</f>
        <v>69.58</v>
      </c>
    </row>
    <row r="1163" spans="1:32" ht="15.75" x14ac:dyDescent="0.25">
      <c r="A1163" s="2017"/>
      <c r="B1163" s="2018"/>
      <c r="C1163" s="2018"/>
      <c r="D1163" s="2018"/>
      <c r="E1163" s="2018"/>
      <c r="F1163" s="2018"/>
      <c r="G1163" s="2018"/>
      <c r="H1163" s="2018"/>
      <c r="I1163" s="2018"/>
      <c r="J1163" s="2018"/>
      <c r="K1163" s="2018"/>
      <c r="L1163" s="2018"/>
      <c r="M1163" s="2018"/>
      <c r="N1163" s="2018"/>
      <c r="O1163" s="2018"/>
      <c r="P1163" s="2018"/>
      <c r="Q1163" s="2018"/>
      <c r="R1163" s="2018"/>
      <c r="S1163" s="2018"/>
      <c r="T1163" s="2018"/>
      <c r="U1163" s="2018"/>
      <c r="V1163" s="2018"/>
      <c r="W1163" s="2018"/>
      <c r="X1163" s="2018"/>
      <c r="Y1163" s="2094"/>
      <c r="Z1163" s="2096" t="s">
        <v>2309</v>
      </c>
      <c r="AA1163" s="2097"/>
      <c r="AB1163" s="1050">
        <v>11.46</v>
      </c>
      <c r="AC1163" s="1050">
        <v>5.62</v>
      </c>
      <c r="AD1163" s="1050">
        <f>AC1163*AB1163</f>
        <v>64.405200000000008</v>
      </c>
      <c r="AE1163" s="1051">
        <v>1</v>
      </c>
      <c r="AF1163" s="1052">
        <f>ROUND(AE1163*AD1163,2)</f>
        <v>64.41</v>
      </c>
    </row>
    <row r="1164" spans="1:32" ht="15.6" customHeight="1" x14ac:dyDescent="0.25">
      <c r="A1164" s="2017"/>
      <c r="B1164" s="2018"/>
      <c r="C1164" s="2018"/>
      <c r="D1164" s="2018"/>
      <c r="E1164" s="2018"/>
      <c r="F1164" s="2018"/>
      <c r="G1164" s="2018"/>
      <c r="H1164" s="2018"/>
      <c r="I1164" s="2018"/>
      <c r="J1164" s="2018"/>
      <c r="K1164" s="2018"/>
      <c r="L1164" s="2018"/>
      <c r="M1164" s="2018"/>
      <c r="N1164" s="2018"/>
      <c r="O1164" s="2018"/>
      <c r="P1164" s="2018"/>
      <c r="Q1164" s="2018"/>
      <c r="R1164" s="2018"/>
      <c r="S1164" s="2018"/>
      <c r="T1164" s="2018"/>
      <c r="U1164" s="2018"/>
      <c r="V1164" s="2018"/>
      <c r="W1164" s="2018"/>
      <c r="X1164" s="2018"/>
      <c r="Y1164" s="2094"/>
      <c r="Z1164" s="2096" t="s">
        <v>2310</v>
      </c>
      <c r="AA1164" s="2097"/>
      <c r="AB1164" s="1050">
        <v>7.37</v>
      </c>
      <c r="AC1164" s="1050">
        <v>4.17</v>
      </c>
      <c r="AD1164" s="1050">
        <f>AC1164*AB1164</f>
        <v>30.732900000000001</v>
      </c>
      <c r="AE1164" s="1051">
        <v>1</v>
      </c>
      <c r="AF1164" s="1052">
        <f>ROUND(AE1164*AD1164,2)</f>
        <v>30.73</v>
      </c>
    </row>
    <row r="1165" spans="1:32" ht="15.75" x14ac:dyDescent="0.25">
      <c r="A1165" s="2017"/>
      <c r="B1165" s="2018"/>
      <c r="C1165" s="2018"/>
      <c r="D1165" s="2018"/>
      <c r="E1165" s="2018"/>
      <c r="F1165" s="2018"/>
      <c r="G1165" s="2018"/>
      <c r="H1165" s="2018"/>
      <c r="I1165" s="2018"/>
      <c r="J1165" s="2018"/>
      <c r="K1165" s="2018"/>
      <c r="L1165" s="2018"/>
      <c r="M1165" s="2018"/>
      <c r="N1165" s="2018"/>
      <c r="O1165" s="2018"/>
      <c r="P1165" s="2018"/>
      <c r="Q1165" s="2018"/>
      <c r="R1165" s="2018"/>
      <c r="S1165" s="2018"/>
      <c r="T1165" s="2018"/>
      <c r="U1165" s="2018"/>
      <c r="V1165" s="2018"/>
      <c r="W1165" s="2018"/>
      <c r="X1165" s="2018"/>
      <c r="Y1165" s="2094"/>
      <c r="Z1165" s="2096"/>
      <c r="AA1165" s="2097"/>
      <c r="AB1165" s="1053"/>
      <c r="AC1165" s="1053"/>
      <c r="AD1165" s="1050"/>
      <c r="AE1165" s="1051"/>
      <c r="AF1165" s="1052"/>
    </row>
    <row r="1166" spans="1:32" ht="15.75" x14ac:dyDescent="0.25">
      <c r="A1166" s="2017"/>
      <c r="B1166" s="2018"/>
      <c r="C1166" s="2018"/>
      <c r="D1166" s="2018"/>
      <c r="E1166" s="2018"/>
      <c r="F1166" s="2018"/>
      <c r="G1166" s="2018"/>
      <c r="H1166" s="2018"/>
      <c r="I1166" s="2018"/>
      <c r="J1166" s="2018"/>
      <c r="K1166" s="2018"/>
      <c r="L1166" s="2018"/>
      <c r="M1166" s="2018"/>
      <c r="N1166" s="2018"/>
      <c r="O1166" s="2018"/>
      <c r="P1166" s="2018"/>
      <c r="Q1166" s="2018"/>
      <c r="R1166" s="2018"/>
      <c r="S1166" s="2018"/>
      <c r="T1166" s="2018"/>
      <c r="U1166" s="2018"/>
      <c r="V1166" s="2018"/>
      <c r="W1166" s="2018"/>
      <c r="X1166" s="2018"/>
      <c r="Y1166" s="2094"/>
      <c r="Z1166" s="2096"/>
      <c r="AA1166" s="2097"/>
      <c r="AB1166" s="1053"/>
      <c r="AC1166" s="1053"/>
      <c r="AD1166" s="1050"/>
      <c r="AE1166" s="1051"/>
      <c r="AF1166" s="1052"/>
    </row>
    <row r="1167" spans="1:32" ht="15.75" x14ac:dyDescent="0.25">
      <c r="A1167" s="2017"/>
      <c r="B1167" s="2018"/>
      <c r="C1167" s="2018"/>
      <c r="D1167" s="2018"/>
      <c r="E1167" s="2018"/>
      <c r="F1167" s="2018"/>
      <c r="G1167" s="2018"/>
      <c r="H1167" s="2018"/>
      <c r="I1167" s="2018"/>
      <c r="J1167" s="2018"/>
      <c r="K1167" s="2018"/>
      <c r="L1167" s="2018"/>
      <c r="M1167" s="2018"/>
      <c r="N1167" s="2018"/>
      <c r="O1167" s="2018"/>
      <c r="P1167" s="2018"/>
      <c r="Q1167" s="2018"/>
      <c r="R1167" s="2018"/>
      <c r="S1167" s="2018"/>
      <c r="T1167" s="2018"/>
      <c r="U1167" s="2018"/>
      <c r="V1167" s="2018"/>
      <c r="W1167" s="2018"/>
      <c r="X1167" s="2018"/>
      <c r="Y1167" s="2094"/>
      <c r="Z1167" s="2096"/>
      <c r="AA1167" s="2097"/>
      <c r="AB1167" s="1053"/>
      <c r="AC1167" s="1053"/>
      <c r="AD1167" s="1053"/>
      <c r="AE1167" s="1051"/>
      <c r="AF1167" s="1052"/>
    </row>
    <row r="1168" spans="1:32" ht="15.75" x14ac:dyDescent="0.25">
      <c r="A1168" s="2017"/>
      <c r="B1168" s="2018"/>
      <c r="C1168" s="2018"/>
      <c r="D1168" s="2018"/>
      <c r="E1168" s="2018"/>
      <c r="F1168" s="2018"/>
      <c r="G1168" s="2018"/>
      <c r="H1168" s="2018"/>
      <c r="I1168" s="2018"/>
      <c r="J1168" s="2018"/>
      <c r="K1168" s="2018"/>
      <c r="L1168" s="2018"/>
      <c r="M1168" s="2018"/>
      <c r="N1168" s="2018"/>
      <c r="O1168" s="2018"/>
      <c r="P1168" s="2018"/>
      <c r="Q1168" s="2018"/>
      <c r="R1168" s="2018"/>
      <c r="S1168" s="2018"/>
      <c r="T1168" s="2018"/>
      <c r="U1168" s="2018"/>
      <c r="V1168" s="2018"/>
      <c r="W1168" s="2018"/>
      <c r="X1168" s="2018"/>
      <c r="Y1168" s="2094"/>
      <c r="Z1168" s="2096"/>
      <c r="AA1168" s="2097"/>
      <c r="AB1168" s="1053"/>
      <c r="AC1168" s="1053"/>
      <c r="AD1168" s="1053"/>
      <c r="AE1168" s="1051"/>
      <c r="AF1168" s="1052"/>
    </row>
    <row r="1169" spans="1:32" ht="15.75" x14ac:dyDescent="0.25">
      <c r="A1169" s="2017"/>
      <c r="B1169" s="2018"/>
      <c r="C1169" s="2018"/>
      <c r="D1169" s="2018"/>
      <c r="E1169" s="2018"/>
      <c r="F1169" s="2018"/>
      <c r="G1169" s="2018"/>
      <c r="H1169" s="2018"/>
      <c r="I1169" s="2018"/>
      <c r="J1169" s="2018"/>
      <c r="K1169" s="2018"/>
      <c r="L1169" s="2018"/>
      <c r="M1169" s="2018"/>
      <c r="N1169" s="2018"/>
      <c r="O1169" s="2018"/>
      <c r="P1169" s="2018"/>
      <c r="Q1169" s="2018"/>
      <c r="R1169" s="2018"/>
      <c r="S1169" s="2018"/>
      <c r="T1169" s="2018"/>
      <c r="U1169" s="2018"/>
      <c r="V1169" s="2018"/>
      <c r="W1169" s="2018"/>
      <c r="X1169" s="2018"/>
      <c r="Y1169" s="2094"/>
      <c r="Z1169" s="2096"/>
      <c r="AA1169" s="2097"/>
      <c r="AB1169" s="1053"/>
      <c r="AC1169" s="1053"/>
      <c r="AD1169" s="1053"/>
      <c r="AE1169" s="1051"/>
      <c r="AF1169" s="1052"/>
    </row>
    <row r="1170" spans="1:32" ht="15.75" x14ac:dyDescent="0.25">
      <c r="A1170" s="2017"/>
      <c r="B1170" s="2018"/>
      <c r="C1170" s="2018"/>
      <c r="D1170" s="2018"/>
      <c r="E1170" s="2018"/>
      <c r="F1170" s="2018"/>
      <c r="G1170" s="2018"/>
      <c r="H1170" s="2018"/>
      <c r="I1170" s="2018"/>
      <c r="J1170" s="2018"/>
      <c r="K1170" s="2018"/>
      <c r="L1170" s="2018"/>
      <c r="M1170" s="2018"/>
      <c r="N1170" s="2018"/>
      <c r="O1170" s="2018"/>
      <c r="P1170" s="2018"/>
      <c r="Q1170" s="2018"/>
      <c r="R1170" s="2018"/>
      <c r="S1170" s="2018"/>
      <c r="T1170" s="2018"/>
      <c r="U1170" s="2018"/>
      <c r="V1170" s="2018"/>
      <c r="W1170" s="2018"/>
      <c r="X1170" s="2018"/>
      <c r="Y1170" s="2094"/>
      <c r="Z1170" s="2096"/>
      <c r="AA1170" s="2097"/>
      <c r="AB1170" s="1053"/>
      <c r="AC1170" s="1053"/>
      <c r="AD1170" s="1053"/>
      <c r="AE1170" s="1050"/>
      <c r="AF1170" s="1054"/>
    </row>
    <row r="1171" spans="1:32" ht="15.75" x14ac:dyDescent="0.25">
      <c r="A1171" s="2017"/>
      <c r="B1171" s="2018"/>
      <c r="C1171" s="2018"/>
      <c r="D1171" s="2018"/>
      <c r="E1171" s="2018"/>
      <c r="F1171" s="2018"/>
      <c r="G1171" s="2018"/>
      <c r="H1171" s="2018"/>
      <c r="I1171" s="2018"/>
      <c r="J1171" s="2018"/>
      <c r="K1171" s="2018"/>
      <c r="L1171" s="2018"/>
      <c r="M1171" s="2018"/>
      <c r="N1171" s="2018"/>
      <c r="O1171" s="2018"/>
      <c r="P1171" s="2018"/>
      <c r="Q1171" s="2018"/>
      <c r="R1171" s="2018"/>
      <c r="S1171" s="2018"/>
      <c r="T1171" s="2018"/>
      <c r="U1171" s="2018"/>
      <c r="V1171" s="2018"/>
      <c r="W1171" s="2018"/>
      <c r="X1171" s="2018"/>
      <c r="Y1171" s="2094"/>
      <c r="Z1171" s="2096"/>
      <c r="AA1171" s="2097"/>
      <c r="AB1171" s="1053"/>
      <c r="AC1171" s="1053"/>
      <c r="AD1171" s="1053"/>
      <c r="AE1171" s="1051"/>
      <c r="AF1171" s="1054"/>
    </row>
    <row r="1172" spans="1:32" ht="15.75" x14ac:dyDescent="0.25">
      <c r="A1172" s="2017"/>
      <c r="B1172" s="2018"/>
      <c r="C1172" s="2018"/>
      <c r="D1172" s="2018"/>
      <c r="E1172" s="2018"/>
      <c r="F1172" s="2018"/>
      <c r="G1172" s="2018"/>
      <c r="H1172" s="2018"/>
      <c r="I1172" s="2018"/>
      <c r="J1172" s="2018"/>
      <c r="K1172" s="2018"/>
      <c r="L1172" s="2018"/>
      <c r="M1172" s="2018"/>
      <c r="N1172" s="2018"/>
      <c r="O1172" s="2018"/>
      <c r="P1172" s="2018"/>
      <c r="Q1172" s="2018"/>
      <c r="R1172" s="2018"/>
      <c r="S1172" s="2018"/>
      <c r="T1172" s="2018"/>
      <c r="U1172" s="2018"/>
      <c r="V1172" s="2018"/>
      <c r="W1172" s="2018"/>
      <c r="X1172" s="2018"/>
      <c r="Y1172" s="2094"/>
      <c r="Z1172" s="2096"/>
      <c r="AA1172" s="2097"/>
      <c r="AB1172" s="1053"/>
      <c r="AC1172" s="1053"/>
      <c r="AD1172" s="1053"/>
      <c r="AE1172" s="1051"/>
      <c r="AF1172" s="1054"/>
    </row>
    <row r="1173" spans="1:32" ht="15.75" x14ac:dyDescent="0.25">
      <c r="A1173" s="2017"/>
      <c r="B1173" s="2018"/>
      <c r="C1173" s="2018"/>
      <c r="D1173" s="2018"/>
      <c r="E1173" s="2018"/>
      <c r="F1173" s="2018"/>
      <c r="G1173" s="2018"/>
      <c r="H1173" s="2018"/>
      <c r="I1173" s="2018"/>
      <c r="J1173" s="2018"/>
      <c r="K1173" s="2018"/>
      <c r="L1173" s="2018"/>
      <c r="M1173" s="2018"/>
      <c r="N1173" s="2018"/>
      <c r="O1173" s="2018"/>
      <c r="P1173" s="2018"/>
      <c r="Q1173" s="2018"/>
      <c r="R1173" s="2018"/>
      <c r="S1173" s="2018"/>
      <c r="T1173" s="2018"/>
      <c r="U1173" s="2018"/>
      <c r="V1173" s="2018"/>
      <c r="W1173" s="2018"/>
      <c r="X1173" s="2018"/>
      <c r="Y1173" s="2094"/>
      <c r="Z1173" s="2096"/>
      <c r="AA1173" s="2097"/>
      <c r="AB1173" s="1053"/>
      <c r="AC1173" s="1053"/>
      <c r="AD1173" s="1053"/>
      <c r="AE1173" s="1051"/>
      <c r="AF1173" s="1054"/>
    </row>
    <row r="1174" spans="1:32" ht="15.75" x14ac:dyDescent="0.25">
      <c r="A1174" s="2017"/>
      <c r="B1174" s="2018"/>
      <c r="C1174" s="2018"/>
      <c r="D1174" s="2018"/>
      <c r="E1174" s="2018"/>
      <c r="F1174" s="2018"/>
      <c r="G1174" s="2018"/>
      <c r="H1174" s="2018"/>
      <c r="I1174" s="2018"/>
      <c r="J1174" s="2018"/>
      <c r="K1174" s="2018"/>
      <c r="L1174" s="2018"/>
      <c r="M1174" s="2018"/>
      <c r="N1174" s="2018"/>
      <c r="O1174" s="2018"/>
      <c r="P1174" s="2018"/>
      <c r="Q1174" s="2018"/>
      <c r="R1174" s="2018"/>
      <c r="S1174" s="2018"/>
      <c r="T1174" s="2018"/>
      <c r="U1174" s="2018"/>
      <c r="V1174" s="2018"/>
      <c r="W1174" s="2018"/>
      <c r="X1174" s="2018"/>
      <c r="Y1174" s="2094"/>
      <c r="Z1174" s="2096"/>
      <c r="AA1174" s="2097"/>
      <c r="AB1174" s="1053"/>
      <c r="AC1174" s="1053"/>
      <c r="AD1174" s="1053"/>
      <c r="AE1174" s="1051"/>
      <c r="AF1174" s="1054"/>
    </row>
    <row r="1175" spans="1:32" ht="15.75" x14ac:dyDescent="0.25">
      <c r="A1175" s="2017"/>
      <c r="B1175" s="2018"/>
      <c r="C1175" s="2018"/>
      <c r="D1175" s="2018"/>
      <c r="E1175" s="2018"/>
      <c r="F1175" s="2018"/>
      <c r="G1175" s="2018"/>
      <c r="H1175" s="2018"/>
      <c r="I1175" s="2018"/>
      <c r="J1175" s="2018"/>
      <c r="K1175" s="2018"/>
      <c r="L1175" s="2018"/>
      <c r="M1175" s="2018"/>
      <c r="N1175" s="2018"/>
      <c r="O1175" s="2018"/>
      <c r="P1175" s="2018"/>
      <c r="Q1175" s="2018"/>
      <c r="R1175" s="2018"/>
      <c r="S1175" s="2018"/>
      <c r="T1175" s="2018"/>
      <c r="U1175" s="2018"/>
      <c r="V1175" s="2018"/>
      <c r="W1175" s="2018"/>
      <c r="X1175" s="2018"/>
      <c r="Y1175" s="2094"/>
      <c r="Z1175" s="2096"/>
      <c r="AA1175" s="2097"/>
      <c r="AB1175" s="1053"/>
      <c r="AC1175" s="1053"/>
      <c r="AD1175" s="1053"/>
      <c r="AE1175" s="1051"/>
      <c r="AF1175" s="1054"/>
    </row>
    <row r="1176" spans="1:32" ht="15.75" x14ac:dyDescent="0.25">
      <c r="A1176" s="2017"/>
      <c r="B1176" s="2018"/>
      <c r="C1176" s="2018"/>
      <c r="D1176" s="2018"/>
      <c r="E1176" s="2018"/>
      <c r="F1176" s="2018"/>
      <c r="G1176" s="2018"/>
      <c r="H1176" s="2018"/>
      <c r="I1176" s="2018"/>
      <c r="J1176" s="2018"/>
      <c r="K1176" s="2018"/>
      <c r="L1176" s="2018"/>
      <c r="M1176" s="2018"/>
      <c r="N1176" s="2018"/>
      <c r="O1176" s="2018"/>
      <c r="P1176" s="2018"/>
      <c r="Q1176" s="2018"/>
      <c r="R1176" s="2018"/>
      <c r="S1176" s="2018"/>
      <c r="T1176" s="2018"/>
      <c r="U1176" s="2018"/>
      <c r="V1176" s="2018"/>
      <c r="W1176" s="2018"/>
      <c r="X1176" s="2018"/>
      <c r="Y1176" s="2094"/>
      <c r="Z1176" s="2096"/>
      <c r="AA1176" s="2097"/>
      <c r="AB1176" s="1055"/>
      <c r="AC1176" s="1055"/>
      <c r="AD1176" s="1055"/>
      <c r="AE1176" s="1051"/>
      <c r="AF1176" s="1056"/>
    </row>
    <row r="1177" spans="1:32" ht="15.75" x14ac:dyDescent="0.25">
      <c r="A1177" s="2017"/>
      <c r="B1177" s="2018"/>
      <c r="C1177" s="2018"/>
      <c r="D1177" s="2018"/>
      <c r="E1177" s="2018"/>
      <c r="F1177" s="2018"/>
      <c r="G1177" s="2018"/>
      <c r="H1177" s="2018"/>
      <c r="I1177" s="2018"/>
      <c r="J1177" s="2018"/>
      <c r="K1177" s="2018"/>
      <c r="L1177" s="2018"/>
      <c r="M1177" s="2018"/>
      <c r="N1177" s="2018"/>
      <c r="O1177" s="2018"/>
      <c r="P1177" s="2018"/>
      <c r="Q1177" s="2018"/>
      <c r="R1177" s="2018"/>
      <c r="S1177" s="2018"/>
      <c r="T1177" s="2018"/>
      <c r="U1177" s="2018"/>
      <c r="V1177" s="2018"/>
      <c r="W1177" s="2018"/>
      <c r="X1177" s="2018"/>
      <c r="Y1177" s="2094"/>
      <c r="Z1177" s="2096"/>
      <c r="AA1177" s="2097"/>
      <c r="AB1177" s="1055"/>
      <c r="AC1177" s="1055"/>
      <c r="AD1177" s="1055"/>
      <c r="AE1177" s="1055"/>
      <c r="AF1177" s="1056"/>
    </row>
    <row r="1178" spans="1:32" ht="15.75" x14ac:dyDescent="0.25">
      <c r="A1178" s="2017"/>
      <c r="B1178" s="2018"/>
      <c r="C1178" s="2018"/>
      <c r="D1178" s="2018"/>
      <c r="E1178" s="2018"/>
      <c r="F1178" s="2018"/>
      <c r="G1178" s="2018"/>
      <c r="H1178" s="2018"/>
      <c r="I1178" s="2018"/>
      <c r="J1178" s="2018"/>
      <c r="K1178" s="2018"/>
      <c r="L1178" s="2018"/>
      <c r="M1178" s="2018"/>
      <c r="N1178" s="2018"/>
      <c r="O1178" s="2018"/>
      <c r="P1178" s="2018"/>
      <c r="Q1178" s="2018"/>
      <c r="R1178" s="2018"/>
      <c r="S1178" s="2018"/>
      <c r="T1178" s="2018"/>
      <c r="U1178" s="2018"/>
      <c r="V1178" s="2018"/>
      <c r="W1178" s="2018"/>
      <c r="X1178" s="2018"/>
      <c r="Y1178" s="2094"/>
      <c r="Z1178" s="2096"/>
      <c r="AA1178" s="2097"/>
      <c r="AB1178" s="1055"/>
      <c r="AC1178" s="1055"/>
      <c r="AD1178" s="1055"/>
      <c r="AE1178" s="1055"/>
      <c r="AF1178" s="1056"/>
    </row>
    <row r="1179" spans="1:32" ht="15.75" x14ac:dyDescent="0.25">
      <c r="A1179" s="2017"/>
      <c r="B1179" s="2018"/>
      <c r="C1179" s="2018"/>
      <c r="D1179" s="2018"/>
      <c r="E1179" s="2018"/>
      <c r="F1179" s="2018"/>
      <c r="G1179" s="2018"/>
      <c r="H1179" s="2018"/>
      <c r="I1179" s="2018"/>
      <c r="J1179" s="2018"/>
      <c r="K1179" s="2018"/>
      <c r="L1179" s="2018"/>
      <c r="M1179" s="2018"/>
      <c r="N1179" s="2018"/>
      <c r="O1179" s="2018"/>
      <c r="P1179" s="2018"/>
      <c r="Q1179" s="2018"/>
      <c r="R1179" s="2018"/>
      <c r="S1179" s="2018"/>
      <c r="T1179" s="2018"/>
      <c r="U1179" s="2018"/>
      <c r="V1179" s="2018"/>
      <c r="W1179" s="2018"/>
      <c r="X1179" s="2018"/>
      <c r="Y1179" s="2094"/>
      <c r="Z1179" s="2096"/>
      <c r="AA1179" s="2097"/>
      <c r="AB1179" s="1055"/>
      <c r="AC1179" s="1055"/>
      <c r="AD1179" s="1055"/>
      <c r="AE1179" s="1055"/>
      <c r="AF1179" s="1056"/>
    </row>
    <row r="1180" spans="1:32" ht="15.75" x14ac:dyDescent="0.25">
      <c r="A1180" s="2017"/>
      <c r="B1180" s="2018"/>
      <c r="C1180" s="2018"/>
      <c r="D1180" s="2018"/>
      <c r="E1180" s="2018"/>
      <c r="F1180" s="2018"/>
      <c r="G1180" s="2018"/>
      <c r="H1180" s="2018"/>
      <c r="I1180" s="2018"/>
      <c r="J1180" s="2018"/>
      <c r="K1180" s="2018"/>
      <c r="L1180" s="2018"/>
      <c r="M1180" s="2018"/>
      <c r="N1180" s="2018"/>
      <c r="O1180" s="2018"/>
      <c r="P1180" s="2018"/>
      <c r="Q1180" s="2018"/>
      <c r="R1180" s="2018"/>
      <c r="S1180" s="2018"/>
      <c r="T1180" s="2018"/>
      <c r="U1180" s="2018"/>
      <c r="V1180" s="2018"/>
      <c r="W1180" s="2018"/>
      <c r="X1180" s="2018"/>
      <c r="Y1180" s="2094"/>
      <c r="Z1180" s="2096"/>
      <c r="AA1180" s="2097"/>
      <c r="AB1180" s="1055"/>
      <c r="AC1180" s="1055"/>
      <c r="AD1180" s="1055"/>
      <c r="AE1180" s="1055"/>
      <c r="AF1180" s="1056"/>
    </row>
    <row r="1181" spans="1:32" ht="16.5" thickBot="1" x14ac:dyDescent="0.3">
      <c r="A1181" s="2019"/>
      <c r="B1181" s="2020"/>
      <c r="C1181" s="2020"/>
      <c r="D1181" s="2020"/>
      <c r="E1181" s="2020"/>
      <c r="F1181" s="2020"/>
      <c r="G1181" s="2020"/>
      <c r="H1181" s="2020"/>
      <c r="I1181" s="2020"/>
      <c r="J1181" s="2020"/>
      <c r="K1181" s="2020"/>
      <c r="L1181" s="2020"/>
      <c r="M1181" s="2020"/>
      <c r="N1181" s="2020"/>
      <c r="O1181" s="2020"/>
      <c r="P1181" s="2020"/>
      <c r="Q1181" s="2020"/>
      <c r="R1181" s="2020"/>
      <c r="S1181" s="2020"/>
      <c r="T1181" s="2020"/>
      <c r="U1181" s="2020"/>
      <c r="V1181" s="2020"/>
      <c r="W1181" s="2020"/>
      <c r="X1181" s="2020"/>
      <c r="Y1181" s="2095"/>
      <c r="Z1181" s="2098"/>
      <c r="AA1181" s="2099"/>
      <c r="AB1181" s="1057"/>
      <c r="AC1181" s="1057"/>
      <c r="AD1181" s="1057"/>
      <c r="AE1181" s="1057"/>
      <c r="AF1181" s="1058"/>
    </row>
    <row r="1182" spans="1:32" ht="15.75" x14ac:dyDescent="0.25">
      <c r="A1182" s="2009" t="s">
        <v>1862</v>
      </c>
      <c r="B1182" s="2010"/>
      <c r="C1182" s="2010"/>
      <c r="D1182" s="2010"/>
      <c r="E1182" s="2010"/>
      <c r="F1182" s="2010"/>
      <c r="G1182" s="2010"/>
      <c r="H1182" s="2010"/>
      <c r="I1182" s="2010"/>
      <c r="J1182" s="2010"/>
      <c r="K1182" s="2010"/>
      <c r="L1182" s="2010"/>
      <c r="M1182" s="2010"/>
      <c r="N1182" s="2010"/>
      <c r="O1182" s="2010"/>
      <c r="P1182" s="2010"/>
      <c r="Q1182" s="2010"/>
      <c r="R1182" s="2010"/>
      <c r="S1182" s="2010"/>
      <c r="T1182" s="2010"/>
      <c r="U1182" s="2010"/>
      <c r="V1182" s="2010"/>
      <c r="W1182" s="2010"/>
      <c r="X1182" s="2010"/>
      <c r="Y1182" s="2010"/>
      <c r="Z1182" s="2013" t="s">
        <v>1850</v>
      </c>
      <c r="AA1182" s="2013"/>
      <c r="AB1182" s="2013"/>
      <c r="AC1182" s="2013"/>
      <c r="AD1182" s="2013"/>
      <c r="AE1182" s="2013"/>
      <c r="AF1182" s="1059">
        <f>SUM(AF1162:AF1181)</f>
        <v>164.72</v>
      </c>
    </row>
    <row r="1183" spans="1:32" ht="15.75" x14ac:dyDescent="0.25">
      <c r="A1183" s="2011"/>
      <c r="B1183" s="2012"/>
      <c r="C1183" s="2012"/>
      <c r="D1183" s="2012"/>
      <c r="E1183" s="2012"/>
      <c r="F1183" s="2012"/>
      <c r="G1183" s="2012"/>
      <c r="H1183" s="2012"/>
      <c r="I1183" s="2012"/>
      <c r="J1183" s="2012"/>
      <c r="K1183" s="2012"/>
      <c r="L1183" s="2012"/>
      <c r="M1183" s="2012"/>
      <c r="N1183" s="2012"/>
      <c r="O1183" s="2012"/>
      <c r="P1183" s="2012"/>
      <c r="Q1183" s="2012"/>
      <c r="R1183" s="2012"/>
      <c r="S1183" s="2012"/>
      <c r="T1183" s="2012"/>
      <c r="U1183" s="2012"/>
      <c r="V1183" s="2012"/>
      <c r="W1183" s="2012"/>
      <c r="X1183" s="2012"/>
      <c r="Y1183" s="2012"/>
      <c r="Z1183" s="2014" t="s">
        <v>1851</v>
      </c>
      <c r="AA1183" s="2014"/>
      <c r="AB1183" s="2014"/>
      <c r="AC1183" s="2014"/>
      <c r="AD1183" s="2014"/>
      <c r="AE1183" s="2014"/>
      <c r="AF1183" s="1060">
        <v>0</v>
      </c>
    </row>
    <row r="1184" spans="1:32" ht="15.75" x14ac:dyDescent="0.25">
      <c r="A1184" s="2011"/>
      <c r="B1184" s="2012"/>
      <c r="C1184" s="2012"/>
      <c r="D1184" s="2012"/>
      <c r="E1184" s="2012"/>
      <c r="F1184" s="2012"/>
      <c r="G1184" s="2012"/>
      <c r="H1184" s="2012"/>
      <c r="I1184" s="2012"/>
      <c r="J1184" s="2012"/>
      <c r="K1184" s="2012"/>
      <c r="L1184" s="2012"/>
      <c r="M1184" s="2012"/>
      <c r="N1184" s="2012"/>
      <c r="O1184" s="2012"/>
      <c r="P1184" s="2012"/>
      <c r="Q1184" s="2012"/>
      <c r="R1184" s="2012"/>
      <c r="S1184" s="2012"/>
      <c r="T1184" s="2012"/>
      <c r="U1184" s="2012"/>
      <c r="V1184" s="2012"/>
      <c r="W1184" s="2012"/>
      <c r="X1184" s="2012"/>
      <c r="Y1184" s="2012"/>
      <c r="Z1184" s="2015" t="s">
        <v>1833</v>
      </c>
      <c r="AA1184" s="2015"/>
      <c r="AB1184" s="2015"/>
      <c r="AC1184" s="2015"/>
      <c r="AD1184" s="2015"/>
      <c r="AE1184" s="2015"/>
      <c r="AF1184" s="1061">
        <f>SUM(AF1182:AF1183)</f>
        <v>164.72</v>
      </c>
    </row>
    <row r="1185" spans="1:32" x14ac:dyDescent="0.2">
      <c r="A1185" s="2012" t="s">
        <v>1859</v>
      </c>
      <c r="B1185" s="2012"/>
      <c r="C1185" s="2012"/>
      <c r="D1185" s="2012"/>
      <c r="E1185" s="2012"/>
      <c r="F1185" s="2012"/>
      <c r="G1185" s="2012"/>
      <c r="H1185" s="2012"/>
      <c r="I1185" s="2012"/>
      <c r="J1185" s="2012"/>
      <c r="K1185" s="2012"/>
      <c r="L1185" s="2012"/>
      <c r="M1185" s="2012"/>
      <c r="N1185" s="2012"/>
      <c r="O1185" s="2012"/>
      <c r="P1185" s="2012"/>
      <c r="Q1185" s="2012"/>
      <c r="R1185" s="2012"/>
      <c r="S1185" s="2012"/>
      <c r="T1185" s="2016" t="s">
        <v>1840</v>
      </c>
      <c r="U1185" s="2016"/>
      <c r="V1185" s="2016"/>
      <c r="W1185" s="2016"/>
      <c r="X1185" s="2016"/>
      <c r="Y1185" s="2016"/>
      <c r="Z1185" s="2016"/>
      <c r="AA1185" s="2016"/>
      <c r="AB1185" s="2012" t="s">
        <v>1852</v>
      </c>
      <c r="AC1185" s="2012"/>
      <c r="AD1185" s="2012"/>
      <c r="AE1185" s="2012"/>
      <c r="AF1185" s="2012"/>
    </row>
    <row r="1186" spans="1:32" x14ac:dyDescent="0.2">
      <c r="A1186" s="2012"/>
      <c r="B1186" s="2012"/>
      <c r="C1186" s="2012"/>
      <c r="D1186" s="2012"/>
      <c r="E1186" s="2012"/>
      <c r="F1186" s="2012"/>
      <c r="G1186" s="2012"/>
      <c r="H1186" s="2012"/>
      <c r="I1186" s="2012"/>
      <c r="J1186" s="2012"/>
      <c r="K1186" s="2012"/>
      <c r="L1186" s="2012"/>
      <c r="M1186" s="2012"/>
      <c r="N1186" s="2012"/>
      <c r="O1186" s="2012"/>
      <c r="P1186" s="2012"/>
      <c r="Q1186" s="2012"/>
      <c r="R1186" s="2012"/>
      <c r="S1186" s="2012"/>
      <c r="T1186" s="2016"/>
      <c r="U1186" s="2016"/>
      <c r="V1186" s="2016"/>
      <c r="W1186" s="2016"/>
      <c r="X1186" s="2016"/>
      <c r="Y1186" s="2016"/>
      <c r="Z1186" s="2016"/>
      <c r="AA1186" s="2016"/>
      <c r="AB1186" s="2012"/>
      <c r="AC1186" s="2012"/>
      <c r="AD1186" s="2012"/>
      <c r="AE1186" s="2012"/>
      <c r="AF1186" s="2012"/>
    </row>
    <row r="1187" spans="1:32" ht="13.5" thickBot="1" x14ac:dyDescent="0.25"/>
    <row r="1188" spans="1:32" ht="26.45" customHeight="1" x14ac:dyDescent="0.2">
      <c r="A1188" s="2025" t="s">
        <v>1854</v>
      </c>
      <c r="B1188" s="2026"/>
      <c r="C1188" s="2026"/>
      <c r="D1188" s="2026"/>
      <c r="E1188" s="2026"/>
      <c r="F1188" s="2026"/>
      <c r="G1188" s="2026"/>
      <c r="H1188" s="2026"/>
      <c r="I1188" s="2026"/>
      <c r="J1188" s="2026"/>
      <c r="K1188" s="2026"/>
      <c r="L1188" s="2026"/>
      <c r="M1188" s="2026"/>
      <c r="N1188" s="2026"/>
      <c r="O1188" s="2026"/>
      <c r="P1188" s="2026"/>
      <c r="Q1188" s="2026"/>
      <c r="R1188" s="2026"/>
      <c r="S1188" s="2026"/>
      <c r="T1188" s="2026"/>
      <c r="U1188" s="2026"/>
      <c r="V1188" s="2026"/>
      <c r="W1188" s="2026"/>
      <c r="X1188" s="2026"/>
      <c r="Y1188" s="2026"/>
      <c r="Z1188" s="2026"/>
      <c r="AA1188" s="2026"/>
      <c r="AB1188" s="2026"/>
      <c r="AC1188" s="2026"/>
      <c r="AD1188" s="2026"/>
      <c r="AE1188" s="1041" t="s">
        <v>1834</v>
      </c>
      <c r="AF1188" s="1042" t="s">
        <v>1835</v>
      </c>
    </row>
    <row r="1189" spans="1:32" ht="19.149999999999999" customHeight="1" thickBot="1" x14ac:dyDescent="0.25">
      <c r="A1189" s="2027"/>
      <c r="B1189" s="2028"/>
      <c r="C1189" s="2028"/>
      <c r="D1189" s="2028"/>
      <c r="E1189" s="2028"/>
      <c r="F1189" s="2028"/>
      <c r="G1189" s="2028"/>
      <c r="H1189" s="2028"/>
      <c r="I1189" s="2028"/>
      <c r="J1189" s="2028"/>
      <c r="K1189" s="2028"/>
      <c r="L1189" s="2028"/>
      <c r="M1189" s="2028"/>
      <c r="N1189" s="2028"/>
      <c r="O1189" s="2028"/>
      <c r="P1189" s="2028"/>
      <c r="Q1189" s="2028"/>
      <c r="R1189" s="2028"/>
      <c r="S1189" s="2028"/>
      <c r="T1189" s="2028"/>
      <c r="U1189" s="2028"/>
      <c r="V1189" s="2028"/>
      <c r="W1189" s="2028"/>
      <c r="X1189" s="2028"/>
      <c r="Y1189" s="2028"/>
      <c r="Z1189" s="2028"/>
      <c r="AA1189" s="2028"/>
      <c r="AB1189" s="2028"/>
      <c r="AC1189" s="2028"/>
      <c r="AD1189" s="2028"/>
      <c r="AE1189" s="1041" t="s">
        <v>1836</v>
      </c>
      <c r="AF1189" s="1044">
        <v>1</v>
      </c>
    </row>
    <row r="1190" spans="1:32" ht="15.75" x14ac:dyDescent="0.2">
      <c r="A1190" s="2029"/>
      <c r="B1190" s="2030"/>
      <c r="C1190" s="2030"/>
      <c r="D1190" s="2031"/>
      <c r="E1190" s="2025" t="str">
        <f>'01'!$A$12</f>
        <v>"CONSTRUCCION SISTEMA DE ACUEDUCTO FASE II DEL MUNICIPIO DE TESALIA DPTO DEL HUILA"</v>
      </c>
      <c r="F1190" s="2026"/>
      <c r="G1190" s="2026"/>
      <c r="H1190" s="2026"/>
      <c r="I1190" s="2026"/>
      <c r="J1190" s="2026"/>
      <c r="K1190" s="2026"/>
      <c r="L1190" s="2026"/>
      <c r="M1190" s="2026"/>
      <c r="N1190" s="2026"/>
      <c r="O1190" s="2026"/>
      <c r="P1190" s="2026"/>
      <c r="Q1190" s="2026"/>
      <c r="R1190" s="2026"/>
      <c r="S1190" s="2026"/>
      <c r="T1190" s="2026"/>
      <c r="U1190" s="2026"/>
      <c r="V1190" s="2026"/>
      <c r="W1190" s="2026"/>
      <c r="X1190" s="2026"/>
      <c r="Y1190" s="2026"/>
      <c r="Z1190" s="2026"/>
      <c r="AA1190" s="2026"/>
      <c r="AB1190" s="2026"/>
      <c r="AC1190" s="2026"/>
      <c r="AD1190" s="2035"/>
      <c r="AE1190" s="1041" t="s">
        <v>847</v>
      </c>
      <c r="AF1190" s="1045">
        <f>'01'!$M$13</f>
        <v>0</v>
      </c>
    </row>
    <row r="1191" spans="1:32" ht="16.5" thickBot="1" x14ac:dyDescent="0.25">
      <c r="A1191" s="2032"/>
      <c r="B1191" s="2033"/>
      <c r="C1191" s="2033"/>
      <c r="D1191" s="2034"/>
      <c r="E1191" s="2027"/>
      <c r="F1191" s="2028"/>
      <c r="G1191" s="2028"/>
      <c r="H1191" s="2028"/>
      <c r="I1191" s="2028"/>
      <c r="J1191" s="2028"/>
      <c r="K1191" s="2028"/>
      <c r="L1191" s="2028"/>
      <c r="M1191" s="2028"/>
      <c r="N1191" s="2028"/>
      <c r="O1191" s="2028"/>
      <c r="P1191" s="2028"/>
      <c r="Q1191" s="2028"/>
      <c r="R1191" s="2028"/>
      <c r="S1191" s="2028"/>
      <c r="T1191" s="2028"/>
      <c r="U1191" s="2028"/>
      <c r="V1191" s="2028"/>
      <c r="W1191" s="2028"/>
      <c r="X1191" s="2028"/>
      <c r="Y1191" s="2028"/>
      <c r="Z1191" s="2028"/>
      <c r="AA1191" s="2028"/>
      <c r="AB1191" s="2028"/>
      <c r="AC1191" s="2028"/>
      <c r="AD1191" s="2036"/>
      <c r="AE1191" s="1041" t="s">
        <v>1837</v>
      </c>
      <c r="AF1191" s="1042" t="s">
        <v>1838</v>
      </c>
    </row>
    <row r="1192" spans="1:32" ht="15.75" x14ac:dyDescent="0.25">
      <c r="A1192" s="2037" t="s">
        <v>1860</v>
      </c>
      <c r="B1192" s="2038"/>
      <c r="C1192" s="2038"/>
      <c r="D1192" s="2038"/>
      <c r="E1192" s="2038"/>
      <c r="F1192" s="2038"/>
      <c r="G1192" s="2038"/>
      <c r="H1192" s="2038"/>
      <c r="I1192" s="2038"/>
      <c r="J1192" s="2038"/>
      <c r="K1192" s="2038"/>
      <c r="L1192" s="2038"/>
      <c r="M1192" s="2038"/>
      <c r="N1192" s="2038"/>
      <c r="O1192" s="2038"/>
      <c r="P1192" s="2038"/>
      <c r="Q1192" s="2038"/>
      <c r="R1192" s="2038"/>
      <c r="S1192" s="2038"/>
      <c r="T1192" s="2038"/>
      <c r="U1192" s="2038"/>
      <c r="V1192" s="2038"/>
      <c r="W1192" s="2038"/>
      <c r="X1192" s="2038"/>
      <c r="Y1192" s="2038"/>
      <c r="Z1192" s="2038"/>
      <c r="AA1192" s="2038"/>
      <c r="AB1192" s="2038"/>
      <c r="AC1192" s="2038"/>
      <c r="AD1192" s="2038"/>
      <c r="AE1192" s="2039" t="s">
        <v>1839</v>
      </c>
      <c r="AF1192" s="2040"/>
    </row>
    <row r="1193" spans="1:32" ht="15.75" x14ac:dyDescent="0.25">
      <c r="A1193" s="2041" t="s">
        <v>1840</v>
      </c>
      <c r="B1193" s="2042"/>
      <c r="C1193" s="2042"/>
      <c r="D1193" s="2042"/>
      <c r="E1193" s="2042"/>
      <c r="F1193" s="2042"/>
      <c r="G1193" s="2042"/>
      <c r="H1193" s="2042"/>
      <c r="I1193" s="2042"/>
      <c r="J1193" s="2042"/>
      <c r="K1193" s="2042"/>
      <c r="L1193" s="2042"/>
      <c r="M1193" s="2042"/>
      <c r="N1193" s="2042"/>
      <c r="O1193" s="2042"/>
      <c r="P1193" s="2042"/>
      <c r="Q1193" s="2042"/>
      <c r="R1193" s="2042"/>
      <c r="S1193" s="2042"/>
      <c r="T1193" s="2042"/>
      <c r="U1193" s="2042"/>
      <c r="V1193" s="2042"/>
      <c r="W1193" s="2042"/>
      <c r="X1193" s="2042"/>
      <c r="Y1193" s="2042"/>
      <c r="Z1193" s="2042"/>
      <c r="AA1193" s="2042"/>
      <c r="AB1193" s="2042"/>
      <c r="AC1193" s="2042"/>
      <c r="AD1193" s="2043"/>
      <c r="AE1193" s="2014" t="s">
        <v>1841</v>
      </c>
      <c r="AF1193" s="2044"/>
    </row>
    <row r="1194" spans="1:32" ht="15.75" x14ac:dyDescent="0.25">
      <c r="A1194" s="2045" t="s">
        <v>1853</v>
      </c>
      <c r="B1194" s="2046"/>
      <c r="C1194" s="2046"/>
      <c r="D1194" s="2046"/>
      <c r="E1194" s="2046"/>
      <c r="F1194" s="2046"/>
      <c r="G1194" s="2046"/>
      <c r="H1194" s="2046"/>
      <c r="I1194" s="2046"/>
      <c r="J1194" s="2046"/>
      <c r="K1194" s="2046"/>
      <c r="L1194" s="2046"/>
      <c r="M1194" s="2046"/>
      <c r="N1194" s="2046"/>
      <c r="O1194" s="2046"/>
      <c r="P1194" s="2046"/>
      <c r="Q1194" s="2046"/>
      <c r="R1194" s="2046"/>
      <c r="S1194" s="2046"/>
      <c r="T1194" s="2046"/>
      <c r="U1194" s="2046"/>
      <c r="V1194" s="2046"/>
      <c r="W1194" s="2046"/>
      <c r="X1194" s="2046"/>
      <c r="Y1194" s="2046"/>
      <c r="Z1194" s="2046"/>
      <c r="AA1194" s="2046"/>
      <c r="AB1194" s="2046"/>
      <c r="AC1194" s="2046"/>
      <c r="AD1194" s="2046"/>
      <c r="AE1194" s="2047">
        <f>'01'!$M$13</f>
        <v>0</v>
      </c>
      <c r="AF1194" s="2044"/>
    </row>
    <row r="1195" spans="1:32" x14ac:dyDescent="0.2">
      <c r="A1195" s="1046"/>
      <c r="B1195" s="1047"/>
      <c r="C1195" s="1047"/>
      <c r="D1195" s="1047"/>
      <c r="E1195" s="1047"/>
      <c r="F1195" s="1047"/>
      <c r="G1195" s="1047"/>
      <c r="H1195" s="1047"/>
      <c r="I1195" s="1047"/>
      <c r="J1195" s="1047"/>
      <c r="K1195" s="1047"/>
      <c r="L1195" s="1047"/>
      <c r="M1195" s="1047"/>
      <c r="N1195" s="1047"/>
      <c r="O1195" s="1047"/>
      <c r="P1195" s="1047"/>
      <c r="Q1195" s="1047"/>
      <c r="R1195" s="1047"/>
      <c r="S1195" s="1047"/>
      <c r="T1195" s="1047"/>
      <c r="U1195" s="1047"/>
      <c r="V1195" s="1047"/>
      <c r="W1195" s="1047"/>
      <c r="X1195" s="1047"/>
      <c r="Y1195" s="1047"/>
      <c r="Z1195" s="1047"/>
      <c r="AA1195" s="1047"/>
      <c r="AB1195" s="1047"/>
      <c r="AC1195" s="1047"/>
      <c r="AD1195" s="1047"/>
      <c r="AE1195" s="1047"/>
      <c r="AF1195" s="1048"/>
    </row>
    <row r="1196" spans="1:32" ht="30" customHeight="1" x14ac:dyDescent="0.2">
      <c r="A1196" s="2048" t="s">
        <v>1842</v>
      </c>
      <c r="B1196" s="2049"/>
      <c r="C1196" s="2049"/>
      <c r="D1196" s="2049"/>
      <c r="E1196" s="2049"/>
      <c r="F1196" s="2050" t="str">
        <f>'01'!$H$63</f>
        <v>C - FLOCULADOR, SEDIMENTADOR, CANAL DE AGUA SEDIMENTADA Y CANAL DE LAVADO</v>
      </c>
      <c r="G1196" s="2049"/>
      <c r="H1196" s="2049"/>
      <c r="I1196" s="2049"/>
      <c r="J1196" s="2049"/>
      <c r="K1196" s="2049"/>
      <c r="L1196" s="2049"/>
      <c r="M1196" s="2049"/>
      <c r="N1196" s="2049"/>
      <c r="O1196" s="2049"/>
      <c r="P1196" s="2049"/>
      <c r="Q1196" s="2049"/>
      <c r="R1196" s="2049"/>
      <c r="S1196" s="2049"/>
      <c r="T1196" s="2049"/>
      <c r="U1196" s="2049"/>
      <c r="V1196" s="2049"/>
      <c r="W1196" s="2049"/>
      <c r="X1196" s="2049"/>
      <c r="Y1196" s="2051"/>
      <c r="Z1196" s="2052" t="s">
        <v>1843</v>
      </c>
      <c r="AA1196" s="2053"/>
      <c r="AB1196" s="2058" t="s">
        <v>1844</v>
      </c>
      <c r="AC1196" s="2059"/>
      <c r="AD1196" s="2060"/>
      <c r="AE1196" s="2064" t="s">
        <v>1845</v>
      </c>
      <c r="AF1196" s="2067" t="s">
        <v>1846</v>
      </c>
    </row>
    <row r="1197" spans="1:32" x14ac:dyDescent="0.2">
      <c r="A1197" s="2070" t="str">
        <f>'01'!A68</f>
        <v>C-02-01</v>
      </c>
      <c r="B1197" s="2071"/>
      <c r="C1197" s="2072"/>
      <c r="D1197" s="2076" t="str">
        <f>VLOOKUP(A1197,'01'!$A$12:$N$299,3,FALSE)</f>
        <v>EXCAVACIÓN MECÁNICA EN MATERIAL COMÚN (INCLUYE MAQUINARIA)</v>
      </c>
      <c r="E1197" s="2077"/>
      <c r="F1197" s="2077"/>
      <c r="G1197" s="2077"/>
      <c r="H1197" s="2077"/>
      <c r="I1197" s="2077"/>
      <c r="J1197" s="2077"/>
      <c r="K1197" s="2077"/>
      <c r="L1197" s="2077"/>
      <c r="M1197" s="2077"/>
      <c r="N1197" s="2077"/>
      <c r="O1197" s="2077"/>
      <c r="P1197" s="2077"/>
      <c r="Q1197" s="2077"/>
      <c r="R1197" s="2077"/>
      <c r="S1197" s="2078"/>
      <c r="T1197" s="2082" t="s">
        <v>124</v>
      </c>
      <c r="U1197" s="2083"/>
      <c r="V1197" s="2083"/>
      <c r="W1197" s="2083"/>
      <c r="X1197" s="2052" t="str">
        <f>VLOOKUP(A1197,'01'!$A$12:$N$299,9,FALSE)</f>
        <v>M3</v>
      </c>
      <c r="Y1197" s="2053"/>
      <c r="Z1197" s="2054"/>
      <c r="AA1197" s="2055"/>
      <c r="AB1197" s="2061"/>
      <c r="AC1197" s="2062"/>
      <c r="AD1197" s="2063"/>
      <c r="AE1197" s="2065"/>
      <c r="AF1197" s="2068"/>
    </row>
    <row r="1198" spans="1:32" ht="15.75" x14ac:dyDescent="0.25">
      <c r="A1198" s="2073"/>
      <c r="B1198" s="2074"/>
      <c r="C1198" s="2075"/>
      <c r="D1198" s="2079"/>
      <c r="E1198" s="2080"/>
      <c r="F1198" s="2080"/>
      <c r="G1198" s="2080"/>
      <c r="H1198" s="2080"/>
      <c r="I1198" s="2080"/>
      <c r="J1198" s="2080"/>
      <c r="K1198" s="2080"/>
      <c r="L1198" s="2080"/>
      <c r="M1198" s="2080"/>
      <c r="N1198" s="2080"/>
      <c r="O1198" s="2080"/>
      <c r="P1198" s="2080"/>
      <c r="Q1198" s="2080"/>
      <c r="R1198" s="2080"/>
      <c r="S1198" s="2081"/>
      <c r="T1198" s="2084"/>
      <c r="U1198" s="2085"/>
      <c r="V1198" s="2085"/>
      <c r="W1198" s="2085"/>
      <c r="X1198" s="2056"/>
      <c r="Y1198" s="2057"/>
      <c r="Z1198" s="2056"/>
      <c r="AA1198" s="2057"/>
      <c r="AB1198" s="1049" t="s">
        <v>1847</v>
      </c>
      <c r="AC1198" s="1049" t="s">
        <v>1848</v>
      </c>
      <c r="AD1198" s="1049" t="s">
        <v>1861</v>
      </c>
      <c r="AE1198" s="2066"/>
      <c r="AF1198" s="2069"/>
    </row>
    <row r="1199" spans="1:32" ht="15.75" x14ac:dyDescent="0.25">
      <c r="A1199" s="2017"/>
      <c r="B1199" s="2018"/>
      <c r="C1199" s="2018"/>
      <c r="D1199" s="2018"/>
      <c r="E1199" s="2018"/>
      <c r="F1199" s="2018"/>
      <c r="G1199" s="2018"/>
      <c r="H1199" s="2018"/>
      <c r="I1199" s="2018"/>
      <c r="J1199" s="2018"/>
      <c r="K1199" s="2018"/>
      <c r="L1199" s="2018"/>
      <c r="M1199" s="2018"/>
      <c r="N1199" s="2018"/>
      <c r="O1199" s="2018"/>
      <c r="P1199" s="2018"/>
      <c r="Q1199" s="2018"/>
      <c r="R1199" s="2018"/>
      <c r="S1199" s="2018"/>
      <c r="T1199" s="2018"/>
      <c r="U1199" s="2018"/>
      <c r="V1199" s="2018"/>
      <c r="W1199" s="2018"/>
      <c r="X1199" s="2018"/>
      <c r="Y1199" s="2094"/>
      <c r="Z1199" s="2096" t="s">
        <v>2308</v>
      </c>
      <c r="AA1199" s="2097"/>
      <c r="AB1199" s="1050">
        <f>+AB1162</f>
        <v>11.5</v>
      </c>
      <c r="AC1199" s="1050">
        <f>+AC1162</f>
        <v>6.05</v>
      </c>
      <c r="AD1199" s="1050">
        <v>2</v>
      </c>
      <c r="AE1199" s="1051">
        <v>1</v>
      </c>
      <c r="AF1199" s="1052">
        <f>ROUND(AE1199*AD1199*AC1199*AB1199,2)</f>
        <v>139.15</v>
      </c>
    </row>
    <row r="1200" spans="1:32" ht="15.75" x14ac:dyDescent="0.25">
      <c r="A1200" s="2017"/>
      <c r="B1200" s="2018"/>
      <c r="C1200" s="2018"/>
      <c r="D1200" s="2018"/>
      <c r="E1200" s="2018"/>
      <c r="F1200" s="2018"/>
      <c r="G1200" s="2018"/>
      <c r="H1200" s="2018"/>
      <c r="I1200" s="2018"/>
      <c r="J1200" s="2018"/>
      <c r="K1200" s="2018"/>
      <c r="L1200" s="2018"/>
      <c r="M1200" s="2018"/>
      <c r="N1200" s="2018"/>
      <c r="O1200" s="2018"/>
      <c r="P1200" s="2018"/>
      <c r="Q1200" s="2018"/>
      <c r="R1200" s="2018"/>
      <c r="S1200" s="2018"/>
      <c r="T1200" s="2018"/>
      <c r="U1200" s="2018"/>
      <c r="V1200" s="2018"/>
      <c r="W1200" s="2018"/>
      <c r="X1200" s="2018"/>
      <c r="Y1200" s="2094"/>
      <c r="Z1200" s="2096" t="s">
        <v>2412</v>
      </c>
      <c r="AA1200" s="2097"/>
      <c r="AB1200" s="1050">
        <f t="shared" ref="AB1200" si="21">+AB1163</f>
        <v>11.46</v>
      </c>
      <c r="AC1200" s="1050">
        <f>+AC1163-1.62</f>
        <v>4</v>
      </c>
      <c r="AD1200" s="1050">
        <v>4</v>
      </c>
      <c r="AE1200" s="1051">
        <v>1</v>
      </c>
      <c r="AF1200" s="1052">
        <f t="shared" ref="AF1200:AF1205" si="22">ROUND(AE1200*AD1200*AC1200*AB1200,2)</f>
        <v>183.36</v>
      </c>
    </row>
    <row r="1201" spans="1:32" ht="15.75" x14ac:dyDescent="0.25">
      <c r="A1201" s="2017"/>
      <c r="B1201" s="2018"/>
      <c r="C1201" s="2018"/>
      <c r="D1201" s="2018"/>
      <c r="E1201" s="2018"/>
      <c r="F1201" s="2018"/>
      <c r="G1201" s="2018"/>
      <c r="H1201" s="2018"/>
      <c r="I1201" s="2018"/>
      <c r="J1201" s="2018"/>
      <c r="K1201" s="2018"/>
      <c r="L1201" s="2018"/>
      <c r="M1201" s="2018"/>
      <c r="N1201" s="2018"/>
      <c r="O1201" s="2018"/>
      <c r="P1201" s="2018"/>
      <c r="Q1201" s="2018"/>
      <c r="R1201" s="2018"/>
      <c r="S1201" s="2018"/>
      <c r="T1201" s="2018"/>
      <c r="U1201" s="2018"/>
      <c r="V1201" s="2018"/>
      <c r="W1201" s="2018"/>
      <c r="X1201" s="2018"/>
      <c r="Y1201" s="2094"/>
      <c r="Z1201" s="2096" t="s">
        <v>2413</v>
      </c>
      <c r="AA1201" s="2097"/>
      <c r="AB1201" s="1050">
        <f>+AB1200</f>
        <v>11.46</v>
      </c>
      <c r="AC1201" s="1050">
        <f>+AC1163-AC1200</f>
        <v>1.62</v>
      </c>
      <c r="AD1201" s="1050">
        <v>5</v>
      </c>
      <c r="AE1201" s="1051">
        <v>1</v>
      </c>
      <c r="AF1201" s="1052">
        <f t="shared" si="22"/>
        <v>92.83</v>
      </c>
    </row>
    <row r="1202" spans="1:32" ht="15.75" x14ac:dyDescent="0.25">
      <c r="A1202" s="2017"/>
      <c r="B1202" s="2018"/>
      <c r="C1202" s="2018"/>
      <c r="D1202" s="2018"/>
      <c r="E1202" s="2018"/>
      <c r="F1202" s="2018"/>
      <c r="G1202" s="2018"/>
      <c r="H1202" s="2018"/>
      <c r="I1202" s="2018"/>
      <c r="J1202" s="2018"/>
      <c r="K1202" s="2018"/>
      <c r="L1202" s="2018"/>
      <c r="M1202" s="2018"/>
      <c r="N1202" s="2018"/>
      <c r="O1202" s="2018"/>
      <c r="P1202" s="2018"/>
      <c r="Q1202" s="2018"/>
      <c r="R1202" s="2018"/>
      <c r="S1202" s="2018"/>
      <c r="T1202" s="2018"/>
      <c r="U1202" s="2018"/>
      <c r="V1202" s="2018"/>
      <c r="W1202" s="2018"/>
      <c r="X1202" s="2018"/>
      <c r="Y1202" s="2094"/>
      <c r="Z1202" s="2096" t="s">
        <v>2310</v>
      </c>
      <c r="AA1202" s="2097"/>
      <c r="AB1202" s="1050">
        <f>+AB1164</f>
        <v>7.37</v>
      </c>
      <c r="AC1202" s="1050">
        <f>+AC1164</f>
        <v>4.17</v>
      </c>
      <c r="AD1202" s="1050">
        <v>5</v>
      </c>
      <c r="AE1202" s="1051">
        <v>1</v>
      </c>
      <c r="AF1202" s="1052">
        <f t="shared" si="22"/>
        <v>153.66</v>
      </c>
    </row>
    <row r="1203" spans="1:32" ht="15.75" x14ac:dyDescent="0.25">
      <c r="A1203" s="2017"/>
      <c r="B1203" s="2018"/>
      <c r="C1203" s="2018"/>
      <c r="D1203" s="2018"/>
      <c r="E1203" s="2018"/>
      <c r="F1203" s="2018"/>
      <c r="G1203" s="2018"/>
      <c r="H1203" s="2018"/>
      <c r="I1203" s="2018"/>
      <c r="J1203" s="2018"/>
      <c r="K1203" s="2018"/>
      <c r="L1203" s="2018"/>
      <c r="M1203" s="2018"/>
      <c r="N1203" s="2018"/>
      <c r="O1203" s="2018"/>
      <c r="P1203" s="2018"/>
      <c r="Q1203" s="2018"/>
      <c r="R1203" s="2018"/>
      <c r="S1203" s="2018"/>
      <c r="T1203" s="2018"/>
      <c r="U1203" s="2018"/>
      <c r="V1203" s="2018"/>
      <c r="W1203" s="2018"/>
      <c r="X1203" s="2018"/>
      <c r="Y1203" s="2094"/>
      <c r="Z1203" s="2096" t="str">
        <f>+Z1236</f>
        <v>Tuberia de lavado pvc-p 6"-floculadores-tren 1</v>
      </c>
      <c r="AA1203" s="2097"/>
      <c r="AB1203" s="1050">
        <v>19.5</v>
      </c>
      <c r="AC1203" s="1050">
        <v>1</v>
      </c>
      <c r="AD1203" s="1050">
        <v>4</v>
      </c>
      <c r="AE1203" s="1051">
        <v>1</v>
      </c>
      <c r="AF1203" s="1052">
        <f t="shared" si="22"/>
        <v>78</v>
      </c>
    </row>
    <row r="1204" spans="1:32" ht="15.75" x14ac:dyDescent="0.25">
      <c r="A1204" s="2017"/>
      <c r="B1204" s="2018"/>
      <c r="C1204" s="2018"/>
      <c r="D1204" s="2018"/>
      <c r="E1204" s="2018"/>
      <c r="F1204" s="2018"/>
      <c r="G1204" s="2018"/>
      <c r="H1204" s="2018"/>
      <c r="I1204" s="2018"/>
      <c r="J1204" s="2018"/>
      <c r="K1204" s="2018"/>
      <c r="L1204" s="2018"/>
      <c r="M1204" s="2018"/>
      <c r="N1204" s="2018"/>
      <c r="O1204" s="2018"/>
      <c r="P1204" s="2018"/>
      <c r="Q1204" s="2018"/>
      <c r="R1204" s="2018"/>
      <c r="S1204" s="2018"/>
      <c r="T1204" s="2018"/>
      <c r="U1204" s="2018"/>
      <c r="V1204" s="2018"/>
      <c r="W1204" s="2018"/>
      <c r="X1204" s="2018"/>
      <c r="Y1204" s="2094"/>
      <c r="Z1204" s="2096" t="str">
        <f t="shared" ref="Z1204:Z1205" si="23">+Z1237</f>
        <v>Tuberia de lavado pvc-p 6"-floculadores tren 2</v>
      </c>
      <c r="AA1204" s="2097"/>
      <c r="AB1204" s="1050">
        <v>11</v>
      </c>
      <c r="AC1204" s="1050">
        <v>1</v>
      </c>
      <c r="AD1204" s="1050">
        <v>4</v>
      </c>
      <c r="AE1204" s="1051">
        <v>1</v>
      </c>
      <c r="AF1204" s="1052">
        <f t="shared" si="22"/>
        <v>44</v>
      </c>
    </row>
    <row r="1205" spans="1:32" ht="15.75" x14ac:dyDescent="0.25">
      <c r="A1205" s="2017"/>
      <c r="B1205" s="2018"/>
      <c r="C1205" s="2018"/>
      <c r="D1205" s="2018"/>
      <c r="E1205" s="2018"/>
      <c r="F1205" s="2018"/>
      <c r="G1205" s="2018"/>
      <c r="H1205" s="2018"/>
      <c r="I1205" s="2018"/>
      <c r="J1205" s="2018"/>
      <c r="K1205" s="2018"/>
      <c r="L1205" s="2018"/>
      <c r="M1205" s="2018"/>
      <c r="N1205" s="2018"/>
      <c r="O1205" s="2018"/>
      <c r="P1205" s="2018"/>
      <c r="Q1205" s="2018"/>
      <c r="R1205" s="2018"/>
      <c r="S1205" s="2018"/>
      <c r="T1205" s="2018"/>
      <c r="U1205" s="2018"/>
      <c r="V1205" s="2018"/>
      <c r="W1205" s="2018"/>
      <c r="X1205" s="2018"/>
      <c r="Y1205" s="2094"/>
      <c r="Z1205" s="2096" t="str">
        <f t="shared" si="23"/>
        <v>Tuberia pvc-p 8"-salida de canal de lavado a pozo no3.</v>
      </c>
      <c r="AA1205" s="2097"/>
      <c r="AB1205" s="1050">
        <v>12</v>
      </c>
      <c r="AC1205" s="1050">
        <v>1</v>
      </c>
      <c r="AD1205" s="1050">
        <v>5</v>
      </c>
      <c r="AE1205" s="1051">
        <v>1</v>
      </c>
      <c r="AF1205" s="1052">
        <f t="shared" si="22"/>
        <v>60</v>
      </c>
    </row>
    <row r="1206" spans="1:32" ht="15.75" x14ac:dyDescent="0.25">
      <c r="A1206" s="2017"/>
      <c r="B1206" s="2018"/>
      <c r="C1206" s="2018"/>
      <c r="D1206" s="2018"/>
      <c r="E1206" s="2018"/>
      <c r="F1206" s="2018"/>
      <c r="G1206" s="2018"/>
      <c r="H1206" s="2018"/>
      <c r="I1206" s="2018"/>
      <c r="J1206" s="2018"/>
      <c r="K1206" s="2018"/>
      <c r="L1206" s="2018"/>
      <c r="M1206" s="2018"/>
      <c r="N1206" s="2018"/>
      <c r="O1206" s="2018"/>
      <c r="P1206" s="2018"/>
      <c r="Q1206" s="2018"/>
      <c r="R1206" s="2018"/>
      <c r="S1206" s="2018"/>
      <c r="T1206" s="2018"/>
      <c r="U1206" s="2018"/>
      <c r="V1206" s="2018"/>
      <c r="W1206" s="2018"/>
      <c r="X1206" s="2018"/>
      <c r="Y1206" s="2094"/>
      <c r="Z1206" s="2096"/>
      <c r="AA1206" s="2097"/>
      <c r="AB1206" s="1053"/>
      <c r="AC1206" s="1053"/>
      <c r="AD1206" s="1053"/>
      <c r="AE1206" s="1051"/>
      <c r="AF1206" s="1052"/>
    </row>
    <row r="1207" spans="1:32" ht="15.75" x14ac:dyDescent="0.25">
      <c r="A1207" s="2017"/>
      <c r="B1207" s="2018"/>
      <c r="C1207" s="2018"/>
      <c r="D1207" s="2018"/>
      <c r="E1207" s="2018"/>
      <c r="F1207" s="2018"/>
      <c r="G1207" s="2018"/>
      <c r="H1207" s="2018"/>
      <c r="I1207" s="2018"/>
      <c r="J1207" s="2018"/>
      <c r="K1207" s="2018"/>
      <c r="L1207" s="2018"/>
      <c r="M1207" s="2018"/>
      <c r="N1207" s="2018"/>
      <c r="O1207" s="2018"/>
      <c r="P1207" s="2018"/>
      <c r="Q1207" s="2018"/>
      <c r="R1207" s="2018"/>
      <c r="S1207" s="2018"/>
      <c r="T1207" s="2018"/>
      <c r="U1207" s="2018"/>
      <c r="V1207" s="2018"/>
      <c r="W1207" s="2018"/>
      <c r="X1207" s="2018"/>
      <c r="Y1207" s="2094"/>
      <c r="Z1207" s="2096"/>
      <c r="AA1207" s="2097"/>
      <c r="AB1207" s="1053"/>
      <c r="AC1207" s="1053"/>
      <c r="AD1207" s="1053"/>
      <c r="AE1207" s="1050"/>
      <c r="AF1207" s="1054"/>
    </row>
    <row r="1208" spans="1:32" ht="15.75" x14ac:dyDescent="0.25">
      <c r="A1208" s="2017"/>
      <c r="B1208" s="2018"/>
      <c r="C1208" s="2018"/>
      <c r="D1208" s="2018"/>
      <c r="E1208" s="2018"/>
      <c r="F1208" s="2018"/>
      <c r="G1208" s="2018"/>
      <c r="H1208" s="2018"/>
      <c r="I1208" s="2018"/>
      <c r="J1208" s="2018"/>
      <c r="K1208" s="2018"/>
      <c r="L1208" s="2018"/>
      <c r="M1208" s="2018"/>
      <c r="N1208" s="2018"/>
      <c r="O1208" s="2018"/>
      <c r="P1208" s="2018"/>
      <c r="Q1208" s="2018"/>
      <c r="R1208" s="2018"/>
      <c r="S1208" s="2018"/>
      <c r="T1208" s="2018"/>
      <c r="U1208" s="2018"/>
      <c r="V1208" s="2018"/>
      <c r="W1208" s="2018"/>
      <c r="X1208" s="2018"/>
      <c r="Y1208" s="2094"/>
      <c r="Z1208" s="2096"/>
      <c r="AA1208" s="2097"/>
      <c r="AB1208" s="1053"/>
      <c r="AC1208" s="1053"/>
      <c r="AD1208" s="1053"/>
      <c r="AE1208" s="1051"/>
      <c r="AF1208" s="1054"/>
    </row>
    <row r="1209" spans="1:32" ht="15.75" x14ac:dyDescent="0.25">
      <c r="A1209" s="2017"/>
      <c r="B1209" s="2018"/>
      <c r="C1209" s="2018"/>
      <c r="D1209" s="2018"/>
      <c r="E1209" s="2018"/>
      <c r="F1209" s="2018"/>
      <c r="G1209" s="2018"/>
      <c r="H1209" s="2018"/>
      <c r="I1209" s="2018"/>
      <c r="J1209" s="2018"/>
      <c r="K1209" s="2018"/>
      <c r="L1209" s="2018"/>
      <c r="M1209" s="2018"/>
      <c r="N1209" s="2018"/>
      <c r="O1209" s="2018"/>
      <c r="P1209" s="2018"/>
      <c r="Q1209" s="2018"/>
      <c r="R1209" s="2018"/>
      <c r="S1209" s="2018"/>
      <c r="T1209" s="2018"/>
      <c r="U1209" s="2018"/>
      <c r="V1209" s="2018"/>
      <c r="W1209" s="2018"/>
      <c r="X1209" s="2018"/>
      <c r="Y1209" s="2094"/>
      <c r="Z1209" s="2096"/>
      <c r="AA1209" s="2097"/>
      <c r="AB1209" s="1053"/>
      <c r="AC1209" s="1053"/>
      <c r="AD1209" s="1053"/>
      <c r="AE1209" s="1051"/>
      <c r="AF1209" s="1054"/>
    </row>
    <row r="1210" spans="1:32" ht="15.75" x14ac:dyDescent="0.25">
      <c r="A1210" s="2017"/>
      <c r="B1210" s="2018"/>
      <c r="C1210" s="2018"/>
      <c r="D1210" s="2018"/>
      <c r="E1210" s="2018"/>
      <c r="F1210" s="2018"/>
      <c r="G1210" s="2018"/>
      <c r="H1210" s="2018"/>
      <c r="I1210" s="2018"/>
      <c r="J1210" s="2018"/>
      <c r="K1210" s="2018"/>
      <c r="L1210" s="2018"/>
      <c r="M1210" s="2018"/>
      <c r="N1210" s="2018"/>
      <c r="O1210" s="2018"/>
      <c r="P1210" s="2018"/>
      <c r="Q1210" s="2018"/>
      <c r="R1210" s="2018"/>
      <c r="S1210" s="2018"/>
      <c r="T1210" s="2018"/>
      <c r="U1210" s="2018"/>
      <c r="V1210" s="2018"/>
      <c r="W1210" s="2018"/>
      <c r="X1210" s="2018"/>
      <c r="Y1210" s="2094"/>
      <c r="Z1210" s="2096"/>
      <c r="AA1210" s="2097"/>
      <c r="AB1210" s="1053"/>
      <c r="AC1210" s="1053"/>
      <c r="AD1210" s="1053"/>
      <c r="AE1210" s="1051"/>
      <c r="AF1210" s="1054"/>
    </row>
    <row r="1211" spans="1:32" ht="15.75" x14ac:dyDescent="0.25">
      <c r="A1211" s="2017"/>
      <c r="B1211" s="2018"/>
      <c r="C1211" s="2018"/>
      <c r="D1211" s="2018"/>
      <c r="E1211" s="2018"/>
      <c r="F1211" s="2018"/>
      <c r="G1211" s="2018"/>
      <c r="H1211" s="2018"/>
      <c r="I1211" s="2018"/>
      <c r="J1211" s="2018"/>
      <c r="K1211" s="2018"/>
      <c r="L1211" s="2018"/>
      <c r="M1211" s="2018"/>
      <c r="N1211" s="2018"/>
      <c r="O1211" s="2018"/>
      <c r="P1211" s="2018"/>
      <c r="Q1211" s="2018"/>
      <c r="R1211" s="2018"/>
      <c r="S1211" s="2018"/>
      <c r="T1211" s="2018"/>
      <c r="U1211" s="2018"/>
      <c r="V1211" s="2018"/>
      <c r="W1211" s="2018"/>
      <c r="X1211" s="2018"/>
      <c r="Y1211" s="2094"/>
      <c r="Z1211" s="2096"/>
      <c r="AA1211" s="2097"/>
      <c r="AB1211" s="1053"/>
      <c r="AC1211" s="1053"/>
      <c r="AD1211" s="1053"/>
      <c r="AE1211" s="1051"/>
      <c r="AF1211" s="1054"/>
    </row>
    <row r="1212" spans="1:32" ht="15.75" x14ac:dyDescent="0.25">
      <c r="A1212" s="2017"/>
      <c r="B1212" s="2018"/>
      <c r="C1212" s="2018"/>
      <c r="D1212" s="2018"/>
      <c r="E1212" s="2018"/>
      <c r="F1212" s="2018"/>
      <c r="G1212" s="2018"/>
      <c r="H1212" s="2018"/>
      <c r="I1212" s="2018"/>
      <c r="J1212" s="2018"/>
      <c r="K1212" s="2018"/>
      <c r="L1212" s="2018"/>
      <c r="M1212" s="2018"/>
      <c r="N1212" s="2018"/>
      <c r="O1212" s="2018"/>
      <c r="P1212" s="2018"/>
      <c r="Q1212" s="2018"/>
      <c r="R1212" s="2018"/>
      <c r="S1212" s="2018"/>
      <c r="T1212" s="2018"/>
      <c r="U1212" s="2018"/>
      <c r="V1212" s="2018"/>
      <c r="W1212" s="2018"/>
      <c r="X1212" s="2018"/>
      <c r="Y1212" s="2094"/>
      <c r="Z1212" s="2096"/>
      <c r="AA1212" s="2097"/>
      <c r="AB1212" s="1053"/>
      <c r="AC1212" s="1053"/>
      <c r="AD1212" s="1053"/>
      <c r="AE1212" s="1051"/>
      <c r="AF1212" s="1054"/>
    </row>
    <row r="1213" spans="1:32" ht="15.75" x14ac:dyDescent="0.25">
      <c r="A1213" s="2017"/>
      <c r="B1213" s="2018"/>
      <c r="C1213" s="2018"/>
      <c r="D1213" s="2018"/>
      <c r="E1213" s="2018"/>
      <c r="F1213" s="2018"/>
      <c r="G1213" s="2018"/>
      <c r="H1213" s="2018"/>
      <c r="I1213" s="2018"/>
      <c r="J1213" s="2018"/>
      <c r="K1213" s="2018"/>
      <c r="L1213" s="2018"/>
      <c r="M1213" s="2018"/>
      <c r="N1213" s="2018"/>
      <c r="O1213" s="2018"/>
      <c r="P1213" s="2018"/>
      <c r="Q1213" s="2018"/>
      <c r="R1213" s="2018"/>
      <c r="S1213" s="2018"/>
      <c r="T1213" s="2018"/>
      <c r="U1213" s="2018"/>
      <c r="V1213" s="2018"/>
      <c r="W1213" s="2018"/>
      <c r="X1213" s="2018"/>
      <c r="Y1213" s="2094"/>
      <c r="Z1213" s="2096"/>
      <c r="AA1213" s="2097"/>
      <c r="AB1213" s="1055"/>
      <c r="AC1213" s="1055"/>
      <c r="AD1213" s="1055"/>
      <c r="AE1213" s="1051"/>
      <c r="AF1213" s="1056"/>
    </row>
    <row r="1214" spans="1:32" ht="15.75" x14ac:dyDescent="0.25">
      <c r="A1214" s="2017"/>
      <c r="B1214" s="2018"/>
      <c r="C1214" s="2018"/>
      <c r="D1214" s="2018"/>
      <c r="E1214" s="2018"/>
      <c r="F1214" s="2018"/>
      <c r="G1214" s="2018"/>
      <c r="H1214" s="2018"/>
      <c r="I1214" s="2018"/>
      <c r="J1214" s="2018"/>
      <c r="K1214" s="2018"/>
      <c r="L1214" s="2018"/>
      <c r="M1214" s="2018"/>
      <c r="N1214" s="2018"/>
      <c r="O1214" s="2018"/>
      <c r="P1214" s="2018"/>
      <c r="Q1214" s="2018"/>
      <c r="R1214" s="2018"/>
      <c r="S1214" s="2018"/>
      <c r="T1214" s="2018"/>
      <c r="U1214" s="2018"/>
      <c r="V1214" s="2018"/>
      <c r="W1214" s="2018"/>
      <c r="X1214" s="2018"/>
      <c r="Y1214" s="2094"/>
      <c r="Z1214" s="2096"/>
      <c r="AA1214" s="2097"/>
      <c r="AB1214" s="1055"/>
      <c r="AC1214" s="1055"/>
      <c r="AD1214" s="1055"/>
      <c r="AE1214" s="1055"/>
      <c r="AF1214" s="1056"/>
    </row>
    <row r="1215" spans="1:32" ht="15.75" x14ac:dyDescent="0.25">
      <c r="A1215" s="2017"/>
      <c r="B1215" s="2018"/>
      <c r="C1215" s="2018"/>
      <c r="D1215" s="2018"/>
      <c r="E1215" s="2018"/>
      <c r="F1215" s="2018"/>
      <c r="G1215" s="2018"/>
      <c r="H1215" s="2018"/>
      <c r="I1215" s="2018"/>
      <c r="J1215" s="2018"/>
      <c r="K1215" s="2018"/>
      <c r="L1215" s="2018"/>
      <c r="M1215" s="2018"/>
      <c r="N1215" s="2018"/>
      <c r="O1215" s="2018"/>
      <c r="P1215" s="2018"/>
      <c r="Q1215" s="2018"/>
      <c r="R1215" s="2018"/>
      <c r="S1215" s="2018"/>
      <c r="T1215" s="2018"/>
      <c r="U1215" s="2018"/>
      <c r="V1215" s="2018"/>
      <c r="W1215" s="2018"/>
      <c r="X1215" s="2018"/>
      <c r="Y1215" s="2094"/>
      <c r="Z1215" s="2096"/>
      <c r="AA1215" s="2097"/>
      <c r="AB1215" s="1055"/>
      <c r="AC1215" s="1055"/>
      <c r="AD1215" s="1055"/>
      <c r="AE1215" s="1055"/>
      <c r="AF1215" s="1056"/>
    </row>
    <row r="1216" spans="1:32" ht="15.75" x14ac:dyDescent="0.25">
      <c r="A1216" s="2017"/>
      <c r="B1216" s="2018"/>
      <c r="C1216" s="2018"/>
      <c r="D1216" s="2018"/>
      <c r="E1216" s="2018"/>
      <c r="F1216" s="2018"/>
      <c r="G1216" s="2018"/>
      <c r="H1216" s="2018"/>
      <c r="I1216" s="2018"/>
      <c r="J1216" s="2018"/>
      <c r="K1216" s="2018"/>
      <c r="L1216" s="2018"/>
      <c r="M1216" s="2018"/>
      <c r="N1216" s="2018"/>
      <c r="O1216" s="2018"/>
      <c r="P1216" s="2018"/>
      <c r="Q1216" s="2018"/>
      <c r="R1216" s="2018"/>
      <c r="S1216" s="2018"/>
      <c r="T1216" s="2018"/>
      <c r="U1216" s="2018"/>
      <c r="V1216" s="2018"/>
      <c r="W1216" s="2018"/>
      <c r="X1216" s="2018"/>
      <c r="Y1216" s="2094"/>
      <c r="Z1216" s="2096"/>
      <c r="AA1216" s="2097"/>
      <c r="AB1216" s="1055"/>
      <c r="AC1216" s="1055"/>
      <c r="AD1216" s="1055"/>
      <c r="AE1216" s="1055"/>
      <c r="AF1216" s="1056"/>
    </row>
    <row r="1217" spans="1:32" ht="15.75" x14ac:dyDescent="0.25">
      <c r="A1217" s="2017"/>
      <c r="B1217" s="2018"/>
      <c r="C1217" s="2018"/>
      <c r="D1217" s="2018"/>
      <c r="E1217" s="2018"/>
      <c r="F1217" s="2018"/>
      <c r="G1217" s="2018"/>
      <c r="H1217" s="2018"/>
      <c r="I1217" s="2018"/>
      <c r="J1217" s="2018"/>
      <c r="K1217" s="2018"/>
      <c r="L1217" s="2018"/>
      <c r="M1217" s="2018"/>
      <c r="N1217" s="2018"/>
      <c r="O1217" s="2018"/>
      <c r="P1217" s="2018"/>
      <c r="Q1217" s="2018"/>
      <c r="R1217" s="2018"/>
      <c r="S1217" s="2018"/>
      <c r="T1217" s="2018"/>
      <c r="U1217" s="2018"/>
      <c r="V1217" s="2018"/>
      <c r="W1217" s="2018"/>
      <c r="X1217" s="2018"/>
      <c r="Y1217" s="2094"/>
      <c r="Z1217" s="2096"/>
      <c r="AA1217" s="2097"/>
      <c r="AB1217" s="1055"/>
      <c r="AC1217" s="1055"/>
      <c r="AD1217" s="1055"/>
      <c r="AE1217" s="1055"/>
      <c r="AF1217" s="1056"/>
    </row>
    <row r="1218" spans="1:32" ht="16.5" thickBot="1" x14ac:dyDescent="0.3">
      <c r="A1218" s="2019"/>
      <c r="B1218" s="2020"/>
      <c r="C1218" s="2020"/>
      <c r="D1218" s="2020"/>
      <c r="E1218" s="2020"/>
      <c r="F1218" s="2020"/>
      <c r="G1218" s="2020"/>
      <c r="H1218" s="2020"/>
      <c r="I1218" s="2020"/>
      <c r="J1218" s="2020"/>
      <c r="K1218" s="2020"/>
      <c r="L1218" s="2020"/>
      <c r="M1218" s="2020"/>
      <c r="N1218" s="2020"/>
      <c r="O1218" s="2020"/>
      <c r="P1218" s="2020"/>
      <c r="Q1218" s="2020"/>
      <c r="R1218" s="2020"/>
      <c r="S1218" s="2020"/>
      <c r="T1218" s="2020"/>
      <c r="U1218" s="2020"/>
      <c r="V1218" s="2020"/>
      <c r="W1218" s="2020"/>
      <c r="X1218" s="2020"/>
      <c r="Y1218" s="2095"/>
      <c r="Z1218" s="2098"/>
      <c r="AA1218" s="2099"/>
      <c r="AB1218" s="1057"/>
      <c r="AC1218" s="1057"/>
      <c r="AD1218" s="1057"/>
      <c r="AE1218" s="1057"/>
      <c r="AF1218" s="1058"/>
    </row>
    <row r="1219" spans="1:32" ht="15.75" x14ac:dyDescent="0.25">
      <c r="A1219" s="2100" t="s">
        <v>2414</v>
      </c>
      <c r="B1219" s="2101"/>
      <c r="C1219" s="2101"/>
      <c r="D1219" s="2101"/>
      <c r="E1219" s="2101"/>
      <c r="F1219" s="2101"/>
      <c r="G1219" s="2101"/>
      <c r="H1219" s="2101"/>
      <c r="I1219" s="2101"/>
      <c r="J1219" s="2101"/>
      <c r="K1219" s="2101"/>
      <c r="L1219" s="2101"/>
      <c r="M1219" s="2101"/>
      <c r="N1219" s="2101"/>
      <c r="O1219" s="2101"/>
      <c r="P1219" s="2101"/>
      <c r="Q1219" s="2101"/>
      <c r="R1219" s="2101"/>
      <c r="S1219" s="2101"/>
      <c r="T1219" s="2101"/>
      <c r="U1219" s="2101"/>
      <c r="V1219" s="2101"/>
      <c r="W1219" s="2101"/>
      <c r="X1219" s="2101"/>
      <c r="Y1219" s="2101"/>
      <c r="Z1219" s="2013" t="s">
        <v>1850</v>
      </c>
      <c r="AA1219" s="2013"/>
      <c r="AB1219" s="2013"/>
      <c r="AC1219" s="2013"/>
      <c r="AD1219" s="2013"/>
      <c r="AE1219" s="2013"/>
      <c r="AF1219" s="1059">
        <f>SUM(AF1199:AF1218)</f>
        <v>751</v>
      </c>
    </row>
    <row r="1220" spans="1:32" ht="15.75" x14ac:dyDescent="0.25">
      <c r="A1220" s="2102"/>
      <c r="B1220" s="2103"/>
      <c r="C1220" s="2103"/>
      <c r="D1220" s="2103"/>
      <c r="E1220" s="2103"/>
      <c r="F1220" s="2103"/>
      <c r="G1220" s="2103"/>
      <c r="H1220" s="2103"/>
      <c r="I1220" s="2103"/>
      <c r="J1220" s="2103"/>
      <c r="K1220" s="2103"/>
      <c r="L1220" s="2103"/>
      <c r="M1220" s="2103"/>
      <c r="N1220" s="2103"/>
      <c r="O1220" s="2103"/>
      <c r="P1220" s="2103"/>
      <c r="Q1220" s="2103"/>
      <c r="R1220" s="2103"/>
      <c r="S1220" s="2103"/>
      <c r="T1220" s="2103"/>
      <c r="U1220" s="2103"/>
      <c r="V1220" s="2103"/>
      <c r="W1220" s="2103"/>
      <c r="X1220" s="2103"/>
      <c r="Y1220" s="2103"/>
      <c r="Z1220" s="2014" t="s">
        <v>1851</v>
      </c>
      <c r="AA1220" s="2014"/>
      <c r="AB1220" s="2014"/>
      <c r="AC1220" s="2014"/>
      <c r="AD1220" s="2014"/>
      <c r="AE1220" s="2014"/>
      <c r="AF1220" s="1060">
        <v>0</v>
      </c>
    </row>
    <row r="1221" spans="1:32" ht="15.75" x14ac:dyDescent="0.25">
      <c r="A1221" s="2102"/>
      <c r="B1221" s="2103"/>
      <c r="C1221" s="2103"/>
      <c r="D1221" s="2103"/>
      <c r="E1221" s="2103"/>
      <c r="F1221" s="2103"/>
      <c r="G1221" s="2103"/>
      <c r="H1221" s="2103"/>
      <c r="I1221" s="2103"/>
      <c r="J1221" s="2103"/>
      <c r="K1221" s="2103"/>
      <c r="L1221" s="2103"/>
      <c r="M1221" s="2103"/>
      <c r="N1221" s="2103"/>
      <c r="O1221" s="2103"/>
      <c r="P1221" s="2103"/>
      <c r="Q1221" s="2103"/>
      <c r="R1221" s="2103"/>
      <c r="S1221" s="2103"/>
      <c r="T1221" s="2103"/>
      <c r="U1221" s="2103"/>
      <c r="V1221" s="2103"/>
      <c r="W1221" s="2103"/>
      <c r="X1221" s="2103"/>
      <c r="Y1221" s="2103"/>
      <c r="Z1221" s="2015" t="s">
        <v>1833</v>
      </c>
      <c r="AA1221" s="2015"/>
      <c r="AB1221" s="2015"/>
      <c r="AC1221" s="2015"/>
      <c r="AD1221" s="2015"/>
      <c r="AE1221" s="2015"/>
      <c r="AF1221" s="1061">
        <f>SUM(AF1219:AF1220)</f>
        <v>751</v>
      </c>
    </row>
    <row r="1222" spans="1:32" x14ac:dyDescent="0.2">
      <c r="A1222" s="2012" t="s">
        <v>1859</v>
      </c>
      <c r="B1222" s="2012"/>
      <c r="C1222" s="2012"/>
      <c r="D1222" s="2012"/>
      <c r="E1222" s="2012"/>
      <c r="F1222" s="2012"/>
      <c r="G1222" s="2012"/>
      <c r="H1222" s="2012"/>
      <c r="I1222" s="2012"/>
      <c r="J1222" s="2012"/>
      <c r="K1222" s="2012"/>
      <c r="L1222" s="2012"/>
      <c r="M1222" s="2012"/>
      <c r="N1222" s="2012"/>
      <c r="O1222" s="2012"/>
      <c r="P1222" s="2012"/>
      <c r="Q1222" s="2012"/>
      <c r="R1222" s="2012"/>
      <c r="S1222" s="2012"/>
      <c r="T1222" s="2016" t="s">
        <v>1840</v>
      </c>
      <c r="U1222" s="2016"/>
      <c r="V1222" s="2016"/>
      <c r="W1222" s="2016"/>
      <c r="X1222" s="2016"/>
      <c r="Y1222" s="2016"/>
      <c r="Z1222" s="2016"/>
      <c r="AA1222" s="2016"/>
      <c r="AB1222" s="2012" t="s">
        <v>1852</v>
      </c>
      <c r="AC1222" s="2012"/>
      <c r="AD1222" s="2012"/>
      <c r="AE1222" s="2012"/>
      <c r="AF1222" s="2012"/>
    </row>
    <row r="1223" spans="1:32" x14ac:dyDescent="0.2">
      <c r="A1223" s="2012"/>
      <c r="B1223" s="2012"/>
      <c r="C1223" s="2012"/>
      <c r="D1223" s="2012"/>
      <c r="E1223" s="2012"/>
      <c r="F1223" s="2012"/>
      <c r="G1223" s="2012"/>
      <c r="H1223" s="2012"/>
      <c r="I1223" s="2012"/>
      <c r="J1223" s="2012"/>
      <c r="K1223" s="2012"/>
      <c r="L1223" s="2012"/>
      <c r="M1223" s="2012"/>
      <c r="N1223" s="2012"/>
      <c r="O1223" s="2012"/>
      <c r="P1223" s="2012"/>
      <c r="Q1223" s="2012"/>
      <c r="R1223" s="2012"/>
      <c r="S1223" s="2012"/>
      <c r="T1223" s="2016"/>
      <c r="U1223" s="2016"/>
      <c r="V1223" s="2016"/>
      <c r="W1223" s="2016"/>
      <c r="X1223" s="2016"/>
      <c r="Y1223" s="2016"/>
      <c r="Z1223" s="2016"/>
      <c r="AA1223" s="2016"/>
      <c r="AB1223" s="2012"/>
      <c r="AC1223" s="2012"/>
      <c r="AD1223" s="2012"/>
      <c r="AE1223" s="2012"/>
      <c r="AF1223" s="2012"/>
    </row>
    <row r="1224" spans="1:32" ht="13.5" thickBot="1" x14ac:dyDescent="0.25"/>
    <row r="1225" spans="1:32" ht="26.45" customHeight="1" x14ac:dyDescent="0.2">
      <c r="A1225" s="2025" t="s">
        <v>1854</v>
      </c>
      <c r="B1225" s="2026"/>
      <c r="C1225" s="2026"/>
      <c r="D1225" s="2026"/>
      <c r="E1225" s="2026"/>
      <c r="F1225" s="2026"/>
      <c r="G1225" s="2026"/>
      <c r="H1225" s="2026"/>
      <c r="I1225" s="2026"/>
      <c r="J1225" s="2026"/>
      <c r="K1225" s="2026"/>
      <c r="L1225" s="2026"/>
      <c r="M1225" s="2026"/>
      <c r="N1225" s="2026"/>
      <c r="O1225" s="2026"/>
      <c r="P1225" s="2026"/>
      <c r="Q1225" s="2026"/>
      <c r="R1225" s="2026"/>
      <c r="S1225" s="2026"/>
      <c r="T1225" s="2026"/>
      <c r="U1225" s="2026"/>
      <c r="V1225" s="2026"/>
      <c r="W1225" s="2026"/>
      <c r="X1225" s="2026"/>
      <c r="Y1225" s="2026"/>
      <c r="Z1225" s="2026"/>
      <c r="AA1225" s="2026"/>
      <c r="AB1225" s="2026"/>
      <c r="AC1225" s="2026"/>
      <c r="AD1225" s="2026"/>
      <c r="AE1225" s="1041" t="s">
        <v>1834</v>
      </c>
      <c r="AF1225" s="1042" t="s">
        <v>1835</v>
      </c>
    </row>
    <row r="1226" spans="1:32" ht="19.149999999999999" customHeight="1" thickBot="1" x14ac:dyDescent="0.25">
      <c r="A1226" s="2027"/>
      <c r="B1226" s="2028"/>
      <c r="C1226" s="2028"/>
      <c r="D1226" s="2028"/>
      <c r="E1226" s="2028"/>
      <c r="F1226" s="2028"/>
      <c r="G1226" s="2028"/>
      <c r="H1226" s="2028"/>
      <c r="I1226" s="2028"/>
      <c r="J1226" s="2028"/>
      <c r="K1226" s="2028"/>
      <c r="L1226" s="2028"/>
      <c r="M1226" s="2028"/>
      <c r="N1226" s="2028"/>
      <c r="O1226" s="2028"/>
      <c r="P1226" s="2028"/>
      <c r="Q1226" s="2028"/>
      <c r="R1226" s="2028"/>
      <c r="S1226" s="2028"/>
      <c r="T1226" s="2028"/>
      <c r="U1226" s="2028"/>
      <c r="V1226" s="2028"/>
      <c r="W1226" s="2028"/>
      <c r="X1226" s="2028"/>
      <c r="Y1226" s="2028"/>
      <c r="Z1226" s="2028"/>
      <c r="AA1226" s="2028"/>
      <c r="AB1226" s="2028"/>
      <c r="AC1226" s="2028"/>
      <c r="AD1226" s="2028"/>
      <c r="AE1226" s="1041" t="s">
        <v>1836</v>
      </c>
      <c r="AF1226" s="1044">
        <v>1</v>
      </c>
    </row>
    <row r="1227" spans="1:32" ht="15.75" x14ac:dyDescent="0.2">
      <c r="A1227" s="2029"/>
      <c r="B1227" s="2030"/>
      <c r="C1227" s="2030"/>
      <c r="D1227" s="2031"/>
      <c r="E1227" s="2025" t="str">
        <f>'01'!$A$12</f>
        <v>"CONSTRUCCION SISTEMA DE ACUEDUCTO FASE II DEL MUNICIPIO DE TESALIA DPTO DEL HUILA"</v>
      </c>
      <c r="F1227" s="2026"/>
      <c r="G1227" s="2026"/>
      <c r="H1227" s="2026"/>
      <c r="I1227" s="2026"/>
      <c r="J1227" s="2026"/>
      <c r="K1227" s="2026"/>
      <c r="L1227" s="2026"/>
      <c r="M1227" s="2026"/>
      <c r="N1227" s="2026"/>
      <c r="O1227" s="2026"/>
      <c r="P1227" s="2026"/>
      <c r="Q1227" s="2026"/>
      <c r="R1227" s="2026"/>
      <c r="S1227" s="2026"/>
      <c r="T1227" s="2026"/>
      <c r="U1227" s="2026"/>
      <c r="V1227" s="2026"/>
      <c r="W1227" s="2026"/>
      <c r="X1227" s="2026"/>
      <c r="Y1227" s="2026"/>
      <c r="Z1227" s="2026"/>
      <c r="AA1227" s="2026"/>
      <c r="AB1227" s="2026"/>
      <c r="AC1227" s="2026"/>
      <c r="AD1227" s="2035"/>
      <c r="AE1227" s="1041" t="s">
        <v>847</v>
      </c>
      <c r="AF1227" s="1045">
        <f>'01'!$M$13</f>
        <v>0</v>
      </c>
    </row>
    <row r="1228" spans="1:32" ht="16.5" thickBot="1" x14ac:dyDescent="0.25">
      <c r="A1228" s="2032"/>
      <c r="B1228" s="2033"/>
      <c r="C1228" s="2033"/>
      <c r="D1228" s="2034"/>
      <c r="E1228" s="2027"/>
      <c r="F1228" s="2028"/>
      <c r="G1228" s="2028"/>
      <c r="H1228" s="2028"/>
      <c r="I1228" s="2028"/>
      <c r="J1228" s="2028"/>
      <c r="K1228" s="2028"/>
      <c r="L1228" s="2028"/>
      <c r="M1228" s="2028"/>
      <c r="N1228" s="2028"/>
      <c r="O1228" s="2028"/>
      <c r="P1228" s="2028"/>
      <c r="Q1228" s="2028"/>
      <c r="R1228" s="2028"/>
      <c r="S1228" s="2028"/>
      <c r="T1228" s="2028"/>
      <c r="U1228" s="2028"/>
      <c r="V1228" s="2028"/>
      <c r="W1228" s="2028"/>
      <c r="X1228" s="2028"/>
      <c r="Y1228" s="2028"/>
      <c r="Z1228" s="2028"/>
      <c r="AA1228" s="2028"/>
      <c r="AB1228" s="2028"/>
      <c r="AC1228" s="2028"/>
      <c r="AD1228" s="2036"/>
      <c r="AE1228" s="1041" t="s">
        <v>1837</v>
      </c>
      <c r="AF1228" s="1042" t="s">
        <v>1838</v>
      </c>
    </row>
    <row r="1229" spans="1:32" ht="15.75" x14ac:dyDescent="0.25">
      <c r="A1229" s="2037" t="s">
        <v>1860</v>
      </c>
      <c r="B1229" s="2038"/>
      <c r="C1229" s="2038"/>
      <c r="D1229" s="2038"/>
      <c r="E1229" s="2038"/>
      <c r="F1229" s="2038"/>
      <c r="G1229" s="2038"/>
      <c r="H1229" s="2038"/>
      <c r="I1229" s="2038"/>
      <c r="J1229" s="2038"/>
      <c r="K1229" s="2038"/>
      <c r="L1229" s="2038"/>
      <c r="M1229" s="2038"/>
      <c r="N1229" s="2038"/>
      <c r="O1229" s="2038"/>
      <c r="P1229" s="2038"/>
      <c r="Q1229" s="2038"/>
      <c r="R1229" s="2038"/>
      <c r="S1229" s="2038"/>
      <c r="T1229" s="2038"/>
      <c r="U1229" s="2038"/>
      <c r="V1229" s="2038"/>
      <c r="W1229" s="2038"/>
      <c r="X1229" s="2038"/>
      <c r="Y1229" s="2038"/>
      <c r="Z1229" s="2038"/>
      <c r="AA1229" s="2038"/>
      <c r="AB1229" s="2038"/>
      <c r="AC1229" s="2038"/>
      <c r="AD1229" s="2038"/>
      <c r="AE1229" s="2039" t="s">
        <v>1839</v>
      </c>
      <c r="AF1229" s="2040"/>
    </row>
    <row r="1230" spans="1:32" ht="15.75" x14ac:dyDescent="0.25">
      <c r="A1230" s="2041" t="s">
        <v>1840</v>
      </c>
      <c r="B1230" s="2042"/>
      <c r="C1230" s="2042"/>
      <c r="D1230" s="2042"/>
      <c r="E1230" s="2042"/>
      <c r="F1230" s="2042"/>
      <c r="G1230" s="2042"/>
      <c r="H1230" s="2042"/>
      <c r="I1230" s="2042"/>
      <c r="J1230" s="2042"/>
      <c r="K1230" s="2042"/>
      <c r="L1230" s="2042"/>
      <c r="M1230" s="2042"/>
      <c r="N1230" s="2042"/>
      <c r="O1230" s="2042"/>
      <c r="P1230" s="2042"/>
      <c r="Q1230" s="2042"/>
      <c r="R1230" s="2042"/>
      <c r="S1230" s="2042"/>
      <c r="T1230" s="2042"/>
      <c r="U1230" s="2042"/>
      <c r="V1230" s="2042"/>
      <c r="W1230" s="2042"/>
      <c r="X1230" s="2042"/>
      <c r="Y1230" s="2042"/>
      <c r="Z1230" s="2042"/>
      <c r="AA1230" s="2042"/>
      <c r="AB1230" s="2042"/>
      <c r="AC1230" s="2042"/>
      <c r="AD1230" s="2043"/>
      <c r="AE1230" s="2014" t="s">
        <v>1841</v>
      </c>
      <c r="AF1230" s="2044"/>
    </row>
    <row r="1231" spans="1:32" ht="15.75" x14ac:dyDescent="0.25">
      <c r="A1231" s="2045" t="s">
        <v>1853</v>
      </c>
      <c r="B1231" s="2046"/>
      <c r="C1231" s="2046"/>
      <c r="D1231" s="2046"/>
      <c r="E1231" s="2046"/>
      <c r="F1231" s="2046"/>
      <c r="G1231" s="2046"/>
      <c r="H1231" s="2046"/>
      <c r="I1231" s="2046"/>
      <c r="J1231" s="2046"/>
      <c r="K1231" s="2046"/>
      <c r="L1231" s="2046"/>
      <c r="M1231" s="2046"/>
      <c r="N1231" s="2046"/>
      <c r="O1231" s="2046"/>
      <c r="P1231" s="2046"/>
      <c r="Q1231" s="2046"/>
      <c r="R1231" s="2046"/>
      <c r="S1231" s="2046"/>
      <c r="T1231" s="2046"/>
      <c r="U1231" s="2046"/>
      <c r="V1231" s="2046"/>
      <c r="W1231" s="2046"/>
      <c r="X1231" s="2046"/>
      <c r="Y1231" s="2046"/>
      <c r="Z1231" s="2046"/>
      <c r="AA1231" s="2046"/>
      <c r="AB1231" s="2046"/>
      <c r="AC1231" s="2046"/>
      <c r="AD1231" s="2046"/>
      <c r="AE1231" s="2047">
        <f>'01'!$M$13</f>
        <v>0</v>
      </c>
      <c r="AF1231" s="2044"/>
    </row>
    <row r="1232" spans="1:32" x14ac:dyDescent="0.2">
      <c r="A1232" s="1046"/>
      <c r="B1232" s="1047"/>
      <c r="C1232" s="1047"/>
      <c r="D1232" s="1047"/>
      <c r="E1232" s="1047"/>
      <c r="F1232" s="1047"/>
      <c r="G1232" s="1047"/>
      <c r="H1232" s="1047"/>
      <c r="I1232" s="1047"/>
      <c r="J1232" s="1047"/>
      <c r="K1232" s="1047"/>
      <c r="L1232" s="1047"/>
      <c r="M1232" s="1047"/>
      <c r="N1232" s="1047"/>
      <c r="O1232" s="1047"/>
      <c r="P1232" s="1047"/>
      <c r="Q1232" s="1047"/>
      <c r="R1232" s="1047"/>
      <c r="S1232" s="1047"/>
      <c r="T1232" s="1047"/>
      <c r="U1232" s="1047"/>
      <c r="V1232" s="1047"/>
      <c r="W1232" s="1047"/>
      <c r="X1232" s="1047"/>
      <c r="Y1232" s="1047"/>
      <c r="Z1232" s="1047"/>
      <c r="AA1232" s="1047"/>
      <c r="AB1232" s="1047"/>
      <c r="AC1232" s="1047"/>
      <c r="AD1232" s="1047"/>
      <c r="AE1232" s="1047"/>
      <c r="AF1232" s="1048"/>
    </row>
    <row r="1233" spans="1:32" ht="30" customHeight="1" x14ac:dyDescent="0.2">
      <c r="A1233" s="2048" t="s">
        <v>1842</v>
      </c>
      <c r="B1233" s="2049"/>
      <c r="C1233" s="2049"/>
      <c r="D1233" s="2049"/>
      <c r="E1233" s="2049"/>
      <c r="F1233" s="2050" t="str">
        <f>'01'!$H$63</f>
        <v>C - FLOCULADOR, SEDIMENTADOR, CANAL DE AGUA SEDIMENTADA Y CANAL DE LAVADO</v>
      </c>
      <c r="G1233" s="2049"/>
      <c r="H1233" s="2049"/>
      <c r="I1233" s="2049"/>
      <c r="J1233" s="2049"/>
      <c r="K1233" s="2049"/>
      <c r="L1233" s="2049"/>
      <c r="M1233" s="2049"/>
      <c r="N1233" s="2049"/>
      <c r="O1233" s="2049"/>
      <c r="P1233" s="2049"/>
      <c r="Q1233" s="2049"/>
      <c r="R1233" s="2049"/>
      <c r="S1233" s="2049"/>
      <c r="T1233" s="2049"/>
      <c r="U1233" s="2049"/>
      <c r="V1233" s="2049"/>
      <c r="W1233" s="2049"/>
      <c r="X1233" s="2049"/>
      <c r="Y1233" s="2051"/>
      <c r="Z1233" s="2052" t="s">
        <v>1843</v>
      </c>
      <c r="AA1233" s="2053"/>
      <c r="AB1233" s="2058" t="s">
        <v>1844</v>
      </c>
      <c r="AC1233" s="2059"/>
      <c r="AD1233" s="2060"/>
      <c r="AE1233" s="2064" t="s">
        <v>1865</v>
      </c>
      <c r="AF1233" s="2067" t="s">
        <v>1846</v>
      </c>
    </row>
    <row r="1234" spans="1:32" x14ac:dyDescent="0.2">
      <c r="A1234" s="2070" t="str">
        <f>+'01'!A70</f>
        <v>C-03-01</v>
      </c>
      <c r="B1234" s="2071"/>
      <c r="C1234" s="2072"/>
      <c r="D1234" s="2076" t="str">
        <f>VLOOKUP(A1234,'01'!$A$12:$N$299,3,FALSE)</f>
        <v>RELLENO CON ARENA PARA BASE DE TUBERÍA</v>
      </c>
      <c r="E1234" s="2077"/>
      <c r="F1234" s="2077"/>
      <c r="G1234" s="2077"/>
      <c r="H1234" s="2077"/>
      <c r="I1234" s="2077"/>
      <c r="J1234" s="2077"/>
      <c r="K1234" s="2077"/>
      <c r="L1234" s="2077"/>
      <c r="M1234" s="2077"/>
      <c r="N1234" s="2077"/>
      <c r="O1234" s="2077"/>
      <c r="P1234" s="2077"/>
      <c r="Q1234" s="2077"/>
      <c r="R1234" s="2077"/>
      <c r="S1234" s="2078"/>
      <c r="T1234" s="2082" t="s">
        <v>124</v>
      </c>
      <c r="U1234" s="2083"/>
      <c r="V1234" s="2083"/>
      <c r="W1234" s="2083"/>
      <c r="X1234" s="2052" t="str">
        <f>VLOOKUP(A1234,'01'!$A$12:$N$299,9,FALSE)</f>
        <v>M3</v>
      </c>
      <c r="Y1234" s="2053"/>
      <c r="Z1234" s="2054"/>
      <c r="AA1234" s="2055"/>
      <c r="AB1234" s="2061"/>
      <c r="AC1234" s="2062"/>
      <c r="AD1234" s="2063"/>
      <c r="AE1234" s="2065"/>
      <c r="AF1234" s="2068"/>
    </row>
    <row r="1235" spans="1:32" ht="15.75" x14ac:dyDescent="0.25">
      <c r="A1235" s="2073"/>
      <c r="B1235" s="2074"/>
      <c r="C1235" s="2075"/>
      <c r="D1235" s="2079"/>
      <c r="E1235" s="2080"/>
      <c r="F1235" s="2080"/>
      <c r="G1235" s="2080"/>
      <c r="H1235" s="2080"/>
      <c r="I1235" s="2080"/>
      <c r="J1235" s="2080"/>
      <c r="K1235" s="2080"/>
      <c r="L1235" s="2080"/>
      <c r="M1235" s="2080"/>
      <c r="N1235" s="2080"/>
      <c r="O1235" s="2080"/>
      <c r="P1235" s="2080"/>
      <c r="Q1235" s="2080"/>
      <c r="R1235" s="2080"/>
      <c r="S1235" s="2081"/>
      <c r="T1235" s="2084"/>
      <c r="U1235" s="2085"/>
      <c r="V1235" s="2085"/>
      <c r="W1235" s="2085"/>
      <c r="X1235" s="2056"/>
      <c r="Y1235" s="2057"/>
      <c r="Z1235" s="2056"/>
      <c r="AA1235" s="2057"/>
      <c r="AB1235" s="1049" t="s">
        <v>1847</v>
      </c>
      <c r="AC1235" s="1049" t="s">
        <v>1848</v>
      </c>
      <c r="AD1235" s="1049" t="s">
        <v>1861</v>
      </c>
      <c r="AE1235" s="2066"/>
      <c r="AF1235" s="2069"/>
    </row>
    <row r="1236" spans="1:32" ht="30" customHeight="1" x14ac:dyDescent="0.25">
      <c r="A1236" s="2017"/>
      <c r="B1236" s="2018"/>
      <c r="C1236" s="2018"/>
      <c r="D1236" s="2018"/>
      <c r="E1236" s="2018"/>
      <c r="F1236" s="2018"/>
      <c r="G1236" s="2018"/>
      <c r="H1236" s="2018"/>
      <c r="I1236" s="2018"/>
      <c r="J1236" s="2018"/>
      <c r="K1236" s="2018"/>
      <c r="L1236" s="2018"/>
      <c r="M1236" s="2018"/>
      <c r="N1236" s="2018"/>
      <c r="O1236" s="2018"/>
      <c r="P1236" s="2018"/>
      <c r="Q1236" s="2018"/>
      <c r="R1236" s="2018"/>
      <c r="S1236" s="2018"/>
      <c r="T1236" s="2018"/>
      <c r="U1236" s="2018"/>
      <c r="V1236" s="2018"/>
      <c r="W1236" s="2018"/>
      <c r="X1236" s="2018"/>
      <c r="Y1236" s="2094"/>
      <c r="Z1236" s="2096" t="s">
        <v>2447</v>
      </c>
      <c r="AA1236" s="2097"/>
      <c r="AB1236" s="1050">
        <v>19.5</v>
      </c>
      <c r="AC1236" s="1050">
        <v>1</v>
      </c>
      <c r="AD1236" s="1050">
        <v>0.4</v>
      </c>
      <c r="AE1236" s="1173">
        <f>ROUND(PI()*(0.15^2)/4*AB1236,2)</f>
        <v>0.34</v>
      </c>
      <c r="AF1236" s="1052">
        <f>+ROUND((AB1236*AC1236*AD1236)-AE1236,2)</f>
        <v>7.46</v>
      </c>
    </row>
    <row r="1237" spans="1:32" ht="30" customHeight="1" x14ac:dyDescent="0.25">
      <c r="A1237" s="2017"/>
      <c r="B1237" s="2018"/>
      <c r="C1237" s="2018"/>
      <c r="D1237" s="2018"/>
      <c r="E1237" s="2018"/>
      <c r="F1237" s="2018"/>
      <c r="G1237" s="2018"/>
      <c r="H1237" s="2018"/>
      <c r="I1237" s="2018"/>
      <c r="J1237" s="2018"/>
      <c r="K1237" s="2018"/>
      <c r="L1237" s="2018"/>
      <c r="M1237" s="2018"/>
      <c r="N1237" s="2018"/>
      <c r="O1237" s="2018"/>
      <c r="P1237" s="2018"/>
      <c r="Q1237" s="2018"/>
      <c r="R1237" s="2018"/>
      <c r="S1237" s="2018"/>
      <c r="T1237" s="2018"/>
      <c r="U1237" s="2018"/>
      <c r="V1237" s="2018"/>
      <c r="W1237" s="2018"/>
      <c r="X1237" s="2018"/>
      <c r="Y1237" s="2094"/>
      <c r="Z1237" s="2096" t="s">
        <v>2448</v>
      </c>
      <c r="AA1237" s="2097"/>
      <c r="AB1237" s="1050">
        <v>11</v>
      </c>
      <c r="AC1237" s="1050">
        <v>1</v>
      </c>
      <c r="AD1237" s="1050">
        <v>0.4</v>
      </c>
      <c r="AE1237" s="1173">
        <f>ROUND(PI()*(0.15^2)/4*AB1237,2)</f>
        <v>0.19</v>
      </c>
      <c r="AF1237" s="1052">
        <f t="shared" ref="AF1237" si="24">+ROUND((AB1237*AC1237*AD1237)-AE1237,2)</f>
        <v>4.21</v>
      </c>
    </row>
    <row r="1238" spans="1:32" ht="30" customHeight="1" x14ac:dyDescent="0.25">
      <c r="A1238" s="2017"/>
      <c r="B1238" s="2018"/>
      <c r="C1238" s="2018"/>
      <c r="D1238" s="2018"/>
      <c r="E1238" s="2018"/>
      <c r="F1238" s="2018"/>
      <c r="G1238" s="2018"/>
      <c r="H1238" s="2018"/>
      <c r="I1238" s="2018"/>
      <c r="J1238" s="2018"/>
      <c r="K1238" s="2018"/>
      <c r="L1238" s="2018"/>
      <c r="M1238" s="2018"/>
      <c r="N1238" s="2018"/>
      <c r="O1238" s="2018"/>
      <c r="P1238" s="2018"/>
      <c r="Q1238" s="2018"/>
      <c r="R1238" s="2018"/>
      <c r="S1238" s="2018"/>
      <c r="T1238" s="2018"/>
      <c r="U1238" s="2018"/>
      <c r="V1238" s="2018"/>
      <c r="W1238" s="2018"/>
      <c r="X1238" s="2018"/>
      <c r="Y1238" s="2094"/>
      <c r="Z1238" s="2096" t="s">
        <v>2449</v>
      </c>
      <c r="AA1238" s="2097"/>
      <c r="AB1238" s="1050">
        <v>12</v>
      </c>
      <c r="AC1238" s="1050">
        <v>1</v>
      </c>
      <c r="AD1238" s="1050">
        <v>0.45</v>
      </c>
      <c r="AE1238" s="1173">
        <f>ROUND(PI()*(0.2^2)/4*AB1238,2)</f>
        <v>0.38</v>
      </c>
      <c r="AF1238" s="1052">
        <f>+ROUND((AB1238*AC1238*AD1238)-AE1238,2)</f>
        <v>5.0199999999999996</v>
      </c>
    </row>
    <row r="1239" spans="1:32" ht="15.75" x14ac:dyDescent="0.25">
      <c r="A1239" s="2017"/>
      <c r="B1239" s="2018"/>
      <c r="C1239" s="2018"/>
      <c r="D1239" s="2018"/>
      <c r="E1239" s="2018"/>
      <c r="F1239" s="2018"/>
      <c r="G1239" s="2018"/>
      <c r="H1239" s="2018"/>
      <c r="I1239" s="2018"/>
      <c r="J1239" s="2018"/>
      <c r="K1239" s="2018"/>
      <c r="L1239" s="2018"/>
      <c r="M1239" s="2018"/>
      <c r="N1239" s="2018"/>
      <c r="O1239" s="2018"/>
      <c r="P1239" s="2018"/>
      <c r="Q1239" s="2018"/>
      <c r="R1239" s="2018"/>
      <c r="S1239" s="2018"/>
      <c r="T1239" s="2018"/>
      <c r="U1239" s="2018"/>
      <c r="V1239" s="2018"/>
      <c r="W1239" s="2018"/>
      <c r="X1239" s="2018"/>
      <c r="Y1239" s="2094"/>
      <c r="Z1239" s="2096"/>
      <c r="AA1239" s="2097"/>
      <c r="AB1239" s="1050"/>
      <c r="AC1239" s="1050"/>
      <c r="AD1239" s="1050"/>
      <c r="AE1239" s="1051"/>
      <c r="AF1239" s="1052"/>
    </row>
    <row r="1240" spans="1:32" ht="15.75" x14ac:dyDescent="0.25">
      <c r="A1240" s="2017"/>
      <c r="B1240" s="2018"/>
      <c r="C1240" s="2018"/>
      <c r="D1240" s="2018"/>
      <c r="E1240" s="2018"/>
      <c r="F1240" s="2018"/>
      <c r="G1240" s="2018"/>
      <c r="H1240" s="2018"/>
      <c r="I1240" s="2018"/>
      <c r="J1240" s="2018"/>
      <c r="K1240" s="2018"/>
      <c r="L1240" s="2018"/>
      <c r="M1240" s="2018"/>
      <c r="N1240" s="2018"/>
      <c r="O1240" s="2018"/>
      <c r="P1240" s="2018"/>
      <c r="Q1240" s="2018"/>
      <c r="R1240" s="2018"/>
      <c r="S1240" s="2018"/>
      <c r="T1240" s="2018"/>
      <c r="U1240" s="2018"/>
      <c r="V1240" s="2018"/>
      <c r="W1240" s="2018"/>
      <c r="X1240" s="2018"/>
      <c r="Y1240" s="2094"/>
      <c r="Z1240" s="2096"/>
      <c r="AA1240" s="2097"/>
      <c r="AB1240" s="1053"/>
      <c r="AC1240" s="1053"/>
      <c r="AD1240" s="1050"/>
      <c r="AE1240" s="1051"/>
      <c r="AF1240" s="1052"/>
    </row>
    <row r="1241" spans="1:32" ht="15.75" x14ac:dyDescent="0.25">
      <c r="A1241" s="2017"/>
      <c r="B1241" s="2018"/>
      <c r="C1241" s="2018"/>
      <c r="D1241" s="2018"/>
      <c r="E1241" s="2018"/>
      <c r="F1241" s="2018"/>
      <c r="G1241" s="2018"/>
      <c r="H1241" s="2018"/>
      <c r="I1241" s="2018"/>
      <c r="J1241" s="2018"/>
      <c r="K1241" s="2018"/>
      <c r="L1241" s="2018"/>
      <c r="M1241" s="2018"/>
      <c r="N1241" s="2018"/>
      <c r="O1241" s="2018"/>
      <c r="P1241" s="2018"/>
      <c r="Q1241" s="2018"/>
      <c r="R1241" s="2018"/>
      <c r="S1241" s="2018"/>
      <c r="T1241" s="2018"/>
      <c r="U1241" s="2018"/>
      <c r="V1241" s="2018"/>
      <c r="W1241" s="2018"/>
      <c r="X1241" s="2018"/>
      <c r="Y1241" s="2094"/>
      <c r="Z1241" s="2096"/>
      <c r="AA1241" s="2097"/>
      <c r="AB1241" s="1053"/>
      <c r="AC1241" s="1053"/>
      <c r="AD1241" s="1053"/>
      <c r="AE1241" s="1051"/>
      <c r="AF1241" s="1052"/>
    </row>
    <row r="1242" spans="1:32" ht="15.75" x14ac:dyDescent="0.25">
      <c r="A1242" s="2017"/>
      <c r="B1242" s="2018"/>
      <c r="C1242" s="2018"/>
      <c r="D1242" s="2018"/>
      <c r="E1242" s="2018"/>
      <c r="F1242" s="2018"/>
      <c r="G1242" s="2018"/>
      <c r="H1242" s="2018"/>
      <c r="I1242" s="2018"/>
      <c r="J1242" s="2018"/>
      <c r="K1242" s="2018"/>
      <c r="L1242" s="2018"/>
      <c r="M1242" s="2018"/>
      <c r="N1242" s="2018"/>
      <c r="O1242" s="2018"/>
      <c r="P1242" s="2018"/>
      <c r="Q1242" s="2018"/>
      <c r="R1242" s="2018"/>
      <c r="S1242" s="2018"/>
      <c r="T1242" s="2018"/>
      <c r="U1242" s="2018"/>
      <c r="V1242" s="2018"/>
      <c r="W1242" s="2018"/>
      <c r="X1242" s="2018"/>
      <c r="Y1242" s="2094"/>
      <c r="Z1242" s="2096"/>
      <c r="AA1242" s="2097"/>
      <c r="AB1242" s="1053"/>
      <c r="AC1242" s="1053"/>
      <c r="AD1242" s="1053"/>
      <c r="AE1242" s="1051"/>
      <c r="AF1242" s="1052"/>
    </row>
    <row r="1243" spans="1:32" ht="15.75" x14ac:dyDescent="0.25">
      <c r="A1243" s="2017"/>
      <c r="B1243" s="2018"/>
      <c r="C1243" s="2018"/>
      <c r="D1243" s="2018"/>
      <c r="E1243" s="2018"/>
      <c r="F1243" s="2018"/>
      <c r="G1243" s="2018"/>
      <c r="H1243" s="2018"/>
      <c r="I1243" s="2018"/>
      <c r="J1243" s="2018"/>
      <c r="K1243" s="2018"/>
      <c r="L1243" s="2018"/>
      <c r="M1243" s="2018"/>
      <c r="N1243" s="2018"/>
      <c r="O1243" s="2018"/>
      <c r="P1243" s="2018"/>
      <c r="Q1243" s="2018"/>
      <c r="R1243" s="2018"/>
      <c r="S1243" s="2018"/>
      <c r="T1243" s="2018"/>
      <c r="U1243" s="2018"/>
      <c r="V1243" s="2018"/>
      <c r="W1243" s="2018"/>
      <c r="X1243" s="2018"/>
      <c r="Y1243" s="2094"/>
      <c r="Z1243" s="2096"/>
      <c r="AA1243" s="2097"/>
      <c r="AB1243" s="1053"/>
      <c r="AC1243" s="1053"/>
      <c r="AD1243" s="1053"/>
      <c r="AE1243" s="1051"/>
      <c r="AF1243" s="1052"/>
    </row>
    <row r="1244" spans="1:32" ht="15.75" x14ac:dyDescent="0.25">
      <c r="A1244" s="2017"/>
      <c r="B1244" s="2018"/>
      <c r="C1244" s="2018"/>
      <c r="D1244" s="2018"/>
      <c r="E1244" s="2018"/>
      <c r="F1244" s="2018"/>
      <c r="G1244" s="2018"/>
      <c r="H1244" s="2018"/>
      <c r="I1244" s="2018"/>
      <c r="J1244" s="2018"/>
      <c r="K1244" s="2018"/>
      <c r="L1244" s="2018"/>
      <c r="M1244" s="2018"/>
      <c r="N1244" s="2018"/>
      <c r="O1244" s="2018"/>
      <c r="P1244" s="2018"/>
      <c r="Q1244" s="2018"/>
      <c r="R1244" s="2018"/>
      <c r="S1244" s="2018"/>
      <c r="T1244" s="2018"/>
      <c r="U1244" s="2018"/>
      <c r="V1244" s="2018"/>
      <c r="W1244" s="2018"/>
      <c r="X1244" s="2018"/>
      <c r="Y1244" s="2094"/>
      <c r="Z1244" s="2096"/>
      <c r="AA1244" s="2097"/>
      <c r="AB1244" s="1053"/>
      <c r="AC1244" s="1053"/>
      <c r="AD1244" s="1053"/>
      <c r="AE1244" s="1050"/>
      <c r="AF1244" s="1054"/>
    </row>
    <row r="1245" spans="1:32" ht="15.75" x14ac:dyDescent="0.25">
      <c r="A1245" s="2017"/>
      <c r="B1245" s="2018"/>
      <c r="C1245" s="2018"/>
      <c r="D1245" s="2018"/>
      <c r="E1245" s="2018"/>
      <c r="F1245" s="2018"/>
      <c r="G1245" s="2018"/>
      <c r="H1245" s="2018"/>
      <c r="I1245" s="2018"/>
      <c r="J1245" s="2018"/>
      <c r="K1245" s="2018"/>
      <c r="L1245" s="2018"/>
      <c r="M1245" s="2018"/>
      <c r="N1245" s="2018"/>
      <c r="O1245" s="2018"/>
      <c r="P1245" s="2018"/>
      <c r="Q1245" s="2018"/>
      <c r="R1245" s="2018"/>
      <c r="S1245" s="2018"/>
      <c r="T1245" s="2018"/>
      <c r="U1245" s="2018"/>
      <c r="V1245" s="2018"/>
      <c r="W1245" s="2018"/>
      <c r="X1245" s="2018"/>
      <c r="Y1245" s="2094"/>
      <c r="Z1245" s="2096"/>
      <c r="AA1245" s="2097"/>
      <c r="AB1245" s="1053"/>
      <c r="AC1245" s="1053"/>
      <c r="AD1245" s="1053"/>
      <c r="AE1245" s="1051"/>
      <c r="AF1245" s="1054"/>
    </row>
    <row r="1246" spans="1:32" ht="15.75" x14ac:dyDescent="0.25">
      <c r="A1246" s="2017"/>
      <c r="B1246" s="2018"/>
      <c r="C1246" s="2018"/>
      <c r="D1246" s="2018"/>
      <c r="E1246" s="2018"/>
      <c r="F1246" s="2018"/>
      <c r="G1246" s="2018"/>
      <c r="H1246" s="2018"/>
      <c r="I1246" s="2018"/>
      <c r="J1246" s="2018"/>
      <c r="K1246" s="2018"/>
      <c r="L1246" s="2018"/>
      <c r="M1246" s="2018"/>
      <c r="N1246" s="2018"/>
      <c r="O1246" s="2018"/>
      <c r="P1246" s="2018"/>
      <c r="Q1246" s="2018"/>
      <c r="R1246" s="2018"/>
      <c r="S1246" s="2018"/>
      <c r="T1246" s="2018"/>
      <c r="U1246" s="2018"/>
      <c r="V1246" s="2018"/>
      <c r="W1246" s="2018"/>
      <c r="X1246" s="2018"/>
      <c r="Y1246" s="2094"/>
      <c r="Z1246" s="2096"/>
      <c r="AA1246" s="2097"/>
      <c r="AB1246" s="1053"/>
      <c r="AC1246" s="1053"/>
      <c r="AD1246" s="1053"/>
      <c r="AE1246" s="1051"/>
      <c r="AF1246" s="1054"/>
    </row>
    <row r="1247" spans="1:32" ht="15.75" x14ac:dyDescent="0.25">
      <c r="A1247" s="2017"/>
      <c r="B1247" s="2018"/>
      <c r="C1247" s="2018"/>
      <c r="D1247" s="2018"/>
      <c r="E1247" s="2018"/>
      <c r="F1247" s="2018"/>
      <c r="G1247" s="2018"/>
      <c r="H1247" s="2018"/>
      <c r="I1247" s="2018"/>
      <c r="J1247" s="2018"/>
      <c r="K1247" s="2018"/>
      <c r="L1247" s="2018"/>
      <c r="M1247" s="2018"/>
      <c r="N1247" s="2018"/>
      <c r="O1247" s="2018"/>
      <c r="P1247" s="2018"/>
      <c r="Q1247" s="2018"/>
      <c r="R1247" s="2018"/>
      <c r="S1247" s="2018"/>
      <c r="T1247" s="2018"/>
      <c r="U1247" s="2018"/>
      <c r="V1247" s="2018"/>
      <c r="W1247" s="2018"/>
      <c r="X1247" s="2018"/>
      <c r="Y1247" s="2094"/>
      <c r="Z1247" s="2096"/>
      <c r="AA1247" s="2097"/>
      <c r="AB1247" s="1053"/>
      <c r="AC1247" s="1053"/>
      <c r="AD1247" s="1053"/>
      <c r="AE1247" s="1051"/>
      <c r="AF1247" s="1054"/>
    </row>
    <row r="1248" spans="1:32" ht="15.75" x14ac:dyDescent="0.25">
      <c r="A1248" s="2017"/>
      <c r="B1248" s="2018"/>
      <c r="C1248" s="2018"/>
      <c r="D1248" s="2018"/>
      <c r="E1248" s="2018"/>
      <c r="F1248" s="2018"/>
      <c r="G1248" s="2018"/>
      <c r="H1248" s="2018"/>
      <c r="I1248" s="2018"/>
      <c r="J1248" s="2018"/>
      <c r="K1248" s="2018"/>
      <c r="L1248" s="2018"/>
      <c r="M1248" s="2018"/>
      <c r="N1248" s="2018"/>
      <c r="O1248" s="2018"/>
      <c r="P1248" s="2018"/>
      <c r="Q1248" s="2018"/>
      <c r="R1248" s="2018"/>
      <c r="S1248" s="2018"/>
      <c r="T1248" s="2018"/>
      <c r="U1248" s="2018"/>
      <c r="V1248" s="2018"/>
      <c r="W1248" s="2018"/>
      <c r="X1248" s="2018"/>
      <c r="Y1248" s="2094"/>
      <c r="Z1248" s="2096"/>
      <c r="AA1248" s="2097"/>
      <c r="AB1248" s="1053"/>
      <c r="AC1248" s="1053"/>
      <c r="AD1248" s="1053"/>
      <c r="AE1248" s="1051"/>
      <c r="AF1248" s="1054"/>
    </row>
    <row r="1249" spans="1:32" ht="15.75" x14ac:dyDescent="0.25">
      <c r="A1249" s="2017"/>
      <c r="B1249" s="2018"/>
      <c r="C1249" s="2018"/>
      <c r="D1249" s="2018"/>
      <c r="E1249" s="2018"/>
      <c r="F1249" s="2018"/>
      <c r="G1249" s="2018"/>
      <c r="H1249" s="2018"/>
      <c r="I1249" s="2018"/>
      <c r="J1249" s="2018"/>
      <c r="K1249" s="2018"/>
      <c r="L1249" s="2018"/>
      <c r="M1249" s="2018"/>
      <c r="N1249" s="2018"/>
      <c r="O1249" s="2018"/>
      <c r="P1249" s="2018"/>
      <c r="Q1249" s="2018"/>
      <c r="R1249" s="2018"/>
      <c r="S1249" s="2018"/>
      <c r="T1249" s="2018"/>
      <c r="U1249" s="2018"/>
      <c r="V1249" s="2018"/>
      <c r="W1249" s="2018"/>
      <c r="X1249" s="2018"/>
      <c r="Y1249" s="2094"/>
      <c r="Z1249" s="2096"/>
      <c r="AA1249" s="2097"/>
      <c r="AB1249" s="1053"/>
      <c r="AC1249" s="1053"/>
      <c r="AD1249" s="1053"/>
      <c r="AE1249" s="1051"/>
      <c r="AF1249" s="1054"/>
    </row>
    <row r="1250" spans="1:32" ht="15.75" x14ac:dyDescent="0.25">
      <c r="A1250" s="2017"/>
      <c r="B1250" s="2018"/>
      <c r="C1250" s="2018"/>
      <c r="D1250" s="2018"/>
      <c r="E1250" s="2018"/>
      <c r="F1250" s="2018"/>
      <c r="G1250" s="2018"/>
      <c r="H1250" s="2018"/>
      <c r="I1250" s="2018"/>
      <c r="J1250" s="2018"/>
      <c r="K1250" s="2018"/>
      <c r="L1250" s="2018"/>
      <c r="M1250" s="2018"/>
      <c r="N1250" s="2018"/>
      <c r="O1250" s="2018"/>
      <c r="P1250" s="2018"/>
      <c r="Q1250" s="2018"/>
      <c r="R1250" s="2018"/>
      <c r="S1250" s="2018"/>
      <c r="T1250" s="2018"/>
      <c r="U1250" s="2018"/>
      <c r="V1250" s="2018"/>
      <c r="W1250" s="2018"/>
      <c r="X1250" s="2018"/>
      <c r="Y1250" s="2094"/>
      <c r="Z1250" s="2096"/>
      <c r="AA1250" s="2097"/>
      <c r="AB1250" s="1055"/>
      <c r="AC1250" s="1055"/>
      <c r="AD1250" s="1055"/>
      <c r="AE1250" s="1051"/>
      <c r="AF1250" s="1056"/>
    </row>
    <row r="1251" spans="1:32" ht="15.75" x14ac:dyDescent="0.25">
      <c r="A1251" s="2017"/>
      <c r="B1251" s="2018"/>
      <c r="C1251" s="2018"/>
      <c r="D1251" s="2018"/>
      <c r="E1251" s="2018"/>
      <c r="F1251" s="2018"/>
      <c r="G1251" s="2018"/>
      <c r="H1251" s="2018"/>
      <c r="I1251" s="2018"/>
      <c r="J1251" s="2018"/>
      <c r="K1251" s="2018"/>
      <c r="L1251" s="2018"/>
      <c r="M1251" s="2018"/>
      <c r="N1251" s="2018"/>
      <c r="O1251" s="2018"/>
      <c r="P1251" s="2018"/>
      <c r="Q1251" s="2018"/>
      <c r="R1251" s="2018"/>
      <c r="S1251" s="2018"/>
      <c r="T1251" s="2018"/>
      <c r="U1251" s="2018"/>
      <c r="V1251" s="2018"/>
      <c r="W1251" s="2018"/>
      <c r="X1251" s="2018"/>
      <c r="Y1251" s="2094"/>
      <c r="Z1251" s="2096"/>
      <c r="AA1251" s="2097"/>
      <c r="AB1251" s="1055"/>
      <c r="AC1251" s="1055"/>
      <c r="AD1251" s="1055"/>
      <c r="AE1251" s="1055"/>
      <c r="AF1251" s="1056"/>
    </row>
    <row r="1252" spans="1:32" ht="15.75" x14ac:dyDescent="0.25">
      <c r="A1252" s="2017"/>
      <c r="B1252" s="2018"/>
      <c r="C1252" s="2018"/>
      <c r="D1252" s="2018"/>
      <c r="E1252" s="2018"/>
      <c r="F1252" s="2018"/>
      <c r="G1252" s="2018"/>
      <c r="H1252" s="2018"/>
      <c r="I1252" s="2018"/>
      <c r="J1252" s="2018"/>
      <c r="K1252" s="2018"/>
      <c r="L1252" s="2018"/>
      <c r="M1252" s="2018"/>
      <c r="N1252" s="2018"/>
      <c r="O1252" s="2018"/>
      <c r="P1252" s="2018"/>
      <c r="Q1252" s="2018"/>
      <c r="R1252" s="2018"/>
      <c r="S1252" s="2018"/>
      <c r="T1252" s="2018"/>
      <c r="U1252" s="2018"/>
      <c r="V1252" s="2018"/>
      <c r="W1252" s="2018"/>
      <c r="X1252" s="2018"/>
      <c r="Y1252" s="2094"/>
      <c r="Z1252" s="2096"/>
      <c r="AA1252" s="2097"/>
      <c r="AB1252" s="1055"/>
      <c r="AC1252" s="1055"/>
      <c r="AD1252" s="1055"/>
      <c r="AE1252" s="1055"/>
      <c r="AF1252" s="1056"/>
    </row>
    <row r="1253" spans="1:32" ht="15.75" x14ac:dyDescent="0.25">
      <c r="A1253" s="2017"/>
      <c r="B1253" s="2018"/>
      <c r="C1253" s="2018"/>
      <c r="D1253" s="2018"/>
      <c r="E1253" s="2018"/>
      <c r="F1253" s="2018"/>
      <c r="G1253" s="2018"/>
      <c r="H1253" s="2018"/>
      <c r="I1253" s="2018"/>
      <c r="J1253" s="2018"/>
      <c r="K1253" s="2018"/>
      <c r="L1253" s="2018"/>
      <c r="M1253" s="2018"/>
      <c r="N1253" s="2018"/>
      <c r="O1253" s="2018"/>
      <c r="P1253" s="2018"/>
      <c r="Q1253" s="2018"/>
      <c r="R1253" s="2018"/>
      <c r="S1253" s="2018"/>
      <c r="T1253" s="2018"/>
      <c r="U1253" s="2018"/>
      <c r="V1253" s="2018"/>
      <c r="W1253" s="2018"/>
      <c r="X1253" s="2018"/>
      <c r="Y1253" s="2094"/>
      <c r="Z1253" s="2096"/>
      <c r="AA1253" s="2097"/>
      <c r="AB1253" s="1055"/>
      <c r="AC1253" s="1055"/>
      <c r="AD1253" s="1055"/>
      <c r="AE1253" s="1055"/>
      <c r="AF1253" s="1056"/>
    </row>
    <row r="1254" spans="1:32" ht="15.75" x14ac:dyDescent="0.25">
      <c r="A1254" s="2017"/>
      <c r="B1254" s="2018"/>
      <c r="C1254" s="2018"/>
      <c r="D1254" s="2018"/>
      <c r="E1254" s="2018"/>
      <c r="F1254" s="2018"/>
      <c r="G1254" s="2018"/>
      <c r="H1254" s="2018"/>
      <c r="I1254" s="2018"/>
      <c r="J1254" s="2018"/>
      <c r="K1254" s="2018"/>
      <c r="L1254" s="2018"/>
      <c r="M1254" s="2018"/>
      <c r="N1254" s="2018"/>
      <c r="O1254" s="2018"/>
      <c r="P1254" s="2018"/>
      <c r="Q1254" s="2018"/>
      <c r="R1254" s="2018"/>
      <c r="S1254" s="2018"/>
      <c r="T1254" s="2018"/>
      <c r="U1254" s="2018"/>
      <c r="V1254" s="2018"/>
      <c r="W1254" s="2018"/>
      <c r="X1254" s="2018"/>
      <c r="Y1254" s="2094"/>
      <c r="Z1254" s="2096"/>
      <c r="AA1254" s="2097"/>
      <c r="AB1254" s="1055"/>
      <c r="AC1254" s="1055"/>
      <c r="AD1254" s="1055"/>
      <c r="AE1254" s="1055"/>
      <c r="AF1254" s="1056"/>
    </row>
    <row r="1255" spans="1:32" ht="16.5" thickBot="1" x14ac:dyDescent="0.3">
      <c r="A1255" s="2019"/>
      <c r="B1255" s="2020"/>
      <c r="C1255" s="2020"/>
      <c r="D1255" s="2020"/>
      <c r="E1255" s="2020"/>
      <c r="F1255" s="2020"/>
      <c r="G1255" s="2020"/>
      <c r="H1255" s="2020"/>
      <c r="I1255" s="2020"/>
      <c r="J1255" s="2020"/>
      <c r="K1255" s="2020"/>
      <c r="L1255" s="2020"/>
      <c r="M1255" s="2020"/>
      <c r="N1255" s="2020"/>
      <c r="O1255" s="2020"/>
      <c r="P1255" s="2020"/>
      <c r="Q1255" s="2020"/>
      <c r="R1255" s="2020"/>
      <c r="S1255" s="2020"/>
      <c r="T1255" s="2020"/>
      <c r="U1255" s="2020"/>
      <c r="V1255" s="2020"/>
      <c r="W1255" s="2020"/>
      <c r="X1255" s="2020"/>
      <c r="Y1255" s="2095"/>
      <c r="Z1255" s="2098"/>
      <c r="AA1255" s="2099"/>
      <c r="AB1255" s="1057"/>
      <c r="AC1255" s="1057"/>
      <c r="AD1255" s="1057"/>
      <c r="AE1255" s="1057"/>
      <c r="AF1255" s="1058"/>
    </row>
    <row r="1256" spans="1:32" ht="15.75" x14ac:dyDescent="0.25">
      <c r="A1256" s="2100" t="s">
        <v>1855</v>
      </c>
      <c r="B1256" s="2101"/>
      <c r="C1256" s="2101"/>
      <c r="D1256" s="2101"/>
      <c r="E1256" s="2101"/>
      <c r="F1256" s="2101"/>
      <c r="G1256" s="2101"/>
      <c r="H1256" s="2101"/>
      <c r="I1256" s="2101"/>
      <c r="J1256" s="2101"/>
      <c r="K1256" s="2101"/>
      <c r="L1256" s="2101"/>
      <c r="M1256" s="2101"/>
      <c r="N1256" s="2101"/>
      <c r="O1256" s="2101"/>
      <c r="P1256" s="2101"/>
      <c r="Q1256" s="2101"/>
      <c r="R1256" s="2101"/>
      <c r="S1256" s="2101"/>
      <c r="T1256" s="2101"/>
      <c r="U1256" s="2101"/>
      <c r="V1256" s="2101"/>
      <c r="W1256" s="2101"/>
      <c r="X1256" s="2101"/>
      <c r="Y1256" s="2101"/>
      <c r="Z1256" s="2013" t="s">
        <v>1850</v>
      </c>
      <c r="AA1256" s="2013"/>
      <c r="AB1256" s="2013"/>
      <c r="AC1256" s="2013"/>
      <c r="AD1256" s="2013"/>
      <c r="AE1256" s="2013"/>
      <c r="AF1256" s="1059">
        <f>SUM(AF1236:AF1255)</f>
        <v>16.689999999999998</v>
      </c>
    </row>
    <row r="1257" spans="1:32" ht="15.75" x14ac:dyDescent="0.25">
      <c r="A1257" s="2102"/>
      <c r="B1257" s="2103"/>
      <c r="C1257" s="2103"/>
      <c r="D1257" s="2103"/>
      <c r="E1257" s="2103"/>
      <c r="F1257" s="2103"/>
      <c r="G1257" s="2103"/>
      <c r="H1257" s="2103"/>
      <c r="I1257" s="2103"/>
      <c r="J1257" s="2103"/>
      <c r="K1257" s="2103"/>
      <c r="L1257" s="2103"/>
      <c r="M1257" s="2103"/>
      <c r="N1257" s="2103"/>
      <c r="O1257" s="2103"/>
      <c r="P1257" s="2103"/>
      <c r="Q1257" s="2103"/>
      <c r="R1257" s="2103"/>
      <c r="S1257" s="2103"/>
      <c r="T1257" s="2103"/>
      <c r="U1257" s="2103"/>
      <c r="V1257" s="2103"/>
      <c r="W1257" s="2103"/>
      <c r="X1257" s="2103"/>
      <c r="Y1257" s="2103"/>
      <c r="Z1257" s="2014" t="s">
        <v>1851</v>
      </c>
      <c r="AA1257" s="2014"/>
      <c r="AB1257" s="2014"/>
      <c r="AC1257" s="2014"/>
      <c r="AD1257" s="2014"/>
      <c r="AE1257" s="2014"/>
      <c r="AF1257" s="1060">
        <v>0</v>
      </c>
    </row>
    <row r="1258" spans="1:32" ht="15.75" x14ac:dyDescent="0.25">
      <c r="A1258" s="2102"/>
      <c r="B1258" s="2103"/>
      <c r="C1258" s="2103"/>
      <c r="D1258" s="2103"/>
      <c r="E1258" s="2103"/>
      <c r="F1258" s="2103"/>
      <c r="G1258" s="2103"/>
      <c r="H1258" s="2103"/>
      <c r="I1258" s="2103"/>
      <c r="J1258" s="2103"/>
      <c r="K1258" s="2103"/>
      <c r="L1258" s="2103"/>
      <c r="M1258" s="2103"/>
      <c r="N1258" s="2103"/>
      <c r="O1258" s="2103"/>
      <c r="P1258" s="2103"/>
      <c r="Q1258" s="2103"/>
      <c r="R1258" s="2103"/>
      <c r="S1258" s="2103"/>
      <c r="T1258" s="2103"/>
      <c r="U1258" s="2103"/>
      <c r="V1258" s="2103"/>
      <c r="W1258" s="2103"/>
      <c r="X1258" s="2103"/>
      <c r="Y1258" s="2103"/>
      <c r="Z1258" s="2015" t="s">
        <v>1833</v>
      </c>
      <c r="AA1258" s="2015"/>
      <c r="AB1258" s="2015"/>
      <c r="AC1258" s="2015"/>
      <c r="AD1258" s="2015"/>
      <c r="AE1258" s="2015"/>
      <c r="AF1258" s="1061">
        <f>SUM(AF1256:AF1257)</f>
        <v>16.689999999999998</v>
      </c>
    </row>
    <row r="1259" spans="1:32" x14ac:dyDescent="0.2">
      <c r="A1259" s="2012" t="s">
        <v>1859</v>
      </c>
      <c r="B1259" s="2012"/>
      <c r="C1259" s="2012"/>
      <c r="D1259" s="2012"/>
      <c r="E1259" s="2012"/>
      <c r="F1259" s="2012"/>
      <c r="G1259" s="2012"/>
      <c r="H1259" s="2012"/>
      <c r="I1259" s="2012"/>
      <c r="J1259" s="2012"/>
      <c r="K1259" s="2012"/>
      <c r="L1259" s="2012"/>
      <c r="M1259" s="2012"/>
      <c r="N1259" s="2012"/>
      <c r="O1259" s="2012"/>
      <c r="P1259" s="2012"/>
      <c r="Q1259" s="2012"/>
      <c r="R1259" s="2012"/>
      <c r="S1259" s="2012"/>
      <c r="T1259" s="2016" t="s">
        <v>1840</v>
      </c>
      <c r="U1259" s="2016"/>
      <c r="V1259" s="2016"/>
      <c r="W1259" s="2016"/>
      <c r="X1259" s="2016"/>
      <c r="Y1259" s="2016"/>
      <c r="Z1259" s="2016"/>
      <c r="AA1259" s="2016"/>
      <c r="AB1259" s="2012" t="s">
        <v>1852</v>
      </c>
      <c r="AC1259" s="2012"/>
      <c r="AD1259" s="2012"/>
      <c r="AE1259" s="2012"/>
      <c r="AF1259" s="2012"/>
    </row>
    <row r="1260" spans="1:32" x14ac:dyDescent="0.2">
      <c r="A1260" s="2012"/>
      <c r="B1260" s="2012"/>
      <c r="C1260" s="2012"/>
      <c r="D1260" s="2012"/>
      <c r="E1260" s="2012"/>
      <c r="F1260" s="2012"/>
      <c r="G1260" s="2012"/>
      <c r="H1260" s="2012"/>
      <c r="I1260" s="2012"/>
      <c r="J1260" s="2012"/>
      <c r="K1260" s="2012"/>
      <c r="L1260" s="2012"/>
      <c r="M1260" s="2012"/>
      <c r="N1260" s="2012"/>
      <c r="O1260" s="2012"/>
      <c r="P1260" s="2012"/>
      <c r="Q1260" s="2012"/>
      <c r="R1260" s="2012"/>
      <c r="S1260" s="2012"/>
      <c r="T1260" s="2016"/>
      <c r="U1260" s="2016"/>
      <c r="V1260" s="2016"/>
      <c r="W1260" s="2016"/>
      <c r="X1260" s="2016"/>
      <c r="Y1260" s="2016"/>
      <c r="Z1260" s="2016"/>
      <c r="AA1260" s="2016"/>
      <c r="AB1260" s="2012"/>
      <c r="AC1260" s="2012"/>
      <c r="AD1260" s="2012"/>
      <c r="AE1260" s="2012"/>
      <c r="AF1260" s="2012"/>
    </row>
    <row r="1261" spans="1:32" ht="13.5" thickBot="1" x14ac:dyDescent="0.25"/>
    <row r="1262" spans="1:32" ht="26.45" customHeight="1" x14ac:dyDescent="0.2">
      <c r="A1262" s="2025" t="s">
        <v>1854</v>
      </c>
      <c r="B1262" s="2026"/>
      <c r="C1262" s="2026"/>
      <c r="D1262" s="2026"/>
      <c r="E1262" s="2026"/>
      <c r="F1262" s="2026"/>
      <c r="G1262" s="2026"/>
      <c r="H1262" s="2026"/>
      <c r="I1262" s="2026"/>
      <c r="J1262" s="2026"/>
      <c r="K1262" s="2026"/>
      <c r="L1262" s="2026"/>
      <c r="M1262" s="2026"/>
      <c r="N1262" s="2026"/>
      <c r="O1262" s="2026"/>
      <c r="P1262" s="2026"/>
      <c r="Q1262" s="2026"/>
      <c r="R1262" s="2026"/>
      <c r="S1262" s="2026"/>
      <c r="T1262" s="2026"/>
      <c r="U1262" s="2026"/>
      <c r="V1262" s="2026"/>
      <c r="W1262" s="2026"/>
      <c r="X1262" s="2026"/>
      <c r="Y1262" s="2026"/>
      <c r="Z1262" s="2026"/>
      <c r="AA1262" s="2026"/>
      <c r="AB1262" s="2026"/>
      <c r="AC1262" s="2026"/>
      <c r="AD1262" s="2026"/>
      <c r="AE1262" s="1041" t="s">
        <v>1834</v>
      </c>
      <c r="AF1262" s="1042" t="s">
        <v>1835</v>
      </c>
    </row>
    <row r="1263" spans="1:32" ht="19.149999999999999" customHeight="1" thickBot="1" x14ac:dyDescent="0.25">
      <c r="A1263" s="2027"/>
      <c r="B1263" s="2028"/>
      <c r="C1263" s="2028"/>
      <c r="D1263" s="2028"/>
      <c r="E1263" s="2028"/>
      <c r="F1263" s="2028"/>
      <c r="G1263" s="2028"/>
      <c r="H1263" s="2028"/>
      <c r="I1263" s="2028"/>
      <c r="J1263" s="2028"/>
      <c r="K1263" s="2028"/>
      <c r="L1263" s="2028"/>
      <c r="M1263" s="2028"/>
      <c r="N1263" s="2028"/>
      <c r="O1263" s="2028"/>
      <c r="P1263" s="2028"/>
      <c r="Q1263" s="2028"/>
      <c r="R1263" s="2028"/>
      <c r="S1263" s="2028"/>
      <c r="T1263" s="2028"/>
      <c r="U1263" s="2028"/>
      <c r="V1263" s="2028"/>
      <c r="W1263" s="2028"/>
      <c r="X1263" s="2028"/>
      <c r="Y1263" s="2028"/>
      <c r="Z1263" s="2028"/>
      <c r="AA1263" s="2028"/>
      <c r="AB1263" s="2028"/>
      <c r="AC1263" s="2028"/>
      <c r="AD1263" s="2028"/>
      <c r="AE1263" s="1041" t="s">
        <v>1836</v>
      </c>
      <c r="AF1263" s="1044">
        <v>1</v>
      </c>
    </row>
    <row r="1264" spans="1:32" ht="15.75" x14ac:dyDescent="0.2">
      <c r="A1264" s="2029"/>
      <c r="B1264" s="2030"/>
      <c r="C1264" s="2030"/>
      <c r="D1264" s="2031"/>
      <c r="E1264" s="2025" t="str">
        <f>'01'!$A$12</f>
        <v>"CONSTRUCCION SISTEMA DE ACUEDUCTO FASE II DEL MUNICIPIO DE TESALIA DPTO DEL HUILA"</v>
      </c>
      <c r="F1264" s="2026"/>
      <c r="G1264" s="2026"/>
      <c r="H1264" s="2026"/>
      <c r="I1264" s="2026"/>
      <c r="J1264" s="2026"/>
      <c r="K1264" s="2026"/>
      <c r="L1264" s="2026"/>
      <c r="M1264" s="2026"/>
      <c r="N1264" s="2026"/>
      <c r="O1264" s="2026"/>
      <c r="P1264" s="2026"/>
      <c r="Q1264" s="2026"/>
      <c r="R1264" s="2026"/>
      <c r="S1264" s="2026"/>
      <c r="T1264" s="2026"/>
      <c r="U1264" s="2026"/>
      <c r="V1264" s="2026"/>
      <c r="W1264" s="2026"/>
      <c r="X1264" s="2026"/>
      <c r="Y1264" s="2026"/>
      <c r="Z1264" s="2026"/>
      <c r="AA1264" s="2026"/>
      <c r="AB1264" s="2026"/>
      <c r="AC1264" s="2026"/>
      <c r="AD1264" s="2035"/>
      <c r="AE1264" s="1041" t="s">
        <v>847</v>
      </c>
      <c r="AF1264" s="1045">
        <f>'01'!$M$13</f>
        <v>0</v>
      </c>
    </row>
    <row r="1265" spans="1:32" ht="16.5" thickBot="1" x14ac:dyDescent="0.25">
      <c r="A1265" s="2032"/>
      <c r="B1265" s="2033"/>
      <c r="C1265" s="2033"/>
      <c r="D1265" s="2034"/>
      <c r="E1265" s="2027"/>
      <c r="F1265" s="2028"/>
      <c r="G1265" s="2028"/>
      <c r="H1265" s="2028"/>
      <c r="I1265" s="2028"/>
      <c r="J1265" s="2028"/>
      <c r="K1265" s="2028"/>
      <c r="L1265" s="2028"/>
      <c r="M1265" s="2028"/>
      <c r="N1265" s="2028"/>
      <c r="O1265" s="2028"/>
      <c r="P1265" s="2028"/>
      <c r="Q1265" s="2028"/>
      <c r="R1265" s="2028"/>
      <c r="S1265" s="2028"/>
      <c r="T1265" s="2028"/>
      <c r="U1265" s="2028"/>
      <c r="V1265" s="2028"/>
      <c r="W1265" s="2028"/>
      <c r="X1265" s="2028"/>
      <c r="Y1265" s="2028"/>
      <c r="Z1265" s="2028"/>
      <c r="AA1265" s="2028"/>
      <c r="AB1265" s="2028"/>
      <c r="AC1265" s="2028"/>
      <c r="AD1265" s="2036"/>
      <c r="AE1265" s="1041" t="s">
        <v>1837</v>
      </c>
      <c r="AF1265" s="1042" t="s">
        <v>1838</v>
      </c>
    </row>
    <row r="1266" spans="1:32" ht="15.75" x14ac:dyDescent="0.25">
      <c r="A1266" s="2037" t="s">
        <v>1860</v>
      </c>
      <c r="B1266" s="2038"/>
      <c r="C1266" s="2038"/>
      <c r="D1266" s="2038"/>
      <c r="E1266" s="2038"/>
      <c r="F1266" s="2038"/>
      <c r="G1266" s="2038"/>
      <c r="H1266" s="2038"/>
      <c r="I1266" s="2038"/>
      <c r="J1266" s="2038"/>
      <c r="K1266" s="2038"/>
      <c r="L1266" s="2038"/>
      <c r="M1266" s="2038"/>
      <c r="N1266" s="2038"/>
      <c r="O1266" s="2038"/>
      <c r="P1266" s="2038"/>
      <c r="Q1266" s="2038"/>
      <c r="R1266" s="2038"/>
      <c r="S1266" s="2038"/>
      <c r="T1266" s="2038"/>
      <c r="U1266" s="2038"/>
      <c r="V1266" s="2038"/>
      <c r="W1266" s="2038"/>
      <c r="X1266" s="2038"/>
      <c r="Y1266" s="2038"/>
      <c r="Z1266" s="2038"/>
      <c r="AA1266" s="2038"/>
      <c r="AB1266" s="2038"/>
      <c r="AC1266" s="2038"/>
      <c r="AD1266" s="2038"/>
      <c r="AE1266" s="2039" t="s">
        <v>1839</v>
      </c>
      <c r="AF1266" s="2040"/>
    </row>
    <row r="1267" spans="1:32" ht="15.75" x14ac:dyDescent="0.25">
      <c r="A1267" s="2041" t="s">
        <v>1840</v>
      </c>
      <c r="B1267" s="2042"/>
      <c r="C1267" s="2042"/>
      <c r="D1267" s="2042"/>
      <c r="E1267" s="2042"/>
      <c r="F1267" s="2042"/>
      <c r="G1267" s="2042"/>
      <c r="H1267" s="2042"/>
      <c r="I1267" s="2042"/>
      <c r="J1267" s="2042"/>
      <c r="K1267" s="2042"/>
      <c r="L1267" s="2042"/>
      <c r="M1267" s="2042"/>
      <c r="N1267" s="2042"/>
      <c r="O1267" s="2042"/>
      <c r="P1267" s="2042"/>
      <c r="Q1267" s="2042"/>
      <c r="R1267" s="2042"/>
      <c r="S1267" s="2042"/>
      <c r="T1267" s="2042"/>
      <c r="U1267" s="2042"/>
      <c r="V1267" s="2042"/>
      <c r="W1267" s="2042"/>
      <c r="X1267" s="2042"/>
      <c r="Y1267" s="2042"/>
      <c r="Z1267" s="2042"/>
      <c r="AA1267" s="2042"/>
      <c r="AB1267" s="2042"/>
      <c r="AC1267" s="2042"/>
      <c r="AD1267" s="2043"/>
      <c r="AE1267" s="2014" t="s">
        <v>1841</v>
      </c>
      <c r="AF1267" s="2044"/>
    </row>
    <row r="1268" spans="1:32" ht="15.75" x14ac:dyDescent="0.25">
      <c r="A1268" s="2045" t="s">
        <v>1853</v>
      </c>
      <c r="B1268" s="2046"/>
      <c r="C1268" s="2046"/>
      <c r="D1268" s="2046"/>
      <c r="E1268" s="2046"/>
      <c r="F1268" s="2046"/>
      <c r="G1268" s="2046"/>
      <c r="H1268" s="2046"/>
      <c r="I1268" s="2046"/>
      <c r="J1268" s="2046"/>
      <c r="K1268" s="2046"/>
      <c r="L1268" s="2046"/>
      <c r="M1268" s="2046"/>
      <c r="N1268" s="2046"/>
      <c r="O1268" s="2046"/>
      <c r="P1268" s="2046"/>
      <c r="Q1268" s="2046"/>
      <c r="R1268" s="2046"/>
      <c r="S1268" s="2046"/>
      <c r="T1268" s="2046"/>
      <c r="U1268" s="2046"/>
      <c r="V1268" s="2046"/>
      <c r="W1268" s="2046"/>
      <c r="X1268" s="2046"/>
      <c r="Y1268" s="2046"/>
      <c r="Z1268" s="2046"/>
      <c r="AA1268" s="2046"/>
      <c r="AB1268" s="2046"/>
      <c r="AC1268" s="2046"/>
      <c r="AD1268" s="2046"/>
      <c r="AE1268" s="2047">
        <f>'01'!$M$13</f>
        <v>0</v>
      </c>
      <c r="AF1268" s="2044"/>
    </row>
    <row r="1269" spans="1:32" x14ac:dyDescent="0.2">
      <c r="A1269" s="1046"/>
      <c r="B1269" s="1047"/>
      <c r="C1269" s="1047"/>
      <c r="D1269" s="1047"/>
      <c r="E1269" s="1047"/>
      <c r="F1269" s="1047"/>
      <c r="G1269" s="1047"/>
      <c r="H1269" s="1047"/>
      <c r="I1269" s="1047"/>
      <c r="J1269" s="1047"/>
      <c r="K1269" s="1047"/>
      <c r="L1269" s="1047"/>
      <c r="M1269" s="1047"/>
      <c r="N1269" s="1047"/>
      <c r="O1269" s="1047"/>
      <c r="P1269" s="1047"/>
      <c r="Q1269" s="1047"/>
      <c r="R1269" s="1047"/>
      <c r="S1269" s="1047"/>
      <c r="T1269" s="1047"/>
      <c r="U1269" s="1047"/>
      <c r="V1269" s="1047"/>
      <c r="W1269" s="1047"/>
      <c r="X1269" s="1047"/>
      <c r="Y1269" s="1047"/>
      <c r="Z1269" s="1047"/>
      <c r="AA1269" s="1047"/>
      <c r="AB1269" s="1047"/>
      <c r="AC1269" s="1047"/>
      <c r="AD1269" s="1047"/>
      <c r="AE1269" s="1047"/>
      <c r="AF1269" s="1048"/>
    </row>
    <row r="1270" spans="1:32" ht="30" customHeight="1" x14ac:dyDescent="0.2">
      <c r="A1270" s="2048" t="s">
        <v>1842</v>
      </c>
      <c r="B1270" s="2049"/>
      <c r="C1270" s="2049"/>
      <c r="D1270" s="2049"/>
      <c r="E1270" s="2049"/>
      <c r="F1270" s="2050" t="str">
        <f>'01'!$H$63</f>
        <v>C - FLOCULADOR, SEDIMENTADOR, CANAL DE AGUA SEDIMENTADA Y CANAL DE LAVADO</v>
      </c>
      <c r="G1270" s="2049"/>
      <c r="H1270" s="2049"/>
      <c r="I1270" s="2049"/>
      <c r="J1270" s="2049"/>
      <c r="K1270" s="2049"/>
      <c r="L1270" s="2049"/>
      <c r="M1270" s="2049"/>
      <c r="N1270" s="2049"/>
      <c r="O1270" s="2049"/>
      <c r="P1270" s="2049"/>
      <c r="Q1270" s="2049"/>
      <c r="R1270" s="2049"/>
      <c r="S1270" s="2049"/>
      <c r="T1270" s="2049"/>
      <c r="U1270" s="2049"/>
      <c r="V1270" s="2049"/>
      <c r="W1270" s="2049"/>
      <c r="X1270" s="2049"/>
      <c r="Y1270" s="2051"/>
      <c r="Z1270" s="2052" t="s">
        <v>1843</v>
      </c>
      <c r="AA1270" s="2053"/>
      <c r="AB1270" s="2058" t="s">
        <v>1844</v>
      </c>
      <c r="AC1270" s="2059"/>
      <c r="AD1270" s="2060"/>
      <c r="AE1270" s="2064" t="s">
        <v>1845</v>
      </c>
      <c r="AF1270" s="2067" t="s">
        <v>1846</v>
      </c>
    </row>
    <row r="1271" spans="1:32" x14ac:dyDescent="0.2">
      <c r="A1271" s="2070" t="str">
        <f>+'01'!A71</f>
        <v>C-03-02</v>
      </c>
      <c r="B1271" s="2071"/>
      <c r="C1271" s="2072"/>
      <c r="D1271" s="2076" t="str">
        <f>VLOOKUP(A1271,'01'!$A$12:$N$299,3,FALSE)</f>
        <v>RELLENO EN RECEBO COMUN PROVENIENTE DE MATERIAL DE PRESTAMO, COMPACTADO MECANICAMENTE.</v>
      </c>
      <c r="E1271" s="2077"/>
      <c r="F1271" s="2077"/>
      <c r="G1271" s="2077"/>
      <c r="H1271" s="2077"/>
      <c r="I1271" s="2077"/>
      <c r="J1271" s="2077"/>
      <c r="K1271" s="2077"/>
      <c r="L1271" s="2077"/>
      <c r="M1271" s="2077"/>
      <c r="N1271" s="2077"/>
      <c r="O1271" s="2077"/>
      <c r="P1271" s="2077"/>
      <c r="Q1271" s="2077"/>
      <c r="R1271" s="2077"/>
      <c r="S1271" s="2078"/>
      <c r="T1271" s="2082" t="s">
        <v>124</v>
      </c>
      <c r="U1271" s="2083"/>
      <c r="V1271" s="2083"/>
      <c r="W1271" s="2083"/>
      <c r="X1271" s="2052" t="str">
        <f>VLOOKUP(A1271,'01'!$A$12:$N$299,9,FALSE)</f>
        <v>M3</v>
      </c>
      <c r="Y1271" s="2053"/>
      <c r="Z1271" s="2054"/>
      <c r="AA1271" s="2055"/>
      <c r="AB1271" s="2061"/>
      <c r="AC1271" s="2062"/>
      <c r="AD1271" s="2063"/>
      <c r="AE1271" s="2065"/>
      <c r="AF1271" s="2068"/>
    </row>
    <row r="1272" spans="1:32" ht="15.75" x14ac:dyDescent="0.25">
      <c r="A1272" s="2073"/>
      <c r="B1272" s="2074"/>
      <c r="C1272" s="2075"/>
      <c r="D1272" s="2079"/>
      <c r="E1272" s="2080"/>
      <c r="F1272" s="2080"/>
      <c r="G1272" s="2080"/>
      <c r="H1272" s="2080"/>
      <c r="I1272" s="2080"/>
      <c r="J1272" s="2080"/>
      <c r="K1272" s="2080"/>
      <c r="L1272" s="2080"/>
      <c r="M1272" s="2080"/>
      <c r="N1272" s="2080"/>
      <c r="O1272" s="2080"/>
      <c r="P1272" s="2080"/>
      <c r="Q1272" s="2080"/>
      <c r="R1272" s="2080"/>
      <c r="S1272" s="2081"/>
      <c r="T1272" s="2084"/>
      <c r="U1272" s="2085"/>
      <c r="V1272" s="2085"/>
      <c r="W1272" s="2085"/>
      <c r="X1272" s="2056"/>
      <c r="Y1272" s="2057"/>
      <c r="Z1272" s="2056"/>
      <c r="AA1272" s="2057"/>
      <c r="AB1272" s="1049" t="s">
        <v>1847</v>
      </c>
      <c r="AC1272" s="1049" t="s">
        <v>1848</v>
      </c>
      <c r="AD1272" s="1049" t="s">
        <v>1861</v>
      </c>
      <c r="AE1272" s="2066"/>
      <c r="AF1272" s="2069"/>
    </row>
    <row r="1273" spans="1:32" ht="15.75" x14ac:dyDescent="0.25">
      <c r="A1273" s="2017"/>
      <c r="B1273" s="2018"/>
      <c r="C1273" s="2018"/>
      <c r="D1273" s="2018"/>
      <c r="E1273" s="2018"/>
      <c r="F1273" s="2018"/>
      <c r="G1273" s="2018"/>
      <c r="H1273" s="2018"/>
      <c r="I1273" s="2018"/>
      <c r="J1273" s="2018"/>
      <c r="K1273" s="2018"/>
      <c r="L1273" s="2018"/>
      <c r="M1273" s="2018"/>
      <c r="N1273" s="2018"/>
      <c r="O1273" s="2018"/>
      <c r="P1273" s="2018"/>
      <c r="Q1273" s="2018"/>
      <c r="R1273" s="2018"/>
      <c r="S1273" s="2018"/>
      <c r="T1273" s="2018"/>
      <c r="U1273" s="2018"/>
      <c r="V1273" s="2018"/>
      <c r="W1273" s="2018"/>
      <c r="X1273" s="2018"/>
      <c r="Y1273" s="2094"/>
      <c r="Z1273" s="2096" t="s">
        <v>2308</v>
      </c>
      <c r="AA1273" s="2097"/>
      <c r="AB1273" s="1050">
        <v>10.9</v>
      </c>
      <c r="AC1273" s="1050">
        <v>5.45</v>
      </c>
      <c r="AD1273" s="1050">
        <v>0.2</v>
      </c>
      <c r="AE1273" s="1051">
        <v>1</v>
      </c>
      <c r="AF1273" s="1052">
        <f>ROUND(AE1273*AD1273*AC1273*AB1273,2)</f>
        <v>11.88</v>
      </c>
    </row>
    <row r="1274" spans="1:32" ht="15.75" x14ac:dyDescent="0.25">
      <c r="A1274" s="2017"/>
      <c r="B1274" s="2018"/>
      <c r="C1274" s="2018"/>
      <c r="D1274" s="2018"/>
      <c r="E1274" s="2018"/>
      <c r="F1274" s="2018"/>
      <c r="G1274" s="2018"/>
      <c r="H1274" s="2018"/>
      <c r="I1274" s="2018"/>
      <c r="J1274" s="2018"/>
      <c r="K1274" s="2018"/>
      <c r="L1274" s="2018"/>
      <c r="M1274" s="2018"/>
      <c r="N1274" s="2018"/>
      <c r="O1274" s="2018"/>
      <c r="P1274" s="2018"/>
      <c r="Q1274" s="2018"/>
      <c r="R1274" s="2018"/>
      <c r="S1274" s="2018"/>
      <c r="T1274" s="2018"/>
      <c r="U1274" s="2018"/>
      <c r="V1274" s="2018"/>
      <c r="W1274" s="2018"/>
      <c r="X1274" s="2018"/>
      <c r="Y1274" s="2094"/>
      <c r="Z1274" s="2096" t="s">
        <v>2309</v>
      </c>
      <c r="AA1274" s="2097"/>
      <c r="AB1274" s="1050">
        <v>10.86</v>
      </c>
      <c r="AC1274" s="1050">
        <v>4.72</v>
      </c>
      <c r="AD1274" s="1050">
        <v>0.2</v>
      </c>
      <c r="AE1274" s="1051">
        <v>1</v>
      </c>
      <c r="AF1274" s="1052">
        <f t="shared" ref="AF1274:AF1275" si="25">ROUND(AE1274*AD1274*AC1274*AB1274,2)</f>
        <v>10.25</v>
      </c>
    </row>
    <row r="1275" spans="1:32" ht="15.6" customHeight="1" x14ac:dyDescent="0.25">
      <c r="A1275" s="2017"/>
      <c r="B1275" s="2018"/>
      <c r="C1275" s="2018"/>
      <c r="D1275" s="2018"/>
      <c r="E1275" s="2018"/>
      <c r="F1275" s="2018"/>
      <c r="G1275" s="2018"/>
      <c r="H1275" s="2018"/>
      <c r="I1275" s="2018"/>
      <c r="J1275" s="2018"/>
      <c r="K1275" s="2018"/>
      <c r="L1275" s="2018"/>
      <c r="M1275" s="2018"/>
      <c r="N1275" s="2018"/>
      <c r="O1275" s="2018"/>
      <c r="P1275" s="2018"/>
      <c r="Q1275" s="2018"/>
      <c r="R1275" s="2018"/>
      <c r="S1275" s="2018"/>
      <c r="T1275" s="2018"/>
      <c r="U1275" s="2018"/>
      <c r="V1275" s="2018"/>
      <c r="W1275" s="2018"/>
      <c r="X1275" s="2018"/>
      <c r="Y1275" s="2094"/>
      <c r="Z1275" s="2096" t="s">
        <v>2310</v>
      </c>
      <c r="AA1275" s="2097"/>
      <c r="AB1275" s="1050">
        <v>6.17</v>
      </c>
      <c r="AC1275" s="1050">
        <v>3.57</v>
      </c>
      <c r="AD1275" s="1050">
        <v>0.2</v>
      </c>
      <c r="AE1275" s="1051">
        <v>1</v>
      </c>
      <c r="AF1275" s="1052">
        <f t="shared" si="25"/>
        <v>4.41</v>
      </c>
    </row>
    <row r="1276" spans="1:32" ht="15.75" x14ac:dyDescent="0.25">
      <c r="A1276" s="2017"/>
      <c r="B1276" s="2018"/>
      <c r="C1276" s="2018"/>
      <c r="D1276" s="2018"/>
      <c r="E1276" s="2018"/>
      <c r="F1276" s="2018"/>
      <c r="G1276" s="2018"/>
      <c r="H1276" s="2018"/>
      <c r="I1276" s="2018"/>
      <c r="J1276" s="2018"/>
      <c r="K1276" s="2018"/>
      <c r="L1276" s="2018"/>
      <c r="M1276" s="2018"/>
      <c r="N1276" s="2018"/>
      <c r="O1276" s="2018"/>
      <c r="P1276" s="2018"/>
      <c r="Q1276" s="2018"/>
      <c r="R1276" s="2018"/>
      <c r="S1276" s="2018"/>
      <c r="T1276" s="2018"/>
      <c r="U1276" s="2018"/>
      <c r="V1276" s="2018"/>
      <c r="W1276" s="2018"/>
      <c r="X1276" s="2018"/>
      <c r="Y1276" s="2094"/>
      <c r="Z1276" s="2096"/>
      <c r="AA1276" s="2097"/>
      <c r="AB1276" s="1050"/>
      <c r="AC1276" s="1050"/>
      <c r="AD1276" s="1050"/>
      <c r="AE1276" s="1051"/>
      <c r="AF1276" s="1052"/>
    </row>
    <row r="1277" spans="1:32" ht="15.75" x14ac:dyDescent="0.25">
      <c r="A1277" s="2017"/>
      <c r="B1277" s="2018"/>
      <c r="C1277" s="2018"/>
      <c r="D1277" s="2018"/>
      <c r="E1277" s="2018"/>
      <c r="F1277" s="2018"/>
      <c r="G1277" s="2018"/>
      <c r="H1277" s="2018"/>
      <c r="I1277" s="2018"/>
      <c r="J1277" s="2018"/>
      <c r="K1277" s="2018"/>
      <c r="L1277" s="2018"/>
      <c r="M1277" s="2018"/>
      <c r="N1277" s="2018"/>
      <c r="O1277" s="2018"/>
      <c r="P1277" s="2018"/>
      <c r="Q1277" s="2018"/>
      <c r="R1277" s="2018"/>
      <c r="S1277" s="2018"/>
      <c r="T1277" s="2018"/>
      <c r="U1277" s="2018"/>
      <c r="V1277" s="2018"/>
      <c r="W1277" s="2018"/>
      <c r="X1277" s="2018"/>
      <c r="Y1277" s="2094"/>
      <c r="Z1277" s="2096"/>
      <c r="AA1277" s="2097"/>
      <c r="AB1277" s="1053"/>
      <c r="AC1277" s="1053"/>
      <c r="AD1277" s="1050"/>
      <c r="AE1277" s="1051"/>
      <c r="AF1277" s="1052"/>
    </row>
    <row r="1278" spans="1:32" ht="15.75" x14ac:dyDescent="0.25">
      <c r="A1278" s="2017"/>
      <c r="B1278" s="2018"/>
      <c r="C1278" s="2018"/>
      <c r="D1278" s="2018"/>
      <c r="E1278" s="2018"/>
      <c r="F1278" s="2018"/>
      <c r="G1278" s="2018"/>
      <c r="H1278" s="2018"/>
      <c r="I1278" s="2018"/>
      <c r="J1278" s="2018"/>
      <c r="K1278" s="2018"/>
      <c r="L1278" s="2018"/>
      <c r="M1278" s="2018"/>
      <c r="N1278" s="2018"/>
      <c r="O1278" s="2018"/>
      <c r="P1278" s="2018"/>
      <c r="Q1278" s="2018"/>
      <c r="R1278" s="2018"/>
      <c r="S1278" s="2018"/>
      <c r="T1278" s="2018"/>
      <c r="U1278" s="2018"/>
      <c r="V1278" s="2018"/>
      <c r="W1278" s="2018"/>
      <c r="X1278" s="2018"/>
      <c r="Y1278" s="2094"/>
      <c r="Z1278" s="2096"/>
      <c r="AA1278" s="2097"/>
      <c r="AB1278" s="1053"/>
      <c r="AC1278" s="1053"/>
      <c r="AD1278" s="1053"/>
      <c r="AE1278" s="1051"/>
      <c r="AF1278" s="1052"/>
    </row>
    <row r="1279" spans="1:32" ht="15.75" x14ac:dyDescent="0.25">
      <c r="A1279" s="2017"/>
      <c r="B1279" s="2018"/>
      <c r="C1279" s="2018"/>
      <c r="D1279" s="2018"/>
      <c r="E1279" s="2018"/>
      <c r="F1279" s="2018"/>
      <c r="G1279" s="2018"/>
      <c r="H1279" s="2018"/>
      <c r="I1279" s="2018"/>
      <c r="J1279" s="2018"/>
      <c r="K1279" s="2018"/>
      <c r="L1279" s="2018"/>
      <c r="M1279" s="2018"/>
      <c r="N1279" s="2018"/>
      <c r="O1279" s="2018"/>
      <c r="P1279" s="2018"/>
      <c r="Q1279" s="2018"/>
      <c r="R1279" s="2018"/>
      <c r="S1279" s="2018"/>
      <c r="T1279" s="2018"/>
      <c r="U1279" s="2018"/>
      <c r="V1279" s="2018"/>
      <c r="W1279" s="2018"/>
      <c r="X1279" s="2018"/>
      <c r="Y1279" s="2094"/>
      <c r="Z1279" s="2096"/>
      <c r="AA1279" s="2097"/>
      <c r="AB1279" s="1053"/>
      <c r="AC1279" s="1053"/>
      <c r="AD1279" s="1053"/>
      <c r="AE1279" s="1051"/>
      <c r="AF1279" s="1052"/>
    </row>
    <row r="1280" spans="1:32" ht="15.75" x14ac:dyDescent="0.25">
      <c r="A1280" s="2017"/>
      <c r="B1280" s="2018"/>
      <c r="C1280" s="2018"/>
      <c r="D1280" s="2018"/>
      <c r="E1280" s="2018"/>
      <c r="F1280" s="2018"/>
      <c r="G1280" s="2018"/>
      <c r="H1280" s="2018"/>
      <c r="I1280" s="2018"/>
      <c r="J1280" s="2018"/>
      <c r="K1280" s="2018"/>
      <c r="L1280" s="2018"/>
      <c r="M1280" s="2018"/>
      <c r="N1280" s="2018"/>
      <c r="O1280" s="2018"/>
      <c r="P1280" s="2018"/>
      <c r="Q1280" s="2018"/>
      <c r="R1280" s="2018"/>
      <c r="S1280" s="2018"/>
      <c r="T1280" s="2018"/>
      <c r="U1280" s="2018"/>
      <c r="V1280" s="2018"/>
      <c r="W1280" s="2018"/>
      <c r="X1280" s="2018"/>
      <c r="Y1280" s="2094"/>
      <c r="Z1280" s="2096"/>
      <c r="AA1280" s="2097"/>
      <c r="AB1280" s="1053"/>
      <c r="AC1280" s="1053"/>
      <c r="AD1280" s="1053"/>
      <c r="AE1280" s="1051"/>
      <c r="AF1280" s="1052"/>
    </row>
    <row r="1281" spans="1:32" ht="15.75" x14ac:dyDescent="0.25">
      <c r="A1281" s="2017"/>
      <c r="B1281" s="2018"/>
      <c r="C1281" s="2018"/>
      <c r="D1281" s="2018"/>
      <c r="E1281" s="2018"/>
      <c r="F1281" s="2018"/>
      <c r="G1281" s="2018"/>
      <c r="H1281" s="2018"/>
      <c r="I1281" s="2018"/>
      <c r="J1281" s="2018"/>
      <c r="K1281" s="2018"/>
      <c r="L1281" s="2018"/>
      <c r="M1281" s="2018"/>
      <c r="N1281" s="2018"/>
      <c r="O1281" s="2018"/>
      <c r="P1281" s="2018"/>
      <c r="Q1281" s="2018"/>
      <c r="R1281" s="2018"/>
      <c r="S1281" s="2018"/>
      <c r="T1281" s="2018"/>
      <c r="U1281" s="2018"/>
      <c r="V1281" s="2018"/>
      <c r="W1281" s="2018"/>
      <c r="X1281" s="2018"/>
      <c r="Y1281" s="2094"/>
      <c r="Z1281" s="2096"/>
      <c r="AA1281" s="2097"/>
      <c r="AB1281" s="1053"/>
      <c r="AC1281" s="1053"/>
      <c r="AD1281" s="1053"/>
      <c r="AE1281" s="1050"/>
      <c r="AF1281" s="1054"/>
    </row>
    <row r="1282" spans="1:32" ht="15.75" x14ac:dyDescent="0.25">
      <c r="A1282" s="2017"/>
      <c r="B1282" s="2018"/>
      <c r="C1282" s="2018"/>
      <c r="D1282" s="2018"/>
      <c r="E1282" s="2018"/>
      <c r="F1282" s="2018"/>
      <c r="G1282" s="2018"/>
      <c r="H1282" s="2018"/>
      <c r="I1282" s="2018"/>
      <c r="J1282" s="2018"/>
      <c r="K1282" s="2018"/>
      <c r="L1282" s="2018"/>
      <c r="M1282" s="2018"/>
      <c r="N1282" s="2018"/>
      <c r="O1282" s="2018"/>
      <c r="P1282" s="2018"/>
      <c r="Q1282" s="2018"/>
      <c r="R1282" s="2018"/>
      <c r="S1282" s="2018"/>
      <c r="T1282" s="2018"/>
      <c r="U1282" s="2018"/>
      <c r="V1282" s="2018"/>
      <c r="W1282" s="2018"/>
      <c r="X1282" s="2018"/>
      <c r="Y1282" s="2094"/>
      <c r="Z1282" s="2096"/>
      <c r="AA1282" s="2097"/>
      <c r="AB1282" s="1053"/>
      <c r="AC1282" s="1053"/>
      <c r="AD1282" s="1053"/>
      <c r="AE1282" s="1051"/>
      <c r="AF1282" s="1054"/>
    </row>
    <row r="1283" spans="1:32" ht="15.75" x14ac:dyDescent="0.25">
      <c r="A1283" s="2017"/>
      <c r="B1283" s="2018"/>
      <c r="C1283" s="2018"/>
      <c r="D1283" s="2018"/>
      <c r="E1283" s="2018"/>
      <c r="F1283" s="2018"/>
      <c r="G1283" s="2018"/>
      <c r="H1283" s="2018"/>
      <c r="I1283" s="2018"/>
      <c r="J1283" s="2018"/>
      <c r="K1283" s="2018"/>
      <c r="L1283" s="2018"/>
      <c r="M1283" s="2018"/>
      <c r="N1283" s="2018"/>
      <c r="O1283" s="2018"/>
      <c r="P1283" s="2018"/>
      <c r="Q1283" s="2018"/>
      <c r="R1283" s="2018"/>
      <c r="S1283" s="2018"/>
      <c r="T1283" s="2018"/>
      <c r="U1283" s="2018"/>
      <c r="V1283" s="2018"/>
      <c r="W1283" s="2018"/>
      <c r="X1283" s="2018"/>
      <c r="Y1283" s="2094"/>
      <c r="Z1283" s="2096"/>
      <c r="AA1283" s="2097"/>
      <c r="AB1283" s="1053"/>
      <c r="AC1283" s="1053"/>
      <c r="AD1283" s="1053"/>
      <c r="AE1283" s="1051"/>
      <c r="AF1283" s="1054"/>
    </row>
    <row r="1284" spans="1:32" ht="15.75" x14ac:dyDescent="0.25">
      <c r="A1284" s="2017"/>
      <c r="B1284" s="2018"/>
      <c r="C1284" s="2018"/>
      <c r="D1284" s="2018"/>
      <c r="E1284" s="2018"/>
      <c r="F1284" s="2018"/>
      <c r="G1284" s="2018"/>
      <c r="H1284" s="2018"/>
      <c r="I1284" s="2018"/>
      <c r="J1284" s="2018"/>
      <c r="K1284" s="2018"/>
      <c r="L1284" s="2018"/>
      <c r="M1284" s="2018"/>
      <c r="N1284" s="2018"/>
      <c r="O1284" s="2018"/>
      <c r="P1284" s="2018"/>
      <c r="Q1284" s="2018"/>
      <c r="R1284" s="2018"/>
      <c r="S1284" s="2018"/>
      <c r="T1284" s="2018"/>
      <c r="U1284" s="2018"/>
      <c r="V1284" s="2018"/>
      <c r="W1284" s="2018"/>
      <c r="X1284" s="2018"/>
      <c r="Y1284" s="2094"/>
      <c r="Z1284" s="2096"/>
      <c r="AA1284" s="2097"/>
      <c r="AB1284" s="1053"/>
      <c r="AC1284" s="1053"/>
      <c r="AD1284" s="1053"/>
      <c r="AE1284" s="1051"/>
      <c r="AF1284" s="1054"/>
    </row>
    <row r="1285" spans="1:32" ht="15.75" x14ac:dyDescent="0.25">
      <c r="A1285" s="2017"/>
      <c r="B1285" s="2018"/>
      <c r="C1285" s="2018"/>
      <c r="D1285" s="2018"/>
      <c r="E1285" s="2018"/>
      <c r="F1285" s="2018"/>
      <c r="G1285" s="2018"/>
      <c r="H1285" s="2018"/>
      <c r="I1285" s="2018"/>
      <c r="J1285" s="2018"/>
      <c r="K1285" s="2018"/>
      <c r="L1285" s="2018"/>
      <c r="M1285" s="2018"/>
      <c r="N1285" s="2018"/>
      <c r="O1285" s="2018"/>
      <c r="P1285" s="2018"/>
      <c r="Q1285" s="2018"/>
      <c r="R1285" s="2018"/>
      <c r="S1285" s="2018"/>
      <c r="T1285" s="2018"/>
      <c r="U1285" s="2018"/>
      <c r="V1285" s="2018"/>
      <c r="W1285" s="2018"/>
      <c r="X1285" s="2018"/>
      <c r="Y1285" s="2094"/>
      <c r="Z1285" s="2096"/>
      <c r="AA1285" s="2097"/>
      <c r="AB1285" s="1053"/>
      <c r="AC1285" s="1053"/>
      <c r="AD1285" s="1053"/>
      <c r="AE1285" s="1051"/>
      <c r="AF1285" s="1054"/>
    </row>
    <row r="1286" spans="1:32" ht="15.75" x14ac:dyDescent="0.25">
      <c r="A1286" s="2017"/>
      <c r="B1286" s="2018"/>
      <c r="C1286" s="2018"/>
      <c r="D1286" s="2018"/>
      <c r="E1286" s="2018"/>
      <c r="F1286" s="2018"/>
      <c r="G1286" s="2018"/>
      <c r="H1286" s="2018"/>
      <c r="I1286" s="2018"/>
      <c r="J1286" s="2018"/>
      <c r="K1286" s="2018"/>
      <c r="L1286" s="2018"/>
      <c r="M1286" s="2018"/>
      <c r="N1286" s="2018"/>
      <c r="O1286" s="2018"/>
      <c r="P1286" s="2018"/>
      <c r="Q1286" s="2018"/>
      <c r="R1286" s="2018"/>
      <c r="S1286" s="2018"/>
      <c r="T1286" s="2018"/>
      <c r="U1286" s="2018"/>
      <c r="V1286" s="2018"/>
      <c r="W1286" s="2018"/>
      <c r="X1286" s="2018"/>
      <c r="Y1286" s="2094"/>
      <c r="Z1286" s="2096"/>
      <c r="AA1286" s="2097"/>
      <c r="AB1286" s="1053"/>
      <c r="AC1286" s="1053"/>
      <c r="AD1286" s="1053"/>
      <c r="AE1286" s="1051"/>
      <c r="AF1286" s="1054"/>
    </row>
    <row r="1287" spans="1:32" ht="15.75" x14ac:dyDescent="0.25">
      <c r="A1287" s="2017"/>
      <c r="B1287" s="2018"/>
      <c r="C1287" s="2018"/>
      <c r="D1287" s="2018"/>
      <c r="E1287" s="2018"/>
      <c r="F1287" s="2018"/>
      <c r="G1287" s="2018"/>
      <c r="H1287" s="2018"/>
      <c r="I1287" s="2018"/>
      <c r="J1287" s="2018"/>
      <c r="K1287" s="2018"/>
      <c r="L1287" s="2018"/>
      <c r="M1287" s="2018"/>
      <c r="N1287" s="2018"/>
      <c r="O1287" s="2018"/>
      <c r="P1287" s="2018"/>
      <c r="Q1287" s="2018"/>
      <c r="R1287" s="2018"/>
      <c r="S1287" s="2018"/>
      <c r="T1287" s="2018"/>
      <c r="U1287" s="2018"/>
      <c r="V1287" s="2018"/>
      <c r="W1287" s="2018"/>
      <c r="X1287" s="2018"/>
      <c r="Y1287" s="2094"/>
      <c r="Z1287" s="2096"/>
      <c r="AA1287" s="2097"/>
      <c r="AB1287" s="1055"/>
      <c r="AC1287" s="1055"/>
      <c r="AD1287" s="1055"/>
      <c r="AE1287" s="1051"/>
      <c r="AF1287" s="1056"/>
    </row>
    <row r="1288" spans="1:32" ht="15.75" x14ac:dyDescent="0.25">
      <c r="A1288" s="2017"/>
      <c r="B1288" s="2018"/>
      <c r="C1288" s="2018"/>
      <c r="D1288" s="2018"/>
      <c r="E1288" s="2018"/>
      <c r="F1288" s="2018"/>
      <c r="G1288" s="2018"/>
      <c r="H1288" s="2018"/>
      <c r="I1288" s="2018"/>
      <c r="J1288" s="2018"/>
      <c r="K1288" s="2018"/>
      <c r="L1288" s="2018"/>
      <c r="M1288" s="2018"/>
      <c r="N1288" s="2018"/>
      <c r="O1288" s="2018"/>
      <c r="P1288" s="2018"/>
      <c r="Q1288" s="2018"/>
      <c r="R1288" s="2018"/>
      <c r="S1288" s="2018"/>
      <c r="T1288" s="2018"/>
      <c r="U1288" s="2018"/>
      <c r="V1288" s="2018"/>
      <c r="W1288" s="2018"/>
      <c r="X1288" s="2018"/>
      <c r="Y1288" s="2094"/>
      <c r="Z1288" s="2096"/>
      <c r="AA1288" s="2097"/>
      <c r="AB1288" s="1055"/>
      <c r="AC1288" s="1055"/>
      <c r="AD1288" s="1055"/>
      <c r="AE1288" s="1055"/>
      <c r="AF1288" s="1056"/>
    </row>
    <row r="1289" spans="1:32" ht="15.75" x14ac:dyDescent="0.25">
      <c r="A1289" s="2017"/>
      <c r="B1289" s="2018"/>
      <c r="C1289" s="2018"/>
      <c r="D1289" s="2018"/>
      <c r="E1289" s="2018"/>
      <c r="F1289" s="2018"/>
      <c r="G1289" s="2018"/>
      <c r="H1289" s="2018"/>
      <c r="I1289" s="2018"/>
      <c r="J1289" s="2018"/>
      <c r="K1289" s="2018"/>
      <c r="L1289" s="2018"/>
      <c r="M1289" s="2018"/>
      <c r="N1289" s="2018"/>
      <c r="O1289" s="2018"/>
      <c r="P1289" s="2018"/>
      <c r="Q1289" s="2018"/>
      <c r="R1289" s="2018"/>
      <c r="S1289" s="2018"/>
      <c r="T1289" s="2018"/>
      <c r="U1289" s="2018"/>
      <c r="V1289" s="2018"/>
      <c r="W1289" s="2018"/>
      <c r="X1289" s="2018"/>
      <c r="Y1289" s="2094"/>
      <c r="Z1289" s="2096"/>
      <c r="AA1289" s="2097"/>
      <c r="AB1289" s="1055"/>
      <c r="AC1289" s="1055"/>
      <c r="AD1289" s="1055"/>
      <c r="AE1289" s="1055"/>
      <c r="AF1289" s="1056"/>
    </row>
    <row r="1290" spans="1:32" ht="15.75" x14ac:dyDescent="0.25">
      <c r="A1290" s="2017"/>
      <c r="B1290" s="2018"/>
      <c r="C1290" s="2018"/>
      <c r="D1290" s="2018"/>
      <c r="E1290" s="2018"/>
      <c r="F1290" s="2018"/>
      <c r="G1290" s="2018"/>
      <c r="H1290" s="2018"/>
      <c r="I1290" s="2018"/>
      <c r="J1290" s="2018"/>
      <c r="K1290" s="2018"/>
      <c r="L1290" s="2018"/>
      <c r="M1290" s="2018"/>
      <c r="N1290" s="2018"/>
      <c r="O1290" s="2018"/>
      <c r="P1290" s="2018"/>
      <c r="Q1290" s="2018"/>
      <c r="R1290" s="2018"/>
      <c r="S1290" s="2018"/>
      <c r="T1290" s="2018"/>
      <c r="U1290" s="2018"/>
      <c r="V1290" s="2018"/>
      <c r="W1290" s="2018"/>
      <c r="X1290" s="2018"/>
      <c r="Y1290" s="2094"/>
      <c r="Z1290" s="2096"/>
      <c r="AA1290" s="2097"/>
      <c r="AB1290" s="1055"/>
      <c r="AC1290" s="1055"/>
      <c r="AD1290" s="1055"/>
      <c r="AE1290" s="1055"/>
      <c r="AF1290" s="1056"/>
    </row>
    <row r="1291" spans="1:32" ht="15.75" x14ac:dyDescent="0.25">
      <c r="A1291" s="2017"/>
      <c r="B1291" s="2018"/>
      <c r="C1291" s="2018"/>
      <c r="D1291" s="2018"/>
      <c r="E1291" s="2018"/>
      <c r="F1291" s="2018"/>
      <c r="G1291" s="2018"/>
      <c r="H1291" s="2018"/>
      <c r="I1291" s="2018"/>
      <c r="J1291" s="2018"/>
      <c r="K1291" s="2018"/>
      <c r="L1291" s="2018"/>
      <c r="M1291" s="2018"/>
      <c r="N1291" s="2018"/>
      <c r="O1291" s="2018"/>
      <c r="P1291" s="2018"/>
      <c r="Q1291" s="2018"/>
      <c r="R1291" s="2018"/>
      <c r="S1291" s="2018"/>
      <c r="T1291" s="2018"/>
      <c r="U1291" s="2018"/>
      <c r="V1291" s="2018"/>
      <c r="W1291" s="2018"/>
      <c r="X1291" s="2018"/>
      <c r="Y1291" s="2094"/>
      <c r="Z1291" s="2096"/>
      <c r="AA1291" s="2097"/>
      <c r="AB1291" s="1055"/>
      <c r="AC1291" s="1055"/>
      <c r="AD1291" s="1055"/>
      <c r="AE1291" s="1055"/>
      <c r="AF1291" s="1056"/>
    </row>
    <row r="1292" spans="1:32" ht="16.5" thickBot="1" x14ac:dyDescent="0.3">
      <c r="A1292" s="2019"/>
      <c r="B1292" s="2020"/>
      <c r="C1292" s="2020"/>
      <c r="D1292" s="2020"/>
      <c r="E1292" s="2020"/>
      <c r="F1292" s="2020"/>
      <c r="G1292" s="2020"/>
      <c r="H1292" s="2020"/>
      <c r="I1292" s="2020"/>
      <c r="J1292" s="2020"/>
      <c r="K1292" s="2020"/>
      <c r="L1292" s="2020"/>
      <c r="M1292" s="2020"/>
      <c r="N1292" s="2020"/>
      <c r="O1292" s="2020"/>
      <c r="P1292" s="2020"/>
      <c r="Q1292" s="2020"/>
      <c r="R1292" s="2020"/>
      <c r="S1292" s="2020"/>
      <c r="T1292" s="2020"/>
      <c r="U1292" s="2020"/>
      <c r="V1292" s="2020"/>
      <c r="W1292" s="2020"/>
      <c r="X1292" s="2020"/>
      <c r="Y1292" s="2095"/>
      <c r="Z1292" s="2098"/>
      <c r="AA1292" s="2099"/>
      <c r="AB1292" s="1057"/>
      <c r="AC1292" s="1057"/>
      <c r="AD1292" s="1057"/>
      <c r="AE1292" s="1057"/>
      <c r="AF1292" s="1058"/>
    </row>
    <row r="1293" spans="1:32" ht="15.75" x14ac:dyDescent="0.25">
      <c r="A1293" s="2100" t="s">
        <v>2415</v>
      </c>
      <c r="B1293" s="2101"/>
      <c r="C1293" s="2101"/>
      <c r="D1293" s="2101"/>
      <c r="E1293" s="2101"/>
      <c r="F1293" s="2101"/>
      <c r="G1293" s="2101"/>
      <c r="H1293" s="2101"/>
      <c r="I1293" s="2101"/>
      <c r="J1293" s="2101"/>
      <c r="K1293" s="2101"/>
      <c r="L1293" s="2101"/>
      <c r="M1293" s="2101"/>
      <c r="N1293" s="2101"/>
      <c r="O1293" s="2101"/>
      <c r="P1293" s="2101"/>
      <c r="Q1293" s="2101"/>
      <c r="R1293" s="2101"/>
      <c r="S1293" s="2101"/>
      <c r="T1293" s="2101"/>
      <c r="U1293" s="2101"/>
      <c r="V1293" s="2101"/>
      <c r="W1293" s="2101"/>
      <c r="X1293" s="2101"/>
      <c r="Y1293" s="2101"/>
      <c r="Z1293" s="2013" t="s">
        <v>1850</v>
      </c>
      <c r="AA1293" s="2013"/>
      <c r="AB1293" s="2013"/>
      <c r="AC1293" s="2013"/>
      <c r="AD1293" s="2013"/>
      <c r="AE1293" s="2013"/>
      <c r="AF1293" s="1059">
        <f>SUM(AF1273:AF1292)</f>
        <v>26.540000000000003</v>
      </c>
    </row>
    <row r="1294" spans="1:32" ht="15.75" x14ac:dyDescent="0.25">
      <c r="A1294" s="2102"/>
      <c r="B1294" s="2103"/>
      <c r="C1294" s="2103"/>
      <c r="D1294" s="2103"/>
      <c r="E1294" s="2103"/>
      <c r="F1294" s="2103"/>
      <c r="G1294" s="2103"/>
      <c r="H1294" s="2103"/>
      <c r="I1294" s="2103"/>
      <c r="J1294" s="2103"/>
      <c r="K1294" s="2103"/>
      <c r="L1294" s="2103"/>
      <c r="M1294" s="2103"/>
      <c r="N1294" s="2103"/>
      <c r="O1294" s="2103"/>
      <c r="P1294" s="2103"/>
      <c r="Q1294" s="2103"/>
      <c r="R1294" s="2103"/>
      <c r="S1294" s="2103"/>
      <c r="T1294" s="2103"/>
      <c r="U1294" s="2103"/>
      <c r="V1294" s="2103"/>
      <c r="W1294" s="2103"/>
      <c r="X1294" s="2103"/>
      <c r="Y1294" s="2103"/>
      <c r="Z1294" s="2014" t="s">
        <v>1851</v>
      </c>
      <c r="AA1294" s="2014"/>
      <c r="AB1294" s="2014"/>
      <c r="AC1294" s="2014"/>
      <c r="AD1294" s="2014"/>
      <c r="AE1294" s="2014"/>
      <c r="AF1294" s="1060">
        <v>0</v>
      </c>
    </row>
    <row r="1295" spans="1:32" ht="15.75" x14ac:dyDescent="0.25">
      <c r="A1295" s="2102"/>
      <c r="B1295" s="2103"/>
      <c r="C1295" s="2103"/>
      <c r="D1295" s="2103"/>
      <c r="E1295" s="2103"/>
      <c r="F1295" s="2103"/>
      <c r="G1295" s="2103"/>
      <c r="H1295" s="2103"/>
      <c r="I1295" s="2103"/>
      <c r="J1295" s="2103"/>
      <c r="K1295" s="2103"/>
      <c r="L1295" s="2103"/>
      <c r="M1295" s="2103"/>
      <c r="N1295" s="2103"/>
      <c r="O1295" s="2103"/>
      <c r="P1295" s="2103"/>
      <c r="Q1295" s="2103"/>
      <c r="R1295" s="2103"/>
      <c r="S1295" s="2103"/>
      <c r="T1295" s="2103"/>
      <c r="U1295" s="2103"/>
      <c r="V1295" s="2103"/>
      <c r="W1295" s="2103"/>
      <c r="X1295" s="2103"/>
      <c r="Y1295" s="2103"/>
      <c r="Z1295" s="2015" t="s">
        <v>1833</v>
      </c>
      <c r="AA1295" s="2015"/>
      <c r="AB1295" s="2015"/>
      <c r="AC1295" s="2015"/>
      <c r="AD1295" s="2015"/>
      <c r="AE1295" s="2015"/>
      <c r="AF1295" s="1061">
        <f>SUM(AF1293:AF1294)</f>
        <v>26.540000000000003</v>
      </c>
    </row>
    <row r="1296" spans="1:32" x14ac:dyDescent="0.2">
      <c r="A1296" s="2012" t="s">
        <v>1859</v>
      </c>
      <c r="B1296" s="2012"/>
      <c r="C1296" s="2012"/>
      <c r="D1296" s="2012"/>
      <c r="E1296" s="2012"/>
      <c r="F1296" s="2012"/>
      <c r="G1296" s="2012"/>
      <c r="H1296" s="2012"/>
      <c r="I1296" s="2012"/>
      <c r="J1296" s="2012"/>
      <c r="K1296" s="2012"/>
      <c r="L1296" s="2012"/>
      <c r="M1296" s="2012"/>
      <c r="N1296" s="2012"/>
      <c r="O1296" s="2012"/>
      <c r="P1296" s="2012"/>
      <c r="Q1296" s="2012"/>
      <c r="R1296" s="2012"/>
      <c r="S1296" s="2012"/>
      <c r="T1296" s="2016" t="s">
        <v>1840</v>
      </c>
      <c r="U1296" s="2016"/>
      <c r="V1296" s="2016"/>
      <c r="W1296" s="2016"/>
      <c r="X1296" s="2016"/>
      <c r="Y1296" s="2016"/>
      <c r="Z1296" s="2016"/>
      <c r="AA1296" s="2016"/>
      <c r="AB1296" s="2012" t="s">
        <v>1852</v>
      </c>
      <c r="AC1296" s="2012"/>
      <c r="AD1296" s="2012"/>
      <c r="AE1296" s="2012"/>
      <c r="AF1296" s="2012"/>
    </row>
    <row r="1297" spans="1:34" x14ac:dyDescent="0.2">
      <c r="A1297" s="2012"/>
      <c r="B1297" s="2012"/>
      <c r="C1297" s="2012"/>
      <c r="D1297" s="2012"/>
      <c r="E1297" s="2012"/>
      <c r="F1297" s="2012"/>
      <c r="G1297" s="2012"/>
      <c r="H1297" s="2012"/>
      <c r="I1297" s="2012"/>
      <c r="J1297" s="2012"/>
      <c r="K1297" s="2012"/>
      <c r="L1297" s="2012"/>
      <c r="M1297" s="2012"/>
      <c r="N1297" s="2012"/>
      <c r="O1297" s="2012"/>
      <c r="P1297" s="2012"/>
      <c r="Q1297" s="2012"/>
      <c r="R1297" s="2012"/>
      <c r="S1297" s="2012"/>
      <c r="T1297" s="2016"/>
      <c r="U1297" s="2016"/>
      <c r="V1297" s="2016"/>
      <c r="W1297" s="2016"/>
      <c r="X1297" s="2016"/>
      <c r="Y1297" s="2016"/>
      <c r="Z1297" s="2016"/>
      <c r="AA1297" s="2016"/>
      <c r="AB1297" s="2012"/>
      <c r="AC1297" s="2012"/>
      <c r="AD1297" s="2012"/>
      <c r="AE1297" s="2012"/>
      <c r="AF1297" s="2012"/>
    </row>
    <row r="1298" spans="1:34" ht="13.5" thickBot="1" x14ac:dyDescent="0.25"/>
    <row r="1299" spans="1:34" ht="22.9" customHeight="1" x14ac:dyDescent="0.2">
      <c r="A1299" s="2025" t="s">
        <v>1854</v>
      </c>
      <c r="B1299" s="2026"/>
      <c r="C1299" s="2026"/>
      <c r="D1299" s="2026"/>
      <c r="E1299" s="2026"/>
      <c r="F1299" s="2026"/>
      <c r="G1299" s="2026"/>
      <c r="H1299" s="2026"/>
      <c r="I1299" s="2026"/>
      <c r="J1299" s="2026"/>
      <c r="K1299" s="2026"/>
      <c r="L1299" s="2026"/>
      <c r="M1299" s="2026"/>
      <c r="N1299" s="2026"/>
      <c r="O1299" s="2026"/>
      <c r="P1299" s="2026"/>
      <c r="Q1299" s="2026"/>
      <c r="R1299" s="2026"/>
      <c r="S1299" s="2026"/>
      <c r="T1299" s="2026"/>
      <c r="U1299" s="2026"/>
      <c r="V1299" s="2026"/>
      <c r="W1299" s="2026"/>
      <c r="X1299" s="2026"/>
      <c r="Y1299" s="2026"/>
      <c r="Z1299" s="2026"/>
      <c r="AA1299" s="2026"/>
      <c r="AB1299" s="2026"/>
      <c r="AC1299" s="2026"/>
      <c r="AD1299" s="2026"/>
      <c r="AE1299" s="1041" t="s">
        <v>1834</v>
      </c>
      <c r="AF1299" s="1042" t="s">
        <v>1835</v>
      </c>
    </row>
    <row r="1300" spans="1:34" ht="25.15" customHeight="1" thickBot="1" x14ac:dyDescent="0.25">
      <c r="A1300" s="2027"/>
      <c r="B1300" s="2028"/>
      <c r="C1300" s="2028"/>
      <c r="D1300" s="2028"/>
      <c r="E1300" s="2028"/>
      <c r="F1300" s="2028"/>
      <c r="G1300" s="2028"/>
      <c r="H1300" s="2028"/>
      <c r="I1300" s="2028"/>
      <c r="J1300" s="2028"/>
      <c r="K1300" s="2028"/>
      <c r="L1300" s="2028"/>
      <c r="M1300" s="2028"/>
      <c r="N1300" s="2028"/>
      <c r="O1300" s="2028"/>
      <c r="P1300" s="2028"/>
      <c r="Q1300" s="2028"/>
      <c r="R1300" s="2028"/>
      <c r="S1300" s="2028"/>
      <c r="T1300" s="2028"/>
      <c r="U1300" s="2028"/>
      <c r="V1300" s="2028"/>
      <c r="W1300" s="2028"/>
      <c r="X1300" s="2028"/>
      <c r="Y1300" s="2028"/>
      <c r="Z1300" s="2028"/>
      <c r="AA1300" s="2028"/>
      <c r="AB1300" s="2028"/>
      <c r="AC1300" s="2028"/>
      <c r="AD1300" s="2028"/>
      <c r="AE1300" s="1041" t="s">
        <v>1836</v>
      </c>
      <c r="AF1300" s="1044">
        <v>1</v>
      </c>
    </row>
    <row r="1301" spans="1:34" ht="15.75" x14ac:dyDescent="0.2">
      <c r="A1301" s="2029"/>
      <c r="B1301" s="2030"/>
      <c r="C1301" s="2030"/>
      <c r="D1301" s="2031"/>
      <c r="E1301" s="2025" t="str">
        <f>'01'!$A$12</f>
        <v>"CONSTRUCCION SISTEMA DE ACUEDUCTO FASE II DEL MUNICIPIO DE TESALIA DPTO DEL HUILA"</v>
      </c>
      <c r="F1301" s="2026"/>
      <c r="G1301" s="2026"/>
      <c r="H1301" s="2026"/>
      <c r="I1301" s="2026"/>
      <c r="J1301" s="2026"/>
      <c r="K1301" s="2026"/>
      <c r="L1301" s="2026"/>
      <c r="M1301" s="2026"/>
      <c r="N1301" s="2026"/>
      <c r="O1301" s="2026"/>
      <c r="P1301" s="2026"/>
      <c r="Q1301" s="2026"/>
      <c r="R1301" s="2026"/>
      <c r="S1301" s="2026"/>
      <c r="T1301" s="2026"/>
      <c r="U1301" s="2026"/>
      <c r="V1301" s="2026"/>
      <c r="W1301" s="2026"/>
      <c r="X1301" s="2026"/>
      <c r="Y1301" s="2026"/>
      <c r="Z1301" s="2026"/>
      <c r="AA1301" s="2026"/>
      <c r="AB1301" s="2026"/>
      <c r="AC1301" s="2026"/>
      <c r="AD1301" s="2035"/>
      <c r="AE1301" s="1041" t="s">
        <v>847</v>
      </c>
      <c r="AF1301" s="1045">
        <f>'01'!$M$13</f>
        <v>0</v>
      </c>
    </row>
    <row r="1302" spans="1:34" ht="16.5" thickBot="1" x14ac:dyDescent="0.25">
      <c r="A1302" s="2032"/>
      <c r="B1302" s="2033"/>
      <c r="C1302" s="2033"/>
      <c r="D1302" s="2034"/>
      <c r="E1302" s="2027"/>
      <c r="F1302" s="2028"/>
      <c r="G1302" s="2028"/>
      <c r="H1302" s="2028"/>
      <c r="I1302" s="2028"/>
      <c r="J1302" s="2028"/>
      <c r="K1302" s="2028"/>
      <c r="L1302" s="2028"/>
      <c r="M1302" s="2028"/>
      <c r="N1302" s="2028"/>
      <c r="O1302" s="2028"/>
      <c r="P1302" s="2028"/>
      <c r="Q1302" s="2028"/>
      <c r="R1302" s="2028"/>
      <c r="S1302" s="2028"/>
      <c r="T1302" s="2028"/>
      <c r="U1302" s="2028"/>
      <c r="V1302" s="2028"/>
      <c r="W1302" s="2028"/>
      <c r="X1302" s="2028"/>
      <c r="Y1302" s="2028"/>
      <c r="Z1302" s="2028"/>
      <c r="AA1302" s="2028"/>
      <c r="AB1302" s="2028"/>
      <c r="AC1302" s="2028"/>
      <c r="AD1302" s="2036"/>
      <c r="AE1302" s="1041" t="s">
        <v>1837</v>
      </c>
      <c r="AF1302" s="1042" t="s">
        <v>1838</v>
      </c>
    </row>
    <row r="1303" spans="1:34" ht="15.75" x14ac:dyDescent="0.25">
      <c r="A1303" s="2037" t="s">
        <v>1860</v>
      </c>
      <c r="B1303" s="2038"/>
      <c r="C1303" s="2038"/>
      <c r="D1303" s="2038"/>
      <c r="E1303" s="2038"/>
      <c r="F1303" s="2038"/>
      <c r="G1303" s="2038"/>
      <c r="H1303" s="2038"/>
      <c r="I1303" s="2038"/>
      <c r="J1303" s="2038"/>
      <c r="K1303" s="2038"/>
      <c r="L1303" s="2038"/>
      <c r="M1303" s="2038"/>
      <c r="N1303" s="2038"/>
      <c r="O1303" s="2038"/>
      <c r="P1303" s="2038"/>
      <c r="Q1303" s="2038"/>
      <c r="R1303" s="2038"/>
      <c r="S1303" s="2038"/>
      <c r="T1303" s="2038"/>
      <c r="U1303" s="2038"/>
      <c r="V1303" s="2038"/>
      <c r="W1303" s="2038"/>
      <c r="X1303" s="2038"/>
      <c r="Y1303" s="2038"/>
      <c r="Z1303" s="2038"/>
      <c r="AA1303" s="2038"/>
      <c r="AB1303" s="2038"/>
      <c r="AC1303" s="2038"/>
      <c r="AD1303" s="2038"/>
      <c r="AE1303" s="2039" t="s">
        <v>1839</v>
      </c>
      <c r="AF1303" s="2040"/>
    </row>
    <row r="1304" spans="1:34" ht="15.75" x14ac:dyDescent="0.25">
      <c r="A1304" s="2041" t="s">
        <v>1840</v>
      </c>
      <c r="B1304" s="2042"/>
      <c r="C1304" s="2042"/>
      <c r="D1304" s="2042"/>
      <c r="E1304" s="2042"/>
      <c r="F1304" s="2042"/>
      <c r="G1304" s="2042"/>
      <c r="H1304" s="2042"/>
      <c r="I1304" s="2042"/>
      <c r="J1304" s="2042"/>
      <c r="K1304" s="2042"/>
      <c r="L1304" s="2042"/>
      <c r="M1304" s="2042"/>
      <c r="N1304" s="2042"/>
      <c r="O1304" s="2042"/>
      <c r="P1304" s="2042"/>
      <c r="Q1304" s="2042"/>
      <c r="R1304" s="2042"/>
      <c r="S1304" s="2042"/>
      <c r="T1304" s="2042"/>
      <c r="U1304" s="2042"/>
      <c r="V1304" s="2042"/>
      <c r="W1304" s="2042"/>
      <c r="X1304" s="2042"/>
      <c r="Y1304" s="2042"/>
      <c r="Z1304" s="2042"/>
      <c r="AA1304" s="2042"/>
      <c r="AB1304" s="2042"/>
      <c r="AC1304" s="2042"/>
      <c r="AD1304" s="2043"/>
      <c r="AE1304" s="2014" t="s">
        <v>1841</v>
      </c>
      <c r="AF1304" s="2044"/>
    </row>
    <row r="1305" spans="1:34" ht="15.75" x14ac:dyDescent="0.25">
      <c r="A1305" s="2045" t="s">
        <v>1853</v>
      </c>
      <c r="B1305" s="2046"/>
      <c r="C1305" s="2046"/>
      <c r="D1305" s="2046"/>
      <c r="E1305" s="2046"/>
      <c r="F1305" s="2046"/>
      <c r="G1305" s="2046"/>
      <c r="H1305" s="2046"/>
      <c r="I1305" s="2046"/>
      <c r="J1305" s="2046"/>
      <c r="K1305" s="2046"/>
      <c r="L1305" s="2046"/>
      <c r="M1305" s="2046"/>
      <c r="N1305" s="2046"/>
      <c r="O1305" s="2046"/>
      <c r="P1305" s="2046"/>
      <c r="Q1305" s="2046"/>
      <c r="R1305" s="2046"/>
      <c r="S1305" s="2046"/>
      <c r="T1305" s="2046"/>
      <c r="U1305" s="2046"/>
      <c r="V1305" s="2046"/>
      <c r="W1305" s="2046"/>
      <c r="X1305" s="2046"/>
      <c r="Y1305" s="2046"/>
      <c r="Z1305" s="2046"/>
      <c r="AA1305" s="2046"/>
      <c r="AB1305" s="2046"/>
      <c r="AC1305" s="2046"/>
      <c r="AD1305" s="2046"/>
      <c r="AE1305" s="2047">
        <f>'01'!$M$13</f>
        <v>0</v>
      </c>
      <c r="AF1305" s="2044"/>
    </row>
    <row r="1307" spans="1:34" ht="30" customHeight="1" x14ac:dyDescent="0.2">
      <c r="A1307" s="2048" t="s">
        <v>1842</v>
      </c>
      <c r="B1307" s="2049"/>
      <c r="C1307" s="2049"/>
      <c r="D1307" s="2049"/>
      <c r="E1307" s="2049"/>
      <c r="F1307" s="2050" t="str">
        <f>'01'!$H$63</f>
        <v>C - FLOCULADOR, SEDIMENTADOR, CANAL DE AGUA SEDIMENTADA Y CANAL DE LAVADO</v>
      </c>
      <c r="G1307" s="2049"/>
      <c r="H1307" s="2049"/>
      <c r="I1307" s="2049"/>
      <c r="J1307" s="2049"/>
      <c r="K1307" s="2049"/>
      <c r="L1307" s="2049"/>
      <c r="M1307" s="2049"/>
      <c r="N1307" s="2049"/>
      <c r="O1307" s="2049"/>
      <c r="P1307" s="2049"/>
      <c r="Q1307" s="2049"/>
      <c r="R1307" s="2049"/>
      <c r="S1307" s="2049"/>
      <c r="T1307" s="2049"/>
      <c r="U1307" s="2049"/>
      <c r="V1307" s="2049"/>
      <c r="W1307" s="2049"/>
      <c r="X1307" s="2049"/>
      <c r="Y1307" s="2051"/>
      <c r="Z1307" s="2052" t="s">
        <v>1843</v>
      </c>
      <c r="AA1307" s="2053"/>
      <c r="AB1307" s="2058" t="s">
        <v>1844</v>
      </c>
      <c r="AC1307" s="2059"/>
      <c r="AD1307" s="2060"/>
      <c r="AE1307" s="2064" t="s">
        <v>1845</v>
      </c>
      <c r="AF1307" s="2067" t="s">
        <v>1846</v>
      </c>
    </row>
    <row r="1308" spans="1:34" x14ac:dyDescent="0.2">
      <c r="A1308" s="2070" t="str">
        <f>+'01'!A72</f>
        <v>C-03-03</v>
      </c>
      <c r="B1308" s="2071"/>
      <c r="C1308" s="2072"/>
      <c r="D1308" s="2076" t="str">
        <f>VLOOKUP(A1308,'01'!$A$12:$N$299,3,FALSE)</f>
        <v>RELLENO CON MATERIAL SELECCIONADO DE LA EXCAVACIÓN, COMPACTADO CON EQUIPO MECÁNICO EN CAPAS DE 0,20 m</v>
      </c>
      <c r="E1308" s="2077"/>
      <c r="F1308" s="2077"/>
      <c r="G1308" s="2077"/>
      <c r="H1308" s="2077"/>
      <c r="I1308" s="2077"/>
      <c r="J1308" s="2077"/>
      <c r="K1308" s="2077"/>
      <c r="L1308" s="2077"/>
      <c r="M1308" s="2077"/>
      <c r="N1308" s="2077"/>
      <c r="O1308" s="2077"/>
      <c r="P1308" s="2077"/>
      <c r="Q1308" s="2077"/>
      <c r="R1308" s="2077"/>
      <c r="S1308" s="2078"/>
      <c r="T1308" s="2082" t="s">
        <v>124</v>
      </c>
      <c r="U1308" s="2083"/>
      <c r="V1308" s="2083"/>
      <c r="W1308" s="2083"/>
      <c r="X1308" s="2052" t="str">
        <f>VLOOKUP(A1308,'01'!$A$12:$N$299,9,FALSE)</f>
        <v>M3</v>
      </c>
      <c r="Y1308" s="2053"/>
      <c r="Z1308" s="2054"/>
      <c r="AA1308" s="2055"/>
      <c r="AB1308" s="2061"/>
      <c r="AC1308" s="2062"/>
      <c r="AD1308" s="2063"/>
      <c r="AE1308" s="2065"/>
      <c r="AF1308" s="2068"/>
    </row>
    <row r="1309" spans="1:34" ht="15.75" x14ac:dyDescent="0.25">
      <c r="A1309" s="2073"/>
      <c r="B1309" s="2074"/>
      <c r="C1309" s="2075"/>
      <c r="D1309" s="2079"/>
      <c r="E1309" s="2080"/>
      <c r="F1309" s="2080"/>
      <c r="G1309" s="2080"/>
      <c r="H1309" s="2080"/>
      <c r="I1309" s="2080"/>
      <c r="J1309" s="2080"/>
      <c r="K1309" s="2080"/>
      <c r="L1309" s="2080"/>
      <c r="M1309" s="2080"/>
      <c r="N1309" s="2080"/>
      <c r="O1309" s="2080"/>
      <c r="P1309" s="2080"/>
      <c r="Q1309" s="2080"/>
      <c r="R1309" s="2080"/>
      <c r="S1309" s="2081"/>
      <c r="T1309" s="2084"/>
      <c r="U1309" s="2085"/>
      <c r="V1309" s="2085"/>
      <c r="W1309" s="2085"/>
      <c r="X1309" s="2056"/>
      <c r="Y1309" s="2057"/>
      <c r="Z1309" s="2056"/>
      <c r="AA1309" s="2057"/>
      <c r="AB1309" s="1049" t="s">
        <v>2417</v>
      </c>
      <c r="AC1309" s="1049" t="s">
        <v>2418</v>
      </c>
      <c r="AD1309" s="1049" t="s">
        <v>2419</v>
      </c>
      <c r="AE1309" s="2066"/>
      <c r="AF1309" s="2069"/>
    </row>
    <row r="1310" spans="1:34" ht="15.75" x14ac:dyDescent="0.25">
      <c r="A1310" s="2017"/>
      <c r="B1310" s="2018"/>
      <c r="C1310" s="2018"/>
      <c r="D1310" s="2018"/>
      <c r="E1310" s="2018"/>
      <c r="F1310" s="2018"/>
      <c r="G1310" s="2018"/>
      <c r="H1310" s="2018"/>
      <c r="I1310" s="2018"/>
      <c r="J1310" s="2018"/>
      <c r="K1310" s="2018"/>
      <c r="L1310" s="2018"/>
      <c r="M1310" s="2018"/>
      <c r="N1310" s="2018"/>
      <c r="O1310" s="2018"/>
      <c r="P1310" s="2018"/>
      <c r="Q1310" s="2018"/>
      <c r="R1310" s="2018"/>
      <c r="S1310" s="2018"/>
      <c r="T1310" s="2018"/>
      <c r="U1310" s="2018"/>
      <c r="V1310" s="2018"/>
      <c r="W1310" s="2018"/>
      <c r="X1310" s="2018"/>
      <c r="Y1310" s="2094"/>
      <c r="Z1310" s="2096" t="s">
        <v>2308</v>
      </c>
      <c r="AA1310" s="2097"/>
      <c r="AB1310" s="1050">
        <f>+AF1199</f>
        <v>139.15</v>
      </c>
      <c r="AC1310" s="1050">
        <f>+AF1273+AF1423</f>
        <v>14.850000000000001</v>
      </c>
      <c r="AD1310" s="1050">
        <f>+AB1273*AC1273*2.1</f>
        <v>124.7505</v>
      </c>
      <c r="AE1310" s="1051">
        <v>1</v>
      </c>
      <c r="AF1310" s="1052">
        <f>+ROUND(AB1310-AC1310-AD1310,2)</f>
        <v>-0.45</v>
      </c>
      <c r="AH1310" s="1174"/>
    </row>
    <row r="1311" spans="1:34" ht="15.75" x14ac:dyDescent="0.25">
      <c r="A1311" s="2017"/>
      <c r="B1311" s="2018"/>
      <c r="C1311" s="2018"/>
      <c r="D1311" s="2018"/>
      <c r="E1311" s="2018"/>
      <c r="F1311" s="2018"/>
      <c r="G1311" s="2018"/>
      <c r="H1311" s="2018"/>
      <c r="I1311" s="2018"/>
      <c r="J1311" s="2018"/>
      <c r="K1311" s="2018"/>
      <c r="L1311" s="2018"/>
      <c r="M1311" s="2018"/>
      <c r="N1311" s="2018"/>
      <c r="O1311" s="2018"/>
      <c r="P1311" s="2018"/>
      <c r="Q1311" s="2018"/>
      <c r="R1311" s="2018"/>
      <c r="S1311" s="2018"/>
      <c r="T1311" s="2018"/>
      <c r="U1311" s="2018"/>
      <c r="V1311" s="2018"/>
      <c r="W1311" s="2018"/>
      <c r="X1311" s="2018"/>
      <c r="Y1311" s="2094"/>
      <c r="Z1311" s="2096" t="s">
        <v>2309</v>
      </c>
      <c r="AA1311" s="2097"/>
      <c r="AB1311" s="1050">
        <f>+AF1200+AF1201</f>
        <v>276.19</v>
      </c>
      <c r="AC1311" s="1050">
        <f>+AF1274+AF1424</f>
        <v>12.81</v>
      </c>
      <c r="AD1311" s="1050">
        <f>+AB1274*AC1274*4.7</f>
        <v>240.91823999999997</v>
      </c>
      <c r="AE1311" s="1051">
        <v>1</v>
      </c>
      <c r="AF1311" s="1052">
        <f t="shared" ref="AF1311:AF1313" si="26">+ROUND(AB1311-AC1311-AD1311,2)</f>
        <v>22.46</v>
      </c>
    </row>
    <row r="1312" spans="1:34" ht="15.6" customHeight="1" x14ac:dyDescent="0.25">
      <c r="A1312" s="2017"/>
      <c r="B1312" s="2018"/>
      <c r="C1312" s="2018"/>
      <c r="D1312" s="2018"/>
      <c r="E1312" s="2018"/>
      <c r="F1312" s="2018"/>
      <c r="G1312" s="2018"/>
      <c r="H1312" s="2018"/>
      <c r="I1312" s="2018"/>
      <c r="J1312" s="2018"/>
      <c r="K1312" s="2018"/>
      <c r="L1312" s="2018"/>
      <c r="M1312" s="2018"/>
      <c r="N1312" s="2018"/>
      <c r="O1312" s="2018"/>
      <c r="P1312" s="2018"/>
      <c r="Q1312" s="2018"/>
      <c r="R1312" s="2018"/>
      <c r="S1312" s="2018"/>
      <c r="T1312" s="2018"/>
      <c r="U1312" s="2018"/>
      <c r="V1312" s="2018"/>
      <c r="W1312" s="2018"/>
      <c r="X1312" s="2018"/>
      <c r="Y1312" s="2094"/>
      <c r="Z1312" s="2096" t="s">
        <v>2310</v>
      </c>
      <c r="AA1312" s="2097"/>
      <c r="AB1312" s="1050">
        <f>+AF1202</f>
        <v>153.66</v>
      </c>
      <c r="AC1312" s="1050">
        <f>+AF1275+AF1425</f>
        <v>5.51</v>
      </c>
      <c r="AD1312" s="1050">
        <f>+AB1275*AC1275*3.7</f>
        <v>81.499529999999993</v>
      </c>
      <c r="AE1312" s="1051">
        <v>1</v>
      </c>
      <c r="AF1312" s="1052">
        <f t="shared" si="26"/>
        <v>66.650000000000006</v>
      </c>
    </row>
    <row r="1313" spans="1:32" ht="15.75" x14ac:dyDescent="0.25">
      <c r="A1313" s="2017"/>
      <c r="B1313" s="2018"/>
      <c r="C1313" s="2018"/>
      <c r="D1313" s="2018"/>
      <c r="E1313" s="2018"/>
      <c r="F1313" s="2018"/>
      <c r="G1313" s="2018"/>
      <c r="H1313" s="2018"/>
      <c r="I1313" s="2018"/>
      <c r="J1313" s="2018"/>
      <c r="K1313" s="2018"/>
      <c r="L1313" s="2018"/>
      <c r="M1313" s="2018"/>
      <c r="N1313" s="2018"/>
      <c r="O1313" s="2018"/>
      <c r="P1313" s="2018"/>
      <c r="Q1313" s="2018"/>
      <c r="R1313" s="2018"/>
      <c r="S1313" s="2018"/>
      <c r="T1313" s="2018"/>
      <c r="U1313" s="2018"/>
      <c r="V1313" s="2018"/>
      <c r="W1313" s="2018"/>
      <c r="X1313" s="2018"/>
      <c r="Y1313" s="2094"/>
      <c r="Z1313" s="2096" t="s">
        <v>2450</v>
      </c>
      <c r="AA1313" s="2097"/>
      <c r="AB1313" s="1050">
        <f>+AF1203+AF1204+AF1205</f>
        <v>182</v>
      </c>
      <c r="AC1313" s="1050">
        <f>+AF1258</f>
        <v>16.689999999999998</v>
      </c>
      <c r="AD1313" s="1050">
        <f>+AE1236+AE1237+AE1238</f>
        <v>0.91</v>
      </c>
      <c r="AE1313" s="1051">
        <v>1</v>
      </c>
      <c r="AF1313" s="1052">
        <f t="shared" si="26"/>
        <v>164.4</v>
      </c>
    </row>
    <row r="1314" spans="1:32" ht="15.75" x14ac:dyDescent="0.25">
      <c r="A1314" s="2017"/>
      <c r="B1314" s="2018"/>
      <c r="C1314" s="2018"/>
      <c r="D1314" s="2018"/>
      <c r="E1314" s="2018"/>
      <c r="F1314" s="2018"/>
      <c r="G1314" s="2018"/>
      <c r="H1314" s="2018"/>
      <c r="I1314" s="2018"/>
      <c r="J1314" s="2018"/>
      <c r="K1314" s="2018"/>
      <c r="L1314" s="2018"/>
      <c r="M1314" s="2018"/>
      <c r="N1314" s="2018"/>
      <c r="O1314" s="2018"/>
      <c r="P1314" s="2018"/>
      <c r="Q1314" s="2018"/>
      <c r="R1314" s="2018"/>
      <c r="S1314" s="2018"/>
      <c r="T1314" s="2018"/>
      <c r="U1314" s="2018"/>
      <c r="V1314" s="2018"/>
      <c r="W1314" s="2018"/>
      <c r="X1314" s="2018"/>
      <c r="Y1314" s="2094"/>
      <c r="Z1314" s="2096"/>
      <c r="AA1314" s="2097"/>
      <c r="AB1314" s="1053"/>
      <c r="AC1314" s="1053"/>
      <c r="AD1314" s="1050"/>
      <c r="AE1314" s="1051"/>
      <c r="AF1314" s="1052"/>
    </row>
    <row r="1315" spans="1:32" ht="15.75" x14ac:dyDescent="0.25">
      <c r="A1315" s="2017"/>
      <c r="B1315" s="2018"/>
      <c r="C1315" s="2018"/>
      <c r="D1315" s="2018"/>
      <c r="E1315" s="2018"/>
      <c r="F1315" s="2018"/>
      <c r="G1315" s="2018"/>
      <c r="H1315" s="2018"/>
      <c r="I1315" s="2018"/>
      <c r="J1315" s="2018"/>
      <c r="K1315" s="2018"/>
      <c r="L1315" s="2018"/>
      <c r="M1315" s="2018"/>
      <c r="N1315" s="2018"/>
      <c r="O1315" s="2018"/>
      <c r="P1315" s="2018"/>
      <c r="Q1315" s="2018"/>
      <c r="R1315" s="2018"/>
      <c r="S1315" s="2018"/>
      <c r="T1315" s="2018"/>
      <c r="U1315" s="2018"/>
      <c r="V1315" s="2018"/>
      <c r="W1315" s="2018"/>
      <c r="X1315" s="2018"/>
      <c r="Y1315" s="2094"/>
      <c r="Z1315" s="2096"/>
      <c r="AA1315" s="2097"/>
      <c r="AB1315" s="1053"/>
      <c r="AC1315" s="1053"/>
      <c r="AD1315" s="1053"/>
      <c r="AE1315" s="1051"/>
      <c r="AF1315" s="1052"/>
    </row>
    <row r="1316" spans="1:32" ht="15.75" x14ac:dyDescent="0.25">
      <c r="A1316" s="2017"/>
      <c r="B1316" s="2018"/>
      <c r="C1316" s="2018"/>
      <c r="D1316" s="2018"/>
      <c r="E1316" s="2018"/>
      <c r="F1316" s="2018"/>
      <c r="G1316" s="2018"/>
      <c r="H1316" s="2018"/>
      <c r="I1316" s="2018"/>
      <c r="J1316" s="2018"/>
      <c r="K1316" s="2018"/>
      <c r="L1316" s="2018"/>
      <c r="M1316" s="2018"/>
      <c r="N1316" s="2018"/>
      <c r="O1316" s="2018"/>
      <c r="P1316" s="2018"/>
      <c r="Q1316" s="2018"/>
      <c r="R1316" s="2018"/>
      <c r="S1316" s="2018"/>
      <c r="T1316" s="2018"/>
      <c r="U1316" s="2018"/>
      <c r="V1316" s="2018"/>
      <c r="W1316" s="2018"/>
      <c r="X1316" s="2018"/>
      <c r="Y1316" s="2094"/>
      <c r="Z1316" s="2096"/>
      <c r="AA1316" s="2097"/>
      <c r="AB1316" s="1053"/>
      <c r="AC1316" s="1053"/>
      <c r="AD1316" s="1053"/>
      <c r="AE1316" s="1051"/>
      <c r="AF1316" s="1052"/>
    </row>
    <row r="1317" spans="1:32" ht="15.75" x14ac:dyDescent="0.25">
      <c r="A1317" s="2017"/>
      <c r="B1317" s="2018"/>
      <c r="C1317" s="2018"/>
      <c r="D1317" s="2018"/>
      <c r="E1317" s="2018"/>
      <c r="F1317" s="2018"/>
      <c r="G1317" s="2018"/>
      <c r="H1317" s="2018"/>
      <c r="I1317" s="2018"/>
      <c r="J1317" s="2018"/>
      <c r="K1317" s="2018"/>
      <c r="L1317" s="2018"/>
      <c r="M1317" s="2018"/>
      <c r="N1317" s="2018"/>
      <c r="O1317" s="2018"/>
      <c r="P1317" s="2018"/>
      <c r="Q1317" s="2018"/>
      <c r="R1317" s="2018"/>
      <c r="S1317" s="2018"/>
      <c r="T1317" s="2018"/>
      <c r="U1317" s="2018"/>
      <c r="V1317" s="2018"/>
      <c r="W1317" s="2018"/>
      <c r="X1317" s="2018"/>
      <c r="Y1317" s="2094"/>
      <c r="Z1317" s="2096"/>
      <c r="AA1317" s="2097"/>
      <c r="AB1317" s="1053"/>
      <c r="AC1317" s="1053"/>
      <c r="AD1317" s="1053"/>
      <c r="AE1317" s="1051"/>
      <c r="AF1317" s="1052"/>
    </row>
    <row r="1318" spans="1:32" ht="15.75" x14ac:dyDescent="0.25">
      <c r="A1318" s="2017"/>
      <c r="B1318" s="2018"/>
      <c r="C1318" s="2018"/>
      <c r="D1318" s="2018"/>
      <c r="E1318" s="2018"/>
      <c r="F1318" s="2018"/>
      <c r="G1318" s="2018"/>
      <c r="H1318" s="2018"/>
      <c r="I1318" s="2018"/>
      <c r="J1318" s="2018"/>
      <c r="K1318" s="2018"/>
      <c r="L1318" s="2018"/>
      <c r="M1318" s="2018"/>
      <c r="N1318" s="2018"/>
      <c r="O1318" s="2018"/>
      <c r="P1318" s="2018"/>
      <c r="Q1318" s="2018"/>
      <c r="R1318" s="2018"/>
      <c r="S1318" s="2018"/>
      <c r="T1318" s="2018"/>
      <c r="U1318" s="2018"/>
      <c r="V1318" s="2018"/>
      <c r="W1318" s="2018"/>
      <c r="X1318" s="2018"/>
      <c r="Y1318" s="2094"/>
      <c r="Z1318" s="2096"/>
      <c r="AA1318" s="2097"/>
      <c r="AB1318" s="1053"/>
      <c r="AC1318" s="1053"/>
      <c r="AD1318" s="1053"/>
      <c r="AE1318" s="1050"/>
      <c r="AF1318" s="1054"/>
    </row>
    <row r="1319" spans="1:32" ht="15.75" x14ac:dyDescent="0.25">
      <c r="A1319" s="2017"/>
      <c r="B1319" s="2018"/>
      <c r="C1319" s="2018"/>
      <c r="D1319" s="2018"/>
      <c r="E1319" s="2018"/>
      <c r="F1319" s="2018"/>
      <c r="G1319" s="2018"/>
      <c r="H1319" s="2018"/>
      <c r="I1319" s="2018"/>
      <c r="J1319" s="2018"/>
      <c r="K1319" s="2018"/>
      <c r="L1319" s="2018"/>
      <c r="M1319" s="2018"/>
      <c r="N1319" s="2018"/>
      <c r="O1319" s="2018"/>
      <c r="P1319" s="2018"/>
      <c r="Q1319" s="2018"/>
      <c r="R1319" s="2018"/>
      <c r="S1319" s="2018"/>
      <c r="T1319" s="2018"/>
      <c r="U1319" s="2018"/>
      <c r="V1319" s="2018"/>
      <c r="W1319" s="2018"/>
      <c r="X1319" s="2018"/>
      <c r="Y1319" s="2094"/>
      <c r="Z1319" s="2096"/>
      <c r="AA1319" s="2097"/>
      <c r="AB1319" s="1053"/>
      <c r="AC1319" s="1053"/>
      <c r="AD1319" s="1053"/>
      <c r="AE1319" s="1051"/>
      <c r="AF1319" s="1054"/>
    </row>
    <row r="1320" spans="1:32" ht="15.75" x14ac:dyDescent="0.25">
      <c r="A1320" s="2017"/>
      <c r="B1320" s="2018"/>
      <c r="C1320" s="2018"/>
      <c r="D1320" s="2018"/>
      <c r="E1320" s="2018"/>
      <c r="F1320" s="2018"/>
      <c r="G1320" s="2018"/>
      <c r="H1320" s="2018"/>
      <c r="I1320" s="2018"/>
      <c r="J1320" s="2018"/>
      <c r="K1320" s="2018"/>
      <c r="L1320" s="2018"/>
      <c r="M1320" s="2018"/>
      <c r="N1320" s="2018"/>
      <c r="O1320" s="2018"/>
      <c r="P1320" s="2018"/>
      <c r="Q1320" s="2018"/>
      <c r="R1320" s="2018"/>
      <c r="S1320" s="2018"/>
      <c r="T1320" s="2018"/>
      <c r="U1320" s="2018"/>
      <c r="V1320" s="2018"/>
      <c r="W1320" s="2018"/>
      <c r="X1320" s="2018"/>
      <c r="Y1320" s="2094"/>
      <c r="Z1320" s="2096"/>
      <c r="AA1320" s="2097"/>
      <c r="AB1320" s="1053"/>
      <c r="AC1320" s="1053"/>
      <c r="AD1320" s="1053"/>
      <c r="AE1320" s="1051"/>
      <c r="AF1320" s="1054"/>
    </row>
    <row r="1321" spans="1:32" ht="15.75" x14ac:dyDescent="0.25">
      <c r="A1321" s="2017"/>
      <c r="B1321" s="2018"/>
      <c r="C1321" s="2018"/>
      <c r="D1321" s="2018"/>
      <c r="E1321" s="2018"/>
      <c r="F1321" s="2018"/>
      <c r="G1321" s="2018"/>
      <c r="H1321" s="2018"/>
      <c r="I1321" s="2018"/>
      <c r="J1321" s="2018"/>
      <c r="K1321" s="2018"/>
      <c r="L1321" s="2018"/>
      <c r="M1321" s="2018"/>
      <c r="N1321" s="2018"/>
      <c r="O1321" s="2018"/>
      <c r="P1321" s="2018"/>
      <c r="Q1321" s="2018"/>
      <c r="R1321" s="2018"/>
      <c r="S1321" s="2018"/>
      <c r="T1321" s="2018"/>
      <c r="U1321" s="2018"/>
      <c r="V1321" s="2018"/>
      <c r="W1321" s="2018"/>
      <c r="X1321" s="2018"/>
      <c r="Y1321" s="2094"/>
      <c r="Z1321" s="2096"/>
      <c r="AA1321" s="2097"/>
      <c r="AB1321" s="1053"/>
      <c r="AC1321" s="1053"/>
      <c r="AD1321" s="1053"/>
      <c r="AE1321" s="1051"/>
      <c r="AF1321" s="1054"/>
    </row>
    <row r="1322" spans="1:32" ht="15.75" x14ac:dyDescent="0.25">
      <c r="A1322" s="2017"/>
      <c r="B1322" s="2018"/>
      <c r="C1322" s="2018"/>
      <c r="D1322" s="2018"/>
      <c r="E1322" s="2018"/>
      <c r="F1322" s="2018"/>
      <c r="G1322" s="2018"/>
      <c r="H1322" s="2018"/>
      <c r="I1322" s="2018"/>
      <c r="J1322" s="2018"/>
      <c r="K1322" s="2018"/>
      <c r="L1322" s="2018"/>
      <c r="M1322" s="2018"/>
      <c r="N1322" s="2018"/>
      <c r="O1322" s="2018"/>
      <c r="P1322" s="2018"/>
      <c r="Q1322" s="2018"/>
      <c r="R1322" s="2018"/>
      <c r="S1322" s="2018"/>
      <c r="T1322" s="2018"/>
      <c r="U1322" s="2018"/>
      <c r="V1322" s="2018"/>
      <c r="W1322" s="2018"/>
      <c r="X1322" s="2018"/>
      <c r="Y1322" s="2094"/>
      <c r="Z1322" s="2096"/>
      <c r="AA1322" s="2097"/>
      <c r="AB1322" s="1053"/>
      <c r="AC1322" s="1053"/>
      <c r="AD1322" s="1053"/>
      <c r="AE1322" s="1051"/>
      <c r="AF1322" s="1054"/>
    </row>
    <row r="1323" spans="1:32" ht="15.75" x14ac:dyDescent="0.25">
      <c r="A1323" s="2017"/>
      <c r="B1323" s="2018"/>
      <c r="C1323" s="2018"/>
      <c r="D1323" s="2018"/>
      <c r="E1323" s="2018"/>
      <c r="F1323" s="2018"/>
      <c r="G1323" s="2018"/>
      <c r="H1323" s="2018"/>
      <c r="I1323" s="2018"/>
      <c r="J1323" s="2018"/>
      <c r="K1323" s="2018"/>
      <c r="L1323" s="2018"/>
      <c r="M1323" s="2018"/>
      <c r="N1323" s="2018"/>
      <c r="O1323" s="2018"/>
      <c r="P1323" s="2018"/>
      <c r="Q1323" s="2018"/>
      <c r="R1323" s="2018"/>
      <c r="S1323" s="2018"/>
      <c r="T1323" s="2018"/>
      <c r="U1323" s="2018"/>
      <c r="V1323" s="2018"/>
      <c r="W1323" s="2018"/>
      <c r="X1323" s="2018"/>
      <c r="Y1323" s="2094"/>
      <c r="Z1323" s="2096"/>
      <c r="AA1323" s="2097"/>
      <c r="AB1323" s="1053"/>
      <c r="AC1323" s="1053"/>
      <c r="AD1323" s="1053"/>
      <c r="AE1323" s="1051"/>
      <c r="AF1323" s="1054"/>
    </row>
    <row r="1324" spans="1:32" ht="15.75" x14ac:dyDescent="0.25">
      <c r="A1324" s="2017"/>
      <c r="B1324" s="2018"/>
      <c r="C1324" s="2018"/>
      <c r="D1324" s="2018"/>
      <c r="E1324" s="2018"/>
      <c r="F1324" s="2018"/>
      <c r="G1324" s="2018"/>
      <c r="H1324" s="2018"/>
      <c r="I1324" s="2018"/>
      <c r="J1324" s="2018"/>
      <c r="K1324" s="2018"/>
      <c r="L1324" s="2018"/>
      <c r="M1324" s="2018"/>
      <c r="N1324" s="2018"/>
      <c r="O1324" s="2018"/>
      <c r="P1324" s="2018"/>
      <c r="Q1324" s="2018"/>
      <c r="R1324" s="2018"/>
      <c r="S1324" s="2018"/>
      <c r="T1324" s="2018"/>
      <c r="U1324" s="2018"/>
      <c r="V1324" s="2018"/>
      <c r="W1324" s="2018"/>
      <c r="X1324" s="2018"/>
      <c r="Y1324" s="2094"/>
      <c r="Z1324" s="2096"/>
      <c r="AA1324" s="2097"/>
      <c r="AB1324" s="1055"/>
      <c r="AC1324" s="1055"/>
      <c r="AD1324" s="1055"/>
      <c r="AE1324" s="1051"/>
      <c r="AF1324" s="1056"/>
    </row>
    <row r="1325" spans="1:32" ht="15.75" x14ac:dyDescent="0.25">
      <c r="A1325" s="2017"/>
      <c r="B1325" s="2018"/>
      <c r="C1325" s="2018"/>
      <c r="D1325" s="2018"/>
      <c r="E1325" s="2018"/>
      <c r="F1325" s="2018"/>
      <c r="G1325" s="2018"/>
      <c r="H1325" s="2018"/>
      <c r="I1325" s="2018"/>
      <c r="J1325" s="2018"/>
      <c r="K1325" s="2018"/>
      <c r="L1325" s="2018"/>
      <c r="M1325" s="2018"/>
      <c r="N1325" s="2018"/>
      <c r="O1325" s="2018"/>
      <c r="P1325" s="2018"/>
      <c r="Q1325" s="2018"/>
      <c r="R1325" s="2018"/>
      <c r="S1325" s="2018"/>
      <c r="T1325" s="2018"/>
      <c r="U1325" s="2018"/>
      <c r="V1325" s="2018"/>
      <c r="W1325" s="2018"/>
      <c r="X1325" s="2018"/>
      <c r="Y1325" s="2094"/>
      <c r="Z1325" s="2096"/>
      <c r="AA1325" s="2097"/>
      <c r="AB1325" s="1055"/>
      <c r="AC1325" s="1055"/>
      <c r="AD1325" s="1055"/>
      <c r="AE1325" s="1055"/>
      <c r="AF1325" s="1056"/>
    </row>
    <row r="1326" spans="1:32" ht="15.75" x14ac:dyDescent="0.25">
      <c r="A1326" s="2017"/>
      <c r="B1326" s="2018"/>
      <c r="C1326" s="2018"/>
      <c r="D1326" s="2018"/>
      <c r="E1326" s="2018"/>
      <c r="F1326" s="2018"/>
      <c r="G1326" s="2018"/>
      <c r="H1326" s="2018"/>
      <c r="I1326" s="2018"/>
      <c r="J1326" s="2018"/>
      <c r="K1326" s="2018"/>
      <c r="L1326" s="2018"/>
      <c r="M1326" s="2018"/>
      <c r="N1326" s="2018"/>
      <c r="O1326" s="2018"/>
      <c r="P1326" s="2018"/>
      <c r="Q1326" s="2018"/>
      <c r="R1326" s="2018"/>
      <c r="S1326" s="2018"/>
      <c r="T1326" s="2018"/>
      <c r="U1326" s="2018"/>
      <c r="V1326" s="2018"/>
      <c r="W1326" s="2018"/>
      <c r="X1326" s="2018"/>
      <c r="Y1326" s="2094"/>
      <c r="Z1326" s="2096"/>
      <c r="AA1326" s="2097"/>
      <c r="AB1326" s="1055"/>
      <c r="AC1326" s="1055"/>
      <c r="AD1326" s="1055"/>
      <c r="AE1326" s="1055"/>
      <c r="AF1326" s="1056"/>
    </row>
    <row r="1327" spans="1:32" ht="15.75" x14ac:dyDescent="0.25">
      <c r="A1327" s="2017"/>
      <c r="B1327" s="2018"/>
      <c r="C1327" s="2018"/>
      <c r="D1327" s="2018"/>
      <c r="E1327" s="2018"/>
      <c r="F1327" s="2018"/>
      <c r="G1327" s="2018"/>
      <c r="H1327" s="2018"/>
      <c r="I1327" s="2018"/>
      <c r="J1327" s="2018"/>
      <c r="K1327" s="2018"/>
      <c r="L1327" s="2018"/>
      <c r="M1327" s="2018"/>
      <c r="N1327" s="2018"/>
      <c r="O1327" s="2018"/>
      <c r="P1327" s="2018"/>
      <c r="Q1327" s="2018"/>
      <c r="R1327" s="2018"/>
      <c r="S1327" s="2018"/>
      <c r="T1327" s="2018"/>
      <c r="U1327" s="2018"/>
      <c r="V1327" s="2018"/>
      <c r="W1327" s="2018"/>
      <c r="X1327" s="2018"/>
      <c r="Y1327" s="2094"/>
      <c r="Z1327" s="2096"/>
      <c r="AA1327" s="2097"/>
      <c r="AB1327" s="1055"/>
      <c r="AC1327" s="1055"/>
      <c r="AD1327" s="1055"/>
      <c r="AE1327" s="1055"/>
      <c r="AF1327" s="1056"/>
    </row>
    <row r="1328" spans="1:32" ht="15.75" x14ac:dyDescent="0.25">
      <c r="A1328" s="2017"/>
      <c r="B1328" s="2018"/>
      <c r="C1328" s="2018"/>
      <c r="D1328" s="2018"/>
      <c r="E1328" s="2018"/>
      <c r="F1328" s="2018"/>
      <c r="G1328" s="2018"/>
      <c r="H1328" s="2018"/>
      <c r="I1328" s="2018"/>
      <c r="J1328" s="2018"/>
      <c r="K1328" s="2018"/>
      <c r="L1328" s="2018"/>
      <c r="M1328" s="2018"/>
      <c r="N1328" s="2018"/>
      <c r="O1328" s="2018"/>
      <c r="P1328" s="2018"/>
      <c r="Q1328" s="2018"/>
      <c r="R1328" s="2018"/>
      <c r="S1328" s="2018"/>
      <c r="T1328" s="2018"/>
      <c r="U1328" s="2018"/>
      <c r="V1328" s="2018"/>
      <c r="W1328" s="2018"/>
      <c r="X1328" s="2018"/>
      <c r="Y1328" s="2094"/>
      <c r="Z1328" s="2096"/>
      <c r="AA1328" s="2097"/>
      <c r="AB1328" s="1055"/>
      <c r="AC1328" s="1055"/>
      <c r="AD1328" s="1055"/>
      <c r="AE1328" s="1055"/>
      <c r="AF1328" s="1056"/>
    </row>
    <row r="1329" spans="1:32" ht="16.5" thickBot="1" x14ac:dyDescent="0.3">
      <c r="A1329" s="2019"/>
      <c r="B1329" s="2020"/>
      <c r="C1329" s="2020"/>
      <c r="D1329" s="2020"/>
      <c r="E1329" s="2020"/>
      <c r="F1329" s="2020"/>
      <c r="G1329" s="2020"/>
      <c r="H1329" s="2020"/>
      <c r="I1329" s="2020"/>
      <c r="J1329" s="2020"/>
      <c r="K1329" s="2020"/>
      <c r="L1329" s="2020"/>
      <c r="M1329" s="2020"/>
      <c r="N1329" s="2020"/>
      <c r="O1329" s="2020"/>
      <c r="P1329" s="2020"/>
      <c r="Q1329" s="2020"/>
      <c r="R1329" s="2020"/>
      <c r="S1329" s="2020"/>
      <c r="T1329" s="2020"/>
      <c r="U1329" s="2020"/>
      <c r="V1329" s="2020"/>
      <c r="W1329" s="2020"/>
      <c r="X1329" s="2020"/>
      <c r="Y1329" s="2095"/>
      <c r="Z1329" s="2098"/>
      <c r="AA1329" s="2099"/>
      <c r="AB1329" s="1057"/>
      <c r="AC1329" s="1057"/>
      <c r="AD1329" s="1057"/>
      <c r="AE1329" s="1057"/>
      <c r="AF1329" s="1058"/>
    </row>
    <row r="1330" spans="1:32" ht="15.75" x14ac:dyDescent="0.25">
      <c r="A1330" s="2100" t="s">
        <v>1855</v>
      </c>
      <c r="B1330" s="2101"/>
      <c r="C1330" s="2101"/>
      <c r="D1330" s="2101"/>
      <c r="E1330" s="2101"/>
      <c r="F1330" s="2101"/>
      <c r="G1330" s="2101"/>
      <c r="H1330" s="2101"/>
      <c r="I1330" s="2101"/>
      <c r="J1330" s="2101"/>
      <c r="K1330" s="2101"/>
      <c r="L1330" s="2101"/>
      <c r="M1330" s="2101"/>
      <c r="N1330" s="2101"/>
      <c r="O1330" s="2101"/>
      <c r="P1330" s="2101"/>
      <c r="Q1330" s="2101"/>
      <c r="R1330" s="2101"/>
      <c r="S1330" s="2101"/>
      <c r="T1330" s="2101"/>
      <c r="U1330" s="2101"/>
      <c r="V1330" s="2101"/>
      <c r="W1330" s="2101"/>
      <c r="X1330" s="2101"/>
      <c r="Y1330" s="2101"/>
      <c r="Z1330" s="2013" t="s">
        <v>1850</v>
      </c>
      <c r="AA1330" s="2013"/>
      <c r="AB1330" s="2013"/>
      <c r="AC1330" s="2013"/>
      <c r="AD1330" s="2013"/>
      <c r="AE1330" s="2013"/>
      <c r="AF1330" s="1059">
        <f>SUM(AF1310:AF1329)</f>
        <v>253.06</v>
      </c>
    </row>
    <row r="1331" spans="1:32" ht="15.75" x14ac:dyDescent="0.25">
      <c r="A1331" s="2102"/>
      <c r="B1331" s="2103"/>
      <c r="C1331" s="2103"/>
      <c r="D1331" s="2103"/>
      <c r="E1331" s="2103"/>
      <c r="F1331" s="2103"/>
      <c r="G1331" s="2103"/>
      <c r="H1331" s="2103"/>
      <c r="I1331" s="2103"/>
      <c r="J1331" s="2103"/>
      <c r="K1331" s="2103"/>
      <c r="L1331" s="2103"/>
      <c r="M1331" s="2103"/>
      <c r="N1331" s="2103"/>
      <c r="O1331" s="2103"/>
      <c r="P1331" s="2103"/>
      <c r="Q1331" s="2103"/>
      <c r="R1331" s="2103"/>
      <c r="S1331" s="2103"/>
      <c r="T1331" s="2103"/>
      <c r="U1331" s="2103"/>
      <c r="V1331" s="2103"/>
      <c r="W1331" s="2103"/>
      <c r="X1331" s="2103"/>
      <c r="Y1331" s="2103"/>
      <c r="Z1331" s="2014" t="s">
        <v>1851</v>
      </c>
      <c r="AA1331" s="2014"/>
      <c r="AB1331" s="2014"/>
      <c r="AC1331" s="2014"/>
      <c r="AD1331" s="2014"/>
      <c r="AE1331" s="2014"/>
      <c r="AF1331" s="1060">
        <v>0</v>
      </c>
    </row>
    <row r="1332" spans="1:32" ht="15.75" x14ac:dyDescent="0.25">
      <c r="A1332" s="2102"/>
      <c r="B1332" s="2103"/>
      <c r="C1332" s="2103"/>
      <c r="D1332" s="2103"/>
      <c r="E1332" s="2103"/>
      <c r="F1332" s="2103"/>
      <c r="G1332" s="2103"/>
      <c r="H1332" s="2103"/>
      <c r="I1332" s="2103"/>
      <c r="J1332" s="2103"/>
      <c r="K1332" s="2103"/>
      <c r="L1332" s="2103"/>
      <c r="M1332" s="2103"/>
      <c r="N1332" s="2103"/>
      <c r="O1332" s="2103"/>
      <c r="P1332" s="2103"/>
      <c r="Q1332" s="2103"/>
      <c r="R1332" s="2103"/>
      <c r="S1332" s="2103"/>
      <c r="T1332" s="2103"/>
      <c r="U1332" s="2103"/>
      <c r="V1332" s="2103"/>
      <c r="W1332" s="2103"/>
      <c r="X1332" s="2103"/>
      <c r="Y1332" s="2103"/>
      <c r="Z1332" s="2015" t="s">
        <v>1833</v>
      </c>
      <c r="AA1332" s="2015"/>
      <c r="AB1332" s="2015"/>
      <c r="AC1332" s="2015"/>
      <c r="AD1332" s="2015"/>
      <c r="AE1332" s="2015"/>
      <c r="AF1332" s="1061">
        <f>SUM(AF1330:AF1331)</f>
        <v>253.06</v>
      </c>
    </row>
    <row r="1333" spans="1:32" x14ac:dyDescent="0.2">
      <c r="A1333" s="2012" t="s">
        <v>1859</v>
      </c>
      <c r="B1333" s="2012"/>
      <c r="C1333" s="2012"/>
      <c r="D1333" s="2012"/>
      <c r="E1333" s="2012"/>
      <c r="F1333" s="2012"/>
      <c r="G1333" s="2012"/>
      <c r="H1333" s="2012"/>
      <c r="I1333" s="2012"/>
      <c r="J1333" s="2012"/>
      <c r="K1333" s="2012"/>
      <c r="L1333" s="2012"/>
      <c r="M1333" s="2012"/>
      <c r="N1333" s="2012"/>
      <c r="O1333" s="2012"/>
      <c r="P1333" s="2012"/>
      <c r="Q1333" s="2012"/>
      <c r="R1333" s="2012"/>
      <c r="S1333" s="2012"/>
      <c r="T1333" s="2016" t="s">
        <v>1840</v>
      </c>
      <c r="U1333" s="2016"/>
      <c r="V1333" s="2016"/>
      <c r="W1333" s="2016"/>
      <c r="X1333" s="2016"/>
      <c r="Y1333" s="2016"/>
      <c r="Z1333" s="2016"/>
      <c r="AA1333" s="2016"/>
      <c r="AB1333" s="2012" t="s">
        <v>1852</v>
      </c>
      <c r="AC1333" s="2012"/>
      <c r="AD1333" s="2012"/>
      <c r="AE1333" s="2012"/>
      <c r="AF1333" s="2012"/>
    </row>
    <row r="1334" spans="1:32" x14ac:dyDescent="0.2">
      <c r="A1334" s="2012"/>
      <c r="B1334" s="2012"/>
      <c r="C1334" s="2012"/>
      <c r="D1334" s="2012"/>
      <c r="E1334" s="2012"/>
      <c r="F1334" s="2012"/>
      <c r="G1334" s="2012"/>
      <c r="H1334" s="2012"/>
      <c r="I1334" s="2012"/>
      <c r="J1334" s="2012"/>
      <c r="K1334" s="2012"/>
      <c r="L1334" s="2012"/>
      <c r="M1334" s="2012"/>
      <c r="N1334" s="2012"/>
      <c r="O1334" s="2012"/>
      <c r="P1334" s="2012"/>
      <c r="Q1334" s="2012"/>
      <c r="R1334" s="2012"/>
      <c r="S1334" s="2012"/>
      <c r="T1334" s="2016"/>
      <c r="U1334" s="2016"/>
      <c r="V1334" s="2016"/>
      <c r="W1334" s="2016"/>
      <c r="X1334" s="2016"/>
      <c r="Y1334" s="2016"/>
      <c r="Z1334" s="2016"/>
      <c r="AA1334" s="2016"/>
      <c r="AB1334" s="2012"/>
      <c r="AC1334" s="2012"/>
      <c r="AD1334" s="2012"/>
      <c r="AE1334" s="2012"/>
      <c r="AF1334" s="2012"/>
    </row>
    <row r="1335" spans="1:32" ht="13.5" thickBot="1" x14ac:dyDescent="0.25"/>
    <row r="1336" spans="1:32" ht="21.6" customHeight="1" x14ac:dyDescent="0.2">
      <c r="A1336" s="2025" t="s">
        <v>1854</v>
      </c>
      <c r="B1336" s="2026"/>
      <c r="C1336" s="2026"/>
      <c r="D1336" s="2026"/>
      <c r="E1336" s="2026"/>
      <c r="F1336" s="2026"/>
      <c r="G1336" s="2026"/>
      <c r="H1336" s="2026"/>
      <c r="I1336" s="2026"/>
      <c r="J1336" s="2026"/>
      <c r="K1336" s="2026"/>
      <c r="L1336" s="2026"/>
      <c r="M1336" s="2026"/>
      <c r="N1336" s="2026"/>
      <c r="O1336" s="2026"/>
      <c r="P1336" s="2026"/>
      <c r="Q1336" s="2026"/>
      <c r="R1336" s="2026"/>
      <c r="S1336" s="2026"/>
      <c r="T1336" s="2026"/>
      <c r="U1336" s="2026"/>
      <c r="V1336" s="2026"/>
      <c r="W1336" s="2026"/>
      <c r="X1336" s="2026"/>
      <c r="Y1336" s="2026"/>
      <c r="Z1336" s="2026"/>
      <c r="AA1336" s="2026"/>
      <c r="AB1336" s="2026"/>
      <c r="AC1336" s="2026"/>
      <c r="AD1336" s="2026"/>
      <c r="AE1336" s="1041" t="s">
        <v>1834</v>
      </c>
      <c r="AF1336" s="1042" t="s">
        <v>1835</v>
      </c>
    </row>
    <row r="1337" spans="1:32" ht="22.15" customHeight="1" thickBot="1" x14ac:dyDescent="0.25">
      <c r="A1337" s="2027"/>
      <c r="B1337" s="2028"/>
      <c r="C1337" s="2028"/>
      <c r="D1337" s="2028"/>
      <c r="E1337" s="2028"/>
      <c r="F1337" s="2028"/>
      <c r="G1337" s="2028"/>
      <c r="H1337" s="2028"/>
      <c r="I1337" s="2028"/>
      <c r="J1337" s="2028"/>
      <c r="K1337" s="2028"/>
      <c r="L1337" s="2028"/>
      <c r="M1337" s="2028"/>
      <c r="N1337" s="2028"/>
      <c r="O1337" s="2028"/>
      <c r="P1337" s="2028"/>
      <c r="Q1337" s="2028"/>
      <c r="R1337" s="2028"/>
      <c r="S1337" s="2028"/>
      <c r="T1337" s="2028"/>
      <c r="U1337" s="2028"/>
      <c r="V1337" s="2028"/>
      <c r="W1337" s="2028"/>
      <c r="X1337" s="2028"/>
      <c r="Y1337" s="2028"/>
      <c r="Z1337" s="2028"/>
      <c r="AA1337" s="2028"/>
      <c r="AB1337" s="2028"/>
      <c r="AC1337" s="2028"/>
      <c r="AD1337" s="2028"/>
      <c r="AE1337" s="1041" t="s">
        <v>1836</v>
      </c>
      <c r="AF1337" s="1044">
        <v>1</v>
      </c>
    </row>
    <row r="1338" spans="1:32" ht="15.75" x14ac:dyDescent="0.2">
      <c r="A1338" s="2029"/>
      <c r="B1338" s="2030"/>
      <c r="C1338" s="2030"/>
      <c r="D1338" s="2031"/>
      <c r="E1338" s="2025" t="str">
        <f>'01'!$A$12</f>
        <v>"CONSTRUCCION SISTEMA DE ACUEDUCTO FASE II DEL MUNICIPIO DE TESALIA DPTO DEL HUILA"</v>
      </c>
      <c r="F1338" s="2026"/>
      <c r="G1338" s="2026"/>
      <c r="H1338" s="2026"/>
      <c r="I1338" s="2026"/>
      <c r="J1338" s="2026"/>
      <c r="K1338" s="2026"/>
      <c r="L1338" s="2026"/>
      <c r="M1338" s="2026"/>
      <c r="N1338" s="2026"/>
      <c r="O1338" s="2026"/>
      <c r="P1338" s="2026"/>
      <c r="Q1338" s="2026"/>
      <c r="R1338" s="2026"/>
      <c r="S1338" s="2026"/>
      <c r="T1338" s="2026"/>
      <c r="U1338" s="2026"/>
      <c r="V1338" s="2026"/>
      <c r="W1338" s="2026"/>
      <c r="X1338" s="2026"/>
      <c r="Y1338" s="2026"/>
      <c r="Z1338" s="2026"/>
      <c r="AA1338" s="2026"/>
      <c r="AB1338" s="2026"/>
      <c r="AC1338" s="2026"/>
      <c r="AD1338" s="2035"/>
      <c r="AE1338" s="1041" t="s">
        <v>847</v>
      </c>
      <c r="AF1338" s="1045">
        <f>'01'!$M$13</f>
        <v>0</v>
      </c>
    </row>
    <row r="1339" spans="1:32" ht="16.5" thickBot="1" x14ac:dyDescent="0.25">
      <c r="A1339" s="2032"/>
      <c r="B1339" s="2033"/>
      <c r="C1339" s="2033"/>
      <c r="D1339" s="2034"/>
      <c r="E1339" s="2027"/>
      <c r="F1339" s="2028"/>
      <c r="G1339" s="2028"/>
      <c r="H1339" s="2028"/>
      <c r="I1339" s="2028"/>
      <c r="J1339" s="2028"/>
      <c r="K1339" s="2028"/>
      <c r="L1339" s="2028"/>
      <c r="M1339" s="2028"/>
      <c r="N1339" s="2028"/>
      <c r="O1339" s="2028"/>
      <c r="P1339" s="2028"/>
      <c r="Q1339" s="2028"/>
      <c r="R1339" s="2028"/>
      <c r="S1339" s="2028"/>
      <c r="T1339" s="2028"/>
      <c r="U1339" s="2028"/>
      <c r="V1339" s="2028"/>
      <c r="W1339" s="2028"/>
      <c r="X1339" s="2028"/>
      <c r="Y1339" s="2028"/>
      <c r="Z1339" s="2028"/>
      <c r="AA1339" s="2028"/>
      <c r="AB1339" s="2028"/>
      <c r="AC1339" s="2028"/>
      <c r="AD1339" s="2036"/>
      <c r="AE1339" s="1041" t="s">
        <v>1837</v>
      </c>
      <c r="AF1339" s="1042" t="s">
        <v>1838</v>
      </c>
    </row>
    <row r="1340" spans="1:32" ht="15.75" x14ac:dyDescent="0.25">
      <c r="A1340" s="2037" t="s">
        <v>1860</v>
      </c>
      <c r="B1340" s="2038"/>
      <c r="C1340" s="2038"/>
      <c r="D1340" s="2038"/>
      <c r="E1340" s="2038"/>
      <c r="F1340" s="2038"/>
      <c r="G1340" s="2038"/>
      <c r="H1340" s="2038"/>
      <c r="I1340" s="2038"/>
      <c r="J1340" s="2038"/>
      <c r="K1340" s="2038"/>
      <c r="L1340" s="2038"/>
      <c r="M1340" s="2038"/>
      <c r="N1340" s="2038"/>
      <c r="O1340" s="2038"/>
      <c r="P1340" s="2038"/>
      <c r="Q1340" s="2038"/>
      <c r="R1340" s="2038"/>
      <c r="S1340" s="2038"/>
      <c r="T1340" s="2038"/>
      <c r="U1340" s="2038"/>
      <c r="V1340" s="2038"/>
      <c r="W1340" s="2038"/>
      <c r="X1340" s="2038"/>
      <c r="Y1340" s="2038"/>
      <c r="Z1340" s="2038"/>
      <c r="AA1340" s="2038"/>
      <c r="AB1340" s="2038"/>
      <c r="AC1340" s="2038"/>
      <c r="AD1340" s="2038"/>
      <c r="AE1340" s="2039" t="s">
        <v>1839</v>
      </c>
      <c r="AF1340" s="2040"/>
    </row>
    <row r="1341" spans="1:32" ht="15.75" x14ac:dyDescent="0.25">
      <c r="A1341" s="2041" t="s">
        <v>1840</v>
      </c>
      <c r="B1341" s="2042"/>
      <c r="C1341" s="2042"/>
      <c r="D1341" s="2042"/>
      <c r="E1341" s="2042"/>
      <c r="F1341" s="2042"/>
      <c r="G1341" s="2042"/>
      <c r="H1341" s="2042"/>
      <c r="I1341" s="2042"/>
      <c r="J1341" s="2042"/>
      <c r="K1341" s="2042"/>
      <c r="L1341" s="2042"/>
      <c r="M1341" s="2042"/>
      <c r="N1341" s="2042"/>
      <c r="O1341" s="2042"/>
      <c r="P1341" s="2042"/>
      <c r="Q1341" s="2042"/>
      <c r="R1341" s="2042"/>
      <c r="S1341" s="2042"/>
      <c r="T1341" s="2042"/>
      <c r="U1341" s="2042"/>
      <c r="V1341" s="2042"/>
      <c r="W1341" s="2042"/>
      <c r="X1341" s="2042"/>
      <c r="Y1341" s="2042"/>
      <c r="Z1341" s="2042"/>
      <c r="AA1341" s="2042"/>
      <c r="AB1341" s="2042"/>
      <c r="AC1341" s="2042"/>
      <c r="AD1341" s="2043"/>
      <c r="AE1341" s="2014" t="s">
        <v>1841</v>
      </c>
      <c r="AF1341" s="2044"/>
    </row>
    <row r="1342" spans="1:32" ht="15.75" x14ac:dyDescent="0.25">
      <c r="A1342" s="2045" t="s">
        <v>1853</v>
      </c>
      <c r="B1342" s="2046"/>
      <c r="C1342" s="2046"/>
      <c r="D1342" s="2046"/>
      <c r="E1342" s="2046"/>
      <c r="F1342" s="2046"/>
      <c r="G1342" s="2046"/>
      <c r="H1342" s="2046"/>
      <c r="I1342" s="2046"/>
      <c r="J1342" s="2046"/>
      <c r="K1342" s="2046"/>
      <c r="L1342" s="2046"/>
      <c r="M1342" s="2046"/>
      <c r="N1342" s="2046"/>
      <c r="O1342" s="2046"/>
      <c r="P1342" s="2046"/>
      <c r="Q1342" s="2046"/>
      <c r="R1342" s="2046"/>
      <c r="S1342" s="2046"/>
      <c r="T1342" s="2046"/>
      <c r="U1342" s="2046"/>
      <c r="V1342" s="2046"/>
      <c r="W1342" s="2046"/>
      <c r="X1342" s="2046"/>
      <c r="Y1342" s="2046"/>
      <c r="Z1342" s="2046"/>
      <c r="AA1342" s="2046"/>
      <c r="AB1342" s="2046"/>
      <c r="AC1342" s="2046"/>
      <c r="AD1342" s="2046"/>
      <c r="AE1342" s="2047">
        <f>'01'!$M$13</f>
        <v>0</v>
      </c>
      <c r="AF1342" s="2044"/>
    </row>
    <row r="1343" spans="1:32" x14ac:dyDescent="0.2">
      <c r="A1343" s="1046"/>
      <c r="B1343" s="1047"/>
      <c r="C1343" s="1047"/>
      <c r="D1343" s="1047"/>
      <c r="E1343" s="1047"/>
      <c r="F1343" s="1047"/>
      <c r="G1343" s="1047"/>
      <c r="H1343" s="1047"/>
      <c r="I1343" s="1047"/>
      <c r="J1343" s="1047"/>
      <c r="K1343" s="1047"/>
      <c r="L1343" s="1047"/>
      <c r="M1343" s="1047"/>
      <c r="N1343" s="1047"/>
      <c r="O1343" s="1047"/>
      <c r="P1343" s="1047"/>
      <c r="Q1343" s="1047"/>
      <c r="R1343" s="1047"/>
      <c r="S1343" s="1047"/>
      <c r="T1343" s="1047"/>
      <c r="U1343" s="1047"/>
      <c r="V1343" s="1047"/>
      <c r="W1343" s="1047"/>
      <c r="X1343" s="1047"/>
      <c r="Y1343" s="1047"/>
      <c r="Z1343" s="1047"/>
      <c r="AA1343" s="1047"/>
      <c r="AB1343" s="1047"/>
      <c r="AC1343" s="1047"/>
      <c r="AD1343" s="1047"/>
      <c r="AE1343" s="1047"/>
      <c r="AF1343" s="1048"/>
    </row>
    <row r="1344" spans="1:32" ht="30" customHeight="1" x14ac:dyDescent="0.2">
      <c r="A1344" s="2048" t="s">
        <v>1842</v>
      </c>
      <c r="B1344" s="2049"/>
      <c r="C1344" s="2049"/>
      <c r="D1344" s="2049"/>
      <c r="E1344" s="2049"/>
      <c r="F1344" s="2050" t="str">
        <f>+'01'!$H$63</f>
        <v>C - FLOCULADOR, SEDIMENTADOR, CANAL DE AGUA SEDIMENTADA Y CANAL DE LAVADO</v>
      </c>
      <c r="G1344" s="2049"/>
      <c r="H1344" s="2049"/>
      <c r="I1344" s="2049"/>
      <c r="J1344" s="2049"/>
      <c r="K1344" s="2049"/>
      <c r="L1344" s="2049"/>
      <c r="M1344" s="2049"/>
      <c r="N1344" s="2049"/>
      <c r="O1344" s="2049"/>
      <c r="P1344" s="2049"/>
      <c r="Q1344" s="2049"/>
      <c r="R1344" s="2049"/>
      <c r="S1344" s="2049"/>
      <c r="T1344" s="2049"/>
      <c r="U1344" s="2049"/>
      <c r="V1344" s="2049"/>
      <c r="W1344" s="2049"/>
      <c r="X1344" s="2049"/>
      <c r="Y1344" s="2051"/>
      <c r="Z1344" s="2052" t="s">
        <v>1843</v>
      </c>
      <c r="AA1344" s="2053"/>
      <c r="AB1344" s="2058" t="s">
        <v>1844</v>
      </c>
      <c r="AC1344" s="2059"/>
      <c r="AD1344" s="2060"/>
      <c r="AE1344" s="2064" t="s">
        <v>2184</v>
      </c>
      <c r="AF1344" s="2067" t="s">
        <v>1846</v>
      </c>
    </row>
    <row r="1345" spans="1:32" x14ac:dyDescent="0.2">
      <c r="A1345" s="2070" t="str">
        <f>+'01'!A74</f>
        <v>C-04-01</v>
      </c>
      <c r="B1345" s="2071"/>
      <c r="C1345" s="2072"/>
      <c r="D1345" s="2076" t="str">
        <f>VLOOKUP(A1345,'01'!$A$12:$N$299,3,FALSE)</f>
        <v>RETIRO DE MATERIAL SOBRANTE HASTA BOTADERO AUTORIZADO (INCLUYE FACTOR DE EXPANSIÓN)</v>
      </c>
      <c r="E1345" s="2077"/>
      <c r="F1345" s="2077"/>
      <c r="G1345" s="2077"/>
      <c r="H1345" s="2077"/>
      <c r="I1345" s="2077"/>
      <c r="J1345" s="2077"/>
      <c r="K1345" s="2077"/>
      <c r="L1345" s="2077"/>
      <c r="M1345" s="2077"/>
      <c r="N1345" s="2077"/>
      <c r="O1345" s="2077"/>
      <c r="P1345" s="2077"/>
      <c r="Q1345" s="2077"/>
      <c r="R1345" s="2077"/>
      <c r="S1345" s="2078"/>
      <c r="T1345" s="2082" t="s">
        <v>124</v>
      </c>
      <c r="U1345" s="2083"/>
      <c r="V1345" s="2083"/>
      <c r="W1345" s="2083"/>
      <c r="X1345" s="2052" t="str">
        <f>VLOOKUP(A1345,'01'!$A$12:$N$299,9,FALSE)</f>
        <v>M3-KM</v>
      </c>
      <c r="Y1345" s="2053"/>
      <c r="Z1345" s="2054"/>
      <c r="AA1345" s="2055"/>
      <c r="AB1345" s="2061"/>
      <c r="AC1345" s="2062"/>
      <c r="AD1345" s="2063"/>
      <c r="AE1345" s="2065"/>
      <c r="AF1345" s="2068"/>
    </row>
    <row r="1346" spans="1:32" ht="31.5" x14ac:dyDescent="0.25">
      <c r="A1346" s="2073"/>
      <c r="B1346" s="2074"/>
      <c r="C1346" s="2075"/>
      <c r="D1346" s="2079"/>
      <c r="E1346" s="2080"/>
      <c r="F1346" s="2080"/>
      <c r="G1346" s="2080"/>
      <c r="H1346" s="2080"/>
      <c r="I1346" s="2080"/>
      <c r="J1346" s="2080"/>
      <c r="K1346" s="2080"/>
      <c r="L1346" s="2080"/>
      <c r="M1346" s="2080"/>
      <c r="N1346" s="2080"/>
      <c r="O1346" s="2080"/>
      <c r="P1346" s="2080"/>
      <c r="Q1346" s="2080"/>
      <c r="R1346" s="2080"/>
      <c r="S1346" s="2081"/>
      <c r="T1346" s="2084"/>
      <c r="U1346" s="2085"/>
      <c r="V1346" s="2085"/>
      <c r="W1346" s="2085"/>
      <c r="X1346" s="2056"/>
      <c r="Y1346" s="2057"/>
      <c r="Z1346" s="2056"/>
      <c r="AA1346" s="2057"/>
      <c r="AB1346" s="1122" t="s">
        <v>2180</v>
      </c>
      <c r="AC1346" s="1122" t="s">
        <v>2181</v>
      </c>
      <c r="AD1346" s="1122" t="s">
        <v>1869</v>
      </c>
      <c r="AE1346" s="2066"/>
      <c r="AF1346" s="2069"/>
    </row>
    <row r="1347" spans="1:32" ht="15.75" x14ac:dyDescent="0.25">
      <c r="A1347" s="2017"/>
      <c r="B1347" s="2018"/>
      <c r="C1347" s="2018"/>
      <c r="D1347" s="2018"/>
      <c r="E1347" s="2018"/>
      <c r="F1347" s="2018"/>
      <c r="G1347" s="2018"/>
      <c r="H1347" s="2018"/>
      <c r="I1347" s="2018"/>
      <c r="J1347" s="2018"/>
      <c r="K1347" s="2018"/>
      <c r="L1347" s="2018"/>
      <c r="M1347" s="2018"/>
      <c r="N1347" s="2018"/>
      <c r="O1347" s="2018"/>
      <c r="P1347" s="2018"/>
      <c r="Q1347" s="2018"/>
      <c r="R1347" s="2018"/>
      <c r="S1347" s="2018"/>
      <c r="T1347" s="2018"/>
      <c r="U1347" s="2018"/>
      <c r="V1347" s="2018"/>
      <c r="W1347" s="2018"/>
      <c r="X1347" s="2018"/>
      <c r="Y1347" s="2094"/>
      <c r="Z1347" s="2096"/>
      <c r="AA1347" s="2097"/>
      <c r="AB1347" s="1050">
        <f>+AF1221</f>
        <v>751</v>
      </c>
      <c r="AC1347" s="1050">
        <f>+AF1332</f>
        <v>253.06</v>
      </c>
      <c r="AD1347" s="1050">
        <v>1.25</v>
      </c>
      <c r="AE1347" s="1051">
        <f>+'01'!$E$15</f>
        <v>5</v>
      </c>
      <c r="AF1347" s="1052">
        <f>ROUND((AB1347-AC1347)*AD1347*AE1347,2)</f>
        <v>3112.13</v>
      </c>
    </row>
    <row r="1348" spans="1:32" ht="15.75" x14ac:dyDescent="0.25">
      <c r="A1348" s="2017"/>
      <c r="B1348" s="2018"/>
      <c r="C1348" s="2018"/>
      <c r="D1348" s="2018"/>
      <c r="E1348" s="2018"/>
      <c r="F1348" s="2018"/>
      <c r="G1348" s="2018"/>
      <c r="H1348" s="2018"/>
      <c r="I1348" s="2018"/>
      <c r="J1348" s="2018"/>
      <c r="K1348" s="2018"/>
      <c r="L1348" s="2018"/>
      <c r="M1348" s="2018"/>
      <c r="N1348" s="2018"/>
      <c r="O1348" s="2018"/>
      <c r="P1348" s="2018"/>
      <c r="Q1348" s="2018"/>
      <c r="R1348" s="2018"/>
      <c r="S1348" s="2018"/>
      <c r="T1348" s="2018"/>
      <c r="U1348" s="2018"/>
      <c r="V1348" s="2018"/>
      <c r="W1348" s="2018"/>
      <c r="X1348" s="2018"/>
      <c r="Y1348" s="2094"/>
      <c r="Z1348" s="2096"/>
      <c r="AA1348" s="2097"/>
      <c r="AB1348" s="1050"/>
      <c r="AC1348" s="1050"/>
      <c r="AD1348" s="1050"/>
      <c r="AE1348" s="1051"/>
      <c r="AF1348" s="1052"/>
    </row>
    <row r="1349" spans="1:32" ht="15.75" x14ac:dyDescent="0.25">
      <c r="A1349" s="2017"/>
      <c r="B1349" s="2018"/>
      <c r="C1349" s="2018"/>
      <c r="D1349" s="2018"/>
      <c r="E1349" s="2018"/>
      <c r="F1349" s="2018"/>
      <c r="G1349" s="2018"/>
      <c r="H1349" s="2018"/>
      <c r="I1349" s="2018"/>
      <c r="J1349" s="2018"/>
      <c r="K1349" s="2018"/>
      <c r="L1349" s="2018"/>
      <c r="M1349" s="2018"/>
      <c r="N1349" s="2018"/>
      <c r="O1349" s="2018"/>
      <c r="P1349" s="2018"/>
      <c r="Q1349" s="2018"/>
      <c r="R1349" s="2018"/>
      <c r="S1349" s="2018"/>
      <c r="T1349" s="2018"/>
      <c r="U1349" s="2018"/>
      <c r="V1349" s="2018"/>
      <c r="W1349" s="2018"/>
      <c r="X1349" s="2018"/>
      <c r="Y1349" s="2094"/>
      <c r="Z1349" s="2096"/>
      <c r="AA1349" s="2097"/>
      <c r="AB1349" s="1050"/>
      <c r="AC1349" s="1050"/>
      <c r="AD1349" s="1050"/>
      <c r="AE1349" s="1051"/>
      <c r="AF1349" s="1052"/>
    </row>
    <row r="1350" spans="1:32" ht="15.75" x14ac:dyDescent="0.25">
      <c r="A1350" s="2017"/>
      <c r="B1350" s="2018"/>
      <c r="C1350" s="2018"/>
      <c r="D1350" s="2018"/>
      <c r="E1350" s="2018"/>
      <c r="F1350" s="2018"/>
      <c r="G1350" s="2018"/>
      <c r="H1350" s="2018"/>
      <c r="I1350" s="2018"/>
      <c r="J1350" s="2018"/>
      <c r="K1350" s="2018"/>
      <c r="L1350" s="2018"/>
      <c r="M1350" s="2018"/>
      <c r="N1350" s="2018"/>
      <c r="O1350" s="2018"/>
      <c r="P1350" s="2018"/>
      <c r="Q1350" s="2018"/>
      <c r="R1350" s="2018"/>
      <c r="S1350" s="2018"/>
      <c r="T1350" s="2018"/>
      <c r="U1350" s="2018"/>
      <c r="V1350" s="2018"/>
      <c r="W1350" s="2018"/>
      <c r="X1350" s="2018"/>
      <c r="Y1350" s="2094"/>
      <c r="Z1350" s="2096"/>
      <c r="AA1350" s="2097"/>
      <c r="AB1350" s="1050"/>
      <c r="AC1350" s="1050"/>
      <c r="AD1350" s="1050"/>
      <c r="AE1350" s="1051"/>
      <c r="AF1350" s="1052"/>
    </row>
    <row r="1351" spans="1:32" ht="15.75" x14ac:dyDescent="0.25">
      <c r="A1351" s="2017"/>
      <c r="B1351" s="2018"/>
      <c r="C1351" s="2018"/>
      <c r="D1351" s="2018"/>
      <c r="E1351" s="2018"/>
      <c r="F1351" s="2018"/>
      <c r="G1351" s="2018"/>
      <c r="H1351" s="2018"/>
      <c r="I1351" s="2018"/>
      <c r="J1351" s="2018"/>
      <c r="K1351" s="2018"/>
      <c r="L1351" s="2018"/>
      <c r="M1351" s="2018"/>
      <c r="N1351" s="2018"/>
      <c r="O1351" s="2018"/>
      <c r="P1351" s="2018"/>
      <c r="Q1351" s="2018"/>
      <c r="R1351" s="2018"/>
      <c r="S1351" s="2018"/>
      <c r="T1351" s="2018"/>
      <c r="U1351" s="2018"/>
      <c r="V1351" s="2018"/>
      <c r="W1351" s="2018"/>
      <c r="X1351" s="2018"/>
      <c r="Y1351" s="2094"/>
      <c r="Z1351" s="2096"/>
      <c r="AA1351" s="2097"/>
      <c r="AB1351" s="1050"/>
      <c r="AC1351" s="1050"/>
      <c r="AD1351" s="1050"/>
      <c r="AE1351" s="1051"/>
      <c r="AF1351" s="1052"/>
    </row>
    <row r="1352" spans="1:32" ht="15.75" x14ac:dyDescent="0.25">
      <c r="A1352" s="2017"/>
      <c r="B1352" s="2018"/>
      <c r="C1352" s="2018"/>
      <c r="D1352" s="2018"/>
      <c r="E1352" s="2018"/>
      <c r="F1352" s="2018"/>
      <c r="G1352" s="2018"/>
      <c r="H1352" s="2018"/>
      <c r="I1352" s="2018"/>
      <c r="J1352" s="2018"/>
      <c r="K1352" s="2018"/>
      <c r="L1352" s="2018"/>
      <c r="M1352" s="2018"/>
      <c r="N1352" s="2018"/>
      <c r="O1352" s="2018"/>
      <c r="P1352" s="2018"/>
      <c r="Q1352" s="2018"/>
      <c r="R1352" s="2018"/>
      <c r="S1352" s="2018"/>
      <c r="T1352" s="2018"/>
      <c r="U1352" s="2018"/>
      <c r="V1352" s="2018"/>
      <c r="W1352" s="2018"/>
      <c r="X1352" s="2018"/>
      <c r="Y1352" s="2094"/>
      <c r="Z1352" s="2096"/>
      <c r="AA1352" s="2097"/>
      <c r="AB1352" s="1050"/>
      <c r="AC1352" s="1050"/>
      <c r="AD1352" s="1050"/>
      <c r="AE1352" s="1051"/>
      <c r="AF1352" s="1052"/>
    </row>
    <row r="1353" spans="1:32" ht="15.75" x14ac:dyDescent="0.25">
      <c r="A1353" s="2017"/>
      <c r="B1353" s="2018"/>
      <c r="C1353" s="2018"/>
      <c r="D1353" s="2018"/>
      <c r="E1353" s="2018"/>
      <c r="F1353" s="2018"/>
      <c r="G1353" s="2018"/>
      <c r="H1353" s="2018"/>
      <c r="I1353" s="2018"/>
      <c r="J1353" s="2018"/>
      <c r="K1353" s="2018"/>
      <c r="L1353" s="2018"/>
      <c r="M1353" s="2018"/>
      <c r="N1353" s="2018"/>
      <c r="O1353" s="2018"/>
      <c r="P1353" s="2018"/>
      <c r="Q1353" s="2018"/>
      <c r="R1353" s="2018"/>
      <c r="S1353" s="2018"/>
      <c r="T1353" s="2018"/>
      <c r="U1353" s="2018"/>
      <c r="V1353" s="2018"/>
      <c r="W1353" s="2018"/>
      <c r="X1353" s="2018"/>
      <c r="Y1353" s="2094"/>
      <c r="Z1353" s="2096"/>
      <c r="AA1353" s="2097"/>
      <c r="AB1353" s="1050"/>
      <c r="AC1353" s="1050"/>
      <c r="AD1353" s="1050"/>
      <c r="AE1353" s="1051"/>
      <c r="AF1353" s="1052"/>
    </row>
    <row r="1354" spans="1:32" ht="15.75" x14ac:dyDescent="0.25">
      <c r="A1354" s="2017"/>
      <c r="B1354" s="2018"/>
      <c r="C1354" s="2018"/>
      <c r="D1354" s="2018"/>
      <c r="E1354" s="2018"/>
      <c r="F1354" s="2018"/>
      <c r="G1354" s="2018"/>
      <c r="H1354" s="2018"/>
      <c r="I1354" s="2018"/>
      <c r="J1354" s="2018"/>
      <c r="K1354" s="2018"/>
      <c r="L1354" s="2018"/>
      <c r="M1354" s="2018"/>
      <c r="N1354" s="2018"/>
      <c r="O1354" s="2018"/>
      <c r="P1354" s="2018"/>
      <c r="Q1354" s="2018"/>
      <c r="R1354" s="2018"/>
      <c r="S1354" s="2018"/>
      <c r="T1354" s="2018"/>
      <c r="U1354" s="2018"/>
      <c r="V1354" s="2018"/>
      <c r="W1354" s="2018"/>
      <c r="X1354" s="2018"/>
      <c r="Y1354" s="2094"/>
      <c r="Z1354" s="2096"/>
      <c r="AA1354" s="2097"/>
      <c r="AB1354" s="1053"/>
      <c r="AC1354" s="1053"/>
      <c r="AD1354" s="1053"/>
      <c r="AE1354" s="1051"/>
      <c r="AF1354" s="1052"/>
    </row>
    <row r="1355" spans="1:32" ht="15.75" x14ac:dyDescent="0.25">
      <c r="A1355" s="2017"/>
      <c r="B1355" s="2018"/>
      <c r="C1355" s="2018"/>
      <c r="D1355" s="2018"/>
      <c r="E1355" s="2018"/>
      <c r="F1355" s="2018"/>
      <c r="G1355" s="2018"/>
      <c r="H1355" s="2018"/>
      <c r="I1355" s="2018"/>
      <c r="J1355" s="2018"/>
      <c r="K1355" s="2018"/>
      <c r="L1355" s="2018"/>
      <c r="M1355" s="2018"/>
      <c r="N1355" s="2018"/>
      <c r="O1355" s="2018"/>
      <c r="P1355" s="2018"/>
      <c r="Q1355" s="2018"/>
      <c r="R1355" s="2018"/>
      <c r="S1355" s="2018"/>
      <c r="T1355" s="2018"/>
      <c r="U1355" s="2018"/>
      <c r="V1355" s="2018"/>
      <c r="W1355" s="2018"/>
      <c r="X1355" s="2018"/>
      <c r="Y1355" s="2094"/>
      <c r="Z1355" s="2096"/>
      <c r="AA1355" s="2097"/>
      <c r="AB1355" s="1053"/>
      <c r="AC1355" s="1053"/>
      <c r="AD1355" s="1053"/>
      <c r="AE1355" s="1050"/>
      <c r="AF1355" s="1054"/>
    </row>
    <row r="1356" spans="1:32" ht="15.75" x14ac:dyDescent="0.25">
      <c r="A1356" s="2017"/>
      <c r="B1356" s="2018"/>
      <c r="C1356" s="2018"/>
      <c r="D1356" s="2018"/>
      <c r="E1356" s="2018"/>
      <c r="F1356" s="2018"/>
      <c r="G1356" s="2018"/>
      <c r="H1356" s="2018"/>
      <c r="I1356" s="2018"/>
      <c r="J1356" s="2018"/>
      <c r="K1356" s="2018"/>
      <c r="L1356" s="2018"/>
      <c r="M1356" s="2018"/>
      <c r="N1356" s="2018"/>
      <c r="O1356" s="2018"/>
      <c r="P1356" s="2018"/>
      <c r="Q1356" s="2018"/>
      <c r="R1356" s="2018"/>
      <c r="S1356" s="2018"/>
      <c r="T1356" s="2018"/>
      <c r="U1356" s="2018"/>
      <c r="V1356" s="2018"/>
      <c r="W1356" s="2018"/>
      <c r="X1356" s="2018"/>
      <c r="Y1356" s="2094"/>
      <c r="Z1356" s="2096"/>
      <c r="AA1356" s="2097"/>
      <c r="AB1356" s="1053"/>
      <c r="AC1356" s="1053"/>
      <c r="AD1356" s="1053"/>
      <c r="AE1356" s="1051"/>
      <c r="AF1356" s="1054"/>
    </row>
    <row r="1357" spans="1:32" ht="15.75" x14ac:dyDescent="0.25">
      <c r="A1357" s="2017"/>
      <c r="B1357" s="2018"/>
      <c r="C1357" s="2018"/>
      <c r="D1357" s="2018"/>
      <c r="E1357" s="2018"/>
      <c r="F1357" s="2018"/>
      <c r="G1357" s="2018"/>
      <c r="H1357" s="2018"/>
      <c r="I1357" s="2018"/>
      <c r="J1357" s="2018"/>
      <c r="K1357" s="2018"/>
      <c r="L1357" s="2018"/>
      <c r="M1357" s="2018"/>
      <c r="N1357" s="2018"/>
      <c r="O1357" s="2018"/>
      <c r="P1357" s="2018"/>
      <c r="Q1357" s="2018"/>
      <c r="R1357" s="2018"/>
      <c r="S1357" s="2018"/>
      <c r="T1357" s="2018"/>
      <c r="U1357" s="2018"/>
      <c r="V1357" s="2018"/>
      <c r="W1357" s="2018"/>
      <c r="X1357" s="2018"/>
      <c r="Y1357" s="2094"/>
      <c r="Z1357" s="2096"/>
      <c r="AA1357" s="2097"/>
      <c r="AB1357" s="1053"/>
      <c r="AC1357" s="1053"/>
      <c r="AD1357" s="1053"/>
      <c r="AE1357" s="1051"/>
      <c r="AF1357" s="1054"/>
    </row>
    <row r="1358" spans="1:32" ht="15.75" x14ac:dyDescent="0.25">
      <c r="A1358" s="2017"/>
      <c r="B1358" s="2018"/>
      <c r="C1358" s="2018"/>
      <c r="D1358" s="2018"/>
      <c r="E1358" s="2018"/>
      <c r="F1358" s="2018"/>
      <c r="G1358" s="2018"/>
      <c r="H1358" s="2018"/>
      <c r="I1358" s="2018"/>
      <c r="J1358" s="2018"/>
      <c r="K1358" s="2018"/>
      <c r="L1358" s="2018"/>
      <c r="M1358" s="2018"/>
      <c r="N1358" s="2018"/>
      <c r="O1358" s="2018"/>
      <c r="P1358" s="2018"/>
      <c r="Q1358" s="2018"/>
      <c r="R1358" s="2018"/>
      <c r="S1358" s="2018"/>
      <c r="T1358" s="2018"/>
      <c r="U1358" s="2018"/>
      <c r="V1358" s="2018"/>
      <c r="W1358" s="2018"/>
      <c r="X1358" s="2018"/>
      <c r="Y1358" s="2094"/>
      <c r="Z1358" s="2096"/>
      <c r="AA1358" s="2097"/>
      <c r="AB1358" s="1053"/>
      <c r="AC1358" s="1053"/>
      <c r="AD1358" s="1053"/>
      <c r="AE1358" s="1051"/>
      <c r="AF1358" s="1054"/>
    </row>
    <row r="1359" spans="1:32" ht="15.75" x14ac:dyDescent="0.25">
      <c r="A1359" s="2017"/>
      <c r="B1359" s="2018"/>
      <c r="C1359" s="2018"/>
      <c r="D1359" s="2018"/>
      <c r="E1359" s="2018"/>
      <c r="F1359" s="2018"/>
      <c r="G1359" s="2018"/>
      <c r="H1359" s="2018"/>
      <c r="I1359" s="2018"/>
      <c r="J1359" s="2018"/>
      <c r="K1359" s="2018"/>
      <c r="L1359" s="2018"/>
      <c r="M1359" s="2018"/>
      <c r="N1359" s="2018"/>
      <c r="O1359" s="2018"/>
      <c r="P1359" s="2018"/>
      <c r="Q1359" s="2018"/>
      <c r="R1359" s="2018"/>
      <c r="S1359" s="2018"/>
      <c r="T1359" s="2018"/>
      <c r="U1359" s="2018"/>
      <c r="V1359" s="2018"/>
      <c r="W1359" s="2018"/>
      <c r="X1359" s="2018"/>
      <c r="Y1359" s="2094"/>
      <c r="Z1359" s="2096"/>
      <c r="AA1359" s="2097"/>
      <c r="AB1359" s="1053"/>
      <c r="AC1359" s="1053"/>
      <c r="AD1359" s="1053"/>
      <c r="AE1359" s="1051"/>
      <c r="AF1359" s="1054"/>
    </row>
    <row r="1360" spans="1:32" ht="15.75" x14ac:dyDescent="0.25">
      <c r="A1360" s="2017"/>
      <c r="B1360" s="2018"/>
      <c r="C1360" s="2018"/>
      <c r="D1360" s="2018"/>
      <c r="E1360" s="2018"/>
      <c r="F1360" s="2018"/>
      <c r="G1360" s="2018"/>
      <c r="H1360" s="2018"/>
      <c r="I1360" s="2018"/>
      <c r="J1360" s="2018"/>
      <c r="K1360" s="2018"/>
      <c r="L1360" s="2018"/>
      <c r="M1360" s="2018"/>
      <c r="N1360" s="2018"/>
      <c r="O1360" s="2018"/>
      <c r="P1360" s="2018"/>
      <c r="Q1360" s="2018"/>
      <c r="R1360" s="2018"/>
      <c r="S1360" s="2018"/>
      <c r="T1360" s="2018"/>
      <c r="U1360" s="2018"/>
      <c r="V1360" s="2018"/>
      <c r="W1360" s="2018"/>
      <c r="X1360" s="2018"/>
      <c r="Y1360" s="2094"/>
      <c r="Z1360" s="2096"/>
      <c r="AA1360" s="2097"/>
      <c r="AB1360" s="1053"/>
      <c r="AC1360" s="1053"/>
      <c r="AD1360" s="1053"/>
      <c r="AE1360" s="1051"/>
      <c r="AF1360" s="1054"/>
    </row>
    <row r="1361" spans="1:32" ht="15.75" x14ac:dyDescent="0.25">
      <c r="A1361" s="2017"/>
      <c r="B1361" s="2018"/>
      <c r="C1361" s="2018"/>
      <c r="D1361" s="2018"/>
      <c r="E1361" s="2018"/>
      <c r="F1361" s="2018"/>
      <c r="G1361" s="2018"/>
      <c r="H1361" s="2018"/>
      <c r="I1361" s="2018"/>
      <c r="J1361" s="2018"/>
      <c r="K1361" s="2018"/>
      <c r="L1361" s="2018"/>
      <c r="M1361" s="2018"/>
      <c r="N1361" s="2018"/>
      <c r="O1361" s="2018"/>
      <c r="P1361" s="2018"/>
      <c r="Q1361" s="2018"/>
      <c r="R1361" s="2018"/>
      <c r="S1361" s="2018"/>
      <c r="T1361" s="2018"/>
      <c r="U1361" s="2018"/>
      <c r="V1361" s="2018"/>
      <c r="W1361" s="2018"/>
      <c r="X1361" s="2018"/>
      <c r="Y1361" s="2094"/>
      <c r="Z1361" s="2096"/>
      <c r="AA1361" s="2097"/>
      <c r="AB1361" s="1055"/>
      <c r="AC1361" s="1055"/>
      <c r="AD1361" s="1055"/>
      <c r="AE1361" s="1051"/>
      <c r="AF1361" s="1056"/>
    </row>
    <row r="1362" spans="1:32" ht="15.75" x14ac:dyDescent="0.25">
      <c r="A1362" s="2017"/>
      <c r="B1362" s="2018"/>
      <c r="C1362" s="2018"/>
      <c r="D1362" s="2018"/>
      <c r="E1362" s="2018"/>
      <c r="F1362" s="2018"/>
      <c r="G1362" s="2018"/>
      <c r="H1362" s="2018"/>
      <c r="I1362" s="2018"/>
      <c r="J1362" s="2018"/>
      <c r="K1362" s="2018"/>
      <c r="L1362" s="2018"/>
      <c r="M1362" s="2018"/>
      <c r="N1362" s="2018"/>
      <c r="O1362" s="2018"/>
      <c r="P1362" s="2018"/>
      <c r="Q1362" s="2018"/>
      <c r="R1362" s="2018"/>
      <c r="S1362" s="2018"/>
      <c r="T1362" s="2018"/>
      <c r="U1362" s="2018"/>
      <c r="V1362" s="2018"/>
      <c r="W1362" s="2018"/>
      <c r="X1362" s="2018"/>
      <c r="Y1362" s="2094"/>
      <c r="Z1362" s="2096"/>
      <c r="AA1362" s="2097"/>
      <c r="AB1362" s="1055"/>
      <c r="AC1362" s="1055"/>
      <c r="AD1362" s="1055"/>
      <c r="AE1362" s="1055"/>
      <c r="AF1362" s="1056"/>
    </row>
    <row r="1363" spans="1:32" ht="15.75" x14ac:dyDescent="0.25">
      <c r="A1363" s="2017"/>
      <c r="B1363" s="2018"/>
      <c r="C1363" s="2018"/>
      <c r="D1363" s="2018"/>
      <c r="E1363" s="2018"/>
      <c r="F1363" s="2018"/>
      <c r="G1363" s="2018"/>
      <c r="H1363" s="2018"/>
      <c r="I1363" s="2018"/>
      <c r="J1363" s="2018"/>
      <c r="K1363" s="2018"/>
      <c r="L1363" s="2018"/>
      <c r="M1363" s="2018"/>
      <c r="N1363" s="2018"/>
      <c r="O1363" s="2018"/>
      <c r="P1363" s="2018"/>
      <c r="Q1363" s="2018"/>
      <c r="R1363" s="2018"/>
      <c r="S1363" s="2018"/>
      <c r="T1363" s="2018"/>
      <c r="U1363" s="2018"/>
      <c r="V1363" s="2018"/>
      <c r="W1363" s="2018"/>
      <c r="X1363" s="2018"/>
      <c r="Y1363" s="2094"/>
      <c r="Z1363" s="2096"/>
      <c r="AA1363" s="2097"/>
      <c r="AB1363" s="1055"/>
      <c r="AC1363" s="1055"/>
      <c r="AD1363" s="1055"/>
      <c r="AE1363" s="1055"/>
      <c r="AF1363" s="1056"/>
    </row>
    <row r="1364" spans="1:32" ht="15.75" x14ac:dyDescent="0.25">
      <c r="A1364" s="2017"/>
      <c r="B1364" s="2018"/>
      <c r="C1364" s="2018"/>
      <c r="D1364" s="2018"/>
      <c r="E1364" s="2018"/>
      <c r="F1364" s="2018"/>
      <c r="G1364" s="2018"/>
      <c r="H1364" s="2018"/>
      <c r="I1364" s="2018"/>
      <c r="J1364" s="2018"/>
      <c r="K1364" s="2018"/>
      <c r="L1364" s="2018"/>
      <c r="M1364" s="2018"/>
      <c r="N1364" s="2018"/>
      <c r="O1364" s="2018"/>
      <c r="P1364" s="2018"/>
      <c r="Q1364" s="2018"/>
      <c r="R1364" s="2018"/>
      <c r="S1364" s="2018"/>
      <c r="T1364" s="2018"/>
      <c r="U1364" s="2018"/>
      <c r="V1364" s="2018"/>
      <c r="W1364" s="2018"/>
      <c r="X1364" s="2018"/>
      <c r="Y1364" s="2094"/>
      <c r="Z1364" s="2096"/>
      <c r="AA1364" s="2097"/>
      <c r="AB1364" s="1055"/>
      <c r="AC1364" s="1055"/>
      <c r="AD1364" s="1055"/>
      <c r="AE1364" s="1055"/>
      <c r="AF1364" s="1056"/>
    </row>
    <row r="1365" spans="1:32" ht="15.75" x14ac:dyDescent="0.25">
      <c r="A1365" s="2017"/>
      <c r="B1365" s="2018"/>
      <c r="C1365" s="2018"/>
      <c r="D1365" s="2018"/>
      <c r="E1365" s="2018"/>
      <c r="F1365" s="2018"/>
      <c r="G1365" s="2018"/>
      <c r="H1365" s="2018"/>
      <c r="I1365" s="2018"/>
      <c r="J1365" s="2018"/>
      <c r="K1365" s="2018"/>
      <c r="L1365" s="2018"/>
      <c r="M1365" s="2018"/>
      <c r="N1365" s="2018"/>
      <c r="O1365" s="2018"/>
      <c r="P1365" s="2018"/>
      <c r="Q1365" s="2018"/>
      <c r="R1365" s="2018"/>
      <c r="S1365" s="2018"/>
      <c r="T1365" s="2018"/>
      <c r="U1365" s="2018"/>
      <c r="V1365" s="2018"/>
      <c r="W1365" s="2018"/>
      <c r="X1365" s="2018"/>
      <c r="Y1365" s="2094"/>
      <c r="Z1365" s="2096"/>
      <c r="AA1365" s="2097"/>
      <c r="AB1365" s="1055"/>
      <c r="AC1365" s="1055"/>
      <c r="AD1365" s="1055"/>
      <c r="AE1365" s="1055"/>
      <c r="AF1365" s="1056"/>
    </row>
    <row r="1366" spans="1:32" ht="15.75" x14ac:dyDescent="0.25">
      <c r="A1366" s="2017"/>
      <c r="B1366" s="2018"/>
      <c r="C1366" s="2018"/>
      <c r="D1366" s="2018"/>
      <c r="E1366" s="2018"/>
      <c r="F1366" s="2018"/>
      <c r="G1366" s="2018"/>
      <c r="H1366" s="2018"/>
      <c r="I1366" s="2018"/>
      <c r="J1366" s="2018"/>
      <c r="K1366" s="2018"/>
      <c r="L1366" s="2018"/>
      <c r="M1366" s="2018"/>
      <c r="N1366" s="2018"/>
      <c r="O1366" s="2018"/>
      <c r="P1366" s="2018"/>
      <c r="Q1366" s="2018"/>
      <c r="R1366" s="2018"/>
      <c r="S1366" s="2018"/>
      <c r="T1366" s="2018"/>
      <c r="U1366" s="2018"/>
      <c r="V1366" s="2018"/>
      <c r="W1366" s="2018"/>
      <c r="X1366" s="2018"/>
      <c r="Y1366" s="2094"/>
      <c r="Z1366" s="2096"/>
      <c r="AA1366" s="2097"/>
      <c r="AB1366" s="1055"/>
      <c r="AC1366" s="1055"/>
      <c r="AD1366" s="1055"/>
      <c r="AE1366" s="1055"/>
      <c r="AF1366" s="1056"/>
    </row>
    <row r="1367" spans="1:32" ht="16.5" thickBot="1" x14ac:dyDescent="0.3">
      <c r="A1367" s="2019"/>
      <c r="B1367" s="2020"/>
      <c r="C1367" s="2020"/>
      <c r="D1367" s="2020"/>
      <c r="E1367" s="2020"/>
      <c r="F1367" s="2020"/>
      <c r="G1367" s="2020"/>
      <c r="H1367" s="2020"/>
      <c r="I1367" s="2020"/>
      <c r="J1367" s="2020"/>
      <c r="K1367" s="2020"/>
      <c r="L1367" s="2020"/>
      <c r="M1367" s="2020"/>
      <c r="N1367" s="2020"/>
      <c r="O1367" s="2020"/>
      <c r="P1367" s="2020"/>
      <c r="Q1367" s="2020"/>
      <c r="R1367" s="2020"/>
      <c r="S1367" s="2020"/>
      <c r="T1367" s="2020"/>
      <c r="U1367" s="2020"/>
      <c r="V1367" s="2020"/>
      <c r="W1367" s="2020"/>
      <c r="X1367" s="2020"/>
      <c r="Y1367" s="2095"/>
      <c r="Z1367" s="2098"/>
      <c r="AA1367" s="2099"/>
      <c r="AB1367" s="1057"/>
      <c r="AC1367" s="1057"/>
      <c r="AD1367" s="1057"/>
      <c r="AE1367" s="1057"/>
      <c r="AF1367" s="1058"/>
    </row>
    <row r="1368" spans="1:32" ht="15.75" x14ac:dyDescent="0.25">
      <c r="A1368" s="2009" t="s">
        <v>2411</v>
      </c>
      <c r="B1368" s="2010"/>
      <c r="C1368" s="2010"/>
      <c r="D1368" s="2010"/>
      <c r="E1368" s="2010"/>
      <c r="F1368" s="2010"/>
      <c r="G1368" s="2010"/>
      <c r="H1368" s="2010"/>
      <c r="I1368" s="2010"/>
      <c r="J1368" s="2010"/>
      <c r="K1368" s="2010"/>
      <c r="L1368" s="2010"/>
      <c r="M1368" s="2010"/>
      <c r="N1368" s="2010"/>
      <c r="O1368" s="2010"/>
      <c r="P1368" s="2010"/>
      <c r="Q1368" s="2010"/>
      <c r="R1368" s="2010"/>
      <c r="S1368" s="2010"/>
      <c r="T1368" s="2010"/>
      <c r="U1368" s="2010"/>
      <c r="V1368" s="2010"/>
      <c r="W1368" s="2010"/>
      <c r="X1368" s="2010"/>
      <c r="Y1368" s="2010"/>
      <c r="Z1368" s="2013" t="s">
        <v>1850</v>
      </c>
      <c r="AA1368" s="2013"/>
      <c r="AB1368" s="2013"/>
      <c r="AC1368" s="2013"/>
      <c r="AD1368" s="2013"/>
      <c r="AE1368" s="2013"/>
      <c r="AF1368" s="1059">
        <f>SUM(AF1347:AF1367)</f>
        <v>3112.13</v>
      </c>
    </row>
    <row r="1369" spans="1:32" ht="15.75" x14ac:dyDescent="0.25">
      <c r="A1369" s="2011"/>
      <c r="B1369" s="2012"/>
      <c r="C1369" s="2012"/>
      <c r="D1369" s="2012"/>
      <c r="E1369" s="2012"/>
      <c r="F1369" s="2012"/>
      <c r="G1369" s="2012"/>
      <c r="H1369" s="2012"/>
      <c r="I1369" s="2012"/>
      <c r="J1369" s="2012"/>
      <c r="K1369" s="2012"/>
      <c r="L1369" s="2012"/>
      <c r="M1369" s="2012"/>
      <c r="N1369" s="2012"/>
      <c r="O1369" s="2012"/>
      <c r="P1369" s="2012"/>
      <c r="Q1369" s="2012"/>
      <c r="R1369" s="2012"/>
      <c r="S1369" s="2012"/>
      <c r="T1369" s="2012"/>
      <c r="U1369" s="2012"/>
      <c r="V1369" s="2012"/>
      <c r="W1369" s="2012"/>
      <c r="X1369" s="2012"/>
      <c r="Y1369" s="2012"/>
      <c r="Z1369" s="2014" t="s">
        <v>1851</v>
      </c>
      <c r="AA1369" s="2014"/>
      <c r="AB1369" s="2014"/>
      <c r="AC1369" s="2014"/>
      <c r="AD1369" s="2014"/>
      <c r="AE1369" s="2014"/>
      <c r="AF1369" s="1060">
        <v>0</v>
      </c>
    </row>
    <row r="1370" spans="1:32" ht="15.75" x14ac:dyDescent="0.25">
      <c r="A1370" s="2011"/>
      <c r="B1370" s="2012"/>
      <c r="C1370" s="2012"/>
      <c r="D1370" s="2012"/>
      <c r="E1370" s="2012"/>
      <c r="F1370" s="2012"/>
      <c r="G1370" s="2012"/>
      <c r="H1370" s="2012"/>
      <c r="I1370" s="2012"/>
      <c r="J1370" s="2012"/>
      <c r="K1370" s="2012"/>
      <c r="L1370" s="2012"/>
      <c r="M1370" s="2012"/>
      <c r="N1370" s="2012"/>
      <c r="O1370" s="2012"/>
      <c r="P1370" s="2012"/>
      <c r="Q1370" s="2012"/>
      <c r="R1370" s="2012"/>
      <c r="S1370" s="2012"/>
      <c r="T1370" s="2012"/>
      <c r="U1370" s="2012"/>
      <c r="V1370" s="2012"/>
      <c r="W1370" s="2012"/>
      <c r="X1370" s="2012"/>
      <c r="Y1370" s="2012"/>
      <c r="Z1370" s="2015" t="s">
        <v>1833</v>
      </c>
      <c r="AA1370" s="2015"/>
      <c r="AB1370" s="2015"/>
      <c r="AC1370" s="2015"/>
      <c r="AD1370" s="2015"/>
      <c r="AE1370" s="2015"/>
      <c r="AF1370" s="1061">
        <f>SUM(AF1368:AF1369)</f>
        <v>3112.13</v>
      </c>
    </row>
    <row r="1371" spans="1:32" x14ac:dyDescent="0.2">
      <c r="A1371" s="2012" t="s">
        <v>1859</v>
      </c>
      <c r="B1371" s="2012"/>
      <c r="C1371" s="2012"/>
      <c r="D1371" s="2012"/>
      <c r="E1371" s="2012"/>
      <c r="F1371" s="2012"/>
      <c r="G1371" s="2012"/>
      <c r="H1371" s="2012"/>
      <c r="I1371" s="2012"/>
      <c r="J1371" s="2012"/>
      <c r="K1371" s="2012"/>
      <c r="L1371" s="2012"/>
      <c r="M1371" s="2012"/>
      <c r="N1371" s="2012"/>
      <c r="O1371" s="2012"/>
      <c r="P1371" s="2012"/>
      <c r="Q1371" s="2012"/>
      <c r="R1371" s="2012"/>
      <c r="S1371" s="2012"/>
      <c r="T1371" s="2016" t="s">
        <v>1840</v>
      </c>
      <c r="U1371" s="2016"/>
      <c r="V1371" s="2016"/>
      <c r="W1371" s="2016"/>
      <c r="X1371" s="2016"/>
      <c r="Y1371" s="2016"/>
      <c r="Z1371" s="2016"/>
      <c r="AA1371" s="2016"/>
      <c r="AB1371" s="2012" t="s">
        <v>1852</v>
      </c>
      <c r="AC1371" s="2012"/>
      <c r="AD1371" s="2012"/>
      <c r="AE1371" s="2012"/>
      <c r="AF1371" s="2012"/>
    </row>
    <row r="1372" spans="1:32" x14ac:dyDescent="0.2">
      <c r="A1372" s="2012"/>
      <c r="B1372" s="2012"/>
      <c r="C1372" s="2012"/>
      <c r="D1372" s="2012"/>
      <c r="E1372" s="2012"/>
      <c r="F1372" s="2012"/>
      <c r="G1372" s="2012"/>
      <c r="H1372" s="2012"/>
      <c r="I1372" s="2012"/>
      <c r="J1372" s="2012"/>
      <c r="K1372" s="2012"/>
      <c r="L1372" s="2012"/>
      <c r="M1372" s="2012"/>
      <c r="N1372" s="2012"/>
      <c r="O1372" s="2012"/>
      <c r="P1372" s="2012"/>
      <c r="Q1372" s="2012"/>
      <c r="R1372" s="2012"/>
      <c r="S1372" s="2012"/>
      <c r="T1372" s="2016"/>
      <c r="U1372" s="2016"/>
      <c r="V1372" s="2016"/>
      <c r="W1372" s="2016"/>
      <c r="X1372" s="2016"/>
      <c r="Y1372" s="2016"/>
      <c r="Z1372" s="2016"/>
      <c r="AA1372" s="2016"/>
      <c r="AB1372" s="2012"/>
      <c r="AC1372" s="2012"/>
      <c r="AD1372" s="2012"/>
      <c r="AE1372" s="2012"/>
      <c r="AF1372" s="2012"/>
    </row>
    <row r="1373" spans="1:32" ht="13.5" thickBot="1" x14ac:dyDescent="0.25"/>
    <row r="1374" spans="1:32" ht="21.6" customHeight="1" x14ac:dyDescent="0.2">
      <c r="A1374" s="2025" t="s">
        <v>1854</v>
      </c>
      <c r="B1374" s="2026"/>
      <c r="C1374" s="2026"/>
      <c r="D1374" s="2026"/>
      <c r="E1374" s="2026"/>
      <c r="F1374" s="2026"/>
      <c r="G1374" s="2026"/>
      <c r="H1374" s="2026"/>
      <c r="I1374" s="2026"/>
      <c r="J1374" s="2026"/>
      <c r="K1374" s="2026"/>
      <c r="L1374" s="2026"/>
      <c r="M1374" s="2026"/>
      <c r="N1374" s="2026"/>
      <c r="O1374" s="2026"/>
      <c r="P1374" s="2026"/>
      <c r="Q1374" s="2026"/>
      <c r="R1374" s="2026"/>
      <c r="S1374" s="2026"/>
      <c r="T1374" s="2026"/>
      <c r="U1374" s="2026"/>
      <c r="V1374" s="2026"/>
      <c r="W1374" s="2026"/>
      <c r="X1374" s="2026"/>
      <c r="Y1374" s="2026"/>
      <c r="Z1374" s="2026"/>
      <c r="AA1374" s="2026"/>
      <c r="AB1374" s="2026"/>
      <c r="AC1374" s="2026"/>
      <c r="AD1374" s="2026"/>
      <c r="AE1374" s="1041" t="s">
        <v>1834</v>
      </c>
      <c r="AF1374" s="1042" t="s">
        <v>1835</v>
      </c>
    </row>
    <row r="1375" spans="1:32" ht="22.15" customHeight="1" thickBot="1" x14ac:dyDescent="0.25">
      <c r="A1375" s="2027"/>
      <c r="B1375" s="2028"/>
      <c r="C1375" s="2028"/>
      <c r="D1375" s="2028"/>
      <c r="E1375" s="2028"/>
      <c r="F1375" s="2028"/>
      <c r="G1375" s="2028"/>
      <c r="H1375" s="2028"/>
      <c r="I1375" s="2028"/>
      <c r="J1375" s="2028"/>
      <c r="K1375" s="2028"/>
      <c r="L1375" s="2028"/>
      <c r="M1375" s="2028"/>
      <c r="N1375" s="2028"/>
      <c r="O1375" s="2028"/>
      <c r="P1375" s="2028"/>
      <c r="Q1375" s="2028"/>
      <c r="R1375" s="2028"/>
      <c r="S1375" s="2028"/>
      <c r="T1375" s="2028"/>
      <c r="U1375" s="2028"/>
      <c r="V1375" s="2028"/>
      <c r="W1375" s="2028"/>
      <c r="X1375" s="2028"/>
      <c r="Y1375" s="2028"/>
      <c r="Z1375" s="2028"/>
      <c r="AA1375" s="2028"/>
      <c r="AB1375" s="2028"/>
      <c r="AC1375" s="2028"/>
      <c r="AD1375" s="2028"/>
      <c r="AE1375" s="1041" t="s">
        <v>1836</v>
      </c>
      <c r="AF1375" s="1044">
        <v>1</v>
      </c>
    </row>
    <row r="1376" spans="1:32" ht="15.75" x14ac:dyDescent="0.2">
      <c r="A1376" s="2029"/>
      <c r="B1376" s="2030"/>
      <c r="C1376" s="2030"/>
      <c r="D1376" s="2031"/>
      <c r="E1376" s="2025" t="str">
        <f>'01'!$A$12</f>
        <v>"CONSTRUCCION SISTEMA DE ACUEDUCTO FASE II DEL MUNICIPIO DE TESALIA DPTO DEL HUILA"</v>
      </c>
      <c r="F1376" s="2026"/>
      <c r="G1376" s="2026"/>
      <c r="H1376" s="2026"/>
      <c r="I1376" s="2026"/>
      <c r="J1376" s="2026"/>
      <c r="K1376" s="2026"/>
      <c r="L1376" s="2026"/>
      <c r="M1376" s="2026"/>
      <c r="N1376" s="2026"/>
      <c r="O1376" s="2026"/>
      <c r="P1376" s="2026"/>
      <c r="Q1376" s="2026"/>
      <c r="R1376" s="2026"/>
      <c r="S1376" s="2026"/>
      <c r="T1376" s="2026"/>
      <c r="U1376" s="2026"/>
      <c r="V1376" s="2026"/>
      <c r="W1376" s="2026"/>
      <c r="X1376" s="2026"/>
      <c r="Y1376" s="2026"/>
      <c r="Z1376" s="2026"/>
      <c r="AA1376" s="2026"/>
      <c r="AB1376" s="2026"/>
      <c r="AC1376" s="2026"/>
      <c r="AD1376" s="2035"/>
      <c r="AE1376" s="1041" t="s">
        <v>847</v>
      </c>
      <c r="AF1376" s="1045">
        <f>'01'!$M$13</f>
        <v>0</v>
      </c>
    </row>
    <row r="1377" spans="1:32" ht="16.5" thickBot="1" x14ac:dyDescent="0.25">
      <c r="A1377" s="2032"/>
      <c r="B1377" s="2033"/>
      <c r="C1377" s="2033"/>
      <c r="D1377" s="2034"/>
      <c r="E1377" s="2027"/>
      <c r="F1377" s="2028"/>
      <c r="G1377" s="2028"/>
      <c r="H1377" s="2028"/>
      <c r="I1377" s="2028"/>
      <c r="J1377" s="2028"/>
      <c r="K1377" s="2028"/>
      <c r="L1377" s="2028"/>
      <c r="M1377" s="2028"/>
      <c r="N1377" s="2028"/>
      <c r="O1377" s="2028"/>
      <c r="P1377" s="2028"/>
      <c r="Q1377" s="2028"/>
      <c r="R1377" s="2028"/>
      <c r="S1377" s="2028"/>
      <c r="T1377" s="2028"/>
      <c r="U1377" s="2028"/>
      <c r="V1377" s="2028"/>
      <c r="W1377" s="2028"/>
      <c r="X1377" s="2028"/>
      <c r="Y1377" s="2028"/>
      <c r="Z1377" s="2028"/>
      <c r="AA1377" s="2028"/>
      <c r="AB1377" s="2028"/>
      <c r="AC1377" s="2028"/>
      <c r="AD1377" s="2036"/>
      <c r="AE1377" s="1041" t="s">
        <v>1837</v>
      </c>
      <c r="AF1377" s="1042" t="s">
        <v>1838</v>
      </c>
    </row>
    <row r="1378" spans="1:32" ht="15.75" x14ac:dyDescent="0.25">
      <c r="A1378" s="2037" t="s">
        <v>1860</v>
      </c>
      <c r="B1378" s="2038"/>
      <c r="C1378" s="2038"/>
      <c r="D1378" s="2038"/>
      <c r="E1378" s="2038"/>
      <c r="F1378" s="2038"/>
      <c r="G1378" s="2038"/>
      <c r="H1378" s="2038"/>
      <c r="I1378" s="2038"/>
      <c r="J1378" s="2038"/>
      <c r="K1378" s="2038"/>
      <c r="L1378" s="2038"/>
      <c r="M1378" s="2038"/>
      <c r="N1378" s="2038"/>
      <c r="O1378" s="2038"/>
      <c r="P1378" s="2038"/>
      <c r="Q1378" s="2038"/>
      <c r="R1378" s="2038"/>
      <c r="S1378" s="2038"/>
      <c r="T1378" s="2038"/>
      <c r="U1378" s="2038"/>
      <c r="V1378" s="2038"/>
      <c r="W1378" s="2038"/>
      <c r="X1378" s="2038"/>
      <c r="Y1378" s="2038"/>
      <c r="Z1378" s="2038"/>
      <c r="AA1378" s="2038"/>
      <c r="AB1378" s="2038"/>
      <c r="AC1378" s="2038"/>
      <c r="AD1378" s="2038"/>
      <c r="AE1378" s="2039" t="s">
        <v>1839</v>
      </c>
      <c r="AF1378" s="2040"/>
    </row>
    <row r="1379" spans="1:32" ht="15.75" x14ac:dyDescent="0.25">
      <c r="A1379" s="2041" t="s">
        <v>1840</v>
      </c>
      <c r="B1379" s="2042"/>
      <c r="C1379" s="2042"/>
      <c r="D1379" s="2042"/>
      <c r="E1379" s="2042"/>
      <c r="F1379" s="2042"/>
      <c r="G1379" s="2042"/>
      <c r="H1379" s="2042"/>
      <c r="I1379" s="2042"/>
      <c r="J1379" s="2042"/>
      <c r="K1379" s="2042"/>
      <c r="L1379" s="2042"/>
      <c r="M1379" s="2042"/>
      <c r="N1379" s="2042"/>
      <c r="O1379" s="2042"/>
      <c r="P1379" s="2042"/>
      <c r="Q1379" s="2042"/>
      <c r="R1379" s="2042"/>
      <c r="S1379" s="2042"/>
      <c r="T1379" s="2042"/>
      <c r="U1379" s="2042"/>
      <c r="V1379" s="2042"/>
      <c r="W1379" s="2042"/>
      <c r="X1379" s="2042"/>
      <c r="Y1379" s="2042"/>
      <c r="Z1379" s="2042"/>
      <c r="AA1379" s="2042"/>
      <c r="AB1379" s="2042"/>
      <c r="AC1379" s="2042"/>
      <c r="AD1379" s="2043"/>
      <c r="AE1379" s="2014" t="s">
        <v>1841</v>
      </c>
      <c r="AF1379" s="2044"/>
    </row>
    <row r="1380" spans="1:32" ht="15.75" x14ac:dyDescent="0.25">
      <c r="A1380" s="2045" t="s">
        <v>1853</v>
      </c>
      <c r="B1380" s="2046"/>
      <c r="C1380" s="2046"/>
      <c r="D1380" s="2046"/>
      <c r="E1380" s="2046"/>
      <c r="F1380" s="2046"/>
      <c r="G1380" s="2046"/>
      <c r="H1380" s="2046"/>
      <c r="I1380" s="2046"/>
      <c r="J1380" s="2046"/>
      <c r="K1380" s="2046"/>
      <c r="L1380" s="2046"/>
      <c r="M1380" s="2046"/>
      <c r="N1380" s="2046"/>
      <c r="O1380" s="2046"/>
      <c r="P1380" s="2046"/>
      <c r="Q1380" s="2046"/>
      <c r="R1380" s="2046"/>
      <c r="S1380" s="2046"/>
      <c r="T1380" s="2046"/>
      <c r="U1380" s="2046"/>
      <c r="V1380" s="2046"/>
      <c r="W1380" s="2046"/>
      <c r="X1380" s="2046"/>
      <c r="Y1380" s="2046"/>
      <c r="Z1380" s="2046"/>
      <c r="AA1380" s="2046"/>
      <c r="AB1380" s="2046"/>
      <c r="AC1380" s="2046"/>
      <c r="AD1380" s="2046"/>
      <c r="AE1380" s="2047">
        <f>'01'!$M$13</f>
        <v>0</v>
      </c>
      <c r="AF1380" s="2044"/>
    </row>
    <row r="1381" spans="1:32" x14ac:dyDescent="0.2">
      <c r="A1381" s="1046"/>
      <c r="B1381" s="1047"/>
      <c r="C1381" s="1047"/>
      <c r="D1381" s="1047"/>
      <c r="E1381" s="1047"/>
      <c r="F1381" s="1047"/>
      <c r="G1381" s="1047"/>
      <c r="H1381" s="1047"/>
      <c r="I1381" s="1047"/>
      <c r="J1381" s="1047"/>
      <c r="K1381" s="1047"/>
      <c r="L1381" s="1047"/>
      <c r="M1381" s="1047"/>
      <c r="N1381" s="1047"/>
      <c r="O1381" s="1047"/>
      <c r="P1381" s="1047"/>
      <c r="Q1381" s="1047"/>
      <c r="R1381" s="1047"/>
      <c r="S1381" s="1047"/>
      <c r="T1381" s="1047"/>
      <c r="U1381" s="1047"/>
      <c r="V1381" s="1047"/>
      <c r="W1381" s="1047"/>
      <c r="X1381" s="1047"/>
      <c r="Y1381" s="1047"/>
      <c r="Z1381" s="1047"/>
      <c r="AA1381" s="1047"/>
      <c r="AB1381" s="1047"/>
      <c r="AC1381" s="1047"/>
      <c r="AD1381" s="1047"/>
      <c r="AE1381" s="1047"/>
      <c r="AF1381" s="1048"/>
    </row>
    <row r="1382" spans="1:32" ht="30" customHeight="1" x14ac:dyDescent="0.2">
      <c r="A1382" s="2048" t="s">
        <v>1842</v>
      </c>
      <c r="B1382" s="2049"/>
      <c r="C1382" s="2049"/>
      <c r="D1382" s="2049"/>
      <c r="E1382" s="2049"/>
      <c r="F1382" s="2050" t="str">
        <f>+'01'!$H$63</f>
        <v>C - FLOCULADOR, SEDIMENTADOR, CANAL DE AGUA SEDIMENTADA Y CANAL DE LAVADO</v>
      </c>
      <c r="G1382" s="2049"/>
      <c r="H1382" s="2049"/>
      <c r="I1382" s="2049"/>
      <c r="J1382" s="2049"/>
      <c r="K1382" s="2049"/>
      <c r="L1382" s="2049"/>
      <c r="M1382" s="2049"/>
      <c r="N1382" s="2049"/>
      <c r="O1382" s="2049"/>
      <c r="P1382" s="2049"/>
      <c r="Q1382" s="2049"/>
      <c r="R1382" s="2049"/>
      <c r="S1382" s="2049"/>
      <c r="T1382" s="2049"/>
      <c r="U1382" s="2049"/>
      <c r="V1382" s="2049"/>
      <c r="W1382" s="2049"/>
      <c r="X1382" s="2049"/>
      <c r="Y1382" s="2051"/>
      <c r="Z1382" s="2052" t="s">
        <v>1843</v>
      </c>
      <c r="AA1382" s="2053"/>
      <c r="AB1382" s="2058" t="s">
        <v>1844</v>
      </c>
      <c r="AC1382" s="2059"/>
      <c r="AD1382" s="2060"/>
      <c r="AE1382" s="2064" t="s">
        <v>2184</v>
      </c>
      <c r="AF1382" s="2067" t="s">
        <v>1846</v>
      </c>
    </row>
    <row r="1383" spans="1:32" x14ac:dyDescent="0.2">
      <c r="A1383" s="2070" t="str">
        <f>+'01'!A75</f>
        <v>C-04-02</v>
      </c>
      <c r="B1383" s="2071"/>
      <c r="C1383" s="2072"/>
      <c r="D1383" s="2076" t="str">
        <f>VLOOKUP(A1383,'01'!$A$12:$N$299,3,FALSE)</f>
        <v>DISPOSICIÓN DE MATERIAL PROVENIENTE DE EXCAVACIÓN (NO INCLUYE TRANSPORTE)</v>
      </c>
      <c r="E1383" s="2077"/>
      <c r="F1383" s="2077"/>
      <c r="G1383" s="2077"/>
      <c r="H1383" s="2077"/>
      <c r="I1383" s="2077"/>
      <c r="J1383" s="2077"/>
      <c r="K1383" s="2077"/>
      <c r="L1383" s="2077"/>
      <c r="M1383" s="2077"/>
      <c r="N1383" s="2077"/>
      <c r="O1383" s="2077"/>
      <c r="P1383" s="2077"/>
      <c r="Q1383" s="2077"/>
      <c r="R1383" s="2077"/>
      <c r="S1383" s="2078"/>
      <c r="T1383" s="2082" t="s">
        <v>124</v>
      </c>
      <c r="U1383" s="2083"/>
      <c r="V1383" s="2083"/>
      <c r="W1383" s="2083"/>
      <c r="X1383" s="2052" t="str">
        <f>VLOOKUP(A1383,'01'!$A$12:$N$299,9,FALSE)</f>
        <v>M3</v>
      </c>
      <c r="Y1383" s="2053"/>
      <c r="Z1383" s="2054"/>
      <c r="AA1383" s="2055"/>
      <c r="AB1383" s="2061"/>
      <c r="AC1383" s="2062"/>
      <c r="AD1383" s="2063"/>
      <c r="AE1383" s="2065"/>
      <c r="AF1383" s="2068"/>
    </row>
    <row r="1384" spans="1:32" ht="31.5" x14ac:dyDescent="0.25">
      <c r="A1384" s="2073"/>
      <c r="B1384" s="2074"/>
      <c r="C1384" s="2075"/>
      <c r="D1384" s="2079"/>
      <c r="E1384" s="2080"/>
      <c r="F1384" s="2080"/>
      <c r="G1384" s="2080"/>
      <c r="H1384" s="2080"/>
      <c r="I1384" s="2080"/>
      <c r="J1384" s="2080"/>
      <c r="K1384" s="2080"/>
      <c r="L1384" s="2080"/>
      <c r="M1384" s="2080"/>
      <c r="N1384" s="2080"/>
      <c r="O1384" s="2080"/>
      <c r="P1384" s="2080"/>
      <c r="Q1384" s="2080"/>
      <c r="R1384" s="2080"/>
      <c r="S1384" s="2081"/>
      <c r="T1384" s="2084"/>
      <c r="U1384" s="2085"/>
      <c r="V1384" s="2085"/>
      <c r="W1384" s="2085"/>
      <c r="X1384" s="2056"/>
      <c r="Y1384" s="2057"/>
      <c r="Z1384" s="2056"/>
      <c r="AA1384" s="2057"/>
      <c r="AB1384" s="1122" t="s">
        <v>2180</v>
      </c>
      <c r="AC1384" s="1122" t="s">
        <v>2181</v>
      </c>
      <c r="AD1384" s="1122" t="s">
        <v>1869</v>
      </c>
      <c r="AE1384" s="2066"/>
      <c r="AF1384" s="2069"/>
    </row>
    <row r="1385" spans="1:32" ht="15.75" x14ac:dyDescent="0.25">
      <c r="A1385" s="2017"/>
      <c r="B1385" s="2018"/>
      <c r="C1385" s="2018"/>
      <c r="D1385" s="2018"/>
      <c r="E1385" s="2018"/>
      <c r="F1385" s="2018"/>
      <c r="G1385" s="2018"/>
      <c r="H1385" s="2018"/>
      <c r="I1385" s="2018"/>
      <c r="J1385" s="2018"/>
      <c r="K1385" s="2018"/>
      <c r="L1385" s="2018"/>
      <c r="M1385" s="2018"/>
      <c r="N1385" s="2018"/>
      <c r="O1385" s="2018"/>
      <c r="P1385" s="2018"/>
      <c r="Q1385" s="2018"/>
      <c r="R1385" s="2018"/>
      <c r="S1385" s="2018"/>
      <c r="T1385" s="2018"/>
      <c r="U1385" s="2018"/>
      <c r="V1385" s="2018"/>
      <c r="W1385" s="2018"/>
      <c r="X1385" s="2018"/>
      <c r="Y1385" s="2094"/>
      <c r="Z1385" s="2096"/>
      <c r="AA1385" s="2097"/>
      <c r="AB1385" s="1050">
        <f>+AB1347</f>
        <v>751</v>
      </c>
      <c r="AC1385" s="1050">
        <f>+AC1347</f>
        <v>253.06</v>
      </c>
      <c r="AD1385" s="1050">
        <v>1.25</v>
      </c>
      <c r="AE1385" s="1051">
        <f>+'01'!$E$15</f>
        <v>5</v>
      </c>
      <c r="AF1385" s="1052">
        <f>ROUND((AB1385-AC1385)*AD1385,2)</f>
        <v>622.42999999999995</v>
      </c>
    </row>
    <row r="1386" spans="1:32" ht="15.75" x14ac:dyDescent="0.25">
      <c r="A1386" s="2017"/>
      <c r="B1386" s="2018"/>
      <c r="C1386" s="2018"/>
      <c r="D1386" s="2018"/>
      <c r="E1386" s="2018"/>
      <c r="F1386" s="2018"/>
      <c r="G1386" s="2018"/>
      <c r="H1386" s="2018"/>
      <c r="I1386" s="2018"/>
      <c r="J1386" s="2018"/>
      <c r="K1386" s="2018"/>
      <c r="L1386" s="2018"/>
      <c r="M1386" s="2018"/>
      <c r="N1386" s="2018"/>
      <c r="O1386" s="2018"/>
      <c r="P1386" s="2018"/>
      <c r="Q1386" s="2018"/>
      <c r="R1386" s="2018"/>
      <c r="S1386" s="2018"/>
      <c r="T1386" s="2018"/>
      <c r="U1386" s="2018"/>
      <c r="V1386" s="2018"/>
      <c r="W1386" s="2018"/>
      <c r="X1386" s="2018"/>
      <c r="Y1386" s="2094"/>
      <c r="Z1386" s="2096"/>
      <c r="AA1386" s="2097"/>
      <c r="AB1386" s="1050"/>
      <c r="AC1386" s="1050"/>
      <c r="AD1386" s="1050"/>
      <c r="AE1386" s="1051"/>
      <c r="AF1386" s="1052"/>
    </row>
    <row r="1387" spans="1:32" ht="15.75" x14ac:dyDescent="0.25">
      <c r="A1387" s="2017"/>
      <c r="B1387" s="2018"/>
      <c r="C1387" s="2018"/>
      <c r="D1387" s="2018"/>
      <c r="E1387" s="2018"/>
      <c r="F1387" s="2018"/>
      <c r="G1387" s="2018"/>
      <c r="H1387" s="2018"/>
      <c r="I1387" s="2018"/>
      <c r="J1387" s="2018"/>
      <c r="K1387" s="2018"/>
      <c r="L1387" s="2018"/>
      <c r="M1387" s="2018"/>
      <c r="N1387" s="2018"/>
      <c r="O1387" s="2018"/>
      <c r="P1387" s="2018"/>
      <c r="Q1387" s="2018"/>
      <c r="R1387" s="2018"/>
      <c r="S1387" s="2018"/>
      <c r="T1387" s="2018"/>
      <c r="U1387" s="2018"/>
      <c r="V1387" s="2018"/>
      <c r="W1387" s="2018"/>
      <c r="X1387" s="2018"/>
      <c r="Y1387" s="2094"/>
      <c r="Z1387" s="2096"/>
      <c r="AA1387" s="2097"/>
      <c r="AB1387" s="1050"/>
      <c r="AC1387" s="1050"/>
      <c r="AD1387" s="1050"/>
      <c r="AE1387" s="1051"/>
      <c r="AF1387" s="1052"/>
    </row>
    <row r="1388" spans="1:32" ht="15.75" x14ac:dyDescent="0.25">
      <c r="A1388" s="2017"/>
      <c r="B1388" s="2018"/>
      <c r="C1388" s="2018"/>
      <c r="D1388" s="2018"/>
      <c r="E1388" s="2018"/>
      <c r="F1388" s="2018"/>
      <c r="G1388" s="2018"/>
      <c r="H1388" s="2018"/>
      <c r="I1388" s="2018"/>
      <c r="J1388" s="2018"/>
      <c r="K1388" s="2018"/>
      <c r="L1388" s="2018"/>
      <c r="M1388" s="2018"/>
      <c r="N1388" s="2018"/>
      <c r="O1388" s="2018"/>
      <c r="P1388" s="2018"/>
      <c r="Q1388" s="2018"/>
      <c r="R1388" s="2018"/>
      <c r="S1388" s="2018"/>
      <c r="T1388" s="2018"/>
      <c r="U1388" s="2018"/>
      <c r="V1388" s="2018"/>
      <c r="W1388" s="2018"/>
      <c r="X1388" s="2018"/>
      <c r="Y1388" s="2094"/>
      <c r="Z1388" s="2096"/>
      <c r="AA1388" s="2097"/>
      <c r="AB1388" s="1050"/>
      <c r="AC1388" s="1050"/>
      <c r="AD1388" s="1050"/>
      <c r="AE1388" s="1051"/>
      <c r="AF1388" s="1052"/>
    </row>
    <row r="1389" spans="1:32" ht="15.75" x14ac:dyDescent="0.25">
      <c r="A1389" s="2017"/>
      <c r="B1389" s="2018"/>
      <c r="C1389" s="2018"/>
      <c r="D1389" s="2018"/>
      <c r="E1389" s="2018"/>
      <c r="F1389" s="2018"/>
      <c r="G1389" s="2018"/>
      <c r="H1389" s="2018"/>
      <c r="I1389" s="2018"/>
      <c r="J1389" s="2018"/>
      <c r="K1389" s="2018"/>
      <c r="L1389" s="2018"/>
      <c r="M1389" s="2018"/>
      <c r="N1389" s="2018"/>
      <c r="O1389" s="2018"/>
      <c r="P1389" s="2018"/>
      <c r="Q1389" s="2018"/>
      <c r="R1389" s="2018"/>
      <c r="S1389" s="2018"/>
      <c r="T1389" s="2018"/>
      <c r="U1389" s="2018"/>
      <c r="V1389" s="2018"/>
      <c r="W1389" s="2018"/>
      <c r="X1389" s="2018"/>
      <c r="Y1389" s="2094"/>
      <c r="Z1389" s="2096"/>
      <c r="AA1389" s="2097"/>
      <c r="AB1389" s="1050"/>
      <c r="AC1389" s="1050"/>
      <c r="AD1389" s="1050"/>
      <c r="AE1389" s="1051"/>
      <c r="AF1389" s="1052"/>
    </row>
    <row r="1390" spans="1:32" ht="15.75" x14ac:dyDescent="0.25">
      <c r="A1390" s="2017"/>
      <c r="B1390" s="2018"/>
      <c r="C1390" s="2018"/>
      <c r="D1390" s="2018"/>
      <c r="E1390" s="2018"/>
      <c r="F1390" s="2018"/>
      <c r="G1390" s="2018"/>
      <c r="H1390" s="2018"/>
      <c r="I1390" s="2018"/>
      <c r="J1390" s="2018"/>
      <c r="K1390" s="2018"/>
      <c r="L1390" s="2018"/>
      <c r="M1390" s="2018"/>
      <c r="N1390" s="2018"/>
      <c r="O1390" s="2018"/>
      <c r="P1390" s="2018"/>
      <c r="Q1390" s="2018"/>
      <c r="R1390" s="2018"/>
      <c r="S1390" s="2018"/>
      <c r="T1390" s="2018"/>
      <c r="U1390" s="2018"/>
      <c r="V1390" s="2018"/>
      <c r="W1390" s="2018"/>
      <c r="X1390" s="2018"/>
      <c r="Y1390" s="2094"/>
      <c r="Z1390" s="2096"/>
      <c r="AA1390" s="2097"/>
      <c r="AB1390" s="1050"/>
      <c r="AC1390" s="1050"/>
      <c r="AD1390" s="1050"/>
      <c r="AE1390" s="1051"/>
      <c r="AF1390" s="1052"/>
    </row>
    <row r="1391" spans="1:32" ht="15.75" x14ac:dyDescent="0.25">
      <c r="A1391" s="2017"/>
      <c r="B1391" s="2018"/>
      <c r="C1391" s="2018"/>
      <c r="D1391" s="2018"/>
      <c r="E1391" s="2018"/>
      <c r="F1391" s="2018"/>
      <c r="G1391" s="2018"/>
      <c r="H1391" s="2018"/>
      <c r="I1391" s="2018"/>
      <c r="J1391" s="2018"/>
      <c r="K1391" s="2018"/>
      <c r="L1391" s="2018"/>
      <c r="M1391" s="2018"/>
      <c r="N1391" s="2018"/>
      <c r="O1391" s="2018"/>
      <c r="P1391" s="2018"/>
      <c r="Q1391" s="2018"/>
      <c r="R1391" s="2018"/>
      <c r="S1391" s="2018"/>
      <c r="T1391" s="2018"/>
      <c r="U1391" s="2018"/>
      <c r="V1391" s="2018"/>
      <c r="W1391" s="2018"/>
      <c r="X1391" s="2018"/>
      <c r="Y1391" s="2094"/>
      <c r="Z1391" s="2096"/>
      <c r="AA1391" s="2097"/>
      <c r="AB1391" s="1050"/>
      <c r="AC1391" s="1050"/>
      <c r="AD1391" s="1050"/>
      <c r="AE1391" s="1051"/>
      <c r="AF1391" s="1052"/>
    </row>
    <row r="1392" spans="1:32" ht="15.75" x14ac:dyDescent="0.25">
      <c r="A1392" s="2017"/>
      <c r="B1392" s="2018"/>
      <c r="C1392" s="2018"/>
      <c r="D1392" s="2018"/>
      <c r="E1392" s="2018"/>
      <c r="F1392" s="2018"/>
      <c r="G1392" s="2018"/>
      <c r="H1392" s="2018"/>
      <c r="I1392" s="2018"/>
      <c r="J1392" s="2018"/>
      <c r="K1392" s="2018"/>
      <c r="L1392" s="2018"/>
      <c r="M1392" s="2018"/>
      <c r="N1392" s="2018"/>
      <c r="O1392" s="2018"/>
      <c r="P1392" s="2018"/>
      <c r="Q1392" s="2018"/>
      <c r="R1392" s="2018"/>
      <c r="S1392" s="2018"/>
      <c r="T1392" s="2018"/>
      <c r="U1392" s="2018"/>
      <c r="V1392" s="2018"/>
      <c r="W1392" s="2018"/>
      <c r="X1392" s="2018"/>
      <c r="Y1392" s="2094"/>
      <c r="Z1392" s="2096"/>
      <c r="AA1392" s="2097"/>
      <c r="AB1392" s="1053"/>
      <c r="AC1392" s="1053"/>
      <c r="AD1392" s="1053"/>
      <c r="AE1392" s="1051"/>
      <c r="AF1392" s="1052"/>
    </row>
    <row r="1393" spans="1:32" ht="15.75" x14ac:dyDescent="0.25">
      <c r="A1393" s="2017"/>
      <c r="B1393" s="2018"/>
      <c r="C1393" s="2018"/>
      <c r="D1393" s="2018"/>
      <c r="E1393" s="2018"/>
      <c r="F1393" s="2018"/>
      <c r="G1393" s="2018"/>
      <c r="H1393" s="2018"/>
      <c r="I1393" s="2018"/>
      <c r="J1393" s="2018"/>
      <c r="K1393" s="2018"/>
      <c r="L1393" s="2018"/>
      <c r="M1393" s="2018"/>
      <c r="N1393" s="2018"/>
      <c r="O1393" s="2018"/>
      <c r="P1393" s="2018"/>
      <c r="Q1393" s="2018"/>
      <c r="R1393" s="2018"/>
      <c r="S1393" s="2018"/>
      <c r="T1393" s="2018"/>
      <c r="U1393" s="2018"/>
      <c r="V1393" s="2018"/>
      <c r="W1393" s="2018"/>
      <c r="X1393" s="2018"/>
      <c r="Y1393" s="2094"/>
      <c r="Z1393" s="2096"/>
      <c r="AA1393" s="2097"/>
      <c r="AB1393" s="1053"/>
      <c r="AC1393" s="1053"/>
      <c r="AD1393" s="1053"/>
      <c r="AE1393" s="1050"/>
      <c r="AF1393" s="1054"/>
    </row>
    <row r="1394" spans="1:32" ht="15.75" x14ac:dyDescent="0.25">
      <c r="A1394" s="2017"/>
      <c r="B1394" s="2018"/>
      <c r="C1394" s="2018"/>
      <c r="D1394" s="2018"/>
      <c r="E1394" s="2018"/>
      <c r="F1394" s="2018"/>
      <c r="G1394" s="2018"/>
      <c r="H1394" s="2018"/>
      <c r="I1394" s="2018"/>
      <c r="J1394" s="2018"/>
      <c r="K1394" s="2018"/>
      <c r="L1394" s="2018"/>
      <c r="M1394" s="2018"/>
      <c r="N1394" s="2018"/>
      <c r="O1394" s="2018"/>
      <c r="P1394" s="2018"/>
      <c r="Q1394" s="2018"/>
      <c r="R1394" s="2018"/>
      <c r="S1394" s="2018"/>
      <c r="T1394" s="2018"/>
      <c r="U1394" s="2018"/>
      <c r="V1394" s="2018"/>
      <c r="W1394" s="2018"/>
      <c r="X1394" s="2018"/>
      <c r="Y1394" s="2094"/>
      <c r="Z1394" s="2096"/>
      <c r="AA1394" s="2097"/>
      <c r="AB1394" s="1053"/>
      <c r="AC1394" s="1053"/>
      <c r="AD1394" s="1053"/>
      <c r="AE1394" s="1051"/>
      <c r="AF1394" s="1054"/>
    </row>
    <row r="1395" spans="1:32" ht="15.75" x14ac:dyDescent="0.25">
      <c r="A1395" s="2017"/>
      <c r="B1395" s="2018"/>
      <c r="C1395" s="2018"/>
      <c r="D1395" s="2018"/>
      <c r="E1395" s="2018"/>
      <c r="F1395" s="2018"/>
      <c r="G1395" s="2018"/>
      <c r="H1395" s="2018"/>
      <c r="I1395" s="2018"/>
      <c r="J1395" s="2018"/>
      <c r="K1395" s="2018"/>
      <c r="L1395" s="2018"/>
      <c r="M1395" s="2018"/>
      <c r="N1395" s="2018"/>
      <c r="O1395" s="2018"/>
      <c r="P1395" s="2018"/>
      <c r="Q1395" s="2018"/>
      <c r="R1395" s="2018"/>
      <c r="S1395" s="2018"/>
      <c r="T1395" s="2018"/>
      <c r="U1395" s="2018"/>
      <c r="V1395" s="2018"/>
      <c r="W1395" s="2018"/>
      <c r="X1395" s="2018"/>
      <c r="Y1395" s="2094"/>
      <c r="Z1395" s="2096"/>
      <c r="AA1395" s="2097"/>
      <c r="AB1395" s="1053"/>
      <c r="AC1395" s="1053"/>
      <c r="AD1395" s="1053"/>
      <c r="AE1395" s="1051"/>
      <c r="AF1395" s="1054"/>
    </row>
    <row r="1396" spans="1:32" ht="15.75" x14ac:dyDescent="0.25">
      <c r="A1396" s="2017"/>
      <c r="B1396" s="2018"/>
      <c r="C1396" s="2018"/>
      <c r="D1396" s="2018"/>
      <c r="E1396" s="2018"/>
      <c r="F1396" s="2018"/>
      <c r="G1396" s="2018"/>
      <c r="H1396" s="2018"/>
      <c r="I1396" s="2018"/>
      <c r="J1396" s="2018"/>
      <c r="K1396" s="2018"/>
      <c r="L1396" s="2018"/>
      <c r="M1396" s="2018"/>
      <c r="N1396" s="2018"/>
      <c r="O1396" s="2018"/>
      <c r="P1396" s="2018"/>
      <c r="Q1396" s="2018"/>
      <c r="R1396" s="2018"/>
      <c r="S1396" s="2018"/>
      <c r="T1396" s="2018"/>
      <c r="U1396" s="2018"/>
      <c r="V1396" s="2018"/>
      <c r="W1396" s="2018"/>
      <c r="X1396" s="2018"/>
      <c r="Y1396" s="2094"/>
      <c r="Z1396" s="2096"/>
      <c r="AA1396" s="2097"/>
      <c r="AB1396" s="1053"/>
      <c r="AC1396" s="1053"/>
      <c r="AD1396" s="1053"/>
      <c r="AE1396" s="1051"/>
      <c r="AF1396" s="1054"/>
    </row>
    <row r="1397" spans="1:32" ht="15.75" x14ac:dyDescent="0.25">
      <c r="A1397" s="2017"/>
      <c r="B1397" s="2018"/>
      <c r="C1397" s="2018"/>
      <c r="D1397" s="2018"/>
      <c r="E1397" s="2018"/>
      <c r="F1397" s="2018"/>
      <c r="G1397" s="2018"/>
      <c r="H1397" s="2018"/>
      <c r="I1397" s="2018"/>
      <c r="J1397" s="2018"/>
      <c r="K1397" s="2018"/>
      <c r="L1397" s="2018"/>
      <c r="M1397" s="2018"/>
      <c r="N1397" s="2018"/>
      <c r="O1397" s="2018"/>
      <c r="P1397" s="2018"/>
      <c r="Q1397" s="2018"/>
      <c r="R1397" s="2018"/>
      <c r="S1397" s="2018"/>
      <c r="T1397" s="2018"/>
      <c r="U1397" s="2018"/>
      <c r="V1397" s="2018"/>
      <c r="W1397" s="2018"/>
      <c r="X1397" s="2018"/>
      <c r="Y1397" s="2094"/>
      <c r="Z1397" s="2096"/>
      <c r="AA1397" s="2097"/>
      <c r="AB1397" s="1053"/>
      <c r="AC1397" s="1053"/>
      <c r="AD1397" s="1053"/>
      <c r="AE1397" s="1051"/>
      <c r="AF1397" s="1054"/>
    </row>
    <row r="1398" spans="1:32" ht="15.75" x14ac:dyDescent="0.25">
      <c r="A1398" s="2017"/>
      <c r="B1398" s="2018"/>
      <c r="C1398" s="2018"/>
      <c r="D1398" s="2018"/>
      <c r="E1398" s="2018"/>
      <c r="F1398" s="2018"/>
      <c r="G1398" s="2018"/>
      <c r="H1398" s="2018"/>
      <c r="I1398" s="2018"/>
      <c r="J1398" s="2018"/>
      <c r="K1398" s="2018"/>
      <c r="L1398" s="2018"/>
      <c r="M1398" s="2018"/>
      <c r="N1398" s="2018"/>
      <c r="O1398" s="2018"/>
      <c r="P1398" s="2018"/>
      <c r="Q1398" s="2018"/>
      <c r="R1398" s="2018"/>
      <c r="S1398" s="2018"/>
      <c r="T1398" s="2018"/>
      <c r="U1398" s="2018"/>
      <c r="V1398" s="2018"/>
      <c r="W1398" s="2018"/>
      <c r="X1398" s="2018"/>
      <c r="Y1398" s="2094"/>
      <c r="Z1398" s="2096"/>
      <c r="AA1398" s="2097"/>
      <c r="AB1398" s="1053"/>
      <c r="AC1398" s="1053"/>
      <c r="AD1398" s="1053"/>
      <c r="AE1398" s="1051"/>
      <c r="AF1398" s="1054"/>
    </row>
    <row r="1399" spans="1:32" ht="15.75" x14ac:dyDescent="0.25">
      <c r="A1399" s="2017"/>
      <c r="B1399" s="2018"/>
      <c r="C1399" s="2018"/>
      <c r="D1399" s="2018"/>
      <c r="E1399" s="2018"/>
      <c r="F1399" s="2018"/>
      <c r="G1399" s="2018"/>
      <c r="H1399" s="2018"/>
      <c r="I1399" s="2018"/>
      <c r="J1399" s="2018"/>
      <c r="K1399" s="2018"/>
      <c r="L1399" s="2018"/>
      <c r="M1399" s="2018"/>
      <c r="N1399" s="2018"/>
      <c r="O1399" s="2018"/>
      <c r="P1399" s="2018"/>
      <c r="Q1399" s="2018"/>
      <c r="R1399" s="2018"/>
      <c r="S1399" s="2018"/>
      <c r="T1399" s="2018"/>
      <c r="U1399" s="2018"/>
      <c r="V1399" s="2018"/>
      <c r="W1399" s="2018"/>
      <c r="X1399" s="2018"/>
      <c r="Y1399" s="2094"/>
      <c r="Z1399" s="2096"/>
      <c r="AA1399" s="2097"/>
      <c r="AB1399" s="1055"/>
      <c r="AC1399" s="1055"/>
      <c r="AD1399" s="1055"/>
      <c r="AE1399" s="1051"/>
      <c r="AF1399" s="1056"/>
    </row>
    <row r="1400" spans="1:32" ht="15.75" x14ac:dyDescent="0.25">
      <c r="A1400" s="2017"/>
      <c r="B1400" s="2018"/>
      <c r="C1400" s="2018"/>
      <c r="D1400" s="2018"/>
      <c r="E1400" s="2018"/>
      <c r="F1400" s="2018"/>
      <c r="G1400" s="2018"/>
      <c r="H1400" s="2018"/>
      <c r="I1400" s="2018"/>
      <c r="J1400" s="2018"/>
      <c r="K1400" s="2018"/>
      <c r="L1400" s="2018"/>
      <c r="M1400" s="2018"/>
      <c r="N1400" s="2018"/>
      <c r="O1400" s="2018"/>
      <c r="P1400" s="2018"/>
      <c r="Q1400" s="2018"/>
      <c r="R1400" s="2018"/>
      <c r="S1400" s="2018"/>
      <c r="T1400" s="2018"/>
      <c r="U1400" s="2018"/>
      <c r="V1400" s="2018"/>
      <c r="W1400" s="2018"/>
      <c r="X1400" s="2018"/>
      <c r="Y1400" s="2094"/>
      <c r="Z1400" s="2096"/>
      <c r="AA1400" s="2097"/>
      <c r="AB1400" s="1055"/>
      <c r="AC1400" s="1055"/>
      <c r="AD1400" s="1055"/>
      <c r="AE1400" s="1055"/>
      <c r="AF1400" s="1056"/>
    </row>
    <row r="1401" spans="1:32" ht="15.75" x14ac:dyDescent="0.25">
      <c r="A1401" s="2017"/>
      <c r="B1401" s="2018"/>
      <c r="C1401" s="2018"/>
      <c r="D1401" s="2018"/>
      <c r="E1401" s="2018"/>
      <c r="F1401" s="2018"/>
      <c r="G1401" s="2018"/>
      <c r="H1401" s="2018"/>
      <c r="I1401" s="2018"/>
      <c r="J1401" s="2018"/>
      <c r="K1401" s="2018"/>
      <c r="L1401" s="2018"/>
      <c r="M1401" s="2018"/>
      <c r="N1401" s="2018"/>
      <c r="O1401" s="2018"/>
      <c r="P1401" s="2018"/>
      <c r="Q1401" s="2018"/>
      <c r="R1401" s="2018"/>
      <c r="S1401" s="2018"/>
      <c r="T1401" s="2018"/>
      <c r="U1401" s="2018"/>
      <c r="V1401" s="2018"/>
      <c r="W1401" s="2018"/>
      <c r="X1401" s="2018"/>
      <c r="Y1401" s="2094"/>
      <c r="Z1401" s="2096"/>
      <c r="AA1401" s="2097"/>
      <c r="AB1401" s="1055"/>
      <c r="AC1401" s="1055"/>
      <c r="AD1401" s="1055"/>
      <c r="AE1401" s="1055"/>
      <c r="AF1401" s="1056"/>
    </row>
    <row r="1402" spans="1:32" ht="15.75" x14ac:dyDescent="0.25">
      <c r="A1402" s="2017"/>
      <c r="B1402" s="2018"/>
      <c r="C1402" s="2018"/>
      <c r="D1402" s="2018"/>
      <c r="E1402" s="2018"/>
      <c r="F1402" s="2018"/>
      <c r="G1402" s="2018"/>
      <c r="H1402" s="2018"/>
      <c r="I1402" s="2018"/>
      <c r="J1402" s="2018"/>
      <c r="K1402" s="2018"/>
      <c r="L1402" s="2018"/>
      <c r="M1402" s="2018"/>
      <c r="N1402" s="2018"/>
      <c r="O1402" s="2018"/>
      <c r="P1402" s="2018"/>
      <c r="Q1402" s="2018"/>
      <c r="R1402" s="2018"/>
      <c r="S1402" s="2018"/>
      <c r="T1402" s="2018"/>
      <c r="U1402" s="2018"/>
      <c r="V1402" s="2018"/>
      <c r="W1402" s="2018"/>
      <c r="X1402" s="2018"/>
      <c r="Y1402" s="2094"/>
      <c r="Z1402" s="2096"/>
      <c r="AA1402" s="2097"/>
      <c r="AB1402" s="1055"/>
      <c r="AC1402" s="1055"/>
      <c r="AD1402" s="1055"/>
      <c r="AE1402" s="1055"/>
      <c r="AF1402" s="1056"/>
    </row>
    <row r="1403" spans="1:32" ht="15.75" x14ac:dyDescent="0.25">
      <c r="A1403" s="2017"/>
      <c r="B1403" s="2018"/>
      <c r="C1403" s="2018"/>
      <c r="D1403" s="2018"/>
      <c r="E1403" s="2018"/>
      <c r="F1403" s="2018"/>
      <c r="G1403" s="2018"/>
      <c r="H1403" s="2018"/>
      <c r="I1403" s="2018"/>
      <c r="J1403" s="2018"/>
      <c r="K1403" s="2018"/>
      <c r="L1403" s="2018"/>
      <c r="M1403" s="2018"/>
      <c r="N1403" s="2018"/>
      <c r="O1403" s="2018"/>
      <c r="P1403" s="2018"/>
      <c r="Q1403" s="2018"/>
      <c r="R1403" s="2018"/>
      <c r="S1403" s="2018"/>
      <c r="T1403" s="2018"/>
      <c r="U1403" s="2018"/>
      <c r="V1403" s="2018"/>
      <c r="W1403" s="2018"/>
      <c r="X1403" s="2018"/>
      <c r="Y1403" s="2094"/>
      <c r="Z1403" s="2096"/>
      <c r="AA1403" s="2097"/>
      <c r="AB1403" s="1055"/>
      <c r="AC1403" s="1055"/>
      <c r="AD1403" s="1055"/>
      <c r="AE1403" s="1055"/>
      <c r="AF1403" s="1056"/>
    </row>
    <row r="1404" spans="1:32" ht="15.75" x14ac:dyDescent="0.25">
      <c r="A1404" s="2017"/>
      <c r="B1404" s="2018"/>
      <c r="C1404" s="2018"/>
      <c r="D1404" s="2018"/>
      <c r="E1404" s="2018"/>
      <c r="F1404" s="2018"/>
      <c r="G1404" s="2018"/>
      <c r="H1404" s="2018"/>
      <c r="I1404" s="2018"/>
      <c r="J1404" s="2018"/>
      <c r="K1404" s="2018"/>
      <c r="L1404" s="2018"/>
      <c r="M1404" s="2018"/>
      <c r="N1404" s="2018"/>
      <c r="O1404" s="2018"/>
      <c r="P1404" s="2018"/>
      <c r="Q1404" s="2018"/>
      <c r="R1404" s="2018"/>
      <c r="S1404" s="2018"/>
      <c r="T1404" s="2018"/>
      <c r="U1404" s="2018"/>
      <c r="V1404" s="2018"/>
      <c r="W1404" s="2018"/>
      <c r="X1404" s="2018"/>
      <c r="Y1404" s="2094"/>
      <c r="Z1404" s="2096"/>
      <c r="AA1404" s="2097"/>
      <c r="AB1404" s="1055"/>
      <c r="AC1404" s="1055"/>
      <c r="AD1404" s="1055"/>
      <c r="AE1404" s="1055"/>
      <c r="AF1404" s="1056"/>
    </row>
    <row r="1405" spans="1:32" ht="16.5" thickBot="1" x14ac:dyDescent="0.3">
      <c r="A1405" s="2019"/>
      <c r="B1405" s="2020"/>
      <c r="C1405" s="2020"/>
      <c r="D1405" s="2020"/>
      <c r="E1405" s="2020"/>
      <c r="F1405" s="2020"/>
      <c r="G1405" s="2020"/>
      <c r="H1405" s="2020"/>
      <c r="I1405" s="2020"/>
      <c r="J1405" s="2020"/>
      <c r="K1405" s="2020"/>
      <c r="L1405" s="2020"/>
      <c r="M1405" s="2020"/>
      <c r="N1405" s="2020"/>
      <c r="O1405" s="2020"/>
      <c r="P1405" s="2020"/>
      <c r="Q1405" s="2020"/>
      <c r="R1405" s="2020"/>
      <c r="S1405" s="2020"/>
      <c r="T1405" s="2020"/>
      <c r="U1405" s="2020"/>
      <c r="V1405" s="2020"/>
      <c r="W1405" s="2020"/>
      <c r="X1405" s="2020"/>
      <c r="Y1405" s="2095"/>
      <c r="Z1405" s="2098"/>
      <c r="AA1405" s="2099"/>
      <c r="AB1405" s="1057"/>
      <c r="AC1405" s="1057"/>
      <c r="AD1405" s="1057"/>
      <c r="AE1405" s="1057"/>
      <c r="AF1405" s="1058"/>
    </row>
    <row r="1406" spans="1:32" ht="15.75" x14ac:dyDescent="0.25">
      <c r="A1406" s="2009" t="s">
        <v>2411</v>
      </c>
      <c r="B1406" s="2010"/>
      <c r="C1406" s="2010"/>
      <c r="D1406" s="2010"/>
      <c r="E1406" s="2010"/>
      <c r="F1406" s="2010"/>
      <c r="G1406" s="2010"/>
      <c r="H1406" s="2010"/>
      <c r="I1406" s="2010"/>
      <c r="J1406" s="2010"/>
      <c r="K1406" s="2010"/>
      <c r="L1406" s="2010"/>
      <c r="M1406" s="2010"/>
      <c r="N1406" s="2010"/>
      <c r="O1406" s="2010"/>
      <c r="P1406" s="2010"/>
      <c r="Q1406" s="2010"/>
      <c r="R1406" s="2010"/>
      <c r="S1406" s="2010"/>
      <c r="T1406" s="2010"/>
      <c r="U1406" s="2010"/>
      <c r="V1406" s="2010"/>
      <c r="W1406" s="2010"/>
      <c r="X1406" s="2010"/>
      <c r="Y1406" s="2010"/>
      <c r="Z1406" s="2013" t="s">
        <v>1850</v>
      </c>
      <c r="AA1406" s="2013"/>
      <c r="AB1406" s="2013"/>
      <c r="AC1406" s="2013"/>
      <c r="AD1406" s="2013"/>
      <c r="AE1406" s="2013"/>
      <c r="AF1406" s="1059">
        <f>SUM(AF1385:AF1405)</f>
        <v>622.42999999999995</v>
      </c>
    </row>
    <row r="1407" spans="1:32" ht="15.75" x14ac:dyDescent="0.25">
      <c r="A1407" s="2011"/>
      <c r="B1407" s="2012"/>
      <c r="C1407" s="2012"/>
      <c r="D1407" s="2012"/>
      <c r="E1407" s="2012"/>
      <c r="F1407" s="2012"/>
      <c r="G1407" s="2012"/>
      <c r="H1407" s="2012"/>
      <c r="I1407" s="2012"/>
      <c r="J1407" s="2012"/>
      <c r="K1407" s="2012"/>
      <c r="L1407" s="2012"/>
      <c r="M1407" s="2012"/>
      <c r="N1407" s="2012"/>
      <c r="O1407" s="2012"/>
      <c r="P1407" s="2012"/>
      <c r="Q1407" s="2012"/>
      <c r="R1407" s="2012"/>
      <c r="S1407" s="2012"/>
      <c r="T1407" s="2012"/>
      <c r="U1407" s="2012"/>
      <c r="V1407" s="2012"/>
      <c r="W1407" s="2012"/>
      <c r="X1407" s="2012"/>
      <c r="Y1407" s="2012"/>
      <c r="Z1407" s="2014" t="s">
        <v>1851</v>
      </c>
      <c r="AA1407" s="2014"/>
      <c r="AB1407" s="2014"/>
      <c r="AC1407" s="2014"/>
      <c r="AD1407" s="2014"/>
      <c r="AE1407" s="2014"/>
      <c r="AF1407" s="1060">
        <v>0</v>
      </c>
    </row>
    <row r="1408" spans="1:32" ht="15.75" x14ac:dyDescent="0.25">
      <c r="A1408" s="2011"/>
      <c r="B1408" s="2012"/>
      <c r="C1408" s="2012"/>
      <c r="D1408" s="2012"/>
      <c r="E1408" s="2012"/>
      <c r="F1408" s="2012"/>
      <c r="G1408" s="2012"/>
      <c r="H1408" s="2012"/>
      <c r="I1408" s="2012"/>
      <c r="J1408" s="2012"/>
      <c r="K1408" s="2012"/>
      <c r="L1408" s="2012"/>
      <c r="M1408" s="2012"/>
      <c r="N1408" s="2012"/>
      <c r="O1408" s="2012"/>
      <c r="P1408" s="2012"/>
      <c r="Q1408" s="2012"/>
      <c r="R1408" s="2012"/>
      <c r="S1408" s="2012"/>
      <c r="T1408" s="2012"/>
      <c r="U1408" s="2012"/>
      <c r="V1408" s="2012"/>
      <c r="W1408" s="2012"/>
      <c r="X1408" s="2012"/>
      <c r="Y1408" s="2012"/>
      <c r="Z1408" s="2015" t="s">
        <v>1833</v>
      </c>
      <c r="AA1408" s="2015"/>
      <c r="AB1408" s="2015"/>
      <c r="AC1408" s="2015"/>
      <c r="AD1408" s="2015"/>
      <c r="AE1408" s="2015"/>
      <c r="AF1408" s="1061">
        <f>SUM(AF1406:AF1407)</f>
        <v>622.42999999999995</v>
      </c>
    </row>
    <row r="1409" spans="1:32" x14ac:dyDescent="0.2">
      <c r="A1409" s="2012" t="s">
        <v>1859</v>
      </c>
      <c r="B1409" s="2012"/>
      <c r="C1409" s="2012"/>
      <c r="D1409" s="2012"/>
      <c r="E1409" s="2012"/>
      <c r="F1409" s="2012"/>
      <c r="G1409" s="2012"/>
      <c r="H1409" s="2012"/>
      <c r="I1409" s="2012"/>
      <c r="J1409" s="2012"/>
      <c r="K1409" s="2012"/>
      <c r="L1409" s="2012"/>
      <c r="M1409" s="2012"/>
      <c r="N1409" s="2012"/>
      <c r="O1409" s="2012"/>
      <c r="P1409" s="2012"/>
      <c r="Q1409" s="2012"/>
      <c r="R1409" s="2012"/>
      <c r="S1409" s="2012"/>
      <c r="T1409" s="2016" t="s">
        <v>1840</v>
      </c>
      <c r="U1409" s="2016"/>
      <c r="V1409" s="2016"/>
      <c r="W1409" s="2016"/>
      <c r="X1409" s="2016"/>
      <c r="Y1409" s="2016"/>
      <c r="Z1409" s="2016"/>
      <c r="AA1409" s="2016"/>
      <c r="AB1409" s="2012" t="s">
        <v>1852</v>
      </c>
      <c r="AC1409" s="2012"/>
      <c r="AD1409" s="2012"/>
      <c r="AE1409" s="2012"/>
      <c r="AF1409" s="2012"/>
    </row>
    <row r="1410" spans="1:32" x14ac:dyDescent="0.2">
      <c r="A1410" s="2012"/>
      <c r="B1410" s="2012"/>
      <c r="C1410" s="2012"/>
      <c r="D1410" s="2012"/>
      <c r="E1410" s="2012"/>
      <c r="F1410" s="2012"/>
      <c r="G1410" s="2012"/>
      <c r="H1410" s="2012"/>
      <c r="I1410" s="2012"/>
      <c r="J1410" s="2012"/>
      <c r="K1410" s="2012"/>
      <c r="L1410" s="2012"/>
      <c r="M1410" s="2012"/>
      <c r="N1410" s="2012"/>
      <c r="O1410" s="2012"/>
      <c r="P1410" s="2012"/>
      <c r="Q1410" s="2012"/>
      <c r="R1410" s="2012"/>
      <c r="S1410" s="2012"/>
      <c r="T1410" s="2016"/>
      <c r="U1410" s="2016"/>
      <c r="V1410" s="2016"/>
      <c r="W1410" s="2016"/>
      <c r="X1410" s="2016"/>
      <c r="Y1410" s="2016"/>
      <c r="Z1410" s="2016"/>
      <c r="AA1410" s="2016"/>
      <c r="AB1410" s="2012"/>
      <c r="AC1410" s="2012"/>
      <c r="AD1410" s="2012"/>
      <c r="AE1410" s="2012"/>
      <c r="AF1410" s="2012"/>
    </row>
    <row r="1411" spans="1:32" ht="13.5" thickBot="1" x14ac:dyDescent="0.25"/>
    <row r="1412" spans="1:32" ht="26.45" customHeight="1" x14ac:dyDescent="0.2">
      <c r="A1412" s="2025" t="s">
        <v>1854</v>
      </c>
      <c r="B1412" s="2026"/>
      <c r="C1412" s="2026"/>
      <c r="D1412" s="2026"/>
      <c r="E1412" s="2026"/>
      <c r="F1412" s="2026"/>
      <c r="G1412" s="2026"/>
      <c r="H1412" s="2026"/>
      <c r="I1412" s="2026"/>
      <c r="J1412" s="2026"/>
      <c r="K1412" s="2026"/>
      <c r="L1412" s="2026"/>
      <c r="M1412" s="2026"/>
      <c r="N1412" s="2026"/>
      <c r="O1412" s="2026"/>
      <c r="P1412" s="2026"/>
      <c r="Q1412" s="2026"/>
      <c r="R1412" s="2026"/>
      <c r="S1412" s="2026"/>
      <c r="T1412" s="2026"/>
      <c r="U1412" s="2026"/>
      <c r="V1412" s="2026"/>
      <c r="W1412" s="2026"/>
      <c r="X1412" s="2026"/>
      <c r="Y1412" s="2026"/>
      <c r="Z1412" s="2026"/>
      <c r="AA1412" s="2026"/>
      <c r="AB1412" s="2026"/>
      <c r="AC1412" s="2026"/>
      <c r="AD1412" s="2026"/>
      <c r="AE1412" s="1041" t="s">
        <v>1834</v>
      </c>
      <c r="AF1412" s="1042" t="s">
        <v>1835</v>
      </c>
    </row>
    <row r="1413" spans="1:32" ht="19.149999999999999" customHeight="1" thickBot="1" x14ac:dyDescent="0.25">
      <c r="A1413" s="2027"/>
      <c r="B1413" s="2028"/>
      <c r="C1413" s="2028"/>
      <c r="D1413" s="2028"/>
      <c r="E1413" s="2028"/>
      <c r="F1413" s="2028"/>
      <c r="G1413" s="2028"/>
      <c r="H1413" s="2028"/>
      <c r="I1413" s="2028"/>
      <c r="J1413" s="2028"/>
      <c r="K1413" s="2028"/>
      <c r="L1413" s="2028"/>
      <c r="M1413" s="2028"/>
      <c r="N1413" s="2028"/>
      <c r="O1413" s="2028"/>
      <c r="P1413" s="2028"/>
      <c r="Q1413" s="2028"/>
      <c r="R1413" s="2028"/>
      <c r="S1413" s="2028"/>
      <c r="T1413" s="2028"/>
      <c r="U1413" s="2028"/>
      <c r="V1413" s="2028"/>
      <c r="W1413" s="2028"/>
      <c r="X1413" s="2028"/>
      <c r="Y1413" s="2028"/>
      <c r="Z1413" s="2028"/>
      <c r="AA1413" s="2028"/>
      <c r="AB1413" s="2028"/>
      <c r="AC1413" s="2028"/>
      <c r="AD1413" s="2028"/>
      <c r="AE1413" s="1041" t="s">
        <v>1836</v>
      </c>
      <c r="AF1413" s="1044">
        <v>1</v>
      </c>
    </row>
    <row r="1414" spans="1:32" ht="15.75" x14ac:dyDescent="0.2">
      <c r="A1414" s="2029"/>
      <c r="B1414" s="2030"/>
      <c r="C1414" s="2030"/>
      <c r="D1414" s="2031"/>
      <c r="E1414" s="2025" t="str">
        <f>'01'!$A$12</f>
        <v>"CONSTRUCCION SISTEMA DE ACUEDUCTO FASE II DEL MUNICIPIO DE TESALIA DPTO DEL HUILA"</v>
      </c>
      <c r="F1414" s="2026"/>
      <c r="G1414" s="2026"/>
      <c r="H1414" s="2026"/>
      <c r="I1414" s="2026"/>
      <c r="J1414" s="2026"/>
      <c r="K1414" s="2026"/>
      <c r="L1414" s="2026"/>
      <c r="M1414" s="2026"/>
      <c r="N1414" s="2026"/>
      <c r="O1414" s="2026"/>
      <c r="P1414" s="2026"/>
      <c r="Q1414" s="2026"/>
      <c r="R1414" s="2026"/>
      <c r="S1414" s="2026"/>
      <c r="T1414" s="2026"/>
      <c r="U1414" s="2026"/>
      <c r="V1414" s="2026"/>
      <c r="W1414" s="2026"/>
      <c r="X1414" s="2026"/>
      <c r="Y1414" s="2026"/>
      <c r="Z1414" s="2026"/>
      <c r="AA1414" s="2026"/>
      <c r="AB1414" s="2026"/>
      <c r="AC1414" s="2026"/>
      <c r="AD1414" s="2035"/>
      <c r="AE1414" s="1041" t="s">
        <v>847</v>
      </c>
      <c r="AF1414" s="1045">
        <f>'01'!$M$13</f>
        <v>0</v>
      </c>
    </row>
    <row r="1415" spans="1:32" ht="16.5" thickBot="1" x14ac:dyDescent="0.25">
      <c r="A1415" s="2032"/>
      <c r="B1415" s="2033"/>
      <c r="C1415" s="2033"/>
      <c r="D1415" s="2034"/>
      <c r="E1415" s="2027"/>
      <c r="F1415" s="2028"/>
      <c r="G1415" s="2028"/>
      <c r="H1415" s="2028"/>
      <c r="I1415" s="2028"/>
      <c r="J1415" s="2028"/>
      <c r="K1415" s="2028"/>
      <c r="L1415" s="2028"/>
      <c r="M1415" s="2028"/>
      <c r="N1415" s="2028"/>
      <c r="O1415" s="2028"/>
      <c r="P1415" s="2028"/>
      <c r="Q1415" s="2028"/>
      <c r="R1415" s="2028"/>
      <c r="S1415" s="2028"/>
      <c r="T1415" s="2028"/>
      <c r="U1415" s="2028"/>
      <c r="V1415" s="2028"/>
      <c r="W1415" s="2028"/>
      <c r="X1415" s="2028"/>
      <c r="Y1415" s="2028"/>
      <c r="Z1415" s="2028"/>
      <c r="AA1415" s="2028"/>
      <c r="AB1415" s="2028"/>
      <c r="AC1415" s="2028"/>
      <c r="AD1415" s="2036"/>
      <c r="AE1415" s="1041" t="s">
        <v>1837</v>
      </c>
      <c r="AF1415" s="1042" t="s">
        <v>1838</v>
      </c>
    </row>
    <row r="1416" spans="1:32" ht="15.75" x14ac:dyDescent="0.25">
      <c r="A1416" s="2037" t="s">
        <v>1860</v>
      </c>
      <c r="B1416" s="2038"/>
      <c r="C1416" s="2038"/>
      <c r="D1416" s="2038"/>
      <c r="E1416" s="2038"/>
      <c r="F1416" s="2038"/>
      <c r="G1416" s="2038"/>
      <c r="H1416" s="2038"/>
      <c r="I1416" s="2038"/>
      <c r="J1416" s="2038"/>
      <c r="K1416" s="2038"/>
      <c r="L1416" s="2038"/>
      <c r="M1416" s="2038"/>
      <c r="N1416" s="2038"/>
      <c r="O1416" s="2038"/>
      <c r="P1416" s="2038"/>
      <c r="Q1416" s="2038"/>
      <c r="R1416" s="2038"/>
      <c r="S1416" s="2038"/>
      <c r="T1416" s="2038"/>
      <c r="U1416" s="2038"/>
      <c r="V1416" s="2038"/>
      <c r="W1416" s="2038"/>
      <c r="X1416" s="2038"/>
      <c r="Y1416" s="2038"/>
      <c r="Z1416" s="2038"/>
      <c r="AA1416" s="2038"/>
      <c r="AB1416" s="2038"/>
      <c r="AC1416" s="2038"/>
      <c r="AD1416" s="2038"/>
      <c r="AE1416" s="2039" t="s">
        <v>1839</v>
      </c>
      <c r="AF1416" s="2040"/>
    </row>
    <row r="1417" spans="1:32" ht="15.75" x14ac:dyDescent="0.25">
      <c r="A1417" s="2041" t="s">
        <v>1840</v>
      </c>
      <c r="B1417" s="2042"/>
      <c r="C1417" s="2042"/>
      <c r="D1417" s="2042"/>
      <c r="E1417" s="2042"/>
      <c r="F1417" s="2042"/>
      <c r="G1417" s="2042"/>
      <c r="H1417" s="2042"/>
      <c r="I1417" s="2042"/>
      <c r="J1417" s="2042"/>
      <c r="K1417" s="2042"/>
      <c r="L1417" s="2042"/>
      <c r="M1417" s="2042"/>
      <c r="N1417" s="2042"/>
      <c r="O1417" s="2042"/>
      <c r="P1417" s="2042"/>
      <c r="Q1417" s="2042"/>
      <c r="R1417" s="2042"/>
      <c r="S1417" s="2042"/>
      <c r="T1417" s="2042"/>
      <c r="U1417" s="2042"/>
      <c r="V1417" s="2042"/>
      <c r="W1417" s="2042"/>
      <c r="X1417" s="2042"/>
      <c r="Y1417" s="2042"/>
      <c r="Z1417" s="2042"/>
      <c r="AA1417" s="2042"/>
      <c r="AB1417" s="2042"/>
      <c r="AC1417" s="2042"/>
      <c r="AD1417" s="2043"/>
      <c r="AE1417" s="2014" t="s">
        <v>1841</v>
      </c>
      <c r="AF1417" s="2044"/>
    </row>
    <row r="1418" spans="1:32" ht="15.75" x14ac:dyDescent="0.25">
      <c r="A1418" s="2045" t="s">
        <v>1853</v>
      </c>
      <c r="B1418" s="2046"/>
      <c r="C1418" s="2046"/>
      <c r="D1418" s="2046"/>
      <c r="E1418" s="2046"/>
      <c r="F1418" s="2046"/>
      <c r="G1418" s="2046"/>
      <c r="H1418" s="2046"/>
      <c r="I1418" s="2046"/>
      <c r="J1418" s="2046"/>
      <c r="K1418" s="2046"/>
      <c r="L1418" s="2046"/>
      <c r="M1418" s="2046"/>
      <c r="N1418" s="2046"/>
      <c r="O1418" s="2046"/>
      <c r="P1418" s="2046"/>
      <c r="Q1418" s="2046"/>
      <c r="R1418" s="2046"/>
      <c r="S1418" s="2046"/>
      <c r="T1418" s="2046"/>
      <c r="U1418" s="2046"/>
      <c r="V1418" s="2046"/>
      <c r="W1418" s="2046"/>
      <c r="X1418" s="2046"/>
      <c r="Y1418" s="2046"/>
      <c r="Z1418" s="2046"/>
      <c r="AA1418" s="2046"/>
      <c r="AB1418" s="2046"/>
      <c r="AC1418" s="2046"/>
      <c r="AD1418" s="2046"/>
      <c r="AE1418" s="2047">
        <f>'01'!$M$13</f>
        <v>0</v>
      </c>
      <c r="AF1418" s="2044"/>
    </row>
    <row r="1419" spans="1:32" x14ac:dyDescent="0.2">
      <c r="A1419" s="1046"/>
      <c r="B1419" s="1047"/>
      <c r="C1419" s="1047"/>
      <c r="D1419" s="1047"/>
      <c r="E1419" s="1047"/>
      <c r="F1419" s="1047"/>
      <c r="G1419" s="1047"/>
      <c r="H1419" s="1047"/>
      <c r="I1419" s="1047"/>
      <c r="J1419" s="1047"/>
      <c r="K1419" s="1047"/>
      <c r="L1419" s="1047"/>
      <c r="M1419" s="1047"/>
      <c r="N1419" s="1047"/>
      <c r="O1419" s="1047"/>
      <c r="P1419" s="1047"/>
      <c r="Q1419" s="1047"/>
      <c r="R1419" s="1047"/>
      <c r="S1419" s="1047"/>
      <c r="T1419" s="1047"/>
      <c r="U1419" s="1047"/>
      <c r="V1419" s="1047"/>
      <c r="W1419" s="1047"/>
      <c r="X1419" s="1047"/>
      <c r="Y1419" s="1047"/>
      <c r="Z1419" s="1047"/>
      <c r="AA1419" s="1047"/>
      <c r="AB1419" s="1047"/>
      <c r="AC1419" s="1047"/>
      <c r="AD1419" s="1047"/>
      <c r="AE1419" s="1047"/>
      <c r="AF1419" s="1048"/>
    </row>
    <row r="1420" spans="1:32" ht="30" customHeight="1" x14ac:dyDescent="0.2">
      <c r="A1420" s="2048" t="s">
        <v>1842</v>
      </c>
      <c r="B1420" s="2049"/>
      <c r="C1420" s="2049"/>
      <c r="D1420" s="2049"/>
      <c r="E1420" s="2049"/>
      <c r="F1420" s="2050" t="str">
        <f>'01'!$H$63</f>
        <v>C - FLOCULADOR, SEDIMENTADOR, CANAL DE AGUA SEDIMENTADA Y CANAL DE LAVADO</v>
      </c>
      <c r="G1420" s="2049"/>
      <c r="H1420" s="2049"/>
      <c r="I1420" s="2049"/>
      <c r="J1420" s="2049"/>
      <c r="K1420" s="2049"/>
      <c r="L1420" s="2049"/>
      <c r="M1420" s="2049"/>
      <c r="N1420" s="2049"/>
      <c r="O1420" s="2049"/>
      <c r="P1420" s="2049"/>
      <c r="Q1420" s="2049"/>
      <c r="R1420" s="2049"/>
      <c r="S1420" s="2049"/>
      <c r="T1420" s="2049"/>
      <c r="U1420" s="2049"/>
      <c r="V1420" s="2049"/>
      <c r="W1420" s="2049"/>
      <c r="X1420" s="2049"/>
      <c r="Y1420" s="2051"/>
      <c r="Z1420" s="2052" t="s">
        <v>1843</v>
      </c>
      <c r="AA1420" s="2053"/>
      <c r="AB1420" s="2058" t="s">
        <v>1844</v>
      </c>
      <c r="AC1420" s="2059"/>
      <c r="AD1420" s="2060"/>
      <c r="AE1420" s="2064" t="s">
        <v>1845</v>
      </c>
      <c r="AF1420" s="2067" t="s">
        <v>1846</v>
      </c>
    </row>
    <row r="1421" spans="1:32" x14ac:dyDescent="0.2">
      <c r="A1421" s="2070" t="str">
        <f>+'01'!A77</f>
        <v>C-05-01</v>
      </c>
      <c r="B1421" s="2071"/>
      <c r="C1421" s="2072"/>
      <c r="D1421" s="2076" t="str">
        <f>VLOOKUP(A1421,'01'!$A$12:$N$299,3,FALSE)</f>
        <v>CONCRETO PARA SOLADO, LIMPIEZA Y/O RELLENOS FLUIDOS (140KG/CM2) - ESPESOR=0.05 METROS.</v>
      </c>
      <c r="E1421" s="2077"/>
      <c r="F1421" s="2077"/>
      <c r="G1421" s="2077"/>
      <c r="H1421" s="2077"/>
      <c r="I1421" s="2077"/>
      <c r="J1421" s="2077"/>
      <c r="K1421" s="2077"/>
      <c r="L1421" s="2077"/>
      <c r="M1421" s="2077"/>
      <c r="N1421" s="2077"/>
      <c r="O1421" s="2077"/>
      <c r="P1421" s="2077"/>
      <c r="Q1421" s="2077"/>
      <c r="R1421" s="2077"/>
      <c r="S1421" s="2078"/>
      <c r="T1421" s="2082" t="s">
        <v>124</v>
      </c>
      <c r="U1421" s="2083"/>
      <c r="V1421" s="2083"/>
      <c r="W1421" s="2083"/>
      <c r="X1421" s="2052" t="str">
        <f>VLOOKUP(A1421,'01'!$A$12:$N$299,9,FALSE)</f>
        <v>M3</v>
      </c>
      <c r="Y1421" s="2053"/>
      <c r="Z1421" s="2054"/>
      <c r="AA1421" s="2055"/>
      <c r="AB1421" s="2061"/>
      <c r="AC1421" s="2062"/>
      <c r="AD1421" s="2063"/>
      <c r="AE1421" s="2065"/>
      <c r="AF1421" s="2068"/>
    </row>
    <row r="1422" spans="1:32" ht="15.75" x14ac:dyDescent="0.25">
      <c r="A1422" s="2073"/>
      <c r="B1422" s="2074"/>
      <c r="C1422" s="2075"/>
      <c r="D1422" s="2079"/>
      <c r="E1422" s="2080"/>
      <c r="F1422" s="2080"/>
      <c r="G1422" s="2080"/>
      <c r="H1422" s="2080"/>
      <c r="I1422" s="2080"/>
      <c r="J1422" s="2080"/>
      <c r="K1422" s="2080"/>
      <c r="L1422" s="2080"/>
      <c r="M1422" s="2080"/>
      <c r="N1422" s="2080"/>
      <c r="O1422" s="2080"/>
      <c r="P1422" s="2080"/>
      <c r="Q1422" s="2080"/>
      <c r="R1422" s="2080"/>
      <c r="S1422" s="2081"/>
      <c r="T1422" s="2084"/>
      <c r="U1422" s="2085"/>
      <c r="V1422" s="2085"/>
      <c r="W1422" s="2085"/>
      <c r="X1422" s="2056"/>
      <c r="Y1422" s="2057"/>
      <c r="Z1422" s="2056"/>
      <c r="AA1422" s="2057"/>
      <c r="AB1422" s="1049" t="s">
        <v>1847</v>
      </c>
      <c r="AC1422" s="1049" t="s">
        <v>1848</v>
      </c>
      <c r="AD1422" s="1049" t="s">
        <v>1861</v>
      </c>
      <c r="AE1422" s="2066"/>
      <c r="AF1422" s="2069"/>
    </row>
    <row r="1423" spans="1:32" ht="15.75" x14ac:dyDescent="0.25">
      <c r="A1423" s="2017"/>
      <c r="B1423" s="2018"/>
      <c r="C1423" s="2018"/>
      <c r="D1423" s="2018"/>
      <c r="E1423" s="2018"/>
      <c r="F1423" s="2018"/>
      <c r="G1423" s="2018"/>
      <c r="H1423" s="2018"/>
      <c r="I1423" s="2018"/>
      <c r="J1423" s="2018"/>
      <c r="K1423" s="2018"/>
      <c r="L1423" s="2018"/>
      <c r="M1423" s="2018"/>
      <c r="N1423" s="2018"/>
      <c r="O1423" s="2018"/>
      <c r="P1423" s="2018"/>
      <c r="Q1423" s="2018"/>
      <c r="R1423" s="2018"/>
      <c r="S1423" s="2018"/>
      <c r="T1423" s="2018"/>
      <c r="U1423" s="2018"/>
      <c r="V1423" s="2018"/>
      <c r="W1423" s="2018"/>
      <c r="X1423" s="2018"/>
      <c r="Y1423" s="2094"/>
      <c r="Z1423" s="2096" t="s">
        <v>2308</v>
      </c>
      <c r="AA1423" s="2097"/>
      <c r="AB1423" s="1050">
        <f>+AB1273</f>
        <v>10.9</v>
      </c>
      <c r="AC1423" s="1050">
        <f>+AC1273</f>
        <v>5.45</v>
      </c>
      <c r="AD1423" s="1050">
        <v>0.05</v>
      </c>
      <c r="AE1423" s="1051">
        <v>1</v>
      </c>
      <c r="AF1423" s="1052">
        <f>ROUND(AE1423*AD1423*AC1423*AB1423,2)</f>
        <v>2.97</v>
      </c>
    </row>
    <row r="1424" spans="1:32" ht="15.75" x14ac:dyDescent="0.25">
      <c r="A1424" s="2017"/>
      <c r="B1424" s="2018"/>
      <c r="C1424" s="2018"/>
      <c r="D1424" s="2018"/>
      <c r="E1424" s="2018"/>
      <c r="F1424" s="2018"/>
      <c r="G1424" s="2018"/>
      <c r="H1424" s="2018"/>
      <c r="I1424" s="2018"/>
      <c r="J1424" s="2018"/>
      <c r="K1424" s="2018"/>
      <c r="L1424" s="2018"/>
      <c r="M1424" s="2018"/>
      <c r="N1424" s="2018"/>
      <c r="O1424" s="2018"/>
      <c r="P1424" s="2018"/>
      <c r="Q1424" s="2018"/>
      <c r="R1424" s="2018"/>
      <c r="S1424" s="2018"/>
      <c r="T1424" s="2018"/>
      <c r="U1424" s="2018"/>
      <c r="V1424" s="2018"/>
      <c r="W1424" s="2018"/>
      <c r="X1424" s="2018"/>
      <c r="Y1424" s="2094"/>
      <c r="Z1424" s="2096" t="s">
        <v>2309</v>
      </c>
      <c r="AA1424" s="2097"/>
      <c r="AB1424" s="1050">
        <f t="shared" ref="AB1424:AC1425" si="27">+AB1274</f>
        <v>10.86</v>
      </c>
      <c r="AC1424" s="1050">
        <f t="shared" si="27"/>
        <v>4.72</v>
      </c>
      <c r="AD1424" s="1050">
        <v>0.05</v>
      </c>
      <c r="AE1424" s="1051">
        <v>1</v>
      </c>
      <c r="AF1424" s="1052">
        <f t="shared" ref="AF1424:AF1425" si="28">ROUND(AE1424*AD1424*AC1424*AB1424,2)</f>
        <v>2.56</v>
      </c>
    </row>
    <row r="1425" spans="1:32" ht="15.6" customHeight="1" x14ac:dyDescent="0.25">
      <c r="A1425" s="2017"/>
      <c r="B1425" s="2018"/>
      <c r="C1425" s="2018"/>
      <c r="D1425" s="2018"/>
      <c r="E1425" s="2018"/>
      <c r="F1425" s="2018"/>
      <c r="G1425" s="2018"/>
      <c r="H1425" s="2018"/>
      <c r="I1425" s="2018"/>
      <c r="J1425" s="2018"/>
      <c r="K1425" s="2018"/>
      <c r="L1425" s="2018"/>
      <c r="M1425" s="2018"/>
      <c r="N1425" s="2018"/>
      <c r="O1425" s="2018"/>
      <c r="P1425" s="2018"/>
      <c r="Q1425" s="2018"/>
      <c r="R1425" s="2018"/>
      <c r="S1425" s="2018"/>
      <c r="T1425" s="2018"/>
      <c r="U1425" s="2018"/>
      <c r="V1425" s="2018"/>
      <c r="W1425" s="2018"/>
      <c r="X1425" s="2018"/>
      <c r="Y1425" s="2094"/>
      <c r="Z1425" s="2096" t="s">
        <v>2310</v>
      </c>
      <c r="AA1425" s="2097"/>
      <c r="AB1425" s="1050">
        <f t="shared" si="27"/>
        <v>6.17</v>
      </c>
      <c r="AC1425" s="1050">
        <f t="shared" si="27"/>
        <v>3.57</v>
      </c>
      <c r="AD1425" s="1050">
        <v>0.05</v>
      </c>
      <c r="AE1425" s="1051">
        <v>1</v>
      </c>
      <c r="AF1425" s="1052">
        <f t="shared" si="28"/>
        <v>1.1000000000000001</v>
      </c>
    </row>
    <row r="1426" spans="1:32" ht="15.75" x14ac:dyDescent="0.25">
      <c r="A1426" s="2017"/>
      <c r="B1426" s="2018"/>
      <c r="C1426" s="2018"/>
      <c r="D1426" s="2018"/>
      <c r="E1426" s="2018"/>
      <c r="F1426" s="2018"/>
      <c r="G1426" s="2018"/>
      <c r="H1426" s="2018"/>
      <c r="I1426" s="2018"/>
      <c r="J1426" s="2018"/>
      <c r="K1426" s="2018"/>
      <c r="L1426" s="2018"/>
      <c r="M1426" s="2018"/>
      <c r="N1426" s="2018"/>
      <c r="O1426" s="2018"/>
      <c r="P1426" s="2018"/>
      <c r="Q1426" s="2018"/>
      <c r="R1426" s="2018"/>
      <c r="S1426" s="2018"/>
      <c r="T1426" s="2018"/>
      <c r="U1426" s="2018"/>
      <c r="V1426" s="2018"/>
      <c r="W1426" s="2018"/>
      <c r="X1426" s="2018"/>
      <c r="Y1426" s="2094"/>
      <c r="Z1426" s="2096"/>
      <c r="AA1426" s="2097"/>
      <c r="AB1426" s="1050"/>
      <c r="AC1426" s="1050"/>
      <c r="AD1426" s="1050"/>
      <c r="AE1426" s="1051"/>
      <c r="AF1426" s="1052"/>
    </row>
    <row r="1427" spans="1:32" ht="15.75" x14ac:dyDescent="0.25">
      <c r="A1427" s="2017"/>
      <c r="B1427" s="2018"/>
      <c r="C1427" s="2018"/>
      <c r="D1427" s="2018"/>
      <c r="E1427" s="2018"/>
      <c r="F1427" s="2018"/>
      <c r="G1427" s="2018"/>
      <c r="H1427" s="2018"/>
      <c r="I1427" s="2018"/>
      <c r="J1427" s="2018"/>
      <c r="K1427" s="2018"/>
      <c r="L1427" s="2018"/>
      <c r="M1427" s="2018"/>
      <c r="N1427" s="2018"/>
      <c r="O1427" s="2018"/>
      <c r="P1427" s="2018"/>
      <c r="Q1427" s="2018"/>
      <c r="R1427" s="2018"/>
      <c r="S1427" s="2018"/>
      <c r="T1427" s="2018"/>
      <c r="U1427" s="2018"/>
      <c r="V1427" s="2018"/>
      <c r="W1427" s="2018"/>
      <c r="X1427" s="2018"/>
      <c r="Y1427" s="2094"/>
      <c r="Z1427" s="2096"/>
      <c r="AA1427" s="2097"/>
      <c r="AB1427" s="1053"/>
      <c r="AC1427" s="1053"/>
      <c r="AD1427" s="1050"/>
      <c r="AE1427" s="1051"/>
      <c r="AF1427" s="1052"/>
    </row>
    <row r="1428" spans="1:32" ht="15.75" x14ac:dyDescent="0.25">
      <c r="A1428" s="2017"/>
      <c r="B1428" s="2018"/>
      <c r="C1428" s="2018"/>
      <c r="D1428" s="2018"/>
      <c r="E1428" s="2018"/>
      <c r="F1428" s="2018"/>
      <c r="G1428" s="2018"/>
      <c r="H1428" s="2018"/>
      <c r="I1428" s="2018"/>
      <c r="J1428" s="2018"/>
      <c r="K1428" s="2018"/>
      <c r="L1428" s="2018"/>
      <c r="M1428" s="2018"/>
      <c r="N1428" s="2018"/>
      <c r="O1428" s="2018"/>
      <c r="P1428" s="2018"/>
      <c r="Q1428" s="2018"/>
      <c r="R1428" s="2018"/>
      <c r="S1428" s="2018"/>
      <c r="T1428" s="2018"/>
      <c r="U1428" s="2018"/>
      <c r="V1428" s="2018"/>
      <c r="W1428" s="2018"/>
      <c r="X1428" s="2018"/>
      <c r="Y1428" s="2094"/>
      <c r="Z1428" s="2096"/>
      <c r="AA1428" s="2097"/>
      <c r="AB1428" s="1053"/>
      <c r="AC1428" s="1053"/>
      <c r="AD1428" s="1053"/>
      <c r="AE1428" s="1051"/>
      <c r="AF1428" s="1052"/>
    </row>
    <row r="1429" spans="1:32" ht="15.75" x14ac:dyDescent="0.25">
      <c r="A1429" s="2017"/>
      <c r="B1429" s="2018"/>
      <c r="C1429" s="2018"/>
      <c r="D1429" s="2018"/>
      <c r="E1429" s="2018"/>
      <c r="F1429" s="2018"/>
      <c r="G1429" s="2018"/>
      <c r="H1429" s="2018"/>
      <c r="I1429" s="2018"/>
      <c r="J1429" s="2018"/>
      <c r="K1429" s="2018"/>
      <c r="L1429" s="2018"/>
      <c r="M1429" s="2018"/>
      <c r="N1429" s="2018"/>
      <c r="O1429" s="2018"/>
      <c r="P1429" s="2018"/>
      <c r="Q1429" s="2018"/>
      <c r="R1429" s="2018"/>
      <c r="S1429" s="2018"/>
      <c r="T1429" s="2018"/>
      <c r="U1429" s="2018"/>
      <c r="V1429" s="2018"/>
      <c r="W1429" s="2018"/>
      <c r="X1429" s="2018"/>
      <c r="Y1429" s="2094"/>
      <c r="Z1429" s="2096"/>
      <c r="AA1429" s="2097"/>
      <c r="AB1429" s="1053"/>
      <c r="AC1429" s="1053"/>
      <c r="AD1429" s="1053"/>
      <c r="AE1429" s="1051"/>
      <c r="AF1429" s="1052"/>
    </row>
    <row r="1430" spans="1:32" ht="15.75" x14ac:dyDescent="0.25">
      <c r="A1430" s="2017"/>
      <c r="B1430" s="2018"/>
      <c r="C1430" s="2018"/>
      <c r="D1430" s="2018"/>
      <c r="E1430" s="2018"/>
      <c r="F1430" s="2018"/>
      <c r="G1430" s="2018"/>
      <c r="H1430" s="2018"/>
      <c r="I1430" s="2018"/>
      <c r="J1430" s="2018"/>
      <c r="K1430" s="2018"/>
      <c r="L1430" s="2018"/>
      <c r="M1430" s="2018"/>
      <c r="N1430" s="2018"/>
      <c r="O1430" s="2018"/>
      <c r="P1430" s="2018"/>
      <c r="Q1430" s="2018"/>
      <c r="R1430" s="2018"/>
      <c r="S1430" s="2018"/>
      <c r="T1430" s="2018"/>
      <c r="U1430" s="2018"/>
      <c r="V1430" s="2018"/>
      <c r="W1430" s="2018"/>
      <c r="X1430" s="2018"/>
      <c r="Y1430" s="2094"/>
      <c r="Z1430" s="2096"/>
      <c r="AA1430" s="2097"/>
      <c r="AB1430" s="1053"/>
      <c r="AC1430" s="1053"/>
      <c r="AD1430" s="1053"/>
      <c r="AE1430" s="1051"/>
      <c r="AF1430" s="1052"/>
    </row>
    <row r="1431" spans="1:32" ht="15.75" x14ac:dyDescent="0.25">
      <c r="A1431" s="2017"/>
      <c r="B1431" s="2018"/>
      <c r="C1431" s="2018"/>
      <c r="D1431" s="2018"/>
      <c r="E1431" s="2018"/>
      <c r="F1431" s="2018"/>
      <c r="G1431" s="2018"/>
      <c r="H1431" s="2018"/>
      <c r="I1431" s="2018"/>
      <c r="J1431" s="2018"/>
      <c r="K1431" s="2018"/>
      <c r="L1431" s="2018"/>
      <c r="M1431" s="2018"/>
      <c r="N1431" s="2018"/>
      <c r="O1431" s="2018"/>
      <c r="P1431" s="2018"/>
      <c r="Q1431" s="2018"/>
      <c r="R1431" s="2018"/>
      <c r="S1431" s="2018"/>
      <c r="T1431" s="2018"/>
      <c r="U1431" s="2018"/>
      <c r="V1431" s="2018"/>
      <c r="W1431" s="2018"/>
      <c r="X1431" s="2018"/>
      <c r="Y1431" s="2094"/>
      <c r="Z1431" s="2096"/>
      <c r="AA1431" s="2097"/>
      <c r="AB1431" s="1053"/>
      <c r="AC1431" s="1053"/>
      <c r="AD1431" s="1053"/>
      <c r="AE1431" s="1050"/>
      <c r="AF1431" s="1054"/>
    </row>
    <row r="1432" spans="1:32" ht="15.75" x14ac:dyDescent="0.25">
      <c r="A1432" s="2017"/>
      <c r="B1432" s="2018"/>
      <c r="C1432" s="2018"/>
      <c r="D1432" s="2018"/>
      <c r="E1432" s="2018"/>
      <c r="F1432" s="2018"/>
      <c r="G1432" s="2018"/>
      <c r="H1432" s="2018"/>
      <c r="I1432" s="2018"/>
      <c r="J1432" s="2018"/>
      <c r="K1432" s="2018"/>
      <c r="L1432" s="2018"/>
      <c r="M1432" s="2018"/>
      <c r="N1432" s="2018"/>
      <c r="O1432" s="2018"/>
      <c r="P1432" s="2018"/>
      <c r="Q1432" s="2018"/>
      <c r="R1432" s="2018"/>
      <c r="S1432" s="2018"/>
      <c r="T1432" s="2018"/>
      <c r="U1432" s="2018"/>
      <c r="V1432" s="2018"/>
      <c r="W1432" s="2018"/>
      <c r="X1432" s="2018"/>
      <c r="Y1432" s="2094"/>
      <c r="Z1432" s="2096"/>
      <c r="AA1432" s="2097"/>
      <c r="AB1432" s="1053"/>
      <c r="AC1432" s="1053"/>
      <c r="AD1432" s="1053"/>
      <c r="AE1432" s="1051"/>
      <c r="AF1432" s="1054"/>
    </row>
    <row r="1433" spans="1:32" ht="15.75" x14ac:dyDescent="0.25">
      <c r="A1433" s="2017"/>
      <c r="B1433" s="2018"/>
      <c r="C1433" s="2018"/>
      <c r="D1433" s="2018"/>
      <c r="E1433" s="2018"/>
      <c r="F1433" s="2018"/>
      <c r="G1433" s="2018"/>
      <c r="H1433" s="2018"/>
      <c r="I1433" s="2018"/>
      <c r="J1433" s="2018"/>
      <c r="K1433" s="2018"/>
      <c r="L1433" s="2018"/>
      <c r="M1433" s="2018"/>
      <c r="N1433" s="2018"/>
      <c r="O1433" s="2018"/>
      <c r="P1433" s="2018"/>
      <c r="Q1433" s="2018"/>
      <c r="R1433" s="2018"/>
      <c r="S1433" s="2018"/>
      <c r="T1433" s="2018"/>
      <c r="U1433" s="2018"/>
      <c r="V1433" s="2018"/>
      <c r="W1433" s="2018"/>
      <c r="X1433" s="2018"/>
      <c r="Y1433" s="2094"/>
      <c r="Z1433" s="2096"/>
      <c r="AA1433" s="2097"/>
      <c r="AB1433" s="1053"/>
      <c r="AC1433" s="1053"/>
      <c r="AD1433" s="1053"/>
      <c r="AE1433" s="1051"/>
      <c r="AF1433" s="1054"/>
    </row>
    <row r="1434" spans="1:32" ht="15.75" x14ac:dyDescent="0.25">
      <c r="A1434" s="2017"/>
      <c r="B1434" s="2018"/>
      <c r="C1434" s="2018"/>
      <c r="D1434" s="2018"/>
      <c r="E1434" s="2018"/>
      <c r="F1434" s="2018"/>
      <c r="G1434" s="2018"/>
      <c r="H1434" s="2018"/>
      <c r="I1434" s="2018"/>
      <c r="J1434" s="2018"/>
      <c r="K1434" s="2018"/>
      <c r="L1434" s="2018"/>
      <c r="M1434" s="2018"/>
      <c r="N1434" s="2018"/>
      <c r="O1434" s="2018"/>
      <c r="P1434" s="2018"/>
      <c r="Q1434" s="2018"/>
      <c r="R1434" s="2018"/>
      <c r="S1434" s="2018"/>
      <c r="T1434" s="2018"/>
      <c r="U1434" s="2018"/>
      <c r="V1434" s="2018"/>
      <c r="W1434" s="2018"/>
      <c r="X1434" s="2018"/>
      <c r="Y1434" s="2094"/>
      <c r="Z1434" s="2096"/>
      <c r="AA1434" s="2097"/>
      <c r="AB1434" s="1053"/>
      <c r="AC1434" s="1053"/>
      <c r="AD1434" s="1053"/>
      <c r="AE1434" s="1051"/>
      <c r="AF1434" s="1054"/>
    </row>
    <row r="1435" spans="1:32" ht="15.75" x14ac:dyDescent="0.25">
      <c r="A1435" s="2017"/>
      <c r="B1435" s="2018"/>
      <c r="C1435" s="2018"/>
      <c r="D1435" s="2018"/>
      <c r="E1435" s="2018"/>
      <c r="F1435" s="2018"/>
      <c r="G1435" s="2018"/>
      <c r="H1435" s="2018"/>
      <c r="I1435" s="2018"/>
      <c r="J1435" s="2018"/>
      <c r="K1435" s="2018"/>
      <c r="L1435" s="2018"/>
      <c r="M1435" s="2018"/>
      <c r="N1435" s="2018"/>
      <c r="O1435" s="2018"/>
      <c r="P1435" s="2018"/>
      <c r="Q1435" s="2018"/>
      <c r="R1435" s="2018"/>
      <c r="S1435" s="2018"/>
      <c r="T1435" s="2018"/>
      <c r="U1435" s="2018"/>
      <c r="V1435" s="2018"/>
      <c r="W1435" s="2018"/>
      <c r="X1435" s="2018"/>
      <c r="Y1435" s="2094"/>
      <c r="Z1435" s="2096"/>
      <c r="AA1435" s="2097"/>
      <c r="AB1435" s="1053"/>
      <c r="AC1435" s="1053"/>
      <c r="AD1435" s="1053"/>
      <c r="AE1435" s="1051"/>
      <c r="AF1435" s="1054"/>
    </row>
    <row r="1436" spans="1:32" ht="15.75" x14ac:dyDescent="0.25">
      <c r="A1436" s="2017"/>
      <c r="B1436" s="2018"/>
      <c r="C1436" s="2018"/>
      <c r="D1436" s="2018"/>
      <c r="E1436" s="2018"/>
      <c r="F1436" s="2018"/>
      <c r="G1436" s="2018"/>
      <c r="H1436" s="2018"/>
      <c r="I1436" s="2018"/>
      <c r="J1436" s="2018"/>
      <c r="K1436" s="2018"/>
      <c r="L1436" s="2018"/>
      <c r="M1436" s="2018"/>
      <c r="N1436" s="2018"/>
      <c r="O1436" s="2018"/>
      <c r="P1436" s="2018"/>
      <c r="Q1436" s="2018"/>
      <c r="R1436" s="2018"/>
      <c r="S1436" s="2018"/>
      <c r="T1436" s="2018"/>
      <c r="U1436" s="2018"/>
      <c r="V1436" s="2018"/>
      <c r="W1436" s="2018"/>
      <c r="X1436" s="2018"/>
      <c r="Y1436" s="2094"/>
      <c r="Z1436" s="2096"/>
      <c r="AA1436" s="2097"/>
      <c r="AB1436" s="1053"/>
      <c r="AC1436" s="1053"/>
      <c r="AD1436" s="1053"/>
      <c r="AE1436" s="1051"/>
      <c r="AF1436" s="1054"/>
    </row>
    <row r="1437" spans="1:32" ht="15.75" x14ac:dyDescent="0.25">
      <c r="A1437" s="2017"/>
      <c r="B1437" s="2018"/>
      <c r="C1437" s="2018"/>
      <c r="D1437" s="2018"/>
      <c r="E1437" s="2018"/>
      <c r="F1437" s="2018"/>
      <c r="G1437" s="2018"/>
      <c r="H1437" s="2018"/>
      <c r="I1437" s="2018"/>
      <c r="J1437" s="2018"/>
      <c r="K1437" s="2018"/>
      <c r="L1437" s="2018"/>
      <c r="M1437" s="2018"/>
      <c r="N1437" s="2018"/>
      <c r="O1437" s="2018"/>
      <c r="P1437" s="2018"/>
      <c r="Q1437" s="2018"/>
      <c r="R1437" s="2018"/>
      <c r="S1437" s="2018"/>
      <c r="T1437" s="2018"/>
      <c r="U1437" s="2018"/>
      <c r="V1437" s="2018"/>
      <c r="W1437" s="2018"/>
      <c r="X1437" s="2018"/>
      <c r="Y1437" s="2094"/>
      <c r="Z1437" s="2096"/>
      <c r="AA1437" s="2097"/>
      <c r="AB1437" s="1055"/>
      <c r="AC1437" s="1055"/>
      <c r="AD1437" s="1055"/>
      <c r="AE1437" s="1051"/>
      <c r="AF1437" s="1056"/>
    </row>
    <row r="1438" spans="1:32" ht="15.75" x14ac:dyDescent="0.25">
      <c r="A1438" s="2017"/>
      <c r="B1438" s="2018"/>
      <c r="C1438" s="2018"/>
      <c r="D1438" s="2018"/>
      <c r="E1438" s="2018"/>
      <c r="F1438" s="2018"/>
      <c r="G1438" s="2018"/>
      <c r="H1438" s="2018"/>
      <c r="I1438" s="2018"/>
      <c r="J1438" s="2018"/>
      <c r="K1438" s="2018"/>
      <c r="L1438" s="2018"/>
      <c r="M1438" s="2018"/>
      <c r="N1438" s="2018"/>
      <c r="O1438" s="2018"/>
      <c r="P1438" s="2018"/>
      <c r="Q1438" s="2018"/>
      <c r="R1438" s="2018"/>
      <c r="S1438" s="2018"/>
      <c r="T1438" s="2018"/>
      <c r="U1438" s="2018"/>
      <c r="V1438" s="2018"/>
      <c r="W1438" s="2018"/>
      <c r="X1438" s="2018"/>
      <c r="Y1438" s="2094"/>
      <c r="Z1438" s="2096"/>
      <c r="AA1438" s="2097"/>
      <c r="AB1438" s="1055"/>
      <c r="AC1438" s="1055"/>
      <c r="AD1438" s="1055"/>
      <c r="AE1438" s="1055"/>
      <c r="AF1438" s="1056"/>
    </row>
    <row r="1439" spans="1:32" ht="15.75" x14ac:dyDescent="0.25">
      <c r="A1439" s="2017"/>
      <c r="B1439" s="2018"/>
      <c r="C1439" s="2018"/>
      <c r="D1439" s="2018"/>
      <c r="E1439" s="2018"/>
      <c r="F1439" s="2018"/>
      <c r="G1439" s="2018"/>
      <c r="H1439" s="2018"/>
      <c r="I1439" s="2018"/>
      <c r="J1439" s="2018"/>
      <c r="K1439" s="2018"/>
      <c r="L1439" s="2018"/>
      <c r="M1439" s="2018"/>
      <c r="N1439" s="2018"/>
      <c r="O1439" s="2018"/>
      <c r="P1439" s="2018"/>
      <c r="Q1439" s="2018"/>
      <c r="R1439" s="2018"/>
      <c r="S1439" s="2018"/>
      <c r="T1439" s="2018"/>
      <c r="U1439" s="2018"/>
      <c r="V1439" s="2018"/>
      <c r="W1439" s="2018"/>
      <c r="X1439" s="2018"/>
      <c r="Y1439" s="2094"/>
      <c r="Z1439" s="2096"/>
      <c r="AA1439" s="2097"/>
      <c r="AB1439" s="1055"/>
      <c r="AC1439" s="1055"/>
      <c r="AD1439" s="1055"/>
      <c r="AE1439" s="1055"/>
      <c r="AF1439" s="1056"/>
    </row>
    <row r="1440" spans="1:32" ht="15.75" x14ac:dyDescent="0.25">
      <c r="A1440" s="2017"/>
      <c r="B1440" s="2018"/>
      <c r="C1440" s="2018"/>
      <c r="D1440" s="2018"/>
      <c r="E1440" s="2018"/>
      <c r="F1440" s="2018"/>
      <c r="G1440" s="2018"/>
      <c r="H1440" s="2018"/>
      <c r="I1440" s="2018"/>
      <c r="J1440" s="2018"/>
      <c r="K1440" s="2018"/>
      <c r="L1440" s="2018"/>
      <c r="M1440" s="2018"/>
      <c r="N1440" s="2018"/>
      <c r="O1440" s="2018"/>
      <c r="P1440" s="2018"/>
      <c r="Q1440" s="2018"/>
      <c r="R1440" s="2018"/>
      <c r="S1440" s="2018"/>
      <c r="T1440" s="2018"/>
      <c r="U1440" s="2018"/>
      <c r="V1440" s="2018"/>
      <c r="W1440" s="2018"/>
      <c r="X1440" s="2018"/>
      <c r="Y1440" s="2094"/>
      <c r="Z1440" s="2096"/>
      <c r="AA1440" s="2097"/>
      <c r="AB1440" s="1055"/>
      <c r="AC1440" s="1055"/>
      <c r="AD1440" s="1055"/>
      <c r="AE1440" s="1055"/>
      <c r="AF1440" s="1056"/>
    </row>
    <row r="1441" spans="1:32" ht="15.75" x14ac:dyDescent="0.25">
      <c r="A1441" s="2017"/>
      <c r="B1441" s="2018"/>
      <c r="C1441" s="2018"/>
      <c r="D1441" s="2018"/>
      <c r="E1441" s="2018"/>
      <c r="F1441" s="2018"/>
      <c r="G1441" s="2018"/>
      <c r="H1441" s="2018"/>
      <c r="I1441" s="2018"/>
      <c r="J1441" s="2018"/>
      <c r="K1441" s="2018"/>
      <c r="L1441" s="2018"/>
      <c r="M1441" s="2018"/>
      <c r="N1441" s="2018"/>
      <c r="O1441" s="2018"/>
      <c r="P1441" s="2018"/>
      <c r="Q1441" s="2018"/>
      <c r="R1441" s="2018"/>
      <c r="S1441" s="2018"/>
      <c r="T1441" s="2018"/>
      <c r="U1441" s="2018"/>
      <c r="V1441" s="2018"/>
      <c r="W1441" s="2018"/>
      <c r="X1441" s="2018"/>
      <c r="Y1441" s="2094"/>
      <c r="Z1441" s="2096"/>
      <c r="AA1441" s="2097"/>
      <c r="AB1441" s="1055"/>
      <c r="AC1441" s="1055"/>
      <c r="AD1441" s="1055"/>
      <c r="AE1441" s="1055"/>
      <c r="AF1441" s="1056"/>
    </row>
    <row r="1442" spans="1:32" ht="16.5" thickBot="1" x14ac:dyDescent="0.3">
      <c r="A1442" s="2019"/>
      <c r="B1442" s="2020"/>
      <c r="C1442" s="2020"/>
      <c r="D1442" s="2020"/>
      <c r="E1442" s="2020"/>
      <c r="F1442" s="2020"/>
      <c r="G1442" s="2020"/>
      <c r="H1442" s="2020"/>
      <c r="I1442" s="2020"/>
      <c r="J1442" s="2020"/>
      <c r="K1442" s="2020"/>
      <c r="L1442" s="2020"/>
      <c r="M1442" s="2020"/>
      <c r="N1442" s="2020"/>
      <c r="O1442" s="2020"/>
      <c r="P1442" s="2020"/>
      <c r="Q1442" s="2020"/>
      <c r="R1442" s="2020"/>
      <c r="S1442" s="2020"/>
      <c r="T1442" s="2020"/>
      <c r="U1442" s="2020"/>
      <c r="V1442" s="2020"/>
      <c r="W1442" s="2020"/>
      <c r="X1442" s="2020"/>
      <c r="Y1442" s="2095"/>
      <c r="Z1442" s="2098"/>
      <c r="AA1442" s="2099"/>
      <c r="AB1442" s="1057"/>
      <c r="AC1442" s="1057"/>
      <c r="AD1442" s="1057"/>
      <c r="AE1442" s="1057"/>
      <c r="AF1442" s="1058"/>
    </row>
    <row r="1443" spans="1:32" ht="15.75" x14ac:dyDescent="0.25">
      <c r="A1443" s="2100" t="s">
        <v>2158</v>
      </c>
      <c r="B1443" s="2101"/>
      <c r="C1443" s="2101"/>
      <c r="D1443" s="2101"/>
      <c r="E1443" s="2101"/>
      <c r="F1443" s="2101"/>
      <c r="G1443" s="2101"/>
      <c r="H1443" s="2101"/>
      <c r="I1443" s="2101"/>
      <c r="J1443" s="2101"/>
      <c r="K1443" s="2101"/>
      <c r="L1443" s="2101"/>
      <c r="M1443" s="2101"/>
      <c r="N1443" s="2101"/>
      <c r="O1443" s="2101"/>
      <c r="P1443" s="2101"/>
      <c r="Q1443" s="2101"/>
      <c r="R1443" s="2101"/>
      <c r="S1443" s="2101"/>
      <c r="T1443" s="2101"/>
      <c r="U1443" s="2101"/>
      <c r="V1443" s="2101"/>
      <c r="W1443" s="2101"/>
      <c r="X1443" s="2101"/>
      <c r="Y1443" s="2101"/>
      <c r="Z1443" s="2013" t="s">
        <v>1850</v>
      </c>
      <c r="AA1443" s="2013"/>
      <c r="AB1443" s="2013"/>
      <c r="AC1443" s="2013"/>
      <c r="AD1443" s="2013"/>
      <c r="AE1443" s="2013"/>
      <c r="AF1443" s="1059">
        <f>SUM(AF1423:AF1442)</f>
        <v>6.6300000000000008</v>
      </c>
    </row>
    <row r="1444" spans="1:32" ht="15.75" x14ac:dyDescent="0.25">
      <c r="A1444" s="2102"/>
      <c r="B1444" s="2103"/>
      <c r="C1444" s="2103"/>
      <c r="D1444" s="2103"/>
      <c r="E1444" s="2103"/>
      <c r="F1444" s="2103"/>
      <c r="G1444" s="2103"/>
      <c r="H1444" s="2103"/>
      <c r="I1444" s="2103"/>
      <c r="J1444" s="2103"/>
      <c r="K1444" s="2103"/>
      <c r="L1444" s="2103"/>
      <c r="M1444" s="2103"/>
      <c r="N1444" s="2103"/>
      <c r="O1444" s="2103"/>
      <c r="P1444" s="2103"/>
      <c r="Q1444" s="2103"/>
      <c r="R1444" s="2103"/>
      <c r="S1444" s="2103"/>
      <c r="T1444" s="2103"/>
      <c r="U1444" s="2103"/>
      <c r="V1444" s="2103"/>
      <c r="W1444" s="2103"/>
      <c r="X1444" s="2103"/>
      <c r="Y1444" s="2103"/>
      <c r="Z1444" s="2014" t="s">
        <v>1851</v>
      </c>
      <c r="AA1444" s="2014"/>
      <c r="AB1444" s="2014"/>
      <c r="AC1444" s="2014"/>
      <c r="AD1444" s="2014"/>
      <c r="AE1444" s="2014"/>
      <c r="AF1444" s="1060">
        <v>0</v>
      </c>
    </row>
    <row r="1445" spans="1:32" ht="15.75" x14ac:dyDescent="0.25">
      <c r="A1445" s="2102"/>
      <c r="B1445" s="2103"/>
      <c r="C1445" s="2103"/>
      <c r="D1445" s="2103"/>
      <c r="E1445" s="2103"/>
      <c r="F1445" s="2103"/>
      <c r="G1445" s="2103"/>
      <c r="H1445" s="2103"/>
      <c r="I1445" s="2103"/>
      <c r="J1445" s="2103"/>
      <c r="K1445" s="2103"/>
      <c r="L1445" s="2103"/>
      <c r="M1445" s="2103"/>
      <c r="N1445" s="2103"/>
      <c r="O1445" s="2103"/>
      <c r="P1445" s="2103"/>
      <c r="Q1445" s="2103"/>
      <c r="R1445" s="2103"/>
      <c r="S1445" s="2103"/>
      <c r="T1445" s="2103"/>
      <c r="U1445" s="2103"/>
      <c r="V1445" s="2103"/>
      <c r="W1445" s="2103"/>
      <c r="X1445" s="2103"/>
      <c r="Y1445" s="2103"/>
      <c r="Z1445" s="2015" t="s">
        <v>1833</v>
      </c>
      <c r="AA1445" s="2015"/>
      <c r="AB1445" s="2015"/>
      <c r="AC1445" s="2015"/>
      <c r="AD1445" s="2015"/>
      <c r="AE1445" s="2015"/>
      <c r="AF1445" s="1061">
        <f>SUM(AF1443:AF1444)</f>
        <v>6.6300000000000008</v>
      </c>
    </row>
    <row r="1446" spans="1:32" x14ac:dyDescent="0.2">
      <c r="A1446" s="2012" t="s">
        <v>1859</v>
      </c>
      <c r="B1446" s="2012"/>
      <c r="C1446" s="2012"/>
      <c r="D1446" s="2012"/>
      <c r="E1446" s="2012"/>
      <c r="F1446" s="2012"/>
      <c r="G1446" s="2012"/>
      <c r="H1446" s="2012"/>
      <c r="I1446" s="2012"/>
      <c r="J1446" s="2012"/>
      <c r="K1446" s="2012"/>
      <c r="L1446" s="2012"/>
      <c r="M1446" s="2012"/>
      <c r="N1446" s="2012"/>
      <c r="O1446" s="2012"/>
      <c r="P1446" s="2012"/>
      <c r="Q1446" s="2012"/>
      <c r="R1446" s="2012"/>
      <c r="S1446" s="2012"/>
      <c r="T1446" s="2016" t="s">
        <v>1840</v>
      </c>
      <c r="U1446" s="2016"/>
      <c r="V1446" s="2016"/>
      <c r="W1446" s="2016"/>
      <c r="X1446" s="2016"/>
      <c r="Y1446" s="2016"/>
      <c r="Z1446" s="2016"/>
      <c r="AA1446" s="2016"/>
      <c r="AB1446" s="2012" t="s">
        <v>1852</v>
      </c>
      <c r="AC1446" s="2012"/>
      <c r="AD1446" s="2012"/>
      <c r="AE1446" s="2012"/>
      <c r="AF1446" s="2012"/>
    </row>
    <row r="1447" spans="1:32" x14ac:dyDescent="0.2">
      <c r="A1447" s="2012"/>
      <c r="B1447" s="2012"/>
      <c r="C1447" s="2012"/>
      <c r="D1447" s="2012"/>
      <c r="E1447" s="2012"/>
      <c r="F1447" s="2012"/>
      <c r="G1447" s="2012"/>
      <c r="H1447" s="2012"/>
      <c r="I1447" s="2012"/>
      <c r="J1447" s="2012"/>
      <c r="K1447" s="2012"/>
      <c r="L1447" s="2012"/>
      <c r="M1447" s="2012"/>
      <c r="N1447" s="2012"/>
      <c r="O1447" s="2012"/>
      <c r="P1447" s="2012"/>
      <c r="Q1447" s="2012"/>
      <c r="R1447" s="2012"/>
      <c r="S1447" s="2012"/>
      <c r="T1447" s="2016"/>
      <c r="U1447" s="2016"/>
      <c r="V1447" s="2016"/>
      <c r="W1447" s="2016"/>
      <c r="X1447" s="2016"/>
      <c r="Y1447" s="2016"/>
      <c r="Z1447" s="2016"/>
      <c r="AA1447" s="2016"/>
      <c r="AB1447" s="2012"/>
      <c r="AC1447" s="2012"/>
      <c r="AD1447" s="2012"/>
      <c r="AE1447" s="2012"/>
      <c r="AF1447" s="2012"/>
    </row>
    <row r="1448" spans="1:32" ht="13.5" thickBot="1" x14ac:dyDescent="0.25"/>
    <row r="1449" spans="1:32" ht="22.15" customHeight="1" x14ac:dyDescent="0.2">
      <c r="A1449" s="2025" t="s">
        <v>1854</v>
      </c>
      <c r="B1449" s="2026"/>
      <c r="C1449" s="2026"/>
      <c r="D1449" s="2026"/>
      <c r="E1449" s="2026"/>
      <c r="F1449" s="2026"/>
      <c r="G1449" s="2026"/>
      <c r="H1449" s="2026"/>
      <c r="I1449" s="2026"/>
      <c r="J1449" s="2026"/>
      <c r="K1449" s="2026"/>
      <c r="L1449" s="2026"/>
      <c r="M1449" s="2026"/>
      <c r="N1449" s="2026"/>
      <c r="O1449" s="2026"/>
      <c r="P1449" s="2026"/>
      <c r="Q1449" s="2026"/>
      <c r="R1449" s="2026"/>
      <c r="S1449" s="2026"/>
      <c r="T1449" s="2026"/>
      <c r="U1449" s="2026"/>
      <c r="V1449" s="2026"/>
      <c r="W1449" s="2026"/>
      <c r="X1449" s="2026"/>
      <c r="Y1449" s="2026"/>
      <c r="Z1449" s="2026"/>
      <c r="AA1449" s="2026"/>
      <c r="AB1449" s="2026"/>
      <c r="AC1449" s="2026"/>
      <c r="AD1449" s="2026"/>
      <c r="AE1449" s="1041" t="s">
        <v>1834</v>
      </c>
      <c r="AF1449" s="1042" t="s">
        <v>1835</v>
      </c>
    </row>
    <row r="1450" spans="1:32" ht="22.15" customHeight="1" thickBot="1" x14ac:dyDescent="0.25">
      <c r="A1450" s="2027"/>
      <c r="B1450" s="2028"/>
      <c r="C1450" s="2028"/>
      <c r="D1450" s="2028"/>
      <c r="E1450" s="2028"/>
      <c r="F1450" s="2028"/>
      <c r="G1450" s="2028"/>
      <c r="H1450" s="2028"/>
      <c r="I1450" s="2028"/>
      <c r="J1450" s="2028"/>
      <c r="K1450" s="2028"/>
      <c r="L1450" s="2028"/>
      <c r="M1450" s="2028"/>
      <c r="N1450" s="2028"/>
      <c r="O1450" s="2028"/>
      <c r="P1450" s="2028"/>
      <c r="Q1450" s="2028"/>
      <c r="R1450" s="2028"/>
      <c r="S1450" s="2028"/>
      <c r="T1450" s="2028"/>
      <c r="U1450" s="2028"/>
      <c r="V1450" s="2028"/>
      <c r="W1450" s="2028"/>
      <c r="X1450" s="2028"/>
      <c r="Y1450" s="2028"/>
      <c r="Z1450" s="2028"/>
      <c r="AA1450" s="2028"/>
      <c r="AB1450" s="2028"/>
      <c r="AC1450" s="2028"/>
      <c r="AD1450" s="2028"/>
      <c r="AE1450" s="1041" t="s">
        <v>1836</v>
      </c>
      <c r="AF1450" s="1044">
        <v>1</v>
      </c>
    </row>
    <row r="1451" spans="1:32" ht="15.75" x14ac:dyDescent="0.2">
      <c r="A1451" s="2029"/>
      <c r="B1451" s="2030"/>
      <c r="C1451" s="2030"/>
      <c r="D1451" s="2031"/>
      <c r="E1451" s="2025" t="str">
        <f>'01'!$A$12</f>
        <v>"CONSTRUCCION SISTEMA DE ACUEDUCTO FASE II DEL MUNICIPIO DE TESALIA DPTO DEL HUILA"</v>
      </c>
      <c r="F1451" s="2026"/>
      <c r="G1451" s="2026"/>
      <c r="H1451" s="2026"/>
      <c r="I1451" s="2026"/>
      <c r="J1451" s="2026"/>
      <c r="K1451" s="2026"/>
      <c r="L1451" s="2026"/>
      <c r="M1451" s="2026"/>
      <c r="N1451" s="2026"/>
      <c r="O1451" s="2026"/>
      <c r="P1451" s="2026"/>
      <c r="Q1451" s="2026"/>
      <c r="R1451" s="2026"/>
      <c r="S1451" s="2026"/>
      <c r="T1451" s="2026"/>
      <c r="U1451" s="2026"/>
      <c r="V1451" s="2026"/>
      <c r="W1451" s="2026"/>
      <c r="X1451" s="2026"/>
      <c r="Y1451" s="2026"/>
      <c r="Z1451" s="2026"/>
      <c r="AA1451" s="2026"/>
      <c r="AB1451" s="2026"/>
      <c r="AC1451" s="2026"/>
      <c r="AD1451" s="2035"/>
      <c r="AE1451" s="1041" t="s">
        <v>847</v>
      </c>
      <c r="AF1451" s="1045">
        <f>'01'!$M$13</f>
        <v>0</v>
      </c>
    </row>
    <row r="1452" spans="1:32" ht="16.5" thickBot="1" x14ac:dyDescent="0.25">
      <c r="A1452" s="2032"/>
      <c r="B1452" s="2033"/>
      <c r="C1452" s="2033"/>
      <c r="D1452" s="2034"/>
      <c r="E1452" s="2027"/>
      <c r="F1452" s="2028"/>
      <c r="G1452" s="2028"/>
      <c r="H1452" s="2028"/>
      <c r="I1452" s="2028"/>
      <c r="J1452" s="2028"/>
      <c r="K1452" s="2028"/>
      <c r="L1452" s="2028"/>
      <c r="M1452" s="2028"/>
      <c r="N1452" s="2028"/>
      <c r="O1452" s="2028"/>
      <c r="P1452" s="2028"/>
      <c r="Q1452" s="2028"/>
      <c r="R1452" s="2028"/>
      <c r="S1452" s="2028"/>
      <c r="T1452" s="2028"/>
      <c r="U1452" s="2028"/>
      <c r="V1452" s="2028"/>
      <c r="W1452" s="2028"/>
      <c r="X1452" s="2028"/>
      <c r="Y1452" s="2028"/>
      <c r="Z1452" s="2028"/>
      <c r="AA1452" s="2028"/>
      <c r="AB1452" s="2028"/>
      <c r="AC1452" s="2028"/>
      <c r="AD1452" s="2036"/>
      <c r="AE1452" s="1041" t="s">
        <v>1837</v>
      </c>
      <c r="AF1452" s="1042" t="s">
        <v>1838</v>
      </c>
    </row>
    <row r="1453" spans="1:32" ht="15.75" x14ac:dyDescent="0.25">
      <c r="A1453" s="2037" t="s">
        <v>1860</v>
      </c>
      <c r="B1453" s="2038"/>
      <c r="C1453" s="2038"/>
      <c r="D1453" s="2038"/>
      <c r="E1453" s="2038"/>
      <c r="F1453" s="2038"/>
      <c r="G1453" s="2038"/>
      <c r="H1453" s="2038"/>
      <c r="I1453" s="2038"/>
      <c r="J1453" s="2038"/>
      <c r="K1453" s="2038"/>
      <c r="L1453" s="2038"/>
      <c r="M1453" s="2038"/>
      <c r="N1453" s="2038"/>
      <c r="O1453" s="2038"/>
      <c r="P1453" s="2038"/>
      <c r="Q1453" s="2038"/>
      <c r="R1453" s="2038"/>
      <c r="S1453" s="2038"/>
      <c r="T1453" s="2038"/>
      <c r="U1453" s="2038"/>
      <c r="V1453" s="2038"/>
      <c r="W1453" s="2038"/>
      <c r="X1453" s="2038"/>
      <c r="Y1453" s="2038"/>
      <c r="Z1453" s="2038"/>
      <c r="AA1453" s="2038"/>
      <c r="AB1453" s="2038"/>
      <c r="AC1453" s="2038"/>
      <c r="AD1453" s="2038"/>
      <c r="AE1453" s="2039" t="s">
        <v>1839</v>
      </c>
      <c r="AF1453" s="2040"/>
    </row>
    <row r="1454" spans="1:32" ht="15.75" x14ac:dyDescent="0.25">
      <c r="A1454" s="2041" t="s">
        <v>1840</v>
      </c>
      <c r="B1454" s="2042"/>
      <c r="C1454" s="2042"/>
      <c r="D1454" s="2042"/>
      <c r="E1454" s="2042"/>
      <c r="F1454" s="2042"/>
      <c r="G1454" s="2042"/>
      <c r="H1454" s="2042"/>
      <c r="I1454" s="2042"/>
      <c r="J1454" s="2042"/>
      <c r="K1454" s="2042"/>
      <c r="L1454" s="2042"/>
      <c r="M1454" s="2042"/>
      <c r="N1454" s="2042"/>
      <c r="O1454" s="2042"/>
      <c r="P1454" s="2042"/>
      <c r="Q1454" s="2042"/>
      <c r="R1454" s="2042"/>
      <c r="S1454" s="2042"/>
      <c r="T1454" s="2042"/>
      <c r="U1454" s="2042"/>
      <c r="V1454" s="2042"/>
      <c r="W1454" s="2042"/>
      <c r="X1454" s="2042"/>
      <c r="Y1454" s="2042"/>
      <c r="Z1454" s="2042"/>
      <c r="AA1454" s="2042"/>
      <c r="AB1454" s="2042"/>
      <c r="AC1454" s="2042"/>
      <c r="AD1454" s="2043"/>
      <c r="AE1454" s="2014" t="s">
        <v>1841</v>
      </c>
      <c r="AF1454" s="2044"/>
    </row>
    <row r="1455" spans="1:32" ht="15.75" x14ac:dyDescent="0.25">
      <c r="A1455" s="2045" t="s">
        <v>1853</v>
      </c>
      <c r="B1455" s="2046"/>
      <c r="C1455" s="2046"/>
      <c r="D1455" s="2046"/>
      <c r="E1455" s="2046"/>
      <c r="F1455" s="2046"/>
      <c r="G1455" s="2046"/>
      <c r="H1455" s="2046"/>
      <c r="I1455" s="2046"/>
      <c r="J1455" s="2046"/>
      <c r="K1455" s="2046"/>
      <c r="L1455" s="2046"/>
      <c r="M1455" s="2046"/>
      <c r="N1455" s="2046"/>
      <c r="O1455" s="2046"/>
      <c r="P1455" s="2046"/>
      <c r="Q1455" s="2046"/>
      <c r="R1455" s="2046"/>
      <c r="S1455" s="2046"/>
      <c r="T1455" s="2046"/>
      <c r="U1455" s="2046"/>
      <c r="V1455" s="2046"/>
      <c r="W1455" s="2046"/>
      <c r="X1455" s="2046"/>
      <c r="Y1455" s="2046"/>
      <c r="Z1455" s="2046"/>
      <c r="AA1455" s="2046"/>
      <c r="AB1455" s="2046"/>
      <c r="AC1455" s="2046"/>
      <c r="AD1455" s="2046"/>
      <c r="AE1455" s="2047">
        <f>'01'!$M$13</f>
        <v>0</v>
      </c>
      <c r="AF1455" s="2044"/>
    </row>
    <row r="1456" spans="1:32" x14ac:dyDescent="0.2">
      <c r="A1456" s="1046"/>
      <c r="B1456" s="1047"/>
      <c r="C1456" s="1047"/>
      <c r="D1456" s="1047"/>
      <c r="E1456" s="1047"/>
      <c r="F1456" s="1047"/>
      <c r="G1456" s="1047"/>
      <c r="H1456" s="1047"/>
      <c r="I1456" s="1047"/>
      <c r="J1456" s="1047"/>
      <c r="K1456" s="1047"/>
      <c r="L1456" s="1047"/>
      <c r="M1456" s="1047"/>
      <c r="N1456" s="1047"/>
      <c r="O1456" s="1047"/>
      <c r="P1456" s="1047"/>
      <c r="Q1456" s="1047"/>
      <c r="R1456" s="1047"/>
      <c r="S1456" s="1047"/>
      <c r="T1456" s="1047"/>
      <c r="U1456" s="1047"/>
      <c r="V1456" s="1047"/>
      <c r="W1456" s="1047"/>
      <c r="X1456" s="1047"/>
      <c r="Y1456" s="1047"/>
      <c r="Z1456" s="1047"/>
      <c r="AA1456" s="1047"/>
      <c r="AB1456" s="1047"/>
      <c r="AC1456" s="1047"/>
      <c r="AD1456" s="1047"/>
      <c r="AE1456" s="1047"/>
      <c r="AF1456" s="1048"/>
    </row>
    <row r="1457" spans="1:32" ht="30" customHeight="1" x14ac:dyDescent="0.2">
      <c r="A1457" s="2048" t="s">
        <v>1842</v>
      </c>
      <c r="B1457" s="2049"/>
      <c r="C1457" s="2049"/>
      <c r="D1457" s="2049"/>
      <c r="E1457" s="2049"/>
      <c r="F1457" s="2050" t="str">
        <f>+'01'!$H$63</f>
        <v>C - FLOCULADOR, SEDIMENTADOR, CANAL DE AGUA SEDIMENTADA Y CANAL DE LAVADO</v>
      </c>
      <c r="G1457" s="2049"/>
      <c r="H1457" s="2049"/>
      <c r="I1457" s="2049"/>
      <c r="J1457" s="2049"/>
      <c r="K1457" s="2049"/>
      <c r="L1457" s="2049"/>
      <c r="M1457" s="2049"/>
      <c r="N1457" s="2049"/>
      <c r="O1457" s="2049"/>
      <c r="P1457" s="2049"/>
      <c r="Q1457" s="2049"/>
      <c r="R1457" s="2049"/>
      <c r="S1457" s="2049"/>
      <c r="T1457" s="2049"/>
      <c r="U1457" s="2049"/>
      <c r="V1457" s="2049"/>
      <c r="W1457" s="2049"/>
      <c r="X1457" s="2049"/>
      <c r="Y1457" s="2051"/>
      <c r="Z1457" s="2052" t="s">
        <v>1843</v>
      </c>
      <c r="AA1457" s="2053"/>
      <c r="AB1457" s="2058" t="s">
        <v>1844</v>
      </c>
      <c r="AC1457" s="2059"/>
      <c r="AD1457" s="2060"/>
      <c r="AE1457" s="2064" t="s">
        <v>1845</v>
      </c>
      <c r="AF1457" s="2067" t="s">
        <v>1846</v>
      </c>
    </row>
    <row r="1458" spans="1:32" x14ac:dyDescent="0.2">
      <c r="A1458" s="2070" t="str">
        <f>+'01'!A78</f>
        <v>C-05-02</v>
      </c>
      <c r="B1458" s="2071"/>
      <c r="C1458" s="2072"/>
      <c r="D1458" s="2076" t="str">
        <f>VLOOKUP(A1458,'01'!$A$12:$N$299,3,FALSE)</f>
        <v>CONCRETO DE FC=280 KG/CM2, IMPERMEABILIZADO PARA ESTRUCTURAS ENTERRADAS Y SEMIENTERRADAS.</v>
      </c>
      <c r="E1458" s="2077"/>
      <c r="F1458" s="2077"/>
      <c r="G1458" s="2077"/>
      <c r="H1458" s="2077"/>
      <c r="I1458" s="2077"/>
      <c r="J1458" s="2077"/>
      <c r="K1458" s="2077"/>
      <c r="L1458" s="2077"/>
      <c r="M1458" s="2077"/>
      <c r="N1458" s="2077"/>
      <c r="O1458" s="2077"/>
      <c r="P1458" s="2077"/>
      <c r="Q1458" s="2077"/>
      <c r="R1458" s="2077"/>
      <c r="S1458" s="2078"/>
      <c r="T1458" s="2082" t="s">
        <v>124</v>
      </c>
      <c r="U1458" s="2083"/>
      <c r="V1458" s="2083"/>
      <c r="W1458" s="2083"/>
      <c r="X1458" s="2052" t="str">
        <f>VLOOKUP(A1458,'01'!$A$12:$N$299,9,FALSE)</f>
        <v>M3</v>
      </c>
      <c r="Y1458" s="2053"/>
      <c r="Z1458" s="2054"/>
      <c r="AA1458" s="2055"/>
      <c r="AB1458" s="2061"/>
      <c r="AC1458" s="2062"/>
      <c r="AD1458" s="2063"/>
      <c r="AE1458" s="2065"/>
      <c r="AF1458" s="2068"/>
    </row>
    <row r="1459" spans="1:32" ht="15.75" x14ac:dyDescent="0.25">
      <c r="A1459" s="2073"/>
      <c r="B1459" s="2074"/>
      <c r="C1459" s="2075"/>
      <c r="D1459" s="2079"/>
      <c r="E1459" s="2080"/>
      <c r="F1459" s="2080"/>
      <c r="G1459" s="2080"/>
      <c r="H1459" s="2080"/>
      <c r="I1459" s="2080"/>
      <c r="J1459" s="2080"/>
      <c r="K1459" s="2080"/>
      <c r="L1459" s="2080"/>
      <c r="M1459" s="2080"/>
      <c r="N1459" s="2080"/>
      <c r="O1459" s="2080"/>
      <c r="P1459" s="2080"/>
      <c r="Q1459" s="2080"/>
      <c r="R1459" s="2080"/>
      <c r="S1459" s="2081"/>
      <c r="T1459" s="2084"/>
      <c r="U1459" s="2085"/>
      <c r="V1459" s="2085"/>
      <c r="W1459" s="2085"/>
      <c r="X1459" s="2056"/>
      <c r="Y1459" s="2057"/>
      <c r="Z1459" s="2056"/>
      <c r="AA1459" s="2057"/>
      <c r="AB1459" s="1049" t="s">
        <v>1847</v>
      </c>
      <c r="AC1459" s="1049" t="s">
        <v>1848</v>
      </c>
      <c r="AD1459" s="1049" t="s">
        <v>1861</v>
      </c>
      <c r="AE1459" s="2066"/>
      <c r="AF1459" s="2069"/>
    </row>
    <row r="1460" spans="1:32" ht="15.75" x14ac:dyDescent="0.25">
      <c r="A1460" s="2017"/>
      <c r="B1460" s="2018"/>
      <c r="C1460" s="2018"/>
      <c r="D1460" s="2018"/>
      <c r="E1460" s="2018"/>
      <c r="F1460" s="2018"/>
      <c r="G1460" s="2018"/>
      <c r="H1460" s="2018"/>
      <c r="I1460" s="2018"/>
      <c r="J1460" s="2018"/>
      <c r="K1460" s="2018"/>
      <c r="L1460" s="2018"/>
      <c r="M1460" s="2018"/>
      <c r="N1460" s="2018"/>
      <c r="O1460" s="2018"/>
      <c r="P1460" s="2018"/>
      <c r="Q1460" s="2018"/>
      <c r="R1460" s="2018"/>
      <c r="S1460" s="2018"/>
      <c r="T1460" s="2018"/>
      <c r="U1460" s="2018"/>
      <c r="V1460" s="2018"/>
      <c r="W1460" s="2018"/>
      <c r="X1460" s="2018"/>
      <c r="Y1460" s="2018"/>
      <c r="Z1460" s="2022" t="s">
        <v>2308</v>
      </c>
      <c r="AA1460" s="2022"/>
      <c r="AB1460" s="1050">
        <f>+AB1423</f>
        <v>10.9</v>
      </c>
      <c r="AC1460" s="1050">
        <f>+AC1423</f>
        <v>5.45</v>
      </c>
      <c r="AD1460" s="1050">
        <v>0.3</v>
      </c>
      <c r="AE1460" s="1050">
        <v>1</v>
      </c>
      <c r="AF1460" s="1052">
        <f>ROUND(AE1460*AD1460*AC1460*AB1460,2)</f>
        <v>17.82</v>
      </c>
    </row>
    <row r="1461" spans="1:32" ht="15.75" x14ac:dyDescent="0.25">
      <c r="A1461" s="2017"/>
      <c r="B1461" s="2018"/>
      <c r="C1461" s="2018"/>
      <c r="D1461" s="2018"/>
      <c r="E1461" s="2018"/>
      <c r="F1461" s="2018"/>
      <c r="G1461" s="2018"/>
      <c r="H1461" s="2018"/>
      <c r="I1461" s="2018"/>
      <c r="J1461" s="2018"/>
      <c r="K1461" s="2018"/>
      <c r="L1461" s="2018"/>
      <c r="M1461" s="2018"/>
      <c r="N1461" s="2018"/>
      <c r="O1461" s="2018"/>
      <c r="P1461" s="2018"/>
      <c r="Q1461" s="2018"/>
      <c r="R1461" s="2018"/>
      <c r="S1461" s="2018"/>
      <c r="T1461" s="2018"/>
      <c r="U1461" s="2018"/>
      <c r="V1461" s="2018"/>
      <c r="W1461" s="2018"/>
      <c r="X1461" s="2018"/>
      <c r="Y1461" s="2018"/>
      <c r="Z1461" s="2022"/>
      <c r="AA1461" s="2022"/>
      <c r="AB1461" s="1050">
        <v>10.9</v>
      </c>
      <c r="AC1461" s="1050">
        <v>0.3</v>
      </c>
      <c r="AD1461" s="1050">
        <v>1.7</v>
      </c>
      <c r="AE1461" s="1050">
        <v>2</v>
      </c>
      <c r="AF1461" s="1052">
        <f>ROUND(AE1461*AD1461*AC1461*AB1461,2)</f>
        <v>11.12</v>
      </c>
    </row>
    <row r="1462" spans="1:32" ht="15.75" x14ac:dyDescent="0.25">
      <c r="A1462" s="2017"/>
      <c r="B1462" s="2018"/>
      <c r="C1462" s="2018"/>
      <c r="D1462" s="2018"/>
      <c r="E1462" s="2018"/>
      <c r="F1462" s="2018"/>
      <c r="G1462" s="2018"/>
      <c r="H1462" s="2018"/>
      <c r="I1462" s="2018"/>
      <c r="J1462" s="2018"/>
      <c r="K1462" s="2018"/>
      <c r="L1462" s="2018"/>
      <c r="M1462" s="2018"/>
      <c r="N1462" s="2018"/>
      <c r="O1462" s="2018"/>
      <c r="P1462" s="2018"/>
      <c r="Q1462" s="2018"/>
      <c r="R1462" s="2018"/>
      <c r="S1462" s="2018"/>
      <c r="T1462" s="2018"/>
      <c r="U1462" s="2018"/>
      <c r="V1462" s="2018"/>
      <c r="W1462" s="2018"/>
      <c r="X1462" s="2018"/>
      <c r="Y1462" s="2018"/>
      <c r="Z1462" s="2022"/>
      <c r="AA1462" s="2022"/>
      <c r="AB1462" s="1050">
        <v>5.05</v>
      </c>
      <c r="AC1462" s="1050">
        <v>0.15</v>
      </c>
      <c r="AD1462" s="1050">
        <v>1.7</v>
      </c>
      <c r="AE1462" s="1050">
        <v>4</v>
      </c>
      <c r="AF1462" s="1052">
        <f t="shared" ref="AF1462:AF1464" si="29">ROUND(AE1462*AD1462*AC1462*AB1462,2)</f>
        <v>5.15</v>
      </c>
    </row>
    <row r="1463" spans="1:32" ht="15.75" x14ac:dyDescent="0.25">
      <c r="A1463" s="2017"/>
      <c r="B1463" s="2018"/>
      <c r="C1463" s="2018"/>
      <c r="D1463" s="2018"/>
      <c r="E1463" s="2018"/>
      <c r="F1463" s="2018"/>
      <c r="G1463" s="2018"/>
      <c r="H1463" s="2018"/>
      <c r="I1463" s="2018"/>
      <c r="J1463" s="2018"/>
      <c r="K1463" s="2018"/>
      <c r="L1463" s="2018"/>
      <c r="M1463" s="2018"/>
      <c r="N1463" s="2018"/>
      <c r="O1463" s="2018"/>
      <c r="P1463" s="2018"/>
      <c r="Q1463" s="2018"/>
      <c r="R1463" s="2018"/>
      <c r="S1463" s="2018"/>
      <c r="T1463" s="2018"/>
      <c r="U1463" s="2018"/>
      <c r="V1463" s="2018"/>
      <c r="W1463" s="2018"/>
      <c r="X1463" s="2018"/>
      <c r="Y1463" s="2018"/>
      <c r="Z1463" s="2022"/>
      <c r="AA1463" s="2022"/>
      <c r="AB1463" s="1050">
        <v>10.35</v>
      </c>
      <c r="AC1463" s="1050">
        <v>0.1</v>
      </c>
      <c r="AD1463" s="1050">
        <v>0.7</v>
      </c>
      <c r="AE1463" s="1050">
        <v>1</v>
      </c>
      <c r="AF1463" s="1052">
        <f t="shared" si="29"/>
        <v>0.72</v>
      </c>
    </row>
    <row r="1464" spans="1:32" ht="15.75" x14ac:dyDescent="0.25">
      <c r="A1464" s="2017"/>
      <c r="B1464" s="2018"/>
      <c r="C1464" s="2018"/>
      <c r="D1464" s="2018"/>
      <c r="E1464" s="2018"/>
      <c r="F1464" s="2018"/>
      <c r="G1464" s="2018"/>
      <c r="H1464" s="2018"/>
      <c r="I1464" s="2018"/>
      <c r="J1464" s="2018"/>
      <c r="K1464" s="2018"/>
      <c r="L1464" s="2018"/>
      <c r="M1464" s="2018"/>
      <c r="N1464" s="2018"/>
      <c r="O1464" s="2018"/>
      <c r="P1464" s="2018"/>
      <c r="Q1464" s="2018"/>
      <c r="R1464" s="2018"/>
      <c r="S1464" s="2018"/>
      <c r="T1464" s="2018"/>
      <c r="U1464" s="2018"/>
      <c r="V1464" s="2018"/>
      <c r="W1464" s="2018"/>
      <c r="X1464" s="2018"/>
      <c r="Y1464" s="2018"/>
      <c r="Z1464" s="2022"/>
      <c r="AA1464" s="2022"/>
      <c r="AB1464" s="1050">
        <v>10.35</v>
      </c>
      <c r="AC1464" s="1050">
        <v>0.8</v>
      </c>
      <c r="AD1464" s="1050">
        <v>0.15</v>
      </c>
      <c r="AE1464" s="1050">
        <v>1</v>
      </c>
      <c r="AF1464" s="1052">
        <f t="shared" si="29"/>
        <v>1.24</v>
      </c>
    </row>
    <row r="1465" spans="1:32" ht="15.75" x14ac:dyDescent="0.25">
      <c r="A1465" s="2017"/>
      <c r="B1465" s="2018"/>
      <c r="C1465" s="2018"/>
      <c r="D1465" s="2018"/>
      <c r="E1465" s="2018"/>
      <c r="F1465" s="2018"/>
      <c r="G1465" s="2018"/>
      <c r="H1465" s="2018"/>
      <c r="I1465" s="2018"/>
      <c r="J1465" s="2018"/>
      <c r="K1465" s="2018"/>
      <c r="L1465" s="2018"/>
      <c r="M1465" s="2018"/>
      <c r="N1465" s="2018"/>
      <c r="O1465" s="2018"/>
      <c r="P1465" s="2018"/>
      <c r="Q1465" s="2018"/>
      <c r="R1465" s="2018"/>
      <c r="S1465" s="2018"/>
      <c r="T1465" s="2018"/>
      <c r="U1465" s="2018"/>
      <c r="V1465" s="2018"/>
      <c r="W1465" s="2018"/>
      <c r="X1465" s="2018"/>
      <c r="Y1465" s="2018"/>
      <c r="Z1465" s="2022"/>
      <c r="AA1465" s="2022"/>
      <c r="AB1465" s="1050">
        <f>+AC1460-0.6</f>
        <v>4.8500000000000005</v>
      </c>
      <c r="AC1465" s="1050">
        <v>0.3</v>
      </c>
      <c r="AD1465" s="1050">
        <v>1.7</v>
      </c>
      <c r="AE1465" s="1050">
        <v>2</v>
      </c>
      <c r="AF1465" s="1052">
        <f>ROUND(AE1465*AD1465*AC1465*AB1465,2)</f>
        <v>4.95</v>
      </c>
    </row>
    <row r="1466" spans="1:32" ht="15.75" x14ac:dyDescent="0.25">
      <c r="A1466" s="2017"/>
      <c r="B1466" s="2018"/>
      <c r="C1466" s="2018"/>
      <c r="D1466" s="2018"/>
      <c r="E1466" s="2018"/>
      <c r="F1466" s="2018"/>
      <c r="G1466" s="2018"/>
      <c r="H1466" s="2018"/>
      <c r="I1466" s="2018"/>
      <c r="J1466" s="2018"/>
      <c r="K1466" s="2018"/>
      <c r="L1466" s="2018"/>
      <c r="M1466" s="2018"/>
      <c r="N1466" s="2018"/>
      <c r="O1466" s="2018"/>
      <c r="P1466" s="2018"/>
      <c r="Q1466" s="2018"/>
      <c r="R1466" s="2018"/>
      <c r="S1466" s="2018"/>
      <c r="T1466" s="2018"/>
      <c r="U1466" s="2018"/>
      <c r="V1466" s="2018"/>
      <c r="W1466" s="2018"/>
      <c r="X1466" s="2018"/>
      <c r="Y1466" s="2018"/>
      <c r="Z1466" s="2022"/>
      <c r="AA1466" s="2022"/>
      <c r="AB1466" s="1050">
        <f>+AC1460-0.6-0.8</f>
        <v>4.0500000000000007</v>
      </c>
      <c r="AC1466" s="1050">
        <v>0.15</v>
      </c>
      <c r="AD1466" s="1050">
        <v>1.7</v>
      </c>
      <c r="AE1466" s="1050">
        <v>4</v>
      </c>
      <c r="AF1466" s="1052">
        <f t="shared" ref="AF1466:AF1486" si="30">ROUND(AE1466*AD1466*AC1466*AB1466,2)</f>
        <v>4.13</v>
      </c>
    </row>
    <row r="1467" spans="1:32" ht="15.75" x14ac:dyDescent="0.25">
      <c r="A1467" s="2017"/>
      <c r="B1467" s="2018"/>
      <c r="C1467" s="2018"/>
      <c r="D1467" s="2018"/>
      <c r="E1467" s="2018"/>
      <c r="F1467" s="2018"/>
      <c r="G1467" s="2018"/>
      <c r="H1467" s="2018"/>
      <c r="I1467" s="2018"/>
      <c r="J1467" s="2018"/>
      <c r="K1467" s="2018"/>
      <c r="L1467" s="2018"/>
      <c r="M1467" s="2018"/>
      <c r="N1467" s="2018"/>
      <c r="O1467" s="2018"/>
      <c r="P1467" s="2018"/>
      <c r="Q1467" s="2018"/>
      <c r="R1467" s="2018"/>
      <c r="S1467" s="2018"/>
      <c r="T1467" s="2018"/>
      <c r="U1467" s="2018"/>
      <c r="V1467" s="2018"/>
      <c r="W1467" s="2018"/>
      <c r="X1467" s="2018"/>
      <c r="Y1467" s="2018"/>
      <c r="Z1467" s="2022"/>
      <c r="AA1467" s="2022"/>
      <c r="AB1467" s="1050">
        <v>0.8</v>
      </c>
      <c r="AC1467" s="1050">
        <v>0.15</v>
      </c>
      <c r="AD1467" s="1050">
        <v>0.85</v>
      </c>
      <c r="AE1467" s="1050">
        <v>4</v>
      </c>
      <c r="AF1467" s="1052">
        <f t="shared" si="30"/>
        <v>0.41</v>
      </c>
    </row>
    <row r="1468" spans="1:32" ht="15.75" x14ac:dyDescent="0.25">
      <c r="A1468" s="2017"/>
      <c r="B1468" s="2018"/>
      <c r="C1468" s="2018"/>
      <c r="D1468" s="2018"/>
      <c r="E1468" s="2018"/>
      <c r="F1468" s="2018"/>
      <c r="G1468" s="2018"/>
      <c r="H1468" s="2018"/>
      <c r="I1468" s="2018"/>
      <c r="J1468" s="2018"/>
      <c r="K1468" s="2018"/>
      <c r="L1468" s="2018"/>
      <c r="M1468" s="2018"/>
      <c r="N1468" s="2018"/>
      <c r="O1468" s="2018"/>
      <c r="P1468" s="2018"/>
      <c r="Q1468" s="2018"/>
      <c r="R1468" s="2018"/>
      <c r="S1468" s="2018"/>
      <c r="T1468" s="2018"/>
      <c r="U1468" s="2018"/>
      <c r="V1468" s="2018"/>
      <c r="W1468" s="2018"/>
      <c r="X1468" s="2018"/>
      <c r="Y1468" s="2018"/>
      <c r="Z1468" s="2022"/>
      <c r="AA1468" s="2022"/>
      <c r="AB1468" s="1050">
        <f>+AB1460</f>
        <v>10.9</v>
      </c>
      <c r="AC1468" s="1050">
        <f>+AC1460</f>
        <v>5.45</v>
      </c>
      <c r="AD1468" s="1050">
        <v>0.1</v>
      </c>
      <c r="AE1468" s="1050">
        <v>1</v>
      </c>
      <c r="AF1468" s="1052">
        <f t="shared" si="30"/>
        <v>5.94</v>
      </c>
    </row>
    <row r="1469" spans="1:32" ht="15.75" x14ac:dyDescent="0.25">
      <c r="A1469" s="2017"/>
      <c r="B1469" s="2018"/>
      <c r="C1469" s="2018"/>
      <c r="D1469" s="2018"/>
      <c r="E1469" s="2018"/>
      <c r="F1469" s="2018"/>
      <c r="G1469" s="2018"/>
      <c r="H1469" s="2018"/>
      <c r="I1469" s="2018"/>
      <c r="J1469" s="2018"/>
      <c r="K1469" s="2018"/>
      <c r="L1469" s="2018"/>
      <c r="M1469" s="2018"/>
      <c r="N1469" s="2018"/>
      <c r="O1469" s="2018"/>
      <c r="P1469" s="2018"/>
      <c r="Q1469" s="2018"/>
      <c r="R1469" s="2018"/>
      <c r="S1469" s="2018"/>
      <c r="T1469" s="2018"/>
      <c r="U1469" s="2018"/>
      <c r="V1469" s="2018"/>
      <c r="W1469" s="2018"/>
      <c r="X1469" s="2018"/>
      <c r="Y1469" s="2018"/>
      <c r="Z1469" s="2022"/>
      <c r="AA1469" s="2022"/>
      <c r="AB1469" s="1050">
        <f>+AB1466</f>
        <v>4.0500000000000007</v>
      </c>
      <c r="AC1469" s="1050">
        <v>0.3</v>
      </c>
      <c r="AD1469" s="1050">
        <f>+AD1467</f>
        <v>0.85</v>
      </c>
      <c r="AE1469" s="1050">
        <v>1</v>
      </c>
      <c r="AF1469" s="1052">
        <f t="shared" si="30"/>
        <v>1.03</v>
      </c>
    </row>
    <row r="1470" spans="1:32" ht="15.75" x14ac:dyDescent="0.25">
      <c r="A1470" s="2017"/>
      <c r="B1470" s="2018"/>
      <c r="C1470" s="2018"/>
      <c r="D1470" s="2018"/>
      <c r="E1470" s="2018"/>
      <c r="F1470" s="2018"/>
      <c r="G1470" s="2018"/>
      <c r="H1470" s="2018"/>
      <c r="I1470" s="2018"/>
      <c r="J1470" s="2018"/>
      <c r="K1470" s="2018"/>
      <c r="L1470" s="2018"/>
      <c r="M1470" s="2018"/>
      <c r="N1470" s="2018"/>
      <c r="O1470" s="2018"/>
      <c r="P1470" s="2018"/>
      <c r="Q1470" s="2018"/>
      <c r="R1470" s="2018"/>
      <c r="S1470" s="2018"/>
      <c r="T1470" s="2018"/>
      <c r="U1470" s="2018"/>
      <c r="V1470" s="2018"/>
      <c r="W1470" s="2018"/>
      <c r="X1470" s="2018"/>
      <c r="Y1470" s="2018"/>
      <c r="Z1470" s="2022" t="s">
        <v>2309</v>
      </c>
      <c r="AA1470" s="2022"/>
      <c r="AB1470" s="1050">
        <f>+AB1424</f>
        <v>10.86</v>
      </c>
      <c r="AC1470" s="1050">
        <f>+AC1424</f>
        <v>4.72</v>
      </c>
      <c r="AD1470" s="1050">
        <v>0.4</v>
      </c>
      <c r="AE1470" s="1050">
        <v>1</v>
      </c>
      <c r="AF1470" s="1052">
        <f t="shared" si="30"/>
        <v>20.5</v>
      </c>
    </row>
    <row r="1471" spans="1:32" ht="15.75" x14ac:dyDescent="0.25">
      <c r="A1471" s="2017"/>
      <c r="B1471" s="2018"/>
      <c r="C1471" s="2018"/>
      <c r="D1471" s="2018"/>
      <c r="E1471" s="2018"/>
      <c r="F1471" s="2018"/>
      <c r="G1471" s="2018"/>
      <c r="H1471" s="2018"/>
      <c r="I1471" s="2018"/>
      <c r="J1471" s="2018"/>
      <c r="K1471" s="2018"/>
      <c r="L1471" s="2018"/>
      <c r="M1471" s="2018"/>
      <c r="N1471" s="2018"/>
      <c r="O1471" s="2018"/>
      <c r="P1471" s="2018"/>
      <c r="Q1471" s="2018"/>
      <c r="R1471" s="2018"/>
      <c r="S1471" s="2018"/>
      <c r="T1471" s="2018"/>
      <c r="U1471" s="2018"/>
      <c r="V1471" s="2018"/>
      <c r="W1471" s="2018"/>
      <c r="X1471" s="2018"/>
      <c r="Y1471" s="2018"/>
      <c r="Z1471" s="2022"/>
      <c r="AA1471" s="2022"/>
      <c r="AB1471" s="1050">
        <v>10.86</v>
      </c>
      <c r="AC1471" s="1050">
        <v>0.3</v>
      </c>
      <c r="AD1471" s="1050">
        <v>3.7</v>
      </c>
      <c r="AE1471" s="1050">
        <v>1</v>
      </c>
      <c r="AF1471" s="1052">
        <f t="shared" si="30"/>
        <v>12.05</v>
      </c>
    </row>
    <row r="1472" spans="1:32" ht="15.75" x14ac:dyDescent="0.25">
      <c r="A1472" s="2017"/>
      <c r="B1472" s="2018"/>
      <c r="C1472" s="2018"/>
      <c r="D1472" s="2018"/>
      <c r="E1472" s="2018"/>
      <c r="F1472" s="2018"/>
      <c r="G1472" s="2018"/>
      <c r="H1472" s="2018"/>
      <c r="I1472" s="2018"/>
      <c r="J1472" s="2018"/>
      <c r="K1472" s="2018"/>
      <c r="L1472" s="2018"/>
      <c r="M1472" s="2018"/>
      <c r="N1472" s="2018"/>
      <c r="O1472" s="2018"/>
      <c r="P1472" s="2018"/>
      <c r="Q1472" s="2018"/>
      <c r="R1472" s="2018"/>
      <c r="S1472" s="2018"/>
      <c r="T1472" s="2018"/>
      <c r="U1472" s="2018"/>
      <c r="V1472" s="2018"/>
      <c r="W1472" s="2018"/>
      <c r="X1472" s="2018"/>
      <c r="Y1472" s="2018"/>
      <c r="Z1472" s="2022"/>
      <c r="AA1472" s="2022"/>
      <c r="AB1472" s="1050">
        <f>+AB1471-0.9</f>
        <v>9.9599999999999991</v>
      </c>
      <c r="AC1472" s="1050">
        <v>0.25</v>
      </c>
      <c r="AD1472" s="1050">
        <v>1.95</v>
      </c>
      <c r="AE1472" s="1050">
        <v>1</v>
      </c>
      <c r="AF1472" s="1052">
        <f t="shared" si="30"/>
        <v>4.8600000000000003</v>
      </c>
    </row>
    <row r="1473" spans="1:32" ht="15.75" x14ac:dyDescent="0.25">
      <c r="A1473" s="2017"/>
      <c r="B1473" s="2018"/>
      <c r="C1473" s="2018"/>
      <c r="D1473" s="2018"/>
      <c r="E1473" s="2018"/>
      <c r="F1473" s="2018"/>
      <c r="G1473" s="2018"/>
      <c r="H1473" s="2018"/>
      <c r="I1473" s="2018"/>
      <c r="J1473" s="2018"/>
      <c r="K1473" s="2018"/>
      <c r="L1473" s="2018"/>
      <c r="M1473" s="2018"/>
      <c r="N1473" s="2018"/>
      <c r="O1473" s="2018"/>
      <c r="P1473" s="2018"/>
      <c r="Q1473" s="2018"/>
      <c r="R1473" s="2018"/>
      <c r="S1473" s="2018"/>
      <c r="T1473" s="2018"/>
      <c r="U1473" s="2018"/>
      <c r="V1473" s="2018"/>
      <c r="W1473" s="2018"/>
      <c r="X1473" s="2018"/>
      <c r="Y1473" s="2018"/>
      <c r="Z1473" s="2022"/>
      <c r="AA1473" s="2022"/>
      <c r="AB1473" s="1050">
        <f>+AB1472</f>
        <v>9.9599999999999991</v>
      </c>
      <c r="AC1473" s="1050">
        <v>0.3</v>
      </c>
      <c r="AD1473" s="1050">
        <v>4.8</v>
      </c>
      <c r="AE1473" s="1050">
        <v>1</v>
      </c>
      <c r="AF1473" s="1052">
        <f t="shared" si="30"/>
        <v>14.34</v>
      </c>
    </row>
    <row r="1474" spans="1:32" ht="15.75" x14ac:dyDescent="0.25">
      <c r="A1474" s="2017"/>
      <c r="B1474" s="2018"/>
      <c r="C1474" s="2018"/>
      <c r="D1474" s="2018"/>
      <c r="E1474" s="2018"/>
      <c r="F1474" s="2018"/>
      <c r="G1474" s="2018"/>
      <c r="H1474" s="2018"/>
      <c r="I1474" s="2018"/>
      <c r="J1474" s="2018"/>
      <c r="K1474" s="2018"/>
      <c r="L1474" s="2018"/>
      <c r="M1474" s="2018"/>
      <c r="N1474" s="2018"/>
      <c r="O1474" s="2018"/>
      <c r="P1474" s="2018"/>
      <c r="Q1474" s="2018"/>
      <c r="R1474" s="2018"/>
      <c r="S1474" s="2018"/>
      <c r="T1474" s="2018"/>
      <c r="U1474" s="2018"/>
      <c r="V1474" s="2018"/>
      <c r="W1474" s="2018"/>
      <c r="X1474" s="2018"/>
      <c r="Y1474" s="2018"/>
      <c r="Z1474" s="2022"/>
      <c r="AA1474" s="2022"/>
      <c r="AB1474" s="1050">
        <v>10.86</v>
      </c>
      <c r="AC1474" s="1050">
        <v>0.3</v>
      </c>
      <c r="AD1474" s="1050">
        <f>+AD1473</f>
        <v>4.8</v>
      </c>
      <c r="AE1474" s="1050">
        <v>1</v>
      </c>
      <c r="AF1474" s="1052">
        <f t="shared" si="30"/>
        <v>15.64</v>
      </c>
    </row>
    <row r="1475" spans="1:32" ht="15.75" x14ac:dyDescent="0.25">
      <c r="A1475" s="2017"/>
      <c r="B1475" s="2018"/>
      <c r="C1475" s="2018"/>
      <c r="D1475" s="2018"/>
      <c r="E1475" s="2018"/>
      <c r="F1475" s="2018"/>
      <c r="G1475" s="2018"/>
      <c r="H1475" s="2018"/>
      <c r="I1475" s="2018"/>
      <c r="J1475" s="2018"/>
      <c r="K1475" s="2018"/>
      <c r="L1475" s="2018"/>
      <c r="M1475" s="2018"/>
      <c r="N1475" s="2018"/>
      <c r="O1475" s="2018"/>
      <c r="P1475" s="2018"/>
      <c r="Q1475" s="2018"/>
      <c r="R1475" s="2018"/>
      <c r="S1475" s="2018"/>
      <c r="T1475" s="2018"/>
      <c r="U1475" s="2018"/>
      <c r="V1475" s="2018"/>
      <c r="W1475" s="2018"/>
      <c r="X1475" s="2018"/>
      <c r="Y1475" s="2018"/>
      <c r="Z1475" s="2022"/>
      <c r="AA1475" s="2022"/>
      <c r="AB1475" s="1050">
        <f>+AC1470-1.2</f>
        <v>3.5199999999999996</v>
      </c>
      <c r="AC1475" s="1050">
        <v>0.3</v>
      </c>
      <c r="AD1475" s="1050">
        <v>3.7</v>
      </c>
      <c r="AE1475" s="1050">
        <v>3</v>
      </c>
      <c r="AF1475" s="1052">
        <f t="shared" si="30"/>
        <v>11.72</v>
      </c>
    </row>
    <row r="1476" spans="1:32" ht="15.75" x14ac:dyDescent="0.25">
      <c r="A1476" s="2017"/>
      <c r="B1476" s="2018"/>
      <c r="C1476" s="2018"/>
      <c r="D1476" s="2018"/>
      <c r="E1476" s="2018"/>
      <c r="F1476" s="2018"/>
      <c r="G1476" s="2018"/>
      <c r="H1476" s="2018"/>
      <c r="I1476" s="2018"/>
      <c r="J1476" s="2018"/>
      <c r="K1476" s="2018"/>
      <c r="L1476" s="2018"/>
      <c r="M1476" s="2018"/>
      <c r="N1476" s="2018"/>
      <c r="O1476" s="2018"/>
      <c r="P1476" s="2018"/>
      <c r="Q1476" s="2018"/>
      <c r="R1476" s="2018"/>
      <c r="S1476" s="2018"/>
      <c r="T1476" s="2018"/>
      <c r="U1476" s="2018"/>
      <c r="V1476" s="2018"/>
      <c r="W1476" s="2018"/>
      <c r="X1476" s="2018"/>
      <c r="Y1476" s="2018"/>
      <c r="Z1476" s="2022"/>
      <c r="AA1476" s="2022"/>
      <c r="AB1476" s="1050">
        <f>+AC1470-AB1475</f>
        <v>1.2000000000000002</v>
      </c>
      <c r="AC1476" s="1050">
        <v>0.3</v>
      </c>
      <c r="AD1476" s="1050">
        <v>4.8</v>
      </c>
      <c r="AE1476" s="1050">
        <v>3</v>
      </c>
      <c r="AF1476" s="1052">
        <f t="shared" si="30"/>
        <v>5.18</v>
      </c>
    </row>
    <row r="1477" spans="1:32" ht="15.75" x14ac:dyDescent="0.25">
      <c r="A1477" s="2017"/>
      <c r="B1477" s="2018"/>
      <c r="C1477" s="2018"/>
      <c r="D1477" s="2018"/>
      <c r="E1477" s="2018"/>
      <c r="F1477" s="2018"/>
      <c r="G1477" s="2018"/>
      <c r="H1477" s="2018"/>
      <c r="I1477" s="2018"/>
      <c r="J1477" s="2018"/>
      <c r="K1477" s="2018"/>
      <c r="L1477" s="2018"/>
      <c r="M1477" s="2018"/>
      <c r="N1477" s="2018"/>
      <c r="O1477" s="2018"/>
      <c r="P1477" s="2018"/>
      <c r="Q1477" s="2018"/>
      <c r="R1477" s="2018"/>
      <c r="S1477" s="2018"/>
      <c r="T1477" s="2018"/>
      <c r="U1477" s="2018"/>
      <c r="V1477" s="2018"/>
      <c r="W1477" s="2018"/>
      <c r="X1477" s="2018"/>
      <c r="Y1477" s="2018"/>
      <c r="Z1477" s="2022"/>
      <c r="AA1477" s="2022"/>
      <c r="AB1477" s="1050">
        <f>+AB1470</f>
        <v>10.86</v>
      </c>
      <c r="AC1477" s="1050">
        <f>+AC1470</f>
        <v>4.72</v>
      </c>
      <c r="AD1477" s="1050">
        <v>0.1</v>
      </c>
      <c r="AE1477" s="1050">
        <v>1</v>
      </c>
      <c r="AF1477" s="1052">
        <f t="shared" si="30"/>
        <v>5.13</v>
      </c>
    </row>
    <row r="1478" spans="1:32" ht="15.75" x14ac:dyDescent="0.25">
      <c r="A1478" s="2017"/>
      <c r="B1478" s="2018"/>
      <c r="C1478" s="2018"/>
      <c r="D1478" s="2018"/>
      <c r="E1478" s="2018"/>
      <c r="F1478" s="2018"/>
      <c r="G1478" s="2018"/>
      <c r="H1478" s="2018"/>
      <c r="I1478" s="2018"/>
      <c r="J1478" s="2018"/>
      <c r="K1478" s="2018"/>
      <c r="L1478" s="2018"/>
      <c r="M1478" s="2018"/>
      <c r="N1478" s="2018"/>
      <c r="O1478" s="2018"/>
      <c r="P1478" s="2018"/>
      <c r="Q1478" s="2018"/>
      <c r="R1478" s="2018"/>
      <c r="S1478" s="2018"/>
      <c r="T1478" s="2018"/>
      <c r="U1478" s="2018"/>
      <c r="V1478" s="2018"/>
      <c r="W1478" s="2018"/>
      <c r="X1478" s="2018"/>
      <c r="Y1478" s="2018"/>
      <c r="Z1478" s="2116" t="s">
        <v>2420</v>
      </c>
      <c r="AA1478" s="2117"/>
      <c r="AB1478" s="1050">
        <f>+AB1425</f>
        <v>6.17</v>
      </c>
      <c r="AC1478" s="1050">
        <f>+AC1425</f>
        <v>3.57</v>
      </c>
      <c r="AD1478" s="1050">
        <v>0.2</v>
      </c>
      <c r="AE1478" s="1050">
        <v>1</v>
      </c>
      <c r="AF1478" s="1052">
        <f t="shared" si="30"/>
        <v>4.41</v>
      </c>
    </row>
    <row r="1479" spans="1:32" ht="15.75" x14ac:dyDescent="0.25">
      <c r="A1479" s="2017"/>
      <c r="B1479" s="2018"/>
      <c r="C1479" s="2018"/>
      <c r="D1479" s="2018"/>
      <c r="E1479" s="2018"/>
      <c r="F1479" s="2018"/>
      <c r="G1479" s="2018"/>
      <c r="H1479" s="2018"/>
      <c r="I1479" s="2018"/>
      <c r="J1479" s="2018"/>
      <c r="K1479" s="2018"/>
      <c r="L1479" s="2018"/>
      <c r="M1479" s="2018"/>
      <c r="N1479" s="2018"/>
      <c r="O1479" s="2018"/>
      <c r="P1479" s="2018"/>
      <c r="Q1479" s="2018"/>
      <c r="R1479" s="2018"/>
      <c r="S1479" s="2018"/>
      <c r="T1479" s="2018"/>
      <c r="U1479" s="2018"/>
      <c r="V1479" s="2018"/>
      <c r="W1479" s="2018"/>
      <c r="X1479" s="2018"/>
      <c r="Y1479" s="2018"/>
      <c r="Z1479" s="2118"/>
      <c r="AA1479" s="2119"/>
      <c r="AB1479" s="1050">
        <v>6.17</v>
      </c>
      <c r="AC1479" s="1050">
        <v>0.2</v>
      </c>
      <c r="AD1479" s="1050">
        <v>4.5199999999999996</v>
      </c>
      <c r="AE1479" s="1050">
        <v>2</v>
      </c>
      <c r="AF1479" s="1052">
        <f t="shared" si="30"/>
        <v>11.16</v>
      </c>
    </row>
    <row r="1480" spans="1:32" ht="15.75" x14ac:dyDescent="0.25">
      <c r="A1480" s="2017"/>
      <c r="B1480" s="2018"/>
      <c r="C1480" s="2018"/>
      <c r="D1480" s="2018"/>
      <c r="E1480" s="2018"/>
      <c r="F1480" s="2018"/>
      <c r="G1480" s="2018"/>
      <c r="H1480" s="2018"/>
      <c r="I1480" s="2018"/>
      <c r="J1480" s="2018"/>
      <c r="K1480" s="2018"/>
      <c r="L1480" s="2018"/>
      <c r="M1480" s="2018"/>
      <c r="N1480" s="2018"/>
      <c r="O1480" s="2018"/>
      <c r="P1480" s="2018"/>
      <c r="Q1480" s="2018"/>
      <c r="R1480" s="2018"/>
      <c r="S1480" s="2018"/>
      <c r="T1480" s="2018"/>
      <c r="U1480" s="2018"/>
      <c r="V1480" s="2018"/>
      <c r="W1480" s="2018"/>
      <c r="X1480" s="2018"/>
      <c r="Y1480" s="2018"/>
      <c r="Z1480" s="2118"/>
      <c r="AA1480" s="2119"/>
      <c r="AB1480" s="1050">
        <f>+AB1479</f>
        <v>6.17</v>
      </c>
      <c r="AC1480" s="1050">
        <f>+AC1479</f>
        <v>0.2</v>
      </c>
      <c r="AD1480" s="1050">
        <v>3.63</v>
      </c>
      <c r="AE1480" s="1050">
        <v>1</v>
      </c>
      <c r="AF1480" s="1052">
        <f t="shared" si="30"/>
        <v>4.4800000000000004</v>
      </c>
    </row>
    <row r="1481" spans="1:32" ht="15.75" x14ac:dyDescent="0.25">
      <c r="A1481" s="2017"/>
      <c r="B1481" s="2018"/>
      <c r="C1481" s="2018"/>
      <c r="D1481" s="2018"/>
      <c r="E1481" s="2018"/>
      <c r="F1481" s="2018"/>
      <c r="G1481" s="2018"/>
      <c r="H1481" s="2018"/>
      <c r="I1481" s="2018"/>
      <c r="J1481" s="2018"/>
      <c r="K1481" s="2018"/>
      <c r="L1481" s="2018"/>
      <c r="M1481" s="2018"/>
      <c r="N1481" s="2018"/>
      <c r="O1481" s="2018"/>
      <c r="P1481" s="2018"/>
      <c r="Q1481" s="2018"/>
      <c r="R1481" s="2018"/>
      <c r="S1481" s="2018"/>
      <c r="T1481" s="2018"/>
      <c r="U1481" s="2018"/>
      <c r="V1481" s="2018"/>
      <c r="W1481" s="2018"/>
      <c r="X1481" s="2018"/>
      <c r="Y1481" s="2018"/>
      <c r="Z1481" s="2118"/>
      <c r="AA1481" s="2119"/>
      <c r="AB1481" s="1050">
        <f>+AB1480</f>
        <v>6.17</v>
      </c>
      <c r="AC1481" s="1050">
        <f>+AC1480</f>
        <v>0.2</v>
      </c>
      <c r="AD1481" s="1050">
        <v>1.4</v>
      </c>
      <c r="AE1481" s="1050">
        <v>1</v>
      </c>
      <c r="AF1481" s="1052">
        <f t="shared" si="30"/>
        <v>1.73</v>
      </c>
    </row>
    <row r="1482" spans="1:32" ht="15.75" x14ac:dyDescent="0.25">
      <c r="A1482" s="2017"/>
      <c r="B1482" s="2018"/>
      <c r="C1482" s="2018"/>
      <c r="D1482" s="2018"/>
      <c r="E1482" s="2018"/>
      <c r="F1482" s="2018"/>
      <c r="G1482" s="2018"/>
      <c r="H1482" s="2018"/>
      <c r="I1482" s="2018"/>
      <c r="J1482" s="2018"/>
      <c r="K1482" s="2018"/>
      <c r="L1482" s="2018"/>
      <c r="M1482" s="2018"/>
      <c r="N1482" s="2018"/>
      <c r="O1482" s="2018"/>
      <c r="P1482" s="2018"/>
      <c r="Q1482" s="2018"/>
      <c r="R1482" s="2018"/>
      <c r="S1482" s="2018"/>
      <c r="T1482" s="2018"/>
      <c r="U1482" s="2018"/>
      <c r="V1482" s="2018"/>
      <c r="W1482" s="2018"/>
      <c r="X1482" s="2018"/>
      <c r="Y1482" s="2018"/>
      <c r="Z1482" s="2118"/>
      <c r="AA1482" s="2119"/>
      <c r="AB1482" s="1175">
        <v>1.67</v>
      </c>
      <c r="AC1482" s="1175">
        <v>0.2</v>
      </c>
      <c r="AD1482" s="1175">
        <f>+AD1479</f>
        <v>4.5199999999999996</v>
      </c>
      <c r="AE1482" s="1175">
        <v>5</v>
      </c>
      <c r="AF1482" s="1052">
        <f t="shared" si="30"/>
        <v>7.55</v>
      </c>
    </row>
    <row r="1483" spans="1:32" ht="15.75" x14ac:dyDescent="0.25">
      <c r="A1483" s="2017"/>
      <c r="B1483" s="2018"/>
      <c r="C1483" s="2018"/>
      <c r="D1483" s="2018"/>
      <c r="E1483" s="2018"/>
      <c r="F1483" s="2018"/>
      <c r="G1483" s="2018"/>
      <c r="H1483" s="2018"/>
      <c r="I1483" s="2018"/>
      <c r="J1483" s="2018"/>
      <c r="K1483" s="2018"/>
      <c r="L1483" s="2018"/>
      <c r="M1483" s="2018"/>
      <c r="N1483" s="2018"/>
      <c r="O1483" s="2018"/>
      <c r="P1483" s="2018"/>
      <c r="Q1483" s="2018"/>
      <c r="R1483" s="2018"/>
      <c r="S1483" s="2018"/>
      <c r="T1483" s="2018"/>
      <c r="U1483" s="2018"/>
      <c r="V1483" s="2018"/>
      <c r="W1483" s="2018"/>
      <c r="X1483" s="2018"/>
      <c r="Y1483" s="2018"/>
      <c r="Z1483" s="2118"/>
      <c r="AA1483" s="2119"/>
      <c r="AB1483" s="1175">
        <v>0.7</v>
      </c>
      <c r="AC1483" s="1175">
        <v>0.2</v>
      </c>
      <c r="AD1483" s="1175">
        <f>+AD1480</f>
        <v>3.63</v>
      </c>
      <c r="AE1483" s="1175">
        <v>5</v>
      </c>
      <c r="AF1483" s="1052">
        <f t="shared" si="30"/>
        <v>2.54</v>
      </c>
    </row>
    <row r="1484" spans="1:32" ht="15.75" x14ac:dyDescent="0.25">
      <c r="A1484" s="2017"/>
      <c r="B1484" s="2018"/>
      <c r="C1484" s="2018"/>
      <c r="D1484" s="2018"/>
      <c r="E1484" s="2018"/>
      <c r="F1484" s="2018"/>
      <c r="G1484" s="2018"/>
      <c r="H1484" s="2018"/>
      <c r="I1484" s="2018"/>
      <c r="J1484" s="2018"/>
      <c r="K1484" s="2018"/>
      <c r="L1484" s="2018"/>
      <c r="M1484" s="2018"/>
      <c r="N1484" s="2018"/>
      <c r="O1484" s="2018"/>
      <c r="P1484" s="2018"/>
      <c r="Q1484" s="2018"/>
      <c r="R1484" s="2018"/>
      <c r="S1484" s="2018"/>
      <c r="T1484" s="2018"/>
      <c r="U1484" s="2018"/>
      <c r="V1484" s="2018"/>
      <c r="W1484" s="2018"/>
      <c r="X1484" s="2018"/>
      <c r="Y1484" s="2018"/>
      <c r="Z1484" s="2118"/>
      <c r="AA1484" s="2119"/>
      <c r="AB1484" s="1175">
        <v>0.48</v>
      </c>
      <c r="AC1484" s="1175">
        <v>0.2</v>
      </c>
      <c r="AD1484" s="1175">
        <f>+AD1481</f>
        <v>1.4</v>
      </c>
      <c r="AE1484" s="1175">
        <v>2</v>
      </c>
      <c r="AF1484" s="1052">
        <f t="shared" si="30"/>
        <v>0.27</v>
      </c>
    </row>
    <row r="1485" spans="1:32" ht="15.75" x14ac:dyDescent="0.25">
      <c r="A1485" s="2017"/>
      <c r="B1485" s="2018"/>
      <c r="C1485" s="2018"/>
      <c r="D1485" s="2018"/>
      <c r="E1485" s="2018"/>
      <c r="F1485" s="2018"/>
      <c r="G1485" s="2018"/>
      <c r="H1485" s="2018"/>
      <c r="I1485" s="2018"/>
      <c r="J1485" s="2018"/>
      <c r="K1485" s="2018"/>
      <c r="L1485" s="2018"/>
      <c r="M1485" s="2018"/>
      <c r="N1485" s="2018"/>
      <c r="O1485" s="2018"/>
      <c r="P1485" s="2018"/>
      <c r="Q1485" s="2018"/>
      <c r="R1485" s="2018"/>
      <c r="S1485" s="2018"/>
      <c r="T1485" s="2018"/>
      <c r="U1485" s="2018"/>
      <c r="V1485" s="2018"/>
      <c r="W1485" s="2018"/>
      <c r="X1485" s="2018"/>
      <c r="Y1485" s="2018"/>
      <c r="Z1485" s="2118"/>
      <c r="AA1485" s="2119"/>
      <c r="AB1485" s="1175">
        <f>+AB1478</f>
        <v>6.17</v>
      </c>
      <c r="AC1485" s="1175">
        <f>+AC1478</f>
        <v>3.57</v>
      </c>
      <c r="AD1485" s="1175">
        <v>0.1</v>
      </c>
      <c r="AE1485" s="1175">
        <v>1</v>
      </c>
      <c r="AF1485" s="1052">
        <f t="shared" si="30"/>
        <v>2.2000000000000002</v>
      </c>
    </row>
    <row r="1486" spans="1:32" ht="16.5" thickBot="1" x14ac:dyDescent="0.3">
      <c r="A1486" s="2019"/>
      <c r="B1486" s="2020"/>
      <c r="C1486" s="2020"/>
      <c r="D1486" s="2020"/>
      <c r="E1486" s="2020"/>
      <c r="F1486" s="2020"/>
      <c r="G1486" s="2020"/>
      <c r="H1486" s="2020"/>
      <c r="I1486" s="2020"/>
      <c r="J1486" s="2020"/>
      <c r="K1486" s="2020"/>
      <c r="L1486" s="2020"/>
      <c r="M1486" s="2020"/>
      <c r="N1486" s="2020"/>
      <c r="O1486" s="2020"/>
      <c r="P1486" s="2020"/>
      <c r="Q1486" s="2020"/>
      <c r="R1486" s="2020"/>
      <c r="S1486" s="2020"/>
      <c r="T1486" s="2020"/>
      <c r="U1486" s="2020"/>
      <c r="V1486" s="2020"/>
      <c r="W1486" s="2020"/>
      <c r="X1486" s="2020"/>
      <c r="Y1486" s="2020"/>
      <c r="Z1486" s="2120"/>
      <c r="AA1486" s="2121"/>
      <c r="AB1486" s="1057"/>
      <c r="AC1486" s="1057"/>
      <c r="AD1486" s="1057"/>
      <c r="AE1486" s="1057"/>
      <c r="AF1486" s="1052">
        <f t="shared" si="30"/>
        <v>0</v>
      </c>
    </row>
    <row r="1487" spans="1:32" ht="15.75" x14ac:dyDescent="0.25">
      <c r="A1487" s="2009" t="s">
        <v>1855</v>
      </c>
      <c r="B1487" s="2010"/>
      <c r="C1487" s="2010"/>
      <c r="D1487" s="2010"/>
      <c r="E1487" s="2010"/>
      <c r="F1487" s="2010"/>
      <c r="G1487" s="2010"/>
      <c r="H1487" s="2010"/>
      <c r="I1487" s="2010"/>
      <c r="J1487" s="2010"/>
      <c r="K1487" s="2010"/>
      <c r="L1487" s="2010"/>
      <c r="M1487" s="2010"/>
      <c r="N1487" s="2010"/>
      <c r="O1487" s="2010"/>
      <c r="P1487" s="2010"/>
      <c r="Q1487" s="2010"/>
      <c r="R1487" s="2010"/>
      <c r="S1487" s="2010"/>
      <c r="T1487" s="2010"/>
      <c r="U1487" s="2010"/>
      <c r="V1487" s="2010"/>
      <c r="W1487" s="2010"/>
      <c r="X1487" s="2010"/>
      <c r="Y1487" s="2010"/>
      <c r="Z1487" s="2013" t="s">
        <v>1850</v>
      </c>
      <c r="AA1487" s="2013"/>
      <c r="AB1487" s="2013"/>
      <c r="AC1487" s="2013"/>
      <c r="AD1487" s="2013"/>
      <c r="AE1487" s="2013"/>
      <c r="AF1487" s="1059">
        <f>SUM(AF1460:AF1486)</f>
        <v>176.26999999999998</v>
      </c>
    </row>
    <row r="1488" spans="1:32" ht="15.75" x14ac:dyDescent="0.25">
      <c r="A1488" s="2011"/>
      <c r="B1488" s="2012"/>
      <c r="C1488" s="2012"/>
      <c r="D1488" s="2012"/>
      <c r="E1488" s="2012"/>
      <c r="F1488" s="2012"/>
      <c r="G1488" s="2012"/>
      <c r="H1488" s="2012"/>
      <c r="I1488" s="2012"/>
      <c r="J1488" s="2012"/>
      <c r="K1488" s="2012"/>
      <c r="L1488" s="2012"/>
      <c r="M1488" s="2012"/>
      <c r="N1488" s="2012"/>
      <c r="O1488" s="2012"/>
      <c r="P1488" s="2012"/>
      <c r="Q1488" s="2012"/>
      <c r="R1488" s="2012"/>
      <c r="S1488" s="2012"/>
      <c r="T1488" s="2012"/>
      <c r="U1488" s="2012"/>
      <c r="V1488" s="2012"/>
      <c r="W1488" s="2012"/>
      <c r="X1488" s="2012"/>
      <c r="Y1488" s="2012"/>
      <c r="Z1488" s="2014" t="s">
        <v>1851</v>
      </c>
      <c r="AA1488" s="2014"/>
      <c r="AB1488" s="2014"/>
      <c r="AC1488" s="2014"/>
      <c r="AD1488" s="2014"/>
      <c r="AE1488" s="2014"/>
      <c r="AF1488" s="1060">
        <v>0</v>
      </c>
    </row>
    <row r="1489" spans="1:32" ht="15.75" x14ac:dyDescent="0.25">
      <c r="A1489" s="2011"/>
      <c r="B1489" s="2012"/>
      <c r="C1489" s="2012"/>
      <c r="D1489" s="2012"/>
      <c r="E1489" s="2012"/>
      <c r="F1489" s="2012"/>
      <c r="G1489" s="2012"/>
      <c r="H1489" s="2012"/>
      <c r="I1489" s="2012"/>
      <c r="J1489" s="2012"/>
      <c r="K1489" s="2012"/>
      <c r="L1489" s="2012"/>
      <c r="M1489" s="2012"/>
      <c r="N1489" s="2012"/>
      <c r="O1489" s="2012"/>
      <c r="P1489" s="2012"/>
      <c r="Q1489" s="2012"/>
      <c r="R1489" s="2012"/>
      <c r="S1489" s="2012"/>
      <c r="T1489" s="2012"/>
      <c r="U1489" s="2012"/>
      <c r="V1489" s="2012"/>
      <c r="W1489" s="2012"/>
      <c r="X1489" s="2012"/>
      <c r="Y1489" s="2012"/>
      <c r="Z1489" s="2015" t="s">
        <v>1833</v>
      </c>
      <c r="AA1489" s="2015"/>
      <c r="AB1489" s="2015"/>
      <c r="AC1489" s="2015"/>
      <c r="AD1489" s="2015"/>
      <c r="AE1489" s="2015"/>
      <c r="AF1489" s="1061">
        <f>SUM(AF1487:AF1488)</f>
        <v>176.26999999999998</v>
      </c>
    </row>
    <row r="1490" spans="1:32" x14ac:dyDescent="0.2">
      <c r="A1490" s="2012" t="s">
        <v>1859</v>
      </c>
      <c r="B1490" s="2012"/>
      <c r="C1490" s="2012"/>
      <c r="D1490" s="2012"/>
      <c r="E1490" s="2012"/>
      <c r="F1490" s="2012"/>
      <c r="G1490" s="2012"/>
      <c r="H1490" s="2012"/>
      <c r="I1490" s="2012"/>
      <c r="J1490" s="2012"/>
      <c r="K1490" s="2012"/>
      <c r="L1490" s="2012"/>
      <c r="M1490" s="2012"/>
      <c r="N1490" s="2012"/>
      <c r="O1490" s="2012"/>
      <c r="P1490" s="2012"/>
      <c r="Q1490" s="2012"/>
      <c r="R1490" s="2012"/>
      <c r="S1490" s="2012"/>
      <c r="T1490" s="2016" t="s">
        <v>1840</v>
      </c>
      <c r="U1490" s="2016"/>
      <c r="V1490" s="2016"/>
      <c r="W1490" s="2016"/>
      <c r="X1490" s="2016"/>
      <c r="Y1490" s="2016"/>
      <c r="Z1490" s="2016"/>
      <c r="AA1490" s="2016"/>
      <c r="AB1490" s="2012" t="s">
        <v>1852</v>
      </c>
      <c r="AC1490" s="2012"/>
      <c r="AD1490" s="2012"/>
      <c r="AE1490" s="2012"/>
      <c r="AF1490" s="2012"/>
    </row>
    <row r="1491" spans="1:32" x14ac:dyDescent="0.2">
      <c r="A1491" s="2012"/>
      <c r="B1491" s="2012"/>
      <c r="C1491" s="2012"/>
      <c r="D1491" s="2012"/>
      <c r="E1491" s="2012"/>
      <c r="F1491" s="2012"/>
      <c r="G1491" s="2012"/>
      <c r="H1491" s="2012"/>
      <c r="I1491" s="2012"/>
      <c r="J1491" s="2012"/>
      <c r="K1491" s="2012"/>
      <c r="L1491" s="2012"/>
      <c r="M1491" s="2012"/>
      <c r="N1491" s="2012"/>
      <c r="O1491" s="2012"/>
      <c r="P1491" s="2012"/>
      <c r="Q1491" s="2012"/>
      <c r="R1491" s="2012"/>
      <c r="S1491" s="2012"/>
      <c r="T1491" s="2016"/>
      <c r="U1491" s="2016"/>
      <c r="V1491" s="2016"/>
      <c r="W1491" s="2016"/>
      <c r="X1491" s="2016"/>
      <c r="Y1491" s="2016"/>
      <c r="Z1491" s="2016"/>
      <c r="AA1491" s="2016"/>
      <c r="AB1491" s="2012"/>
      <c r="AC1491" s="2012"/>
      <c r="AD1491" s="2012"/>
      <c r="AE1491" s="2012"/>
      <c r="AF1491" s="2012"/>
    </row>
    <row r="1492" spans="1:32" ht="13.5" thickBot="1" x14ac:dyDescent="0.25"/>
    <row r="1493" spans="1:32" ht="21.6" customHeight="1" x14ac:dyDescent="0.2">
      <c r="A1493" s="2025" t="s">
        <v>1854</v>
      </c>
      <c r="B1493" s="2026"/>
      <c r="C1493" s="2026"/>
      <c r="D1493" s="2026"/>
      <c r="E1493" s="2026"/>
      <c r="F1493" s="2026"/>
      <c r="G1493" s="2026"/>
      <c r="H1493" s="2026"/>
      <c r="I1493" s="2026"/>
      <c r="J1493" s="2026"/>
      <c r="K1493" s="2026"/>
      <c r="L1493" s="2026"/>
      <c r="M1493" s="2026"/>
      <c r="N1493" s="2026"/>
      <c r="O1493" s="2026"/>
      <c r="P1493" s="2026"/>
      <c r="Q1493" s="2026"/>
      <c r="R1493" s="2026"/>
      <c r="S1493" s="2026"/>
      <c r="T1493" s="2026"/>
      <c r="U1493" s="2026"/>
      <c r="V1493" s="2026"/>
      <c r="W1493" s="2026"/>
      <c r="X1493" s="2026"/>
      <c r="Y1493" s="2026"/>
      <c r="Z1493" s="2026"/>
      <c r="AA1493" s="2026"/>
      <c r="AB1493" s="2026"/>
      <c r="AC1493" s="2026"/>
      <c r="AD1493" s="2026"/>
      <c r="AE1493" s="1041" t="s">
        <v>1834</v>
      </c>
      <c r="AF1493" s="1042" t="s">
        <v>1835</v>
      </c>
    </row>
    <row r="1494" spans="1:32" ht="24" customHeight="1" thickBot="1" x14ac:dyDescent="0.25">
      <c r="A1494" s="2027"/>
      <c r="B1494" s="2028"/>
      <c r="C1494" s="2028"/>
      <c r="D1494" s="2028"/>
      <c r="E1494" s="2028"/>
      <c r="F1494" s="2028"/>
      <c r="G1494" s="2028"/>
      <c r="H1494" s="2028"/>
      <c r="I1494" s="2028"/>
      <c r="J1494" s="2028"/>
      <c r="K1494" s="2028"/>
      <c r="L1494" s="2028"/>
      <c r="M1494" s="2028"/>
      <c r="N1494" s="2028"/>
      <c r="O1494" s="2028"/>
      <c r="P1494" s="2028"/>
      <c r="Q1494" s="2028"/>
      <c r="R1494" s="2028"/>
      <c r="S1494" s="2028"/>
      <c r="T1494" s="2028"/>
      <c r="U1494" s="2028"/>
      <c r="V1494" s="2028"/>
      <c r="W1494" s="2028"/>
      <c r="X1494" s="2028"/>
      <c r="Y1494" s="2028"/>
      <c r="Z1494" s="2028"/>
      <c r="AA1494" s="2028"/>
      <c r="AB1494" s="2028"/>
      <c r="AC1494" s="2028"/>
      <c r="AD1494" s="2028"/>
      <c r="AE1494" s="1041" t="s">
        <v>1836</v>
      </c>
      <c r="AF1494" s="1044">
        <v>1</v>
      </c>
    </row>
    <row r="1495" spans="1:32" ht="15.75" x14ac:dyDescent="0.2">
      <c r="A1495" s="2029"/>
      <c r="B1495" s="2030"/>
      <c r="C1495" s="2030"/>
      <c r="D1495" s="2031"/>
      <c r="E1495" s="2025" t="str">
        <f>'01'!$A$12</f>
        <v>"CONSTRUCCION SISTEMA DE ACUEDUCTO FASE II DEL MUNICIPIO DE TESALIA DPTO DEL HUILA"</v>
      </c>
      <c r="F1495" s="2026"/>
      <c r="G1495" s="2026"/>
      <c r="H1495" s="2026"/>
      <c r="I1495" s="2026"/>
      <c r="J1495" s="2026"/>
      <c r="K1495" s="2026"/>
      <c r="L1495" s="2026"/>
      <c r="M1495" s="2026"/>
      <c r="N1495" s="2026"/>
      <c r="O1495" s="2026"/>
      <c r="P1495" s="2026"/>
      <c r="Q1495" s="2026"/>
      <c r="R1495" s="2026"/>
      <c r="S1495" s="2026"/>
      <c r="T1495" s="2026"/>
      <c r="U1495" s="2026"/>
      <c r="V1495" s="2026"/>
      <c r="W1495" s="2026"/>
      <c r="X1495" s="2026"/>
      <c r="Y1495" s="2026"/>
      <c r="Z1495" s="2026"/>
      <c r="AA1495" s="2026"/>
      <c r="AB1495" s="2026"/>
      <c r="AC1495" s="2026"/>
      <c r="AD1495" s="2035"/>
      <c r="AE1495" s="1041" t="s">
        <v>847</v>
      </c>
      <c r="AF1495" s="1045">
        <f>'01'!$M$13</f>
        <v>0</v>
      </c>
    </row>
    <row r="1496" spans="1:32" ht="16.5" thickBot="1" x14ac:dyDescent="0.25">
      <c r="A1496" s="2032"/>
      <c r="B1496" s="2033"/>
      <c r="C1496" s="2033"/>
      <c r="D1496" s="2034"/>
      <c r="E1496" s="2027"/>
      <c r="F1496" s="2028"/>
      <c r="G1496" s="2028"/>
      <c r="H1496" s="2028"/>
      <c r="I1496" s="2028"/>
      <c r="J1496" s="2028"/>
      <c r="K1496" s="2028"/>
      <c r="L1496" s="2028"/>
      <c r="M1496" s="2028"/>
      <c r="N1496" s="2028"/>
      <c r="O1496" s="2028"/>
      <c r="P1496" s="2028"/>
      <c r="Q1496" s="2028"/>
      <c r="R1496" s="2028"/>
      <c r="S1496" s="2028"/>
      <c r="T1496" s="2028"/>
      <c r="U1496" s="2028"/>
      <c r="V1496" s="2028"/>
      <c r="W1496" s="2028"/>
      <c r="X1496" s="2028"/>
      <c r="Y1496" s="2028"/>
      <c r="Z1496" s="2028"/>
      <c r="AA1496" s="2028"/>
      <c r="AB1496" s="2028"/>
      <c r="AC1496" s="2028"/>
      <c r="AD1496" s="2036"/>
      <c r="AE1496" s="1041" t="s">
        <v>1837</v>
      </c>
      <c r="AF1496" s="1042" t="s">
        <v>1838</v>
      </c>
    </row>
    <row r="1497" spans="1:32" ht="15.75" x14ac:dyDescent="0.25">
      <c r="A1497" s="2037" t="s">
        <v>1860</v>
      </c>
      <c r="B1497" s="2038"/>
      <c r="C1497" s="2038"/>
      <c r="D1497" s="2038"/>
      <c r="E1497" s="2038"/>
      <c r="F1497" s="2038"/>
      <c r="G1497" s="2038"/>
      <c r="H1497" s="2038"/>
      <c r="I1497" s="2038"/>
      <c r="J1497" s="2038"/>
      <c r="K1497" s="2038"/>
      <c r="L1497" s="2038"/>
      <c r="M1497" s="2038"/>
      <c r="N1497" s="2038"/>
      <c r="O1497" s="2038"/>
      <c r="P1497" s="2038"/>
      <c r="Q1497" s="2038"/>
      <c r="R1497" s="2038"/>
      <c r="S1497" s="2038"/>
      <c r="T1497" s="2038"/>
      <c r="U1497" s="2038"/>
      <c r="V1497" s="2038"/>
      <c r="W1497" s="2038"/>
      <c r="X1497" s="2038"/>
      <c r="Y1497" s="2038"/>
      <c r="Z1497" s="2038"/>
      <c r="AA1497" s="2038"/>
      <c r="AB1497" s="2038"/>
      <c r="AC1497" s="2038"/>
      <c r="AD1497" s="2038"/>
      <c r="AE1497" s="2039" t="s">
        <v>1839</v>
      </c>
      <c r="AF1497" s="2040"/>
    </row>
    <row r="1498" spans="1:32" ht="15.75" x14ac:dyDescent="0.25">
      <c r="A1498" s="2041" t="s">
        <v>1840</v>
      </c>
      <c r="B1498" s="2042"/>
      <c r="C1498" s="2042"/>
      <c r="D1498" s="2042"/>
      <c r="E1498" s="2042"/>
      <c r="F1498" s="2042"/>
      <c r="G1498" s="2042"/>
      <c r="H1498" s="2042"/>
      <c r="I1498" s="2042"/>
      <c r="J1498" s="2042"/>
      <c r="K1498" s="2042"/>
      <c r="L1498" s="2042"/>
      <c r="M1498" s="2042"/>
      <c r="N1498" s="2042"/>
      <c r="O1498" s="2042"/>
      <c r="P1498" s="2042"/>
      <c r="Q1498" s="2042"/>
      <c r="R1498" s="2042"/>
      <c r="S1498" s="2042"/>
      <c r="T1498" s="2042"/>
      <c r="U1498" s="2042"/>
      <c r="V1498" s="2042"/>
      <c r="W1498" s="2042"/>
      <c r="X1498" s="2042"/>
      <c r="Y1498" s="2042"/>
      <c r="Z1498" s="2042"/>
      <c r="AA1498" s="2042"/>
      <c r="AB1498" s="2042"/>
      <c r="AC1498" s="2042"/>
      <c r="AD1498" s="2043"/>
      <c r="AE1498" s="2014" t="s">
        <v>1841</v>
      </c>
      <c r="AF1498" s="2044"/>
    </row>
    <row r="1499" spans="1:32" ht="15.75" x14ac:dyDescent="0.25">
      <c r="A1499" s="2045" t="s">
        <v>1853</v>
      </c>
      <c r="B1499" s="2046"/>
      <c r="C1499" s="2046"/>
      <c r="D1499" s="2046"/>
      <c r="E1499" s="2046"/>
      <c r="F1499" s="2046"/>
      <c r="G1499" s="2046"/>
      <c r="H1499" s="2046"/>
      <c r="I1499" s="2046"/>
      <c r="J1499" s="2046"/>
      <c r="K1499" s="2046"/>
      <c r="L1499" s="2046"/>
      <c r="M1499" s="2046"/>
      <c r="N1499" s="2046"/>
      <c r="O1499" s="2046"/>
      <c r="P1499" s="2046"/>
      <c r="Q1499" s="2046"/>
      <c r="R1499" s="2046"/>
      <c r="S1499" s="2046"/>
      <c r="T1499" s="2046"/>
      <c r="U1499" s="2046"/>
      <c r="V1499" s="2046"/>
      <c r="W1499" s="2046"/>
      <c r="X1499" s="2046"/>
      <c r="Y1499" s="2046"/>
      <c r="Z1499" s="2046"/>
      <c r="AA1499" s="2046"/>
      <c r="AB1499" s="2046"/>
      <c r="AC1499" s="2046"/>
      <c r="AD1499" s="2046"/>
      <c r="AE1499" s="2047">
        <f>'01'!$M$13</f>
        <v>0</v>
      </c>
      <c r="AF1499" s="2044"/>
    </row>
    <row r="1500" spans="1:32" x14ac:dyDescent="0.2">
      <c r="A1500" s="1046"/>
      <c r="B1500" s="1047"/>
      <c r="C1500" s="1047"/>
      <c r="D1500" s="1047"/>
      <c r="E1500" s="1047"/>
      <c r="F1500" s="1047"/>
      <c r="G1500" s="1047"/>
      <c r="H1500" s="1047"/>
      <c r="I1500" s="1047"/>
      <c r="J1500" s="1047"/>
      <c r="K1500" s="1047"/>
      <c r="L1500" s="1047"/>
      <c r="M1500" s="1047"/>
      <c r="N1500" s="1047"/>
      <c r="O1500" s="1047"/>
      <c r="P1500" s="1047"/>
      <c r="Q1500" s="1047"/>
      <c r="R1500" s="1047"/>
      <c r="S1500" s="1047"/>
      <c r="T1500" s="1047"/>
      <c r="U1500" s="1047"/>
      <c r="V1500" s="1047"/>
      <c r="W1500" s="1047"/>
      <c r="X1500" s="1047"/>
      <c r="Y1500" s="1047"/>
      <c r="Z1500" s="1047"/>
      <c r="AA1500" s="1047"/>
      <c r="AB1500" s="1047"/>
      <c r="AC1500" s="1047"/>
      <c r="AD1500" s="1047"/>
      <c r="AE1500" s="1047"/>
      <c r="AF1500" s="1048"/>
    </row>
    <row r="1501" spans="1:32" ht="30" customHeight="1" x14ac:dyDescent="0.2">
      <c r="A1501" s="2048" t="s">
        <v>1842</v>
      </c>
      <c r="B1501" s="2049"/>
      <c r="C1501" s="2049"/>
      <c r="D1501" s="2049"/>
      <c r="E1501" s="2049"/>
      <c r="F1501" s="2050" t="str">
        <f>+'01'!$H$63</f>
        <v>C - FLOCULADOR, SEDIMENTADOR, CANAL DE AGUA SEDIMENTADA Y CANAL DE LAVADO</v>
      </c>
      <c r="G1501" s="2049"/>
      <c r="H1501" s="2049"/>
      <c r="I1501" s="2049"/>
      <c r="J1501" s="2049"/>
      <c r="K1501" s="2049"/>
      <c r="L1501" s="2049"/>
      <c r="M1501" s="2049"/>
      <c r="N1501" s="2049"/>
      <c r="O1501" s="2049"/>
      <c r="P1501" s="2049"/>
      <c r="Q1501" s="2049"/>
      <c r="R1501" s="2049"/>
      <c r="S1501" s="2049"/>
      <c r="T1501" s="2049"/>
      <c r="U1501" s="2049"/>
      <c r="V1501" s="2049"/>
      <c r="W1501" s="2049"/>
      <c r="X1501" s="2049"/>
      <c r="Y1501" s="2051"/>
      <c r="Z1501" s="2052" t="s">
        <v>2204</v>
      </c>
      <c r="AA1501" s="2053"/>
      <c r="AB1501" s="2058" t="s">
        <v>2218</v>
      </c>
      <c r="AC1501" s="2059"/>
      <c r="AD1501" s="2060"/>
      <c r="AE1501" s="2064" t="s">
        <v>2217</v>
      </c>
      <c r="AF1501" s="2067" t="s">
        <v>1846</v>
      </c>
    </row>
    <row r="1502" spans="1:32" x14ac:dyDescent="0.2">
      <c r="A1502" s="2070" t="str">
        <f>+'01'!A80</f>
        <v>C-06-01</v>
      </c>
      <c r="B1502" s="2071"/>
      <c r="C1502" s="2072"/>
      <c r="D1502" s="2076" t="str">
        <f>VLOOKUP(A1502,'01'!$A$12:$N$299,3,FALSE)</f>
        <v>ACERO DE REFUERZO FIGURADO FY= 420 MPA-60000 PSI, CORRUGADO. INCLUYE TRANSPORTE CON DESCARGA, TRANSPORTE INTERNO, ALAMBRE DE AMARRE, CERTIFICADOS Y TODOS LOS ELEMENTOS NECESARIOS PARA SU CORRECTA INSTALACIÓN, SEGÚN DISEÑO Y RECOMENDACIONES.</v>
      </c>
      <c r="E1502" s="2077"/>
      <c r="F1502" s="2077"/>
      <c r="G1502" s="2077"/>
      <c r="H1502" s="2077"/>
      <c r="I1502" s="2077"/>
      <c r="J1502" s="2077"/>
      <c r="K1502" s="2077"/>
      <c r="L1502" s="2077"/>
      <c r="M1502" s="2077"/>
      <c r="N1502" s="2077"/>
      <c r="O1502" s="2077"/>
      <c r="P1502" s="2077"/>
      <c r="Q1502" s="2077"/>
      <c r="R1502" s="2077"/>
      <c r="S1502" s="2078"/>
      <c r="T1502" s="2082" t="s">
        <v>124</v>
      </c>
      <c r="U1502" s="2083"/>
      <c r="V1502" s="2083"/>
      <c r="W1502" s="2083"/>
      <c r="X1502" s="2052" t="str">
        <f>VLOOKUP(A1502,'01'!$A$12:$N$299,9,FALSE)</f>
        <v>KG</v>
      </c>
      <c r="Y1502" s="2053"/>
      <c r="Z1502" s="2054"/>
      <c r="AA1502" s="2055"/>
      <c r="AB1502" s="2061"/>
      <c r="AC1502" s="2062"/>
      <c r="AD1502" s="2063"/>
      <c r="AE1502" s="2065"/>
      <c r="AF1502" s="2068"/>
    </row>
    <row r="1503" spans="1:32" ht="47.25" x14ac:dyDescent="0.25">
      <c r="A1503" s="2073"/>
      <c r="B1503" s="2074"/>
      <c r="C1503" s="2075"/>
      <c r="D1503" s="2079"/>
      <c r="E1503" s="2080"/>
      <c r="F1503" s="2080"/>
      <c r="G1503" s="2080"/>
      <c r="H1503" s="2080"/>
      <c r="I1503" s="2080"/>
      <c r="J1503" s="2080"/>
      <c r="K1503" s="2080"/>
      <c r="L1503" s="2080"/>
      <c r="M1503" s="2080"/>
      <c r="N1503" s="2080"/>
      <c r="O1503" s="2080"/>
      <c r="P1503" s="2080"/>
      <c r="Q1503" s="2080"/>
      <c r="R1503" s="2080"/>
      <c r="S1503" s="2081"/>
      <c r="T1503" s="2084"/>
      <c r="U1503" s="2085"/>
      <c r="V1503" s="2085"/>
      <c r="W1503" s="2085"/>
      <c r="X1503" s="2056"/>
      <c r="Y1503" s="2057"/>
      <c r="Z1503" s="2056"/>
      <c r="AA1503" s="2057"/>
      <c r="AB1503" s="1049" t="s">
        <v>1847</v>
      </c>
      <c r="AC1503" s="1049" t="s">
        <v>116</v>
      </c>
      <c r="AD1503" s="1122" t="s">
        <v>2219</v>
      </c>
      <c r="AE1503" s="2066"/>
      <c r="AF1503" s="2069"/>
    </row>
    <row r="1504" spans="1:32" ht="15.75" x14ac:dyDescent="0.25">
      <c r="A1504" s="2017"/>
      <c r="B1504" s="2018"/>
      <c r="C1504" s="2018"/>
      <c r="D1504" s="2018"/>
      <c r="E1504" s="2018"/>
      <c r="F1504" s="2018"/>
      <c r="G1504" s="2018"/>
      <c r="H1504" s="2018"/>
      <c r="I1504" s="2018"/>
      <c r="J1504" s="2018"/>
      <c r="K1504" s="2018"/>
      <c r="L1504" s="2018"/>
      <c r="M1504" s="2018"/>
      <c r="N1504" s="2018"/>
      <c r="O1504" s="2018"/>
      <c r="P1504" s="2018"/>
      <c r="Q1504" s="2018"/>
      <c r="R1504" s="2018"/>
      <c r="S1504" s="2018"/>
      <c r="T1504" s="2018"/>
      <c r="U1504" s="2018"/>
      <c r="V1504" s="2018"/>
      <c r="W1504" s="2018"/>
      <c r="X1504" s="2018"/>
      <c r="Y1504" s="2018"/>
      <c r="Z1504" s="2022">
        <v>1</v>
      </c>
      <c r="AA1504" s="2022"/>
      <c r="AB1504" s="1050"/>
      <c r="AC1504" s="1050"/>
      <c r="AD1504" s="1050"/>
      <c r="AE1504" s="1050"/>
      <c r="AF1504" s="1052">
        <v>15681.51</v>
      </c>
    </row>
    <row r="1505" spans="1:32" ht="15.75" x14ac:dyDescent="0.25">
      <c r="A1505" s="2017"/>
      <c r="B1505" s="2018"/>
      <c r="C1505" s="2018"/>
      <c r="D1505" s="2018"/>
      <c r="E1505" s="2018"/>
      <c r="F1505" s="2018"/>
      <c r="G1505" s="2018"/>
      <c r="H1505" s="2018"/>
      <c r="I1505" s="2018"/>
      <c r="J1505" s="2018"/>
      <c r="K1505" s="2018"/>
      <c r="L1505" s="2018"/>
      <c r="M1505" s="2018"/>
      <c r="N1505" s="2018"/>
      <c r="O1505" s="2018"/>
      <c r="P1505" s="2018"/>
      <c r="Q1505" s="2018"/>
      <c r="R1505" s="2018"/>
      <c r="S1505" s="2018"/>
      <c r="T1505" s="2018"/>
      <c r="U1505" s="2018"/>
      <c r="V1505" s="2018"/>
      <c r="W1505" s="2018"/>
      <c r="X1505" s="2018"/>
      <c r="Y1505" s="2018"/>
      <c r="Z1505" s="2022"/>
      <c r="AA1505" s="2022"/>
      <c r="AB1505" s="1050"/>
      <c r="AC1505" s="1050"/>
      <c r="AD1505" s="1050"/>
      <c r="AE1505" s="1050"/>
      <c r="AF1505" s="1052"/>
    </row>
    <row r="1506" spans="1:32" ht="15.75" x14ac:dyDescent="0.25">
      <c r="A1506" s="2017"/>
      <c r="B1506" s="2018"/>
      <c r="C1506" s="2018"/>
      <c r="D1506" s="2018"/>
      <c r="E1506" s="2018"/>
      <c r="F1506" s="2018"/>
      <c r="G1506" s="2018"/>
      <c r="H1506" s="2018"/>
      <c r="I1506" s="2018"/>
      <c r="J1506" s="2018"/>
      <c r="K1506" s="2018"/>
      <c r="L1506" s="2018"/>
      <c r="M1506" s="2018"/>
      <c r="N1506" s="2018"/>
      <c r="O1506" s="2018"/>
      <c r="P1506" s="2018"/>
      <c r="Q1506" s="2018"/>
      <c r="R1506" s="2018"/>
      <c r="S1506" s="2018"/>
      <c r="T1506" s="2018"/>
      <c r="U1506" s="2018"/>
      <c r="V1506" s="2018"/>
      <c r="W1506" s="2018"/>
      <c r="X1506" s="2018"/>
      <c r="Y1506" s="2018"/>
      <c r="Z1506" s="2022"/>
      <c r="AA1506" s="2022"/>
      <c r="AB1506" s="1050"/>
      <c r="AC1506" s="1050"/>
      <c r="AD1506" s="1050"/>
      <c r="AE1506" s="1050"/>
      <c r="AF1506" s="1052"/>
    </row>
    <row r="1507" spans="1:32" ht="15.75" x14ac:dyDescent="0.25">
      <c r="A1507" s="2017"/>
      <c r="B1507" s="2018"/>
      <c r="C1507" s="2018"/>
      <c r="D1507" s="2018"/>
      <c r="E1507" s="2018"/>
      <c r="F1507" s="2018"/>
      <c r="G1507" s="2018"/>
      <c r="H1507" s="2018"/>
      <c r="I1507" s="2018"/>
      <c r="J1507" s="2018"/>
      <c r="K1507" s="2018"/>
      <c r="L1507" s="2018"/>
      <c r="M1507" s="2018"/>
      <c r="N1507" s="2018"/>
      <c r="O1507" s="2018"/>
      <c r="P1507" s="2018"/>
      <c r="Q1507" s="2018"/>
      <c r="R1507" s="2018"/>
      <c r="S1507" s="2018"/>
      <c r="T1507" s="2018"/>
      <c r="U1507" s="2018"/>
      <c r="V1507" s="2018"/>
      <c r="W1507" s="2018"/>
      <c r="X1507" s="2018"/>
      <c r="Y1507" s="2018"/>
      <c r="Z1507" s="2105"/>
      <c r="AA1507" s="2105"/>
      <c r="AB1507" s="1050"/>
      <c r="AC1507" s="1050"/>
      <c r="AD1507" s="1050"/>
      <c r="AE1507" s="1050"/>
      <c r="AF1507" s="1052"/>
    </row>
    <row r="1508" spans="1:32" ht="15.75" x14ac:dyDescent="0.25">
      <c r="A1508" s="2017"/>
      <c r="B1508" s="2018"/>
      <c r="C1508" s="2018"/>
      <c r="D1508" s="2018"/>
      <c r="E1508" s="2018"/>
      <c r="F1508" s="2018"/>
      <c r="G1508" s="2018"/>
      <c r="H1508" s="2018"/>
      <c r="I1508" s="2018"/>
      <c r="J1508" s="2018"/>
      <c r="K1508" s="2018"/>
      <c r="L1508" s="2018"/>
      <c r="M1508" s="2018"/>
      <c r="N1508" s="2018"/>
      <c r="O1508" s="2018"/>
      <c r="P1508" s="2018"/>
      <c r="Q1508" s="2018"/>
      <c r="R1508" s="2018"/>
      <c r="S1508" s="2018"/>
      <c r="T1508" s="2018"/>
      <c r="U1508" s="2018"/>
      <c r="V1508" s="2018"/>
      <c r="W1508" s="2018"/>
      <c r="X1508" s="2018"/>
      <c r="Y1508" s="2018"/>
      <c r="Z1508" s="2105"/>
      <c r="AA1508" s="2105"/>
      <c r="AB1508" s="1050"/>
      <c r="AC1508" s="1050"/>
      <c r="AD1508" s="1050"/>
      <c r="AE1508" s="1050"/>
      <c r="AF1508" s="1052"/>
    </row>
    <row r="1509" spans="1:32" ht="15.75" x14ac:dyDescent="0.25">
      <c r="A1509" s="2017"/>
      <c r="B1509" s="2018"/>
      <c r="C1509" s="2018"/>
      <c r="D1509" s="2018"/>
      <c r="E1509" s="2018"/>
      <c r="F1509" s="2018"/>
      <c r="G1509" s="2018"/>
      <c r="H1509" s="2018"/>
      <c r="I1509" s="2018"/>
      <c r="J1509" s="2018"/>
      <c r="K1509" s="2018"/>
      <c r="L1509" s="2018"/>
      <c r="M1509" s="2018"/>
      <c r="N1509" s="2018"/>
      <c r="O1509" s="2018"/>
      <c r="P1509" s="2018"/>
      <c r="Q1509" s="2018"/>
      <c r="R1509" s="2018"/>
      <c r="S1509" s="2018"/>
      <c r="T1509" s="2018"/>
      <c r="U1509" s="2018"/>
      <c r="V1509" s="2018"/>
      <c r="W1509" s="2018"/>
      <c r="X1509" s="2018"/>
      <c r="Y1509" s="2018"/>
      <c r="Z1509" s="2105"/>
      <c r="AA1509" s="2105"/>
      <c r="AB1509" s="1050"/>
      <c r="AC1509" s="1050"/>
      <c r="AD1509" s="1050"/>
      <c r="AE1509" s="1050"/>
      <c r="AF1509" s="1052"/>
    </row>
    <row r="1510" spans="1:32" ht="15.75" x14ac:dyDescent="0.25">
      <c r="A1510" s="2017"/>
      <c r="B1510" s="2018"/>
      <c r="C1510" s="2018"/>
      <c r="D1510" s="2018"/>
      <c r="E1510" s="2018"/>
      <c r="F1510" s="2018"/>
      <c r="G1510" s="2018"/>
      <c r="H1510" s="2018"/>
      <c r="I1510" s="2018"/>
      <c r="J1510" s="2018"/>
      <c r="K1510" s="2018"/>
      <c r="L1510" s="2018"/>
      <c r="M1510" s="2018"/>
      <c r="N1510" s="2018"/>
      <c r="O1510" s="2018"/>
      <c r="P1510" s="2018"/>
      <c r="Q1510" s="2018"/>
      <c r="R1510" s="2018"/>
      <c r="S1510" s="2018"/>
      <c r="T1510" s="2018"/>
      <c r="U1510" s="2018"/>
      <c r="V1510" s="2018"/>
      <c r="W1510" s="2018"/>
      <c r="X1510" s="2018"/>
      <c r="Y1510" s="2018"/>
      <c r="Z1510" s="2105"/>
      <c r="AA1510" s="2105"/>
      <c r="AB1510" s="1050"/>
      <c r="AC1510" s="1050"/>
      <c r="AD1510" s="1050"/>
      <c r="AE1510" s="1050"/>
      <c r="AF1510" s="1052"/>
    </row>
    <row r="1511" spans="1:32" ht="15.75" x14ac:dyDescent="0.25">
      <c r="A1511" s="2017"/>
      <c r="B1511" s="2018"/>
      <c r="C1511" s="2018"/>
      <c r="D1511" s="2018"/>
      <c r="E1511" s="2018"/>
      <c r="F1511" s="2018"/>
      <c r="G1511" s="2018"/>
      <c r="H1511" s="2018"/>
      <c r="I1511" s="2018"/>
      <c r="J1511" s="2018"/>
      <c r="K1511" s="2018"/>
      <c r="L1511" s="2018"/>
      <c r="M1511" s="2018"/>
      <c r="N1511" s="2018"/>
      <c r="O1511" s="2018"/>
      <c r="P1511" s="2018"/>
      <c r="Q1511" s="2018"/>
      <c r="R1511" s="2018"/>
      <c r="S1511" s="2018"/>
      <c r="T1511" s="2018"/>
      <c r="U1511" s="2018"/>
      <c r="V1511" s="2018"/>
      <c r="W1511" s="2018"/>
      <c r="X1511" s="2018"/>
      <c r="Y1511" s="2018"/>
      <c r="Z1511" s="2105"/>
      <c r="AA1511" s="2105"/>
      <c r="AB1511" s="1050"/>
      <c r="AC1511" s="1050"/>
      <c r="AD1511" s="1050"/>
      <c r="AE1511" s="1050"/>
      <c r="AF1511" s="1052"/>
    </row>
    <row r="1512" spans="1:32" ht="15.75" x14ac:dyDescent="0.25">
      <c r="A1512" s="2017"/>
      <c r="B1512" s="2018"/>
      <c r="C1512" s="2018"/>
      <c r="D1512" s="2018"/>
      <c r="E1512" s="2018"/>
      <c r="F1512" s="2018"/>
      <c r="G1512" s="2018"/>
      <c r="H1512" s="2018"/>
      <c r="I1512" s="2018"/>
      <c r="J1512" s="2018"/>
      <c r="K1512" s="2018"/>
      <c r="L1512" s="2018"/>
      <c r="M1512" s="2018"/>
      <c r="N1512" s="2018"/>
      <c r="O1512" s="2018"/>
      <c r="P1512" s="2018"/>
      <c r="Q1512" s="2018"/>
      <c r="R1512" s="2018"/>
      <c r="S1512" s="2018"/>
      <c r="T1512" s="2018"/>
      <c r="U1512" s="2018"/>
      <c r="V1512" s="2018"/>
      <c r="W1512" s="2018"/>
      <c r="X1512" s="2018"/>
      <c r="Y1512" s="2018"/>
      <c r="Z1512" s="2105"/>
      <c r="AA1512" s="2105"/>
      <c r="AB1512" s="1050"/>
      <c r="AC1512" s="1050"/>
      <c r="AD1512" s="1050"/>
      <c r="AE1512" s="1050"/>
      <c r="AF1512" s="1052"/>
    </row>
    <row r="1513" spans="1:32" ht="15.75" x14ac:dyDescent="0.25">
      <c r="A1513" s="2017"/>
      <c r="B1513" s="2018"/>
      <c r="C1513" s="2018"/>
      <c r="D1513" s="2018"/>
      <c r="E1513" s="2018"/>
      <c r="F1513" s="2018"/>
      <c r="G1513" s="2018"/>
      <c r="H1513" s="2018"/>
      <c r="I1513" s="2018"/>
      <c r="J1513" s="2018"/>
      <c r="K1513" s="2018"/>
      <c r="L1513" s="2018"/>
      <c r="M1513" s="2018"/>
      <c r="N1513" s="2018"/>
      <c r="O1513" s="2018"/>
      <c r="P1513" s="2018"/>
      <c r="Q1513" s="2018"/>
      <c r="R1513" s="2018"/>
      <c r="S1513" s="2018"/>
      <c r="T1513" s="2018"/>
      <c r="U1513" s="2018"/>
      <c r="V1513" s="2018"/>
      <c r="W1513" s="2018"/>
      <c r="X1513" s="2018"/>
      <c r="Y1513" s="2018"/>
      <c r="Z1513" s="2105"/>
      <c r="AA1513" s="2105"/>
      <c r="AB1513" s="1050"/>
      <c r="AC1513" s="1050"/>
      <c r="AD1513" s="1050"/>
      <c r="AE1513" s="1050"/>
      <c r="AF1513" s="1052"/>
    </row>
    <row r="1514" spans="1:32" ht="15.75" x14ac:dyDescent="0.25">
      <c r="A1514" s="2017"/>
      <c r="B1514" s="2018"/>
      <c r="C1514" s="2018"/>
      <c r="D1514" s="2018"/>
      <c r="E1514" s="2018"/>
      <c r="F1514" s="2018"/>
      <c r="G1514" s="2018"/>
      <c r="H1514" s="2018"/>
      <c r="I1514" s="2018"/>
      <c r="J1514" s="2018"/>
      <c r="K1514" s="2018"/>
      <c r="L1514" s="2018"/>
      <c r="M1514" s="2018"/>
      <c r="N1514" s="2018"/>
      <c r="O1514" s="2018"/>
      <c r="P1514" s="2018"/>
      <c r="Q1514" s="2018"/>
      <c r="R1514" s="2018"/>
      <c r="S1514" s="2018"/>
      <c r="T1514" s="2018"/>
      <c r="U1514" s="2018"/>
      <c r="V1514" s="2018"/>
      <c r="W1514" s="2018"/>
      <c r="X1514" s="2018"/>
      <c r="Y1514" s="2018"/>
      <c r="Z1514" s="2105"/>
      <c r="AA1514" s="2105"/>
      <c r="AB1514" s="1050"/>
      <c r="AC1514" s="1050"/>
      <c r="AD1514" s="1050"/>
      <c r="AE1514" s="1050"/>
      <c r="AF1514" s="1052"/>
    </row>
    <row r="1515" spans="1:32" ht="15.75" x14ac:dyDescent="0.25">
      <c r="A1515" s="2017"/>
      <c r="B1515" s="2018"/>
      <c r="C1515" s="2018"/>
      <c r="D1515" s="2018"/>
      <c r="E1515" s="2018"/>
      <c r="F1515" s="2018"/>
      <c r="G1515" s="2018"/>
      <c r="H1515" s="2018"/>
      <c r="I1515" s="2018"/>
      <c r="J1515" s="2018"/>
      <c r="K1515" s="2018"/>
      <c r="L1515" s="2018"/>
      <c r="M1515" s="2018"/>
      <c r="N1515" s="2018"/>
      <c r="O1515" s="2018"/>
      <c r="P1515" s="2018"/>
      <c r="Q1515" s="2018"/>
      <c r="R1515" s="2018"/>
      <c r="S1515" s="2018"/>
      <c r="T1515" s="2018"/>
      <c r="U1515" s="2018"/>
      <c r="V1515" s="2018"/>
      <c r="W1515" s="2018"/>
      <c r="X1515" s="2018"/>
      <c r="Y1515" s="2018"/>
      <c r="Z1515" s="2105"/>
      <c r="AA1515" s="2105"/>
      <c r="AB1515" s="1050"/>
      <c r="AC1515" s="1050"/>
      <c r="AD1515" s="1050"/>
      <c r="AE1515" s="1050"/>
      <c r="AF1515" s="1052"/>
    </row>
    <row r="1516" spans="1:32" ht="15.75" x14ac:dyDescent="0.25">
      <c r="A1516" s="2017"/>
      <c r="B1516" s="2018"/>
      <c r="C1516" s="2018"/>
      <c r="D1516" s="2018"/>
      <c r="E1516" s="2018"/>
      <c r="F1516" s="2018"/>
      <c r="G1516" s="2018"/>
      <c r="H1516" s="2018"/>
      <c r="I1516" s="2018"/>
      <c r="J1516" s="2018"/>
      <c r="K1516" s="2018"/>
      <c r="L1516" s="2018"/>
      <c r="M1516" s="2018"/>
      <c r="N1516" s="2018"/>
      <c r="O1516" s="2018"/>
      <c r="P1516" s="2018"/>
      <c r="Q1516" s="2018"/>
      <c r="R1516" s="2018"/>
      <c r="S1516" s="2018"/>
      <c r="T1516" s="2018"/>
      <c r="U1516" s="2018"/>
      <c r="V1516" s="2018"/>
      <c r="W1516" s="2018"/>
      <c r="X1516" s="2018"/>
      <c r="Y1516" s="2018"/>
      <c r="Z1516" s="2105"/>
      <c r="AA1516" s="2105"/>
      <c r="AB1516" s="1050"/>
      <c r="AC1516" s="1050"/>
      <c r="AD1516" s="1050"/>
      <c r="AE1516" s="1050"/>
      <c r="AF1516" s="1052"/>
    </row>
    <row r="1517" spans="1:32" ht="15.75" x14ac:dyDescent="0.25">
      <c r="A1517" s="2017"/>
      <c r="B1517" s="2018"/>
      <c r="C1517" s="2018"/>
      <c r="D1517" s="2018"/>
      <c r="E1517" s="2018"/>
      <c r="F1517" s="2018"/>
      <c r="G1517" s="2018"/>
      <c r="H1517" s="2018"/>
      <c r="I1517" s="2018"/>
      <c r="J1517" s="2018"/>
      <c r="K1517" s="2018"/>
      <c r="L1517" s="2018"/>
      <c r="M1517" s="2018"/>
      <c r="N1517" s="2018"/>
      <c r="O1517" s="2018"/>
      <c r="P1517" s="2018"/>
      <c r="Q1517" s="2018"/>
      <c r="R1517" s="2018"/>
      <c r="S1517" s="2018"/>
      <c r="T1517" s="2018"/>
      <c r="U1517" s="2018"/>
      <c r="V1517" s="2018"/>
      <c r="W1517" s="2018"/>
      <c r="X1517" s="2018"/>
      <c r="Y1517" s="2018"/>
      <c r="Z1517" s="2105"/>
      <c r="AA1517" s="2105"/>
      <c r="AB1517" s="1050"/>
      <c r="AC1517" s="1050"/>
      <c r="AD1517" s="1050"/>
      <c r="AE1517" s="1050"/>
      <c r="AF1517" s="1052"/>
    </row>
    <row r="1518" spans="1:32" ht="15.75" x14ac:dyDescent="0.25">
      <c r="A1518" s="2017"/>
      <c r="B1518" s="2018"/>
      <c r="C1518" s="2018"/>
      <c r="D1518" s="2018"/>
      <c r="E1518" s="2018"/>
      <c r="F1518" s="2018"/>
      <c r="G1518" s="2018"/>
      <c r="H1518" s="2018"/>
      <c r="I1518" s="2018"/>
      <c r="J1518" s="2018"/>
      <c r="K1518" s="2018"/>
      <c r="L1518" s="2018"/>
      <c r="M1518" s="2018"/>
      <c r="N1518" s="2018"/>
      <c r="O1518" s="2018"/>
      <c r="P1518" s="2018"/>
      <c r="Q1518" s="2018"/>
      <c r="R1518" s="2018"/>
      <c r="S1518" s="2018"/>
      <c r="T1518" s="2018"/>
      <c r="U1518" s="2018"/>
      <c r="V1518" s="2018"/>
      <c r="W1518" s="2018"/>
      <c r="X1518" s="2018"/>
      <c r="Y1518" s="2018"/>
      <c r="Z1518" s="2105"/>
      <c r="AA1518" s="2105"/>
      <c r="AB1518" s="1050"/>
      <c r="AC1518" s="1050"/>
      <c r="AD1518" s="1050"/>
      <c r="AE1518" s="1050"/>
      <c r="AF1518" s="1052"/>
    </row>
    <row r="1519" spans="1:32" ht="15.75" x14ac:dyDescent="0.25">
      <c r="A1519" s="2017"/>
      <c r="B1519" s="2018"/>
      <c r="C1519" s="2018"/>
      <c r="D1519" s="2018"/>
      <c r="E1519" s="2018"/>
      <c r="F1519" s="2018"/>
      <c r="G1519" s="2018"/>
      <c r="H1519" s="2018"/>
      <c r="I1519" s="2018"/>
      <c r="J1519" s="2018"/>
      <c r="K1519" s="2018"/>
      <c r="L1519" s="2018"/>
      <c r="M1519" s="2018"/>
      <c r="N1519" s="2018"/>
      <c r="O1519" s="2018"/>
      <c r="P1519" s="2018"/>
      <c r="Q1519" s="2018"/>
      <c r="R1519" s="2018"/>
      <c r="S1519" s="2018"/>
      <c r="T1519" s="2018"/>
      <c r="U1519" s="2018"/>
      <c r="V1519" s="2018"/>
      <c r="W1519" s="2018"/>
      <c r="X1519" s="2018"/>
      <c r="Y1519" s="2018"/>
      <c r="Z1519" s="2105"/>
      <c r="AA1519" s="2105"/>
      <c r="AB1519" s="1050"/>
      <c r="AC1519" s="1050"/>
      <c r="AD1519" s="1050"/>
      <c r="AE1519" s="1050"/>
      <c r="AF1519" s="1052"/>
    </row>
    <row r="1520" spans="1:32" ht="15.75" x14ac:dyDescent="0.25">
      <c r="A1520" s="2017"/>
      <c r="B1520" s="2018"/>
      <c r="C1520" s="2018"/>
      <c r="D1520" s="2018"/>
      <c r="E1520" s="2018"/>
      <c r="F1520" s="2018"/>
      <c r="G1520" s="2018"/>
      <c r="H1520" s="2018"/>
      <c r="I1520" s="2018"/>
      <c r="J1520" s="2018"/>
      <c r="K1520" s="2018"/>
      <c r="L1520" s="2018"/>
      <c r="M1520" s="2018"/>
      <c r="N1520" s="2018"/>
      <c r="O1520" s="2018"/>
      <c r="P1520" s="2018"/>
      <c r="Q1520" s="2018"/>
      <c r="R1520" s="2018"/>
      <c r="S1520" s="2018"/>
      <c r="T1520" s="2018"/>
      <c r="U1520" s="2018"/>
      <c r="V1520" s="2018"/>
      <c r="W1520" s="2018"/>
      <c r="X1520" s="2018"/>
      <c r="Y1520" s="2018"/>
      <c r="Z1520" s="2105"/>
      <c r="AA1520" s="2105"/>
      <c r="AB1520" s="1050"/>
      <c r="AC1520" s="1050"/>
      <c r="AD1520" s="1050"/>
      <c r="AE1520" s="1050"/>
      <c r="AF1520" s="1052"/>
    </row>
    <row r="1521" spans="1:32" ht="15.75" x14ac:dyDescent="0.25">
      <c r="A1521" s="2017"/>
      <c r="B1521" s="2018"/>
      <c r="C1521" s="2018"/>
      <c r="D1521" s="2018"/>
      <c r="E1521" s="2018"/>
      <c r="F1521" s="2018"/>
      <c r="G1521" s="2018"/>
      <c r="H1521" s="2018"/>
      <c r="I1521" s="2018"/>
      <c r="J1521" s="2018"/>
      <c r="K1521" s="2018"/>
      <c r="L1521" s="2018"/>
      <c r="M1521" s="2018"/>
      <c r="N1521" s="2018"/>
      <c r="O1521" s="2018"/>
      <c r="P1521" s="2018"/>
      <c r="Q1521" s="2018"/>
      <c r="R1521" s="2018"/>
      <c r="S1521" s="2018"/>
      <c r="T1521" s="2018"/>
      <c r="U1521" s="2018"/>
      <c r="V1521" s="2018"/>
      <c r="W1521" s="2018"/>
      <c r="X1521" s="2018"/>
      <c r="Y1521" s="2018"/>
      <c r="Z1521" s="2105"/>
      <c r="AA1521" s="2105"/>
      <c r="AB1521" s="1050"/>
      <c r="AC1521" s="1050"/>
      <c r="AD1521" s="1050"/>
      <c r="AE1521" s="1050"/>
      <c r="AF1521" s="1052"/>
    </row>
    <row r="1522" spans="1:32" ht="15.75" x14ac:dyDescent="0.25">
      <c r="A1522" s="2017"/>
      <c r="B1522" s="2018"/>
      <c r="C1522" s="2018"/>
      <c r="D1522" s="2018"/>
      <c r="E1522" s="2018"/>
      <c r="F1522" s="2018"/>
      <c r="G1522" s="2018"/>
      <c r="H1522" s="2018"/>
      <c r="I1522" s="2018"/>
      <c r="J1522" s="2018"/>
      <c r="K1522" s="2018"/>
      <c r="L1522" s="2018"/>
      <c r="M1522" s="2018"/>
      <c r="N1522" s="2018"/>
      <c r="O1522" s="2018"/>
      <c r="P1522" s="2018"/>
      <c r="Q1522" s="2018"/>
      <c r="R1522" s="2018"/>
      <c r="S1522" s="2018"/>
      <c r="T1522" s="2018"/>
      <c r="U1522" s="2018"/>
      <c r="V1522" s="2018"/>
      <c r="W1522" s="2018"/>
      <c r="X1522" s="2018"/>
      <c r="Y1522" s="2018"/>
      <c r="Z1522" s="2105"/>
      <c r="AA1522" s="2105"/>
      <c r="AB1522" s="1050"/>
      <c r="AC1522" s="1050"/>
      <c r="AD1522" s="1050"/>
      <c r="AE1522" s="1050"/>
      <c r="AF1522" s="1052"/>
    </row>
    <row r="1523" spans="1:32" ht="15.75" x14ac:dyDescent="0.25">
      <c r="A1523" s="2017"/>
      <c r="B1523" s="2018"/>
      <c r="C1523" s="2018"/>
      <c r="D1523" s="2018"/>
      <c r="E1523" s="2018"/>
      <c r="F1523" s="2018"/>
      <c r="G1523" s="2018"/>
      <c r="H1523" s="2018"/>
      <c r="I1523" s="2018"/>
      <c r="J1523" s="2018"/>
      <c r="K1523" s="2018"/>
      <c r="L1523" s="2018"/>
      <c r="M1523" s="2018"/>
      <c r="N1523" s="2018"/>
      <c r="O1523" s="2018"/>
      <c r="P1523" s="2018"/>
      <c r="Q1523" s="2018"/>
      <c r="R1523" s="2018"/>
      <c r="S1523" s="2018"/>
      <c r="T1523" s="2018"/>
      <c r="U1523" s="2018"/>
      <c r="V1523" s="2018"/>
      <c r="W1523" s="2018"/>
      <c r="X1523" s="2018"/>
      <c r="Y1523" s="2018"/>
      <c r="Z1523" s="2105"/>
      <c r="AA1523" s="2105"/>
      <c r="AB1523" s="1050"/>
      <c r="AC1523" s="1050"/>
      <c r="AD1523" s="1050"/>
      <c r="AE1523" s="1050"/>
      <c r="AF1523" s="1052"/>
    </row>
    <row r="1524" spans="1:32" ht="15.75" x14ac:dyDescent="0.25">
      <c r="A1524" s="2017"/>
      <c r="B1524" s="2018"/>
      <c r="C1524" s="2018"/>
      <c r="D1524" s="2018"/>
      <c r="E1524" s="2018"/>
      <c r="F1524" s="2018"/>
      <c r="G1524" s="2018"/>
      <c r="H1524" s="2018"/>
      <c r="I1524" s="2018"/>
      <c r="J1524" s="2018"/>
      <c r="K1524" s="2018"/>
      <c r="L1524" s="2018"/>
      <c r="M1524" s="2018"/>
      <c r="N1524" s="2018"/>
      <c r="O1524" s="2018"/>
      <c r="P1524" s="2018"/>
      <c r="Q1524" s="2018"/>
      <c r="R1524" s="2018"/>
      <c r="S1524" s="2018"/>
      <c r="T1524" s="2018"/>
      <c r="U1524" s="2018"/>
      <c r="V1524" s="2018"/>
      <c r="W1524" s="2018"/>
      <c r="X1524" s="2018"/>
      <c r="Y1524" s="2018"/>
      <c r="Z1524" s="2105"/>
      <c r="AA1524" s="2105"/>
      <c r="AB1524" s="1050"/>
      <c r="AC1524" s="1050"/>
      <c r="AD1524" s="1050"/>
      <c r="AE1524" s="1050"/>
      <c r="AF1524" s="1052"/>
    </row>
    <row r="1525" spans="1:32" ht="15.75" x14ac:dyDescent="0.25">
      <c r="A1525" s="2017"/>
      <c r="B1525" s="2018"/>
      <c r="C1525" s="2018"/>
      <c r="D1525" s="2018"/>
      <c r="E1525" s="2018"/>
      <c r="F1525" s="2018"/>
      <c r="G1525" s="2018"/>
      <c r="H1525" s="2018"/>
      <c r="I1525" s="2018"/>
      <c r="J1525" s="2018"/>
      <c r="K1525" s="2018"/>
      <c r="L1525" s="2018"/>
      <c r="M1525" s="2018"/>
      <c r="N1525" s="2018"/>
      <c r="O1525" s="2018"/>
      <c r="P1525" s="2018"/>
      <c r="Q1525" s="2018"/>
      <c r="R1525" s="2018"/>
      <c r="S1525" s="2018"/>
      <c r="T1525" s="2018"/>
      <c r="U1525" s="2018"/>
      <c r="V1525" s="2018"/>
      <c r="W1525" s="2018"/>
      <c r="X1525" s="2018"/>
      <c r="Y1525" s="2018"/>
      <c r="Z1525" s="2105"/>
      <c r="AA1525" s="2105"/>
      <c r="AB1525" s="1050"/>
      <c r="AC1525" s="1050"/>
      <c r="AD1525" s="1050"/>
      <c r="AE1525" s="1050"/>
      <c r="AF1525" s="1052"/>
    </row>
    <row r="1526" spans="1:32" ht="15.75" x14ac:dyDescent="0.25">
      <c r="A1526" s="2017"/>
      <c r="B1526" s="2018"/>
      <c r="C1526" s="2018"/>
      <c r="D1526" s="2018"/>
      <c r="E1526" s="2018"/>
      <c r="F1526" s="2018"/>
      <c r="G1526" s="2018"/>
      <c r="H1526" s="2018"/>
      <c r="I1526" s="2018"/>
      <c r="J1526" s="2018"/>
      <c r="K1526" s="2018"/>
      <c r="L1526" s="2018"/>
      <c r="M1526" s="2018"/>
      <c r="N1526" s="2018"/>
      <c r="O1526" s="2018"/>
      <c r="P1526" s="2018"/>
      <c r="Q1526" s="2018"/>
      <c r="R1526" s="2018"/>
      <c r="S1526" s="2018"/>
      <c r="T1526" s="2018"/>
      <c r="U1526" s="2018"/>
      <c r="V1526" s="2018"/>
      <c r="W1526" s="2018"/>
      <c r="X1526" s="2018"/>
      <c r="Y1526" s="2018"/>
      <c r="Z1526" s="2105"/>
      <c r="AA1526" s="2105"/>
      <c r="AB1526" s="1050"/>
      <c r="AC1526" s="1050"/>
      <c r="AD1526" s="1050"/>
      <c r="AE1526" s="1050"/>
      <c r="AF1526" s="1052"/>
    </row>
    <row r="1527" spans="1:32" ht="15.75" x14ac:dyDescent="0.25">
      <c r="A1527" s="2017"/>
      <c r="B1527" s="2018"/>
      <c r="C1527" s="2018"/>
      <c r="D1527" s="2018"/>
      <c r="E1527" s="2018"/>
      <c r="F1527" s="2018"/>
      <c r="G1527" s="2018"/>
      <c r="H1527" s="2018"/>
      <c r="I1527" s="2018"/>
      <c r="J1527" s="2018"/>
      <c r="K1527" s="2018"/>
      <c r="L1527" s="2018"/>
      <c r="M1527" s="2018"/>
      <c r="N1527" s="2018"/>
      <c r="O1527" s="2018"/>
      <c r="P1527" s="2018"/>
      <c r="Q1527" s="2018"/>
      <c r="R1527" s="2018"/>
      <c r="S1527" s="2018"/>
      <c r="T1527" s="2018"/>
      <c r="U1527" s="2018"/>
      <c r="V1527" s="2018"/>
      <c r="W1527" s="2018"/>
      <c r="X1527" s="2018"/>
      <c r="Y1527" s="2018"/>
      <c r="Z1527" s="2105"/>
      <c r="AA1527" s="2105"/>
      <c r="AB1527" s="1050"/>
      <c r="AC1527" s="1050"/>
      <c r="AD1527" s="1050"/>
      <c r="AE1527" s="1050"/>
      <c r="AF1527" s="1052"/>
    </row>
    <row r="1528" spans="1:32" ht="15.75" x14ac:dyDescent="0.25">
      <c r="A1528" s="2017"/>
      <c r="B1528" s="2018"/>
      <c r="C1528" s="2018"/>
      <c r="D1528" s="2018"/>
      <c r="E1528" s="2018"/>
      <c r="F1528" s="2018"/>
      <c r="G1528" s="2018"/>
      <c r="H1528" s="2018"/>
      <c r="I1528" s="2018"/>
      <c r="J1528" s="2018"/>
      <c r="K1528" s="2018"/>
      <c r="L1528" s="2018"/>
      <c r="M1528" s="2018"/>
      <c r="N1528" s="2018"/>
      <c r="O1528" s="2018"/>
      <c r="P1528" s="2018"/>
      <c r="Q1528" s="2018"/>
      <c r="R1528" s="2018"/>
      <c r="S1528" s="2018"/>
      <c r="T1528" s="2018"/>
      <c r="U1528" s="2018"/>
      <c r="V1528" s="2018"/>
      <c r="W1528" s="2018"/>
      <c r="X1528" s="2018"/>
      <c r="Y1528" s="2018"/>
      <c r="Z1528" s="2105"/>
      <c r="AA1528" s="2105"/>
      <c r="AB1528" s="1050"/>
      <c r="AC1528" s="1050"/>
      <c r="AD1528" s="1050"/>
      <c r="AE1528" s="1050"/>
      <c r="AF1528" s="1052"/>
    </row>
    <row r="1529" spans="1:32" ht="15.75" x14ac:dyDescent="0.25">
      <c r="A1529" s="2017"/>
      <c r="B1529" s="2018"/>
      <c r="C1529" s="2018"/>
      <c r="D1529" s="2018"/>
      <c r="E1529" s="2018"/>
      <c r="F1529" s="2018"/>
      <c r="G1529" s="2018"/>
      <c r="H1529" s="2018"/>
      <c r="I1529" s="2018"/>
      <c r="J1529" s="2018"/>
      <c r="K1529" s="2018"/>
      <c r="L1529" s="2018"/>
      <c r="M1529" s="2018"/>
      <c r="N1529" s="2018"/>
      <c r="O1529" s="2018"/>
      <c r="P1529" s="2018"/>
      <c r="Q1529" s="2018"/>
      <c r="R1529" s="2018"/>
      <c r="S1529" s="2018"/>
      <c r="T1529" s="2018"/>
      <c r="U1529" s="2018"/>
      <c r="V1529" s="2018"/>
      <c r="W1529" s="2018"/>
      <c r="X1529" s="2018"/>
      <c r="Y1529" s="2018"/>
      <c r="Z1529" s="2105"/>
      <c r="AA1529" s="2105"/>
      <c r="AB1529" s="1050"/>
      <c r="AC1529" s="1050"/>
      <c r="AD1529" s="1050"/>
      <c r="AE1529" s="1050"/>
      <c r="AF1529" s="1052"/>
    </row>
    <row r="1530" spans="1:32" ht="15.75" x14ac:dyDescent="0.25">
      <c r="A1530" s="2017"/>
      <c r="B1530" s="2018"/>
      <c r="C1530" s="2018"/>
      <c r="D1530" s="2018"/>
      <c r="E1530" s="2018"/>
      <c r="F1530" s="2018"/>
      <c r="G1530" s="2018"/>
      <c r="H1530" s="2018"/>
      <c r="I1530" s="2018"/>
      <c r="J1530" s="2018"/>
      <c r="K1530" s="2018"/>
      <c r="L1530" s="2018"/>
      <c r="M1530" s="2018"/>
      <c r="N1530" s="2018"/>
      <c r="O1530" s="2018"/>
      <c r="P1530" s="2018"/>
      <c r="Q1530" s="2018"/>
      <c r="R1530" s="2018"/>
      <c r="S1530" s="2018"/>
      <c r="T1530" s="2018"/>
      <c r="U1530" s="2018"/>
      <c r="V1530" s="2018"/>
      <c r="W1530" s="2018"/>
      <c r="X1530" s="2018"/>
      <c r="Y1530" s="2018"/>
      <c r="Z1530" s="2105"/>
      <c r="AA1530" s="2105"/>
      <c r="AB1530" s="1050"/>
      <c r="AC1530" s="1050"/>
      <c r="AD1530" s="1050"/>
      <c r="AE1530" s="1050"/>
      <c r="AF1530" s="1052"/>
    </row>
    <row r="1531" spans="1:32" ht="15.75" x14ac:dyDescent="0.25">
      <c r="A1531" s="2017"/>
      <c r="B1531" s="2018"/>
      <c r="C1531" s="2018"/>
      <c r="D1531" s="2018"/>
      <c r="E1531" s="2018"/>
      <c r="F1531" s="2018"/>
      <c r="G1531" s="2018"/>
      <c r="H1531" s="2018"/>
      <c r="I1531" s="2018"/>
      <c r="J1531" s="2018"/>
      <c r="K1531" s="2018"/>
      <c r="L1531" s="2018"/>
      <c r="M1531" s="2018"/>
      <c r="N1531" s="2018"/>
      <c r="O1531" s="2018"/>
      <c r="P1531" s="2018"/>
      <c r="Q1531" s="2018"/>
      <c r="R1531" s="2018"/>
      <c r="S1531" s="2018"/>
      <c r="T1531" s="2018"/>
      <c r="U1531" s="2018"/>
      <c r="V1531" s="2018"/>
      <c r="W1531" s="2018"/>
      <c r="X1531" s="2018"/>
      <c r="Y1531" s="2018"/>
      <c r="Z1531" s="2105"/>
      <c r="AA1531" s="2105"/>
      <c r="AB1531" s="1050"/>
      <c r="AC1531" s="1050"/>
      <c r="AD1531" s="1050"/>
      <c r="AE1531" s="1050"/>
      <c r="AF1531" s="1052"/>
    </row>
    <row r="1532" spans="1:32" ht="15.75" x14ac:dyDescent="0.25">
      <c r="A1532" s="2017"/>
      <c r="B1532" s="2018"/>
      <c r="C1532" s="2018"/>
      <c r="D1532" s="2018"/>
      <c r="E1532" s="2018"/>
      <c r="F1532" s="2018"/>
      <c r="G1532" s="2018"/>
      <c r="H1532" s="2018"/>
      <c r="I1532" s="2018"/>
      <c r="J1532" s="2018"/>
      <c r="K1532" s="2018"/>
      <c r="L1532" s="2018"/>
      <c r="M1532" s="2018"/>
      <c r="N1532" s="2018"/>
      <c r="O1532" s="2018"/>
      <c r="P1532" s="2018"/>
      <c r="Q1532" s="2018"/>
      <c r="R1532" s="2018"/>
      <c r="S1532" s="2018"/>
      <c r="T1532" s="2018"/>
      <c r="U1532" s="2018"/>
      <c r="V1532" s="2018"/>
      <c r="W1532" s="2018"/>
      <c r="X1532" s="2018"/>
      <c r="Y1532" s="2018"/>
      <c r="Z1532" s="2105"/>
      <c r="AA1532" s="2105"/>
      <c r="AB1532" s="1050"/>
      <c r="AC1532" s="1050"/>
      <c r="AD1532" s="1050"/>
      <c r="AE1532" s="1050"/>
      <c r="AF1532" s="1052"/>
    </row>
    <row r="1533" spans="1:32" ht="15.75" x14ac:dyDescent="0.25">
      <c r="A1533" s="2017"/>
      <c r="B1533" s="2018"/>
      <c r="C1533" s="2018"/>
      <c r="D1533" s="2018"/>
      <c r="E1533" s="2018"/>
      <c r="F1533" s="2018"/>
      <c r="G1533" s="2018"/>
      <c r="H1533" s="2018"/>
      <c r="I1533" s="2018"/>
      <c r="J1533" s="2018"/>
      <c r="K1533" s="2018"/>
      <c r="L1533" s="2018"/>
      <c r="M1533" s="2018"/>
      <c r="N1533" s="2018"/>
      <c r="O1533" s="2018"/>
      <c r="P1533" s="2018"/>
      <c r="Q1533" s="2018"/>
      <c r="R1533" s="2018"/>
      <c r="S1533" s="2018"/>
      <c r="T1533" s="2018"/>
      <c r="U1533" s="2018"/>
      <c r="V1533" s="2018"/>
      <c r="W1533" s="2018"/>
      <c r="X1533" s="2018"/>
      <c r="Y1533" s="2018"/>
      <c r="Z1533" s="2105"/>
      <c r="AA1533" s="2105"/>
      <c r="AB1533" s="1050"/>
      <c r="AC1533" s="1050"/>
      <c r="AD1533" s="1050"/>
      <c r="AE1533" s="1050"/>
      <c r="AF1533" s="1052"/>
    </row>
    <row r="1534" spans="1:32" ht="15.75" x14ac:dyDescent="0.25">
      <c r="A1534" s="2017"/>
      <c r="B1534" s="2018"/>
      <c r="C1534" s="2018"/>
      <c r="D1534" s="2018"/>
      <c r="E1534" s="2018"/>
      <c r="F1534" s="2018"/>
      <c r="G1534" s="2018"/>
      <c r="H1534" s="2018"/>
      <c r="I1534" s="2018"/>
      <c r="J1534" s="2018"/>
      <c r="K1534" s="2018"/>
      <c r="L1534" s="2018"/>
      <c r="M1534" s="2018"/>
      <c r="N1534" s="2018"/>
      <c r="O1534" s="2018"/>
      <c r="P1534" s="2018"/>
      <c r="Q1534" s="2018"/>
      <c r="R1534" s="2018"/>
      <c r="S1534" s="2018"/>
      <c r="T1534" s="2018"/>
      <c r="U1534" s="2018"/>
      <c r="V1534" s="2018"/>
      <c r="W1534" s="2018"/>
      <c r="X1534" s="2018"/>
      <c r="Y1534" s="2018"/>
      <c r="Z1534" s="2105"/>
      <c r="AA1534" s="2105"/>
      <c r="AB1534" s="1050"/>
      <c r="AC1534" s="1050"/>
      <c r="AD1534" s="1050"/>
      <c r="AE1534" s="1050"/>
      <c r="AF1534" s="1052"/>
    </row>
    <row r="1535" spans="1:32" ht="15.75" x14ac:dyDescent="0.25">
      <c r="A1535" s="2017"/>
      <c r="B1535" s="2018"/>
      <c r="C1535" s="2018"/>
      <c r="D1535" s="2018"/>
      <c r="E1535" s="2018"/>
      <c r="F1535" s="2018"/>
      <c r="G1535" s="2018"/>
      <c r="H1535" s="2018"/>
      <c r="I1535" s="2018"/>
      <c r="J1535" s="2018"/>
      <c r="K1535" s="2018"/>
      <c r="L1535" s="2018"/>
      <c r="M1535" s="2018"/>
      <c r="N1535" s="2018"/>
      <c r="O1535" s="2018"/>
      <c r="P1535" s="2018"/>
      <c r="Q1535" s="2018"/>
      <c r="R1535" s="2018"/>
      <c r="S1535" s="2018"/>
      <c r="T1535" s="2018"/>
      <c r="U1535" s="2018"/>
      <c r="V1535" s="2018"/>
      <c r="W1535" s="2018"/>
      <c r="X1535" s="2018"/>
      <c r="Y1535" s="2018"/>
      <c r="Z1535" s="2105"/>
      <c r="AA1535" s="2105"/>
      <c r="AB1535" s="1050"/>
      <c r="AC1535" s="1050"/>
      <c r="AD1535" s="1050"/>
      <c r="AE1535" s="1050"/>
      <c r="AF1535" s="1052"/>
    </row>
    <row r="1536" spans="1:32" ht="15.75" x14ac:dyDescent="0.25">
      <c r="A1536" s="2017"/>
      <c r="B1536" s="2018"/>
      <c r="C1536" s="2018"/>
      <c r="D1536" s="2018"/>
      <c r="E1536" s="2018"/>
      <c r="F1536" s="2018"/>
      <c r="G1536" s="2018"/>
      <c r="H1536" s="2018"/>
      <c r="I1536" s="2018"/>
      <c r="J1536" s="2018"/>
      <c r="K1536" s="2018"/>
      <c r="L1536" s="2018"/>
      <c r="M1536" s="2018"/>
      <c r="N1536" s="2018"/>
      <c r="O1536" s="2018"/>
      <c r="P1536" s="2018"/>
      <c r="Q1536" s="2018"/>
      <c r="R1536" s="2018"/>
      <c r="S1536" s="2018"/>
      <c r="T1536" s="2018"/>
      <c r="U1536" s="2018"/>
      <c r="V1536" s="2018"/>
      <c r="W1536" s="2018"/>
      <c r="X1536" s="2018"/>
      <c r="Y1536" s="2018"/>
      <c r="Z1536" s="2105"/>
      <c r="AA1536" s="2105"/>
      <c r="AB1536" s="1050"/>
      <c r="AC1536" s="1050"/>
      <c r="AD1536" s="1050"/>
      <c r="AE1536" s="1050"/>
      <c r="AF1536" s="1052"/>
    </row>
    <row r="1537" spans="1:32" ht="15.75" x14ac:dyDescent="0.25">
      <c r="A1537" s="2017"/>
      <c r="B1537" s="2018"/>
      <c r="C1537" s="2018"/>
      <c r="D1537" s="2018"/>
      <c r="E1537" s="2018"/>
      <c r="F1537" s="2018"/>
      <c r="G1537" s="2018"/>
      <c r="H1537" s="2018"/>
      <c r="I1537" s="2018"/>
      <c r="J1537" s="2018"/>
      <c r="K1537" s="2018"/>
      <c r="L1537" s="2018"/>
      <c r="M1537" s="2018"/>
      <c r="N1537" s="2018"/>
      <c r="O1537" s="2018"/>
      <c r="P1537" s="2018"/>
      <c r="Q1537" s="2018"/>
      <c r="R1537" s="2018"/>
      <c r="S1537" s="2018"/>
      <c r="T1537" s="2018"/>
      <c r="U1537" s="2018"/>
      <c r="V1537" s="2018"/>
      <c r="W1537" s="2018"/>
      <c r="X1537" s="2018"/>
      <c r="Y1537" s="2018"/>
      <c r="Z1537" s="2105"/>
      <c r="AA1537" s="2105"/>
      <c r="AB1537" s="1050"/>
      <c r="AC1537" s="1050"/>
      <c r="AD1537" s="1050"/>
      <c r="AE1537" s="1050"/>
      <c r="AF1537" s="1052"/>
    </row>
    <row r="1538" spans="1:32" ht="15.75" x14ac:dyDescent="0.25">
      <c r="A1538" s="2017"/>
      <c r="B1538" s="2018"/>
      <c r="C1538" s="2018"/>
      <c r="D1538" s="2018"/>
      <c r="E1538" s="2018"/>
      <c r="F1538" s="2018"/>
      <c r="G1538" s="2018"/>
      <c r="H1538" s="2018"/>
      <c r="I1538" s="2018"/>
      <c r="J1538" s="2018"/>
      <c r="K1538" s="2018"/>
      <c r="L1538" s="2018"/>
      <c r="M1538" s="2018"/>
      <c r="N1538" s="2018"/>
      <c r="O1538" s="2018"/>
      <c r="P1538" s="2018"/>
      <c r="Q1538" s="2018"/>
      <c r="R1538" s="2018"/>
      <c r="S1538" s="2018"/>
      <c r="T1538" s="2018"/>
      <c r="U1538" s="2018"/>
      <c r="V1538" s="2018"/>
      <c r="W1538" s="2018"/>
      <c r="X1538" s="2018"/>
      <c r="Y1538" s="2018"/>
      <c r="Z1538" s="2105"/>
      <c r="AA1538" s="2105"/>
      <c r="AB1538" s="1050"/>
      <c r="AC1538" s="1050"/>
      <c r="AD1538" s="1050"/>
      <c r="AE1538" s="1050"/>
      <c r="AF1538" s="1052"/>
    </row>
    <row r="1539" spans="1:32" ht="15.75" x14ac:dyDescent="0.25">
      <c r="A1539" s="2017"/>
      <c r="B1539" s="2018"/>
      <c r="C1539" s="2018"/>
      <c r="D1539" s="2018"/>
      <c r="E1539" s="2018"/>
      <c r="F1539" s="2018"/>
      <c r="G1539" s="2018"/>
      <c r="H1539" s="2018"/>
      <c r="I1539" s="2018"/>
      <c r="J1539" s="2018"/>
      <c r="K1539" s="2018"/>
      <c r="L1539" s="2018"/>
      <c r="M1539" s="2018"/>
      <c r="N1539" s="2018"/>
      <c r="O1539" s="2018"/>
      <c r="P1539" s="2018"/>
      <c r="Q1539" s="2018"/>
      <c r="R1539" s="2018"/>
      <c r="S1539" s="2018"/>
      <c r="T1539" s="2018"/>
      <c r="U1539" s="2018"/>
      <c r="V1539" s="2018"/>
      <c r="W1539" s="2018"/>
      <c r="X1539" s="2018"/>
      <c r="Y1539" s="2018"/>
      <c r="Z1539" s="2105"/>
      <c r="AA1539" s="2105"/>
      <c r="AB1539" s="1050"/>
      <c r="AC1539" s="1050"/>
      <c r="AD1539" s="1050"/>
      <c r="AE1539" s="1050"/>
      <c r="AF1539" s="1052"/>
    </row>
    <row r="1540" spans="1:32" ht="15.75" x14ac:dyDescent="0.25">
      <c r="A1540" s="2017"/>
      <c r="B1540" s="2018"/>
      <c r="C1540" s="2018"/>
      <c r="D1540" s="2018"/>
      <c r="E1540" s="2018"/>
      <c r="F1540" s="2018"/>
      <c r="G1540" s="2018"/>
      <c r="H1540" s="2018"/>
      <c r="I1540" s="2018"/>
      <c r="J1540" s="2018"/>
      <c r="K1540" s="2018"/>
      <c r="L1540" s="2018"/>
      <c r="M1540" s="2018"/>
      <c r="N1540" s="2018"/>
      <c r="O1540" s="2018"/>
      <c r="P1540" s="2018"/>
      <c r="Q1540" s="2018"/>
      <c r="R1540" s="2018"/>
      <c r="S1540" s="2018"/>
      <c r="T1540" s="2018"/>
      <c r="U1540" s="2018"/>
      <c r="V1540" s="2018"/>
      <c r="W1540" s="2018"/>
      <c r="X1540" s="2018"/>
      <c r="Y1540" s="2018"/>
      <c r="Z1540" s="2105"/>
      <c r="AA1540" s="2105"/>
      <c r="AB1540" s="1050"/>
      <c r="AC1540" s="1050"/>
      <c r="AD1540" s="1050"/>
      <c r="AE1540" s="1050"/>
      <c r="AF1540" s="1052"/>
    </row>
    <row r="1541" spans="1:32" ht="15.75" x14ac:dyDescent="0.25">
      <c r="A1541" s="2017"/>
      <c r="B1541" s="2018"/>
      <c r="C1541" s="2018"/>
      <c r="D1541" s="2018"/>
      <c r="E1541" s="2018"/>
      <c r="F1541" s="2018"/>
      <c r="G1541" s="2018"/>
      <c r="H1541" s="2018"/>
      <c r="I1541" s="2018"/>
      <c r="J1541" s="2018"/>
      <c r="K1541" s="2018"/>
      <c r="L1541" s="2018"/>
      <c r="M1541" s="2018"/>
      <c r="N1541" s="2018"/>
      <c r="O1541" s="2018"/>
      <c r="P1541" s="2018"/>
      <c r="Q1541" s="2018"/>
      <c r="R1541" s="2018"/>
      <c r="S1541" s="2018"/>
      <c r="T1541" s="2018"/>
      <c r="U1541" s="2018"/>
      <c r="V1541" s="2018"/>
      <c r="W1541" s="2018"/>
      <c r="X1541" s="2018"/>
      <c r="Y1541" s="2018"/>
      <c r="Z1541" s="2105"/>
      <c r="AA1541" s="2105"/>
      <c r="AB1541" s="1050"/>
      <c r="AC1541" s="1050"/>
      <c r="AD1541" s="1050"/>
      <c r="AE1541" s="1050"/>
      <c r="AF1541" s="1052"/>
    </row>
    <row r="1542" spans="1:32" ht="15.75" x14ac:dyDescent="0.25">
      <c r="A1542" s="2017"/>
      <c r="B1542" s="2018"/>
      <c r="C1542" s="2018"/>
      <c r="D1542" s="2018"/>
      <c r="E1542" s="2018"/>
      <c r="F1542" s="2018"/>
      <c r="G1542" s="2018"/>
      <c r="H1542" s="2018"/>
      <c r="I1542" s="2018"/>
      <c r="J1542" s="2018"/>
      <c r="K1542" s="2018"/>
      <c r="L1542" s="2018"/>
      <c r="M1542" s="2018"/>
      <c r="N1542" s="2018"/>
      <c r="O1542" s="2018"/>
      <c r="P1542" s="2018"/>
      <c r="Q1542" s="2018"/>
      <c r="R1542" s="2018"/>
      <c r="S1542" s="2018"/>
      <c r="T1542" s="2018"/>
      <c r="U1542" s="2018"/>
      <c r="V1542" s="2018"/>
      <c r="W1542" s="2018"/>
      <c r="X1542" s="2018"/>
      <c r="Y1542" s="2018"/>
      <c r="Z1542" s="2105"/>
      <c r="AA1542" s="2105"/>
      <c r="AB1542" s="1050"/>
      <c r="AC1542" s="1050"/>
      <c r="AD1542" s="1050"/>
      <c r="AE1542" s="1050"/>
      <c r="AF1542" s="1052"/>
    </row>
    <row r="1543" spans="1:32" ht="15.75" x14ac:dyDescent="0.25">
      <c r="A1543" s="2017"/>
      <c r="B1543" s="2018"/>
      <c r="C1543" s="2018"/>
      <c r="D1543" s="2018"/>
      <c r="E1543" s="2018"/>
      <c r="F1543" s="2018"/>
      <c r="G1543" s="2018"/>
      <c r="H1543" s="2018"/>
      <c r="I1543" s="2018"/>
      <c r="J1543" s="2018"/>
      <c r="K1543" s="2018"/>
      <c r="L1543" s="2018"/>
      <c r="M1543" s="2018"/>
      <c r="N1543" s="2018"/>
      <c r="O1543" s="2018"/>
      <c r="P1543" s="2018"/>
      <c r="Q1543" s="2018"/>
      <c r="R1543" s="2018"/>
      <c r="S1543" s="2018"/>
      <c r="T1543" s="2018"/>
      <c r="U1543" s="2018"/>
      <c r="V1543" s="2018"/>
      <c r="W1543" s="2018"/>
      <c r="X1543" s="2018"/>
      <c r="Y1543" s="2018"/>
      <c r="Z1543" s="2105"/>
      <c r="AA1543" s="2105"/>
      <c r="AB1543" s="1050"/>
      <c r="AC1543" s="1050"/>
      <c r="AD1543" s="1050"/>
      <c r="AE1543" s="1050"/>
      <c r="AF1543" s="1052"/>
    </row>
    <row r="1544" spans="1:32" ht="15.75" x14ac:dyDescent="0.25">
      <c r="A1544" s="2017"/>
      <c r="B1544" s="2018"/>
      <c r="C1544" s="2018"/>
      <c r="D1544" s="2018"/>
      <c r="E1544" s="2018"/>
      <c r="F1544" s="2018"/>
      <c r="G1544" s="2018"/>
      <c r="H1544" s="2018"/>
      <c r="I1544" s="2018"/>
      <c r="J1544" s="2018"/>
      <c r="K1544" s="2018"/>
      <c r="L1544" s="2018"/>
      <c r="M1544" s="2018"/>
      <c r="N1544" s="2018"/>
      <c r="O1544" s="2018"/>
      <c r="P1544" s="2018"/>
      <c r="Q1544" s="2018"/>
      <c r="R1544" s="2018"/>
      <c r="S1544" s="2018"/>
      <c r="T1544" s="2018"/>
      <c r="U1544" s="2018"/>
      <c r="V1544" s="2018"/>
      <c r="W1544" s="2018"/>
      <c r="X1544" s="2018"/>
      <c r="Y1544" s="2018"/>
      <c r="Z1544" s="2105"/>
      <c r="AA1544" s="2105"/>
      <c r="AB1544" s="1050"/>
      <c r="AC1544" s="1050"/>
      <c r="AD1544" s="1050"/>
      <c r="AE1544" s="1050"/>
      <c r="AF1544" s="1052"/>
    </row>
    <row r="1545" spans="1:32" ht="15.75" x14ac:dyDescent="0.25">
      <c r="A1545" s="2017"/>
      <c r="B1545" s="2018"/>
      <c r="C1545" s="2018"/>
      <c r="D1545" s="2018"/>
      <c r="E1545" s="2018"/>
      <c r="F1545" s="2018"/>
      <c r="G1545" s="2018"/>
      <c r="H1545" s="2018"/>
      <c r="I1545" s="2018"/>
      <c r="J1545" s="2018"/>
      <c r="K1545" s="2018"/>
      <c r="L1545" s="2018"/>
      <c r="M1545" s="2018"/>
      <c r="N1545" s="2018"/>
      <c r="O1545" s="2018"/>
      <c r="P1545" s="2018"/>
      <c r="Q1545" s="2018"/>
      <c r="R1545" s="2018"/>
      <c r="S1545" s="2018"/>
      <c r="T1545" s="2018"/>
      <c r="U1545" s="2018"/>
      <c r="V1545" s="2018"/>
      <c r="W1545" s="2018"/>
      <c r="X1545" s="2018"/>
      <c r="Y1545" s="2018"/>
      <c r="Z1545" s="2105"/>
      <c r="AA1545" s="2105"/>
      <c r="AB1545" s="1050"/>
      <c r="AC1545" s="1050"/>
      <c r="AD1545" s="1050"/>
      <c r="AE1545" s="1050"/>
      <c r="AF1545" s="1052"/>
    </row>
    <row r="1546" spans="1:32" ht="15.75" x14ac:dyDescent="0.25">
      <c r="A1546" s="2017"/>
      <c r="B1546" s="2018"/>
      <c r="C1546" s="2018"/>
      <c r="D1546" s="2018"/>
      <c r="E1546" s="2018"/>
      <c r="F1546" s="2018"/>
      <c r="G1546" s="2018"/>
      <c r="H1546" s="2018"/>
      <c r="I1546" s="2018"/>
      <c r="J1546" s="2018"/>
      <c r="K1546" s="2018"/>
      <c r="L1546" s="2018"/>
      <c r="M1546" s="2018"/>
      <c r="N1546" s="2018"/>
      <c r="O1546" s="2018"/>
      <c r="P1546" s="2018"/>
      <c r="Q1546" s="2018"/>
      <c r="R1546" s="2018"/>
      <c r="S1546" s="2018"/>
      <c r="T1546" s="2018"/>
      <c r="U1546" s="2018"/>
      <c r="V1546" s="2018"/>
      <c r="W1546" s="2018"/>
      <c r="X1546" s="2018"/>
      <c r="Y1546" s="2018"/>
      <c r="Z1546" s="2105"/>
      <c r="AA1546" s="2105"/>
      <c r="AB1546" s="1050"/>
      <c r="AC1546" s="1050"/>
      <c r="AD1546" s="1050"/>
      <c r="AE1546" s="1050"/>
      <c r="AF1546" s="1052"/>
    </row>
    <row r="1547" spans="1:32" ht="15.75" x14ac:dyDescent="0.25">
      <c r="A1547" s="2017"/>
      <c r="B1547" s="2018"/>
      <c r="C1547" s="2018"/>
      <c r="D1547" s="2018"/>
      <c r="E1547" s="2018"/>
      <c r="F1547" s="2018"/>
      <c r="G1547" s="2018"/>
      <c r="H1547" s="2018"/>
      <c r="I1547" s="2018"/>
      <c r="J1547" s="2018"/>
      <c r="K1547" s="2018"/>
      <c r="L1547" s="2018"/>
      <c r="M1547" s="2018"/>
      <c r="N1547" s="2018"/>
      <c r="O1547" s="2018"/>
      <c r="P1547" s="2018"/>
      <c r="Q1547" s="2018"/>
      <c r="R1547" s="2018"/>
      <c r="S1547" s="2018"/>
      <c r="T1547" s="2018"/>
      <c r="U1547" s="2018"/>
      <c r="V1547" s="2018"/>
      <c r="W1547" s="2018"/>
      <c r="X1547" s="2018"/>
      <c r="Y1547" s="2018"/>
      <c r="Z1547" s="2105"/>
      <c r="AA1547" s="2105"/>
      <c r="AB1547" s="1050"/>
      <c r="AC1547" s="1050"/>
      <c r="AD1547" s="1050"/>
      <c r="AE1547" s="1050"/>
      <c r="AF1547" s="1052"/>
    </row>
    <row r="1548" spans="1:32" ht="15.75" x14ac:dyDescent="0.25">
      <c r="A1548" s="2017"/>
      <c r="B1548" s="2018"/>
      <c r="C1548" s="2018"/>
      <c r="D1548" s="2018"/>
      <c r="E1548" s="2018"/>
      <c r="F1548" s="2018"/>
      <c r="G1548" s="2018"/>
      <c r="H1548" s="2018"/>
      <c r="I1548" s="2018"/>
      <c r="J1548" s="2018"/>
      <c r="K1548" s="2018"/>
      <c r="L1548" s="2018"/>
      <c r="M1548" s="2018"/>
      <c r="N1548" s="2018"/>
      <c r="O1548" s="2018"/>
      <c r="P1548" s="2018"/>
      <c r="Q1548" s="2018"/>
      <c r="R1548" s="2018"/>
      <c r="S1548" s="2018"/>
      <c r="T1548" s="2018"/>
      <c r="U1548" s="2018"/>
      <c r="V1548" s="2018"/>
      <c r="W1548" s="2018"/>
      <c r="X1548" s="2018"/>
      <c r="Y1548" s="2018"/>
      <c r="Z1548" s="2105"/>
      <c r="AA1548" s="2105"/>
      <c r="AB1548" s="1050"/>
      <c r="AC1548" s="1050"/>
      <c r="AD1548" s="1050"/>
      <c r="AE1548" s="1050"/>
      <c r="AF1548" s="1052"/>
    </row>
    <row r="1549" spans="1:32" ht="15.75" x14ac:dyDescent="0.25">
      <c r="A1549" s="2017"/>
      <c r="B1549" s="2018"/>
      <c r="C1549" s="2018"/>
      <c r="D1549" s="2018"/>
      <c r="E1549" s="2018"/>
      <c r="F1549" s="2018"/>
      <c r="G1549" s="2018"/>
      <c r="H1549" s="2018"/>
      <c r="I1549" s="2018"/>
      <c r="J1549" s="2018"/>
      <c r="K1549" s="2018"/>
      <c r="L1549" s="2018"/>
      <c r="M1549" s="2018"/>
      <c r="N1549" s="2018"/>
      <c r="O1549" s="2018"/>
      <c r="P1549" s="2018"/>
      <c r="Q1549" s="2018"/>
      <c r="R1549" s="2018"/>
      <c r="S1549" s="2018"/>
      <c r="T1549" s="2018"/>
      <c r="U1549" s="2018"/>
      <c r="V1549" s="2018"/>
      <c r="W1549" s="2018"/>
      <c r="X1549" s="2018"/>
      <c r="Y1549" s="2018"/>
      <c r="Z1549" s="2105"/>
      <c r="AA1549" s="2105"/>
      <c r="AB1549" s="1050"/>
      <c r="AC1549" s="1050"/>
      <c r="AD1549" s="1050"/>
      <c r="AE1549" s="1050"/>
      <c r="AF1549" s="1052"/>
    </row>
    <row r="1550" spans="1:32" ht="15.75" x14ac:dyDescent="0.25">
      <c r="A1550" s="2017"/>
      <c r="B1550" s="2018"/>
      <c r="C1550" s="2018"/>
      <c r="D1550" s="2018"/>
      <c r="E1550" s="2018"/>
      <c r="F1550" s="2018"/>
      <c r="G1550" s="2018"/>
      <c r="H1550" s="2018"/>
      <c r="I1550" s="2018"/>
      <c r="J1550" s="2018"/>
      <c r="K1550" s="2018"/>
      <c r="L1550" s="2018"/>
      <c r="M1550" s="2018"/>
      <c r="N1550" s="2018"/>
      <c r="O1550" s="2018"/>
      <c r="P1550" s="2018"/>
      <c r="Q1550" s="2018"/>
      <c r="R1550" s="2018"/>
      <c r="S1550" s="2018"/>
      <c r="T1550" s="2018"/>
      <c r="U1550" s="2018"/>
      <c r="V1550" s="2018"/>
      <c r="W1550" s="2018"/>
      <c r="X1550" s="2018"/>
      <c r="Y1550" s="2018"/>
      <c r="Z1550" s="2105"/>
      <c r="AA1550" s="2105"/>
      <c r="AB1550" s="1050"/>
      <c r="AC1550" s="1050"/>
      <c r="AD1550" s="1050"/>
      <c r="AE1550" s="1050"/>
      <c r="AF1550" s="1052"/>
    </row>
    <row r="1551" spans="1:32" ht="15.75" x14ac:dyDescent="0.25">
      <c r="A1551" s="2017"/>
      <c r="B1551" s="2018"/>
      <c r="C1551" s="2018"/>
      <c r="D1551" s="2018"/>
      <c r="E1551" s="2018"/>
      <c r="F1551" s="2018"/>
      <c r="G1551" s="2018"/>
      <c r="H1551" s="2018"/>
      <c r="I1551" s="2018"/>
      <c r="J1551" s="2018"/>
      <c r="K1551" s="2018"/>
      <c r="L1551" s="2018"/>
      <c r="M1551" s="2018"/>
      <c r="N1551" s="2018"/>
      <c r="O1551" s="2018"/>
      <c r="P1551" s="2018"/>
      <c r="Q1551" s="2018"/>
      <c r="R1551" s="2018"/>
      <c r="S1551" s="2018"/>
      <c r="T1551" s="2018"/>
      <c r="U1551" s="2018"/>
      <c r="V1551" s="2018"/>
      <c r="W1551" s="2018"/>
      <c r="X1551" s="2018"/>
      <c r="Y1551" s="2018"/>
      <c r="Z1551" s="2105"/>
      <c r="AA1551" s="2105"/>
      <c r="AB1551" s="1050"/>
      <c r="AC1551" s="1050"/>
      <c r="AD1551" s="1050"/>
      <c r="AE1551" s="1050"/>
      <c r="AF1551" s="1052"/>
    </row>
    <row r="1552" spans="1:32" ht="15.75" x14ac:dyDescent="0.25">
      <c r="A1552" s="2017"/>
      <c r="B1552" s="2018"/>
      <c r="C1552" s="2018"/>
      <c r="D1552" s="2018"/>
      <c r="E1552" s="2018"/>
      <c r="F1552" s="2018"/>
      <c r="G1552" s="2018"/>
      <c r="H1552" s="2018"/>
      <c r="I1552" s="2018"/>
      <c r="J1552" s="2018"/>
      <c r="K1552" s="2018"/>
      <c r="L1552" s="2018"/>
      <c r="M1552" s="2018"/>
      <c r="N1552" s="2018"/>
      <c r="O1552" s="2018"/>
      <c r="P1552" s="2018"/>
      <c r="Q1552" s="2018"/>
      <c r="R1552" s="2018"/>
      <c r="S1552" s="2018"/>
      <c r="T1552" s="2018"/>
      <c r="U1552" s="2018"/>
      <c r="V1552" s="2018"/>
      <c r="W1552" s="2018"/>
      <c r="X1552" s="2018"/>
      <c r="Y1552" s="2018"/>
      <c r="Z1552" s="2105"/>
      <c r="AA1552" s="2105"/>
      <c r="AB1552" s="1050"/>
      <c r="AC1552" s="1050"/>
      <c r="AD1552" s="1050"/>
      <c r="AE1552" s="1050"/>
      <c r="AF1552" s="1052"/>
    </row>
    <row r="1553" spans="1:32" ht="15.75" x14ac:dyDescent="0.25">
      <c r="A1553" s="2017"/>
      <c r="B1553" s="2018"/>
      <c r="C1553" s="2018"/>
      <c r="D1553" s="2018"/>
      <c r="E1553" s="2018"/>
      <c r="F1553" s="2018"/>
      <c r="G1553" s="2018"/>
      <c r="H1553" s="2018"/>
      <c r="I1553" s="2018"/>
      <c r="J1553" s="2018"/>
      <c r="K1553" s="2018"/>
      <c r="L1553" s="2018"/>
      <c r="M1553" s="2018"/>
      <c r="N1553" s="2018"/>
      <c r="O1553" s="2018"/>
      <c r="P1553" s="2018"/>
      <c r="Q1553" s="2018"/>
      <c r="R1553" s="2018"/>
      <c r="S1553" s="2018"/>
      <c r="T1553" s="2018"/>
      <c r="U1553" s="2018"/>
      <c r="V1553" s="2018"/>
      <c r="W1553" s="2018"/>
      <c r="X1553" s="2018"/>
      <c r="Y1553" s="2018"/>
      <c r="Z1553" s="2105"/>
      <c r="AA1553" s="2105"/>
      <c r="AB1553" s="1050"/>
      <c r="AC1553" s="1050"/>
      <c r="AD1553" s="1050"/>
      <c r="AE1553" s="1050"/>
      <c r="AF1553" s="1052"/>
    </row>
    <row r="1554" spans="1:32" ht="16.5" thickBot="1" x14ac:dyDescent="0.3">
      <c r="A1554" s="2019"/>
      <c r="B1554" s="2020"/>
      <c r="C1554" s="2020"/>
      <c r="D1554" s="2020"/>
      <c r="E1554" s="2020"/>
      <c r="F1554" s="2020"/>
      <c r="G1554" s="2020"/>
      <c r="H1554" s="2020"/>
      <c r="I1554" s="2020"/>
      <c r="J1554" s="2020"/>
      <c r="K1554" s="2020"/>
      <c r="L1554" s="2020"/>
      <c r="M1554" s="2020"/>
      <c r="N1554" s="2020"/>
      <c r="O1554" s="2020"/>
      <c r="P1554" s="2020"/>
      <c r="Q1554" s="2020"/>
      <c r="R1554" s="2020"/>
      <c r="S1554" s="2020"/>
      <c r="T1554" s="2020"/>
      <c r="U1554" s="2020"/>
      <c r="V1554" s="2020"/>
      <c r="W1554" s="2020"/>
      <c r="X1554" s="2020"/>
      <c r="Y1554" s="2020"/>
      <c r="Z1554" s="2105"/>
      <c r="AA1554" s="2105"/>
      <c r="AB1554" s="1050"/>
      <c r="AC1554" s="1050"/>
      <c r="AD1554" s="1050"/>
      <c r="AE1554" s="1050"/>
      <c r="AF1554" s="1052"/>
    </row>
    <row r="1555" spans="1:32" ht="15.75" x14ac:dyDescent="0.25">
      <c r="A1555" s="2100" t="s">
        <v>2220</v>
      </c>
      <c r="B1555" s="2101"/>
      <c r="C1555" s="2101"/>
      <c r="D1555" s="2101"/>
      <c r="E1555" s="2101"/>
      <c r="F1555" s="2101"/>
      <c r="G1555" s="2101"/>
      <c r="H1555" s="2101"/>
      <c r="I1555" s="2101"/>
      <c r="J1555" s="2101"/>
      <c r="K1555" s="2101"/>
      <c r="L1555" s="2101"/>
      <c r="M1555" s="2101"/>
      <c r="N1555" s="2101"/>
      <c r="O1555" s="2101"/>
      <c r="P1555" s="2101"/>
      <c r="Q1555" s="2101"/>
      <c r="R1555" s="2101"/>
      <c r="S1555" s="2101"/>
      <c r="T1555" s="2101"/>
      <c r="U1555" s="2101"/>
      <c r="V1555" s="2101"/>
      <c r="W1555" s="2101"/>
      <c r="X1555" s="2101"/>
      <c r="Y1555" s="2101"/>
      <c r="Z1555" s="2013" t="s">
        <v>1850</v>
      </c>
      <c r="AA1555" s="2013"/>
      <c r="AB1555" s="2013"/>
      <c r="AC1555" s="2013"/>
      <c r="AD1555" s="2013"/>
      <c r="AE1555" s="2013"/>
      <c r="AF1555" s="1059">
        <f>SUM(AF1504:AF1554)</f>
        <v>15681.51</v>
      </c>
    </row>
    <row r="1556" spans="1:32" ht="15.75" x14ac:dyDescent="0.25">
      <c r="A1556" s="2102"/>
      <c r="B1556" s="2103"/>
      <c r="C1556" s="2103"/>
      <c r="D1556" s="2103"/>
      <c r="E1556" s="2103"/>
      <c r="F1556" s="2103"/>
      <c r="G1556" s="2103"/>
      <c r="H1556" s="2103"/>
      <c r="I1556" s="2103"/>
      <c r="J1556" s="2103"/>
      <c r="K1556" s="2103"/>
      <c r="L1556" s="2103"/>
      <c r="M1556" s="2103"/>
      <c r="N1556" s="2103"/>
      <c r="O1556" s="2103"/>
      <c r="P1556" s="2103"/>
      <c r="Q1556" s="2103"/>
      <c r="R1556" s="2103"/>
      <c r="S1556" s="2103"/>
      <c r="T1556" s="2103"/>
      <c r="U1556" s="2103"/>
      <c r="V1556" s="2103"/>
      <c r="W1556" s="2103"/>
      <c r="X1556" s="2103"/>
      <c r="Y1556" s="2103"/>
      <c r="Z1556" s="2014"/>
      <c r="AA1556" s="2014"/>
      <c r="AB1556" s="2014"/>
      <c r="AC1556" s="2014"/>
      <c r="AD1556" s="2014"/>
      <c r="AE1556" s="2014"/>
      <c r="AF1556" s="1144"/>
    </row>
    <row r="1557" spans="1:32" ht="15.75" x14ac:dyDescent="0.25">
      <c r="A1557" s="2102"/>
      <c r="B1557" s="2103"/>
      <c r="C1557" s="2103"/>
      <c r="D1557" s="2103"/>
      <c r="E1557" s="2103"/>
      <c r="F1557" s="2103"/>
      <c r="G1557" s="2103"/>
      <c r="H1557" s="2103"/>
      <c r="I1557" s="2103"/>
      <c r="J1557" s="2103"/>
      <c r="K1557" s="2103"/>
      <c r="L1557" s="2103"/>
      <c r="M1557" s="2103"/>
      <c r="N1557" s="2103"/>
      <c r="O1557" s="2103"/>
      <c r="P1557" s="2103"/>
      <c r="Q1557" s="2103"/>
      <c r="R1557" s="2103"/>
      <c r="S1557" s="2103"/>
      <c r="T1557" s="2103"/>
      <c r="U1557" s="2103"/>
      <c r="V1557" s="2103"/>
      <c r="W1557" s="2103"/>
      <c r="X1557" s="2103"/>
      <c r="Y1557" s="2103"/>
      <c r="Z1557" s="2015" t="s">
        <v>1833</v>
      </c>
      <c r="AA1557" s="2015"/>
      <c r="AB1557" s="2015"/>
      <c r="AC1557" s="2015"/>
      <c r="AD1557" s="2015"/>
      <c r="AE1557" s="2015"/>
      <c r="AF1557" s="1061">
        <f>AF1555*(1+AF1556)</f>
        <v>15681.51</v>
      </c>
    </row>
    <row r="1558" spans="1:32" x14ac:dyDescent="0.2">
      <c r="A1558" s="2012" t="s">
        <v>1859</v>
      </c>
      <c r="B1558" s="2012"/>
      <c r="C1558" s="2012"/>
      <c r="D1558" s="2012"/>
      <c r="E1558" s="2012"/>
      <c r="F1558" s="2012"/>
      <c r="G1558" s="2012"/>
      <c r="H1558" s="2012"/>
      <c r="I1558" s="2012"/>
      <c r="J1558" s="2012"/>
      <c r="K1558" s="2012"/>
      <c r="L1558" s="2012"/>
      <c r="M1558" s="2012"/>
      <c r="N1558" s="2012"/>
      <c r="O1558" s="2012"/>
      <c r="P1558" s="2012"/>
      <c r="Q1558" s="2012"/>
      <c r="R1558" s="2012"/>
      <c r="S1558" s="2012"/>
      <c r="T1558" s="2016" t="s">
        <v>1840</v>
      </c>
      <c r="U1558" s="2016"/>
      <c r="V1558" s="2016"/>
      <c r="W1558" s="2016"/>
      <c r="X1558" s="2016"/>
      <c r="Y1558" s="2016"/>
      <c r="Z1558" s="2016"/>
      <c r="AA1558" s="2016"/>
      <c r="AB1558" s="2012" t="s">
        <v>1852</v>
      </c>
      <c r="AC1558" s="2012"/>
      <c r="AD1558" s="2012"/>
      <c r="AE1558" s="2012"/>
      <c r="AF1558" s="2012"/>
    </row>
    <row r="1559" spans="1:32" x14ac:dyDescent="0.2">
      <c r="A1559" s="2012"/>
      <c r="B1559" s="2012"/>
      <c r="C1559" s="2012"/>
      <c r="D1559" s="2012"/>
      <c r="E1559" s="2012"/>
      <c r="F1559" s="2012"/>
      <c r="G1559" s="2012"/>
      <c r="H1559" s="2012"/>
      <c r="I1559" s="2012"/>
      <c r="J1559" s="2012"/>
      <c r="K1559" s="2012"/>
      <c r="L1559" s="2012"/>
      <c r="M1559" s="2012"/>
      <c r="N1559" s="2012"/>
      <c r="O1559" s="2012"/>
      <c r="P1559" s="2012"/>
      <c r="Q1559" s="2012"/>
      <c r="R1559" s="2012"/>
      <c r="S1559" s="2012"/>
      <c r="T1559" s="2016"/>
      <c r="U1559" s="2016"/>
      <c r="V1559" s="2016"/>
      <c r="W1559" s="2016"/>
      <c r="X1559" s="2016"/>
      <c r="Y1559" s="2016"/>
      <c r="Z1559" s="2016"/>
      <c r="AA1559" s="2016"/>
      <c r="AB1559" s="2012"/>
      <c r="AC1559" s="2012"/>
      <c r="AD1559" s="2012"/>
      <c r="AE1559" s="2012"/>
      <c r="AF1559" s="2012"/>
    </row>
    <row r="1560" spans="1:32" ht="13.5" thickBot="1" x14ac:dyDescent="0.25"/>
    <row r="1561" spans="1:32" ht="26.45" customHeight="1" x14ac:dyDescent="0.2">
      <c r="A1561" s="2025" t="s">
        <v>1854</v>
      </c>
      <c r="B1561" s="2026"/>
      <c r="C1561" s="2026"/>
      <c r="D1561" s="2026"/>
      <c r="E1561" s="2026"/>
      <c r="F1561" s="2026"/>
      <c r="G1561" s="2026"/>
      <c r="H1561" s="2026"/>
      <c r="I1561" s="2026"/>
      <c r="J1561" s="2026"/>
      <c r="K1561" s="2026"/>
      <c r="L1561" s="2026"/>
      <c r="M1561" s="2026"/>
      <c r="N1561" s="2026"/>
      <c r="O1561" s="2026"/>
      <c r="P1561" s="2026"/>
      <c r="Q1561" s="2026"/>
      <c r="R1561" s="2026"/>
      <c r="S1561" s="2026"/>
      <c r="T1561" s="2026"/>
      <c r="U1561" s="2026"/>
      <c r="V1561" s="2026"/>
      <c r="W1561" s="2026"/>
      <c r="X1561" s="2026"/>
      <c r="Y1561" s="2026"/>
      <c r="Z1561" s="2026"/>
      <c r="AA1561" s="2026"/>
      <c r="AB1561" s="2026"/>
      <c r="AC1561" s="2026"/>
      <c r="AD1561" s="2026"/>
      <c r="AE1561" s="1041" t="s">
        <v>1834</v>
      </c>
      <c r="AF1561" s="1042" t="s">
        <v>1835</v>
      </c>
    </row>
    <row r="1562" spans="1:32" ht="21" customHeight="1" thickBot="1" x14ac:dyDescent="0.25">
      <c r="A1562" s="2027"/>
      <c r="B1562" s="2028"/>
      <c r="C1562" s="2028"/>
      <c r="D1562" s="2028"/>
      <c r="E1562" s="2028"/>
      <c r="F1562" s="2028"/>
      <c r="G1562" s="2028"/>
      <c r="H1562" s="2028"/>
      <c r="I1562" s="2028"/>
      <c r="J1562" s="2028"/>
      <c r="K1562" s="2028"/>
      <c r="L1562" s="2028"/>
      <c r="M1562" s="2028"/>
      <c r="N1562" s="2028"/>
      <c r="O1562" s="2028"/>
      <c r="P1562" s="2028"/>
      <c r="Q1562" s="2028"/>
      <c r="R1562" s="2028"/>
      <c r="S1562" s="2028"/>
      <c r="T1562" s="2028"/>
      <c r="U1562" s="2028"/>
      <c r="V1562" s="2028"/>
      <c r="W1562" s="2028"/>
      <c r="X1562" s="2028"/>
      <c r="Y1562" s="2028"/>
      <c r="Z1562" s="2028"/>
      <c r="AA1562" s="2028"/>
      <c r="AB1562" s="2028"/>
      <c r="AC1562" s="2028"/>
      <c r="AD1562" s="2028"/>
      <c r="AE1562" s="1041" t="s">
        <v>1836</v>
      </c>
      <c r="AF1562" s="1044">
        <v>1</v>
      </c>
    </row>
    <row r="1563" spans="1:32" ht="15.75" x14ac:dyDescent="0.2">
      <c r="A1563" s="2029"/>
      <c r="B1563" s="2030"/>
      <c r="C1563" s="2030"/>
      <c r="D1563" s="2031"/>
      <c r="E1563" s="2025" t="str">
        <f>'01'!$A$12</f>
        <v>"CONSTRUCCION SISTEMA DE ACUEDUCTO FASE II DEL MUNICIPIO DE TESALIA DPTO DEL HUILA"</v>
      </c>
      <c r="F1563" s="2026"/>
      <c r="G1563" s="2026"/>
      <c r="H1563" s="2026"/>
      <c r="I1563" s="2026"/>
      <c r="J1563" s="2026"/>
      <c r="K1563" s="2026"/>
      <c r="L1563" s="2026"/>
      <c r="M1563" s="2026"/>
      <c r="N1563" s="2026"/>
      <c r="O1563" s="2026"/>
      <c r="P1563" s="2026"/>
      <c r="Q1563" s="2026"/>
      <c r="R1563" s="2026"/>
      <c r="S1563" s="2026"/>
      <c r="T1563" s="2026"/>
      <c r="U1563" s="2026"/>
      <c r="V1563" s="2026"/>
      <c r="W1563" s="2026"/>
      <c r="X1563" s="2026"/>
      <c r="Y1563" s="2026"/>
      <c r="Z1563" s="2026"/>
      <c r="AA1563" s="2026"/>
      <c r="AB1563" s="2026"/>
      <c r="AC1563" s="2026"/>
      <c r="AD1563" s="2035"/>
      <c r="AE1563" s="1041" t="s">
        <v>847</v>
      </c>
      <c r="AF1563" s="1045">
        <f>'01'!$M$13</f>
        <v>0</v>
      </c>
    </row>
    <row r="1564" spans="1:32" ht="16.5" thickBot="1" x14ac:dyDescent="0.25">
      <c r="A1564" s="2032"/>
      <c r="B1564" s="2033"/>
      <c r="C1564" s="2033"/>
      <c r="D1564" s="2034"/>
      <c r="E1564" s="2027"/>
      <c r="F1564" s="2028"/>
      <c r="G1564" s="2028"/>
      <c r="H1564" s="2028"/>
      <c r="I1564" s="2028"/>
      <c r="J1564" s="2028"/>
      <c r="K1564" s="2028"/>
      <c r="L1564" s="2028"/>
      <c r="M1564" s="2028"/>
      <c r="N1564" s="2028"/>
      <c r="O1564" s="2028"/>
      <c r="P1564" s="2028"/>
      <c r="Q1564" s="2028"/>
      <c r="R1564" s="2028"/>
      <c r="S1564" s="2028"/>
      <c r="T1564" s="2028"/>
      <c r="U1564" s="2028"/>
      <c r="V1564" s="2028"/>
      <c r="W1564" s="2028"/>
      <c r="X1564" s="2028"/>
      <c r="Y1564" s="2028"/>
      <c r="Z1564" s="2028"/>
      <c r="AA1564" s="2028"/>
      <c r="AB1564" s="2028"/>
      <c r="AC1564" s="2028"/>
      <c r="AD1564" s="2036"/>
      <c r="AE1564" s="1041" t="s">
        <v>1837</v>
      </c>
      <c r="AF1564" s="1042" t="s">
        <v>1838</v>
      </c>
    </row>
    <row r="1565" spans="1:32" ht="15.75" x14ac:dyDescent="0.25">
      <c r="A1565" s="2037" t="s">
        <v>1860</v>
      </c>
      <c r="B1565" s="2038"/>
      <c r="C1565" s="2038"/>
      <c r="D1565" s="2038"/>
      <c r="E1565" s="2038"/>
      <c r="F1565" s="2038"/>
      <c r="G1565" s="2038"/>
      <c r="H1565" s="2038"/>
      <c r="I1565" s="2038"/>
      <c r="J1565" s="2038"/>
      <c r="K1565" s="2038"/>
      <c r="L1565" s="2038"/>
      <c r="M1565" s="2038"/>
      <c r="N1565" s="2038"/>
      <c r="O1565" s="2038"/>
      <c r="P1565" s="2038"/>
      <c r="Q1565" s="2038"/>
      <c r="R1565" s="2038"/>
      <c r="S1565" s="2038"/>
      <c r="T1565" s="2038"/>
      <c r="U1565" s="2038"/>
      <c r="V1565" s="2038"/>
      <c r="W1565" s="2038"/>
      <c r="X1565" s="2038"/>
      <c r="Y1565" s="2038"/>
      <c r="Z1565" s="2038"/>
      <c r="AA1565" s="2038"/>
      <c r="AB1565" s="2038"/>
      <c r="AC1565" s="2038"/>
      <c r="AD1565" s="2038"/>
      <c r="AE1565" s="2039" t="s">
        <v>1839</v>
      </c>
      <c r="AF1565" s="2040"/>
    </row>
    <row r="1566" spans="1:32" ht="15.75" x14ac:dyDescent="0.25">
      <c r="A1566" s="2041" t="s">
        <v>1840</v>
      </c>
      <c r="B1566" s="2042"/>
      <c r="C1566" s="2042"/>
      <c r="D1566" s="2042"/>
      <c r="E1566" s="2042"/>
      <c r="F1566" s="2042"/>
      <c r="G1566" s="2042"/>
      <c r="H1566" s="2042"/>
      <c r="I1566" s="2042"/>
      <c r="J1566" s="2042"/>
      <c r="K1566" s="2042"/>
      <c r="L1566" s="2042"/>
      <c r="M1566" s="2042"/>
      <c r="N1566" s="2042"/>
      <c r="O1566" s="2042"/>
      <c r="P1566" s="2042"/>
      <c r="Q1566" s="2042"/>
      <c r="R1566" s="2042"/>
      <c r="S1566" s="2042"/>
      <c r="T1566" s="2042"/>
      <c r="U1566" s="2042"/>
      <c r="V1566" s="2042"/>
      <c r="W1566" s="2042"/>
      <c r="X1566" s="2042"/>
      <c r="Y1566" s="2042"/>
      <c r="Z1566" s="2042"/>
      <c r="AA1566" s="2042"/>
      <c r="AB1566" s="2042"/>
      <c r="AC1566" s="2042"/>
      <c r="AD1566" s="2043"/>
      <c r="AE1566" s="2014" t="s">
        <v>1841</v>
      </c>
      <c r="AF1566" s="2044"/>
    </row>
    <row r="1567" spans="1:32" ht="15.75" x14ac:dyDescent="0.25">
      <c r="A1567" s="2045" t="s">
        <v>1853</v>
      </c>
      <c r="B1567" s="2046"/>
      <c r="C1567" s="2046"/>
      <c r="D1567" s="2046"/>
      <c r="E1567" s="2046"/>
      <c r="F1567" s="2046"/>
      <c r="G1567" s="2046"/>
      <c r="H1567" s="2046"/>
      <c r="I1567" s="2046"/>
      <c r="J1567" s="2046"/>
      <c r="K1567" s="2046"/>
      <c r="L1567" s="2046"/>
      <c r="M1567" s="2046"/>
      <c r="N1567" s="2046"/>
      <c r="O1567" s="2046"/>
      <c r="P1567" s="2046"/>
      <c r="Q1567" s="2046"/>
      <c r="R1567" s="2046"/>
      <c r="S1567" s="2046"/>
      <c r="T1567" s="2046"/>
      <c r="U1567" s="2046"/>
      <c r="V1567" s="2046"/>
      <c r="W1567" s="2046"/>
      <c r="X1567" s="2046"/>
      <c r="Y1567" s="2046"/>
      <c r="Z1567" s="2046"/>
      <c r="AA1567" s="2046"/>
      <c r="AB1567" s="2046"/>
      <c r="AC1567" s="2046"/>
      <c r="AD1567" s="2046"/>
      <c r="AE1567" s="2047">
        <f>'01'!$M$13</f>
        <v>0</v>
      </c>
      <c r="AF1567" s="2044"/>
    </row>
    <row r="1568" spans="1:32" x14ac:dyDescent="0.2">
      <c r="A1568" s="1046"/>
      <c r="B1568" s="1047"/>
      <c r="C1568" s="1047"/>
      <c r="D1568" s="1047"/>
      <c r="E1568" s="1047"/>
      <c r="F1568" s="1047"/>
      <c r="G1568" s="1047"/>
      <c r="H1568" s="1047"/>
      <c r="I1568" s="1047"/>
      <c r="J1568" s="1047"/>
      <c r="K1568" s="1047"/>
      <c r="L1568" s="1047"/>
      <c r="M1568" s="1047"/>
      <c r="N1568" s="1047"/>
      <c r="O1568" s="1047"/>
      <c r="P1568" s="1047"/>
      <c r="Q1568" s="1047"/>
      <c r="R1568" s="1047"/>
      <c r="S1568" s="1047"/>
      <c r="T1568" s="1047"/>
      <c r="U1568" s="1047"/>
      <c r="V1568" s="1047"/>
      <c r="W1568" s="1047"/>
      <c r="X1568" s="1047"/>
      <c r="Y1568" s="1047"/>
      <c r="Z1568" s="1047"/>
      <c r="AA1568" s="1047"/>
      <c r="AB1568" s="1047"/>
      <c r="AC1568" s="1047"/>
      <c r="AD1568" s="1047"/>
      <c r="AE1568" s="1047"/>
      <c r="AF1568" s="1048"/>
    </row>
    <row r="1569" spans="1:32" ht="30" customHeight="1" x14ac:dyDescent="0.2">
      <c r="A1569" s="2048" t="s">
        <v>1842</v>
      </c>
      <c r="B1569" s="2049"/>
      <c r="C1569" s="2049"/>
      <c r="D1569" s="2049"/>
      <c r="E1569" s="2049"/>
      <c r="F1569" s="2050" t="str">
        <f>+'01'!$H$63</f>
        <v>C - FLOCULADOR, SEDIMENTADOR, CANAL DE AGUA SEDIMENTADA Y CANAL DE LAVADO</v>
      </c>
      <c r="G1569" s="2049"/>
      <c r="H1569" s="2049"/>
      <c r="I1569" s="2049"/>
      <c r="J1569" s="2049"/>
      <c r="K1569" s="2049"/>
      <c r="L1569" s="2049"/>
      <c r="M1569" s="2049"/>
      <c r="N1569" s="2049"/>
      <c r="O1569" s="2049"/>
      <c r="P1569" s="2049"/>
      <c r="Q1569" s="2049"/>
      <c r="R1569" s="2049"/>
      <c r="S1569" s="2049"/>
      <c r="T1569" s="2049"/>
      <c r="U1569" s="2049"/>
      <c r="V1569" s="2049"/>
      <c r="W1569" s="2049"/>
      <c r="X1569" s="2049"/>
      <c r="Y1569" s="2051"/>
      <c r="Z1569" s="2052" t="s">
        <v>1843</v>
      </c>
      <c r="AA1569" s="2053"/>
      <c r="AB1569" s="2058" t="s">
        <v>1844</v>
      </c>
      <c r="AC1569" s="2059"/>
      <c r="AD1569" s="2060"/>
      <c r="AE1569" s="2064" t="s">
        <v>1845</v>
      </c>
      <c r="AF1569" s="2067" t="s">
        <v>1846</v>
      </c>
    </row>
    <row r="1570" spans="1:32" x14ac:dyDescent="0.2">
      <c r="A1570" s="2070" t="str">
        <f>+'01'!A82</f>
        <v>C-07-01</v>
      </c>
      <c r="B1570" s="2071"/>
      <c r="C1570" s="2072"/>
      <c r="D1570" s="2076" t="str">
        <f>VLOOKUP(A1570,'01'!$A$12:$N$299,3,FALSE)</f>
        <v xml:space="preserve">SUMINISTRO E INSTALACIÓN DE TUBERIA PVC UNION MECANICA DE 4". PRESIÓN DE TRABAJO 200 PSI.  </v>
      </c>
      <c r="E1570" s="2077"/>
      <c r="F1570" s="2077"/>
      <c r="G1570" s="2077"/>
      <c r="H1570" s="2077"/>
      <c r="I1570" s="2077"/>
      <c r="J1570" s="2077"/>
      <c r="K1570" s="2077"/>
      <c r="L1570" s="2077"/>
      <c r="M1570" s="2077"/>
      <c r="N1570" s="2077"/>
      <c r="O1570" s="2077"/>
      <c r="P1570" s="2077"/>
      <c r="Q1570" s="2077"/>
      <c r="R1570" s="2077"/>
      <c r="S1570" s="2078"/>
      <c r="T1570" s="2082" t="s">
        <v>124</v>
      </c>
      <c r="U1570" s="2083"/>
      <c r="V1570" s="2083"/>
      <c r="W1570" s="2083"/>
      <c r="X1570" s="2052" t="str">
        <f>VLOOKUP(A1570,'01'!$A$12:$N$299,9,FALSE)</f>
        <v>ML</v>
      </c>
      <c r="Y1570" s="2053"/>
      <c r="Z1570" s="2054"/>
      <c r="AA1570" s="2055"/>
      <c r="AB1570" s="2061"/>
      <c r="AC1570" s="2062"/>
      <c r="AD1570" s="2063"/>
      <c r="AE1570" s="2065"/>
      <c r="AF1570" s="2068"/>
    </row>
    <row r="1571" spans="1:32" ht="15.75" x14ac:dyDescent="0.25">
      <c r="A1571" s="2073"/>
      <c r="B1571" s="2074"/>
      <c r="C1571" s="2075"/>
      <c r="D1571" s="2079"/>
      <c r="E1571" s="2080"/>
      <c r="F1571" s="2080"/>
      <c r="G1571" s="2080"/>
      <c r="H1571" s="2080"/>
      <c r="I1571" s="2080"/>
      <c r="J1571" s="2080"/>
      <c r="K1571" s="2080"/>
      <c r="L1571" s="2080"/>
      <c r="M1571" s="2080"/>
      <c r="N1571" s="2080"/>
      <c r="O1571" s="2080"/>
      <c r="P1571" s="2080"/>
      <c r="Q1571" s="2080"/>
      <c r="R1571" s="2080"/>
      <c r="S1571" s="2081"/>
      <c r="T1571" s="2084"/>
      <c r="U1571" s="2085"/>
      <c r="V1571" s="2085"/>
      <c r="W1571" s="2085"/>
      <c r="X1571" s="2056"/>
      <c r="Y1571" s="2057"/>
      <c r="Z1571" s="2056"/>
      <c r="AA1571" s="2057"/>
      <c r="AB1571" s="1049" t="s">
        <v>1847</v>
      </c>
      <c r="AC1571" s="1049" t="s">
        <v>1848</v>
      </c>
      <c r="AD1571" s="1049" t="s">
        <v>1861</v>
      </c>
      <c r="AE1571" s="2066"/>
      <c r="AF1571" s="2069"/>
    </row>
    <row r="1572" spans="1:32" ht="30" customHeight="1" x14ac:dyDescent="0.25">
      <c r="A1572" s="2017"/>
      <c r="B1572" s="2018"/>
      <c r="C1572" s="2018"/>
      <c r="D1572" s="2018"/>
      <c r="E1572" s="2018"/>
      <c r="F1572" s="2018"/>
      <c r="G1572" s="2018"/>
      <c r="H1572" s="2018"/>
      <c r="I1572" s="2018"/>
      <c r="J1572" s="2018"/>
      <c r="K1572" s="2018"/>
      <c r="L1572" s="2018"/>
      <c r="M1572" s="2018"/>
      <c r="N1572" s="2018"/>
      <c r="O1572" s="2018"/>
      <c r="P1572" s="2018"/>
      <c r="Q1572" s="2018"/>
      <c r="R1572" s="2018"/>
      <c r="S1572" s="2018"/>
      <c r="T1572" s="2018"/>
      <c r="U1572" s="2018"/>
      <c r="V1572" s="2018"/>
      <c r="W1572" s="2018"/>
      <c r="X1572" s="2018"/>
      <c r="Y1572" s="2018"/>
      <c r="Z1572" s="2096" t="s">
        <v>2445</v>
      </c>
      <c r="AA1572" s="2097"/>
      <c r="AB1572" s="1050">
        <v>2.75</v>
      </c>
      <c r="AC1572" s="1050"/>
      <c r="AD1572" s="1050"/>
      <c r="AE1572" s="1050">
        <v>4</v>
      </c>
      <c r="AF1572" s="1052">
        <f>AE1572*AB1572</f>
        <v>11</v>
      </c>
    </row>
    <row r="1573" spans="1:32" ht="30" customHeight="1" x14ac:dyDescent="0.25">
      <c r="A1573" s="2017"/>
      <c r="B1573" s="2018"/>
      <c r="C1573" s="2018"/>
      <c r="D1573" s="2018"/>
      <c r="E1573" s="2018"/>
      <c r="F1573" s="2018"/>
      <c r="G1573" s="2018"/>
      <c r="H1573" s="2018"/>
      <c r="I1573" s="2018"/>
      <c r="J1573" s="2018"/>
      <c r="K1573" s="2018"/>
      <c r="L1573" s="2018"/>
      <c r="M1573" s="2018"/>
      <c r="N1573" s="2018"/>
      <c r="O1573" s="2018"/>
      <c r="P1573" s="2018"/>
      <c r="Q1573" s="2018"/>
      <c r="R1573" s="2018"/>
      <c r="S1573" s="2018"/>
      <c r="T1573" s="2018"/>
      <c r="U1573" s="2018"/>
      <c r="V1573" s="2018"/>
      <c r="W1573" s="2018"/>
      <c r="X1573" s="2018"/>
      <c r="Y1573" s="2018"/>
      <c r="Z1573" s="2096" t="s">
        <v>2446</v>
      </c>
      <c r="AA1573" s="2097"/>
      <c r="AB1573" s="1050">
        <v>2.75</v>
      </c>
      <c r="AC1573" s="1050"/>
      <c r="AD1573" s="1050"/>
      <c r="AE1573" s="1050">
        <v>4</v>
      </c>
      <c r="AF1573" s="1052">
        <f>AE1573*AB1573</f>
        <v>11</v>
      </c>
    </row>
    <row r="1574" spans="1:32" ht="15.75" x14ac:dyDescent="0.25">
      <c r="A1574" s="2017"/>
      <c r="B1574" s="2018"/>
      <c r="C1574" s="2018"/>
      <c r="D1574" s="2018"/>
      <c r="E1574" s="2018"/>
      <c r="F1574" s="2018"/>
      <c r="G1574" s="2018"/>
      <c r="H1574" s="2018"/>
      <c r="I1574" s="2018"/>
      <c r="J1574" s="2018"/>
      <c r="K1574" s="2018"/>
      <c r="L1574" s="2018"/>
      <c r="M1574" s="2018"/>
      <c r="N1574" s="2018"/>
      <c r="O1574" s="2018"/>
      <c r="P1574" s="2018"/>
      <c r="Q1574" s="2018"/>
      <c r="R1574" s="2018"/>
      <c r="S1574" s="2018"/>
      <c r="T1574" s="2018"/>
      <c r="U1574" s="2018"/>
      <c r="V1574" s="2018"/>
      <c r="W1574" s="2018"/>
      <c r="X1574" s="2018"/>
      <c r="Y1574" s="2018"/>
      <c r="Z1574" s="2022"/>
      <c r="AA1574" s="2022"/>
      <c r="AB1574" s="1050"/>
      <c r="AC1574" s="1050"/>
      <c r="AD1574" s="1050"/>
      <c r="AE1574" s="1050"/>
      <c r="AF1574" s="1052"/>
    </row>
    <row r="1575" spans="1:32" ht="15.75" x14ac:dyDescent="0.25">
      <c r="A1575" s="2017"/>
      <c r="B1575" s="2018"/>
      <c r="C1575" s="2018"/>
      <c r="D1575" s="2018"/>
      <c r="E1575" s="2018"/>
      <c r="F1575" s="2018"/>
      <c r="G1575" s="2018"/>
      <c r="H1575" s="2018"/>
      <c r="I1575" s="2018"/>
      <c r="J1575" s="2018"/>
      <c r="K1575" s="2018"/>
      <c r="L1575" s="2018"/>
      <c r="M1575" s="2018"/>
      <c r="N1575" s="2018"/>
      <c r="O1575" s="2018"/>
      <c r="P1575" s="2018"/>
      <c r="Q1575" s="2018"/>
      <c r="R1575" s="2018"/>
      <c r="S1575" s="2018"/>
      <c r="T1575" s="2018"/>
      <c r="U1575" s="2018"/>
      <c r="V1575" s="2018"/>
      <c r="W1575" s="2018"/>
      <c r="X1575" s="2018"/>
      <c r="Y1575" s="2018"/>
      <c r="Z1575" s="2105"/>
      <c r="AA1575" s="2105"/>
      <c r="AB1575" s="1050"/>
      <c r="AC1575" s="1050"/>
      <c r="AD1575" s="1050"/>
      <c r="AE1575" s="1050"/>
      <c r="AF1575" s="1052"/>
    </row>
    <row r="1576" spans="1:32" ht="15.75" x14ac:dyDescent="0.25">
      <c r="A1576" s="2017"/>
      <c r="B1576" s="2018"/>
      <c r="C1576" s="2018"/>
      <c r="D1576" s="2018"/>
      <c r="E1576" s="2018"/>
      <c r="F1576" s="2018"/>
      <c r="G1576" s="2018"/>
      <c r="H1576" s="2018"/>
      <c r="I1576" s="2018"/>
      <c r="J1576" s="2018"/>
      <c r="K1576" s="2018"/>
      <c r="L1576" s="2018"/>
      <c r="M1576" s="2018"/>
      <c r="N1576" s="2018"/>
      <c r="O1576" s="2018"/>
      <c r="P1576" s="2018"/>
      <c r="Q1576" s="2018"/>
      <c r="R1576" s="2018"/>
      <c r="S1576" s="2018"/>
      <c r="T1576" s="2018"/>
      <c r="U1576" s="2018"/>
      <c r="V1576" s="2018"/>
      <c r="W1576" s="2018"/>
      <c r="X1576" s="2018"/>
      <c r="Y1576" s="2018"/>
      <c r="Z1576" s="2105"/>
      <c r="AA1576" s="2105"/>
      <c r="AB1576" s="1050"/>
      <c r="AC1576" s="1050"/>
      <c r="AD1576" s="1050"/>
      <c r="AE1576" s="1050"/>
      <c r="AF1576" s="1052"/>
    </row>
    <row r="1577" spans="1:32" ht="15.75" x14ac:dyDescent="0.25">
      <c r="A1577" s="2017"/>
      <c r="B1577" s="2018"/>
      <c r="C1577" s="2018"/>
      <c r="D1577" s="2018"/>
      <c r="E1577" s="2018"/>
      <c r="F1577" s="2018"/>
      <c r="G1577" s="2018"/>
      <c r="H1577" s="2018"/>
      <c r="I1577" s="2018"/>
      <c r="J1577" s="2018"/>
      <c r="K1577" s="2018"/>
      <c r="L1577" s="2018"/>
      <c r="M1577" s="2018"/>
      <c r="N1577" s="2018"/>
      <c r="O1577" s="2018"/>
      <c r="P1577" s="2018"/>
      <c r="Q1577" s="2018"/>
      <c r="R1577" s="2018"/>
      <c r="S1577" s="2018"/>
      <c r="T1577" s="2018"/>
      <c r="U1577" s="2018"/>
      <c r="V1577" s="2018"/>
      <c r="W1577" s="2018"/>
      <c r="X1577" s="2018"/>
      <c r="Y1577" s="2018"/>
      <c r="Z1577" s="2105"/>
      <c r="AA1577" s="2105"/>
      <c r="AB1577" s="1050"/>
      <c r="AC1577" s="1050"/>
      <c r="AD1577" s="1050"/>
      <c r="AE1577" s="1050"/>
      <c r="AF1577" s="1052"/>
    </row>
    <row r="1578" spans="1:32" ht="15.75" x14ac:dyDescent="0.25">
      <c r="A1578" s="2017"/>
      <c r="B1578" s="2018"/>
      <c r="C1578" s="2018"/>
      <c r="D1578" s="2018"/>
      <c r="E1578" s="2018"/>
      <c r="F1578" s="2018"/>
      <c r="G1578" s="2018"/>
      <c r="H1578" s="2018"/>
      <c r="I1578" s="2018"/>
      <c r="J1578" s="2018"/>
      <c r="K1578" s="2018"/>
      <c r="L1578" s="2018"/>
      <c r="M1578" s="2018"/>
      <c r="N1578" s="2018"/>
      <c r="O1578" s="2018"/>
      <c r="P1578" s="2018"/>
      <c r="Q1578" s="2018"/>
      <c r="R1578" s="2018"/>
      <c r="S1578" s="2018"/>
      <c r="T1578" s="2018"/>
      <c r="U1578" s="2018"/>
      <c r="V1578" s="2018"/>
      <c r="W1578" s="2018"/>
      <c r="X1578" s="2018"/>
      <c r="Y1578" s="2018"/>
      <c r="Z1578" s="2105"/>
      <c r="AA1578" s="2105"/>
      <c r="AB1578" s="1050"/>
      <c r="AC1578" s="1050"/>
      <c r="AD1578" s="1050"/>
      <c r="AE1578" s="1050"/>
      <c r="AF1578" s="1052"/>
    </row>
    <row r="1579" spans="1:32" ht="15.75" x14ac:dyDescent="0.25">
      <c r="A1579" s="2017"/>
      <c r="B1579" s="2018"/>
      <c r="C1579" s="2018"/>
      <c r="D1579" s="2018"/>
      <c r="E1579" s="2018"/>
      <c r="F1579" s="2018"/>
      <c r="G1579" s="2018"/>
      <c r="H1579" s="2018"/>
      <c r="I1579" s="2018"/>
      <c r="J1579" s="2018"/>
      <c r="K1579" s="2018"/>
      <c r="L1579" s="2018"/>
      <c r="M1579" s="2018"/>
      <c r="N1579" s="2018"/>
      <c r="O1579" s="2018"/>
      <c r="P1579" s="2018"/>
      <c r="Q1579" s="2018"/>
      <c r="R1579" s="2018"/>
      <c r="S1579" s="2018"/>
      <c r="T1579" s="2018"/>
      <c r="U1579" s="2018"/>
      <c r="V1579" s="2018"/>
      <c r="W1579" s="2018"/>
      <c r="X1579" s="2018"/>
      <c r="Y1579" s="2018"/>
      <c r="Z1579" s="2105"/>
      <c r="AA1579" s="2105"/>
      <c r="AB1579" s="1050"/>
      <c r="AC1579" s="1050"/>
      <c r="AD1579" s="1050"/>
      <c r="AE1579" s="1050"/>
      <c r="AF1579" s="1052"/>
    </row>
    <row r="1580" spans="1:32" ht="15.75" x14ac:dyDescent="0.25">
      <c r="A1580" s="2017"/>
      <c r="B1580" s="2018"/>
      <c r="C1580" s="2018"/>
      <c r="D1580" s="2018"/>
      <c r="E1580" s="2018"/>
      <c r="F1580" s="2018"/>
      <c r="G1580" s="2018"/>
      <c r="H1580" s="2018"/>
      <c r="I1580" s="2018"/>
      <c r="J1580" s="2018"/>
      <c r="K1580" s="2018"/>
      <c r="L1580" s="2018"/>
      <c r="M1580" s="2018"/>
      <c r="N1580" s="2018"/>
      <c r="O1580" s="2018"/>
      <c r="P1580" s="2018"/>
      <c r="Q1580" s="2018"/>
      <c r="R1580" s="2018"/>
      <c r="S1580" s="2018"/>
      <c r="T1580" s="2018"/>
      <c r="U1580" s="2018"/>
      <c r="V1580" s="2018"/>
      <c r="W1580" s="2018"/>
      <c r="X1580" s="2018"/>
      <c r="Y1580" s="2018"/>
      <c r="Z1580" s="2105"/>
      <c r="AA1580" s="2105"/>
      <c r="AB1580" s="1050"/>
      <c r="AC1580" s="1050"/>
      <c r="AD1580" s="1050"/>
      <c r="AE1580" s="1050"/>
      <c r="AF1580" s="1052"/>
    </row>
    <row r="1581" spans="1:32" ht="15.75" x14ac:dyDescent="0.25">
      <c r="A1581" s="2017"/>
      <c r="B1581" s="2018"/>
      <c r="C1581" s="2018"/>
      <c r="D1581" s="2018"/>
      <c r="E1581" s="2018"/>
      <c r="F1581" s="2018"/>
      <c r="G1581" s="2018"/>
      <c r="H1581" s="2018"/>
      <c r="I1581" s="2018"/>
      <c r="J1581" s="2018"/>
      <c r="K1581" s="2018"/>
      <c r="L1581" s="2018"/>
      <c r="M1581" s="2018"/>
      <c r="N1581" s="2018"/>
      <c r="O1581" s="2018"/>
      <c r="P1581" s="2018"/>
      <c r="Q1581" s="2018"/>
      <c r="R1581" s="2018"/>
      <c r="S1581" s="2018"/>
      <c r="T1581" s="2018"/>
      <c r="U1581" s="2018"/>
      <c r="V1581" s="2018"/>
      <c r="W1581" s="2018"/>
      <c r="X1581" s="2018"/>
      <c r="Y1581" s="2018"/>
      <c r="Z1581" s="2105"/>
      <c r="AA1581" s="2105"/>
      <c r="AB1581" s="1050"/>
      <c r="AC1581" s="1050"/>
      <c r="AD1581" s="1050"/>
      <c r="AE1581" s="1050"/>
      <c r="AF1581" s="1052"/>
    </row>
    <row r="1582" spans="1:32" ht="15.75" x14ac:dyDescent="0.25">
      <c r="A1582" s="2017"/>
      <c r="B1582" s="2018"/>
      <c r="C1582" s="2018"/>
      <c r="D1582" s="2018"/>
      <c r="E1582" s="2018"/>
      <c r="F1582" s="2018"/>
      <c r="G1582" s="2018"/>
      <c r="H1582" s="2018"/>
      <c r="I1582" s="2018"/>
      <c r="J1582" s="2018"/>
      <c r="K1582" s="2018"/>
      <c r="L1582" s="2018"/>
      <c r="M1582" s="2018"/>
      <c r="N1582" s="2018"/>
      <c r="O1582" s="2018"/>
      <c r="P1582" s="2018"/>
      <c r="Q1582" s="2018"/>
      <c r="R1582" s="2018"/>
      <c r="S1582" s="2018"/>
      <c r="T1582" s="2018"/>
      <c r="U1582" s="2018"/>
      <c r="V1582" s="2018"/>
      <c r="W1582" s="2018"/>
      <c r="X1582" s="2018"/>
      <c r="Y1582" s="2018"/>
      <c r="Z1582" s="2105"/>
      <c r="AA1582" s="2105"/>
      <c r="AB1582" s="1050"/>
      <c r="AC1582" s="1050"/>
      <c r="AD1582" s="1050"/>
      <c r="AE1582" s="1050"/>
      <c r="AF1582" s="1052"/>
    </row>
    <row r="1583" spans="1:32" ht="15.75" x14ac:dyDescent="0.25">
      <c r="A1583" s="2017"/>
      <c r="B1583" s="2018"/>
      <c r="C1583" s="2018"/>
      <c r="D1583" s="2018"/>
      <c r="E1583" s="2018"/>
      <c r="F1583" s="2018"/>
      <c r="G1583" s="2018"/>
      <c r="H1583" s="2018"/>
      <c r="I1583" s="2018"/>
      <c r="J1583" s="2018"/>
      <c r="K1583" s="2018"/>
      <c r="L1583" s="2018"/>
      <c r="M1583" s="2018"/>
      <c r="N1583" s="2018"/>
      <c r="O1583" s="2018"/>
      <c r="P1583" s="2018"/>
      <c r="Q1583" s="2018"/>
      <c r="R1583" s="2018"/>
      <c r="S1583" s="2018"/>
      <c r="T1583" s="2018"/>
      <c r="U1583" s="2018"/>
      <c r="V1583" s="2018"/>
      <c r="W1583" s="2018"/>
      <c r="X1583" s="2018"/>
      <c r="Y1583" s="2018"/>
      <c r="Z1583" s="2105"/>
      <c r="AA1583" s="2105"/>
      <c r="AB1583" s="1050"/>
      <c r="AC1583" s="1050"/>
      <c r="AD1583" s="1050"/>
      <c r="AE1583" s="1050"/>
      <c r="AF1583" s="1052"/>
    </row>
    <row r="1584" spans="1:32" ht="15.75" x14ac:dyDescent="0.25">
      <c r="A1584" s="2017"/>
      <c r="B1584" s="2018"/>
      <c r="C1584" s="2018"/>
      <c r="D1584" s="2018"/>
      <c r="E1584" s="2018"/>
      <c r="F1584" s="2018"/>
      <c r="G1584" s="2018"/>
      <c r="H1584" s="2018"/>
      <c r="I1584" s="2018"/>
      <c r="J1584" s="2018"/>
      <c r="K1584" s="2018"/>
      <c r="L1584" s="2018"/>
      <c r="M1584" s="2018"/>
      <c r="N1584" s="2018"/>
      <c r="O1584" s="2018"/>
      <c r="P1584" s="2018"/>
      <c r="Q1584" s="2018"/>
      <c r="R1584" s="2018"/>
      <c r="S1584" s="2018"/>
      <c r="T1584" s="2018"/>
      <c r="U1584" s="2018"/>
      <c r="V1584" s="2018"/>
      <c r="W1584" s="2018"/>
      <c r="X1584" s="2018"/>
      <c r="Y1584" s="2018"/>
      <c r="Z1584" s="2105"/>
      <c r="AA1584" s="2105"/>
      <c r="AB1584" s="1050"/>
      <c r="AC1584" s="1050"/>
      <c r="AD1584" s="1050"/>
      <c r="AE1584" s="1050"/>
      <c r="AF1584" s="1052"/>
    </row>
    <row r="1585" spans="1:32" ht="15.75" x14ac:dyDescent="0.25">
      <c r="A1585" s="2017"/>
      <c r="B1585" s="2018"/>
      <c r="C1585" s="2018"/>
      <c r="D1585" s="2018"/>
      <c r="E1585" s="2018"/>
      <c r="F1585" s="2018"/>
      <c r="G1585" s="2018"/>
      <c r="H1585" s="2018"/>
      <c r="I1585" s="2018"/>
      <c r="J1585" s="2018"/>
      <c r="K1585" s="2018"/>
      <c r="L1585" s="2018"/>
      <c r="M1585" s="2018"/>
      <c r="N1585" s="2018"/>
      <c r="O1585" s="2018"/>
      <c r="P1585" s="2018"/>
      <c r="Q1585" s="2018"/>
      <c r="R1585" s="2018"/>
      <c r="S1585" s="2018"/>
      <c r="T1585" s="2018"/>
      <c r="U1585" s="2018"/>
      <c r="V1585" s="2018"/>
      <c r="W1585" s="2018"/>
      <c r="X1585" s="2018"/>
      <c r="Y1585" s="2018"/>
      <c r="Z1585" s="2022"/>
      <c r="AA1585" s="2022"/>
      <c r="AB1585" s="1050"/>
      <c r="AC1585" s="1050"/>
      <c r="AD1585" s="1050"/>
      <c r="AE1585" s="1050"/>
      <c r="AF1585" s="1052"/>
    </row>
    <row r="1586" spans="1:32" ht="15.75" x14ac:dyDescent="0.25">
      <c r="A1586" s="2017"/>
      <c r="B1586" s="2018"/>
      <c r="C1586" s="2018"/>
      <c r="D1586" s="2018"/>
      <c r="E1586" s="2018"/>
      <c r="F1586" s="2018"/>
      <c r="G1586" s="2018"/>
      <c r="H1586" s="2018"/>
      <c r="I1586" s="2018"/>
      <c r="J1586" s="2018"/>
      <c r="K1586" s="2018"/>
      <c r="L1586" s="2018"/>
      <c r="M1586" s="2018"/>
      <c r="N1586" s="2018"/>
      <c r="O1586" s="2018"/>
      <c r="P1586" s="2018"/>
      <c r="Q1586" s="2018"/>
      <c r="R1586" s="2018"/>
      <c r="S1586" s="2018"/>
      <c r="T1586" s="2018"/>
      <c r="U1586" s="2018"/>
      <c r="V1586" s="2018"/>
      <c r="W1586" s="2018"/>
      <c r="X1586" s="2018"/>
      <c r="Y1586" s="2018"/>
      <c r="Z1586" s="2022"/>
      <c r="AA1586" s="2022"/>
      <c r="AB1586" s="1050"/>
      <c r="AC1586" s="1050"/>
      <c r="AD1586" s="1050"/>
      <c r="AE1586" s="1050"/>
      <c r="AF1586" s="1052"/>
    </row>
    <row r="1587" spans="1:32" ht="15.75" x14ac:dyDescent="0.25">
      <c r="A1587" s="2017"/>
      <c r="B1587" s="2018"/>
      <c r="C1587" s="2018"/>
      <c r="D1587" s="2018"/>
      <c r="E1587" s="2018"/>
      <c r="F1587" s="2018"/>
      <c r="G1587" s="2018"/>
      <c r="H1587" s="2018"/>
      <c r="I1587" s="2018"/>
      <c r="J1587" s="2018"/>
      <c r="K1587" s="2018"/>
      <c r="L1587" s="2018"/>
      <c r="M1587" s="2018"/>
      <c r="N1587" s="2018"/>
      <c r="O1587" s="2018"/>
      <c r="P1587" s="2018"/>
      <c r="Q1587" s="2018"/>
      <c r="R1587" s="2018"/>
      <c r="S1587" s="2018"/>
      <c r="T1587" s="2018"/>
      <c r="U1587" s="2018"/>
      <c r="V1587" s="2018"/>
      <c r="W1587" s="2018"/>
      <c r="X1587" s="2018"/>
      <c r="Y1587" s="2018"/>
      <c r="Z1587" s="2022"/>
      <c r="AA1587" s="2022"/>
      <c r="AB1587" s="1050"/>
      <c r="AC1587" s="1050"/>
      <c r="AD1587" s="1050"/>
      <c r="AE1587" s="1050"/>
      <c r="AF1587" s="1052"/>
    </row>
    <row r="1588" spans="1:32" ht="15.75" x14ac:dyDescent="0.25">
      <c r="A1588" s="2017"/>
      <c r="B1588" s="2018"/>
      <c r="C1588" s="2018"/>
      <c r="D1588" s="2018"/>
      <c r="E1588" s="2018"/>
      <c r="F1588" s="2018"/>
      <c r="G1588" s="2018"/>
      <c r="H1588" s="2018"/>
      <c r="I1588" s="2018"/>
      <c r="J1588" s="2018"/>
      <c r="K1588" s="2018"/>
      <c r="L1588" s="2018"/>
      <c r="M1588" s="2018"/>
      <c r="N1588" s="2018"/>
      <c r="O1588" s="2018"/>
      <c r="P1588" s="2018"/>
      <c r="Q1588" s="2018"/>
      <c r="R1588" s="2018"/>
      <c r="S1588" s="2018"/>
      <c r="T1588" s="2018"/>
      <c r="U1588" s="2018"/>
      <c r="V1588" s="2018"/>
      <c r="W1588" s="2018"/>
      <c r="X1588" s="2018"/>
      <c r="Y1588" s="2018"/>
      <c r="Z1588" s="2022"/>
      <c r="AA1588" s="2022"/>
      <c r="AB1588" s="1050"/>
      <c r="AC1588" s="1050"/>
      <c r="AD1588" s="1050"/>
      <c r="AE1588" s="1050"/>
      <c r="AF1588" s="1052"/>
    </row>
    <row r="1589" spans="1:32" ht="15.75" x14ac:dyDescent="0.25">
      <c r="A1589" s="2017"/>
      <c r="B1589" s="2018"/>
      <c r="C1589" s="2018"/>
      <c r="D1589" s="2018"/>
      <c r="E1589" s="2018"/>
      <c r="F1589" s="2018"/>
      <c r="G1589" s="2018"/>
      <c r="H1589" s="2018"/>
      <c r="I1589" s="2018"/>
      <c r="J1589" s="2018"/>
      <c r="K1589" s="2018"/>
      <c r="L1589" s="2018"/>
      <c r="M1589" s="2018"/>
      <c r="N1589" s="2018"/>
      <c r="O1589" s="2018"/>
      <c r="P1589" s="2018"/>
      <c r="Q1589" s="2018"/>
      <c r="R1589" s="2018"/>
      <c r="S1589" s="2018"/>
      <c r="T1589" s="2018"/>
      <c r="U1589" s="2018"/>
      <c r="V1589" s="2018"/>
      <c r="W1589" s="2018"/>
      <c r="X1589" s="2018"/>
      <c r="Y1589" s="2018"/>
      <c r="Z1589" s="2023"/>
      <c r="AA1589" s="2023"/>
      <c r="AB1589" s="1050"/>
      <c r="AC1589" s="1050"/>
      <c r="AD1589" s="1050"/>
      <c r="AE1589" s="1050"/>
      <c r="AF1589" s="1052"/>
    </row>
    <row r="1590" spans="1:32" ht="15.75" x14ac:dyDescent="0.25">
      <c r="A1590" s="2017"/>
      <c r="B1590" s="2018"/>
      <c r="C1590" s="2018"/>
      <c r="D1590" s="2018"/>
      <c r="E1590" s="2018"/>
      <c r="F1590" s="2018"/>
      <c r="G1590" s="2018"/>
      <c r="H1590" s="2018"/>
      <c r="I1590" s="2018"/>
      <c r="J1590" s="2018"/>
      <c r="K1590" s="2018"/>
      <c r="L1590" s="2018"/>
      <c r="M1590" s="2018"/>
      <c r="N1590" s="2018"/>
      <c r="O1590" s="2018"/>
      <c r="P1590" s="2018"/>
      <c r="Q1590" s="2018"/>
      <c r="R1590" s="2018"/>
      <c r="S1590" s="2018"/>
      <c r="T1590" s="2018"/>
      <c r="U1590" s="2018"/>
      <c r="V1590" s="2018"/>
      <c r="W1590" s="2018"/>
      <c r="X1590" s="2018"/>
      <c r="Y1590" s="2018"/>
      <c r="Z1590" s="2023"/>
      <c r="AA1590" s="2023"/>
      <c r="AB1590" s="1050"/>
      <c r="AC1590" s="1050"/>
      <c r="AD1590" s="1050"/>
      <c r="AE1590" s="1050"/>
      <c r="AF1590" s="1052"/>
    </row>
    <row r="1591" spans="1:32" ht="15.75" x14ac:dyDescent="0.25">
      <c r="A1591" s="2017"/>
      <c r="B1591" s="2018"/>
      <c r="C1591" s="2018"/>
      <c r="D1591" s="2018"/>
      <c r="E1591" s="2018"/>
      <c r="F1591" s="2018"/>
      <c r="G1591" s="2018"/>
      <c r="H1591" s="2018"/>
      <c r="I1591" s="2018"/>
      <c r="J1591" s="2018"/>
      <c r="K1591" s="2018"/>
      <c r="L1591" s="2018"/>
      <c r="M1591" s="2018"/>
      <c r="N1591" s="2018"/>
      <c r="O1591" s="2018"/>
      <c r="P1591" s="2018"/>
      <c r="Q1591" s="2018"/>
      <c r="R1591" s="2018"/>
      <c r="S1591" s="2018"/>
      <c r="T1591" s="2018"/>
      <c r="U1591" s="2018"/>
      <c r="V1591" s="2018"/>
      <c r="W1591" s="2018"/>
      <c r="X1591" s="2018"/>
      <c r="Y1591" s="2018"/>
      <c r="Z1591" s="2023"/>
      <c r="AA1591" s="2023"/>
      <c r="AB1591" s="1050"/>
      <c r="AC1591" s="1050"/>
      <c r="AD1591" s="1050"/>
      <c r="AE1591" s="1050"/>
      <c r="AF1591" s="1052"/>
    </row>
    <row r="1592" spans="1:32" ht="15.75" x14ac:dyDescent="0.25">
      <c r="A1592" s="2017"/>
      <c r="B1592" s="2018"/>
      <c r="C1592" s="2018"/>
      <c r="D1592" s="2018"/>
      <c r="E1592" s="2018"/>
      <c r="F1592" s="2018"/>
      <c r="G1592" s="2018"/>
      <c r="H1592" s="2018"/>
      <c r="I1592" s="2018"/>
      <c r="J1592" s="2018"/>
      <c r="K1592" s="2018"/>
      <c r="L1592" s="2018"/>
      <c r="M1592" s="2018"/>
      <c r="N1592" s="2018"/>
      <c r="O1592" s="2018"/>
      <c r="P1592" s="2018"/>
      <c r="Q1592" s="2018"/>
      <c r="R1592" s="2018"/>
      <c r="S1592" s="2018"/>
      <c r="T1592" s="2018"/>
      <c r="U1592" s="2018"/>
      <c r="V1592" s="2018"/>
      <c r="W1592" s="2018"/>
      <c r="X1592" s="2018"/>
      <c r="Y1592" s="2018"/>
      <c r="Z1592" s="2023"/>
      <c r="AA1592" s="2023"/>
      <c r="AB1592" s="1050"/>
      <c r="AC1592" s="1050"/>
      <c r="AD1592" s="1050"/>
      <c r="AE1592" s="1050"/>
      <c r="AF1592" s="1052"/>
    </row>
    <row r="1593" spans="1:32" ht="15.75" x14ac:dyDescent="0.25">
      <c r="A1593" s="2017"/>
      <c r="B1593" s="2018"/>
      <c r="C1593" s="2018"/>
      <c r="D1593" s="2018"/>
      <c r="E1593" s="2018"/>
      <c r="F1593" s="2018"/>
      <c r="G1593" s="2018"/>
      <c r="H1593" s="2018"/>
      <c r="I1593" s="2018"/>
      <c r="J1593" s="2018"/>
      <c r="K1593" s="2018"/>
      <c r="L1593" s="2018"/>
      <c r="M1593" s="2018"/>
      <c r="N1593" s="2018"/>
      <c r="O1593" s="2018"/>
      <c r="P1593" s="2018"/>
      <c r="Q1593" s="2018"/>
      <c r="R1593" s="2018"/>
      <c r="S1593" s="2018"/>
      <c r="T1593" s="2018"/>
      <c r="U1593" s="2018"/>
      <c r="V1593" s="2018"/>
      <c r="W1593" s="2018"/>
      <c r="X1593" s="2018"/>
      <c r="Y1593" s="2018"/>
      <c r="Z1593" s="2023"/>
      <c r="AA1593" s="2023"/>
      <c r="AB1593" s="1050"/>
      <c r="AC1593" s="1050"/>
      <c r="AD1593" s="1050"/>
      <c r="AE1593" s="1050"/>
      <c r="AF1593" s="1052"/>
    </row>
    <row r="1594" spans="1:32" ht="15.75" x14ac:dyDescent="0.25">
      <c r="A1594" s="2017"/>
      <c r="B1594" s="2018"/>
      <c r="C1594" s="2018"/>
      <c r="D1594" s="2018"/>
      <c r="E1594" s="2018"/>
      <c r="F1594" s="2018"/>
      <c r="G1594" s="2018"/>
      <c r="H1594" s="2018"/>
      <c r="I1594" s="2018"/>
      <c r="J1594" s="2018"/>
      <c r="K1594" s="2018"/>
      <c r="L1594" s="2018"/>
      <c r="M1594" s="2018"/>
      <c r="N1594" s="2018"/>
      <c r="O1594" s="2018"/>
      <c r="P1594" s="2018"/>
      <c r="Q1594" s="2018"/>
      <c r="R1594" s="2018"/>
      <c r="S1594" s="2018"/>
      <c r="T1594" s="2018"/>
      <c r="U1594" s="2018"/>
      <c r="V1594" s="2018"/>
      <c r="W1594" s="2018"/>
      <c r="X1594" s="2018"/>
      <c r="Y1594" s="2018"/>
      <c r="Z1594" s="2023"/>
      <c r="AA1594" s="2023"/>
      <c r="AB1594" s="1050"/>
      <c r="AC1594" s="1050"/>
      <c r="AD1594" s="1050"/>
      <c r="AE1594" s="1050"/>
      <c r="AF1594" s="1052"/>
    </row>
    <row r="1595" spans="1:32" ht="16.5" thickBot="1" x14ac:dyDescent="0.3">
      <c r="A1595" s="2019"/>
      <c r="B1595" s="2020"/>
      <c r="C1595" s="2020"/>
      <c r="D1595" s="2020"/>
      <c r="E1595" s="2020"/>
      <c r="F1595" s="2020"/>
      <c r="G1595" s="2020"/>
      <c r="H1595" s="2020"/>
      <c r="I1595" s="2020"/>
      <c r="J1595" s="2020"/>
      <c r="K1595" s="2020"/>
      <c r="L1595" s="2020"/>
      <c r="M1595" s="2020"/>
      <c r="N1595" s="2020"/>
      <c r="O1595" s="2020"/>
      <c r="P1595" s="2020"/>
      <c r="Q1595" s="2020"/>
      <c r="R1595" s="2020"/>
      <c r="S1595" s="2020"/>
      <c r="T1595" s="2020"/>
      <c r="U1595" s="2020"/>
      <c r="V1595" s="2020"/>
      <c r="W1595" s="2020"/>
      <c r="X1595" s="2020"/>
      <c r="Y1595" s="2020"/>
      <c r="Z1595" s="2024"/>
      <c r="AA1595" s="2024"/>
      <c r="AB1595" s="1057"/>
      <c r="AC1595" s="1057"/>
      <c r="AD1595" s="1057"/>
      <c r="AE1595" s="1057"/>
      <c r="AF1595" s="1058"/>
    </row>
    <row r="1596" spans="1:32" ht="15.75" x14ac:dyDescent="0.25">
      <c r="A1596" s="2009" t="s">
        <v>1855</v>
      </c>
      <c r="B1596" s="2010"/>
      <c r="C1596" s="2010"/>
      <c r="D1596" s="2010"/>
      <c r="E1596" s="2010"/>
      <c r="F1596" s="2010"/>
      <c r="G1596" s="2010"/>
      <c r="H1596" s="2010"/>
      <c r="I1596" s="2010"/>
      <c r="J1596" s="2010"/>
      <c r="K1596" s="2010"/>
      <c r="L1596" s="2010"/>
      <c r="M1596" s="2010"/>
      <c r="N1596" s="2010"/>
      <c r="O1596" s="2010"/>
      <c r="P1596" s="2010"/>
      <c r="Q1596" s="2010"/>
      <c r="R1596" s="2010"/>
      <c r="S1596" s="2010"/>
      <c r="T1596" s="2010"/>
      <c r="U1596" s="2010"/>
      <c r="V1596" s="2010"/>
      <c r="W1596" s="2010"/>
      <c r="X1596" s="2010"/>
      <c r="Y1596" s="2010"/>
      <c r="Z1596" s="2013" t="s">
        <v>1850</v>
      </c>
      <c r="AA1596" s="2013"/>
      <c r="AB1596" s="2013"/>
      <c r="AC1596" s="2013"/>
      <c r="AD1596" s="2013"/>
      <c r="AE1596" s="2013"/>
      <c r="AF1596" s="1059">
        <f>SUM(AF1572:AF1595)</f>
        <v>22</v>
      </c>
    </row>
    <row r="1597" spans="1:32" ht="15.75" x14ac:dyDescent="0.25">
      <c r="A1597" s="2011"/>
      <c r="B1597" s="2012"/>
      <c r="C1597" s="2012"/>
      <c r="D1597" s="2012"/>
      <c r="E1597" s="2012"/>
      <c r="F1597" s="2012"/>
      <c r="G1597" s="2012"/>
      <c r="H1597" s="2012"/>
      <c r="I1597" s="2012"/>
      <c r="J1597" s="2012"/>
      <c r="K1597" s="2012"/>
      <c r="L1597" s="2012"/>
      <c r="M1597" s="2012"/>
      <c r="N1597" s="2012"/>
      <c r="O1597" s="2012"/>
      <c r="P1597" s="2012"/>
      <c r="Q1597" s="2012"/>
      <c r="R1597" s="2012"/>
      <c r="S1597" s="2012"/>
      <c r="T1597" s="2012"/>
      <c r="U1597" s="2012"/>
      <c r="V1597" s="2012"/>
      <c r="W1597" s="2012"/>
      <c r="X1597" s="2012"/>
      <c r="Y1597" s="2012"/>
      <c r="Z1597" s="2014" t="s">
        <v>1851</v>
      </c>
      <c r="AA1597" s="2014"/>
      <c r="AB1597" s="2014"/>
      <c r="AC1597" s="2014"/>
      <c r="AD1597" s="2014"/>
      <c r="AE1597" s="2014"/>
      <c r="AF1597" s="1060">
        <v>0</v>
      </c>
    </row>
    <row r="1598" spans="1:32" ht="15.75" x14ac:dyDescent="0.25">
      <c r="A1598" s="2011"/>
      <c r="B1598" s="2012"/>
      <c r="C1598" s="2012"/>
      <c r="D1598" s="2012"/>
      <c r="E1598" s="2012"/>
      <c r="F1598" s="2012"/>
      <c r="G1598" s="2012"/>
      <c r="H1598" s="2012"/>
      <c r="I1598" s="2012"/>
      <c r="J1598" s="2012"/>
      <c r="K1598" s="2012"/>
      <c r="L1598" s="2012"/>
      <c r="M1598" s="2012"/>
      <c r="N1598" s="2012"/>
      <c r="O1598" s="2012"/>
      <c r="P1598" s="2012"/>
      <c r="Q1598" s="2012"/>
      <c r="R1598" s="2012"/>
      <c r="S1598" s="2012"/>
      <c r="T1598" s="2012"/>
      <c r="U1598" s="2012"/>
      <c r="V1598" s="2012"/>
      <c r="W1598" s="2012"/>
      <c r="X1598" s="2012"/>
      <c r="Y1598" s="2012"/>
      <c r="Z1598" s="2015" t="s">
        <v>1833</v>
      </c>
      <c r="AA1598" s="2015"/>
      <c r="AB1598" s="2015"/>
      <c r="AC1598" s="2015"/>
      <c r="AD1598" s="2015"/>
      <c r="AE1598" s="2015"/>
      <c r="AF1598" s="1061">
        <f>SUM(AF1596:AF1597)</f>
        <v>22</v>
      </c>
    </row>
    <row r="1599" spans="1:32" x14ac:dyDescent="0.2">
      <c r="A1599" s="2012" t="s">
        <v>1859</v>
      </c>
      <c r="B1599" s="2012"/>
      <c r="C1599" s="2012"/>
      <c r="D1599" s="2012"/>
      <c r="E1599" s="2012"/>
      <c r="F1599" s="2012"/>
      <c r="G1599" s="2012"/>
      <c r="H1599" s="2012"/>
      <c r="I1599" s="2012"/>
      <c r="J1599" s="2012"/>
      <c r="K1599" s="2012"/>
      <c r="L1599" s="2012"/>
      <c r="M1599" s="2012"/>
      <c r="N1599" s="2012"/>
      <c r="O1599" s="2012"/>
      <c r="P1599" s="2012"/>
      <c r="Q1599" s="2012"/>
      <c r="R1599" s="2012"/>
      <c r="S1599" s="2012"/>
      <c r="T1599" s="2016" t="s">
        <v>1840</v>
      </c>
      <c r="U1599" s="2016"/>
      <c r="V1599" s="2016"/>
      <c r="W1599" s="2016"/>
      <c r="X1599" s="2016"/>
      <c r="Y1599" s="2016"/>
      <c r="Z1599" s="2016"/>
      <c r="AA1599" s="2016"/>
      <c r="AB1599" s="2012" t="s">
        <v>1852</v>
      </c>
      <c r="AC1599" s="2012"/>
      <c r="AD1599" s="2012"/>
      <c r="AE1599" s="2012"/>
      <c r="AF1599" s="2012"/>
    </row>
    <row r="1600" spans="1:32" x14ac:dyDescent="0.2">
      <c r="A1600" s="2012"/>
      <c r="B1600" s="2012"/>
      <c r="C1600" s="2012"/>
      <c r="D1600" s="2012"/>
      <c r="E1600" s="2012"/>
      <c r="F1600" s="2012"/>
      <c r="G1600" s="2012"/>
      <c r="H1600" s="2012"/>
      <c r="I1600" s="2012"/>
      <c r="J1600" s="2012"/>
      <c r="K1600" s="2012"/>
      <c r="L1600" s="2012"/>
      <c r="M1600" s="2012"/>
      <c r="N1600" s="2012"/>
      <c r="O1600" s="2012"/>
      <c r="P1600" s="2012"/>
      <c r="Q1600" s="2012"/>
      <c r="R1600" s="2012"/>
      <c r="S1600" s="2012"/>
      <c r="T1600" s="2016"/>
      <c r="U1600" s="2016"/>
      <c r="V1600" s="2016"/>
      <c r="W1600" s="2016"/>
      <c r="X1600" s="2016"/>
      <c r="Y1600" s="2016"/>
      <c r="Z1600" s="2016"/>
      <c r="AA1600" s="2016"/>
      <c r="AB1600" s="2012"/>
      <c r="AC1600" s="2012"/>
      <c r="AD1600" s="2012"/>
      <c r="AE1600" s="2012"/>
      <c r="AF1600" s="2012"/>
    </row>
    <row r="1601" spans="1:32" ht="13.5" thickBot="1" x14ac:dyDescent="0.25"/>
    <row r="1602" spans="1:32" ht="26.45" customHeight="1" x14ac:dyDescent="0.2">
      <c r="A1602" s="2025" t="s">
        <v>1854</v>
      </c>
      <c r="B1602" s="2026"/>
      <c r="C1602" s="2026"/>
      <c r="D1602" s="2026"/>
      <c r="E1602" s="2026"/>
      <c r="F1602" s="2026"/>
      <c r="G1602" s="2026"/>
      <c r="H1602" s="2026"/>
      <c r="I1602" s="2026"/>
      <c r="J1602" s="2026"/>
      <c r="K1602" s="2026"/>
      <c r="L1602" s="2026"/>
      <c r="M1602" s="2026"/>
      <c r="N1602" s="2026"/>
      <c r="O1602" s="2026"/>
      <c r="P1602" s="2026"/>
      <c r="Q1602" s="2026"/>
      <c r="R1602" s="2026"/>
      <c r="S1602" s="2026"/>
      <c r="T1602" s="2026"/>
      <c r="U1602" s="2026"/>
      <c r="V1602" s="2026"/>
      <c r="W1602" s="2026"/>
      <c r="X1602" s="2026"/>
      <c r="Y1602" s="2026"/>
      <c r="Z1602" s="2026"/>
      <c r="AA1602" s="2026"/>
      <c r="AB1602" s="2026"/>
      <c r="AC1602" s="2026"/>
      <c r="AD1602" s="2026"/>
      <c r="AE1602" s="1041" t="s">
        <v>1834</v>
      </c>
      <c r="AF1602" s="1042" t="s">
        <v>1835</v>
      </c>
    </row>
    <row r="1603" spans="1:32" ht="21" customHeight="1" thickBot="1" x14ac:dyDescent="0.25">
      <c r="A1603" s="2027"/>
      <c r="B1603" s="2028"/>
      <c r="C1603" s="2028"/>
      <c r="D1603" s="2028"/>
      <c r="E1603" s="2028"/>
      <c r="F1603" s="2028"/>
      <c r="G1603" s="2028"/>
      <c r="H1603" s="2028"/>
      <c r="I1603" s="2028"/>
      <c r="J1603" s="2028"/>
      <c r="K1603" s="2028"/>
      <c r="L1603" s="2028"/>
      <c r="M1603" s="2028"/>
      <c r="N1603" s="2028"/>
      <c r="O1603" s="2028"/>
      <c r="P1603" s="2028"/>
      <c r="Q1603" s="2028"/>
      <c r="R1603" s="2028"/>
      <c r="S1603" s="2028"/>
      <c r="T1603" s="2028"/>
      <c r="U1603" s="2028"/>
      <c r="V1603" s="2028"/>
      <c r="W1603" s="2028"/>
      <c r="X1603" s="2028"/>
      <c r="Y1603" s="2028"/>
      <c r="Z1603" s="2028"/>
      <c r="AA1603" s="2028"/>
      <c r="AB1603" s="2028"/>
      <c r="AC1603" s="2028"/>
      <c r="AD1603" s="2028"/>
      <c r="AE1603" s="1041" t="s">
        <v>1836</v>
      </c>
      <c r="AF1603" s="1044">
        <v>1</v>
      </c>
    </row>
    <row r="1604" spans="1:32" ht="15.75" x14ac:dyDescent="0.2">
      <c r="A1604" s="2029"/>
      <c r="B1604" s="2030"/>
      <c r="C1604" s="2030"/>
      <c r="D1604" s="2031"/>
      <c r="E1604" s="2025" t="str">
        <f>'01'!$A$12</f>
        <v>"CONSTRUCCION SISTEMA DE ACUEDUCTO FASE II DEL MUNICIPIO DE TESALIA DPTO DEL HUILA"</v>
      </c>
      <c r="F1604" s="2026"/>
      <c r="G1604" s="2026"/>
      <c r="H1604" s="2026"/>
      <c r="I1604" s="2026"/>
      <c r="J1604" s="2026"/>
      <c r="K1604" s="2026"/>
      <c r="L1604" s="2026"/>
      <c r="M1604" s="2026"/>
      <c r="N1604" s="2026"/>
      <c r="O1604" s="2026"/>
      <c r="P1604" s="2026"/>
      <c r="Q1604" s="2026"/>
      <c r="R1604" s="2026"/>
      <c r="S1604" s="2026"/>
      <c r="T1604" s="2026"/>
      <c r="U1604" s="2026"/>
      <c r="V1604" s="2026"/>
      <c r="W1604" s="2026"/>
      <c r="X1604" s="2026"/>
      <c r="Y1604" s="2026"/>
      <c r="Z1604" s="2026"/>
      <c r="AA1604" s="2026"/>
      <c r="AB1604" s="2026"/>
      <c r="AC1604" s="2026"/>
      <c r="AD1604" s="2035"/>
      <c r="AE1604" s="1041" t="s">
        <v>847</v>
      </c>
      <c r="AF1604" s="1045">
        <f>'01'!$M$13</f>
        <v>0</v>
      </c>
    </row>
    <row r="1605" spans="1:32" ht="16.5" thickBot="1" x14ac:dyDescent="0.25">
      <c r="A1605" s="2032"/>
      <c r="B1605" s="2033"/>
      <c r="C1605" s="2033"/>
      <c r="D1605" s="2034"/>
      <c r="E1605" s="2027"/>
      <c r="F1605" s="2028"/>
      <c r="G1605" s="2028"/>
      <c r="H1605" s="2028"/>
      <c r="I1605" s="2028"/>
      <c r="J1605" s="2028"/>
      <c r="K1605" s="2028"/>
      <c r="L1605" s="2028"/>
      <c r="M1605" s="2028"/>
      <c r="N1605" s="2028"/>
      <c r="O1605" s="2028"/>
      <c r="P1605" s="2028"/>
      <c r="Q1605" s="2028"/>
      <c r="R1605" s="2028"/>
      <c r="S1605" s="2028"/>
      <c r="T1605" s="2028"/>
      <c r="U1605" s="2028"/>
      <c r="V1605" s="2028"/>
      <c r="W1605" s="2028"/>
      <c r="X1605" s="2028"/>
      <c r="Y1605" s="2028"/>
      <c r="Z1605" s="2028"/>
      <c r="AA1605" s="2028"/>
      <c r="AB1605" s="2028"/>
      <c r="AC1605" s="2028"/>
      <c r="AD1605" s="2036"/>
      <c r="AE1605" s="1041" t="s">
        <v>1837</v>
      </c>
      <c r="AF1605" s="1042" t="s">
        <v>1838</v>
      </c>
    </row>
    <row r="1606" spans="1:32" ht="15.75" x14ac:dyDescent="0.25">
      <c r="A1606" s="2037" t="s">
        <v>1860</v>
      </c>
      <c r="B1606" s="2038"/>
      <c r="C1606" s="2038"/>
      <c r="D1606" s="2038"/>
      <c r="E1606" s="2038"/>
      <c r="F1606" s="2038"/>
      <c r="G1606" s="2038"/>
      <c r="H1606" s="2038"/>
      <c r="I1606" s="2038"/>
      <c r="J1606" s="2038"/>
      <c r="K1606" s="2038"/>
      <c r="L1606" s="2038"/>
      <c r="M1606" s="2038"/>
      <c r="N1606" s="2038"/>
      <c r="O1606" s="2038"/>
      <c r="P1606" s="2038"/>
      <c r="Q1606" s="2038"/>
      <c r="R1606" s="2038"/>
      <c r="S1606" s="2038"/>
      <c r="T1606" s="2038"/>
      <c r="U1606" s="2038"/>
      <c r="V1606" s="2038"/>
      <c r="W1606" s="2038"/>
      <c r="X1606" s="2038"/>
      <c r="Y1606" s="2038"/>
      <c r="Z1606" s="2038"/>
      <c r="AA1606" s="2038"/>
      <c r="AB1606" s="2038"/>
      <c r="AC1606" s="2038"/>
      <c r="AD1606" s="2038"/>
      <c r="AE1606" s="2039" t="s">
        <v>1839</v>
      </c>
      <c r="AF1606" s="2040"/>
    </row>
    <row r="1607" spans="1:32" ht="15.75" x14ac:dyDescent="0.25">
      <c r="A1607" s="2041" t="s">
        <v>1840</v>
      </c>
      <c r="B1607" s="2042"/>
      <c r="C1607" s="2042"/>
      <c r="D1607" s="2042"/>
      <c r="E1607" s="2042"/>
      <c r="F1607" s="2042"/>
      <c r="G1607" s="2042"/>
      <c r="H1607" s="2042"/>
      <c r="I1607" s="2042"/>
      <c r="J1607" s="2042"/>
      <c r="K1607" s="2042"/>
      <c r="L1607" s="2042"/>
      <c r="M1607" s="2042"/>
      <c r="N1607" s="2042"/>
      <c r="O1607" s="2042"/>
      <c r="P1607" s="2042"/>
      <c r="Q1607" s="2042"/>
      <c r="R1607" s="2042"/>
      <c r="S1607" s="2042"/>
      <c r="T1607" s="2042"/>
      <c r="U1607" s="2042"/>
      <c r="V1607" s="2042"/>
      <c r="W1607" s="2042"/>
      <c r="X1607" s="2042"/>
      <c r="Y1607" s="2042"/>
      <c r="Z1607" s="2042"/>
      <c r="AA1607" s="2042"/>
      <c r="AB1607" s="2042"/>
      <c r="AC1607" s="2042"/>
      <c r="AD1607" s="2043"/>
      <c r="AE1607" s="2014" t="s">
        <v>1841</v>
      </c>
      <c r="AF1607" s="2044"/>
    </row>
    <row r="1608" spans="1:32" ht="15.75" x14ac:dyDescent="0.25">
      <c r="A1608" s="2045" t="s">
        <v>1853</v>
      </c>
      <c r="B1608" s="2046"/>
      <c r="C1608" s="2046"/>
      <c r="D1608" s="2046"/>
      <c r="E1608" s="2046"/>
      <c r="F1608" s="2046"/>
      <c r="G1608" s="2046"/>
      <c r="H1608" s="2046"/>
      <c r="I1608" s="2046"/>
      <c r="J1608" s="2046"/>
      <c r="K1608" s="2046"/>
      <c r="L1608" s="2046"/>
      <c r="M1608" s="2046"/>
      <c r="N1608" s="2046"/>
      <c r="O1608" s="2046"/>
      <c r="P1608" s="2046"/>
      <c r="Q1608" s="2046"/>
      <c r="R1608" s="2046"/>
      <c r="S1608" s="2046"/>
      <c r="T1608" s="2046"/>
      <c r="U1608" s="2046"/>
      <c r="V1608" s="2046"/>
      <c r="W1608" s="2046"/>
      <c r="X1608" s="2046"/>
      <c r="Y1608" s="2046"/>
      <c r="Z1608" s="2046"/>
      <c r="AA1608" s="2046"/>
      <c r="AB1608" s="2046"/>
      <c r="AC1608" s="2046"/>
      <c r="AD1608" s="2046"/>
      <c r="AE1608" s="2047">
        <f>'01'!$M$13</f>
        <v>0</v>
      </c>
      <c r="AF1608" s="2044"/>
    </row>
    <row r="1609" spans="1:32" x14ac:dyDescent="0.2">
      <c r="A1609" s="1046"/>
      <c r="B1609" s="1047"/>
      <c r="C1609" s="1047"/>
      <c r="D1609" s="1047"/>
      <c r="E1609" s="1047"/>
      <c r="F1609" s="1047"/>
      <c r="G1609" s="1047"/>
      <c r="H1609" s="1047"/>
      <c r="I1609" s="1047"/>
      <c r="J1609" s="1047"/>
      <c r="K1609" s="1047"/>
      <c r="L1609" s="1047"/>
      <c r="M1609" s="1047"/>
      <c r="N1609" s="1047"/>
      <c r="O1609" s="1047"/>
      <c r="P1609" s="1047"/>
      <c r="Q1609" s="1047"/>
      <c r="R1609" s="1047"/>
      <c r="S1609" s="1047"/>
      <c r="T1609" s="1047"/>
      <c r="U1609" s="1047"/>
      <c r="V1609" s="1047"/>
      <c r="W1609" s="1047"/>
      <c r="X1609" s="1047"/>
      <c r="Y1609" s="1047"/>
      <c r="Z1609" s="1047"/>
      <c r="AA1609" s="1047"/>
      <c r="AB1609" s="1047"/>
      <c r="AC1609" s="1047"/>
      <c r="AD1609" s="1047"/>
      <c r="AE1609" s="1047"/>
      <c r="AF1609" s="1048"/>
    </row>
    <row r="1610" spans="1:32" ht="30" customHeight="1" x14ac:dyDescent="0.2">
      <c r="A1610" s="2048" t="s">
        <v>1842</v>
      </c>
      <c r="B1610" s="2049"/>
      <c r="C1610" s="2049"/>
      <c r="D1610" s="2049"/>
      <c r="E1610" s="2049"/>
      <c r="F1610" s="2050" t="str">
        <f>+'01'!$H$63</f>
        <v>C - FLOCULADOR, SEDIMENTADOR, CANAL DE AGUA SEDIMENTADA Y CANAL DE LAVADO</v>
      </c>
      <c r="G1610" s="2049"/>
      <c r="H1610" s="2049"/>
      <c r="I1610" s="2049"/>
      <c r="J1610" s="2049"/>
      <c r="K1610" s="2049"/>
      <c r="L1610" s="2049"/>
      <c r="M1610" s="2049"/>
      <c r="N1610" s="2049"/>
      <c r="O1610" s="2049"/>
      <c r="P1610" s="2049"/>
      <c r="Q1610" s="2049"/>
      <c r="R1610" s="2049"/>
      <c r="S1610" s="2049"/>
      <c r="T1610" s="2049"/>
      <c r="U1610" s="2049"/>
      <c r="V1610" s="2049"/>
      <c r="W1610" s="2049"/>
      <c r="X1610" s="2049"/>
      <c r="Y1610" s="2051"/>
      <c r="Z1610" s="2052" t="s">
        <v>1843</v>
      </c>
      <c r="AA1610" s="2053"/>
      <c r="AB1610" s="2058" t="s">
        <v>1844</v>
      </c>
      <c r="AC1610" s="2059"/>
      <c r="AD1610" s="2060"/>
      <c r="AE1610" s="2064" t="s">
        <v>1845</v>
      </c>
      <c r="AF1610" s="2067" t="s">
        <v>1846</v>
      </c>
    </row>
    <row r="1611" spans="1:32" x14ac:dyDescent="0.2">
      <c r="A1611" s="2070" t="str">
        <f>+'01'!A83</f>
        <v>C-07-02</v>
      </c>
      <c r="B1611" s="2071"/>
      <c r="C1611" s="2072"/>
      <c r="D1611" s="2076" t="str">
        <f>VLOOKUP(A1611,'01'!$A$12:$N$299,3,FALSE)</f>
        <v>SUMINISTRO E INSTALACIÓN DE TUBERIA PVC UNION MECANICA DE 6". PRESIÓN DE TRABAJO 200 PSI.</v>
      </c>
      <c r="E1611" s="2077"/>
      <c r="F1611" s="2077"/>
      <c r="G1611" s="2077"/>
      <c r="H1611" s="2077"/>
      <c r="I1611" s="2077"/>
      <c r="J1611" s="2077"/>
      <c r="K1611" s="2077"/>
      <c r="L1611" s="2077"/>
      <c r="M1611" s="2077"/>
      <c r="N1611" s="2077"/>
      <c r="O1611" s="2077"/>
      <c r="P1611" s="2077"/>
      <c r="Q1611" s="2077"/>
      <c r="R1611" s="2077"/>
      <c r="S1611" s="2078"/>
      <c r="T1611" s="2082" t="s">
        <v>124</v>
      </c>
      <c r="U1611" s="2083"/>
      <c r="V1611" s="2083"/>
      <c r="W1611" s="2083"/>
      <c r="X1611" s="2052" t="str">
        <f>VLOOKUP(A1611,'01'!$A$12:$N$299,9,FALSE)</f>
        <v>ML</v>
      </c>
      <c r="Y1611" s="2053"/>
      <c r="Z1611" s="2054"/>
      <c r="AA1611" s="2055"/>
      <c r="AB1611" s="2061"/>
      <c r="AC1611" s="2062"/>
      <c r="AD1611" s="2063"/>
      <c r="AE1611" s="2065"/>
      <c r="AF1611" s="2068"/>
    </row>
    <row r="1612" spans="1:32" ht="15.75" x14ac:dyDescent="0.25">
      <c r="A1612" s="2073"/>
      <c r="B1612" s="2074"/>
      <c r="C1612" s="2075"/>
      <c r="D1612" s="2079"/>
      <c r="E1612" s="2080"/>
      <c r="F1612" s="2080"/>
      <c r="G1612" s="2080"/>
      <c r="H1612" s="2080"/>
      <c r="I1612" s="2080"/>
      <c r="J1612" s="2080"/>
      <c r="K1612" s="2080"/>
      <c r="L1612" s="2080"/>
      <c r="M1612" s="2080"/>
      <c r="N1612" s="2080"/>
      <c r="O1612" s="2080"/>
      <c r="P1612" s="2080"/>
      <c r="Q1612" s="2080"/>
      <c r="R1612" s="2080"/>
      <c r="S1612" s="2081"/>
      <c r="T1612" s="2084"/>
      <c r="U1612" s="2085"/>
      <c r="V1612" s="2085"/>
      <c r="W1612" s="2085"/>
      <c r="X1612" s="2056"/>
      <c r="Y1612" s="2057"/>
      <c r="Z1612" s="2056"/>
      <c r="AA1612" s="2057"/>
      <c r="AB1612" s="1049" t="s">
        <v>1847</v>
      </c>
      <c r="AC1612" s="1049" t="s">
        <v>1848</v>
      </c>
      <c r="AD1612" s="1049" t="s">
        <v>1861</v>
      </c>
      <c r="AE1612" s="2066"/>
      <c r="AF1612" s="2069"/>
    </row>
    <row r="1613" spans="1:32" ht="30" customHeight="1" x14ac:dyDescent="0.25">
      <c r="A1613" s="2017"/>
      <c r="B1613" s="2018"/>
      <c r="C1613" s="2018"/>
      <c r="D1613" s="2018"/>
      <c r="E1613" s="2018"/>
      <c r="F1613" s="2018"/>
      <c r="G1613" s="2018"/>
      <c r="H1613" s="2018"/>
      <c r="I1613" s="2018"/>
      <c r="J1613" s="2018"/>
      <c r="K1613" s="2018"/>
      <c r="L1613" s="2018"/>
      <c r="M1613" s="2018"/>
      <c r="N1613" s="2018"/>
      <c r="O1613" s="2018"/>
      <c r="P1613" s="2018"/>
      <c r="Q1613" s="2018"/>
      <c r="R1613" s="2018"/>
      <c r="S1613" s="2018"/>
      <c r="T1613" s="2018"/>
      <c r="U1613" s="2018"/>
      <c r="V1613" s="2018"/>
      <c r="W1613" s="2018"/>
      <c r="X1613" s="2018"/>
      <c r="Y1613" s="2018"/>
      <c r="Z1613" s="2096" t="s">
        <v>2443</v>
      </c>
      <c r="AA1613" s="2097"/>
      <c r="AB1613" s="1050">
        <v>19.5</v>
      </c>
      <c r="AC1613" s="1050"/>
      <c r="AD1613" s="1050"/>
      <c r="AE1613" s="1050">
        <v>1</v>
      </c>
      <c r="AF1613" s="1052">
        <f>AE1613*AB1613</f>
        <v>19.5</v>
      </c>
    </row>
    <row r="1614" spans="1:32" ht="30" customHeight="1" x14ac:dyDescent="0.25">
      <c r="A1614" s="2017"/>
      <c r="B1614" s="2018"/>
      <c r="C1614" s="2018"/>
      <c r="D1614" s="2018"/>
      <c r="E1614" s="2018"/>
      <c r="F1614" s="2018"/>
      <c r="G1614" s="2018"/>
      <c r="H1614" s="2018"/>
      <c r="I1614" s="2018"/>
      <c r="J1614" s="2018"/>
      <c r="K1614" s="2018"/>
      <c r="L1614" s="2018"/>
      <c r="M1614" s="2018"/>
      <c r="N1614" s="2018"/>
      <c r="O1614" s="2018"/>
      <c r="P1614" s="2018"/>
      <c r="Q1614" s="2018"/>
      <c r="R1614" s="2018"/>
      <c r="S1614" s="2018"/>
      <c r="T1614" s="2018"/>
      <c r="U1614" s="2018"/>
      <c r="V1614" s="2018"/>
      <c r="W1614" s="2018"/>
      <c r="X1614" s="2018"/>
      <c r="Y1614" s="2018"/>
      <c r="Z1614" s="2096" t="s">
        <v>2444</v>
      </c>
      <c r="AA1614" s="2097"/>
      <c r="AB1614" s="1050">
        <v>11</v>
      </c>
      <c r="AC1614" s="1050"/>
      <c r="AD1614" s="1050"/>
      <c r="AE1614" s="1050">
        <v>1</v>
      </c>
      <c r="AF1614" s="1052">
        <f>AE1614*AB1614</f>
        <v>11</v>
      </c>
    </row>
    <row r="1615" spans="1:32" ht="15.75" x14ac:dyDescent="0.25">
      <c r="A1615" s="2017"/>
      <c r="B1615" s="2018"/>
      <c r="C1615" s="2018"/>
      <c r="D1615" s="2018"/>
      <c r="E1615" s="2018"/>
      <c r="F1615" s="2018"/>
      <c r="G1615" s="2018"/>
      <c r="H1615" s="2018"/>
      <c r="I1615" s="2018"/>
      <c r="J1615" s="2018"/>
      <c r="K1615" s="2018"/>
      <c r="L1615" s="2018"/>
      <c r="M1615" s="2018"/>
      <c r="N1615" s="2018"/>
      <c r="O1615" s="2018"/>
      <c r="P1615" s="2018"/>
      <c r="Q1615" s="2018"/>
      <c r="R1615" s="2018"/>
      <c r="S1615" s="2018"/>
      <c r="T1615" s="2018"/>
      <c r="U1615" s="2018"/>
      <c r="V1615" s="2018"/>
      <c r="W1615" s="2018"/>
      <c r="X1615" s="2018"/>
      <c r="Y1615" s="2018"/>
      <c r="Z1615" s="2022"/>
      <c r="AA1615" s="2022"/>
      <c r="AB1615" s="1050"/>
      <c r="AC1615" s="1050"/>
      <c r="AD1615" s="1050"/>
      <c r="AE1615" s="1050"/>
      <c r="AF1615" s="1052"/>
    </row>
    <row r="1616" spans="1:32" ht="15.75" x14ac:dyDescent="0.25">
      <c r="A1616" s="2017"/>
      <c r="B1616" s="2018"/>
      <c r="C1616" s="2018"/>
      <c r="D1616" s="2018"/>
      <c r="E1616" s="2018"/>
      <c r="F1616" s="2018"/>
      <c r="G1616" s="2018"/>
      <c r="H1616" s="2018"/>
      <c r="I1616" s="2018"/>
      <c r="J1616" s="2018"/>
      <c r="K1616" s="2018"/>
      <c r="L1616" s="2018"/>
      <c r="M1616" s="2018"/>
      <c r="N1616" s="2018"/>
      <c r="O1616" s="2018"/>
      <c r="P1616" s="2018"/>
      <c r="Q1616" s="2018"/>
      <c r="R1616" s="2018"/>
      <c r="S1616" s="2018"/>
      <c r="T1616" s="2018"/>
      <c r="U1616" s="2018"/>
      <c r="V1616" s="2018"/>
      <c r="W1616" s="2018"/>
      <c r="X1616" s="2018"/>
      <c r="Y1616" s="2018"/>
      <c r="Z1616" s="2105"/>
      <c r="AA1616" s="2105"/>
      <c r="AB1616" s="1050"/>
      <c r="AC1616" s="1050"/>
      <c r="AD1616" s="1050"/>
      <c r="AE1616" s="1050"/>
      <c r="AF1616" s="1052"/>
    </row>
    <row r="1617" spans="1:32" ht="15.75" x14ac:dyDescent="0.25">
      <c r="A1617" s="2017"/>
      <c r="B1617" s="2018"/>
      <c r="C1617" s="2018"/>
      <c r="D1617" s="2018"/>
      <c r="E1617" s="2018"/>
      <c r="F1617" s="2018"/>
      <c r="G1617" s="2018"/>
      <c r="H1617" s="2018"/>
      <c r="I1617" s="2018"/>
      <c r="J1617" s="2018"/>
      <c r="K1617" s="2018"/>
      <c r="L1617" s="2018"/>
      <c r="M1617" s="2018"/>
      <c r="N1617" s="2018"/>
      <c r="O1617" s="2018"/>
      <c r="P1617" s="2018"/>
      <c r="Q1617" s="2018"/>
      <c r="R1617" s="2018"/>
      <c r="S1617" s="2018"/>
      <c r="T1617" s="2018"/>
      <c r="U1617" s="2018"/>
      <c r="V1617" s="2018"/>
      <c r="W1617" s="2018"/>
      <c r="X1617" s="2018"/>
      <c r="Y1617" s="2018"/>
      <c r="Z1617" s="2105"/>
      <c r="AA1617" s="2105"/>
      <c r="AB1617" s="1050"/>
      <c r="AC1617" s="1050"/>
      <c r="AD1617" s="1050"/>
      <c r="AE1617" s="1050"/>
      <c r="AF1617" s="1052"/>
    </row>
    <row r="1618" spans="1:32" ht="15.75" x14ac:dyDescent="0.25">
      <c r="A1618" s="2017"/>
      <c r="B1618" s="2018"/>
      <c r="C1618" s="2018"/>
      <c r="D1618" s="2018"/>
      <c r="E1618" s="2018"/>
      <c r="F1618" s="2018"/>
      <c r="G1618" s="2018"/>
      <c r="H1618" s="2018"/>
      <c r="I1618" s="2018"/>
      <c r="J1618" s="2018"/>
      <c r="K1618" s="2018"/>
      <c r="L1618" s="2018"/>
      <c r="M1618" s="2018"/>
      <c r="N1618" s="2018"/>
      <c r="O1618" s="2018"/>
      <c r="P1618" s="2018"/>
      <c r="Q1618" s="2018"/>
      <c r="R1618" s="2018"/>
      <c r="S1618" s="2018"/>
      <c r="T1618" s="2018"/>
      <c r="U1618" s="2018"/>
      <c r="V1618" s="2018"/>
      <c r="W1618" s="2018"/>
      <c r="X1618" s="2018"/>
      <c r="Y1618" s="2018"/>
      <c r="Z1618" s="2105"/>
      <c r="AA1618" s="2105"/>
      <c r="AB1618" s="1050"/>
      <c r="AC1618" s="1050"/>
      <c r="AD1618" s="1050"/>
      <c r="AE1618" s="1050"/>
      <c r="AF1618" s="1052"/>
    </row>
    <row r="1619" spans="1:32" ht="15.75" x14ac:dyDescent="0.25">
      <c r="A1619" s="2017"/>
      <c r="B1619" s="2018"/>
      <c r="C1619" s="2018"/>
      <c r="D1619" s="2018"/>
      <c r="E1619" s="2018"/>
      <c r="F1619" s="2018"/>
      <c r="G1619" s="2018"/>
      <c r="H1619" s="2018"/>
      <c r="I1619" s="2018"/>
      <c r="J1619" s="2018"/>
      <c r="K1619" s="2018"/>
      <c r="L1619" s="2018"/>
      <c r="M1619" s="2018"/>
      <c r="N1619" s="2018"/>
      <c r="O1619" s="2018"/>
      <c r="P1619" s="2018"/>
      <c r="Q1619" s="2018"/>
      <c r="R1619" s="2018"/>
      <c r="S1619" s="2018"/>
      <c r="T1619" s="2018"/>
      <c r="U1619" s="2018"/>
      <c r="V1619" s="2018"/>
      <c r="W1619" s="2018"/>
      <c r="X1619" s="2018"/>
      <c r="Y1619" s="2018"/>
      <c r="Z1619" s="2105"/>
      <c r="AA1619" s="2105"/>
      <c r="AB1619" s="1050"/>
      <c r="AC1619" s="1050"/>
      <c r="AD1619" s="1050"/>
      <c r="AE1619" s="1050"/>
      <c r="AF1619" s="1052"/>
    </row>
    <row r="1620" spans="1:32" ht="15.75" x14ac:dyDescent="0.25">
      <c r="A1620" s="2017"/>
      <c r="B1620" s="2018"/>
      <c r="C1620" s="2018"/>
      <c r="D1620" s="2018"/>
      <c r="E1620" s="2018"/>
      <c r="F1620" s="2018"/>
      <c r="G1620" s="2018"/>
      <c r="H1620" s="2018"/>
      <c r="I1620" s="2018"/>
      <c r="J1620" s="2018"/>
      <c r="K1620" s="2018"/>
      <c r="L1620" s="2018"/>
      <c r="M1620" s="2018"/>
      <c r="N1620" s="2018"/>
      <c r="O1620" s="2018"/>
      <c r="P1620" s="2018"/>
      <c r="Q1620" s="2018"/>
      <c r="R1620" s="2018"/>
      <c r="S1620" s="2018"/>
      <c r="T1620" s="2018"/>
      <c r="U1620" s="2018"/>
      <c r="V1620" s="2018"/>
      <c r="W1620" s="2018"/>
      <c r="X1620" s="2018"/>
      <c r="Y1620" s="2018"/>
      <c r="Z1620" s="2105"/>
      <c r="AA1620" s="2105"/>
      <c r="AB1620" s="1050"/>
      <c r="AC1620" s="1050"/>
      <c r="AD1620" s="1050"/>
      <c r="AE1620" s="1050"/>
      <c r="AF1620" s="1052"/>
    </row>
    <row r="1621" spans="1:32" ht="15.75" x14ac:dyDescent="0.25">
      <c r="A1621" s="2017"/>
      <c r="B1621" s="2018"/>
      <c r="C1621" s="2018"/>
      <c r="D1621" s="2018"/>
      <c r="E1621" s="2018"/>
      <c r="F1621" s="2018"/>
      <c r="G1621" s="2018"/>
      <c r="H1621" s="2018"/>
      <c r="I1621" s="2018"/>
      <c r="J1621" s="2018"/>
      <c r="K1621" s="2018"/>
      <c r="L1621" s="2018"/>
      <c r="M1621" s="2018"/>
      <c r="N1621" s="2018"/>
      <c r="O1621" s="2018"/>
      <c r="P1621" s="2018"/>
      <c r="Q1621" s="2018"/>
      <c r="R1621" s="2018"/>
      <c r="S1621" s="2018"/>
      <c r="T1621" s="2018"/>
      <c r="U1621" s="2018"/>
      <c r="V1621" s="2018"/>
      <c r="W1621" s="2018"/>
      <c r="X1621" s="2018"/>
      <c r="Y1621" s="2018"/>
      <c r="Z1621" s="2105"/>
      <c r="AA1621" s="2105"/>
      <c r="AB1621" s="1050"/>
      <c r="AC1621" s="1050"/>
      <c r="AD1621" s="1050"/>
      <c r="AE1621" s="1050"/>
      <c r="AF1621" s="1052"/>
    </row>
    <row r="1622" spans="1:32" ht="15.75" x14ac:dyDescent="0.25">
      <c r="A1622" s="2017"/>
      <c r="B1622" s="2018"/>
      <c r="C1622" s="2018"/>
      <c r="D1622" s="2018"/>
      <c r="E1622" s="2018"/>
      <c r="F1622" s="2018"/>
      <c r="G1622" s="2018"/>
      <c r="H1622" s="2018"/>
      <c r="I1622" s="2018"/>
      <c r="J1622" s="2018"/>
      <c r="K1622" s="2018"/>
      <c r="L1622" s="2018"/>
      <c r="M1622" s="2018"/>
      <c r="N1622" s="2018"/>
      <c r="O1622" s="2018"/>
      <c r="P1622" s="2018"/>
      <c r="Q1622" s="2018"/>
      <c r="R1622" s="2018"/>
      <c r="S1622" s="2018"/>
      <c r="T1622" s="2018"/>
      <c r="U1622" s="2018"/>
      <c r="V1622" s="2018"/>
      <c r="W1622" s="2018"/>
      <c r="X1622" s="2018"/>
      <c r="Y1622" s="2018"/>
      <c r="Z1622" s="2105"/>
      <c r="AA1622" s="2105"/>
      <c r="AB1622" s="1050"/>
      <c r="AC1622" s="1050"/>
      <c r="AD1622" s="1050"/>
      <c r="AE1622" s="1050"/>
      <c r="AF1622" s="1052"/>
    </row>
    <row r="1623" spans="1:32" ht="15.75" x14ac:dyDescent="0.25">
      <c r="A1623" s="2017"/>
      <c r="B1623" s="2018"/>
      <c r="C1623" s="2018"/>
      <c r="D1623" s="2018"/>
      <c r="E1623" s="2018"/>
      <c r="F1623" s="2018"/>
      <c r="G1623" s="2018"/>
      <c r="H1623" s="2018"/>
      <c r="I1623" s="2018"/>
      <c r="J1623" s="2018"/>
      <c r="K1623" s="2018"/>
      <c r="L1623" s="2018"/>
      <c r="M1623" s="2018"/>
      <c r="N1623" s="2018"/>
      <c r="O1623" s="2018"/>
      <c r="P1623" s="2018"/>
      <c r="Q1623" s="2018"/>
      <c r="R1623" s="2018"/>
      <c r="S1623" s="2018"/>
      <c r="T1623" s="2018"/>
      <c r="U1623" s="2018"/>
      <c r="V1623" s="2018"/>
      <c r="W1623" s="2018"/>
      <c r="X1623" s="2018"/>
      <c r="Y1623" s="2018"/>
      <c r="Z1623" s="2105"/>
      <c r="AA1623" s="2105"/>
      <c r="AB1623" s="1050"/>
      <c r="AC1623" s="1050"/>
      <c r="AD1623" s="1050"/>
      <c r="AE1623" s="1050"/>
      <c r="AF1623" s="1052"/>
    </row>
    <row r="1624" spans="1:32" ht="15.75" x14ac:dyDescent="0.25">
      <c r="A1624" s="2017"/>
      <c r="B1624" s="2018"/>
      <c r="C1624" s="2018"/>
      <c r="D1624" s="2018"/>
      <c r="E1624" s="2018"/>
      <c r="F1624" s="2018"/>
      <c r="G1624" s="2018"/>
      <c r="H1624" s="2018"/>
      <c r="I1624" s="2018"/>
      <c r="J1624" s="2018"/>
      <c r="K1624" s="2018"/>
      <c r="L1624" s="2018"/>
      <c r="M1624" s="2018"/>
      <c r="N1624" s="2018"/>
      <c r="O1624" s="2018"/>
      <c r="P1624" s="2018"/>
      <c r="Q1624" s="2018"/>
      <c r="R1624" s="2018"/>
      <c r="S1624" s="2018"/>
      <c r="T1624" s="2018"/>
      <c r="U1624" s="2018"/>
      <c r="V1624" s="2018"/>
      <c r="W1624" s="2018"/>
      <c r="X1624" s="2018"/>
      <c r="Y1624" s="2018"/>
      <c r="Z1624" s="2105"/>
      <c r="AA1624" s="2105"/>
      <c r="AB1624" s="1050"/>
      <c r="AC1624" s="1050"/>
      <c r="AD1624" s="1050"/>
      <c r="AE1624" s="1050"/>
      <c r="AF1624" s="1052"/>
    </row>
    <row r="1625" spans="1:32" ht="15.75" x14ac:dyDescent="0.25">
      <c r="A1625" s="2017"/>
      <c r="B1625" s="2018"/>
      <c r="C1625" s="2018"/>
      <c r="D1625" s="2018"/>
      <c r="E1625" s="2018"/>
      <c r="F1625" s="2018"/>
      <c r="G1625" s="2018"/>
      <c r="H1625" s="2018"/>
      <c r="I1625" s="2018"/>
      <c r="J1625" s="2018"/>
      <c r="K1625" s="2018"/>
      <c r="L1625" s="2018"/>
      <c r="M1625" s="2018"/>
      <c r="N1625" s="2018"/>
      <c r="O1625" s="2018"/>
      <c r="P1625" s="2018"/>
      <c r="Q1625" s="2018"/>
      <c r="R1625" s="2018"/>
      <c r="S1625" s="2018"/>
      <c r="T1625" s="2018"/>
      <c r="U1625" s="2018"/>
      <c r="V1625" s="2018"/>
      <c r="W1625" s="2018"/>
      <c r="X1625" s="2018"/>
      <c r="Y1625" s="2018"/>
      <c r="Z1625" s="2105"/>
      <c r="AA1625" s="2105"/>
      <c r="AB1625" s="1050"/>
      <c r="AC1625" s="1050"/>
      <c r="AD1625" s="1050"/>
      <c r="AE1625" s="1050"/>
      <c r="AF1625" s="1052"/>
    </row>
    <row r="1626" spans="1:32" ht="15.75" x14ac:dyDescent="0.25">
      <c r="A1626" s="2017"/>
      <c r="B1626" s="2018"/>
      <c r="C1626" s="2018"/>
      <c r="D1626" s="2018"/>
      <c r="E1626" s="2018"/>
      <c r="F1626" s="2018"/>
      <c r="G1626" s="2018"/>
      <c r="H1626" s="2018"/>
      <c r="I1626" s="2018"/>
      <c r="J1626" s="2018"/>
      <c r="K1626" s="2018"/>
      <c r="L1626" s="2018"/>
      <c r="M1626" s="2018"/>
      <c r="N1626" s="2018"/>
      <c r="O1626" s="2018"/>
      <c r="P1626" s="2018"/>
      <c r="Q1626" s="2018"/>
      <c r="R1626" s="2018"/>
      <c r="S1626" s="2018"/>
      <c r="T1626" s="2018"/>
      <c r="U1626" s="2018"/>
      <c r="V1626" s="2018"/>
      <c r="W1626" s="2018"/>
      <c r="X1626" s="2018"/>
      <c r="Y1626" s="2018"/>
      <c r="Z1626" s="2022"/>
      <c r="AA1626" s="2022"/>
      <c r="AB1626" s="1050"/>
      <c r="AC1626" s="1050"/>
      <c r="AD1626" s="1050"/>
      <c r="AE1626" s="1050"/>
      <c r="AF1626" s="1052"/>
    </row>
    <row r="1627" spans="1:32" ht="15.75" x14ac:dyDescent="0.25">
      <c r="A1627" s="2017"/>
      <c r="B1627" s="2018"/>
      <c r="C1627" s="2018"/>
      <c r="D1627" s="2018"/>
      <c r="E1627" s="2018"/>
      <c r="F1627" s="2018"/>
      <c r="G1627" s="2018"/>
      <c r="H1627" s="2018"/>
      <c r="I1627" s="2018"/>
      <c r="J1627" s="2018"/>
      <c r="K1627" s="2018"/>
      <c r="L1627" s="2018"/>
      <c r="M1627" s="2018"/>
      <c r="N1627" s="2018"/>
      <c r="O1627" s="2018"/>
      <c r="P1627" s="2018"/>
      <c r="Q1627" s="2018"/>
      <c r="R1627" s="2018"/>
      <c r="S1627" s="2018"/>
      <c r="T1627" s="2018"/>
      <c r="U1627" s="2018"/>
      <c r="V1627" s="2018"/>
      <c r="W1627" s="2018"/>
      <c r="X1627" s="2018"/>
      <c r="Y1627" s="2018"/>
      <c r="Z1627" s="2022"/>
      <c r="AA1627" s="2022"/>
      <c r="AB1627" s="1050"/>
      <c r="AC1627" s="1050"/>
      <c r="AD1627" s="1050"/>
      <c r="AE1627" s="1050"/>
      <c r="AF1627" s="1052"/>
    </row>
    <row r="1628" spans="1:32" ht="15.75" x14ac:dyDescent="0.25">
      <c r="A1628" s="2017"/>
      <c r="B1628" s="2018"/>
      <c r="C1628" s="2018"/>
      <c r="D1628" s="2018"/>
      <c r="E1628" s="2018"/>
      <c r="F1628" s="2018"/>
      <c r="G1628" s="2018"/>
      <c r="H1628" s="2018"/>
      <c r="I1628" s="2018"/>
      <c r="J1628" s="2018"/>
      <c r="K1628" s="2018"/>
      <c r="L1628" s="2018"/>
      <c r="M1628" s="2018"/>
      <c r="N1628" s="2018"/>
      <c r="O1628" s="2018"/>
      <c r="P1628" s="2018"/>
      <c r="Q1628" s="2018"/>
      <c r="R1628" s="2018"/>
      <c r="S1628" s="2018"/>
      <c r="T1628" s="2018"/>
      <c r="U1628" s="2018"/>
      <c r="V1628" s="2018"/>
      <c r="W1628" s="2018"/>
      <c r="X1628" s="2018"/>
      <c r="Y1628" s="2018"/>
      <c r="Z1628" s="2022"/>
      <c r="AA1628" s="2022"/>
      <c r="AB1628" s="1050"/>
      <c r="AC1628" s="1050"/>
      <c r="AD1628" s="1050"/>
      <c r="AE1628" s="1050"/>
      <c r="AF1628" s="1052"/>
    </row>
    <row r="1629" spans="1:32" ht="15.75" x14ac:dyDescent="0.25">
      <c r="A1629" s="2017"/>
      <c r="B1629" s="2018"/>
      <c r="C1629" s="2018"/>
      <c r="D1629" s="2018"/>
      <c r="E1629" s="2018"/>
      <c r="F1629" s="2018"/>
      <c r="G1629" s="2018"/>
      <c r="H1629" s="2018"/>
      <c r="I1629" s="2018"/>
      <c r="J1629" s="2018"/>
      <c r="K1629" s="2018"/>
      <c r="L1629" s="2018"/>
      <c r="M1629" s="2018"/>
      <c r="N1629" s="2018"/>
      <c r="O1629" s="2018"/>
      <c r="P1629" s="2018"/>
      <c r="Q1629" s="2018"/>
      <c r="R1629" s="2018"/>
      <c r="S1629" s="2018"/>
      <c r="T1629" s="2018"/>
      <c r="U1629" s="2018"/>
      <c r="V1629" s="2018"/>
      <c r="W1629" s="2018"/>
      <c r="X1629" s="2018"/>
      <c r="Y1629" s="2018"/>
      <c r="Z1629" s="2022"/>
      <c r="AA1629" s="2022"/>
      <c r="AB1629" s="1050"/>
      <c r="AC1629" s="1050"/>
      <c r="AD1629" s="1050"/>
      <c r="AE1629" s="1050"/>
      <c r="AF1629" s="1052"/>
    </row>
    <row r="1630" spans="1:32" ht="15.75" x14ac:dyDescent="0.25">
      <c r="A1630" s="2017"/>
      <c r="B1630" s="2018"/>
      <c r="C1630" s="2018"/>
      <c r="D1630" s="2018"/>
      <c r="E1630" s="2018"/>
      <c r="F1630" s="2018"/>
      <c r="G1630" s="2018"/>
      <c r="H1630" s="2018"/>
      <c r="I1630" s="2018"/>
      <c r="J1630" s="2018"/>
      <c r="K1630" s="2018"/>
      <c r="L1630" s="2018"/>
      <c r="M1630" s="2018"/>
      <c r="N1630" s="2018"/>
      <c r="O1630" s="2018"/>
      <c r="P1630" s="2018"/>
      <c r="Q1630" s="2018"/>
      <c r="R1630" s="2018"/>
      <c r="S1630" s="2018"/>
      <c r="T1630" s="2018"/>
      <c r="U1630" s="2018"/>
      <c r="V1630" s="2018"/>
      <c r="W1630" s="2018"/>
      <c r="X1630" s="2018"/>
      <c r="Y1630" s="2018"/>
      <c r="Z1630" s="2023"/>
      <c r="AA1630" s="2023"/>
      <c r="AB1630" s="1050"/>
      <c r="AC1630" s="1050"/>
      <c r="AD1630" s="1050"/>
      <c r="AE1630" s="1050"/>
      <c r="AF1630" s="1052"/>
    </row>
    <row r="1631" spans="1:32" ht="15.75" x14ac:dyDescent="0.25">
      <c r="A1631" s="2017"/>
      <c r="B1631" s="2018"/>
      <c r="C1631" s="2018"/>
      <c r="D1631" s="2018"/>
      <c r="E1631" s="2018"/>
      <c r="F1631" s="2018"/>
      <c r="G1631" s="2018"/>
      <c r="H1631" s="2018"/>
      <c r="I1631" s="2018"/>
      <c r="J1631" s="2018"/>
      <c r="K1631" s="2018"/>
      <c r="L1631" s="2018"/>
      <c r="M1631" s="2018"/>
      <c r="N1631" s="2018"/>
      <c r="O1631" s="2018"/>
      <c r="P1631" s="2018"/>
      <c r="Q1631" s="2018"/>
      <c r="R1631" s="2018"/>
      <c r="S1631" s="2018"/>
      <c r="T1631" s="2018"/>
      <c r="U1631" s="2018"/>
      <c r="V1631" s="2018"/>
      <c r="W1631" s="2018"/>
      <c r="X1631" s="2018"/>
      <c r="Y1631" s="2018"/>
      <c r="Z1631" s="2023"/>
      <c r="AA1631" s="2023"/>
      <c r="AB1631" s="1050"/>
      <c r="AC1631" s="1050"/>
      <c r="AD1631" s="1050"/>
      <c r="AE1631" s="1050"/>
      <c r="AF1631" s="1052"/>
    </row>
    <row r="1632" spans="1:32" ht="15.75" x14ac:dyDescent="0.25">
      <c r="A1632" s="2017"/>
      <c r="B1632" s="2018"/>
      <c r="C1632" s="2018"/>
      <c r="D1632" s="2018"/>
      <c r="E1632" s="2018"/>
      <c r="F1632" s="2018"/>
      <c r="G1632" s="2018"/>
      <c r="H1632" s="2018"/>
      <c r="I1632" s="2018"/>
      <c r="J1632" s="2018"/>
      <c r="K1632" s="2018"/>
      <c r="L1632" s="2018"/>
      <c r="M1632" s="2018"/>
      <c r="N1632" s="2018"/>
      <c r="O1632" s="2018"/>
      <c r="P1632" s="2018"/>
      <c r="Q1632" s="2018"/>
      <c r="R1632" s="2018"/>
      <c r="S1632" s="2018"/>
      <c r="T1632" s="2018"/>
      <c r="U1632" s="2018"/>
      <c r="V1632" s="2018"/>
      <c r="W1632" s="2018"/>
      <c r="X1632" s="2018"/>
      <c r="Y1632" s="2018"/>
      <c r="Z1632" s="2023"/>
      <c r="AA1632" s="2023"/>
      <c r="AB1632" s="1050"/>
      <c r="AC1632" s="1050"/>
      <c r="AD1632" s="1050"/>
      <c r="AE1632" s="1050"/>
      <c r="AF1632" s="1052"/>
    </row>
    <row r="1633" spans="1:32" ht="15.75" x14ac:dyDescent="0.25">
      <c r="A1633" s="2017"/>
      <c r="B1633" s="2018"/>
      <c r="C1633" s="2018"/>
      <c r="D1633" s="2018"/>
      <c r="E1633" s="2018"/>
      <c r="F1633" s="2018"/>
      <c r="G1633" s="2018"/>
      <c r="H1633" s="2018"/>
      <c r="I1633" s="2018"/>
      <c r="J1633" s="2018"/>
      <c r="K1633" s="2018"/>
      <c r="L1633" s="2018"/>
      <c r="M1633" s="2018"/>
      <c r="N1633" s="2018"/>
      <c r="O1633" s="2018"/>
      <c r="P1633" s="2018"/>
      <c r="Q1633" s="2018"/>
      <c r="R1633" s="2018"/>
      <c r="S1633" s="2018"/>
      <c r="T1633" s="2018"/>
      <c r="U1633" s="2018"/>
      <c r="V1633" s="2018"/>
      <c r="W1633" s="2018"/>
      <c r="X1633" s="2018"/>
      <c r="Y1633" s="2018"/>
      <c r="Z1633" s="2023"/>
      <c r="AA1633" s="2023"/>
      <c r="AB1633" s="1050"/>
      <c r="AC1633" s="1050"/>
      <c r="AD1633" s="1050"/>
      <c r="AE1633" s="1050"/>
      <c r="AF1633" s="1052"/>
    </row>
    <row r="1634" spans="1:32" ht="15.75" x14ac:dyDescent="0.25">
      <c r="A1634" s="2017"/>
      <c r="B1634" s="2018"/>
      <c r="C1634" s="2018"/>
      <c r="D1634" s="2018"/>
      <c r="E1634" s="2018"/>
      <c r="F1634" s="2018"/>
      <c r="G1634" s="2018"/>
      <c r="H1634" s="2018"/>
      <c r="I1634" s="2018"/>
      <c r="J1634" s="2018"/>
      <c r="K1634" s="2018"/>
      <c r="L1634" s="2018"/>
      <c r="M1634" s="2018"/>
      <c r="N1634" s="2018"/>
      <c r="O1634" s="2018"/>
      <c r="P1634" s="2018"/>
      <c r="Q1634" s="2018"/>
      <c r="R1634" s="2018"/>
      <c r="S1634" s="2018"/>
      <c r="T1634" s="2018"/>
      <c r="U1634" s="2018"/>
      <c r="V1634" s="2018"/>
      <c r="W1634" s="2018"/>
      <c r="X1634" s="2018"/>
      <c r="Y1634" s="2018"/>
      <c r="Z1634" s="2023"/>
      <c r="AA1634" s="2023"/>
      <c r="AB1634" s="1050"/>
      <c r="AC1634" s="1050"/>
      <c r="AD1634" s="1050"/>
      <c r="AE1634" s="1050"/>
      <c r="AF1634" s="1052"/>
    </row>
    <row r="1635" spans="1:32" ht="15.75" x14ac:dyDescent="0.25">
      <c r="A1635" s="2017"/>
      <c r="B1635" s="2018"/>
      <c r="C1635" s="2018"/>
      <c r="D1635" s="2018"/>
      <c r="E1635" s="2018"/>
      <c r="F1635" s="2018"/>
      <c r="G1635" s="2018"/>
      <c r="H1635" s="2018"/>
      <c r="I1635" s="2018"/>
      <c r="J1635" s="2018"/>
      <c r="K1635" s="2018"/>
      <c r="L1635" s="2018"/>
      <c r="M1635" s="2018"/>
      <c r="N1635" s="2018"/>
      <c r="O1635" s="2018"/>
      <c r="P1635" s="2018"/>
      <c r="Q1635" s="2018"/>
      <c r="R1635" s="2018"/>
      <c r="S1635" s="2018"/>
      <c r="T1635" s="2018"/>
      <c r="U1635" s="2018"/>
      <c r="V1635" s="2018"/>
      <c r="W1635" s="2018"/>
      <c r="X1635" s="2018"/>
      <c r="Y1635" s="2018"/>
      <c r="Z1635" s="2023"/>
      <c r="AA1635" s="2023"/>
      <c r="AB1635" s="1050"/>
      <c r="AC1635" s="1050"/>
      <c r="AD1635" s="1050"/>
      <c r="AE1635" s="1050"/>
      <c r="AF1635" s="1052"/>
    </row>
    <row r="1636" spans="1:32" ht="16.5" thickBot="1" x14ac:dyDescent="0.3">
      <c r="A1636" s="2019"/>
      <c r="B1636" s="2020"/>
      <c r="C1636" s="2020"/>
      <c r="D1636" s="2020"/>
      <c r="E1636" s="2020"/>
      <c r="F1636" s="2020"/>
      <c r="G1636" s="2020"/>
      <c r="H1636" s="2020"/>
      <c r="I1636" s="2020"/>
      <c r="J1636" s="2020"/>
      <c r="K1636" s="2020"/>
      <c r="L1636" s="2020"/>
      <c r="M1636" s="2020"/>
      <c r="N1636" s="2020"/>
      <c r="O1636" s="2020"/>
      <c r="P1636" s="2020"/>
      <c r="Q1636" s="2020"/>
      <c r="R1636" s="2020"/>
      <c r="S1636" s="2020"/>
      <c r="T1636" s="2020"/>
      <c r="U1636" s="2020"/>
      <c r="V1636" s="2020"/>
      <c r="W1636" s="2020"/>
      <c r="X1636" s="2020"/>
      <c r="Y1636" s="2020"/>
      <c r="Z1636" s="2024"/>
      <c r="AA1636" s="2024"/>
      <c r="AB1636" s="1057"/>
      <c r="AC1636" s="1057"/>
      <c r="AD1636" s="1057"/>
      <c r="AE1636" s="1057"/>
      <c r="AF1636" s="1058"/>
    </row>
    <row r="1637" spans="1:32" ht="15.75" x14ac:dyDescent="0.25">
      <c r="A1637" s="2009" t="s">
        <v>1855</v>
      </c>
      <c r="B1637" s="2010"/>
      <c r="C1637" s="2010"/>
      <c r="D1637" s="2010"/>
      <c r="E1637" s="2010"/>
      <c r="F1637" s="2010"/>
      <c r="G1637" s="2010"/>
      <c r="H1637" s="2010"/>
      <c r="I1637" s="2010"/>
      <c r="J1637" s="2010"/>
      <c r="K1637" s="2010"/>
      <c r="L1637" s="2010"/>
      <c r="M1637" s="2010"/>
      <c r="N1637" s="2010"/>
      <c r="O1637" s="2010"/>
      <c r="P1637" s="2010"/>
      <c r="Q1637" s="2010"/>
      <c r="R1637" s="2010"/>
      <c r="S1637" s="2010"/>
      <c r="T1637" s="2010"/>
      <c r="U1637" s="2010"/>
      <c r="V1637" s="2010"/>
      <c r="W1637" s="2010"/>
      <c r="X1637" s="2010"/>
      <c r="Y1637" s="2010"/>
      <c r="Z1637" s="2013" t="s">
        <v>1850</v>
      </c>
      <c r="AA1637" s="2013"/>
      <c r="AB1637" s="2013"/>
      <c r="AC1637" s="2013"/>
      <c r="AD1637" s="2013"/>
      <c r="AE1637" s="2013"/>
      <c r="AF1637" s="1059">
        <f>SUM(AF1613:AF1636)</f>
        <v>30.5</v>
      </c>
    </row>
    <row r="1638" spans="1:32" ht="15.75" x14ac:dyDescent="0.25">
      <c r="A1638" s="2011"/>
      <c r="B1638" s="2012"/>
      <c r="C1638" s="2012"/>
      <c r="D1638" s="2012"/>
      <c r="E1638" s="2012"/>
      <c r="F1638" s="2012"/>
      <c r="G1638" s="2012"/>
      <c r="H1638" s="2012"/>
      <c r="I1638" s="2012"/>
      <c r="J1638" s="2012"/>
      <c r="K1638" s="2012"/>
      <c r="L1638" s="2012"/>
      <c r="M1638" s="2012"/>
      <c r="N1638" s="2012"/>
      <c r="O1638" s="2012"/>
      <c r="P1638" s="2012"/>
      <c r="Q1638" s="2012"/>
      <c r="R1638" s="2012"/>
      <c r="S1638" s="2012"/>
      <c r="T1638" s="2012"/>
      <c r="U1638" s="2012"/>
      <c r="V1638" s="2012"/>
      <c r="W1638" s="2012"/>
      <c r="X1638" s="2012"/>
      <c r="Y1638" s="2012"/>
      <c r="Z1638" s="2014" t="s">
        <v>1851</v>
      </c>
      <c r="AA1638" s="2014"/>
      <c r="AB1638" s="2014"/>
      <c r="AC1638" s="2014"/>
      <c r="AD1638" s="2014"/>
      <c r="AE1638" s="2014"/>
      <c r="AF1638" s="1060">
        <v>0</v>
      </c>
    </row>
    <row r="1639" spans="1:32" ht="15.75" x14ac:dyDescent="0.25">
      <c r="A1639" s="2011"/>
      <c r="B1639" s="2012"/>
      <c r="C1639" s="2012"/>
      <c r="D1639" s="2012"/>
      <c r="E1639" s="2012"/>
      <c r="F1639" s="2012"/>
      <c r="G1639" s="2012"/>
      <c r="H1639" s="2012"/>
      <c r="I1639" s="2012"/>
      <c r="J1639" s="2012"/>
      <c r="K1639" s="2012"/>
      <c r="L1639" s="2012"/>
      <c r="M1639" s="2012"/>
      <c r="N1639" s="2012"/>
      <c r="O1639" s="2012"/>
      <c r="P1639" s="2012"/>
      <c r="Q1639" s="2012"/>
      <c r="R1639" s="2012"/>
      <c r="S1639" s="2012"/>
      <c r="T1639" s="2012"/>
      <c r="U1639" s="2012"/>
      <c r="V1639" s="2012"/>
      <c r="W1639" s="2012"/>
      <c r="X1639" s="2012"/>
      <c r="Y1639" s="2012"/>
      <c r="Z1639" s="2015" t="s">
        <v>1833</v>
      </c>
      <c r="AA1639" s="2015"/>
      <c r="AB1639" s="2015"/>
      <c r="AC1639" s="2015"/>
      <c r="AD1639" s="2015"/>
      <c r="AE1639" s="2015"/>
      <c r="AF1639" s="1061">
        <f>SUM(AF1637:AF1638)</f>
        <v>30.5</v>
      </c>
    </row>
    <row r="1640" spans="1:32" x14ac:dyDescent="0.2">
      <c r="A1640" s="2012" t="s">
        <v>1859</v>
      </c>
      <c r="B1640" s="2012"/>
      <c r="C1640" s="2012"/>
      <c r="D1640" s="2012"/>
      <c r="E1640" s="2012"/>
      <c r="F1640" s="2012"/>
      <c r="G1640" s="2012"/>
      <c r="H1640" s="2012"/>
      <c r="I1640" s="2012"/>
      <c r="J1640" s="2012"/>
      <c r="K1640" s="2012"/>
      <c r="L1640" s="2012"/>
      <c r="M1640" s="2012"/>
      <c r="N1640" s="2012"/>
      <c r="O1640" s="2012"/>
      <c r="P1640" s="2012"/>
      <c r="Q1640" s="2012"/>
      <c r="R1640" s="2012"/>
      <c r="S1640" s="2012"/>
      <c r="T1640" s="2016" t="s">
        <v>1840</v>
      </c>
      <c r="U1640" s="2016"/>
      <c r="V1640" s="2016"/>
      <c r="W1640" s="2016"/>
      <c r="X1640" s="2016"/>
      <c r="Y1640" s="2016"/>
      <c r="Z1640" s="2016"/>
      <c r="AA1640" s="2016"/>
      <c r="AB1640" s="2012" t="s">
        <v>1852</v>
      </c>
      <c r="AC1640" s="2012"/>
      <c r="AD1640" s="2012"/>
      <c r="AE1640" s="2012"/>
      <c r="AF1640" s="2012"/>
    </row>
    <row r="1641" spans="1:32" x14ac:dyDescent="0.2">
      <c r="A1641" s="2012"/>
      <c r="B1641" s="2012"/>
      <c r="C1641" s="2012"/>
      <c r="D1641" s="2012"/>
      <c r="E1641" s="2012"/>
      <c r="F1641" s="2012"/>
      <c r="G1641" s="2012"/>
      <c r="H1641" s="2012"/>
      <c r="I1641" s="2012"/>
      <c r="J1641" s="2012"/>
      <c r="K1641" s="2012"/>
      <c r="L1641" s="2012"/>
      <c r="M1641" s="2012"/>
      <c r="N1641" s="2012"/>
      <c r="O1641" s="2012"/>
      <c r="P1641" s="2012"/>
      <c r="Q1641" s="2012"/>
      <c r="R1641" s="2012"/>
      <c r="S1641" s="2012"/>
      <c r="T1641" s="2016"/>
      <c r="U1641" s="2016"/>
      <c r="V1641" s="2016"/>
      <c r="W1641" s="2016"/>
      <c r="X1641" s="2016"/>
      <c r="Y1641" s="2016"/>
      <c r="Z1641" s="2016"/>
      <c r="AA1641" s="2016"/>
      <c r="AB1641" s="2012"/>
      <c r="AC1641" s="2012"/>
      <c r="AD1641" s="2012"/>
      <c r="AE1641" s="2012"/>
      <c r="AF1641" s="2012"/>
    </row>
    <row r="1642" spans="1:32" ht="13.5" thickBot="1" x14ac:dyDescent="0.25"/>
    <row r="1643" spans="1:32" ht="26.45" customHeight="1" x14ac:dyDescent="0.2">
      <c r="A1643" s="2025" t="s">
        <v>1854</v>
      </c>
      <c r="B1643" s="2026"/>
      <c r="C1643" s="2026"/>
      <c r="D1643" s="2026"/>
      <c r="E1643" s="2026"/>
      <c r="F1643" s="2026"/>
      <c r="G1643" s="2026"/>
      <c r="H1643" s="2026"/>
      <c r="I1643" s="2026"/>
      <c r="J1643" s="2026"/>
      <c r="K1643" s="2026"/>
      <c r="L1643" s="2026"/>
      <c r="M1643" s="2026"/>
      <c r="N1643" s="2026"/>
      <c r="O1643" s="2026"/>
      <c r="P1643" s="2026"/>
      <c r="Q1643" s="2026"/>
      <c r="R1643" s="2026"/>
      <c r="S1643" s="2026"/>
      <c r="T1643" s="2026"/>
      <c r="U1643" s="2026"/>
      <c r="V1643" s="2026"/>
      <c r="W1643" s="2026"/>
      <c r="X1643" s="2026"/>
      <c r="Y1643" s="2026"/>
      <c r="Z1643" s="2026"/>
      <c r="AA1643" s="2026"/>
      <c r="AB1643" s="2026"/>
      <c r="AC1643" s="2026"/>
      <c r="AD1643" s="2026"/>
      <c r="AE1643" s="1041" t="s">
        <v>1834</v>
      </c>
      <c r="AF1643" s="1042" t="s">
        <v>1835</v>
      </c>
    </row>
    <row r="1644" spans="1:32" ht="21" customHeight="1" thickBot="1" x14ac:dyDescent="0.25">
      <c r="A1644" s="2027"/>
      <c r="B1644" s="2028"/>
      <c r="C1644" s="2028"/>
      <c r="D1644" s="2028"/>
      <c r="E1644" s="2028"/>
      <c r="F1644" s="2028"/>
      <c r="G1644" s="2028"/>
      <c r="H1644" s="2028"/>
      <c r="I1644" s="2028"/>
      <c r="J1644" s="2028"/>
      <c r="K1644" s="2028"/>
      <c r="L1644" s="2028"/>
      <c r="M1644" s="2028"/>
      <c r="N1644" s="2028"/>
      <c r="O1644" s="2028"/>
      <c r="P1644" s="2028"/>
      <c r="Q1644" s="2028"/>
      <c r="R1644" s="2028"/>
      <c r="S1644" s="2028"/>
      <c r="T1644" s="2028"/>
      <c r="U1644" s="2028"/>
      <c r="V1644" s="2028"/>
      <c r="W1644" s="2028"/>
      <c r="X1644" s="2028"/>
      <c r="Y1644" s="2028"/>
      <c r="Z1644" s="2028"/>
      <c r="AA1644" s="2028"/>
      <c r="AB1644" s="2028"/>
      <c r="AC1644" s="2028"/>
      <c r="AD1644" s="2028"/>
      <c r="AE1644" s="1041" t="s">
        <v>1836</v>
      </c>
      <c r="AF1644" s="1044">
        <v>1</v>
      </c>
    </row>
    <row r="1645" spans="1:32" ht="15.75" x14ac:dyDescent="0.2">
      <c r="A1645" s="2029"/>
      <c r="B1645" s="2030"/>
      <c r="C1645" s="2030"/>
      <c r="D1645" s="2031"/>
      <c r="E1645" s="2025" t="str">
        <f>'01'!$A$12</f>
        <v>"CONSTRUCCION SISTEMA DE ACUEDUCTO FASE II DEL MUNICIPIO DE TESALIA DPTO DEL HUILA"</v>
      </c>
      <c r="F1645" s="2026"/>
      <c r="G1645" s="2026"/>
      <c r="H1645" s="2026"/>
      <c r="I1645" s="2026"/>
      <c r="J1645" s="2026"/>
      <c r="K1645" s="2026"/>
      <c r="L1645" s="2026"/>
      <c r="M1645" s="2026"/>
      <c r="N1645" s="2026"/>
      <c r="O1645" s="2026"/>
      <c r="P1645" s="2026"/>
      <c r="Q1645" s="2026"/>
      <c r="R1645" s="2026"/>
      <c r="S1645" s="2026"/>
      <c r="T1645" s="2026"/>
      <c r="U1645" s="2026"/>
      <c r="V1645" s="2026"/>
      <c r="W1645" s="2026"/>
      <c r="X1645" s="2026"/>
      <c r="Y1645" s="2026"/>
      <c r="Z1645" s="2026"/>
      <c r="AA1645" s="2026"/>
      <c r="AB1645" s="2026"/>
      <c r="AC1645" s="2026"/>
      <c r="AD1645" s="2035"/>
      <c r="AE1645" s="1041" t="s">
        <v>847</v>
      </c>
      <c r="AF1645" s="1045">
        <f>'01'!$M$13</f>
        <v>0</v>
      </c>
    </row>
    <row r="1646" spans="1:32" ht="16.5" thickBot="1" x14ac:dyDescent="0.25">
      <c r="A1646" s="2032"/>
      <c r="B1646" s="2033"/>
      <c r="C1646" s="2033"/>
      <c r="D1646" s="2034"/>
      <c r="E1646" s="2027"/>
      <c r="F1646" s="2028"/>
      <c r="G1646" s="2028"/>
      <c r="H1646" s="2028"/>
      <c r="I1646" s="2028"/>
      <c r="J1646" s="2028"/>
      <c r="K1646" s="2028"/>
      <c r="L1646" s="2028"/>
      <c r="M1646" s="2028"/>
      <c r="N1646" s="2028"/>
      <c r="O1646" s="2028"/>
      <c r="P1646" s="2028"/>
      <c r="Q1646" s="2028"/>
      <c r="R1646" s="2028"/>
      <c r="S1646" s="2028"/>
      <c r="T1646" s="2028"/>
      <c r="U1646" s="2028"/>
      <c r="V1646" s="2028"/>
      <c r="W1646" s="2028"/>
      <c r="X1646" s="2028"/>
      <c r="Y1646" s="2028"/>
      <c r="Z1646" s="2028"/>
      <c r="AA1646" s="2028"/>
      <c r="AB1646" s="2028"/>
      <c r="AC1646" s="2028"/>
      <c r="AD1646" s="2036"/>
      <c r="AE1646" s="1041" t="s">
        <v>1837</v>
      </c>
      <c r="AF1646" s="1042" t="s">
        <v>1838</v>
      </c>
    </row>
    <row r="1647" spans="1:32" ht="15.75" x14ac:dyDescent="0.25">
      <c r="A1647" s="2037" t="s">
        <v>1860</v>
      </c>
      <c r="B1647" s="2038"/>
      <c r="C1647" s="2038"/>
      <c r="D1647" s="2038"/>
      <c r="E1647" s="2038"/>
      <c r="F1647" s="2038"/>
      <c r="G1647" s="2038"/>
      <c r="H1647" s="2038"/>
      <c r="I1647" s="2038"/>
      <c r="J1647" s="2038"/>
      <c r="K1647" s="2038"/>
      <c r="L1647" s="2038"/>
      <c r="M1647" s="2038"/>
      <c r="N1647" s="2038"/>
      <c r="O1647" s="2038"/>
      <c r="P1647" s="2038"/>
      <c r="Q1647" s="2038"/>
      <c r="R1647" s="2038"/>
      <c r="S1647" s="2038"/>
      <c r="T1647" s="2038"/>
      <c r="U1647" s="2038"/>
      <c r="V1647" s="2038"/>
      <c r="W1647" s="2038"/>
      <c r="X1647" s="2038"/>
      <c r="Y1647" s="2038"/>
      <c r="Z1647" s="2038"/>
      <c r="AA1647" s="2038"/>
      <c r="AB1647" s="2038"/>
      <c r="AC1647" s="2038"/>
      <c r="AD1647" s="2038"/>
      <c r="AE1647" s="2039" t="s">
        <v>1839</v>
      </c>
      <c r="AF1647" s="2040"/>
    </row>
    <row r="1648" spans="1:32" ht="15.75" x14ac:dyDescent="0.25">
      <c r="A1648" s="2041" t="s">
        <v>1840</v>
      </c>
      <c r="B1648" s="2042"/>
      <c r="C1648" s="2042"/>
      <c r="D1648" s="2042"/>
      <c r="E1648" s="2042"/>
      <c r="F1648" s="2042"/>
      <c r="G1648" s="2042"/>
      <c r="H1648" s="2042"/>
      <c r="I1648" s="2042"/>
      <c r="J1648" s="2042"/>
      <c r="K1648" s="2042"/>
      <c r="L1648" s="2042"/>
      <c r="M1648" s="2042"/>
      <c r="N1648" s="2042"/>
      <c r="O1648" s="2042"/>
      <c r="P1648" s="2042"/>
      <c r="Q1648" s="2042"/>
      <c r="R1648" s="2042"/>
      <c r="S1648" s="2042"/>
      <c r="T1648" s="2042"/>
      <c r="U1648" s="2042"/>
      <c r="V1648" s="2042"/>
      <c r="W1648" s="2042"/>
      <c r="X1648" s="2042"/>
      <c r="Y1648" s="2042"/>
      <c r="Z1648" s="2042"/>
      <c r="AA1648" s="2042"/>
      <c r="AB1648" s="2042"/>
      <c r="AC1648" s="2042"/>
      <c r="AD1648" s="2043"/>
      <c r="AE1648" s="2014" t="s">
        <v>1841</v>
      </c>
      <c r="AF1648" s="2044"/>
    </row>
    <row r="1649" spans="1:32" ht="15.75" x14ac:dyDescent="0.25">
      <c r="A1649" s="2045" t="s">
        <v>1853</v>
      </c>
      <c r="B1649" s="2046"/>
      <c r="C1649" s="2046"/>
      <c r="D1649" s="2046"/>
      <c r="E1649" s="2046"/>
      <c r="F1649" s="2046"/>
      <c r="G1649" s="2046"/>
      <c r="H1649" s="2046"/>
      <c r="I1649" s="2046"/>
      <c r="J1649" s="2046"/>
      <c r="K1649" s="2046"/>
      <c r="L1649" s="2046"/>
      <c r="M1649" s="2046"/>
      <c r="N1649" s="2046"/>
      <c r="O1649" s="2046"/>
      <c r="P1649" s="2046"/>
      <c r="Q1649" s="2046"/>
      <c r="R1649" s="2046"/>
      <c r="S1649" s="2046"/>
      <c r="T1649" s="2046"/>
      <c r="U1649" s="2046"/>
      <c r="V1649" s="2046"/>
      <c r="W1649" s="2046"/>
      <c r="X1649" s="2046"/>
      <c r="Y1649" s="2046"/>
      <c r="Z1649" s="2046"/>
      <c r="AA1649" s="2046"/>
      <c r="AB1649" s="2046"/>
      <c r="AC1649" s="2046"/>
      <c r="AD1649" s="2046"/>
      <c r="AE1649" s="2047">
        <f>'01'!$M$13</f>
        <v>0</v>
      </c>
      <c r="AF1649" s="2044"/>
    </row>
    <row r="1650" spans="1:32" x14ac:dyDescent="0.2">
      <c r="A1650" s="1046"/>
      <c r="B1650" s="1047"/>
      <c r="C1650" s="1047"/>
      <c r="D1650" s="1047"/>
      <c r="E1650" s="1047"/>
      <c r="F1650" s="1047"/>
      <c r="G1650" s="1047"/>
      <c r="H1650" s="1047"/>
      <c r="I1650" s="1047"/>
      <c r="J1650" s="1047"/>
      <c r="K1650" s="1047"/>
      <c r="L1650" s="1047"/>
      <c r="M1650" s="1047"/>
      <c r="N1650" s="1047"/>
      <c r="O1650" s="1047"/>
      <c r="P1650" s="1047"/>
      <c r="Q1650" s="1047"/>
      <c r="R1650" s="1047"/>
      <c r="S1650" s="1047"/>
      <c r="T1650" s="1047"/>
      <c r="U1650" s="1047"/>
      <c r="V1650" s="1047"/>
      <c r="W1650" s="1047"/>
      <c r="X1650" s="1047"/>
      <c r="Y1650" s="1047"/>
      <c r="Z1650" s="1047"/>
      <c r="AA1650" s="1047"/>
      <c r="AB1650" s="1047"/>
      <c r="AC1650" s="1047"/>
      <c r="AD1650" s="1047"/>
      <c r="AE1650" s="1047"/>
      <c r="AF1650" s="1048"/>
    </row>
    <row r="1651" spans="1:32" ht="30" customHeight="1" x14ac:dyDescent="0.2">
      <c r="A1651" s="2048" t="s">
        <v>1842</v>
      </c>
      <c r="B1651" s="2049"/>
      <c r="C1651" s="2049"/>
      <c r="D1651" s="2049"/>
      <c r="E1651" s="2049"/>
      <c r="F1651" s="2050" t="str">
        <f>+'01'!$H$63</f>
        <v>C - FLOCULADOR, SEDIMENTADOR, CANAL DE AGUA SEDIMENTADA Y CANAL DE LAVADO</v>
      </c>
      <c r="G1651" s="2049"/>
      <c r="H1651" s="2049"/>
      <c r="I1651" s="2049"/>
      <c r="J1651" s="2049"/>
      <c r="K1651" s="2049"/>
      <c r="L1651" s="2049"/>
      <c r="M1651" s="2049"/>
      <c r="N1651" s="2049"/>
      <c r="O1651" s="2049"/>
      <c r="P1651" s="2049"/>
      <c r="Q1651" s="2049"/>
      <c r="R1651" s="2049"/>
      <c r="S1651" s="2049"/>
      <c r="T1651" s="2049"/>
      <c r="U1651" s="2049"/>
      <c r="V1651" s="2049"/>
      <c r="W1651" s="2049"/>
      <c r="X1651" s="2049"/>
      <c r="Y1651" s="2051"/>
      <c r="Z1651" s="2052" t="s">
        <v>1843</v>
      </c>
      <c r="AA1651" s="2053"/>
      <c r="AB1651" s="2058" t="s">
        <v>1844</v>
      </c>
      <c r="AC1651" s="2059"/>
      <c r="AD1651" s="2060"/>
      <c r="AE1651" s="2064" t="s">
        <v>1845</v>
      </c>
      <c r="AF1651" s="2067" t="s">
        <v>1846</v>
      </c>
    </row>
    <row r="1652" spans="1:32" x14ac:dyDescent="0.2">
      <c r="A1652" s="2070" t="str">
        <f>+'01'!A84</f>
        <v>C-07-03</v>
      </c>
      <c r="B1652" s="2071"/>
      <c r="C1652" s="2072"/>
      <c r="D1652" s="2076" t="str">
        <f>VLOOKUP(A1652,'01'!$A$12:$N$299,3,FALSE)</f>
        <v>SUMINISTRO E INSTALACIÓN DE TUBERIA PVC UNION MECANICA DE 8". PRESIÓN DE TRABAJO 200 PSI.</v>
      </c>
      <c r="E1652" s="2077"/>
      <c r="F1652" s="2077"/>
      <c r="G1652" s="2077"/>
      <c r="H1652" s="2077"/>
      <c r="I1652" s="2077"/>
      <c r="J1652" s="2077"/>
      <c r="K1652" s="2077"/>
      <c r="L1652" s="2077"/>
      <c r="M1652" s="2077"/>
      <c r="N1652" s="2077"/>
      <c r="O1652" s="2077"/>
      <c r="P1652" s="2077"/>
      <c r="Q1652" s="2077"/>
      <c r="R1652" s="2077"/>
      <c r="S1652" s="2078"/>
      <c r="T1652" s="2082" t="s">
        <v>124</v>
      </c>
      <c r="U1652" s="2083"/>
      <c r="V1652" s="2083"/>
      <c r="W1652" s="2083"/>
      <c r="X1652" s="2052" t="str">
        <f>VLOOKUP(A1652,'01'!$A$12:$N$299,9,FALSE)</f>
        <v>ML</v>
      </c>
      <c r="Y1652" s="2053"/>
      <c r="Z1652" s="2054"/>
      <c r="AA1652" s="2055"/>
      <c r="AB1652" s="2061"/>
      <c r="AC1652" s="2062"/>
      <c r="AD1652" s="2063"/>
      <c r="AE1652" s="2065"/>
      <c r="AF1652" s="2068"/>
    </row>
    <row r="1653" spans="1:32" ht="15.75" x14ac:dyDescent="0.25">
      <c r="A1653" s="2073"/>
      <c r="B1653" s="2074"/>
      <c r="C1653" s="2075"/>
      <c r="D1653" s="2079"/>
      <c r="E1653" s="2080"/>
      <c r="F1653" s="2080"/>
      <c r="G1653" s="2080"/>
      <c r="H1653" s="2080"/>
      <c r="I1653" s="2080"/>
      <c r="J1653" s="2080"/>
      <c r="K1653" s="2080"/>
      <c r="L1653" s="2080"/>
      <c r="M1653" s="2080"/>
      <c r="N1653" s="2080"/>
      <c r="O1653" s="2080"/>
      <c r="P1653" s="2080"/>
      <c r="Q1653" s="2080"/>
      <c r="R1653" s="2080"/>
      <c r="S1653" s="2081"/>
      <c r="T1653" s="2084"/>
      <c r="U1653" s="2085"/>
      <c r="V1653" s="2085"/>
      <c r="W1653" s="2085"/>
      <c r="X1653" s="2056"/>
      <c r="Y1653" s="2057"/>
      <c r="Z1653" s="2056"/>
      <c r="AA1653" s="2057"/>
      <c r="AB1653" s="1049" t="s">
        <v>1847</v>
      </c>
      <c r="AC1653" s="1049" t="s">
        <v>1848</v>
      </c>
      <c r="AD1653" s="1049" t="s">
        <v>1861</v>
      </c>
      <c r="AE1653" s="2066"/>
      <c r="AF1653" s="2069"/>
    </row>
    <row r="1654" spans="1:32" ht="30" customHeight="1" x14ac:dyDescent="0.25">
      <c r="A1654" s="2017"/>
      <c r="B1654" s="2018"/>
      <c r="C1654" s="2018"/>
      <c r="D1654" s="2018"/>
      <c r="E1654" s="2018"/>
      <c r="F1654" s="2018"/>
      <c r="G1654" s="2018"/>
      <c r="H1654" s="2018"/>
      <c r="I1654" s="2018"/>
      <c r="J1654" s="2018"/>
      <c r="K1654" s="2018"/>
      <c r="L1654" s="2018"/>
      <c r="M1654" s="2018"/>
      <c r="N1654" s="2018"/>
      <c r="O1654" s="2018"/>
      <c r="P1654" s="2018"/>
      <c r="Q1654" s="2018"/>
      <c r="R1654" s="2018"/>
      <c r="S1654" s="2018"/>
      <c r="T1654" s="2018"/>
      <c r="U1654" s="2018"/>
      <c r="V1654" s="2018"/>
      <c r="W1654" s="2018"/>
      <c r="X1654" s="2018"/>
      <c r="Y1654" s="2018"/>
      <c r="Z1654" s="2096" t="s">
        <v>2440</v>
      </c>
      <c r="AA1654" s="2097"/>
      <c r="AB1654" s="1050">
        <v>3</v>
      </c>
      <c r="AC1654" s="1050"/>
      <c r="AD1654" s="1050"/>
      <c r="AE1654" s="1050">
        <v>1</v>
      </c>
      <c r="AF1654" s="1052">
        <f>AE1654*AB1654</f>
        <v>3</v>
      </c>
    </row>
    <row r="1655" spans="1:32" ht="30" customHeight="1" x14ac:dyDescent="0.25">
      <c r="A1655" s="2017"/>
      <c r="B1655" s="2018"/>
      <c r="C1655" s="2018"/>
      <c r="D1655" s="2018"/>
      <c r="E1655" s="2018"/>
      <c r="F1655" s="2018"/>
      <c r="G1655" s="2018"/>
      <c r="H1655" s="2018"/>
      <c r="I1655" s="2018"/>
      <c r="J1655" s="2018"/>
      <c r="K1655" s="2018"/>
      <c r="L1655" s="2018"/>
      <c r="M1655" s="2018"/>
      <c r="N1655" s="2018"/>
      <c r="O1655" s="2018"/>
      <c r="P1655" s="2018"/>
      <c r="Q1655" s="2018"/>
      <c r="R1655" s="2018"/>
      <c r="S1655" s="2018"/>
      <c r="T1655" s="2018"/>
      <c r="U1655" s="2018"/>
      <c r="V1655" s="2018"/>
      <c r="W1655" s="2018"/>
      <c r="X1655" s="2018"/>
      <c r="Y1655" s="2018"/>
      <c r="Z1655" s="2096" t="s">
        <v>2441</v>
      </c>
      <c r="AA1655" s="2097"/>
      <c r="AB1655" s="1050">
        <v>3</v>
      </c>
      <c r="AC1655" s="1050"/>
      <c r="AD1655" s="1050"/>
      <c r="AE1655" s="1050">
        <v>1</v>
      </c>
      <c r="AF1655" s="1052">
        <f>AE1655*AB1655</f>
        <v>3</v>
      </c>
    </row>
    <row r="1656" spans="1:32" ht="30" customHeight="1" x14ac:dyDescent="0.25">
      <c r="A1656" s="2017"/>
      <c r="B1656" s="2018"/>
      <c r="C1656" s="2018"/>
      <c r="D1656" s="2018"/>
      <c r="E1656" s="2018"/>
      <c r="F1656" s="2018"/>
      <c r="G1656" s="2018"/>
      <c r="H1656" s="2018"/>
      <c r="I1656" s="2018"/>
      <c r="J1656" s="2018"/>
      <c r="K1656" s="2018"/>
      <c r="L1656" s="2018"/>
      <c r="M1656" s="2018"/>
      <c r="N1656" s="2018"/>
      <c r="O1656" s="2018"/>
      <c r="P1656" s="2018"/>
      <c r="Q1656" s="2018"/>
      <c r="R1656" s="2018"/>
      <c r="S1656" s="2018"/>
      <c r="T1656" s="2018"/>
      <c r="U1656" s="2018"/>
      <c r="V1656" s="2018"/>
      <c r="W1656" s="2018"/>
      <c r="X1656" s="2018"/>
      <c r="Y1656" s="2018"/>
      <c r="Z1656" s="2096" t="s">
        <v>2442</v>
      </c>
      <c r="AA1656" s="2097"/>
      <c r="AB1656" s="1050">
        <v>12</v>
      </c>
      <c r="AC1656" s="1050"/>
      <c r="AD1656" s="1050"/>
      <c r="AE1656" s="1050">
        <v>1</v>
      </c>
      <c r="AF1656" s="1052">
        <f>AE1656*AB1656</f>
        <v>12</v>
      </c>
    </row>
    <row r="1657" spans="1:32" ht="15.75" x14ac:dyDescent="0.25">
      <c r="A1657" s="2017"/>
      <c r="B1657" s="2018"/>
      <c r="C1657" s="2018"/>
      <c r="D1657" s="2018"/>
      <c r="E1657" s="2018"/>
      <c r="F1657" s="2018"/>
      <c r="G1657" s="2018"/>
      <c r="H1657" s="2018"/>
      <c r="I1657" s="2018"/>
      <c r="J1657" s="2018"/>
      <c r="K1657" s="2018"/>
      <c r="L1657" s="2018"/>
      <c r="M1657" s="2018"/>
      <c r="N1657" s="2018"/>
      <c r="O1657" s="2018"/>
      <c r="P1657" s="2018"/>
      <c r="Q1657" s="2018"/>
      <c r="R1657" s="2018"/>
      <c r="S1657" s="2018"/>
      <c r="T1657" s="2018"/>
      <c r="U1657" s="2018"/>
      <c r="V1657" s="2018"/>
      <c r="W1657" s="2018"/>
      <c r="X1657" s="2018"/>
      <c r="Y1657" s="2018"/>
      <c r="Z1657" s="2105"/>
      <c r="AA1657" s="2105"/>
      <c r="AB1657" s="1050"/>
      <c r="AC1657" s="1050"/>
      <c r="AD1657" s="1050"/>
      <c r="AE1657" s="1050"/>
      <c r="AF1657" s="1052"/>
    </row>
    <row r="1658" spans="1:32" ht="15.75" x14ac:dyDescent="0.25">
      <c r="A1658" s="2017"/>
      <c r="B1658" s="2018"/>
      <c r="C1658" s="2018"/>
      <c r="D1658" s="2018"/>
      <c r="E1658" s="2018"/>
      <c r="F1658" s="2018"/>
      <c r="G1658" s="2018"/>
      <c r="H1658" s="2018"/>
      <c r="I1658" s="2018"/>
      <c r="J1658" s="2018"/>
      <c r="K1658" s="2018"/>
      <c r="L1658" s="2018"/>
      <c r="M1658" s="2018"/>
      <c r="N1658" s="2018"/>
      <c r="O1658" s="2018"/>
      <c r="P1658" s="2018"/>
      <c r="Q1658" s="2018"/>
      <c r="R1658" s="2018"/>
      <c r="S1658" s="2018"/>
      <c r="T1658" s="2018"/>
      <c r="U1658" s="2018"/>
      <c r="V1658" s="2018"/>
      <c r="W1658" s="2018"/>
      <c r="X1658" s="2018"/>
      <c r="Y1658" s="2018"/>
      <c r="Z1658" s="2105"/>
      <c r="AA1658" s="2105"/>
      <c r="AB1658" s="1050"/>
      <c r="AC1658" s="1050"/>
      <c r="AD1658" s="1050"/>
      <c r="AE1658" s="1050"/>
      <c r="AF1658" s="1052"/>
    </row>
    <row r="1659" spans="1:32" ht="15.75" x14ac:dyDescent="0.25">
      <c r="A1659" s="2017"/>
      <c r="B1659" s="2018"/>
      <c r="C1659" s="2018"/>
      <c r="D1659" s="2018"/>
      <c r="E1659" s="2018"/>
      <c r="F1659" s="2018"/>
      <c r="G1659" s="2018"/>
      <c r="H1659" s="2018"/>
      <c r="I1659" s="2018"/>
      <c r="J1659" s="2018"/>
      <c r="K1659" s="2018"/>
      <c r="L1659" s="2018"/>
      <c r="M1659" s="2018"/>
      <c r="N1659" s="2018"/>
      <c r="O1659" s="2018"/>
      <c r="P1659" s="2018"/>
      <c r="Q1659" s="2018"/>
      <c r="R1659" s="2018"/>
      <c r="S1659" s="2018"/>
      <c r="T1659" s="2018"/>
      <c r="U1659" s="2018"/>
      <c r="V1659" s="2018"/>
      <c r="W1659" s="2018"/>
      <c r="X1659" s="2018"/>
      <c r="Y1659" s="2018"/>
      <c r="Z1659" s="2105"/>
      <c r="AA1659" s="2105"/>
      <c r="AB1659" s="1050"/>
      <c r="AC1659" s="1050"/>
      <c r="AD1659" s="1050"/>
      <c r="AE1659" s="1050"/>
      <c r="AF1659" s="1052"/>
    </row>
    <row r="1660" spans="1:32" ht="15.75" x14ac:dyDescent="0.25">
      <c r="A1660" s="2017"/>
      <c r="B1660" s="2018"/>
      <c r="C1660" s="2018"/>
      <c r="D1660" s="2018"/>
      <c r="E1660" s="2018"/>
      <c r="F1660" s="2018"/>
      <c r="G1660" s="2018"/>
      <c r="H1660" s="2018"/>
      <c r="I1660" s="2018"/>
      <c r="J1660" s="2018"/>
      <c r="K1660" s="2018"/>
      <c r="L1660" s="2018"/>
      <c r="M1660" s="2018"/>
      <c r="N1660" s="2018"/>
      <c r="O1660" s="2018"/>
      <c r="P1660" s="2018"/>
      <c r="Q1660" s="2018"/>
      <c r="R1660" s="2018"/>
      <c r="S1660" s="2018"/>
      <c r="T1660" s="2018"/>
      <c r="U1660" s="2018"/>
      <c r="V1660" s="2018"/>
      <c r="W1660" s="2018"/>
      <c r="X1660" s="2018"/>
      <c r="Y1660" s="2018"/>
      <c r="Z1660" s="2105"/>
      <c r="AA1660" s="2105"/>
      <c r="AB1660" s="1050"/>
      <c r="AC1660" s="1050"/>
      <c r="AD1660" s="1050"/>
      <c r="AE1660" s="1050"/>
      <c r="AF1660" s="1052"/>
    </row>
    <row r="1661" spans="1:32" ht="15.75" x14ac:dyDescent="0.25">
      <c r="A1661" s="2017"/>
      <c r="B1661" s="2018"/>
      <c r="C1661" s="2018"/>
      <c r="D1661" s="2018"/>
      <c r="E1661" s="2018"/>
      <c r="F1661" s="2018"/>
      <c r="G1661" s="2018"/>
      <c r="H1661" s="2018"/>
      <c r="I1661" s="2018"/>
      <c r="J1661" s="2018"/>
      <c r="K1661" s="2018"/>
      <c r="L1661" s="2018"/>
      <c r="M1661" s="2018"/>
      <c r="N1661" s="2018"/>
      <c r="O1661" s="2018"/>
      <c r="P1661" s="2018"/>
      <c r="Q1661" s="2018"/>
      <c r="R1661" s="2018"/>
      <c r="S1661" s="2018"/>
      <c r="T1661" s="2018"/>
      <c r="U1661" s="2018"/>
      <c r="V1661" s="2018"/>
      <c r="W1661" s="2018"/>
      <c r="X1661" s="2018"/>
      <c r="Y1661" s="2018"/>
      <c r="Z1661" s="2105"/>
      <c r="AA1661" s="2105"/>
      <c r="AB1661" s="1050"/>
      <c r="AC1661" s="1050"/>
      <c r="AD1661" s="1050"/>
      <c r="AE1661" s="1050"/>
      <c r="AF1661" s="1052"/>
    </row>
    <row r="1662" spans="1:32" ht="15.75" x14ac:dyDescent="0.25">
      <c r="A1662" s="2017"/>
      <c r="B1662" s="2018"/>
      <c r="C1662" s="2018"/>
      <c r="D1662" s="2018"/>
      <c r="E1662" s="2018"/>
      <c r="F1662" s="2018"/>
      <c r="G1662" s="2018"/>
      <c r="H1662" s="2018"/>
      <c r="I1662" s="2018"/>
      <c r="J1662" s="2018"/>
      <c r="K1662" s="2018"/>
      <c r="L1662" s="2018"/>
      <c r="M1662" s="2018"/>
      <c r="N1662" s="2018"/>
      <c r="O1662" s="2018"/>
      <c r="P1662" s="2018"/>
      <c r="Q1662" s="2018"/>
      <c r="R1662" s="2018"/>
      <c r="S1662" s="2018"/>
      <c r="T1662" s="2018"/>
      <c r="U1662" s="2018"/>
      <c r="V1662" s="2018"/>
      <c r="W1662" s="2018"/>
      <c r="X1662" s="2018"/>
      <c r="Y1662" s="2018"/>
      <c r="Z1662" s="2105"/>
      <c r="AA1662" s="2105"/>
      <c r="AB1662" s="1050"/>
      <c r="AC1662" s="1050"/>
      <c r="AD1662" s="1050"/>
      <c r="AE1662" s="1050"/>
      <c r="AF1662" s="1052"/>
    </row>
    <row r="1663" spans="1:32" ht="15.75" x14ac:dyDescent="0.25">
      <c r="A1663" s="2017"/>
      <c r="B1663" s="2018"/>
      <c r="C1663" s="2018"/>
      <c r="D1663" s="2018"/>
      <c r="E1663" s="2018"/>
      <c r="F1663" s="2018"/>
      <c r="G1663" s="2018"/>
      <c r="H1663" s="2018"/>
      <c r="I1663" s="2018"/>
      <c r="J1663" s="2018"/>
      <c r="K1663" s="2018"/>
      <c r="L1663" s="2018"/>
      <c r="M1663" s="2018"/>
      <c r="N1663" s="2018"/>
      <c r="O1663" s="2018"/>
      <c r="P1663" s="2018"/>
      <c r="Q1663" s="2018"/>
      <c r="R1663" s="2018"/>
      <c r="S1663" s="2018"/>
      <c r="T1663" s="2018"/>
      <c r="U1663" s="2018"/>
      <c r="V1663" s="2018"/>
      <c r="W1663" s="2018"/>
      <c r="X1663" s="2018"/>
      <c r="Y1663" s="2018"/>
      <c r="Z1663" s="2105"/>
      <c r="AA1663" s="2105"/>
      <c r="AB1663" s="1050"/>
      <c r="AC1663" s="1050"/>
      <c r="AD1663" s="1050"/>
      <c r="AE1663" s="1050"/>
      <c r="AF1663" s="1052"/>
    </row>
    <row r="1664" spans="1:32" ht="15.75" x14ac:dyDescent="0.25">
      <c r="A1664" s="2017"/>
      <c r="B1664" s="2018"/>
      <c r="C1664" s="2018"/>
      <c r="D1664" s="2018"/>
      <c r="E1664" s="2018"/>
      <c r="F1664" s="2018"/>
      <c r="G1664" s="2018"/>
      <c r="H1664" s="2018"/>
      <c r="I1664" s="2018"/>
      <c r="J1664" s="2018"/>
      <c r="K1664" s="2018"/>
      <c r="L1664" s="2018"/>
      <c r="M1664" s="2018"/>
      <c r="N1664" s="2018"/>
      <c r="O1664" s="2018"/>
      <c r="P1664" s="2018"/>
      <c r="Q1664" s="2018"/>
      <c r="R1664" s="2018"/>
      <c r="S1664" s="2018"/>
      <c r="T1664" s="2018"/>
      <c r="U1664" s="2018"/>
      <c r="V1664" s="2018"/>
      <c r="W1664" s="2018"/>
      <c r="X1664" s="2018"/>
      <c r="Y1664" s="2018"/>
      <c r="Z1664" s="2105"/>
      <c r="AA1664" s="2105"/>
      <c r="AB1664" s="1050"/>
      <c r="AC1664" s="1050"/>
      <c r="AD1664" s="1050"/>
      <c r="AE1664" s="1050"/>
      <c r="AF1664" s="1052"/>
    </row>
    <row r="1665" spans="1:32" ht="15.75" x14ac:dyDescent="0.25">
      <c r="A1665" s="2017"/>
      <c r="B1665" s="2018"/>
      <c r="C1665" s="2018"/>
      <c r="D1665" s="2018"/>
      <c r="E1665" s="2018"/>
      <c r="F1665" s="2018"/>
      <c r="G1665" s="2018"/>
      <c r="H1665" s="2018"/>
      <c r="I1665" s="2018"/>
      <c r="J1665" s="2018"/>
      <c r="K1665" s="2018"/>
      <c r="L1665" s="2018"/>
      <c r="M1665" s="2018"/>
      <c r="N1665" s="2018"/>
      <c r="O1665" s="2018"/>
      <c r="P1665" s="2018"/>
      <c r="Q1665" s="2018"/>
      <c r="R1665" s="2018"/>
      <c r="S1665" s="2018"/>
      <c r="T1665" s="2018"/>
      <c r="U1665" s="2018"/>
      <c r="V1665" s="2018"/>
      <c r="W1665" s="2018"/>
      <c r="X1665" s="2018"/>
      <c r="Y1665" s="2018"/>
      <c r="Z1665" s="2105"/>
      <c r="AA1665" s="2105"/>
      <c r="AB1665" s="1050"/>
      <c r="AC1665" s="1050"/>
      <c r="AD1665" s="1050"/>
      <c r="AE1665" s="1050"/>
      <c r="AF1665" s="1052"/>
    </row>
    <row r="1666" spans="1:32" ht="15.75" x14ac:dyDescent="0.25">
      <c r="A1666" s="2017"/>
      <c r="B1666" s="2018"/>
      <c r="C1666" s="2018"/>
      <c r="D1666" s="2018"/>
      <c r="E1666" s="2018"/>
      <c r="F1666" s="2018"/>
      <c r="G1666" s="2018"/>
      <c r="H1666" s="2018"/>
      <c r="I1666" s="2018"/>
      <c r="J1666" s="2018"/>
      <c r="K1666" s="2018"/>
      <c r="L1666" s="2018"/>
      <c r="M1666" s="2018"/>
      <c r="N1666" s="2018"/>
      <c r="O1666" s="2018"/>
      <c r="P1666" s="2018"/>
      <c r="Q1666" s="2018"/>
      <c r="R1666" s="2018"/>
      <c r="S1666" s="2018"/>
      <c r="T1666" s="2018"/>
      <c r="U1666" s="2018"/>
      <c r="V1666" s="2018"/>
      <c r="W1666" s="2018"/>
      <c r="X1666" s="2018"/>
      <c r="Y1666" s="2018"/>
      <c r="Z1666" s="2105"/>
      <c r="AA1666" s="2105"/>
      <c r="AB1666" s="1050"/>
      <c r="AC1666" s="1050"/>
      <c r="AD1666" s="1050"/>
      <c r="AE1666" s="1050"/>
      <c r="AF1666" s="1052"/>
    </row>
    <row r="1667" spans="1:32" ht="15.75" x14ac:dyDescent="0.25">
      <c r="A1667" s="2017"/>
      <c r="B1667" s="2018"/>
      <c r="C1667" s="2018"/>
      <c r="D1667" s="2018"/>
      <c r="E1667" s="2018"/>
      <c r="F1667" s="2018"/>
      <c r="G1667" s="2018"/>
      <c r="H1667" s="2018"/>
      <c r="I1667" s="2018"/>
      <c r="J1667" s="2018"/>
      <c r="K1667" s="2018"/>
      <c r="L1667" s="2018"/>
      <c r="M1667" s="2018"/>
      <c r="N1667" s="2018"/>
      <c r="O1667" s="2018"/>
      <c r="P1667" s="2018"/>
      <c r="Q1667" s="2018"/>
      <c r="R1667" s="2018"/>
      <c r="S1667" s="2018"/>
      <c r="T1667" s="2018"/>
      <c r="U1667" s="2018"/>
      <c r="V1667" s="2018"/>
      <c r="W1667" s="2018"/>
      <c r="X1667" s="2018"/>
      <c r="Y1667" s="2018"/>
      <c r="Z1667" s="2022"/>
      <c r="AA1667" s="2022"/>
      <c r="AB1667" s="1050"/>
      <c r="AC1667" s="1050"/>
      <c r="AD1667" s="1050"/>
      <c r="AE1667" s="1050"/>
      <c r="AF1667" s="1052"/>
    </row>
    <row r="1668" spans="1:32" ht="15.75" x14ac:dyDescent="0.25">
      <c r="A1668" s="2017"/>
      <c r="B1668" s="2018"/>
      <c r="C1668" s="2018"/>
      <c r="D1668" s="2018"/>
      <c r="E1668" s="2018"/>
      <c r="F1668" s="2018"/>
      <c r="G1668" s="2018"/>
      <c r="H1668" s="2018"/>
      <c r="I1668" s="2018"/>
      <c r="J1668" s="2018"/>
      <c r="K1668" s="2018"/>
      <c r="L1668" s="2018"/>
      <c r="M1668" s="2018"/>
      <c r="N1668" s="2018"/>
      <c r="O1668" s="2018"/>
      <c r="P1668" s="2018"/>
      <c r="Q1668" s="2018"/>
      <c r="R1668" s="2018"/>
      <c r="S1668" s="2018"/>
      <c r="T1668" s="2018"/>
      <c r="U1668" s="2018"/>
      <c r="V1668" s="2018"/>
      <c r="W1668" s="2018"/>
      <c r="X1668" s="2018"/>
      <c r="Y1668" s="2018"/>
      <c r="Z1668" s="2022"/>
      <c r="AA1668" s="2022"/>
      <c r="AB1668" s="1050"/>
      <c r="AC1668" s="1050"/>
      <c r="AD1668" s="1050"/>
      <c r="AE1668" s="1050"/>
      <c r="AF1668" s="1052"/>
    </row>
    <row r="1669" spans="1:32" ht="15.75" x14ac:dyDescent="0.25">
      <c r="A1669" s="2017"/>
      <c r="B1669" s="2018"/>
      <c r="C1669" s="2018"/>
      <c r="D1669" s="2018"/>
      <c r="E1669" s="2018"/>
      <c r="F1669" s="2018"/>
      <c r="G1669" s="2018"/>
      <c r="H1669" s="2018"/>
      <c r="I1669" s="2018"/>
      <c r="J1669" s="2018"/>
      <c r="K1669" s="2018"/>
      <c r="L1669" s="2018"/>
      <c r="M1669" s="2018"/>
      <c r="N1669" s="2018"/>
      <c r="O1669" s="2018"/>
      <c r="P1669" s="2018"/>
      <c r="Q1669" s="2018"/>
      <c r="R1669" s="2018"/>
      <c r="S1669" s="2018"/>
      <c r="T1669" s="2018"/>
      <c r="U1669" s="2018"/>
      <c r="V1669" s="2018"/>
      <c r="W1669" s="2018"/>
      <c r="X1669" s="2018"/>
      <c r="Y1669" s="2018"/>
      <c r="Z1669" s="2022"/>
      <c r="AA1669" s="2022"/>
      <c r="AB1669" s="1050"/>
      <c r="AC1669" s="1050"/>
      <c r="AD1669" s="1050"/>
      <c r="AE1669" s="1050"/>
      <c r="AF1669" s="1052"/>
    </row>
    <row r="1670" spans="1:32" ht="15.75" x14ac:dyDescent="0.25">
      <c r="A1670" s="2017"/>
      <c r="B1670" s="2018"/>
      <c r="C1670" s="2018"/>
      <c r="D1670" s="2018"/>
      <c r="E1670" s="2018"/>
      <c r="F1670" s="2018"/>
      <c r="G1670" s="2018"/>
      <c r="H1670" s="2018"/>
      <c r="I1670" s="2018"/>
      <c r="J1670" s="2018"/>
      <c r="K1670" s="2018"/>
      <c r="L1670" s="2018"/>
      <c r="M1670" s="2018"/>
      <c r="N1670" s="2018"/>
      <c r="O1670" s="2018"/>
      <c r="P1670" s="2018"/>
      <c r="Q1670" s="2018"/>
      <c r="R1670" s="2018"/>
      <c r="S1670" s="2018"/>
      <c r="T1670" s="2018"/>
      <c r="U1670" s="2018"/>
      <c r="V1670" s="2018"/>
      <c r="W1670" s="2018"/>
      <c r="X1670" s="2018"/>
      <c r="Y1670" s="2018"/>
      <c r="Z1670" s="2022"/>
      <c r="AA1670" s="2022"/>
      <c r="AB1670" s="1050"/>
      <c r="AC1670" s="1050"/>
      <c r="AD1670" s="1050"/>
      <c r="AE1670" s="1050"/>
      <c r="AF1670" s="1052"/>
    </row>
    <row r="1671" spans="1:32" ht="15.75" x14ac:dyDescent="0.25">
      <c r="A1671" s="2017"/>
      <c r="B1671" s="2018"/>
      <c r="C1671" s="2018"/>
      <c r="D1671" s="2018"/>
      <c r="E1671" s="2018"/>
      <c r="F1671" s="2018"/>
      <c r="G1671" s="2018"/>
      <c r="H1671" s="2018"/>
      <c r="I1671" s="2018"/>
      <c r="J1671" s="2018"/>
      <c r="K1671" s="2018"/>
      <c r="L1671" s="2018"/>
      <c r="M1671" s="2018"/>
      <c r="N1671" s="2018"/>
      <c r="O1671" s="2018"/>
      <c r="P1671" s="2018"/>
      <c r="Q1671" s="2018"/>
      <c r="R1671" s="2018"/>
      <c r="S1671" s="2018"/>
      <c r="T1671" s="2018"/>
      <c r="U1671" s="2018"/>
      <c r="V1671" s="2018"/>
      <c r="W1671" s="2018"/>
      <c r="X1671" s="2018"/>
      <c r="Y1671" s="2018"/>
      <c r="Z1671" s="2023"/>
      <c r="AA1671" s="2023"/>
      <c r="AB1671" s="1050"/>
      <c r="AC1671" s="1050"/>
      <c r="AD1671" s="1050"/>
      <c r="AE1671" s="1050"/>
      <c r="AF1671" s="1052"/>
    </row>
    <row r="1672" spans="1:32" ht="15.75" x14ac:dyDescent="0.25">
      <c r="A1672" s="2017"/>
      <c r="B1672" s="2018"/>
      <c r="C1672" s="2018"/>
      <c r="D1672" s="2018"/>
      <c r="E1672" s="2018"/>
      <c r="F1672" s="2018"/>
      <c r="G1672" s="2018"/>
      <c r="H1672" s="2018"/>
      <c r="I1672" s="2018"/>
      <c r="J1672" s="2018"/>
      <c r="K1672" s="2018"/>
      <c r="L1672" s="2018"/>
      <c r="M1672" s="2018"/>
      <c r="N1672" s="2018"/>
      <c r="O1672" s="2018"/>
      <c r="P1672" s="2018"/>
      <c r="Q1672" s="2018"/>
      <c r="R1672" s="2018"/>
      <c r="S1672" s="2018"/>
      <c r="T1672" s="2018"/>
      <c r="U1672" s="2018"/>
      <c r="V1672" s="2018"/>
      <c r="W1672" s="2018"/>
      <c r="X1672" s="2018"/>
      <c r="Y1672" s="2018"/>
      <c r="Z1672" s="2023"/>
      <c r="AA1672" s="2023"/>
      <c r="AB1672" s="1050"/>
      <c r="AC1672" s="1050"/>
      <c r="AD1672" s="1050"/>
      <c r="AE1672" s="1050"/>
      <c r="AF1672" s="1052"/>
    </row>
    <row r="1673" spans="1:32" ht="15.75" x14ac:dyDescent="0.25">
      <c r="A1673" s="2017"/>
      <c r="B1673" s="2018"/>
      <c r="C1673" s="2018"/>
      <c r="D1673" s="2018"/>
      <c r="E1673" s="2018"/>
      <c r="F1673" s="2018"/>
      <c r="G1673" s="2018"/>
      <c r="H1673" s="2018"/>
      <c r="I1673" s="2018"/>
      <c r="J1673" s="2018"/>
      <c r="K1673" s="2018"/>
      <c r="L1673" s="2018"/>
      <c r="M1673" s="2018"/>
      <c r="N1673" s="2018"/>
      <c r="O1673" s="2018"/>
      <c r="P1673" s="2018"/>
      <c r="Q1673" s="2018"/>
      <c r="R1673" s="2018"/>
      <c r="S1673" s="2018"/>
      <c r="T1673" s="2018"/>
      <c r="U1673" s="2018"/>
      <c r="V1673" s="2018"/>
      <c r="W1673" s="2018"/>
      <c r="X1673" s="2018"/>
      <c r="Y1673" s="2018"/>
      <c r="Z1673" s="2023"/>
      <c r="AA1673" s="2023"/>
      <c r="AB1673" s="1050"/>
      <c r="AC1673" s="1050"/>
      <c r="AD1673" s="1050"/>
      <c r="AE1673" s="1050"/>
      <c r="AF1673" s="1052"/>
    </row>
    <row r="1674" spans="1:32" ht="15.75" x14ac:dyDescent="0.25">
      <c r="A1674" s="2017"/>
      <c r="B1674" s="2018"/>
      <c r="C1674" s="2018"/>
      <c r="D1674" s="2018"/>
      <c r="E1674" s="2018"/>
      <c r="F1674" s="2018"/>
      <c r="G1674" s="2018"/>
      <c r="H1674" s="2018"/>
      <c r="I1674" s="2018"/>
      <c r="J1674" s="2018"/>
      <c r="K1674" s="2018"/>
      <c r="L1674" s="2018"/>
      <c r="M1674" s="2018"/>
      <c r="N1674" s="2018"/>
      <c r="O1674" s="2018"/>
      <c r="P1674" s="2018"/>
      <c r="Q1674" s="2018"/>
      <c r="R1674" s="2018"/>
      <c r="S1674" s="2018"/>
      <c r="T1674" s="2018"/>
      <c r="U1674" s="2018"/>
      <c r="V1674" s="2018"/>
      <c r="W1674" s="2018"/>
      <c r="X1674" s="2018"/>
      <c r="Y1674" s="2018"/>
      <c r="Z1674" s="2023"/>
      <c r="AA1674" s="2023"/>
      <c r="AB1674" s="1050"/>
      <c r="AC1674" s="1050"/>
      <c r="AD1674" s="1050"/>
      <c r="AE1674" s="1050"/>
      <c r="AF1674" s="1052"/>
    </row>
    <row r="1675" spans="1:32" ht="15.75" x14ac:dyDescent="0.25">
      <c r="A1675" s="2017"/>
      <c r="B1675" s="2018"/>
      <c r="C1675" s="2018"/>
      <c r="D1675" s="2018"/>
      <c r="E1675" s="2018"/>
      <c r="F1675" s="2018"/>
      <c r="G1675" s="2018"/>
      <c r="H1675" s="2018"/>
      <c r="I1675" s="2018"/>
      <c r="J1675" s="2018"/>
      <c r="K1675" s="2018"/>
      <c r="L1675" s="2018"/>
      <c r="M1675" s="2018"/>
      <c r="N1675" s="2018"/>
      <c r="O1675" s="2018"/>
      <c r="P1675" s="2018"/>
      <c r="Q1675" s="2018"/>
      <c r="R1675" s="2018"/>
      <c r="S1675" s="2018"/>
      <c r="T1675" s="2018"/>
      <c r="U1675" s="2018"/>
      <c r="V1675" s="2018"/>
      <c r="W1675" s="2018"/>
      <c r="X1675" s="2018"/>
      <c r="Y1675" s="2018"/>
      <c r="Z1675" s="2023"/>
      <c r="AA1675" s="2023"/>
      <c r="AB1675" s="1050"/>
      <c r="AC1675" s="1050"/>
      <c r="AD1675" s="1050"/>
      <c r="AE1675" s="1050"/>
      <c r="AF1675" s="1052"/>
    </row>
    <row r="1676" spans="1:32" ht="15.75" x14ac:dyDescent="0.25">
      <c r="A1676" s="2017"/>
      <c r="B1676" s="2018"/>
      <c r="C1676" s="2018"/>
      <c r="D1676" s="2018"/>
      <c r="E1676" s="2018"/>
      <c r="F1676" s="2018"/>
      <c r="G1676" s="2018"/>
      <c r="H1676" s="2018"/>
      <c r="I1676" s="2018"/>
      <c r="J1676" s="2018"/>
      <c r="K1676" s="2018"/>
      <c r="L1676" s="2018"/>
      <c r="M1676" s="2018"/>
      <c r="N1676" s="2018"/>
      <c r="O1676" s="2018"/>
      <c r="P1676" s="2018"/>
      <c r="Q1676" s="2018"/>
      <c r="R1676" s="2018"/>
      <c r="S1676" s="2018"/>
      <c r="T1676" s="2018"/>
      <c r="U1676" s="2018"/>
      <c r="V1676" s="2018"/>
      <c r="W1676" s="2018"/>
      <c r="X1676" s="2018"/>
      <c r="Y1676" s="2018"/>
      <c r="Z1676" s="2023"/>
      <c r="AA1676" s="2023"/>
      <c r="AB1676" s="1050"/>
      <c r="AC1676" s="1050"/>
      <c r="AD1676" s="1050"/>
      <c r="AE1676" s="1050"/>
      <c r="AF1676" s="1052"/>
    </row>
    <row r="1677" spans="1:32" ht="16.5" thickBot="1" x14ac:dyDescent="0.3">
      <c r="A1677" s="2019"/>
      <c r="B1677" s="2020"/>
      <c r="C1677" s="2020"/>
      <c r="D1677" s="2020"/>
      <c r="E1677" s="2020"/>
      <c r="F1677" s="2020"/>
      <c r="G1677" s="2020"/>
      <c r="H1677" s="2020"/>
      <c r="I1677" s="2020"/>
      <c r="J1677" s="2020"/>
      <c r="K1677" s="2020"/>
      <c r="L1677" s="2020"/>
      <c r="M1677" s="2020"/>
      <c r="N1677" s="2020"/>
      <c r="O1677" s="2020"/>
      <c r="P1677" s="2020"/>
      <c r="Q1677" s="2020"/>
      <c r="R1677" s="2020"/>
      <c r="S1677" s="2020"/>
      <c r="T1677" s="2020"/>
      <c r="U1677" s="2020"/>
      <c r="V1677" s="2020"/>
      <c r="W1677" s="2020"/>
      <c r="X1677" s="2020"/>
      <c r="Y1677" s="2020"/>
      <c r="Z1677" s="2024"/>
      <c r="AA1677" s="2024"/>
      <c r="AB1677" s="1057"/>
      <c r="AC1677" s="1057"/>
      <c r="AD1677" s="1057"/>
      <c r="AE1677" s="1057"/>
      <c r="AF1677" s="1058"/>
    </row>
    <row r="1678" spans="1:32" ht="15.75" x14ac:dyDescent="0.25">
      <c r="A1678" s="2009" t="s">
        <v>1855</v>
      </c>
      <c r="B1678" s="2010"/>
      <c r="C1678" s="2010"/>
      <c r="D1678" s="2010"/>
      <c r="E1678" s="2010"/>
      <c r="F1678" s="2010"/>
      <c r="G1678" s="2010"/>
      <c r="H1678" s="2010"/>
      <c r="I1678" s="2010"/>
      <c r="J1678" s="2010"/>
      <c r="K1678" s="2010"/>
      <c r="L1678" s="2010"/>
      <c r="M1678" s="2010"/>
      <c r="N1678" s="2010"/>
      <c r="O1678" s="2010"/>
      <c r="P1678" s="2010"/>
      <c r="Q1678" s="2010"/>
      <c r="R1678" s="2010"/>
      <c r="S1678" s="2010"/>
      <c r="T1678" s="2010"/>
      <c r="U1678" s="2010"/>
      <c r="V1678" s="2010"/>
      <c r="W1678" s="2010"/>
      <c r="X1678" s="2010"/>
      <c r="Y1678" s="2010"/>
      <c r="Z1678" s="2013" t="s">
        <v>1850</v>
      </c>
      <c r="AA1678" s="2013"/>
      <c r="AB1678" s="2013"/>
      <c r="AC1678" s="2013"/>
      <c r="AD1678" s="2013"/>
      <c r="AE1678" s="2013"/>
      <c r="AF1678" s="1059">
        <f>SUM(AF1654:AF1677)</f>
        <v>18</v>
      </c>
    </row>
    <row r="1679" spans="1:32" ht="15.75" x14ac:dyDescent="0.25">
      <c r="A1679" s="2011"/>
      <c r="B1679" s="2012"/>
      <c r="C1679" s="2012"/>
      <c r="D1679" s="2012"/>
      <c r="E1679" s="2012"/>
      <c r="F1679" s="2012"/>
      <c r="G1679" s="2012"/>
      <c r="H1679" s="2012"/>
      <c r="I1679" s="2012"/>
      <c r="J1679" s="2012"/>
      <c r="K1679" s="2012"/>
      <c r="L1679" s="2012"/>
      <c r="M1679" s="2012"/>
      <c r="N1679" s="2012"/>
      <c r="O1679" s="2012"/>
      <c r="P1679" s="2012"/>
      <c r="Q1679" s="2012"/>
      <c r="R1679" s="2012"/>
      <c r="S1679" s="2012"/>
      <c r="T1679" s="2012"/>
      <c r="U1679" s="2012"/>
      <c r="V1679" s="2012"/>
      <c r="W1679" s="2012"/>
      <c r="X1679" s="2012"/>
      <c r="Y1679" s="2012"/>
      <c r="Z1679" s="2014" t="s">
        <v>1851</v>
      </c>
      <c r="AA1679" s="2014"/>
      <c r="AB1679" s="2014"/>
      <c r="AC1679" s="2014"/>
      <c r="AD1679" s="2014"/>
      <c r="AE1679" s="2014"/>
      <c r="AF1679" s="1060">
        <v>0</v>
      </c>
    </row>
    <row r="1680" spans="1:32" ht="15.75" x14ac:dyDescent="0.25">
      <c r="A1680" s="2011"/>
      <c r="B1680" s="2012"/>
      <c r="C1680" s="2012"/>
      <c r="D1680" s="2012"/>
      <c r="E1680" s="2012"/>
      <c r="F1680" s="2012"/>
      <c r="G1680" s="2012"/>
      <c r="H1680" s="2012"/>
      <c r="I1680" s="2012"/>
      <c r="J1680" s="2012"/>
      <c r="K1680" s="2012"/>
      <c r="L1680" s="2012"/>
      <c r="M1680" s="2012"/>
      <c r="N1680" s="2012"/>
      <c r="O1680" s="2012"/>
      <c r="P1680" s="2012"/>
      <c r="Q1680" s="2012"/>
      <c r="R1680" s="2012"/>
      <c r="S1680" s="2012"/>
      <c r="T1680" s="2012"/>
      <c r="U1680" s="2012"/>
      <c r="V1680" s="2012"/>
      <c r="W1680" s="2012"/>
      <c r="X1680" s="2012"/>
      <c r="Y1680" s="2012"/>
      <c r="Z1680" s="2015" t="s">
        <v>1833</v>
      </c>
      <c r="AA1680" s="2015"/>
      <c r="AB1680" s="2015"/>
      <c r="AC1680" s="2015"/>
      <c r="AD1680" s="2015"/>
      <c r="AE1680" s="2015"/>
      <c r="AF1680" s="1061">
        <f>SUM(AF1678:AF1679)</f>
        <v>18</v>
      </c>
    </row>
    <row r="1681" spans="1:32" x14ac:dyDescent="0.2">
      <c r="A1681" s="2012" t="s">
        <v>1859</v>
      </c>
      <c r="B1681" s="2012"/>
      <c r="C1681" s="2012"/>
      <c r="D1681" s="2012"/>
      <c r="E1681" s="2012"/>
      <c r="F1681" s="2012"/>
      <c r="G1681" s="2012"/>
      <c r="H1681" s="2012"/>
      <c r="I1681" s="2012"/>
      <c r="J1681" s="2012"/>
      <c r="K1681" s="2012"/>
      <c r="L1681" s="2012"/>
      <c r="M1681" s="2012"/>
      <c r="N1681" s="2012"/>
      <c r="O1681" s="2012"/>
      <c r="P1681" s="2012"/>
      <c r="Q1681" s="2012"/>
      <c r="R1681" s="2012"/>
      <c r="S1681" s="2012"/>
      <c r="T1681" s="2016" t="s">
        <v>1840</v>
      </c>
      <c r="U1681" s="2016"/>
      <c r="V1681" s="2016"/>
      <c r="W1681" s="2016"/>
      <c r="X1681" s="2016"/>
      <c r="Y1681" s="2016"/>
      <c r="Z1681" s="2016"/>
      <c r="AA1681" s="2016"/>
      <c r="AB1681" s="2012" t="s">
        <v>1852</v>
      </c>
      <c r="AC1681" s="2012"/>
      <c r="AD1681" s="2012"/>
      <c r="AE1681" s="2012"/>
      <c r="AF1681" s="2012"/>
    </row>
    <row r="1682" spans="1:32" x14ac:dyDescent="0.2">
      <c r="A1682" s="2012"/>
      <c r="B1682" s="2012"/>
      <c r="C1682" s="2012"/>
      <c r="D1682" s="2012"/>
      <c r="E1682" s="2012"/>
      <c r="F1682" s="2012"/>
      <c r="G1682" s="2012"/>
      <c r="H1682" s="2012"/>
      <c r="I1682" s="2012"/>
      <c r="J1682" s="2012"/>
      <c r="K1682" s="2012"/>
      <c r="L1682" s="2012"/>
      <c r="M1682" s="2012"/>
      <c r="N1682" s="2012"/>
      <c r="O1682" s="2012"/>
      <c r="P1682" s="2012"/>
      <c r="Q1682" s="2012"/>
      <c r="R1682" s="2012"/>
      <c r="S1682" s="2012"/>
      <c r="T1682" s="2016"/>
      <c r="U1682" s="2016"/>
      <c r="V1682" s="2016"/>
      <c r="W1682" s="2016"/>
      <c r="X1682" s="2016"/>
      <c r="Y1682" s="2016"/>
      <c r="Z1682" s="2016"/>
      <c r="AA1682" s="2016"/>
      <c r="AB1682" s="2012"/>
      <c r="AC1682" s="2012"/>
      <c r="AD1682" s="2012"/>
      <c r="AE1682" s="2012"/>
      <c r="AF1682" s="2012"/>
    </row>
    <row r="1683" spans="1:32" ht="13.5" thickBot="1" x14ac:dyDescent="0.25"/>
    <row r="1684" spans="1:32" ht="26.45" customHeight="1" x14ac:dyDescent="0.2">
      <c r="A1684" s="2025" t="s">
        <v>1854</v>
      </c>
      <c r="B1684" s="2026"/>
      <c r="C1684" s="2026"/>
      <c r="D1684" s="2026"/>
      <c r="E1684" s="2026"/>
      <c r="F1684" s="2026"/>
      <c r="G1684" s="2026"/>
      <c r="H1684" s="2026"/>
      <c r="I1684" s="2026"/>
      <c r="J1684" s="2026"/>
      <c r="K1684" s="2026"/>
      <c r="L1684" s="2026"/>
      <c r="M1684" s="2026"/>
      <c r="N1684" s="2026"/>
      <c r="O1684" s="2026"/>
      <c r="P1684" s="2026"/>
      <c r="Q1684" s="2026"/>
      <c r="R1684" s="2026"/>
      <c r="S1684" s="2026"/>
      <c r="T1684" s="2026"/>
      <c r="U1684" s="2026"/>
      <c r="V1684" s="2026"/>
      <c r="W1684" s="2026"/>
      <c r="X1684" s="2026"/>
      <c r="Y1684" s="2026"/>
      <c r="Z1684" s="2026"/>
      <c r="AA1684" s="2026"/>
      <c r="AB1684" s="2026"/>
      <c r="AC1684" s="2026"/>
      <c r="AD1684" s="2026"/>
      <c r="AE1684" s="1041" t="s">
        <v>1834</v>
      </c>
      <c r="AF1684" s="1042" t="s">
        <v>1835</v>
      </c>
    </row>
    <row r="1685" spans="1:32" ht="21" customHeight="1" thickBot="1" x14ac:dyDescent="0.25">
      <c r="A1685" s="2027"/>
      <c r="B1685" s="2028"/>
      <c r="C1685" s="2028"/>
      <c r="D1685" s="2028"/>
      <c r="E1685" s="2028"/>
      <c r="F1685" s="2028"/>
      <c r="G1685" s="2028"/>
      <c r="H1685" s="2028"/>
      <c r="I1685" s="2028"/>
      <c r="J1685" s="2028"/>
      <c r="K1685" s="2028"/>
      <c r="L1685" s="2028"/>
      <c r="M1685" s="2028"/>
      <c r="N1685" s="2028"/>
      <c r="O1685" s="2028"/>
      <c r="P1685" s="2028"/>
      <c r="Q1685" s="2028"/>
      <c r="R1685" s="2028"/>
      <c r="S1685" s="2028"/>
      <c r="T1685" s="2028"/>
      <c r="U1685" s="2028"/>
      <c r="V1685" s="2028"/>
      <c r="W1685" s="2028"/>
      <c r="X1685" s="2028"/>
      <c r="Y1685" s="2028"/>
      <c r="Z1685" s="2028"/>
      <c r="AA1685" s="2028"/>
      <c r="AB1685" s="2028"/>
      <c r="AC1685" s="2028"/>
      <c r="AD1685" s="2028"/>
      <c r="AE1685" s="1041" t="s">
        <v>1836</v>
      </c>
      <c r="AF1685" s="1044">
        <v>1</v>
      </c>
    </row>
    <row r="1686" spans="1:32" ht="15.75" x14ac:dyDescent="0.2">
      <c r="A1686" s="2029"/>
      <c r="B1686" s="2030"/>
      <c r="C1686" s="2030"/>
      <c r="D1686" s="2031"/>
      <c r="E1686" s="2025" t="str">
        <f>'01'!$A$12</f>
        <v>"CONSTRUCCION SISTEMA DE ACUEDUCTO FASE II DEL MUNICIPIO DE TESALIA DPTO DEL HUILA"</v>
      </c>
      <c r="F1686" s="2026"/>
      <c r="G1686" s="2026"/>
      <c r="H1686" s="2026"/>
      <c r="I1686" s="2026"/>
      <c r="J1686" s="2026"/>
      <c r="K1686" s="2026"/>
      <c r="L1686" s="2026"/>
      <c r="M1686" s="2026"/>
      <c r="N1686" s="2026"/>
      <c r="O1686" s="2026"/>
      <c r="P1686" s="2026"/>
      <c r="Q1686" s="2026"/>
      <c r="R1686" s="2026"/>
      <c r="S1686" s="2026"/>
      <c r="T1686" s="2026"/>
      <c r="U1686" s="2026"/>
      <c r="V1686" s="2026"/>
      <c r="W1686" s="2026"/>
      <c r="X1686" s="2026"/>
      <c r="Y1686" s="2026"/>
      <c r="Z1686" s="2026"/>
      <c r="AA1686" s="2026"/>
      <c r="AB1686" s="2026"/>
      <c r="AC1686" s="2026"/>
      <c r="AD1686" s="2035"/>
      <c r="AE1686" s="1041" t="s">
        <v>847</v>
      </c>
      <c r="AF1686" s="1045">
        <f>'01'!$M$13</f>
        <v>0</v>
      </c>
    </row>
    <row r="1687" spans="1:32" ht="16.5" thickBot="1" x14ac:dyDescent="0.25">
      <c r="A1687" s="2032"/>
      <c r="B1687" s="2033"/>
      <c r="C1687" s="2033"/>
      <c r="D1687" s="2034"/>
      <c r="E1687" s="2027"/>
      <c r="F1687" s="2028"/>
      <c r="G1687" s="2028"/>
      <c r="H1687" s="2028"/>
      <c r="I1687" s="2028"/>
      <c r="J1687" s="2028"/>
      <c r="K1687" s="2028"/>
      <c r="L1687" s="2028"/>
      <c r="M1687" s="2028"/>
      <c r="N1687" s="2028"/>
      <c r="O1687" s="2028"/>
      <c r="P1687" s="2028"/>
      <c r="Q1687" s="2028"/>
      <c r="R1687" s="2028"/>
      <c r="S1687" s="2028"/>
      <c r="T1687" s="2028"/>
      <c r="U1687" s="2028"/>
      <c r="V1687" s="2028"/>
      <c r="W1687" s="2028"/>
      <c r="X1687" s="2028"/>
      <c r="Y1687" s="2028"/>
      <c r="Z1687" s="2028"/>
      <c r="AA1687" s="2028"/>
      <c r="AB1687" s="2028"/>
      <c r="AC1687" s="2028"/>
      <c r="AD1687" s="2036"/>
      <c r="AE1687" s="1041" t="s">
        <v>1837</v>
      </c>
      <c r="AF1687" s="1042" t="s">
        <v>1838</v>
      </c>
    </row>
    <row r="1688" spans="1:32" ht="15.75" x14ac:dyDescent="0.25">
      <c r="A1688" s="2037" t="s">
        <v>1860</v>
      </c>
      <c r="B1688" s="2038"/>
      <c r="C1688" s="2038"/>
      <c r="D1688" s="2038"/>
      <c r="E1688" s="2038"/>
      <c r="F1688" s="2038"/>
      <c r="G1688" s="2038"/>
      <c r="H1688" s="2038"/>
      <c r="I1688" s="2038"/>
      <c r="J1688" s="2038"/>
      <c r="K1688" s="2038"/>
      <c r="L1688" s="2038"/>
      <c r="M1688" s="2038"/>
      <c r="N1688" s="2038"/>
      <c r="O1688" s="2038"/>
      <c r="P1688" s="2038"/>
      <c r="Q1688" s="2038"/>
      <c r="R1688" s="2038"/>
      <c r="S1688" s="2038"/>
      <c r="T1688" s="2038"/>
      <c r="U1688" s="2038"/>
      <c r="V1688" s="2038"/>
      <c r="W1688" s="2038"/>
      <c r="X1688" s="2038"/>
      <c r="Y1688" s="2038"/>
      <c r="Z1688" s="2038"/>
      <c r="AA1688" s="2038"/>
      <c r="AB1688" s="2038"/>
      <c r="AC1688" s="2038"/>
      <c r="AD1688" s="2038"/>
      <c r="AE1688" s="2039" t="s">
        <v>1839</v>
      </c>
      <c r="AF1688" s="2040"/>
    </row>
    <row r="1689" spans="1:32" ht="15.75" x14ac:dyDescent="0.25">
      <c r="A1689" s="2041" t="s">
        <v>1840</v>
      </c>
      <c r="B1689" s="2042"/>
      <c r="C1689" s="2042"/>
      <c r="D1689" s="2042"/>
      <c r="E1689" s="2042"/>
      <c r="F1689" s="2042"/>
      <c r="G1689" s="2042"/>
      <c r="H1689" s="2042"/>
      <c r="I1689" s="2042"/>
      <c r="J1689" s="2042"/>
      <c r="K1689" s="2042"/>
      <c r="L1689" s="2042"/>
      <c r="M1689" s="2042"/>
      <c r="N1689" s="2042"/>
      <c r="O1689" s="2042"/>
      <c r="P1689" s="2042"/>
      <c r="Q1689" s="2042"/>
      <c r="R1689" s="2042"/>
      <c r="S1689" s="2042"/>
      <c r="T1689" s="2042"/>
      <c r="U1689" s="2042"/>
      <c r="V1689" s="2042"/>
      <c r="W1689" s="2042"/>
      <c r="X1689" s="2042"/>
      <c r="Y1689" s="2042"/>
      <c r="Z1689" s="2042"/>
      <c r="AA1689" s="2042"/>
      <c r="AB1689" s="2042"/>
      <c r="AC1689" s="2042"/>
      <c r="AD1689" s="2043"/>
      <c r="AE1689" s="2014" t="s">
        <v>1841</v>
      </c>
      <c r="AF1689" s="2044"/>
    </row>
    <row r="1690" spans="1:32" ht="15.75" x14ac:dyDescent="0.25">
      <c r="A1690" s="2045" t="s">
        <v>1853</v>
      </c>
      <c r="B1690" s="2046"/>
      <c r="C1690" s="2046"/>
      <c r="D1690" s="2046"/>
      <c r="E1690" s="2046"/>
      <c r="F1690" s="2046"/>
      <c r="G1690" s="2046"/>
      <c r="H1690" s="2046"/>
      <c r="I1690" s="2046"/>
      <c r="J1690" s="2046"/>
      <c r="K1690" s="2046"/>
      <c r="L1690" s="2046"/>
      <c r="M1690" s="2046"/>
      <c r="N1690" s="2046"/>
      <c r="O1690" s="2046"/>
      <c r="P1690" s="2046"/>
      <c r="Q1690" s="2046"/>
      <c r="R1690" s="2046"/>
      <c r="S1690" s="2046"/>
      <c r="T1690" s="2046"/>
      <c r="U1690" s="2046"/>
      <c r="V1690" s="2046"/>
      <c r="W1690" s="2046"/>
      <c r="X1690" s="2046"/>
      <c r="Y1690" s="2046"/>
      <c r="Z1690" s="2046"/>
      <c r="AA1690" s="2046"/>
      <c r="AB1690" s="2046"/>
      <c r="AC1690" s="2046"/>
      <c r="AD1690" s="2046"/>
      <c r="AE1690" s="2047">
        <f>'01'!$M$13</f>
        <v>0</v>
      </c>
      <c r="AF1690" s="2044"/>
    </row>
    <row r="1691" spans="1:32" x14ac:dyDescent="0.2">
      <c r="A1691" s="1046"/>
      <c r="B1691" s="1047"/>
      <c r="C1691" s="1047"/>
      <c r="D1691" s="1047"/>
      <c r="E1691" s="1047"/>
      <c r="F1691" s="1047"/>
      <c r="G1691" s="1047"/>
      <c r="H1691" s="1047"/>
      <c r="I1691" s="1047"/>
      <c r="J1691" s="1047"/>
      <c r="K1691" s="1047"/>
      <c r="L1691" s="1047"/>
      <c r="M1691" s="1047"/>
      <c r="N1691" s="1047"/>
      <c r="O1691" s="1047"/>
      <c r="P1691" s="1047"/>
      <c r="Q1691" s="1047"/>
      <c r="R1691" s="1047"/>
      <c r="S1691" s="1047"/>
      <c r="T1691" s="1047"/>
      <c r="U1691" s="1047"/>
      <c r="V1691" s="1047"/>
      <c r="W1691" s="1047"/>
      <c r="X1691" s="1047"/>
      <c r="Y1691" s="1047"/>
      <c r="Z1691" s="1047"/>
      <c r="AA1691" s="1047"/>
      <c r="AB1691" s="1047"/>
      <c r="AC1691" s="1047"/>
      <c r="AD1691" s="1047"/>
      <c r="AE1691" s="1047"/>
      <c r="AF1691" s="1048"/>
    </row>
    <row r="1692" spans="1:32" ht="30" customHeight="1" x14ac:dyDescent="0.2">
      <c r="A1692" s="2048" t="s">
        <v>1842</v>
      </c>
      <c r="B1692" s="2049"/>
      <c r="C1692" s="2049"/>
      <c r="D1692" s="2049"/>
      <c r="E1692" s="2049"/>
      <c r="F1692" s="2050" t="str">
        <f>+'01'!$H$63</f>
        <v>C - FLOCULADOR, SEDIMENTADOR, CANAL DE AGUA SEDIMENTADA Y CANAL DE LAVADO</v>
      </c>
      <c r="G1692" s="2049"/>
      <c r="H1692" s="2049"/>
      <c r="I1692" s="2049"/>
      <c r="J1692" s="2049"/>
      <c r="K1692" s="2049"/>
      <c r="L1692" s="2049"/>
      <c r="M1692" s="2049"/>
      <c r="N1692" s="2049"/>
      <c r="O1692" s="2049"/>
      <c r="P1692" s="2049"/>
      <c r="Q1692" s="2049"/>
      <c r="R1692" s="2049"/>
      <c r="S1692" s="2049"/>
      <c r="T1692" s="2049"/>
      <c r="U1692" s="2049"/>
      <c r="V1692" s="2049"/>
      <c r="W1692" s="2049"/>
      <c r="X1692" s="2049"/>
      <c r="Y1692" s="2051"/>
      <c r="Z1692" s="2052" t="s">
        <v>1843</v>
      </c>
      <c r="AA1692" s="2053"/>
      <c r="AB1692" s="2058" t="s">
        <v>1844</v>
      </c>
      <c r="AC1692" s="2059"/>
      <c r="AD1692" s="2060"/>
      <c r="AE1692" s="2064" t="s">
        <v>1845</v>
      </c>
      <c r="AF1692" s="2067" t="s">
        <v>1846</v>
      </c>
    </row>
    <row r="1693" spans="1:32" x14ac:dyDescent="0.2">
      <c r="A1693" s="2070" t="str">
        <f>+'01'!A86</f>
        <v>C-08-01</v>
      </c>
      <c r="B1693" s="2071"/>
      <c r="C1693" s="2072"/>
      <c r="D1693" s="2076" t="str">
        <f>VLOOKUP(A1693,'01'!$A$12:$N$299,3,FALSE)</f>
        <v>SUMINISTRO E INSTALACIÓN DE CINTA PVC DE 0.15 METROS PARA JUNTA DE CONSTRUCCION EN TANQUES.</v>
      </c>
      <c r="E1693" s="2077"/>
      <c r="F1693" s="2077"/>
      <c r="G1693" s="2077"/>
      <c r="H1693" s="2077"/>
      <c r="I1693" s="2077"/>
      <c r="J1693" s="2077"/>
      <c r="K1693" s="2077"/>
      <c r="L1693" s="2077"/>
      <c r="M1693" s="2077"/>
      <c r="N1693" s="2077"/>
      <c r="O1693" s="2077"/>
      <c r="P1693" s="2077"/>
      <c r="Q1693" s="2077"/>
      <c r="R1693" s="2077"/>
      <c r="S1693" s="2078"/>
      <c r="T1693" s="2082" t="s">
        <v>124</v>
      </c>
      <c r="U1693" s="2083"/>
      <c r="V1693" s="2083"/>
      <c r="W1693" s="2083"/>
      <c r="X1693" s="2052" t="str">
        <f>VLOOKUP(A1693,'01'!$A$12:$N$299,9,FALSE)</f>
        <v>ML</v>
      </c>
      <c r="Y1693" s="2053"/>
      <c r="Z1693" s="2054"/>
      <c r="AA1693" s="2055"/>
      <c r="AB1693" s="2061"/>
      <c r="AC1693" s="2062"/>
      <c r="AD1693" s="2063"/>
      <c r="AE1693" s="2065"/>
      <c r="AF1693" s="2068"/>
    </row>
    <row r="1694" spans="1:32" ht="15.75" x14ac:dyDescent="0.25">
      <c r="A1694" s="2073"/>
      <c r="B1694" s="2074"/>
      <c r="C1694" s="2075"/>
      <c r="D1694" s="2079"/>
      <c r="E1694" s="2080"/>
      <c r="F1694" s="2080"/>
      <c r="G1694" s="2080"/>
      <c r="H1694" s="2080"/>
      <c r="I1694" s="2080"/>
      <c r="J1694" s="2080"/>
      <c r="K1694" s="2080"/>
      <c r="L1694" s="2080"/>
      <c r="M1694" s="2080"/>
      <c r="N1694" s="2080"/>
      <c r="O1694" s="2080"/>
      <c r="P1694" s="2080"/>
      <c r="Q1694" s="2080"/>
      <c r="R1694" s="2080"/>
      <c r="S1694" s="2081"/>
      <c r="T1694" s="2084"/>
      <c r="U1694" s="2085"/>
      <c r="V1694" s="2085"/>
      <c r="W1694" s="2085"/>
      <c r="X1694" s="2056"/>
      <c r="Y1694" s="2057"/>
      <c r="Z1694" s="2056"/>
      <c r="AA1694" s="2057"/>
      <c r="AB1694" s="1049" t="s">
        <v>1847</v>
      </c>
      <c r="AC1694" s="1049" t="s">
        <v>1848</v>
      </c>
      <c r="AD1694" s="1049" t="s">
        <v>1861</v>
      </c>
      <c r="AE1694" s="2066"/>
      <c r="AF1694" s="2069"/>
    </row>
    <row r="1695" spans="1:32" ht="15.75" x14ac:dyDescent="0.25">
      <c r="A1695" s="2017"/>
      <c r="B1695" s="2018"/>
      <c r="C1695" s="2018"/>
      <c r="D1695" s="2018"/>
      <c r="E1695" s="2018"/>
      <c r="F1695" s="2018"/>
      <c r="G1695" s="2018"/>
      <c r="H1695" s="2018"/>
      <c r="I1695" s="2018"/>
      <c r="J1695" s="2018"/>
      <c r="K1695" s="2018"/>
      <c r="L1695" s="2018"/>
      <c r="M1695" s="2018"/>
      <c r="N1695" s="2018"/>
      <c r="O1695" s="2018"/>
      <c r="P1695" s="2018"/>
      <c r="Q1695" s="2018"/>
      <c r="R1695" s="2018"/>
      <c r="S1695" s="2018"/>
      <c r="T1695" s="2018"/>
      <c r="U1695" s="2018"/>
      <c r="V1695" s="2018"/>
      <c r="W1695" s="2018"/>
      <c r="X1695" s="2018"/>
      <c r="Y1695" s="2018"/>
      <c r="Z1695" s="2128" t="s">
        <v>2308</v>
      </c>
      <c r="AA1695" s="2129"/>
      <c r="AB1695" s="1050">
        <v>10.9</v>
      </c>
      <c r="AC1695" s="1050"/>
      <c r="AD1695" s="1050"/>
      <c r="AE1695" s="1050">
        <v>5</v>
      </c>
      <c r="AF1695" s="1052">
        <f>AE1695*AB1695</f>
        <v>54.5</v>
      </c>
    </row>
    <row r="1696" spans="1:32" ht="15.75" x14ac:dyDescent="0.25">
      <c r="A1696" s="2017"/>
      <c r="B1696" s="2018"/>
      <c r="C1696" s="2018"/>
      <c r="D1696" s="2018"/>
      <c r="E1696" s="2018"/>
      <c r="F1696" s="2018"/>
      <c r="G1696" s="2018"/>
      <c r="H1696" s="2018"/>
      <c r="I1696" s="2018"/>
      <c r="J1696" s="2018"/>
      <c r="K1696" s="2018"/>
      <c r="L1696" s="2018"/>
      <c r="M1696" s="2018"/>
      <c r="N1696" s="2018"/>
      <c r="O1696" s="2018"/>
      <c r="P1696" s="2018"/>
      <c r="Q1696" s="2018"/>
      <c r="R1696" s="2018"/>
      <c r="S1696" s="2018"/>
      <c r="T1696" s="2018"/>
      <c r="U1696" s="2018"/>
      <c r="V1696" s="2018"/>
      <c r="W1696" s="2018"/>
      <c r="X1696" s="2018"/>
      <c r="Y1696" s="2018"/>
      <c r="Z1696" s="2130"/>
      <c r="AA1696" s="2131"/>
      <c r="AB1696" s="1050">
        <v>5.45</v>
      </c>
      <c r="AC1696" s="1050"/>
      <c r="AD1696" s="1050"/>
      <c r="AE1696" s="1050">
        <v>7</v>
      </c>
      <c r="AF1696" s="1052">
        <f>AE1696*AB1696</f>
        <v>38.15</v>
      </c>
    </row>
    <row r="1697" spans="1:32" ht="15.75" x14ac:dyDescent="0.25">
      <c r="A1697" s="2017"/>
      <c r="B1697" s="2018"/>
      <c r="C1697" s="2018"/>
      <c r="D1697" s="2018"/>
      <c r="E1697" s="2018"/>
      <c r="F1697" s="2018"/>
      <c r="G1697" s="2018"/>
      <c r="H1697" s="2018"/>
      <c r="I1697" s="2018"/>
      <c r="J1697" s="2018"/>
      <c r="K1697" s="2018"/>
      <c r="L1697" s="2018"/>
      <c r="M1697" s="2018"/>
      <c r="N1697" s="2018"/>
      <c r="O1697" s="2018"/>
      <c r="P1697" s="2018"/>
      <c r="Q1697" s="2018"/>
      <c r="R1697" s="2018"/>
      <c r="S1697" s="2018"/>
      <c r="T1697" s="2018"/>
      <c r="U1697" s="2018"/>
      <c r="V1697" s="2018"/>
      <c r="W1697" s="2018"/>
      <c r="X1697" s="2018"/>
      <c r="Y1697" s="2018"/>
      <c r="Z1697" s="2128" t="s">
        <v>2309</v>
      </c>
      <c r="AA1697" s="2129"/>
      <c r="AB1697" s="1050">
        <v>10.86</v>
      </c>
      <c r="AC1697" s="1050"/>
      <c r="AD1697" s="1050"/>
      <c r="AE1697" s="1050">
        <v>4</v>
      </c>
      <c r="AF1697" s="1052">
        <f t="shared" ref="AF1697:AF1701" si="31">AE1697*AB1697</f>
        <v>43.44</v>
      </c>
    </row>
    <row r="1698" spans="1:32" ht="15.75" x14ac:dyDescent="0.25">
      <c r="A1698" s="2017"/>
      <c r="B1698" s="2018"/>
      <c r="C1698" s="2018"/>
      <c r="D1698" s="2018"/>
      <c r="E1698" s="2018"/>
      <c r="F1698" s="2018"/>
      <c r="G1698" s="2018"/>
      <c r="H1698" s="2018"/>
      <c r="I1698" s="2018"/>
      <c r="J1698" s="2018"/>
      <c r="K1698" s="2018"/>
      <c r="L1698" s="2018"/>
      <c r="M1698" s="2018"/>
      <c r="N1698" s="2018"/>
      <c r="O1698" s="2018"/>
      <c r="P1698" s="2018"/>
      <c r="Q1698" s="2018"/>
      <c r="R1698" s="2018"/>
      <c r="S1698" s="2018"/>
      <c r="T1698" s="2018"/>
      <c r="U1698" s="2018"/>
      <c r="V1698" s="2018"/>
      <c r="W1698" s="2018"/>
      <c r="X1698" s="2018"/>
      <c r="Y1698" s="2018"/>
      <c r="Z1698" s="2130"/>
      <c r="AA1698" s="2131"/>
      <c r="AB1698" s="1050">
        <v>4.72</v>
      </c>
      <c r="AC1698" s="1050"/>
      <c r="AD1698" s="1050"/>
      <c r="AE1698" s="1050">
        <v>3</v>
      </c>
      <c r="AF1698" s="1052">
        <f t="shared" si="31"/>
        <v>14.16</v>
      </c>
    </row>
    <row r="1699" spans="1:32" ht="15.6" customHeight="1" x14ac:dyDescent="0.25">
      <c r="A1699" s="2017"/>
      <c r="B1699" s="2018"/>
      <c r="C1699" s="2018"/>
      <c r="D1699" s="2018"/>
      <c r="E1699" s="2018"/>
      <c r="F1699" s="2018"/>
      <c r="G1699" s="2018"/>
      <c r="H1699" s="2018"/>
      <c r="I1699" s="2018"/>
      <c r="J1699" s="2018"/>
      <c r="K1699" s="2018"/>
      <c r="L1699" s="2018"/>
      <c r="M1699" s="2018"/>
      <c r="N1699" s="2018"/>
      <c r="O1699" s="2018"/>
      <c r="P1699" s="2018"/>
      <c r="Q1699" s="2018"/>
      <c r="R1699" s="2018"/>
      <c r="S1699" s="2018"/>
      <c r="T1699" s="2018"/>
      <c r="U1699" s="2018"/>
      <c r="V1699" s="2018"/>
      <c r="W1699" s="2018"/>
      <c r="X1699" s="2018"/>
      <c r="Y1699" s="2018"/>
      <c r="Z1699" s="2128" t="s">
        <v>2420</v>
      </c>
      <c r="AA1699" s="2129"/>
      <c r="AB1699" s="1050">
        <v>6.17</v>
      </c>
      <c r="AC1699" s="1050"/>
      <c r="AD1699" s="1050"/>
      <c r="AE1699" s="1050">
        <v>4</v>
      </c>
      <c r="AF1699" s="1052">
        <f t="shared" si="31"/>
        <v>24.68</v>
      </c>
    </row>
    <row r="1700" spans="1:32" ht="15.75" x14ac:dyDescent="0.25">
      <c r="A1700" s="2017"/>
      <c r="B1700" s="2018"/>
      <c r="C1700" s="2018"/>
      <c r="D1700" s="2018"/>
      <c r="E1700" s="2018"/>
      <c r="F1700" s="2018"/>
      <c r="G1700" s="2018"/>
      <c r="H1700" s="2018"/>
      <c r="I1700" s="2018"/>
      <c r="J1700" s="2018"/>
      <c r="K1700" s="2018"/>
      <c r="L1700" s="2018"/>
      <c r="M1700" s="2018"/>
      <c r="N1700" s="2018"/>
      <c r="O1700" s="2018"/>
      <c r="P1700" s="2018"/>
      <c r="Q1700" s="2018"/>
      <c r="R1700" s="2018"/>
      <c r="S1700" s="2018"/>
      <c r="T1700" s="2018"/>
      <c r="U1700" s="2018"/>
      <c r="V1700" s="2018"/>
      <c r="W1700" s="2018"/>
      <c r="X1700" s="2018"/>
      <c r="Y1700" s="2018"/>
      <c r="Z1700" s="2132"/>
      <c r="AA1700" s="2133"/>
      <c r="AB1700" s="1050">
        <v>3.57</v>
      </c>
      <c r="AC1700" s="1050"/>
      <c r="AD1700" s="1050"/>
      <c r="AE1700" s="1050">
        <v>2</v>
      </c>
      <c r="AF1700" s="1052">
        <f t="shared" si="31"/>
        <v>7.14</v>
      </c>
    </row>
    <row r="1701" spans="1:32" ht="15.75" x14ac:dyDescent="0.25">
      <c r="A1701" s="2017"/>
      <c r="B1701" s="2018"/>
      <c r="C1701" s="2018"/>
      <c r="D1701" s="2018"/>
      <c r="E1701" s="2018"/>
      <c r="F1701" s="2018"/>
      <c r="G1701" s="2018"/>
      <c r="H1701" s="2018"/>
      <c r="I1701" s="2018"/>
      <c r="J1701" s="2018"/>
      <c r="K1701" s="2018"/>
      <c r="L1701" s="2018"/>
      <c r="M1701" s="2018"/>
      <c r="N1701" s="2018"/>
      <c r="O1701" s="2018"/>
      <c r="P1701" s="2018"/>
      <c r="Q1701" s="2018"/>
      <c r="R1701" s="2018"/>
      <c r="S1701" s="2018"/>
      <c r="T1701" s="2018"/>
      <c r="U1701" s="2018"/>
      <c r="V1701" s="2018"/>
      <c r="W1701" s="2018"/>
      <c r="X1701" s="2018"/>
      <c r="Y1701" s="2018"/>
      <c r="Z1701" s="2130"/>
      <c r="AA1701" s="2131"/>
      <c r="AB1701" s="1050">
        <v>2.9</v>
      </c>
      <c r="AC1701" s="1050"/>
      <c r="AD1701" s="1050"/>
      <c r="AE1701" s="1050">
        <v>3</v>
      </c>
      <c r="AF1701" s="1052">
        <f t="shared" si="31"/>
        <v>8.6999999999999993</v>
      </c>
    </row>
    <row r="1702" spans="1:32" ht="15.75" x14ac:dyDescent="0.25">
      <c r="A1702" s="2017"/>
      <c r="B1702" s="2018"/>
      <c r="C1702" s="2018"/>
      <c r="D1702" s="2018"/>
      <c r="E1702" s="2018"/>
      <c r="F1702" s="2018"/>
      <c r="G1702" s="2018"/>
      <c r="H1702" s="2018"/>
      <c r="I1702" s="2018"/>
      <c r="J1702" s="2018"/>
      <c r="K1702" s="2018"/>
      <c r="L1702" s="2018"/>
      <c r="M1702" s="2018"/>
      <c r="N1702" s="2018"/>
      <c r="O1702" s="2018"/>
      <c r="P1702" s="2018"/>
      <c r="Q1702" s="2018"/>
      <c r="R1702" s="2018"/>
      <c r="S1702" s="2018"/>
      <c r="T1702" s="2018"/>
      <c r="U1702" s="2018"/>
      <c r="V1702" s="2018"/>
      <c r="W1702" s="2018"/>
      <c r="X1702" s="2018"/>
      <c r="Y1702" s="2018"/>
      <c r="Z1702" s="2105"/>
      <c r="AA1702" s="2105"/>
      <c r="AB1702" s="1050"/>
      <c r="AC1702" s="1050"/>
      <c r="AD1702" s="1050"/>
      <c r="AE1702" s="1050"/>
      <c r="AF1702" s="1052"/>
    </row>
    <row r="1703" spans="1:32" ht="15.75" x14ac:dyDescent="0.25">
      <c r="A1703" s="2017"/>
      <c r="B1703" s="2018"/>
      <c r="C1703" s="2018"/>
      <c r="D1703" s="2018"/>
      <c r="E1703" s="2018"/>
      <c r="F1703" s="2018"/>
      <c r="G1703" s="2018"/>
      <c r="H1703" s="2018"/>
      <c r="I1703" s="2018"/>
      <c r="J1703" s="2018"/>
      <c r="K1703" s="2018"/>
      <c r="L1703" s="2018"/>
      <c r="M1703" s="2018"/>
      <c r="N1703" s="2018"/>
      <c r="O1703" s="2018"/>
      <c r="P1703" s="2018"/>
      <c r="Q1703" s="2018"/>
      <c r="R1703" s="2018"/>
      <c r="S1703" s="2018"/>
      <c r="T1703" s="2018"/>
      <c r="U1703" s="2018"/>
      <c r="V1703" s="2018"/>
      <c r="W1703" s="2018"/>
      <c r="X1703" s="2018"/>
      <c r="Y1703" s="2018"/>
      <c r="Z1703" s="2105"/>
      <c r="AA1703" s="2105"/>
      <c r="AB1703" s="1050"/>
      <c r="AC1703" s="1050"/>
      <c r="AD1703" s="1050"/>
      <c r="AE1703" s="1050"/>
      <c r="AF1703" s="1052"/>
    </row>
    <row r="1704" spans="1:32" ht="15.75" x14ac:dyDescent="0.25">
      <c r="A1704" s="2017"/>
      <c r="B1704" s="2018"/>
      <c r="C1704" s="2018"/>
      <c r="D1704" s="2018"/>
      <c r="E1704" s="2018"/>
      <c r="F1704" s="2018"/>
      <c r="G1704" s="2018"/>
      <c r="H1704" s="2018"/>
      <c r="I1704" s="2018"/>
      <c r="J1704" s="2018"/>
      <c r="K1704" s="2018"/>
      <c r="L1704" s="2018"/>
      <c r="M1704" s="2018"/>
      <c r="N1704" s="2018"/>
      <c r="O1704" s="2018"/>
      <c r="P1704" s="2018"/>
      <c r="Q1704" s="2018"/>
      <c r="R1704" s="2018"/>
      <c r="S1704" s="2018"/>
      <c r="T1704" s="2018"/>
      <c r="U1704" s="2018"/>
      <c r="V1704" s="2018"/>
      <c r="W1704" s="2018"/>
      <c r="X1704" s="2018"/>
      <c r="Y1704" s="2018"/>
      <c r="Z1704" s="2105"/>
      <c r="AA1704" s="2105"/>
      <c r="AB1704" s="1050"/>
      <c r="AC1704" s="1050"/>
      <c r="AD1704" s="1050"/>
      <c r="AE1704" s="1050"/>
      <c r="AF1704" s="1052"/>
    </row>
    <row r="1705" spans="1:32" ht="15.75" x14ac:dyDescent="0.25">
      <c r="A1705" s="2017"/>
      <c r="B1705" s="2018"/>
      <c r="C1705" s="2018"/>
      <c r="D1705" s="2018"/>
      <c r="E1705" s="2018"/>
      <c r="F1705" s="2018"/>
      <c r="G1705" s="2018"/>
      <c r="H1705" s="2018"/>
      <c r="I1705" s="2018"/>
      <c r="J1705" s="2018"/>
      <c r="K1705" s="2018"/>
      <c r="L1705" s="2018"/>
      <c r="M1705" s="2018"/>
      <c r="N1705" s="2018"/>
      <c r="O1705" s="2018"/>
      <c r="P1705" s="2018"/>
      <c r="Q1705" s="2018"/>
      <c r="R1705" s="2018"/>
      <c r="S1705" s="2018"/>
      <c r="T1705" s="2018"/>
      <c r="U1705" s="2018"/>
      <c r="V1705" s="2018"/>
      <c r="W1705" s="2018"/>
      <c r="X1705" s="2018"/>
      <c r="Y1705" s="2018"/>
      <c r="Z1705" s="2105"/>
      <c r="AA1705" s="2105"/>
      <c r="AB1705" s="1050"/>
      <c r="AC1705" s="1050"/>
      <c r="AD1705" s="1050"/>
      <c r="AE1705" s="1050"/>
      <c r="AF1705" s="1052"/>
    </row>
    <row r="1706" spans="1:32" ht="15.75" x14ac:dyDescent="0.25">
      <c r="A1706" s="2017"/>
      <c r="B1706" s="2018"/>
      <c r="C1706" s="2018"/>
      <c r="D1706" s="2018"/>
      <c r="E1706" s="2018"/>
      <c r="F1706" s="2018"/>
      <c r="G1706" s="2018"/>
      <c r="H1706" s="2018"/>
      <c r="I1706" s="2018"/>
      <c r="J1706" s="2018"/>
      <c r="K1706" s="2018"/>
      <c r="L1706" s="2018"/>
      <c r="M1706" s="2018"/>
      <c r="N1706" s="2018"/>
      <c r="O1706" s="2018"/>
      <c r="P1706" s="2018"/>
      <c r="Q1706" s="2018"/>
      <c r="R1706" s="2018"/>
      <c r="S1706" s="2018"/>
      <c r="T1706" s="2018"/>
      <c r="U1706" s="2018"/>
      <c r="V1706" s="2018"/>
      <c r="W1706" s="2018"/>
      <c r="X1706" s="2018"/>
      <c r="Y1706" s="2018"/>
      <c r="Z1706" s="2105"/>
      <c r="AA1706" s="2105"/>
      <c r="AB1706" s="1050"/>
      <c r="AC1706" s="1050"/>
      <c r="AD1706" s="1050"/>
      <c r="AE1706" s="1050"/>
      <c r="AF1706" s="1052"/>
    </row>
    <row r="1707" spans="1:32" ht="15.75" x14ac:dyDescent="0.25">
      <c r="A1707" s="2017"/>
      <c r="B1707" s="2018"/>
      <c r="C1707" s="2018"/>
      <c r="D1707" s="2018"/>
      <c r="E1707" s="2018"/>
      <c r="F1707" s="2018"/>
      <c r="G1707" s="2018"/>
      <c r="H1707" s="2018"/>
      <c r="I1707" s="2018"/>
      <c r="J1707" s="2018"/>
      <c r="K1707" s="2018"/>
      <c r="L1707" s="2018"/>
      <c r="M1707" s="2018"/>
      <c r="N1707" s="2018"/>
      <c r="O1707" s="2018"/>
      <c r="P1707" s="2018"/>
      <c r="Q1707" s="2018"/>
      <c r="R1707" s="2018"/>
      <c r="S1707" s="2018"/>
      <c r="T1707" s="2018"/>
      <c r="U1707" s="2018"/>
      <c r="V1707" s="2018"/>
      <c r="W1707" s="2018"/>
      <c r="X1707" s="2018"/>
      <c r="Y1707" s="2018"/>
      <c r="Z1707" s="2105"/>
      <c r="AA1707" s="2105"/>
      <c r="AB1707" s="1050"/>
      <c r="AC1707" s="1050"/>
      <c r="AD1707" s="1050"/>
      <c r="AE1707" s="1050"/>
      <c r="AF1707" s="1052"/>
    </row>
    <row r="1708" spans="1:32" ht="15.75" x14ac:dyDescent="0.25">
      <c r="A1708" s="2017"/>
      <c r="B1708" s="2018"/>
      <c r="C1708" s="2018"/>
      <c r="D1708" s="2018"/>
      <c r="E1708" s="2018"/>
      <c r="F1708" s="2018"/>
      <c r="G1708" s="2018"/>
      <c r="H1708" s="2018"/>
      <c r="I1708" s="2018"/>
      <c r="J1708" s="2018"/>
      <c r="K1708" s="2018"/>
      <c r="L1708" s="2018"/>
      <c r="M1708" s="2018"/>
      <c r="N1708" s="2018"/>
      <c r="O1708" s="2018"/>
      <c r="P1708" s="2018"/>
      <c r="Q1708" s="2018"/>
      <c r="R1708" s="2018"/>
      <c r="S1708" s="2018"/>
      <c r="T1708" s="2018"/>
      <c r="U1708" s="2018"/>
      <c r="V1708" s="2018"/>
      <c r="W1708" s="2018"/>
      <c r="X1708" s="2018"/>
      <c r="Y1708" s="2018"/>
      <c r="Z1708" s="2022"/>
      <c r="AA1708" s="2022"/>
      <c r="AB1708" s="1050"/>
      <c r="AC1708" s="1050"/>
      <c r="AD1708" s="1050"/>
      <c r="AE1708" s="1050"/>
      <c r="AF1708" s="1052"/>
    </row>
    <row r="1709" spans="1:32" ht="15.75" x14ac:dyDescent="0.25">
      <c r="A1709" s="2017"/>
      <c r="B1709" s="2018"/>
      <c r="C1709" s="2018"/>
      <c r="D1709" s="2018"/>
      <c r="E1709" s="2018"/>
      <c r="F1709" s="2018"/>
      <c r="G1709" s="2018"/>
      <c r="H1709" s="2018"/>
      <c r="I1709" s="2018"/>
      <c r="J1709" s="2018"/>
      <c r="K1709" s="2018"/>
      <c r="L1709" s="2018"/>
      <c r="M1709" s="2018"/>
      <c r="N1709" s="2018"/>
      <c r="O1709" s="2018"/>
      <c r="P1709" s="2018"/>
      <c r="Q1709" s="2018"/>
      <c r="R1709" s="2018"/>
      <c r="S1709" s="2018"/>
      <c r="T1709" s="2018"/>
      <c r="U1709" s="2018"/>
      <c r="V1709" s="2018"/>
      <c r="W1709" s="2018"/>
      <c r="X1709" s="2018"/>
      <c r="Y1709" s="2018"/>
      <c r="Z1709" s="2022"/>
      <c r="AA1709" s="2022"/>
      <c r="AB1709" s="1050"/>
      <c r="AC1709" s="1050"/>
      <c r="AD1709" s="1050"/>
      <c r="AE1709" s="1050"/>
      <c r="AF1709" s="1052"/>
    </row>
    <row r="1710" spans="1:32" ht="15.75" x14ac:dyDescent="0.25">
      <c r="A1710" s="2017"/>
      <c r="B1710" s="2018"/>
      <c r="C1710" s="2018"/>
      <c r="D1710" s="2018"/>
      <c r="E1710" s="2018"/>
      <c r="F1710" s="2018"/>
      <c r="G1710" s="2018"/>
      <c r="H1710" s="2018"/>
      <c r="I1710" s="2018"/>
      <c r="J1710" s="2018"/>
      <c r="K1710" s="2018"/>
      <c r="L1710" s="2018"/>
      <c r="M1710" s="2018"/>
      <c r="N1710" s="2018"/>
      <c r="O1710" s="2018"/>
      <c r="P1710" s="2018"/>
      <c r="Q1710" s="2018"/>
      <c r="R1710" s="2018"/>
      <c r="S1710" s="2018"/>
      <c r="T1710" s="2018"/>
      <c r="U1710" s="2018"/>
      <c r="V1710" s="2018"/>
      <c r="W1710" s="2018"/>
      <c r="X1710" s="2018"/>
      <c r="Y1710" s="2018"/>
      <c r="Z1710" s="2022"/>
      <c r="AA1710" s="2022"/>
      <c r="AB1710" s="1050"/>
      <c r="AC1710" s="1050"/>
      <c r="AD1710" s="1050"/>
      <c r="AE1710" s="1050"/>
      <c r="AF1710" s="1052"/>
    </row>
    <row r="1711" spans="1:32" ht="15.75" x14ac:dyDescent="0.25">
      <c r="A1711" s="2017"/>
      <c r="B1711" s="2018"/>
      <c r="C1711" s="2018"/>
      <c r="D1711" s="2018"/>
      <c r="E1711" s="2018"/>
      <c r="F1711" s="2018"/>
      <c r="G1711" s="2018"/>
      <c r="H1711" s="2018"/>
      <c r="I1711" s="2018"/>
      <c r="J1711" s="2018"/>
      <c r="K1711" s="2018"/>
      <c r="L1711" s="2018"/>
      <c r="M1711" s="2018"/>
      <c r="N1711" s="2018"/>
      <c r="O1711" s="2018"/>
      <c r="P1711" s="2018"/>
      <c r="Q1711" s="2018"/>
      <c r="R1711" s="2018"/>
      <c r="S1711" s="2018"/>
      <c r="T1711" s="2018"/>
      <c r="U1711" s="2018"/>
      <c r="V1711" s="2018"/>
      <c r="W1711" s="2018"/>
      <c r="X1711" s="2018"/>
      <c r="Y1711" s="2018"/>
      <c r="Z1711" s="2022"/>
      <c r="AA1711" s="2022"/>
      <c r="AB1711" s="1050"/>
      <c r="AC1711" s="1050"/>
      <c r="AD1711" s="1050"/>
      <c r="AE1711" s="1050"/>
      <c r="AF1711" s="1052"/>
    </row>
    <row r="1712" spans="1:32" ht="15.75" x14ac:dyDescent="0.25">
      <c r="A1712" s="2017"/>
      <c r="B1712" s="2018"/>
      <c r="C1712" s="2018"/>
      <c r="D1712" s="2018"/>
      <c r="E1712" s="2018"/>
      <c r="F1712" s="2018"/>
      <c r="G1712" s="2018"/>
      <c r="H1712" s="2018"/>
      <c r="I1712" s="2018"/>
      <c r="J1712" s="2018"/>
      <c r="K1712" s="2018"/>
      <c r="L1712" s="2018"/>
      <c r="M1712" s="2018"/>
      <c r="N1712" s="2018"/>
      <c r="O1712" s="2018"/>
      <c r="P1712" s="2018"/>
      <c r="Q1712" s="2018"/>
      <c r="R1712" s="2018"/>
      <c r="S1712" s="2018"/>
      <c r="T1712" s="2018"/>
      <c r="U1712" s="2018"/>
      <c r="V1712" s="2018"/>
      <c r="W1712" s="2018"/>
      <c r="X1712" s="2018"/>
      <c r="Y1712" s="2018"/>
      <c r="Z1712" s="2023"/>
      <c r="AA1712" s="2023"/>
      <c r="AB1712" s="1050"/>
      <c r="AC1712" s="1050"/>
      <c r="AD1712" s="1050"/>
      <c r="AE1712" s="1050"/>
      <c r="AF1712" s="1052"/>
    </row>
    <row r="1713" spans="1:32" ht="15.75" x14ac:dyDescent="0.25">
      <c r="A1713" s="2017"/>
      <c r="B1713" s="2018"/>
      <c r="C1713" s="2018"/>
      <c r="D1713" s="2018"/>
      <c r="E1713" s="2018"/>
      <c r="F1713" s="2018"/>
      <c r="G1713" s="2018"/>
      <c r="H1713" s="2018"/>
      <c r="I1713" s="2018"/>
      <c r="J1713" s="2018"/>
      <c r="K1713" s="2018"/>
      <c r="L1713" s="2018"/>
      <c r="M1713" s="2018"/>
      <c r="N1713" s="2018"/>
      <c r="O1713" s="2018"/>
      <c r="P1713" s="2018"/>
      <c r="Q1713" s="2018"/>
      <c r="R1713" s="2018"/>
      <c r="S1713" s="2018"/>
      <c r="T1713" s="2018"/>
      <c r="U1713" s="2018"/>
      <c r="V1713" s="2018"/>
      <c r="W1713" s="2018"/>
      <c r="X1713" s="2018"/>
      <c r="Y1713" s="2018"/>
      <c r="Z1713" s="2023"/>
      <c r="AA1713" s="2023"/>
      <c r="AB1713" s="1050"/>
      <c r="AC1713" s="1050"/>
      <c r="AD1713" s="1050"/>
      <c r="AE1713" s="1050"/>
      <c r="AF1713" s="1052"/>
    </row>
    <row r="1714" spans="1:32" ht="15.75" x14ac:dyDescent="0.25">
      <c r="A1714" s="2017"/>
      <c r="B1714" s="2018"/>
      <c r="C1714" s="2018"/>
      <c r="D1714" s="2018"/>
      <c r="E1714" s="2018"/>
      <c r="F1714" s="2018"/>
      <c r="G1714" s="2018"/>
      <c r="H1714" s="2018"/>
      <c r="I1714" s="2018"/>
      <c r="J1714" s="2018"/>
      <c r="K1714" s="2018"/>
      <c r="L1714" s="2018"/>
      <c r="M1714" s="2018"/>
      <c r="N1714" s="2018"/>
      <c r="O1714" s="2018"/>
      <c r="P1714" s="2018"/>
      <c r="Q1714" s="2018"/>
      <c r="R1714" s="2018"/>
      <c r="S1714" s="2018"/>
      <c r="T1714" s="2018"/>
      <c r="U1714" s="2018"/>
      <c r="V1714" s="2018"/>
      <c r="W1714" s="2018"/>
      <c r="X1714" s="2018"/>
      <c r="Y1714" s="2018"/>
      <c r="Z1714" s="2023"/>
      <c r="AA1714" s="2023"/>
      <c r="AB1714" s="1050"/>
      <c r="AC1714" s="1050"/>
      <c r="AD1714" s="1050"/>
      <c r="AE1714" s="1050"/>
      <c r="AF1714" s="1052"/>
    </row>
    <row r="1715" spans="1:32" ht="15.75" x14ac:dyDescent="0.25">
      <c r="A1715" s="2017"/>
      <c r="B1715" s="2018"/>
      <c r="C1715" s="2018"/>
      <c r="D1715" s="2018"/>
      <c r="E1715" s="2018"/>
      <c r="F1715" s="2018"/>
      <c r="G1715" s="2018"/>
      <c r="H1715" s="2018"/>
      <c r="I1715" s="2018"/>
      <c r="J1715" s="2018"/>
      <c r="K1715" s="2018"/>
      <c r="L1715" s="2018"/>
      <c r="M1715" s="2018"/>
      <c r="N1715" s="2018"/>
      <c r="O1715" s="2018"/>
      <c r="P1715" s="2018"/>
      <c r="Q1715" s="2018"/>
      <c r="R1715" s="2018"/>
      <c r="S1715" s="2018"/>
      <c r="T1715" s="2018"/>
      <c r="U1715" s="2018"/>
      <c r="V1715" s="2018"/>
      <c r="W1715" s="2018"/>
      <c r="X1715" s="2018"/>
      <c r="Y1715" s="2018"/>
      <c r="Z1715" s="2023"/>
      <c r="AA1715" s="2023"/>
      <c r="AB1715" s="1050"/>
      <c r="AC1715" s="1050"/>
      <c r="AD1715" s="1050"/>
      <c r="AE1715" s="1050"/>
      <c r="AF1715" s="1052"/>
    </row>
    <row r="1716" spans="1:32" ht="15.75" x14ac:dyDescent="0.25">
      <c r="A1716" s="2017"/>
      <c r="B1716" s="2018"/>
      <c r="C1716" s="2018"/>
      <c r="D1716" s="2018"/>
      <c r="E1716" s="2018"/>
      <c r="F1716" s="2018"/>
      <c r="G1716" s="2018"/>
      <c r="H1716" s="2018"/>
      <c r="I1716" s="2018"/>
      <c r="J1716" s="2018"/>
      <c r="K1716" s="2018"/>
      <c r="L1716" s="2018"/>
      <c r="M1716" s="2018"/>
      <c r="N1716" s="2018"/>
      <c r="O1716" s="2018"/>
      <c r="P1716" s="2018"/>
      <c r="Q1716" s="2018"/>
      <c r="R1716" s="2018"/>
      <c r="S1716" s="2018"/>
      <c r="T1716" s="2018"/>
      <c r="U1716" s="2018"/>
      <c r="V1716" s="2018"/>
      <c r="W1716" s="2018"/>
      <c r="X1716" s="2018"/>
      <c r="Y1716" s="2018"/>
      <c r="Z1716" s="2023"/>
      <c r="AA1716" s="2023"/>
      <c r="AB1716" s="1050"/>
      <c r="AC1716" s="1050"/>
      <c r="AD1716" s="1050"/>
      <c r="AE1716" s="1050"/>
      <c r="AF1716" s="1052"/>
    </row>
    <row r="1717" spans="1:32" ht="15.75" x14ac:dyDescent="0.25">
      <c r="A1717" s="2017"/>
      <c r="B1717" s="2018"/>
      <c r="C1717" s="2018"/>
      <c r="D1717" s="2018"/>
      <c r="E1717" s="2018"/>
      <c r="F1717" s="2018"/>
      <c r="G1717" s="2018"/>
      <c r="H1717" s="2018"/>
      <c r="I1717" s="2018"/>
      <c r="J1717" s="2018"/>
      <c r="K1717" s="2018"/>
      <c r="L1717" s="2018"/>
      <c r="M1717" s="2018"/>
      <c r="N1717" s="2018"/>
      <c r="O1717" s="2018"/>
      <c r="P1717" s="2018"/>
      <c r="Q1717" s="2018"/>
      <c r="R1717" s="2018"/>
      <c r="S1717" s="2018"/>
      <c r="T1717" s="2018"/>
      <c r="U1717" s="2018"/>
      <c r="V1717" s="2018"/>
      <c r="W1717" s="2018"/>
      <c r="X1717" s="2018"/>
      <c r="Y1717" s="2018"/>
      <c r="Z1717" s="2023"/>
      <c r="AA1717" s="2023"/>
      <c r="AB1717" s="1050"/>
      <c r="AC1717" s="1050"/>
      <c r="AD1717" s="1050"/>
      <c r="AE1717" s="1050"/>
      <c r="AF1717" s="1052"/>
    </row>
    <row r="1718" spans="1:32" ht="16.5" thickBot="1" x14ac:dyDescent="0.3">
      <c r="A1718" s="2019"/>
      <c r="B1718" s="2020"/>
      <c r="C1718" s="2020"/>
      <c r="D1718" s="2020"/>
      <c r="E1718" s="2020"/>
      <c r="F1718" s="2020"/>
      <c r="G1718" s="2020"/>
      <c r="H1718" s="2020"/>
      <c r="I1718" s="2020"/>
      <c r="J1718" s="2020"/>
      <c r="K1718" s="2020"/>
      <c r="L1718" s="2020"/>
      <c r="M1718" s="2020"/>
      <c r="N1718" s="2020"/>
      <c r="O1718" s="2020"/>
      <c r="P1718" s="2020"/>
      <c r="Q1718" s="2020"/>
      <c r="R1718" s="2020"/>
      <c r="S1718" s="2020"/>
      <c r="T1718" s="2020"/>
      <c r="U1718" s="2020"/>
      <c r="V1718" s="2020"/>
      <c r="W1718" s="2020"/>
      <c r="X1718" s="2020"/>
      <c r="Y1718" s="2020"/>
      <c r="Z1718" s="2024"/>
      <c r="AA1718" s="2024"/>
      <c r="AB1718" s="1057"/>
      <c r="AC1718" s="1057"/>
      <c r="AD1718" s="1057"/>
      <c r="AE1718" s="1057"/>
      <c r="AF1718" s="1058"/>
    </row>
    <row r="1719" spans="1:32" ht="15.75" x14ac:dyDescent="0.25">
      <c r="A1719" s="2009" t="s">
        <v>1855</v>
      </c>
      <c r="B1719" s="2010"/>
      <c r="C1719" s="2010"/>
      <c r="D1719" s="2010"/>
      <c r="E1719" s="2010"/>
      <c r="F1719" s="2010"/>
      <c r="G1719" s="2010"/>
      <c r="H1719" s="2010"/>
      <c r="I1719" s="2010"/>
      <c r="J1719" s="2010"/>
      <c r="K1719" s="2010"/>
      <c r="L1719" s="2010"/>
      <c r="M1719" s="2010"/>
      <c r="N1719" s="2010"/>
      <c r="O1719" s="2010"/>
      <c r="P1719" s="2010"/>
      <c r="Q1719" s="2010"/>
      <c r="R1719" s="2010"/>
      <c r="S1719" s="2010"/>
      <c r="T1719" s="2010"/>
      <c r="U1719" s="2010"/>
      <c r="V1719" s="2010"/>
      <c r="W1719" s="2010"/>
      <c r="X1719" s="2010"/>
      <c r="Y1719" s="2010"/>
      <c r="Z1719" s="2013" t="s">
        <v>1850</v>
      </c>
      <c r="AA1719" s="2013"/>
      <c r="AB1719" s="2013"/>
      <c r="AC1719" s="2013"/>
      <c r="AD1719" s="2013"/>
      <c r="AE1719" s="2013"/>
      <c r="AF1719" s="1059">
        <f>SUM(AF1695:AF1718)</f>
        <v>190.76999999999998</v>
      </c>
    </row>
    <row r="1720" spans="1:32" ht="15.75" x14ac:dyDescent="0.25">
      <c r="A1720" s="2011"/>
      <c r="B1720" s="2012"/>
      <c r="C1720" s="2012"/>
      <c r="D1720" s="2012"/>
      <c r="E1720" s="2012"/>
      <c r="F1720" s="2012"/>
      <c r="G1720" s="2012"/>
      <c r="H1720" s="2012"/>
      <c r="I1720" s="2012"/>
      <c r="J1720" s="2012"/>
      <c r="K1720" s="2012"/>
      <c r="L1720" s="2012"/>
      <c r="M1720" s="2012"/>
      <c r="N1720" s="2012"/>
      <c r="O1720" s="2012"/>
      <c r="P1720" s="2012"/>
      <c r="Q1720" s="2012"/>
      <c r="R1720" s="2012"/>
      <c r="S1720" s="2012"/>
      <c r="T1720" s="2012"/>
      <c r="U1720" s="2012"/>
      <c r="V1720" s="2012"/>
      <c r="W1720" s="2012"/>
      <c r="X1720" s="2012"/>
      <c r="Y1720" s="2012"/>
      <c r="Z1720" s="2014" t="s">
        <v>1851</v>
      </c>
      <c r="AA1720" s="2014"/>
      <c r="AB1720" s="2014"/>
      <c r="AC1720" s="2014"/>
      <c r="AD1720" s="2014"/>
      <c r="AE1720" s="2014"/>
      <c r="AF1720" s="1060">
        <v>0</v>
      </c>
    </row>
    <row r="1721" spans="1:32" ht="15.75" x14ac:dyDescent="0.25">
      <c r="A1721" s="2011"/>
      <c r="B1721" s="2012"/>
      <c r="C1721" s="2012"/>
      <c r="D1721" s="2012"/>
      <c r="E1721" s="2012"/>
      <c r="F1721" s="2012"/>
      <c r="G1721" s="2012"/>
      <c r="H1721" s="2012"/>
      <c r="I1721" s="2012"/>
      <c r="J1721" s="2012"/>
      <c r="K1721" s="2012"/>
      <c r="L1721" s="2012"/>
      <c r="M1721" s="2012"/>
      <c r="N1721" s="2012"/>
      <c r="O1721" s="2012"/>
      <c r="P1721" s="2012"/>
      <c r="Q1721" s="2012"/>
      <c r="R1721" s="2012"/>
      <c r="S1721" s="2012"/>
      <c r="T1721" s="2012"/>
      <c r="U1721" s="2012"/>
      <c r="V1721" s="2012"/>
      <c r="W1721" s="2012"/>
      <c r="X1721" s="2012"/>
      <c r="Y1721" s="2012"/>
      <c r="Z1721" s="2015" t="s">
        <v>1833</v>
      </c>
      <c r="AA1721" s="2015"/>
      <c r="AB1721" s="2015"/>
      <c r="AC1721" s="2015"/>
      <c r="AD1721" s="2015"/>
      <c r="AE1721" s="2015"/>
      <c r="AF1721" s="1061">
        <f>SUM(AF1719:AF1720)</f>
        <v>190.76999999999998</v>
      </c>
    </row>
    <row r="1722" spans="1:32" x14ac:dyDescent="0.2">
      <c r="A1722" s="2012" t="s">
        <v>1859</v>
      </c>
      <c r="B1722" s="2012"/>
      <c r="C1722" s="2012"/>
      <c r="D1722" s="2012"/>
      <c r="E1722" s="2012"/>
      <c r="F1722" s="2012"/>
      <c r="G1722" s="2012"/>
      <c r="H1722" s="2012"/>
      <c r="I1722" s="2012"/>
      <c r="J1722" s="2012"/>
      <c r="K1722" s="2012"/>
      <c r="L1722" s="2012"/>
      <c r="M1722" s="2012"/>
      <c r="N1722" s="2012"/>
      <c r="O1722" s="2012"/>
      <c r="P1722" s="2012"/>
      <c r="Q1722" s="2012"/>
      <c r="R1722" s="2012"/>
      <c r="S1722" s="2012"/>
      <c r="T1722" s="2016" t="s">
        <v>1840</v>
      </c>
      <c r="U1722" s="2016"/>
      <c r="V1722" s="2016"/>
      <c r="W1722" s="2016"/>
      <c r="X1722" s="2016"/>
      <c r="Y1722" s="2016"/>
      <c r="Z1722" s="2016"/>
      <c r="AA1722" s="2016"/>
      <c r="AB1722" s="2012" t="s">
        <v>1852</v>
      </c>
      <c r="AC1722" s="2012"/>
      <c r="AD1722" s="2012"/>
      <c r="AE1722" s="2012"/>
      <c r="AF1722" s="2012"/>
    </row>
    <row r="1723" spans="1:32" x14ac:dyDescent="0.2">
      <c r="A1723" s="2012"/>
      <c r="B1723" s="2012"/>
      <c r="C1723" s="2012"/>
      <c r="D1723" s="2012"/>
      <c r="E1723" s="2012"/>
      <c r="F1723" s="2012"/>
      <c r="G1723" s="2012"/>
      <c r="H1723" s="2012"/>
      <c r="I1723" s="2012"/>
      <c r="J1723" s="2012"/>
      <c r="K1723" s="2012"/>
      <c r="L1723" s="2012"/>
      <c r="M1723" s="2012"/>
      <c r="N1723" s="2012"/>
      <c r="O1723" s="2012"/>
      <c r="P1723" s="2012"/>
      <c r="Q1723" s="2012"/>
      <c r="R1723" s="2012"/>
      <c r="S1723" s="2012"/>
      <c r="T1723" s="2016"/>
      <c r="U1723" s="2016"/>
      <c r="V1723" s="2016"/>
      <c r="W1723" s="2016"/>
      <c r="X1723" s="2016"/>
      <c r="Y1723" s="2016"/>
      <c r="Z1723" s="2016"/>
      <c r="AA1723" s="2016"/>
      <c r="AB1723" s="2012"/>
      <c r="AC1723" s="2012"/>
      <c r="AD1723" s="2012"/>
      <c r="AE1723" s="2012"/>
      <c r="AF1723" s="2012"/>
    </row>
    <row r="1724" spans="1:32" ht="13.5" thickBot="1" x14ac:dyDescent="0.25"/>
    <row r="1725" spans="1:32" ht="26.45" customHeight="1" x14ac:dyDescent="0.2">
      <c r="A1725" s="2025" t="s">
        <v>1854</v>
      </c>
      <c r="B1725" s="2026"/>
      <c r="C1725" s="2026"/>
      <c r="D1725" s="2026"/>
      <c r="E1725" s="2026"/>
      <c r="F1725" s="2026"/>
      <c r="G1725" s="2026"/>
      <c r="H1725" s="2026"/>
      <c r="I1725" s="2026"/>
      <c r="J1725" s="2026"/>
      <c r="K1725" s="2026"/>
      <c r="L1725" s="2026"/>
      <c r="M1725" s="2026"/>
      <c r="N1725" s="2026"/>
      <c r="O1725" s="2026"/>
      <c r="P1725" s="2026"/>
      <c r="Q1725" s="2026"/>
      <c r="R1725" s="2026"/>
      <c r="S1725" s="2026"/>
      <c r="T1725" s="2026"/>
      <c r="U1725" s="2026"/>
      <c r="V1725" s="2026"/>
      <c r="W1725" s="2026"/>
      <c r="X1725" s="2026"/>
      <c r="Y1725" s="2026"/>
      <c r="Z1725" s="2026"/>
      <c r="AA1725" s="2026"/>
      <c r="AB1725" s="2026"/>
      <c r="AC1725" s="2026"/>
      <c r="AD1725" s="2026"/>
      <c r="AE1725" s="1041" t="s">
        <v>1834</v>
      </c>
      <c r="AF1725" s="1042" t="s">
        <v>1835</v>
      </c>
    </row>
    <row r="1726" spans="1:32" ht="21" customHeight="1" thickBot="1" x14ac:dyDescent="0.25">
      <c r="A1726" s="2027"/>
      <c r="B1726" s="2028"/>
      <c r="C1726" s="2028"/>
      <c r="D1726" s="2028"/>
      <c r="E1726" s="2028"/>
      <c r="F1726" s="2028"/>
      <c r="G1726" s="2028"/>
      <c r="H1726" s="2028"/>
      <c r="I1726" s="2028"/>
      <c r="J1726" s="2028"/>
      <c r="K1726" s="2028"/>
      <c r="L1726" s="2028"/>
      <c r="M1726" s="2028"/>
      <c r="N1726" s="2028"/>
      <c r="O1726" s="2028"/>
      <c r="P1726" s="2028"/>
      <c r="Q1726" s="2028"/>
      <c r="R1726" s="2028"/>
      <c r="S1726" s="2028"/>
      <c r="T1726" s="2028"/>
      <c r="U1726" s="2028"/>
      <c r="V1726" s="2028"/>
      <c r="W1726" s="2028"/>
      <c r="X1726" s="2028"/>
      <c r="Y1726" s="2028"/>
      <c r="Z1726" s="2028"/>
      <c r="AA1726" s="2028"/>
      <c r="AB1726" s="2028"/>
      <c r="AC1726" s="2028"/>
      <c r="AD1726" s="2028"/>
      <c r="AE1726" s="1041" t="s">
        <v>1836</v>
      </c>
      <c r="AF1726" s="1044">
        <v>1</v>
      </c>
    </row>
    <row r="1727" spans="1:32" ht="15.75" x14ac:dyDescent="0.2">
      <c r="A1727" s="2029"/>
      <c r="B1727" s="2030"/>
      <c r="C1727" s="2030"/>
      <c r="D1727" s="2031"/>
      <c r="E1727" s="2025" t="str">
        <f>'01'!$A$12</f>
        <v>"CONSTRUCCION SISTEMA DE ACUEDUCTO FASE II DEL MUNICIPIO DE TESALIA DPTO DEL HUILA"</v>
      </c>
      <c r="F1727" s="2026"/>
      <c r="G1727" s="2026"/>
      <c r="H1727" s="2026"/>
      <c r="I1727" s="2026"/>
      <c r="J1727" s="2026"/>
      <c r="K1727" s="2026"/>
      <c r="L1727" s="2026"/>
      <c r="M1727" s="2026"/>
      <c r="N1727" s="2026"/>
      <c r="O1727" s="2026"/>
      <c r="P1727" s="2026"/>
      <c r="Q1727" s="2026"/>
      <c r="R1727" s="2026"/>
      <c r="S1727" s="2026"/>
      <c r="T1727" s="2026"/>
      <c r="U1727" s="2026"/>
      <c r="V1727" s="2026"/>
      <c r="W1727" s="2026"/>
      <c r="X1727" s="2026"/>
      <c r="Y1727" s="2026"/>
      <c r="Z1727" s="2026"/>
      <c r="AA1727" s="2026"/>
      <c r="AB1727" s="2026"/>
      <c r="AC1727" s="2026"/>
      <c r="AD1727" s="2035"/>
      <c r="AE1727" s="1041" t="s">
        <v>847</v>
      </c>
      <c r="AF1727" s="1045">
        <f>'01'!$M$13</f>
        <v>0</v>
      </c>
    </row>
    <row r="1728" spans="1:32" ht="16.5" thickBot="1" x14ac:dyDescent="0.25">
      <c r="A1728" s="2032"/>
      <c r="B1728" s="2033"/>
      <c r="C1728" s="2033"/>
      <c r="D1728" s="2034"/>
      <c r="E1728" s="2027"/>
      <c r="F1728" s="2028"/>
      <c r="G1728" s="2028"/>
      <c r="H1728" s="2028"/>
      <c r="I1728" s="2028"/>
      <c r="J1728" s="2028"/>
      <c r="K1728" s="2028"/>
      <c r="L1728" s="2028"/>
      <c r="M1728" s="2028"/>
      <c r="N1728" s="2028"/>
      <c r="O1728" s="2028"/>
      <c r="P1728" s="2028"/>
      <c r="Q1728" s="2028"/>
      <c r="R1728" s="2028"/>
      <c r="S1728" s="2028"/>
      <c r="T1728" s="2028"/>
      <c r="U1728" s="2028"/>
      <c r="V1728" s="2028"/>
      <c r="W1728" s="2028"/>
      <c r="X1728" s="2028"/>
      <c r="Y1728" s="2028"/>
      <c r="Z1728" s="2028"/>
      <c r="AA1728" s="2028"/>
      <c r="AB1728" s="2028"/>
      <c r="AC1728" s="2028"/>
      <c r="AD1728" s="2036"/>
      <c r="AE1728" s="1041" t="s">
        <v>1837</v>
      </c>
      <c r="AF1728" s="1042" t="s">
        <v>1838</v>
      </c>
    </row>
    <row r="1729" spans="1:32" ht="15.75" x14ac:dyDescent="0.25">
      <c r="A1729" s="2037" t="s">
        <v>1860</v>
      </c>
      <c r="B1729" s="2038"/>
      <c r="C1729" s="2038"/>
      <c r="D1729" s="2038"/>
      <c r="E1729" s="2038"/>
      <c r="F1729" s="2038"/>
      <c r="G1729" s="2038"/>
      <c r="H1729" s="2038"/>
      <c r="I1729" s="2038"/>
      <c r="J1729" s="2038"/>
      <c r="K1729" s="2038"/>
      <c r="L1729" s="2038"/>
      <c r="M1729" s="2038"/>
      <c r="N1729" s="2038"/>
      <c r="O1729" s="2038"/>
      <c r="P1729" s="2038"/>
      <c r="Q1729" s="2038"/>
      <c r="R1729" s="2038"/>
      <c r="S1729" s="2038"/>
      <c r="T1729" s="2038"/>
      <c r="U1729" s="2038"/>
      <c r="V1729" s="2038"/>
      <c r="W1729" s="2038"/>
      <c r="X1729" s="2038"/>
      <c r="Y1729" s="2038"/>
      <c r="Z1729" s="2038"/>
      <c r="AA1729" s="2038"/>
      <c r="AB1729" s="2038"/>
      <c r="AC1729" s="2038"/>
      <c r="AD1729" s="2038"/>
      <c r="AE1729" s="2039" t="s">
        <v>1839</v>
      </c>
      <c r="AF1729" s="2040"/>
    </row>
    <row r="1730" spans="1:32" ht="15.75" x14ac:dyDescent="0.25">
      <c r="A1730" s="2041" t="s">
        <v>1840</v>
      </c>
      <c r="B1730" s="2042"/>
      <c r="C1730" s="2042"/>
      <c r="D1730" s="2042"/>
      <c r="E1730" s="2042"/>
      <c r="F1730" s="2042"/>
      <c r="G1730" s="2042"/>
      <c r="H1730" s="2042"/>
      <c r="I1730" s="2042"/>
      <c r="J1730" s="2042"/>
      <c r="K1730" s="2042"/>
      <c r="L1730" s="2042"/>
      <c r="M1730" s="2042"/>
      <c r="N1730" s="2042"/>
      <c r="O1730" s="2042"/>
      <c r="P1730" s="2042"/>
      <c r="Q1730" s="2042"/>
      <c r="R1730" s="2042"/>
      <c r="S1730" s="2042"/>
      <c r="T1730" s="2042"/>
      <c r="U1730" s="2042"/>
      <c r="V1730" s="2042"/>
      <c r="W1730" s="2042"/>
      <c r="X1730" s="2042"/>
      <c r="Y1730" s="2042"/>
      <c r="Z1730" s="2042"/>
      <c r="AA1730" s="2042"/>
      <c r="AB1730" s="2042"/>
      <c r="AC1730" s="2042"/>
      <c r="AD1730" s="2043"/>
      <c r="AE1730" s="2014" t="s">
        <v>1841</v>
      </c>
      <c r="AF1730" s="2044"/>
    </row>
    <row r="1731" spans="1:32" ht="15.75" x14ac:dyDescent="0.25">
      <c r="A1731" s="2045" t="s">
        <v>1853</v>
      </c>
      <c r="B1731" s="2046"/>
      <c r="C1731" s="2046"/>
      <c r="D1731" s="2046"/>
      <c r="E1731" s="2046"/>
      <c r="F1731" s="2046"/>
      <c r="G1731" s="2046"/>
      <c r="H1731" s="2046"/>
      <c r="I1731" s="2046"/>
      <c r="J1731" s="2046"/>
      <c r="K1731" s="2046"/>
      <c r="L1731" s="2046"/>
      <c r="M1731" s="2046"/>
      <c r="N1731" s="2046"/>
      <c r="O1731" s="2046"/>
      <c r="P1731" s="2046"/>
      <c r="Q1731" s="2046"/>
      <c r="R1731" s="2046"/>
      <c r="S1731" s="2046"/>
      <c r="T1731" s="2046"/>
      <c r="U1731" s="2046"/>
      <c r="V1731" s="2046"/>
      <c r="W1731" s="2046"/>
      <c r="X1731" s="2046"/>
      <c r="Y1731" s="2046"/>
      <c r="Z1731" s="2046"/>
      <c r="AA1731" s="2046"/>
      <c r="AB1731" s="2046"/>
      <c r="AC1731" s="2046"/>
      <c r="AD1731" s="2046"/>
      <c r="AE1731" s="2047">
        <f>'01'!$M$13</f>
        <v>0</v>
      </c>
      <c r="AF1731" s="2044"/>
    </row>
    <row r="1732" spans="1:32" x14ac:dyDescent="0.2">
      <c r="A1732" s="1046"/>
      <c r="B1732" s="1047"/>
      <c r="C1732" s="1047"/>
      <c r="D1732" s="1047"/>
      <c r="E1732" s="1047"/>
      <c r="F1732" s="1047"/>
      <c r="G1732" s="1047"/>
      <c r="H1732" s="1047"/>
      <c r="I1732" s="1047"/>
      <c r="J1732" s="1047"/>
      <c r="K1732" s="1047"/>
      <c r="L1732" s="1047"/>
      <c r="M1732" s="1047"/>
      <c r="N1732" s="1047"/>
      <c r="O1732" s="1047"/>
      <c r="P1732" s="1047"/>
      <c r="Q1732" s="1047"/>
      <c r="R1732" s="1047"/>
      <c r="S1732" s="1047"/>
      <c r="T1732" s="1047"/>
      <c r="U1732" s="1047"/>
      <c r="V1732" s="1047"/>
      <c r="W1732" s="1047"/>
      <c r="X1732" s="1047"/>
      <c r="Y1732" s="1047"/>
      <c r="Z1732" s="1047"/>
      <c r="AA1732" s="1047"/>
      <c r="AB1732" s="1047"/>
      <c r="AC1732" s="1047"/>
      <c r="AD1732" s="1047"/>
      <c r="AE1732" s="1047"/>
      <c r="AF1732" s="1048"/>
    </row>
    <row r="1733" spans="1:32" ht="30" customHeight="1" x14ac:dyDescent="0.2">
      <c r="A1733" s="2048" t="s">
        <v>1842</v>
      </c>
      <c r="B1733" s="2049"/>
      <c r="C1733" s="2049"/>
      <c r="D1733" s="2049"/>
      <c r="E1733" s="2049"/>
      <c r="F1733" s="2050" t="str">
        <f>+'01'!$H$63</f>
        <v>C - FLOCULADOR, SEDIMENTADOR, CANAL DE AGUA SEDIMENTADA Y CANAL DE LAVADO</v>
      </c>
      <c r="G1733" s="2049"/>
      <c r="H1733" s="2049"/>
      <c r="I1733" s="2049"/>
      <c r="J1733" s="2049"/>
      <c r="K1733" s="2049"/>
      <c r="L1733" s="2049"/>
      <c r="M1733" s="2049"/>
      <c r="N1733" s="2049"/>
      <c r="O1733" s="2049"/>
      <c r="P1733" s="2049"/>
      <c r="Q1733" s="2049"/>
      <c r="R1733" s="2049"/>
      <c r="S1733" s="2049"/>
      <c r="T1733" s="2049"/>
      <c r="U1733" s="2049"/>
      <c r="V1733" s="2049"/>
      <c r="W1733" s="2049"/>
      <c r="X1733" s="2049"/>
      <c r="Y1733" s="2051"/>
      <c r="Z1733" s="2052" t="s">
        <v>1843</v>
      </c>
      <c r="AA1733" s="2053"/>
      <c r="AB1733" s="2058" t="s">
        <v>1844</v>
      </c>
      <c r="AC1733" s="2059"/>
      <c r="AD1733" s="2060"/>
      <c r="AE1733" s="2064" t="s">
        <v>1845</v>
      </c>
      <c r="AF1733" s="2067" t="s">
        <v>1846</v>
      </c>
    </row>
    <row r="1734" spans="1:32" x14ac:dyDescent="0.2">
      <c r="A1734" s="2070" t="str">
        <f>+'01'!A87</f>
        <v>C-08-02</v>
      </c>
      <c r="B1734" s="2071"/>
      <c r="C1734" s="2072"/>
      <c r="D1734" s="2076" t="str">
        <f>VLOOKUP(A1734,'01'!$A$12:$N$299,3,FALSE)</f>
        <v>SUMINISTRO E INSTALACION PASAMURO HD 3" BXB=0,75M Z=0.375 M.</v>
      </c>
      <c r="E1734" s="2077"/>
      <c r="F1734" s="2077"/>
      <c r="G1734" s="2077"/>
      <c r="H1734" s="2077"/>
      <c r="I1734" s="2077"/>
      <c r="J1734" s="2077"/>
      <c r="K1734" s="2077"/>
      <c r="L1734" s="2077"/>
      <c r="M1734" s="2077"/>
      <c r="N1734" s="2077"/>
      <c r="O1734" s="2077"/>
      <c r="P1734" s="2077"/>
      <c r="Q1734" s="2077"/>
      <c r="R1734" s="2077"/>
      <c r="S1734" s="2078"/>
      <c r="T1734" s="2082" t="s">
        <v>124</v>
      </c>
      <c r="U1734" s="2083"/>
      <c r="V1734" s="2083"/>
      <c r="W1734" s="2083"/>
      <c r="X1734" s="2052" t="str">
        <f>VLOOKUP(A1734,'01'!$A$12:$N$299,9,FALSE)</f>
        <v>UND</v>
      </c>
      <c r="Y1734" s="2053"/>
      <c r="Z1734" s="2054"/>
      <c r="AA1734" s="2055"/>
      <c r="AB1734" s="2061"/>
      <c r="AC1734" s="2062"/>
      <c r="AD1734" s="2063"/>
      <c r="AE1734" s="2065"/>
      <c r="AF1734" s="2068"/>
    </row>
    <row r="1735" spans="1:32" ht="15.75" x14ac:dyDescent="0.25">
      <c r="A1735" s="2073"/>
      <c r="B1735" s="2074"/>
      <c r="C1735" s="2075"/>
      <c r="D1735" s="2079"/>
      <c r="E1735" s="2080"/>
      <c r="F1735" s="2080"/>
      <c r="G1735" s="2080"/>
      <c r="H1735" s="2080"/>
      <c r="I1735" s="2080"/>
      <c r="J1735" s="2080"/>
      <c r="K1735" s="2080"/>
      <c r="L1735" s="2080"/>
      <c r="M1735" s="2080"/>
      <c r="N1735" s="2080"/>
      <c r="O1735" s="2080"/>
      <c r="P1735" s="2080"/>
      <c r="Q1735" s="2080"/>
      <c r="R1735" s="2080"/>
      <c r="S1735" s="2081"/>
      <c r="T1735" s="2084"/>
      <c r="U1735" s="2085"/>
      <c r="V1735" s="2085"/>
      <c r="W1735" s="2085"/>
      <c r="X1735" s="2056"/>
      <c r="Y1735" s="2057"/>
      <c r="Z1735" s="2056"/>
      <c r="AA1735" s="2057"/>
      <c r="AB1735" s="1049" t="s">
        <v>1847</v>
      </c>
      <c r="AC1735" s="1049" t="s">
        <v>1848</v>
      </c>
      <c r="AD1735" s="1049" t="s">
        <v>1861</v>
      </c>
      <c r="AE1735" s="2066"/>
      <c r="AF1735" s="2069"/>
    </row>
    <row r="1736" spans="1:32" ht="15.75" x14ac:dyDescent="0.25">
      <c r="A1736" s="2017"/>
      <c r="B1736" s="2018"/>
      <c r="C1736" s="2018"/>
      <c r="D1736" s="2018"/>
      <c r="E1736" s="2018"/>
      <c r="F1736" s="2018"/>
      <c r="G1736" s="2018"/>
      <c r="H1736" s="2018"/>
      <c r="I1736" s="2018"/>
      <c r="J1736" s="2018"/>
      <c r="K1736" s="2018"/>
      <c r="L1736" s="2018"/>
      <c r="M1736" s="2018"/>
      <c r="N1736" s="2018"/>
      <c r="O1736" s="2018"/>
      <c r="P1736" s="2018"/>
      <c r="Q1736" s="2018"/>
      <c r="R1736" s="2018"/>
      <c r="S1736" s="2018"/>
      <c r="T1736" s="2018"/>
      <c r="U1736" s="2018"/>
      <c r="V1736" s="2018"/>
      <c r="W1736" s="2018"/>
      <c r="X1736" s="2018"/>
      <c r="Y1736" s="2018"/>
      <c r="Z1736" s="2096" t="s">
        <v>2422</v>
      </c>
      <c r="AA1736" s="2097"/>
      <c r="AB1736" s="1050"/>
      <c r="AC1736" s="1050"/>
      <c r="AD1736" s="1050"/>
      <c r="AE1736" s="1050">
        <v>4</v>
      </c>
      <c r="AF1736" s="1052">
        <f>AE1736</f>
        <v>4</v>
      </c>
    </row>
    <row r="1737" spans="1:32" ht="15.75" x14ac:dyDescent="0.25">
      <c r="A1737" s="2017"/>
      <c r="B1737" s="2018"/>
      <c r="C1737" s="2018"/>
      <c r="D1737" s="2018"/>
      <c r="E1737" s="2018"/>
      <c r="F1737" s="2018"/>
      <c r="G1737" s="2018"/>
      <c r="H1737" s="2018"/>
      <c r="I1737" s="2018"/>
      <c r="J1737" s="2018"/>
      <c r="K1737" s="2018"/>
      <c r="L1737" s="2018"/>
      <c r="M1737" s="2018"/>
      <c r="N1737" s="2018"/>
      <c r="O1737" s="2018"/>
      <c r="P1737" s="2018"/>
      <c r="Q1737" s="2018"/>
      <c r="R1737" s="2018"/>
      <c r="S1737" s="2018"/>
      <c r="T1737" s="2018"/>
      <c r="U1737" s="2018"/>
      <c r="V1737" s="2018"/>
      <c r="W1737" s="2018"/>
      <c r="X1737" s="2018"/>
      <c r="Y1737" s="2018"/>
      <c r="Z1737" s="2105"/>
      <c r="AA1737" s="2105"/>
      <c r="AB1737" s="1050"/>
      <c r="AC1737" s="1050"/>
      <c r="AD1737" s="1050"/>
      <c r="AE1737" s="1050">
        <v>0</v>
      </c>
      <c r="AF1737" s="1052">
        <f t="shared" ref="AF1737:AF1742" si="32">AE1737</f>
        <v>0</v>
      </c>
    </row>
    <row r="1738" spans="1:32" ht="15.75" x14ac:dyDescent="0.25">
      <c r="A1738" s="2017"/>
      <c r="B1738" s="2018"/>
      <c r="C1738" s="2018"/>
      <c r="D1738" s="2018"/>
      <c r="E1738" s="2018"/>
      <c r="F1738" s="2018"/>
      <c r="G1738" s="2018"/>
      <c r="H1738" s="2018"/>
      <c r="I1738" s="2018"/>
      <c r="J1738" s="2018"/>
      <c r="K1738" s="2018"/>
      <c r="L1738" s="2018"/>
      <c r="M1738" s="2018"/>
      <c r="N1738" s="2018"/>
      <c r="O1738" s="2018"/>
      <c r="P1738" s="2018"/>
      <c r="Q1738" s="2018"/>
      <c r="R1738" s="2018"/>
      <c r="S1738" s="2018"/>
      <c r="T1738" s="2018"/>
      <c r="U1738" s="2018"/>
      <c r="V1738" s="2018"/>
      <c r="W1738" s="2018"/>
      <c r="X1738" s="2018"/>
      <c r="Y1738" s="2018"/>
      <c r="Z1738" s="2105"/>
      <c r="AA1738" s="2105"/>
      <c r="AB1738" s="1050"/>
      <c r="AC1738" s="1050"/>
      <c r="AD1738" s="1050"/>
      <c r="AE1738" s="1050">
        <v>0</v>
      </c>
      <c r="AF1738" s="1052">
        <f t="shared" si="32"/>
        <v>0</v>
      </c>
    </row>
    <row r="1739" spans="1:32" ht="15.75" x14ac:dyDescent="0.25">
      <c r="A1739" s="2017"/>
      <c r="B1739" s="2018"/>
      <c r="C1739" s="2018"/>
      <c r="D1739" s="2018"/>
      <c r="E1739" s="2018"/>
      <c r="F1739" s="2018"/>
      <c r="G1739" s="2018"/>
      <c r="H1739" s="2018"/>
      <c r="I1739" s="2018"/>
      <c r="J1739" s="2018"/>
      <c r="K1739" s="2018"/>
      <c r="L1739" s="2018"/>
      <c r="M1739" s="2018"/>
      <c r="N1739" s="2018"/>
      <c r="O1739" s="2018"/>
      <c r="P1739" s="2018"/>
      <c r="Q1739" s="2018"/>
      <c r="R1739" s="2018"/>
      <c r="S1739" s="2018"/>
      <c r="T1739" s="2018"/>
      <c r="U1739" s="2018"/>
      <c r="V1739" s="2018"/>
      <c r="W1739" s="2018"/>
      <c r="X1739" s="2018"/>
      <c r="Y1739" s="2018"/>
      <c r="Z1739" s="2105"/>
      <c r="AA1739" s="2105"/>
      <c r="AB1739" s="1050"/>
      <c r="AC1739" s="1050"/>
      <c r="AD1739" s="1050"/>
      <c r="AE1739" s="1050">
        <v>0</v>
      </c>
      <c r="AF1739" s="1052">
        <f t="shared" si="32"/>
        <v>0</v>
      </c>
    </row>
    <row r="1740" spans="1:32" ht="15.75" x14ac:dyDescent="0.25">
      <c r="A1740" s="2017"/>
      <c r="B1740" s="2018"/>
      <c r="C1740" s="2018"/>
      <c r="D1740" s="2018"/>
      <c r="E1740" s="2018"/>
      <c r="F1740" s="2018"/>
      <c r="G1740" s="2018"/>
      <c r="H1740" s="2018"/>
      <c r="I1740" s="2018"/>
      <c r="J1740" s="2018"/>
      <c r="K1740" s="2018"/>
      <c r="L1740" s="2018"/>
      <c r="M1740" s="2018"/>
      <c r="N1740" s="2018"/>
      <c r="O1740" s="2018"/>
      <c r="P1740" s="2018"/>
      <c r="Q1740" s="2018"/>
      <c r="R1740" s="2018"/>
      <c r="S1740" s="2018"/>
      <c r="T1740" s="2018"/>
      <c r="U1740" s="2018"/>
      <c r="V1740" s="2018"/>
      <c r="W1740" s="2018"/>
      <c r="X1740" s="2018"/>
      <c r="Y1740" s="2018"/>
      <c r="Z1740" s="2105"/>
      <c r="AA1740" s="2105"/>
      <c r="AB1740" s="1050"/>
      <c r="AC1740" s="1050"/>
      <c r="AD1740" s="1050"/>
      <c r="AE1740" s="1050">
        <v>0</v>
      </c>
      <c r="AF1740" s="1052">
        <f t="shared" si="32"/>
        <v>0</v>
      </c>
    </row>
    <row r="1741" spans="1:32" ht="15.75" x14ac:dyDescent="0.25">
      <c r="A1741" s="2017"/>
      <c r="B1741" s="2018"/>
      <c r="C1741" s="2018"/>
      <c r="D1741" s="2018"/>
      <c r="E1741" s="2018"/>
      <c r="F1741" s="2018"/>
      <c r="G1741" s="2018"/>
      <c r="H1741" s="2018"/>
      <c r="I1741" s="2018"/>
      <c r="J1741" s="2018"/>
      <c r="K1741" s="2018"/>
      <c r="L1741" s="2018"/>
      <c r="M1741" s="2018"/>
      <c r="N1741" s="2018"/>
      <c r="O1741" s="2018"/>
      <c r="P1741" s="2018"/>
      <c r="Q1741" s="2018"/>
      <c r="R1741" s="2018"/>
      <c r="S1741" s="2018"/>
      <c r="T1741" s="2018"/>
      <c r="U1741" s="2018"/>
      <c r="V1741" s="2018"/>
      <c r="W1741" s="2018"/>
      <c r="X1741" s="2018"/>
      <c r="Y1741" s="2018"/>
      <c r="Z1741" s="2105"/>
      <c r="AA1741" s="2105"/>
      <c r="AB1741" s="1050"/>
      <c r="AC1741" s="1050"/>
      <c r="AD1741" s="1050"/>
      <c r="AE1741" s="1050">
        <v>0</v>
      </c>
      <c r="AF1741" s="1052">
        <f t="shared" si="32"/>
        <v>0</v>
      </c>
    </row>
    <row r="1742" spans="1:32" ht="15.75" x14ac:dyDescent="0.25">
      <c r="A1742" s="2017"/>
      <c r="B1742" s="2018"/>
      <c r="C1742" s="2018"/>
      <c r="D1742" s="2018"/>
      <c r="E1742" s="2018"/>
      <c r="F1742" s="2018"/>
      <c r="G1742" s="2018"/>
      <c r="H1742" s="2018"/>
      <c r="I1742" s="2018"/>
      <c r="J1742" s="2018"/>
      <c r="K1742" s="2018"/>
      <c r="L1742" s="2018"/>
      <c r="M1742" s="2018"/>
      <c r="N1742" s="2018"/>
      <c r="O1742" s="2018"/>
      <c r="P1742" s="2018"/>
      <c r="Q1742" s="2018"/>
      <c r="R1742" s="2018"/>
      <c r="S1742" s="2018"/>
      <c r="T1742" s="2018"/>
      <c r="U1742" s="2018"/>
      <c r="V1742" s="2018"/>
      <c r="W1742" s="2018"/>
      <c r="X1742" s="2018"/>
      <c r="Y1742" s="2018"/>
      <c r="Z1742" s="2105"/>
      <c r="AA1742" s="2105"/>
      <c r="AB1742" s="1050"/>
      <c r="AC1742" s="1050"/>
      <c r="AD1742" s="1050"/>
      <c r="AE1742" s="1050">
        <v>0</v>
      </c>
      <c r="AF1742" s="1052">
        <f t="shared" si="32"/>
        <v>0</v>
      </c>
    </row>
    <row r="1743" spans="1:32" ht="15.75" x14ac:dyDescent="0.25">
      <c r="A1743" s="2017"/>
      <c r="B1743" s="2018"/>
      <c r="C1743" s="2018"/>
      <c r="D1743" s="2018"/>
      <c r="E1743" s="2018"/>
      <c r="F1743" s="2018"/>
      <c r="G1743" s="2018"/>
      <c r="H1743" s="2018"/>
      <c r="I1743" s="2018"/>
      <c r="J1743" s="2018"/>
      <c r="K1743" s="2018"/>
      <c r="L1743" s="2018"/>
      <c r="M1743" s="2018"/>
      <c r="N1743" s="2018"/>
      <c r="O1743" s="2018"/>
      <c r="P1743" s="2018"/>
      <c r="Q1743" s="2018"/>
      <c r="R1743" s="2018"/>
      <c r="S1743" s="2018"/>
      <c r="T1743" s="2018"/>
      <c r="U1743" s="2018"/>
      <c r="V1743" s="2018"/>
      <c r="W1743" s="2018"/>
      <c r="X1743" s="2018"/>
      <c r="Y1743" s="2018"/>
      <c r="Z1743" s="2105"/>
      <c r="AA1743" s="2105"/>
      <c r="AB1743" s="1050"/>
      <c r="AC1743" s="1050"/>
      <c r="AD1743" s="1050"/>
      <c r="AE1743" s="1050"/>
      <c r="AF1743" s="1052"/>
    </row>
    <row r="1744" spans="1:32" ht="15.75" x14ac:dyDescent="0.25">
      <c r="A1744" s="2017"/>
      <c r="B1744" s="2018"/>
      <c r="C1744" s="2018"/>
      <c r="D1744" s="2018"/>
      <c r="E1744" s="2018"/>
      <c r="F1744" s="2018"/>
      <c r="G1744" s="2018"/>
      <c r="H1744" s="2018"/>
      <c r="I1744" s="2018"/>
      <c r="J1744" s="2018"/>
      <c r="K1744" s="2018"/>
      <c r="L1744" s="2018"/>
      <c r="M1744" s="2018"/>
      <c r="N1744" s="2018"/>
      <c r="O1744" s="2018"/>
      <c r="P1744" s="2018"/>
      <c r="Q1744" s="2018"/>
      <c r="R1744" s="2018"/>
      <c r="S1744" s="2018"/>
      <c r="T1744" s="2018"/>
      <c r="U1744" s="2018"/>
      <c r="V1744" s="2018"/>
      <c r="W1744" s="2018"/>
      <c r="X1744" s="2018"/>
      <c r="Y1744" s="2018"/>
      <c r="Z1744" s="2105"/>
      <c r="AA1744" s="2105"/>
      <c r="AB1744" s="1050"/>
      <c r="AC1744" s="1050"/>
      <c r="AD1744" s="1050"/>
      <c r="AE1744" s="1050"/>
      <c r="AF1744" s="1052"/>
    </row>
    <row r="1745" spans="1:32" ht="15.75" x14ac:dyDescent="0.25">
      <c r="A1745" s="2017"/>
      <c r="B1745" s="2018"/>
      <c r="C1745" s="2018"/>
      <c r="D1745" s="2018"/>
      <c r="E1745" s="2018"/>
      <c r="F1745" s="2018"/>
      <c r="G1745" s="2018"/>
      <c r="H1745" s="2018"/>
      <c r="I1745" s="2018"/>
      <c r="J1745" s="2018"/>
      <c r="K1745" s="2018"/>
      <c r="L1745" s="2018"/>
      <c r="M1745" s="2018"/>
      <c r="N1745" s="2018"/>
      <c r="O1745" s="2018"/>
      <c r="P1745" s="2018"/>
      <c r="Q1745" s="2018"/>
      <c r="R1745" s="2018"/>
      <c r="S1745" s="2018"/>
      <c r="T1745" s="2018"/>
      <c r="U1745" s="2018"/>
      <c r="V1745" s="2018"/>
      <c r="W1745" s="2018"/>
      <c r="X1745" s="2018"/>
      <c r="Y1745" s="2018"/>
      <c r="Z1745" s="2105"/>
      <c r="AA1745" s="2105"/>
      <c r="AB1745" s="1050"/>
      <c r="AC1745" s="1050"/>
      <c r="AD1745" s="1050"/>
      <c r="AE1745" s="1050"/>
      <c r="AF1745" s="1052"/>
    </row>
    <row r="1746" spans="1:32" ht="15.75" x14ac:dyDescent="0.25">
      <c r="A1746" s="2017"/>
      <c r="B1746" s="2018"/>
      <c r="C1746" s="2018"/>
      <c r="D1746" s="2018"/>
      <c r="E1746" s="2018"/>
      <c r="F1746" s="2018"/>
      <c r="G1746" s="2018"/>
      <c r="H1746" s="2018"/>
      <c r="I1746" s="2018"/>
      <c r="J1746" s="2018"/>
      <c r="K1746" s="2018"/>
      <c r="L1746" s="2018"/>
      <c r="M1746" s="2018"/>
      <c r="N1746" s="2018"/>
      <c r="O1746" s="2018"/>
      <c r="P1746" s="2018"/>
      <c r="Q1746" s="2018"/>
      <c r="R1746" s="2018"/>
      <c r="S1746" s="2018"/>
      <c r="T1746" s="2018"/>
      <c r="U1746" s="2018"/>
      <c r="V1746" s="2018"/>
      <c r="W1746" s="2018"/>
      <c r="X1746" s="2018"/>
      <c r="Y1746" s="2018"/>
      <c r="Z1746" s="2105"/>
      <c r="AA1746" s="2105"/>
      <c r="AB1746" s="1050"/>
      <c r="AC1746" s="1050"/>
      <c r="AD1746" s="1050"/>
      <c r="AE1746" s="1050"/>
      <c r="AF1746" s="1052"/>
    </row>
    <row r="1747" spans="1:32" ht="15.75" x14ac:dyDescent="0.25">
      <c r="A1747" s="2017"/>
      <c r="B1747" s="2018"/>
      <c r="C1747" s="2018"/>
      <c r="D1747" s="2018"/>
      <c r="E1747" s="2018"/>
      <c r="F1747" s="2018"/>
      <c r="G1747" s="2018"/>
      <c r="H1747" s="2018"/>
      <c r="I1747" s="2018"/>
      <c r="J1747" s="2018"/>
      <c r="K1747" s="2018"/>
      <c r="L1747" s="2018"/>
      <c r="M1747" s="2018"/>
      <c r="N1747" s="2018"/>
      <c r="O1747" s="2018"/>
      <c r="P1747" s="2018"/>
      <c r="Q1747" s="2018"/>
      <c r="R1747" s="2018"/>
      <c r="S1747" s="2018"/>
      <c r="T1747" s="2018"/>
      <c r="U1747" s="2018"/>
      <c r="V1747" s="2018"/>
      <c r="W1747" s="2018"/>
      <c r="X1747" s="2018"/>
      <c r="Y1747" s="2018"/>
      <c r="Z1747" s="2105"/>
      <c r="AA1747" s="2105"/>
      <c r="AB1747" s="1050"/>
      <c r="AC1747" s="1050"/>
      <c r="AD1747" s="1050"/>
      <c r="AE1747" s="1050"/>
      <c r="AF1747" s="1052"/>
    </row>
    <row r="1748" spans="1:32" ht="15.75" x14ac:dyDescent="0.25">
      <c r="A1748" s="2017"/>
      <c r="B1748" s="2018"/>
      <c r="C1748" s="2018"/>
      <c r="D1748" s="2018"/>
      <c r="E1748" s="2018"/>
      <c r="F1748" s="2018"/>
      <c r="G1748" s="2018"/>
      <c r="H1748" s="2018"/>
      <c r="I1748" s="2018"/>
      <c r="J1748" s="2018"/>
      <c r="K1748" s="2018"/>
      <c r="L1748" s="2018"/>
      <c r="M1748" s="2018"/>
      <c r="N1748" s="2018"/>
      <c r="O1748" s="2018"/>
      <c r="P1748" s="2018"/>
      <c r="Q1748" s="2018"/>
      <c r="R1748" s="2018"/>
      <c r="S1748" s="2018"/>
      <c r="T1748" s="2018"/>
      <c r="U1748" s="2018"/>
      <c r="V1748" s="2018"/>
      <c r="W1748" s="2018"/>
      <c r="X1748" s="2018"/>
      <c r="Y1748" s="2018"/>
      <c r="Z1748" s="2105"/>
      <c r="AA1748" s="2105"/>
      <c r="AB1748" s="1050"/>
      <c r="AC1748" s="1050"/>
      <c r="AD1748" s="1050"/>
      <c r="AE1748" s="1050"/>
      <c r="AF1748" s="1052"/>
    </row>
    <row r="1749" spans="1:32" ht="15.75" x14ac:dyDescent="0.25">
      <c r="A1749" s="2017"/>
      <c r="B1749" s="2018"/>
      <c r="C1749" s="2018"/>
      <c r="D1749" s="2018"/>
      <c r="E1749" s="2018"/>
      <c r="F1749" s="2018"/>
      <c r="G1749" s="2018"/>
      <c r="H1749" s="2018"/>
      <c r="I1749" s="2018"/>
      <c r="J1749" s="2018"/>
      <c r="K1749" s="2018"/>
      <c r="L1749" s="2018"/>
      <c r="M1749" s="2018"/>
      <c r="N1749" s="2018"/>
      <c r="O1749" s="2018"/>
      <c r="P1749" s="2018"/>
      <c r="Q1749" s="2018"/>
      <c r="R1749" s="2018"/>
      <c r="S1749" s="2018"/>
      <c r="T1749" s="2018"/>
      <c r="U1749" s="2018"/>
      <c r="V1749" s="2018"/>
      <c r="W1749" s="2018"/>
      <c r="X1749" s="2018"/>
      <c r="Y1749" s="2018"/>
      <c r="Z1749" s="2022"/>
      <c r="AA1749" s="2022"/>
      <c r="AB1749" s="1050"/>
      <c r="AC1749" s="1050"/>
      <c r="AD1749" s="1050"/>
      <c r="AE1749" s="1050"/>
      <c r="AF1749" s="1052"/>
    </row>
    <row r="1750" spans="1:32" ht="15.75" x14ac:dyDescent="0.25">
      <c r="A1750" s="2017"/>
      <c r="B1750" s="2018"/>
      <c r="C1750" s="2018"/>
      <c r="D1750" s="2018"/>
      <c r="E1750" s="2018"/>
      <c r="F1750" s="2018"/>
      <c r="G1750" s="2018"/>
      <c r="H1750" s="2018"/>
      <c r="I1750" s="2018"/>
      <c r="J1750" s="2018"/>
      <c r="K1750" s="2018"/>
      <c r="L1750" s="2018"/>
      <c r="M1750" s="2018"/>
      <c r="N1750" s="2018"/>
      <c r="O1750" s="2018"/>
      <c r="P1750" s="2018"/>
      <c r="Q1750" s="2018"/>
      <c r="R1750" s="2018"/>
      <c r="S1750" s="2018"/>
      <c r="T1750" s="2018"/>
      <c r="U1750" s="2018"/>
      <c r="V1750" s="2018"/>
      <c r="W1750" s="2018"/>
      <c r="X1750" s="2018"/>
      <c r="Y1750" s="2018"/>
      <c r="Z1750" s="2022"/>
      <c r="AA1750" s="2022"/>
      <c r="AB1750" s="1050"/>
      <c r="AC1750" s="1050"/>
      <c r="AD1750" s="1050"/>
      <c r="AE1750" s="1050"/>
      <c r="AF1750" s="1052"/>
    </row>
    <row r="1751" spans="1:32" ht="15.75" x14ac:dyDescent="0.25">
      <c r="A1751" s="2017"/>
      <c r="B1751" s="2018"/>
      <c r="C1751" s="2018"/>
      <c r="D1751" s="2018"/>
      <c r="E1751" s="2018"/>
      <c r="F1751" s="2018"/>
      <c r="G1751" s="2018"/>
      <c r="H1751" s="2018"/>
      <c r="I1751" s="2018"/>
      <c r="J1751" s="2018"/>
      <c r="K1751" s="2018"/>
      <c r="L1751" s="2018"/>
      <c r="M1751" s="2018"/>
      <c r="N1751" s="2018"/>
      <c r="O1751" s="2018"/>
      <c r="P1751" s="2018"/>
      <c r="Q1751" s="2018"/>
      <c r="R1751" s="2018"/>
      <c r="S1751" s="2018"/>
      <c r="T1751" s="2018"/>
      <c r="U1751" s="2018"/>
      <c r="V1751" s="2018"/>
      <c r="W1751" s="2018"/>
      <c r="X1751" s="2018"/>
      <c r="Y1751" s="2018"/>
      <c r="Z1751" s="2022"/>
      <c r="AA1751" s="2022"/>
      <c r="AB1751" s="1050"/>
      <c r="AC1751" s="1050"/>
      <c r="AD1751" s="1050"/>
      <c r="AE1751" s="1050"/>
      <c r="AF1751" s="1052"/>
    </row>
    <row r="1752" spans="1:32" ht="15.75" x14ac:dyDescent="0.25">
      <c r="A1752" s="2017"/>
      <c r="B1752" s="2018"/>
      <c r="C1752" s="2018"/>
      <c r="D1752" s="2018"/>
      <c r="E1752" s="2018"/>
      <c r="F1752" s="2018"/>
      <c r="G1752" s="2018"/>
      <c r="H1752" s="2018"/>
      <c r="I1752" s="2018"/>
      <c r="J1752" s="2018"/>
      <c r="K1752" s="2018"/>
      <c r="L1752" s="2018"/>
      <c r="M1752" s="2018"/>
      <c r="N1752" s="2018"/>
      <c r="O1752" s="2018"/>
      <c r="P1752" s="2018"/>
      <c r="Q1752" s="2018"/>
      <c r="R1752" s="2018"/>
      <c r="S1752" s="2018"/>
      <c r="T1752" s="2018"/>
      <c r="U1752" s="2018"/>
      <c r="V1752" s="2018"/>
      <c r="W1752" s="2018"/>
      <c r="X1752" s="2018"/>
      <c r="Y1752" s="2018"/>
      <c r="Z1752" s="2022"/>
      <c r="AA1752" s="2022"/>
      <c r="AB1752" s="1050"/>
      <c r="AC1752" s="1050"/>
      <c r="AD1752" s="1050"/>
      <c r="AE1752" s="1050"/>
      <c r="AF1752" s="1052"/>
    </row>
    <row r="1753" spans="1:32" ht="15.75" x14ac:dyDescent="0.25">
      <c r="A1753" s="2017"/>
      <c r="B1753" s="2018"/>
      <c r="C1753" s="2018"/>
      <c r="D1753" s="2018"/>
      <c r="E1753" s="2018"/>
      <c r="F1753" s="2018"/>
      <c r="G1753" s="2018"/>
      <c r="H1753" s="2018"/>
      <c r="I1753" s="2018"/>
      <c r="J1753" s="2018"/>
      <c r="K1753" s="2018"/>
      <c r="L1753" s="2018"/>
      <c r="M1753" s="2018"/>
      <c r="N1753" s="2018"/>
      <c r="O1753" s="2018"/>
      <c r="P1753" s="2018"/>
      <c r="Q1753" s="2018"/>
      <c r="R1753" s="2018"/>
      <c r="S1753" s="2018"/>
      <c r="T1753" s="2018"/>
      <c r="U1753" s="2018"/>
      <c r="V1753" s="2018"/>
      <c r="W1753" s="2018"/>
      <c r="X1753" s="2018"/>
      <c r="Y1753" s="2018"/>
      <c r="Z1753" s="2023"/>
      <c r="AA1753" s="2023"/>
      <c r="AB1753" s="1050"/>
      <c r="AC1753" s="1050"/>
      <c r="AD1753" s="1050"/>
      <c r="AE1753" s="1050"/>
      <c r="AF1753" s="1052"/>
    </row>
    <row r="1754" spans="1:32" ht="15.75" x14ac:dyDescent="0.25">
      <c r="A1754" s="2017"/>
      <c r="B1754" s="2018"/>
      <c r="C1754" s="2018"/>
      <c r="D1754" s="2018"/>
      <c r="E1754" s="2018"/>
      <c r="F1754" s="2018"/>
      <c r="G1754" s="2018"/>
      <c r="H1754" s="2018"/>
      <c r="I1754" s="2018"/>
      <c r="J1754" s="2018"/>
      <c r="K1754" s="2018"/>
      <c r="L1754" s="2018"/>
      <c r="M1754" s="2018"/>
      <c r="N1754" s="2018"/>
      <c r="O1754" s="2018"/>
      <c r="P1754" s="2018"/>
      <c r="Q1754" s="2018"/>
      <c r="R1754" s="2018"/>
      <c r="S1754" s="2018"/>
      <c r="T1754" s="2018"/>
      <c r="U1754" s="2018"/>
      <c r="V1754" s="2018"/>
      <c r="W1754" s="2018"/>
      <c r="X1754" s="2018"/>
      <c r="Y1754" s="2018"/>
      <c r="Z1754" s="2023"/>
      <c r="AA1754" s="2023"/>
      <c r="AB1754" s="1050"/>
      <c r="AC1754" s="1050"/>
      <c r="AD1754" s="1050"/>
      <c r="AE1754" s="1050"/>
      <c r="AF1754" s="1052"/>
    </row>
    <row r="1755" spans="1:32" ht="15.75" x14ac:dyDescent="0.25">
      <c r="A1755" s="2017"/>
      <c r="B1755" s="2018"/>
      <c r="C1755" s="2018"/>
      <c r="D1755" s="2018"/>
      <c r="E1755" s="2018"/>
      <c r="F1755" s="2018"/>
      <c r="G1755" s="2018"/>
      <c r="H1755" s="2018"/>
      <c r="I1755" s="2018"/>
      <c r="J1755" s="2018"/>
      <c r="K1755" s="2018"/>
      <c r="L1755" s="2018"/>
      <c r="M1755" s="2018"/>
      <c r="N1755" s="2018"/>
      <c r="O1755" s="2018"/>
      <c r="P1755" s="2018"/>
      <c r="Q1755" s="2018"/>
      <c r="R1755" s="2018"/>
      <c r="S1755" s="2018"/>
      <c r="T1755" s="2018"/>
      <c r="U1755" s="2018"/>
      <c r="V1755" s="2018"/>
      <c r="W1755" s="2018"/>
      <c r="X1755" s="2018"/>
      <c r="Y1755" s="2018"/>
      <c r="Z1755" s="2023"/>
      <c r="AA1755" s="2023"/>
      <c r="AB1755" s="1050"/>
      <c r="AC1755" s="1050"/>
      <c r="AD1755" s="1050"/>
      <c r="AE1755" s="1050"/>
      <c r="AF1755" s="1052"/>
    </row>
    <row r="1756" spans="1:32" ht="15.75" x14ac:dyDescent="0.25">
      <c r="A1756" s="2017"/>
      <c r="B1756" s="2018"/>
      <c r="C1756" s="2018"/>
      <c r="D1756" s="2018"/>
      <c r="E1756" s="2018"/>
      <c r="F1756" s="2018"/>
      <c r="G1756" s="2018"/>
      <c r="H1756" s="2018"/>
      <c r="I1756" s="2018"/>
      <c r="J1756" s="2018"/>
      <c r="K1756" s="2018"/>
      <c r="L1756" s="2018"/>
      <c r="M1756" s="2018"/>
      <c r="N1756" s="2018"/>
      <c r="O1756" s="2018"/>
      <c r="P1756" s="2018"/>
      <c r="Q1756" s="2018"/>
      <c r="R1756" s="2018"/>
      <c r="S1756" s="2018"/>
      <c r="T1756" s="2018"/>
      <c r="U1756" s="2018"/>
      <c r="V1756" s="2018"/>
      <c r="W1756" s="2018"/>
      <c r="X1756" s="2018"/>
      <c r="Y1756" s="2018"/>
      <c r="Z1756" s="2023"/>
      <c r="AA1756" s="2023"/>
      <c r="AB1756" s="1050"/>
      <c r="AC1756" s="1050"/>
      <c r="AD1756" s="1050"/>
      <c r="AE1756" s="1050"/>
      <c r="AF1756" s="1052"/>
    </row>
    <row r="1757" spans="1:32" ht="15.75" x14ac:dyDescent="0.25">
      <c r="A1757" s="2017"/>
      <c r="B1757" s="2018"/>
      <c r="C1757" s="2018"/>
      <c r="D1757" s="2018"/>
      <c r="E1757" s="2018"/>
      <c r="F1757" s="2018"/>
      <c r="G1757" s="2018"/>
      <c r="H1757" s="2018"/>
      <c r="I1757" s="2018"/>
      <c r="J1757" s="2018"/>
      <c r="K1757" s="2018"/>
      <c r="L1757" s="2018"/>
      <c r="M1757" s="2018"/>
      <c r="N1757" s="2018"/>
      <c r="O1757" s="2018"/>
      <c r="P1757" s="2018"/>
      <c r="Q1757" s="2018"/>
      <c r="R1757" s="2018"/>
      <c r="S1757" s="2018"/>
      <c r="T1757" s="2018"/>
      <c r="U1757" s="2018"/>
      <c r="V1757" s="2018"/>
      <c r="W1757" s="2018"/>
      <c r="X1757" s="2018"/>
      <c r="Y1757" s="2018"/>
      <c r="Z1757" s="2023"/>
      <c r="AA1757" s="2023"/>
      <c r="AB1757" s="1050"/>
      <c r="AC1757" s="1050"/>
      <c r="AD1757" s="1050"/>
      <c r="AE1757" s="1050"/>
      <c r="AF1757" s="1052"/>
    </row>
    <row r="1758" spans="1:32" ht="15.75" x14ac:dyDescent="0.25">
      <c r="A1758" s="2017"/>
      <c r="B1758" s="2018"/>
      <c r="C1758" s="2018"/>
      <c r="D1758" s="2018"/>
      <c r="E1758" s="2018"/>
      <c r="F1758" s="2018"/>
      <c r="G1758" s="2018"/>
      <c r="H1758" s="2018"/>
      <c r="I1758" s="2018"/>
      <c r="J1758" s="2018"/>
      <c r="K1758" s="2018"/>
      <c r="L1758" s="2018"/>
      <c r="M1758" s="2018"/>
      <c r="N1758" s="2018"/>
      <c r="O1758" s="2018"/>
      <c r="P1758" s="2018"/>
      <c r="Q1758" s="2018"/>
      <c r="R1758" s="2018"/>
      <c r="S1758" s="2018"/>
      <c r="T1758" s="2018"/>
      <c r="U1758" s="2018"/>
      <c r="V1758" s="2018"/>
      <c r="W1758" s="2018"/>
      <c r="X1758" s="2018"/>
      <c r="Y1758" s="2018"/>
      <c r="Z1758" s="2023"/>
      <c r="AA1758" s="2023"/>
      <c r="AB1758" s="1050"/>
      <c r="AC1758" s="1050"/>
      <c r="AD1758" s="1050"/>
      <c r="AE1758" s="1050"/>
      <c r="AF1758" s="1052"/>
    </row>
    <row r="1759" spans="1:32" ht="16.5" thickBot="1" x14ac:dyDescent="0.3">
      <c r="A1759" s="2019"/>
      <c r="B1759" s="2020"/>
      <c r="C1759" s="2020"/>
      <c r="D1759" s="2020"/>
      <c r="E1759" s="2020"/>
      <c r="F1759" s="2020"/>
      <c r="G1759" s="2020"/>
      <c r="H1759" s="2020"/>
      <c r="I1759" s="2020"/>
      <c r="J1759" s="2020"/>
      <c r="K1759" s="2020"/>
      <c r="L1759" s="2020"/>
      <c r="M1759" s="2020"/>
      <c r="N1759" s="2020"/>
      <c r="O1759" s="2020"/>
      <c r="P1759" s="2020"/>
      <c r="Q1759" s="2020"/>
      <c r="R1759" s="2020"/>
      <c r="S1759" s="2020"/>
      <c r="T1759" s="2020"/>
      <c r="U1759" s="2020"/>
      <c r="V1759" s="2020"/>
      <c r="W1759" s="2020"/>
      <c r="X1759" s="2020"/>
      <c r="Y1759" s="2020"/>
      <c r="Z1759" s="2024"/>
      <c r="AA1759" s="2024"/>
      <c r="AB1759" s="1057"/>
      <c r="AC1759" s="1057"/>
      <c r="AD1759" s="1057"/>
      <c r="AE1759" s="1057"/>
      <c r="AF1759" s="1058"/>
    </row>
    <row r="1760" spans="1:32" ht="15.75" x14ac:dyDescent="0.25">
      <c r="A1760" s="2009" t="s">
        <v>1855</v>
      </c>
      <c r="B1760" s="2010"/>
      <c r="C1760" s="2010"/>
      <c r="D1760" s="2010"/>
      <c r="E1760" s="2010"/>
      <c r="F1760" s="2010"/>
      <c r="G1760" s="2010"/>
      <c r="H1760" s="2010"/>
      <c r="I1760" s="2010"/>
      <c r="J1760" s="2010"/>
      <c r="K1760" s="2010"/>
      <c r="L1760" s="2010"/>
      <c r="M1760" s="2010"/>
      <c r="N1760" s="2010"/>
      <c r="O1760" s="2010"/>
      <c r="P1760" s="2010"/>
      <c r="Q1760" s="2010"/>
      <c r="R1760" s="2010"/>
      <c r="S1760" s="2010"/>
      <c r="T1760" s="2010"/>
      <c r="U1760" s="2010"/>
      <c r="V1760" s="2010"/>
      <c r="W1760" s="2010"/>
      <c r="X1760" s="2010"/>
      <c r="Y1760" s="2010"/>
      <c r="Z1760" s="2013" t="s">
        <v>1850</v>
      </c>
      <c r="AA1760" s="2013"/>
      <c r="AB1760" s="2013"/>
      <c r="AC1760" s="2013"/>
      <c r="AD1760" s="2013"/>
      <c r="AE1760" s="2013"/>
      <c r="AF1760" s="1059">
        <f>SUM(AF1736:AF1759)</f>
        <v>4</v>
      </c>
    </row>
    <row r="1761" spans="1:32" ht="15.75" x14ac:dyDescent="0.25">
      <c r="A1761" s="2011"/>
      <c r="B1761" s="2012"/>
      <c r="C1761" s="2012"/>
      <c r="D1761" s="2012"/>
      <c r="E1761" s="2012"/>
      <c r="F1761" s="2012"/>
      <c r="G1761" s="2012"/>
      <c r="H1761" s="2012"/>
      <c r="I1761" s="2012"/>
      <c r="J1761" s="2012"/>
      <c r="K1761" s="2012"/>
      <c r="L1761" s="2012"/>
      <c r="M1761" s="2012"/>
      <c r="N1761" s="2012"/>
      <c r="O1761" s="2012"/>
      <c r="P1761" s="2012"/>
      <c r="Q1761" s="2012"/>
      <c r="R1761" s="2012"/>
      <c r="S1761" s="2012"/>
      <c r="T1761" s="2012"/>
      <c r="U1761" s="2012"/>
      <c r="V1761" s="2012"/>
      <c r="W1761" s="2012"/>
      <c r="X1761" s="2012"/>
      <c r="Y1761" s="2012"/>
      <c r="Z1761" s="2014" t="s">
        <v>1851</v>
      </c>
      <c r="AA1761" s="2014"/>
      <c r="AB1761" s="2014"/>
      <c r="AC1761" s="2014"/>
      <c r="AD1761" s="2014"/>
      <c r="AE1761" s="2014"/>
      <c r="AF1761" s="1060">
        <v>0</v>
      </c>
    </row>
    <row r="1762" spans="1:32" ht="15.75" x14ac:dyDescent="0.25">
      <c r="A1762" s="2011"/>
      <c r="B1762" s="2012"/>
      <c r="C1762" s="2012"/>
      <c r="D1762" s="2012"/>
      <c r="E1762" s="2012"/>
      <c r="F1762" s="2012"/>
      <c r="G1762" s="2012"/>
      <c r="H1762" s="2012"/>
      <c r="I1762" s="2012"/>
      <c r="J1762" s="2012"/>
      <c r="K1762" s="2012"/>
      <c r="L1762" s="2012"/>
      <c r="M1762" s="2012"/>
      <c r="N1762" s="2012"/>
      <c r="O1762" s="2012"/>
      <c r="P1762" s="2012"/>
      <c r="Q1762" s="2012"/>
      <c r="R1762" s="2012"/>
      <c r="S1762" s="2012"/>
      <c r="T1762" s="2012"/>
      <c r="U1762" s="2012"/>
      <c r="V1762" s="2012"/>
      <c r="W1762" s="2012"/>
      <c r="X1762" s="2012"/>
      <c r="Y1762" s="2012"/>
      <c r="Z1762" s="2015" t="s">
        <v>1833</v>
      </c>
      <c r="AA1762" s="2015"/>
      <c r="AB1762" s="2015"/>
      <c r="AC1762" s="2015"/>
      <c r="AD1762" s="2015"/>
      <c r="AE1762" s="2015"/>
      <c r="AF1762" s="1061">
        <f>SUM(AF1760:AF1761)</f>
        <v>4</v>
      </c>
    </row>
    <row r="1763" spans="1:32" x14ac:dyDescent="0.2">
      <c r="A1763" s="2012" t="s">
        <v>1859</v>
      </c>
      <c r="B1763" s="2012"/>
      <c r="C1763" s="2012"/>
      <c r="D1763" s="2012"/>
      <c r="E1763" s="2012"/>
      <c r="F1763" s="2012"/>
      <c r="G1763" s="2012"/>
      <c r="H1763" s="2012"/>
      <c r="I1763" s="2012"/>
      <c r="J1763" s="2012"/>
      <c r="K1763" s="2012"/>
      <c r="L1763" s="2012"/>
      <c r="M1763" s="2012"/>
      <c r="N1763" s="2012"/>
      <c r="O1763" s="2012"/>
      <c r="P1763" s="2012"/>
      <c r="Q1763" s="2012"/>
      <c r="R1763" s="2012"/>
      <c r="S1763" s="2012"/>
      <c r="T1763" s="2016" t="s">
        <v>1840</v>
      </c>
      <c r="U1763" s="2016"/>
      <c r="V1763" s="2016"/>
      <c r="W1763" s="2016"/>
      <c r="X1763" s="2016"/>
      <c r="Y1763" s="2016"/>
      <c r="Z1763" s="2016"/>
      <c r="AA1763" s="2016"/>
      <c r="AB1763" s="2012" t="s">
        <v>1852</v>
      </c>
      <c r="AC1763" s="2012"/>
      <c r="AD1763" s="2012"/>
      <c r="AE1763" s="2012"/>
      <c r="AF1763" s="2012"/>
    </row>
    <row r="1764" spans="1:32" x14ac:dyDescent="0.2">
      <c r="A1764" s="2012"/>
      <c r="B1764" s="2012"/>
      <c r="C1764" s="2012"/>
      <c r="D1764" s="2012"/>
      <c r="E1764" s="2012"/>
      <c r="F1764" s="2012"/>
      <c r="G1764" s="2012"/>
      <c r="H1764" s="2012"/>
      <c r="I1764" s="2012"/>
      <c r="J1764" s="2012"/>
      <c r="K1764" s="2012"/>
      <c r="L1764" s="2012"/>
      <c r="M1764" s="2012"/>
      <c r="N1764" s="2012"/>
      <c r="O1764" s="2012"/>
      <c r="P1764" s="2012"/>
      <c r="Q1764" s="2012"/>
      <c r="R1764" s="2012"/>
      <c r="S1764" s="2012"/>
      <c r="T1764" s="2016"/>
      <c r="U1764" s="2016"/>
      <c r="V1764" s="2016"/>
      <c r="W1764" s="2016"/>
      <c r="X1764" s="2016"/>
      <c r="Y1764" s="2016"/>
      <c r="Z1764" s="2016"/>
      <c r="AA1764" s="2016"/>
      <c r="AB1764" s="2012"/>
      <c r="AC1764" s="2012"/>
      <c r="AD1764" s="2012"/>
      <c r="AE1764" s="2012"/>
      <c r="AF1764" s="2012"/>
    </row>
    <row r="1765" spans="1:32" ht="13.5" thickBot="1" x14ac:dyDescent="0.25"/>
    <row r="1766" spans="1:32" ht="26.45" customHeight="1" x14ac:dyDescent="0.2">
      <c r="A1766" s="2025" t="s">
        <v>1854</v>
      </c>
      <c r="B1766" s="2026"/>
      <c r="C1766" s="2026"/>
      <c r="D1766" s="2026"/>
      <c r="E1766" s="2026"/>
      <c r="F1766" s="2026"/>
      <c r="G1766" s="2026"/>
      <c r="H1766" s="2026"/>
      <c r="I1766" s="2026"/>
      <c r="J1766" s="2026"/>
      <c r="K1766" s="2026"/>
      <c r="L1766" s="2026"/>
      <c r="M1766" s="2026"/>
      <c r="N1766" s="2026"/>
      <c r="O1766" s="2026"/>
      <c r="P1766" s="2026"/>
      <c r="Q1766" s="2026"/>
      <c r="R1766" s="2026"/>
      <c r="S1766" s="2026"/>
      <c r="T1766" s="2026"/>
      <c r="U1766" s="2026"/>
      <c r="V1766" s="2026"/>
      <c r="W1766" s="2026"/>
      <c r="X1766" s="2026"/>
      <c r="Y1766" s="2026"/>
      <c r="Z1766" s="2026"/>
      <c r="AA1766" s="2026"/>
      <c r="AB1766" s="2026"/>
      <c r="AC1766" s="2026"/>
      <c r="AD1766" s="2026"/>
      <c r="AE1766" s="1041" t="s">
        <v>1834</v>
      </c>
      <c r="AF1766" s="1042" t="s">
        <v>1835</v>
      </c>
    </row>
    <row r="1767" spans="1:32" ht="21" customHeight="1" thickBot="1" x14ac:dyDescent="0.25">
      <c r="A1767" s="2027"/>
      <c r="B1767" s="2028"/>
      <c r="C1767" s="2028"/>
      <c r="D1767" s="2028"/>
      <c r="E1767" s="2028"/>
      <c r="F1767" s="2028"/>
      <c r="G1767" s="2028"/>
      <c r="H1767" s="2028"/>
      <c r="I1767" s="2028"/>
      <c r="J1767" s="2028"/>
      <c r="K1767" s="2028"/>
      <c r="L1767" s="2028"/>
      <c r="M1767" s="2028"/>
      <c r="N1767" s="2028"/>
      <c r="O1767" s="2028"/>
      <c r="P1767" s="2028"/>
      <c r="Q1767" s="2028"/>
      <c r="R1767" s="2028"/>
      <c r="S1767" s="2028"/>
      <c r="T1767" s="2028"/>
      <c r="U1767" s="2028"/>
      <c r="V1767" s="2028"/>
      <c r="W1767" s="2028"/>
      <c r="X1767" s="2028"/>
      <c r="Y1767" s="2028"/>
      <c r="Z1767" s="2028"/>
      <c r="AA1767" s="2028"/>
      <c r="AB1767" s="2028"/>
      <c r="AC1767" s="2028"/>
      <c r="AD1767" s="2028"/>
      <c r="AE1767" s="1041" t="s">
        <v>1836</v>
      </c>
      <c r="AF1767" s="1044">
        <v>1</v>
      </c>
    </row>
    <row r="1768" spans="1:32" ht="15.75" x14ac:dyDescent="0.2">
      <c r="A1768" s="2029"/>
      <c r="B1768" s="2030"/>
      <c r="C1768" s="2030"/>
      <c r="D1768" s="2031"/>
      <c r="E1768" s="2025" t="str">
        <f>'01'!$A$12</f>
        <v>"CONSTRUCCION SISTEMA DE ACUEDUCTO FASE II DEL MUNICIPIO DE TESALIA DPTO DEL HUILA"</v>
      </c>
      <c r="F1768" s="2026"/>
      <c r="G1768" s="2026"/>
      <c r="H1768" s="2026"/>
      <c r="I1768" s="2026"/>
      <c r="J1768" s="2026"/>
      <c r="K1768" s="2026"/>
      <c r="L1768" s="2026"/>
      <c r="M1768" s="2026"/>
      <c r="N1768" s="2026"/>
      <c r="O1768" s="2026"/>
      <c r="P1768" s="2026"/>
      <c r="Q1768" s="2026"/>
      <c r="R1768" s="2026"/>
      <c r="S1768" s="2026"/>
      <c r="T1768" s="2026"/>
      <c r="U1768" s="2026"/>
      <c r="V1768" s="2026"/>
      <c r="W1768" s="2026"/>
      <c r="X1768" s="2026"/>
      <c r="Y1768" s="2026"/>
      <c r="Z1768" s="2026"/>
      <c r="AA1768" s="2026"/>
      <c r="AB1768" s="2026"/>
      <c r="AC1768" s="2026"/>
      <c r="AD1768" s="2035"/>
      <c r="AE1768" s="1041" t="s">
        <v>847</v>
      </c>
      <c r="AF1768" s="1045">
        <f>'01'!$M$13</f>
        <v>0</v>
      </c>
    </row>
    <row r="1769" spans="1:32" ht="16.5" thickBot="1" x14ac:dyDescent="0.25">
      <c r="A1769" s="2032"/>
      <c r="B1769" s="2033"/>
      <c r="C1769" s="2033"/>
      <c r="D1769" s="2034"/>
      <c r="E1769" s="2027"/>
      <c r="F1769" s="2028"/>
      <c r="G1769" s="2028"/>
      <c r="H1769" s="2028"/>
      <c r="I1769" s="2028"/>
      <c r="J1769" s="2028"/>
      <c r="K1769" s="2028"/>
      <c r="L1769" s="2028"/>
      <c r="M1769" s="2028"/>
      <c r="N1769" s="2028"/>
      <c r="O1769" s="2028"/>
      <c r="P1769" s="2028"/>
      <c r="Q1769" s="2028"/>
      <c r="R1769" s="2028"/>
      <c r="S1769" s="2028"/>
      <c r="T1769" s="2028"/>
      <c r="U1769" s="2028"/>
      <c r="V1769" s="2028"/>
      <c r="W1769" s="2028"/>
      <c r="X1769" s="2028"/>
      <c r="Y1769" s="2028"/>
      <c r="Z1769" s="2028"/>
      <c r="AA1769" s="2028"/>
      <c r="AB1769" s="2028"/>
      <c r="AC1769" s="2028"/>
      <c r="AD1769" s="2036"/>
      <c r="AE1769" s="1041" t="s">
        <v>1837</v>
      </c>
      <c r="AF1769" s="1042" t="s">
        <v>1838</v>
      </c>
    </row>
    <row r="1770" spans="1:32" ht="15.75" x14ac:dyDescent="0.25">
      <c r="A1770" s="2037" t="s">
        <v>1860</v>
      </c>
      <c r="B1770" s="2038"/>
      <c r="C1770" s="2038"/>
      <c r="D1770" s="2038"/>
      <c r="E1770" s="2038"/>
      <c r="F1770" s="2038"/>
      <c r="G1770" s="2038"/>
      <c r="H1770" s="2038"/>
      <c r="I1770" s="2038"/>
      <c r="J1770" s="2038"/>
      <c r="K1770" s="2038"/>
      <c r="L1770" s="2038"/>
      <c r="M1770" s="2038"/>
      <c r="N1770" s="2038"/>
      <c r="O1770" s="2038"/>
      <c r="P1770" s="2038"/>
      <c r="Q1770" s="2038"/>
      <c r="R1770" s="2038"/>
      <c r="S1770" s="2038"/>
      <c r="T1770" s="2038"/>
      <c r="U1770" s="2038"/>
      <c r="V1770" s="2038"/>
      <c r="W1770" s="2038"/>
      <c r="X1770" s="2038"/>
      <c r="Y1770" s="2038"/>
      <c r="Z1770" s="2038"/>
      <c r="AA1770" s="2038"/>
      <c r="AB1770" s="2038"/>
      <c r="AC1770" s="2038"/>
      <c r="AD1770" s="2038"/>
      <c r="AE1770" s="2039" t="s">
        <v>1839</v>
      </c>
      <c r="AF1770" s="2040"/>
    </row>
    <row r="1771" spans="1:32" ht="15.75" x14ac:dyDescent="0.25">
      <c r="A1771" s="2041" t="s">
        <v>1840</v>
      </c>
      <c r="B1771" s="2042"/>
      <c r="C1771" s="2042"/>
      <c r="D1771" s="2042"/>
      <c r="E1771" s="2042"/>
      <c r="F1771" s="2042"/>
      <c r="G1771" s="2042"/>
      <c r="H1771" s="2042"/>
      <c r="I1771" s="2042"/>
      <c r="J1771" s="2042"/>
      <c r="K1771" s="2042"/>
      <c r="L1771" s="2042"/>
      <c r="M1771" s="2042"/>
      <c r="N1771" s="2042"/>
      <c r="O1771" s="2042"/>
      <c r="P1771" s="2042"/>
      <c r="Q1771" s="2042"/>
      <c r="R1771" s="2042"/>
      <c r="S1771" s="2042"/>
      <c r="T1771" s="2042"/>
      <c r="U1771" s="2042"/>
      <c r="V1771" s="2042"/>
      <c r="W1771" s="2042"/>
      <c r="X1771" s="2042"/>
      <c r="Y1771" s="2042"/>
      <c r="Z1771" s="2042"/>
      <c r="AA1771" s="2042"/>
      <c r="AB1771" s="2042"/>
      <c r="AC1771" s="2042"/>
      <c r="AD1771" s="2043"/>
      <c r="AE1771" s="2014" t="s">
        <v>1841</v>
      </c>
      <c r="AF1771" s="2044"/>
    </row>
    <row r="1772" spans="1:32" ht="15.75" x14ac:dyDescent="0.25">
      <c r="A1772" s="2045" t="s">
        <v>1853</v>
      </c>
      <c r="B1772" s="2046"/>
      <c r="C1772" s="2046"/>
      <c r="D1772" s="2046"/>
      <c r="E1772" s="2046"/>
      <c r="F1772" s="2046"/>
      <c r="G1772" s="2046"/>
      <c r="H1772" s="2046"/>
      <c r="I1772" s="2046"/>
      <c r="J1772" s="2046"/>
      <c r="K1772" s="2046"/>
      <c r="L1772" s="2046"/>
      <c r="M1772" s="2046"/>
      <c r="N1772" s="2046"/>
      <c r="O1772" s="2046"/>
      <c r="P1772" s="2046"/>
      <c r="Q1772" s="2046"/>
      <c r="R1772" s="2046"/>
      <c r="S1772" s="2046"/>
      <c r="T1772" s="2046"/>
      <c r="U1772" s="2046"/>
      <c r="V1772" s="2046"/>
      <c r="W1772" s="2046"/>
      <c r="X1772" s="2046"/>
      <c r="Y1772" s="2046"/>
      <c r="Z1772" s="2046"/>
      <c r="AA1772" s="2046"/>
      <c r="AB1772" s="2046"/>
      <c r="AC1772" s="2046"/>
      <c r="AD1772" s="2046"/>
      <c r="AE1772" s="2047">
        <f>'01'!$M$13</f>
        <v>0</v>
      </c>
      <c r="AF1772" s="2044"/>
    </row>
    <row r="1773" spans="1:32" x14ac:dyDescent="0.2">
      <c r="A1773" s="1046"/>
      <c r="B1773" s="1047"/>
      <c r="C1773" s="1047"/>
      <c r="D1773" s="1047"/>
      <c r="E1773" s="1047"/>
      <c r="F1773" s="1047"/>
      <c r="G1773" s="1047"/>
      <c r="H1773" s="1047"/>
      <c r="I1773" s="1047"/>
      <c r="J1773" s="1047"/>
      <c r="K1773" s="1047"/>
      <c r="L1773" s="1047"/>
      <c r="M1773" s="1047"/>
      <c r="N1773" s="1047"/>
      <c r="O1773" s="1047"/>
      <c r="P1773" s="1047"/>
      <c r="Q1773" s="1047"/>
      <c r="R1773" s="1047"/>
      <c r="S1773" s="1047"/>
      <c r="T1773" s="1047"/>
      <c r="U1773" s="1047"/>
      <c r="V1773" s="1047"/>
      <c r="W1773" s="1047"/>
      <c r="X1773" s="1047"/>
      <c r="Y1773" s="1047"/>
      <c r="Z1773" s="1047"/>
      <c r="AA1773" s="1047"/>
      <c r="AB1773" s="1047"/>
      <c r="AC1773" s="1047"/>
      <c r="AD1773" s="1047"/>
      <c r="AE1773" s="1047"/>
      <c r="AF1773" s="1048"/>
    </row>
    <row r="1774" spans="1:32" ht="30" customHeight="1" x14ac:dyDescent="0.2">
      <c r="A1774" s="2048" t="s">
        <v>1842</v>
      </c>
      <c r="B1774" s="2049"/>
      <c r="C1774" s="2049"/>
      <c r="D1774" s="2049"/>
      <c r="E1774" s="2049"/>
      <c r="F1774" s="2050" t="str">
        <f>+'01'!$H$63</f>
        <v>C - FLOCULADOR, SEDIMENTADOR, CANAL DE AGUA SEDIMENTADA Y CANAL DE LAVADO</v>
      </c>
      <c r="G1774" s="2049"/>
      <c r="H1774" s="2049"/>
      <c r="I1774" s="2049"/>
      <c r="J1774" s="2049"/>
      <c r="K1774" s="2049"/>
      <c r="L1774" s="2049"/>
      <c r="M1774" s="2049"/>
      <c r="N1774" s="2049"/>
      <c r="O1774" s="2049"/>
      <c r="P1774" s="2049"/>
      <c r="Q1774" s="2049"/>
      <c r="R1774" s="2049"/>
      <c r="S1774" s="2049"/>
      <c r="T1774" s="2049"/>
      <c r="U1774" s="2049"/>
      <c r="V1774" s="2049"/>
      <c r="W1774" s="2049"/>
      <c r="X1774" s="2049"/>
      <c r="Y1774" s="2051"/>
      <c r="Z1774" s="2052" t="s">
        <v>1843</v>
      </c>
      <c r="AA1774" s="2053"/>
      <c r="AB1774" s="2058" t="s">
        <v>1844</v>
      </c>
      <c r="AC1774" s="2059"/>
      <c r="AD1774" s="2060"/>
      <c r="AE1774" s="2064" t="s">
        <v>1845</v>
      </c>
      <c r="AF1774" s="2067" t="s">
        <v>1846</v>
      </c>
    </row>
    <row r="1775" spans="1:32" x14ac:dyDescent="0.2">
      <c r="A1775" s="2070" t="str">
        <f>+'01'!A88</f>
        <v>C-08-03</v>
      </c>
      <c r="B1775" s="2071"/>
      <c r="C1775" s="2072"/>
      <c r="D1775" s="2076" t="str">
        <f>VLOOKUP(A1775,'01'!$A$12:$N$299,3,FALSE)</f>
        <v>SUMINISTRO E INSTALACIÓN PASAMURO HD 6" BXB=0,75M Z=0.375 M.</v>
      </c>
      <c r="E1775" s="2077"/>
      <c r="F1775" s="2077"/>
      <c r="G1775" s="2077"/>
      <c r="H1775" s="2077"/>
      <c r="I1775" s="2077"/>
      <c r="J1775" s="2077"/>
      <c r="K1775" s="2077"/>
      <c r="L1775" s="2077"/>
      <c r="M1775" s="2077"/>
      <c r="N1775" s="2077"/>
      <c r="O1775" s="2077"/>
      <c r="P1775" s="2077"/>
      <c r="Q1775" s="2077"/>
      <c r="R1775" s="2077"/>
      <c r="S1775" s="2078"/>
      <c r="T1775" s="2082" t="s">
        <v>124</v>
      </c>
      <c r="U1775" s="2083"/>
      <c r="V1775" s="2083"/>
      <c r="W1775" s="2083"/>
      <c r="X1775" s="2052" t="str">
        <f>VLOOKUP(A1775,'01'!$A$12:$N$299,9,FALSE)</f>
        <v>UND</v>
      </c>
      <c r="Y1775" s="2053"/>
      <c r="Z1775" s="2054"/>
      <c r="AA1775" s="2055"/>
      <c r="AB1775" s="2061"/>
      <c r="AC1775" s="2062"/>
      <c r="AD1775" s="2063"/>
      <c r="AE1775" s="2065"/>
      <c r="AF1775" s="2068"/>
    </row>
    <row r="1776" spans="1:32" ht="15.75" x14ac:dyDescent="0.25">
      <c r="A1776" s="2073"/>
      <c r="B1776" s="2074"/>
      <c r="C1776" s="2075"/>
      <c r="D1776" s="2079"/>
      <c r="E1776" s="2080"/>
      <c r="F1776" s="2080"/>
      <c r="G1776" s="2080"/>
      <c r="H1776" s="2080"/>
      <c r="I1776" s="2080"/>
      <c r="J1776" s="2080"/>
      <c r="K1776" s="2080"/>
      <c r="L1776" s="2080"/>
      <c r="M1776" s="2080"/>
      <c r="N1776" s="2080"/>
      <c r="O1776" s="2080"/>
      <c r="P1776" s="2080"/>
      <c r="Q1776" s="2080"/>
      <c r="R1776" s="2080"/>
      <c r="S1776" s="2081"/>
      <c r="T1776" s="2084"/>
      <c r="U1776" s="2085"/>
      <c r="V1776" s="2085"/>
      <c r="W1776" s="2085"/>
      <c r="X1776" s="2056"/>
      <c r="Y1776" s="2057"/>
      <c r="Z1776" s="2056"/>
      <c r="AA1776" s="2057"/>
      <c r="AB1776" s="1049" t="s">
        <v>1847</v>
      </c>
      <c r="AC1776" s="1049" t="s">
        <v>1848</v>
      </c>
      <c r="AD1776" s="1049" t="s">
        <v>1861</v>
      </c>
      <c r="AE1776" s="2066"/>
      <c r="AF1776" s="2069"/>
    </row>
    <row r="1777" spans="1:32" ht="15.75" x14ac:dyDescent="0.25">
      <c r="A1777" s="2017"/>
      <c r="B1777" s="2018"/>
      <c r="C1777" s="2018"/>
      <c r="D1777" s="2018"/>
      <c r="E1777" s="2018"/>
      <c r="F1777" s="2018"/>
      <c r="G1777" s="2018"/>
      <c r="H1777" s="2018"/>
      <c r="I1777" s="2018"/>
      <c r="J1777" s="2018"/>
      <c r="K1777" s="2018"/>
      <c r="L1777" s="2018"/>
      <c r="M1777" s="2018"/>
      <c r="N1777" s="2018"/>
      <c r="O1777" s="2018"/>
      <c r="P1777" s="2018"/>
      <c r="Q1777" s="2018"/>
      <c r="R1777" s="2018"/>
      <c r="S1777" s="2018"/>
      <c r="T1777" s="2018"/>
      <c r="U1777" s="2018"/>
      <c r="V1777" s="2018"/>
      <c r="W1777" s="2018"/>
      <c r="X1777" s="2018"/>
      <c r="Y1777" s="2018"/>
      <c r="Z1777" s="2096" t="s">
        <v>2421</v>
      </c>
      <c r="AA1777" s="2097"/>
      <c r="AB1777" s="1050"/>
      <c r="AC1777" s="1050"/>
      <c r="AD1777" s="1050"/>
      <c r="AE1777" s="1050">
        <v>6</v>
      </c>
      <c r="AF1777" s="1052">
        <f>AE1777</f>
        <v>6</v>
      </c>
    </row>
    <row r="1778" spans="1:32" ht="15.75" x14ac:dyDescent="0.25">
      <c r="A1778" s="2017"/>
      <c r="B1778" s="2018"/>
      <c r="C1778" s="2018"/>
      <c r="D1778" s="2018"/>
      <c r="E1778" s="2018"/>
      <c r="F1778" s="2018"/>
      <c r="G1778" s="2018"/>
      <c r="H1778" s="2018"/>
      <c r="I1778" s="2018"/>
      <c r="J1778" s="2018"/>
      <c r="K1778" s="2018"/>
      <c r="L1778" s="2018"/>
      <c r="M1778" s="2018"/>
      <c r="N1778" s="2018"/>
      <c r="O1778" s="2018"/>
      <c r="P1778" s="2018"/>
      <c r="Q1778" s="2018"/>
      <c r="R1778" s="2018"/>
      <c r="S1778" s="2018"/>
      <c r="T1778" s="2018"/>
      <c r="U1778" s="2018"/>
      <c r="V1778" s="2018"/>
      <c r="W1778" s="2018"/>
      <c r="X1778" s="2018"/>
      <c r="Y1778" s="2018"/>
      <c r="Z1778" s="2105"/>
      <c r="AA1778" s="2105"/>
      <c r="AB1778" s="1050"/>
      <c r="AC1778" s="1050"/>
      <c r="AD1778" s="1050"/>
      <c r="AE1778" s="1050">
        <v>0</v>
      </c>
      <c r="AF1778" s="1052">
        <f t="shared" ref="AF1778:AF1783" si="33">AE1778</f>
        <v>0</v>
      </c>
    </row>
    <row r="1779" spans="1:32" ht="15.75" x14ac:dyDescent="0.25">
      <c r="A1779" s="2017"/>
      <c r="B1779" s="2018"/>
      <c r="C1779" s="2018"/>
      <c r="D1779" s="2018"/>
      <c r="E1779" s="2018"/>
      <c r="F1779" s="2018"/>
      <c r="G1779" s="2018"/>
      <c r="H1779" s="2018"/>
      <c r="I1779" s="2018"/>
      <c r="J1779" s="2018"/>
      <c r="K1779" s="2018"/>
      <c r="L1779" s="2018"/>
      <c r="M1779" s="2018"/>
      <c r="N1779" s="2018"/>
      <c r="O1779" s="2018"/>
      <c r="P1779" s="2018"/>
      <c r="Q1779" s="2018"/>
      <c r="R1779" s="2018"/>
      <c r="S1779" s="2018"/>
      <c r="T1779" s="2018"/>
      <c r="U1779" s="2018"/>
      <c r="V1779" s="2018"/>
      <c r="W1779" s="2018"/>
      <c r="X1779" s="2018"/>
      <c r="Y1779" s="2018"/>
      <c r="Z1779" s="2105"/>
      <c r="AA1779" s="2105"/>
      <c r="AB1779" s="1050"/>
      <c r="AC1779" s="1050"/>
      <c r="AD1779" s="1050"/>
      <c r="AE1779" s="1050">
        <v>0</v>
      </c>
      <c r="AF1779" s="1052">
        <f t="shared" si="33"/>
        <v>0</v>
      </c>
    </row>
    <row r="1780" spans="1:32" ht="15.75" x14ac:dyDescent="0.25">
      <c r="A1780" s="2017"/>
      <c r="B1780" s="2018"/>
      <c r="C1780" s="2018"/>
      <c r="D1780" s="2018"/>
      <c r="E1780" s="2018"/>
      <c r="F1780" s="2018"/>
      <c r="G1780" s="2018"/>
      <c r="H1780" s="2018"/>
      <c r="I1780" s="2018"/>
      <c r="J1780" s="2018"/>
      <c r="K1780" s="2018"/>
      <c r="L1780" s="2018"/>
      <c r="M1780" s="2018"/>
      <c r="N1780" s="2018"/>
      <c r="O1780" s="2018"/>
      <c r="P1780" s="2018"/>
      <c r="Q1780" s="2018"/>
      <c r="R1780" s="2018"/>
      <c r="S1780" s="2018"/>
      <c r="T1780" s="2018"/>
      <c r="U1780" s="2018"/>
      <c r="V1780" s="2018"/>
      <c r="W1780" s="2018"/>
      <c r="X1780" s="2018"/>
      <c r="Y1780" s="2018"/>
      <c r="Z1780" s="2105"/>
      <c r="AA1780" s="2105"/>
      <c r="AB1780" s="1050"/>
      <c r="AC1780" s="1050"/>
      <c r="AD1780" s="1050"/>
      <c r="AE1780" s="1050">
        <v>0</v>
      </c>
      <c r="AF1780" s="1052">
        <f t="shared" si="33"/>
        <v>0</v>
      </c>
    </row>
    <row r="1781" spans="1:32" ht="15.75" x14ac:dyDescent="0.25">
      <c r="A1781" s="2017"/>
      <c r="B1781" s="2018"/>
      <c r="C1781" s="2018"/>
      <c r="D1781" s="2018"/>
      <c r="E1781" s="2018"/>
      <c r="F1781" s="2018"/>
      <c r="G1781" s="2018"/>
      <c r="H1781" s="2018"/>
      <c r="I1781" s="2018"/>
      <c r="J1781" s="2018"/>
      <c r="K1781" s="2018"/>
      <c r="L1781" s="2018"/>
      <c r="M1781" s="2018"/>
      <c r="N1781" s="2018"/>
      <c r="O1781" s="2018"/>
      <c r="P1781" s="2018"/>
      <c r="Q1781" s="2018"/>
      <c r="R1781" s="2018"/>
      <c r="S1781" s="2018"/>
      <c r="T1781" s="2018"/>
      <c r="U1781" s="2018"/>
      <c r="V1781" s="2018"/>
      <c r="W1781" s="2018"/>
      <c r="X1781" s="2018"/>
      <c r="Y1781" s="2018"/>
      <c r="Z1781" s="2105"/>
      <c r="AA1781" s="2105"/>
      <c r="AB1781" s="1050"/>
      <c r="AC1781" s="1050"/>
      <c r="AD1781" s="1050"/>
      <c r="AE1781" s="1050">
        <v>0</v>
      </c>
      <c r="AF1781" s="1052">
        <f t="shared" si="33"/>
        <v>0</v>
      </c>
    </row>
    <row r="1782" spans="1:32" ht="15.75" x14ac:dyDescent="0.25">
      <c r="A1782" s="2017"/>
      <c r="B1782" s="2018"/>
      <c r="C1782" s="2018"/>
      <c r="D1782" s="2018"/>
      <c r="E1782" s="2018"/>
      <c r="F1782" s="2018"/>
      <c r="G1782" s="2018"/>
      <c r="H1782" s="2018"/>
      <c r="I1782" s="2018"/>
      <c r="J1782" s="2018"/>
      <c r="K1782" s="2018"/>
      <c r="L1782" s="2018"/>
      <c r="M1782" s="2018"/>
      <c r="N1782" s="2018"/>
      <c r="O1782" s="2018"/>
      <c r="P1782" s="2018"/>
      <c r="Q1782" s="2018"/>
      <c r="R1782" s="2018"/>
      <c r="S1782" s="2018"/>
      <c r="T1782" s="2018"/>
      <c r="U1782" s="2018"/>
      <c r="V1782" s="2018"/>
      <c r="W1782" s="2018"/>
      <c r="X1782" s="2018"/>
      <c r="Y1782" s="2018"/>
      <c r="Z1782" s="2105"/>
      <c r="AA1782" s="2105"/>
      <c r="AB1782" s="1050"/>
      <c r="AC1782" s="1050"/>
      <c r="AD1782" s="1050"/>
      <c r="AE1782" s="1050">
        <v>0</v>
      </c>
      <c r="AF1782" s="1052">
        <f t="shared" si="33"/>
        <v>0</v>
      </c>
    </row>
    <row r="1783" spans="1:32" ht="15.75" x14ac:dyDescent="0.25">
      <c r="A1783" s="2017"/>
      <c r="B1783" s="2018"/>
      <c r="C1783" s="2018"/>
      <c r="D1783" s="2018"/>
      <c r="E1783" s="2018"/>
      <c r="F1783" s="2018"/>
      <c r="G1783" s="2018"/>
      <c r="H1783" s="2018"/>
      <c r="I1783" s="2018"/>
      <c r="J1783" s="2018"/>
      <c r="K1783" s="2018"/>
      <c r="L1783" s="2018"/>
      <c r="M1783" s="2018"/>
      <c r="N1783" s="2018"/>
      <c r="O1783" s="2018"/>
      <c r="P1783" s="2018"/>
      <c r="Q1783" s="2018"/>
      <c r="R1783" s="2018"/>
      <c r="S1783" s="2018"/>
      <c r="T1783" s="2018"/>
      <c r="U1783" s="2018"/>
      <c r="V1783" s="2018"/>
      <c r="W1783" s="2018"/>
      <c r="X1783" s="2018"/>
      <c r="Y1783" s="2018"/>
      <c r="Z1783" s="2105"/>
      <c r="AA1783" s="2105"/>
      <c r="AB1783" s="1050"/>
      <c r="AC1783" s="1050"/>
      <c r="AD1783" s="1050"/>
      <c r="AE1783" s="1050">
        <v>0</v>
      </c>
      <c r="AF1783" s="1052">
        <f t="shared" si="33"/>
        <v>0</v>
      </c>
    </row>
    <row r="1784" spans="1:32" ht="15.75" x14ac:dyDescent="0.25">
      <c r="A1784" s="2017"/>
      <c r="B1784" s="2018"/>
      <c r="C1784" s="2018"/>
      <c r="D1784" s="2018"/>
      <c r="E1784" s="2018"/>
      <c r="F1784" s="2018"/>
      <c r="G1784" s="2018"/>
      <c r="H1784" s="2018"/>
      <c r="I1784" s="2018"/>
      <c r="J1784" s="2018"/>
      <c r="K1784" s="2018"/>
      <c r="L1784" s="2018"/>
      <c r="M1784" s="2018"/>
      <c r="N1784" s="2018"/>
      <c r="O1784" s="2018"/>
      <c r="P1784" s="2018"/>
      <c r="Q1784" s="2018"/>
      <c r="R1784" s="2018"/>
      <c r="S1784" s="2018"/>
      <c r="T1784" s="2018"/>
      <c r="U1784" s="2018"/>
      <c r="V1784" s="2018"/>
      <c r="W1784" s="2018"/>
      <c r="X1784" s="2018"/>
      <c r="Y1784" s="2018"/>
      <c r="Z1784" s="2105"/>
      <c r="AA1784" s="2105"/>
      <c r="AB1784" s="1050"/>
      <c r="AC1784" s="1050"/>
      <c r="AD1784" s="1050"/>
      <c r="AE1784" s="1050"/>
      <c r="AF1784" s="1052"/>
    </row>
    <row r="1785" spans="1:32" ht="15.75" x14ac:dyDescent="0.25">
      <c r="A1785" s="2017"/>
      <c r="B1785" s="2018"/>
      <c r="C1785" s="2018"/>
      <c r="D1785" s="2018"/>
      <c r="E1785" s="2018"/>
      <c r="F1785" s="2018"/>
      <c r="G1785" s="2018"/>
      <c r="H1785" s="2018"/>
      <c r="I1785" s="2018"/>
      <c r="J1785" s="2018"/>
      <c r="K1785" s="2018"/>
      <c r="L1785" s="2018"/>
      <c r="M1785" s="2018"/>
      <c r="N1785" s="2018"/>
      <c r="O1785" s="2018"/>
      <c r="P1785" s="2018"/>
      <c r="Q1785" s="2018"/>
      <c r="R1785" s="2018"/>
      <c r="S1785" s="2018"/>
      <c r="T1785" s="2018"/>
      <c r="U1785" s="2018"/>
      <c r="V1785" s="2018"/>
      <c r="W1785" s="2018"/>
      <c r="X1785" s="2018"/>
      <c r="Y1785" s="2018"/>
      <c r="Z1785" s="2105"/>
      <c r="AA1785" s="2105"/>
      <c r="AB1785" s="1050"/>
      <c r="AC1785" s="1050"/>
      <c r="AD1785" s="1050"/>
      <c r="AE1785" s="1050"/>
      <c r="AF1785" s="1052"/>
    </row>
    <row r="1786" spans="1:32" ht="15.75" x14ac:dyDescent="0.25">
      <c r="A1786" s="2017"/>
      <c r="B1786" s="2018"/>
      <c r="C1786" s="2018"/>
      <c r="D1786" s="2018"/>
      <c r="E1786" s="2018"/>
      <c r="F1786" s="2018"/>
      <c r="G1786" s="2018"/>
      <c r="H1786" s="2018"/>
      <c r="I1786" s="2018"/>
      <c r="J1786" s="2018"/>
      <c r="K1786" s="2018"/>
      <c r="L1786" s="2018"/>
      <c r="M1786" s="2018"/>
      <c r="N1786" s="2018"/>
      <c r="O1786" s="2018"/>
      <c r="P1786" s="2018"/>
      <c r="Q1786" s="2018"/>
      <c r="R1786" s="2018"/>
      <c r="S1786" s="2018"/>
      <c r="T1786" s="2018"/>
      <c r="U1786" s="2018"/>
      <c r="V1786" s="2018"/>
      <c r="W1786" s="2018"/>
      <c r="X1786" s="2018"/>
      <c r="Y1786" s="2018"/>
      <c r="Z1786" s="2105"/>
      <c r="AA1786" s="2105"/>
      <c r="AB1786" s="1050"/>
      <c r="AC1786" s="1050"/>
      <c r="AD1786" s="1050"/>
      <c r="AE1786" s="1050"/>
      <c r="AF1786" s="1052"/>
    </row>
    <row r="1787" spans="1:32" ht="15.75" x14ac:dyDescent="0.25">
      <c r="A1787" s="2017"/>
      <c r="B1787" s="2018"/>
      <c r="C1787" s="2018"/>
      <c r="D1787" s="2018"/>
      <c r="E1787" s="2018"/>
      <c r="F1787" s="2018"/>
      <c r="G1787" s="2018"/>
      <c r="H1787" s="2018"/>
      <c r="I1787" s="2018"/>
      <c r="J1787" s="2018"/>
      <c r="K1787" s="2018"/>
      <c r="L1787" s="2018"/>
      <c r="M1787" s="2018"/>
      <c r="N1787" s="2018"/>
      <c r="O1787" s="2018"/>
      <c r="P1787" s="2018"/>
      <c r="Q1787" s="2018"/>
      <c r="R1787" s="2018"/>
      <c r="S1787" s="2018"/>
      <c r="T1787" s="2018"/>
      <c r="U1787" s="2018"/>
      <c r="V1787" s="2018"/>
      <c r="W1787" s="2018"/>
      <c r="X1787" s="2018"/>
      <c r="Y1787" s="2018"/>
      <c r="Z1787" s="2105"/>
      <c r="AA1787" s="2105"/>
      <c r="AB1787" s="1050"/>
      <c r="AC1787" s="1050"/>
      <c r="AD1787" s="1050"/>
      <c r="AE1787" s="1050"/>
      <c r="AF1787" s="1052"/>
    </row>
    <row r="1788" spans="1:32" ht="15.75" x14ac:dyDescent="0.25">
      <c r="A1788" s="2017"/>
      <c r="B1788" s="2018"/>
      <c r="C1788" s="2018"/>
      <c r="D1788" s="2018"/>
      <c r="E1788" s="2018"/>
      <c r="F1788" s="2018"/>
      <c r="G1788" s="2018"/>
      <c r="H1788" s="2018"/>
      <c r="I1788" s="2018"/>
      <c r="J1788" s="2018"/>
      <c r="K1788" s="2018"/>
      <c r="L1788" s="2018"/>
      <c r="M1788" s="2018"/>
      <c r="N1788" s="2018"/>
      <c r="O1788" s="2018"/>
      <c r="P1788" s="2018"/>
      <c r="Q1788" s="2018"/>
      <c r="R1788" s="2018"/>
      <c r="S1788" s="2018"/>
      <c r="T1788" s="2018"/>
      <c r="U1788" s="2018"/>
      <c r="V1788" s="2018"/>
      <c r="W1788" s="2018"/>
      <c r="X1788" s="2018"/>
      <c r="Y1788" s="2018"/>
      <c r="Z1788" s="2105"/>
      <c r="AA1788" s="2105"/>
      <c r="AB1788" s="1050"/>
      <c r="AC1788" s="1050"/>
      <c r="AD1788" s="1050"/>
      <c r="AE1788" s="1050"/>
      <c r="AF1788" s="1052"/>
    </row>
    <row r="1789" spans="1:32" ht="15.75" x14ac:dyDescent="0.25">
      <c r="A1789" s="2017"/>
      <c r="B1789" s="2018"/>
      <c r="C1789" s="2018"/>
      <c r="D1789" s="2018"/>
      <c r="E1789" s="2018"/>
      <c r="F1789" s="2018"/>
      <c r="G1789" s="2018"/>
      <c r="H1789" s="2018"/>
      <c r="I1789" s="2018"/>
      <c r="J1789" s="2018"/>
      <c r="K1789" s="2018"/>
      <c r="L1789" s="2018"/>
      <c r="M1789" s="2018"/>
      <c r="N1789" s="2018"/>
      <c r="O1789" s="2018"/>
      <c r="P1789" s="2018"/>
      <c r="Q1789" s="2018"/>
      <c r="R1789" s="2018"/>
      <c r="S1789" s="2018"/>
      <c r="T1789" s="2018"/>
      <c r="U1789" s="2018"/>
      <c r="V1789" s="2018"/>
      <c r="W1789" s="2018"/>
      <c r="X1789" s="2018"/>
      <c r="Y1789" s="2018"/>
      <c r="Z1789" s="2105"/>
      <c r="AA1789" s="2105"/>
      <c r="AB1789" s="1050"/>
      <c r="AC1789" s="1050"/>
      <c r="AD1789" s="1050"/>
      <c r="AE1789" s="1050"/>
      <c r="AF1789" s="1052"/>
    </row>
    <row r="1790" spans="1:32" ht="15.75" x14ac:dyDescent="0.25">
      <c r="A1790" s="2017"/>
      <c r="B1790" s="2018"/>
      <c r="C1790" s="2018"/>
      <c r="D1790" s="2018"/>
      <c r="E1790" s="2018"/>
      <c r="F1790" s="2018"/>
      <c r="G1790" s="2018"/>
      <c r="H1790" s="2018"/>
      <c r="I1790" s="2018"/>
      <c r="J1790" s="2018"/>
      <c r="K1790" s="2018"/>
      <c r="L1790" s="2018"/>
      <c r="M1790" s="2018"/>
      <c r="N1790" s="2018"/>
      <c r="O1790" s="2018"/>
      <c r="P1790" s="2018"/>
      <c r="Q1790" s="2018"/>
      <c r="R1790" s="2018"/>
      <c r="S1790" s="2018"/>
      <c r="T1790" s="2018"/>
      <c r="U1790" s="2018"/>
      <c r="V1790" s="2018"/>
      <c r="W1790" s="2018"/>
      <c r="X1790" s="2018"/>
      <c r="Y1790" s="2018"/>
      <c r="Z1790" s="2022"/>
      <c r="AA1790" s="2022"/>
      <c r="AB1790" s="1050"/>
      <c r="AC1790" s="1050"/>
      <c r="AD1790" s="1050"/>
      <c r="AE1790" s="1050"/>
      <c r="AF1790" s="1052"/>
    </row>
    <row r="1791" spans="1:32" ht="15.75" x14ac:dyDescent="0.25">
      <c r="A1791" s="2017"/>
      <c r="B1791" s="2018"/>
      <c r="C1791" s="2018"/>
      <c r="D1791" s="2018"/>
      <c r="E1791" s="2018"/>
      <c r="F1791" s="2018"/>
      <c r="G1791" s="2018"/>
      <c r="H1791" s="2018"/>
      <c r="I1791" s="2018"/>
      <c r="J1791" s="2018"/>
      <c r="K1791" s="2018"/>
      <c r="L1791" s="2018"/>
      <c r="M1791" s="2018"/>
      <c r="N1791" s="2018"/>
      <c r="O1791" s="2018"/>
      <c r="P1791" s="2018"/>
      <c r="Q1791" s="2018"/>
      <c r="R1791" s="2018"/>
      <c r="S1791" s="2018"/>
      <c r="T1791" s="2018"/>
      <c r="U1791" s="2018"/>
      <c r="V1791" s="2018"/>
      <c r="W1791" s="2018"/>
      <c r="X1791" s="2018"/>
      <c r="Y1791" s="2018"/>
      <c r="Z1791" s="2022"/>
      <c r="AA1791" s="2022"/>
      <c r="AB1791" s="1050"/>
      <c r="AC1791" s="1050"/>
      <c r="AD1791" s="1050"/>
      <c r="AE1791" s="1050"/>
      <c r="AF1791" s="1052"/>
    </row>
    <row r="1792" spans="1:32" ht="15.75" x14ac:dyDescent="0.25">
      <c r="A1792" s="2017"/>
      <c r="B1792" s="2018"/>
      <c r="C1792" s="2018"/>
      <c r="D1792" s="2018"/>
      <c r="E1792" s="2018"/>
      <c r="F1792" s="2018"/>
      <c r="G1792" s="2018"/>
      <c r="H1792" s="2018"/>
      <c r="I1792" s="2018"/>
      <c r="J1792" s="2018"/>
      <c r="K1792" s="2018"/>
      <c r="L1792" s="2018"/>
      <c r="M1792" s="2018"/>
      <c r="N1792" s="2018"/>
      <c r="O1792" s="2018"/>
      <c r="P1792" s="2018"/>
      <c r="Q1792" s="2018"/>
      <c r="R1792" s="2018"/>
      <c r="S1792" s="2018"/>
      <c r="T1792" s="2018"/>
      <c r="U1792" s="2018"/>
      <c r="V1792" s="2018"/>
      <c r="W1792" s="2018"/>
      <c r="X1792" s="2018"/>
      <c r="Y1792" s="2018"/>
      <c r="Z1792" s="2022"/>
      <c r="AA1792" s="2022"/>
      <c r="AB1792" s="1050"/>
      <c r="AC1792" s="1050"/>
      <c r="AD1792" s="1050"/>
      <c r="AE1792" s="1050"/>
      <c r="AF1792" s="1052"/>
    </row>
    <row r="1793" spans="1:32" ht="15.75" x14ac:dyDescent="0.25">
      <c r="A1793" s="2017"/>
      <c r="B1793" s="2018"/>
      <c r="C1793" s="2018"/>
      <c r="D1793" s="2018"/>
      <c r="E1793" s="2018"/>
      <c r="F1793" s="2018"/>
      <c r="G1793" s="2018"/>
      <c r="H1793" s="2018"/>
      <c r="I1793" s="2018"/>
      <c r="J1793" s="2018"/>
      <c r="K1793" s="2018"/>
      <c r="L1793" s="2018"/>
      <c r="M1793" s="2018"/>
      <c r="N1793" s="2018"/>
      <c r="O1793" s="2018"/>
      <c r="P1793" s="2018"/>
      <c r="Q1793" s="2018"/>
      <c r="R1793" s="2018"/>
      <c r="S1793" s="2018"/>
      <c r="T1793" s="2018"/>
      <c r="U1793" s="2018"/>
      <c r="V1793" s="2018"/>
      <c r="W1793" s="2018"/>
      <c r="X1793" s="2018"/>
      <c r="Y1793" s="2018"/>
      <c r="Z1793" s="2022"/>
      <c r="AA1793" s="2022"/>
      <c r="AB1793" s="1050"/>
      <c r="AC1793" s="1050"/>
      <c r="AD1793" s="1050"/>
      <c r="AE1793" s="1050"/>
      <c r="AF1793" s="1052"/>
    </row>
    <row r="1794" spans="1:32" ht="15.75" x14ac:dyDescent="0.25">
      <c r="A1794" s="2017"/>
      <c r="B1794" s="2018"/>
      <c r="C1794" s="2018"/>
      <c r="D1794" s="2018"/>
      <c r="E1794" s="2018"/>
      <c r="F1794" s="2018"/>
      <c r="G1794" s="2018"/>
      <c r="H1794" s="2018"/>
      <c r="I1794" s="2018"/>
      <c r="J1794" s="2018"/>
      <c r="K1794" s="2018"/>
      <c r="L1794" s="2018"/>
      <c r="M1794" s="2018"/>
      <c r="N1794" s="2018"/>
      <c r="O1794" s="2018"/>
      <c r="P1794" s="2018"/>
      <c r="Q1794" s="2018"/>
      <c r="R1794" s="2018"/>
      <c r="S1794" s="2018"/>
      <c r="T1794" s="2018"/>
      <c r="U1794" s="2018"/>
      <c r="V1794" s="2018"/>
      <c r="W1794" s="2018"/>
      <c r="X1794" s="2018"/>
      <c r="Y1794" s="2018"/>
      <c r="Z1794" s="2023"/>
      <c r="AA1794" s="2023"/>
      <c r="AB1794" s="1050"/>
      <c r="AC1794" s="1050"/>
      <c r="AD1794" s="1050"/>
      <c r="AE1794" s="1050"/>
      <c r="AF1794" s="1052"/>
    </row>
    <row r="1795" spans="1:32" ht="15.75" x14ac:dyDescent="0.25">
      <c r="A1795" s="2017"/>
      <c r="B1795" s="2018"/>
      <c r="C1795" s="2018"/>
      <c r="D1795" s="2018"/>
      <c r="E1795" s="2018"/>
      <c r="F1795" s="2018"/>
      <c r="G1795" s="2018"/>
      <c r="H1795" s="2018"/>
      <c r="I1795" s="2018"/>
      <c r="J1795" s="2018"/>
      <c r="K1795" s="2018"/>
      <c r="L1795" s="2018"/>
      <c r="M1795" s="2018"/>
      <c r="N1795" s="2018"/>
      <c r="O1795" s="2018"/>
      <c r="P1795" s="2018"/>
      <c r="Q1795" s="2018"/>
      <c r="R1795" s="2018"/>
      <c r="S1795" s="2018"/>
      <c r="T1795" s="2018"/>
      <c r="U1795" s="2018"/>
      <c r="V1795" s="2018"/>
      <c r="W1795" s="2018"/>
      <c r="X1795" s="2018"/>
      <c r="Y1795" s="2018"/>
      <c r="Z1795" s="2023"/>
      <c r="AA1795" s="2023"/>
      <c r="AB1795" s="1050"/>
      <c r="AC1795" s="1050"/>
      <c r="AD1795" s="1050"/>
      <c r="AE1795" s="1050"/>
      <c r="AF1795" s="1052"/>
    </row>
    <row r="1796" spans="1:32" ht="15.75" x14ac:dyDescent="0.25">
      <c r="A1796" s="2017"/>
      <c r="B1796" s="2018"/>
      <c r="C1796" s="2018"/>
      <c r="D1796" s="2018"/>
      <c r="E1796" s="2018"/>
      <c r="F1796" s="2018"/>
      <c r="G1796" s="2018"/>
      <c r="H1796" s="2018"/>
      <c r="I1796" s="2018"/>
      <c r="J1796" s="2018"/>
      <c r="K1796" s="2018"/>
      <c r="L1796" s="2018"/>
      <c r="M1796" s="2018"/>
      <c r="N1796" s="2018"/>
      <c r="O1796" s="2018"/>
      <c r="P1796" s="2018"/>
      <c r="Q1796" s="2018"/>
      <c r="R1796" s="2018"/>
      <c r="S1796" s="2018"/>
      <c r="T1796" s="2018"/>
      <c r="U1796" s="2018"/>
      <c r="V1796" s="2018"/>
      <c r="W1796" s="2018"/>
      <c r="X1796" s="2018"/>
      <c r="Y1796" s="2018"/>
      <c r="Z1796" s="2023"/>
      <c r="AA1796" s="2023"/>
      <c r="AB1796" s="1050"/>
      <c r="AC1796" s="1050"/>
      <c r="AD1796" s="1050"/>
      <c r="AE1796" s="1050"/>
      <c r="AF1796" s="1052"/>
    </row>
    <row r="1797" spans="1:32" ht="15.75" x14ac:dyDescent="0.25">
      <c r="A1797" s="2017"/>
      <c r="B1797" s="2018"/>
      <c r="C1797" s="2018"/>
      <c r="D1797" s="2018"/>
      <c r="E1797" s="2018"/>
      <c r="F1797" s="2018"/>
      <c r="G1797" s="2018"/>
      <c r="H1797" s="2018"/>
      <c r="I1797" s="2018"/>
      <c r="J1797" s="2018"/>
      <c r="K1797" s="2018"/>
      <c r="L1797" s="2018"/>
      <c r="M1797" s="2018"/>
      <c r="N1797" s="2018"/>
      <c r="O1797" s="2018"/>
      <c r="P1797" s="2018"/>
      <c r="Q1797" s="2018"/>
      <c r="R1797" s="2018"/>
      <c r="S1797" s="2018"/>
      <c r="T1797" s="2018"/>
      <c r="U1797" s="2018"/>
      <c r="V1797" s="2018"/>
      <c r="W1797" s="2018"/>
      <c r="X1797" s="2018"/>
      <c r="Y1797" s="2018"/>
      <c r="Z1797" s="2023"/>
      <c r="AA1797" s="2023"/>
      <c r="AB1797" s="1050"/>
      <c r="AC1797" s="1050"/>
      <c r="AD1797" s="1050"/>
      <c r="AE1797" s="1050"/>
      <c r="AF1797" s="1052"/>
    </row>
    <row r="1798" spans="1:32" ht="15.75" x14ac:dyDescent="0.25">
      <c r="A1798" s="2017"/>
      <c r="B1798" s="2018"/>
      <c r="C1798" s="2018"/>
      <c r="D1798" s="2018"/>
      <c r="E1798" s="2018"/>
      <c r="F1798" s="2018"/>
      <c r="G1798" s="2018"/>
      <c r="H1798" s="2018"/>
      <c r="I1798" s="2018"/>
      <c r="J1798" s="2018"/>
      <c r="K1798" s="2018"/>
      <c r="L1798" s="2018"/>
      <c r="M1798" s="2018"/>
      <c r="N1798" s="2018"/>
      <c r="O1798" s="2018"/>
      <c r="P1798" s="2018"/>
      <c r="Q1798" s="2018"/>
      <c r="R1798" s="2018"/>
      <c r="S1798" s="2018"/>
      <c r="T1798" s="2018"/>
      <c r="U1798" s="2018"/>
      <c r="V1798" s="2018"/>
      <c r="W1798" s="2018"/>
      <c r="X1798" s="2018"/>
      <c r="Y1798" s="2018"/>
      <c r="Z1798" s="2023"/>
      <c r="AA1798" s="2023"/>
      <c r="AB1798" s="1050"/>
      <c r="AC1798" s="1050"/>
      <c r="AD1798" s="1050"/>
      <c r="AE1798" s="1050"/>
      <c r="AF1798" s="1052"/>
    </row>
    <row r="1799" spans="1:32" ht="15.75" x14ac:dyDescent="0.25">
      <c r="A1799" s="2017"/>
      <c r="B1799" s="2018"/>
      <c r="C1799" s="2018"/>
      <c r="D1799" s="2018"/>
      <c r="E1799" s="2018"/>
      <c r="F1799" s="2018"/>
      <c r="G1799" s="2018"/>
      <c r="H1799" s="2018"/>
      <c r="I1799" s="2018"/>
      <c r="J1799" s="2018"/>
      <c r="K1799" s="2018"/>
      <c r="L1799" s="2018"/>
      <c r="M1799" s="2018"/>
      <c r="N1799" s="2018"/>
      <c r="O1799" s="2018"/>
      <c r="P1799" s="2018"/>
      <c r="Q1799" s="2018"/>
      <c r="R1799" s="2018"/>
      <c r="S1799" s="2018"/>
      <c r="T1799" s="2018"/>
      <c r="U1799" s="2018"/>
      <c r="V1799" s="2018"/>
      <c r="W1799" s="2018"/>
      <c r="X1799" s="2018"/>
      <c r="Y1799" s="2018"/>
      <c r="Z1799" s="2023"/>
      <c r="AA1799" s="2023"/>
      <c r="AB1799" s="1050"/>
      <c r="AC1799" s="1050"/>
      <c r="AD1799" s="1050"/>
      <c r="AE1799" s="1050"/>
      <c r="AF1799" s="1052"/>
    </row>
    <row r="1800" spans="1:32" ht="16.5" thickBot="1" x14ac:dyDescent="0.3">
      <c r="A1800" s="2019"/>
      <c r="B1800" s="2020"/>
      <c r="C1800" s="2020"/>
      <c r="D1800" s="2020"/>
      <c r="E1800" s="2020"/>
      <c r="F1800" s="2020"/>
      <c r="G1800" s="2020"/>
      <c r="H1800" s="2020"/>
      <c r="I1800" s="2020"/>
      <c r="J1800" s="2020"/>
      <c r="K1800" s="2020"/>
      <c r="L1800" s="2020"/>
      <c r="M1800" s="2020"/>
      <c r="N1800" s="2020"/>
      <c r="O1800" s="2020"/>
      <c r="P1800" s="2020"/>
      <c r="Q1800" s="2020"/>
      <c r="R1800" s="2020"/>
      <c r="S1800" s="2020"/>
      <c r="T1800" s="2020"/>
      <c r="U1800" s="2020"/>
      <c r="V1800" s="2020"/>
      <c r="W1800" s="2020"/>
      <c r="X1800" s="2020"/>
      <c r="Y1800" s="2020"/>
      <c r="Z1800" s="2024"/>
      <c r="AA1800" s="2024"/>
      <c r="AB1800" s="1057"/>
      <c r="AC1800" s="1057"/>
      <c r="AD1800" s="1057"/>
      <c r="AE1800" s="1057"/>
      <c r="AF1800" s="1058"/>
    </row>
    <row r="1801" spans="1:32" ht="15.75" x14ac:dyDescent="0.25">
      <c r="A1801" s="2009" t="s">
        <v>1855</v>
      </c>
      <c r="B1801" s="2010"/>
      <c r="C1801" s="2010"/>
      <c r="D1801" s="2010"/>
      <c r="E1801" s="2010"/>
      <c r="F1801" s="2010"/>
      <c r="G1801" s="2010"/>
      <c r="H1801" s="2010"/>
      <c r="I1801" s="2010"/>
      <c r="J1801" s="2010"/>
      <c r="K1801" s="2010"/>
      <c r="L1801" s="2010"/>
      <c r="M1801" s="2010"/>
      <c r="N1801" s="2010"/>
      <c r="O1801" s="2010"/>
      <c r="P1801" s="2010"/>
      <c r="Q1801" s="2010"/>
      <c r="R1801" s="2010"/>
      <c r="S1801" s="2010"/>
      <c r="T1801" s="2010"/>
      <c r="U1801" s="2010"/>
      <c r="V1801" s="2010"/>
      <c r="W1801" s="2010"/>
      <c r="X1801" s="2010"/>
      <c r="Y1801" s="2010"/>
      <c r="Z1801" s="2013" t="s">
        <v>1850</v>
      </c>
      <c r="AA1801" s="2013"/>
      <c r="AB1801" s="2013"/>
      <c r="AC1801" s="2013"/>
      <c r="AD1801" s="2013"/>
      <c r="AE1801" s="2013"/>
      <c r="AF1801" s="1059">
        <f>SUM(AF1777:AF1800)</f>
        <v>6</v>
      </c>
    </row>
    <row r="1802" spans="1:32" ht="15.75" x14ac:dyDescent="0.25">
      <c r="A1802" s="2011"/>
      <c r="B1802" s="2012"/>
      <c r="C1802" s="2012"/>
      <c r="D1802" s="2012"/>
      <c r="E1802" s="2012"/>
      <c r="F1802" s="2012"/>
      <c r="G1802" s="2012"/>
      <c r="H1802" s="2012"/>
      <c r="I1802" s="2012"/>
      <c r="J1802" s="2012"/>
      <c r="K1802" s="2012"/>
      <c r="L1802" s="2012"/>
      <c r="M1802" s="2012"/>
      <c r="N1802" s="2012"/>
      <c r="O1802" s="2012"/>
      <c r="P1802" s="2012"/>
      <c r="Q1802" s="2012"/>
      <c r="R1802" s="2012"/>
      <c r="S1802" s="2012"/>
      <c r="T1802" s="2012"/>
      <c r="U1802" s="2012"/>
      <c r="V1802" s="2012"/>
      <c r="W1802" s="2012"/>
      <c r="X1802" s="2012"/>
      <c r="Y1802" s="2012"/>
      <c r="Z1802" s="2014" t="s">
        <v>1851</v>
      </c>
      <c r="AA1802" s="2014"/>
      <c r="AB1802" s="2014"/>
      <c r="AC1802" s="2014"/>
      <c r="AD1802" s="2014"/>
      <c r="AE1802" s="2014"/>
      <c r="AF1802" s="1060">
        <v>0</v>
      </c>
    </row>
    <row r="1803" spans="1:32" ht="15.75" x14ac:dyDescent="0.25">
      <c r="A1803" s="2011"/>
      <c r="B1803" s="2012"/>
      <c r="C1803" s="2012"/>
      <c r="D1803" s="2012"/>
      <c r="E1803" s="2012"/>
      <c r="F1803" s="2012"/>
      <c r="G1803" s="2012"/>
      <c r="H1803" s="2012"/>
      <c r="I1803" s="2012"/>
      <c r="J1803" s="2012"/>
      <c r="K1803" s="2012"/>
      <c r="L1803" s="2012"/>
      <c r="M1803" s="2012"/>
      <c r="N1803" s="2012"/>
      <c r="O1803" s="2012"/>
      <c r="P1803" s="2012"/>
      <c r="Q1803" s="2012"/>
      <c r="R1803" s="2012"/>
      <c r="S1803" s="2012"/>
      <c r="T1803" s="2012"/>
      <c r="U1803" s="2012"/>
      <c r="V1803" s="2012"/>
      <c r="W1803" s="2012"/>
      <c r="X1803" s="2012"/>
      <c r="Y1803" s="2012"/>
      <c r="Z1803" s="2015" t="s">
        <v>1833</v>
      </c>
      <c r="AA1803" s="2015"/>
      <c r="AB1803" s="2015"/>
      <c r="AC1803" s="2015"/>
      <c r="AD1803" s="2015"/>
      <c r="AE1803" s="2015"/>
      <c r="AF1803" s="1061">
        <f>SUM(AF1801:AF1802)</f>
        <v>6</v>
      </c>
    </row>
    <row r="1804" spans="1:32" x14ac:dyDescent="0.2">
      <c r="A1804" s="2012" t="s">
        <v>1859</v>
      </c>
      <c r="B1804" s="2012"/>
      <c r="C1804" s="2012"/>
      <c r="D1804" s="2012"/>
      <c r="E1804" s="2012"/>
      <c r="F1804" s="2012"/>
      <c r="G1804" s="2012"/>
      <c r="H1804" s="2012"/>
      <c r="I1804" s="2012"/>
      <c r="J1804" s="2012"/>
      <c r="K1804" s="2012"/>
      <c r="L1804" s="2012"/>
      <c r="M1804" s="2012"/>
      <c r="N1804" s="2012"/>
      <c r="O1804" s="2012"/>
      <c r="P1804" s="2012"/>
      <c r="Q1804" s="2012"/>
      <c r="R1804" s="2012"/>
      <c r="S1804" s="2012"/>
      <c r="T1804" s="2016" t="s">
        <v>1840</v>
      </c>
      <c r="U1804" s="2016"/>
      <c r="V1804" s="2016"/>
      <c r="W1804" s="2016"/>
      <c r="X1804" s="2016"/>
      <c r="Y1804" s="2016"/>
      <c r="Z1804" s="2016"/>
      <c r="AA1804" s="2016"/>
      <c r="AB1804" s="2012" t="s">
        <v>1852</v>
      </c>
      <c r="AC1804" s="2012"/>
      <c r="AD1804" s="2012"/>
      <c r="AE1804" s="2012"/>
      <c r="AF1804" s="2012"/>
    </row>
    <row r="1805" spans="1:32" x14ac:dyDescent="0.2">
      <c r="A1805" s="2012"/>
      <c r="B1805" s="2012"/>
      <c r="C1805" s="2012"/>
      <c r="D1805" s="2012"/>
      <c r="E1805" s="2012"/>
      <c r="F1805" s="2012"/>
      <c r="G1805" s="2012"/>
      <c r="H1805" s="2012"/>
      <c r="I1805" s="2012"/>
      <c r="J1805" s="2012"/>
      <c r="K1805" s="2012"/>
      <c r="L1805" s="2012"/>
      <c r="M1805" s="2012"/>
      <c r="N1805" s="2012"/>
      <c r="O1805" s="2012"/>
      <c r="P1805" s="2012"/>
      <c r="Q1805" s="2012"/>
      <c r="R1805" s="2012"/>
      <c r="S1805" s="2012"/>
      <c r="T1805" s="2016"/>
      <c r="U1805" s="2016"/>
      <c r="V1805" s="2016"/>
      <c r="W1805" s="2016"/>
      <c r="X1805" s="2016"/>
      <c r="Y1805" s="2016"/>
      <c r="Z1805" s="2016"/>
      <c r="AA1805" s="2016"/>
      <c r="AB1805" s="2012"/>
      <c r="AC1805" s="2012"/>
      <c r="AD1805" s="2012"/>
      <c r="AE1805" s="2012"/>
      <c r="AF1805" s="2012"/>
    </row>
    <row r="1806" spans="1:32" ht="13.5" thickBot="1" x14ac:dyDescent="0.25"/>
    <row r="1807" spans="1:32" ht="26.45" customHeight="1" x14ac:dyDescent="0.2">
      <c r="A1807" s="2025" t="s">
        <v>1854</v>
      </c>
      <c r="B1807" s="2026"/>
      <c r="C1807" s="2026"/>
      <c r="D1807" s="2026"/>
      <c r="E1807" s="2026"/>
      <c r="F1807" s="2026"/>
      <c r="G1807" s="2026"/>
      <c r="H1807" s="2026"/>
      <c r="I1807" s="2026"/>
      <c r="J1807" s="2026"/>
      <c r="K1807" s="2026"/>
      <c r="L1807" s="2026"/>
      <c r="M1807" s="2026"/>
      <c r="N1807" s="2026"/>
      <c r="O1807" s="2026"/>
      <c r="P1807" s="2026"/>
      <c r="Q1807" s="2026"/>
      <c r="R1807" s="2026"/>
      <c r="S1807" s="2026"/>
      <c r="T1807" s="2026"/>
      <c r="U1807" s="2026"/>
      <c r="V1807" s="2026"/>
      <c r="W1807" s="2026"/>
      <c r="X1807" s="2026"/>
      <c r="Y1807" s="2026"/>
      <c r="Z1807" s="2026"/>
      <c r="AA1807" s="2026"/>
      <c r="AB1807" s="2026"/>
      <c r="AC1807" s="2026"/>
      <c r="AD1807" s="2026"/>
      <c r="AE1807" s="1041" t="s">
        <v>1834</v>
      </c>
      <c r="AF1807" s="1042" t="s">
        <v>1835</v>
      </c>
    </row>
    <row r="1808" spans="1:32" ht="21" customHeight="1" thickBot="1" x14ac:dyDescent="0.25">
      <c r="A1808" s="2027"/>
      <c r="B1808" s="2028"/>
      <c r="C1808" s="2028"/>
      <c r="D1808" s="2028"/>
      <c r="E1808" s="2028"/>
      <c r="F1808" s="2028"/>
      <c r="G1808" s="2028"/>
      <c r="H1808" s="2028"/>
      <c r="I1808" s="2028"/>
      <c r="J1808" s="2028"/>
      <c r="K1808" s="2028"/>
      <c r="L1808" s="2028"/>
      <c r="M1808" s="2028"/>
      <c r="N1808" s="2028"/>
      <c r="O1808" s="2028"/>
      <c r="P1808" s="2028"/>
      <c r="Q1808" s="2028"/>
      <c r="R1808" s="2028"/>
      <c r="S1808" s="2028"/>
      <c r="T1808" s="2028"/>
      <c r="U1808" s="2028"/>
      <c r="V1808" s="2028"/>
      <c r="W1808" s="2028"/>
      <c r="X1808" s="2028"/>
      <c r="Y1808" s="2028"/>
      <c r="Z1808" s="2028"/>
      <c r="AA1808" s="2028"/>
      <c r="AB1808" s="2028"/>
      <c r="AC1808" s="2028"/>
      <c r="AD1808" s="2028"/>
      <c r="AE1808" s="1041" t="s">
        <v>1836</v>
      </c>
      <c r="AF1808" s="1044">
        <v>1</v>
      </c>
    </row>
    <row r="1809" spans="1:32" ht="15.75" x14ac:dyDescent="0.2">
      <c r="A1809" s="2029"/>
      <c r="B1809" s="2030"/>
      <c r="C1809" s="2030"/>
      <c r="D1809" s="2031"/>
      <c r="E1809" s="2025" t="str">
        <f>'01'!$A$12</f>
        <v>"CONSTRUCCION SISTEMA DE ACUEDUCTO FASE II DEL MUNICIPIO DE TESALIA DPTO DEL HUILA"</v>
      </c>
      <c r="F1809" s="2026"/>
      <c r="G1809" s="2026"/>
      <c r="H1809" s="2026"/>
      <c r="I1809" s="2026"/>
      <c r="J1809" s="2026"/>
      <c r="K1809" s="2026"/>
      <c r="L1809" s="2026"/>
      <c r="M1809" s="2026"/>
      <c r="N1809" s="2026"/>
      <c r="O1809" s="2026"/>
      <c r="P1809" s="2026"/>
      <c r="Q1809" s="2026"/>
      <c r="R1809" s="2026"/>
      <c r="S1809" s="2026"/>
      <c r="T1809" s="2026"/>
      <c r="U1809" s="2026"/>
      <c r="V1809" s="2026"/>
      <c r="W1809" s="2026"/>
      <c r="X1809" s="2026"/>
      <c r="Y1809" s="2026"/>
      <c r="Z1809" s="2026"/>
      <c r="AA1809" s="2026"/>
      <c r="AB1809" s="2026"/>
      <c r="AC1809" s="2026"/>
      <c r="AD1809" s="2035"/>
      <c r="AE1809" s="1041" t="s">
        <v>847</v>
      </c>
      <c r="AF1809" s="1045">
        <f>'01'!$M$13</f>
        <v>0</v>
      </c>
    </row>
    <row r="1810" spans="1:32" ht="16.5" thickBot="1" x14ac:dyDescent="0.25">
      <c r="A1810" s="2032"/>
      <c r="B1810" s="2033"/>
      <c r="C1810" s="2033"/>
      <c r="D1810" s="2034"/>
      <c r="E1810" s="2027"/>
      <c r="F1810" s="2028"/>
      <c r="G1810" s="2028"/>
      <c r="H1810" s="2028"/>
      <c r="I1810" s="2028"/>
      <c r="J1810" s="2028"/>
      <c r="K1810" s="2028"/>
      <c r="L1810" s="2028"/>
      <c r="M1810" s="2028"/>
      <c r="N1810" s="2028"/>
      <c r="O1810" s="2028"/>
      <c r="P1810" s="2028"/>
      <c r="Q1810" s="2028"/>
      <c r="R1810" s="2028"/>
      <c r="S1810" s="2028"/>
      <c r="T1810" s="2028"/>
      <c r="U1810" s="2028"/>
      <c r="V1810" s="2028"/>
      <c r="W1810" s="2028"/>
      <c r="X1810" s="2028"/>
      <c r="Y1810" s="2028"/>
      <c r="Z1810" s="2028"/>
      <c r="AA1810" s="2028"/>
      <c r="AB1810" s="2028"/>
      <c r="AC1810" s="2028"/>
      <c r="AD1810" s="2036"/>
      <c r="AE1810" s="1041" t="s">
        <v>1837</v>
      </c>
      <c r="AF1810" s="1042" t="s">
        <v>1838</v>
      </c>
    </row>
    <row r="1811" spans="1:32" ht="15.75" x14ac:dyDescent="0.25">
      <c r="A1811" s="2037" t="s">
        <v>1860</v>
      </c>
      <c r="B1811" s="2038"/>
      <c r="C1811" s="2038"/>
      <c r="D1811" s="2038"/>
      <c r="E1811" s="2038"/>
      <c r="F1811" s="2038"/>
      <c r="G1811" s="2038"/>
      <c r="H1811" s="2038"/>
      <c r="I1811" s="2038"/>
      <c r="J1811" s="2038"/>
      <c r="K1811" s="2038"/>
      <c r="L1811" s="2038"/>
      <c r="M1811" s="2038"/>
      <c r="N1811" s="2038"/>
      <c r="O1811" s="2038"/>
      <c r="P1811" s="2038"/>
      <c r="Q1811" s="2038"/>
      <c r="R1811" s="2038"/>
      <c r="S1811" s="2038"/>
      <c r="T1811" s="2038"/>
      <c r="U1811" s="2038"/>
      <c r="V1811" s="2038"/>
      <c r="W1811" s="2038"/>
      <c r="X1811" s="2038"/>
      <c r="Y1811" s="2038"/>
      <c r="Z1811" s="2038"/>
      <c r="AA1811" s="2038"/>
      <c r="AB1811" s="2038"/>
      <c r="AC1811" s="2038"/>
      <c r="AD1811" s="2038"/>
      <c r="AE1811" s="2039" t="s">
        <v>1839</v>
      </c>
      <c r="AF1811" s="2040"/>
    </row>
    <row r="1812" spans="1:32" ht="15.75" x14ac:dyDescent="0.25">
      <c r="A1812" s="2041" t="s">
        <v>1840</v>
      </c>
      <c r="B1812" s="2042"/>
      <c r="C1812" s="2042"/>
      <c r="D1812" s="2042"/>
      <c r="E1812" s="2042"/>
      <c r="F1812" s="2042"/>
      <c r="G1812" s="2042"/>
      <c r="H1812" s="2042"/>
      <c r="I1812" s="2042"/>
      <c r="J1812" s="2042"/>
      <c r="K1812" s="2042"/>
      <c r="L1812" s="2042"/>
      <c r="M1812" s="2042"/>
      <c r="N1812" s="2042"/>
      <c r="O1812" s="2042"/>
      <c r="P1812" s="2042"/>
      <c r="Q1812" s="2042"/>
      <c r="R1812" s="2042"/>
      <c r="S1812" s="2042"/>
      <c r="T1812" s="2042"/>
      <c r="U1812" s="2042"/>
      <c r="V1812" s="2042"/>
      <c r="W1812" s="2042"/>
      <c r="X1812" s="2042"/>
      <c r="Y1812" s="2042"/>
      <c r="Z1812" s="2042"/>
      <c r="AA1812" s="2042"/>
      <c r="AB1812" s="2042"/>
      <c r="AC1812" s="2042"/>
      <c r="AD1812" s="2043"/>
      <c r="AE1812" s="2014" t="s">
        <v>1841</v>
      </c>
      <c r="AF1812" s="2044"/>
    </row>
    <row r="1813" spans="1:32" ht="15.75" x14ac:dyDescent="0.25">
      <c r="A1813" s="2045" t="s">
        <v>1853</v>
      </c>
      <c r="B1813" s="2046"/>
      <c r="C1813" s="2046"/>
      <c r="D1813" s="2046"/>
      <c r="E1813" s="2046"/>
      <c r="F1813" s="2046"/>
      <c r="G1813" s="2046"/>
      <c r="H1813" s="2046"/>
      <c r="I1813" s="2046"/>
      <c r="J1813" s="2046"/>
      <c r="K1813" s="2046"/>
      <c r="L1813" s="2046"/>
      <c r="M1813" s="2046"/>
      <c r="N1813" s="2046"/>
      <c r="O1813" s="2046"/>
      <c r="P1813" s="2046"/>
      <c r="Q1813" s="2046"/>
      <c r="R1813" s="2046"/>
      <c r="S1813" s="2046"/>
      <c r="T1813" s="2046"/>
      <c r="U1813" s="2046"/>
      <c r="V1813" s="2046"/>
      <c r="W1813" s="2046"/>
      <c r="X1813" s="2046"/>
      <c r="Y1813" s="2046"/>
      <c r="Z1813" s="2046"/>
      <c r="AA1813" s="2046"/>
      <c r="AB1813" s="2046"/>
      <c r="AC1813" s="2046"/>
      <c r="AD1813" s="2046"/>
      <c r="AE1813" s="2047">
        <f>'01'!$M$13</f>
        <v>0</v>
      </c>
      <c r="AF1813" s="2044"/>
    </row>
    <row r="1814" spans="1:32" x14ac:dyDescent="0.2">
      <c r="A1814" s="1046"/>
      <c r="B1814" s="1047"/>
      <c r="C1814" s="1047"/>
      <c r="D1814" s="1047"/>
      <c r="E1814" s="1047"/>
      <c r="F1814" s="1047"/>
      <c r="G1814" s="1047"/>
      <c r="H1814" s="1047"/>
      <c r="I1814" s="1047"/>
      <c r="J1814" s="1047"/>
      <c r="K1814" s="1047"/>
      <c r="L1814" s="1047"/>
      <c r="M1814" s="1047"/>
      <c r="N1814" s="1047"/>
      <c r="O1814" s="1047"/>
      <c r="P1814" s="1047"/>
      <c r="Q1814" s="1047"/>
      <c r="R1814" s="1047"/>
      <c r="S1814" s="1047"/>
      <c r="T1814" s="1047"/>
      <c r="U1814" s="1047"/>
      <c r="V1814" s="1047"/>
      <c r="W1814" s="1047"/>
      <c r="X1814" s="1047"/>
      <c r="Y1814" s="1047"/>
      <c r="Z1814" s="1047"/>
      <c r="AA1814" s="1047"/>
      <c r="AB1814" s="1047"/>
      <c r="AC1814" s="1047"/>
      <c r="AD1814" s="1047"/>
      <c r="AE1814" s="1047"/>
      <c r="AF1814" s="1048"/>
    </row>
    <row r="1815" spans="1:32" ht="30" customHeight="1" x14ac:dyDescent="0.2">
      <c r="A1815" s="2048" t="s">
        <v>1842</v>
      </c>
      <c r="B1815" s="2049"/>
      <c r="C1815" s="2049"/>
      <c r="D1815" s="2049"/>
      <c r="E1815" s="2049"/>
      <c r="F1815" s="2050" t="str">
        <f>+'01'!$H$63</f>
        <v>C - FLOCULADOR, SEDIMENTADOR, CANAL DE AGUA SEDIMENTADA Y CANAL DE LAVADO</v>
      </c>
      <c r="G1815" s="2049"/>
      <c r="H1815" s="2049"/>
      <c r="I1815" s="2049"/>
      <c r="J1815" s="2049"/>
      <c r="K1815" s="2049"/>
      <c r="L1815" s="2049"/>
      <c r="M1815" s="2049"/>
      <c r="N1815" s="2049"/>
      <c r="O1815" s="2049"/>
      <c r="P1815" s="2049"/>
      <c r="Q1815" s="2049"/>
      <c r="R1815" s="2049"/>
      <c r="S1815" s="2049"/>
      <c r="T1815" s="2049"/>
      <c r="U1815" s="2049"/>
      <c r="V1815" s="2049"/>
      <c r="W1815" s="2049"/>
      <c r="X1815" s="2049"/>
      <c r="Y1815" s="2051"/>
      <c r="Z1815" s="2052" t="s">
        <v>1843</v>
      </c>
      <c r="AA1815" s="2053"/>
      <c r="AB1815" s="2058" t="s">
        <v>1844</v>
      </c>
      <c r="AC1815" s="2059"/>
      <c r="AD1815" s="2060"/>
      <c r="AE1815" s="2064" t="s">
        <v>1845</v>
      </c>
      <c r="AF1815" s="2067" t="s">
        <v>1846</v>
      </c>
    </row>
    <row r="1816" spans="1:32" x14ac:dyDescent="0.2">
      <c r="A1816" s="2070" t="str">
        <f>+'01'!A89</f>
        <v>C-08-04</v>
      </c>
      <c r="B1816" s="2071"/>
      <c r="C1816" s="2072"/>
      <c r="D1816" s="2076" t="str">
        <f>VLOOKUP(A1816,'01'!$A$12:$N$299,3,FALSE)</f>
        <v>SUMINISTRO E INSTALACIÓN PASAMURO HD 8" BXB=0,75M Z=0.375 M.</v>
      </c>
      <c r="E1816" s="2077"/>
      <c r="F1816" s="2077"/>
      <c r="G1816" s="2077"/>
      <c r="H1816" s="2077"/>
      <c r="I1816" s="2077"/>
      <c r="J1816" s="2077"/>
      <c r="K1816" s="2077"/>
      <c r="L1816" s="2077"/>
      <c r="M1816" s="2077"/>
      <c r="N1816" s="2077"/>
      <c r="O1816" s="2077"/>
      <c r="P1816" s="2077"/>
      <c r="Q1816" s="2077"/>
      <c r="R1816" s="2077"/>
      <c r="S1816" s="2078"/>
      <c r="T1816" s="2082" t="s">
        <v>124</v>
      </c>
      <c r="U1816" s="2083"/>
      <c r="V1816" s="2083"/>
      <c r="W1816" s="2083"/>
      <c r="X1816" s="2052" t="str">
        <f>VLOOKUP(A1816,'01'!$A$12:$N$299,9,FALSE)</f>
        <v>UND</v>
      </c>
      <c r="Y1816" s="2053"/>
      <c r="Z1816" s="2054"/>
      <c r="AA1816" s="2055"/>
      <c r="AB1816" s="2061"/>
      <c r="AC1816" s="2062"/>
      <c r="AD1816" s="2063"/>
      <c r="AE1816" s="2065"/>
      <c r="AF1816" s="2068"/>
    </row>
    <row r="1817" spans="1:32" ht="15.75" x14ac:dyDescent="0.25">
      <c r="A1817" s="2073"/>
      <c r="B1817" s="2074"/>
      <c r="C1817" s="2075"/>
      <c r="D1817" s="2079"/>
      <c r="E1817" s="2080"/>
      <c r="F1817" s="2080"/>
      <c r="G1817" s="2080"/>
      <c r="H1817" s="2080"/>
      <c r="I1817" s="2080"/>
      <c r="J1817" s="2080"/>
      <c r="K1817" s="2080"/>
      <c r="L1817" s="2080"/>
      <c r="M1817" s="2080"/>
      <c r="N1817" s="2080"/>
      <c r="O1817" s="2080"/>
      <c r="P1817" s="2080"/>
      <c r="Q1817" s="2080"/>
      <c r="R1817" s="2080"/>
      <c r="S1817" s="2081"/>
      <c r="T1817" s="2084"/>
      <c r="U1817" s="2085"/>
      <c r="V1817" s="2085"/>
      <c r="W1817" s="2085"/>
      <c r="X1817" s="2056"/>
      <c r="Y1817" s="2057"/>
      <c r="Z1817" s="2056"/>
      <c r="AA1817" s="2057"/>
      <c r="AB1817" s="1049" t="s">
        <v>1847</v>
      </c>
      <c r="AC1817" s="1049" t="s">
        <v>1848</v>
      </c>
      <c r="AD1817" s="1049" t="s">
        <v>1861</v>
      </c>
      <c r="AE1817" s="2066"/>
      <c r="AF1817" s="2069"/>
    </row>
    <row r="1818" spans="1:32" ht="15.75" x14ac:dyDescent="0.25">
      <c r="A1818" s="2017"/>
      <c r="B1818" s="2018"/>
      <c r="C1818" s="2018"/>
      <c r="D1818" s="2018"/>
      <c r="E1818" s="2018"/>
      <c r="F1818" s="2018"/>
      <c r="G1818" s="2018"/>
      <c r="H1818" s="2018"/>
      <c r="I1818" s="2018"/>
      <c r="J1818" s="2018"/>
      <c r="K1818" s="2018"/>
      <c r="L1818" s="2018"/>
      <c r="M1818" s="2018"/>
      <c r="N1818" s="2018"/>
      <c r="O1818" s="2018"/>
      <c r="P1818" s="2018"/>
      <c r="Q1818" s="2018"/>
      <c r="R1818" s="2018"/>
      <c r="S1818" s="2018"/>
      <c r="T1818" s="2018"/>
      <c r="U1818" s="2018"/>
      <c r="V1818" s="2018"/>
      <c r="W1818" s="2018"/>
      <c r="X1818" s="2018"/>
      <c r="Y1818" s="2018"/>
      <c r="Z1818" s="2096" t="s">
        <v>2432</v>
      </c>
      <c r="AA1818" s="2097"/>
      <c r="AB1818" s="1050"/>
      <c r="AC1818" s="1050"/>
      <c r="AD1818" s="1050"/>
      <c r="AE1818" s="1050">
        <v>6</v>
      </c>
      <c r="AF1818" s="1052">
        <f>AE1818</f>
        <v>6</v>
      </c>
    </row>
    <row r="1819" spans="1:32" ht="15.75" x14ac:dyDescent="0.25">
      <c r="A1819" s="2017"/>
      <c r="B1819" s="2018"/>
      <c r="C1819" s="2018"/>
      <c r="D1819" s="2018"/>
      <c r="E1819" s="2018"/>
      <c r="F1819" s="2018"/>
      <c r="G1819" s="2018"/>
      <c r="H1819" s="2018"/>
      <c r="I1819" s="2018"/>
      <c r="J1819" s="2018"/>
      <c r="K1819" s="2018"/>
      <c r="L1819" s="2018"/>
      <c r="M1819" s="2018"/>
      <c r="N1819" s="2018"/>
      <c r="O1819" s="2018"/>
      <c r="P1819" s="2018"/>
      <c r="Q1819" s="2018"/>
      <c r="R1819" s="2018"/>
      <c r="S1819" s="2018"/>
      <c r="T1819" s="2018"/>
      <c r="U1819" s="2018"/>
      <c r="V1819" s="2018"/>
      <c r="W1819" s="2018"/>
      <c r="X1819" s="2018"/>
      <c r="Y1819" s="2018"/>
      <c r="Z1819" s="2096" t="s">
        <v>2424</v>
      </c>
      <c r="AA1819" s="2097"/>
      <c r="AB1819" s="1050"/>
      <c r="AC1819" s="1050"/>
      <c r="AD1819" s="1050"/>
      <c r="AE1819" s="1050">
        <v>6</v>
      </c>
      <c r="AF1819" s="1052">
        <f t="shared" ref="AF1819:AF1824" si="34">AE1819</f>
        <v>6</v>
      </c>
    </row>
    <row r="1820" spans="1:32" ht="15.75" x14ac:dyDescent="0.25">
      <c r="A1820" s="2017"/>
      <c r="B1820" s="2018"/>
      <c r="C1820" s="2018"/>
      <c r="D1820" s="2018"/>
      <c r="E1820" s="2018"/>
      <c r="F1820" s="2018"/>
      <c r="G1820" s="2018"/>
      <c r="H1820" s="2018"/>
      <c r="I1820" s="2018"/>
      <c r="J1820" s="2018"/>
      <c r="K1820" s="2018"/>
      <c r="L1820" s="2018"/>
      <c r="M1820" s="2018"/>
      <c r="N1820" s="2018"/>
      <c r="O1820" s="2018"/>
      <c r="P1820" s="2018"/>
      <c r="Q1820" s="2018"/>
      <c r="R1820" s="2018"/>
      <c r="S1820" s="2018"/>
      <c r="T1820" s="2018"/>
      <c r="U1820" s="2018"/>
      <c r="V1820" s="2018"/>
      <c r="W1820" s="2018"/>
      <c r="X1820" s="2018"/>
      <c r="Y1820" s="2018"/>
      <c r="Z1820" s="2096" t="s">
        <v>2425</v>
      </c>
      <c r="AA1820" s="2097"/>
      <c r="AB1820" s="1050"/>
      <c r="AC1820" s="1050"/>
      <c r="AD1820" s="1050"/>
      <c r="AE1820" s="1050">
        <v>2</v>
      </c>
      <c r="AF1820" s="1052">
        <f t="shared" si="34"/>
        <v>2</v>
      </c>
    </row>
    <row r="1821" spans="1:32" ht="15.75" x14ac:dyDescent="0.25">
      <c r="A1821" s="2017"/>
      <c r="B1821" s="2018"/>
      <c r="C1821" s="2018"/>
      <c r="D1821" s="2018"/>
      <c r="E1821" s="2018"/>
      <c r="F1821" s="2018"/>
      <c r="G1821" s="2018"/>
      <c r="H1821" s="2018"/>
      <c r="I1821" s="2018"/>
      <c r="J1821" s="2018"/>
      <c r="K1821" s="2018"/>
      <c r="L1821" s="2018"/>
      <c r="M1821" s="2018"/>
      <c r="N1821" s="2018"/>
      <c r="O1821" s="2018"/>
      <c r="P1821" s="2018"/>
      <c r="Q1821" s="2018"/>
      <c r="R1821" s="2018"/>
      <c r="S1821" s="2018"/>
      <c r="T1821" s="2018"/>
      <c r="U1821" s="2018"/>
      <c r="V1821" s="2018"/>
      <c r="W1821" s="2018"/>
      <c r="X1821" s="2018"/>
      <c r="Y1821" s="2018"/>
      <c r="Z1821" s="2096" t="s">
        <v>2426</v>
      </c>
      <c r="AA1821" s="2097"/>
      <c r="AB1821" s="1050"/>
      <c r="AC1821" s="1050"/>
      <c r="AD1821" s="1050"/>
      <c r="AE1821" s="1050">
        <v>4</v>
      </c>
      <c r="AF1821" s="1052">
        <f t="shared" si="34"/>
        <v>4</v>
      </c>
    </row>
    <row r="1822" spans="1:32" ht="15.75" x14ac:dyDescent="0.25">
      <c r="A1822" s="2017"/>
      <c r="B1822" s="2018"/>
      <c r="C1822" s="2018"/>
      <c r="D1822" s="2018"/>
      <c r="E1822" s="2018"/>
      <c r="F1822" s="2018"/>
      <c r="G1822" s="2018"/>
      <c r="H1822" s="2018"/>
      <c r="I1822" s="2018"/>
      <c r="J1822" s="2018"/>
      <c r="K1822" s="2018"/>
      <c r="L1822" s="2018"/>
      <c r="M1822" s="2018"/>
      <c r="N1822" s="2018"/>
      <c r="O1822" s="2018"/>
      <c r="P1822" s="2018"/>
      <c r="Q1822" s="2018"/>
      <c r="R1822" s="2018"/>
      <c r="S1822" s="2018"/>
      <c r="T1822" s="2018"/>
      <c r="U1822" s="2018"/>
      <c r="V1822" s="2018"/>
      <c r="W1822" s="2018"/>
      <c r="X1822" s="2018"/>
      <c r="Y1822" s="2018"/>
      <c r="Z1822" s="2096" t="s">
        <v>2427</v>
      </c>
      <c r="AA1822" s="2097"/>
      <c r="AB1822" s="1050"/>
      <c r="AC1822" s="1050"/>
      <c r="AD1822" s="1050"/>
      <c r="AE1822" s="1050">
        <v>4</v>
      </c>
      <c r="AF1822" s="1052">
        <f t="shared" si="34"/>
        <v>4</v>
      </c>
    </row>
    <row r="1823" spans="1:32" ht="15.75" x14ac:dyDescent="0.25">
      <c r="A1823" s="2017"/>
      <c r="B1823" s="2018"/>
      <c r="C1823" s="2018"/>
      <c r="D1823" s="2018"/>
      <c r="E1823" s="2018"/>
      <c r="F1823" s="2018"/>
      <c r="G1823" s="2018"/>
      <c r="H1823" s="2018"/>
      <c r="I1823" s="2018"/>
      <c r="J1823" s="2018"/>
      <c r="K1823" s="2018"/>
      <c r="L1823" s="2018"/>
      <c r="M1823" s="2018"/>
      <c r="N1823" s="2018"/>
      <c r="O1823" s="2018"/>
      <c r="P1823" s="2018"/>
      <c r="Q1823" s="2018"/>
      <c r="R1823" s="2018"/>
      <c r="S1823" s="2018"/>
      <c r="T1823" s="2018"/>
      <c r="U1823" s="2018"/>
      <c r="V1823" s="2018"/>
      <c r="W1823" s="2018"/>
      <c r="X1823" s="2018"/>
      <c r="Y1823" s="2018"/>
      <c r="Z1823" s="2096" t="s">
        <v>2428</v>
      </c>
      <c r="AA1823" s="2097"/>
      <c r="AB1823" s="1050"/>
      <c r="AC1823" s="1050"/>
      <c r="AD1823" s="1050"/>
      <c r="AE1823" s="1050">
        <v>4</v>
      </c>
      <c r="AF1823" s="1052">
        <f t="shared" si="34"/>
        <v>4</v>
      </c>
    </row>
    <row r="1824" spans="1:32" ht="15.75" x14ac:dyDescent="0.25">
      <c r="A1824" s="2017"/>
      <c r="B1824" s="2018"/>
      <c r="C1824" s="2018"/>
      <c r="D1824" s="2018"/>
      <c r="E1824" s="2018"/>
      <c r="F1824" s="2018"/>
      <c r="G1824" s="2018"/>
      <c r="H1824" s="2018"/>
      <c r="I1824" s="2018"/>
      <c r="J1824" s="2018"/>
      <c r="K1824" s="2018"/>
      <c r="L1824" s="2018"/>
      <c r="M1824" s="2018"/>
      <c r="N1824" s="2018"/>
      <c r="O1824" s="2018"/>
      <c r="P1824" s="2018"/>
      <c r="Q1824" s="2018"/>
      <c r="R1824" s="2018"/>
      <c r="S1824" s="2018"/>
      <c r="T1824" s="2018"/>
      <c r="U1824" s="2018"/>
      <c r="V1824" s="2018"/>
      <c r="W1824" s="2018"/>
      <c r="X1824" s="2018"/>
      <c r="Y1824" s="2018"/>
      <c r="Z1824" s="2096" t="s">
        <v>2433</v>
      </c>
      <c r="AA1824" s="2097"/>
      <c r="AB1824" s="1050"/>
      <c r="AC1824" s="1050"/>
      <c r="AD1824" s="1050"/>
      <c r="AE1824" s="1050">
        <f>+AE1818</f>
        <v>6</v>
      </c>
      <c r="AF1824" s="1052">
        <f t="shared" si="34"/>
        <v>6</v>
      </c>
    </row>
    <row r="1825" spans="1:32" ht="15.75" x14ac:dyDescent="0.25">
      <c r="A1825" s="2017"/>
      <c r="B1825" s="2018"/>
      <c r="C1825" s="2018"/>
      <c r="D1825" s="2018"/>
      <c r="E1825" s="2018"/>
      <c r="F1825" s="2018"/>
      <c r="G1825" s="2018"/>
      <c r="H1825" s="2018"/>
      <c r="I1825" s="2018"/>
      <c r="J1825" s="2018"/>
      <c r="K1825" s="2018"/>
      <c r="L1825" s="2018"/>
      <c r="M1825" s="2018"/>
      <c r="N1825" s="2018"/>
      <c r="O1825" s="2018"/>
      <c r="P1825" s="2018"/>
      <c r="Q1825" s="2018"/>
      <c r="R1825" s="2018"/>
      <c r="S1825" s="2018"/>
      <c r="T1825" s="2018"/>
      <c r="U1825" s="2018"/>
      <c r="V1825" s="2018"/>
      <c r="W1825" s="2018"/>
      <c r="X1825" s="2018"/>
      <c r="Y1825" s="2018"/>
      <c r="Z1825" s="2105"/>
      <c r="AA1825" s="2105"/>
      <c r="AB1825" s="1050"/>
      <c r="AC1825" s="1050"/>
      <c r="AD1825" s="1050"/>
      <c r="AE1825" s="1050"/>
      <c r="AF1825" s="1052"/>
    </row>
    <row r="1826" spans="1:32" ht="15.75" x14ac:dyDescent="0.25">
      <c r="A1826" s="2017"/>
      <c r="B1826" s="2018"/>
      <c r="C1826" s="2018"/>
      <c r="D1826" s="2018"/>
      <c r="E1826" s="2018"/>
      <c r="F1826" s="2018"/>
      <c r="G1826" s="2018"/>
      <c r="H1826" s="2018"/>
      <c r="I1826" s="2018"/>
      <c r="J1826" s="2018"/>
      <c r="K1826" s="2018"/>
      <c r="L1826" s="2018"/>
      <c r="M1826" s="2018"/>
      <c r="N1826" s="2018"/>
      <c r="O1826" s="2018"/>
      <c r="P1826" s="2018"/>
      <c r="Q1826" s="2018"/>
      <c r="R1826" s="2018"/>
      <c r="S1826" s="2018"/>
      <c r="T1826" s="2018"/>
      <c r="U1826" s="2018"/>
      <c r="V1826" s="2018"/>
      <c r="W1826" s="2018"/>
      <c r="X1826" s="2018"/>
      <c r="Y1826" s="2018"/>
      <c r="Z1826" s="2105"/>
      <c r="AA1826" s="2105"/>
      <c r="AB1826" s="1050"/>
      <c r="AC1826" s="1050"/>
      <c r="AD1826" s="1050"/>
      <c r="AE1826" s="1050"/>
      <c r="AF1826" s="1052"/>
    </row>
    <row r="1827" spans="1:32" ht="15.75" x14ac:dyDescent="0.25">
      <c r="A1827" s="2017"/>
      <c r="B1827" s="2018"/>
      <c r="C1827" s="2018"/>
      <c r="D1827" s="2018"/>
      <c r="E1827" s="2018"/>
      <c r="F1827" s="2018"/>
      <c r="G1827" s="2018"/>
      <c r="H1827" s="2018"/>
      <c r="I1827" s="2018"/>
      <c r="J1827" s="2018"/>
      <c r="K1827" s="2018"/>
      <c r="L1827" s="2018"/>
      <c r="M1827" s="2018"/>
      <c r="N1827" s="2018"/>
      <c r="O1827" s="2018"/>
      <c r="P1827" s="2018"/>
      <c r="Q1827" s="2018"/>
      <c r="R1827" s="2018"/>
      <c r="S1827" s="2018"/>
      <c r="T1827" s="2018"/>
      <c r="U1827" s="2018"/>
      <c r="V1827" s="2018"/>
      <c r="W1827" s="2018"/>
      <c r="X1827" s="2018"/>
      <c r="Y1827" s="2018"/>
      <c r="Z1827" s="2105"/>
      <c r="AA1827" s="2105"/>
      <c r="AB1827" s="1050"/>
      <c r="AC1827" s="1050"/>
      <c r="AD1827" s="1050"/>
      <c r="AE1827" s="1050"/>
      <c r="AF1827" s="1052"/>
    </row>
    <row r="1828" spans="1:32" ht="15.75" x14ac:dyDescent="0.25">
      <c r="A1828" s="2017"/>
      <c r="B1828" s="2018"/>
      <c r="C1828" s="2018"/>
      <c r="D1828" s="2018"/>
      <c r="E1828" s="2018"/>
      <c r="F1828" s="2018"/>
      <c r="G1828" s="2018"/>
      <c r="H1828" s="2018"/>
      <c r="I1828" s="2018"/>
      <c r="J1828" s="2018"/>
      <c r="K1828" s="2018"/>
      <c r="L1828" s="2018"/>
      <c r="M1828" s="2018"/>
      <c r="N1828" s="2018"/>
      <c r="O1828" s="2018"/>
      <c r="P1828" s="2018"/>
      <c r="Q1828" s="2018"/>
      <c r="R1828" s="2018"/>
      <c r="S1828" s="2018"/>
      <c r="T1828" s="2018"/>
      <c r="U1828" s="2018"/>
      <c r="V1828" s="2018"/>
      <c r="W1828" s="2018"/>
      <c r="X1828" s="2018"/>
      <c r="Y1828" s="2018"/>
      <c r="Z1828" s="2105"/>
      <c r="AA1828" s="2105"/>
      <c r="AB1828" s="1050"/>
      <c r="AC1828" s="1050"/>
      <c r="AD1828" s="1050"/>
      <c r="AE1828" s="1050"/>
      <c r="AF1828" s="1052"/>
    </row>
    <row r="1829" spans="1:32" ht="15.75" x14ac:dyDescent="0.25">
      <c r="A1829" s="2017"/>
      <c r="B1829" s="2018"/>
      <c r="C1829" s="2018"/>
      <c r="D1829" s="2018"/>
      <c r="E1829" s="2018"/>
      <c r="F1829" s="2018"/>
      <c r="G1829" s="2018"/>
      <c r="H1829" s="2018"/>
      <c r="I1829" s="2018"/>
      <c r="J1829" s="2018"/>
      <c r="K1829" s="2018"/>
      <c r="L1829" s="2018"/>
      <c r="M1829" s="2018"/>
      <c r="N1829" s="2018"/>
      <c r="O1829" s="2018"/>
      <c r="P1829" s="2018"/>
      <c r="Q1829" s="2018"/>
      <c r="R1829" s="2018"/>
      <c r="S1829" s="2018"/>
      <c r="T1829" s="2018"/>
      <c r="U1829" s="2018"/>
      <c r="V1829" s="2018"/>
      <c r="W1829" s="2018"/>
      <c r="X1829" s="2018"/>
      <c r="Y1829" s="2018"/>
      <c r="Z1829" s="2105"/>
      <c r="AA1829" s="2105"/>
      <c r="AB1829" s="1050"/>
      <c r="AC1829" s="1050"/>
      <c r="AD1829" s="1050"/>
      <c r="AE1829" s="1050"/>
      <c r="AF1829" s="1052"/>
    </row>
    <row r="1830" spans="1:32" ht="15.75" x14ac:dyDescent="0.25">
      <c r="A1830" s="2017"/>
      <c r="B1830" s="2018"/>
      <c r="C1830" s="2018"/>
      <c r="D1830" s="2018"/>
      <c r="E1830" s="2018"/>
      <c r="F1830" s="2018"/>
      <c r="G1830" s="2018"/>
      <c r="H1830" s="2018"/>
      <c r="I1830" s="2018"/>
      <c r="J1830" s="2018"/>
      <c r="K1830" s="2018"/>
      <c r="L1830" s="2018"/>
      <c r="M1830" s="2018"/>
      <c r="N1830" s="2018"/>
      <c r="O1830" s="2018"/>
      <c r="P1830" s="2018"/>
      <c r="Q1830" s="2018"/>
      <c r="R1830" s="2018"/>
      <c r="S1830" s="2018"/>
      <c r="T1830" s="2018"/>
      <c r="U1830" s="2018"/>
      <c r="V1830" s="2018"/>
      <c r="W1830" s="2018"/>
      <c r="X1830" s="2018"/>
      <c r="Y1830" s="2018"/>
      <c r="Z1830" s="2105"/>
      <c r="AA1830" s="2105"/>
      <c r="AB1830" s="1050"/>
      <c r="AC1830" s="1050"/>
      <c r="AD1830" s="1050"/>
      <c r="AE1830" s="1050"/>
      <c r="AF1830" s="1052"/>
    </row>
    <row r="1831" spans="1:32" ht="15.75" x14ac:dyDescent="0.25">
      <c r="A1831" s="2017"/>
      <c r="B1831" s="2018"/>
      <c r="C1831" s="2018"/>
      <c r="D1831" s="2018"/>
      <c r="E1831" s="2018"/>
      <c r="F1831" s="2018"/>
      <c r="G1831" s="2018"/>
      <c r="H1831" s="2018"/>
      <c r="I1831" s="2018"/>
      <c r="J1831" s="2018"/>
      <c r="K1831" s="2018"/>
      <c r="L1831" s="2018"/>
      <c r="M1831" s="2018"/>
      <c r="N1831" s="2018"/>
      <c r="O1831" s="2018"/>
      <c r="P1831" s="2018"/>
      <c r="Q1831" s="2018"/>
      <c r="R1831" s="2018"/>
      <c r="S1831" s="2018"/>
      <c r="T1831" s="2018"/>
      <c r="U1831" s="2018"/>
      <c r="V1831" s="2018"/>
      <c r="W1831" s="2018"/>
      <c r="X1831" s="2018"/>
      <c r="Y1831" s="2018"/>
      <c r="Z1831" s="2022"/>
      <c r="AA1831" s="2022"/>
      <c r="AB1831" s="1050"/>
      <c r="AC1831" s="1050"/>
      <c r="AD1831" s="1050"/>
      <c r="AE1831" s="1050"/>
      <c r="AF1831" s="1052"/>
    </row>
    <row r="1832" spans="1:32" ht="15.75" x14ac:dyDescent="0.25">
      <c r="A1832" s="2017"/>
      <c r="B1832" s="2018"/>
      <c r="C1832" s="2018"/>
      <c r="D1832" s="2018"/>
      <c r="E1832" s="2018"/>
      <c r="F1832" s="2018"/>
      <c r="G1832" s="2018"/>
      <c r="H1832" s="2018"/>
      <c r="I1832" s="2018"/>
      <c r="J1832" s="2018"/>
      <c r="K1832" s="2018"/>
      <c r="L1832" s="2018"/>
      <c r="M1832" s="2018"/>
      <c r="N1832" s="2018"/>
      <c r="O1832" s="2018"/>
      <c r="P1832" s="2018"/>
      <c r="Q1832" s="2018"/>
      <c r="R1832" s="2018"/>
      <c r="S1832" s="2018"/>
      <c r="T1832" s="2018"/>
      <c r="U1832" s="2018"/>
      <c r="V1832" s="2018"/>
      <c r="W1832" s="2018"/>
      <c r="X1832" s="2018"/>
      <c r="Y1832" s="2018"/>
      <c r="Z1832" s="2022"/>
      <c r="AA1832" s="2022"/>
      <c r="AB1832" s="1050"/>
      <c r="AC1832" s="1050"/>
      <c r="AD1832" s="1050"/>
      <c r="AE1832" s="1050"/>
      <c r="AF1832" s="1052"/>
    </row>
    <row r="1833" spans="1:32" ht="15.75" x14ac:dyDescent="0.25">
      <c r="A1833" s="2017"/>
      <c r="B1833" s="2018"/>
      <c r="C1833" s="2018"/>
      <c r="D1833" s="2018"/>
      <c r="E1833" s="2018"/>
      <c r="F1833" s="2018"/>
      <c r="G1833" s="2018"/>
      <c r="H1833" s="2018"/>
      <c r="I1833" s="2018"/>
      <c r="J1833" s="2018"/>
      <c r="K1833" s="2018"/>
      <c r="L1833" s="2018"/>
      <c r="M1833" s="2018"/>
      <c r="N1833" s="2018"/>
      <c r="O1833" s="2018"/>
      <c r="P1833" s="2018"/>
      <c r="Q1833" s="2018"/>
      <c r="R1833" s="2018"/>
      <c r="S1833" s="2018"/>
      <c r="T1833" s="2018"/>
      <c r="U1833" s="2018"/>
      <c r="V1833" s="2018"/>
      <c r="W1833" s="2018"/>
      <c r="X1833" s="2018"/>
      <c r="Y1833" s="2018"/>
      <c r="Z1833" s="2022"/>
      <c r="AA1833" s="2022"/>
      <c r="AB1833" s="1050"/>
      <c r="AC1833" s="1050"/>
      <c r="AD1833" s="1050"/>
      <c r="AE1833" s="1050"/>
      <c r="AF1833" s="1052"/>
    </row>
    <row r="1834" spans="1:32" ht="15.75" x14ac:dyDescent="0.25">
      <c r="A1834" s="2017"/>
      <c r="B1834" s="2018"/>
      <c r="C1834" s="2018"/>
      <c r="D1834" s="2018"/>
      <c r="E1834" s="2018"/>
      <c r="F1834" s="2018"/>
      <c r="G1834" s="2018"/>
      <c r="H1834" s="2018"/>
      <c r="I1834" s="2018"/>
      <c r="J1834" s="2018"/>
      <c r="K1834" s="2018"/>
      <c r="L1834" s="2018"/>
      <c r="M1834" s="2018"/>
      <c r="N1834" s="2018"/>
      <c r="O1834" s="2018"/>
      <c r="P1834" s="2018"/>
      <c r="Q1834" s="2018"/>
      <c r="R1834" s="2018"/>
      <c r="S1834" s="2018"/>
      <c r="T1834" s="2018"/>
      <c r="U1834" s="2018"/>
      <c r="V1834" s="2018"/>
      <c r="W1834" s="2018"/>
      <c r="X1834" s="2018"/>
      <c r="Y1834" s="2018"/>
      <c r="Z1834" s="2022"/>
      <c r="AA1834" s="2022"/>
      <c r="AB1834" s="1050"/>
      <c r="AC1834" s="1050"/>
      <c r="AD1834" s="1050"/>
      <c r="AE1834" s="1050"/>
      <c r="AF1834" s="1052"/>
    </row>
    <row r="1835" spans="1:32" ht="15.75" x14ac:dyDescent="0.25">
      <c r="A1835" s="2017"/>
      <c r="B1835" s="2018"/>
      <c r="C1835" s="2018"/>
      <c r="D1835" s="2018"/>
      <c r="E1835" s="2018"/>
      <c r="F1835" s="2018"/>
      <c r="G1835" s="2018"/>
      <c r="H1835" s="2018"/>
      <c r="I1835" s="2018"/>
      <c r="J1835" s="2018"/>
      <c r="K1835" s="2018"/>
      <c r="L1835" s="2018"/>
      <c r="M1835" s="2018"/>
      <c r="N1835" s="2018"/>
      <c r="O1835" s="2018"/>
      <c r="P1835" s="2018"/>
      <c r="Q1835" s="2018"/>
      <c r="R1835" s="2018"/>
      <c r="S1835" s="2018"/>
      <c r="T1835" s="2018"/>
      <c r="U1835" s="2018"/>
      <c r="V1835" s="2018"/>
      <c r="W1835" s="2018"/>
      <c r="X1835" s="2018"/>
      <c r="Y1835" s="2018"/>
      <c r="Z1835" s="2023"/>
      <c r="AA1835" s="2023"/>
      <c r="AB1835" s="1050"/>
      <c r="AC1835" s="1050"/>
      <c r="AD1835" s="1050"/>
      <c r="AE1835" s="1050"/>
      <c r="AF1835" s="1052"/>
    </row>
    <row r="1836" spans="1:32" ht="15.75" x14ac:dyDescent="0.25">
      <c r="A1836" s="2017"/>
      <c r="B1836" s="2018"/>
      <c r="C1836" s="2018"/>
      <c r="D1836" s="2018"/>
      <c r="E1836" s="2018"/>
      <c r="F1836" s="2018"/>
      <c r="G1836" s="2018"/>
      <c r="H1836" s="2018"/>
      <c r="I1836" s="2018"/>
      <c r="J1836" s="2018"/>
      <c r="K1836" s="2018"/>
      <c r="L1836" s="2018"/>
      <c r="M1836" s="2018"/>
      <c r="N1836" s="2018"/>
      <c r="O1836" s="2018"/>
      <c r="P1836" s="2018"/>
      <c r="Q1836" s="2018"/>
      <c r="R1836" s="2018"/>
      <c r="S1836" s="2018"/>
      <c r="T1836" s="2018"/>
      <c r="U1836" s="2018"/>
      <c r="V1836" s="2018"/>
      <c r="W1836" s="2018"/>
      <c r="X1836" s="2018"/>
      <c r="Y1836" s="2018"/>
      <c r="Z1836" s="2023"/>
      <c r="AA1836" s="2023"/>
      <c r="AB1836" s="1050"/>
      <c r="AC1836" s="1050"/>
      <c r="AD1836" s="1050"/>
      <c r="AE1836" s="1050"/>
      <c r="AF1836" s="1052"/>
    </row>
    <row r="1837" spans="1:32" ht="15.75" x14ac:dyDescent="0.25">
      <c r="A1837" s="2017"/>
      <c r="B1837" s="2018"/>
      <c r="C1837" s="2018"/>
      <c r="D1837" s="2018"/>
      <c r="E1837" s="2018"/>
      <c r="F1837" s="2018"/>
      <c r="G1837" s="2018"/>
      <c r="H1837" s="2018"/>
      <c r="I1837" s="2018"/>
      <c r="J1837" s="2018"/>
      <c r="K1837" s="2018"/>
      <c r="L1837" s="2018"/>
      <c r="M1837" s="2018"/>
      <c r="N1837" s="2018"/>
      <c r="O1837" s="2018"/>
      <c r="P1837" s="2018"/>
      <c r="Q1837" s="2018"/>
      <c r="R1837" s="2018"/>
      <c r="S1837" s="2018"/>
      <c r="T1837" s="2018"/>
      <c r="U1837" s="2018"/>
      <c r="V1837" s="2018"/>
      <c r="W1837" s="2018"/>
      <c r="X1837" s="2018"/>
      <c r="Y1837" s="2018"/>
      <c r="Z1837" s="2023"/>
      <c r="AA1837" s="2023"/>
      <c r="AB1837" s="1050"/>
      <c r="AC1837" s="1050"/>
      <c r="AD1837" s="1050"/>
      <c r="AE1837" s="1050"/>
      <c r="AF1837" s="1052"/>
    </row>
    <row r="1838" spans="1:32" ht="15.75" x14ac:dyDescent="0.25">
      <c r="A1838" s="2017"/>
      <c r="B1838" s="2018"/>
      <c r="C1838" s="2018"/>
      <c r="D1838" s="2018"/>
      <c r="E1838" s="2018"/>
      <c r="F1838" s="2018"/>
      <c r="G1838" s="2018"/>
      <c r="H1838" s="2018"/>
      <c r="I1838" s="2018"/>
      <c r="J1838" s="2018"/>
      <c r="K1838" s="2018"/>
      <c r="L1838" s="2018"/>
      <c r="M1838" s="2018"/>
      <c r="N1838" s="2018"/>
      <c r="O1838" s="2018"/>
      <c r="P1838" s="2018"/>
      <c r="Q1838" s="2018"/>
      <c r="R1838" s="2018"/>
      <c r="S1838" s="2018"/>
      <c r="T1838" s="2018"/>
      <c r="U1838" s="2018"/>
      <c r="V1838" s="2018"/>
      <c r="W1838" s="2018"/>
      <c r="X1838" s="2018"/>
      <c r="Y1838" s="2018"/>
      <c r="Z1838" s="2023"/>
      <c r="AA1838" s="2023"/>
      <c r="AB1838" s="1050"/>
      <c r="AC1838" s="1050"/>
      <c r="AD1838" s="1050"/>
      <c r="AE1838" s="1050"/>
      <c r="AF1838" s="1052"/>
    </row>
    <row r="1839" spans="1:32" ht="15.75" x14ac:dyDescent="0.25">
      <c r="A1839" s="2017"/>
      <c r="B1839" s="2018"/>
      <c r="C1839" s="2018"/>
      <c r="D1839" s="2018"/>
      <c r="E1839" s="2018"/>
      <c r="F1839" s="2018"/>
      <c r="G1839" s="2018"/>
      <c r="H1839" s="2018"/>
      <c r="I1839" s="2018"/>
      <c r="J1839" s="2018"/>
      <c r="K1839" s="2018"/>
      <c r="L1839" s="2018"/>
      <c r="M1839" s="2018"/>
      <c r="N1839" s="2018"/>
      <c r="O1839" s="2018"/>
      <c r="P1839" s="2018"/>
      <c r="Q1839" s="2018"/>
      <c r="R1839" s="2018"/>
      <c r="S1839" s="2018"/>
      <c r="T1839" s="2018"/>
      <c r="U1839" s="2018"/>
      <c r="V1839" s="2018"/>
      <c r="W1839" s="2018"/>
      <c r="X1839" s="2018"/>
      <c r="Y1839" s="2018"/>
      <c r="Z1839" s="2023"/>
      <c r="AA1839" s="2023"/>
      <c r="AB1839" s="1050"/>
      <c r="AC1839" s="1050"/>
      <c r="AD1839" s="1050"/>
      <c r="AE1839" s="1050"/>
      <c r="AF1839" s="1052"/>
    </row>
    <row r="1840" spans="1:32" ht="15.75" x14ac:dyDescent="0.25">
      <c r="A1840" s="2017"/>
      <c r="B1840" s="2018"/>
      <c r="C1840" s="2018"/>
      <c r="D1840" s="2018"/>
      <c r="E1840" s="2018"/>
      <c r="F1840" s="2018"/>
      <c r="G1840" s="2018"/>
      <c r="H1840" s="2018"/>
      <c r="I1840" s="2018"/>
      <c r="J1840" s="2018"/>
      <c r="K1840" s="2018"/>
      <c r="L1840" s="2018"/>
      <c r="M1840" s="2018"/>
      <c r="N1840" s="2018"/>
      <c r="O1840" s="2018"/>
      <c r="P1840" s="2018"/>
      <c r="Q1840" s="2018"/>
      <c r="R1840" s="2018"/>
      <c r="S1840" s="2018"/>
      <c r="T1840" s="2018"/>
      <c r="U1840" s="2018"/>
      <c r="V1840" s="2018"/>
      <c r="W1840" s="2018"/>
      <c r="X1840" s="2018"/>
      <c r="Y1840" s="2018"/>
      <c r="Z1840" s="2023"/>
      <c r="AA1840" s="2023"/>
      <c r="AB1840" s="1050"/>
      <c r="AC1840" s="1050"/>
      <c r="AD1840" s="1050"/>
      <c r="AE1840" s="1050"/>
      <c r="AF1840" s="1052"/>
    </row>
    <row r="1841" spans="1:32" ht="16.5" thickBot="1" x14ac:dyDescent="0.3">
      <c r="A1841" s="2019"/>
      <c r="B1841" s="2020"/>
      <c r="C1841" s="2020"/>
      <c r="D1841" s="2020"/>
      <c r="E1841" s="2020"/>
      <c r="F1841" s="2020"/>
      <c r="G1841" s="2020"/>
      <c r="H1841" s="2020"/>
      <c r="I1841" s="2020"/>
      <c r="J1841" s="2020"/>
      <c r="K1841" s="2020"/>
      <c r="L1841" s="2020"/>
      <c r="M1841" s="2020"/>
      <c r="N1841" s="2020"/>
      <c r="O1841" s="2020"/>
      <c r="P1841" s="2020"/>
      <c r="Q1841" s="2020"/>
      <c r="R1841" s="2020"/>
      <c r="S1841" s="2020"/>
      <c r="T1841" s="2020"/>
      <c r="U1841" s="2020"/>
      <c r="V1841" s="2020"/>
      <c r="W1841" s="2020"/>
      <c r="X1841" s="2020"/>
      <c r="Y1841" s="2020"/>
      <c r="Z1841" s="2024"/>
      <c r="AA1841" s="2024"/>
      <c r="AB1841" s="1057"/>
      <c r="AC1841" s="1057"/>
      <c r="AD1841" s="1057"/>
      <c r="AE1841" s="1057"/>
      <c r="AF1841" s="1058"/>
    </row>
    <row r="1842" spans="1:32" ht="15.75" x14ac:dyDescent="0.25">
      <c r="A1842" s="2009" t="s">
        <v>1855</v>
      </c>
      <c r="B1842" s="2010"/>
      <c r="C1842" s="2010"/>
      <c r="D1842" s="2010"/>
      <c r="E1842" s="2010"/>
      <c r="F1842" s="2010"/>
      <c r="G1842" s="2010"/>
      <c r="H1842" s="2010"/>
      <c r="I1842" s="2010"/>
      <c r="J1842" s="2010"/>
      <c r="K1842" s="2010"/>
      <c r="L1842" s="2010"/>
      <c r="M1842" s="2010"/>
      <c r="N1842" s="2010"/>
      <c r="O1842" s="2010"/>
      <c r="P1842" s="2010"/>
      <c r="Q1842" s="2010"/>
      <c r="R1842" s="2010"/>
      <c r="S1842" s="2010"/>
      <c r="T1842" s="2010"/>
      <c r="U1842" s="2010"/>
      <c r="V1842" s="2010"/>
      <c r="W1842" s="2010"/>
      <c r="X1842" s="2010"/>
      <c r="Y1842" s="2010"/>
      <c r="Z1842" s="2013" t="s">
        <v>1850</v>
      </c>
      <c r="AA1842" s="2013"/>
      <c r="AB1842" s="2013"/>
      <c r="AC1842" s="2013"/>
      <c r="AD1842" s="2013"/>
      <c r="AE1842" s="2013"/>
      <c r="AF1842" s="1059">
        <f>SUM(AF1818:AF1841)</f>
        <v>32</v>
      </c>
    </row>
    <row r="1843" spans="1:32" ht="15.75" x14ac:dyDescent="0.25">
      <c r="A1843" s="2011"/>
      <c r="B1843" s="2012"/>
      <c r="C1843" s="2012"/>
      <c r="D1843" s="2012"/>
      <c r="E1843" s="2012"/>
      <c r="F1843" s="2012"/>
      <c r="G1843" s="2012"/>
      <c r="H1843" s="2012"/>
      <c r="I1843" s="2012"/>
      <c r="J1843" s="2012"/>
      <c r="K1843" s="2012"/>
      <c r="L1843" s="2012"/>
      <c r="M1843" s="2012"/>
      <c r="N1843" s="2012"/>
      <c r="O1843" s="2012"/>
      <c r="P1843" s="2012"/>
      <c r="Q1843" s="2012"/>
      <c r="R1843" s="2012"/>
      <c r="S1843" s="2012"/>
      <c r="T1843" s="2012"/>
      <c r="U1843" s="2012"/>
      <c r="V1843" s="2012"/>
      <c r="W1843" s="2012"/>
      <c r="X1843" s="2012"/>
      <c r="Y1843" s="2012"/>
      <c r="Z1843" s="2014" t="s">
        <v>1851</v>
      </c>
      <c r="AA1843" s="2014"/>
      <c r="AB1843" s="2014"/>
      <c r="AC1843" s="2014"/>
      <c r="AD1843" s="2014"/>
      <c r="AE1843" s="2014"/>
      <c r="AF1843" s="1060">
        <v>0</v>
      </c>
    </row>
    <row r="1844" spans="1:32" ht="15.75" x14ac:dyDescent="0.25">
      <c r="A1844" s="2011"/>
      <c r="B1844" s="2012"/>
      <c r="C1844" s="2012"/>
      <c r="D1844" s="2012"/>
      <c r="E1844" s="2012"/>
      <c r="F1844" s="2012"/>
      <c r="G1844" s="2012"/>
      <c r="H1844" s="2012"/>
      <c r="I1844" s="2012"/>
      <c r="J1844" s="2012"/>
      <c r="K1844" s="2012"/>
      <c r="L1844" s="2012"/>
      <c r="M1844" s="2012"/>
      <c r="N1844" s="2012"/>
      <c r="O1844" s="2012"/>
      <c r="P1844" s="2012"/>
      <c r="Q1844" s="2012"/>
      <c r="R1844" s="2012"/>
      <c r="S1844" s="2012"/>
      <c r="T1844" s="2012"/>
      <c r="U1844" s="2012"/>
      <c r="V1844" s="2012"/>
      <c r="W1844" s="2012"/>
      <c r="X1844" s="2012"/>
      <c r="Y1844" s="2012"/>
      <c r="Z1844" s="2015" t="s">
        <v>1833</v>
      </c>
      <c r="AA1844" s="2015"/>
      <c r="AB1844" s="2015"/>
      <c r="AC1844" s="2015"/>
      <c r="AD1844" s="2015"/>
      <c r="AE1844" s="2015"/>
      <c r="AF1844" s="1061">
        <f>SUM(AF1842:AF1843)</f>
        <v>32</v>
      </c>
    </row>
    <row r="1845" spans="1:32" x14ac:dyDescent="0.2">
      <c r="A1845" s="2012" t="s">
        <v>1859</v>
      </c>
      <c r="B1845" s="2012"/>
      <c r="C1845" s="2012"/>
      <c r="D1845" s="2012"/>
      <c r="E1845" s="2012"/>
      <c r="F1845" s="2012"/>
      <c r="G1845" s="2012"/>
      <c r="H1845" s="2012"/>
      <c r="I1845" s="2012"/>
      <c r="J1845" s="2012"/>
      <c r="K1845" s="2012"/>
      <c r="L1845" s="2012"/>
      <c r="M1845" s="2012"/>
      <c r="N1845" s="2012"/>
      <c r="O1845" s="2012"/>
      <c r="P1845" s="2012"/>
      <c r="Q1845" s="2012"/>
      <c r="R1845" s="2012"/>
      <c r="S1845" s="2012"/>
      <c r="T1845" s="2016" t="s">
        <v>1840</v>
      </c>
      <c r="U1845" s="2016"/>
      <c r="V1845" s="2016"/>
      <c r="W1845" s="2016"/>
      <c r="X1845" s="2016"/>
      <c r="Y1845" s="2016"/>
      <c r="Z1845" s="2016"/>
      <c r="AA1845" s="2016"/>
      <c r="AB1845" s="2012" t="s">
        <v>1852</v>
      </c>
      <c r="AC1845" s="2012"/>
      <c r="AD1845" s="2012"/>
      <c r="AE1845" s="2012"/>
      <c r="AF1845" s="2012"/>
    </row>
    <row r="1846" spans="1:32" x14ac:dyDescent="0.2">
      <c r="A1846" s="2012"/>
      <c r="B1846" s="2012"/>
      <c r="C1846" s="2012"/>
      <c r="D1846" s="2012"/>
      <c r="E1846" s="2012"/>
      <c r="F1846" s="2012"/>
      <c r="G1846" s="2012"/>
      <c r="H1846" s="2012"/>
      <c r="I1846" s="2012"/>
      <c r="J1846" s="2012"/>
      <c r="K1846" s="2012"/>
      <c r="L1846" s="2012"/>
      <c r="M1846" s="2012"/>
      <c r="N1846" s="2012"/>
      <c r="O1846" s="2012"/>
      <c r="P1846" s="2012"/>
      <c r="Q1846" s="2012"/>
      <c r="R1846" s="2012"/>
      <c r="S1846" s="2012"/>
      <c r="T1846" s="2016"/>
      <c r="U1846" s="2016"/>
      <c r="V1846" s="2016"/>
      <c r="W1846" s="2016"/>
      <c r="X1846" s="2016"/>
      <c r="Y1846" s="2016"/>
      <c r="Z1846" s="2016"/>
      <c r="AA1846" s="2016"/>
      <c r="AB1846" s="2012"/>
      <c r="AC1846" s="2012"/>
      <c r="AD1846" s="2012"/>
      <c r="AE1846" s="2012"/>
      <c r="AF1846" s="2012"/>
    </row>
    <row r="1847" spans="1:32" ht="13.5" thickBot="1" x14ac:dyDescent="0.25"/>
    <row r="1848" spans="1:32" ht="26.45" customHeight="1" x14ac:dyDescent="0.2">
      <c r="A1848" s="2025" t="s">
        <v>1854</v>
      </c>
      <c r="B1848" s="2026"/>
      <c r="C1848" s="2026"/>
      <c r="D1848" s="2026"/>
      <c r="E1848" s="2026"/>
      <c r="F1848" s="2026"/>
      <c r="G1848" s="2026"/>
      <c r="H1848" s="2026"/>
      <c r="I1848" s="2026"/>
      <c r="J1848" s="2026"/>
      <c r="K1848" s="2026"/>
      <c r="L1848" s="2026"/>
      <c r="M1848" s="2026"/>
      <c r="N1848" s="2026"/>
      <c r="O1848" s="2026"/>
      <c r="P1848" s="2026"/>
      <c r="Q1848" s="2026"/>
      <c r="R1848" s="2026"/>
      <c r="S1848" s="2026"/>
      <c r="T1848" s="2026"/>
      <c r="U1848" s="2026"/>
      <c r="V1848" s="2026"/>
      <c r="W1848" s="2026"/>
      <c r="X1848" s="2026"/>
      <c r="Y1848" s="2026"/>
      <c r="Z1848" s="2026"/>
      <c r="AA1848" s="2026"/>
      <c r="AB1848" s="2026"/>
      <c r="AC1848" s="2026"/>
      <c r="AD1848" s="2026"/>
      <c r="AE1848" s="1041" t="s">
        <v>1834</v>
      </c>
      <c r="AF1848" s="1042" t="s">
        <v>1835</v>
      </c>
    </row>
    <row r="1849" spans="1:32" ht="21" customHeight="1" thickBot="1" x14ac:dyDescent="0.25">
      <c r="A1849" s="2027"/>
      <c r="B1849" s="2028"/>
      <c r="C1849" s="2028"/>
      <c r="D1849" s="2028"/>
      <c r="E1849" s="2028"/>
      <c r="F1849" s="2028"/>
      <c r="G1849" s="2028"/>
      <c r="H1849" s="2028"/>
      <c r="I1849" s="2028"/>
      <c r="J1849" s="2028"/>
      <c r="K1849" s="2028"/>
      <c r="L1849" s="2028"/>
      <c r="M1849" s="2028"/>
      <c r="N1849" s="2028"/>
      <c r="O1849" s="2028"/>
      <c r="P1849" s="2028"/>
      <c r="Q1849" s="2028"/>
      <c r="R1849" s="2028"/>
      <c r="S1849" s="2028"/>
      <c r="T1849" s="2028"/>
      <c r="U1849" s="2028"/>
      <c r="V1849" s="2028"/>
      <c r="W1849" s="2028"/>
      <c r="X1849" s="2028"/>
      <c r="Y1849" s="2028"/>
      <c r="Z1849" s="2028"/>
      <c r="AA1849" s="2028"/>
      <c r="AB1849" s="2028"/>
      <c r="AC1849" s="2028"/>
      <c r="AD1849" s="2028"/>
      <c r="AE1849" s="1041" t="s">
        <v>1836</v>
      </c>
      <c r="AF1849" s="1044">
        <v>1</v>
      </c>
    </row>
    <row r="1850" spans="1:32" ht="15.75" x14ac:dyDescent="0.2">
      <c r="A1850" s="2029"/>
      <c r="B1850" s="2030"/>
      <c r="C1850" s="2030"/>
      <c r="D1850" s="2031"/>
      <c r="E1850" s="2025" t="str">
        <f>'01'!$A$12</f>
        <v>"CONSTRUCCION SISTEMA DE ACUEDUCTO FASE II DEL MUNICIPIO DE TESALIA DPTO DEL HUILA"</v>
      </c>
      <c r="F1850" s="2026"/>
      <c r="G1850" s="2026"/>
      <c r="H1850" s="2026"/>
      <c r="I1850" s="2026"/>
      <c r="J1850" s="2026"/>
      <c r="K1850" s="2026"/>
      <c r="L1850" s="2026"/>
      <c r="M1850" s="2026"/>
      <c r="N1850" s="2026"/>
      <c r="O1850" s="2026"/>
      <c r="P1850" s="2026"/>
      <c r="Q1850" s="2026"/>
      <c r="R1850" s="2026"/>
      <c r="S1850" s="2026"/>
      <c r="T1850" s="2026"/>
      <c r="U1850" s="2026"/>
      <c r="V1850" s="2026"/>
      <c r="W1850" s="2026"/>
      <c r="X1850" s="2026"/>
      <c r="Y1850" s="2026"/>
      <c r="Z1850" s="2026"/>
      <c r="AA1850" s="2026"/>
      <c r="AB1850" s="2026"/>
      <c r="AC1850" s="2026"/>
      <c r="AD1850" s="2035"/>
      <c r="AE1850" s="1041" t="s">
        <v>847</v>
      </c>
      <c r="AF1850" s="1045">
        <f>'01'!$M$13</f>
        <v>0</v>
      </c>
    </row>
    <row r="1851" spans="1:32" ht="16.5" thickBot="1" x14ac:dyDescent="0.25">
      <c r="A1851" s="2032"/>
      <c r="B1851" s="2033"/>
      <c r="C1851" s="2033"/>
      <c r="D1851" s="2034"/>
      <c r="E1851" s="2027"/>
      <c r="F1851" s="2028"/>
      <c r="G1851" s="2028"/>
      <c r="H1851" s="2028"/>
      <c r="I1851" s="2028"/>
      <c r="J1851" s="2028"/>
      <c r="K1851" s="2028"/>
      <c r="L1851" s="2028"/>
      <c r="M1851" s="2028"/>
      <c r="N1851" s="2028"/>
      <c r="O1851" s="2028"/>
      <c r="P1851" s="2028"/>
      <c r="Q1851" s="2028"/>
      <c r="R1851" s="2028"/>
      <c r="S1851" s="2028"/>
      <c r="T1851" s="2028"/>
      <c r="U1851" s="2028"/>
      <c r="V1851" s="2028"/>
      <c r="W1851" s="2028"/>
      <c r="X1851" s="2028"/>
      <c r="Y1851" s="2028"/>
      <c r="Z1851" s="2028"/>
      <c r="AA1851" s="2028"/>
      <c r="AB1851" s="2028"/>
      <c r="AC1851" s="2028"/>
      <c r="AD1851" s="2036"/>
      <c r="AE1851" s="1041" t="s">
        <v>1837</v>
      </c>
      <c r="AF1851" s="1042" t="s">
        <v>1838</v>
      </c>
    </row>
    <row r="1852" spans="1:32" ht="15.75" x14ac:dyDescent="0.25">
      <c r="A1852" s="2037" t="s">
        <v>1860</v>
      </c>
      <c r="B1852" s="2038"/>
      <c r="C1852" s="2038"/>
      <c r="D1852" s="2038"/>
      <c r="E1852" s="2038"/>
      <c r="F1852" s="2038"/>
      <c r="G1852" s="2038"/>
      <c r="H1852" s="2038"/>
      <c r="I1852" s="2038"/>
      <c r="J1852" s="2038"/>
      <c r="K1852" s="2038"/>
      <c r="L1852" s="2038"/>
      <c r="M1852" s="2038"/>
      <c r="N1852" s="2038"/>
      <c r="O1852" s="2038"/>
      <c r="P1852" s="2038"/>
      <c r="Q1852" s="2038"/>
      <c r="R1852" s="2038"/>
      <c r="S1852" s="2038"/>
      <c r="T1852" s="2038"/>
      <c r="U1852" s="2038"/>
      <c r="V1852" s="2038"/>
      <c r="W1852" s="2038"/>
      <c r="X1852" s="2038"/>
      <c r="Y1852" s="2038"/>
      <c r="Z1852" s="2038"/>
      <c r="AA1852" s="2038"/>
      <c r="AB1852" s="2038"/>
      <c r="AC1852" s="2038"/>
      <c r="AD1852" s="2038"/>
      <c r="AE1852" s="2039" t="s">
        <v>1839</v>
      </c>
      <c r="AF1852" s="2040"/>
    </row>
    <row r="1853" spans="1:32" ht="15.75" x14ac:dyDescent="0.25">
      <c r="A1853" s="2041" t="s">
        <v>1840</v>
      </c>
      <c r="B1853" s="2042"/>
      <c r="C1853" s="2042"/>
      <c r="D1853" s="2042"/>
      <c r="E1853" s="2042"/>
      <c r="F1853" s="2042"/>
      <c r="G1853" s="2042"/>
      <c r="H1853" s="2042"/>
      <c r="I1853" s="2042"/>
      <c r="J1853" s="2042"/>
      <c r="K1853" s="2042"/>
      <c r="L1853" s="2042"/>
      <c r="M1853" s="2042"/>
      <c r="N1853" s="2042"/>
      <c r="O1853" s="2042"/>
      <c r="P1853" s="2042"/>
      <c r="Q1853" s="2042"/>
      <c r="R1853" s="2042"/>
      <c r="S1853" s="2042"/>
      <c r="T1853" s="2042"/>
      <c r="U1853" s="2042"/>
      <c r="V1853" s="2042"/>
      <c r="W1853" s="2042"/>
      <c r="X1853" s="2042"/>
      <c r="Y1853" s="2042"/>
      <c r="Z1853" s="2042"/>
      <c r="AA1853" s="2042"/>
      <c r="AB1853" s="2042"/>
      <c r="AC1853" s="2042"/>
      <c r="AD1853" s="2043"/>
      <c r="AE1853" s="2014" t="s">
        <v>1841</v>
      </c>
      <c r="AF1853" s="2044"/>
    </row>
    <row r="1854" spans="1:32" ht="15.75" x14ac:dyDescent="0.25">
      <c r="A1854" s="2045" t="s">
        <v>1853</v>
      </c>
      <c r="B1854" s="2046"/>
      <c r="C1854" s="2046"/>
      <c r="D1854" s="2046"/>
      <c r="E1854" s="2046"/>
      <c r="F1854" s="2046"/>
      <c r="G1854" s="2046"/>
      <c r="H1854" s="2046"/>
      <c r="I1854" s="2046"/>
      <c r="J1854" s="2046"/>
      <c r="K1854" s="2046"/>
      <c r="L1854" s="2046"/>
      <c r="M1854" s="2046"/>
      <c r="N1854" s="2046"/>
      <c r="O1854" s="2046"/>
      <c r="P1854" s="2046"/>
      <c r="Q1854" s="2046"/>
      <c r="R1854" s="2046"/>
      <c r="S1854" s="2046"/>
      <c r="T1854" s="2046"/>
      <c r="U1854" s="2046"/>
      <c r="V1854" s="2046"/>
      <c r="W1854" s="2046"/>
      <c r="X1854" s="2046"/>
      <c r="Y1854" s="2046"/>
      <c r="Z1854" s="2046"/>
      <c r="AA1854" s="2046"/>
      <c r="AB1854" s="2046"/>
      <c r="AC1854" s="2046"/>
      <c r="AD1854" s="2046"/>
      <c r="AE1854" s="2047">
        <f>'01'!$M$13</f>
        <v>0</v>
      </c>
      <c r="AF1854" s="2044"/>
    </row>
    <row r="1855" spans="1:32" x14ac:dyDescent="0.2">
      <c r="A1855" s="1046"/>
      <c r="B1855" s="1047"/>
      <c r="C1855" s="1047"/>
      <c r="D1855" s="1047"/>
      <c r="E1855" s="1047"/>
      <c r="F1855" s="1047"/>
      <c r="G1855" s="1047"/>
      <c r="H1855" s="1047"/>
      <c r="I1855" s="1047"/>
      <c r="J1855" s="1047"/>
      <c r="K1855" s="1047"/>
      <c r="L1855" s="1047"/>
      <c r="M1855" s="1047"/>
      <c r="N1855" s="1047"/>
      <c r="O1855" s="1047"/>
      <c r="P1855" s="1047"/>
      <c r="Q1855" s="1047"/>
      <c r="R1855" s="1047"/>
      <c r="S1855" s="1047"/>
      <c r="T1855" s="1047"/>
      <c r="U1855" s="1047"/>
      <c r="V1855" s="1047"/>
      <c r="W1855" s="1047"/>
      <c r="X1855" s="1047"/>
      <c r="Y1855" s="1047"/>
      <c r="Z1855" s="1047"/>
      <c r="AA1855" s="1047"/>
      <c r="AB1855" s="1047"/>
      <c r="AC1855" s="1047"/>
      <c r="AD1855" s="1047"/>
      <c r="AE1855" s="1047"/>
      <c r="AF1855" s="1048"/>
    </row>
    <row r="1856" spans="1:32" ht="30" customHeight="1" x14ac:dyDescent="0.2">
      <c r="A1856" s="2048" t="s">
        <v>1842</v>
      </c>
      <c r="B1856" s="2049"/>
      <c r="C1856" s="2049"/>
      <c r="D1856" s="2049"/>
      <c r="E1856" s="2049"/>
      <c r="F1856" s="2050" t="str">
        <f>+'01'!$H$63</f>
        <v>C - FLOCULADOR, SEDIMENTADOR, CANAL DE AGUA SEDIMENTADA Y CANAL DE LAVADO</v>
      </c>
      <c r="G1856" s="2049"/>
      <c r="H1856" s="2049"/>
      <c r="I1856" s="2049"/>
      <c r="J1856" s="2049"/>
      <c r="K1856" s="2049"/>
      <c r="L1856" s="2049"/>
      <c r="M1856" s="2049"/>
      <c r="N1856" s="2049"/>
      <c r="O1856" s="2049"/>
      <c r="P1856" s="2049"/>
      <c r="Q1856" s="2049"/>
      <c r="R1856" s="2049"/>
      <c r="S1856" s="2049"/>
      <c r="T1856" s="2049"/>
      <c r="U1856" s="2049"/>
      <c r="V1856" s="2049"/>
      <c r="W1856" s="2049"/>
      <c r="X1856" s="2049"/>
      <c r="Y1856" s="2051"/>
      <c r="Z1856" s="2052" t="s">
        <v>1843</v>
      </c>
      <c r="AA1856" s="2053"/>
      <c r="AB1856" s="2058" t="s">
        <v>1844</v>
      </c>
      <c r="AC1856" s="2059"/>
      <c r="AD1856" s="2060"/>
      <c r="AE1856" s="2064" t="s">
        <v>1845</v>
      </c>
      <c r="AF1856" s="2067" t="s">
        <v>1846</v>
      </c>
    </row>
    <row r="1857" spans="1:32" x14ac:dyDescent="0.2">
      <c r="A1857" s="2070" t="str">
        <f>+'01'!A90</f>
        <v>C-08-05</v>
      </c>
      <c r="B1857" s="2071"/>
      <c r="C1857" s="2072"/>
      <c r="D1857" s="2076" t="str">
        <f>VLOOKUP(A1857,'01'!$A$12:$N$299,3,FALSE)</f>
        <v>SUMINISTRO E INSTALACIÓN PASAMURO HD 12" BXB=0,75M Z=0.375 M.</v>
      </c>
      <c r="E1857" s="2077"/>
      <c r="F1857" s="2077"/>
      <c r="G1857" s="2077"/>
      <c r="H1857" s="2077"/>
      <c r="I1857" s="2077"/>
      <c r="J1857" s="2077"/>
      <c r="K1857" s="2077"/>
      <c r="L1857" s="2077"/>
      <c r="M1857" s="2077"/>
      <c r="N1857" s="2077"/>
      <c r="O1857" s="2077"/>
      <c r="P1857" s="2077"/>
      <c r="Q1857" s="2077"/>
      <c r="R1857" s="2077"/>
      <c r="S1857" s="2078"/>
      <c r="T1857" s="2082" t="s">
        <v>124</v>
      </c>
      <c r="U1857" s="2083"/>
      <c r="V1857" s="2083"/>
      <c r="W1857" s="2083"/>
      <c r="X1857" s="2052" t="str">
        <f>VLOOKUP(A1857,'01'!$A$12:$N$299,9,FALSE)</f>
        <v>UND</v>
      </c>
      <c r="Y1857" s="2053"/>
      <c r="Z1857" s="2054"/>
      <c r="AA1857" s="2055"/>
      <c r="AB1857" s="2061"/>
      <c r="AC1857" s="2062"/>
      <c r="AD1857" s="2063"/>
      <c r="AE1857" s="2065"/>
      <c r="AF1857" s="2068"/>
    </row>
    <row r="1858" spans="1:32" ht="15.75" x14ac:dyDescent="0.25">
      <c r="A1858" s="2073"/>
      <c r="B1858" s="2074"/>
      <c r="C1858" s="2075"/>
      <c r="D1858" s="2079"/>
      <c r="E1858" s="2080"/>
      <c r="F1858" s="2080"/>
      <c r="G1858" s="2080"/>
      <c r="H1858" s="2080"/>
      <c r="I1858" s="2080"/>
      <c r="J1858" s="2080"/>
      <c r="K1858" s="2080"/>
      <c r="L1858" s="2080"/>
      <c r="M1858" s="2080"/>
      <c r="N1858" s="2080"/>
      <c r="O1858" s="2080"/>
      <c r="P1858" s="2080"/>
      <c r="Q1858" s="2080"/>
      <c r="R1858" s="2080"/>
      <c r="S1858" s="2081"/>
      <c r="T1858" s="2084"/>
      <c r="U1858" s="2085"/>
      <c r="V1858" s="2085"/>
      <c r="W1858" s="2085"/>
      <c r="X1858" s="2056"/>
      <c r="Y1858" s="2057"/>
      <c r="Z1858" s="2056"/>
      <c r="AA1858" s="2057"/>
      <c r="AB1858" s="1049" t="s">
        <v>1847</v>
      </c>
      <c r="AC1858" s="1049" t="s">
        <v>1848</v>
      </c>
      <c r="AD1858" s="1049" t="s">
        <v>1861</v>
      </c>
      <c r="AE1858" s="2066"/>
      <c r="AF1858" s="2069"/>
    </row>
    <row r="1859" spans="1:32" ht="15.75" x14ac:dyDescent="0.25">
      <c r="A1859" s="2017"/>
      <c r="B1859" s="2018"/>
      <c r="C1859" s="2018"/>
      <c r="D1859" s="2018"/>
      <c r="E1859" s="2018"/>
      <c r="F1859" s="2018"/>
      <c r="G1859" s="2018"/>
      <c r="H1859" s="2018"/>
      <c r="I1859" s="2018"/>
      <c r="J1859" s="2018"/>
      <c r="K1859" s="2018"/>
      <c r="L1859" s="2018"/>
      <c r="M1859" s="2018"/>
      <c r="N1859" s="2018"/>
      <c r="O1859" s="2018"/>
      <c r="P1859" s="2018"/>
      <c r="Q1859" s="2018"/>
      <c r="R1859" s="2018"/>
      <c r="S1859" s="2018"/>
      <c r="T1859" s="2018"/>
      <c r="U1859" s="2018"/>
      <c r="V1859" s="2018"/>
      <c r="W1859" s="2018"/>
      <c r="X1859" s="2018"/>
      <c r="Y1859" s="2018"/>
      <c r="Z1859" s="2096" t="s">
        <v>2423</v>
      </c>
      <c r="AA1859" s="2097"/>
      <c r="AB1859" s="1050"/>
      <c r="AC1859" s="1050"/>
      <c r="AD1859" s="1050"/>
      <c r="AE1859" s="1050">
        <v>2</v>
      </c>
      <c r="AF1859" s="1052">
        <f>AE1859</f>
        <v>2</v>
      </c>
    </row>
    <row r="1860" spans="1:32" ht="15.75" x14ac:dyDescent="0.25">
      <c r="A1860" s="2017"/>
      <c r="B1860" s="2018"/>
      <c r="C1860" s="2018"/>
      <c r="D1860" s="2018"/>
      <c r="E1860" s="2018"/>
      <c r="F1860" s="2018"/>
      <c r="G1860" s="2018"/>
      <c r="H1860" s="2018"/>
      <c r="I1860" s="2018"/>
      <c r="J1860" s="2018"/>
      <c r="K1860" s="2018"/>
      <c r="L1860" s="2018"/>
      <c r="M1860" s="2018"/>
      <c r="N1860" s="2018"/>
      <c r="O1860" s="2018"/>
      <c r="P1860" s="2018"/>
      <c r="Q1860" s="2018"/>
      <c r="R1860" s="2018"/>
      <c r="S1860" s="2018"/>
      <c r="T1860" s="2018"/>
      <c r="U1860" s="2018"/>
      <c r="V1860" s="2018"/>
      <c r="W1860" s="2018"/>
      <c r="X1860" s="2018"/>
      <c r="Y1860" s="2018"/>
      <c r="Z1860" s="2096"/>
      <c r="AA1860" s="2097"/>
      <c r="AB1860" s="1050"/>
      <c r="AC1860" s="1050"/>
      <c r="AD1860" s="1050"/>
      <c r="AE1860" s="1050"/>
      <c r="AF1860" s="1052"/>
    </row>
    <row r="1861" spans="1:32" ht="15.75" x14ac:dyDescent="0.25">
      <c r="A1861" s="2017"/>
      <c r="B1861" s="2018"/>
      <c r="C1861" s="2018"/>
      <c r="D1861" s="2018"/>
      <c r="E1861" s="2018"/>
      <c r="F1861" s="2018"/>
      <c r="G1861" s="2018"/>
      <c r="H1861" s="2018"/>
      <c r="I1861" s="2018"/>
      <c r="J1861" s="2018"/>
      <c r="K1861" s="2018"/>
      <c r="L1861" s="2018"/>
      <c r="M1861" s="2018"/>
      <c r="N1861" s="2018"/>
      <c r="O1861" s="2018"/>
      <c r="P1861" s="2018"/>
      <c r="Q1861" s="2018"/>
      <c r="R1861" s="2018"/>
      <c r="S1861" s="2018"/>
      <c r="T1861" s="2018"/>
      <c r="U1861" s="2018"/>
      <c r="V1861" s="2018"/>
      <c r="W1861" s="2018"/>
      <c r="X1861" s="2018"/>
      <c r="Y1861" s="2018"/>
      <c r="Z1861" s="2096"/>
      <c r="AA1861" s="2097"/>
      <c r="AB1861" s="1050"/>
      <c r="AC1861" s="1050"/>
      <c r="AD1861" s="1050"/>
      <c r="AE1861" s="1050"/>
      <c r="AF1861" s="1052"/>
    </row>
    <row r="1862" spans="1:32" ht="15.75" x14ac:dyDescent="0.25">
      <c r="A1862" s="2017"/>
      <c r="B1862" s="2018"/>
      <c r="C1862" s="2018"/>
      <c r="D1862" s="2018"/>
      <c r="E1862" s="2018"/>
      <c r="F1862" s="2018"/>
      <c r="G1862" s="2018"/>
      <c r="H1862" s="2018"/>
      <c r="I1862" s="2018"/>
      <c r="J1862" s="2018"/>
      <c r="K1862" s="2018"/>
      <c r="L1862" s="2018"/>
      <c r="M1862" s="2018"/>
      <c r="N1862" s="2018"/>
      <c r="O1862" s="2018"/>
      <c r="P1862" s="2018"/>
      <c r="Q1862" s="2018"/>
      <c r="R1862" s="2018"/>
      <c r="S1862" s="2018"/>
      <c r="T1862" s="2018"/>
      <c r="U1862" s="2018"/>
      <c r="V1862" s="2018"/>
      <c r="W1862" s="2018"/>
      <c r="X1862" s="2018"/>
      <c r="Y1862" s="2018"/>
      <c r="Z1862" s="2096"/>
      <c r="AA1862" s="2097"/>
      <c r="AB1862" s="1050"/>
      <c r="AC1862" s="1050"/>
      <c r="AD1862" s="1050"/>
      <c r="AE1862" s="1050"/>
      <c r="AF1862" s="1052"/>
    </row>
    <row r="1863" spans="1:32" ht="15.75" x14ac:dyDescent="0.25">
      <c r="A1863" s="2017"/>
      <c r="B1863" s="2018"/>
      <c r="C1863" s="2018"/>
      <c r="D1863" s="2018"/>
      <c r="E1863" s="2018"/>
      <c r="F1863" s="2018"/>
      <c r="G1863" s="2018"/>
      <c r="H1863" s="2018"/>
      <c r="I1863" s="2018"/>
      <c r="J1863" s="2018"/>
      <c r="K1863" s="2018"/>
      <c r="L1863" s="2018"/>
      <c r="M1863" s="2018"/>
      <c r="N1863" s="2018"/>
      <c r="O1863" s="2018"/>
      <c r="P1863" s="2018"/>
      <c r="Q1863" s="2018"/>
      <c r="R1863" s="2018"/>
      <c r="S1863" s="2018"/>
      <c r="T1863" s="2018"/>
      <c r="U1863" s="2018"/>
      <c r="V1863" s="2018"/>
      <c r="W1863" s="2018"/>
      <c r="X1863" s="2018"/>
      <c r="Y1863" s="2018"/>
      <c r="Z1863" s="2096"/>
      <c r="AA1863" s="2097"/>
      <c r="AB1863" s="1050"/>
      <c r="AC1863" s="1050"/>
      <c r="AD1863" s="1050"/>
      <c r="AE1863" s="1050"/>
      <c r="AF1863" s="1052"/>
    </row>
    <row r="1864" spans="1:32" ht="15.75" x14ac:dyDescent="0.25">
      <c r="A1864" s="2017"/>
      <c r="B1864" s="2018"/>
      <c r="C1864" s="2018"/>
      <c r="D1864" s="2018"/>
      <c r="E1864" s="2018"/>
      <c r="F1864" s="2018"/>
      <c r="G1864" s="2018"/>
      <c r="H1864" s="2018"/>
      <c r="I1864" s="2018"/>
      <c r="J1864" s="2018"/>
      <c r="K1864" s="2018"/>
      <c r="L1864" s="2018"/>
      <c r="M1864" s="2018"/>
      <c r="N1864" s="2018"/>
      <c r="O1864" s="2018"/>
      <c r="P1864" s="2018"/>
      <c r="Q1864" s="2018"/>
      <c r="R1864" s="2018"/>
      <c r="S1864" s="2018"/>
      <c r="T1864" s="2018"/>
      <c r="U1864" s="2018"/>
      <c r="V1864" s="2018"/>
      <c r="W1864" s="2018"/>
      <c r="X1864" s="2018"/>
      <c r="Y1864" s="2018"/>
      <c r="Z1864" s="2096"/>
      <c r="AA1864" s="2097"/>
      <c r="AB1864" s="1050"/>
      <c r="AC1864" s="1050"/>
      <c r="AD1864" s="1050"/>
      <c r="AE1864" s="1050"/>
      <c r="AF1864" s="1052"/>
    </row>
    <row r="1865" spans="1:32" ht="15.75" x14ac:dyDescent="0.25">
      <c r="A1865" s="2017"/>
      <c r="B1865" s="2018"/>
      <c r="C1865" s="2018"/>
      <c r="D1865" s="2018"/>
      <c r="E1865" s="2018"/>
      <c r="F1865" s="2018"/>
      <c r="G1865" s="2018"/>
      <c r="H1865" s="2018"/>
      <c r="I1865" s="2018"/>
      <c r="J1865" s="2018"/>
      <c r="K1865" s="2018"/>
      <c r="L1865" s="2018"/>
      <c r="M1865" s="2018"/>
      <c r="N1865" s="2018"/>
      <c r="O1865" s="2018"/>
      <c r="P1865" s="2018"/>
      <c r="Q1865" s="2018"/>
      <c r="R1865" s="2018"/>
      <c r="S1865" s="2018"/>
      <c r="T1865" s="2018"/>
      <c r="U1865" s="2018"/>
      <c r="V1865" s="2018"/>
      <c r="W1865" s="2018"/>
      <c r="X1865" s="2018"/>
      <c r="Y1865" s="2018"/>
      <c r="Z1865" s="2105"/>
      <c r="AA1865" s="2105"/>
      <c r="AB1865" s="1050"/>
      <c r="AC1865" s="1050"/>
      <c r="AD1865" s="1050"/>
      <c r="AE1865" s="1050"/>
      <c r="AF1865" s="1052"/>
    </row>
    <row r="1866" spans="1:32" ht="15.75" x14ac:dyDescent="0.25">
      <c r="A1866" s="2017"/>
      <c r="B1866" s="2018"/>
      <c r="C1866" s="2018"/>
      <c r="D1866" s="2018"/>
      <c r="E1866" s="2018"/>
      <c r="F1866" s="2018"/>
      <c r="G1866" s="2018"/>
      <c r="H1866" s="2018"/>
      <c r="I1866" s="2018"/>
      <c r="J1866" s="2018"/>
      <c r="K1866" s="2018"/>
      <c r="L1866" s="2018"/>
      <c r="M1866" s="2018"/>
      <c r="N1866" s="2018"/>
      <c r="O1866" s="2018"/>
      <c r="P1866" s="2018"/>
      <c r="Q1866" s="2018"/>
      <c r="R1866" s="2018"/>
      <c r="S1866" s="2018"/>
      <c r="T1866" s="2018"/>
      <c r="U1866" s="2018"/>
      <c r="V1866" s="2018"/>
      <c r="W1866" s="2018"/>
      <c r="X1866" s="2018"/>
      <c r="Y1866" s="2018"/>
      <c r="Z1866" s="2105"/>
      <c r="AA1866" s="2105"/>
      <c r="AB1866" s="1050"/>
      <c r="AC1866" s="1050"/>
      <c r="AD1866" s="1050"/>
      <c r="AE1866" s="1050"/>
      <c r="AF1866" s="1052"/>
    </row>
    <row r="1867" spans="1:32" ht="15.75" x14ac:dyDescent="0.25">
      <c r="A1867" s="2017"/>
      <c r="B1867" s="2018"/>
      <c r="C1867" s="2018"/>
      <c r="D1867" s="2018"/>
      <c r="E1867" s="2018"/>
      <c r="F1867" s="2018"/>
      <c r="G1867" s="2018"/>
      <c r="H1867" s="2018"/>
      <c r="I1867" s="2018"/>
      <c r="J1867" s="2018"/>
      <c r="K1867" s="2018"/>
      <c r="L1867" s="2018"/>
      <c r="M1867" s="2018"/>
      <c r="N1867" s="2018"/>
      <c r="O1867" s="2018"/>
      <c r="P1867" s="2018"/>
      <c r="Q1867" s="2018"/>
      <c r="R1867" s="2018"/>
      <c r="S1867" s="2018"/>
      <c r="T1867" s="2018"/>
      <c r="U1867" s="2018"/>
      <c r="V1867" s="2018"/>
      <c r="W1867" s="2018"/>
      <c r="X1867" s="2018"/>
      <c r="Y1867" s="2018"/>
      <c r="Z1867" s="2105"/>
      <c r="AA1867" s="2105"/>
      <c r="AB1867" s="1050"/>
      <c r="AC1867" s="1050"/>
      <c r="AD1867" s="1050"/>
      <c r="AE1867" s="1050"/>
      <c r="AF1867" s="1052"/>
    </row>
    <row r="1868" spans="1:32" ht="15.75" x14ac:dyDescent="0.25">
      <c r="A1868" s="2017"/>
      <c r="B1868" s="2018"/>
      <c r="C1868" s="2018"/>
      <c r="D1868" s="2018"/>
      <c r="E1868" s="2018"/>
      <c r="F1868" s="2018"/>
      <c r="G1868" s="2018"/>
      <c r="H1868" s="2018"/>
      <c r="I1868" s="2018"/>
      <c r="J1868" s="2018"/>
      <c r="K1868" s="2018"/>
      <c r="L1868" s="2018"/>
      <c r="M1868" s="2018"/>
      <c r="N1868" s="2018"/>
      <c r="O1868" s="2018"/>
      <c r="P1868" s="2018"/>
      <c r="Q1868" s="2018"/>
      <c r="R1868" s="2018"/>
      <c r="S1868" s="2018"/>
      <c r="T1868" s="2018"/>
      <c r="U1868" s="2018"/>
      <c r="V1868" s="2018"/>
      <c r="W1868" s="2018"/>
      <c r="X1868" s="2018"/>
      <c r="Y1868" s="2018"/>
      <c r="Z1868" s="2105"/>
      <c r="AA1868" s="2105"/>
      <c r="AB1868" s="1050"/>
      <c r="AC1868" s="1050"/>
      <c r="AD1868" s="1050"/>
      <c r="AE1868" s="1050"/>
      <c r="AF1868" s="1052"/>
    </row>
    <row r="1869" spans="1:32" ht="15.75" x14ac:dyDescent="0.25">
      <c r="A1869" s="2017"/>
      <c r="B1869" s="2018"/>
      <c r="C1869" s="2018"/>
      <c r="D1869" s="2018"/>
      <c r="E1869" s="2018"/>
      <c r="F1869" s="2018"/>
      <c r="G1869" s="2018"/>
      <c r="H1869" s="2018"/>
      <c r="I1869" s="2018"/>
      <c r="J1869" s="2018"/>
      <c r="K1869" s="2018"/>
      <c r="L1869" s="2018"/>
      <c r="M1869" s="2018"/>
      <c r="N1869" s="2018"/>
      <c r="O1869" s="2018"/>
      <c r="P1869" s="2018"/>
      <c r="Q1869" s="2018"/>
      <c r="R1869" s="2018"/>
      <c r="S1869" s="2018"/>
      <c r="T1869" s="2018"/>
      <c r="U1869" s="2018"/>
      <c r="V1869" s="2018"/>
      <c r="W1869" s="2018"/>
      <c r="X1869" s="2018"/>
      <c r="Y1869" s="2018"/>
      <c r="Z1869" s="2105"/>
      <c r="AA1869" s="2105"/>
      <c r="AB1869" s="1050"/>
      <c r="AC1869" s="1050"/>
      <c r="AD1869" s="1050"/>
      <c r="AE1869" s="1050"/>
      <c r="AF1869" s="1052"/>
    </row>
    <row r="1870" spans="1:32" ht="15.75" x14ac:dyDescent="0.25">
      <c r="A1870" s="2017"/>
      <c r="B1870" s="2018"/>
      <c r="C1870" s="2018"/>
      <c r="D1870" s="2018"/>
      <c r="E1870" s="2018"/>
      <c r="F1870" s="2018"/>
      <c r="G1870" s="2018"/>
      <c r="H1870" s="2018"/>
      <c r="I1870" s="2018"/>
      <c r="J1870" s="2018"/>
      <c r="K1870" s="2018"/>
      <c r="L1870" s="2018"/>
      <c r="M1870" s="2018"/>
      <c r="N1870" s="2018"/>
      <c r="O1870" s="2018"/>
      <c r="P1870" s="2018"/>
      <c r="Q1870" s="2018"/>
      <c r="R1870" s="2018"/>
      <c r="S1870" s="2018"/>
      <c r="T1870" s="2018"/>
      <c r="U1870" s="2018"/>
      <c r="V1870" s="2018"/>
      <c r="W1870" s="2018"/>
      <c r="X1870" s="2018"/>
      <c r="Y1870" s="2018"/>
      <c r="Z1870" s="2105"/>
      <c r="AA1870" s="2105"/>
      <c r="AB1870" s="1050"/>
      <c r="AC1870" s="1050"/>
      <c r="AD1870" s="1050"/>
      <c r="AE1870" s="1050"/>
      <c r="AF1870" s="1052"/>
    </row>
    <row r="1871" spans="1:32" ht="15.75" x14ac:dyDescent="0.25">
      <c r="A1871" s="2017"/>
      <c r="B1871" s="2018"/>
      <c r="C1871" s="2018"/>
      <c r="D1871" s="2018"/>
      <c r="E1871" s="2018"/>
      <c r="F1871" s="2018"/>
      <c r="G1871" s="2018"/>
      <c r="H1871" s="2018"/>
      <c r="I1871" s="2018"/>
      <c r="J1871" s="2018"/>
      <c r="K1871" s="2018"/>
      <c r="L1871" s="2018"/>
      <c r="M1871" s="2018"/>
      <c r="N1871" s="2018"/>
      <c r="O1871" s="2018"/>
      <c r="P1871" s="2018"/>
      <c r="Q1871" s="2018"/>
      <c r="R1871" s="2018"/>
      <c r="S1871" s="2018"/>
      <c r="T1871" s="2018"/>
      <c r="U1871" s="2018"/>
      <c r="V1871" s="2018"/>
      <c r="W1871" s="2018"/>
      <c r="X1871" s="2018"/>
      <c r="Y1871" s="2018"/>
      <c r="Z1871" s="2105"/>
      <c r="AA1871" s="2105"/>
      <c r="AB1871" s="1050"/>
      <c r="AC1871" s="1050"/>
      <c r="AD1871" s="1050"/>
      <c r="AE1871" s="1050"/>
      <c r="AF1871" s="1052"/>
    </row>
    <row r="1872" spans="1:32" ht="15.75" x14ac:dyDescent="0.25">
      <c r="A1872" s="2017"/>
      <c r="B1872" s="2018"/>
      <c r="C1872" s="2018"/>
      <c r="D1872" s="2018"/>
      <c r="E1872" s="2018"/>
      <c r="F1872" s="2018"/>
      <c r="G1872" s="2018"/>
      <c r="H1872" s="2018"/>
      <c r="I1872" s="2018"/>
      <c r="J1872" s="2018"/>
      <c r="K1872" s="2018"/>
      <c r="L1872" s="2018"/>
      <c r="M1872" s="2018"/>
      <c r="N1872" s="2018"/>
      <c r="O1872" s="2018"/>
      <c r="P1872" s="2018"/>
      <c r="Q1872" s="2018"/>
      <c r="R1872" s="2018"/>
      <c r="S1872" s="2018"/>
      <c r="T1872" s="2018"/>
      <c r="U1872" s="2018"/>
      <c r="V1872" s="2018"/>
      <c r="W1872" s="2018"/>
      <c r="X1872" s="2018"/>
      <c r="Y1872" s="2018"/>
      <c r="Z1872" s="2022"/>
      <c r="AA1872" s="2022"/>
      <c r="AB1872" s="1050"/>
      <c r="AC1872" s="1050"/>
      <c r="AD1872" s="1050"/>
      <c r="AE1872" s="1050"/>
      <c r="AF1872" s="1052"/>
    </row>
    <row r="1873" spans="1:32" ht="15.75" x14ac:dyDescent="0.25">
      <c r="A1873" s="2017"/>
      <c r="B1873" s="2018"/>
      <c r="C1873" s="2018"/>
      <c r="D1873" s="2018"/>
      <c r="E1873" s="2018"/>
      <c r="F1873" s="2018"/>
      <c r="G1873" s="2018"/>
      <c r="H1873" s="2018"/>
      <c r="I1873" s="2018"/>
      <c r="J1873" s="2018"/>
      <c r="K1873" s="2018"/>
      <c r="L1873" s="2018"/>
      <c r="M1873" s="2018"/>
      <c r="N1873" s="2018"/>
      <c r="O1873" s="2018"/>
      <c r="P1873" s="2018"/>
      <c r="Q1873" s="2018"/>
      <c r="R1873" s="2018"/>
      <c r="S1873" s="2018"/>
      <c r="T1873" s="2018"/>
      <c r="U1873" s="2018"/>
      <c r="V1873" s="2018"/>
      <c r="W1873" s="2018"/>
      <c r="X1873" s="2018"/>
      <c r="Y1873" s="2018"/>
      <c r="Z1873" s="2022"/>
      <c r="AA1873" s="2022"/>
      <c r="AB1873" s="1050"/>
      <c r="AC1873" s="1050"/>
      <c r="AD1873" s="1050"/>
      <c r="AE1873" s="1050"/>
      <c r="AF1873" s="1052"/>
    </row>
    <row r="1874" spans="1:32" ht="15.75" x14ac:dyDescent="0.25">
      <c r="A1874" s="2017"/>
      <c r="B1874" s="2018"/>
      <c r="C1874" s="2018"/>
      <c r="D1874" s="2018"/>
      <c r="E1874" s="2018"/>
      <c r="F1874" s="2018"/>
      <c r="G1874" s="2018"/>
      <c r="H1874" s="2018"/>
      <c r="I1874" s="2018"/>
      <c r="J1874" s="2018"/>
      <c r="K1874" s="2018"/>
      <c r="L1874" s="2018"/>
      <c r="M1874" s="2018"/>
      <c r="N1874" s="2018"/>
      <c r="O1874" s="2018"/>
      <c r="P1874" s="2018"/>
      <c r="Q1874" s="2018"/>
      <c r="R1874" s="2018"/>
      <c r="S1874" s="2018"/>
      <c r="T1874" s="2018"/>
      <c r="U1874" s="2018"/>
      <c r="V1874" s="2018"/>
      <c r="W1874" s="2018"/>
      <c r="X1874" s="2018"/>
      <c r="Y1874" s="2018"/>
      <c r="Z1874" s="2022"/>
      <c r="AA1874" s="2022"/>
      <c r="AB1874" s="1050"/>
      <c r="AC1874" s="1050"/>
      <c r="AD1874" s="1050"/>
      <c r="AE1874" s="1050"/>
      <c r="AF1874" s="1052"/>
    </row>
    <row r="1875" spans="1:32" ht="15.75" x14ac:dyDescent="0.25">
      <c r="A1875" s="2017"/>
      <c r="B1875" s="2018"/>
      <c r="C1875" s="2018"/>
      <c r="D1875" s="2018"/>
      <c r="E1875" s="2018"/>
      <c r="F1875" s="2018"/>
      <c r="G1875" s="2018"/>
      <c r="H1875" s="2018"/>
      <c r="I1875" s="2018"/>
      <c r="J1875" s="2018"/>
      <c r="K1875" s="2018"/>
      <c r="L1875" s="2018"/>
      <c r="M1875" s="2018"/>
      <c r="N1875" s="2018"/>
      <c r="O1875" s="2018"/>
      <c r="P1875" s="2018"/>
      <c r="Q1875" s="2018"/>
      <c r="R1875" s="2018"/>
      <c r="S1875" s="2018"/>
      <c r="T1875" s="2018"/>
      <c r="U1875" s="2018"/>
      <c r="V1875" s="2018"/>
      <c r="W1875" s="2018"/>
      <c r="X1875" s="2018"/>
      <c r="Y1875" s="2018"/>
      <c r="Z1875" s="2022"/>
      <c r="AA1875" s="2022"/>
      <c r="AB1875" s="1050"/>
      <c r="AC1875" s="1050"/>
      <c r="AD1875" s="1050"/>
      <c r="AE1875" s="1050"/>
      <c r="AF1875" s="1052"/>
    </row>
    <row r="1876" spans="1:32" ht="15.75" x14ac:dyDescent="0.25">
      <c r="A1876" s="2017"/>
      <c r="B1876" s="2018"/>
      <c r="C1876" s="2018"/>
      <c r="D1876" s="2018"/>
      <c r="E1876" s="2018"/>
      <c r="F1876" s="2018"/>
      <c r="G1876" s="2018"/>
      <c r="H1876" s="2018"/>
      <c r="I1876" s="2018"/>
      <c r="J1876" s="2018"/>
      <c r="K1876" s="2018"/>
      <c r="L1876" s="2018"/>
      <c r="M1876" s="2018"/>
      <c r="N1876" s="2018"/>
      <c r="O1876" s="2018"/>
      <c r="P1876" s="2018"/>
      <c r="Q1876" s="2018"/>
      <c r="R1876" s="2018"/>
      <c r="S1876" s="2018"/>
      <c r="T1876" s="2018"/>
      <c r="U1876" s="2018"/>
      <c r="V1876" s="2018"/>
      <c r="W1876" s="2018"/>
      <c r="X1876" s="2018"/>
      <c r="Y1876" s="2018"/>
      <c r="Z1876" s="2023"/>
      <c r="AA1876" s="2023"/>
      <c r="AB1876" s="1050"/>
      <c r="AC1876" s="1050"/>
      <c r="AD1876" s="1050"/>
      <c r="AE1876" s="1050"/>
      <c r="AF1876" s="1052"/>
    </row>
    <row r="1877" spans="1:32" ht="15.75" x14ac:dyDescent="0.25">
      <c r="A1877" s="2017"/>
      <c r="B1877" s="2018"/>
      <c r="C1877" s="2018"/>
      <c r="D1877" s="2018"/>
      <c r="E1877" s="2018"/>
      <c r="F1877" s="2018"/>
      <c r="G1877" s="2018"/>
      <c r="H1877" s="2018"/>
      <c r="I1877" s="2018"/>
      <c r="J1877" s="2018"/>
      <c r="K1877" s="2018"/>
      <c r="L1877" s="2018"/>
      <c r="M1877" s="2018"/>
      <c r="N1877" s="2018"/>
      <c r="O1877" s="2018"/>
      <c r="P1877" s="2018"/>
      <c r="Q1877" s="2018"/>
      <c r="R1877" s="2018"/>
      <c r="S1877" s="2018"/>
      <c r="T1877" s="2018"/>
      <c r="U1877" s="2018"/>
      <c r="V1877" s="2018"/>
      <c r="W1877" s="2018"/>
      <c r="X1877" s="2018"/>
      <c r="Y1877" s="2018"/>
      <c r="Z1877" s="2023"/>
      <c r="AA1877" s="2023"/>
      <c r="AB1877" s="1050"/>
      <c r="AC1877" s="1050"/>
      <c r="AD1877" s="1050"/>
      <c r="AE1877" s="1050"/>
      <c r="AF1877" s="1052"/>
    </row>
    <row r="1878" spans="1:32" ht="15.75" x14ac:dyDescent="0.25">
      <c r="A1878" s="2017"/>
      <c r="B1878" s="2018"/>
      <c r="C1878" s="2018"/>
      <c r="D1878" s="2018"/>
      <c r="E1878" s="2018"/>
      <c r="F1878" s="2018"/>
      <c r="G1878" s="2018"/>
      <c r="H1878" s="2018"/>
      <c r="I1878" s="2018"/>
      <c r="J1878" s="2018"/>
      <c r="K1878" s="2018"/>
      <c r="L1878" s="2018"/>
      <c r="M1878" s="2018"/>
      <c r="N1878" s="2018"/>
      <c r="O1878" s="2018"/>
      <c r="P1878" s="2018"/>
      <c r="Q1878" s="2018"/>
      <c r="R1878" s="2018"/>
      <c r="S1878" s="2018"/>
      <c r="T1878" s="2018"/>
      <c r="U1878" s="2018"/>
      <c r="V1878" s="2018"/>
      <c r="W1878" s="2018"/>
      <c r="X1878" s="2018"/>
      <c r="Y1878" s="2018"/>
      <c r="Z1878" s="2023"/>
      <c r="AA1878" s="2023"/>
      <c r="AB1878" s="1050"/>
      <c r="AC1878" s="1050"/>
      <c r="AD1878" s="1050"/>
      <c r="AE1878" s="1050"/>
      <c r="AF1878" s="1052"/>
    </row>
    <row r="1879" spans="1:32" ht="15.75" x14ac:dyDescent="0.25">
      <c r="A1879" s="2017"/>
      <c r="B1879" s="2018"/>
      <c r="C1879" s="2018"/>
      <c r="D1879" s="2018"/>
      <c r="E1879" s="2018"/>
      <c r="F1879" s="2018"/>
      <c r="G1879" s="2018"/>
      <c r="H1879" s="2018"/>
      <c r="I1879" s="2018"/>
      <c r="J1879" s="2018"/>
      <c r="K1879" s="2018"/>
      <c r="L1879" s="2018"/>
      <c r="M1879" s="2018"/>
      <c r="N1879" s="2018"/>
      <c r="O1879" s="2018"/>
      <c r="P1879" s="2018"/>
      <c r="Q1879" s="2018"/>
      <c r="R1879" s="2018"/>
      <c r="S1879" s="2018"/>
      <c r="T1879" s="2018"/>
      <c r="U1879" s="2018"/>
      <c r="V1879" s="2018"/>
      <c r="W1879" s="2018"/>
      <c r="X1879" s="2018"/>
      <c r="Y1879" s="2018"/>
      <c r="Z1879" s="2023"/>
      <c r="AA1879" s="2023"/>
      <c r="AB1879" s="1050"/>
      <c r="AC1879" s="1050"/>
      <c r="AD1879" s="1050"/>
      <c r="AE1879" s="1050"/>
      <c r="AF1879" s="1052"/>
    </row>
    <row r="1880" spans="1:32" ht="15.75" x14ac:dyDescent="0.25">
      <c r="A1880" s="2017"/>
      <c r="B1880" s="2018"/>
      <c r="C1880" s="2018"/>
      <c r="D1880" s="2018"/>
      <c r="E1880" s="2018"/>
      <c r="F1880" s="2018"/>
      <c r="G1880" s="2018"/>
      <c r="H1880" s="2018"/>
      <c r="I1880" s="2018"/>
      <c r="J1880" s="2018"/>
      <c r="K1880" s="2018"/>
      <c r="L1880" s="2018"/>
      <c r="M1880" s="2018"/>
      <c r="N1880" s="2018"/>
      <c r="O1880" s="2018"/>
      <c r="P1880" s="2018"/>
      <c r="Q1880" s="2018"/>
      <c r="R1880" s="2018"/>
      <c r="S1880" s="2018"/>
      <c r="T1880" s="2018"/>
      <c r="U1880" s="2018"/>
      <c r="V1880" s="2018"/>
      <c r="W1880" s="2018"/>
      <c r="X1880" s="2018"/>
      <c r="Y1880" s="2018"/>
      <c r="Z1880" s="2023"/>
      <c r="AA1880" s="2023"/>
      <c r="AB1880" s="1050"/>
      <c r="AC1880" s="1050"/>
      <c r="AD1880" s="1050"/>
      <c r="AE1880" s="1050"/>
      <c r="AF1880" s="1052"/>
    </row>
    <row r="1881" spans="1:32" ht="15.75" x14ac:dyDescent="0.25">
      <c r="A1881" s="2017"/>
      <c r="B1881" s="2018"/>
      <c r="C1881" s="2018"/>
      <c r="D1881" s="2018"/>
      <c r="E1881" s="2018"/>
      <c r="F1881" s="2018"/>
      <c r="G1881" s="2018"/>
      <c r="H1881" s="2018"/>
      <c r="I1881" s="2018"/>
      <c r="J1881" s="2018"/>
      <c r="K1881" s="2018"/>
      <c r="L1881" s="2018"/>
      <c r="M1881" s="2018"/>
      <c r="N1881" s="2018"/>
      <c r="O1881" s="2018"/>
      <c r="P1881" s="2018"/>
      <c r="Q1881" s="2018"/>
      <c r="R1881" s="2018"/>
      <c r="S1881" s="2018"/>
      <c r="T1881" s="2018"/>
      <c r="U1881" s="2018"/>
      <c r="V1881" s="2018"/>
      <c r="W1881" s="2018"/>
      <c r="X1881" s="2018"/>
      <c r="Y1881" s="2018"/>
      <c r="Z1881" s="2023"/>
      <c r="AA1881" s="2023"/>
      <c r="AB1881" s="1050"/>
      <c r="AC1881" s="1050"/>
      <c r="AD1881" s="1050"/>
      <c r="AE1881" s="1050"/>
      <c r="AF1881" s="1052"/>
    </row>
    <row r="1882" spans="1:32" ht="16.5" thickBot="1" x14ac:dyDescent="0.3">
      <c r="A1882" s="2019"/>
      <c r="B1882" s="2020"/>
      <c r="C1882" s="2020"/>
      <c r="D1882" s="2020"/>
      <c r="E1882" s="2020"/>
      <c r="F1882" s="2020"/>
      <c r="G1882" s="2020"/>
      <c r="H1882" s="2020"/>
      <c r="I1882" s="2020"/>
      <c r="J1882" s="2020"/>
      <c r="K1882" s="2020"/>
      <c r="L1882" s="2020"/>
      <c r="M1882" s="2020"/>
      <c r="N1882" s="2020"/>
      <c r="O1882" s="2020"/>
      <c r="P1882" s="2020"/>
      <c r="Q1882" s="2020"/>
      <c r="R1882" s="2020"/>
      <c r="S1882" s="2020"/>
      <c r="T1882" s="2020"/>
      <c r="U1882" s="2020"/>
      <c r="V1882" s="2020"/>
      <c r="W1882" s="2020"/>
      <c r="X1882" s="2020"/>
      <c r="Y1882" s="2020"/>
      <c r="Z1882" s="2024"/>
      <c r="AA1882" s="2024"/>
      <c r="AB1882" s="1057"/>
      <c r="AC1882" s="1057"/>
      <c r="AD1882" s="1057"/>
      <c r="AE1882" s="1057"/>
      <c r="AF1882" s="1058"/>
    </row>
    <row r="1883" spans="1:32" ht="15.75" x14ac:dyDescent="0.25">
      <c r="A1883" s="2009" t="s">
        <v>1855</v>
      </c>
      <c r="B1883" s="2010"/>
      <c r="C1883" s="2010"/>
      <c r="D1883" s="2010"/>
      <c r="E1883" s="2010"/>
      <c r="F1883" s="2010"/>
      <c r="G1883" s="2010"/>
      <c r="H1883" s="2010"/>
      <c r="I1883" s="2010"/>
      <c r="J1883" s="2010"/>
      <c r="K1883" s="2010"/>
      <c r="L1883" s="2010"/>
      <c r="M1883" s="2010"/>
      <c r="N1883" s="2010"/>
      <c r="O1883" s="2010"/>
      <c r="P1883" s="2010"/>
      <c r="Q1883" s="2010"/>
      <c r="R1883" s="2010"/>
      <c r="S1883" s="2010"/>
      <c r="T1883" s="2010"/>
      <c r="U1883" s="2010"/>
      <c r="V1883" s="2010"/>
      <c r="W1883" s="2010"/>
      <c r="X1883" s="2010"/>
      <c r="Y1883" s="2010"/>
      <c r="Z1883" s="2013" t="s">
        <v>1850</v>
      </c>
      <c r="AA1883" s="2013"/>
      <c r="AB1883" s="2013"/>
      <c r="AC1883" s="2013"/>
      <c r="AD1883" s="2013"/>
      <c r="AE1883" s="2013"/>
      <c r="AF1883" s="1059">
        <f>SUM(AF1859:AF1882)</f>
        <v>2</v>
      </c>
    </row>
    <row r="1884" spans="1:32" ht="15.75" x14ac:dyDescent="0.25">
      <c r="A1884" s="2011"/>
      <c r="B1884" s="2012"/>
      <c r="C1884" s="2012"/>
      <c r="D1884" s="2012"/>
      <c r="E1884" s="2012"/>
      <c r="F1884" s="2012"/>
      <c r="G1884" s="2012"/>
      <c r="H1884" s="2012"/>
      <c r="I1884" s="2012"/>
      <c r="J1884" s="2012"/>
      <c r="K1884" s="2012"/>
      <c r="L1884" s="2012"/>
      <c r="M1884" s="2012"/>
      <c r="N1884" s="2012"/>
      <c r="O1884" s="2012"/>
      <c r="P1884" s="2012"/>
      <c r="Q1884" s="2012"/>
      <c r="R1884" s="2012"/>
      <c r="S1884" s="2012"/>
      <c r="T1884" s="2012"/>
      <c r="U1884" s="2012"/>
      <c r="V1884" s="2012"/>
      <c r="W1884" s="2012"/>
      <c r="X1884" s="2012"/>
      <c r="Y1884" s="2012"/>
      <c r="Z1884" s="2014" t="s">
        <v>1851</v>
      </c>
      <c r="AA1884" s="2014"/>
      <c r="AB1884" s="2014"/>
      <c r="AC1884" s="2014"/>
      <c r="AD1884" s="2014"/>
      <c r="AE1884" s="2014"/>
      <c r="AF1884" s="1060">
        <v>0</v>
      </c>
    </row>
    <row r="1885" spans="1:32" ht="15.75" x14ac:dyDescent="0.25">
      <c r="A1885" s="2011"/>
      <c r="B1885" s="2012"/>
      <c r="C1885" s="2012"/>
      <c r="D1885" s="2012"/>
      <c r="E1885" s="2012"/>
      <c r="F1885" s="2012"/>
      <c r="G1885" s="2012"/>
      <c r="H1885" s="2012"/>
      <c r="I1885" s="2012"/>
      <c r="J1885" s="2012"/>
      <c r="K1885" s="2012"/>
      <c r="L1885" s="2012"/>
      <c r="M1885" s="2012"/>
      <c r="N1885" s="2012"/>
      <c r="O1885" s="2012"/>
      <c r="P1885" s="2012"/>
      <c r="Q1885" s="2012"/>
      <c r="R1885" s="2012"/>
      <c r="S1885" s="2012"/>
      <c r="T1885" s="2012"/>
      <c r="U1885" s="2012"/>
      <c r="V1885" s="2012"/>
      <c r="W1885" s="2012"/>
      <c r="X1885" s="2012"/>
      <c r="Y1885" s="2012"/>
      <c r="Z1885" s="2015" t="s">
        <v>1833</v>
      </c>
      <c r="AA1885" s="2015"/>
      <c r="AB1885" s="2015"/>
      <c r="AC1885" s="2015"/>
      <c r="AD1885" s="2015"/>
      <c r="AE1885" s="2015"/>
      <c r="AF1885" s="1061">
        <f>SUM(AF1883:AF1884)</f>
        <v>2</v>
      </c>
    </row>
    <row r="1886" spans="1:32" x14ac:dyDescent="0.2">
      <c r="A1886" s="2012" t="s">
        <v>1859</v>
      </c>
      <c r="B1886" s="2012"/>
      <c r="C1886" s="2012"/>
      <c r="D1886" s="2012"/>
      <c r="E1886" s="2012"/>
      <c r="F1886" s="2012"/>
      <c r="G1886" s="2012"/>
      <c r="H1886" s="2012"/>
      <c r="I1886" s="2012"/>
      <c r="J1886" s="2012"/>
      <c r="K1886" s="2012"/>
      <c r="L1886" s="2012"/>
      <c r="M1886" s="2012"/>
      <c r="N1886" s="2012"/>
      <c r="O1886" s="2012"/>
      <c r="P1886" s="2012"/>
      <c r="Q1886" s="2012"/>
      <c r="R1886" s="2012"/>
      <c r="S1886" s="2012"/>
      <c r="T1886" s="2016" t="s">
        <v>1840</v>
      </c>
      <c r="U1886" s="2016"/>
      <c r="V1886" s="2016"/>
      <c r="W1886" s="2016"/>
      <c r="X1886" s="2016"/>
      <c r="Y1886" s="2016"/>
      <c r="Z1886" s="2016"/>
      <c r="AA1886" s="2016"/>
      <c r="AB1886" s="2012" t="s">
        <v>1852</v>
      </c>
      <c r="AC1886" s="2012"/>
      <c r="AD1886" s="2012"/>
      <c r="AE1886" s="2012"/>
      <c r="AF1886" s="2012"/>
    </row>
    <row r="1887" spans="1:32" x14ac:dyDescent="0.2">
      <c r="A1887" s="2012"/>
      <c r="B1887" s="2012"/>
      <c r="C1887" s="2012"/>
      <c r="D1887" s="2012"/>
      <c r="E1887" s="2012"/>
      <c r="F1887" s="2012"/>
      <c r="G1887" s="2012"/>
      <c r="H1887" s="2012"/>
      <c r="I1887" s="2012"/>
      <c r="J1887" s="2012"/>
      <c r="K1887" s="2012"/>
      <c r="L1887" s="2012"/>
      <c r="M1887" s="2012"/>
      <c r="N1887" s="2012"/>
      <c r="O1887" s="2012"/>
      <c r="P1887" s="2012"/>
      <c r="Q1887" s="2012"/>
      <c r="R1887" s="2012"/>
      <c r="S1887" s="2012"/>
      <c r="T1887" s="2016"/>
      <c r="U1887" s="2016"/>
      <c r="V1887" s="2016"/>
      <c r="W1887" s="2016"/>
      <c r="X1887" s="2016"/>
      <c r="Y1887" s="2016"/>
      <c r="Z1887" s="2016"/>
      <c r="AA1887" s="2016"/>
      <c r="AB1887" s="2012"/>
      <c r="AC1887" s="2012"/>
      <c r="AD1887" s="2012"/>
      <c r="AE1887" s="2012"/>
      <c r="AF1887" s="2012"/>
    </row>
    <row r="1888" spans="1:32" ht="13.5" thickBot="1" x14ac:dyDescent="0.25"/>
    <row r="1889" spans="1:32" ht="26.45" customHeight="1" x14ac:dyDescent="0.2">
      <c r="A1889" s="2025" t="s">
        <v>1854</v>
      </c>
      <c r="B1889" s="2026"/>
      <c r="C1889" s="2026"/>
      <c r="D1889" s="2026"/>
      <c r="E1889" s="2026"/>
      <c r="F1889" s="2026"/>
      <c r="G1889" s="2026"/>
      <c r="H1889" s="2026"/>
      <c r="I1889" s="2026"/>
      <c r="J1889" s="2026"/>
      <c r="K1889" s="2026"/>
      <c r="L1889" s="2026"/>
      <c r="M1889" s="2026"/>
      <c r="N1889" s="2026"/>
      <c r="O1889" s="2026"/>
      <c r="P1889" s="2026"/>
      <c r="Q1889" s="2026"/>
      <c r="R1889" s="2026"/>
      <c r="S1889" s="2026"/>
      <c r="T1889" s="2026"/>
      <c r="U1889" s="2026"/>
      <c r="V1889" s="2026"/>
      <c r="W1889" s="2026"/>
      <c r="X1889" s="2026"/>
      <c r="Y1889" s="2026"/>
      <c r="Z1889" s="2026"/>
      <c r="AA1889" s="2026"/>
      <c r="AB1889" s="2026"/>
      <c r="AC1889" s="2026"/>
      <c r="AD1889" s="2026"/>
      <c r="AE1889" s="1041" t="s">
        <v>1834</v>
      </c>
      <c r="AF1889" s="1042" t="s">
        <v>1835</v>
      </c>
    </row>
    <row r="1890" spans="1:32" ht="21" customHeight="1" thickBot="1" x14ac:dyDescent="0.25">
      <c r="A1890" s="2027"/>
      <c r="B1890" s="2028"/>
      <c r="C1890" s="2028"/>
      <c r="D1890" s="2028"/>
      <c r="E1890" s="2028"/>
      <c r="F1890" s="2028"/>
      <c r="G1890" s="2028"/>
      <c r="H1890" s="2028"/>
      <c r="I1890" s="2028"/>
      <c r="J1890" s="2028"/>
      <c r="K1890" s="2028"/>
      <c r="L1890" s="2028"/>
      <c r="M1890" s="2028"/>
      <c r="N1890" s="2028"/>
      <c r="O1890" s="2028"/>
      <c r="P1890" s="2028"/>
      <c r="Q1890" s="2028"/>
      <c r="R1890" s="2028"/>
      <c r="S1890" s="2028"/>
      <c r="T1890" s="2028"/>
      <c r="U1890" s="2028"/>
      <c r="V1890" s="2028"/>
      <c r="W1890" s="2028"/>
      <c r="X1890" s="2028"/>
      <c r="Y1890" s="2028"/>
      <c r="Z1890" s="2028"/>
      <c r="AA1890" s="2028"/>
      <c r="AB1890" s="2028"/>
      <c r="AC1890" s="2028"/>
      <c r="AD1890" s="2028"/>
      <c r="AE1890" s="1041" t="s">
        <v>1836</v>
      </c>
      <c r="AF1890" s="1044">
        <v>1</v>
      </c>
    </row>
    <row r="1891" spans="1:32" ht="15.75" x14ac:dyDescent="0.2">
      <c r="A1891" s="2029"/>
      <c r="B1891" s="2030"/>
      <c r="C1891" s="2030"/>
      <c r="D1891" s="2031"/>
      <c r="E1891" s="2025" t="str">
        <f>'01'!$A$12</f>
        <v>"CONSTRUCCION SISTEMA DE ACUEDUCTO FASE II DEL MUNICIPIO DE TESALIA DPTO DEL HUILA"</v>
      </c>
      <c r="F1891" s="2026"/>
      <c r="G1891" s="2026"/>
      <c r="H1891" s="2026"/>
      <c r="I1891" s="2026"/>
      <c r="J1891" s="2026"/>
      <c r="K1891" s="2026"/>
      <c r="L1891" s="2026"/>
      <c r="M1891" s="2026"/>
      <c r="N1891" s="2026"/>
      <c r="O1891" s="2026"/>
      <c r="P1891" s="2026"/>
      <c r="Q1891" s="2026"/>
      <c r="R1891" s="2026"/>
      <c r="S1891" s="2026"/>
      <c r="T1891" s="2026"/>
      <c r="U1891" s="2026"/>
      <c r="V1891" s="2026"/>
      <c r="W1891" s="2026"/>
      <c r="X1891" s="2026"/>
      <c r="Y1891" s="2026"/>
      <c r="Z1891" s="2026"/>
      <c r="AA1891" s="2026"/>
      <c r="AB1891" s="2026"/>
      <c r="AC1891" s="2026"/>
      <c r="AD1891" s="2035"/>
      <c r="AE1891" s="1041" t="s">
        <v>847</v>
      </c>
      <c r="AF1891" s="1045">
        <f>'01'!$M$13</f>
        <v>0</v>
      </c>
    </row>
    <row r="1892" spans="1:32" ht="16.5" thickBot="1" x14ac:dyDescent="0.25">
      <c r="A1892" s="2032"/>
      <c r="B1892" s="2033"/>
      <c r="C1892" s="2033"/>
      <c r="D1892" s="2034"/>
      <c r="E1892" s="2027"/>
      <c r="F1892" s="2028"/>
      <c r="G1892" s="2028"/>
      <c r="H1892" s="2028"/>
      <c r="I1892" s="2028"/>
      <c r="J1892" s="2028"/>
      <c r="K1892" s="2028"/>
      <c r="L1892" s="2028"/>
      <c r="M1892" s="2028"/>
      <c r="N1892" s="2028"/>
      <c r="O1892" s="2028"/>
      <c r="P1892" s="2028"/>
      <c r="Q1892" s="2028"/>
      <c r="R1892" s="2028"/>
      <c r="S1892" s="2028"/>
      <c r="T1892" s="2028"/>
      <c r="U1892" s="2028"/>
      <c r="V1892" s="2028"/>
      <c r="W1892" s="2028"/>
      <c r="X1892" s="2028"/>
      <c r="Y1892" s="2028"/>
      <c r="Z1892" s="2028"/>
      <c r="AA1892" s="2028"/>
      <c r="AB1892" s="2028"/>
      <c r="AC1892" s="2028"/>
      <c r="AD1892" s="2036"/>
      <c r="AE1892" s="1041" t="s">
        <v>1837</v>
      </c>
      <c r="AF1892" s="1042" t="s">
        <v>1838</v>
      </c>
    </row>
    <row r="1893" spans="1:32" ht="15.75" x14ac:dyDescent="0.25">
      <c r="A1893" s="2037" t="s">
        <v>1860</v>
      </c>
      <c r="B1893" s="2038"/>
      <c r="C1893" s="2038"/>
      <c r="D1893" s="2038"/>
      <c r="E1893" s="2038"/>
      <c r="F1893" s="2038"/>
      <c r="G1893" s="2038"/>
      <c r="H1893" s="2038"/>
      <c r="I1893" s="2038"/>
      <c r="J1893" s="2038"/>
      <c r="K1893" s="2038"/>
      <c r="L1893" s="2038"/>
      <c r="M1893" s="2038"/>
      <c r="N1893" s="2038"/>
      <c r="O1893" s="2038"/>
      <c r="P1893" s="2038"/>
      <c r="Q1893" s="2038"/>
      <c r="R1893" s="2038"/>
      <c r="S1893" s="2038"/>
      <c r="T1893" s="2038"/>
      <c r="U1893" s="2038"/>
      <c r="V1893" s="2038"/>
      <c r="W1893" s="2038"/>
      <c r="X1893" s="2038"/>
      <c r="Y1893" s="2038"/>
      <c r="Z1893" s="2038"/>
      <c r="AA1893" s="2038"/>
      <c r="AB1893" s="2038"/>
      <c r="AC1893" s="2038"/>
      <c r="AD1893" s="2038"/>
      <c r="AE1893" s="2039" t="s">
        <v>1839</v>
      </c>
      <c r="AF1893" s="2040"/>
    </row>
    <row r="1894" spans="1:32" ht="15.75" x14ac:dyDescent="0.25">
      <c r="A1894" s="2041" t="s">
        <v>1840</v>
      </c>
      <c r="B1894" s="2042"/>
      <c r="C1894" s="2042"/>
      <c r="D1894" s="2042"/>
      <c r="E1894" s="2042"/>
      <c r="F1894" s="2042"/>
      <c r="G1894" s="2042"/>
      <c r="H1894" s="2042"/>
      <c r="I1894" s="2042"/>
      <c r="J1894" s="2042"/>
      <c r="K1894" s="2042"/>
      <c r="L1894" s="2042"/>
      <c r="M1894" s="2042"/>
      <c r="N1894" s="2042"/>
      <c r="O1894" s="2042"/>
      <c r="P1894" s="2042"/>
      <c r="Q1894" s="2042"/>
      <c r="R1894" s="2042"/>
      <c r="S1894" s="2042"/>
      <c r="T1894" s="2042"/>
      <c r="U1894" s="2042"/>
      <c r="V1894" s="2042"/>
      <c r="W1894" s="2042"/>
      <c r="X1894" s="2042"/>
      <c r="Y1894" s="2042"/>
      <c r="Z1894" s="2042"/>
      <c r="AA1894" s="2042"/>
      <c r="AB1894" s="2042"/>
      <c r="AC1894" s="2042"/>
      <c r="AD1894" s="2043"/>
      <c r="AE1894" s="2014" t="s">
        <v>1841</v>
      </c>
      <c r="AF1894" s="2044"/>
    </row>
    <row r="1895" spans="1:32" ht="15.75" x14ac:dyDescent="0.25">
      <c r="A1895" s="2045" t="s">
        <v>1853</v>
      </c>
      <c r="B1895" s="2046"/>
      <c r="C1895" s="2046"/>
      <c r="D1895" s="2046"/>
      <c r="E1895" s="2046"/>
      <c r="F1895" s="2046"/>
      <c r="G1895" s="2046"/>
      <c r="H1895" s="2046"/>
      <c r="I1895" s="2046"/>
      <c r="J1895" s="2046"/>
      <c r="K1895" s="2046"/>
      <c r="L1895" s="2046"/>
      <c r="M1895" s="2046"/>
      <c r="N1895" s="2046"/>
      <c r="O1895" s="2046"/>
      <c r="P1895" s="2046"/>
      <c r="Q1895" s="2046"/>
      <c r="R1895" s="2046"/>
      <c r="S1895" s="2046"/>
      <c r="T1895" s="2046"/>
      <c r="U1895" s="2046"/>
      <c r="V1895" s="2046"/>
      <c r="W1895" s="2046"/>
      <c r="X1895" s="2046"/>
      <c r="Y1895" s="2046"/>
      <c r="Z1895" s="2046"/>
      <c r="AA1895" s="2046"/>
      <c r="AB1895" s="2046"/>
      <c r="AC1895" s="2046"/>
      <c r="AD1895" s="2046"/>
      <c r="AE1895" s="2047">
        <f>'01'!$M$13</f>
        <v>0</v>
      </c>
      <c r="AF1895" s="2044"/>
    </row>
    <row r="1896" spans="1:32" x14ac:dyDescent="0.2">
      <c r="A1896" s="1046"/>
      <c r="B1896" s="1047"/>
      <c r="C1896" s="1047"/>
      <c r="D1896" s="1047"/>
      <c r="E1896" s="1047"/>
      <c r="F1896" s="1047"/>
      <c r="G1896" s="1047"/>
      <c r="H1896" s="1047"/>
      <c r="I1896" s="1047"/>
      <c r="J1896" s="1047"/>
      <c r="K1896" s="1047"/>
      <c r="L1896" s="1047"/>
      <c r="M1896" s="1047"/>
      <c r="N1896" s="1047"/>
      <c r="O1896" s="1047"/>
      <c r="P1896" s="1047"/>
      <c r="Q1896" s="1047"/>
      <c r="R1896" s="1047"/>
      <c r="S1896" s="1047"/>
      <c r="T1896" s="1047"/>
      <c r="U1896" s="1047"/>
      <c r="V1896" s="1047"/>
      <c r="W1896" s="1047"/>
      <c r="X1896" s="1047"/>
      <c r="Y1896" s="1047"/>
      <c r="Z1896" s="1047"/>
      <c r="AA1896" s="1047"/>
      <c r="AB1896" s="1047"/>
      <c r="AC1896" s="1047"/>
      <c r="AD1896" s="1047"/>
      <c r="AE1896" s="1047"/>
      <c r="AF1896" s="1048"/>
    </row>
    <row r="1897" spans="1:32" ht="30" customHeight="1" x14ac:dyDescent="0.2">
      <c r="A1897" s="2048" t="s">
        <v>1842</v>
      </c>
      <c r="B1897" s="2049"/>
      <c r="C1897" s="2049"/>
      <c r="D1897" s="2049"/>
      <c r="E1897" s="2049"/>
      <c r="F1897" s="2050" t="str">
        <f>+'01'!$H$63</f>
        <v>C - FLOCULADOR, SEDIMENTADOR, CANAL DE AGUA SEDIMENTADA Y CANAL DE LAVADO</v>
      </c>
      <c r="G1897" s="2049"/>
      <c r="H1897" s="2049"/>
      <c r="I1897" s="2049"/>
      <c r="J1897" s="2049"/>
      <c r="K1897" s="2049"/>
      <c r="L1897" s="2049"/>
      <c r="M1897" s="2049"/>
      <c r="N1897" s="2049"/>
      <c r="O1897" s="2049"/>
      <c r="P1897" s="2049"/>
      <c r="Q1897" s="2049"/>
      <c r="R1897" s="2049"/>
      <c r="S1897" s="2049"/>
      <c r="T1897" s="2049"/>
      <c r="U1897" s="2049"/>
      <c r="V1897" s="2049"/>
      <c r="W1897" s="2049"/>
      <c r="X1897" s="2049"/>
      <c r="Y1897" s="2051"/>
      <c r="Z1897" s="2052" t="s">
        <v>1843</v>
      </c>
      <c r="AA1897" s="2053"/>
      <c r="AB1897" s="2058" t="s">
        <v>1844</v>
      </c>
      <c r="AC1897" s="2059"/>
      <c r="AD1897" s="2060"/>
      <c r="AE1897" s="2064" t="s">
        <v>1845</v>
      </c>
      <c r="AF1897" s="2067" t="s">
        <v>1846</v>
      </c>
    </row>
    <row r="1898" spans="1:32" ht="20.45" customHeight="1" x14ac:dyDescent="0.2">
      <c r="A1898" s="2070" t="str">
        <f>+'01'!A91</f>
        <v>C-08-06</v>
      </c>
      <c r="B1898" s="2071"/>
      <c r="C1898" s="2072"/>
      <c r="D1898" s="2076" t="str">
        <f>VLOOKUP(A1898,'01'!$A$12:$N$299,3,FALSE)</f>
        <v xml:space="preserve"> SUMINISTRO E INSTALACIÓN VÁLVULA DE COMPUERTA ELASTICA VASTAGO NO ASCENDENTE EXTREMO BRIDADO PARA PVC DIAMETRO 3".</v>
      </c>
      <c r="E1898" s="2077"/>
      <c r="F1898" s="2077"/>
      <c r="G1898" s="2077"/>
      <c r="H1898" s="2077"/>
      <c r="I1898" s="2077"/>
      <c r="J1898" s="2077"/>
      <c r="K1898" s="2077"/>
      <c r="L1898" s="2077"/>
      <c r="M1898" s="2077"/>
      <c r="N1898" s="2077"/>
      <c r="O1898" s="2077"/>
      <c r="P1898" s="2077"/>
      <c r="Q1898" s="2077"/>
      <c r="R1898" s="2077"/>
      <c r="S1898" s="2078"/>
      <c r="T1898" s="2082" t="s">
        <v>124</v>
      </c>
      <c r="U1898" s="2083"/>
      <c r="V1898" s="2083"/>
      <c r="W1898" s="2083"/>
      <c r="X1898" s="2052" t="str">
        <f>VLOOKUP(A1898,'01'!$A$12:$N$299,9,FALSE)</f>
        <v>UND</v>
      </c>
      <c r="Y1898" s="2053"/>
      <c r="Z1898" s="2054"/>
      <c r="AA1898" s="2055"/>
      <c r="AB1898" s="2061"/>
      <c r="AC1898" s="2062"/>
      <c r="AD1898" s="2063"/>
      <c r="AE1898" s="2065"/>
      <c r="AF1898" s="2068"/>
    </row>
    <row r="1899" spans="1:32" ht="25.15" customHeight="1" x14ac:dyDescent="0.25">
      <c r="A1899" s="2073"/>
      <c r="B1899" s="2074"/>
      <c r="C1899" s="2075"/>
      <c r="D1899" s="2079"/>
      <c r="E1899" s="2080"/>
      <c r="F1899" s="2080"/>
      <c r="G1899" s="2080"/>
      <c r="H1899" s="2080"/>
      <c r="I1899" s="2080"/>
      <c r="J1899" s="2080"/>
      <c r="K1899" s="2080"/>
      <c r="L1899" s="2080"/>
      <c r="M1899" s="2080"/>
      <c r="N1899" s="2080"/>
      <c r="O1899" s="2080"/>
      <c r="P1899" s="2080"/>
      <c r="Q1899" s="2080"/>
      <c r="R1899" s="2080"/>
      <c r="S1899" s="2081"/>
      <c r="T1899" s="2084"/>
      <c r="U1899" s="2085"/>
      <c r="V1899" s="2085"/>
      <c r="W1899" s="2085"/>
      <c r="X1899" s="2056"/>
      <c r="Y1899" s="2057"/>
      <c r="Z1899" s="2056"/>
      <c r="AA1899" s="2057"/>
      <c r="AB1899" s="1049" t="s">
        <v>1847</v>
      </c>
      <c r="AC1899" s="1049" t="s">
        <v>1848</v>
      </c>
      <c r="AD1899" s="1049" t="s">
        <v>1861</v>
      </c>
      <c r="AE1899" s="2066"/>
      <c r="AF1899" s="2069"/>
    </row>
    <row r="1900" spans="1:32" ht="15.75" x14ac:dyDescent="0.25">
      <c r="A1900" s="2017"/>
      <c r="B1900" s="2018"/>
      <c r="C1900" s="2018"/>
      <c r="D1900" s="2018"/>
      <c r="E1900" s="2018"/>
      <c r="F1900" s="2018"/>
      <c r="G1900" s="2018"/>
      <c r="H1900" s="2018"/>
      <c r="I1900" s="2018"/>
      <c r="J1900" s="2018"/>
      <c r="K1900" s="2018"/>
      <c r="L1900" s="2018"/>
      <c r="M1900" s="2018"/>
      <c r="N1900" s="2018"/>
      <c r="O1900" s="2018"/>
      <c r="P1900" s="2018"/>
      <c r="Q1900" s="2018"/>
      <c r="R1900" s="2018"/>
      <c r="S1900" s="2018"/>
      <c r="T1900" s="2018"/>
      <c r="U1900" s="2018"/>
      <c r="V1900" s="2018"/>
      <c r="W1900" s="2018"/>
      <c r="X1900" s="2018"/>
      <c r="Y1900" s="2018"/>
      <c r="Z1900" s="2096" t="s">
        <v>2422</v>
      </c>
      <c r="AA1900" s="2097"/>
      <c r="AB1900" s="1050"/>
      <c r="AC1900" s="1050"/>
      <c r="AD1900" s="1050"/>
      <c r="AE1900" s="1050">
        <v>4</v>
      </c>
      <c r="AF1900" s="1052">
        <f>AE1900</f>
        <v>4</v>
      </c>
    </row>
    <row r="1901" spans="1:32" ht="15.75" x14ac:dyDescent="0.25">
      <c r="A1901" s="2017"/>
      <c r="B1901" s="2018"/>
      <c r="C1901" s="2018"/>
      <c r="D1901" s="2018"/>
      <c r="E1901" s="2018"/>
      <c r="F1901" s="2018"/>
      <c r="G1901" s="2018"/>
      <c r="H1901" s="2018"/>
      <c r="I1901" s="2018"/>
      <c r="J1901" s="2018"/>
      <c r="K1901" s="2018"/>
      <c r="L1901" s="2018"/>
      <c r="M1901" s="2018"/>
      <c r="N1901" s="2018"/>
      <c r="O1901" s="2018"/>
      <c r="P1901" s="2018"/>
      <c r="Q1901" s="2018"/>
      <c r="R1901" s="2018"/>
      <c r="S1901" s="2018"/>
      <c r="T1901" s="2018"/>
      <c r="U1901" s="2018"/>
      <c r="V1901" s="2018"/>
      <c r="W1901" s="2018"/>
      <c r="X1901" s="2018"/>
      <c r="Y1901" s="2018"/>
      <c r="Z1901" s="2096"/>
      <c r="AA1901" s="2097"/>
      <c r="AB1901" s="1050"/>
      <c r="AC1901" s="1050"/>
      <c r="AD1901" s="1050"/>
      <c r="AE1901" s="1050"/>
      <c r="AF1901" s="1052"/>
    </row>
    <row r="1902" spans="1:32" ht="15.75" x14ac:dyDescent="0.25">
      <c r="A1902" s="2017"/>
      <c r="B1902" s="2018"/>
      <c r="C1902" s="2018"/>
      <c r="D1902" s="2018"/>
      <c r="E1902" s="2018"/>
      <c r="F1902" s="2018"/>
      <c r="G1902" s="2018"/>
      <c r="H1902" s="2018"/>
      <c r="I1902" s="2018"/>
      <c r="J1902" s="2018"/>
      <c r="K1902" s="2018"/>
      <c r="L1902" s="2018"/>
      <c r="M1902" s="2018"/>
      <c r="N1902" s="2018"/>
      <c r="O1902" s="2018"/>
      <c r="P1902" s="2018"/>
      <c r="Q1902" s="2018"/>
      <c r="R1902" s="2018"/>
      <c r="S1902" s="2018"/>
      <c r="T1902" s="2018"/>
      <c r="U1902" s="2018"/>
      <c r="V1902" s="2018"/>
      <c r="W1902" s="2018"/>
      <c r="X1902" s="2018"/>
      <c r="Y1902" s="2018"/>
      <c r="Z1902" s="2096"/>
      <c r="AA1902" s="2097"/>
      <c r="AB1902" s="1050"/>
      <c r="AC1902" s="1050"/>
      <c r="AD1902" s="1050"/>
      <c r="AE1902" s="1050"/>
      <c r="AF1902" s="1052"/>
    </row>
    <row r="1903" spans="1:32" ht="15.75" x14ac:dyDescent="0.25">
      <c r="A1903" s="2017"/>
      <c r="B1903" s="2018"/>
      <c r="C1903" s="2018"/>
      <c r="D1903" s="2018"/>
      <c r="E1903" s="2018"/>
      <c r="F1903" s="2018"/>
      <c r="G1903" s="2018"/>
      <c r="H1903" s="2018"/>
      <c r="I1903" s="2018"/>
      <c r="J1903" s="2018"/>
      <c r="K1903" s="2018"/>
      <c r="L1903" s="2018"/>
      <c r="M1903" s="2018"/>
      <c r="N1903" s="2018"/>
      <c r="O1903" s="2018"/>
      <c r="P1903" s="2018"/>
      <c r="Q1903" s="2018"/>
      <c r="R1903" s="2018"/>
      <c r="S1903" s="2018"/>
      <c r="T1903" s="2018"/>
      <c r="U1903" s="2018"/>
      <c r="V1903" s="2018"/>
      <c r="W1903" s="2018"/>
      <c r="X1903" s="2018"/>
      <c r="Y1903" s="2018"/>
      <c r="Z1903" s="2096"/>
      <c r="AA1903" s="2097"/>
      <c r="AB1903" s="1050"/>
      <c r="AC1903" s="1050"/>
      <c r="AD1903" s="1050"/>
      <c r="AE1903" s="1050"/>
      <c r="AF1903" s="1052"/>
    </row>
    <row r="1904" spans="1:32" ht="15.75" x14ac:dyDescent="0.25">
      <c r="A1904" s="2017"/>
      <c r="B1904" s="2018"/>
      <c r="C1904" s="2018"/>
      <c r="D1904" s="2018"/>
      <c r="E1904" s="2018"/>
      <c r="F1904" s="2018"/>
      <c r="G1904" s="2018"/>
      <c r="H1904" s="2018"/>
      <c r="I1904" s="2018"/>
      <c r="J1904" s="2018"/>
      <c r="K1904" s="2018"/>
      <c r="L1904" s="2018"/>
      <c r="M1904" s="2018"/>
      <c r="N1904" s="2018"/>
      <c r="O1904" s="2018"/>
      <c r="P1904" s="2018"/>
      <c r="Q1904" s="2018"/>
      <c r="R1904" s="2018"/>
      <c r="S1904" s="2018"/>
      <c r="T1904" s="2018"/>
      <c r="U1904" s="2018"/>
      <c r="V1904" s="2018"/>
      <c r="W1904" s="2018"/>
      <c r="X1904" s="2018"/>
      <c r="Y1904" s="2018"/>
      <c r="Z1904" s="2096"/>
      <c r="AA1904" s="2097"/>
      <c r="AB1904" s="1050"/>
      <c r="AC1904" s="1050"/>
      <c r="AD1904" s="1050"/>
      <c r="AE1904" s="1050"/>
      <c r="AF1904" s="1052"/>
    </row>
    <row r="1905" spans="1:32" ht="15.75" x14ac:dyDescent="0.25">
      <c r="A1905" s="2017"/>
      <c r="B1905" s="2018"/>
      <c r="C1905" s="2018"/>
      <c r="D1905" s="2018"/>
      <c r="E1905" s="2018"/>
      <c r="F1905" s="2018"/>
      <c r="G1905" s="2018"/>
      <c r="H1905" s="2018"/>
      <c r="I1905" s="2018"/>
      <c r="J1905" s="2018"/>
      <c r="K1905" s="2018"/>
      <c r="L1905" s="2018"/>
      <c r="M1905" s="2018"/>
      <c r="N1905" s="2018"/>
      <c r="O1905" s="2018"/>
      <c r="P1905" s="2018"/>
      <c r="Q1905" s="2018"/>
      <c r="R1905" s="2018"/>
      <c r="S1905" s="2018"/>
      <c r="T1905" s="2018"/>
      <c r="U1905" s="2018"/>
      <c r="V1905" s="2018"/>
      <c r="W1905" s="2018"/>
      <c r="X1905" s="2018"/>
      <c r="Y1905" s="2018"/>
      <c r="Z1905" s="2096"/>
      <c r="AA1905" s="2097"/>
      <c r="AB1905" s="1050"/>
      <c r="AC1905" s="1050"/>
      <c r="AD1905" s="1050"/>
      <c r="AE1905" s="1050"/>
      <c r="AF1905" s="1052"/>
    </row>
    <row r="1906" spans="1:32" ht="15.75" x14ac:dyDescent="0.25">
      <c r="A1906" s="2017"/>
      <c r="B1906" s="2018"/>
      <c r="C1906" s="2018"/>
      <c r="D1906" s="2018"/>
      <c r="E1906" s="2018"/>
      <c r="F1906" s="2018"/>
      <c r="G1906" s="2018"/>
      <c r="H1906" s="2018"/>
      <c r="I1906" s="2018"/>
      <c r="J1906" s="2018"/>
      <c r="K1906" s="2018"/>
      <c r="L1906" s="2018"/>
      <c r="M1906" s="2018"/>
      <c r="N1906" s="2018"/>
      <c r="O1906" s="2018"/>
      <c r="P1906" s="2018"/>
      <c r="Q1906" s="2018"/>
      <c r="R1906" s="2018"/>
      <c r="S1906" s="2018"/>
      <c r="T1906" s="2018"/>
      <c r="U1906" s="2018"/>
      <c r="V1906" s="2018"/>
      <c r="W1906" s="2018"/>
      <c r="X1906" s="2018"/>
      <c r="Y1906" s="2018"/>
      <c r="Z1906" s="2105"/>
      <c r="AA1906" s="2105"/>
      <c r="AB1906" s="1050"/>
      <c r="AC1906" s="1050"/>
      <c r="AD1906" s="1050"/>
      <c r="AE1906" s="1050"/>
      <c r="AF1906" s="1052"/>
    </row>
    <row r="1907" spans="1:32" ht="15.75" x14ac:dyDescent="0.25">
      <c r="A1907" s="2017"/>
      <c r="B1907" s="2018"/>
      <c r="C1907" s="2018"/>
      <c r="D1907" s="2018"/>
      <c r="E1907" s="2018"/>
      <c r="F1907" s="2018"/>
      <c r="G1907" s="2018"/>
      <c r="H1907" s="2018"/>
      <c r="I1907" s="2018"/>
      <c r="J1907" s="2018"/>
      <c r="K1907" s="2018"/>
      <c r="L1907" s="2018"/>
      <c r="M1907" s="2018"/>
      <c r="N1907" s="2018"/>
      <c r="O1907" s="2018"/>
      <c r="P1907" s="2018"/>
      <c r="Q1907" s="2018"/>
      <c r="R1907" s="2018"/>
      <c r="S1907" s="2018"/>
      <c r="T1907" s="2018"/>
      <c r="U1907" s="2018"/>
      <c r="V1907" s="2018"/>
      <c r="W1907" s="2018"/>
      <c r="X1907" s="2018"/>
      <c r="Y1907" s="2018"/>
      <c r="Z1907" s="2105"/>
      <c r="AA1907" s="2105"/>
      <c r="AB1907" s="1050"/>
      <c r="AC1907" s="1050"/>
      <c r="AD1907" s="1050"/>
      <c r="AE1907" s="1050"/>
      <c r="AF1907" s="1052"/>
    </row>
    <row r="1908" spans="1:32" ht="15.75" x14ac:dyDescent="0.25">
      <c r="A1908" s="2017"/>
      <c r="B1908" s="2018"/>
      <c r="C1908" s="2018"/>
      <c r="D1908" s="2018"/>
      <c r="E1908" s="2018"/>
      <c r="F1908" s="2018"/>
      <c r="G1908" s="2018"/>
      <c r="H1908" s="2018"/>
      <c r="I1908" s="2018"/>
      <c r="J1908" s="2018"/>
      <c r="K1908" s="2018"/>
      <c r="L1908" s="2018"/>
      <c r="M1908" s="2018"/>
      <c r="N1908" s="2018"/>
      <c r="O1908" s="2018"/>
      <c r="P1908" s="2018"/>
      <c r="Q1908" s="2018"/>
      <c r="R1908" s="2018"/>
      <c r="S1908" s="2018"/>
      <c r="T1908" s="2018"/>
      <c r="U1908" s="2018"/>
      <c r="V1908" s="2018"/>
      <c r="W1908" s="2018"/>
      <c r="X1908" s="2018"/>
      <c r="Y1908" s="2018"/>
      <c r="Z1908" s="2105"/>
      <c r="AA1908" s="2105"/>
      <c r="AB1908" s="1050"/>
      <c r="AC1908" s="1050"/>
      <c r="AD1908" s="1050"/>
      <c r="AE1908" s="1050"/>
      <c r="AF1908" s="1052"/>
    </row>
    <row r="1909" spans="1:32" ht="15.75" x14ac:dyDescent="0.25">
      <c r="A1909" s="2017"/>
      <c r="B1909" s="2018"/>
      <c r="C1909" s="2018"/>
      <c r="D1909" s="2018"/>
      <c r="E1909" s="2018"/>
      <c r="F1909" s="2018"/>
      <c r="G1909" s="2018"/>
      <c r="H1909" s="2018"/>
      <c r="I1909" s="2018"/>
      <c r="J1909" s="2018"/>
      <c r="K1909" s="2018"/>
      <c r="L1909" s="2018"/>
      <c r="M1909" s="2018"/>
      <c r="N1909" s="2018"/>
      <c r="O1909" s="2018"/>
      <c r="P1909" s="2018"/>
      <c r="Q1909" s="2018"/>
      <c r="R1909" s="2018"/>
      <c r="S1909" s="2018"/>
      <c r="T1909" s="2018"/>
      <c r="U1909" s="2018"/>
      <c r="V1909" s="2018"/>
      <c r="W1909" s="2018"/>
      <c r="X1909" s="2018"/>
      <c r="Y1909" s="2018"/>
      <c r="Z1909" s="2105"/>
      <c r="AA1909" s="2105"/>
      <c r="AB1909" s="1050"/>
      <c r="AC1909" s="1050"/>
      <c r="AD1909" s="1050"/>
      <c r="AE1909" s="1050"/>
      <c r="AF1909" s="1052"/>
    </row>
    <row r="1910" spans="1:32" ht="15.75" x14ac:dyDescent="0.25">
      <c r="A1910" s="2017"/>
      <c r="B1910" s="2018"/>
      <c r="C1910" s="2018"/>
      <c r="D1910" s="2018"/>
      <c r="E1910" s="2018"/>
      <c r="F1910" s="2018"/>
      <c r="G1910" s="2018"/>
      <c r="H1910" s="2018"/>
      <c r="I1910" s="2018"/>
      <c r="J1910" s="2018"/>
      <c r="K1910" s="2018"/>
      <c r="L1910" s="2018"/>
      <c r="M1910" s="2018"/>
      <c r="N1910" s="2018"/>
      <c r="O1910" s="2018"/>
      <c r="P1910" s="2018"/>
      <c r="Q1910" s="2018"/>
      <c r="R1910" s="2018"/>
      <c r="S1910" s="2018"/>
      <c r="T1910" s="2018"/>
      <c r="U1910" s="2018"/>
      <c r="V1910" s="2018"/>
      <c r="W1910" s="2018"/>
      <c r="X1910" s="2018"/>
      <c r="Y1910" s="2018"/>
      <c r="Z1910" s="2105"/>
      <c r="AA1910" s="2105"/>
      <c r="AB1910" s="1050"/>
      <c r="AC1910" s="1050"/>
      <c r="AD1910" s="1050"/>
      <c r="AE1910" s="1050"/>
      <c r="AF1910" s="1052"/>
    </row>
    <row r="1911" spans="1:32" ht="15.75" x14ac:dyDescent="0.25">
      <c r="A1911" s="2017"/>
      <c r="B1911" s="2018"/>
      <c r="C1911" s="2018"/>
      <c r="D1911" s="2018"/>
      <c r="E1911" s="2018"/>
      <c r="F1911" s="2018"/>
      <c r="G1911" s="2018"/>
      <c r="H1911" s="2018"/>
      <c r="I1911" s="2018"/>
      <c r="J1911" s="2018"/>
      <c r="K1911" s="2018"/>
      <c r="L1911" s="2018"/>
      <c r="M1911" s="2018"/>
      <c r="N1911" s="2018"/>
      <c r="O1911" s="2018"/>
      <c r="P1911" s="2018"/>
      <c r="Q1911" s="2018"/>
      <c r="R1911" s="2018"/>
      <c r="S1911" s="2018"/>
      <c r="T1911" s="2018"/>
      <c r="U1911" s="2018"/>
      <c r="V1911" s="2018"/>
      <c r="W1911" s="2018"/>
      <c r="X1911" s="2018"/>
      <c r="Y1911" s="2018"/>
      <c r="Z1911" s="2105"/>
      <c r="AA1911" s="2105"/>
      <c r="AB1911" s="1050"/>
      <c r="AC1911" s="1050"/>
      <c r="AD1911" s="1050"/>
      <c r="AE1911" s="1050"/>
      <c r="AF1911" s="1052"/>
    </row>
    <row r="1912" spans="1:32" ht="15.75" x14ac:dyDescent="0.25">
      <c r="A1912" s="2017"/>
      <c r="B1912" s="2018"/>
      <c r="C1912" s="2018"/>
      <c r="D1912" s="2018"/>
      <c r="E1912" s="2018"/>
      <c r="F1912" s="2018"/>
      <c r="G1912" s="2018"/>
      <c r="H1912" s="2018"/>
      <c r="I1912" s="2018"/>
      <c r="J1912" s="2018"/>
      <c r="K1912" s="2018"/>
      <c r="L1912" s="2018"/>
      <c r="M1912" s="2018"/>
      <c r="N1912" s="2018"/>
      <c r="O1912" s="2018"/>
      <c r="P1912" s="2018"/>
      <c r="Q1912" s="2018"/>
      <c r="R1912" s="2018"/>
      <c r="S1912" s="2018"/>
      <c r="T1912" s="2018"/>
      <c r="U1912" s="2018"/>
      <c r="V1912" s="2018"/>
      <c r="W1912" s="2018"/>
      <c r="X1912" s="2018"/>
      <c r="Y1912" s="2018"/>
      <c r="Z1912" s="2105"/>
      <c r="AA1912" s="2105"/>
      <c r="AB1912" s="1050"/>
      <c r="AC1912" s="1050"/>
      <c r="AD1912" s="1050"/>
      <c r="AE1912" s="1050"/>
      <c r="AF1912" s="1052"/>
    </row>
    <row r="1913" spans="1:32" ht="15.75" x14ac:dyDescent="0.25">
      <c r="A1913" s="2017"/>
      <c r="B1913" s="2018"/>
      <c r="C1913" s="2018"/>
      <c r="D1913" s="2018"/>
      <c r="E1913" s="2018"/>
      <c r="F1913" s="2018"/>
      <c r="G1913" s="2018"/>
      <c r="H1913" s="2018"/>
      <c r="I1913" s="2018"/>
      <c r="J1913" s="2018"/>
      <c r="K1913" s="2018"/>
      <c r="L1913" s="2018"/>
      <c r="M1913" s="2018"/>
      <c r="N1913" s="2018"/>
      <c r="O1913" s="2018"/>
      <c r="P1913" s="2018"/>
      <c r="Q1913" s="2018"/>
      <c r="R1913" s="2018"/>
      <c r="S1913" s="2018"/>
      <c r="T1913" s="2018"/>
      <c r="U1913" s="2018"/>
      <c r="V1913" s="2018"/>
      <c r="W1913" s="2018"/>
      <c r="X1913" s="2018"/>
      <c r="Y1913" s="2018"/>
      <c r="Z1913" s="2022"/>
      <c r="AA1913" s="2022"/>
      <c r="AB1913" s="1050"/>
      <c r="AC1913" s="1050"/>
      <c r="AD1913" s="1050"/>
      <c r="AE1913" s="1050"/>
      <c r="AF1913" s="1052"/>
    </row>
    <row r="1914" spans="1:32" ht="15.75" x14ac:dyDescent="0.25">
      <c r="A1914" s="2017"/>
      <c r="B1914" s="2018"/>
      <c r="C1914" s="2018"/>
      <c r="D1914" s="2018"/>
      <c r="E1914" s="2018"/>
      <c r="F1914" s="2018"/>
      <c r="G1914" s="2018"/>
      <c r="H1914" s="2018"/>
      <c r="I1914" s="2018"/>
      <c r="J1914" s="2018"/>
      <c r="K1914" s="2018"/>
      <c r="L1914" s="2018"/>
      <c r="M1914" s="2018"/>
      <c r="N1914" s="2018"/>
      <c r="O1914" s="2018"/>
      <c r="P1914" s="2018"/>
      <c r="Q1914" s="2018"/>
      <c r="R1914" s="2018"/>
      <c r="S1914" s="2018"/>
      <c r="T1914" s="2018"/>
      <c r="U1914" s="2018"/>
      <c r="V1914" s="2018"/>
      <c r="W1914" s="2018"/>
      <c r="X1914" s="2018"/>
      <c r="Y1914" s="2018"/>
      <c r="Z1914" s="2022"/>
      <c r="AA1914" s="2022"/>
      <c r="AB1914" s="1050"/>
      <c r="AC1914" s="1050"/>
      <c r="AD1914" s="1050"/>
      <c r="AE1914" s="1050"/>
      <c r="AF1914" s="1052"/>
    </row>
    <row r="1915" spans="1:32" ht="15.75" x14ac:dyDescent="0.25">
      <c r="A1915" s="2017"/>
      <c r="B1915" s="2018"/>
      <c r="C1915" s="2018"/>
      <c r="D1915" s="2018"/>
      <c r="E1915" s="2018"/>
      <c r="F1915" s="2018"/>
      <c r="G1915" s="2018"/>
      <c r="H1915" s="2018"/>
      <c r="I1915" s="2018"/>
      <c r="J1915" s="2018"/>
      <c r="K1915" s="2018"/>
      <c r="L1915" s="2018"/>
      <c r="M1915" s="2018"/>
      <c r="N1915" s="2018"/>
      <c r="O1915" s="2018"/>
      <c r="P1915" s="2018"/>
      <c r="Q1915" s="2018"/>
      <c r="R1915" s="2018"/>
      <c r="S1915" s="2018"/>
      <c r="T1915" s="2018"/>
      <c r="U1915" s="2018"/>
      <c r="V1915" s="2018"/>
      <c r="W1915" s="2018"/>
      <c r="X1915" s="2018"/>
      <c r="Y1915" s="2018"/>
      <c r="Z1915" s="2022"/>
      <c r="AA1915" s="2022"/>
      <c r="AB1915" s="1050"/>
      <c r="AC1915" s="1050"/>
      <c r="AD1915" s="1050"/>
      <c r="AE1915" s="1050"/>
      <c r="AF1915" s="1052"/>
    </row>
    <row r="1916" spans="1:32" ht="15.75" x14ac:dyDescent="0.25">
      <c r="A1916" s="2017"/>
      <c r="B1916" s="2018"/>
      <c r="C1916" s="2018"/>
      <c r="D1916" s="2018"/>
      <c r="E1916" s="2018"/>
      <c r="F1916" s="2018"/>
      <c r="G1916" s="2018"/>
      <c r="H1916" s="2018"/>
      <c r="I1916" s="2018"/>
      <c r="J1916" s="2018"/>
      <c r="K1916" s="2018"/>
      <c r="L1916" s="2018"/>
      <c r="M1916" s="2018"/>
      <c r="N1916" s="2018"/>
      <c r="O1916" s="2018"/>
      <c r="P1916" s="2018"/>
      <c r="Q1916" s="2018"/>
      <c r="R1916" s="2018"/>
      <c r="S1916" s="2018"/>
      <c r="T1916" s="2018"/>
      <c r="U1916" s="2018"/>
      <c r="V1916" s="2018"/>
      <c r="W1916" s="2018"/>
      <c r="X1916" s="2018"/>
      <c r="Y1916" s="2018"/>
      <c r="Z1916" s="2022"/>
      <c r="AA1916" s="2022"/>
      <c r="AB1916" s="1050"/>
      <c r="AC1916" s="1050"/>
      <c r="AD1916" s="1050"/>
      <c r="AE1916" s="1050"/>
      <c r="AF1916" s="1052"/>
    </row>
    <row r="1917" spans="1:32" ht="15.75" x14ac:dyDescent="0.25">
      <c r="A1917" s="2017"/>
      <c r="B1917" s="2018"/>
      <c r="C1917" s="2018"/>
      <c r="D1917" s="2018"/>
      <c r="E1917" s="2018"/>
      <c r="F1917" s="2018"/>
      <c r="G1917" s="2018"/>
      <c r="H1917" s="2018"/>
      <c r="I1917" s="2018"/>
      <c r="J1917" s="2018"/>
      <c r="K1917" s="2018"/>
      <c r="L1917" s="2018"/>
      <c r="M1917" s="2018"/>
      <c r="N1917" s="2018"/>
      <c r="O1917" s="2018"/>
      <c r="P1917" s="2018"/>
      <c r="Q1917" s="2018"/>
      <c r="R1917" s="2018"/>
      <c r="S1917" s="2018"/>
      <c r="T1917" s="2018"/>
      <c r="U1917" s="2018"/>
      <c r="V1917" s="2018"/>
      <c r="W1917" s="2018"/>
      <c r="X1917" s="2018"/>
      <c r="Y1917" s="2018"/>
      <c r="Z1917" s="2023"/>
      <c r="AA1917" s="2023"/>
      <c r="AB1917" s="1050"/>
      <c r="AC1917" s="1050"/>
      <c r="AD1917" s="1050"/>
      <c r="AE1917" s="1050"/>
      <c r="AF1917" s="1052"/>
    </row>
    <row r="1918" spans="1:32" ht="15.75" x14ac:dyDescent="0.25">
      <c r="A1918" s="2017"/>
      <c r="B1918" s="2018"/>
      <c r="C1918" s="2018"/>
      <c r="D1918" s="2018"/>
      <c r="E1918" s="2018"/>
      <c r="F1918" s="2018"/>
      <c r="G1918" s="2018"/>
      <c r="H1918" s="2018"/>
      <c r="I1918" s="2018"/>
      <c r="J1918" s="2018"/>
      <c r="K1918" s="2018"/>
      <c r="L1918" s="2018"/>
      <c r="M1918" s="2018"/>
      <c r="N1918" s="2018"/>
      <c r="O1918" s="2018"/>
      <c r="P1918" s="2018"/>
      <c r="Q1918" s="2018"/>
      <c r="R1918" s="2018"/>
      <c r="S1918" s="2018"/>
      <c r="T1918" s="2018"/>
      <c r="U1918" s="2018"/>
      <c r="V1918" s="2018"/>
      <c r="W1918" s="2018"/>
      <c r="X1918" s="2018"/>
      <c r="Y1918" s="2018"/>
      <c r="Z1918" s="2023"/>
      <c r="AA1918" s="2023"/>
      <c r="AB1918" s="1050"/>
      <c r="AC1918" s="1050"/>
      <c r="AD1918" s="1050"/>
      <c r="AE1918" s="1050"/>
      <c r="AF1918" s="1052"/>
    </row>
    <row r="1919" spans="1:32" ht="15.75" x14ac:dyDescent="0.25">
      <c r="A1919" s="2017"/>
      <c r="B1919" s="2018"/>
      <c r="C1919" s="2018"/>
      <c r="D1919" s="2018"/>
      <c r="E1919" s="2018"/>
      <c r="F1919" s="2018"/>
      <c r="G1919" s="2018"/>
      <c r="H1919" s="2018"/>
      <c r="I1919" s="2018"/>
      <c r="J1919" s="2018"/>
      <c r="K1919" s="2018"/>
      <c r="L1919" s="2018"/>
      <c r="M1919" s="2018"/>
      <c r="N1919" s="2018"/>
      <c r="O1919" s="2018"/>
      <c r="P1919" s="2018"/>
      <c r="Q1919" s="2018"/>
      <c r="R1919" s="2018"/>
      <c r="S1919" s="2018"/>
      <c r="T1919" s="2018"/>
      <c r="U1919" s="2018"/>
      <c r="V1919" s="2018"/>
      <c r="W1919" s="2018"/>
      <c r="X1919" s="2018"/>
      <c r="Y1919" s="2018"/>
      <c r="Z1919" s="2023"/>
      <c r="AA1919" s="2023"/>
      <c r="AB1919" s="1050"/>
      <c r="AC1919" s="1050"/>
      <c r="AD1919" s="1050"/>
      <c r="AE1919" s="1050"/>
      <c r="AF1919" s="1052"/>
    </row>
    <row r="1920" spans="1:32" ht="15.75" x14ac:dyDescent="0.25">
      <c r="A1920" s="2017"/>
      <c r="B1920" s="2018"/>
      <c r="C1920" s="2018"/>
      <c r="D1920" s="2018"/>
      <c r="E1920" s="2018"/>
      <c r="F1920" s="2018"/>
      <c r="G1920" s="2018"/>
      <c r="H1920" s="2018"/>
      <c r="I1920" s="2018"/>
      <c r="J1920" s="2018"/>
      <c r="K1920" s="2018"/>
      <c r="L1920" s="2018"/>
      <c r="M1920" s="2018"/>
      <c r="N1920" s="2018"/>
      <c r="O1920" s="2018"/>
      <c r="P1920" s="2018"/>
      <c r="Q1920" s="2018"/>
      <c r="R1920" s="2018"/>
      <c r="S1920" s="2018"/>
      <c r="T1920" s="2018"/>
      <c r="U1920" s="2018"/>
      <c r="V1920" s="2018"/>
      <c r="W1920" s="2018"/>
      <c r="X1920" s="2018"/>
      <c r="Y1920" s="2018"/>
      <c r="Z1920" s="2023"/>
      <c r="AA1920" s="2023"/>
      <c r="AB1920" s="1050"/>
      <c r="AC1920" s="1050"/>
      <c r="AD1920" s="1050"/>
      <c r="AE1920" s="1050"/>
      <c r="AF1920" s="1052"/>
    </row>
    <row r="1921" spans="1:32" ht="15.75" x14ac:dyDescent="0.25">
      <c r="A1921" s="2017"/>
      <c r="B1921" s="2018"/>
      <c r="C1921" s="2018"/>
      <c r="D1921" s="2018"/>
      <c r="E1921" s="2018"/>
      <c r="F1921" s="2018"/>
      <c r="G1921" s="2018"/>
      <c r="H1921" s="2018"/>
      <c r="I1921" s="2018"/>
      <c r="J1921" s="2018"/>
      <c r="K1921" s="2018"/>
      <c r="L1921" s="2018"/>
      <c r="M1921" s="2018"/>
      <c r="N1921" s="2018"/>
      <c r="O1921" s="2018"/>
      <c r="P1921" s="2018"/>
      <c r="Q1921" s="2018"/>
      <c r="R1921" s="2018"/>
      <c r="S1921" s="2018"/>
      <c r="T1921" s="2018"/>
      <c r="U1921" s="2018"/>
      <c r="V1921" s="2018"/>
      <c r="W1921" s="2018"/>
      <c r="X1921" s="2018"/>
      <c r="Y1921" s="2018"/>
      <c r="Z1921" s="2023"/>
      <c r="AA1921" s="2023"/>
      <c r="AB1921" s="1050"/>
      <c r="AC1921" s="1050"/>
      <c r="AD1921" s="1050"/>
      <c r="AE1921" s="1050"/>
      <c r="AF1921" s="1052"/>
    </row>
    <row r="1922" spans="1:32" ht="15.75" x14ac:dyDescent="0.25">
      <c r="A1922" s="2017"/>
      <c r="B1922" s="2018"/>
      <c r="C1922" s="2018"/>
      <c r="D1922" s="2018"/>
      <c r="E1922" s="2018"/>
      <c r="F1922" s="2018"/>
      <c r="G1922" s="2018"/>
      <c r="H1922" s="2018"/>
      <c r="I1922" s="2018"/>
      <c r="J1922" s="2018"/>
      <c r="K1922" s="2018"/>
      <c r="L1922" s="2018"/>
      <c r="M1922" s="2018"/>
      <c r="N1922" s="2018"/>
      <c r="O1922" s="2018"/>
      <c r="P1922" s="2018"/>
      <c r="Q1922" s="2018"/>
      <c r="R1922" s="2018"/>
      <c r="S1922" s="2018"/>
      <c r="T1922" s="2018"/>
      <c r="U1922" s="2018"/>
      <c r="V1922" s="2018"/>
      <c r="W1922" s="2018"/>
      <c r="X1922" s="2018"/>
      <c r="Y1922" s="2018"/>
      <c r="Z1922" s="2023"/>
      <c r="AA1922" s="2023"/>
      <c r="AB1922" s="1050"/>
      <c r="AC1922" s="1050"/>
      <c r="AD1922" s="1050"/>
      <c r="AE1922" s="1050"/>
      <c r="AF1922" s="1052"/>
    </row>
    <row r="1923" spans="1:32" ht="16.5" thickBot="1" x14ac:dyDescent="0.3">
      <c r="A1923" s="2019"/>
      <c r="B1923" s="2020"/>
      <c r="C1923" s="2020"/>
      <c r="D1923" s="2020"/>
      <c r="E1923" s="2020"/>
      <c r="F1923" s="2020"/>
      <c r="G1923" s="2020"/>
      <c r="H1923" s="2020"/>
      <c r="I1923" s="2020"/>
      <c r="J1923" s="2020"/>
      <c r="K1923" s="2020"/>
      <c r="L1923" s="2020"/>
      <c r="M1923" s="2020"/>
      <c r="N1923" s="2020"/>
      <c r="O1923" s="2020"/>
      <c r="P1923" s="2020"/>
      <c r="Q1923" s="2020"/>
      <c r="R1923" s="2020"/>
      <c r="S1923" s="2020"/>
      <c r="T1923" s="2020"/>
      <c r="U1923" s="2020"/>
      <c r="V1923" s="2020"/>
      <c r="W1923" s="2020"/>
      <c r="X1923" s="2020"/>
      <c r="Y1923" s="2020"/>
      <c r="Z1923" s="2024"/>
      <c r="AA1923" s="2024"/>
      <c r="AB1923" s="1057"/>
      <c r="AC1923" s="1057"/>
      <c r="AD1923" s="1057"/>
      <c r="AE1923" s="1057"/>
      <c r="AF1923" s="1058"/>
    </row>
    <row r="1924" spans="1:32" ht="15.75" x14ac:dyDescent="0.25">
      <c r="A1924" s="2009" t="s">
        <v>1855</v>
      </c>
      <c r="B1924" s="2010"/>
      <c r="C1924" s="2010"/>
      <c r="D1924" s="2010"/>
      <c r="E1924" s="2010"/>
      <c r="F1924" s="2010"/>
      <c r="G1924" s="2010"/>
      <c r="H1924" s="2010"/>
      <c r="I1924" s="2010"/>
      <c r="J1924" s="2010"/>
      <c r="K1924" s="2010"/>
      <c r="L1924" s="2010"/>
      <c r="M1924" s="2010"/>
      <c r="N1924" s="2010"/>
      <c r="O1924" s="2010"/>
      <c r="P1924" s="2010"/>
      <c r="Q1924" s="2010"/>
      <c r="R1924" s="2010"/>
      <c r="S1924" s="2010"/>
      <c r="T1924" s="2010"/>
      <c r="U1924" s="2010"/>
      <c r="V1924" s="2010"/>
      <c r="W1924" s="2010"/>
      <c r="X1924" s="2010"/>
      <c r="Y1924" s="2010"/>
      <c r="Z1924" s="2013" t="s">
        <v>1850</v>
      </c>
      <c r="AA1924" s="2013"/>
      <c r="AB1924" s="2013"/>
      <c r="AC1924" s="2013"/>
      <c r="AD1924" s="2013"/>
      <c r="AE1924" s="2013"/>
      <c r="AF1924" s="1059">
        <f>SUM(AF1900:AF1923)</f>
        <v>4</v>
      </c>
    </row>
    <row r="1925" spans="1:32" ht="15.75" x14ac:dyDescent="0.25">
      <c r="A1925" s="2011"/>
      <c r="B1925" s="2012"/>
      <c r="C1925" s="2012"/>
      <c r="D1925" s="2012"/>
      <c r="E1925" s="2012"/>
      <c r="F1925" s="2012"/>
      <c r="G1925" s="2012"/>
      <c r="H1925" s="2012"/>
      <c r="I1925" s="2012"/>
      <c r="J1925" s="2012"/>
      <c r="K1925" s="2012"/>
      <c r="L1925" s="2012"/>
      <c r="M1925" s="2012"/>
      <c r="N1925" s="2012"/>
      <c r="O1925" s="2012"/>
      <c r="P1925" s="2012"/>
      <c r="Q1925" s="2012"/>
      <c r="R1925" s="2012"/>
      <c r="S1925" s="2012"/>
      <c r="T1925" s="2012"/>
      <c r="U1925" s="2012"/>
      <c r="V1925" s="2012"/>
      <c r="W1925" s="2012"/>
      <c r="X1925" s="2012"/>
      <c r="Y1925" s="2012"/>
      <c r="Z1925" s="2014" t="s">
        <v>1851</v>
      </c>
      <c r="AA1925" s="2014"/>
      <c r="AB1925" s="2014"/>
      <c r="AC1925" s="2014"/>
      <c r="AD1925" s="2014"/>
      <c r="AE1925" s="2014"/>
      <c r="AF1925" s="1060">
        <v>0</v>
      </c>
    </row>
    <row r="1926" spans="1:32" ht="15.75" x14ac:dyDescent="0.25">
      <c r="A1926" s="2011"/>
      <c r="B1926" s="2012"/>
      <c r="C1926" s="2012"/>
      <c r="D1926" s="2012"/>
      <c r="E1926" s="2012"/>
      <c r="F1926" s="2012"/>
      <c r="G1926" s="2012"/>
      <c r="H1926" s="2012"/>
      <c r="I1926" s="2012"/>
      <c r="J1926" s="2012"/>
      <c r="K1926" s="2012"/>
      <c r="L1926" s="2012"/>
      <c r="M1926" s="2012"/>
      <c r="N1926" s="2012"/>
      <c r="O1926" s="2012"/>
      <c r="P1926" s="2012"/>
      <c r="Q1926" s="2012"/>
      <c r="R1926" s="2012"/>
      <c r="S1926" s="2012"/>
      <c r="T1926" s="2012"/>
      <c r="U1926" s="2012"/>
      <c r="V1926" s="2012"/>
      <c r="W1926" s="2012"/>
      <c r="X1926" s="2012"/>
      <c r="Y1926" s="2012"/>
      <c r="Z1926" s="2015" t="s">
        <v>1833</v>
      </c>
      <c r="AA1926" s="2015"/>
      <c r="AB1926" s="2015"/>
      <c r="AC1926" s="2015"/>
      <c r="AD1926" s="2015"/>
      <c r="AE1926" s="2015"/>
      <c r="AF1926" s="1061">
        <f>SUM(AF1924:AF1925)</f>
        <v>4</v>
      </c>
    </row>
    <row r="1927" spans="1:32" x14ac:dyDescent="0.2">
      <c r="A1927" s="2012" t="s">
        <v>1859</v>
      </c>
      <c r="B1927" s="2012"/>
      <c r="C1927" s="2012"/>
      <c r="D1927" s="2012"/>
      <c r="E1927" s="2012"/>
      <c r="F1927" s="2012"/>
      <c r="G1927" s="2012"/>
      <c r="H1927" s="2012"/>
      <c r="I1927" s="2012"/>
      <c r="J1927" s="2012"/>
      <c r="K1927" s="2012"/>
      <c r="L1927" s="2012"/>
      <c r="M1927" s="2012"/>
      <c r="N1927" s="2012"/>
      <c r="O1927" s="2012"/>
      <c r="P1927" s="2012"/>
      <c r="Q1927" s="2012"/>
      <c r="R1927" s="2012"/>
      <c r="S1927" s="2012"/>
      <c r="T1927" s="2016" t="s">
        <v>1840</v>
      </c>
      <c r="U1927" s="2016"/>
      <c r="V1927" s="2016"/>
      <c r="W1927" s="2016"/>
      <c r="X1927" s="2016"/>
      <c r="Y1927" s="2016"/>
      <c r="Z1927" s="2016"/>
      <c r="AA1927" s="2016"/>
      <c r="AB1927" s="2012" t="s">
        <v>1852</v>
      </c>
      <c r="AC1927" s="2012"/>
      <c r="AD1927" s="2012"/>
      <c r="AE1927" s="2012"/>
      <c r="AF1927" s="2012"/>
    </row>
    <row r="1928" spans="1:32" x14ac:dyDescent="0.2">
      <c r="A1928" s="2012"/>
      <c r="B1928" s="2012"/>
      <c r="C1928" s="2012"/>
      <c r="D1928" s="2012"/>
      <c r="E1928" s="2012"/>
      <c r="F1928" s="2012"/>
      <c r="G1928" s="2012"/>
      <c r="H1928" s="2012"/>
      <c r="I1928" s="2012"/>
      <c r="J1928" s="2012"/>
      <c r="K1928" s="2012"/>
      <c r="L1928" s="2012"/>
      <c r="M1928" s="2012"/>
      <c r="N1928" s="2012"/>
      <c r="O1928" s="2012"/>
      <c r="P1928" s="2012"/>
      <c r="Q1928" s="2012"/>
      <c r="R1928" s="2012"/>
      <c r="S1928" s="2012"/>
      <c r="T1928" s="2016"/>
      <c r="U1928" s="2016"/>
      <c r="V1928" s="2016"/>
      <c r="W1928" s="2016"/>
      <c r="X1928" s="2016"/>
      <c r="Y1928" s="2016"/>
      <c r="Z1928" s="2016"/>
      <c r="AA1928" s="2016"/>
      <c r="AB1928" s="2012"/>
      <c r="AC1928" s="2012"/>
      <c r="AD1928" s="2012"/>
      <c r="AE1928" s="2012"/>
      <c r="AF1928" s="2012"/>
    </row>
    <row r="1929" spans="1:32" ht="13.5" thickBot="1" x14ac:dyDescent="0.25"/>
    <row r="1930" spans="1:32" ht="26.45" customHeight="1" x14ac:dyDescent="0.2">
      <c r="A1930" s="2025" t="s">
        <v>1854</v>
      </c>
      <c r="B1930" s="2026"/>
      <c r="C1930" s="2026"/>
      <c r="D1930" s="2026"/>
      <c r="E1930" s="2026"/>
      <c r="F1930" s="2026"/>
      <c r="G1930" s="2026"/>
      <c r="H1930" s="2026"/>
      <c r="I1930" s="2026"/>
      <c r="J1930" s="2026"/>
      <c r="K1930" s="2026"/>
      <c r="L1930" s="2026"/>
      <c r="M1930" s="2026"/>
      <c r="N1930" s="2026"/>
      <c r="O1930" s="2026"/>
      <c r="P1930" s="2026"/>
      <c r="Q1930" s="2026"/>
      <c r="R1930" s="2026"/>
      <c r="S1930" s="2026"/>
      <c r="T1930" s="2026"/>
      <c r="U1930" s="2026"/>
      <c r="V1930" s="2026"/>
      <c r="W1930" s="2026"/>
      <c r="X1930" s="2026"/>
      <c r="Y1930" s="2026"/>
      <c r="Z1930" s="2026"/>
      <c r="AA1930" s="2026"/>
      <c r="AB1930" s="2026"/>
      <c r="AC1930" s="2026"/>
      <c r="AD1930" s="2026"/>
      <c r="AE1930" s="1041" t="s">
        <v>1834</v>
      </c>
      <c r="AF1930" s="1042" t="s">
        <v>1835</v>
      </c>
    </row>
    <row r="1931" spans="1:32" ht="21" customHeight="1" thickBot="1" x14ac:dyDescent="0.25">
      <c r="A1931" s="2027"/>
      <c r="B1931" s="2028"/>
      <c r="C1931" s="2028"/>
      <c r="D1931" s="2028"/>
      <c r="E1931" s="2028"/>
      <c r="F1931" s="2028"/>
      <c r="G1931" s="2028"/>
      <c r="H1931" s="2028"/>
      <c r="I1931" s="2028"/>
      <c r="J1931" s="2028"/>
      <c r="K1931" s="2028"/>
      <c r="L1931" s="2028"/>
      <c r="M1931" s="2028"/>
      <c r="N1931" s="2028"/>
      <c r="O1931" s="2028"/>
      <c r="P1931" s="2028"/>
      <c r="Q1931" s="2028"/>
      <c r="R1931" s="2028"/>
      <c r="S1931" s="2028"/>
      <c r="T1931" s="2028"/>
      <c r="U1931" s="2028"/>
      <c r="V1931" s="2028"/>
      <c r="W1931" s="2028"/>
      <c r="X1931" s="2028"/>
      <c r="Y1931" s="2028"/>
      <c r="Z1931" s="2028"/>
      <c r="AA1931" s="2028"/>
      <c r="AB1931" s="2028"/>
      <c r="AC1931" s="2028"/>
      <c r="AD1931" s="2028"/>
      <c r="AE1931" s="1041" t="s">
        <v>1836</v>
      </c>
      <c r="AF1931" s="1044">
        <v>1</v>
      </c>
    </row>
    <row r="1932" spans="1:32" ht="15.75" x14ac:dyDescent="0.2">
      <c r="A1932" s="2029"/>
      <c r="B1932" s="2030"/>
      <c r="C1932" s="2030"/>
      <c r="D1932" s="2031"/>
      <c r="E1932" s="2025" t="str">
        <f>'01'!$A$12</f>
        <v>"CONSTRUCCION SISTEMA DE ACUEDUCTO FASE II DEL MUNICIPIO DE TESALIA DPTO DEL HUILA"</v>
      </c>
      <c r="F1932" s="2026"/>
      <c r="G1932" s="2026"/>
      <c r="H1932" s="2026"/>
      <c r="I1932" s="2026"/>
      <c r="J1932" s="2026"/>
      <c r="K1932" s="2026"/>
      <c r="L1932" s="2026"/>
      <c r="M1932" s="2026"/>
      <c r="N1932" s="2026"/>
      <c r="O1932" s="2026"/>
      <c r="P1932" s="2026"/>
      <c r="Q1932" s="2026"/>
      <c r="R1932" s="2026"/>
      <c r="S1932" s="2026"/>
      <c r="T1932" s="2026"/>
      <c r="U1932" s="2026"/>
      <c r="V1932" s="2026"/>
      <c r="W1932" s="2026"/>
      <c r="X1932" s="2026"/>
      <c r="Y1932" s="2026"/>
      <c r="Z1932" s="2026"/>
      <c r="AA1932" s="2026"/>
      <c r="AB1932" s="2026"/>
      <c r="AC1932" s="2026"/>
      <c r="AD1932" s="2035"/>
      <c r="AE1932" s="1041" t="s">
        <v>847</v>
      </c>
      <c r="AF1932" s="1045">
        <f>'01'!$M$13</f>
        <v>0</v>
      </c>
    </row>
    <row r="1933" spans="1:32" ht="16.5" thickBot="1" x14ac:dyDescent="0.25">
      <c r="A1933" s="2032"/>
      <c r="B1933" s="2033"/>
      <c r="C1933" s="2033"/>
      <c r="D1933" s="2034"/>
      <c r="E1933" s="2027"/>
      <c r="F1933" s="2028"/>
      <c r="G1933" s="2028"/>
      <c r="H1933" s="2028"/>
      <c r="I1933" s="2028"/>
      <c r="J1933" s="2028"/>
      <c r="K1933" s="2028"/>
      <c r="L1933" s="2028"/>
      <c r="M1933" s="2028"/>
      <c r="N1933" s="2028"/>
      <c r="O1933" s="2028"/>
      <c r="P1933" s="2028"/>
      <c r="Q1933" s="2028"/>
      <c r="R1933" s="2028"/>
      <c r="S1933" s="2028"/>
      <c r="T1933" s="2028"/>
      <c r="U1933" s="2028"/>
      <c r="V1933" s="2028"/>
      <c r="W1933" s="2028"/>
      <c r="X1933" s="2028"/>
      <c r="Y1933" s="2028"/>
      <c r="Z1933" s="2028"/>
      <c r="AA1933" s="2028"/>
      <c r="AB1933" s="2028"/>
      <c r="AC1933" s="2028"/>
      <c r="AD1933" s="2036"/>
      <c r="AE1933" s="1041" t="s">
        <v>1837</v>
      </c>
      <c r="AF1933" s="1042" t="s">
        <v>1838</v>
      </c>
    </row>
    <row r="1934" spans="1:32" ht="15.75" x14ac:dyDescent="0.25">
      <c r="A1934" s="2037" t="s">
        <v>1860</v>
      </c>
      <c r="B1934" s="2038"/>
      <c r="C1934" s="2038"/>
      <c r="D1934" s="2038"/>
      <c r="E1934" s="2038"/>
      <c r="F1934" s="2038"/>
      <c r="G1934" s="2038"/>
      <c r="H1934" s="2038"/>
      <c r="I1934" s="2038"/>
      <c r="J1934" s="2038"/>
      <c r="K1934" s="2038"/>
      <c r="L1934" s="2038"/>
      <c r="M1934" s="2038"/>
      <c r="N1934" s="2038"/>
      <c r="O1934" s="2038"/>
      <c r="P1934" s="2038"/>
      <c r="Q1934" s="2038"/>
      <c r="R1934" s="2038"/>
      <c r="S1934" s="2038"/>
      <c r="T1934" s="2038"/>
      <c r="U1934" s="2038"/>
      <c r="V1934" s="2038"/>
      <c r="W1934" s="2038"/>
      <c r="X1934" s="2038"/>
      <c r="Y1934" s="2038"/>
      <c r="Z1934" s="2038"/>
      <c r="AA1934" s="2038"/>
      <c r="AB1934" s="2038"/>
      <c r="AC1934" s="2038"/>
      <c r="AD1934" s="2038"/>
      <c r="AE1934" s="2039" t="s">
        <v>1839</v>
      </c>
      <c r="AF1934" s="2040"/>
    </row>
    <row r="1935" spans="1:32" ht="15.75" x14ac:dyDescent="0.25">
      <c r="A1935" s="2041" t="s">
        <v>1840</v>
      </c>
      <c r="B1935" s="2042"/>
      <c r="C1935" s="2042"/>
      <c r="D1935" s="2042"/>
      <c r="E1935" s="2042"/>
      <c r="F1935" s="2042"/>
      <c r="G1935" s="2042"/>
      <c r="H1935" s="2042"/>
      <c r="I1935" s="2042"/>
      <c r="J1935" s="2042"/>
      <c r="K1935" s="2042"/>
      <c r="L1935" s="2042"/>
      <c r="M1935" s="2042"/>
      <c r="N1935" s="2042"/>
      <c r="O1935" s="2042"/>
      <c r="P1935" s="2042"/>
      <c r="Q1935" s="2042"/>
      <c r="R1935" s="2042"/>
      <c r="S1935" s="2042"/>
      <c r="T1935" s="2042"/>
      <c r="U1935" s="2042"/>
      <c r="V1935" s="2042"/>
      <c r="W1935" s="2042"/>
      <c r="X1935" s="2042"/>
      <c r="Y1935" s="2042"/>
      <c r="Z1935" s="2042"/>
      <c r="AA1935" s="2042"/>
      <c r="AB1935" s="2042"/>
      <c r="AC1935" s="2042"/>
      <c r="AD1935" s="2043"/>
      <c r="AE1935" s="2014" t="s">
        <v>1841</v>
      </c>
      <c r="AF1935" s="2044"/>
    </row>
    <row r="1936" spans="1:32" ht="15.75" x14ac:dyDescent="0.25">
      <c r="A1936" s="2045" t="s">
        <v>1853</v>
      </c>
      <c r="B1936" s="2046"/>
      <c r="C1936" s="2046"/>
      <c r="D1936" s="2046"/>
      <c r="E1936" s="2046"/>
      <c r="F1936" s="2046"/>
      <c r="G1936" s="2046"/>
      <c r="H1936" s="2046"/>
      <c r="I1936" s="2046"/>
      <c r="J1936" s="2046"/>
      <c r="K1936" s="2046"/>
      <c r="L1936" s="2046"/>
      <c r="M1936" s="2046"/>
      <c r="N1936" s="2046"/>
      <c r="O1936" s="2046"/>
      <c r="P1936" s="2046"/>
      <c r="Q1936" s="2046"/>
      <c r="R1936" s="2046"/>
      <c r="S1936" s="2046"/>
      <c r="T1936" s="2046"/>
      <c r="U1936" s="2046"/>
      <c r="V1936" s="2046"/>
      <c r="W1936" s="2046"/>
      <c r="X1936" s="2046"/>
      <c r="Y1936" s="2046"/>
      <c r="Z1936" s="2046"/>
      <c r="AA1936" s="2046"/>
      <c r="AB1936" s="2046"/>
      <c r="AC1936" s="2046"/>
      <c r="AD1936" s="2046"/>
      <c r="AE1936" s="2047">
        <f>'01'!$M$13</f>
        <v>0</v>
      </c>
      <c r="AF1936" s="2044"/>
    </row>
    <row r="1937" spans="1:32" x14ac:dyDescent="0.2">
      <c r="A1937" s="1046"/>
      <c r="B1937" s="1047"/>
      <c r="C1937" s="1047"/>
      <c r="D1937" s="1047"/>
      <c r="E1937" s="1047"/>
      <c r="F1937" s="1047"/>
      <c r="G1937" s="1047"/>
      <c r="H1937" s="1047"/>
      <c r="I1937" s="1047"/>
      <c r="J1937" s="1047"/>
      <c r="K1937" s="1047"/>
      <c r="L1937" s="1047"/>
      <c r="M1937" s="1047"/>
      <c r="N1937" s="1047"/>
      <c r="O1937" s="1047"/>
      <c r="P1937" s="1047"/>
      <c r="Q1937" s="1047"/>
      <c r="R1937" s="1047"/>
      <c r="S1937" s="1047"/>
      <c r="T1937" s="1047"/>
      <c r="U1937" s="1047"/>
      <c r="V1937" s="1047"/>
      <c r="W1937" s="1047"/>
      <c r="X1937" s="1047"/>
      <c r="Y1937" s="1047"/>
      <c r="Z1937" s="1047"/>
      <c r="AA1937" s="1047"/>
      <c r="AB1937" s="1047"/>
      <c r="AC1937" s="1047"/>
      <c r="AD1937" s="1047"/>
      <c r="AE1937" s="1047"/>
      <c r="AF1937" s="1048"/>
    </row>
    <row r="1938" spans="1:32" ht="30" customHeight="1" x14ac:dyDescent="0.2">
      <c r="A1938" s="2048" t="s">
        <v>1842</v>
      </c>
      <c r="B1938" s="2049"/>
      <c r="C1938" s="2049"/>
      <c r="D1938" s="2049"/>
      <c r="E1938" s="2049"/>
      <c r="F1938" s="2050" t="str">
        <f>+'01'!$H$63</f>
        <v>C - FLOCULADOR, SEDIMENTADOR, CANAL DE AGUA SEDIMENTADA Y CANAL DE LAVADO</v>
      </c>
      <c r="G1938" s="2049"/>
      <c r="H1938" s="2049"/>
      <c r="I1938" s="2049"/>
      <c r="J1938" s="2049"/>
      <c r="K1938" s="2049"/>
      <c r="L1938" s="2049"/>
      <c r="M1938" s="2049"/>
      <c r="N1938" s="2049"/>
      <c r="O1938" s="2049"/>
      <c r="P1938" s="2049"/>
      <c r="Q1938" s="2049"/>
      <c r="R1938" s="2049"/>
      <c r="S1938" s="2049"/>
      <c r="T1938" s="2049"/>
      <c r="U1938" s="2049"/>
      <c r="V1938" s="2049"/>
      <c r="W1938" s="2049"/>
      <c r="X1938" s="2049"/>
      <c r="Y1938" s="2051"/>
      <c r="Z1938" s="2052" t="s">
        <v>1843</v>
      </c>
      <c r="AA1938" s="2053"/>
      <c r="AB1938" s="2058" t="s">
        <v>1844</v>
      </c>
      <c r="AC1938" s="2059"/>
      <c r="AD1938" s="2060"/>
      <c r="AE1938" s="2064" t="s">
        <v>1845</v>
      </c>
      <c r="AF1938" s="2067" t="s">
        <v>1846</v>
      </c>
    </row>
    <row r="1939" spans="1:32" ht="20.45" customHeight="1" x14ac:dyDescent="0.2">
      <c r="A1939" s="2070" t="str">
        <f>+'01'!A92</f>
        <v>C-08-07</v>
      </c>
      <c r="B1939" s="2071"/>
      <c r="C1939" s="2072"/>
      <c r="D1939" s="2076" t="str">
        <f>VLOOKUP(A1939,'01'!$A$12:$N$299,3,FALSE)</f>
        <v>SUMINISTRO E INSTALACIÓN VÁLVULA DE COMPUERTA ELASTICA VASTAGO NO ASCENDENTE EXTREMO BRIDADO PARA PVC DIAMETRO 6".</v>
      </c>
      <c r="E1939" s="2077"/>
      <c r="F1939" s="2077"/>
      <c r="G1939" s="2077"/>
      <c r="H1939" s="2077"/>
      <c r="I1939" s="2077"/>
      <c r="J1939" s="2077"/>
      <c r="K1939" s="2077"/>
      <c r="L1939" s="2077"/>
      <c r="M1939" s="2077"/>
      <c r="N1939" s="2077"/>
      <c r="O1939" s="2077"/>
      <c r="P1939" s="2077"/>
      <c r="Q1939" s="2077"/>
      <c r="R1939" s="2077"/>
      <c r="S1939" s="2078"/>
      <c r="T1939" s="2082" t="s">
        <v>124</v>
      </c>
      <c r="U1939" s="2083"/>
      <c r="V1939" s="2083"/>
      <c r="W1939" s="2083"/>
      <c r="X1939" s="2052" t="str">
        <f>VLOOKUP(A1939,'01'!$A$12:$N$299,9,FALSE)</f>
        <v>UND</v>
      </c>
      <c r="Y1939" s="2053"/>
      <c r="Z1939" s="2054"/>
      <c r="AA1939" s="2055"/>
      <c r="AB1939" s="2061"/>
      <c r="AC1939" s="2062"/>
      <c r="AD1939" s="2063"/>
      <c r="AE1939" s="2065"/>
      <c r="AF1939" s="2068"/>
    </row>
    <row r="1940" spans="1:32" ht="25.15" customHeight="1" x14ac:dyDescent="0.25">
      <c r="A1940" s="2073"/>
      <c r="B1940" s="2074"/>
      <c r="C1940" s="2075"/>
      <c r="D1940" s="2079"/>
      <c r="E1940" s="2080"/>
      <c r="F1940" s="2080"/>
      <c r="G1940" s="2080"/>
      <c r="H1940" s="2080"/>
      <c r="I1940" s="2080"/>
      <c r="J1940" s="2080"/>
      <c r="K1940" s="2080"/>
      <c r="L1940" s="2080"/>
      <c r="M1940" s="2080"/>
      <c r="N1940" s="2080"/>
      <c r="O1940" s="2080"/>
      <c r="P1940" s="2080"/>
      <c r="Q1940" s="2080"/>
      <c r="R1940" s="2080"/>
      <c r="S1940" s="2081"/>
      <c r="T1940" s="2084"/>
      <c r="U1940" s="2085"/>
      <c r="V1940" s="2085"/>
      <c r="W1940" s="2085"/>
      <c r="X1940" s="2056"/>
      <c r="Y1940" s="2057"/>
      <c r="Z1940" s="2056"/>
      <c r="AA1940" s="2057"/>
      <c r="AB1940" s="1049" t="s">
        <v>1847</v>
      </c>
      <c r="AC1940" s="1049" t="s">
        <v>1848</v>
      </c>
      <c r="AD1940" s="1049" t="s">
        <v>1861</v>
      </c>
      <c r="AE1940" s="2066"/>
      <c r="AF1940" s="2069"/>
    </row>
    <row r="1941" spans="1:32" ht="15.75" x14ac:dyDescent="0.25">
      <c r="A1941" s="2017"/>
      <c r="B1941" s="2018"/>
      <c r="C1941" s="2018"/>
      <c r="D1941" s="2018"/>
      <c r="E1941" s="2018"/>
      <c r="F1941" s="2018"/>
      <c r="G1941" s="2018"/>
      <c r="H1941" s="2018"/>
      <c r="I1941" s="2018"/>
      <c r="J1941" s="2018"/>
      <c r="K1941" s="2018"/>
      <c r="L1941" s="2018"/>
      <c r="M1941" s="2018"/>
      <c r="N1941" s="2018"/>
      <c r="O1941" s="2018"/>
      <c r="P1941" s="2018"/>
      <c r="Q1941" s="2018"/>
      <c r="R1941" s="2018"/>
      <c r="S1941" s="2018"/>
      <c r="T1941" s="2018"/>
      <c r="U1941" s="2018"/>
      <c r="V1941" s="2018"/>
      <c r="W1941" s="2018"/>
      <c r="X1941" s="2018"/>
      <c r="Y1941" s="2018"/>
      <c r="Z1941" s="2096" t="s">
        <v>2439</v>
      </c>
      <c r="AA1941" s="2097"/>
      <c r="AB1941" s="1050"/>
      <c r="AC1941" s="1050"/>
      <c r="AD1941" s="1050"/>
      <c r="AE1941" s="1050">
        <v>2</v>
      </c>
      <c r="AF1941" s="1052">
        <f>AE1941</f>
        <v>2</v>
      </c>
    </row>
    <row r="1942" spans="1:32" ht="15.75" x14ac:dyDescent="0.25">
      <c r="A1942" s="2017"/>
      <c r="B1942" s="2018"/>
      <c r="C1942" s="2018"/>
      <c r="D1942" s="2018"/>
      <c r="E1942" s="2018"/>
      <c r="F1942" s="2018"/>
      <c r="G1942" s="2018"/>
      <c r="H1942" s="2018"/>
      <c r="I1942" s="2018"/>
      <c r="J1942" s="2018"/>
      <c r="K1942" s="2018"/>
      <c r="L1942" s="2018"/>
      <c r="M1942" s="2018"/>
      <c r="N1942" s="2018"/>
      <c r="O1942" s="2018"/>
      <c r="P1942" s="2018"/>
      <c r="Q1942" s="2018"/>
      <c r="R1942" s="2018"/>
      <c r="S1942" s="2018"/>
      <c r="T1942" s="2018"/>
      <c r="U1942" s="2018"/>
      <c r="V1942" s="2018"/>
      <c r="W1942" s="2018"/>
      <c r="X1942" s="2018"/>
      <c r="Y1942" s="2018"/>
      <c r="Z1942" s="2096"/>
      <c r="AA1942" s="2097"/>
      <c r="AB1942" s="1050"/>
      <c r="AC1942" s="1050"/>
      <c r="AD1942" s="1050"/>
      <c r="AE1942" s="1050"/>
      <c r="AF1942" s="1052"/>
    </row>
    <row r="1943" spans="1:32" ht="15.75" x14ac:dyDescent="0.25">
      <c r="A1943" s="2017"/>
      <c r="B1943" s="2018"/>
      <c r="C1943" s="2018"/>
      <c r="D1943" s="2018"/>
      <c r="E1943" s="2018"/>
      <c r="F1943" s="2018"/>
      <c r="G1943" s="2018"/>
      <c r="H1943" s="2018"/>
      <c r="I1943" s="2018"/>
      <c r="J1943" s="2018"/>
      <c r="K1943" s="2018"/>
      <c r="L1943" s="2018"/>
      <c r="M1943" s="2018"/>
      <c r="N1943" s="2018"/>
      <c r="O1943" s="2018"/>
      <c r="P1943" s="2018"/>
      <c r="Q1943" s="2018"/>
      <c r="R1943" s="2018"/>
      <c r="S1943" s="2018"/>
      <c r="T1943" s="2018"/>
      <c r="U1943" s="2018"/>
      <c r="V1943" s="2018"/>
      <c r="W1943" s="2018"/>
      <c r="X1943" s="2018"/>
      <c r="Y1943" s="2018"/>
      <c r="Z1943" s="2096"/>
      <c r="AA1943" s="2097"/>
      <c r="AB1943" s="1050"/>
      <c r="AC1943" s="1050"/>
      <c r="AD1943" s="1050"/>
      <c r="AE1943" s="1050"/>
      <c r="AF1943" s="1052"/>
    </row>
    <row r="1944" spans="1:32" ht="15.75" x14ac:dyDescent="0.25">
      <c r="A1944" s="2017"/>
      <c r="B1944" s="2018"/>
      <c r="C1944" s="2018"/>
      <c r="D1944" s="2018"/>
      <c r="E1944" s="2018"/>
      <c r="F1944" s="2018"/>
      <c r="G1944" s="2018"/>
      <c r="H1944" s="2018"/>
      <c r="I1944" s="2018"/>
      <c r="J1944" s="2018"/>
      <c r="K1944" s="2018"/>
      <c r="L1944" s="2018"/>
      <c r="M1944" s="2018"/>
      <c r="N1944" s="2018"/>
      <c r="O1944" s="2018"/>
      <c r="P1944" s="2018"/>
      <c r="Q1944" s="2018"/>
      <c r="R1944" s="2018"/>
      <c r="S1944" s="2018"/>
      <c r="T1944" s="2018"/>
      <c r="U1944" s="2018"/>
      <c r="V1944" s="2018"/>
      <c r="W1944" s="2018"/>
      <c r="X1944" s="2018"/>
      <c r="Y1944" s="2018"/>
      <c r="Z1944" s="2096"/>
      <c r="AA1944" s="2097"/>
      <c r="AB1944" s="1050"/>
      <c r="AC1944" s="1050"/>
      <c r="AD1944" s="1050"/>
      <c r="AE1944" s="1050"/>
      <c r="AF1944" s="1052"/>
    </row>
    <row r="1945" spans="1:32" ht="15.75" x14ac:dyDescent="0.25">
      <c r="A1945" s="2017"/>
      <c r="B1945" s="2018"/>
      <c r="C1945" s="2018"/>
      <c r="D1945" s="2018"/>
      <c r="E1945" s="2018"/>
      <c r="F1945" s="2018"/>
      <c r="G1945" s="2018"/>
      <c r="H1945" s="2018"/>
      <c r="I1945" s="2018"/>
      <c r="J1945" s="2018"/>
      <c r="K1945" s="2018"/>
      <c r="L1945" s="2018"/>
      <c r="M1945" s="2018"/>
      <c r="N1945" s="2018"/>
      <c r="O1945" s="2018"/>
      <c r="P1945" s="2018"/>
      <c r="Q1945" s="2018"/>
      <c r="R1945" s="2018"/>
      <c r="S1945" s="2018"/>
      <c r="T1945" s="2018"/>
      <c r="U1945" s="2018"/>
      <c r="V1945" s="2018"/>
      <c r="W1945" s="2018"/>
      <c r="X1945" s="2018"/>
      <c r="Y1945" s="2018"/>
      <c r="Z1945" s="2096"/>
      <c r="AA1945" s="2097"/>
      <c r="AB1945" s="1050"/>
      <c r="AC1945" s="1050"/>
      <c r="AD1945" s="1050"/>
      <c r="AE1945" s="1050"/>
      <c r="AF1945" s="1052"/>
    </row>
    <row r="1946" spans="1:32" ht="15.75" x14ac:dyDescent="0.25">
      <c r="A1946" s="2017"/>
      <c r="B1946" s="2018"/>
      <c r="C1946" s="2018"/>
      <c r="D1946" s="2018"/>
      <c r="E1946" s="2018"/>
      <c r="F1946" s="2018"/>
      <c r="G1946" s="2018"/>
      <c r="H1946" s="2018"/>
      <c r="I1946" s="2018"/>
      <c r="J1946" s="2018"/>
      <c r="K1946" s="2018"/>
      <c r="L1946" s="2018"/>
      <c r="M1946" s="2018"/>
      <c r="N1946" s="2018"/>
      <c r="O1946" s="2018"/>
      <c r="P1946" s="2018"/>
      <c r="Q1946" s="2018"/>
      <c r="R1946" s="2018"/>
      <c r="S1946" s="2018"/>
      <c r="T1946" s="2018"/>
      <c r="U1946" s="2018"/>
      <c r="V1946" s="2018"/>
      <c r="W1946" s="2018"/>
      <c r="X1946" s="2018"/>
      <c r="Y1946" s="2018"/>
      <c r="Z1946" s="2096"/>
      <c r="AA1946" s="2097"/>
      <c r="AB1946" s="1050"/>
      <c r="AC1946" s="1050"/>
      <c r="AD1946" s="1050"/>
      <c r="AE1946" s="1050"/>
      <c r="AF1946" s="1052"/>
    </row>
    <row r="1947" spans="1:32" ht="15.75" x14ac:dyDescent="0.25">
      <c r="A1947" s="2017"/>
      <c r="B1947" s="2018"/>
      <c r="C1947" s="2018"/>
      <c r="D1947" s="2018"/>
      <c r="E1947" s="2018"/>
      <c r="F1947" s="2018"/>
      <c r="G1947" s="2018"/>
      <c r="H1947" s="2018"/>
      <c r="I1947" s="2018"/>
      <c r="J1947" s="2018"/>
      <c r="K1947" s="2018"/>
      <c r="L1947" s="2018"/>
      <c r="M1947" s="2018"/>
      <c r="N1947" s="2018"/>
      <c r="O1947" s="2018"/>
      <c r="P1947" s="2018"/>
      <c r="Q1947" s="2018"/>
      <c r="R1947" s="2018"/>
      <c r="S1947" s="2018"/>
      <c r="T1947" s="2018"/>
      <c r="U1947" s="2018"/>
      <c r="V1947" s="2018"/>
      <c r="W1947" s="2018"/>
      <c r="X1947" s="2018"/>
      <c r="Y1947" s="2018"/>
      <c r="Z1947" s="2105"/>
      <c r="AA1947" s="2105"/>
      <c r="AB1947" s="1050"/>
      <c r="AC1947" s="1050"/>
      <c r="AD1947" s="1050"/>
      <c r="AE1947" s="1050"/>
      <c r="AF1947" s="1052"/>
    </row>
    <row r="1948" spans="1:32" ht="15.75" x14ac:dyDescent="0.25">
      <c r="A1948" s="2017"/>
      <c r="B1948" s="2018"/>
      <c r="C1948" s="2018"/>
      <c r="D1948" s="2018"/>
      <c r="E1948" s="2018"/>
      <c r="F1948" s="2018"/>
      <c r="G1948" s="2018"/>
      <c r="H1948" s="2018"/>
      <c r="I1948" s="2018"/>
      <c r="J1948" s="2018"/>
      <c r="K1948" s="2018"/>
      <c r="L1948" s="2018"/>
      <c r="M1948" s="2018"/>
      <c r="N1948" s="2018"/>
      <c r="O1948" s="2018"/>
      <c r="P1948" s="2018"/>
      <c r="Q1948" s="2018"/>
      <c r="R1948" s="2018"/>
      <c r="S1948" s="2018"/>
      <c r="T1948" s="2018"/>
      <c r="U1948" s="2018"/>
      <c r="V1948" s="2018"/>
      <c r="W1948" s="2018"/>
      <c r="X1948" s="2018"/>
      <c r="Y1948" s="2018"/>
      <c r="Z1948" s="2105"/>
      <c r="AA1948" s="2105"/>
      <c r="AB1948" s="1050"/>
      <c r="AC1948" s="1050"/>
      <c r="AD1948" s="1050"/>
      <c r="AE1948" s="1050"/>
      <c r="AF1948" s="1052"/>
    </row>
    <row r="1949" spans="1:32" ht="15.75" x14ac:dyDescent="0.25">
      <c r="A1949" s="2017"/>
      <c r="B1949" s="2018"/>
      <c r="C1949" s="2018"/>
      <c r="D1949" s="2018"/>
      <c r="E1949" s="2018"/>
      <c r="F1949" s="2018"/>
      <c r="G1949" s="2018"/>
      <c r="H1949" s="2018"/>
      <c r="I1949" s="2018"/>
      <c r="J1949" s="2018"/>
      <c r="K1949" s="2018"/>
      <c r="L1949" s="2018"/>
      <c r="M1949" s="2018"/>
      <c r="N1949" s="2018"/>
      <c r="O1949" s="2018"/>
      <c r="P1949" s="2018"/>
      <c r="Q1949" s="2018"/>
      <c r="R1949" s="2018"/>
      <c r="S1949" s="2018"/>
      <c r="T1949" s="2018"/>
      <c r="U1949" s="2018"/>
      <c r="V1949" s="2018"/>
      <c r="W1949" s="2018"/>
      <c r="X1949" s="2018"/>
      <c r="Y1949" s="2018"/>
      <c r="Z1949" s="2105"/>
      <c r="AA1949" s="2105"/>
      <c r="AB1949" s="1050"/>
      <c r="AC1949" s="1050"/>
      <c r="AD1949" s="1050"/>
      <c r="AE1949" s="1050"/>
      <c r="AF1949" s="1052"/>
    </row>
    <row r="1950" spans="1:32" ht="15.75" x14ac:dyDescent="0.25">
      <c r="A1950" s="2017"/>
      <c r="B1950" s="2018"/>
      <c r="C1950" s="2018"/>
      <c r="D1950" s="2018"/>
      <c r="E1950" s="2018"/>
      <c r="F1950" s="2018"/>
      <c r="G1950" s="2018"/>
      <c r="H1950" s="2018"/>
      <c r="I1950" s="2018"/>
      <c r="J1950" s="2018"/>
      <c r="K1950" s="2018"/>
      <c r="L1950" s="2018"/>
      <c r="M1950" s="2018"/>
      <c r="N1950" s="2018"/>
      <c r="O1950" s="2018"/>
      <c r="P1950" s="2018"/>
      <c r="Q1950" s="2018"/>
      <c r="R1950" s="2018"/>
      <c r="S1950" s="2018"/>
      <c r="T1950" s="2018"/>
      <c r="U1950" s="2018"/>
      <c r="V1950" s="2018"/>
      <c r="W1950" s="2018"/>
      <c r="X1950" s="2018"/>
      <c r="Y1950" s="2018"/>
      <c r="Z1950" s="2105"/>
      <c r="AA1950" s="2105"/>
      <c r="AB1950" s="1050"/>
      <c r="AC1950" s="1050"/>
      <c r="AD1950" s="1050"/>
      <c r="AE1950" s="1050"/>
      <c r="AF1950" s="1052"/>
    </row>
    <row r="1951" spans="1:32" ht="15.75" x14ac:dyDescent="0.25">
      <c r="A1951" s="2017"/>
      <c r="B1951" s="2018"/>
      <c r="C1951" s="2018"/>
      <c r="D1951" s="2018"/>
      <c r="E1951" s="2018"/>
      <c r="F1951" s="2018"/>
      <c r="G1951" s="2018"/>
      <c r="H1951" s="2018"/>
      <c r="I1951" s="2018"/>
      <c r="J1951" s="2018"/>
      <c r="K1951" s="2018"/>
      <c r="L1951" s="2018"/>
      <c r="M1951" s="2018"/>
      <c r="N1951" s="2018"/>
      <c r="O1951" s="2018"/>
      <c r="P1951" s="2018"/>
      <c r="Q1951" s="2018"/>
      <c r="R1951" s="2018"/>
      <c r="S1951" s="2018"/>
      <c r="T1951" s="2018"/>
      <c r="U1951" s="2018"/>
      <c r="V1951" s="2018"/>
      <c r="W1951" s="2018"/>
      <c r="X1951" s="2018"/>
      <c r="Y1951" s="2018"/>
      <c r="Z1951" s="2105"/>
      <c r="AA1951" s="2105"/>
      <c r="AB1951" s="1050"/>
      <c r="AC1951" s="1050"/>
      <c r="AD1951" s="1050"/>
      <c r="AE1951" s="1050"/>
      <c r="AF1951" s="1052"/>
    </row>
    <row r="1952" spans="1:32" ht="15.75" x14ac:dyDescent="0.25">
      <c r="A1952" s="2017"/>
      <c r="B1952" s="2018"/>
      <c r="C1952" s="2018"/>
      <c r="D1952" s="2018"/>
      <c r="E1952" s="2018"/>
      <c r="F1952" s="2018"/>
      <c r="G1952" s="2018"/>
      <c r="H1952" s="2018"/>
      <c r="I1952" s="2018"/>
      <c r="J1952" s="2018"/>
      <c r="K1952" s="2018"/>
      <c r="L1952" s="2018"/>
      <c r="M1952" s="2018"/>
      <c r="N1952" s="2018"/>
      <c r="O1952" s="2018"/>
      <c r="P1952" s="2018"/>
      <c r="Q1952" s="2018"/>
      <c r="R1952" s="2018"/>
      <c r="S1952" s="2018"/>
      <c r="T1952" s="2018"/>
      <c r="U1952" s="2018"/>
      <c r="V1952" s="2018"/>
      <c r="W1952" s="2018"/>
      <c r="X1952" s="2018"/>
      <c r="Y1952" s="2018"/>
      <c r="Z1952" s="2105"/>
      <c r="AA1952" s="2105"/>
      <c r="AB1952" s="1050"/>
      <c r="AC1952" s="1050"/>
      <c r="AD1952" s="1050"/>
      <c r="AE1952" s="1050"/>
      <c r="AF1952" s="1052"/>
    </row>
    <row r="1953" spans="1:32" ht="15.75" x14ac:dyDescent="0.25">
      <c r="A1953" s="2017"/>
      <c r="B1953" s="2018"/>
      <c r="C1953" s="2018"/>
      <c r="D1953" s="2018"/>
      <c r="E1953" s="2018"/>
      <c r="F1953" s="2018"/>
      <c r="G1953" s="2018"/>
      <c r="H1953" s="2018"/>
      <c r="I1953" s="2018"/>
      <c r="J1953" s="2018"/>
      <c r="K1953" s="2018"/>
      <c r="L1953" s="2018"/>
      <c r="M1953" s="2018"/>
      <c r="N1953" s="2018"/>
      <c r="O1953" s="2018"/>
      <c r="P1953" s="2018"/>
      <c r="Q1953" s="2018"/>
      <c r="R1953" s="2018"/>
      <c r="S1953" s="2018"/>
      <c r="T1953" s="2018"/>
      <c r="U1953" s="2018"/>
      <c r="V1953" s="2018"/>
      <c r="W1953" s="2018"/>
      <c r="X1953" s="2018"/>
      <c r="Y1953" s="2018"/>
      <c r="Z1953" s="2105"/>
      <c r="AA1953" s="2105"/>
      <c r="AB1953" s="1050"/>
      <c r="AC1953" s="1050"/>
      <c r="AD1953" s="1050"/>
      <c r="AE1953" s="1050"/>
      <c r="AF1953" s="1052"/>
    </row>
    <row r="1954" spans="1:32" ht="15.75" x14ac:dyDescent="0.25">
      <c r="A1954" s="2017"/>
      <c r="B1954" s="2018"/>
      <c r="C1954" s="2018"/>
      <c r="D1954" s="2018"/>
      <c r="E1954" s="2018"/>
      <c r="F1954" s="2018"/>
      <c r="G1954" s="2018"/>
      <c r="H1954" s="2018"/>
      <c r="I1954" s="2018"/>
      <c r="J1954" s="2018"/>
      <c r="K1954" s="2018"/>
      <c r="L1954" s="2018"/>
      <c r="M1954" s="2018"/>
      <c r="N1954" s="2018"/>
      <c r="O1954" s="2018"/>
      <c r="P1954" s="2018"/>
      <c r="Q1954" s="2018"/>
      <c r="R1954" s="2018"/>
      <c r="S1954" s="2018"/>
      <c r="T1954" s="2018"/>
      <c r="U1954" s="2018"/>
      <c r="V1954" s="2018"/>
      <c r="W1954" s="2018"/>
      <c r="X1954" s="2018"/>
      <c r="Y1954" s="2018"/>
      <c r="Z1954" s="2022"/>
      <c r="AA1954" s="2022"/>
      <c r="AB1954" s="1050"/>
      <c r="AC1954" s="1050"/>
      <c r="AD1954" s="1050"/>
      <c r="AE1954" s="1050"/>
      <c r="AF1954" s="1052"/>
    </row>
    <row r="1955" spans="1:32" ht="15.75" x14ac:dyDescent="0.25">
      <c r="A1955" s="2017"/>
      <c r="B1955" s="2018"/>
      <c r="C1955" s="2018"/>
      <c r="D1955" s="2018"/>
      <c r="E1955" s="2018"/>
      <c r="F1955" s="2018"/>
      <c r="G1955" s="2018"/>
      <c r="H1955" s="2018"/>
      <c r="I1955" s="2018"/>
      <c r="J1955" s="2018"/>
      <c r="K1955" s="2018"/>
      <c r="L1955" s="2018"/>
      <c r="M1955" s="2018"/>
      <c r="N1955" s="2018"/>
      <c r="O1955" s="2018"/>
      <c r="P1955" s="2018"/>
      <c r="Q1955" s="2018"/>
      <c r="R1955" s="2018"/>
      <c r="S1955" s="2018"/>
      <c r="T1955" s="2018"/>
      <c r="U1955" s="2018"/>
      <c r="V1955" s="2018"/>
      <c r="W1955" s="2018"/>
      <c r="X1955" s="2018"/>
      <c r="Y1955" s="2018"/>
      <c r="Z1955" s="2022"/>
      <c r="AA1955" s="2022"/>
      <c r="AB1955" s="1050"/>
      <c r="AC1955" s="1050"/>
      <c r="AD1955" s="1050"/>
      <c r="AE1955" s="1050"/>
      <c r="AF1955" s="1052"/>
    </row>
    <row r="1956" spans="1:32" ht="15.75" x14ac:dyDescent="0.25">
      <c r="A1956" s="2017"/>
      <c r="B1956" s="2018"/>
      <c r="C1956" s="2018"/>
      <c r="D1956" s="2018"/>
      <c r="E1956" s="2018"/>
      <c r="F1956" s="2018"/>
      <c r="G1956" s="2018"/>
      <c r="H1956" s="2018"/>
      <c r="I1956" s="2018"/>
      <c r="J1956" s="2018"/>
      <c r="K1956" s="2018"/>
      <c r="L1956" s="2018"/>
      <c r="M1956" s="2018"/>
      <c r="N1956" s="2018"/>
      <c r="O1956" s="2018"/>
      <c r="P1956" s="2018"/>
      <c r="Q1956" s="2018"/>
      <c r="R1956" s="2018"/>
      <c r="S1956" s="2018"/>
      <c r="T1956" s="2018"/>
      <c r="U1956" s="2018"/>
      <c r="V1956" s="2018"/>
      <c r="W1956" s="2018"/>
      <c r="X1956" s="2018"/>
      <c r="Y1956" s="2018"/>
      <c r="Z1956" s="2022"/>
      <c r="AA1956" s="2022"/>
      <c r="AB1956" s="1050"/>
      <c r="AC1956" s="1050"/>
      <c r="AD1956" s="1050"/>
      <c r="AE1956" s="1050"/>
      <c r="AF1956" s="1052"/>
    </row>
    <row r="1957" spans="1:32" ht="15.75" x14ac:dyDescent="0.25">
      <c r="A1957" s="2017"/>
      <c r="B1957" s="2018"/>
      <c r="C1957" s="2018"/>
      <c r="D1957" s="2018"/>
      <c r="E1957" s="2018"/>
      <c r="F1957" s="2018"/>
      <c r="G1957" s="2018"/>
      <c r="H1957" s="2018"/>
      <c r="I1957" s="2018"/>
      <c r="J1957" s="2018"/>
      <c r="K1957" s="2018"/>
      <c r="L1957" s="2018"/>
      <c r="M1957" s="2018"/>
      <c r="N1957" s="2018"/>
      <c r="O1957" s="2018"/>
      <c r="P1957" s="2018"/>
      <c r="Q1957" s="2018"/>
      <c r="R1957" s="2018"/>
      <c r="S1957" s="2018"/>
      <c r="T1957" s="2018"/>
      <c r="U1957" s="2018"/>
      <c r="V1957" s="2018"/>
      <c r="W1957" s="2018"/>
      <c r="X1957" s="2018"/>
      <c r="Y1957" s="2018"/>
      <c r="Z1957" s="2022"/>
      <c r="AA1957" s="2022"/>
      <c r="AB1957" s="1050"/>
      <c r="AC1957" s="1050"/>
      <c r="AD1957" s="1050"/>
      <c r="AE1957" s="1050"/>
      <c r="AF1957" s="1052"/>
    </row>
    <row r="1958" spans="1:32" ht="15.75" x14ac:dyDescent="0.25">
      <c r="A1958" s="2017"/>
      <c r="B1958" s="2018"/>
      <c r="C1958" s="2018"/>
      <c r="D1958" s="2018"/>
      <c r="E1958" s="2018"/>
      <c r="F1958" s="2018"/>
      <c r="G1958" s="2018"/>
      <c r="H1958" s="2018"/>
      <c r="I1958" s="2018"/>
      <c r="J1958" s="2018"/>
      <c r="K1958" s="2018"/>
      <c r="L1958" s="2018"/>
      <c r="M1958" s="2018"/>
      <c r="N1958" s="2018"/>
      <c r="O1958" s="2018"/>
      <c r="P1958" s="2018"/>
      <c r="Q1958" s="2018"/>
      <c r="R1958" s="2018"/>
      <c r="S1958" s="2018"/>
      <c r="T1958" s="2018"/>
      <c r="U1958" s="2018"/>
      <c r="V1958" s="2018"/>
      <c r="W1958" s="2018"/>
      <c r="X1958" s="2018"/>
      <c r="Y1958" s="2018"/>
      <c r="Z1958" s="2023"/>
      <c r="AA1958" s="2023"/>
      <c r="AB1958" s="1050"/>
      <c r="AC1958" s="1050"/>
      <c r="AD1958" s="1050"/>
      <c r="AE1958" s="1050"/>
      <c r="AF1958" s="1052"/>
    </row>
    <row r="1959" spans="1:32" ht="15.75" x14ac:dyDescent="0.25">
      <c r="A1959" s="2017"/>
      <c r="B1959" s="2018"/>
      <c r="C1959" s="2018"/>
      <c r="D1959" s="2018"/>
      <c r="E1959" s="2018"/>
      <c r="F1959" s="2018"/>
      <c r="G1959" s="2018"/>
      <c r="H1959" s="2018"/>
      <c r="I1959" s="2018"/>
      <c r="J1959" s="2018"/>
      <c r="K1959" s="2018"/>
      <c r="L1959" s="2018"/>
      <c r="M1959" s="2018"/>
      <c r="N1959" s="2018"/>
      <c r="O1959" s="2018"/>
      <c r="P1959" s="2018"/>
      <c r="Q1959" s="2018"/>
      <c r="R1959" s="2018"/>
      <c r="S1959" s="2018"/>
      <c r="T1959" s="2018"/>
      <c r="U1959" s="2018"/>
      <c r="V1959" s="2018"/>
      <c r="W1959" s="2018"/>
      <c r="X1959" s="2018"/>
      <c r="Y1959" s="2018"/>
      <c r="Z1959" s="2023"/>
      <c r="AA1959" s="2023"/>
      <c r="AB1959" s="1050"/>
      <c r="AC1959" s="1050"/>
      <c r="AD1959" s="1050"/>
      <c r="AE1959" s="1050"/>
      <c r="AF1959" s="1052"/>
    </row>
    <row r="1960" spans="1:32" ht="15.75" x14ac:dyDescent="0.25">
      <c r="A1960" s="2017"/>
      <c r="B1960" s="2018"/>
      <c r="C1960" s="2018"/>
      <c r="D1960" s="2018"/>
      <c r="E1960" s="2018"/>
      <c r="F1960" s="2018"/>
      <c r="G1960" s="2018"/>
      <c r="H1960" s="2018"/>
      <c r="I1960" s="2018"/>
      <c r="J1960" s="2018"/>
      <c r="K1960" s="2018"/>
      <c r="L1960" s="2018"/>
      <c r="M1960" s="2018"/>
      <c r="N1960" s="2018"/>
      <c r="O1960" s="2018"/>
      <c r="P1960" s="2018"/>
      <c r="Q1960" s="2018"/>
      <c r="R1960" s="2018"/>
      <c r="S1960" s="2018"/>
      <c r="T1960" s="2018"/>
      <c r="U1960" s="2018"/>
      <c r="V1960" s="2018"/>
      <c r="W1960" s="2018"/>
      <c r="X1960" s="2018"/>
      <c r="Y1960" s="2018"/>
      <c r="Z1960" s="2023"/>
      <c r="AA1960" s="2023"/>
      <c r="AB1960" s="1050"/>
      <c r="AC1960" s="1050"/>
      <c r="AD1960" s="1050"/>
      <c r="AE1960" s="1050"/>
      <c r="AF1960" s="1052"/>
    </row>
    <row r="1961" spans="1:32" ht="15.75" x14ac:dyDescent="0.25">
      <c r="A1961" s="2017"/>
      <c r="B1961" s="2018"/>
      <c r="C1961" s="2018"/>
      <c r="D1961" s="2018"/>
      <c r="E1961" s="2018"/>
      <c r="F1961" s="2018"/>
      <c r="G1961" s="2018"/>
      <c r="H1961" s="2018"/>
      <c r="I1961" s="2018"/>
      <c r="J1961" s="2018"/>
      <c r="K1961" s="2018"/>
      <c r="L1961" s="2018"/>
      <c r="M1961" s="2018"/>
      <c r="N1961" s="2018"/>
      <c r="O1961" s="2018"/>
      <c r="P1961" s="2018"/>
      <c r="Q1961" s="2018"/>
      <c r="R1961" s="2018"/>
      <c r="S1961" s="2018"/>
      <c r="T1961" s="2018"/>
      <c r="U1961" s="2018"/>
      <c r="V1961" s="2018"/>
      <c r="W1961" s="2018"/>
      <c r="X1961" s="2018"/>
      <c r="Y1961" s="2018"/>
      <c r="Z1961" s="2023"/>
      <c r="AA1961" s="2023"/>
      <c r="AB1961" s="1050"/>
      <c r="AC1961" s="1050"/>
      <c r="AD1961" s="1050"/>
      <c r="AE1961" s="1050"/>
      <c r="AF1961" s="1052"/>
    </row>
    <row r="1962" spans="1:32" ht="15.75" x14ac:dyDescent="0.25">
      <c r="A1962" s="2017"/>
      <c r="B1962" s="2018"/>
      <c r="C1962" s="2018"/>
      <c r="D1962" s="2018"/>
      <c r="E1962" s="2018"/>
      <c r="F1962" s="2018"/>
      <c r="G1962" s="2018"/>
      <c r="H1962" s="2018"/>
      <c r="I1962" s="2018"/>
      <c r="J1962" s="2018"/>
      <c r="K1962" s="2018"/>
      <c r="L1962" s="2018"/>
      <c r="M1962" s="2018"/>
      <c r="N1962" s="2018"/>
      <c r="O1962" s="2018"/>
      <c r="P1962" s="2018"/>
      <c r="Q1962" s="2018"/>
      <c r="R1962" s="2018"/>
      <c r="S1962" s="2018"/>
      <c r="T1962" s="2018"/>
      <c r="U1962" s="2018"/>
      <c r="V1962" s="2018"/>
      <c r="W1962" s="2018"/>
      <c r="X1962" s="2018"/>
      <c r="Y1962" s="2018"/>
      <c r="Z1962" s="2023"/>
      <c r="AA1962" s="2023"/>
      <c r="AB1962" s="1050"/>
      <c r="AC1962" s="1050"/>
      <c r="AD1962" s="1050"/>
      <c r="AE1962" s="1050"/>
      <c r="AF1962" s="1052"/>
    </row>
    <row r="1963" spans="1:32" ht="15.75" x14ac:dyDescent="0.25">
      <c r="A1963" s="2017"/>
      <c r="B1963" s="2018"/>
      <c r="C1963" s="2018"/>
      <c r="D1963" s="2018"/>
      <c r="E1963" s="2018"/>
      <c r="F1963" s="2018"/>
      <c r="G1963" s="2018"/>
      <c r="H1963" s="2018"/>
      <c r="I1963" s="2018"/>
      <c r="J1963" s="2018"/>
      <c r="K1963" s="2018"/>
      <c r="L1963" s="2018"/>
      <c r="M1963" s="2018"/>
      <c r="N1963" s="2018"/>
      <c r="O1963" s="2018"/>
      <c r="P1963" s="2018"/>
      <c r="Q1963" s="2018"/>
      <c r="R1963" s="2018"/>
      <c r="S1963" s="2018"/>
      <c r="T1963" s="2018"/>
      <c r="U1963" s="2018"/>
      <c r="V1963" s="2018"/>
      <c r="W1963" s="2018"/>
      <c r="X1963" s="2018"/>
      <c r="Y1963" s="2018"/>
      <c r="Z1963" s="2023"/>
      <c r="AA1963" s="2023"/>
      <c r="AB1963" s="1050"/>
      <c r="AC1963" s="1050"/>
      <c r="AD1963" s="1050"/>
      <c r="AE1963" s="1050"/>
      <c r="AF1963" s="1052"/>
    </row>
    <row r="1964" spans="1:32" ht="16.5" thickBot="1" x14ac:dyDescent="0.3">
      <c r="A1964" s="2019"/>
      <c r="B1964" s="2020"/>
      <c r="C1964" s="2020"/>
      <c r="D1964" s="2020"/>
      <c r="E1964" s="2020"/>
      <c r="F1964" s="2020"/>
      <c r="G1964" s="2020"/>
      <c r="H1964" s="2020"/>
      <c r="I1964" s="2020"/>
      <c r="J1964" s="2020"/>
      <c r="K1964" s="2020"/>
      <c r="L1964" s="2020"/>
      <c r="M1964" s="2020"/>
      <c r="N1964" s="2020"/>
      <c r="O1964" s="2020"/>
      <c r="P1964" s="2020"/>
      <c r="Q1964" s="2020"/>
      <c r="R1964" s="2020"/>
      <c r="S1964" s="2020"/>
      <c r="T1964" s="2020"/>
      <c r="U1964" s="2020"/>
      <c r="V1964" s="2020"/>
      <c r="W1964" s="2020"/>
      <c r="X1964" s="2020"/>
      <c r="Y1964" s="2020"/>
      <c r="Z1964" s="2024"/>
      <c r="AA1964" s="2024"/>
      <c r="AB1964" s="1057"/>
      <c r="AC1964" s="1057"/>
      <c r="AD1964" s="1057"/>
      <c r="AE1964" s="1057"/>
      <c r="AF1964" s="1058"/>
    </row>
    <row r="1965" spans="1:32" ht="15.75" x14ac:dyDescent="0.25">
      <c r="A1965" s="2009" t="s">
        <v>1855</v>
      </c>
      <c r="B1965" s="2010"/>
      <c r="C1965" s="2010"/>
      <c r="D1965" s="2010"/>
      <c r="E1965" s="2010"/>
      <c r="F1965" s="2010"/>
      <c r="G1965" s="2010"/>
      <c r="H1965" s="2010"/>
      <c r="I1965" s="2010"/>
      <c r="J1965" s="2010"/>
      <c r="K1965" s="2010"/>
      <c r="L1965" s="2010"/>
      <c r="M1965" s="2010"/>
      <c r="N1965" s="2010"/>
      <c r="O1965" s="2010"/>
      <c r="P1965" s="2010"/>
      <c r="Q1965" s="2010"/>
      <c r="R1965" s="2010"/>
      <c r="S1965" s="2010"/>
      <c r="T1965" s="2010"/>
      <c r="U1965" s="2010"/>
      <c r="V1965" s="2010"/>
      <c r="W1965" s="2010"/>
      <c r="X1965" s="2010"/>
      <c r="Y1965" s="2010"/>
      <c r="Z1965" s="2013" t="s">
        <v>1850</v>
      </c>
      <c r="AA1965" s="2013"/>
      <c r="AB1965" s="2013"/>
      <c r="AC1965" s="2013"/>
      <c r="AD1965" s="2013"/>
      <c r="AE1965" s="2013"/>
      <c r="AF1965" s="1059">
        <f>SUM(AF1941:AF1964)</f>
        <v>2</v>
      </c>
    </row>
    <row r="1966" spans="1:32" ht="15.75" x14ac:dyDescent="0.25">
      <c r="A1966" s="2011"/>
      <c r="B1966" s="2012"/>
      <c r="C1966" s="2012"/>
      <c r="D1966" s="2012"/>
      <c r="E1966" s="2012"/>
      <c r="F1966" s="2012"/>
      <c r="G1966" s="2012"/>
      <c r="H1966" s="2012"/>
      <c r="I1966" s="2012"/>
      <c r="J1966" s="2012"/>
      <c r="K1966" s="2012"/>
      <c r="L1966" s="2012"/>
      <c r="M1966" s="2012"/>
      <c r="N1966" s="2012"/>
      <c r="O1966" s="2012"/>
      <c r="P1966" s="2012"/>
      <c r="Q1966" s="2012"/>
      <c r="R1966" s="2012"/>
      <c r="S1966" s="2012"/>
      <c r="T1966" s="2012"/>
      <c r="U1966" s="2012"/>
      <c r="V1966" s="2012"/>
      <c r="W1966" s="2012"/>
      <c r="X1966" s="2012"/>
      <c r="Y1966" s="2012"/>
      <c r="Z1966" s="2014" t="s">
        <v>1851</v>
      </c>
      <c r="AA1966" s="2014"/>
      <c r="AB1966" s="2014"/>
      <c r="AC1966" s="2014"/>
      <c r="AD1966" s="2014"/>
      <c r="AE1966" s="2014"/>
      <c r="AF1966" s="1060">
        <v>0</v>
      </c>
    </row>
    <row r="1967" spans="1:32" ht="15.75" x14ac:dyDescent="0.25">
      <c r="A1967" s="2011"/>
      <c r="B1967" s="2012"/>
      <c r="C1967" s="2012"/>
      <c r="D1967" s="2012"/>
      <c r="E1967" s="2012"/>
      <c r="F1967" s="2012"/>
      <c r="G1967" s="2012"/>
      <c r="H1967" s="2012"/>
      <c r="I1967" s="2012"/>
      <c r="J1967" s="2012"/>
      <c r="K1967" s="2012"/>
      <c r="L1967" s="2012"/>
      <c r="M1967" s="2012"/>
      <c r="N1967" s="2012"/>
      <c r="O1967" s="2012"/>
      <c r="P1967" s="2012"/>
      <c r="Q1967" s="2012"/>
      <c r="R1967" s="2012"/>
      <c r="S1967" s="2012"/>
      <c r="T1967" s="2012"/>
      <c r="U1967" s="2012"/>
      <c r="V1967" s="2012"/>
      <c r="W1967" s="2012"/>
      <c r="X1967" s="2012"/>
      <c r="Y1967" s="2012"/>
      <c r="Z1967" s="2015" t="s">
        <v>1833</v>
      </c>
      <c r="AA1967" s="2015"/>
      <c r="AB1967" s="2015"/>
      <c r="AC1967" s="2015"/>
      <c r="AD1967" s="2015"/>
      <c r="AE1967" s="2015"/>
      <c r="AF1967" s="1061">
        <f>SUM(AF1965:AF1966)</f>
        <v>2</v>
      </c>
    </row>
    <row r="1968" spans="1:32" x14ac:dyDescent="0.2">
      <c r="A1968" s="2012" t="s">
        <v>1859</v>
      </c>
      <c r="B1968" s="2012"/>
      <c r="C1968" s="2012"/>
      <c r="D1968" s="2012"/>
      <c r="E1968" s="2012"/>
      <c r="F1968" s="2012"/>
      <c r="G1968" s="2012"/>
      <c r="H1968" s="2012"/>
      <c r="I1968" s="2012"/>
      <c r="J1968" s="2012"/>
      <c r="K1968" s="2012"/>
      <c r="L1968" s="2012"/>
      <c r="M1968" s="2012"/>
      <c r="N1968" s="2012"/>
      <c r="O1968" s="2012"/>
      <c r="P1968" s="2012"/>
      <c r="Q1968" s="2012"/>
      <c r="R1968" s="2012"/>
      <c r="S1968" s="2012"/>
      <c r="T1968" s="2016" t="s">
        <v>1840</v>
      </c>
      <c r="U1968" s="2016"/>
      <c r="V1968" s="2016"/>
      <c r="W1968" s="2016"/>
      <c r="X1968" s="2016"/>
      <c r="Y1968" s="2016"/>
      <c r="Z1968" s="2016"/>
      <c r="AA1968" s="2016"/>
      <c r="AB1968" s="2012" t="s">
        <v>1852</v>
      </c>
      <c r="AC1968" s="2012"/>
      <c r="AD1968" s="2012"/>
      <c r="AE1968" s="2012"/>
      <c r="AF1968" s="2012"/>
    </row>
    <row r="1969" spans="1:32" x14ac:dyDescent="0.2">
      <c r="A1969" s="2012"/>
      <c r="B1969" s="2012"/>
      <c r="C1969" s="2012"/>
      <c r="D1969" s="2012"/>
      <c r="E1969" s="2012"/>
      <c r="F1969" s="2012"/>
      <c r="G1969" s="2012"/>
      <c r="H1969" s="2012"/>
      <c r="I1969" s="2012"/>
      <c r="J1969" s="2012"/>
      <c r="K1969" s="2012"/>
      <c r="L1969" s="2012"/>
      <c r="M1969" s="2012"/>
      <c r="N1969" s="2012"/>
      <c r="O1969" s="2012"/>
      <c r="P1969" s="2012"/>
      <c r="Q1969" s="2012"/>
      <c r="R1969" s="2012"/>
      <c r="S1969" s="2012"/>
      <c r="T1969" s="2016"/>
      <c r="U1969" s="2016"/>
      <c r="V1969" s="2016"/>
      <c r="W1969" s="2016"/>
      <c r="X1969" s="2016"/>
      <c r="Y1969" s="2016"/>
      <c r="Z1969" s="2016"/>
      <c r="AA1969" s="2016"/>
      <c r="AB1969" s="2012"/>
      <c r="AC1969" s="2012"/>
      <c r="AD1969" s="2012"/>
      <c r="AE1969" s="2012"/>
      <c r="AF1969" s="2012"/>
    </row>
    <row r="1970" spans="1:32" ht="13.5" thickBot="1" x14ac:dyDescent="0.25"/>
    <row r="1971" spans="1:32" ht="26.45" customHeight="1" x14ac:dyDescent="0.2">
      <c r="A1971" s="2025" t="s">
        <v>1854</v>
      </c>
      <c r="B1971" s="2026"/>
      <c r="C1971" s="2026"/>
      <c r="D1971" s="2026"/>
      <c r="E1971" s="2026"/>
      <c r="F1971" s="2026"/>
      <c r="G1971" s="2026"/>
      <c r="H1971" s="2026"/>
      <c r="I1971" s="2026"/>
      <c r="J1971" s="2026"/>
      <c r="K1971" s="2026"/>
      <c r="L1971" s="2026"/>
      <c r="M1971" s="2026"/>
      <c r="N1971" s="2026"/>
      <c r="O1971" s="2026"/>
      <c r="P1971" s="2026"/>
      <c r="Q1971" s="2026"/>
      <c r="R1971" s="2026"/>
      <c r="S1971" s="2026"/>
      <c r="T1971" s="2026"/>
      <c r="U1971" s="2026"/>
      <c r="V1971" s="2026"/>
      <c r="W1971" s="2026"/>
      <c r="X1971" s="2026"/>
      <c r="Y1971" s="2026"/>
      <c r="Z1971" s="2026"/>
      <c r="AA1971" s="2026"/>
      <c r="AB1971" s="2026"/>
      <c r="AC1971" s="2026"/>
      <c r="AD1971" s="2026"/>
      <c r="AE1971" s="1041" t="s">
        <v>1834</v>
      </c>
      <c r="AF1971" s="1042" t="s">
        <v>1835</v>
      </c>
    </row>
    <row r="1972" spans="1:32" ht="21" customHeight="1" thickBot="1" x14ac:dyDescent="0.25">
      <c r="A1972" s="2027"/>
      <c r="B1972" s="2028"/>
      <c r="C1972" s="2028"/>
      <c r="D1972" s="2028"/>
      <c r="E1972" s="2028"/>
      <c r="F1972" s="2028"/>
      <c r="G1972" s="2028"/>
      <c r="H1972" s="2028"/>
      <c r="I1972" s="2028"/>
      <c r="J1972" s="2028"/>
      <c r="K1972" s="2028"/>
      <c r="L1972" s="2028"/>
      <c r="M1972" s="2028"/>
      <c r="N1972" s="2028"/>
      <c r="O1972" s="2028"/>
      <c r="P1972" s="2028"/>
      <c r="Q1972" s="2028"/>
      <c r="R1972" s="2028"/>
      <c r="S1972" s="2028"/>
      <c r="T1972" s="2028"/>
      <c r="U1972" s="2028"/>
      <c r="V1972" s="2028"/>
      <c r="W1972" s="2028"/>
      <c r="X1972" s="2028"/>
      <c r="Y1972" s="2028"/>
      <c r="Z1972" s="2028"/>
      <c r="AA1972" s="2028"/>
      <c r="AB1972" s="2028"/>
      <c r="AC1972" s="2028"/>
      <c r="AD1972" s="2028"/>
      <c r="AE1972" s="1041" t="s">
        <v>1836</v>
      </c>
      <c r="AF1972" s="1044">
        <v>1</v>
      </c>
    </row>
    <row r="1973" spans="1:32" ht="15.75" x14ac:dyDescent="0.2">
      <c r="A1973" s="2029"/>
      <c r="B1973" s="2030"/>
      <c r="C1973" s="2030"/>
      <c r="D1973" s="2031"/>
      <c r="E1973" s="2025" t="str">
        <f>'01'!$A$12</f>
        <v>"CONSTRUCCION SISTEMA DE ACUEDUCTO FASE II DEL MUNICIPIO DE TESALIA DPTO DEL HUILA"</v>
      </c>
      <c r="F1973" s="2026"/>
      <c r="G1973" s="2026"/>
      <c r="H1973" s="2026"/>
      <c r="I1973" s="2026"/>
      <c r="J1973" s="2026"/>
      <c r="K1973" s="2026"/>
      <c r="L1973" s="2026"/>
      <c r="M1973" s="2026"/>
      <c r="N1973" s="2026"/>
      <c r="O1973" s="2026"/>
      <c r="P1973" s="2026"/>
      <c r="Q1973" s="2026"/>
      <c r="R1973" s="2026"/>
      <c r="S1973" s="2026"/>
      <c r="T1973" s="2026"/>
      <c r="U1973" s="2026"/>
      <c r="V1973" s="2026"/>
      <c r="W1973" s="2026"/>
      <c r="X1973" s="2026"/>
      <c r="Y1973" s="2026"/>
      <c r="Z1973" s="2026"/>
      <c r="AA1973" s="2026"/>
      <c r="AB1973" s="2026"/>
      <c r="AC1973" s="2026"/>
      <c r="AD1973" s="2035"/>
      <c r="AE1973" s="1041" t="s">
        <v>847</v>
      </c>
      <c r="AF1973" s="1045">
        <f>'01'!$M$13</f>
        <v>0</v>
      </c>
    </row>
    <row r="1974" spans="1:32" ht="16.5" thickBot="1" x14ac:dyDescent="0.25">
      <c r="A1974" s="2032"/>
      <c r="B1974" s="2033"/>
      <c r="C1974" s="2033"/>
      <c r="D1974" s="2034"/>
      <c r="E1974" s="2027"/>
      <c r="F1974" s="2028"/>
      <c r="G1974" s="2028"/>
      <c r="H1974" s="2028"/>
      <c r="I1974" s="2028"/>
      <c r="J1974" s="2028"/>
      <c r="K1974" s="2028"/>
      <c r="L1974" s="2028"/>
      <c r="M1974" s="2028"/>
      <c r="N1974" s="2028"/>
      <c r="O1974" s="2028"/>
      <c r="P1974" s="2028"/>
      <c r="Q1974" s="2028"/>
      <c r="R1974" s="2028"/>
      <c r="S1974" s="2028"/>
      <c r="T1974" s="2028"/>
      <c r="U1974" s="2028"/>
      <c r="V1974" s="2028"/>
      <c r="W1974" s="2028"/>
      <c r="X1974" s="2028"/>
      <c r="Y1974" s="2028"/>
      <c r="Z1974" s="2028"/>
      <c r="AA1974" s="2028"/>
      <c r="AB1974" s="2028"/>
      <c r="AC1974" s="2028"/>
      <c r="AD1974" s="2036"/>
      <c r="AE1974" s="1041" t="s">
        <v>1837</v>
      </c>
      <c r="AF1974" s="1042" t="s">
        <v>1838</v>
      </c>
    </row>
    <row r="1975" spans="1:32" ht="15.75" x14ac:dyDescent="0.25">
      <c r="A1975" s="2037" t="s">
        <v>1860</v>
      </c>
      <c r="B1975" s="2038"/>
      <c r="C1975" s="2038"/>
      <c r="D1975" s="2038"/>
      <c r="E1975" s="2038"/>
      <c r="F1975" s="2038"/>
      <c r="G1975" s="2038"/>
      <c r="H1975" s="2038"/>
      <c r="I1975" s="2038"/>
      <c r="J1975" s="2038"/>
      <c r="K1975" s="2038"/>
      <c r="L1975" s="2038"/>
      <c r="M1975" s="2038"/>
      <c r="N1975" s="2038"/>
      <c r="O1975" s="2038"/>
      <c r="P1975" s="2038"/>
      <c r="Q1975" s="2038"/>
      <c r="R1975" s="2038"/>
      <c r="S1975" s="2038"/>
      <c r="T1975" s="2038"/>
      <c r="U1975" s="2038"/>
      <c r="V1975" s="2038"/>
      <c r="W1975" s="2038"/>
      <c r="X1975" s="2038"/>
      <c r="Y1975" s="2038"/>
      <c r="Z1975" s="2038"/>
      <c r="AA1975" s="2038"/>
      <c r="AB1975" s="2038"/>
      <c r="AC1975" s="2038"/>
      <c r="AD1975" s="2038"/>
      <c r="AE1975" s="2039" t="s">
        <v>1839</v>
      </c>
      <c r="AF1975" s="2040"/>
    </row>
    <row r="1976" spans="1:32" ht="15.75" x14ac:dyDescent="0.25">
      <c r="A1976" s="2041" t="s">
        <v>1840</v>
      </c>
      <c r="B1976" s="2042"/>
      <c r="C1976" s="2042"/>
      <c r="D1976" s="2042"/>
      <c r="E1976" s="2042"/>
      <c r="F1976" s="2042"/>
      <c r="G1976" s="2042"/>
      <c r="H1976" s="2042"/>
      <c r="I1976" s="2042"/>
      <c r="J1976" s="2042"/>
      <c r="K1976" s="2042"/>
      <c r="L1976" s="2042"/>
      <c r="M1976" s="2042"/>
      <c r="N1976" s="2042"/>
      <c r="O1976" s="2042"/>
      <c r="P1976" s="2042"/>
      <c r="Q1976" s="2042"/>
      <c r="R1976" s="2042"/>
      <c r="S1976" s="2042"/>
      <c r="T1976" s="2042"/>
      <c r="U1976" s="2042"/>
      <c r="V1976" s="2042"/>
      <c r="W1976" s="2042"/>
      <c r="X1976" s="2042"/>
      <c r="Y1976" s="2042"/>
      <c r="Z1976" s="2042"/>
      <c r="AA1976" s="2042"/>
      <c r="AB1976" s="2042"/>
      <c r="AC1976" s="2042"/>
      <c r="AD1976" s="2043"/>
      <c r="AE1976" s="2014" t="s">
        <v>1841</v>
      </c>
      <c r="AF1976" s="2044"/>
    </row>
    <row r="1977" spans="1:32" ht="15.75" x14ac:dyDescent="0.25">
      <c r="A1977" s="2045" t="s">
        <v>1853</v>
      </c>
      <c r="B1977" s="2046"/>
      <c r="C1977" s="2046"/>
      <c r="D1977" s="2046"/>
      <c r="E1977" s="2046"/>
      <c r="F1977" s="2046"/>
      <c r="G1977" s="2046"/>
      <c r="H1977" s="2046"/>
      <c r="I1977" s="2046"/>
      <c r="J1977" s="2046"/>
      <c r="K1977" s="2046"/>
      <c r="L1977" s="2046"/>
      <c r="M1977" s="2046"/>
      <c r="N1977" s="2046"/>
      <c r="O1977" s="2046"/>
      <c r="P1977" s="2046"/>
      <c r="Q1977" s="2046"/>
      <c r="R1977" s="2046"/>
      <c r="S1977" s="2046"/>
      <c r="T1977" s="2046"/>
      <c r="U1977" s="2046"/>
      <c r="V1977" s="2046"/>
      <c r="W1977" s="2046"/>
      <c r="X1977" s="2046"/>
      <c r="Y1977" s="2046"/>
      <c r="Z1977" s="2046"/>
      <c r="AA1977" s="2046"/>
      <c r="AB1977" s="2046"/>
      <c r="AC1977" s="2046"/>
      <c r="AD1977" s="2046"/>
      <c r="AE1977" s="2047">
        <f>'01'!$M$13</f>
        <v>0</v>
      </c>
      <c r="AF1977" s="2044"/>
    </row>
    <row r="1978" spans="1:32" x14ac:dyDescent="0.2">
      <c r="A1978" s="1046"/>
      <c r="B1978" s="1047"/>
      <c r="C1978" s="1047"/>
      <c r="D1978" s="1047"/>
      <c r="E1978" s="1047"/>
      <c r="F1978" s="1047"/>
      <c r="G1978" s="1047"/>
      <c r="H1978" s="1047"/>
      <c r="I1978" s="1047"/>
      <c r="J1978" s="1047"/>
      <c r="K1978" s="1047"/>
      <c r="L1978" s="1047"/>
      <c r="M1978" s="1047"/>
      <c r="N1978" s="1047"/>
      <c r="O1978" s="1047"/>
      <c r="P1978" s="1047"/>
      <c r="Q1978" s="1047"/>
      <c r="R1978" s="1047"/>
      <c r="S1978" s="1047"/>
      <c r="T1978" s="1047"/>
      <c r="U1978" s="1047"/>
      <c r="V1978" s="1047"/>
      <c r="W1978" s="1047"/>
      <c r="X1978" s="1047"/>
      <c r="Y1978" s="1047"/>
      <c r="Z1978" s="1047"/>
      <c r="AA1978" s="1047"/>
      <c r="AB1978" s="1047"/>
      <c r="AC1978" s="1047"/>
      <c r="AD1978" s="1047"/>
      <c r="AE1978" s="1047"/>
      <c r="AF1978" s="1048"/>
    </row>
    <row r="1979" spans="1:32" ht="30" customHeight="1" x14ac:dyDescent="0.2">
      <c r="A1979" s="2048" t="s">
        <v>1842</v>
      </c>
      <c r="B1979" s="2049"/>
      <c r="C1979" s="2049"/>
      <c r="D1979" s="2049"/>
      <c r="E1979" s="2049"/>
      <c r="F1979" s="2050" t="str">
        <f>+'01'!$H$63</f>
        <v>C - FLOCULADOR, SEDIMENTADOR, CANAL DE AGUA SEDIMENTADA Y CANAL DE LAVADO</v>
      </c>
      <c r="G1979" s="2049"/>
      <c r="H1979" s="2049"/>
      <c r="I1979" s="2049"/>
      <c r="J1979" s="2049"/>
      <c r="K1979" s="2049"/>
      <c r="L1979" s="2049"/>
      <c r="M1979" s="2049"/>
      <c r="N1979" s="2049"/>
      <c r="O1979" s="2049"/>
      <c r="P1979" s="2049"/>
      <c r="Q1979" s="2049"/>
      <c r="R1979" s="2049"/>
      <c r="S1979" s="2049"/>
      <c r="T1979" s="2049"/>
      <c r="U1979" s="2049"/>
      <c r="V1979" s="2049"/>
      <c r="W1979" s="2049"/>
      <c r="X1979" s="2049"/>
      <c r="Y1979" s="2051"/>
      <c r="Z1979" s="2052" t="s">
        <v>1843</v>
      </c>
      <c r="AA1979" s="2053"/>
      <c r="AB1979" s="2058" t="s">
        <v>1844</v>
      </c>
      <c r="AC1979" s="2059"/>
      <c r="AD1979" s="2060"/>
      <c r="AE1979" s="2064" t="s">
        <v>1845</v>
      </c>
      <c r="AF1979" s="2067" t="s">
        <v>1846</v>
      </c>
    </row>
    <row r="1980" spans="1:32" ht="20.45" customHeight="1" x14ac:dyDescent="0.2">
      <c r="A1980" s="2070" t="str">
        <f>+'01'!A93</f>
        <v>C-08-08</v>
      </c>
      <c r="B1980" s="2071"/>
      <c r="C1980" s="2072"/>
      <c r="D1980" s="2076" t="str">
        <f>VLOOKUP(A1980,'01'!$A$12:$N$299,3,FALSE)</f>
        <v>SUMINISTRO E INSTALACIÓN VÁLVULA DE COMPUERTA ELASTICA VASTAGO NO ASCENDENTE EXTREMO BRIDADO PARA PVC DIAMETRO 8".</v>
      </c>
      <c r="E1980" s="2077"/>
      <c r="F1980" s="2077"/>
      <c r="G1980" s="2077"/>
      <c r="H1980" s="2077"/>
      <c r="I1980" s="2077"/>
      <c r="J1980" s="2077"/>
      <c r="K1980" s="2077"/>
      <c r="L1980" s="2077"/>
      <c r="M1980" s="2077"/>
      <c r="N1980" s="2077"/>
      <c r="O1980" s="2077"/>
      <c r="P1980" s="2077"/>
      <c r="Q1980" s="2077"/>
      <c r="R1980" s="2077"/>
      <c r="S1980" s="2078"/>
      <c r="T1980" s="2082" t="s">
        <v>124</v>
      </c>
      <c r="U1980" s="2083"/>
      <c r="V1980" s="2083"/>
      <c r="W1980" s="2083"/>
      <c r="X1980" s="2052" t="str">
        <f>VLOOKUP(A1980,'01'!$A$12:$N$299,9,FALSE)</f>
        <v>UND</v>
      </c>
      <c r="Y1980" s="2053"/>
      <c r="Z1980" s="2054"/>
      <c r="AA1980" s="2055"/>
      <c r="AB1980" s="2061"/>
      <c r="AC1980" s="2062"/>
      <c r="AD1980" s="2063"/>
      <c r="AE1980" s="2065"/>
      <c r="AF1980" s="2068"/>
    </row>
    <row r="1981" spans="1:32" ht="25.15" customHeight="1" x14ac:dyDescent="0.25">
      <c r="A1981" s="2073"/>
      <c r="B1981" s="2074"/>
      <c r="C1981" s="2075"/>
      <c r="D1981" s="2079"/>
      <c r="E1981" s="2080"/>
      <c r="F1981" s="2080"/>
      <c r="G1981" s="2080"/>
      <c r="H1981" s="2080"/>
      <c r="I1981" s="2080"/>
      <c r="J1981" s="2080"/>
      <c r="K1981" s="2080"/>
      <c r="L1981" s="2080"/>
      <c r="M1981" s="2080"/>
      <c r="N1981" s="2080"/>
      <c r="O1981" s="2080"/>
      <c r="P1981" s="2080"/>
      <c r="Q1981" s="2080"/>
      <c r="R1981" s="2080"/>
      <c r="S1981" s="2081"/>
      <c r="T1981" s="2084"/>
      <c r="U1981" s="2085"/>
      <c r="V1981" s="2085"/>
      <c r="W1981" s="2085"/>
      <c r="X1981" s="2056"/>
      <c r="Y1981" s="2057"/>
      <c r="Z1981" s="2056"/>
      <c r="AA1981" s="2057"/>
      <c r="AB1981" s="1049" t="s">
        <v>1847</v>
      </c>
      <c r="AC1981" s="1049" t="s">
        <v>1848</v>
      </c>
      <c r="AD1981" s="1049" t="s">
        <v>1861</v>
      </c>
      <c r="AE1981" s="2066"/>
      <c r="AF1981" s="2069"/>
    </row>
    <row r="1982" spans="1:32" ht="15.75" x14ac:dyDescent="0.25">
      <c r="A1982" s="2017"/>
      <c r="B1982" s="2018"/>
      <c r="C1982" s="2018"/>
      <c r="D1982" s="2018"/>
      <c r="E1982" s="2018"/>
      <c r="F1982" s="2018"/>
      <c r="G1982" s="2018"/>
      <c r="H1982" s="2018"/>
      <c r="I1982" s="2018"/>
      <c r="J1982" s="2018"/>
      <c r="K1982" s="2018"/>
      <c r="L1982" s="2018"/>
      <c r="M1982" s="2018"/>
      <c r="N1982" s="2018"/>
      <c r="O1982" s="2018"/>
      <c r="P1982" s="2018"/>
      <c r="Q1982" s="2018"/>
      <c r="R1982" s="2018"/>
      <c r="S1982" s="2018"/>
      <c r="T1982" s="2018"/>
      <c r="U1982" s="2018"/>
      <c r="V1982" s="2018"/>
      <c r="W1982" s="2018"/>
      <c r="X1982" s="2018"/>
      <c r="Y1982" s="2018"/>
      <c r="Z1982" s="2096" t="s">
        <v>2425</v>
      </c>
      <c r="AA1982" s="2097"/>
      <c r="AB1982" s="1050"/>
      <c r="AC1982" s="1050"/>
      <c r="AD1982" s="1050"/>
      <c r="AE1982" s="1050">
        <v>2</v>
      </c>
      <c r="AF1982" s="1052">
        <f>AE1982</f>
        <v>2</v>
      </c>
    </row>
    <row r="1983" spans="1:32" ht="15.75" x14ac:dyDescent="0.25">
      <c r="A1983" s="2017"/>
      <c r="B1983" s="2018"/>
      <c r="C1983" s="2018"/>
      <c r="D1983" s="2018"/>
      <c r="E1983" s="2018"/>
      <c r="F1983" s="2018"/>
      <c r="G1983" s="2018"/>
      <c r="H1983" s="2018"/>
      <c r="I1983" s="2018"/>
      <c r="J1983" s="2018"/>
      <c r="K1983" s="2018"/>
      <c r="L1983" s="2018"/>
      <c r="M1983" s="2018"/>
      <c r="N1983" s="2018"/>
      <c r="O1983" s="2018"/>
      <c r="P1983" s="2018"/>
      <c r="Q1983" s="2018"/>
      <c r="R1983" s="2018"/>
      <c r="S1983" s="2018"/>
      <c r="T1983" s="2018"/>
      <c r="U1983" s="2018"/>
      <c r="V1983" s="2018"/>
      <c r="W1983" s="2018"/>
      <c r="X1983" s="2018"/>
      <c r="Y1983" s="2018"/>
      <c r="Z1983" s="2096"/>
      <c r="AA1983" s="2097"/>
      <c r="AB1983" s="1050"/>
      <c r="AC1983" s="1050"/>
      <c r="AD1983" s="1050"/>
      <c r="AE1983" s="1050"/>
      <c r="AF1983" s="1052"/>
    </row>
    <row r="1984" spans="1:32" ht="15.75" x14ac:dyDescent="0.25">
      <c r="A1984" s="2017"/>
      <c r="B1984" s="2018"/>
      <c r="C1984" s="2018"/>
      <c r="D1984" s="2018"/>
      <c r="E1984" s="2018"/>
      <c r="F1984" s="2018"/>
      <c r="G1984" s="2018"/>
      <c r="H1984" s="2018"/>
      <c r="I1984" s="2018"/>
      <c r="J1984" s="2018"/>
      <c r="K1984" s="2018"/>
      <c r="L1984" s="2018"/>
      <c r="M1984" s="2018"/>
      <c r="N1984" s="2018"/>
      <c r="O1984" s="2018"/>
      <c r="P1984" s="2018"/>
      <c r="Q1984" s="2018"/>
      <c r="R1984" s="2018"/>
      <c r="S1984" s="2018"/>
      <c r="T1984" s="2018"/>
      <c r="U1984" s="2018"/>
      <c r="V1984" s="2018"/>
      <c r="W1984" s="2018"/>
      <c r="X1984" s="2018"/>
      <c r="Y1984" s="2018"/>
      <c r="Z1984" s="2096"/>
      <c r="AA1984" s="2097"/>
      <c r="AB1984" s="1050"/>
      <c r="AC1984" s="1050"/>
      <c r="AD1984" s="1050"/>
      <c r="AE1984" s="1050"/>
      <c r="AF1984" s="1052"/>
    </row>
    <row r="1985" spans="1:32" ht="15.75" x14ac:dyDescent="0.25">
      <c r="A1985" s="2017"/>
      <c r="B1985" s="2018"/>
      <c r="C1985" s="2018"/>
      <c r="D1985" s="2018"/>
      <c r="E1985" s="2018"/>
      <c r="F1985" s="2018"/>
      <c r="G1985" s="2018"/>
      <c r="H1985" s="2018"/>
      <c r="I1985" s="2018"/>
      <c r="J1985" s="2018"/>
      <c r="K1985" s="2018"/>
      <c r="L1985" s="2018"/>
      <c r="M1985" s="2018"/>
      <c r="N1985" s="2018"/>
      <c r="O1985" s="2018"/>
      <c r="P1985" s="2018"/>
      <c r="Q1985" s="2018"/>
      <c r="R1985" s="2018"/>
      <c r="S1985" s="2018"/>
      <c r="T1985" s="2018"/>
      <c r="U1985" s="2018"/>
      <c r="V1985" s="2018"/>
      <c r="W1985" s="2018"/>
      <c r="X1985" s="2018"/>
      <c r="Y1985" s="2018"/>
      <c r="Z1985" s="2096"/>
      <c r="AA1985" s="2097"/>
      <c r="AB1985" s="1050"/>
      <c r="AC1985" s="1050"/>
      <c r="AD1985" s="1050"/>
      <c r="AE1985" s="1050"/>
      <c r="AF1985" s="1052"/>
    </row>
    <row r="1986" spans="1:32" ht="15.75" x14ac:dyDescent="0.25">
      <c r="A1986" s="2017"/>
      <c r="B1986" s="2018"/>
      <c r="C1986" s="2018"/>
      <c r="D1986" s="2018"/>
      <c r="E1986" s="2018"/>
      <c r="F1986" s="2018"/>
      <c r="G1986" s="2018"/>
      <c r="H1986" s="2018"/>
      <c r="I1986" s="2018"/>
      <c r="J1986" s="2018"/>
      <c r="K1986" s="2018"/>
      <c r="L1986" s="2018"/>
      <c r="M1986" s="2018"/>
      <c r="N1986" s="2018"/>
      <c r="O1986" s="2018"/>
      <c r="P1986" s="2018"/>
      <c r="Q1986" s="2018"/>
      <c r="R1986" s="2018"/>
      <c r="S1986" s="2018"/>
      <c r="T1986" s="2018"/>
      <c r="U1986" s="2018"/>
      <c r="V1986" s="2018"/>
      <c r="W1986" s="2018"/>
      <c r="X1986" s="2018"/>
      <c r="Y1986" s="2018"/>
      <c r="Z1986" s="2096"/>
      <c r="AA1986" s="2097"/>
      <c r="AB1986" s="1050"/>
      <c r="AC1986" s="1050"/>
      <c r="AD1986" s="1050"/>
      <c r="AE1986" s="1050"/>
      <c r="AF1986" s="1052"/>
    </row>
    <row r="1987" spans="1:32" ht="15.75" x14ac:dyDescent="0.25">
      <c r="A1987" s="2017"/>
      <c r="B1987" s="2018"/>
      <c r="C1987" s="2018"/>
      <c r="D1987" s="2018"/>
      <c r="E1987" s="2018"/>
      <c r="F1987" s="2018"/>
      <c r="G1987" s="2018"/>
      <c r="H1987" s="2018"/>
      <c r="I1987" s="2018"/>
      <c r="J1987" s="2018"/>
      <c r="K1987" s="2018"/>
      <c r="L1987" s="2018"/>
      <c r="M1987" s="2018"/>
      <c r="N1987" s="2018"/>
      <c r="O1987" s="2018"/>
      <c r="P1987" s="2018"/>
      <c r="Q1987" s="2018"/>
      <c r="R1987" s="2018"/>
      <c r="S1987" s="2018"/>
      <c r="T1987" s="2018"/>
      <c r="U1987" s="2018"/>
      <c r="V1987" s="2018"/>
      <c r="W1987" s="2018"/>
      <c r="X1987" s="2018"/>
      <c r="Y1987" s="2018"/>
      <c r="Z1987" s="2096"/>
      <c r="AA1987" s="2097"/>
      <c r="AB1987" s="1050"/>
      <c r="AC1987" s="1050"/>
      <c r="AD1987" s="1050"/>
      <c r="AE1987" s="1050"/>
      <c r="AF1987" s="1052"/>
    </row>
    <row r="1988" spans="1:32" ht="15.75" x14ac:dyDescent="0.25">
      <c r="A1988" s="2017"/>
      <c r="B1988" s="2018"/>
      <c r="C1988" s="2018"/>
      <c r="D1988" s="2018"/>
      <c r="E1988" s="2018"/>
      <c r="F1988" s="2018"/>
      <c r="G1988" s="2018"/>
      <c r="H1988" s="2018"/>
      <c r="I1988" s="2018"/>
      <c r="J1988" s="2018"/>
      <c r="K1988" s="2018"/>
      <c r="L1988" s="2018"/>
      <c r="M1988" s="2018"/>
      <c r="N1988" s="2018"/>
      <c r="O1988" s="2018"/>
      <c r="P1988" s="2018"/>
      <c r="Q1988" s="2018"/>
      <c r="R1988" s="2018"/>
      <c r="S1988" s="2018"/>
      <c r="T1988" s="2018"/>
      <c r="U1988" s="2018"/>
      <c r="V1988" s="2018"/>
      <c r="W1988" s="2018"/>
      <c r="X1988" s="2018"/>
      <c r="Y1988" s="2018"/>
      <c r="Z1988" s="2105"/>
      <c r="AA1988" s="2105"/>
      <c r="AB1988" s="1050"/>
      <c r="AC1988" s="1050"/>
      <c r="AD1988" s="1050"/>
      <c r="AE1988" s="1050"/>
      <c r="AF1988" s="1052"/>
    </row>
    <row r="1989" spans="1:32" ht="15.75" x14ac:dyDescent="0.25">
      <c r="A1989" s="2017"/>
      <c r="B1989" s="2018"/>
      <c r="C1989" s="2018"/>
      <c r="D1989" s="2018"/>
      <c r="E1989" s="2018"/>
      <c r="F1989" s="2018"/>
      <c r="G1989" s="2018"/>
      <c r="H1989" s="2018"/>
      <c r="I1989" s="2018"/>
      <c r="J1989" s="2018"/>
      <c r="K1989" s="2018"/>
      <c r="L1989" s="2018"/>
      <c r="M1989" s="2018"/>
      <c r="N1989" s="2018"/>
      <c r="O1989" s="2018"/>
      <c r="P1989" s="2018"/>
      <c r="Q1989" s="2018"/>
      <c r="R1989" s="2018"/>
      <c r="S1989" s="2018"/>
      <c r="T1989" s="2018"/>
      <c r="U1989" s="2018"/>
      <c r="V1989" s="2018"/>
      <c r="W1989" s="2018"/>
      <c r="X1989" s="2018"/>
      <c r="Y1989" s="2018"/>
      <c r="Z1989" s="2105"/>
      <c r="AA1989" s="2105"/>
      <c r="AB1989" s="1050"/>
      <c r="AC1989" s="1050"/>
      <c r="AD1989" s="1050"/>
      <c r="AE1989" s="1050"/>
      <c r="AF1989" s="1052"/>
    </row>
    <row r="1990" spans="1:32" ht="15.75" x14ac:dyDescent="0.25">
      <c r="A1990" s="2017"/>
      <c r="B1990" s="2018"/>
      <c r="C1990" s="2018"/>
      <c r="D1990" s="2018"/>
      <c r="E1990" s="2018"/>
      <c r="F1990" s="2018"/>
      <c r="G1990" s="2018"/>
      <c r="H1990" s="2018"/>
      <c r="I1990" s="2018"/>
      <c r="J1990" s="2018"/>
      <c r="K1990" s="2018"/>
      <c r="L1990" s="2018"/>
      <c r="M1990" s="2018"/>
      <c r="N1990" s="2018"/>
      <c r="O1990" s="2018"/>
      <c r="P1990" s="2018"/>
      <c r="Q1990" s="2018"/>
      <c r="R1990" s="2018"/>
      <c r="S1990" s="2018"/>
      <c r="T1990" s="2018"/>
      <c r="U1990" s="2018"/>
      <c r="V1990" s="2018"/>
      <c r="W1990" s="2018"/>
      <c r="X1990" s="2018"/>
      <c r="Y1990" s="2018"/>
      <c r="Z1990" s="2105"/>
      <c r="AA1990" s="2105"/>
      <c r="AB1990" s="1050"/>
      <c r="AC1990" s="1050"/>
      <c r="AD1990" s="1050"/>
      <c r="AE1990" s="1050"/>
      <c r="AF1990" s="1052"/>
    </row>
    <row r="1991" spans="1:32" ht="15.75" x14ac:dyDescent="0.25">
      <c r="A1991" s="2017"/>
      <c r="B1991" s="2018"/>
      <c r="C1991" s="2018"/>
      <c r="D1991" s="2018"/>
      <c r="E1991" s="2018"/>
      <c r="F1991" s="2018"/>
      <c r="G1991" s="2018"/>
      <c r="H1991" s="2018"/>
      <c r="I1991" s="2018"/>
      <c r="J1991" s="2018"/>
      <c r="K1991" s="2018"/>
      <c r="L1991" s="2018"/>
      <c r="M1991" s="2018"/>
      <c r="N1991" s="2018"/>
      <c r="O1991" s="2018"/>
      <c r="P1991" s="2018"/>
      <c r="Q1991" s="2018"/>
      <c r="R1991" s="2018"/>
      <c r="S1991" s="2018"/>
      <c r="T1991" s="2018"/>
      <c r="U1991" s="2018"/>
      <c r="V1991" s="2018"/>
      <c r="W1991" s="2018"/>
      <c r="X1991" s="2018"/>
      <c r="Y1991" s="2018"/>
      <c r="Z1991" s="2105"/>
      <c r="AA1991" s="2105"/>
      <c r="AB1991" s="1050"/>
      <c r="AC1991" s="1050"/>
      <c r="AD1991" s="1050"/>
      <c r="AE1991" s="1050"/>
      <c r="AF1991" s="1052"/>
    </row>
    <row r="1992" spans="1:32" ht="15.75" x14ac:dyDescent="0.25">
      <c r="A1992" s="2017"/>
      <c r="B1992" s="2018"/>
      <c r="C1992" s="2018"/>
      <c r="D1992" s="2018"/>
      <c r="E1992" s="2018"/>
      <c r="F1992" s="2018"/>
      <c r="G1992" s="2018"/>
      <c r="H1992" s="2018"/>
      <c r="I1992" s="2018"/>
      <c r="J1992" s="2018"/>
      <c r="K1992" s="2018"/>
      <c r="L1992" s="2018"/>
      <c r="M1992" s="2018"/>
      <c r="N1992" s="2018"/>
      <c r="O1992" s="2018"/>
      <c r="P1992" s="2018"/>
      <c r="Q1992" s="2018"/>
      <c r="R1992" s="2018"/>
      <c r="S1992" s="2018"/>
      <c r="T1992" s="2018"/>
      <c r="U1992" s="2018"/>
      <c r="V1992" s="2018"/>
      <c r="W1992" s="2018"/>
      <c r="X1992" s="2018"/>
      <c r="Y1992" s="2018"/>
      <c r="Z1992" s="2105"/>
      <c r="AA1992" s="2105"/>
      <c r="AB1992" s="1050"/>
      <c r="AC1992" s="1050"/>
      <c r="AD1992" s="1050"/>
      <c r="AE1992" s="1050"/>
      <c r="AF1992" s="1052"/>
    </row>
    <row r="1993" spans="1:32" ht="15.75" x14ac:dyDescent="0.25">
      <c r="A1993" s="2017"/>
      <c r="B1993" s="2018"/>
      <c r="C1993" s="2018"/>
      <c r="D1993" s="2018"/>
      <c r="E1993" s="2018"/>
      <c r="F1993" s="2018"/>
      <c r="G1993" s="2018"/>
      <c r="H1993" s="2018"/>
      <c r="I1993" s="2018"/>
      <c r="J1993" s="2018"/>
      <c r="K1993" s="2018"/>
      <c r="L1993" s="2018"/>
      <c r="M1993" s="2018"/>
      <c r="N1993" s="2018"/>
      <c r="O1993" s="2018"/>
      <c r="P1993" s="2018"/>
      <c r="Q1993" s="2018"/>
      <c r="R1993" s="2018"/>
      <c r="S1993" s="2018"/>
      <c r="T1993" s="2018"/>
      <c r="U1993" s="2018"/>
      <c r="V1993" s="2018"/>
      <c r="W1993" s="2018"/>
      <c r="X1993" s="2018"/>
      <c r="Y1993" s="2018"/>
      <c r="Z1993" s="2105"/>
      <c r="AA1993" s="2105"/>
      <c r="AB1993" s="1050"/>
      <c r="AC1993" s="1050"/>
      <c r="AD1993" s="1050"/>
      <c r="AE1993" s="1050"/>
      <c r="AF1993" s="1052"/>
    </row>
    <row r="1994" spans="1:32" ht="15.75" x14ac:dyDescent="0.25">
      <c r="A1994" s="2017"/>
      <c r="B1994" s="2018"/>
      <c r="C1994" s="2018"/>
      <c r="D1994" s="2018"/>
      <c r="E1994" s="2018"/>
      <c r="F1994" s="2018"/>
      <c r="G1994" s="2018"/>
      <c r="H1994" s="2018"/>
      <c r="I1994" s="2018"/>
      <c r="J1994" s="2018"/>
      <c r="K1994" s="2018"/>
      <c r="L1994" s="2018"/>
      <c r="M1994" s="2018"/>
      <c r="N1994" s="2018"/>
      <c r="O1994" s="2018"/>
      <c r="P1994" s="2018"/>
      <c r="Q1994" s="2018"/>
      <c r="R1994" s="2018"/>
      <c r="S1994" s="2018"/>
      <c r="T1994" s="2018"/>
      <c r="U1994" s="2018"/>
      <c r="V1994" s="2018"/>
      <c r="W1994" s="2018"/>
      <c r="X1994" s="2018"/>
      <c r="Y1994" s="2018"/>
      <c r="Z1994" s="2105"/>
      <c r="AA1994" s="2105"/>
      <c r="AB1994" s="1050"/>
      <c r="AC1994" s="1050"/>
      <c r="AD1994" s="1050"/>
      <c r="AE1994" s="1050"/>
      <c r="AF1994" s="1052"/>
    </row>
    <row r="1995" spans="1:32" ht="15.75" x14ac:dyDescent="0.25">
      <c r="A1995" s="2017"/>
      <c r="B1995" s="2018"/>
      <c r="C1995" s="2018"/>
      <c r="D1995" s="2018"/>
      <c r="E1995" s="2018"/>
      <c r="F1995" s="2018"/>
      <c r="G1995" s="2018"/>
      <c r="H1995" s="2018"/>
      <c r="I1995" s="2018"/>
      <c r="J1995" s="2018"/>
      <c r="K1995" s="2018"/>
      <c r="L1995" s="2018"/>
      <c r="M1995" s="2018"/>
      <c r="N1995" s="2018"/>
      <c r="O1995" s="2018"/>
      <c r="P1995" s="2018"/>
      <c r="Q1995" s="2018"/>
      <c r="R1995" s="2018"/>
      <c r="S1995" s="2018"/>
      <c r="T1995" s="2018"/>
      <c r="U1995" s="2018"/>
      <c r="V1995" s="2018"/>
      <c r="W1995" s="2018"/>
      <c r="X1995" s="2018"/>
      <c r="Y1995" s="2018"/>
      <c r="Z1995" s="2022"/>
      <c r="AA1995" s="2022"/>
      <c r="AB1995" s="1050"/>
      <c r="AC1995" s="1050"/>
      <c r="AD1995" s="1050"/>
      <c r="AE1995" s="1050"/>
      <c r="AF1995" s="1052"/>
    </row>
    <row r="1996" spans="1:32" ht="15.75" x14ac:dyDescent="0.25">
      <c r="A1996" s="2017"/>
      <c r="B1996" s="2018"/>
      <c r="C1996" s="2018"/>
      <c r="D1996" s="2018"/>
      <c r="E1996" s="2018"/>
      <c r="F1996" s="2018"/>
      <c r="G1996" s="2018"/>
      <c r="H1996" s="2018"/>
      <c r="I1996" s="2018"/>
      <c r="J1996" s="2018"/>
      <c r="K1996" s="2018"/>
      <c r="L1996" s="2018"/>
      <c r="M1996" s="2018"/>
      <c r="N1996" s="2018"/>
      <c r="O1996" s="2018"/>
      <c r="P1996" s="2018"/>
      <c r="Q1996" s="2018"/>
      <c r="R1996" s="2018"/>
      <c r="S1996" s="2018"/>
      <c r="T1996" s="2018"/>
      <c r="U1996" s="2018"/>
      <c r="V1996" s="2018"/>
      <c r="W1996" s="2018"/>
      <c r="X1996" s="2018"/>
      <c r="Y1996" s="2018"/>
      <c r="Z1996" s="2022"/>
      <c r="AA1996" s="2022"/>
      <c r="AB1996" s="1050"/>
      <c r="AC1996" s="1050"/>
      <c r="AD1996" s="1050"/>
      <c r="AE1996" s="1050"/>
      <c r="AF1996" s="1052"/>
    </row>
    <row r="1997" spans="1:32" ht="15.75" x14ac:dyDescent="0.25">
      <c r="A1997" s="2017"/>
      <c r="B1997" s="2018"/>
      <c r="C1997" s="2018"/>
      <c r="D1997" s="2018"/>
      <c r="E1997" s="2018"/>
      <c r="F1997" s="2018"/>
      <c r="G1997" s="2018"/>
      <c r="H1997" s="2018"/>
      <c r="I1997" s="2018"/>
      <c r="J1997" s="2018"/>
      <c r="K1997" s="2018"/>
      <c r="L1997" s="2018"/>
      <c r="M1997" s="2018"/>
      <c r="N1997" s="2018"/>
      <c r="O1997" s="2018"/>
      <c r="P1997" s="2018"/>
      <c r="Q1997" s="2018"/>
      <c r="R1997" s="2018"/>
      <c r="S1997" s="2018"/>
      <c r="T1997" s="2018"/>
      <c r="U1997" s="2018"/>
      <c r="V1997" s="2018"/>
      <c r="W1997" s="2018"/>
      <c r="X1997" s="2018"/>
      <c r="Y1997" s="2018"/>
      <c r="Z1997" s="2022"/>
      <c r="AA1997" s="2022"/>
      <c r="AB1997" s="1050"/>
      <c r="AC1997" s="1050"/>
      <c r="AD1997" s="1050"/>
      <c r="AE1997" s="1050"/>
      <c r="AF1997" s="1052"/>
    </row>
    <row r="1998" spans="1:32" ht="15.75" x14ac:dyDescent="0.25">
      <c r="A1998" s="2017"/>
      <c r="B1998" s="2018"/>
      <c r="C1998" s="2018"/>
      <c r="D1998" s="2018"/>
      <c r="E1998" s="2018"/>
      <c r="F1998" s="2018"/>
      <c r="G1998" s="2018"/>
      <c r="H1998" s="2018"/>
      <c r="I1998" s="2018"/>
      <c r="J1998" s="2018"/>
      <c r="K1998" s="2018"/>
      <c r="L1998" s="2018"/>
      <c r="M1998" s="2018"/>
      <c r="N1998" s="2018"/>
      <c r="O1998" s="2018"/>
      <c r="P1998" s="2018"/>
      <c r="Q1998" s="2018"/>
      <c r="R1998" s="2018"/>
      <c r="S1998" s="2018"/>
      <c r="T1998" s="2018"/>
      <c r="U1998" s="2018"/>
      <c r="V1998" s="2018"/>
      <c r="W1998" s="2018"/>
      <c r="X1998" s="2018"/>
      <c r="Y1998" s="2018"/>
      <c r="Z1998" s="2022"/>
      <c r="AA1998" s="2022"/>
      <c r="AB1998" s="1050"/>
      <c r="AC1998" s="1050"/>
      <c r="AD1998" s="1050"/>
      <c r="AE1998" s="1050"/>
      <c r="AF1998" s="1052"/>
    </row>
    <row r="1999" spans="1:32" ht="15.75" x14ac:dyDescent="0.25">
      <c r="A1999" s="2017"/>
      <c r="B1999" s="2018"/>
      <c r="C1999" s="2018"/>
      <c r="D1999" s="2018"/>
      <c r="E1999" s="2018"/>
      <c r="F1999" s="2018"/>
      <c r="G1999" s="2018"/>
      <c r="H1999" s="2018"/>
      <c r="I1999" s="2018"/>
      <c r="J1999" s="2018"/>
      <c r="K1999" s="2018"/>
      <c r="L1999" s="2018"/>
      <c r="M1999" s="2018"/>
      <c r="N1999" s="2018"/>
      <c r="O1999" s="2018"/>
      <c r="P1999" s="2018"/>
      <c r="Q1999" s="2018"/>
      <c r="R1999" s="2018"/>
      <c r="S1999" s="2018"/>
      <c r="T1999" s="2018"/>
      <c r="U1999" s="2018"/>
      <c r="V1999" s="2018"/>
      <c r="W1999" s="2018"/>
      <c r="X1999" s="2018"/>
      <c r="Y1999" s="2018"/>
      <c r="Z1999" s="2023"/>
      <c r="AA1999" s="2023"/>
      <c r="AB1999" s="1050"/>
      <c r="AC1999" s="1050"/>
      <c r="AD1999" s="1050"/>
      <c r="AE1999" s="1050"/>
      <c r="AF1999" s="1052"/>
    </row>
    <row r="2000" spans="1:32" ht="15.75" x14ac:dyDescent="0.25">
      <c r="A2000" s="2017"/>
      <c r="B2000" s="2018"/>
      <c r="C2000" s="2018"/>
      <c r="D2000" s="2018"/>
      <c r="E2000" s="2018"/>
      <c r="F2000" s="2018"/>
      <c r="G2000" s="2018"/>
      <c r="H2000" s="2018"/>
      <c r="I2000" s="2018"/>
      <c r="J2000" s="2018"/>
      <c r="K2000" s="2018"/>
      <c r="L2000" s="2018"/>
      <c r="M2000" s="2018"/>
      <c r="N2000" s="2018"/>
      <c r="O2000" s="2018"/>
      <c r="P2000" s="2018"/>
      <c r="Q2000" s="2018"/>
      <c r="R2000" s="2018"/>
      <c r="S2000" s="2018"/>
      <c r="T2000" s="2018"/>
      <c r="U2000" s="2018"/>
      <c r="V2000" s="2018"/>
      <c r="W2000" s="2018"/>
      <c r="X2000" s="2018"/>
      <c r="Y2000" s="2018"/>
      <c r="Z2000" s="2023"/>
      <c r="AA2000" s="2023"/>
      <c r="AB2000" s="1050"/>
      <c r="AC2000" s="1050"/>
      <c r="AD2000" s="1050"/>
      <c r="AE2000" s="1050"/>
      <c r="AF2000" s="1052"/>
    </row>
    <row r="2001" spans="1:32" ht="15.75" x14ac:dyDescent="0.25">
      <c r="A2001" s="2017"/>
      <c r="B2001" s="2018"/>
      <c r="C2001" s="2018"/>
      <c r="D2001" s="2018"/>
      <c r="E2001" s="2018"/>
      <c r="F2001" s="2018"/>
      <c r="G2001" s="2018"/>
      <c r="H2001" s="2018"/>
      <c r="I2001" s="2018"/>
      <c r="J2001" s="2018"/>
      <c r="K2001" s="2018"/>
      <c r="L2001" s="2018"/>
      <c r="M2001" s="2018"/>
      <c r="N2001" s="2018"/>
      <c r="O2001" s="2018"/>
      <c r="P2001" s="2018"/>
      <c r="Q2001" s="2018"/>
      <c r="R2001" s="2018"/>
      <c r="S2001" s="2018"/>
      <c r="T2001" s="2018"/>
      <c r="U2001" s="2018"/>
      <c r="V2001" s="2018"/>
      <c r="W2001" s="2018"/>
      <c r="X2001" s="2018"/>
      <c r="Y2001" s="2018"/>
      <c r="Z2001" s="2023"/>
      <c r="AA2001" s="2023"/>
      <c r="AB2001" s="1050"/>
      <c r="AC2001" s="1050"/>
      <c r="AD2001" s="1050"/>
      <c r="AE2001" s="1050"/>
      <c r="AF2001" s="1052"/>
    </row>
    <row r="2002" spans="1:32" ht="15.75" x14ac:dyDescent="0.25">
      <c r="A2002" s="2017"/>
      <c r="B2002" s="2018"/>
      <c r="C2002" s="2018"/>
      <c r="D2002" s="2018"/>
      <c r="E2002" s="2018"/>
      <c r="F2002" s="2018"/>
      <c r="G2002" s="2018"/>
      <c r="H2002" s="2018"/>
      <c r="I2002" s="2018"/>
      <c r="J2002" s="2018"/>
      <c r="K2002" s="2018"/>
      <c r="L2002" s="2018"/>
      <c r="M2002" s="2018"/>
      <c r="N2002" s="2018"/>
      <c r="O2002" s="2018"/>
      <c r="P2002" s="2018"/>
      <c r="Q2002" s="2018"/>
      <c r="R2002" s="2018"/>
      <c r="S2002" s="2018"/>
      <c r="T2002" s="2018"/>
      <c r="U2002" s="2018"/>
      <c r="V2002" s="2018"/>
      <c r="W2002" s="2018"/>
      <c r="X2002" s="2018"/>
      <c r="Y2002" s="2018"/>
      <c r="Z2002" s="2023"/>
      <c r="AA2002" s="2023"/>
      <c r="AB2002" s="1050"/>
      <c r="AC2002" s="1050"/>
      <c r="AD2002" s="1050"/>
      <c r="AE2002" s="1050"/>
      <c r="AF2002" s="1052"/>
    </row>
    <row r="2003" spans="1:32" ht="15.75" x14ac:dyDescent="0.25">
      <c r="A2003" s="2017"/>
      <c r="B2003" s="2018"/>
      <c r="C2003" s="2018"/>
      <c r="D2003" s="2018"/>
      <c r="E2003" s="2018"/>
      <c r="F2003" s="2018"/>
      <c r="G2003" s="2018"/>
      <c r="H2003" s="2018"/>
      <c r="I2003" s="2018"/>
      <c r="J2003" s="2018"/>
      <c r="K2003" s="2018"/>
      <c r="L2003" s="2018"/>
      <c r="M2003" s="2018"/>
      <c r="N2003" s="2018"/>
      <c r="O2003" s="2018"/>
      <c r="P2003" s="2018"/>
      <c r="Q2003" s="2018"/>
      <c r="R2003" s="2018"/>
      <c r="S2003" s="2018"/>
      <c r="T2003" s="2018"/>
      <c r="U2003" s="2018"/>
      <c r="V2003" s="2018"/>
      <c r="W2003" s="2018"/>
      <c r="X2003" s="2018"/>
      <c r="Y2003" s="2018"/>
      <c r="Z2003" s="2023"/>
      <c r="AA2003" s="2023"/>
      <c r="AB2003" s="1050"/>
      <c r="AC2003" s="1050"/>
      <c r="AD2003" s="1050"/>
      <c r="AE2003" s="1050"/>
      <c r="AF2003" s="1052"/>
    </row>
    <row r="2004" spans="1:32" ht="15.75" x14ac:dyDescent="0.25">
      <c r="A2004" s="2017"/>
      <c r="B2004" s="2018"/>
      <c r="C2004" s="2018"/>
      <c r="D2004" s="2018"/>
      <c r="E2004" s="2018"/>
      <c r="F2004" s="2018"/>
      <c r="G2004" s="2018"/>
      <c r="H2004" s="2018"/>
      <c r="I2004" s="2018"/>
      <c r="J2004" s="2018"/>
      <c r="K2004" s="2018"/>
      <c r="L2004" s="2018"/>
      <c r="M2004" s="2018"/>
      <c r="N2004" s="2018"/>
      <c r="O2004" s="2018"/>
      <c r="P2004" s="2018"/>
      <c r="Q2004" s="2018"/>
      <c r="R2004" s="2018"/>
      <c r="S2004" s="2018"/>
      <c r="T2004" s="2018"/>
      <c r="U2004" s="2018"/>
      <c r="V2004" s="2018"/>
      <c r="W2004" s="2018"/>
      <c r="X2004" s="2018"/>
      <c r="Y2004" s="2018"/>
      <c r="Z2004" s="2023"/>
      <c r="AA2004" s="2023"/>
      <c r="AB2004" s="1050"/>
      <c r="AC2004" s="1050"/>
      <c r="AD2004" s="1050"/>
      <c r="AE2004" s="1050"/>
      <c r="AF2004" s="1052"/>
    </row>
    <row r="2005" spans="1:32" ht="16.5" thickBot="1" x14ac:dyDescent="0.3">
      <c r="A2005" s="2019"/>
      <c r="B2005" s="2020"/>
      <c r="C2005" s="2020"/>
      <c r="D2005" s="2020"/>
      <c r="E2005" s="2020"/>
      <c r="F2005" s="2020"/>
      <c r="G2005" s="2020"/>
      <c r="H2005" s="2020"/>
      <c r="I2005" s="2020"/>
      <c r="J2005" s="2020"/>
      <c r="K2005" s="2020"/>
      <c r="L2005" s="2020"/>
      <c r="M2005" s="2020"/>
      <c r="N2005" s="2020"/>
      <c r="O2005" s="2020"/>
      <c r="P2005" s="2020"/>
      <c r="Q2005" s="2020"/>
      <c r="R2005" s="2020"/>
      <c r="S2005" s="2020"/>
      <c r="T2005" s="2020"/>
      <c r="U2005" s="2020"/>
      <c r="V2005" s="2020"/>
      <c r="W2005" s="2020"/>
      <c r="X2005" s="2020"/>
      <c r="Y2005" s="2020"/>
      <c r="Z2005" s="2024"/>
      <c r="AA2005" s="2024"/>
      <c r="AB2005" s="1057"/>
      <c r="AC2005" s="1057"/>
      <c r="AD2005" s="1057"/>
      <c r="AE2005" s="1057"/>
      <c r="AF2005" s="1058"/>
    </row>
    <row r="2006" spans="1:32" ht="15.75" x14ac:dyDescent="0.25">
      <c r="A2006" s="2009" t="s">
        <v>1855</v>
      </c>
      <c r="B2006" s="2010"/>
      <c r="C2006" s="2010"/>
      <c r="D2006" s="2010"/>
      <c r="E2006" s="2010"/>
      <c r="F2006" s="2010"/>
      <c r="G2006" s="2010"/>
      <c r="H2006" s="2010"/>
      <c r="I2006" s="2010"/>
      <c r="J2006" s="2010"/>
      <c r="K2006" s="2010"/>
      <c r="L2006" s="2010"/>
      <c r="M2006" s="2010"/>
      <c r="N2006" s="2010"/>
      <c r="O2006" s="2010"/>
      <c r="P2006" s="2010"/>
      <c r="Q2006" s="2010"/>
      <c r="R2006" s="2010"/>
      <c r="S2006" s="2010"/>
      <c r="T2006" s="2010"/>
      <c r="U2006" s="2010"/>
      <c r="V2006" s="2010"/>
      <c r="W2006" s="2010"/>
      <c r="X2006" s="2010"/>
      <c r="Y2006" s="2010"/>
      <c r="Z2006" s="2013" t="s">
        <v>1850</v>
      </c>
      <c r="AA2006" s="2013"/>
      <c r="AB2006" s="2013"/>
      <c r="AC2006" s="2013"/>
      <c r="AD2006" s="2013"/>
      <c r="AE2006" s="2013"/>
      <c r="AF2006" s="1059">
        <f>SUM(AF1982:AF2005)</f>
        <v>2</v>
      </c>
    </row>
    <row r="2007" spans="1:32" ht="15.75" x14ac:dyDescent="0.25">
      <c r="A2007" s="2011"/>
      <c r="B2007" s="2012"/>
      <c r="C2007" s="2012"/>
      <c r="D2007" s="2012"/>
      <c r="E2007" s="2012"/>
      <c r="F2007" s="2012"/>
      <c r="G2007" s="2012"/>
      <c r="H2007" s="2012"/>
      <c r="I2007" s="2012"/>
      <c r="J2007" s="2012"/>
      <c r="K2007" s="2012"/>
      <c r="L2007" s="2012"/>
      <c r="M2007" s="2012"/>
      <c r="N2007" s="2012"/>
      <c r="O2007" s="2012"/>
      <c r="P2007" s="2012"/>
      <c r="Q2007" s="2012"/>
      <c r="R2007" s="2012"/>
      <c r="S2007" s="2012"/>
      <c r="T2007" s="2012"/>
      <c r="U2007" s="2012"/>
      <c r="V2007" s="2012"/>
      <c r="W2007" s="2012"/>
      <c r="X2007" s="2012"/>
      <c r="Y2007" s="2012"/>
      <c r="Z2007" s="2014" t="s">
        <v>1851</v>
      </c>
      <c r="AA2007" s="2014"/>
      <c r="AB2007" s="2014"/>
      <c r="AC2007" s="2014"/>
      <c r="AD2007" s="2014"/>
      <c r="AE2007" s="2014"/>
      <c r="AF2007" s="1060">
        <v>0</v>
      </c>
    </row>
    <row r="2008" spans="1:32" ht="15.75" x14ac:dyDescent="0.25">
      <c r="A2008" s="2011"/>
      <c r="B2008" s="2012"/>
      <c r="C2008" s="2012"/>
      <c r="D2008" s="2012"/>
      <c r="E2008" s="2012"/>
      <c r="F2008" s="2012"/>
      <c r="G2008" s="2012"/>
      <c r="H2008" s="2012"/>
      <c r="I2008" s="2012"/>
      <c r="J2008" s="2012"/>
      <c r="K2008" s="2012"/>
      <c r="L2008" s="2012"/>
      <c r="M2008" s="2012"/>
      <c r="N2008" s="2012"/>
      <c r="O2008" s="2012"/>
      <c r="P2008" s="2012"/>
      <c r="Q2008" s="2012"/>
      <c r="R2008" s="2012"/>
      <c r="S2008" s="2012"/>
      <c r="T2008" s="2012"/>
      <c r="U2008" s="2012"/>
      <c r="V2008" s="2012"/>
      <c r="W2008" s="2012"/>
      <c r="X2008" s="2012"/>
      <c r="Y2008" s="2012"/>
      <c r="Z2008" s="2015" t="s">
        <v>1833</v>
      </c>
      <c r="AA2008" s="2015"/>
      <c r="AB2008" s="2015"/>
      <c r="AC2008" s="2015"/>
      <c r="AD2008" s="2015"/>
      <c r="AE2008" s="2015"/>
      <c r="AF2008" s="1061">
        <f>SUM(AF2006:AF2007)</f>
        <v>2</v>
      </c>
    </row>
    <row r="2009" spans="1:32" x14ac:dyDescent="0.2">
      <c r="A2009" s="2012" t="s">
        <v>1859</v>
      </c>
      <c r="B2009" s="2012"/>
      <c r="C2009" s="2012"/>
      <c r="D2009" s="2012"/>
      <c r="E2009" s="2012"/>
      <c r="F2009" s="2012"/>
      <c r="G2009" s="2012"/>
      <c r="H2009" s="2012"/>
      <c r="I2009" s="2012"/>
      <c r="J2009" s="2012"/>
      <c r="K2009" s="2012"/>
      <c r="L2009" s="2012"/>
      <c r="M2009" s="2012"/>
      <c r="N2009" s="2012"/>
      <c r="O2009" s="2012"/>
      <c r="P2009" s="2012"/>
      <c r="Q2009" s="2012"/>
      <c r="R2009" s="2012"/>
      <c r="S2009" s="2012"/>
      <c r="T2009" s="2016" t="s">
        <v>1840</v>
      </c>
      <c r="U2009" s="2016"/>
      <c r="V2009" s="2016"/>
      <c r="W2009" s="2016"/>
      <c r="X2009" s="2016"/>
      <c r="Y2009" s="2016"/>
      <c r="Z2009" s="2016"/>
      <c r="AA2009" s="2016"/>
      <c r="AB2009" s="2012" t="s">
        <v>1852</v>
      </c>
      <c r="AC2009" s="2012"/>
      <c r="AD2009" s="2012"/>
      <c r="AE2009" s="2012"/>
      <c r="AF2009" s="2012"/>
    </row>
    <row r="2010" spans="1:32" x14ac:dyDescent="0.2">
      <c r="A2010" s="2012"/>
      <c r="B2010" s="2012"/>
      <c r="C2010" s="2012"/>
      <c r="D2010" s="2012"/>
      <c r="E2010" s="2012"/>
      <c r="F2010" s="2012"/>
      <c r="G2010" s="2012"/>
      <c r="H2010" s="2012"/>
      <c r="I2010" s="2012"/>
      <c r="J2010" s="2012"/>
      <c r="K2010" s="2012"/>
      <c r="L2010" s="2012"/>
      <c r="M2010" s="2012"/>
      <c r="N2010" s="2012"/>
      <c r="O2010" s="2012"/>
      <c r="P2010" s="2012"/>
      <c r="Q2010" s="2012"/>
      <c r="R2010" s="2012"/>
      <c r="S2010" s="2012"/>
      <c r="T2010" s="2016"/>
      <c r="U2010" s="2016"/>
      <c r="V2010" s="2016"/>
      <c r="W2010" s="2016"/>
      <c r="X2010" s="2016"/>
      <c r="Y2010" s="2016"/>
      <c r="Z2010" s="2016"/>
      <c r="AA2010" s="2016"/>
      <c r="AB2010" s="2012"/>
      <c r="AC2010" s="2012"/>
      <c r="AD2010" s="2012"/>
      <c r="AE2010" s="2012"/>
      <c r="AF2010" s="2012"/>
    </row>
    <row r="2011" spans="1:32" ht="13.5" thickBot="1" x14ac:dyDescent="0.25"/>
    <row r="2012" spans="1:32" ht="26.45" customHeight="1" x14ac:dyDescent="0.2">
      <c r="A2012" s="2025" t="s">
        <v>1854</v>
      </c>
      <c r="B2012" s="2026"/>
      <c r="C2012" s="2026"/>
      <c r="D2012" s="2026"/>
      <c r="E2012" s="2026"/>
      <c r="F2012" s="2026"/>
      <c r="G2012" s="2026"/>
      <c r="H2012" s="2026"/>
      <c r="I2012" s="2026"/>
      <c r="J2012" s="2026"/>
      <c r="K2012" s="2026"/>
      <c r="L2012" s="2026"/>
      <c r="M2012" s="2026"/>
      <c r="N2012" s="2026"/>
      <c r="O2012" s="2026"/>
      <c r="P2012" s="2026"/>
      <c r="Q2012" s="2026"/>
      <c r="R2012" s="2026"/>
      <c r="S2012" s="2026"/>
      <c r="T2012" s="2026"/>
      <c r="U2012" s="2026"/>
      <c r="V2012" s="2026"/>
      <c r="W2012" s="2026"/>
      <c r="X2012" s="2026"/>
      <c r="Y2012" s="2026"/>
      <c r="Z2012" s="2026"/>
      <c r="AA2012" s="2026"/>
      <c r="AB2012" s="2026"/>
      <c r="AC2012" s="2026"/>
      <c r="AD2012" s="2026"/>
      <c r="AE2012" s="1041" t="s">
        <v>1834</v>
      </c>
      <c r="AF2012" s="1042" t="s">
        <v>1835</v>
      </c>
    </row>
    <row r="2013" spans="1:32" ht="21" customHeight="1" thickBot="1" x14ac:dyDescent="0.25">
      <c r="A2013" s="2027"/>
      <c r="B2013" s="2028"/>
      <c r="C2013" s="2028"/>
      <c r="D2013" s="2028"/>
      <c r="E2013" s="2028"/>
      <c r="F2013" s="2028"/>
      <c r="G2013" s="2028"/>
      <c r="H2013" s="2028"/>
      <c r="I2013" s="2028"/>
      <c r="J2013" s="2028"/>
      <c r="K2013" s="2028"/>
      <c r="L2013" s="2028"/>
      <c r="M2013" s="2028"/>
      <c r="N2013" s="2028"/>
      <c r="O2013" s="2028"/>
      <c r="P2013" s="2028"/>
      <c r="Q2013" s="2028"/>
      <c r="R2013" s="2028"/>
      <c r="S2013" s="2028"/>
      <c r="T2013" s="2028"/>
      <c r="U2013" s="2028"/>
      <c r="V2013" s="2028"/>
      <c r="W2013" s="2028"/>
      <c r="X2013" s="2028"/>
      <c r="Y2013" s="2028"/>
      <c r="Z2013" s="2028"/>
      <c r="AA2013" s="2028"/>
      <c r="AB2013" s="2028"/>
      <c r="AC2013" s="2028"/>
      <c r="AD2013" s="2028"/>
      <c r="AE2013" s="1041" t="s">
        <v>1836</v>
      </c>
      <c r="AF2013" s="1044">
        <v>1</v>
      </c>
    </row>
    <row r="2014" spans="1:32" ht="15.75" x14ac:dyDescent="0.2">
      <c r="A2014" s="2029"/>
      <c r="B2014" s="2030"/>
      <c r="C2014" s="2030"/>
      <c r="D2014" s="2031"/>
      <c r="E2014" s="2025" t="str">
        <f>'01'!$A$12</f>
        <v>"CONSTRUCCION SISTEMA DE ACUEDUCTO FASE II DEL MUNICIPIO DE TESALIA DPTO DEL HUILA"</v>
      </c>
      <c r="F2014" s="2026"/>
      <c r="G2014" s="2026"/>
      <c r="H2014" s="2026"/>
      <c r="I2014" s="2026"/>
      <c r="J2014" s="2026"/>
      <c r="K2014" s="2026"/>
      <c r="L2014" s="2026"/>
      <c r="M2014" s="2026"/>
      <c r="N2014" s="2026"/>
      <c r="O2014" s="2026"/>
      <c r="P2014" s="2026"/>
      <c r="Q2014" s="2026"/>
      <c r="R2014" s="2026"/>
      <c r="S2014" s="2026"/>
      <c r="T2014" s="2026"/>
      <c r="U2014" s="2026"/>
      <c r="V2014" s="2026"/>
      <c r="W2014" s="2026"/>
      <c r="X2014" s="2026"/>
      <c r="Y2014" s="2026"/>
      <c r="Z2014" s="2026"/>
      <c r="AA2014" s="2026"/>
      <c r="AB2014" s="2026"/>
      <c r="AC2014" s="2026"/>
      <c r="AD2014" s="2035"/>
      <c r="AE2014" s="1041" t="s">
        <v>847</v>
      </c>
      <c r="AF2014" s="1045">
        <f>'01'!$M$13</f>
        <v>0</v>
      </c>
    </row>
    <row r="2015" spans="1:32" ht="16.5" thickBot="1" x14ac:dyDescent="0.25">
      <c r="A2015" s="2032"/>
      <c r="B2015" s="2033"/>
      <c r="C2015" s="2033"/>
      <c r="D2015" s="2034"/>
      <c r="E2015" s="2027"/>
      <c r="F2015" s="2028"/>
      <c r="G2015" s="2028"/>
      <c r="H2015" s="2028"/>
      <c r="I2015" s="2028"/>
      <c r="J2015" s="2028"/>
      <c r="K2015" s="2028"/>
      <c r="L2015" s="2028"/>
      <c r="M2015" s="2028"/>
      <c r="N2015" s="2028"/>
      <c r="O2015" s="2028"/>
      <c r="P2015" s="2028"/>
      <c r="Q2015" s="2028"/>
      <c r="R2015" s="2028"/>
      <c r="S2015" s="2028"/>
      <c r="T2015" s="2028"/>
      <c r="U2015" s="2028"/>
      <c r="V2015" s="2028"/>
      <c r="W2015" s="2028"/>
      <c r="X2015" s="2028"/>
      <c r="Y2015" s="2028"/>
      <c r="Z2015" s="2028"/>
      <c r="AA2015" s="2028"/>
      <c r="AB2015" s="2028"/>
      <c r="AC2015" s="2028"/>
      <c r="AD2015" s="2036"/>
      <c r="AE2015" s="1041" t="s">
        <v>1837</v>
      </c>
      <c r="AF2015" s="1042" t="s">
        <v>1838</v>
      </c>
    </row>
    <row r="2016" spans="1:32" ht="15.75" x14ac:dyDescent="0.25">
      <c r="A2016" s="2037" t="s">
        <v>1860</v>
      </c>
      <c r="B2016" s="2038"/>
      <c r="C2016" s="2038"/>
      <c r="D2016" s="2038"/>
      <c r="E2016" s="2038"/>
      <c r="F2016" s="2038"/>
      <c r="G2016" s="2038"/>
      <c r="H2016" s="2038"/>
      <c r="I2016" s="2038"/>
      <c r="J2016" s="2038"/>
      <c r="K2016" s="2038"/>
      <c r="L2016" s="2038"/>
      <c r="M2016" s="2038"/>
      <c r="N2016" s="2038"/>
      <c r="O2016" s="2038"/>
      <c r="P2016" s="2038"/>
      <c r="Q2016" s="2038"/>
      <c r="R2016" s="2038"/>
      <c r="S2016" s="2038"/>
      <c r="T2016" s="2038"/>
      <c r="U2016" s="2038"/>
      <c r="V2016" s="2038"/>
      <c r="W2016" s="2038"/>
      <c r="X2016" s="2038"/>
      <c r="Y2016" s="2038"/>
      <c r="Z2016" s="2038"/>
      <c r="AA2016" s="2038"/>
      <c r="AB2016" s="2038"/>
      <c r="AC2016" s="2038"/>
      <c r="AD2016" s="2038"/>
      <c r="AE2016" s="2039" t="s">
        <v>1839</v>
      </c>
      <c r="AF2016" s="2040"/>
    </row>
    <row r="2017" spans="1:32" ht="15.75" x14ac:dyDescent="0.25">
      <c r="A2017" s="2041" t="s">
        <v>1840</v>
      </c>
      <c r="B2017" s="2042"/>
      <c r="C2017" s="2042"/>
      <c r="D2017" s="2042"/>
      <c r="E2017" s="2042"/>
      <c r="F2017" s="2042"/>
      <c r="G2017" s="2042"/>
      <c r="H2017" s="2042"/>
      <c r="I2017" s="2042"/>
      <c r="J2017" s="2042"/>
      <c r="K2017" s="2042"/>
      <c r="L2017" s="2042"/>
      <c r="M2017" s="2042"/>
      <c r="N2017" s="2042"/>
      <c r="O2017" s="2042"/>
      <c r="P2017" s="2042"/>
      <c r="Q2017" s="2042"/>
      <c r="R2017" s="2042"/>
      <c r="S2017" s="2042"/>
      <c r="T2017" s="2042"/>
      <c r="U2017" s="2042"/>
      <c r="V2017" s="2042"/>
      <c r="W2017" s="2042"/>
      <c r="X2017" s="2042"/>
      <c r="Y2017" s="2042"/>
      <c r="Z2017" s="2042"/>
      <c r="AA2017" s="2042"/>
      <c r="AB2017" s="2042"/>
      <c r="AC2017" s="2042"/>
      <c r="AD2017" s="2043"/>
      <c r="AE2017" s="2014" t="s">
        <v>1841</v>
      </c>
      <c r="AF2017" s="2044"/>
    </row>
    <row r="2018" spans="1:32" ht="15.75" x14ac:dyDescent="0.25">
      <c r="A2018" s="2045" t="s">
        <v>1853</v>
      </c>
      <c r="B2018" s="2046"/>
      <c r="C2018" s="2046"/>
      <c r="D2018" s="2046"/>
      <c r="E2018" s="2046"/>
      <c r="F2018" s="2046"/>
      <c r="G2018" s="2046"/>
      <c r="H2018" s="2046"/>
      <c r="I2018" s="2046"/>
      <c r="J2018" s="2046"/>
      <c r="K2018" s="2046"/>
      <c r="L2018" s="2046"/>
      <c r="M2018" s="2046"/>
      <c r="N2018" s="2046"/>
      <c r="O2018" s="2046"/>
      <c r="P2018" s="2046"/>
      <c r="Q2018" s="2046"/>
      <c r="R2018" s="2046"/>
      <c r="S2018" s="2046"/>
      <c r="T2018" s="2046"/>
      <c r="U2018" s="2046"/>
      <c r="V2018" s="2046"/>
      <c r="W2018" s="2046"/>
      <c r="X2018" s="2046"/>
      <c r="Y2018" s="2046"/>
      <c r="Z2018" s="2046"/>
      <c r="AA2018" s="2046"/>
      <c r="AB2018" s="2046"/>
      <c r="AC2018" s="2046"/>
      <c r="AD2018" s="2046"/>
      <c r="AE2018" s="2047">
        <f>'01'!$M$13</f>
        <v>0</v>
      </c>
      <c r="AF2018" s="2044"/>
    </row>
    <row r="2019" spans="1:32" x14ac:dyDescent="0.2">
      <c r="A2019" s="1046"/>
      <c r="B2019" s="1047"/>
      <c r="C2019" s="1047"/>
      <c r="D2019" s="1047"/>
      <c r="E2019" s="1047"/>
      <c r="F2019" s="1047"/>
      <c r="G2019" s="1047"/>
      <c r="H2019" s="1047"/>
      <c r="I2019" s="1047"/>
      <c r="J2019" s="1047"/>
      <c r="K2019" s="1047"/>
      <c r="L2019" s="1047"/>
      <c r="M2019" s="1047"/>
      <c r="N2019" s="1047"/>
      <c r="O2019" s="1047"/>
      <c r="P2019" s="1047"/>
      <c r="Q2019" s="1047"/>
      <c r="R2019" s="1047"/>
      <c r="S2019" s="1047"/>
      <c r="T2019" s="1047"/>
      <c r="U2019" s="1047"/>
      <c r="V2019" s="1047"/>
      <c r="W2019" s="1047"/>
      <c r="X2019" s="1047"/>
      <c r="Y2019" s="1047"/>
      <c r="Z2019" s="1047"/>
      <c r="AA2019" s="1047"/>
      <c r="AB2019" s="1047"/>
      <c r="AC2019" s="1047"/>
      <c r="AD2019" s="1047"/>
      <c r="AE2019" s="1047"/>
      <c r="AF2019" s="1048"/>
    </row>
    <row r="2020" spans="1:32" ht="30" customHeight="1" x14ac:dyDescent="0.2">
      <c r="A2020" s="2048" t="s">
        <v>1842</v>
      </c>
      <c r="B2020" s="2049"/>
      <c r="C2020" s="2049"/>
      <c r="D2020" s="2049"/>
      <c r="E2020" s="2049"/>
      <c r="F2020" s="2050" t="str">
        <f>+'01'!$H$63</f>
        <v>C - FLOCULADOR, SEDIMENTADOR, CANAL DE AGUA SEDIMENTADA Y CANAL DE LAVADO</v>
      </c>
      <c r="G2020" s="2049"/>
      <c r="H2020" s="2049"/>
      <c r="I2020" s="2049"/>
      <c r="J2020" s="2049"/>
      <c r="K2020" s="2049"/>
      <c r="L2020" s="2049"/>
      <c r="M2020" s="2049"/>
      <c r="N2020" s="2049"/>
      <c r="O2020" s="2049"/>
      <c r="P2020" s="2049"/>
      <c r="Q2020" s="2049"/>
      <c r="R2020" s="2049"/>
      <c r="S2020" s="2049"/>
      <c r="T2020" s="2049"/>
      <c r="U2020" s="2049"/>
      <c r="V2020" s="2049"/>
      <c r="W2020" s="2049"/>
      <c r="X2020" s="2049"/>
      <c r="Y2020" s="2051"/>
      <c r="Z2020" s="2052" t="s">
        <v>1843</v>
      </c>
      <c r="AA2020" s="2053"/>
      <c r="AB2020" s="2058" t="s">
        <v>1844</v>
      </c>
      <c r="AC2020" s="2059"/>
      <c r="AD2020" s="2060"/>
      <c r="AE2020" s="2064" t="s">
        <v>1845</v>
      </c>
      <c r="AF2020" s="2067" t="s">
        <v>1846</v>
      </c>
    </row>
    <row r="2021" spans="1:32" ht="20.45" customHeight="1" x14ac:dyDescent="0.2">
      <c r="A2021" s="2070" t="str">
        <f>+'01'!A94</f>
        <v>C-08-09</v>
      </c>
      <c r="B2021" s="2071"/>
      <c r="C2021" s="2072"/>
      <c r="D2021" s="2076" t="str">
        <f>VLOOKUP(A2021,'01'!$A$12:$N$299,3,FALSE)</f>
        <v>SUMINISTRO E INSTALACIÓN COMPUERTA DE VASTAGO DESLIZANTE DE 8". INCLUYE COLUMNA DE MANIOBRA Y TODO LO NECESARIO PARA SU CORRECTO FUNCIONAMIENTO.</v>
      </c>
      <c r="E2021" s="2077"/>
      <c r="F2021" s="2077"/>
      <c r="G2021" s="2077"/>
      <c r="H2021" s="2077"/>
      <c r="I2021" s="2077"/>
      <c r="J2021" s="2077"/>
      <c r="K2021" s="2077"/>
      <c r="L2021" s="2077"/>
      <c r="M2021" s="2077"/>
      <c r="N2021" s="2077"/>
      <c r="O2021" s="2077"/>
      <c r="P2021" s="2077"/>
      <c r="Q2021" s="2077"/>
      <c r="R2021" s="2077"/>
      <c r="S2021" s="2078"/>
      <c r="T2021" s="2082" t="s">
        <v>124</v>
      </c>
      <c r="U2021" s="2083"/>
      <c r="V2021" s="2083"/>
      <c r="W2021" s="2083"/>
      <c r="X2021" s="2052" t="str">
        <f>VLOOKUP(A2021,'01'!$A$12:$N$299,9,FALSE)</f>
        <v>UND</v>
      </c>
      <c r="Y2021" s="2053"/>
      <c r="Z2021" s="2054"/>
      <c r="AA2021" s="2055"/>
      <c r="AB2021" s="2061"/>
      <c r="AC2021" s="2062"/>
      <c r="AD2021" s="2063"/>
      <c r="AE2021" s="2065"/>
      <c r="AF2021" s="2068"/>
    </row>
    <row r="2022" spans="1:32" ht="25.15" customHeight="1" x14ac:dyDescent="0.25">
      <c r="A2022" s="2073"/>
      <c r="B2022" s="2074"/>
      <c r="C2022" s="2075"/>
      <c r="D2022" s="2079"/>
      <c r="E2022" s="2080"/>
      <c r="F2022" s="2080"/>
      <c r="G2022" s="2080"/>
      <c r="H2022" s="2080"/>
      <c r="I2022" s="2080"/>
      <c r="J2022" s="2080"/>
      <c r="K2022" s="2080"/>
      <c r="L2022" s="2080"/>
      <c r="M2022" s="2080"/>
      <c r="N2022" s="2080"/>
      <c r="O2022" s="2080"/>
      <c r="P2022" s="2080"/>
      <c r="Q2022" s="2080"/>
      <c r="R2022" s="2080"/>
      <c r="S2022" s="2081"/>
      <c r="T2022" s="2084"/>
      <c r="U2022" s="2085"/>
      <c r="V2022" s="2085"/>
      <c r="W2022" s="2085"/>
      <c r="X2022" s="2056"/>
      <c r="Y2022" s="2057"/>
      <c r="Z2022" s="2056"/>
      <c r="AA2022" s="2057"/>
      <c r="AB2022" s="1049" t="s">
        <v>1847</v>
      </c>
      <c r="AC2022" s="1049" t="s">
        <v>1848</v>
      </c>
      <c r="AD2022" s="1049" t="s">
        <v>1861</v>
      </c>
      <c r="AE2022" s="2066"/>
      <c r="AF2022" s="2069"/>
    </row>
    <row r="2023" spans="1:32" ht="15.6" customHeight="1" x14ac:dyDescent="0.25">
      <c r="A2023" s="2017"/>
      <c r="B2023" s="2018"/>
      <c r="C2023" s="2018"/>
      <c r="D2023" s="2018"/>
      <c r="E2023" s="2018"/>
      <c r="F2023" s="2018"/>
      <c r="G2023" s="2018"/>
      <c r="H2023" s="2018"/>
      <c r="I2023" s="2018"/>
      <c r="J2023" s="2018"/>
      <c r="K2023" s="2018"/>
      <c r="L2023" s="2018"/>
      <c r="M2023" s="2018"/>
      <c r="N2023" s="2018"/>
      <c r="O2023" s="2018"/>
      <c r="P2023" s="2018"/>
      <c r="Q2023" s="2018"/>
      <c r="R2023" s="2018"/>
      <c r="S2023" s="2018"/>
      <c r="T2023" s="2018"/>
      <c r="U2023" s="2018"/>
      <c r="V2023" s="2018"/>
      <c r="W2023" s="2018"/>
      <c r="X2023" s="2018"/>
      <c r="Y2023" s="2018"/>
      <c r="Z2023" s="2096" t="s">
        <v>2426</v>
      </c>
      <c r="AA2023" s="2097"/>
      <c r="AB2023" s="1050"/>
      <c r="AC2023" s="1050"/>
      <c r="AD2023" s="1050"/>
      <c r="AE2023" s="1050">
        <v>4</v>
      </c>
      <c r="AF2023" s="1052">
        <f>AE2023</f>
        <v>4</v>
      </c>
    </row>
    <row r="2024" spans="1:32" ht="15.75" x14ac:dyDescent="0.25">
      <c r="A2024" s="2017"/>
      <c r="B2024" s="2018"/>
      <c r="C2024" s="2018"/>
      <c r="D2024" s="2018"/>
      <c r="E2024" s="2018"/>
      <c r="F2024" s="2018"/>
      <c r="G2024" s="2018"/>
      <c r="H2024" s="2018"/>
      <c r="I2024" s="2018"/>
      <c r="J2024" s="2018"/>
      <c r="K2024" s="2018"/>
      <c r="L2024" s="2018"/>
      <c r="M2024" s="2018"/>
      <c r="N2024" s="2018"/>
      <c r="O2024" s="2018"/>
      <c r="P2024" s="2018"/>
      <c r="Q2024" s="2018"/>
      <c r="R2024" s="2018"/>
      <c r="S2024" s="2018"/>
      <c r="T2024" s="2018"/>
      <c r="U2024" s="2018"/>
      <c r="V2024" s="2018"/>
      <c r="W2024" s="2018"/>
      <c r="X2024" s="2018"/>
      <c r="Y2024" s="2018"/>
      <c r="Z2024" s="2096" t="s">
        <v>2427</v>
      </c>
      <c r="AA2024" s="2097"/>
      <c r="AB2024" s="1050"/>
      <c r="AC2024" s="1050"/>
      <c r="AD2024" s="1050"/>
      <c r="AE2024" s="1050">
        <v>4</v>
      </c>
      <c r="AF2024" s="1052">
        <f t="shared" ref="AF2024:AF2025" si="35">AE2024</f>
        <v>4</v>
      </c>
    </row>
    <row r="2025" spans="1:32" ht="15.75" x14ac:dyDescent="0.25">
      <c r="A2025" s="2017"/>
      <c r="B2025" s="2018"/>
      <c r="C2025" s="2018"/>
      <c r="D2025" s="2018"/>
      <c r="E2025" s="2018"/>
      <c r="F2025" s="2018"/>
      <c r="G2025" s="2018"/>
      <c r="H2025" s="2018"/>
      <c r="I2025" s="2018"/>
      <c r="J2025" s="2018"/>
      <c r="K2025" s="2018"/>
      <c r="L2025" s="2018"/>
      <c r="M2025" s="2018"/>
      <c r="N2025" s="2018"/>
      <c r="O2025" s="2018"/>
      <c r="P2025" s="2018"/>
      <c r="Q2025" s="2018"/>
      <c r="R2025" s="2018"/>
      <c r="S2025" s="2018"/>
      <c r="T2025" s="2018"/>
      <c r="U2025" s="2018"/>
      <c r="V2025" s="2018"/>
      <c r="W2025" s="2018"/>
      <c r="X2025" s="2018"/>
      <c r="Y2025" s="2018"/>
      <c r="Z2025" s="2096" t="s">
        <v>2428</v>
      </c>
      <c r="AA2025" s="2097"/>
      <c r="AB2025" s="1050"/>
      <c r="AC2025" s="1050"/>
      <c r="AD2025" s="1050"/>
      <c r="AE2025" s="1050">
        <v>4</v>
      </c>
      <c r="AF2025" s="1052">
        <f t="shared" si="35"/>
        <v>4</v>
      </c>
    </row>
    <row r="2026" spans="1:32" ht="15.75" x14ac:dyDescent="0.25">
      <c r="A2026" s="2017"/>
      <c r="B2026" s="2018"/>
      <c r="C2026" s="2018"/>
      <c r="D2026" s="2018"/>
      <c r="E2026" s="2018"/>
      <c r="F2026" s="2018"/>
      <c r="G2026" s="2018"/>
      <c r="H2026" s="2018"/>
      <c r="I2026" s="2018"/>
      <c r="J2026" s="2018"/>
      <c r="K2026" s="2018"/>
      <c r="L2026" s="2018"/>
      <c r="M2026" s="2018"/>
      <c r="N2026" s="2018"/>
      <c r="O2026" s="2018"/>
      <c r="P2026" s="2018"/>
      <c r="Q2026" s="2018"/>
      <c r="R2026" s="2018"/>
      <c r="S2026" s="2018"/>
      <c r="T2026" s="2018"/>
      <c r="U2026" s="2018"/>
      <c r="V2026" s="2018"/>
      <c r="W2026" s="2018"/>
      <c r="X2026" s="2018"/>
      <c r="Y2026" s="2018"/>
      <c r="Z2026" s="2096"/>
      <c r="AA2026" s="2097"/>
      <c r="AB2026" s="1050"/>
      <c r="AC2026" s="1050"/>
      <c r="AD2026" s="1050"/>
      <c r="AE2026" s="1050"/>
      <c r="AF2026" s="1052"/>
    </row>
    <row r="2027" spans="1:32" ht="15.75" x14ac:dyDescent="0.25">
      <c r="A2027" s="2017"/>
      <c r="B2027" s="2018"/>
      <c r="C2027" s="2018"/>
      <c r="D2027" s="2018"/>
      <c r="E2027" s="2018"/>
      <c r="F2027" s="2018"/>
      <c r="G2027" s="2018"/>
      <c r="H2027" s="2018"/>
      <c r="I2027" s="2018"/>
      <c r="J2027" s="2018"/>
      <c r="K2027" s="2018"/>
      <c r="L2027" s="2018"/>
      <c r="M2027" s="2018"/>
      <c r="N2027" s="2018"/>
      <c r="O2027" s="2018"/>
      <c r="P2027" s="2018"/>
      <c r="Q2027" s="2018"/>
      <c r="R2027" s="2018"/>
      <c r="S2027" s="2018"/>
      <c r="T2027" s="2018"/>
      <c r="U2027" s="2018"/>
      <c r="V2027" s="2018"/>
      <c r="W2027" s="2018"/>
      <c r="X2027" s="2018"/>
      <c r="Y2027" s="2018"/>
      <c r="Z2027" s="2096"/>
      <c r="AA2027" s="2097"/>
      <c r="AB2027" s="1050"/>
      <c r="AC2027" s="1050"/>
      <c r="AD2027" s="1050"/>
      <c r="AE2027" s="1050"/>
      <c r="AF2027" s="1052"/>
    </row>
    <row r="2028" spans="1:32" ht="15.75" x14ac:dyDescent="0.25">
      <c r="A2028" s="2017"/>
      <c r="B2028" s="2018"/>
      <c r="C2028" s="2018"/>
      <c r="D2028" s="2018"/>
      <c r="E2028" s="2018"/>
      <c r="F2028" s="2018"/>
      <c r="G2028" s="2018"/>
      <c r="H2028" s="2018"/>
      <c r="I2028" s="2018"/>
      <c r="J2028" s="2018"/>
      <c r="K2028" s="2018"/>
      <c r="L2028" s="2018"/>
      <c r="M2028" s="2018"/>
      <c r="N2028" s="2018"/>
      <c r="O2028" s="2018"/>
      <c r="P2028" s="2018"/>
      <c r="Q2028" s="2018"/>
      <c r="R2028" s="2018"/>
      <c r="S2028" s="2018"/>
      <c r="T2028" s="2018"/>
      <c r="U2028" s="2018"/>
      <c r="V2028" s="2018"/>
      <c r="W2028" s="2018"/>
      <c r="X2028" s="2018"/>
      <c r="Y2028" s="2018"/>
      <c r="Z2028" s="2096"/>
      <c r="AA2028" s="2097"/>
      <c r="AB2028" s="1050"/>
      <c r="AC2028" s="1050"/>
      <c r="AD2028" s="1050"/>
      <c r="AE2028" s="1050"/>
      <c r="AF2028" s="1052"/>
    </row>
    <row r="2029" spans="1:32" ht="15.75" x14ac:dyDescent="0.25">
      <c r="A2029" s="2017"/>
      <c r="B2029" s="2018"/>
      <c r="C2029" s="2018"/>
      <c r="D2029" s="2018"/>
      <c r="E2029" s="2018"/>
      <c r="F2029" s="2018"/>
      <c r="G2029" s="2018"/>
      <c r="H2029" s="2018"/>
      <c r="I2029" s="2018"/>
      <c r="J2029" s="2018"/>
      <c r="K2029" s="2018"/>
      <c r="L2029" s="2018"/>
      <c r="M2029" s="2018"/>
      <c r="N2029" s="2018"/>
      <c r="O2029" s="2018"/>
      <c r="P2029" s="2018"/>
      <c r="Q2029" s="2018"/>
      <c r="R2029" s="2018"/>
      <c r="S2029" s="2018"/>
      <c r="T2029" s="2018"/>
      <c r="U2029" s="2018"/>
      <c r="V2029" s="2018"/>
      <c r="W2029" s="2018"/>
      <c r="X2029" s="2018"/>
      <c r="Y2029" s="2018"/>
      <c r="Z2029" s="2105"/>
      <c r="AA2029" s="2105"/>
      <c r="AB2029" s="1050"/>
      <c r="AC2029" s="1050"/>
      <c r="AD2029" s="1050"/>
      <c r="AE2029" s="1050"/>
      <c r="AF2029" s="1052"/>
    </row>
    <row r="2030" spans="1:32" ht="15.75" x14ac:dyDescent="0.25">
      <c r="A2030" s="2017"/>
      <c r="B2030" s="2018"/>
      <c r="C2030" s="2018"/>
      <c r="D2030" s="2018"/>
      <c r="E2030" s="2018"/>
      <c r="F2030" s="2018"/>
      <c r="G2030" s="2018"/>
      <c r="H2030" s="2018"/>
      <c r="I2030" s="2018"/>
      <c r="J2030" s="2018"/>
      <c r="K2030" s="2018"/>
      <c r="L2030" s="2018"/>
      <c r="M2030" s="2018"/>
      <c r="N2030" s="2018"/>
      <c r="O2030" s="2018"/>
      <c r="P2030" s="2018"/>
      <c r="Q2030" s="2018"/>
      <c r="R2030" s="2018"/>
      <c r="S2030" s="2018"/>
      <c r="T2030" s="2018"/>
      <c r="U2030" s="2018"/>
      <c r="V2030" s="2018"/>
      <c r="W2030" s="2018"/>
      <c r="X2030" s="2018"/>
      <c r="Y2030" s="2018"/>
      <c r="Z2030" s="2105"/>
      <c r="AA2030" s="2105"/>
      <c r="AB2030" s="1050"/>
      <c r="AC2030" s="1050"/>
      <c r="AD2030" s="1050"/>
      <c r="AE2030" s="1050"/>
      <c r="AF2030" s="1052"/>
    </row>
    <row r="2031" spans="1:32" ht="15.75" x14ac:dyDescent="0.25">
      <c r="A2031" s="2017"/>
      <c r="B2031" s="2018"/>
      <c r="C2031" s="2018"/>
      <c r="D2031" s="2018"/>
      <c r="E2031" s="2018"/>
      <c r="F2031" s="2018"/>
      <c r="G2031" s="2018"/>
      <c r="H2031" s="2018"/>
      <c r="I2031" s="2018"/>
      <c r="J2031" s="2018"/>
      <c r="K2031" s="2018"/>
      <c r="L2031" s="2018"/>
      <c r="M2031" s="2018"/>
      <c r="N2031" s="2018"/>
      <c r="O2031" s="2018"/>
      <c r="P2031" s="2018"/>
      <c r="Q2031" s="2018"/>
      <c r="R2031" s="2018"/>
      <c r="S2031" s="2018"/>
      <c r="T2031" s="2018"/>
      <c r="U2031" s="2018"/>
      <c r="V2031" s="2018"/>
      <c r="W2031" s="2018"/>
      <c r="X2031" s="2018"/>
      <c r="Y2031" s="2018"/>
      <c r="Z2031" s="2105"/>
      <c r="AA2031" s="2105"/>
      <c r="AB2031" s="1050"/>
      <c r="AC2031" s="1050"/>
      <c r="AD2031" s="1050"/>
      <c r="AE2031" s="1050"/>
      <c r="AF2031" s="1052"/>
    </row>
    <row r="2032" spans="1:32" ht="15.75" x14ac:dyDescent="0.25">
      <c r="A2032" s="2017"/>
      <c r="B2032" s="2018"/>
      <c r="C2032" s="2018"/>
      <c r="D2032" s="2018"/>
      <c r="E2032" s="2018"/>
      <c r="F2032" s="2018"/>
      <c r="G2032" s="2018"/>
      <c r="H2032" s="2018"/>
      <c r="I2032" s="2018"/>
      <c r="J2032" s="2018"/>
      <c r="K2032" s="2018"/>
      <c r="L2032" s="2018"/>
      <c r="M2032" s="2018"/>
      <c r="N2032" s="2018"/>
      <c r="O2032" s="2018"/>
      <c r="P2032" s="2018"/>
      <c r="Q2032" s="2018"/>
      <c r="R2032" s="2018"/>
      <c r="S2032" s="2018"/>
      <c r="T2032" s="2018"/>
      <c r="U2032" s="2018"/>
      <c r="V2032" s="2018"/>
      <c r="W2032" s="2018"/>
      <c r="X2032" s="2018"/>
      <c r="Y2032" s="2018"/>
      <c r="Z2032" s="2105"/>
      <c r="AA2032" s="2105"/>
      <c r="AB2032" s="1050"/>
      <c r="AC2032" s="1050"/>
      <c r="AD2032" s="1050"/>
      <c r="AE2032" s="1050"/>
      <c r="AF2032" s="1052"/>
    </row>
    <row r="2033" spans="1:32" ht="15.75" x14ac:dyDescent="0.25">
      <c r="A2033" s="2017"/>
      <c r="B2033" s="2018"/>
      <c r="C2033" s="2018"/>
      <c r="D2033" s="2018"/>
      <c r="E2033" s="2018"/>
      <c r="F2033" s="2018"/>
      <c r="G2033" s="2018"/>
      <c r="H2033" s="2018"/>
      <c r="I2033" s="2018"/>
      <c r="J2033" s="2018"/>
      <c r="K2033" s="2018"/>
      <c r="L2033" s="2018"/>
      <c r="M2033" s="2018"/>
      <c r="N2033" s="2018"/>
      <c r="O2033" s="2018"/>
      <c r="P2033" s="2018"/>
      <c r="Q2033" s="2018"/>
      <c r="R2033" s="2018"/>
      <c r="S2033" s="2018"/>
      <c r="T2033" s="2018"/>
      <c r="U2033" s="2018"/>
      <c r="V2033" s="2018"/>
      <c r="W2033" s="2018"/>
      <c r="X2033" s="2018"/>
      <c r="Y2033" s="2018"/>
      <c r="Z2033" s="2105"/>
      <c r="AA2033" s="2105"/>
      <c r="AB2033" s="1050"/>
      <c r="AC2033" s="1050"/>
      <c r="AD2033" s="1050"/>
      <c r="AE2033" s="1050"/>
      <c r="AF2033" s="1052"/>
    </row>
    <row r="2034" spans="1:32" ht="15.75" x14ac:dyDescent="0.25">
      <c r="A2034" s="2017"/>
      <c r="B2034" s="2018"/>
      <c r="C2034" s="2018"/>
      <c r="D2034" s="2018"/>
      <c r="E2034" s="2018"/>
      <c r="F2034" s="2018"/>
      <c r="G2034" s="2018"/>
      <c r="H2034" s="2018"/>
      <c r="I2034" s="2018"/>
      <c r="J2034" s="2018"/>
      <c r="K2034" s="2018"/>
      <c r="L2034" s="2018"/>
      <c r="M2034" s="2018"/>
      <c r="N2034" s="2018"/>
      <c r="O2034" s="2018"/>
      <c r="P2034" s="2018"/>
      <c r="Q2034" s="2018"/>
      <c r="R2034" s="2018"/>
      <c r="S2034" s="2018"/>
      <c r="T2034" s="2018"/>
      <c r="U2034" s="2018"/>
      <c r="V2034" s="2018"/>
      <c r="W2034" s="2018"/>
      <c r="X2034" s="2018"/>
      <c r="Y2034" s="2018"/>
      <c r="Z2034" s="2105"/>
      <c r="AA2034" s="2105"/>
      <c r="AB2034" s="1050"/>
      <c r="AC2034" s="1050"/>
      <c r="AD2034" s="1050"/>
      <c r="AE2034" s="1050"/>
      <c r="AF2034" s="1052"/>
    </row>
    <row r="2035" spans="1:32" ht="15.75" x14ac:dyDescent="0.25">
      <c r="A2035" s="2017"/>
      <c r="B2035" s="2018"/>
      <c r="C2035" s="2018"/>
      <c r="D2035" s="2018"/>
      <c r="E2035" s="2018"/>
      <c r="F2035" s="2018"/>
      <c r="G2035" s="2018"/>
      <c r="H2035" s="2018"/>
      <c r="I2035" s="2018"/>
      <c r="J2035" s="2018"/>
      <c r="K2035" s="2018"/>
      <c r="L2035" s="2018"/>
      <c r="M2035" s="2018"/>
      <c r="N2035" s="2018"/>
      <c r="O2035" s="2018"/>
      <c r="P2035" s="2018"/>
      <c r="Q2035" s="2018"/>
      <c r="R2035" s="2018"/>
      <c r="S2035" s="2018"/>
      <c r="T2035" s="2018"/>
      <c r="U2035" s="2018"/>
      <c r="V2035" s="2018"/>
      <c r="W2035" s="2018"/>
      <c r="X2035" s="2018"/>
      <c r="Y2035" s="2018"/>
      <c r="Z2035" s="2105"/>
      <c r="AA2035" s="2105"/>
      <c r="AB2035" s="1050"/>
      <c r="AC2035" s="1050"/>
      <c r="AD2035" s="1050"/>
      <c r="AE2035" s="1050"/>
      <c r="AF2035" s="1052"/>
    </row>
    <row r="2036" spans="1:32" ht="15.75" x14ac:dyDescent="0.25">
      <c r="A2036" s="2017"/>
      <c r="B2036" s="2018"/>
      <c r="C2036" s="2018"/>
      <c r="D2036" s="2018"/>
      <c r="E2036" s="2018"/>
      <c r="F2036" s="2018"/>
      <c r="G2036" s="2018"/>
      <c r="H2036" s="2018"/>
      <c r="I2036" s="2018"/>
      <c r="J2036" s="2018"/>
      <c r="K2036" s="2018"/>
      <c r="L2036" s="2018"/>
      <c r="M2036" s="2018"/>
      <c r="N2036" s="2018"/>
      <c r="O2036" s="2018"/>
      <c r="P2036" s="2018"/>
      <c r="Q2036" s="2018"/>
      <c r="R2036" s="2018"/>
      <c r="S2036" s="2018"/>
      <c r="T2036" s="2018"/>
      <c r="U2036" s="2018"/>
      <c r="V2036" s="2018"/>
      <c r="W2036" s="2018"/>
      <c r="X2036" s="2018"/>
      <c r="Y2036" s="2018"/>
      <c r="Z2036" s="2022"/>
      <c r="AA2036" s="2022"/>
      <c r="AB2036" s="1050"/>
      <c r="AC2036" s="1050"/>
      <c r="AD2036" s="1050"/>
      <c r="AE2036" s="1050"/>
      <c r="AF2036" s="1052"/>
    </row>
    <row r="2037" spans="1:32" ht="15.75" x14ac:dyDescent="0.25">
      <c r="A2037" s="2017"/>
      <c r="B2037" s="2018"/>
      <c r="C2037" s="2018"/>
      <c r="D2037" s="2018"/>
      <c r="E2037" s="2018"/>
      <c r="F2037" s="2018"/>
      <c r="G2037" s="2018"/>
      <c r="H2037" s="2018"/>
      <c r="I2037" s="2018"/>
      <c r="J2037" s="2018"/>
      <c r="K2037" s="2018"/>
      <c r="L2037" s="2018"/>
      <c r="M2037" s="2018"/>
      <c r="N2037" s="2018"/>
      <c r="O2037" s="2018"/>
      <c r="P2037" s="2018"/>
      <c r="Q2037" s="2018"/>
      <c r="R2037" s="2018"/>
      <c r="S2037" s="2018"/>
      <c r="T2037" s="2018"/>
      <c r="U2037" s="2018"/>
      <c r="V2037" s="2018"/>
      <c r="W2037" s="2018"/>
      <c r="X2037" s="2018"/>
      <c r="Y2037" s="2018"/>
      <c r="Z2037" s="2022"/>
      <c r="AA2037" s="2022"/>
      <c r="AB2037" s="1050"/>
      <c r="AC2037" s="1050"/>
      <c r="AD2037" s="1050"/>
      <c r="AE2037" s="1050"/>
      <c r="AF2037" s="1052"/>
    </row>
    <row r="2038" spans="1:32" ht="15.75" x14ac:dyDescent="0.25">
      <c r="A2038" s="2017"/>
      <c r="B2038" s="2018"/>
      <c r="C2038" s="2018"/>
      <c r="D2038" s="2018"/>
      <c r="E2038" s="2018"/>
      <c r="F2038" s="2018"/>
      <c r="G2038" s="2018"/>
      <c r="H2038" s="2018"/>
      <c r="I2038" s="2018"/>
      <c r="J2038" s="2018"/>
      <c r="K2038" s="2018"/>
      <c r="L2038" s="2018"/>
      <c r="M2038" s="2018"/>
      <c r="N2038" s="2018"/>
      <c r="O2038" s="2018"/>
      <c r="P2038" s="2018"/>
      <c r="Q2038" s="2018"/>
      <c r="R2038" s="2018"/>
      <c r="S2038" s="2018"/>
      <c r="T2038" s="2018"/>
      <c r="U2038" s="2018"/>
      <c r="V2038" s="2018"/>
      <c r="W2038" s="2018"/>
      <c r="X2038" s="2018"/>
      <c r="Y2038" s="2018"/>
      <c r="Z2038" s="2022"/>
      <c r="AA2038" s="2022"/>
      <c r="AB2038" s="1050"/>
      <c r="AC2038" s="1050"/>
      <c r="AD2038" s="1050"/>
      <c r="AE2038" s="1050"/>
      <c r="AF2038" s="1052"/>
    </row>
    <row r="2039" spans="1:32" ht="15.75" x14ac:dyDescent="0.25">
      <c r="A2039" s="2017"/>
      <c r="B2039" s="2018"/>
      <c r="C2039" s="2018"/>
      <c r="D2039" s="2018"/>
      <c r="E2039" s="2018"/>
      <c r="F2039" s="2018"/>
      <c r="G2039" s="2018"/>
      <c r="H2039" s="2018"/>
      <c r="I2039" s="2018"/>
      <c r="J2039" s="2018"/>
      <c r="K2039" s="2018"/>
      <c r="L2039" s="2018"/>
      <c r="M2039" s="2018"/>
      <c r="N2039" s="2018"/>
      <c r="O2039" s="2018"/>
      <c r="P2039" s="2018"/>
      <c r="Q2039" s="2018"/>
      <c r="R2039" s="2018"/>
      <c r="S2039" s="2018"/>
      <c r="T2039" s="2018"/>
      <c r="U2039" s="2018"/>
      <c r="V2039" s="2018"/>
      <c r="W2039" s="2018"/>
      <c r="X2039" s="2018"/>
      <c r="Y2039" s="2018"/>
      <c r="Z2039" s="2022"/>
      <c r="AA2039" s="2022"/>
      <c r="AB2039" s="1050"/>
      <c r="AC2039" s="1050"/>
      <c r="AD2039" s="1050"/>
      <c r="AE2039" s="1050"/>
      <c r="AF2039" s="1052"/>
    </row>
    <row r="2040" spans="1:32" ht="15.75" x14ac:dyDescent="0.25">
      <c r="A2040" s="2017"/>
      <c r="B2040" s="2018"/>
      <c r="C2040" s="2018"/>
      <c r="D2040" s="2018"/>
      <c r="E2040" s="2018"/>
      <c r="F2040" s="2018"/>
      <c r="G2040" s="2018"/>
      <c r="H2040" s="2018"/>
      <c r="I2040" s="2018"/>
      <c r="J2040" s="2018"/>
      <c r="K2040" s="2018"/>
      <c r="L2040" s="2018"/>
      <c r="M2040" s="2018"/>
      <c r="N2040" s="2018"/>
      <c r="O2040" s="2018"/>
      <c r="P2040" s="2018"/>
      <c r="Q2040" s="2018"/>
      <c r="R2040" s="2018"/>
      <c r="S2040" s="2018"/>
      <c r="T2040" s="2018"/>
      <c r="U2040" s="2018"/>
      <c r="V2040" s="2018"/>
      <c r="W2040" s="2018"/>
      <c r="X2040" s="2018"/>
      <c r="Y2040" s="2018"/>
      <c r="Z2040" s="2023"/>
      <c r="AA2040" s="2023"/>
      <c r="AB2040" s="1050"/>
      <c r="AC2040" s="1050"/>
      <c r="AD2040" s="1050"/>
      <c r="AE2040" s="1050"/>
      <c r="AF2040" s="1052"/>
    </row>
    <row r="2041" spans="1:32" ht="15.75" x14ac:dyDescent="0.25">
      <c r="A2041" s="2017"/>
      <c r="B2041" s="2018"/>
      <c r="C2041" s="2018"/>
      <c r="D2041" s="2018"/>
      <c r="E2041" s="2018"/>
      <c r="F2041" s="2018"/>
      <c r="G2041" s="2018"/>
      <c r="H2041" s="2018"/>
      <c r="I2041" s="2018"/>
      <c r="J2041" s="2018"/>
      <c r="K2041" s="2018"/>
      <c r="L2041" s="2018"/>
      <c r="M2041" s="2018"/>
      <c r="N2041" s="2018"/>
      <c r="O2041" s="2018"/>
      <c r="P2041" s="2018"/>
      <c r="Q2041" s="2018"/>
      <c r="R2041" s="2018"/>
      <c r="S2041" s="2018"/>
      <c r="T2041" s="2018"/>
      <c r="U2041" s="2018"/>
      <c r="V2041" s="2018"/>
      <c r="W2041" s="2018"/>
      <c r="X2041" s="2018"/>
      <c r="Y2041" s="2018"/>
      <c r="Z2041" s="2023"/>
      <c r="AA2041" s="2023"/>
      <c r="AB2041" s="1050"/>
      <c r="AC2041" s="1050"/>
      <c r="AD2041" s="1050"/>
      <c r="AE2041" s="1050"/>
      <c r="AF2041" s="1052"/>
    </row>
    <row r="2042" spans="1:32" ht="15.75" x14ac:dyDescent="0.25">
      <c r="A2042" s="2017"/>
      <c r="B2042" s="2018"/>
      <c r="C2042" s="2018"/>
      <c r="D2042" s="2018"/>
      <c r="E2042" s="2018"/>
      <c r="F2042" s="2018"/>
      <c r="G2042" s="2018"/>
      <c r="H2042" s="2018"/>
      <c r="I2042" s="2018"/>
      <c r="J2042" s="2018"/>
      <c r="K2042" s="2018"/>
      <c r="L2042" s="2018"/>
      <c r="M2042" s="2018"/>
      <c r="N2042" s="2018"/>
      <c r="O2042" s="2018"/>
      <c r="P2042" s="2018"/>
      <c r="Q2042" s="2018"/>
      <c r="R2042" s="2018"/>
      <c r="S2042" s="2018"/>
      <c r="T2042" s="2018"/>
      <c r="U2042" s="2018"/>
      <c r="V2042" s="2018"/>
      <c r="W2042" s="2018"/>
      <c r="X2042" s="2018"/>
      <c r="Y2042" s="2018"/>
      <c r="Z2042" s="2023"/>
      <c r="AA2042" s="2023"/>
      <c r="AB2042" s="1050"/>
      <c r="AC2042" s="1050"/>
      <c r="AD2042" s="1050"/>
      <c r="AE2042" s="1050"/>
      <c r="AF2042" s="1052"/>
    </row>
    <row r="2043" spans="1:32" ht="15.75" x14ac:dyDescent="0.25">
      <c r="A2043" s="2017"/>
      <c r="B2043" s="2018"/>
      <c r="C2043" s="2018"/>
      <c r="D2043" s="2018"/>
      <c r="E2043" s="2018"/>
      <c r="F2043" s="2018"/>
      <c r="G2043" s="2018"/>
      <c r="H2043" s="2018"/>
      <c r="I2043" s="2018"/>
      <c r="J2043" s="2018"/>
      <c r="K2043" s="2018"/>
      <c r="L2043" s="2018"/>
      <c r="M2043" s="2018"/>
      <c r="N2043" s="2018"/>
      <c r="O2043" s="2018"/>
      <c r="P2043" s="2018"/>
      <c r="Q2043" s="2018"/>
      <c r="R2043" s="2018"/>
      <c r="S2043" s="2018"/>
      <c r="T2043" s="2018"/>
      <c r="U2043" s="2018"/>
      <c r="V2043" s="2018"/>
      <c r="W2043" s="2018"/>
      <c r="X2043" s="2018"/>
      <c r="Y2043" s="2018"/>
      <c r="Z2043" s="2023"/>
      <c r="AA2043" s="2023"/>
      <c r="AB2043" s="1050"/>
      <c r="AC2043" s="1050"/>
      <c r="AD2043" s="1050"/>
      <c r="AE2043" s="1050"/>
      <c r="AF2043" s="1052"/>
    </row>
    <row r="2044" spans="1:32" ht="15.75" x14ac:dyDescent="0.25">
      <c r="A2044" s="2017"/>
      <c r="B2044" s="2018"/>
      <c r="C2044" s="2018"/>
      <c r="D2044" s="2018"/>
      <c r="E2044" s="2018"/>
      <c r="F2044" s="2018"/>
      <c r="G2044" s="2018"/>
      <c r="H2044" s="2018"/>
      <c r="I2044" s="2018"/>
      <c r="J2044" s="2018"/>
      <c r="K2044" s="2018"/>
      <c r="L2044" s="2018"/>
      <c r="M2044" s="2018"/>
      <c r="N2044" s="2018"/>
      <c r="O2044" s="2018"/>
      <c r="P2044" s="2018"/>
      <c r="Q2044" s="2018"/>
      <c r="R2044" s="2018"/>
      <c r="S2044" s="2018"/>
      <c r="T2044" s="2018"/>
      <c r="U2044" s="2018"/>
      <c r="V2044" s="2018"/>
      <c r="W2044" s="2018"/>
      <c r="X2044" s="2018"/>
      <c r="Y2044" s="2018"/>
      <c r="Z2044" s="2023"/>
      <c r="AA2044" s="2023"/>
      <c r="AB2044" s="1050"/>
      <c r="AC2044" s="1050"/>
      <c r="AD2044" s="1050"/>
      <c r="AE2044" s="1050"/>
      <c r="AF2044" s="1052"/>
    </row>
    <row r="2045" spans="1:32" ht="15.75" x14ac:dyDescent="0.25">
      <c r="A2045" s="2017"/>
      <c r="B2045" s="2018"/>
      <c r="C2045" s="2018"/>
      <c r="D2045" s="2018"/>
      <c r="E2045" s="2018"/>
      <c r="F2045" s="2018"/>
      <c r="G2045" s="2018"/>
      <c r="H2045" s="2018"/>
      <c r="I2045" s="2018"/>
      <c r="J2045" s="2018"/>
      <c r="K2045" s="2018"/>
      <c r="L2045" s="2018"/>
      <c r="M2045" s="2018"/>
      <c r="N2045" s="2018"/>
      <c r="O2045" s="2018"/>
      <c r="P2045" s="2018"/>
      <c r="Q2045" s="2018"/>
      <c r="R2045" s="2018"/>
      <c r="S2045" s="2018"/>
      <c r="T2045" s="2018"/>
      <c r="U2045" s="2018"/>
      <c r="V2045" s="2018"/>
      <c r="W2045" s="2018"/>
      <c r="X2045" s="2018"/>
      <c r="Y2045" s="2018"/>
      <c r="Z2045" s="2023"/>
      <c r="AA2045" s="2023"/>
      <c r="AB2045" s="1050"/>
      <c r="AC2045" s="1050"/>
      <c r="AD2045" s="1050"/>
      <c r="AE2045" s="1050"/>
      <c r="AF2045" s="1052"/>
    </row>
    <row r="2046" spans="1:32" ht="16.5" thickBot="1" x14ac:dyDescent="0.3">
      <c r="A2046" s="2019"/>
      <c r="B2046" s="2020"/>
      <c r="C2046" s="2020"/>
      <c r="D2046" s="2020"/>
      <c r="E2046" s="2020"/>
      <c r="F2046" s="2020"/>
      <c r="G2046" s="2020"/>
      <c r="H2046" s="2020"/>
      <c r="I2046" s="2020"/>
      <c r="J2046" s="2020"/>
      <c r="K2046" s="2020"/>
      <c r="L2046" s="2020"/>
      <c r="M2046" s="2020"/>
      <c r="N2046" s="2020"/>
      <c r="O2046" s="2020"/>
      <c r="P2046" s="2020"/>
      <c r="Q2046" s="2020"/>
      <c r="R2046" s="2020"/>
      <c r="S2046" s="2020"/>
      <c r="T2046" s="2020"/>
      <c r="U2046" s="2020"/>
      <c r="V2046" s="2020"/>
      <c r="W2046" s="2020"/>
      <c r="X2046" s="2020"/>
      <c r="Y2046" s="2020"/>
      <c r="Z2046" s="2024"/>
      <c r="AA2046" s="2024"/>
      <c r="AB2046" s="1057"/>
      <c r="AC2046" s="1057"/>
      <c r="AD2046" s="1057"/>
      <c r="AE2046" s="1057"/>
      <c r="AF2046" s="1058"/>
    </row>
    <row r="2047" spans="1:32" ht="15.75" x14ac:dyDescent="0.25">
      <c r="A2047" s="2009" t="s">
        <v>1855</v>
      </c>
      <c r="B2047" s="2010"/>
      <c r="C2047" s="2010"/>
      <c r="D2047" s="2010"/>
      <c r="E2047" s="2010"/>
      <c r="F2047" s="2010"/>
      <c r="G2047" s="2010"/>
      <c r="H2047" s="2010"/>
      <c r="I2047" s="2010"/>
      <c r="J2047" s="2010"/>
      <c r="K2047" s="2010"/>
      <c r="L2047" s="2010"/>
      <c r="M2047" s="2010"/>
      <c r="N2047" s="2010"/>
      <c r="O2047" s="2010"/>
      <c r="P2047" s="2010"/>
      <c r="Q2047" s="2010"/>
      <c r="R2047" s="2010"/>
      <c r="S2047" s="2010"/>
      <c r="T2047" s="2010"/>
      <c r="U2047" s="2010"/>
      <c r="V2047" s="2010"/>
      <c r="W2047" s="2010"/>
      <c r="X2047" s="2010"/>
      <c r="Y2047" s="2010"/>
      <c r="Z2047" s="2013" t="s">
        <v>1850</v>
      </c>
      <c r="AA2047" s="2013"/>
      <c r="AB2047" s="2013"/>
      <c r="AC2047" s="2013"/>
      <c r="AD2047" s="2013"/>
      <c r="AE2047" s="2013"/>
      <c r="AF2047" s="1059">
        <f>SUM(AF2023:AF2046)</f>
        <v>12</v>
      </c>
    </row>
    <row r="2048" spans="1:32" ht="15.75" x14ac:dyDescent="0.25">
      <c r="A2048" s="2011"/>
      <c r="B2048" s="2012"/>
      <c r="C2048" s="2012"/>
      <c r="D2048" s="2012"/>
      <c r="E2048" s="2012"/>
      <c r="F2048" s="2012"/>
      <c r="G2048" s="2012"/>
      <c r="H2048" s="2012"/>
      <c r="I2048" s="2012"/>
      <c r="J2048" s="2012"/>
      <c r="K2048" s="2012"/>
      <c r="L2048" s="2012"/>
      <c r="M2048" s="2012"/>
      <c r="N2048" s="2012"/>
      <c r="O2048" s="2012"/>
      <c r="P2048" s="2012"/>
      <c r="Q2048" s="2012"/>
      <c r="R2048" s="2012"/>
      <c r="S2048" s="2012"/>
      <c r="T2048" s="2012"/>
      <c r="U2048" s="2012"/>
      <c r="V2048" s="2012"/>
      <c r="W2048" s="2012"/>
      <c r="X2048" s="2012"/>
      <c r="Y2048" s="2012"/>
      <c r="Z2048" s="2014" t="s">
        <v>1851</v>
      </c>
      <c r="AA2048" s="2014"/>
      <c r="AB2048" s="2014"/>
      <c r="AC2048" s="2014"/>
      <c r="AD2048" s="2014"/>
      <c r="AE2048" s="2014"/>
      <c r="AF2048" s="1060">
        <v>0</v>
      </c>
    </row>
    <row r="2049" spans="1:32" ht="15.75" x14ac:dyDescent="0.25">
      <c r="A2049" s="2011"/>
      <c r="B2049" s="2012"/>
      <c r="C2049" s="2012"/>
      <c r="D2049" s="2012"/>
      <c r="E2049" s="2012"/>
      <c r="F2049" s="2012"/>
      <c r="G2049" s="2012"/>
      <c r="H2049" s="2012"/>
      <c r="I2049" s="2012"/>
      <c r="J2049" s="2012"/>
      <c r="K2049" s="2012"/>
      <c r="L2049" s="2012"/>
      <c r="M2049" s="2012"/>
      <c r="N2049" s="2012"/>
      <c r="O2049" s="2012"/>
      <c r="P2049" s="2012"/>
      <c r="Q2049" s="2012"/>
      <c r="R2049" s="2012"/>
      <c r="S2049" s="2012"/>
      <c r="T2049" s="2012"/>
      <c r="U2049" s="2012"/>
      <c r="V2049" s="2012"/>
      <c r="W2049" s="2012"/>
      <c r="X2049" s="2012"/>
      <c r="Y2049" s="2012"/>
      <c r="Z2049" s="2015" t="s">
        <v>1833</v>
      </c>
      <c r="AA2049" s="2015"/>
      <c r="AB2049" s="2015"/>
      <c r="AC2049" s="2015"/>
      <c r="AD2049" s="2015"/>
      <c r="AE2049" s="2015"/>
      <c r="AF2049" s="1061">
        <f>SUM(AF2047:AF2048)</f>
        <v>12</v>
      </c>
    </row>
    <row r="2050" spans="1:32" x14ac:dyDescent="0.2">
      <c r="A2050" s="2012" t="s">
        <v>1859</v>
      </c>
      <c r="B2050" s="2012"/>
      <c r="C2050" s="2012"/>
      <c r="D2050" s="2012"/>
      <c r="E2050" s="2012"/>
      <c r="F2050" s="2012"/>
      <c r="G2050" s="2012"/>
      <c r="H2050" s="2012"/>
      <c r="I2050" s="2012"/>
      <c r="J2050" s="2012"/>
      <c r="K2050" s="2012"/>
      <c r="L2050" s="2012"/>
      <c r="M2050" s="2012"/>
      <c r="N2050" s="2012"/>
      <c r="O2050" s="2012"/>
      <c r="P2050" s="2012"/>
      <c r="Q2050" s="2012"/>
      <c r="R2050" s="2012"/>
      <c r="S2050" s="2012"/>
      <c r="T2050" s="2016" t="s">
        <v>1840</v>
      </c>
      <c r="U2050" s="2016"/>
      <c r="V2050" s="2016"/>
      <c r="W2050" s="2016"/>
      <c r="X2050" s="2016"/>
      <c r="Y2050" s="2016"/>
      <c r="Z2050" s="2016"/>
      <c r="AA2050" s="2016"/>
      <c r="AB2050" s="2012" t="s">
        <v>1852</v>
      </c>
      <c r="AC2050" s="2012"/>
      <c r="AD2050" s="2012"/>
      <c r="AE2050" s="2012"/>
      <c r="AF2050" s="2012"/>
    </row>
    <row r="2051" spans="1:32" x14ac:dyDescent="0.2">
      <c r="A2051" s="2012"/>
      <c r="B2051" s="2012"/>
      <c r="C2051" s="2012"/>
      <c r="D2051" s="2012"/>
      <c r="E2051" s="2012"/>
      <c r="F2051" s="2012"/>
      <c r="G2051" s="2012"/>
      <c r="H2051" s="2012"/>
      <c r="I2051" s="2012"/>
      <c r="J2051" s="2012"/>
      <c r="K2051" s="2012"/>
      <c r="L2051" s="2012"/>
      <c r="M2051" s="2012"/>
      <c r="N2051" s="2012"/>
      <c r="O2051" s="2012"/>
      <c r="P2051" s="2012"/>
      <c r="Q2051" s="2012"/>
      <c r="R2051" s="2012"/>
      <c r="S2051" s="2012"/>
      <c r="T2051" s="2016"/>
      <c r="U2051" s="2016"/>
      <c r="V2051" s="2016"/>
      <c r="W2051" s="2016"/>
      <c r="X2051" s="2016"/>
      <c r="Y2051" s="2016"/>
      <c r="Z2051" s="2016"/>
      <c r="AA2051" s="2016"/>
      <c r="AB2051" s="2012"/>
      <c r="AC2051" s="2012"/>
      <c r="AD2051" s="2012"/>
      <c r="AE2051" s="2012"/>
      <c r="AF2051" s="2012"/>
    </row>
    <row r="2052" spans="1:32" ht="13.5" thickBot="1" x14ac:dyDescent="0.25"/>
    <row r="2053" spans="1:32" ht="26.45" customHeight="1" x14ac:dyDescent="0.2">
      <c r="A2053" s="2025" t="s">
        <v>1854</v>
      </c>
      <c r="B2053" s="2026"/>
      <c r="C2053" s="2026"/>
      <c r="D2053" s="2026"/>
      <c r="E2053" s="2026"/>
      <c r="F2053" s="2026"/>
      <c r="G2053" s="2026"/>
      <c r="H2053" s="2026"/>
      <c r="I2053" s="2026"/>
      <c r="J2053" s="2026"/>
      <c r="K2053" s="2026"/>
      <c r="L2053" s="2026"/>
      <c r="M2053" s="2026"/>
      <c r="N2053" s="2026"/>
      <c r="O2053" s="2026"/>
      <c r="P2053" s="2026"/>
      <c r="Q2053" s="2026"/>
      <c r="R2053" s="2026"/>
      <c r="S2053" s="2026"/>
      <c r="T2053" s="2026"/>
      <c r="U2053" s="2026"/>
      <c r="V2053" s="2026"/>
      <c r="W2053" s="2026"/>
      <c r="X2053" s="2026"/>
      <c r="Y2053" s="2026"/>
      <c r="Z2053" s="2026"/>
      <c r="AA2053" s="2026"/>
      <c r="AB2053" s="2026"/>
      <c r="AC2053" s="2026"/>
      <c r="AD2053" s="2026"/>
      <c r="AE2053" s="1041" t="s">
        <v>1834</v>
      </c>
      <c r="AF2053" s="1042" t="s">
        <v>1835</v>
      </c>
    </row>
    <row r="2054" spans="1:32" ht="21" customHeight="1" thickBot="1" x14ac:dyDescent="0.25">
      <c r="A2054" s="2027"/>
      <c r="B2054" s="2028"/>
      <c r="C2054" s="2028"/>
      <c r="D2054" s="2028"/>
      <c r="E2054" s="2028"/>
      <c r="F2054" s="2028"/>
      <c r="G2054" s="2028"/>
      <c r="H2054" s="2028"/>
      <c r="I2054" s="2028"/>
      <c r="J2054" s="2028"/>
      <c r="K2054" s="2028"/>
      <c r="L2054" s="2028"/>
      <c r="M2054" s="2028"/>
      <c r="N2054" s="2028"/>
      <c r="O2054" s="2028"/>
      <c r="P2054" s="2028"/>
      <c r="Q2054" s="2028"/>
      <c r="R2054" s="2028"/>
      <c r="S2054" s="2028"/>
      <c r="T2054" s="2028"/>
      <c r="U2054" s="2028"/>
      <c r="V2054" s="2028"/>
      <c r="W2054" s="2028"/>
      <c r="X2054" s="2028"/>
      <c r="Y2054" s="2028"/>
      <c r="Z2054" s="2028"/>
      <c r="AA2054" s="2028"/>
      <c r="AB2054" s="2028"/>
      <c r="AC2054" s="2028"/>
      <c r="AD2054" s="2028"/>
      <c r="AE2054" s="1041" t="s">
        <v>1836</v>
      </c>
      <c r="AF2054" s="1044">
        <v>1</v>
      </c>
    </row>
    <row r="2055" spans="1:32" ht="15.75" x14ac:dyDescent="0.2">
      <c r="A2055" s="2029"/>
      <c r="B2055" s="2030"/>
      <c r="C2055" s="2030"/>
      <c r="D2055" s="2031"/>
      <c r="E2055" s="2025" t="str">
        <f>'01'!$A$12</f>
        <v>"CONSTRUCCION SISTEMA DE ACUEDUCTO FASE II DEL MUNICIPIO DE TESALIA DPTO DEL HUILA"</v>
      </c>
      <c r="F2055" s="2026"/>
      <c r="G2055" s="2026"/>
      <c r="H2055" s="2026"/>
      <c r="I2055" s="2026"/>
      <c r="J2055" s="2026"/>
      <c r="K2055" s="2026"/>
      <c r="L2055" s="2026"/>
      <c r="M2055" s="2026"/>
      <c r="N2055" s="2026"/>
      <c r="O2055" s="2026"/>
      <c r="P2055" s="2026"/>
      <c r="Q2055" s="2026"/>
      <c r="R2055" s="2026"/>
      <c r="S2055" s="2026"/>
      <c r="T2055" s="2026"/>
      <c r="U2055" s="2026"/>
      <c r="V2055" s="2026"/>
      <c r="W2055" s="2026"/>
      <c r="X2055" s="2026"/>
      <c r="Y2055" s="2026"/>
      <c r="Z2055" s="2026"/>
      <c r="AA2055" s="2026"/>
      <c r="AB2055" s="2026"/>
      <c r="AC2055" s="2026"/>
      <c r="AD2055" s="2035"/>
      <c r="AE2055" s="1041" t="s">
        <v>847</v>
      </c>
      <c r="AF2055" s="1045">
        <f>'01'!$M$13</f>
        <v>0</v>
      </c>
    </row>
    <row r="2056" spans="1:32" ht="16.5" thickBot="1" x14ac:dyDescent="0.25">
      <c r="A2056" s="2032"/>
      <c r="B2056" s="2033"/>
      <c r="C2056" s="2033"/>
      <c r="D2056" s="2034"/>
      <c r="E2056" s="2027"/>
      <c r="F2056" s="2028"/>
      <c r="G2056" s="2028"/>
      <c r="H2056" s="2028"/>
      <c r="I2056" s="2028"/>
      <c r="J2056" s="2028"/>
      <c r="K2056" s="2028"/>
      <c r="L2056" s="2028"/>
      <c r="M2056" s="2028"/>
      <c r="N2056" s="2028"/>
      <c r="O2056" s="2028"/>
      <c r="P2056" s="2028"/>
      <c r="Q2056" s="2028"/>
      <c r="R2056" s="2028"/>
      <c r="S2056" s="2028"/>
      <c r="T2056" s="2028"/>
      <c r="U2056" s="2028"/>
      <c r="V2056" s="2028"/>
      <c r="W2056" s="2028"/>
      <c r="X2056" s="2028"/>
      <c r="Y2056" s="2028"/>
      <c r="Z2056" s="2028"/>
      <c r="AA2056" s="2028"/>
      <c r="AB2056" s="2028"/>
      <c r="AC2056" s="2028"/>
      <c r="AD2056" s="2036"/>
      <c r="AE2056" s="1041" t="s">
        <v>1837</v>
      </c>
      <c r="AF2056" s="1042" t="s">
        <v>1838</v>
      </c>
    </row>
    <row r="2057" spans="1:32" ht="15.75" x14ac:dyDescent="0.25">
      <c r="A2057" s="2037" t="s">
        <v>1860</v>
      </c>
      <c r="B2057" s="2038"/>
      <c r="C2057" s="2038"/>
      <c r="D2057" s="2038"/>
      <c r="E2057" s="2038"/>
      <c r="F2057" s="2038"/>
      <c r="G2057" s="2038"/>
      <c r="H2057" s="2038"/>
      <c r="I2057" s="2038"/>
      <c r="J2057" s="2038"/>
      <c r="K2057" s="2038"/>
      <c r="L2057" s="2038"/>
      <c r="M2057" s="2038"/>
      <c r="N2057" s="2038"/>
      <c r="O2057" s="2038"/>
      <c r="P2057" s="2038"/>
      <c r="Q2057" s="2038"/>
      <c r="R2057" s="2038"/>
      <c r="S2057" s="2038"/>
      <c r="T2057" s="2038"/>
      <c r="U2057" s="2038"/>
      <c r="V2057" s="2038"/>
      <c r="W2057" s="2038"/>
      <c r="X2057" s="2038"/>
      <c r="Y2057" s="2038"/>
      <c r="Z2057" s="2038"/>
      <c r="AA2057" s="2038"/>
      <c r="AB2057" s="2038"/>
      <c r="AC2057" s="2038"/>
      <c r="AD2057" s="2038"/>
      <c r="AE2057" s="2039" t="s">
        <v>1839</v>
      </c>
      <c r="AF2057" s="2040"/>
    </row>
    <row r="2058" spans="1:32" ht="15.75" x14ac:dyDescent="0.25">
      <c r="A2058" s="2041" t="s">
        <v>1840</v>
      </c>
      <c r="B2058" s="2042"/>
      <c r="C2058" s="2042"/>
      <c r="D2058" s="2042"/>
      <c r="E2058" s="2042"/>
      <c r="F2058" s="2042"/>
      <c r="G2058" s="2042"/>
      <c r="H2058" s="2042"/>
      <c r="I2058" s="2042"/>
      <c r="J2058" s="2042"/>
      <c r="K2058" s="2042"/>
      <c r="L2058" s="2042"/>
      <c r="M2058" s="2042"/>
      <c r="N2058" s="2042"/>
      <c r="O2058" s="2042"/>
      <c r="P2058" s="2042"/>
      <c r="Q2058" s="2042"/>
      <c r="R2058" s="2042"/>
      <c r="S2058" s="2042"/>
      <c r="T2058" s="2042"/>
      <c r="U2058" s="2042"/>
      <c r="V2058" s="2042"/>
      <c r="W2058" s="2042"/>
      <c r="X2058" s="2042"/>
      <c r="Y2058" s="2042"/>
      <c r="Z2058" s="2042"/>
      <c r="AA2058" s="2042"/>
      <c r="AB2058" s="2042"/>
      <c r="AC2058" s="2042"/>
      <c r="AD2058" s="2043"/>
      <c r="AE2058" s="2014" t="s">
        <v>1841</v>
      </c>
      <c r="AF2058" s="2044"/>
    </row>
    <row r="2059" spans="1:32" ht="15.75" x14ac:dyDescent="0.25">
      <c r="A2059" s="2045" t="s">
        <v>1853</v>
      </c>
      <c r="B2059" s="2046"/>
      <c r="C2059" s="2046"/>
      <c r="D2059" s="2046"/>
      <c r="E2059" s="2046"/>
      <c r="F2059" s="2046"/>
      <c r="G2059" s="2046"/>
      <c r="H2059" s="2046"/>
      <c r="I2059" s="2046"/>
      <c r="J2059" s="2046"/>
      <c r="K2059" s="2046"/>
      <c r="L2059" s="2046"/>
      <c r="M2059" s="2046"/>
      <c r="N2059" s="2046"/>
      <c r="O2059" s="2046"/>
      <c r="P2059" s="2046"/>
      <c r="Q2059" s="2046"/>
      <c r="R2059" s="2046"/>
      <c r="S2059" s="2046"/>
      <c r="T2059" s="2046"/>
      <c r="U2059" s="2046"/>
      <c r="V2059" s="2046"/>
      <c r="W2059" s="2046"/>
      <c r="X2059" s="2046"/>
      <c r="Y2059" s="2046"/>
      <c r="Z2059" s="2046"/>
      <c r="AA2059" s="2046"/>
      <c r="AB2059" s="2046"/>
      <c r="AC2059" s="2046"/>
      <c r="AD2059" s="2046"/>
      <c r="AE2059" s="2047">
        <f>'01'!$M$13</f>
        <v>0</v>
      </c>
      <c r="AF2059" s="2044"/>
    </row>
    <row r="2060" spans="1:32" x14ac:dyDescent="0.2">
      <c r="A2060" s="1046"/>
      <c r="B2060" s="1047"/>
      <c r="C2060" s="1047"/>
      <c r="D2060" s="1047"/>
      <c r="E2060" s="1047"/>
      <c r="F2060" s="1047"/>
      <c r="G2060" s="1047"/>
      <c r="H2060" s="1047"/>
      <c r="I2060" s="1047"/>
      <c r="J2060" s="1047"/>
      <c r="K2060" s="1047"/>
      <c r="L2060" s="1047"/>
      <c r="M2060" s="1047"/>
      <c r="N2060" s="1047"/>
      <c r="O2060" s="1047"/>
      <c r="P2060" s="1047"/>
      <c r="Q2060" s="1047"/>
      <c r="R2060" s="1047"/>
      <c r="S2060" s="1047"/>
      <c r="T2060" s="1047"/>
      <c r="U2060" s="1047"/>
      <c r="V2060" s="1047"/>
      <c r="W2060" s="1047"/>
      <c r="X2060" s="1047"/>
      <c r="Y2060" s="1047"/>
      <c r="Z2060" s="1047"/>
      <c r="AA2060" s="1047"/>
      <c r="AB2060" s="1047"/>
      <c r="AC2060" s="1047"/>
      <c r="AD2060" s="1047"/>
      <c r="AE2060" s="1047"/>
      <c r="AF2060" s="1048"/>
    </row>
    <row r="2061" spans="1:32" ht="30" customHeight="1" x14ac:dyDescent="0.2">
      <c r="A2061" s="2048" t="s">
        <v>1842</v>
      </c>
      <c r="B2061" s="2049"/>
      <c r="C2061" s="2049"/>
      <c r="D2061" s="2049"/>
      <c r="E2061" s="2049"/>
      <c r="F2061" s="2050" t="str">
        <f>+'01'!$H$63</f>
        <v>C - FLOCULADOR, SEDIMENTADOR, CANAL DE AGUA SEDIMENTADA Y CANAL DE LAVADO</v>
      </c>
      <c r="G2061" s="2049"/>
      <c r="H2061" s="2049"/>
      <c r="I2061" s="2049"/>
      <c r="J2061" s="2049"/>
      <c r="K2061" s="2049"/>
      <c r="L2061" s="2049"/>
      <c r="M2061" s="2049"/>
      <c r="N2061" s="2049"/>
      <c r="O2061" s="2049"/>
      <c r="P2061" s="2049"/>
      <c r="Q2061" s="2049"/>
      <c r="R2061" s="2049"/>
      <c r="S2061" s="2049"/>
      <c r="T2061" s="2049"/>
      <c r="U2061" s="2049"/>
      <c r="V2061" s="2049"/>
      <c r="W2061" s="2049"/>
      <c r="X2061" s="2049"/>
      <c r="Y2061" s="2051"/>
      <c r="Z2061" s="2052" t="s">
        <v>1843</v>
      </c>
      <c r="AA2061" s="2053"/>
      <c r="AB2061" s="2058" t="s">
        <v>1844</v>
      </c>
      <c r="AC2061" s="2059"/>
      <c r="AD2061" s="2060"/>
      <c r="AE2061" s="2064" t="s">
        <v>1845</v>
      </c>
      <c r="AF2061" s="2067" t="s">
        <v>1846</v>
      </c>
    </row>
    <row r="2062" spans="1:32" ht="20.45" customHeight="1" x14ac:dyDescent="0.2">
      <c r="A2062" s="2070" t="str">
        <f>+'01'!A95</f>
        <v>C-08-10</v>
      </c>
      <c r="B2062" s="2071"/>
      <c r="C2062" s="2072"/>
      <c r="D2062" s="2076" t="str">
        <f>VLOOKUP(A2062,'01'!$A$12:$N$299,3,FALSE)</f>
        <v>SUMINISTRO E INSTALACIÓN SISTEMA DE RECOLECCIÓN DE AGUA FLOCULADA, EN TUBERÍA HD O PETROLERA DE DIÁMETRO 12". INCLUYE TODO LO NECESARIO PARA SU CORRECTA CONSTRUCCIÓN E INSTALACIÓN.</v>
      </c>
      <c r="E2062" s="2077"/>
      <c r="F2062" s="2077"/>
      <c r="G2062" s="2077"/>
      <c r="H2062" s="2077"/>
      <c r="I2062" s="2077"/>
      <c r="J2062" s="2077"/>
      <c r="K2062" s="2077"/>
      <c r="L2062" s="2077"/>
      <c r="M2062" s="2077"/>
      <c r="N2062" s="2077"/>
      <c r="O2062" s="2077"/>
      <c r="P2062" s="2077"/>
      <c r="Q2062" s="2077"/>
      <c r="R2062" s="2077"/>
      <c r="S2062" s="2078"/>
      <c r="T2062" s="2082" t="s">
        <v>124</v>
      </c>
      <c r="U2062" s="2083"/>
      <c r="V2062" s="2083"/>
      <c r="W2062" s="2083"/>
      <c r="X2062" s="2052" t="str">
        <f>VLOOKUP(A2062,'01'!$A$12:$N$299,9,FALSE)</f>
        <v>UND</v>
      </c>
      <c r="Y2062" s="2053"/>
      <c r="Z2062" s="2054"/>
      <c r="AA2062" s="2055"/>
      <c r="AB2062" s="2061"/>
      <c r="AC2062" s="2062"/>
      <c r="AD2062" s="2063"/>
      <c r="AE2062" s="2065"/>
      <c r="AF2062" s="2068"/>
    </row>
    <row r="2063" spans="1:32" ht="25.15" customHeight="1" x14ac:dyDescent="0.25">
      <c r="A2063" s="2073"/>
      <c r="B2063" s="2074"/>
      <c r="C2063" s="2075"/>
      <c r="D2063" s="2079"/>
      <c r="E2063" s="2080"/>
      <c r="F2063" s="2080"/>
      <c r="G2063" s="2080"/>
      <c r="H2063" s="2080"/>
      <c r="I2063" s="2080"/>
      <c r="J2063" s="2080"/>
      <c r="K2063" s="2080"/>
      <c r="L2063" s="2080"/>
      <c r="M2063" s="2080"/>
      <c r="N2063" s="2080"/>
      <c r="O2063" s="2080"/>
      <c r="P2063" s="2080"/>
      <c r="Q2063" s="2080"/>
      <c r="R2063" s="2080"/>
      <c r="S2063" s="2081"/>
      <c r="T2063" s="2084"/>
      <c r="U2063" s="2085"/>
      <c r="V2063" s="2085"/>
      <c r="W2063" s="2085"/>
      <c r="X2063" s="2056"/>
      <c r="Y2063" s="2057"/>
      <c r="Z2063" s="2056"/>
      <c r="AA2063" s="2057"/>
      <c r="AB2063" s="1049" t="s">
        <v>1847</v>
      </c>
      <c r="AC2063" s="1049" t="s">
        <v>1848</v>
      </c>
      <c r="AD2063" s="1049" t="s">
        <v>1861</v>
      </c>
      <c r="AE2063" s="2066"/>
      <c r="AF2063" s="2069"/>
    </row>
    <row r="2064" spans="1:32" ht="15.6" customHeight="1" x14ac:dyDescent="0.25">
      <c r="A2064" s="2017"/>
      <c r="B2064" s="2018"/>
      <c r="C2064" s="2018"/>
      <c r="D2064" s="2018"/>
      <c r="E2064" s="2018"/>
      <c r="F2064" s="2018"/>
      <c r="G2064" s="2018"/>
      <c r="H2064" s="2018"/>
      <c r="I2064" s="2018"/>
      <c r="J2064" s="2018"/>
      <c r="K2064" s="2018"/>
      <c r="L2064" s="2018"/>
      <c r="M2064" s="2018"/>
      <c r="N2064" s="2018"/>
      <c r="O2064" s="2018"/>
      <c r="P2064" s="2018"/>
      <c r="Q2064" s="2018"/>
      <c r="R2064" s="2018"/>
      <c r="S2064" s="2018"/>
      <c r="T2064" s="2018"/>
      <c r="U2064" s="2018"/>
      <c r="V2064" s="2018"/>
      <c r="W2064" s="2018"/>
      <c r="X2064" s="2018"/>
      <c r="Y2064" s="2018"/>
      <c r="Z2064" s="2096" t="s">
        <v>2434</v>
      </c>
      <c r="AA2064" s="2097"/>
      <c r="AB2064" s="1050"/>
      <c r="AC2064" s="1050"/>
      <c r="AD2064" s="1050"/>
      <c r="AE2064" s="1050">
        <v>1</v>
      </c>
      <c r="AF2064" s="1052">
        <f>AE2064</f>
        <v>1</v>
      </c>
    </row>
    <row r="2065" spans="1:32" ht="15.6" customHeight="1" x14ac:dyDescent="0.25">
      <c r="A2065" s="2017"/>
      <c r="B2065" s="2018"/>
      <c r="C2065" s="2018"/>
      <c r="D2065" s="2018"/>
      <c r="E2065" s="2018"/>
      <c r="F2065" s="2018"/>
      <c r="G2065" s="2018"/>
      <c r="H2065" s="2018"/>
      <c r="I2065" s="2018"/>
      <c r="J2065" s="2018"/>
      <c r="K2065" s="2018"/>
      <c r="L2065" s="2018"/>
      <c r="M2065" s="2018"/>
      <c r="N2065" s="2018"/>
      <c r="O2065" s="2018"/>
      <c r="P2065" s="2018"/>
      <c r="Q2065" s="2018"/>
      <c r="R2065" s="2018"/>
      <c r="S2065" s="2018"/>
      <c r="T2065" s="2018"/>
      <c r="U2065" s="2018"/>
      <c r="V2065" s="2018"/>
      <c r="W2065" s="2018"/>
      <c r="X2065" s="2018"/>
      <c r="Y2065" s="2018"/>
      <c r="Z2065" s="2096" t="s">
        <v>2435</v>
      </c>
      <c r="AA2065" s="2097"/>
      <c r="AB2065" s="1050"/>
      <c r="AC2065" s="1050"/>
      <c r="AD2065" s="1050"/>
      <c r="AE2065" s="1050">
        <v>1</v>
      </c>
      <c r="AF2065" s="1052">
        <f t="shared" ref="AF2065" si="36">AE2065</f>
        <v>1</v>
      </c>
    </row>
    <row r="2066" spans="1:32" ht="15.75" x14ac:dyDescent="0.25">
      <c r="A2066" s="2017"/>
      <c r="B2066" s="2018"/>
      <c r="C2066" s="2018"/>
      <c r="D2066" s="2018"/>
      <c r="E2066" s="2018"/>
      <c r="F2066" s="2018"/>
      <c r="G2066" s="2018"/>
      <c r="H2066" s="2018"/>
      <c r="I2066" s="2018"/>
      <c r="J2066" s="2018"/>
      <c r="K2066" s="2018"/>
      <c r="L2066" s="2018"/>
      <c r="M2066" s="2018"/>
      <c r="N2066" s="2018"/>
      <c r="O2066" s="2018"/>
      <c r="P2066" s="2018"/>
      <c r="Q2066" s="2018"/>
      <c r="R2066" s="2018"/>
      <c r="S2066" s="2018"/>
      <c r="T2066" s="2018"/>
      <c r="U2066" s="2018"/>
      <c r="V2066" s="2018"/>
      <c r="W2066" s="2018"/>
      <c r="X2066" s="2018"/>
      <c r="Y2066" s="2018"/>
      <c r="Z2066" s="2096"/>
      <c r="AA2066" s="2097"/>
      <c r="AB2066" s="1050"/>
      <c r="AC2066" s="1050"/>
      <c r="AD2066" s="1050"/>
      <c r="AE2066" s="1050"/>
      <c r="AF2066" s="1052"/>
    </row>
    <row r="2067" spans="1:32" ht="15.75" x14ac:dyDescent="0.25">
      <c r="A2067" s="2017"/>
      <c r="B2067" s="2018"/>
      <c r="C2067" s="2018"/>
      <c r="D2067" s="2018"/>
      <c r="E2067" s="2018"/>
      <c r="F2067" s="2018"/>
      <c r="G2067" s="2018"/>
      <c r="H2067" s="2018"/>
      <c r="I2067" s="2018"/>
      <c r="J2067" s="2018"/>
      <c r="K2067" s="2018"/>
      <c r="L2067" s="2018"/>
      <c r="M2067" s="2018"/>
      <c r="N2067" s="2018"/>
      <c r="O2067" s="2018"/>
      <c r="P2067" s="2018"/>
      <c r="Q2067" s="2018"/>
      <c r="R2067" s="2018"/>
      <c r="S2067" s="2018"/>
      <c r="T2067" s="2018"/>
      <c r="U2067" s="2018"/>
      <c r="V2067" s="2018"/>
      <c r="W2067" s="2018"/>
      <c r="X2067" s="2018"/>
      <c r="Y2067" s="2018"/>
      <c r="Z2067" s="2096"/>
      <c r="AA2067" s="2097"/>
      <c r="AB2067" s="1050"/>
      <c r="AC2067" s="1050"/>
      <c r="AD2067" s="1050"/>
      <c r="AE2067" s="1050"/>
      <c r="AF2067" s="1052"/>
    </row>
    <row r="2068" spans="1:32" ht="15.75" x14ac:dyDescent="0.25">
      <c r="A2068" s="2017"/>
      <c r="B2068" s="2018"/>
      <c r="C2068" s="2018"/>
      <c r="D2068" s="2018"/>
      <c r="E2068" s="2018"/>
      <c r="F2068" s="2018"/>
      <c r="G2068" s="2018"/>
      <c r="H2068" s="2018"/>
      <c r="I2068" s="2018"/>
      <c r="J2068" s="2018"/>
      <c r="K2068" s="2018"/>
      <c r="L2068" s="2018"/>
      <c r="M2068" s="2018"/>
      <c r="N2068" s="2018"/>
      <c r="O2068" s="2018"/>
      <c r="P2068" s="2018"/>
      <c r="Q2068" s="2018"/>
      <c r="R2068" s="2018"/>
      <c r="S2068" s="2018"/>
      <c r="T2068" s="2018"/>
      <c r="U2068" s="2018"/>
      <c r="V2068" s="2018"/>
      <c r="W2068" s="2018"/>
      <c r="X2068" s="2018"/>
      <c r="Y2068" s="2018"/>
      <c r="Z2068" s="2096"/>
      <c r="AA2068" s="2097"/>
      <c r="AB2068" s="1050"/>
      <c r="AC2068" s="1050"/>
      <c r="AD2068" s="1050"/>
      <c r="AE2068" s="1050"/>
      <c r="AF2068" s="1052"/>
    </row>
    <row r="2069" spans="1:32" ht="15.75" x14ac:dyDescent="0.25">
      <c r="A2069" s="2017"/>
      <c r="B2069" s="2018"/>
      <c r="C2069" s="2018"/>
      <c r="D2069" s="2018"/>
      <c r="E2069" s="2018"/>
      <c r="F2069" s="2018"/>
      <c r="G2069" s="2018"/>
      <c r="H2069" s="2018"/>
      <c r="I2069" s="2018"/>
      <c r="J2069" s="2018"/>
      <c r="K2069" s="2018"/>
      <c r="L2069" s="2018"/>
      <c r="M2069" s="2018"/>
      <c r="N2069" s="2018"/>
      <c r="O2069" s="2018"/>
      <c r="P2069" s="2018"/>
      <c r="Q2069" s="2018"/>
      <c r="R2069" s="2018"/>
      <c r="S2069" s="2018"/>
      <c r="T2069" s="2018"/>
      <c r="U2069" s="2018"/>
      <c r="V2069" s="2018"/>
      <c r="W2069" s="2018"/>
      <c r="X2069" s="2018"/>
      <c r="Y2069" s="2018"/>
      <c r="Z2069" s="2096"/>
      <c r="AA2069" s="2097"/>
      <c r="AB2069" s="1050"/>
      <c r="AC2069" s="1050"/>
      <c r="AD2069" s="1050"/>
      <c r="AE2069" s="1050"/>
      <c r="AF2069" s="1052"/>
    </row>
    <row r="2070" spans="1:32" ht="15.75" x14ac:dyDescent="0.25">
      <c r="A2070" s="2017"/>
      <c r="B2070" s="2018"/>
      <c r="C2070" s="2018"/>
      <c r="D2070" s="2018"/>
      <c r="E2070" s="2018"/>
      <c r="F2070" s="2018"/>
      <c r="G2070" s="2018"/>
      <c r="H2070" s="2018"/>
      <c r="I2070" s="2018"/>
      <c r="J2070" s="2018"/>
      <c r="K2070" s="2018"/>
      <c r="L2070" s="2018"/>
      <c r="M2070" s="2018"/>
      <c r="N2070" s="2018"/>
      <c r="O2070" s="2018"/>
      <c r="P2070" s="2018"/>
      <c r="Q2070" s="2018"/>
      <c r="R2070" s="2018"/>
      <c r="S2070" s="2018"/>
      <c r="T2070" s="2018"/>
      <c r="U2070" s="2018"/>
      <c r="V2070" s="2018"/>
      <c r="W2070" s="2018"/>
      <c r="X2070" s="2018"/>
      <c r="Y2070" s="2018"/>
      <c r="Z2070" s="2105"/>
      <c r="AA2070" s="2105"/>
      <c r="AB2070" s="1050"/>
      <c r="AC2070" s="1050"/>
      <c r="AD2070" s="1050"/>
      <c r="AE2070" s="1050"/>
      <c r="AF2070" s="1052"/>
    </row>
    <row r="2071" spans="1:32" ht="15.75" x14ac:dyDescent="0.25">
      <c r="A2071" s="2017"/>
      <c r="B2071" s="2018"/>
      <c r="C2071" s="2018"/>
      <c r="D2071" s="2018"/>
      <c r="E2071" s="2018"/>
      <c r="F2071" s="2018"/>
      <c r="G2071" s="2018"/>
      <c r="H2071" s="2018"/>
      <c r="I2071" s="2018"/>
      <c r="J2071" s="2018"/>
      <c r="K2071" s="2018"/>
      <c r="L2071" s="2018"/>
      <c r="M2071" s="2018"/>
      <c r="N2071" s="2018"/>
      <c r="O2071" s="2018"/>
      <c r="P2071" s="2018"/>
      <c r="Q2071" s="2018"/>
      <c r="R2071" s="2018"/>
      <c r="S2071" s="2018"/>
      <c r="T2071" s="2018"/>
      <c r="U2071" s="2018"/>
      <c r="V2071" s="2018"/>
      <c r="W2071" s="2018"/>
      <c r="X2071" s="2018"/>
      <c r="Y2071" s="2018"/>
      <c r="Z2071" s="2105"/>
      <c r="AA2071" s="2105"/>
      <c r="AB2071" s="1050"/>
      <c r="AC2071" s="1050"/>
      <c r="AD2071" s="1050"/>
      <c r="AE2071" s="1050"/>
      <c r="AF2071" s="1052"/>
    </row>
    <row r="2072" spans="1:32" ht="15.75" x14ac:dyDescent="0.25">
      <c r="A2072" s="2017"/>
      <c r="B2072" s="2018"/>
      <c r="C2072" s="2018"/>
      <c r="D2072" s="2018"/>
      <c r="E2072" s="2018"/>
      <c r="F2072" s="2018"/>
      <c r="G2072" s="2018"/>
      <c r="H2072" s="2018"/>
      <c r="I2072" s="2018"/>
      <c r="J2072" s="2018"/>
      <c r="K2072" s="2018"/>
      <c r="L2072" s="2018"/>
      <c r="M2072" s="2018"/>
      <c r="N2072" s="2018"/>
      <c r="O2072" s="2018"/>
      <c r="P2072" s="2018"/>
      <c r="Q2072" s="2018"/>
      <c r="R2072" s="2018"/>
      <c r="S2072" s="2018"/>
      <c r="T2072" s="2018"/>
      <c r="U2072" s="2018"/>
      <c r="V2072" s="2018"/>
      <c r="W2072" s="2018"/>
      <c r="X2072" s="2018"/>
      <c r="Y2072" s="2018"/>
      <c r="Z2072" s="2105"/>
      <c r="AA2072" s="2105"/>
      <c r="AB2072" s="1050"/>
      <c r="AC2072" s="1050"/>
      <c r="AD2072" s="1050"/>
      <c r="AE2072" s="1050"/>
      <c r="AF2072" s="1052"/>
    </row>
    <row r="2073" spans="1:32" ht="15.75" x14ac:dyDescent="0.25">
      <c r="A2073" s="2017"/>
      <c r="B2073" s="2018"/>
      <c r="C2073" s="2018"/>
      <c r="D2073" s="2018"/>
      <c r="E2073" s="2018"/>
      <c r="F2073" s="2018"/>
      <c r="G2073" s="2018"/>
      <c r="H2073" s="2018"/>
      <c r="I2073" s="2018"/>
      <c r="J2073" s="2018"/>
      <c r="K2073" s="2018"/>
      <c r="L2073" s="2018"/>
      <c r="M2073" s="2018"/>
      <c r="N2073" s="2018"/>
      <c r="O2073" s="2018"/>
      <c r="P2073" s="2018"/>
      <c r="Q2073" s="2018"/>
      <c r="R2073" s="2018"/>
      <c r="S2073" s="2018"/>
      <c r="T2073" s="2018"/>
      <c r="U2073" s="2018"/>
      <c r="V2073" s="2018"/>
      <c r="W2073" s="2018"/>
      <c r="X2073" s="2018"/>
      <c r="Y2073" s="2018"/>
      <c r="Z2073" s="2105"/>
      <c r="AA2073" s="2105"/>
      <c r="AB2073" s="1050"/>
      <c r="AC2073" s="1050"/>
      <c r="AD2073" s="1050"/>
      <c r="AE2073" s="1050"/>
      <c r="AF2073" s="1052"/>
    </row>
    <row r="2074" spans="1:32" ht="15.75" x14ac:dyDescent="0.25">
      <c r="A2074" s="2017"/>
      <c r="B2074" s="2018"/>
      <c r="C2074" s="2018"/>
      <c r="D2074" s="2018"/>
      <c r="E2074" s="2018"/>
      <c r="F2074" s="2018"/>
      <c r="G2074" s="2018"/>
      <c r="H2074" s="2018"/>
      <c r="I2074" s="2018"/>
      <c r="J2074" s="2018"/>
      <c r="K2074" s="2018"/>
      <c r="L2074" s="2018"/>
      <c r="M2074" s="2018"/>
      <c r="N2074" s="2018"/>
      <c r="O2074" s="2018"/>
      <c r="P2074" s="2018"/>
      <c r="Q2074" s="2018"/>
      <c r="R2074" s="2018"/>
      <c r="S2074" s="2018"/>
      <c r="T2074" s="2018"/>
      <c r="U2074" s="2018"/>
      <c r="V2074" s="2018"/>
      <c r="W2074" s="2018"/>
      <c r="X2074" s="2018"/>
      <c r="Y2074" s="2018"/>
      <c r="Z2074" s="2105"/>
      <c r="AA2074" s="2105"/>
      <c r="AB2074" s="1050"/>
      <c r="AC2074" s="1050"/>
      <c r="AD2074" s="1050"/>
      <c r="AE2074" s="1050"/>
      <c r="AF2074" s="1052"/>
    </row>
    <row r="2075" spans="1:32" ht="15.75" x14ac:dyDescent="0.25">
      <c r="A2075" s="2017"/>
      <c r="B2075" s="2018"/>
      <c r="C2075" s="2018"/>
      <c r="D2075" s="2018"/>
      <c r="E2075" s="2018"/>
      <c r="F2075" s="2018"/>
      <c r="G2075" s="2018"/>
      <c r="H2075" s="2018"/>
      <c r="I2075" s="2018"/>
      <c r="J2075" s="2018"/>
      <c r="K2075" s="2018"/>
      <c r="L2075" s="2018"/>
      <c r="M2075" s="2018"/>
      <c r="N2075" s="2018"/>
      <c r="O2075" s="2018"/>
      <c r="P2075" s="2018"/>
      <c r="Q2075" s="2018"/>
      <c r="R2075" s="2018"/>
      <c r="S2075" s="2018"/>
      <c r="T2075" s="2018"/>
      <c r="U2075" s="2018"/>
      <c r="V2075" s="2018"/>
      <c r="W2075" s="2018"/>
      <c r="X2075" s="2018"/>
      <c r="Y2075" s="2018"/>
      <c r="Z2075" s="2105"/>
      <c r="AA2075" s="2105"/>
      <c r="AB2075" s="1050"/>
      <c r="AC2075" s="1050"/>
      <c r="AD2075" s="1050"/>
      <c r="AE2075" s="1050"/>
      <c r="AF2075" s="1052"/>
    </row>
    <row r="2076" spans="1:32" ht="15.75" x14ac:dyDescent="0.25">
      <c r="A2076" s="2017"/>
      <c r="B2076" s="2018"/>
      <c r="C2076" s="2018"/>
      <c r="D2076" s="2018"/>
      <c r="E2076" s="2018"/>
      <c r="F2076" s="2018"/>
      <c r="G2076" s="2018"/>
      <c r="H2076" s="2018"/>
      <c r="I2076" s="2018"/>
      <c r="J2076" s="2018"/>
      <c r="K2076" s="2018"/>
      <c r="L2076" s="2018"/>
      <c r="M2076" s="2018"/>
      <c r="N2076" s="2018"/>
      <c r="O2076" s="2018"/>
      <c r="P2076" s="2018"/>
      <c r="Q2076" s="2018"/>
      <c r="R2076" s="2018"/>
      <c r="S2076" s="2018"/>
      <c r="T2076" s="2018"/>
      <c r="U2076" s="2018"/>
      <c r="V2076" s="2018"/>
      <c r="W2076" s="2018"/>
      <c r="X2076" s="2018"/>
      <c r="Y2076" s="2018"/>
      <c r="Z2076" s="2105"/>
      <c r="AA2076" s="2105"/>
      <c r="AB2076" s="1050"/>
      <c r="AC2076" s="1050"/>
      <c r="AD2076" s="1050"/>
      <c r="AE2076" s="1050"/>
      <c r="AF2076" s="1052"/>
    </row>
    <row r="2077" spans="1:32" ht="15.75" x14ac:dyDescent="0.25">
      <c r="A2077" s="2017"/>
      <c r="B2077" s="2018"/>
      <c r="C2077" s="2018"/>
      <c r="D2077" s="2018"/>
      <c r="E2077" s="2018"/>
      <c r="F2077" s="2018"/>
      <c r="G2077" s="2018"/>
      <c r="H2077" s="2018"/>
      <c r="I2077" s="2018"/>
      <c r="J2077" s="2018"/>
      <c r="K2077" s="2018"/>
      <c r="L2077" s="2018"/>
      <c r="M2077" s="2018"/>
      <c r="N2077" s="2018"/>
      <c r="O2077" s="2018"/>
      <c r="P2077" s="2018"/>
      <c r="Q2077" s="2018"/>
      <c r="R2077" s="2018"/>
      <c r="S2077" s="2018"/>
      <c r="T2077" s="2018"/>
      <c r="U2077" s="2018"/>
      <c r="V2077" s="2018"/>
      <c r="W2077" s="2018"/>
      <c r="X2077" s="2018"/>
      <c r="Y2077" s="2018"/>
      <c r="Z2077" s="2022"/>
      <c r="AA2077" s="2022"/>
      <c r="AB2077" s="1050"/>
      <c r="AC2077" s="1050"/>
      <c r="AD2077" s="1050"/>
      <c r="AE2077" s="1050"/>
      <c r="AF2077" s="1052"/>
    </row>
    <row r="2078" spans="1:32" ht="15.75" x14ac:dyDescent="0.25">
      <c r="A2078" s="2017"/>
      <c r="B2078" s="2018"/>
      <c r="C2078" s="2018"/>
      <c r="D2078" s="2018"/>
      <c r="E2078" s="2018"/>
      <c r="F2078" s="2018"/>
      <c r="G2078" s="2018"/>
      <c r="H2078" s="2018"/>
      <c r="I2078" s="2018"/>
      <c r="J2078" s="2018"/>
      <c r="K2078" s="2018"/>
      <c r="L2078" s="2018"/>
      <c r="M2078" s="2018"/>
      <c r="N2078" s="2018"/>
      <c r="O2078" s="2018"/>
      <c r="P2078" s="2018"/>
      <c r="Q2078" s="2018"/>
      <c r="R2078" s="2018"/>
      <c r="S2078" s="2018"/>
      <c r="T2078" s="2018"/>
      <c r="U2078" s="2018"/>
      <c r="V2078" s="2018"/>
      <c r="W2078" s="2018"/>
      <c r="X2078" s="2018"/>
      <c r="Y2078" s="2018"/>
      <c r="Z2078" s="2022"/>
      <c r="AA2078" s="2022"/>
      <c r="AB2078" s="1050"/>
      <c r="AC2078" s="1050"/>
      <c r="AD2078" s="1050"/>
      <c r="AE2078" s="1050"/>
      <c r="AF2078" s="1052"/>
    </row>
    <row r="2079" spans="1:32" ht="15.75" x14ac:dyDescent="0.25">
      <c r="A2079" s="2017"/>
      <c r="B2079" s="2018"/>
      <c r="C2079" s="2018"/>
      <c r="D2079" s="2018"/>
      <c r="E2079" s="2018"/>
      <c r="F2079" s="2018"/>
      <c r="G2079" s="2018"/>
      <c r="H2079" s="2018"/>
      <c r="I2079" s="2018"/>
      <c r="J2079" s="2018"/>
      <c r="K2079" s="2018"/>
      <c r="L2079" s="2018"/>
      <c r="M2079" s="2018"/>
      <c r="N2079" s="2018"/>
      <c r="O2079" s="2018"/>
      <c r="P2079" s="2018"/>
      <c r="Q2079" s="2018"/>
      <c r="R2079" s="2018"/>
      <c r="S2079" s="2018"/>
      <c r="T2079" s="2018"/>
      <c r="U2079" s="2018"/>
      <c r="V2079" s="2018"/>
      <c r="W2079" s="2018"/>
      <c r="X2079" s="2018"/>
      <c r="Y2079" s="2018"/>
      <c r="Z2079" s="2022"/>
      <c r="AA2079" s="2022"/>
      <c r="AB2079" s="1050"/>
      <c r="AC2079" s="1050"/>
      <c r="AD2079" s="1050"/>
      <c r="AE2079" s="1050"/>
      <c r="AF2079" s="1052"/>
    </row>
    <row r="2080" spans="1:32" ht="15.75" x14ac:dyDescent="0.25">
      <c r="A2080" s="2017"/>
      <c r="B2080" s="2018"/>
      <c r="C2080" s="2018"/>
      <c r="D2080" s="2018"/>
      <c r="E2080" s="2018"/>
      <c r="F2080" s="2018"/>
      <c r="G2080" s="2018"/>
      <c r="H2080" s="2018"/>
      <c r="I2080" s="2018"/>
      <c r="J2080" s="2018"/>
      <c r="K2080" s="2018"/>
      <c r="L2080" s="2018"/>
      <c r="M2080" s="2018"/>
      <c r="N2080" s="2018"/>
      <c r="O2080" s="2018"/>
      <c r="P2080" s="2018"/>
      <c r="Q2080" s="2018"/>
      <c r="R2080" s="2018"/>
      <c r="S2080" s="2018"/>
      <c r="T2080" s="2018"/>
      <c r="U2080" s="2018"/>
      <c r="V2080" s="2018"/>
      <c r="W2080" s="2018"/>
      <c r="X2080" s="2018"/>
      <c r="Y2080" s="2018"/>
      <c r="Z2080" s="2022"/>
      <c r="AA2080" s="2022"/>
      <c r="AB2080" s="1050"/>
      <c r="AC2080" s="1050"/>
      <c r="AD2080" s="1050"/>
      <c r="AE2080" s="1050"/>
      <c r="AF2080" s="1052"/>
    </row>
    <row r="2081" spans="1:32" ht="15.75" x14ac:dyDescent="0.25">
      <c r="A2081" s="2017"/>
      <c r="B2081" s="2018"/>
      <c r="C2081" s="2018"/>
      <c r="D2081" s="2018"/>
      <c r="E2081" s="2018"/>
      <c r="F2081" s="2018"/>
      <c r="G2081" s="2018"/>
      <c r="H2081" s="2018"/>
      <c r="I2081" s="2018"/>
      <c r="J2081" s="2018"/>
      <c r="K2081" s="2018"/>
      <c r="L2081" s="2018"/>
      <c r="M2081" s="2018"/>
      <c r="N2081" s="2018"/>
      <c r="O2081" s="2018"/>
      <c r="P2081" s="2018"/>
      <c r="Q2081" s="2018"/>
      <c r="R2081" s="2018"/>
      <c r="S2081" s="2018"/>
      <c r="T2081" s="2018"/>
      <c r="U2081" s="2018"/>
      <c r="V2081" s="2018"/>
      <c r="W2081" s="2018"/>
      <c r="X2081" s="2018"/>
      <c r="Y2081" s="2018"/>
      <c r="Z2081" s="2023"/>
      <c r="AA2081" s="2023"/>
      <c r="AB2081" s="1050"/>
      <c r="AC2081" s="1050"/>
      <c r="AD2081" s="1050"/>
      <c r="AE2081" s="1050"/>
      <c r="AF2081" s="1052"/>
    </row>
    <row r="2082" spans="1:32" ht="15.75" x14ac:dyDescent="0.25">
      <c r="A2082" s="2017"/>
      <c r="B2082" s="2018"/>
      <c r="C2082" s="2018"/>
      <c r="D2082" s="2018"/>
      <c r="E2082" s="2018"/>
      <c r="F2082" s="2018"/>
      <c r="G2082" s="2018"/>
      <c r="H2082" s="2018"/>
      <c r="I2082" s="2018"/>
      <c r="J2082" s="2018"/>
      <c r="K2082" s="2018"/>
      <c r="L2082" s="2018"/>
      <c r="M2082" s="2018"/>
      <c r="N2082" s="2018"/>
      <c r="O2082" s="2018"/>
      <c r="P2082" s="2018"/>
      <c r="Q2082" s="2018"/>
      <c r="R2082" s="2018"/>
      <c r="S2082" s="2018"/>
      <c r="T2082" s="2018"/>
      <c r="U2082" s="2018"/>
      <c r="V2082" s="2018"/>
      <c r="W2082" s="2018"/>
      <c r="X2082" s="2018"/>
      <c r="Y2082" s="2018"/>
      <c r="Z2082" s="2023"/>
      <c r="AA2082" s="2023"/>
      <c r="AB2082" s="1050"/>
      <c r="AC2082" s="1050"/>
      <c r="AD2082" s="1050"/>
      <c r="AE2082" s="1050"/>
      <c r="AF2082" s="1052"/>
    </row>
    <row r="2083" spans="1:32" ht="15.75" x14ac:dyDescent="0.25">
      <c r="A2083" s="2017"/>
      <c r="B2083" s="2018"/>
      <c r="C2083" s="2018"/>
      <c r="D2083" s="2018"/>
      <c r="E2083" s="2018"/>
      <c r="F2083" s="2018"/>
      <c r="G2083" s="2018"/>
      <c r="H2083" s="2018"/>
      <c r="I2083" s="2018"/>
      <c r="J2083" s="2018"/>
      <c r="K2083" s="2018"/>
      <c r="L2083" s="2018"/>
      <c r="M2083" s="2018"/>
      <c r="N2083" s="2018"/>
      <c r="O2083" s="2018"/>
      <c r="P2083" s="2018"/>
      <c r="Q2083" s="2018"/>
      <c r="R2083" s="2018"/>
      <c r="S2083" s="2018"/>
      <c r="T2083" s="2018"/>
      <c r="U2083" s="2018"/>
      <c r="V2083" s="2018"/>
      <c r="W2083" s="2018"/>
      <c r="X2083" s="2018"/>
      <c r="Y2083" s="2018"/>
      <c r="Z2083" s="2023"/>
      <c r="AA2083" s="2023"/>
      <c r="AB2083" s="1050"/>
      <c r="AC2083" s="1050"/>
      <c r="AD2083" s="1050"/>
      <c r="AE2083" s="1050"/>
      <c r="AF2083" s="1052"/>
    </row>
    <row r="2084" spans="1:32" ht="15.75" x14ac:dyDescent="0.25">
      <c r="A2084" s="2017"/>
      <c r="B2084" s="2018"/>
      <c r="C2084" s="2018"/>
      <c r="D2084" s="2018"/>
      <c r="E2084" s="2018"/>
      <c r="F2084" s="2018"/>
      <c r="G2084" s="2018"/>
      <c r="H2084" s="2018"/>
      <c r="I2084" s="2018"/>
      <c r="J2084" s="2018"/>
      <c r="K2084" s="2018"/>
      <c r="L2084" s="2018"/>
      <c r="M2084" s="2018"/>
      <c r="N2084" s="2018"/>
      <c r="O2084" s="2018"/>
      <c r="P2084" s="2018"/>
      <c r="Q2084" s="2018"/>
      <c r="R2084" s="2018"/>
      <c r="S2084" s="2018"/>
      <c r="T2084" s="2018"/>
      <c r="U2084" s="2018"/>
      <c r="V2084" s="2018"/>
      <c r="W2084" s="2018"/>
      <c r="X2084" s="2018"/>
      <c r="Y2084" s="2018"/>
      <c r="Z2084" s="2023"/>
      <c r="AA2084" s="2023"/>
      <c r="AB2084" s="1050"/>
      <c r="AC2084" s="1050"/>
      <c r="AD2084" s="1050"/>
      <c r="AE2084" s="1050"/>
      <c r="AF2084" s="1052"/>
    </row>
    <row r="2085" spans="1:32" ht="15.75" x14ac:dyDescent="0.25">
      <c r="A2085" s="2017"/>
      <c r="B2085" s="2018"/>
      <c r="C2085" s="2018"/>
      <c r="D2085" s="2018"/>
      <c r="E2085" s="2018"/>
      <c r="F2085" s="2018"/>
      <c r="G2085" s="2018"/>
      <c r="H2085" s="2018"/>
      <c r="I2085" s="2018"/>
      <c r="J2085" s="2018"/>
      <c r="K2085" s="2018"/>
      <c r="L2085" s="2018"/>
      <c r="M2085" s="2018"/>
      <c r="N2085" s="2018"/>
      <c r="O2085" s="2018"/>
      <c r="P2085" s="2018"/>
      <c r="Q2085" s="2018"/>
      <c r="R2085" s="2018"/>
      <c r="S2085" s="2018"/>
      <c r="T2085" s="2018"/>
      <c r="U2085" s="2018"/>
      <c r="V2085" s="2018"/>
      <c r="W2085" s="2018"/>
      <c r="X2085" s="2018"/>
      <c r="Y2085" s="2018"/>
      <c r="Z2085" s="2023"/>
      <c r="AA2085" s="2023"/>
      <c r="AB2085" s="1050"/>
      <c r="AC2085" s="1050"/>
      <c r="AD2085" s="1050"/>
      <c r="AE2085" s="1050"/>
      <c r="AF2085" s="1052"/>
    </row>
    <row r="2086" spans="1:32" ht="15.75" x14ac:dyDescent="0.25">
      <c r="A2086" s="2017"/>
      <c r="B2086" s="2018"/>
      <c r="C2086" s="2018"/>
      <c r="D2086" s="2018"/>
      <c r="E2086" s="2018"/>
      <c r="F2086" s="2018"/>
      <c r="G2086" s="2018"/>
      <c r="H2086" s="2018"/>
      <c r="I2086" s="2018"/>
      <c r="J2086" s="2018"/>
      <c r="K2086" s="2018"/>
      <c r="L2086" s="2018"/>
      <c r="M2086" s="2018"/>
      <c r="N2086" s="2018"/>
      <c r="O2086" s="2018"/>
      <c r="P2086" s="2018"/>
      <c r="Q2086" s="2018"/>
      <c r="R2086" s="2018"/>
      <c r="S2086" s="2018"/>
      <c r="T2086" s="2018"/>
      <c r="U2086" s="2018"/>
      <c r="V2086" s="2018"/>
      <c r="W2086" s="2018"/>
      <c r="X2086" s="2018"/>
      <c r="Y2086" s="2018"/>
      <c r="Z2086" s="2023"/>
      <c r="AA2086" s="2023"/>
      <c r="AB2086" s="1050"/>
      <c r="AC2086" s="1050"/>
      <c r="AD2086" s="1050"/>
      <c r="AE2086" s="1050"/>
      <c r="AF2086" s="1052"/>
    </row>
    <row r="2087" spans="1:32" ht="16.5" thickBot="1" x14ac:dyDescent="0.3">
      <c r="A2087" s="2019"/>
      <c r="B2087" s="2020"/>
      <c r="C2087" s="2020"/>
      <c r="D2087" s="2020"/>
      <c r="E2087" s="2020"/>
      <c r="F2087" s="2020"/>
      <c r="G2087" s="2020"/>
      <c r="H2087" s="2020"/>
      <c r="I2087" s="2020"/>
      <c r="J2087" s="2020"/>
      <c r="K2087" s="2020"/>
      <c r="L2087" s="2020"/>
      <c r="M2087" s="2020"/>
      <c r="N2087" s="2020"/>
      <c r="O2087" s="2020"/>
      <c r="P2087" s="2020"/>
      <c r="Q2087" s="2020"/>
      <c r="R2087" s="2020"/>
      <c r="S2087" s="2020"/>
      <c r="T2087" s="2020"/>
      <c r="U2087" s="2020"/>
      <c r="V2087" s="2020"/>
      <c r="W2087" s="2020"/>
      <c r="X2087" s="2020"/>
      <c r="Y2087" s="2020"/>
      <c r="Z2087" s="2024"/>
      <c r="AA2087" s="2024"/>
      <c r="AB2087" s="1057"/>
      <c r="AC2087" s="1057"/>
      <c r="AD2087" s="1057"/>
      <c r="AE2087" s="1057"/>
      <c r="AF2087" s="1058"/>
    </row>
    <row r="2088" spans="1:32" ht="15.75" x14ac:dyDescent="0.25">
      <c r="A2088" s="2009" t="s">
        <v>1855</v>
      </c>
      <c r="B2088" s="2010"/>
      <c r="C2088" s="2010"/>
      <c r="D2088" s="2010"/>
      <c r="E2088" s="2010"/>
      <c r="F2088" s="2010"/>
      <c r="G2088" s="2010"/>
      <c r="H2088" s="2010"/>
      <c r="I2088" s="2010"/>
      <c r="J2088" s="2010"/>
      <c r="K2088" s="2010"/>
      <c r="L2088" s="2010"/>
      <c r="M2088" s="2010"/>
      <c r="N2088" s="2010"/>
      <c r="O2088" s="2010"/>
      <c r="P2088" s="2010"/>
      <c r="Q2088" s="2010"/>
      <c r="R2088" s="2010"/>
      <c r="S2088" s="2010"/>
      <c r="T2088" s="2010"/>
      <c r="U2088" s="2010"/>
      <c r="V2088" s="2010"/>
      <c r="W2088" s="2010"/>
      <c r="X2088" s="2010"/>
      <c r="Y2088" s="2010"/>
      <c r="Z2088" s="2013" t="s">
        <v>1850</v>
      </c>
      <c r="AA2088" s="2013"/>
      <c r="AB2088" s="2013"/>
      <c r="AC2088" s="2013"/>
      <c r="AD2088" s="2013"/>
      <c r="AE2088" s="2013"/>
      <c r="AF2088" s="1059">
        <f>SUM(AF2064:AF2087)</f>
        <v>2</v>
      </c>
    </row>
    <row r="2089" spans="1:32" ht="15.75" x14ac:dyDescent="0.25">
      <c r="A2089" s="2011"/>
      <c r="B2089" s="2012"/>
      <c r="C2089" s="2012"/>
      <c r="D2089" s="2012"/>
      <c r="E2089" s="2012"/>
      <c r="F2089" s="2012"/>
      <c r="G2089" s="2012"/>
      <c r="H2089" s="2012"/>
      <c r="I2089" s="2012"/>
      <c r="J2089" s="2012"/>
      <c r="K2089" s="2012"/>
      <c r="L2089" s="2012"/>
      <c r="M2089" s="2012"/>
      <c r="N2089" s="2012"/>
      <c r="O2089" s="2012"/>
      <c r="P2089" s="2012"/>
      <c r="Q2089" s="2012"/>
      <c r="R2089" s="2012"/>
      <c r="S2089" s="2012"/>
      <c r="T2089" s="2012"/>
      <c r="U2089" s="2012"/>
      <c r="V2089" s="2012"/>
      <c r="W2089" s="2012"/>
      <c r="X2089" s="2012"/>
      <c r="Y2089" s="2012"/>
      <c r="Z2089" s="2014" t="s">
        <v>1851</v>
      </c>
      <c r="AA2089" s="2014"/>
      <c r="AB2089" s="2014"/>
      <c r="AC2089" s="2014"/>
      <c r="AD2089" s="2014"/>
      <c r="AE2089" s="2014"/>
      <c r="AF2089" s="1060">
        <v>0</v>
      </c>
    </row>
    <row r="2090" spans="1:32" ht="15.75" x14ac:dyDescent="0.25">
      <c r="A2090" s="2011"/>
      <c r="B2090" s="2012"/>
      <c r="C2090" s="2012"/>
      <c r="D2090" s="2012"/>
      <c r="E2090" s="2012"/>
      <c r="F2090" s="2012"/>
      <c r="G2090" s="2012"/>
      <c r="H2090" s="2012"/>
      <c r="I2090" s="2012"/>
      <c r="J2090" s="2012"/>
      <c r="K2090" s="2012"/>
      <c r="L2090" s="2012"/>
      <c r="M2090" s="2012"/>
      <c r="N2090" s="2012"/>
      <c r="O2090" s="2012"/>
      <c r="P2090" s="2012"/>
      <c r="Q2090" s="2012"/>
      <c r="R2090" s="2012"/>
      <c r="S2090" s="2012"/>
      <c r="T2090" s="2012"/>
      <c r="U2090" s="2012"/>
      <c r="V2090" s="2012"/>
      <c r="W2090" s="2012"/>
      <c r="X2090" s="2012"/>
      <c r="Y2090" s="2012"/>
      <c r="Z2090" s="2015" t="s">
        <v>1833</v>
      </c>
      <c r="AA2090" s="2015"/>
      <c r="AB2090" s="2015"/>
      <c r="AC2090" s="2015"/>
      <c r="AD2090" s="2015"/>
      <c r="AE2090" s="2015"/>
      <c r="AF2090" s="1061">
        <f>SUM(AF2088:AF2089)</f>
        <v>2</v>
      </c>
    </row>
    <row r="2091" spans="1:32" x14ac:dyDescent="0.2">
      <c r="A2091" s="2012" t="s">
        <v>1859</v>
      </c>
      <c r="B2091" s="2012"/>
      <c r="C2091" s="2012"/>
      <c r="D2091" s="2012"/>
      <c r="E2091" s="2012"/>
      <c r="F2091" s="2012"/>
      <c r="G2091" s="2012"/>
      <c r="H2091" s="2012"/>
      <c r="I2091" s="2012"/>
      <c r="J2091" s="2012"/>
      <c r="K2091" s="2012"/>
      <c r="L2091" s="2012"/>
      <c r="M2091" s="2012"/>
      <c r="N2091" s="2012"/>
      <c r="O2091" s="2012"/>
      <c r="P2091" s="2012"/>
      <c r="Q2091" s="2012"/>
      <c r="R2091" s="2012"/>
      <c r="S2091" s="2012"/>
      <c r="T2091" s="2016" t="s">
        <v>1840</v>
      </c>
      <c r="U2091" s="2016"/>
      <c r="V2091" s="2016"/>
      <c r="W2091" s="2016"/>
      <c r="X2091" s="2016"/>
      <c r="Y2091" s="2016"/>
      <c r="Z2091" s="2016"/>
      <c r="AA2091" s="2016"/>
      <c r="AB2091" s="2012" t="s">
        <v>1852</v>
      </c>
      <c r="AC2091" s="2012"/>
      <c r="AD2091" s="2012"/>
      <c r="AE2091" s="2012"/>
      <c r="AF2091" s="2012"/>
    </row>
    <row r="2092" spans="1:32" x14ac:dyDescent="0.2">
      <c r="A2092" s="2012"/>
      <c r="B2092" s="2012"/>
      <c r="C2092" s="2012"/>
      <c r="D2092" s="2012"/>
      <c r="E2092" s="2012"/>
      <c r="F2092" s="2012"/>
      <c r="G2092" s="2012"/>
      <c r="H2092" s="2012"/>
      <c r="I2092" s="2012"/>
      <c r="J2092" s="2012"/>
      <c r="K2092" s="2012"/>
      <c r="L2092" s="2012"/>
      <c r="M2092" s="2012"/>
      <c r="N2092" s="2012"/>
      <c r="O2092" s="2012"/>
      <c r="P2092" s="2012"/>
      <c r="Q2092" s="2012"/>
      <c r="R2092" s="2012"/>
      <c r="S2092" s="2012"/>
      <c r="T2092" s="2016"/>
      <c r="U2092" s="2016"/>
      <c r="V2092" s="2016"/>
      <c r="W2092" s="2016"/>
      <c r="X2092" s="2016"/>
      <c r="Y2092" s="2016"/>
      <c r="Z2092" s="2016"/>
      <c r="AA2092" s="2016"/>
      <c r="AB2092" s="2012"/>
      <c r="AC2092" s="2012"/>
      <c r="AD2092" s="2012"/>
      <c r="AE2092" s="2012"/>
      <c r="AF2092" s="2012"/>
    </row>
    <row r="2093" spans="1:32" ht="13.5" thickBot="1" x14ac:dyDescent="0.25"/>
    <row r="2094" spans="1:32" ht="26.45" customHeight="1" x14ac:dyDescent="0.2">
      <c r="A2094" s="2025" t="s">
        <v>1854</v>
      </c>
      <c r="B2094" s="2026"/>
      <c r="C2094" s="2026"/>
      <c r="D2094" s="2026"/>
      <c r="E2094" s="2026"/>
      <c r="F2094" s="2026"/>
      <c r="G2094" s="2026"/>
      <c r="H2094" s="2026"/>
      <c r="I2094" s="2026"/>
      <c r="J2094" s="2026"/>
      <c r="K2094" s="2026"/>
      <c r="L2094" s="2026"/>
      <c r="M2094" s="2026"/>
      <c r="N2094" s="2026"/>
      <c r="O2094" s="2026"/>
      <c r="P2094" s="2026"/>
      <c r="Q2094" s="2026"/>
      <c r="R2094" s="2026"/>
      <c r="S2094" s="2026"/>
      <c r="T2094" s="2026"/>
      <c r="U2094" s="2026"/>
      <c r="V2094" s="2026"/>
      <c r="W2094" s="2026"/>
      <c r="X2094" s="2026"/>
      <c r="Y2094" s="2026"/>
      <c r="Z2094" s="2026"/>
      <c r="AA2094" s="2026"/>
      <c r="AB2094" s="2026"/>
      <c r="AC2094" s="2026"/>
      <c r="AD2094" s="2026"/>
      <c r="AE2094" s="1041" t="s">
        <v>1834</v>
      </c>
      <c r="AF2094" s="1042" t="s">
        <v>1835</v>
      </c>
    </row>
    <row r="2095" spans="1:32" ht="21" customHeight="1" thickBot="1" x14ac:dyDescent="0.25">
      <c r="A2095" s="2027"/>
      <c r="B2095" s="2028"/>
      <c r="C2095" s="2028"/>
      <c r="D2095" s="2028"/>
      <c r="E2095" s="2028"/>
      <c r="F2095" s="2028"/>
      <c r="G2095" s="2028"/>
      <c r="H2095" s="2028"/>
      <c r="I2095" s="2028"/>
      <c r="J2095" s="2028"/>
      <c r="K2095" s="2028"/>
      <c r="L2095" s="2028"/>
      <c r="M2095" s="2028"/>
      <c r="N2095" s="2028"/>
      <c r="O2095" s="2028"/>
      <c r="P2095" s="2028"/>
      <c r="Q2095" s="2028"/>
      <c r="R2095" s="2028"/>
      <c r="S2095" s="2028"/>
      <c r="T2095" s="2028"/>
      <c r="U2095" s="2028"/>
      <c r="V2095" s="2028"/>
      <c r="W2095" s="2028"/>
      <c r="X2095" s="2028"/>
      <c r="Y2095" s="2028"/>
      <c r="Z2095" s="2028"/>
      <c r="AA2095" s="2028"/>
      <c r="AB2095" s="2028"/>
      <c r="AC2095" s="2028"/>
      <c r="AD2095" s="2028"/>
      <c r="AE2095" s="1041" t="s">
        <v>1836</v>
      </c>
      <c r="AF2095" s="1044">
        <v>1</v>
      </c>
    </row>
    <row r="2096" spans="1:32" ht="15.75" x14ac:dyDescent="0.2">
      <c r="A2096" s="2029"/>
      <c r="B2096" s="2030"/>
      <c r="C2096" s="2030"/>
      <c r="D2096" s="2031"/>
      <c r="E2096" s="2025" t="str">
        <f>'01'!$A$12</f>
        <v>"CONSTRUCCION SISTEMA DE ACUEDUCTO FASE II DEL MUNICIPIO DE TESALIA DPTO DEL HUILA"</v>
      </c>
      <c r="F2096" s="2026"/>
      <c r="G2096" s="2026"/>
      <c r="H2096" s="2026"/>
      <c r="I2096" s="2026"/>
      <c r="J2096" s="2026"/>
      <c r="K2096" s="2026"/>
      <c r="L2096" s="2026"/>
      <c r="M2096" s="2026"/>
      <c r="N2096" s="2026"/>
      <c r="O2096" s="2026"/>
      <c r="P2096" s="2026"/>
      <c r="Q2096" s="2026"/>
      <c r="R2096" s="2026"/>
      <c r="S2096" s="2026"/>
      <c r="T2096" s="2026"/>
      <c r="U2096" s="2026"/>
      <c r="V2096" s="2026"/>
      <c r="W2096" s="2026"/>
      <c r="X2096" s="2026"/>
      <c r="Y2096" s="2026"/>
      <c r="Z2096" s="2026"/>
      <c r="AA2096" s="2026"/>
      <c r="AB2096" s="2026"/>
      <c r="AC2096" s="2026"/>
      <c r="AD2096" s="2035"/>
      <c r="AE2096" s="1041" t="s">
        <v>847</v>
      </c>
      <c r="AF2096" s="1045">
        <f>'01'!$M$13</f>
        <v>0</v>
      </c>
    </row>
    <row r="2097" spans="1:32" ht="16.5" thickBot="1" x14ac:dyDescent="0.25">
      <c r="A2097" s="2032"/>
      <c r="B2097" s="2033"/>
      <c r="C2097" s="2033"/>
      <c r="D2097" s="2034"/>
      <c r="E2097" s="2027"/>
      <c r="F2097" s="2028"/>
      <c r="G2097" s="2028"/>
      <c r="H2097" s="2028"/>
      <c r="I2097" s="2028"/>
      <c r="J2097" s="2028"/>
      <c r="K2097" s="2028"/>
      <c r="L2097" s="2028"/>
      <c r="M2097" s="2028"/>
      <c r="N2097" s="2028"/>
      <c r="O2097" s="2028"/>
      <c r="P2097" s="2028"/>
      <c r="Q2097" s="2028"/>
      <c r="R2097" s="2028"/>
      <c r="S2097" s="2028"/>
      <c r="T2097" s="2028"/>
      <c r="U2097" s="2028"/>
      <c r="V2097" s="2028"/>
      <c r="W2097" s="2028"/>
      <c r="X2097" s="2028"/>
      <c r="Y2097" s="2028"/>
      <c r="Z2097" s="2028"/>
      <c r="AA2097" s="2028"/>
      <c r="AB2097" s="2028"/>
      <c r="AC2097" s="2028"/>
      <c r="AD2097" s="2036"/>
      <c r="AE2097" s="1041" t="s">
        <v>1837</v>
      </c>
      <c r="AF2097" s="1042" t="s">
        <v>1838</v>
      </c>
    </row>
    <row r="2098" spans="1:32" ht="15.75" x14ac:dyDescent="0.25">
      <c r="A2098" s="2037" t="s">
        <v>1860</v>
      </c>
      <c r="B2098" s="2038"/>
      <c r="C2098" s="2038"/>
      <c r="D2098" s="2038"/>
      <c r="E2098" s="2038"/>
      <c r="F2098" s="2038"/>
      <c r="G2098" s="2038"/>
      <c r="H2098" s="2038"/>
      <c r="I2098" s="2038"/>
      <c r="J2098" s="2038"/>
      <c r="K2098" s="2038"/>
      <c r="L2098" s="2038"/>
      <c r="M2098" s="2038"/>
      <c r="N2098" s="2038"/>
      <c r="O2098" s="2038"/>
      <c r="P2098" s="2038"/>
      <c r="Q2098" s="2038"/>
      <c r="R2098" s="2038"/>
      <c r="S2098" s="2038"/>
      <c r="T2098" s="2038"/>
      <c r="U2098" s="2038"/>
      <c r="V2098" s="2038"/>
      <c r="W2098" s="2038"/>
      <c r="X2098" s="2038"/>
      <c r="Y2098" s="2038"/>
      <c r="Z2098" s="2038"/>
      <c r="AA2098" s="2038"/>
      <c r="AB2098" s="2038"/>
      <c r="AC2098" s="2038"/>
      <c r="AD2098" s="2038"/>
      <c r="AE2098" s="2039" t="s">
        <v>1839</v>
      </c>
      <c r="AF2098" s="2040"/>
    </row>
    <row r="2099" spans="1:32" ht="15.75" x14ac:dyDescent="0.25">
      <c r="A2099" s="2041" t="s">
        <v>1840</v>
      </c>
      <c r="B2099" s="2042"/>
      <c r="C2099" s="2042"/>
      <c r="D2099" s="2042"/>
      <c r="E2099" s="2042"/>
      <c r="F2099" s="2042"/>
      <c r="G2099" s="2042"/>
      <c r="H2099" s="2042"/>
      <c r="I2099" s="2042"/>
      <c r="J2099" s="2042"/>
      <c r="K2099" s="2042"/>
      <c r="L2099" s="2042"/>
      <c r="M2099" s="2042"/>
      <c r="N2099" s="2042"/>
      <c r="O2099" s="2042"/>
      <c r="P2099" s="2042"/>
      <c r="Q2099" s="2042"/>
      <c r="R2099" s="2042"/>
      <c r="S2099" s="2042"/>
      <c r="T2099" s="2042"/>
      <c r="U2099" s="2042"/>
      <c r="V2099" s="2042"/>
      <c r="W2099" s="2042"/>
      <c r="X2099" s="2042"/>
      <c r="Y2099" s="2042"/>
      <c r="Z2099" s="2042"/>
      <c r="AA2099" s="2042"/>
      <c r="AB2099" s="2042"/>
      <c r="AC2099" s="2042"/>
      <c r="AD2099" s="2043"/>
      <c r="AE2099" s="2014" t="s">
        <v>1841</v>
      </c>
      <c r="AF2099" s="2044"/>
    </row>
    <row r="2100" spans="1:32" ht="15.75" x14ac:dyDescent="0.25">
      <c r="A2100" s="2045" t="s">
        <v>1853</v>
      </c>
      <c r="B2100" s="2046"/>
      <c r="C2100" s="2046"/>
      <c r="D2100" s="2046"/>
      <c r="E2100" s="2046"/>
      <c r="F2100" s="2046"/>
      <c r="G2100" s="2046"/>
      <c r="H2100" s="2046"/>
      <c r="I2100" s="2046"/>
      <c r="J2100" s="2046"/>
      <c r="K2100" s="2046"/>
      <c r="L2100" s="2046"/>
      <c r="M2100" s="2046"/>
      <c r="N2100" s="2046"/>
      <c r="O2100" s="2046"/>
      <c r="P2100" s="2046"/>
      <c r="Q2100" s="2046"/>
      <c r="R2100" s="2046"/>
      <c r="S2100" s="2046"/>
      <c r="T2100" s="2046"/>
      <c r="U2100" s="2046"/>
      <c r="V2100" s="2046"/>
      <c r="W2100" s="2046"/>
      <c r="X2100" s="2046"/>
      <c r="Y2100" s="2046"/>
      <c r="Z2100" s="2046"/>
      <c r="AA2100" s="2046"/>
      <c r="AB2100" s="2046"/>
      <c r="AC2100" s="2046"/>
      <c r="AD2100" s="2046"/>
      <c r="AE2100" s="2047">
        <f>'01'!$M$13</f>
        <v>0</v>
      </c>
      <c r="AF2100" s="2044"/>
    </row>
    <row r="2101" spans="1:32" x14ac:dyDescent="0.2">
      <c r="A2101" s="1046"/>
      <c r="B2101" s="1047"/>
      <c r="C2101" s="1047"/>
      <c r="D2101" s="1047"/>
      <c r="E2101" s="1047"/>
      <c r="F2101" s="1047"/>
      <c r="G2101" s="1047"/>
      <c r="H2101" s="1047"/>
      <c r="I2101" s="1047"/>
      <c r="J2101" s="1047"/>
      <c r="K2101" s="1047"/>
      <c r="L2101" s="1047"/>
      <c r="M2101" s="1047"/>
      <c r="N2101" s="1047"/>
      <c r="O2101" s="1047"/>
      <c r="P2101" s="1047"/>
      <c r="Q2101" s="1047"/>
      <c r="R2101" s="1047"/>
      <c r="S2101" s="1047"/>
      <c r="T2101" s="1047"/>
      <c r="U2101" s="1047"/>
      <c r="V2101" s="1047"/>
      <c r="W2101" s="1047"/>
      <c r="X2101" s="1047"/>
      <c r="Y2101" s="1047"/>
      <c r="Z2101" s="1047"/>
      <c r="AA2101" s="1047"/>
      <c r="AB2101" s="1047"/>
      <c r="AC2101" s="1047"/>
      <c r="AD2101" s="1047"/>
      <c r="AE2101" s="1047"/>
      <c r="AF2101" s="1048"/>
    </row>
    <row r="2102" spans="1:32" ht="30" customHeight="1" x14ac:dyDescent="0.2">
      <c r="A2102" s="2048" t="s">
        <v>1842</v>
      </c>
      <c r="B2102" s="2049"/>
      <c r="C2102" s="2049"/>
      <c r="D2102" s="2049"/>
      <c r="E2102" s="2049"/>
      <c r="F2102" s="2050" t="str">
        <f>+'01'!$H$63</f>
        <v>C - FLOCULADOR, SEDIMENTADOR, CANAL DE AGUA SEDIMENTADA Y CANAL DE LAVADO</v>
      </c>
      <c r="G2102" s="2049"/>
      <c r="H2102" s="2049"/>
      <c r="I2102" s="2049"/>
      <c r="J2102" s="2049"/>
      <c r="K2102" s="2049"/>
      <c r="L2102" s="2049"/>
      <c r="M2102" s="2049"/>
      <c r="N2102" s="2049"/>
      <c r="O2102" s="2049"/>
      <c r="P2102" s="2049"/>
      <c r="Q2102" s="2049"/>
      <c r="R2102" s="2049"/>
      <c r="S2102" s="2049"/>
      <c r="T2102" s="2049"/>
      <c r="U2102" s="2049"/>
      <c r="V2102" s="2049"/>
      <c r="W2102" s="2049"/>
      <c r="X2102" s="2049"/>
      <c r="Y2102" s="2051"/>
      <c r="Z2102" s="2052" t="s">
        <v>1843</v>
      </c>
      <c r="AA2102" s="2053"/>
      <c r="AB2102" s="2058" t="s">
        <v>1844</v>
      </c>
      <c r="AC2102" s="2059"/>
      <c r="AD2102" s="2060"/>
      <c r="AE2102" s="2064" t="s">
        <v>1845</v>
      </c>
      <c r="AF2102" s="2067" t="s">
        <v>1846</v>
      </c>
    </row>
    <row r="2103" spans="1:32" ht="20.45" customHeight="1" x14ac:dyDescent="0.2">
      <c r="A2103" s="2070" t="str">
        <f>+'01'!A96</f>
        <v>C-08-11</v>
      </c>
      <c r="B2103" s="2071"/>
      <c r="C2103" s="2072"/>
      <c r="D2103" s="2076" t="str">
        <f>VLOOKUP(A2103,'01'!$A$12:$N$299,3,FALSE)</f>
        <v xml:space="preserve"> SUMINISTRO E INSTALACIÓN TUBERÍA DE ENTRADA DE AGUA FLOCULADA HACIA SEDIMENTACIÓN. TUBERÍA H.D. O PETROLERA DE DIÁMETRO 8". INCLUYE TODOS LOS ELEMENTOS PARA SU CORRECTA INSTALACIÓN Y FUNCIONAMIENTO. LA TUBERÍA TENDRÁ PERFORACIONES DE 3" SEGÚN DISEÑO. </v>
      </c>
      <c r="E2103" s="2077"/>
      <c r="F2103" s="2077"/>
      <c r="G2103" s="2077"/>
      <c r="H2103" s="2077"/>
      <c r="I2103" s="2077"/>
      <c r="J2103" s="2077"/>
      <c r="K2103" s="2077"/>
      <c r="L2103" s="2077"/>
      <c r="M2103" s="2077"/>
      <c r="N2103" s="2077"/>
      <c r="O2103" s="2077"/>
      <c r="P2103" s="2077"/>
      <c r="Q2103" s="2077"/>
      <c r="R2103" s="2077"/>
      <c r="S2103" s="2078"/>
      <c r="T2103" s="2082" t="s">
        <v>124</v>
      </c>
      <c r="U2103" s="2083"/>
      <c r="V2103" s="2083"/>
      <c r="W2103" s="2083"/>
      <c r="X2103" s="2052" t="str">
        <f>VLOOKUP(A2103,'01'!$A$12:$N$299,9,FALSE)</f>
        <v>UND</v>
      </c>
      <c r="Y2103" s="2053"/>
      <c r="Z2103" s="2054"/>
      <c r="AA2103" s="2055"/>
      <c r="AB2103" s="2061"/>
      <c r="AC2103" s="2062"/>
      <c r="AD2103" s="2063"/>
      <c r="AE2103" s="2065"/>
      <c r="AF2103" s="2068"/>
    </row>
    <row r="2104" spans="1:32" ht="25.15" customHeight="1" x14ac:dyDescent="0.25">
      <c r="A2104" s="2073"/>
      <c r="B2104" s="2074"/>
      <c r="C2104" s="2075"/>
      <c r="D2104" s="2079"/>
      <c r="E2104" s="2080"/>
      <c r="F2104" s="2080"/>
      <c r="G2104" s="2080"/>
      <c r="H2104" s="2080"/>
      <c r="I2104" s="2080"/>
      <c r="J2104" s="2080"/>
      <c r="K2104" s="2080"/>
      <c r="L2104" s="2080"/>
      <c r="M2104" s="2080"/>
      <c r="N2104" s="2080"/>
      <c r="O2104" s="2080"/>
      <c r="P2104" s="2080"/>
      <c r="Q2104" s="2080"/>
      <c r="R2104" s="2080"/>
      <c r="S2104" s="2081"/>
      <c r="T2104" s="2084"/>
      <c r="U2104" s="2085"/>
      <c r="V2104" s="2085"/>
      <c r="W2104" s="2085"/>
      <c r="X2104" s="2056"/>
      <c r="Y2104" s="2057"/>
      <c r="Z2104" s="2056"/>
      <c r="AA2104" s="2057"/>
      <c r="AB2104" s="1049" t="s">
        <v>1847</v>
      </c>
      <c r="AC2104" s="1049" t="s">
        <v>1848</v>
      </c>
      <c r="AD2104" s="1049" t="s">
        <v>1861</v>
      </c>
      <c r="AE2104" s="2066"/>
      <c r="AF2104" s="2069"/>
    </row>
    <row r="2105" spans="1:32" ht="15.6" customHeight="1" x14ac:dyDescent="0.25">
      <c r="A2105" s="2017"/>
      <c r="B2105" s="2018"/>
      <c r="C2105" s="2018"/>
      <c r="D2105" s="2018"/>
      <c r="E2105" s="2018"/>
      <c r="F2105" s="2018"/>
      <c r="G2105" s="2018"/>
      <c r="H2105" s="2018"/>
      <c r="I2105" s="2018"/>
      <c r="J2105" s="2018"/>
      <c r="K2105" s="2018"/>
      <c r="L2105" s="2018"/>
      <c r="M2105" s="2018"/>
      <c r="N2105" s="2018"/>
      <c r="O2105" s="2018"/>
      <c r="P2105" s="2018"/>
      <c r="Q2105" s="2018"/>
      <c r="R2105" s="2018"/>
      <c r="S2105" s="2018"/>
      <c r="T2105" s="2018"/>
      <c r="U2105" s="2018"/>
      <c r="V2105" s="2018"/>
      <c r="W2105" s="2018"/>
      <c r="X2105" s="2018"/>
      <c r="Y2105" s="2018"/>
      <c r="Z2105" s="2096" t="s">
        <v>2434</v>
      </c>
      <c r="AA2105" s="2097"/>
      <c r="AB2105" s="1050"/>
      <c r="AC2105" s="1050"/>
      <c r="AD2105" s="1050"/>
      <c r="AE2105" s="1050">
        <v>3</v>
      </c>
      <c r="AF2105" s="1052">
        <f>AE2105</f>
        <v>3</v>
      </c>
    </row>
    <row r="2106" spans="1:32" ht="15.6" customHeight="1" x14ac:dyDescent="0.25">
      <c r="A2106" s="2017"/>
      <c r="B2106" s="2018"/>
      <c r="C2106" s="2018"/>
      <c r="D2106" s="2018"/>
      <c r="E2106" s="2018"/>
      <c r="F2106" s="2018"/>
      <c r="G2106" s="2018"/>
      <c r="H2106" s="2018"/>
      <c r="I2106" s="2018"/>
      <c r="J2106" s="2018"/>
      <c r="K2106" s="2018"/>
      <c r="L2106" s="2018"/>
      <c r="M2106" s="2018"/>
      <c r="N2106" s="2018"/>
      <c r="O2106" s="2018"/>
      <c r="P2106" s="2018"/>
      <c r="Q2106" s="2018"/>
      <c r="R2106" s="2018"/>
      <c r="S2106" s="2018"/>
      <c r="T2106" s="2018"/>
      <c r="U2106" s="2018"/>
      <c r="V2106" s="2018"/>
      <c r="W2106" s="2018"/>
      <c r="X2106" s="2018"/>
      <c r="Y2106" s="2018"/>
      <c r="Z2106" s="2096" t="s">
        <v>2435</v>
      </c>
      <c r="AA2106" s="2097"/>
      <c r="AB2106" s="1050"/>
      <c r="AC2106" s="1050"/>
      <c r="AD2106" s="1050"/>
      <c r="AE2106" s="1050">
        <v>3</v>
      </c>
      <c r="AF2106" s="1052">
        <f t="shared" ref="AF2106" si="37">AE2106</f>
        <v>3</v>
      </c>
    </row>
    <row r="2107" spans="1:32" ht="15.75" x14ac:dyDescent="0.25">
      <c r="A2107" s="2017"/>
      <c r="B2107" s="2018"/>
      <c r="C2107" s="2018"/>
      <c r="D2107" s="2018"/>
      <c r="E2107" s="2018"/>
      <c r="F2107" s="2018"/>
      <c r="G2107" s="2018"/>
      <c r="H2107" s="2018"/>
      <c r="I2107" s="2018"/>
      <c r="J2107" s="2018"/>
      <c r="K2107" s="2018"/>
      <c r="L2107" s="2018"/>
      <c r="M2107" s="2018"/>
      <c r="N2107" s="2018"/>
      <c r="O2107" s="2018"/>
      <c r="P2107" s="2018"/>
      <c r="Q2107" s="2018"/>
      <c r="R2107" s="2018"/>
      <c r="S2107" s="2018"/>
      <c r="T2107" s="2018"/>
      <c r="U2107" s="2018"/>
      <c r="V2107" s="2018"/>
      <c r="W2107" s="2018"/>
      <c r="X2107" s="2018"/>
      <c r="Y2107" s="2018"/>
      <c r="Z2107" s="2096"/>
      <c r="AA2107" s="2097"/>
      <c r="AB2107" s="1050"/>
      <c r="AC2107" s="1050"/>
      <c r="AD2107" s="1050"/>
      <c r="AE2107" s="1050"/>
      <c r="AF2107" s="1052"/>
    </row>
    <row r="2108" spans="1:32" ht="15.75" x14ac:dyDescent="0.25">
      <c r="A2108" s="2017"/>
      <c r="B2108" s="2018"/>
      <c r="C2108" s="2018"/>
      <c r="D2108" s="2018"/>
      <c r="E2108" s="2018"/>
      <c r="F2108" s="2018"/>
      <c r="G2108" s="2018"/>
      <c r="H2108" s="2018"/>
      <c r="I2108" s="2018"/>
      <c r="J2108" s="2018"/>
      <c r="K2108" s="2018"/>
      <c r="L2108" s="2018"/>
      <c r="M2108" s="2018"/>
      <c r="N2108" s="2018"/>
      <c r="O2108" s="2018"/>
      <c r="P2108" s="2018"/>
      <c r="Q2108" s="2018"/>
      <c r="R2108" s="2018"/>
      <c r="S2108" s="2018"/>
      <c r="T2108" s="2018"/>
      <c r="U2108" s="2018"/>
      <c r="V2108" s="2018"/>
      <c r="W2108" s="2018"/>
      <c r="X2108" s="2018"/>
      <c r="Y2108" s="2018"/>
      <c r="Z2108" s="2096"/>
      <c r="AA2108" s="2097"/>
      <c r="AB2108" s="1050"/>
      <c r="AC2108" s="1050"/>
      <c r="AD2108" s="1050"/>
      <c r="AE2108" s="1050"/>
      <c r="AF2108" s="1052"/>
    </row>
    <row r="2109" spans="1:32" ht="15.75" x14ac:dyDescent="0.25">
      <c r="A2109" s="2017"/>
      <c r="B2109" s="2018"/>
      <c r="C2109" s="2018"/>
      <c r="D2109" s="2018"/>
      <c r="E2109" s="2018"/>
      <c r="F2109" s="2018"/>
      <c r="G2109" s="2018"/>
      <c r="H2109" s="2018"/>
      <c r="I2109" s="2018"/>
      <c r="J2109" s="2018"/>
      <c r="K2109" s="2018"/>
      <c r="L2109" s="2018"/>
      <c r="M2109" s="2018"/>
      <c r="N2109" s="2018"/>
      <c r="O2109" s="2018"/>
      <c r="P2109" s="2018"/>
      <c r="Q2109" s="2018"/>
      <c r="R2109" s="2018"/>
      <c r="S2109" s="2018"/>
      <c r="T2109" s="2018"/>
      <c r="U2109" s="2018"/>
      <c r="V2109" s="2018"/>
      <c r="W2109" s="2018"/>
      <c r="X2109" s="2018"/>
      <c r="Y2109" s="2018"/>
      <c r="Z2109" s="2096"/>
      <c r="AA2109" s="2097"/>
      <c r="AB2109" s="1050"/>
      <c r="AC2109" s="1050"/>
      <c r="AD2109" s="1050"/>
      <c r="AE2109" s="1050"/>
      <c r="AF2109" s="1052"/>
    </row>
    <row r="2110" spans="1:32" ht="15.75" x14ac:dyDescent="0.25">
      <c r="A2110" s="2017"/>
      <c r="B2110" s="2018"/>
      <c r="C2110" s="2018"/>
      <c r="D2110" s="2018"/>
      <c r="E2110" s="2018"/>
      <c r="F2110" s="2018"/>
      <c r="G2110" s="2018"/>
      <c r="H2110" s="2018"/>
      <c r="I2110" s="2018"/>
      <c r="J2110" s="2018"/>
      <c r="K2110" s="2018"/>
      <c r="L2110" s="2018"/>
      <c r="M2110" s="2018"/>
      <c r="N2110" s="2018"/>
      <c r="O2110" s="2018"/>
      <c r="P2110" s="2018"/>
      <c r="Q2110" s="2018"/>
      <c r="R2110" s="2018"/>
      <c r="S2110" s="2018"/>
      <c r="T2110" s="2018"/>
      <c r="U2110" s="2018"/>
      <c r="V2110" s="2018"/>
      <c r="W2110" s="2018"/>
      <c r="X2110" s="2018"/>
      <c r="Y2110" s="2018"/>
      <c r="Z2110" s="2096"/>
      <c r="AA2110" s="2097"/>
      <c r="AB2110" s="1050"/>
      <c r="AC2110" s="1050"/>
      <c r="AD2110" s="1050"/>
      <c r="AE2110" s="1050"/>
      <c r="AF2110" s="1052"/>
    </row>
    <row r="2111" spans="1:32" ht="15.75" x14ac:dyDescent="0.25">
      <c r="A2111" s="2017"/>
      <c r="B2111" s="2018"/>
      <c r="C2111" s="2018"/>
      <c r="D2111" s="2018"/>
      <c r="E2111" s="2018"/>
      <c r="F2111" s="2018"/>
      <c r="G2111" s="2018"/>
      <c r="H2111" s="2018"/>
      <c r="I2111" s="2018"/>
      <c r="J2111" s="2018"/>
      <c r="K2111" s="2018"/>
      <c r="L2111" s="2018"/>
      <c r="M2111" s="2018"/>
      <c r="N2111" s="2018"/>
      <c r="O2111" s="2018"/>
      <c r="P2111" s="2018"/>
      <c r="Q2111" s="2018"/>
      <c r="R2111" s="2018"/>
      <c r="S2111" s="2018"/>
      <c r="T2111" s="2018"/>
      <c r="U2111" s="2018"/>
      <c r="V2111" s="2018"/>
      <c r="W2111" s="2018"/>
      <c r="X2111" s="2018"/>
      <c r="Y2111" s="2018"/>
      <c r="Z2111" s="2105"/>
      <c r="AA2111" s="2105"/>
      <c r="AB2111" s="1050"/>
      <c r="AC2111" s="1050"/>
      <c r="AD2111" s="1050"/>
      <c r="AE2111" s="1050"/>
      <c r="AF2111" s="1052"/>
    </row>
    <row r="2112" spans="1:32" ht="15.75" x14ac:dyDescent="0.25">
      <c r="A2112" s="2017"/>
      <c r="B2112" s="2018"/>
      <c r="C2112" s="2018"/>
      <c r="D2112" s="2018"/>
      <c r="E2112" s="2018"/>
      <c r="F2112" s="2018"/>
      <c r="G2112" s="2018"/>
      <c r="H2112" s="2018"/>
      <c r="I2112" s="2018"/>
      <c r="J2112" s="2018"/>
      <c r="K2112" s="2018"/>
      <c r="L2112" s="2018"/>
      <c r="M2112" s="2018"/>
      <c r="N2112" s="2018"/>
      <c r="O2112" s="2018"/>
      <c r="P2112" s="2018"/>
      <c r="Q2112" s="2018"/>
      <c r="R2112" s="2018"/>
      <c r="S2112" s="2018"/>
      <c r="T2112" s="2018"/>
      <c r="U2112" s="2018"/>
      <c r="V2112" s="2018"/>
      <c r="W2112" s="2018"/>
      <c r="X2112" s="2018"/>
      <c r="Y2112" s="2018"/>
      <c r="Z2112" s="2105"/>
      <c r="AA2112" s="2105"/>
      <c r="AB2112" s="1050"/>
      <c r="AC2112" s="1050"/>
      <c r="AD2112" s="1050"/>
      <c r="AE2112" s="1050"/>
      <c r="AF2112" s="1052"/>
    </row>
    <row r="2113" spans="1:32" ht="15.75" x14ac:dyDescent="0.25">
      <c r="A2113" s="2017"/>
      <c r="B2113" s="2018"/>
      <c r="C2113" s="2018"/>
      <c r="D2113" s="2018"/>
      <c r="E2113" s="2018"/>
      <c r="F2113" s="2018"/>
      <c r="G2113" s="2018"/>
      <c r="H2113" s="2018"/>
      <c r="I2113" s="2018"/>
      <c r="J2113" s="2018"/>
      <c r="K2113" s="2018"/>
      <c r="L2113" s="2018"/>
      <c r="M2113" s="2018"/>
      <c r="N2113" s="2018"/>
      <c r="O2113" s="2018"/>
      <c r="P2113" s="2018"/>
      <c r="Q2113" s="2018"/>
      <c r="R2113" s="2018"/>
      <c r="S2113" s="2018"/>
      <c r="T2113" s="2018"/>
      <c r="U2113" s="2018"/>
      <c r="V2113" s="2018"/>
      <c r="W2113" s="2018"/>
      <c r="X2113" s="2018"/>
      <c r="Y2113" s="2018"/>
      <c r="Z2113" s="2105"/>
      <c r="AA2113" s="2105"/>
      <c r="AB2113" s="1050"/>
      <c r="AC2113" s="1050"/>
      <c r="AD2113" s="1050"/>
      <c r="AE2113" s="1050"/>
      <c r="AF2113" s="1052"/>
    </row>
    <row r="2114" spans="1:32" ht="15.75" x14ac:dyDescent="0.25">
      <c r="A2114" s="2017"/>
      <c r="B2114" s="2018"/>
      <c r="C2114" s="2018"/>
      <c r="D2114" s="2018"/>
      <c r="E2114" s="2018"/>
      <c r="F2114" s="2018"/>
      <c r="G2114" s="2018"/>
      <c r="H2114" s="2018"/>
      <c r="I2114" s="2018"/>
      <c r="J2114" s="2018"/>
      <c r="K2114" s="2018"/>
      <c r="L2114" s="2018"/>
      <c r="M2114" s="2018"/>
      <c r="N2114" s="2018"/>
      <c r="O2114" s="2018"/>
      <c r="P2114" s="2018"/>
      <c r="Q2114" s="2018"/>
      <c r="R2114" s="2018"/>
      <c r="S2114" s="2018"/>
      <c r="T2114" s="2018"/>
      <c r="U2114" s="2018"/>
      <c r="V2114" s="2018"/>
      <c r="W2114" s="2018"/>
      <c r="X2114" s="2018"/>
      <c r="Y2114" s="2018"/>
      <c r="Z2114" s="2105"/>
      <c r="AA2114" s="2105"/>
      <c r="AB2114" s="1050"/>
      <c r="AC2114" s="1050"/>
      <c r="AD2114" s="1050"/>
      <c r="AE2114" s="1050"/>
      <c r="AF2114" s="1052"/>
    </row>
    <row r="2115" spans="1:32" ht="15.75" x14ac:dyDescent="0.25">
      <c r="A2115" s="2017"/>
      <c r="B2115" s="2018"/>
      <c r="C2115" s="2018"/>
      <c r="D2115" s="2018"/>
      <c r="E2115" s="2018"/>
      <c r="F2115" s="2018"/>
      <c r="G2115" s="2018"/>
      <c r="H2115" s="2018"/>
      <c r="I2115" s="2018"/>
      <c r="J2115" s="2018"/>
      <c r="K2115" s="2018"/>
      <c r="L2115" s="2018"/>
      <c r="M2115" s="2018"/>
      <c r="N2115" s="2018"/>
      <c r="O2115" s="2018"/>
      <c r="P2115" s="2018"/>
      <c r="Q2115" s="2018"/>
      <c r="R2115" s="2018"/>
      <c r="S2115" s="2018"/>
      <c r="T2115" s="2018"/>
      <c r="U2115" s="2018"/>
      <c r="V2115" s="2018"/>
      <c r="W2115" s="2018"/>
      <c r="X2115" s="2018"/>
      <c r="Y2115" s="2018"/>
      <c r="Z2115" s="2105"/>
      <c r="AA2115" s="2105"/>
      <c r="AB2115" s="1050"/>
      <c r="AC2115" s="1050"/>
      <c r="AD2115" s="1050"/>
      <c r="AE2115" s="1050"/>
      <c r="AF2115" s="1052"/>
    </row>
    <row r="2116" spans="1:32" ht="15.75" x14ac:dyDescent="0.25">
      <c r="A2116" s="2017"/>
      <c r="B2116" s="2018"/>
      <c r="C2116" s="2018"/>
      <c r="D2116" s="2018"/>
      <c r="E2116" s="2018"/>
      <c r="F2116" s="2018"/>
      <c r="G2116" s="2018"/>
      <c r="H2116" s="2018"/>
      <c r="I2116" s="2018"/>
      <c r="J2116" s="2018"/>
      <c r="K2116" s="2018"/>
      <c r="L2116" s="2018"/>
      <c r="M2116" s="2018"/>
      <c r="N2116" s="2018"/>
      <c r="O2116" s="2018"/>
      <c r="P2116" s="2018"/>
      <c r="Q2116" s="2018"/>
      <c r="R2116" s="2018"/>
      <c r="S2116" s="2018"/>
      <c r="T2116" s="2018"/>
      <c r="U2116" s="2018"/>
      <c r="V2116" s="2018"/>
      <c r="W2116" s="2018"/>
      <c r="X2116" s="2018"/>
      <c r="Y2116" s="2018"/>
      <c r="Z2116" s="2105"/>
      <c r="AA2116" s="2105"/>
      <c r="AB2116" s="1050"/>
      <c r="AC2116" s="1050"/>
      <c r="AD2116" s="1050"/>
      <c r="AE2116" s="1050"/>
      <c r="AF2116" s="1052"/>
    </row>
    <row r="2117" spans="1:32" ht="15.75" x14ac:dyDescent="0.25">
      <c r="A2117" s="2017"/>
      <c r="B2117" s="2018"/>
      <c r="C2117" s="2018"/>
      <c r="D2117" s="2018"/>
      <c r="E2117" s="2018"/>
      <c r="F2117" s="2018"/>
      <c r="G2117" s="2018"/>
      <c r="H2117" s="2018"/>
      <c r="I2117" s="2018"/>
      <c r="J2117" s="2018"/>
      <c r="K2117" s="2018"/>
      <c r="L2117" s="2018"/>
      <c r="M2117" s="2018"/>
      <c r="N2117" s="2018"/>
      <c r="O2117" s="2018"/>
      <c r="P2117" s="2018"/>
      <c r="Q2117" s="2018"/>
      <c r="R2117" s="2018"/>
      <c r="S2117" s="2018"/>
      <c r="T2117" s="2018"/>
      <c r="U2117" s="2018"/>
      <c r="V2117" s="2018"/>
      <c r="W2117" s="2018"/>
      <c r="X2117" s="2018"/>
      <c r="Y2117" s="2018"/>
      <c r="Z2117" s="2105"/>
      <c r="AA2117" s="2105"/>
      <c r="AB2117" s="1050"/>
      <c r="AC2117" s="1050"/>
      <c r="AD2117" s="1050"/>
      <c r="AE2117" s="1050"/>
      <c r="AF2117" s="1052"/>
    </row>
    <row r="2118" spans="1:32" ht="15.75" x14ac:dyDescent="0.25">
      <c r="A2118" s="2017"/>
      <c r="B2118" s="2018"/>
      <c r="C2118" s="2018"/>
      <c r="D2118" s="2018"/>
      <c r="E2118" s="2018"/>
      <c r="F2118" s="2018"/>
      <c r="G2118" s="2018"/>
      <c r="H2118" s="2018"/>
      <c r="I2118" s="2018"/>
      <c r="J2118" s="2018"/>
      <c r="K2118" s="2018"/>
      <c r="L2118" s="2018"/>
      <c r="M2118" s="2018"/>
      <c r="N2118" s="2018"/>
      <c r="O2118" s="2018"/>
      <c r="P2118" s="2018"/>
      <c r="Q2118" s="2018"/>
      <c r="R2118" s="2018"/>
      <c r="S2118" s="2018"/>
      <c r="T2118" s="2018"/>
      <c r="U2118" s="2018"/>
      <c r="V2118" s="2018"/>
      <c r="W2118" s="2018"/>
      <c r="X2118" s="2018"/>
      <c r="Y2118" s="2018"/>
      <c r="Z2118" s="2022"/>
      <c r="AA2118" s="2022"/>
      <c r="AB2118" s="1050"/>
      <c r="AC2118" s="1050"/>
      <c r="AD2118" s="1050"/>
      <c r="AE2118" s="1050"/>
      <c r="AF2118" s="1052"/>
    </row>
    <row r="2119" spans="1:32" ht="15.75" x14ac:dyDescent="0.25">
      <c r="A2119" s="2017"/>
      <c r="B2119" s="2018"/>
      <c r="C2119" s="2018"/>
      <c r="D2119" s="2018"/>
      <c r="E2119" s="2018"/>
      <c r="F2119" s="2018"/>
      <c r="G2119" s="2018"/>
      <c r="H2119" s="2018"/>
      <c r="I2119" s="2018"/>
      <c r="J2119" s="2018"/>
      <c r="K2119" s="2018"/>
      <c r="L2119" s="2018"/>
      <c r="M2119" s="2018"/>
      <c r="N2119" s="2018"/>
      <c r="O2119" s="2018"/>
      <c r="P2119" s="2018"/>
      <c r="Q2119" s="2018"/>
      <c r="R2119" s="2018"/>
      <c r="S2119" s="2018"/>
      <c r="T2119" s="2018"/>
      <c r="U2119" s="2018"/>
      <c r="V2119" s="2018"/>
      <c r="W2119" s="2018"/>
      <c r="X2119" s="2018"/>
      <c r="Y2119" s="2018"/>
      <c r="Z2119" s="2022"/>
      <c r="AA2119" s="2022"/>
      <c r="AB2119" s="1050"/>
      <c r="AC2119" s="1050"/>
      <c r="AD2119" s="1050"/>
      <c r="AE2119" s="1050"/>
      <c r="AF2119" s="1052"/>
    </row>
    <row r="2120" spans="1:32" ht="15.75" x14ac:dyDescent="0.25">
      <c r="A2120" s="2017"/>
      <c r="B2120" s="2018"/>
      <c r="C2120" s="2018"/>
      <c r="D2120" s="2018"/>
      <c r="E2120" s="2018"/>
      <c r="F2120" s="2018"/>
      <c r="G2120" s="2018"/>
      <c r="H2120" s="2018"/>
      <c r="I2120" s="2018"/>
      <c r="J2120" s="2018"/>
      <c r="K2120" s="2018"/>
      <c r="L2120" s="2018"/>
      <c r="M2120" s="2018"/>
      <c r="N2120" s="2018"/>
      <c r="O2120" s="2018"/>
      <c r="P2120" s="2018"/>
      <c r="Q2120" s="2018"/>
      <c r="R2120" s="2018"/>
      <c r="S2120" s="2018"/>
      <c r="T2120" s="2018"/>
      <c r="U2120" s="2018"/>
      <c r="V2120" s="2018"/>
      <c r="W2120" s="2018"/>
      <c r="X2120" s="2018"/>
      <c r="Y2120" s="2018"/>
      <c r="Z2120" s="2022"/>
      <c r="AA2120" s="2022"/>
      <c r="AB2120" s="1050"/>
      <c r="AC2120" s="1050"/>
      <c r="AD2120" s="1050"/>
      <c r="AE2120" s="1050"/>
      <c r="AF2120" s="1052"/>
    </row>
    <row r="2121" spans="1:32" ht="15.75" x14ac:dyDescent="0.25">
      <c r="A2121" s="2017"/>
      <c r="B2121" s="2018"/>
      <c r="C2121" s="2018"/>
      <c r="D2121" s="2018"/>
      <c r="E2121" s="2018"/>
      <c r="F2121" s="2018"/>
      <c r="G2121" s="2018"/>
      <c r="H2121" s="2018"/>
      <c r="I2121" s="2018"/>
      <c r="J2121" s="2018"/>
      <c r="K2121" s="2018"/>
      <c r="L2121" s="2018"/>
      <c r="M2121" s="2018"/>
      <c r="N2121" s="2018"/>
      <c r="O2121" s="2018"/>
      <c r="P2121" s="2018"/>
      <c r="Q2121" s="2018"/>
      <c r="R2121" s="2018"/>
      <c r="S2121" s="2018"/>
      <c r="T2121" s="2018"/>
      <c r="U2121" s="2018"/>
      <c r="V2121" s="2018"/>
      <c r="W2121" s="2018"/>
      <c r="X2121" s="2018"/>
      <c r="Y2121" s="2018"/>
      <c r="Z2121" s="2022"/>
      <c r="AA2121" s="2022"/>
      <c r="AB2121" s="1050"/>
      <c r="AC2121" s="1050"/>
      <c r="AD2121" s="1050"/>
      <c r="AE2121" s="1050"/>
      <c r="AF2121" s="1052"/>
    </row>
    <row r="2122" spans="1:32" ht="15.75" x14ac:dyDescent="0.25">
      <c r="A2122" s="2017"/>
      <c r="B2122" s="2018"/>
      <c r="C2122" s="2018"/>
      <c r="D2122" s="2018"/>
      <c r="E2122" s="2018"/>
      <c r="F2122" s="2018"/>
      <c r="G2122" s="2018"/>
      <c r="H2122" s="2018"/>
      <c r="I2122" s="2018"/>
      <c r="J2122" s="2018"/>
      <c r="K2122" s="2018"/>
      <c r="L2122" s="2018"/>
      <c r="M2122" s="2018"/>
      <c r="N2122" s="2018"/>
      <c r="O2122" s="2018"/>
      <c r="P2122" s="2018"/>
      <c r="Q2122" s="2018"/>
      <c r="R2122" s="2018"/>
      <c r="S2122" s="2018"/>
      <c r="T2122" s="2018"/>
      <c r="U2122" s="2018"/>
      <c r="V2122" s="2018"/>
      <c r="W2122" s="2018"/>
      <c r="X2122" s="2018"/>
      <c r="Y2122" s="2018"/>
      <c r="Z2122" s="2023"/>
      <c r="AA2122" s="2023"/>
      <c r="AB2122" s="1050"/>
      <c r="AC2122" s="1050"/>
      <c r="AD2122" s="1050"/>
      <c r="AE2122" s="1050"/>
      <c r="AF2122" s="1052"/>
    </row>
    <row r="2123" spans="1:32" ht="15.75" x14ac:dyDescent="0.25">
      <c r="A2123" s="2017"/>
      <c r="B2123" s="2018"/>
      <c r="C2123" s="2018"/>
      <c r="D2123" s="2018"/>
      <c r="E2123" s="2018"/>
      <c r="F2123" s="2018"/>
      <c r="G2123" s="2018"/>
      <c r="H2123" s="2018"/>
      <c r="I2123" s="2018"/>
      <c r="J2123" s="2018"/>
      <c r="K2123" s="2018"/>
      <c r="L2123" s="2018"/>
      <c r="M2123" s="2018"/>
      <c r="N2123" s="2018"/>
      <c r="O2123" s="2018"/>
      <c r="P2123" s="2018"/>
      <c r="Q2123" s="2018"/>
      <c r="R2123" s="2018"/>
      <c r="S2123" s="2018"/>
      <c r="T2123" s="2018"/>
      <c r="U2123" s="2018"/>
      <c r="V2123" s="2018"/>
      <c r="W2123" s="2018"/>
      <c r="X2123" s="2018"/>
      <c r="Y2123" s="2018"/>
      <c r="Z2123" s="2023"/>
      <c r="AA2123" s="2023"/>
      <c r="AB2123" s="1050"/>
      <c r="AC2123" s="1050"/>
      <c r="AD2123" s="1050"/>
      <c r="AE2123" s="1050"/>
      <c r="AF2123" s="1052"/>
    </row>
    <row r="2124" spans="1:32" ht="15.75" x14ac:dyDescent="0.25">
      <c r="A2124" s="2017"/>
      <c r="B2124" s="2018"/>
      <c r="C2124" s="2018"/>
      <c r="D2124" s="2018"/>
      <c r="E2124" s="2018"/>
      <c r="F2124" s="2018"/>
      <c r="G2124" s="2018"/>
      <c r="H2124" s="2018"/>
      <c r="I2124" s="2018"/>
      <c r="J2124" s="2018"/>
      <c r="K2124" s="2018"/>
      <c r="L2124" s="2018"/>
      <c r="M2124" s="2018"/>
      <c r="N2124" s="2018"/>
      <c r="O2124" s="2018"/>
      <c r="P2124" s="2018"/>
      <c r="Q2124" s="2018"/>
      <c r="R2124" s="2018"/>
      <c r="S2124" s="2018"/>
      <c r="T2124" s="2018"/>
      <c r="U2124" s="2018"/>
      <c r="V2124" s="2018"/>
      <c r="W2124" s="2018"/>
      <c r="X2124" s="2018"/>
      <c r="Y2124" s="2018"/>
      <c r="Z2124" s="2023"/>
      <c r="AA2124" s="2023"/>
      <c r="AB2124" s="1050"/>
      <c r="AC2124" s="1050"/>
      <c r="AD2124" s="1050"/>
      <c r="AE2124" s="1050"/>
      <c r="AF2124" s="1052"/>
    </row>
    <row r="2125" spans="1:32" ht="15.75" x14ac:dyDescent="0.25">
      <c r="A2125" s="2017"/>
      <c r="B2125" s="2018"/>
      <c r="C2125" s="2018"/>
      <c r="D2125" s="2018"/>
      <c r="E2125" s="2018"/>
      <c r="F2125" s="2018"/>
      <c r="G2125" s="2018"/>
      <c r="H2125" s="2018"/>
      <c r="I2125" s="2018"/>
      <c r="J2125" s="2018"/>
      <c r="K2125" s="2018"/>
      <c r="L2125" s="2018"/>
      <c r="M2125" s="2018"/>
      <c r="N2125" s="2018"/>
      <c r="O2125" s="2018"/>
      <c r="P2125" s="2018"/>
      <c r="Q2125" s="2018"/>
      <c r="R2125" s="2018"/>
      <c r="S2125" s="2018"/>
      <c r="T2125" s="2018"/>
      <c r="U2125" s="2018"/>
      <c r="V2125" s="2018"/>
      <c r="W2125" s="2018"/>
      <c r="X2125" s="2018"/>
      <c r="Y2125" s="2018"/>
      <c r="Z2125" s="2023"/>
      <c r="AA2125" s="2023"/>
      <c r="AB2125" s="1050"/>
      <c r="AC2125" s="1050"/>
      <c r="AD2125" s="1050"/>
      <c r="AE2125" s="1050"/>
      <c r="AF2125" s="1052"/>
    </row>
    <row r="2126" spans="1:32" ht="15.75" x14ac:dyDescent="0.25">
      <c r="A2126" s="2017"/>
      <c r="B2126" s="2018"/>
      <c r="C2126" s="2018"/>
      <c r="D2126" s="2018"/>
      <c r="E2126" s="2018"/>
      <c r="F2126" s="2018"/>
      <c r="G2126" s="2018"/>
      <c r="H2126" s="2018"/>
      <c r="I2126" s="2018"/>
      <c r="J2126" s="2018"/>
      <c r="K2126" s="2018"/>
      <c r="L2126" s="2018"/>
      <c r="M2126" s="2018"/>
      <c r="N2126" s="2018"/>
      <c r="O2126" s="2018"/>
      <c r="P2126" s="2018"/>
      <c r="Q2126" s="2018"/>
      <c r="R2126" s="2018"/>
      <c r="S2126" s="2018"/>
      <c r="T2126" s="2018"/>
      <c r="U2126" s="2018"/>
      <c r="V2126" s="2018"/>
      <c r="W2126" s="2018"/>
      <c r="X2126" s="2018"/>
      <c r="Y2126" s="2018"/>
      <c r="Z2126" s="2023"/>
      <c r="AA2126" s="2023"/>
      <c r="AB2126" s="1050"/>
      <c r="AC2126" s="1050"/>
      <c r="AD2126" s="1050"/>
      <c r="AE2126" s="1050"/>
      <c r="AF2126" s="1052"/>
    </row>
    <row r="2127" spans="1:32" ht="15.75" x14ac:dyDescent="0.25">
      <c r="A2127" s="2017"/>
      <c r="B2127" s="2018"/>
      <c r="C2127" s="2018"/>
      <c r="D2127" s="2018"/>
      <c r="E2127" s="2018"/>
      <c r="F2127" s="2018"/>
      <c r="G2127" s="2018"/>
      <c r="H2127" s="2018"/>
      <c r="I2127" s="2018"/>
      <c r="J2127" s="2018"/>
      <c r="K2127" s="2018"/>
      <c r="L2127" s="2018"/>
      <c r="M2127" s="2018"/>
      <c r="N2127" s="2018"/>
      <c r="O2127" s="2018"/>
      <c r="P2127" s="2018"/>
      <c r="Q2127" s="2018"/>
      <c r="R2127" s="2018"/>
      <c r="S2127" s="2018"/>
      <c r="T2127" s="2018"/>
      <c r="U2127" s="2018"/>
      <c r="V2127" s="2018"/>
      <c r="W2127" s="2018"/>
      <c r="X2127" s="2018"/>
      <c r="Y2127" s="2018"/>
      <c r="Z2127" s="2023"/>
      <c r="AA2127" s="2023"/>
      <c r="AB2127" s="1050"/>
      <c r="AC2127" s="1050"/>
      <c r="AD2127" s="1050"/>
      <c r="AE2127" s="1050"/>
      <c r="AF2127" s="1052"/>
    </row>
    <row r="2128" spans="1:32" ht="16.5" thickBot="1" x14ac:dyDescent="0.3">
      <c r="A2128" s="2019"/>
      <c r="B2128" s="2020"/>
      <c r="C2128" s="2020"/>
      <c r="D2128" s="2020"/>
      <c r="E2128" s="2020"/>
      <c r="F2128" s="2020"/>
      <c r="G2128" s="2020"/>
      <c r="H2128" s="2020"/>
      <c r="I2128" s="2020"/>
      <c r="J2128" s="2020"/>
      <c r="K2128" s="2020"/>
      <c r="L2128" s="2020"/>
      <c r="M2128" s="2020"/>
      <c r="N2128" s="2020"/>
      <c r="O2128" s="2020"/>
      <c r="P2128" s="2020"/>
      <c r="Q2128" s="2020"/>
      <c r="R2128" s="2020"/>
      <c r="S2128" s="2020"/>
      <c r="T2128" s="2020"/>
      <c r="U2128" s="2020"/>
      <c r="V2128" s="2020"/>
      <c r="W2128" s="2020"/>
      <c r="X2128" s="2020"/>
      <c r="Y2128" s="2020"/>
      <c r="Z2128" s="2024"/>
      <c r="AA2128" s="2024"/>
      <c r="AB2128" s="1057"/>
      <c r="AC2128" s="1057"/>
      <c r="AD2128" s="1057"/>
      <c r="AE2128" s="1057"/>
      <c r="AF2128" s="1058"/>
    </row>
    <row r="2129" spans="1:32" ht="15.75" x14ac:dyDescent="0.25">
      <c r="A2129" s="2009" t="s">
        <v>1855</v>
      </c>
      <c r="B2129" s="2010"/>
      <c r="C2129" s="2010"/>
      <c r="D2129" s="2010"/>
      <c r="E2129" s="2010"/>
      <c r="F2129" s="2010"/>
      <c r="G2129" s="2010"/>
      <c r="H2129" s="2010"/>
      <c r="I2129" s="2010"/>
      <c r="J2129" s="2010"/>
      <c r="K2129" s="2010"/>
      <c r="L2129" s="2010"/>
      <c r="M2129" s="2010"/>
      <c r="N2129" s="2010"/>
      <c r="O2129" s="2010"/>
      <c r="P2129" s="2010"/>
      <c r="Q2129" s="2010"/>
      <c r="R2129" s="2010"/>
      <c r="S2129" s="2010"/>
      <c r="T2129" s="2010"/>
      <c r="U2129" s="2010"/>
      <c r="V2129" s="2010"/>
      <c r="W2129" s="2010"/>
      <c r="X2129" s="2010"/>
      <c r="Y2129" s="2010"/>
      <c r="Z2129" s="2013" t="s">
        <v>1850</v>
      </c>
      <c r="AA2129" s="2013"/>
      <c r="AB2129" s="2013"/>
      <c r="AC2129" s="2013"/>
      <c r="AD2129" s="2013"/>
      <c r="AE2129" s="2013"/>
      <c r="AF2129" s="1059">
        <f>SUM(AF2105:AF2128)</f>
        <v>6</v>
      </c>
    </row>
    <row r="2130" spans="1:32" ht="15.75" x14ac:dyDescent="0.25">
      <c r="A2130" s="2011"/>
      <c r="B2130" s="2012"/>
      <c r="C2130" s="2012"/>
      <c r="D2130" s="2012"/>
      <c r="E2130" s="2012"/>
      <c r="F2130" s="2012"/>
      <c r="G2130" s="2012"/>
      <c r="H2130" s="2012"/>
      <c r="I2130" s="2012"/>
      <c r="J2130" s="2012"/>
      <c r="K2130" s="2012"/>
      <c r="L2130" s="2012"/>
      <c r="M2130" s="2012"/>
      <c r="N2130" s="2012"/>
      <c r="O2130" s="2012"/>
      <c r="P2130" s="2012"/>
      <c r="Q2130" s="2012"/>
      <c r="R2130" s="2012"/>
      <c r="S2130" s="2012"/>
      <c r="T2130" s="2012"/>
      <c r="U2130" s="2012"/>
      <c r="V2130" s="2012"/>
      <c r="W2130" s="2012"/>
      <c r="X2130" s="2012"/>
      <c r="Y2130" s="2012"/>
      <c r="Z2130" s="2014" t="s">
        <v>1851</v>
      </c>
      <c r="AA2130" s="2014"/>
      <c r="AB2130" s="2014"/>
      <c r="AC2130" s="2014"/>
      <c r="AD2130" s="2014"/>
      <c r="AE2130" s="2014"/>
      <c r="AF2130" s="1060">
        <v>0</v>
      </c>
    </row>
    <row r="2131" spans="1:32" ht="15.75" x14ac:dyDescent="0.25">
      <c r="A2131" s="2011"/>
      <c r="B2131" s="2012"/>
      <c r="C2131" s="2012"/>
      <c r="D2131" s="2012"/>
      <c r="E2131" s="2012"/>
      <c r="F2131" s="2012"/>
      <c r="G2131" s="2012"/>
      <c r="H2131" s="2012"/>
      <c r="I2131" s="2012"/>
      <c r="J2131" s="2012"/>
      <c r="K2131" s="2012"/>
      <c r="L2131" s="2012"/>
      <c r="M2131" s="2012"/>
      <c r="N2131" s="2012"/>
      <c r="O2131" s="2012"/>
      <c r="P2131" s="2012"/>
      <c r="Q2131" s="2012"/>
      <c r="R2131" s="2012"/>
      <c r="S2131" s="2012"/>
      <c r="T2131" s="2012"/>
      <c r="U2131" s="2012"/>
      <c r="V2131" s="2012"/>
      <c r="W2131" s="2012"/>
      <c r="X2131" s="2012"/>
      <c r="Y2131" s="2012"/>
      <c r="Z2131" s="2015" t="s">
        <v>1833</v>
      </c>
      <c r="AA2131" s="2015"/>
      <c r="AB2131" s="2015"/>
      <c r="AC2131" s="2015"/>
      <c r="AD2131" s="2015"/>
      <c r="AE2131" s="2015"/>
      <c r="AF2131" s="1061">
        <f>SUM(AF2129:AF2130)</f>
        <v>6</v>
      </c>
    </row>
    <row r="2132" spans="1:32" x14ac:dyDescent="0.2">
      <c r="A2132" s="2012" t="s">
        <v>1859</v>
      </c>
      <c r="B2132" s="2012"/>
      <c r="C2132" s="2012"/>
      <c r="D2132" s="2012"/>
      <c r="E2132" s="2012"/>
      <c r="F2132" s="2012"/>
      <c r="G2132" s="2012"/>
      <c r="H2132" s="2012"/>
      <c r="I2132" s="2012"/>
      <c r="J2132" s="2012"/>
      <c r="K2132" s="2012"/>
      <c r="L2132" s="2012"/>
      <c r="M2132" s="2012"/>
      <c r="N2132" s="2012"/>
      <c r="O2132" s="2012"/>
      <c r="P2132" s="2012"/>
      <c r="Q2132" s="2012"/>
      <c r="R2132" s="2012"/>
      <c r="S2132" s="2012"/>
      <c r="T2132" s="2016" t="s">
        <v>1840</v>
      </c>
      <c r="U2132" s="2016"/>
      <c r="V2132" s="2016"/>
      <c r="W2132" s="2016"/>
      <c r="X2132" s="2016"/>
      <c r="Y2132" s="2016"/>
      <c r="Z2132" s="2016"/>
      <c r="AA2132" s="2016"/>
      <c r="AB2132" s="2012" t="s">
        <v>1852</v>
      </c>
      <c r="AC2132" s="2012"/>
      <c r="AD2132" s="2012"/>
      <c r="AE2132" s="2012"/>
      <c r="AF2132" s="2012"/>
    </row>
    <row r="2133" spans="1:32" x14ac:dyDescent="0.2">
      <c r="A2133" s="2012"/>
      <c r="B2133" s="2012"/>
      <c r="C2133" s="2012"/>
      <c r="D2133" s="2012"/>
      <c r="E2133" s="2012"/>
      <c r="F2133" s="2012"/>
      <c r="G2133" s="2012"/>
      <c r="H2133" s="2012"/>
      <c r="I2133" s="2012"/>
      <c r="J2133" s="2012"/>
      <c r="K2133" s="2012"/>
      <c r="L2133" s="2012"/>
      <c r="M2133" s="2012"/>
      <c r="N2133" s="2012"/>
      <c r="O2133" s="2012"/>
      <c r="P2133" s="2012"/>
      <c r="Q2133" s="2012"/>
      <c r="R2133" s="2012"/>
      <c r="S2133" s="2012"/>
      <c r="T2133" s="2016"/>
      <c r="U2133" s="2016"/>
      <c r="V2133" s="2016"/>
      <c r="W2133" s="2016"/>
      <c r="X2133" s="2016"/>
      <c r="Y2133" s="2016"/>
      <c r="Z2133" s="2016"/>
      <c r="AA2133" s="2016"/>
      <c r="AB2133" s="2012"/>
      <c r="AC2133" s="2012"/>
      <c r="AD2133" s="2012"/>
      <c r="AE2133" s="2012"/>
      <c r="AF2133" s="2012"/>
    </row>
    <row r="2134" spans="1:32" ht="13.5" thickBot="1" x14ac:dyDescent="0.25"/>
    <row r="2135" spans="1:32" ht="26.45" customHeight="1" x14ac:dyDescent="0.2">
      <c r="A2135" s="2025" t="s">
        <v>1854</v>
      </c>
      <c r="B2135" s="2026"/>
      <c r="C2135" s="2026"/>
      <c r="D2135" s="2026"/>
      <c r="E2135" s="2026"/>
      <c r="F2135" s="2026"/>
      <c r="G2135" s="2026"/>
      <c r="H2135" s="2026"/>
      <c r="I2135" s="2026"/>
      <c r="J2135" s="2026"/>
      <c r="K2135" s="2026"/>
      <c r="L2135" s="2026"/>
      <c r="M2135" s="2026"/>
      <c r="N2135" s="2026"/>
      <c r="O2135" s="2026"/>
      <c r="P2135" s="2026"/>
      <c r="Q2135" s="2026"/>
      <c r="R2135" s="2026"/>
      <c r="S2135" s="2026"/>
      <c r="T2135" s="2026"/>
      <c r="U2135" s="2026"/>
      <c r="V2135" s="2026"/>
      <c r="W2135" s="2026"/>
      <c r="X2135" s="2026"/>
      <c r="Y2135" s="2026"/>
      <c r="Z2135" s="2026"/>
      <c r="AA2135" s="2026"/>
      <c r="AB2135" s="2026"/>
      <c r="AC2135" s="2026"/>
      <c r="AD2135" s="2026"/>
      <c r="AE2135" s="1041" t="s">
        <v>1834</v>
      </c>
      <c r="AF2135" s="1042" t="s">
        <v>1835</v>
      </c>
    </row>
    <row r="2136" spans="1:32" ht="21" customHeight="1" thickBot="1" x14ac:dyDescent="0.25">
      <c r="A2136" s="2027"/>
      <c r="B2136" s="2028"/>
      <c r="C2136" s="2028"/>
      <c r="D2136" s="2028"/>
      <c r="E2136" s="2028"/>
      <c r="F2136" s="2028"/>
      <c r="G2136" s="2028"/>
      <c r="H2136" s="2028"/>
      <c r="I2136" s="2028"/>
      <c r="J2136" s="2028"/>
      <c r="K2136" s="2028"/>
      <c r="L2136" s="2028"/>
      <c r="M2136" s="2028"/>
      <c r="N2136" s="2028"/>
      <c r="O2136" s="2028"/>
      <c r="P2136" s="2028"/>
      <c r="Q2136" s="2028"/>
      <c r="R2136" s="2028"/>
      <c r="S2136" s="2028"/>
      <c r="T2136" s="2028"/>
      <c r="U2136" s="2028"/>
      <c r="V2136" s="2028"/>
      <c r="W2136" s="2028"/>
      <c r="X2136" s="2028"/>
      <c r="Y2136" s="2028"/>
      <c r="Z2136" s="2028"/>
      <c r="AA2136" s="2028"/>
      <c r="AB2136" s="2028"/>
      <c r="AC2136" s="2028"/>
      <c r="AD2136" s="2028"/>
      <c r="AE2136" s="1041" t="s">
        <v>1836</v>
      </c>
      <c r="AF2136" s="1044">
        <v>1</v>
      </c>
    </row>
    <row r="2137" spans="1:32" ht="15.75" x14ac:dyDescent="0.2">
      <c r="A2137" s="2029"/>
      <c r="B2137" s="2030"/>
      <c r="C2137" s="2030"/>
      <c r="D2137" s="2031"/>
      <c r="E2137" s="2025" t="str">
        <f>'01'!$A$12</f>
        <v>"CONSTRUCCION SISTEMA DE ACUEDUCTO FASE II DEL MUNICIPIO DE TESALIA DPTO DEL HUILA"</v>
      </c>
      <c r="F2137" s="2026"/>
      <c r="G2137" s="2026"/>
      <c r="H2137" s="2026"/>
      <c r="I2137" s="2026"/>
      <c r="J2137" s="2026"/>
      <c r="K2137" s="2026"/>
      <c r="L2137" s="2026"/>
      <c r="M2137" s="2026"/>
      <c r="N2137" s="2026"/>
      <c r="O2137" s="2026"/>
      <c r="P2137" s="2026"/>
      <c r="Q2137" s="2026"/>
      <c r="R2137" s="2026"/>
      <c r="S2137" s="2026"/>
      <c r="T2137" s="2026"/>
      <c r="U2137" s="2026"/>
      <c r="V2137" s="2026"/>
      <c r="W2137" s="2026"/>
      <c r="X2137" s="2026"/>
      <c r="Y2137" s="2026"/>
      <c r="Z2137" s="2026"/>
      <c r="AA2137" s="2026"/>
      <c r="AB2137" s="2026"/>
      <c r="AC2137" s="2026"/>
      <c r="AD2137" s="2035"/>
      <c r="AE2137" s="1041" t="s">
        <v>847</v>
      </c>
      <c r="AF2137" s="1045">
        <f>'01'!$M$13</f>
        <v>0</v>
      </c>
    </row>
    <row r="2138" spans="1:32" ht="16.5" thickBot="1" x14ac:dyDescent="0.25">
      <c r="A2138" s="2032"/>
      <c r="B2138" s="2033"/>
      <c r="C2138" s="2033"/>
      <c r="D2138" s="2034"/>
      <c r="E2138" s="2027"/>
      <c r="F2138" s="2028"/>
      <c r="G2138" s="2028"/>
      <c r="H2138" s="2028"/>
      <c r="I2138" s="2028"/>
      <c r="J2138" s="2028"/>
      <c r="K2138" s="2028"/>
      <c r="L2138" s="2028"/>
      <c r="M2138" s="2028"/>
      <c r="N2138" s="2028"/>
      <c r="O2138" s="2028"/>
      <c r="P2138" s="2028"/>
      <c r="Q2138" s="2028"/>
      <c r="R2138" s="2028"/>
      <c r="S2138" s="2028"/>
      <c r="T2138" s="2028"/>
      <c r="U2138" s="2028"/>
      <c r="V2138" s="2028"/>
      <c r="W2138" s="2028"/>
      <c r="X2138" s="2028"/>
      <c r="Y2138" s="2028"/>
      <c r="Z2138" s="2028"/>
      <c r="AA2138" s="2028"/>
      <c r="AB2138" s="2028"/>
      <c r="AC2138" s="2028"/>
      <c r="AD2138" s="2036"/>
      <c r="AE2138" s="1041" t="s">
        <v>1837</v>
      </c>
      <c r="AF2138" s="1042" t="s">
        <v>1838</v>
      </c>
    </row>
    <row r="2139" spans="1:32" ht="15.75" x14ac:dyDescent="0.25">
      <c r="A2139" s="2037" t="s">
        <v>1860</v>
      </c>
      <c r="B2139" s="2038"/>
      <c r="C2139" s="2038"/>
      <c r="D2139" s="2038"/>
      <c r="E2139" s="2038"/>
      <c r="F2139" s="2038"/>
      <c r="G2139" s="2038"/>
      <c r="H2139" s="2038"/>
      <c r="I2139" s="2038"/>
      <c r="J2139" s="2038"/>
      <c r="K2139" s="2038"/>
      <c r="L2139" s="2038"/>
      <c r="M2139" s="2038"/>
      <c r="N2139" s="2038"/>
      <c r="O2139" s="2038"/>
      <c r="P2139" s="2038"/>
      <c r="Q2139" s="2038"/>
      <c r="R2139" s="2038"/>
      <c r="S2139" s="2038"/>
      <c r="T2139" s="2038"/>
      <c r="U2139" s="2038"/>
      <c r="V2139" s="2038"/>
      <c r="W2139" s="2038"/>
      <c r="X2139" s="2038"/>
      <c r="Y2139" s="2038"/>
      <c r="Z2139" s="2038"/>
      <c r="AA2139" s="2038"/>
      <c r="AB2139" s="2038"/>
      <c r="AC2139" s="2038"/>
      <c r="AD2139" s="2038"/>
      <c r="AE2139" s="2039" t="s">
        <v>1839</v>
      </c>
      <c r="AF2139" s="2040"/>
    </row>
    <row r="2140" spans="1:32" ht="15.75" x14ac:dyDescent="0.25">
      <c r="A2140" s="2041" t="s">
        <v>1840</v>
      </c>
      <c r="B2140" s="2042"/>
      <c r="C2140" s="2042"/>
      <c r="D2140" s="2042"/>
      <c r="E2140" s="2042"/>
      <c r="F2140" s="2042"/>
      <c r="G2140" s="2042"/>
      <c r="H2140" s="2042"/>
      <c r="I2140" s="2042"/>
      <c r="J2140" s="2042"/>
      <c r="K2140" s="2042"/>
      <c r="L2140" s="2042"/>
      <c r="M2140" s="2042"/>
      <c r="N2140" s="2042"/>
      <c r="O2140" s="2042"/>
      <c r="P2140" s="2042"/>
      <c r="Q2140" s="2042"/>
      <c r="R2140" s="2042"/>
      <c r="S2140" s="2042"/>
      <c r="T2140" s="2042"/>
      <c r="U2140" s="2042"/>
      <c r="V2140" s="2042"/>
      <c r="W2140" s="2042"/>
      <c r="X2140" s="2042"/>
      <c r="Y2140" s="2042"/>
      <c r="Z2140" s="2042"/>
      <c r="AA2140" s="2042"/>
      <c r="AB2140" s="2042"/>
      <c r="AC2140" s="2042"/>
      <c r="AD2140" s="2043"/>
      <c r="AE2140" s="2014" t="s">
        <v>1841</v>
      </c>
      <c r="AF2140" s="2044"/>
    </row>
    <row r="2141" spans="1:32" ht="15.75" x14ac:dyDescent="0.25">
      <c r="A2141" s="2045" t="s">
        <v>1853</v>
      </c>
      <c r="B2141" s="2046"/>
      <c r="C2141" s="2046"/>
      <c r="D2141" s="2046"/>
      <c r="E2141" s="2046"/>
      <c r="F2141" s="2046"/>
      <c r="G2141" s="2046"/>
      <c r="H2141" s="2046"/>
      <c r="I2141" s="2046"/>
      <c r="J2141" s="2046"/>
      <c r="K2141" s="2046"/>
      <c r="L2141" s="2046"/>
      <c r="M2141" s="2046"/>
      <c r="N2141" s="2046"/>
      <c r="O2141" s="2046"/>
      <c r="P2141" s="2046"/>
      <c r="Q2141" s="2046"/>
      <c r="R2141" s="2046"/>
      <c r="S2141" s="2046"/>
      <c r="T2141" s="2046"/>
      <c r="U2141" s="2046"/>
      <c r="V2141" s="2046"/>
      <c r="W2141" s="2046"/>
      <c r="X2141" s="2046"/>
      <c r="Y2141" s="2046"/>
      <c r="Z2141" s="2046"/>
      <c r="AA2141" s="2046"/>
      <c r="AB2141" s="2046"/>
      <c r="AC2141" s="2046"/>
      <c r="AD2141" s="2046"/>
      <c r="AE2141" s="2047">
        <f>'01'!$M$13</f>
        <v>0</v>
      </c>
      <c r="AF2141" s="2044"/>
    </row>
    <row r="2142" spans="1:32" x14ac:dyDescent="0.2">
      <c r="A2142" s="1046"/>
      <c r="B2142" s="1047"/>
      <c r="C2142" s="1047"/>
      <c r="D2142" s="1047"/>
      <c r="E2142" s="1047"/>
      <c r="F2142" s="1047"/>
      <c r="G2142" s="1047"/>
      <c r="H2142" s="1047"/>
      <c r="I2142" s="1047"/>
      <c r="J2142" s="1047"/>
      <c r="K2142" s="1047"/>
      <c r="L2142" s="1047"/>
      <c r="M2142" s="1047"/>
      <c r="N2142" s="1047"/>
      <c r="O2142" s="1047"/>
      <c r="P2142" s="1047"/>
      <c r="Q2142" s="1047"/>
      <c r="R2142" s="1047"/>
      <c r="S2142" s="1047"/>
      <c r="T2142" s="1047"/>
      <c r="U2142" s="1047"/>
      <c r="V2142" s="1047"/>
      <c r="W2142" s="1047"/>
      <c r="X2142" s="1047"/>
      <c r="Y2142" s="1047"/>
      <c r="Z2142" s="1047"/>
      <c r="AA2142" s="1047"/>
      <c r="AB2142" s="1047"/>
      <c r="AC2142" s="1047"/>
      <c r="AD2142" s="1047"/>
      <c r="AE2142" s="1047"/>
      <c r="AF2142" s="1048"/>
    </row>
    <row r="2143" spans="1:32" ht="30" customHeight="1" x14ac:dyDescent="0.2">
      <c r="A2143" s="2048" t="s">
        <v>1842</v>
      </c>
      <c r="B2143" s="2049"/>
      <c r="C2143" s="2049"/>
      <c r="D2143" s="2049"/>
      <c r="E2143" s="2049"/>
      <c r="F2143" s="2050" t="str">
        <f>+'01'!$H$63</f>
        <v>C - FLOCULADOR, SEDIMENTADOR, CANAL DE AGUA SEDIMENTADA Y CANAL DE LAVADO</v>
      </c>
      <c r="G2143" s="2049"/>
      <c r="H2143" s="2049"/>
      <c r="I2143" s="2049"/>
      <c r="J2143" s="2049"/>
      <c r="K2143" s="2049"/>
      <c r="L2143" s="2049"/>
      <c r="M2143" s="2049"/>
      <c r="N2143" s="2049"/>
      <c r="O2143" s="2049"/>
      <c r="P2143" s="2049"/>
      <c r="Q2143" s="2049"/>
      <c r="R2143" s="2049"/>
      <c r="S2143" s="2049"/>
      <c r="T2143" s="2049"/>
      <c r="U2143" s="2049"/>
      <c r="V2143" s="2049"/>
      <c r="W2143" s="2049"/>
      <c r="X2143" s="2049"/>
      <c r="Y2143" s="2051"/>
      <c r="Z2143" s="2052" t="s">
        <v>1843</v>
      </c>
      <c r="AA2143" s="2053"/>
      <c r="AB2143" s="2058" t="s">
        <v>1844</v>
      </c>
      <c r="AC2143" s="2059"/>
      <c r="AD2143" s="2060"/>
      <c r="AE2143" s="2064" t="s">
        <v>1845</v>
      </c>
      <c r="AF2143" s="2067" t="s">
        <v>1846</v>
      </c>
    </row>
    <row r="2144" spans="1:32" ht="20.45" customHeight="1" x14ac:dyDescent="0.2">
      <c r="A2144" s="2070" t="str">
        <f>+'01'!A97</f>
        <v>C-08-12</v>
      </c>
      <c r="B2144" s="2071"/>
      <c r="C2144" s="2072"/>
      <c r="D2144" s="2076" t="str">
        <f>VLOOKUP(A2144,'01'!$A$12:$N$299,3,FALSE)</f>
        <v xml:space="preserve"> SUMINISTRO E INSTALACIÓN TUBERÍA DE RECOLECCIÓN DE AGUA SEDIMENTADA. TUBERÍA H.D. O PETROLERA DE DIÁMETRO 6". INCLUYE TODOS LOS ELEMENTOS PARA SU CORRECTA INSTALACIÓN Y FUNCIONAMIENTO. LA TUBERÍA TENDRÁ PERFORACIONES DE 3/4" SEGÚN DISEÑO. </v>
      </c>
      <c r="E2144" s="2077"/>
      <c r="F2144" s="2077"/>
      <c r="G2144" s="2077"/>
      <c r="H2144" s="2077"/>
      <c r="I2144" s="2077"/>
      <c r="J2144" s="2077"/>
      <c r="K2144" s="2077"/>
      <c r="L2144" s="2077"/>
      <c r="M2144" s="2077"/>
      <c r="N2144" s="2077"/>
      <c r="O2144" s="2077"/>
      <c r="P2144" s="2077"/>
      <c r="Q2144" s="2077"/>
      <c r="R2144" s="2077"/>
      <c r="S2144" s="2078"/>
      <c r="T2144" s="2082" t="s">
        <v>124</v>
      </c>
      <c r="U2144" s="2083"/>
      <c r="V2144" s="2083"/>
      <c r="W2144" s="2083"/>
      <c r="X2144" s="2052" t="str">
        <f>VLOOKUP(A2144,'01'!$A$12:$N$299,9,FALSE)</f>
        <v>UND</v>
      </c>
      <c r="Y2144" s="2053"/>
      <c r="Z2144" s="2054"/>
      <c r="AA2144" s="2055"/>
      <c r="AB2144" s="2061"/>
      <c r="AC2144" s="2062"/>
      <c r="AD2144" s="2063"/>
      <c r="AE2144" s="2065"/>
      <c r="AF2144" s="2068"/>
    </row>
    <row r="2145" spans="1:32" ht="25.15" customHeight="1" x14ac:dyDescent="0.25">
      <c r="A2145" s="2073"/>
      <c r="B2145" s="2074"/>
      <c r="C2145" s="2075"/>
      <c r="D2145" s="2079"/>
      <c r="E2145" s="2080"/>
      <c r="F2145" s="2080"/>
      <c r="G2145" s="2080"/>
      <c r="H2145" s="2080"/>
      <c r="I2145" s="2080"/>
      <c r="J2145" s="2080"/>
      <c r="K2145" s="2080"/>
      <c r="L2145" s="2080"/>
      <c r="M2145" s="2080"/>
      <c r="N2145" s="2080"/>
      <c r="O2145" s="2080"/>
      <c r="P2145" s="2080"/>
      <c r="Q2145" s="2080"/>
      <c r="R2145" s="2080"/>
      <c r="S2145" s="2081"/>
      <c r="T2145" s="2084"/>
      <c r="U2145" s="2085"/>
      <c r="V2145" s="2085"/>
      <c r="W2145" s="2085"/>
      <c r="X2145" s="2056"/>
      <c r="Y2145" s="2057"/>
      <c r="Z2145" s="2056"/>
      <c r="AA2145" s="2057"/>
      <c r="AB2145" s="1049" t="s">
        <v>1847</v>
      </c>
      <c r="AC2145" s="1049" t="s">
        <v>1848</v>
      </c>
      <c r="AD2145" s="1049" t="s">
        <v>1861</v>
      </c>
      <c r="AE2145" s="2066"/>
      <c r="AF2145" s="2069"/>
    </row>
    <row r="2146" spans="1:32" ht="15.6" customHeight="1" x14ac:dyDescent="0.25">
      <c r="A2146" s="2017"/>
      <c r="B2146" s="2018"/>
      <c r="C2146" s="2018"/>
      <c r="D2146" s="2018"/>
      <c r="E2146" s="2018"/>
      <c r="F2146" s="2018"/>
      <c r="G2146" s="2018"/>
      <c r="H2146" s="2018"/>
      <c r="I2146" s="2018"/>
      <c r="J2146" s="2018"/>
      <c r="K2146" s="2018"/>
      <c r="L2146" s="2018"/>
      <c r="M2146" s="2018"/>
      <c r="N2146" s="2018"/>
      <c r="O2146" s="2018"/>
      <c r="P2146" s="2018"/>
      <c r="Q2146" s="2018"/>
      <c r="R2146" s="2018"/>
      <c r="S2146" s="2018"/>
      <c r="T2146" s="2018"/>
      <c r="U2146" s="2018"/>
      <c r="V2146" s="2018"/>
      <c r="W2146" s="2018"/>
      <c r="X2146" s="2018"/>
      <c r="Y2146" s="2018"/>
      <c r="Z2146" s="2096" t="s">
        <v>2434</v>
      </c>
      <c r="AA2146" s="2097"/>
      <c r="AB2146" s="1050"/>
      <c r="AC2146" s="1050"/>
      <c r="AD2146" s="1050"/>
      <c r="AE2146" s="1050">
        <v>3</v>
      </c>
      <c r="AF2146" s="1052">
        <f>AE2146</f>
        <v>3</v>
      </c>
    </row>
    <row r="2147" spans="1:32" ht="15.6" customHeight="1" x14ac:dyDescent="0.25">
      <c r="A2147" s="2017"/>
      <c r="B2147" s="2018"/>
      <c r="C2147" s="2018"/>
      <c r="D2147" s="2018"/>
      <c r="E2147" s="2018"/>
      <c r="F2147" s="2018"/>
      <c r="G2147" s="2018"/>
      <c r="H2147" s="2018"/>
      <c r="I2147" s="2018"/>
      <c r="J2147" s="2018"/>
      <c r="K2147" s="2018"/>
      <c r="L2147" s="2018"/>
      <c r="M2147" s="2018"/>
      <c r="N2147" s="2018"/>
      <c r="O2147" s="2018"/>
      <c r="P2147" s="2018"/>
      <c r="Q2147" s="2018"/>
      <c r="R2147" s="2018"/>
      <c r="S2147" s="2018"/>
      <c r="T2147" s="2018"/>
      <c r="U2147" s="2018"/>
      <c r="V2147" s="2018"/>
      <c r="W2147" s="2018"/>
      <c r="X2147" s="2018"/>
      <c r="Y2147" s="2018"/>
      <c r="Z2147" s="2096" t="s">
        <v>2435</v>
      </c>
      <c r="AA2147" s="2097"/>
      <c r="AB2147" s="1050"/>
      <c r="AC2147" s="1050"/>
      <c r="AD2147" s="1050"/>
      <c r="AE2147" s="1050">
        <v>3</v>
      </c>
      <c r="AF2147" s="1052">
        <f t="shared" ref="AF2147" si="38">AE2147</f>
        <v>3</v>
      </c>
    </row>
    <row r="2148" spans="1:32" ht="15.75" x14ac:dyDescent="0.25">
      <c r="A2148" s="2017"/>
      <c r="B2148" s="2018"/>
      <c r="C2148" s="2018"/>
      <c r="D2148" s="2018"/>
      <c r="E2148" s="2018"/>
      <c r="F2148" s="2018"/>
      <c r="G2148" s="2018"/>
      <c r="H2148" s="2018"/>
      <c r="I2148" s="2018"/>
      <c r="J2148" s="2018"/>
      <c r="K2148" s="2018"/>
      <c r="L2148" s="2018"/>
      <c r="M2148" s="2018"/>
      <c r="N2148" s="2018"/>
      <c r="O2148" s="2018"/>
      <c r="P2148" s="2018"/>
      <c r="Q2148" s="2018"/>
      <c r="R2148" s="2018"/>
      <c r="S2148" s="2018"/>
      <c r="T2148" s="2018"/>
      <c r="U2148" s="2018"/>
      <c r="V2148" s="2018"/>
      <c r="W2148" s="2018"/>
      <c r="X2148" s="2018"/>
      <c r="Y2148" s="2018"/>
      <c r="Z2148" s="2096"/>
      <c r="AA2148" s="2097"/>
      <c r="AB2148" s="1050"/>
      <c r="AC2148" s="1050"/>
      <c r="AD2148" s="1050"/>
      <c r="AE2148" s="1050"/>
      <c r="AF2148" s="1052"/>
    </row>
    <row r="2149" spans="1:32" ht="15.75" x14ac:dyDescent="0.25">
      <c r="A2149" s="2017"/>
      <c r="B2149" s="2018"/>
      <c r="C2149" s="2018"/>
      <c r="D2149" s="2018"/>
      <c r="E2149" s="2018"/>
      <c r="F2149" s="2018"/>
      <c r="G2149" s="2018"/>
      <c r="H2149" s="2018"/>
      <c r="I2149" s="2018"/>
      <c r="J2149" s="2018"/>
      <c r="K2149" s="2018"/>
      <c r="L2149" s="2018"/>
      <c r="M2149" s="2018"/>
      <c r="N2149" s="2018"/>
      <c r="O2149" s="2018"/>
      <c r="P2149" s="2018"/>
      <c r="Q2149" s="2018"/>
      <c r="R2149" s="2018"/>
      <c r="S2149" s="2018"/>
      <c r="T2149" s="2018"/>
      <c r="U2149" s="2018"/>
      <c r="V2149" s="2018"/>
      <c r="W2149" s="2018"/>
      <c r="X2149" s="2018"/>
      <c r="Y2149" s="2018"/>
      <c r="Z2149" s="2096"/>
      <c r="AA2149" s="2097"/>
      <c r="AB2149" s="1050"/>
      <c r="AC2149" s="1050"/>
      <c r="AD2149" s="1050"/>
      <c r="AE2149" s="1050"/>
      <c r="AF2149" s="1052"/>
    </row>
    <row r="2150" spans="1:32" ht="15.75" x14ac:dyDescent="0.25">
      <c r="A2150" s="2017"/>
      <c r="B2150" s="2018"/>
      <c r="C2150" s="2018"/>
      <c r="D2150" s="2018"/>
      <c r="E2150" s="2018"/>
      <c r="F2150" s="2018"/>
      <c r="G2150" s="2018"/>
      <c r="H2150" s="2018"/>
      <c r="I2150" s="2018"/>
      <c r="J2150" s="2018"/>
      <c r="K2150" s="2018"/>
      <c r="L2150" s="2018"/>
      <c r="M2150" s="2018"/>
      <c r="N2150" s="2018"/>
      <c r="O2150" s="2018"/>
      <c r="P2150" s="2018"/>
      <c r="Q2150" s="2018"/>
      <c r="R2150" s="2018"/>
      <c r="S2150" s="2018"/>
      <c r="T2150" s="2018"/>
      <c r="U2150" s="2018"/>
      <c r="V2150" s="2018"/>
      <c r="W2150" s="2018"/>
      <c r="X2150" s="2018"/>
      <c r="Y2150" s="2018"/>
      <c r="Z2150" s="2096"/>
      <c r="AA2150" s="2097"/>
      <c r="AB2150" s="1050"/>
      <c r="AC2150" s="1050"/>
      <c r="AD2150" s="1050"/>
      <c r="AE2150" s="1050"/>
      <c r="AF2150" s="1052"/>
    </row>
    <row r="2151" spans="1:32" ht="15.75" x14ac:dyDescent="0.25">
      <c r="A2151" s="2017"/>
      <c r="B2151" s="2018"/>
      <c r="C2151" s="2018"/>
      <c r="D2151" s="2018"/>
      <c r="E2151" s="2018"/>
      <c r="F2151" s="2018"/>
      <c r="G2151" s="2018"/>
      <c r="H2151" s="2018"/>
      <c r="I2151" s="2018"/>
      <c r="J2151" s="2018"/>
      <c r="K2151" s="2018"/>
      <c r="L2151" s="2018"/>
      <c r="M2151" s="2018"/>
      <c r="N2151" s="2018"/>
      <c r="O2151" s="2018"/>
      <c r="P2151" s="2018"/>
      <c r="Q2151" s="2018"/>
      <c r="R2151" s="2018"/>
      <c r="S2151" s="2018"/>
      <c r="T2151" s="2018"/>
      <c r="U2151" s="2018"/>
      <c r="V2151" s="2018"/>
      <c r="W2151" s="2018"/>
      <c r="X2151" s="2018"/>
      <c r="Y2151" s="2018"/>
      <c r="Z2151" s="2096"/>
      <c r="AA2151" s="2097"/>
      <c r="AB2151" s="1050"/>
      <c r="AC2151" s="1050"/>
      <c r="AD2151" s="1050"/>
      <c r="AE2151" s="1050"/>
      <c r="AF2151" s="1052"/>
    </row>
    <row r="2152" spans="1:32" ht="15.75" x14ac:dyDescent="0.25">
      <c r="A2152" s="2017"/>
      <c r="B2152" s="2018"/>
      <c r="C2152" s="2018"/>
      <c r="D2152" s="2018"/>
      <c r="E2152" s="2018"/>
      <c r="F2152" s="2018"/>
      <c r="G2152" s="2018"/>
      <c r="H2152" s="2018"/>
      <c r="I2152" s="2018"/>
      <c r="J2152" s="2018"/>
      <c r="K2152" s="2018"/>
      <c r="L2152" s="2018"/>
      <c r="M2152" s="2018"/>
      <c r="N2152" s="2018"/>
      <c r="O2152" s="2018"/>
      <c r="P2152" s="2018"/>
      <c r="Q2152" s="2018"/>
      <c r="R2152" s="2018"/>
      <c r="S2152" s="2018"/>
      <c r="T2152" s="2018"/>
      <c r="U2152" s="2018"/>
      <c r="V2152" s="2018"/>
      <c r="W2152" s="2018"/>
      <c r="X2152" s="2018"/>
      <c r="Y2152" s="2018"/>
      <c r="Z2152" s="2105"/>
      <c r="AA2152" s="2105"/>
      <c r="AB2152" s="1050"/>
      <c r="AC2152" s="1050"/>
      <c r="AD2152" s="1050"/>
      <c r="AE2152" s="1050"/>
      <c r="AF2152" s="1052"/>
    </row>
    <row r="2153" spans="1:32" ht="15.75" x14ac:dyDescent="0.25">
      <c r="A2153" s="2017"/>
      <c r="B2153" s="2018"/>
      <c r="C2153" s="2018"/>
      <c r="D2153" s="2018"/>
      <c r="E2153" s="2018"/>
      <c r="F2153" s="2018"/>
      <c r="G2153" s="2018"/>
      <c r="H2153" s="2018"/>
      <c r="I2153" s="2018"/>
      <c r="J2153" s="2018"/>
      <c r="K2153" s="2018"/>
      <c r="L2153" s="2018"/>
      <c r="M2153" s="2018"/>
      <c r="N2153" s="2018"/>
      <c r="O2153" s="2018"/>
      <c r="P2153" s="2018"/>
      <c r="Q2153" s="2018"/>
      <c r="R2153" s="2018"/>
      <c r="S2153" s="2018"/>
      <c r="T2153" s="2018"/>
      <c r="U2153" s="2018"/>
      <c r="V2153" s="2018"/>
      <c r="W2153" s="2018"/>
      <c r="X2153" s="2018"/>
      <c r="Y2153" s="2018"/>
      <c r="Z2153" s="2105"/>
      <c r="AA2153" s="2105"/>
      <c r="AB2153" s="1050"/>
      <c r="AC2153" s="1050"/>
      <c r="AD2153" s="1050"/>
      <c r="AE2153" s="1050"/>
      <c r="AF2153" s="1052"/>
    </row>
    <row r="2154" spans="1:32" ht="15.75" x14ac:dyDescent="0.25">
      <c r="A2154" s="2017"/>
      <c r="B2154" s="2018"/>
      <c r="C2154" s="2018"/>
      <c r="D2154" s="2018"/>
      <c r="E2154" s="2018"/>
      <c r="F2154" s="2018"/>
      <c r="G2154" s="2018"/>
      <c r="H2154" s="2018"/>
      <c r="I2154" s="2018"/>
      <c r="J2154" s="2018"/>
      <c r="K2154" s="2018"/>
      <c r="L2154" s="2018"/>
      <c r="M2154" s="2018"/>
      <c r="N2154" s="2018"/>
      <c r="O2154" s="2018"/>
      <c r="P2154" s="2018"/>
      <c r="Q2154" s="2018"/>
      <c r="R2154" s="2018"/>
      <c r="S2154" s="2018"/>
      <c r="T2154" s="2018"/>
      <c r="U2154" s="2018"/>
      <c r="V2154" s="2018"/>
      <c r="W2154" s="2018"/>
      <c r="X2154" s="2018"/>
      <c r="Y2154" s="2018"/>
      <c r="Z2154" s="2105"/>
      <c r="AA2154" s="2105"/>
      <c r="AB2154" s="1050"/>
      <c r="AC2154" s="1050"/>
      <c r="AD2154" s="1050"/>
      <c r="AE2154" s="1050"/>
      <c r="AF2154" s="1052"/>
    </row>
    <row r="2155" spans="1:32" ht="15.75" x14ac:dyDescent="0.25">
      <c r="A2155" s="2017"/>
      <c r="B2155" s="2018"/>
      <c r="C2155" s="2018"/>
      <c r="D2155" s="2018"/>
      <c r="E2155" s="2018"/>
      <c r="F2155" s="2018"/>
      <c r="G2155" s="2018"/>
      <c r="H2155" s="2018"/>
      <c r="I2155" s="2018"/>
      <c r="J2155" s="2018"/>
      <c r="K2155" s="2018"/>
      <c r="L2155" s="2018"/>
      <c r="M2155" s="2018"/>
      <c r="N2155" s="2018"/>
      <c r="O2155" s="2018"/>
      <c r="P2155" s="2018"/>
      <c r="Q2155" s="2018"/>
      <c r="R2155" s="2018"/>
      <c r="S2155" s="2018"/>
      <c r="T2155" s="2018"/>
      <c r="U2155" s="2018"/>
      <c r="V2155" s="2018"/>
      <c r="W2155" s="2018"/>
      <c r="X2155" s="2018"/>
      <c r="Y2155" s="2018"/>
      <c r="Z2155" s="2105"/>
      <c r="AA2155" s="2105"/>
      <c r="AB2155" s="1050"/>
      <c r="AC2155" s="1050"/>
      <c r="AD2155" s="1050"/>
      <c r="AE2155" s="1050"/>
      <c r="AF2155" s="1052"/>
    </row>
    <row r="2156" spans="1:32" ht="15.75" x14ac:dyDescent="0.25">
      <c r="A2156" s="2017"/>
      <c r="B2156" s="2018"/>
      <c r="C2156" s="2018"/>
      <c r="D2156" s="2018"/>
      <c r="E2156" s="2018"/>
      <c r="F2156" s="2018"/>
      <c r="G2156" s="2018"/>
      <c r="H2156" s="2018"/>
      <c r="I2156" s="2018"/>
      <c r="J2156" s="2018"/>
      <c r="K2156" s="2018"/>
      <c r="L2156" s="2018"/>
      <c r="M2156" s="2018"/>
      <c r="N2156" s="2018"/>
      <c r="O2156" s="2018"/>
      <c r="P2156" s="2018"/>
      <c r="Q2156" s="2018"/>
      <c r="R2156" s="2018"/>
      <c r="S2156" s="2018"/>
      <c r="T2156" s="2018"/>
      <c r="U2156" s="2018"/>
      <c r="V2156" s="2018"/>
      <c r="W2156" s="2018"/>
      <c r="X2156" s="2018"/>
      <c r="Y2156" s="2018"/>
      <c r="Z2156" s="2105"/>
      <c r="AA2156" s="2105"/>
      <c r="AB2156" s="1050"/>
      <c r="AC2156" s="1050"/>
      <c r="AD2156" s="1050"/>
      <c r="AE2156" s="1050"/>
      <c r="AF2156" s="1052"/>
    </row>
    <row r="2157" spans="1:32" ht="15.75" x14ac:dyDescent="0.25">
      <c r="A2157" s="2017"/>
      <c r="B2157" s="2018"/>
      <c r="C2157" s="2018"/>
      <c r="D2157" s="2018"/>
      <c r="E2157" s="2018"/>
      <c r="F2157" s="2018"/>
      <c r="G2157" s="2018"/>
      <c r="H2157" s="2018"/>
      <c r="I2157" s="2018"/>
      <c r="J2157" s="2018"/>
      <c r="K2157" s="2018"/>
      <c r="L2157" s="2018"/>
      <c r="M2157" s="2018"/>
      <c r="N2157" s="2018"/>
      <c r="O2157" s="2018"/>
      <c r="P2157" s="2018"/>
      <c r="Q2157" s="2018"/>
      <c r="R2157" s="2018"/>
      <c r="S2157" s="2018"/>
      <c r="T2157" s="2018"/>
      <c r="U2157" s="2018"/>
      <c r="V2157" s="2018"/>
      <c r="W2157" s="2018"/>
      <c r="X2157" s="2018"/>
      <c r="Y2157" s="2018"/>
      <c r="Z2157" s="2105"/>
      <c r="AA2157" s="2105"/>
      <c r="AB2157" s="1050"/>
      <c r="AC2157" s="1050"/>
      <c r="AD2157" s="1050"/>
      <c r="AE2157" s="1050"/>
      <c r="AF2157" s="1052"/>
    </row>
    <row r="2158" spans="1:32" ht="15.75" x14ac:dyDescent="0.25">
      <c r="A2158" s="2017"/>
      <c r="B2158" s="2018"/>
      <c r="C2158" s="2018"/>
      <c r="D2158" s="2018"/>
      <c r="E2158" s="2018"/>
      <c r="F2158" s="2018"/>
      <c r="G2158" s="2018"/>
      <c r="H2158" s="2018"/>
      <c r="I2158" s="2018"/>
      <c r="J2158" s="2018"/>
      <c r="K2158" s="2018"/>
      <c r="L2158" s="2018"/>
      <c r="M2158" s="2018"/>
      <c r="N2158" s="2018"/>
      <c r="O2158" s="2018"/>
      <c r="P2158" s="2018"/>
      <c r="Q2158" s="2018"/>
      <c r="R2158" s="2018"/>
      <c r="S2158" s="2018"/>
      <c r="T2158" s="2018"/>
      <c r="U2158" s="2018"/>
      <c r="V2158" s="2018"/>
      <c r="W2158" s="2018"/>
      <c r="X2158" s="2018"/>
      <c r="Y2158" s="2018"/>
      <c r="Z2158" s="2105"/>
      <c r="AA2158" s="2105"/>
      <c r="AB2158" s="1050"/>
      <c r="AC2158" s="1050"/>
      <c r="AD2158" s="1050"/>
      <c r="AE2158" s="1050"/>
      <c r="AF2158" s="1052"/>
    </row>
    <row r="2159" spans="1:32" ht="15.75" x14ac:dyDescent="0.25">
      <c r="A2159" s="2017"/>
      <c r="B2159" s="2018"/>
      <c r="C2159" s="2018"/>
      <c r="D2159" s="2018"/>
      <c r="E2159" s="2018"/>
      <c r="F2159" s="2018"/>
      <c r="G2159" s="2018"/>
      <c r="H2159" s="2018"/>
      <c r="I2159" s="2018"/>
      <c r="J2159" s="2018"/>
      <c r="K2159" s="2018"/>
      <c r="L2159" s="2018"/>
      <c r="M2159" s="2018"/>
      <c r="N2159" s="2018"/>
      <c r="O2159" s="2018"/>
      <c r="P2159" s="2018"/>
      <c r="Q2159" s="2018"/>
      <c r="R2159" s="2018"/>
      <c r="S2159" s="2018"/>
      <c r="T2159" s="2018"/>
      <c r="U2159" s="2018"/>
      <c r="V2159" s="2018"/>
      <c r="W2159" s="2018"/>
      <c r="X2159" s="2018"/>
      <c r="Y2159" s="2018"/>
      <c r="Z2159" s="2022"/>
      <c r="AA2159" s="2022"/>
      <c r="AB2159" s="1050"/>
      <c r="AC2159" s="1050"/>
      <c r="AD2159" s="1050"/>
      <c r="AE2159" s="1050"/>
      <c r="AF2159" s="1052"/>
    </row>
    <row r="2160" spans="1:32" ht="15.75" x14ac:dyDescent="0.25">
      <c r="A2160" s="2017"/>
      <c r="B2160" s="2018"/>
      <c r="C2160" s="2018"/>
      <c r="D2160" s="2018"/>
      <c r="E2160" s="2018"/>
      <c r="F2160" s="2018"/>
      <c r="G2160" s="2018"/>
      <c r="H2160" s="2018"/>
      <c r="I2160" s="2018"/>
      <c r="J2160" s="2018"/>
      <c r="K2160" s="2018"/>
      <c r="L2160" s="2018"/>
      <c r="M2160" s="2018"/>
      <c r="N2160" s="2018"/>
      <c r="O2160" s="2018"/>
      <c r="P2160" s="2018"/>
      <c r="Q2160" s="2018"/>
      <c r="R2160" s="2018"/>
      <c r="S2160" s="2018"/>
      <c r="T2160" s="2018"/>
      <c r="U2160" s="2018"/>
      <c r="V2160" s="2018"/>
      <c r="W2160" s="2018"/>
      <c r="X2160" s="2018"/>
      <c r="Y2160" s="2018"/>
      <c r="Z2160" s="2022"/>
      <c r="AA2160" s="2022"/>
      <c r="AB2160" s="1050"/>
      <c r="AC2160" s="1050"/>
      <c r="AD2160" s="1050"/>
      <c r="AE2160" s="1050"/>
      <c r="AF2160" s="1052"/>
    </row>
    <row r="2161" spans="1:32" ht="15.75" x14ac:dyDescent="0.25">
      <c r="A2161" s="2017"/>
      <c r="B2161" s="2018"/>
      <c r="C2161" s="2018"/>
      <c r="D2161" s="2018"/>
      <c r="E2161" s="2018"/>
      <c r="F2161" s="2018"/>
      <c r="G2161" s="2018"/>
      <c r="H2161" s="2018"/>
      <c r="I2161" s="2018"/>
      <c r="J2161" s="2018"/>
      <c r="K2161" s="2018"/>
      <c r="L2161" s="2018"/>
      <c r="M2161" s="2018"/>
      <c r="N2161" s="2018"/>
      <c r="O2161" s="2018"/>
      <c r="P2161" s="2018"/>
      <c r="Q2161" s="2018"/>
      <c r="R2161" s="2018"/>
      <c r="S2161" s="2018"/>
      <c r="T2161" s="2018"/>
      <c r="U2161" s="2018"/>
      <c r="V2161" s="2018"/>
      <c r="W2161" s="2018"/>
      <c r="X2161" s="2018"/>
      <c r="Y2161" s="2018"/>
      <c r="Z2161" s="2022"/>
      <c r="AA2161" s="2022"/>
      <c r="AB2161" s="1050"/>
      <c r="AC2161" s="1050"/>
      <c r="AD2161" s="1050"/>
      <c r="AE2161" s="1050"/>
      <c r="AF2161" s="1052"/>
    </row>
    <row r="2162" spans="1:32" ht="15.75" x14ac:dyDescent="0.25">
      <c r="A2162" s="2017"/>
      <c r="B2162" s="2018"/>
      <c r="C2162" s="2018"/>
      <c r="D2162" s="2018"/>
      <c r="E2162" s="2018"/>
      <c r="F2162" s="2018"/>
      <c r="G2162" s="2018"/>
      <c r="H2162" s="2018"/>
      <c r="I2162" s="2018"/>
      <c r="J2162" s="2018"/>
      <c r="K2162" s="2018"/>
      <c r="L2162" s="2018"/>
      <c r="M2162" s="2018"/>
      <c r="N2162" s="2018"/>
      <c r="O2162" s="2018"/>
      <c r="P2162" s="2018"/>
      <c r="Q2162" s="2018"/>
      <c r="R2162" s="2018"/>
      <c r="S2162" s="2018"/>
      <c r="T2162" s="2018"/>
      <c r="U2162" s="2018"/>
      <c r="V2162" s="2018"/>
      <c r="W2162" s="2018"/>
      <c r="X2162" s="2018"/>
      <c r="Y2162" s="2018"/>
      <c r="Z2162" s="2022"/>
      <c r="AA2162" s="2022"/>
      <c r="AB2162" s="1050"/>
      <c r="AC2162" s="1050"/>
      <c r="AD2162" s="1050"/>
      <c r="AE2162" s="1050"/>
      <c r="AF2162" s="1052"/>
    </row>
    <row r="2163" spans="1:32" ht="15.75" x14ac:dyDescent="0.25">
      <c r="A2163" s="2017"/>
      <c r="B2163" s="2018"/>
      <c r="C2163" s="2018"/>
      <c r="D2163" s="2018"/>
      <c r="E2163" s="2018"/>
      <c r="F2163" s="2018"/>
      <c r="G2163" s="2018"/>
      <c r="H2163" s="2018"/>
      <c r="I2163" s="2018"/>
      <c r="J2163" s="2018"/>
      <c r="K2163" s="2018"/>
      <c r="L2163" s="2018"/>
      <c r="M2163" s="2018"/>
      <c r="N2163" s="2018"/>
      <c r="O2163" s="2018"/>
      <c r="P2163" s="2018"/>
      <c r="Q2163" s="2018"/>
      <c r="R2163" s="2018"/>
      <c r="S2163" s="2018"/>
      <c r="T2163" s="2018"/>
      <c r="U2163" s="2018"/>
      <c r="V2163" s="2018"/>
      <c r="W2163" s="2018"/>
      <c r="X2163" s="2018"/>
      <c r="Y2163" s="2018"/>
      <c r="Z2163" s="2023"/>
      <c r="AA2163" s="2023"/>
      <c r="AB2163" s="1050"/>
      <c r="AC2163" s="1050"/>
      <c r="AD2163" s="1050"/>
      <c r="AE2163" s="1050"/>
      <c r="AF2163" s="1052"/>
    </row>
    <row r="2164" spans="1:32" ht="15.75" x14ac:dyDescent="0.25">
      <c r="A2164" s="2017"/>
      <c r="B2164" s="2018"/>
      <c r="C2164" s="2018"/>
      <c r="D2164" s="2018"/>
      <c r="E2164" s="2018"/>
      <c r="F2164" s="2018"/>
      <c r="G2164" s="2018"/>
      <c r="H2164" s="2018"/>
      <c r="I2164" s="2018"/>
      <c r="J2164" s="2018"/>
      <c r="K2164" s="2018"/>
      <c r="L2164" s="2018"/>
      <c r="M2164" s="2018"/>
      <c r="N2164" s="2018"/>
      <c r="O2164" s="2018"/>
      <c r="P2164" s="2018"/>
      <c r="Q2164" s="2018"/>
      <c r="R2164" s="2018"/>
      <c r="S2164" s="2018"/>
      <c r="T2164" s="2018"/>
      <c r="U2164" s="2018"/>
      <c r="V2164" s="2018"/>
      <c r="W2164" s="2018"/>
      <c r="X2164" s="2018"/>
      <c r="Y2164" s="2018"/>
      <c r="Z2164" s="2023"/>
      <c r="AA2164" s="2023"/>
      <c r="AB2164" s="1050"/>
      <c r="AC2164" s="1050"/>
      <c r="AD2164" s="1050"/>
      <c r="AE2164" s="1050"/>
      <c r="AF2164" s="1052"/>
    </row>
    <row r="2165" spans="1:32" ht="15.75" x14ac:dyDescent="0.25">
      <c r="A2165" s="2017"/>
      <c r="B2165" s="2018"/>
      <c r="C2165" s="2018"/>
      <c r="D2165" s="2018"/>
      <c r="E2165" s="2018"/>
      <c r="F2165" s="2018"/>
      <c r="G2165" s="2018"/>
      <c r="H2165" s="2018"/>
      <c r="I2165" s="2018"/>
      <c r="J2165" s="2018"/>
      <c r="K2165" s="2018"/>
      <c r="L2165" s="2018"/>
      <c r="M2165" s="2018"/>
      <c r="N2165" s="2018"/>
      <c r="O2165" s="2018"/>
      <c r="P2165" s="2018"/>
      <c r="Q2165" s="2018"/>
      <c r="R2165" s="2018"/>
      <c r="S2165" s="2018"/>
      <c r="T2165" s="2018"/>
      <c r="U2165" s="2018"/>
      <c r="V2165" s="2018"/>
      <c r="W2165" s="2018"/>
      <c r="X2165" s="2018"/>
      <c r="Y2165" s="2018"/>
      <c r="Z2165" s="2023"/>
      <c r="AA2165" s="2023"/>
      <c r="AB2165" s="1050"/>
      <c r="AC2165" s="1050"/>
      <c r="AD2165" s="1050"/>
      <c r="AE2165" s="1050"/>
      <c r="AF2165" s="1052"/>
    </row>
    <row r="2166" spans="1:32" ht="15.75" x14ac:dyDescent="0.25">
      <c r="A2166" s="2017"/>
      <c r="B2166" s="2018"/>
      <c r="C2166" s="2018"/>
      <c r="D2166" s="2018"/>
      <c r="E2166" s="2018"/>
      <c r="F2166" s="2018"/>
      <c r="G2166" s="2018"/>
      <c r="H2166" s="2018"/>
      <c r="I2166" s="2018"/>
      <c r="J2166" s="2018"/>
      <c r="K2166" s="2018"/>
      <c r="L2166" s="2018"/>
      <c r="M2166" s="2018"/>
      <c r="N2166" s="2018"/>
      <c r="O2166" s="2018"/>
      <c r="P2166" s="2018"/>
      <c r="Q2166" s="2018"/>
      <c r="R2166" s="2018"/>
      <c r="S2166" s="2018"/>
      <c r="T2166" s="2018"/>
      <c r="U2166" s="2018"/>
      <c r="V2166" s="2018"/>
      <c r="W2166" s="2018"/>
      <c r="X2166" s="2018"/>
      <c r="Y2166" s="2018"/>
      <c r="Z2166" s="2023"/>
      <c r="AA2166" s="2023"/>
      <c r="AB2166" s="1050"/>
      <c r="AC2166" s="1050"/>
      <c r="AD2166" s="1050"/>
      <c r="AE2166" s="1050"/>
      <c r="AF2166" s="1052"/>
    </row>
    <row r="2167" spans="1:32" ht="15.75" x14ac:dyDescent="0.25">
      <c r="A2167" s="2017"/>
      <c r="B2167" s="2018"/>
      <c r="C2167" s="2018"/>
      <c r="D2167" s="2018"/>
      <c r="E2167" s="2018"/>
      <c r="F2167" s="2018"/>
      <c r="G2167" s="2018"/>
      <c r="H2167" s="2018"/>
      <c r="I2167" s="2018"/>
      <c r="J2167" s="2018"/>
      <c r="K2167" s="2018"/>
      <c r="L2167" s="2018"/>
      <c r="M2167" s="2018"/>
      <c r="N2167" s="2018"/>
      <c r="O2167" s="2018"/>
      <c r="P2167" s="2018"/>
      <c r="Q2167" s="2018"/>
      <c r="R2167" s="2018"/>
      <c r="S2167" s="2018"/>
      <c r="T2167" s="2018"/>
      <c r="U2167" s="2018"/>
      <c r="V2167" s="2018"/>
      <c r="W2167" s="2018"/>
      <c r="X2167" s="2018"/>
      <c r="Y2167" s="2018"/>
      <c r="Z2167" s="2023"/>
      <c r="AA2167" s="2023"/>
      <c r="AB2167" s="1050"/>
      <c r="AC2167" s="1050"/>
      <c r="AD2167" s="1050"/>
      <c r="AE2167" s="1050"/>
      <c r="AF2167" s="1052"/>
    </row>
    <row r="2168" spans="1:32" ht="15.75" x14ac:dyDescent="0.25">
      <c r="A2168" s="2017"/>
      <c r="B2168" s="2018"/>
      <c r="C2168" s="2018"/>
      <c r="D2168" s="2018"/>
      <c r="E2168" s="2018"/>
      <c r="F2168" s="2018"/>
      <c r="G2168" s="2018"/>
      <c r="H2168" s="2018"/>
      <c r="I2168" s="2018"/>
      <c r="J2168" s="2018"/>
      <c r="K2168" s="2018"/>
      <c r="L2168" s="2018"/>
      <c r="M2168" s="2018"/>
      <c r="N2168" s="2018"/>
      <c r="O2168" s="2018"/>
      <c r="P2168" s="2018"/>
      <c r="Q2168" s="2018"/>
      <c r="R2168" s="2018"/>
      <c r="S2168" s="2018"/>
      <c r="T2168" s="2018"/>
      <c r="U2168" s="2018"/>
      <c r="V2168" s="2018"/>
      <c r="W2168" s="2018"/>
      <c r="X2168" s="2018"/>
      <c r="Y2168" s="2018"/>
      <c r="Z2168" s="2023"/>
      <c r="AA2168" s="2023"/>
      <c r="AB2168" s="1050"/>
      <c r="AC2168" s="1050"/>
      <c r="AD2168" s="1050"/>
      <c r="AE2168" s="1050"/>
      <c r="AF2168" s="1052"/>
    </row>
    <row r="2169" spans="1:32" ht="16.5" thickBot="1" x14ac:dyDescent="0.3">
      <c r="A2169" s="2019"/>
      <c r="B2169" s="2020"/>
      <c r="C2169" s="2020"/>
      <c r="D2169" s="2020"/>
      <c r="E2169" s="2020"/>
      <c r="F2169" s="2020"/>
      <c r="G2169" s="2020"/>
      <c r="H2169" s="2020"/>
      <c r="I2169" s="2020"/>
      <c r="J2169" s="2020"/>
      <c r="K2169" s="2020"/>
      <c r="L2169" s="2020"/>
      <c r="M2169" s="2020"/>
      <c r="N2169" s="2020"/>
      <c r="O2169" s="2020"/>
      <c r="P2169" s="2020"/>
      <c r="Q2169" s="2020"/>
      <c r="R2169" s="2020"/>
      <c r="S2169" s="2020"/>
      <c r="T2169" s="2020"/>
      <c r="U2169" s="2020"/>
      <c r="V2169" s="2020"/>
      <c r="W2169" s="2020"/>
      <c r="X2169" s="2020"/>
      <c r="Y2169" s="2020"/>
      <c r="Z2169" s="2024"/>
      <c r="AA2169" s="2024"/>
      <c r="AB2169" s="1057"/>
      <c r="AC2169" s="1057"/>
      <c r="AD2169" s="1057"/>
      <c r="AE2169" s="1057"/>
      <c r="AF2169" s="1058"/>
    </row>
    <row r="2170" spans="1:32" ht="15.75" x14ac:dyDescent="0.25">
      <c r="A2170" s="2009" t="s">
        <v>1855</v>
      </c>
      <c r="B2170" s="2010"/>
      <c r="C2170" s="2010"/>
      <c r="D2170" s="2010"/>
      <c r="E2170" s="2010"/>
      <c r="F2170" s="2010"/>
      <c r="G2170" s="2010"/>
      <c r="H2170" s="2010"/>
      <c r="I2170" s="2010"/>
      <c r="J2170" s="2010"/>
      <c r="K2170" s="2010"/>
      <c r="L2170" s="2010"/>
      <c r="M2170" s="2010"/>
      <c r="N2170" s="2010"/>
      <c r="O2170" s="2010"/>
      <c r="P2170" s="2010"/>
      <c r="Q2170" s="2010"/>
      <c r="R2170" s="2010"/>
      <c r="S2170" s="2010"/>
      <c r="T2170" s="2010"/>
      <c r="U2170" s="2010"/>
      <c r="V2170" s="2010"/>
      <c r="W2170" s="2010"/>
      <c r="X2170" s="2010"/>
      <c r="Y2170" s="2010"/>
      <c r="Z2170" s="2013" t="s">
        <v>1850</v>
      </c>
      <c r="AA2170" s="2013"/>
      <c r="AB2170" s="2013"/>
      <c r="AC2170" s="2013"/>
      <c r="AD2170" s="2013"/>
      <c r="AE2170" s="2013"/>
      <c r="AF2170" s="1059">
        <f>SUM(AF2146:AF2169)</f>
        <v>6</v>
      </c>
    </row>
    <row r="2171" spans="1:32" ht="15.75" x14ac:dyDescent="0.25">
      <c r="A2171" s="2011"/>
      <c r="B2171" s="2012"/>
      <c r="C2171" s="2012"/>
      <c r="D2171" s="2012"/>
      <c r="E2171" s="2012"/>
      <c r="F2171" s="2012"/>
      <c r="G2171" s="2012"/>
      <c r="H2171" s="2012"/>
      <c r="I2171" s="2012"/>
      <c r="J2171" s="2012"/>
      <c r="K2171" s="2012"/>
      <c r="L2171" s="2012"/>
      <c r="M2171" s="2012"/>
      <c r="N2171" s="2012"/>
      <c r="O2171" s="2012"/>
      <c r="P2171" s="2012"/>
      <c r="Q2171" s="2012"/>
      <c r="R2171" s="2012"/>
      <c r="S2171" s="2012"/>
      <c r="T2171" s="2012"/>
      <c r="U2171" s="2012"/>
      <c r="V2171" s="2012"/>
      <c r="W2171" s="2012"/>
      <c r="X2171" s="2012"/>
      <c r="Y2171" s="2012"/>
      <c r="Z2171" s="2014" t="s">
        <v>1851</v>
      </c>
      <c r="AA2171" s="2014"/>
      <c r="AB2171" s="2014"/>
      <c r="AC2171" s="2014"/>
      <c r="AD2171" s="2014"/>
      <c r="AE2171" s="2014"/>
      <c r="AF2171" s="1060">
        <v>0</v>
      </c>
    </row>
    <row r="2172" spans="1:32" ht="15.75" x14ac:dyDescent="0.25">
      <c r="A2172" s="2011"/>
      <c r="B2172" s="2012"/>
      <c r="C2172" s="2012"/>
      <c r="D2172" s="2012"/>
      <c r="E2172" s="2012"/>
      <c r="F2172" s="2012"/>
      <c r="G2172" s="2012"/>
      <c r="H2172" s="2012"/>
      <c r="I2172" s="2012"/>
      <c r="J2172" s="2012"/>
      <c r="K2172" s="2012"/>
      <c r="L2172" s="2012"/>
      <c r="M2172" s="2012"/>
      <c r="N2172" s="2012"/>
      <c r="O2172" s="2012"/>
      <c r="P2172" s="2012"/>
      <c r="Q2172" s="2012"/>
      <c r="R2172" s="2012"/>
      <c r="S2172" s="2012"/>
      <c r="T2172" s="2012"/>
      <c r="U2172" s="2012"/>
      <c r="V2172" s="2012"/>
      <c r="W2172" s="2012"/>
      <c r="X2172" s="2012"/>
      <c r="Y2172" s="2012"/>
      <c r="Z2172" s="2015" t="s">
        <v>1833</v>
      </c>
      <c r="AA2172" s="2015"/>
      <c r="AB2172" s="2015"/>
      <c r="AC2172" s="2015"/>
      <c r="AD2172" s="2015"/>
      <c r="AE2172" s="2015"/>
      <c r="AF2172" s="1061">
        <f>SUM(AF2170:AF2171)</f>
        <v>6</v>
      </c>
    </row>
    <row r="2173" spans="1:32" x14ac:dyDescent="0.2">
      <c r="A2173" s="2012" t="s">
        <v>1859</v>
      </c>
      <c r="B2173" s="2012"/>
      <c r="C2173" s="2012"/>
      <c r="D2173" s="2012"/>
      <c r="E2173" s="2012"/>
      <c r="F2173" s="2012"/>
      <c r="G2173" s="2012"/>
      <c r="H2173" s="2012"/>
      <c r="I2173" s="2012"/>
      <c r="J2173" s="2012"/>
      <c r="K2173" s="2012"/>
      <c r="L2173" s="2012"/>
      <c r="M2173" s="2012"/>
      <c r="N2173" s="2012"/>
      <c r="O2173" s="2012"/>
      <c r="P2173" s="2012"/>
      <c r="Q2173" s="2012"/>
      <c r="R2173" s="2012"/>
      <c r="S2173" s="2012"/>
      <c r="T2173" s="2016" t="s">
        <v>1840</v>
      </c>
      <c r="U2173" s="2016"/>
      <c r="V2173" s="2016"/>
      <c r="W2173" s="2016"/>
      <c r="X2173" s="2016"/>
      <c r="Y2173" s="2016"/>
      <c r="Z2173" s="2016"/>
      <c r="AA2173" s="2016"/>
      <c r="AB2173" s="2012" t="s">
        <v>1852</v>
      </c>
      <c r="AC2173" s="2012"/>
      <c r="AD2173" s="2012"/>
      <c r="AE2173" s="2012"/>
      <c r="AF2173" s="2012"/>
    </row>
    <row r="2174" spans="1:32" x14ac:dyDescent="0.2">
      <c r="A2174" s="2012"/>
      <c r="B2174" s="2012"/>
      <c r="C2174" s="2012"/>
      <c r="D2174" s="2012"/>
      <c r="E2174" s="2012"/>
      <c r="F2174" s="2012"/>
      <c r="G2174" s="2012"/>
      <c r="H2174" s="2012"/>
      <c r="I2174" s="2012"/>
      <c r="J2174" s="2012"/>
      <c r="K2174" s="2012"/>
      <c r="L2174" s="2012"/>
      <c r="M2174" s="2012"/>
      <c r="N2174" s="2012"/>
      <c r="O2174" s="2012"/>
      <c r="P2174" s="2012"/>
      <c r="Q2174" s="2012"/>
      <c r="R2174" s="2012"/>
      <c r="S2174" s="2012"/>
      <c r="T2174" s="2016"/>
      <c r="U2174" s="2016"/>
      <c r="V2174" s="2016"/>
      <c r="W2174" s="2016"/>
      <c r="X2174" s="2016"/>
      <c r="Y2174" s="2016"/>
      <c r="Z2174" s="2016"/>
      <c r="AA2174" s="2016"/>
      <c r="AB2174" s="2012"/>
      <c r="AC2174" s="2012"/>
      <c r="AD2174" s="2012"/>
      <c r="AE2174" s="2012"/>
      <c r="AF2174" s="2012"/>
    </row>
    <row r="2175" spans="1:32" ht="13.5" thickBot="1" x14ac:dyDescent="0.25"/>
    <row r="2176" spans="1:32" ht="26.45" customHeight="1" x14ac:dyDescent="0.2">
      <c r="A2176" s="2025" t="s">
        <v>1854</v>
      </c>
      <c r="B2176" s="2026"/>
      <c r="C2176" s="2026"/>
      <c r="D2176" s="2026"/>
      <c r="E2176" s="2026"/>
      <c r="F2176" s="2026"/>
      <c r="G2176" s="2026"/>
      <c r="H2176" s="2026"/>
      <c r="I2176" s="2026"/>
      <c r="J2176" s="2026"/>
      <c r="K2176" s="2026"/>
      <c r="L2176" s="2026"/>
      <c r="M2176" s="2026"/>
      <c r="N2176" s="2026"/>
      <c r="O2176" s="2026"/>
      <c r="P2176" s="2026"/>
      <c r="Q2176" s="2026"/>
      <c r="R2176" s="2026"/>
      <c r="S2176" s="2026"/>
      <c r="T2176" s="2026"/>
      <c r="U2176" s="2026"/>
      <c r="V2176" s="2026"/>
      <c r="W2176" s="2026"/>
      <c r="X2176" s="2026"/>
      <c r="Y2176" s="2026"/>
      <c r="Z2176" s="2026"/>
      <c r="AA2176" s="2026"/>
      <c r="AB2176" s="2026"/>
      <c r="AC2176" s="2026"/>
      <c r="AD2176" s="2026"/>
      <c r="AE2176" s="1041" t="s">
        <v>1834</v>
      </c>
      <c r="AF2176" s="1042" t="s">
        <v>1835</v>
      </c>
    </row>
    <row r="2177" spans="1:32" ht="21" customHeight="1" thickBot="1" x14ac:dyDescent="0.25">
      <c r="A2177" s="2027"/>
      <c r="B2177" s="2028"/>
      <c r="C2177" s="2028"/>
      <c r="D2177" s="2028"/>
      <c r="E2177" s="2028"/>
      <c r="F2177" s="2028"/>
      <c r="G2177" s="2028"/>
      <c r="H2177" s="2028"/>
      <c r="I2177" s="2028"/>
      <c r="J2177" s="2028"/>
      <c r="K2177" s="2028"/>
      <c r="L2177" s="2028"/>
      <c r="M2177" s="2028"/>
      <c r="N2177" s="2028"/>
      <c r="O2177" s="2028"/>
      <c r="P2177" s="2028"/>
      <c r="Q2177" s="2028"/>
      <c r="R2177" s="2028"/>
      <c r="S2177" s="2028"/>
      <c r="T2177" s="2028"/>
      <c r="U2177" s="2028"/>
      <c r="V2177" s="2028"/>
      <c r="W2177" s="2028"/>
      <c r="X2177" s="2028"/>
      <c r="Y2177" s="2028"/>
      <c r="Z2177" s="2028"/>
      <c r="AA2177" s="2028"/>
      <c r="AB2177" s="2028"/>
      <c r="AC2177" s="2028"/>
      <c r="AD2177" s="2028"/>
      <c r="AE2177" s="1041" t="s">
        <v>1836</v>
      </c>
      <c r="AF2177" s="1044">
        <v>1</v>
      </c>
    </row>
    <row r="2178" spans="1:32" ht="15.75" x14ac:dyDescent="0.2">
      <c r="A2178" s="2029"/>
      <c r="B2178" s="2030"/>
      <c r="C2178" s="2030"/>
      <c r="D2178" s="2031"/>
      <c r="E2178" s="2025" t="str">
        <f>'01'!$A$12</f>
        <v>"CONSTRUCCION SISTEMA DE ACUEDUCTO FASE II DEL MUNICIPIO DE TESALIA DPTO DEL HUILA"</v>
      </c>
      <c r="F2178" s="2026"/>
      <c r="G2178" s="2026"/>
      <c r="H2178" s="2026"/>
      <c r="I2178" s="2026"/>
      <c r="J2178" s="2026"/>
      <c r="K2178" s="2026"/>
      <c r="L2178" s="2026"/>
      <c r="M2178" s="2026"/>
      <c r="N2178" s="2026"/>
      <c r="O2178" s="2026"/>
      <c r="P2178" s="2026"/>
      <c r="Q2178" s="2026"/>
      <c r="R2178" s="2026"/>
      <c r="S2178" s="2026"/>
      <c r="T2178" s="2026"/>
      <c r="U2178" s="2026"/>
      <c r="V2178" s="2026"/>
      <c r="W2178" s="2026"/>
      <c r="X2178" s="2026"/>
      <c r="Y2178" s="2026"/>
      <c r="Z2178" s="2026"/>
      <c r="AA2178" s="2026"/>
      <c r="AB2178" s="2026"/>
      <c r="AC2178" s="2026"/>
      <c r="AD2178" s="2035"/>
      <c r="AE2178" s="1041" t="s">
        <v>847</v>
      </c>
      <c r="AF2178" s="1045">
        <f>'01'!$M$13</f>
        <v>0</v>
      </c>
    </row>
    <row r="2179" spans="1:32" ht="16.5" thickBot="1" x14ac:dyDescent="0.25">
      <c r="A2179" s="2032"/>
      <c r="B2179" s="2033"/>
      <c r="C2179" s="2033"/>
      <c r="D2179" s="2034"/>
      <c r="E2179" s="2027"/>
      <c r="F2179" s="2028"/>
      <c r="G2179" s="2028"/>
      <c r="H2179" s="2028"/>
      <c r="I2179" s="2028"/>
      <c r="J2179" s="2028"/>
      <c r="K2179" s="2028"/>
      <c r="L2179" s="2028"/>
      <c r="M2179" s="2028"/>
      <c r="N2179" s="2028"/>
      <c r="O2179" s="2028"/>
      <c r="P2179" s="2028"/>
      <c r="Q2179" s="2028"/>
      <c r="R2179" s="2028"/>
      <c r="S2179" s="2028"/>
      <c r="T2179" s="2028"/>
      <c r="U2179" s="2028"/>
      <c r="V2179" s="2028"/>
      <c r="W2179" s="2028"/>
      <c r="X2179" s="2028"/>
      <c r="Y2179" s="2028"/>
      <c r="Z2179" s="2028"/>
      <c r="AA2179" s="2028"/>
      <c r="AB2179" s="2028"/>
      <c r="AC2179" s="2028"/>
      <c r="AD2179" s="2036"/>
      <c r="AE2179" s="1041" t="s">
        <v>1837</v>
      </c>
      <c r="AF2179" s="1042" t="s">
        <v>1838</v>
      </c>
    </row>
    <row r="2180" spans="1:32" ht="15.75" x14ac:dyDescent="0.25">
      <c r="A2180" s="2037" t="s">
        <v>1860</v>
      </c>
      <c r="B2180" s="2038"/>
      <c r="C2180" s="2038"/>
      <c r="D2180" s="2038"/>
      <c r="E2180" s="2038"/>
      <c r="F2180" s="2038"/>
      <c r="G2180" s="2038"/>
      <c r="H2180" s="2038"/>
      <c r="I2180" s="2038"/>
      <c r="J2180" s="2038"/>
      <c r="K2180" s="2038"/>
      <c r="L2180" s="2038"/>
      <c r="M2180" s="2038"/>
      <c r="N2180" s="2038"/>
      <c r="O2180" s="2038"/>
      <c r="P2180" s="2038"/>
      <c r="Q2180" s="2038"/>
      <c r="R2180" s="2038"/>
      <c r="S2180" s="2038"/>
      <c r="T2180" s="2038"/>
      <c r="U2180" s="2038"/>
      <c r="V2180" s="2038"/>
      <c r="W2180" s="2038"/>
      <c r="X2180" s="2038"/>
      <c r="Y2180" s="2038"/>
      <c r="Z2180" s="2038"/>
      <c r="AA2180" s="2038"/>
      <c r="AB2180" s="2038"/>
      <c r="AC2180" s="2038"/>
      <c r="AD2180" s="2038"/>
      <c r="AE2180" s="2039" t="s">
        <v>1839</v>
      </c>
      <c r="AF2180" s="2040"/>
    </row>
    <row r="2181" spans="1:32" ht="15.75" x14ac:dyDescent="0.25">
      <c r="A2181" s="2041" t="s">
        <v>1840</v>
      </c>
      <c r="B2181" s="2042"/>
      <c r="C2181" s="2042"/>
      <c r="D2181" s="2042"/>
      <c r="E2181" s="2042"/>
      <c r="F2181" s="2042"/>
      <c r="G2181" s="2042"/>
      <c r="H2181" s="2042"/>
      <c r="I2181" s="2042"/>
      <c r="J2181" s="2042"/>
      <c r="K2181" s="2042"/>
      <c r="L2181" s="2042"/>
      <c r="M2181" s="2042"/>
      <c r="N2181" s="2042"/>
      <c r="O2181" s="2042"/>
      <c r="P2181" s="2042"/>
      <c r="Q2181" s="2042"/>
      <c r="R2181" s="2042"/>
      <c r="S2181" s="2042"/>
      <c r="T2181" s="2042"/>
      <c r="U2181" s="2042"/>
      <c r="V2181" s="2042"/>
      <c r="W2181" s="2042"/>
      <c r="X2181" s="2042"/>
      <c r="Y2181" s="2042"/>
      <c r="Z2181" s="2042"/>
      <c r="AA2181" s="2042"/>
      <c r="AB2181" s="2042"/>
      <c r="AC2181" s="2042"/>
      <c r="AD2181" s="2043"/>
      <c r="AE2181" s="2014" t="s">
        <v>1841</v>
      </c>
      <c r="AF2181" s="2044"/>
    </row>
    <row r="2182" spans="1:32" ht="15.75" x14ac:dyDescent="0.25">
      <c r="A2182" s="2045" t="s">
        <v>1853</v>
      </c>
      <c r="B2182" s="2046"/>
      <c r="C2182" s="2046"/>
      <c r="D2182" s="2046"/>
      <c r="E2182" s="2046"/>
      <c r="F2182" s="2046"/>
      <c r="G2182" s="2046"/>
      <c r="H2182" s="2046"/>
      <c r="I2182" s="2046"/>
      <c r="J2182" s="2046"/>
      <c r="K2182" s="2046"/>
      <c r="L2182" s="2046"/>
      <c r="M2182" s="2046"/>
      <c r="N2182" s="2046"/>
      <c r="O2182" s="2046"/>
      <c r="P2182" s="2046"/>
      <c r="Q2182" s="2046"/>
      <c r="R2182" s="2046"/>
      <c r="S2182" s="2046"/>
      <c r="T2182" s="2046"/>
      <c r="U2182" s="2046"/>
      <c r="V2182" s="2046"/>
      <c r="W2182" s="2046"/>
      <c r="X2182" s="2046"/>
      <c r="Y2182" s="2046"/>
      <c r="Z2182" s="2046"/>
      <c r="AA2182" s="2046"/>
      <c r="AB2182" s="2046"/>
      <c r="AC2182" s="2046"/>
      <c r="AD2182" s="2046"/>
      <c r="AE2182" s="2047">
        <f>'01'!$M$13</f>
        <v>0</v>
      </c>
      <c r="AF2182" s="2044"/>
    </row>
    <row r="2183" spans="1:32" x14ac:dyDescent="0.2">
      <c r="A2183" s="1046"/>
      <c r="B2183" s="1047"/>
      <c r="C2183" s="1047"/>
      <c r="D2183" s="1047"/>
      <c r="E2183" s="1047"/>
      <c r="F2183" s="1047"/>
      <c r="G2183" s="1047"/>
      <c r="H2183" s="1047"/>
      <c r="I2183" s="1047"/>
      <c r="J2183" s="1047"/>
      <c r="K2183" s="1047"/>
      <c r="L2183" s="1047"/>
      <c r="M2183" s="1047"/>
      <c r="N2183" s="1047"/>
      <c r="O2183" s="1047"/>
      <c r="P2183" s="1047"/>
      <c r="Q2183" s="1047"/>
      <c r="R2183" s="1047"/>
      <c r="S2183" s="1047"/>
      <c r="T2183" s="1047"/>
      <c r="U2183" s="1047"/>
      <c r="V2183" s="1047"/>
      <c r="W2183" s="1047"/>
      <c r="X2183" s="1047"/>
      <c r="Y2183" s="1047"/>
      <c r="Z2183" s="1047"/>
      <c r="AA2183" s="1047"/>
      <c r="AB2183" s="1047"/>
      <c r="AC2183" s="1047"/>
      <c r="AD2183" s="1047"/>
      <c r="AE2183" s="1047"/>
      <c r="AF2183" s="1048"/>
    </row>
    <row r="2184" spans="1:32" ht="30" customHeight="1" x14ac:dyDescent="0.2">
      <c r="A2184" s="2048" t="s">
        <v>1842</v>
      </c>
      <c r="B2184" s="2049"/>
      <c r="C2184" s="2049"/>
      <c r="D2184" s="2049"/>
      <c r="E2184" s="2049"/>
      <c r="F2184" s="2050" t="str">
        <f>+'01'!$H$63</f>
        <v>C - FLOCULADOR, SEDIMENTADOR, CANAL DE AGUA SEDIMENTADA Y CANAL DE LAVADO</v>
      </c>
      <c r="G2184" s="2049"/>
      <c r="H2184" s="2049"/>
      <c r="I2184" s="2049"/>
      <c r="J2184" s="2049"/>
      <c r="K2184" s="2049"/>
      <c r="L2184" s="2049"/>
      <c r="M2184" s="2049"/>
      <c r="N2184" s="2049"/>
      <c r="O2184" s="2049"/>
      <c r="P2184" s="2049"/>
      <c r="Q2184" s="2049"/>
      <c r="R2184" s="2049"/>
      <c r="S2184" s="2049"/>
      <c r="T2184" s="2049"/>
      <c r="U2184" s="2049"/>
      <c r="V2184" s="2049"/>
      <c r="W2184" s="2049"/>
      <c r="X2184" s="2049"/>
      <c r="Y2184" s="2051"/>
      <c r="Z2184" s="2052" t="s">
        <v>1843</v>
      </c>
      <c r="AA2184" s="2053"/>
      <c r="AB2184" s="2058" t="s">
        <v>1844</v>
      </c>
      <c r="AC2184" s="2059"/>
      <c r="AD2184" s="2060"/>
      <c r="AE2184" s="2064" t="s">
        <v>1845</v>
      </c>
      <c r="AF2184" s="2067" t="s">
        <v>1846</v>
      </c>
    </row>
    <row r="2185" spans="1:32" ht="20.45" customHeight="1" x14ac:dyDescent="0.2">
      <c r="A2185" s="2070" t="str">
        <f>+'01'!A98</f>
        <v>C-08-13</v>
      </c>
      <c r="B2185" s="2071"/>
      <c r="C2185" s="2072"/>
      <c r="D2185" s="2076" t="str">
        <f>VLOOKUP(A2185,'01'!$A$12:$N$299,3,FALSE)</f>
        <v>FALSO FONDO EN FIBRA DE VIDRIO DE ESPESOR 0.02 METROS CON ORIFICOS DE 0.10 METROS CADA 0.30 METROS.</v>
      </c>
      <c r="E2185" s="2077"/>
      <c r="F2185" s="2077"/>
      <c r="G2185" s="2077"/>
      <c r="H2185" s="2077"/>
      <c r="I2185" s="2077"/>
      <c r="J2185" s="2077"/>
      <c r="K2185" s="2077"/>
      <c r="L2185" s="2077"/>
      <c r="M2185" s="2077"/>
      <c r="N2185" s="2077"/>
      <c r="O2185" s="2077"/>
      <c r="P2185" s="2077"/>
      <c r="Q2185" s="2077"/>
      <c r="R2185" s="2077"/>
      <c r="S2185" s="2078"/>
      <c r="T2185" s="2082" t="s">
        <v>124</v>
      </c>
      <c r="U2185" s="2083"/>
      <c r="V2185" s="2083"/>
      <c r="W2185" s="2083"/>
      <c r="X2185" s="2052" t="str">
        <f>VLOOKUP(A2185,'01'!$A$12:$N$299,9,FALSE)</f>
        <v>M2</v>
      </c>
      <c r="Y2185" s="2053"/>
      <c r="Z2185" s="2054"/>
      <c r="AA2185" s="2055"/>
      <c r="AB2185" s="2061"/>
      <c r="AC2185" s="2062"/>
      <c r="AD2185" s="2063"/>
      <c r="AE2185" s="2065"/>
      <c r="AF2185" s="2068"/>
    </row>
    <row r="2186" spans="1:32" ht="25.15" customHeight="1" x14ac:dyDescent="0.25">
      <c r="A2186" s="2073"/>
      <c r="B2186" s="2074"/>
      <c r="C2186" s="2075"/>
      <c r="D2186" s="2079"/>
      <c r="E2186" s="2080"/>
      <c r="F2186" s="2080"/>
      <c r="G2186" s="2080"/>
      <c r="H2186" s="2080"/>
      <c r="I2186" s="2080"/>
      <c r="J2186" s="2080"/>
      <c r="K2186" s="2080"/>
      <c r="L2186" s="2080"/>
      <c r="M2186" s="2080"/>
      <c r="N2186" s="2080"/>
      <c r="O2186" s="2080"/>
      <c r="P2186" s="2080"/>
      <c r="Q2186" s="2080"/>
      <c r="R2186" s="2080"/>
      <c r="S2186" s="2081"/>
      <c r="T2186" s="2084"/>
      <c r="U2186" s="2085"/>
      <c r="V2186" s="2085"/>
      <c r="W2186" s="2085"/>
      <c r="X2186" s="2056"/>
      <c r="Y2186" s="2057"/>
      <c r="Z2186" s="2056"/>
      <c r="AA2186" s="2057"/>
      <c r="AB2186" s="1049" t="s">
        <v>1847</v>
      </c>
      <c r="AC2186" s="1049" t="s">
        <v>1848</v>
      </c>
      <c r="AD2186" s="1049" t="s">
        <v>1861</v>
      </c>
      <c r="AE2186" s="2066"/>
      <c r="AF2186" s="2069"/>
    </row>
    <row r="2187" spans="1:32" ht="15.6" customHeight="1" x14ac:dyDescent="0.25">
      <c r="A2187" s="2017"/>
      <c r="B2187" s="2018"/>
      <c r="C2187" s="2018"/>
      <c r="D2187" s="2018"/>
      <c r="E2187" s="2018"/>
      <c r="F2187" s="2018"/>
      <c r="G2187" s="2018"/>
      <c r="H2187" s="2018"/>
      <c r="I2187" s="2018"/>
      <c r="J2187" s="2018"/>
      <c r="K2187" s="2018"/>
      <c r="L2187" s="2018"/>
      <c r="M2187" s="2018"/>
      <c r="N2187" s="2018"/>
      <c r="O2187" s="2018"/>
      <c r="P2187" s="2018"/>
      <c r="Q2187" s="2018"/>
      <c r="R2187" s="2018"/>
      <c r="S2187" s="2018"/>
      <c r="T2187" s="2018"/>
      <c r="U2187" s="2018"/>
      <c r="V2187" s="2018"/>
      <c r="W2187" s="2018"/>
      <c r="X2187" s="2018"/>
      <c r="Y2187" s="2018"/>
      <c r="Z2187" s="2096" t="s">
        <v>2436</v>
      </c>
      <c r="AA2187" s="2097"/>
      <c r="AB2187" s="1050">
        <v>1.67</v>
      </c>
      <c r="AC2187" s="1050">
        <v>1.3</v>
      </c>
      <c r="AD2187" s="1050"/>
      <c r="AE2187" s="1050">
        <v>4</v>
      </c>
      <c r="AF2187" s="1052">
        <f>+ROUND(AB2187*AC2187*AE2187,2)</f>
        <v>8.68</v>
      </c>
    </row>
    <row r="2188" spans="1:32" ht="15.6" customHeight="1" x14ac:dyDescent="0.25">
      <c r="A2188" s="2017"/>
      <c r="B2188" s="2018"/>
      <c r="C2188" s="2018"/>
      <c r="D2188" s="2018"/>
      <c r="E2188" s="2018"/>
      <c r="F2188" s="2018"/>
      <c r="G2188" s="2018"/>
      <c r="H2188" s="2018"/>
      <c r="I2188" s="2018"/>
      <c r="J2188" s="2018"/>
      <c r="K2188" s="2018"/>
      <c r="L2188" s="2018"/>
      <c r="M2188" s="2018"/>
      <c r="N2188" s="2018"/>
      <c r="O2188" s="2018"/>
      <c r="P2188" s="2018"/>
      <c r="Q2188" s="2018"/>
      <c r="R2188" s="2018"/>
      <c r="S2188" s="2018"/>
      <c r="T2188" s="2018"/>
      <c r="U2188" s="2018"/>
      <c r="V2188" s="2018"/>
      <c r="W2188" s="2018"/>
      <c r="X2188" s="2018"/>
      <c r="Y2188" s="2018"/>
      <c r="Z2188" s="2096"/>
      <c r="AA2188" s="2097"/>
      <c r="AB2188" s="1050"/>
      <c r="AC2188" s="1050"/>
      <c r="AD2188" s="1050"/>
      <c r="AE2188" s="1050"/>
      <c r="AF2188" s="1052"/>
    </row>
    <row r="2189" spans="1:32" ht="15.75" x14ac:dyDescent="0.25">
      <c r="A2189" s="2017"/>
      <c r="B2189" s="2018"/>
      <c r="C2189" s="2018"/>
      <c r="D2189" s="2018"/>
      <c r="E2189" s="2018"/>
      <c r="F2189" s="2018"/>
      <c r="G2189" s="2018"/>
      <c r="H2189" s="2018"/>
      <c r="I2189" s="2018"/>
      <c r="J2189" s="2018"/>
      <c r="K2189" s="2018"/>
      <c r="L2189" s="2018"/>
      <c r="M2189" s="2018"/>
      <c r="N2189" s="2018"/>
      <c r="O2189" s="2018"/>
      <c r="P2189" s="2018"/>
      <c r="Q2189" s="2018"/>
      <c r="R2189" s="2018"/>
      <c r="S2189" s="2018"/>
      <c r="T2189" s="2018"/>
      <c r="U2189" s="2018"/>
      <c r="V2189" s="2018"/>
      <c r="W2189" s="2018"/>
      <c r="X2189" s="2018"/>
      <c r="Y2189" s="2018"/>
      <c r="Z2189" s="2096"/>
      <c r="AA2189" s="2097"/>
      <c r="AB2189" s="1050"/>
      <c r="AC2189" s="1050"/>
      <c r="AD2189" s="1050"/>
      <c r="AE2189" s="1050"/>
      <c r="AF2189" s="1052"/>
    </row>
    <row r="2190" spans="1:32" ht="15.75" x14ac:dyDescent="0.25">
      <c r="A2190" s="2017"/>
      <c r="B2190" s="2018"/>
      <c r="C2190" s="2018"/>
      <c r="D2190" s="2018"/>
      <c r="E2190" s="2018"/>
      <c r="F2190" s="2018"/>
      <c r="G2190" s="2018"/>
      <c r="H2190" s="2018"/>
      <c r="I2190" s="2018"/>
      <c r="J2190" s="2018"/>
      <c r="K2190" s="2018"/>
      <c r="L2190" s="2018"/>
      <c r="M2190" s="2018"/>
      <c r="N2190" s="2018"/>
      <c r="O2190" s="2018"/>
      <c r="P2190" s="2018"/>
      <c r="Q2190" s="2018"/>
      <c r="R2190" s="2018"/>
      <c r="S2190" s="2018"/>
      <c r="T2190" s="2018"/>
      <c r="U2190" s="2018"/>
      <c r="V2190" s="2018"/>
      <c r="W2190" s="2018"/>
      <c r="X2190" s="2018"/>
      <c r="Y2190" s="2018"/>
      <c r="Z2190" s="2096"/>
      <c r="AA2190" s="2097"/>
      <c r="AB2190" s="1050"/>
      <c r="AC2190" s="1050"/>
      <c r="AD2190" s="1050"/>
      <c r="AE2190" s="1050"/>
      <c r="AF2190" s="1052"/>
    </row>
    <row r="2191" spans="1:32" ht="15.75" x14ac:dyDescent="0.25">
      <c r="A2191" s="2017"/>
      <c r="B2191" s="2018"/>
      <c r="C2191" s="2018"/>
      <c r="D2191" s="2018"/>
      <c r="E2191" s="2018"/>
      <c r="F2191" s="2018"/>
      <c r="G2191" s="2018"/>
      <c r="H2191" s="2018"/>
      <c r="I2191" s="2018"/>
      <c r="J2191" s="2018"/>
      <c r="K2191" s="2018"/>
      <c r="L2191" s="2018"/>
      <c r="M2191" s="2018"/>
      <c r="N2191" s="2018"/>
      <c r="O2191" s="2018"/>
      <c r="P2191" s="2018"/>
      <c r="Q2191" s="2018"/>
      <c r="R2191" s="2018"/>
      <c r="S2191" s="2018"/>
      <c r="T2191" s="2018"/>
      <c r="U2191" s="2018"/>
      <c r="V2191" s="2018"/>
      <c r="W2191" s="2018"/>
      <c r="X2191" s="2018"/>
      <c r="Y2191" s="2018"/>
      <c r="Z2191" s="2096"/>
      <c r="AA2191" s="2097"/>
      <c r="AB2191" s="1050"/>
      <c r="AC2191" s="1050"/>
      <c r="AD2191" s="1050"/>
      <c r="AE2191" s="1050"/>
      <c r="AF2191" s="1052"/>
    </row>
    <row r="2192" spans="1:32" ht="15.75" x14ac:dyDescent="0.25">
      <c r="A2192" s="2017"/>
      <c r="B2192" s="2018"/>
      <c r="C2192" s="2018"/>
      <c r="D2192" s="2018"/>
      <c r="E2192" s="2018"/>
      <c r="F2192" s="2018"/>
      <c r="G2192" s="2018"/>
      <c r="H2192" s="2018"/>
      <c r="I2192" s="2018"/>
      <c r="J2192" s="2018"/>
      <c r="K2192" s="2018"/>
      <c r="L2192" s="2018"/>
      <c r="M2192" s="2018"/>
      <c r="N2192" s="2018"/>
      <c r="O2192" s="2018"/>
      <c r="P2192" s="2018"/>
      <c r="Q2192" s="2018"/>
      <c r="R2192" s="2018"/>
      <c r="S2192" s="2018"/>
      <c r="T2192" s="2018"/>
      <c r="U2192" s="2018"/>
      <c r="V2192" s="2018"/>
      <c r="W2192" s="2018"/>
      <c r="X2192" s="2018"/>
      <c r="Y2192" s="2018"/>
      <c r="Z2192" s="2096"/>
      <c r="AA2192" s="2097"/>
      <c r="AB2192" s="1050"/>
      <c r="AC2192" s="1050"/>
      <c r="AD2192" s="1050"/>
      <c r="AE2192" s="1050"/>
      <c r="AF2192" s="1052"/>
    </row>
    <row r="2193" spans="1:32" ht="15.75" x14ac:dyDescent="0.25">
      <c r="A2193" s="2017"/>
      <c r="B2193" s="2018"/>
      <c r="C2193" s="2018"/>
      <c r="D2193" s="2018"/>
      <c r="E2193" s="2018"/>
      <c r="F2193" s="2018"/>
      <c r="G2193" s="2018"/>
      <c r="H2193" s="2018"/>
      <c r="I2193" s="2018"/>
      <c r="J2193" s="2018"/>
      <c r="K2193" s="2018"/>
      <c r="L2193" s="2018"/>
      <c r="M2193" s="2018"/>
      <c r="N2193" s="2018"/>
      <c r="O2193" s="2018"/>
      <c r="P2193" s="2018"/>
      <c r="Q2193" s="2018"/>
      <c r="R2193" s="2018"/>
      <c r="S2193" s="2018"/>
      <c r="T2193" s="2018"/>
      <c r="U2193" s="2018"/>
      <c r="V2193" s="2018"/>
      <c r="W2193" s="2018"/>
      <c r="X2193" s="2018"/>
      <c r="Y2193" s="2018"/>
      <c r="Z2193" s="2105"/>
      <c r="AA2193" s="2105"/>
      <c r="AB2193" s="1050"/>
      <c r="AC2193" s="1050"/>
      <c r="AD2193" s="1050"/>
      <c r="AE2193" s="1050"/>
      <c r="AF2193" s="1052"/>
    </row>
    <row r="2194" spans="1:32" ht="15.75" x14ac:dyDescent="0.25">
      <c r="A2194" s="2017"/>
      <c r="B2194" s="2018"/>
      <c r="C2194" s="2018"/>
      <c r="D2194" s="2018"/>
      <c r="E2194" s="2018"/>
      <c r="F2194" s="2018"/>
      <c r="G2194" s="2018"/>
      <c r="H2194" s="2018"/>
      <c r="I2194" s="2018"/>
      <c r="J2194" s="2018"/>
      <c r="K2194" s="2018"/>
      <c r="L2194" s="2018"/>
      <c r="M2194" s="2018"/>
      <c r="N2194" s="2018"/>
      <c r="O2194" s="2018"/>
      <c r="P2194" s="2018"/>
      <c r="Q2194" s="2018"/>
      <c r="R2194" s="2018"/>
      <c r="S2194" s="2018"/>
      <c r="T2194" s="2018"/>
      <c r="U2194" s="2018"/>
      <c r="V2194" s="2018"/>
      <c r="W2194" s="2018"/>
      <c r="X2194" s="2018"/>
      <c r="Y2194" s="2018"/>
      <c r="Z2194" s="2105"/>
      <c r="AA2194" s="2105"/>
      <c r="AB2194" s="1050"/>
      <c r="AC2194" s="1050"/>
      <c r="AD2194" s="1050"/>
      <c r="AE2194" s="1050"/>
      <c r="AF2194" s="1052"/>
    </row>
    <row r="2195" spans="1:32" ht="15.75" x14ac:dyDescent="0.25">
      <c r="A2195" s="2017"/>
      <c r="B2195" s="2018"/>
      <c r="C2195" s="2018"/>
      <c r="D2195" s="2018"/>
      <c r="E2195" s="2018"/>
      <c r="F2195" s="2018"/>
      <c r="G2195" s="2018"/>
      <c r="H2195" s="2018"/>
      <c r="I2195" s="2018"/>
      <c r="J2195" s="2018"/>
      <c r="K2195" s="2018"/>
      <c r="L2195" s="2018"/>
      <c r="M2195" s="2018"/>
      <c r="N2195" s="2018"/>
      <c r="O2195" s="2018"/>
      <c r="P2195" s="2018"/>
      <c r="Q2195" s="2018"/>
      <c r="R2195" s="2018"/>
      <c r="S2195" s="2018"/>
      <c r="T2195" s="2018"/>
      <c r="U2195" s="2018"/>
      <c r="V2195" s="2018"/>
      <c r="W2195" s="2018"/>
      <c r="X2195" s="2018"/>
      <c r="Y2195" s="2018"/>
      <c r="Z2195" s="2105"/>
      <c r="AA2195" s="2105"/>
      <c r="AB2195" s="1050"/>
      <c r="AC2195" s="1050"/>
      <c r="AD2195" s="1050"/>
      <c r="AE2195" s="1050"/>
      <c r="AF2195" s="1052"/>
    </row>
    <row r="2196" spans="1:32" ht="15.75" x14ac:dyDescent="0.25">
      <c r="A2196" s="2017"/>
      <c r="B2196" s="2018"/>
      <c r="C2196" s="2018"/>
      <c r="D2196" s="2018"/>
      <c r="E2196" s="2018"/>
      <c r="F2196" s="2018"/>
      <c r="G2196" s="2018"/>
      <c r="H2196" s="2018"/>
      <c r="I2196" s="2018"/>
      <c r="J2196" s="2018"/>
      <c r="K2196" s="2018"/>
      <c r="L2196" s="2018"/>
      <c r="M2196" s="2018"/>
      <c r="N2196" s="2018"/>
      <c r="O2196" s="2018"/>
      <c r="P2196" s="2018"/>
      <c r="Q2196" s="2018"/>
      <c r="R2196" s="2018"/>
      <c r="S2196" s="2018"/>
      <c r="T2196" s="2018"/>
      <c r="U2196" s="2018"/>
      <c r="V2196" s="2018"/>
      <c r="W2196" s="2018"/>
      <c r="X2196" s="2018"/>
      <c r="Y2196" s="2018"/>
      <c r="Z2196" s="2105"/>
      <c r="AA2196" s="2105"/>
      <c r="AB2196" s="1050"/>
      <c r="AC2196" s="1050"/>
      <c r="AD2196" s="1050"/>
      <c r="AE2196" s="1050"/>
      <c r="AF2196" s="1052"/>
    </row>
    <row r="2197" spans="1:32" ht="15.75" x14ac:dyDescent="0.25">
      <c r="A2197" s="2017"/>
      <c r="B2197" s="2018"/>
      <c r="C2197" s="2018"/>
      <c r="D2197" s="2018"/>
      <c r="E2197" s="2018"/>
      <c r="F2197" s="2018"/>
      <c r="G2197" s="2018"/>
      <c r="H2197" s="2018"/>
      <c r="I2197" s="2018"/>
      <c r="J2197" s="2018"/>
      <c r="K2197" s="2018"/>
      <c r="L2197" s="2018"/>
      <c r="M2197" s="2018"/>
      <c r="N2197" s="2018"/>
      <c r="O2197" s="2018"/>
      <c r="P2197" s="2018"/>
      <c r="Q2197" s="2018"/>
      <c r="R2197" s="2018"/>
      <c r="S2197" s="2018"/>
      <c r="T2197" s="2018"/>
      <c r="U2197" s="2018"/>
      <c r="V2197" s="2018"/>
      <c r="W2197" s="2018"/>
      <c r="X2197" s="2018"/>
      <c r="Y2197" s="2018"/>
      <c r="Z2197" s="2105"/>
      <c r="AA2197" s="2105"/>
      <c r="AB2197" s="1050"/>
      <c r="AC2197" s="1050"/>
      <c r="AD2197" s="1050"/>
      <c r="AE2197" s="1050"/>
      <c r="AF2197" s="1052"/>
    </row>
    <row r="2198" spans="1:32" ht="15.75" x14ac:dyDescent="0.25">
      <c r="A2198" s="2017"/>
      <c r="B2198" s="2018"/>
      <c r="C2198" s="2018"/>
      <c r="D2198" s="2018"/>
      <c r="E2198" s="2018"/>
      <c r="F2198" s="2018"/>
      <c r="G2198" s="2018"/>
      <c r="H2198" s="2018"/>
      <c r="I2198" s="2018"/>
      <c r="J2198" s="2018"/>
      <c r="K2198" s="2018"/>
      <c r="L2198" s="2018"/>
      <c r="M2198" s="2018"/>
      <c r="N2198" s="2018"/>
      <c r="O2198" s="2018"/>
      <c r="P2198" s="2018"/>
      <c r="Q2198" s="2018"/>
      <c r="R2198" s="2018"/>
      <c r="S2198" s="2018"/>
      <c r="T2198" s="2018"/>
      <c r="U2198" s="2018"/>
      <c r="V2198" s="2018"/>
      <c r="W2198" s="2018"/>
      <c r="X2198" s="2018"/>
      <c r="Y2198" s="2018"/>
      <c r="Z2198" s="2105"/>
      <c r="AA2198" s="2105"/>
      <c r="AB2198" s="1050"/>
      <c r="AC2198" s="1050"/>
      <c r="AD2198" s="1050"/>
      <c r="AE2198" s="1050"/>
      <c r="AF2198" s="1052"/>
    </row>
    <row r="2199" spans="1:32" ht="15.75" x14ac:dyDescent="0.25">
      <c r="A2199" s="2017"/>
      <c r="B2199" s="2018"/>
      <c r="C2199" s="2018"/>
      <c r="D2199" s="2018"/>
      <c r="E2199" s="2018"/>
      <c r="F2199" s="2018"/>
      <c r="G2199" s="2018"/>
      <c r="H2199" s="2018"/>
      <c r="I2199" s="2018"/>
      <c r="J2199" s="2018"/>
      <c r="K2199" s="2018"/>
      <c r="L2199" s="2018"/>
      <c r="M2199" s="2018"/>
      <c r="N2199" s="2018"/>
      <c r="O2199" s="2018"/>
      <c r="P2199" s="2018"/>
      <c r="Q2199" s="2018"/>
      <c r="R2199" s="2018"/>
      <c r="S2199" s="2018"/>
      <c r="T2199" s="2018"/>
      <c r="U2199" s="2018"/>
      <c r="V2199" s="2018"/>
      <c r="W2199" s="2018"/>
      <c r="X2199" s="2018"/>
      <c r="Y2199" s="2018"/>
      <c r="Z2199" s="2105"/>
      <c r="AA2199" s="2105"/>
      <c r="AB2199" s="1050"/>
      <c r="AC2199" s="1050"/>
      <c r="AD2199" s="1050"/>
      <c r="AE2199" s="1050"/>
      <c r="AF2199" s="1052"/>
    </row>
    <row r="2200" spans="1:32" ht="15.75" x14ac:dyDescent="0.25">
      <c r="A2200" s="2017"/>
      <c r="B2200" s="2018"/>
      <c r="C2200" s="2018"/>
      <c r="D2200" s="2018"/>
      <c r="E2200" s="2018"/>
      <c r="F2200" s="2018"/>
      <c r="G2200" s="2018"/>
      <c r="H2200" s="2018"/>
      <c r="I2200" s="2018"/>
      <c r="J2200" s="2018"/>
      <c r="K2200" s="2018"/>
      <c r="L2200" s="2018"/>
      <c r="M2200" s="2018"/>
      <c r="N2200" s="2018"/>
      <c r="O2200" s="2018"/>
      <c r="P2200" s="2018"/>
      <c r="Q2200" s="2018"/>
      <c r="R2200" s="2018"/>
      <c r="S2200" s="2018"/>
      <c r="T2200" s="2018"/>
      <c r="U2200" s="2018"/>
      <c r="V2200" s="2018"/>
      <c r="W2200" s="2018"/>
      <c r="X2200" s="2018"/>
      <c r="Y2200" s="2018"/>
      <c r="Z2200" s="2022"/>
      <c r="AA2200" s="2022"/>
      <c r="AB2200" s="1050"/>
      <c r="AC2200" s="1050"/>
      <c r="AD2200" s="1050"/>
      <c r="AE2200" s="1050"/>
      <c r="AF2200" s="1052"/>
    </row>
    <row r="2201" spans="1:32" ht="15.75" x14ac:dyDescent="0.25">
      <c r="A2201" s="2017"/>
      <c r="B2201" s="2018"/>
      <c r="C2201" s="2018"/>
      <c r="D2201" s="2018"/>
      <c r="E2201" s="2018"/>
      <c r="F2201" s="2018"/>
      <c r="G2201" s="2018"/>
      <c r="H2201" s="2018"/>
      <c r="I2201" s="2018"/>
      <c r="J2201" s="2018"/>
      <c r="K2201" s="2018"/>
      <c r="L2201" s="2018"/>
      <c r="M2201" s="2018"/>
      <c r="N2201" s="2018"/>
      <c r="O2201" s="2018"/>
      <c r="P2201" s="2018"/>
      <c r="Q2201" s="2018"/>
      <c r="R2201" s="2018"/>
      <c r="S2201" s="2018"/>
      <c r="T2201" s="2018"/>
      <c r="U2201" s="2018"/>
      <c r="V2201" s="2018"/>
      <c r="W2201" s="2018"/>
      <c r="X2201" s="2018"/>
      <c r="Y2201" s="2018"/>
      <c r="Z2201" s="2022"/>
      <c r="AA2201" s="2022"/>
      <c r="AB2201" s="1050"/>
      <c r="AC2201" s="1050"/>
      <c r="AD2201" s="1050"/>
      <c r="AE2201" s="1050"/>
      <c r="AF2201" s="1052"/>
    </row>
    <row r="2202" spans="1:32" ht="15.75" x14ac:dyDescent="0.25">
      <c r="A2202" s="2017"/>
      <c r="B2202" s="2018"/>
      <c r="C2202" s="2018"/>
      <c r="D2202" s="2018"/>
      <c r="E2202" s="2018"/>
      <c r="F2202" s="2018"/>
      <c r="G2202" s="2018"/>
      <c r="H2202" s="2018"/>
      <c r="I2202" s="2018"/>
      <c r="J2202" s="2018"/>
      <c r="K2202" s="2018"/>
      <c r="L2202" s="2018"/>
      <c r="M2202" s="2018"/>
      <c r="N2202" s="2018"/>
      <c r="O2202" s="2018"/>
      <c r="P2202" s="2018"/>
      <c r="Q2202" s="2018"/>
      <c r="R2202" s="2018"/>
      <c r="S2202" s="2018"/>
      <c r="T2202" s="2018"/>
      <c r="U2202" s="2018"/>
      <c r="V2202" s="2018"/>
      <c r="W2202" s="2018"/>
      <c r="X2202" s="2018"/>
      <c r="Y2202" s="2018"/>
      <c r="Z2202" s="2022"/>
      <c r="AA2202" s="2022"/>
      <c r="AB2202" s="1050"/>
      <c r="AC2202" s="1050"/>
      <c r="AD2202" s="1050"/>
      <c r="AE2202" s="1050"/>
      <c r="AF2202" s="1052"/>
    </row>
    <row r="2203" spans="1:32" ht="15.75" x14ac:dyDescent="0.25">
      <c r="A2203" s="2017"/>
      <c r="B2203" s="2018"/>
      <c r="C2203" s="2018"/>
      <c r="D2203" s="2018"/>
      <c r="E2203" s="2018"/>
      <c r="F2203" s="2018"/>
      <c r="G2203" s="2018"/>
      <c r="H2203" s="2018"/>
      <c r="I2203" s="2018"/>
      <c r="J2203" s="2018"/>
      <c r="K2203" s="2018"/>
      <c r="L2203" s="2018"/>
      <c r="M2203" s="2018"/>
      <c r="N2203" s="2018"/>
      <c r="O2203" s="2018"/>
      <c r="P2203" s="2018"/>
      <c r="Q2203" s="2018"/>
      <c r="R2203" s="2018"/>
      <c r="S2203" s="2018"/>
      <c r="T2203" s="2018"/>
      <c r="U2203" s="2018"/>
      <c r="V2203" s="2018"/>
      <c r="W2203" s="2018"/>
      <c r="X2203" s="2018"/>
      <c r="Y2203" s="2018"/>
      <c r="Z2203" s="2022"/>
      <c r="AA2203" s="2022"/>
      <c r="AB2203" s="1050"/>
      <c r="AC2203" s="1050"/>
      <c r="AD2203" s="1050"/>
      <c r="AE2203" s="1050"/>
      <c r="AF2203" s="1052"/>
    </row>
    <row r="2204" spans="1:32" ht="15.75" x14ac:dyDescent="0.25">
      <c r="A2204" s="2017"/>
      <c r="B2204" s="2018"/>
      <c r="C2204" s="2018"/>
      <c r="D2204" s="2018"/>
      <c r="E2204" s="2018"/>
      <c r="F2204" s="2018"/>
      <c r="G2204" s="2018"/>
      <c r="H2204" s="2018"/>
      <c r="I2204" s="2018"/>
      <c r="J2204" s="2018"/>
      <c r="K2204" s="2018"/>
      <c r="L2204" s="2018"/>
      <c r="M2204" s="2018"/>
      <c r="N2204" s="2018"/>
      <c r="O2204" s="2018"/>
      <c r="P2204" s="2018"/>
      <c r="Q2204" s="2018"/>
      <c r="R2204" s="2018"/>
      <c r="S2204" s="2018"/>
      <c r="T2204" s="2018"/>
      <c r="U2204" s="2018"/>
      <c r="V2204" s="2018"/>
      <c r="W2204" s="2018"/>
      <c r="X2204" s="2018"/>
      <c r="Y2204" s="2018"/>
      <c r="Z2204" s="2023"/>
      <c r="AA2204" s="2023"/>
      <c r="AB2204" s="1050"/>
      <c r="AC2204" s="1050"/>
      <c r="AD2204" s="1050"/>
      <c r="AE2204" s="1050"/>
      <c r="AF2204" s="1052"/>
    </row>
    <row r="2205" spans="1:32" ht="15.75" x14ac:dyDescent="0.25">
      <c r="A2205" s="2017"/>
      <c r="B2205" s="2018"/>
      <c r="C2205" s="2018"/>
      <c r="D2205" s="2018"/>
      <c r="E2205" s="2018"/>
      <c r="F2205" s="2018"/>
      <c r="G2205" s="2018"/>
      <c r="H2205" s="2018"/>
      <c r="I2205" s="2018"/>
      <c r="J2205" s="2018"/>
      <c r="K2205" s="2018"/>
      <c r="L2205" s="2018"/>
      <c r="M2205" s="2018"/>
      <c r="N2205" s="2018"/>
      <c r="O2205" s="2018"/>
      <c r="P2205" s="2018"/>
      <c r="Q2205" s="2018"/>
      <c r="R2205" s="2018"/>
      <c r="S2205" s="2018"/>
      <c r="T2205" s="2018"/>
      <c r="U2205" s="2018"/>
      <c r="V2205" s="2018"/>
      <c r="W2205" s="2018"/>
      <c r="X2205" s="2018"/>
      <c r="Y2205" s="2018"/>
      <c r="Z2205" s="2023"/>
      <c r="AA2205" s="2023"/>
      <c r="AB2205" s="1050"/>
      <c r="AC2205" s="1050"/>
      <c r="AD2205" s="1050"/>
      <c r="AE2205" s="1050"/>
      <c r="AF2205" s="1052"/>
    </row>
    <row r="2206" spans="1:32" ht="15.75" x14ac:dyDescent="0.25">
      <c r="A2206" s="2017"/>
      <c r="B2206" s="2018"/>
      <c r="C2206" s="2018"/>
      <c r="D2206" s="2018"/>
      <c r="E2206" s="2018"/>
      <c r="F2206" s="2018"/>
      <c r="G2206" s="2018"/>
      <c r="H2206" s="2018"/>
      <c r="I2206" s="2018"/>
      <c r="J2206" s="2018"/>
      <c r="K2206" s="2018"/>
      <c r="L2206" s="2018"/>
      <c r="M2206" s="2018"/>
      <c r="N2206" s="2018"/>
      <c r="O2206" s="2018"/>
      <c r="P2206" s="2018"/>
      <c r="Q2206" s="2018"/>
      <c r="R2206" s="2018"/>
      <c r="S2206" s="2018"/>
      <c r="T2206" s="2018"/>
      <c r="U2206" s="2018"/>
      <c r="V2206" s="2018"/>
      <c r="W2206" s="2018"/>
      <c r="X2206" s="2018"/>
      <c r="Y2206" s="2018"/>
      <c r="Z2206" s="2023"/>
      <c r="AA2206" s="2023"/>
      <c r="AB2206" s="1050"/>
      <c r="AC2206" s="1050"/>
      <c r="AD2206" s="1050"/>
      <c r="AE2206" s="1050"/>
      <c r="AF2206" s="1052"/>
    </row>
    <row r="2207" spans="1:32" ht="15.75" x14ac:dyDescent="0.25">
      <c r="A2207" s="2017"/>
      <c r="B2207" s="2018"/>
      <c r="C2207" s="2018"/>
      <c r="D2207" s="2018"/>
      <c r="E2207" s="2018"/>
      <c r="F2207" s="2018"/>
      <c r="G2207" s="2018"/>
      <c r="H2207" s="2018"/>
      <c r="I2207" s="2018"/>
      <c r="J2207" s="2018"/>
      <c r="K2207" s="2018"/>
      <c r="L2207" s="2018"/>
      <c r="M2207" s="2018"/>
      <c r="N2207" s="2018"/>
      <c r="O2207" s="2018"/>
      <c r="P2207" s="2018"/>
      <c r="Q2207" s="2018"/>
      <c r="R2207" s="2018"/>
      <c r="S2207" s="2018"/>
      <c r="T2207" s="2018"/>
      <c r="U2207" s="2018"/>
      <c r="V2207" s="2018"/>
      <c r="W2207" s="2018"/>
      <c r="X2207" s="2018"/>
      <c r="Y2207" s="2018"/>
      <c r="Z2207" s="2023"/>
      <c r="AA2207" s="2023"/>
      <c r="AB2207" s="1050"/>
      <c r="AC2207" s="1050"/>
      <c r="AD2207" s="1050"/>
      <c r="AE2207" s="1050"/>
      <c r="AF2207" s="1052"/>
    </row>
    <row r="2208" spans="1:32" ht="15.75" x14ac:dyDescent="0.25">
      <c r="A2208" s="2017"/>
      <c r="B2208" s="2018"/>
      <c r="C2208" s="2018"/>
      <c r="D2208" s="2018"/>
      <c r="E2208" s="2018"/>
      <c r="F2208" s="2018"/>
      <c r="G2208" s="2018"/>
      <c r="H2208" s="2018"/>
      <c r="I2208" s="2018"/>
      <c r="J2208" s="2018"/>
      <c r="K2208" s="2018"/>
      <c r="L2208" s="2018"/>
      <c r="M2208" s="2018"/>
      <c r="N2208" s="2018"/>
      <c r="O2208" s="2018"/>
      <c r="P2208" s="2018"/>
      <c r="Q2208" s="2018"/>
      <c r="R2208" s="2018"/>
      <c r="S2208" s="2018"/>
      <c r="T2208" s="2018"/>
      <c r="U2208" s="2018"/>
      <c r="V2208" s="2018"/>
      <c r="W2208" s="2018"/>
      <c r="X2208" s="2018"/>
      <c r="Y2208" s="2018"/>
      <c r="Z2208" s="2023"/>
      <c r="AA2208" s="2023"/>
      <c r="AB2208" s="1050"/>
      <c r="AC2208" s="1050"/>
      <c r="AD2208" s="1050"/>
      <c r="AE2208" s="1050"/>
      <c r="AF2208" s="1052"/>
    </row>
    <row r="2209" spans="1:32" ht="15.75" x14ac:dyDescent="0.25">
      <c r="A2209" s="2017"/>
      <c r="B2209" s="2018"/>
      <c r="C2209" s="2018"/>
      <c r="D2209" s="2018"/>
      <c r="E2209" s="2018"/>
      <c r="F2209" s="2018"/>
      <c r="G2209" s="2018"/>
      <c r="H2209" s="2018"/>
      <c r="I2209" s="2018"/>
      <c r="J2209" s="2018"/>
      <c r="K2209" s="2018"/>
      <c r="L2209" s="2018"/>
      <c r="M2209" s="2018"/>
      <c r="N2209" s="2018"/>
      <c r="O2209" s="2018"/>
      <c r="P2209" s="2018"/>
      <c r="Q2209" s="2018"/>
      <c r="R2209" s="2018"/>
      <c r="S2209" s="2018"/>
      <c r="T2209" s="2018"/>
      <c r="U2209" s="2018"/>
      <c r="V2209" s="2018"/>
      <c r="W2209" s="2018"/>
      <c r="X2209" s="2018"/>
      <c r="Y2209" s="2018"/>
      <c r="Z2209" s="2023"/>
      <c r="AA2209" s="2023"/>
      <c r="AB2209" s="1050"/>
      <c r="AC2209" s="1050"/>
      <c r="AD2209" s="1050"/>
      <c r="AE2209" s="1050"/>
      <c r="AF2209" s="1052"/>
    </row>
    <row r="2210" spans="1:32" ht="16.5" thickBot="1" x14ac:dyDescent="0.3">
      <c r="A2210" s="2019"/>
      <c r="B2210" s="2020"/>
      <c r="C2210" s="2020"/>
      <c r="D2210" s="2020"/>
      <c r="E2210" s="2020"/>
      <c r="F2210" s="2020"/>
      <c r="G2210" s="2020"/>
      <c r="H2210" s="2020"/>
      <c r="I2210" s="2020"/>
      <c r="J2210" s="2020"/>
      <c r="K2210" s="2020"/>
      <c r="L2210" s="2020"/>
      <c r="M2210" s="2020"/>
      <c r="N2210" s="2020"/>
      <c r="O2210" s="2020"/>
      <c r="P2210" s="2020"/>
      <c r="Q2210" s="2020"/>
      <c r="R2210" s="2020"/>
      <c r="S2210" s="2020"/>
      <c r="T2210" s="2020"/>
      <c r="U2210" s="2020"/>
      <c r="V2210" s="2020"/>
      <c r="W2210" s="2020"/>
      <c r="X2210" s="2020"/>
      <c r="Y2210" s="2020"/>
      <c r="Z2210" s="2024"/>
      <c r="AA2210" s="2024"/>
      <c r="AB2210" s="1057"/>
      <c r="AC2210" s="1057"/>
      <c r="AD2210" s="1057"/>
      <c r="AE2210" s="1057"/>
      <c r="AF2210" s="1058"/>
    </row>
    <row r="2211" spans="1:32" ht="15.75" x14ac:dyDescent="0.25">
      <c r="A2211" s="2009" t="s">
        <v>1855</v>
      </c>
      <c r="B2211" s="2010"/>
      <c r="C2211" s="2010"/>
      <c r="D2211" s="2010"/>
      <c r="E2211" s="2010"/>
      <c r="F2211" s="2010"/>
      <c r="G2211" s="2010"/>
      <c r="H2211" s="2010"/>
      <c r="I2211" s="2010"/>
      <c r="J2211" s="2010"/>
      <c r="K2211" s="2010"/>
      <c r="L2211" s="2010"/>
      <c r="M2211" s="2010"/>
      <c r="N2211" s="2010"/>
      <c r="O2211" s="2010"/>
      <c r="P2211" s="2010"/>
      <c r="Q2211" s="2010"/>
      <c r="R2211" s="2010"/>
      <c r="S2211" s="2010"/>
      <c r="T2211" s="2010"/>
      <c r="U2211" s="2010"/>
      <c r="V2211" s="2010"/>
      <c r="W2211" s="2010"/>
      <c r="X2211" s="2010"/>
      <c r="Y2211" s="2010"/>
      <c r="Z2211" s="2013" t="s">
        <v>1850</v>
      </c>
      <c r="AA2211" s="2013"/>
      <c r="AB2211" s="2013"/>
      <c r="AC2211" s="2013"/>
      <c r="AD2211" s="2013"/>
      <c r="AE2211" s="2013"/>
      <c r="AF2211" s="1059">
        <f>SUM(AF2187:AF2210)</f>
        <v>8.68</v>
      </c>
    </row>
    <row r="2212" spans="1:32" ht="15.75" x14ac:dyDescent="0.25">
      <c r="A2212" s="2011"/>
      <c r="B2212" s="2012"/>
      <c r="C2212" s="2012"/>
      <c r="D2212" s="2012"/>
      <c r="E2212" s="2012"/>
      <c r="F2212" s="2012"/>
      <c r="G2212" s="2012"/>
      <c r="H2212" s="2012"/>
      <c r="I2212" s="2012"/>
      <c r="J2212" s="2012"/>
      <c r="K2212" s="2012"/>
      <c r="L2212" s="2012"/>
      <c r="M2212" s="2012"/>
      <c r="N2212" s="2012"/>
      <c r="O2212" s="2012"/>
      <c r="P2212" s="2012"/>
      <c r="Q2212" s="2012"/>
      <c r="R2212" s="2012"/>
      <c r="S2212" s="2012"/>
      <c r="T2212" s="2012"/>
      <c r="U2212" s="2012"/>
      <c r="V2212" s="2012"/>
      <c r="W2212" s="2012"/>
      <c r="X2212" s="2012"/>
      <c r="Y2212" s="2012"/>
      <c r="Z2212" s="2014" t="s">
        <v>1851</v>
      </c>
      <c r="AA2212" s="2014"/>
      <c r="AB2212" s="2014"/>
      <c r="AC2212" s="2014"/>
      <c r="AD2212" s="2014"/>
      <c r="AE2212" s="2014"/>
      <c r="AF2212" s="1060">
        <v>0</v>
      </c>
    </row>
    <row r="2213" spans="1:32" ht="15.75" x14ac:dyDescent="0.25">
      <c r="A2213" s="2011"/>
      <c r="B2213" s="2012"/>
      <c r="C2213" s="2012"/>
      <c r="D2213" s="2012"/>
      <c r="E2213" s="2012"/>
      <c r="F2213" s="2012"/>
      <c r="G2213" s="2012"/>
      <c r="H2213" s="2012"/>
      <c r="I2213" s="2012"/>
      <c r="J2213" s="2012"/>
      <c r="K2213" s="2012"/>
      <c r="L2213" s="2012"/>
      <c r="M2213" s="2012"/>
      <c r="N2213" s="2012"/>
      <c r="O2213" s="2012"/>
      <c r="P2213" s="2012"/>
      <c r="Q2213" s="2012"/>
      <c r="R2213" s="2012"/>
      <c r="S2213" s="2012"/>
      <c r="T2213" s="2012"/>
      <c r="U2213" s="2012"/>
      <c r="V2213" s="2012"/>
      <c r="W2213" s="2012"/>
      <c r="X2213" s="2012"/>
      <c r="Y2213" s="2012"/>
      <c r="Z2213" s="2015" t="s">
        <v>1833</v>
      </c>
      <c r="AA2213" s="2015"/>
      <c r="AB2213" s="2015"/>
      <c r="AC2213" s="2015"/>
      <c r="AD2213" s="2015"/>
      <c r="AE2213" s="2015"/>
      <c r="AF2213" s="1061">
        <f>SUM(AF2211:AF2212)</f>
        <v>8.68</v>
      </c>
    </row>
    <row r="2214" spans="1:32" x14ac:dyDescent="0.2">
      <c r="A2214" s="2012" t="s">
        <v>1859</v>
      </c>
      <c r="B2214" s="2012"/>
      <c r="C2214" s="2012"/>
      <c r="D2214" s="2012"/>
      <c r="E2214" s="2012"/>
      <c r="F2214" s="2012"/>
      <c r="G2214" s="2012"/>
      <c r="H2214" s="2012"/>
      <c r="I2214" s="2012"/>
      <c r="J2214" s="2012"/>
      <c r="K2214" s="2012"/>
      <c r="L2214" s="2012"/>
      <c r="M2214" s="2012"/>
      <c r="N2214" s="2012"/>
      <c r="O2214" s="2012"/>
      <c r="P2214" s="2012"/>
      <c r="Q2214" s="2012"/>
      <c r="R2214" s="2012"/>
      <c r="S2214" s="2012"/>
      <c r="T2214" s="2016" t="s">
        <v>1840</v>
      </c>
      <c r="U2214" s="2016"/>
      <c r="V2214" s="2016"/>
      <c r="W2214" s="2016"/>
      <c r="X2214" s="2016"/>
      <c r="Y2214" s="2016"/>
      <c r="Z2214" s="2016"/>
      <c r="AA2214" s="2016"/>
      <c r="AB2214" s="2012" t="s">
        <v>1852</v>
      </c>
      <c r="AC2214" s="2012"/>
      <c r="AD2214" s="2012"/>
      <c r="AE2214" s="2012"/>
      <c r="AF2214" s="2012"/>
    </row>
    <row r="2215" spans="1:32" x14ac:dyDescent="0.2">
      <c r="A2215" s="2012"/>
      <c r="B2215" s="2012"/>
      <c r="C2215" s="2012"/>
      <c r="D2215" s="2012"/>
      <c r="E2215" s="2012"/>
      <c r="F2215" s="2012"/>
      <c r="G2215" s="2012"/>
      <c r="H2215" s="2012"/>
      <c r="I2215" s="2012"/>
      <c r="J2215" s="2012"/>
      <c r="K2215" s="2012"/>
      <c r="L2215" s="2012"/>
      <c r="M2215" s="2012"/>
      <c r="N2215" s="2012"/>
      <c r="O2215" s="2012"/>
      <c r="P2215" s="2012"/>
      <c r="Q2215" s="2012"/>
      <c r="R2215" s="2012"/>
      <c r="S2215" s="2012"/>
      <c r="T2215" s="2016"/>
      <c r="U2215" s="2016"/>
      <c r="V2215" s="2016"/>
      <c r="W2215" s="2016"/>
      <c r="X2215" s="2016"/>
      <c r="Y2215" s="2016"/>
      <c r="Z2215" s="2016"/>
      <c r="AA2215" s="2016"/>
      <c r="AB2215" s="2012"/>
      <c r="AC2215" s="2012"/>
      <c r="AD2215" s="2012"/>
      <c r="AE2215" s="2012"/>
      <c r="AF2215" s="2012"/>
    </row>
    <row r="2216" spans="1:32" ht="13.5" thickBot="1" x14ac:dyDescent="0.25"/>
    <row r="2217" spans="1:32" ht="26.45" customHeight="1" x14ac:dyDescent="0.2">
      <c r="A2217" s="2025" t="s">
        <v>1854</v>
      </c>
      <c r="B2217" s="2026"/>
      <c r="C2217" s="2026"/>
      <c r="D2217" s="2026"/>
      <c r="E2217" s="2026"/>
      <c r="F2217" s="2026"/>
      <c r="G2217" s="2026"/>
      <c r="H2217" s="2026"/>
      <c r="I2217" s="2026"/>
      <c r="J2217" s="2026"/>
      <c r="K2217" s="2026"/>
      <c r="L2217" s="2026"/>
      <c r="M2217" s="2026"/>
      <c r="N2217" s="2026"/>
      <c r="O2217" s="2026"/>
      <c r="P2217" s="2026"/>
      <c r="Q2217" s="2026"/>
      <c r="R2217" s="2026"/>
      <c r="S2217" s="2026"/>
      <c r="T2217" s="2026"/>
      <c r="U2217" s="2026"/>
      <c r="V2217" s="2026"/>
      <c r="W2217" s="2026"/>
      <c r="X2217" s="2026"/>
      <c r="Y2217" s="2026"/>
      <c r="Z2217" s="2026"/>
      <c r="AA2217" s="2026"/>
      <c r="AB2217" s="2026"/>
      <c r="AC2217" s="2026"/>
      <c r="AD2217" s="2026"/>
      <c r="AE2217" s="1041" t="s">
        <v>1834</v>
      </c>
      <c r="AF2217" s="1042" t="s">
        <v>1835</v>
      </c>
    </row>
    <row r="2218" spans="1:32" ht="21" customHeight="1" thickBot="1" x14ac:dyDescent="0.25">
      <c r="A2218" s="2027"/>
      <c r="B2218" s="2028"/>
      <c r="C2218" s="2028"/>
      <c r="D2218" s="2028"/>
      <c r="E2218" s="2028"/>
      <c r="F2218" s="2028"/>
      <c r="G2218" s="2028"/>
      <c r="H2218" s="2028"/>
      <c r="I2218" s="2028"/>
      <c r="J2218" s="2028"/>
      <c r="K2218" s="2028"/>
      <c r="L2218" s="2028"/>
      <c r="M2218" s="2028"/>
      <c r="N2218" s="2028"/>
      <c r="O2218" s="2028"/>
      <c r="P2218" s="2028"/>
      <c r="Q2218" s="2028"/>
      <c r="R2218" s="2028"/>
      <c r="S2218" s="2028"/>
      <c r="T2218" s="2028"/>
      <c r="U2218" s="2028"/>
      <c r="V2218" s="2028"/>
      <c r="W2218" s="2028"/>
      <c r="X2218" s="2028"/>
      <c r="Y2218" s="2028"/>
      <c r="Z2218" s="2028"/>
      <c r="AA2218" s="2028"/>
      <c r="AB2218" s="2028"/>
      <c r="AC2218" s="2028"/>
      <c r="AD2218" s="2028"/>
      <c r="AE2218" s="1041" t="s">
        <v>1836</v>
      </c>
      <c r="AF2218" s="1044">
        <v>1</v>
      </c>
    </row>
    <row r="2219" spans="1:32" ht="15.75" x14ac:dyDescent="0.2">
      <c r="A2219" s="2029"/>
      <c r="B2219" s="2030"/>
      <c r="C2219" s="2030"/>
      <c r="D2219" s="2031"/>
      <c r="E2219" s="2025" t="str">
        <f>'01'!$A$12</f>
        <v>"CONSTRUCCION SISTEMA DE ACUEDUCTO FASE II DEL MUNICIPIO DE TESALIA DPTO DEL HUILA"</v>
      </c>
      <c r="F2219" s="2026"/>
      <c r="G2219" s="2026"/>
      <c r="H2219" s="2026"/>
      <c r="I2219" s="2026"/>
      <c r="J2219" s="2026"/>
      <c r="K2219" s="2026"/>
      <c r="L2219" s="2026"/>
      <c r="M2219" s="2026"/>
      <c r="N2219" s="2026"/>
      <c r="O2219" s="2026"/>
      <c r="P2219" s="2026"/>
      <c r="Q2219" s="2026"/>
      <c r="R2219" s="2026"/>
      <c r="S2219" s="2026"/>
      <c r="T2219" s="2026"/>
      <c r="U2219" s="2026"/>
      <c r="V2219" s="2026"/>
      <c r="W2219" s="2026"/>
      <c r="X2219" s="2026"/>
      <c r="Y2219" s="2026"/>
      <c r="Z2219" s="2026"/>
      <c r="AA2219" s="2026"/>
      <c r="AB2219" s="2026"/>
      <c r="AC2219" s="2026"/>
      <c r="AD2219" s="2035"/>
      <c r="AE2219" s="1041" t="s">
        <v>847</v>
      </c>
      <c r="AF2219" s="1045">
        <f>'01'!$M$13</f>
        <v>0</v>
      </c>
    </row>
    <row r="2220" spans="1:32" ht="16.5" thickBot="1" x14ac:dyDescent="0.25">
      <c r="A2220" s="2032"/>
      <c r="B2220" s="2033"/>
      <c r="C2220" s="2033"/>
      <c r="D2220" s="2034"/>
      <c r="E2220" s="2027"/>
      <c r="F2220" s="2028"/>
      <c r="G2220" s="2028"/>
      <c r="H2220" s="2028"/>
      <c r="I2220" s="2028"/>
      <c r="J2220" s="2028"/>
      <c r="K2220" s="2028"/>
      <c r="L2220" s="2028"/>
      <c r="M2220" s="2028"/>
      <c r="N2220" s="2028"/>
      <c r="O2220" s="2028"/>
      <c r="P2220" s="2028"/>
      <c r="Q2220" s="2028"/>
      <c r="R2220" s="2028"/>
      <c r="S2220" s="2028"/>
      <c r="T2220" s="2028"/>
      <c r="U2220" s="2028"/>
      <c r="V2220" s="2028"/>
      <c r="W2220" s="2028"/>
      <c r="X2220" s="2028"/>
      <c r="Y2220" s="2028"/>
      <c r="Z2220" s="2028"/>
      <c r="AA2220" s="2028"/>
      <c r="AB2220" s="2028"/>
      <c r="AC2220" s="2028"/>
      <c r="AD2220" s="2036"/>
      <c r="AE2220" s="1041" t="s">
        <v>1837</v>
      </c>
      <c r="AF2220" s="1042" t="s">
        <v>1838</v>
      </c>
    </row>
    <row r="2221" spans="1:32" ht="15.75" x14ac:dyDescent="0.25">
      <c r="A2221" s="2037" t="s">
        <v>1860</v>
      </c>
      <c r="B2221" s="2038"/>
      <c r="C2221" s="2038"/>
      <c r="D2221" s="2038"/>
      <c r="E2221" s="2038"/>
      <c r="F2221" s="2038"/>
      <c r="G2221" s="2038"/>
      <c r="H2221" s="2038"/>
      <c r="I2221" s="2038"/>
      <c r="J2221" s="2038"/>
      <c r="K2221" s="2038"/>
      <c r="L2221" s="2038"/>
      <c r="M2221" s="2038"/>
      <c r="N2221" s="2038"/>
      <c r="O2221" s="2038"/>
      <c r="P2221" s="2038"/>
      <c r="Q2221" s="2038"/>
      <c r="R2221" s="2038"/>
      <c r="S2221" s="2038"/>
      <c r="T2221" s="2038"/>
      <c r="U2221" s="2038"/>
      <c r="V2221" s="2038"/>
      <c r="W2221" s="2038"/>
      <c r="X2221" s="2038"/>
      <c r="Y2221" s="2038"/>
      <c r="Z2221" s="2038"/>
      <c r="AA2221" s="2038"/>
      <c r="AB2221" s="2038"/>
      <c r="AC2221" s="2038"/>
      <c r="AD2221" s="2038"/>
      <c r="AE2221" s="2039" t="s">
        <v>1839</v>
      </c>
      <c r="AF2221" s="2040"/>
    </row>
    <row r="2222" spans="1:32" ht="15.75" x14ac:dyDescent="0.25">
      <c r="A2222" s="2041" t="s">
        <v>1840</v>
      </c>
      <c r="B2222" s="2042"/>
      <c r="C2222" s="2042"/>
      <c r="D2222" s="2042"/>
      <c r="E2222" s="2042"/>
      <c r="F2222" s="2042"/>
      <c r="G2222" s="2042"/>
      <c r="H2222" s="2042"/>
      <c r="I2222" s="2042"/>
      <c r="J2222" s="2042"/>
      <c r="K2222" s="2042"/>
      <c r="L2222" s="2042"/>
      <c r="M2222" s="2042"/>
      <c r="N2222" s="2042"/>
      <c r="O2222" s="2042"/>
      <c r="P2222" s="2042"/>
      <c r="Q2222" s="2042"/>
      <c r="R2222" s="2042"/>
      <c r="S2222" s="2042"/>
      <c r="T2222" s="2042"/>
      <c r="U2222" s="2042"/>
      <c r="V2222" s="2042"/>
      <c r="W2222" s="2042"/>
      <c r="X2222" s="2042"/>
      <c r="Y2222" s="2042"/>
      <c r="Z2222" s="2042"/>
      <c r="AA2222" s="2042"/>
      <c r="AB2222" s="2042"/>
      <c r="AC2222" s="2042"/>
      <c r="AD2222" s="2043"/>
      <c r="AE2222" s="2014" t="s">
        <v>1841</v>
      </c>
      <c r="AF2222" s="2044"/>
    </row>
    <row r="2223" spans="1:32" ht="15.75" x14ac:dyDescent="0.25">
      <c r="A2223" s="2045" t="s">
        <v>1853</v>
      </c>
      <c r="B2223" s="2046"/>
      <c r="C2223" s="2046"/>
      <c r="D2223" s="2046"/>
      <c r="E2223" s="2046"/>
      <c r="F2223" s="2046"/>
      <c r="G2223" s="2046"/>
      <c r="H2223" s="2046"/>
      <c r="I2223" s="2046"/>
      <c r="J2223" s="2046"/>
      <c r="K2223" s="2046"/>
      <c r="L2223" s="2046"/>
      <c r="M2223" s="2046"/>
      <c r="N2223" s="2046"/>
      <c r="O2223" s="2046"/>
      <c r="P2223" s="2046"/>
      <c r="Q2223" s="2046"/>
      <c r="R2223" s="2046"/>
      <c r="S2223" s="2046"/>
      <c r="T2223" s="2046"/>
      <c r="U2223" s="2046"/>
      <c r="V2223" s="2046"/>
      <c r="W2223" s="2046"/>
      <c r="X2223" s="2046"/>
      <c r="Y2223" s="2046"/>
      <c r="Z2223" s="2046"/>
      <c r="AA2223" s="2046"/>
      <c r="AB2223" s="2046"/>
      <c r="AC2223" s="2046"/>
      <c r="AD2223" s="2046"/>
      <c r="AE2223" s="2047">
        <f>'01'!$M$13</f>
        <v>0</v>
      </c>
      <c r="AF2223" s="2044"/>
    </row>
    <row r="2224" spans="1:32" x14ac:dyDescent="0.2">
      <c r="A2224" s="1046"/>
      <c r="B2224" s="1047"/>
      <c r="C2224" s="1047"/>
      <c r="D2224" s="1047"/>
      <c r="E2224" s="1047"/>
      <c r="F2224" s="1047"/>
      <c r="G2224" s="1047"/>
      <c r="H2224" s="1047"/>
      <c r="I2224" s="1047"/>
      <c r="J2224" s="1047"/>
      <c r="K2224" s="1047"/>
      <c r="L2224" s="1047"/>
      <c r="M2224" s="1047"/>
      <c r="N2224" s="1047"/>
      <c r="O2224" s="1047"/>
      <c r="P2224" s="1047"/>
      <c r="Q2224" s="1047"/>
      <c r="R2224" s="1047"/>
      <c r="S2224" s="1047"/>
      <c r="T2224" s="1047"/>
      <c r="U2224" s="1047"/>
      <c r="V2224" s="1047"/>
      <c r="W2224" s="1047"/>
      <c r="X2224" s="1047"/>
      <c r="Y2224" s="1047"/>
      <c r="Z2224" s="1047"/>
      <c r="AA2224" s="1047"/>
      <c r="AB2224" s="1047"/>
      <c r="AC2224" s="1047"/>
      <c r="AD2224" s="1047"/>
      <c r="AE2224" s="1047"/>
      <c r="AF2224" s="1048"/>
    </row>
    <row r="2225" spans="1:32" ht="30" customHeight="1" x14ac:dyDescent="0.2">
      <c r="A2225" s="2048" t="s">
        <v>1842</v>
      </c>
      <c r="B2225" s="2049"/>
      <c r="C2225" s="2049"/>
      <c r="D2225" s="2049"/>
      <c r="E2225" s="2049"/>
      <c r="F2225" s="2050" t="str">
        <f>+'01'!$H$63</f>
        <v>C - FLOCULADOR, SEDIMENTADOR, CANAL DE AGUA SEDIMENTADA Y CANAL DE LAVADO</v>
      </c>
      <c r="G2225" s="2049"/>
      <c r="H2225" s="2049"/>
      <c r="I2225" s="2049"/>
      <c r="J2225" s="2049"/>
      <c r="K2225" s="2049"/>
      <c r="L2225" s="2049"/>
      <c r="M2225" s="2049"/>
      <c r="N2225" s="2049"/>
      <c r="O2225" s="2049"/>
      <c r="P2225" s="2049"/>
      <c r="Q2225" s="2049"/>
      <c r="R2225" s="2049"/>
      <c r="S2225" s="2049"/>
      <c r="T2225" s="2049"/>
      <c r="U2225" s="2049"/>
      <c r="V2225" s="2049"/>
      <c r="W2225" s="2049"/>
      <c r="X2225" s="2049"/>
      <c r="Y2225" s="2051"/>
      <c r="Z2225" s="2052" t="s">
        <v>1843</v>
      </c>
      <c r="AA2225" s="2053"/>
      <c r="AB2225" s="2058" t="s">
        <v>1844</v>
      </c>
      <c r="AC2225" s="2059"/>
      <c r="AD2225" s="2060"/>
      <c r="AE2225" s="2064" t="s">
        <v>1845</v>
      </c>
      <c r="AF2225" s="2067" t="s">
        <v>1846</v>
      </c>
    </row>
    <row r="2226" spans="1:32" ht="20.45" customHeight="1" x14ac:dyDescent="0.2">
      <c r="A2226" s="2070" t="str">
        <f>+'01'!A99</f>
        <v>C-08-14</v>
      </c>
      <c r="B2226" s="2071"/>
      <c r="C2226" s="2072"/>
      <c r="D2226" s="2076" t="str">
        <f>VLOOKUP(A2226,'01'!$A$12:$N$299,3,FALSE)</f>
        <v>MODULOS DE SEDIMENTACION DE ALTA TASA TIPO COLMENA. ALTURA RECTA 1.04. ALTURA INCLINADA 1.20 METROS, CALIBRE 40 EN MATERIAL POLIESTIRENO CON ADITIVOS MODIFICADORES DE IMPACTO Y PROTECTOR UV.</v>
      </c>
      <c r="E2226" s="2077"/>
      <c r="F2226" s="2077"/>
      <c r="G2226" s="2077"/>
      <c r="H2226" s="2077"/>
      <c r="I2226" s="2077"/>
      <c r="J2226" s="2077"/>
      <c r="K2226" s="2077"/>
      <c r="L2226" s="2077"/>
      <c r="M2226" s="2077"/>
      <c r="N2226" s="2077"/>
      <c r="O2226" s="2077"/>
      <c r="P2226" s="2077"/>
      <c r="Q2226" s="2077"/>
      <c r="R2226" s="2077"/>
      <c r="S2226" s="2078"/>
      <c r="T2226" s="2082" t="s">
        <v>124</v>
      </c>
      <c r="U2226" s="2083"/>
      <c r="V2226" s="2083"/>
      <c r="W2226" s="2083"/>
      <c r="X2226" s="2052" t="str">
        <f>VLOOKUP(A2226,'01'!$A$12:$N$299,9,FALSE)</f>
        <v>M2</v>
      </c>
      <c r="Y2226" s="2053"/>
      <c r="Z2226" s="2054"/>
      <c r="AA2226" s="2055"/>
      <c r="AB2226" s="2061"/>
      <c r="AC2226" s="2062"/>
      <c r="AD2226" s="2063"/>
      <c r="AE2226" s="2065"/>
      <c r="AF2226" s="2068"/>
    </row>
    <row r="2227" spans="1:32" ht="25.15" customHeight="1" x14ac:dyDescent="0.25">
      <c r="A2227" s="2073"/>
      <c r="B2227" s="2074"/>
      <c r="C2227" s="2075"/>
      <c r="D2227" s="2079"/>
      <c r="E2227" s="2080"/>
      <c r="F2227" s="2080"/>
      <c r="G2227" s="2080"/>
      <c r="H2227" s="2080"/>
      <c r="I2227" s="2080"/>
      <c r="J2227" s="2080"/>
      <c r="K2227" s="2080"/>
      <c r="L2227" s="2080"/>
      <c r="M2227" s="2080"/>
      <c r="N2227" s="2080"/>
      <c r="O2227" s="2080"/>
      <c r="P2227" s="2080"/>
      <c r="Q2227" s="2080"/>
      <c r="R2227" s="2080"/>
      <c r="S2227" s="2081"/>
      <c r="T2227" s="2084"/>
      <c r="U2227" s="2085"/>
      <c r="V2227" s="2085"/>
      <c r="W2227" s="2085"/>
      <c r="X2227" s="2056"/>
      <c r="Y2227" s="2057"/>
      <c r="Z2227" s="2056"/>
      <c r="AA2227" s="2057"/>
      <c r="AB2227" s="1049" t="s">
        <v>1847</v>
      </c>
      <c r="AC2227" s="1049" t="s">
        <v>1848</v>
      </c>
      <c r="AD2227" s="1049" t="s">
        <v>1861</v>
      </c>
      <c r="AE2227" s="2066"/>
      <c r="AF2227" s="2069"/>
    </row>
    <row r="2228" spans="1:32" ht="15.6" customHeight="1" x14ac:dyDescent="0.25">
      <c r="A2228" s="2017"/>
      <c r="B2228" s="2018"/>
      <c r="C2228" s="2018"/>
      <c r="D2228" s="2018"/>
      <c r="E2228" s="2018"/>
      <c r="F2228" s="2018"/>
      <c r="G2228" s="2018"/>
      <c r="H2228" s="2018"/>
      <c r="I2228" s="2018"/>
      <c r="J2228" s="2018"/>
      <c r="K2228" s="2018"/>
      <c r="L2228" s="2018"/>
      <c r="M2228" s="2018"/>
      <c r="N2228" s="2018"/>
      <c r="O2228" s="2018"/>
      <c r="P2228" s="2018"/>
      <c r="Q2228" s="2018"/>
      <c r="R2228" s="2018"/>
      <c r="S2228" s="2018"/>
      <c r="T2228" s="2018"/>
      <c r="U2228" s="2018"/>
      <c r="V2228" s="2018"/>
      <c r="W2228" s="2018"/>
      <c r="X2228" s="2018"/>
      <c r="Y2228" s="2018"/>
      <c r="Z2228" s="2096" t="s">
        <v>2436</v>
      </c>
      <c r="AA2228" s="2097"/>
      <c r="AB2228" s="1050">
        <v>4.95</v>
      </c>
      <c r="AC2228" s="1050">
        <v>2.65</v>
      </c>
      <c r="AD2228" s="1050"/>
      <c r="AE2228" s="1050">
        <v>2</v>
      </c>
      <c r="AF2228" s="1052">
        <f>+ROUND(AB2228*AC2228*AE2228,2)</f>
        <v>26.24</v>
      </c>
    </row>
    <row r="2229" spans="1:32" ht="15.6" customHeight="1" x14ac:dyDescent="0.25">
      <c r="A2229" s="2017"/>
      <c r="B2229" s="2018"/>
      <c r="C2229" s="2018"/>
      <c r="D2229" s="2018"/>
      <c r="E2229" s="2018"/>
      <c r="F2229" s="2018"/>
      <c r="G2229" s="2018"/>
      <c r="H2229" s="2018"/>
      <c r="I2229" s="2018"/>
      <c r="J2229" s="2018"/>
      <c r="K2229" s="2018"/>
      <c r="L2229" s="2018"/>
      <c r="M2229" s="2018"/>
      <c r="N2229" s="2018"/>
      <c r="O2229" s="2018"/>
      <c r="P2229" s="2018"/>
      <c r="Q2229" s="2018"/>
      <c r="R2229" s="2018"/>
      <c r="S2229" s="2018"/>
      <c r="T2229" s="2018"/>
      <c r="U2229" s="2018"/>
      <c r="V2229" s="2018"/>
      <c r="W2229" s="2018"/>
      <c r="X2229" s="2018"/>
      <c r="Y2229" s="2018"/>
      <c r="Z2229" s="2096"/>
      <c r="AA2229" s="2097"/>
      <c r="AB2229" s="1050"/>
      <c r="AC2229" s="1050"/>
      <c r="AD2229" s="1050"/>
      <c r="AE2229" s="1050"/>
      <c r="AF2229" s="1052"/>
    </row>
    <row r="2230" spans="1:32" ht="15.75" x14ac:dyDescent="0.25">
      <c r="A2230" s="2017"/>
      <c r="B2230" s="2018"/>
      <c r="C2230" s="2018"/>
      <c r="D2230" s="2018"/>
      <c r="E2230" s="2018"/>
      <c r="F2230" s="2018"/>
      <c r="G2230" s="2018"/>
      <c r="H2230" s="2018"/>
      <c r="I2230" s="2018"/>
      <c r="J2230" s="2018"/>
      <c r="K2230" s="2018"/>
      <c r="L2230" s="2018"/>
      <c r="M2230" s="2018"/>
      <c r="N2230" s="2018"/>
      <c r="O2230" s="2018"/>
      <c r="P2230" s="2018"/>
      <c r="Q2230" s="2018"/>
      <c r="R2230" s="2018"/>
      <c r="S2230" s="2018"/>
      <c r="T2230" s="2018"/>
      <c r="U2230" s="2018"/>
      <c r="V2230" s="2018"/>
      <c r="W2230" s="2018"/>
      <c r="X2230" s="2018"/>
      <c r="Y2230" s="2018"/>
      <c r="Z2230" s="2096"/>
      <c r="AA2230" s="2097"/>
      <c r="AB2230" s="1050"/>
      <c r="AC2230" s="1050"/>
      <c r="AD2230" s="1050"/>
      <c r="AE2230" s="1050"/>
      <c r="AF2230" s="1052"/>
    </row>
    <row r="2231" spans="1:32" ht="15.75" x14ac:dyDescent="0.25">
      <c r="A2231" s="2017"/>
      <c r="B2231" s="2018"/>
      <c r="C2231" s="2018"/>
      <c r="D2231" s="2018"/>
      <c r="E2231" s="2018"/>
      <c r="F2231" s="2018"/>
      <c r="G2231" s="2018"/>
      <c r="H2231" s="2018"/>
      <c r="I2231" s="2018"/>
      <c r="J2231" s="2018"/>
      <c r="K2231" s="2018"/>
      <c r="L2231" s="2018"/>
      <c r="M2231" s="2018"/>
      <c r="N2231" s="2018"/>
      <c r="O2231" s="2018"/>
      <c r="P2231" s="2018"/>
      <c r="Q2231" s="2018"/>
      <c r="R2231" s="2018"/>
      <c r="S2231" s="2018"/>
      <c r="T2231" s="2018"/>
      <c r="U2231" s="2018"/>
      <c r="V2231" s="2018"/>
      <c r="W2231" s="2018"/>
      <c r="X2231" s="2018"/>
      <c r="Y2231" s="2018"/>
      <c r="Z2231" s="2096"/>
      <c r="AA2231" s="2097"/>
      <c r="AB2231" s="1050"/>
      <c r="AC2231" s="1050"/>
      <c r="AD2231" s="1050"/>
      <c r="AE2231" s="1050"/>
      <c r="AF2231" s="1052"/>
    </row>
    <row r="2232" spans="1:32" ht="15.75" x14ac:dyDescent="0.25">
      <c r="A2232" s="2017"/>
      <c r="B2232" s="2018"/>
      <c r="C2232" s="2018"/>
      <c r="D2232" s="2018"/>
      <c r="E2232" s="2018"/>
      <c r="F2232" s="2018"/>
      <c r="G2232" s="2018"/>
      <c r="H2232" s="2018"/>
      <c r="I2232" s="2018"/>
      <c r="J2232" s="2018"/>
      <c r="K2232" s="2018"/>
      <c r="L2232" s="2018"/>
      <c r="M2232" s="2018"/>
      <c r="N2232" s="2018"/>
      <c r="O2232" s="2018"/>
      <c r="P2232" s="2018"/>
      <c r="Q2232" s="2018"/>
      <c r="R2232" s="2018"/>
      <c r="S2232" s="2018"/>
      <c r="T2232" s="2018"/>
      <c r="U2232" s="2018"/>
      <c r="V2232" s="2018"/>
      <c r="W2232" s="2018"/>
      <c r="X2232" s="2018"/>
      <c r="Y2232" s="2018"/>
      <c r="Z2232" s="2096"/>
      <c r="AA2232" s="2097"/>
      <c r="AB2232" s="1050"/>
      <c r="AC2232" s="1050"/>
      <c r="AD2232" s="1050"/>
      <c r="AE2232" s="1050"/>
      <c r="AF2232" s="1052"/>
    </row>
    <row r="2233" spans="1:32" ht="15.75" x14ac:dyDescent="0.25">
      <c r="A2233" s="2017"/>
      <c r="B2233" s="2018"/>
      <c r="C2233" s="2018"/>
      <c r="D2233" s="2018"/>
      <c r="E2233" s="2018"/>
      <c r="F2233" s="2018"/>
      <c r="G2233" s="2018"/>
      <c r="H2233" s="2018"/>
      <c r="I2233" s="2018"/>
      <c r="J2233" s="2018"/>
      <c r="K2233" s="2018"/>
      <c r="L2233" s="2018"/>
      <c r="M2233" s="2018"/>
      <c r="N2233" s="2018"/>
      <c r="O2233" s="2018"/>
      <c r="P2233" s="2018"/>
      <c r="Q2233" s="2018"/>
      <c r="R2233" s="2018"/>
      <c r="S2233" s="2018"/>
      <c r="T2233" s="2018"/>
      <c r="U2233" s="2018"/>
      <c r="V2233" s="2018"/>
      <c r="W2233" s="2018"/>
      <c r="X2233" s="2018"/>
      <c r="Y2233" s="2018"/>
      <c r="Z2233" s="2096"/>
      <c r="AA2233" s="2097"/>
      <c r="AB2233" s="1050"/>
      <c r="AC2233" s="1050"/>
      <c r="AD2233" s="1050"/>
      <c r="AE2233" s="1050"/>
      <c r="AF2233" s="1052"/>
    </row>
    <row r="2234" spans="1:32" ht="15.75" x14ac:dyDescent="0.25">
      <c r="A2234" s="2017"/>
      <c r="B2234" s="2018"/>
      <c r="C2234" s="2018"/>
      <c r="D2234" s="2018"/>
      <c r="E2234" s="2018"/>
      <c r="F2234" s="2018"/>
      <c r="G2234" s="2018"/>
      <c r="H2234" s="2018"/>
      <c r="I2234" s="2018"/>
      <c r="J2234" s="2018"/>
      <c r="K2234" s="2018"/>
      <c r="L2234" s="2018"/>
      <c r="M2234" s="2018"/>
      <c r="N2234" s="2018"/>
      <c r="O2234" s="2018"/>
      <c r="P2234" s="2018"/>
      <c r="Q2234" s="2018"/>
      <c r="R2234" s="2018"/>
      <c r="S2234" s="2018"/>
      <c r="T2234" s="2018"/>
      <c r="U2234" s="2018"/>
      <c r="V2234" s="2018"/>
      <c r="W2234" s="2018"/>
      <c r="X2234" s="2018"/>
      <c r="Y2234" s="2018"/>
      <c r="Z2234" s="2105"/>
      <c r="AA2234" s="2105"/>
      <c r="AB2234" s="1050"/>
      <c r="AC2234" s="1050"/>
      <c r="AD2234" s="1050"/>
      <c r="AE2234" s="1050"/>
      <c r="AF2234" s="1052"/>
    </row>
    <row r="2235" spans="1:32" ht="15.75" x14ac:dyDescent="0.25">
      <c r="A2235" s="2017"/>
      <c r="B2235" s="2018"/>
      <c r="C2235" s="2018"/>
      <c r="D2235" s="2018"/>
      <c r="E2235" s="2018"/>
      <c r="F2235" s="2018"/>
      <c r="G2235" s="2018"/>
      <c r="H2235" s="2018"/>
      <c r="I2235" s="2018"/>
      <c r="J2235" s="2018"/>
      <c r="K2235" s="2018"/>
      <c r="L2235" s="2018"/>
      <c r="M2235" s="2018"/>
      <c r="N2235" s="2018"/>
      <c r="O2235" s="2018"/>
      <c r="P2235" s="2018"/>
      <c r="Q2235" s="2018"/>
      <c r="R2235" s="2018"/>
      <c r="S2235" s="2018"/>
      <c r="T2235" s="2018"/>
      <c r="U2235" s="2018"/>
      <c r="V2235" s="2018"/>
      <c r="W2235" s="2018"/>
      <c r="X2235" s="2018"/>
      <c r="Y2235" s="2018"/>
      <c r="Z2235" s="2105"/>
      <c r="AA2235" s="2105"/>
      <c r="AB2235" s="1050"/>
      <c r="AC2235" s="1050"/>
      <c r="AD2235" s="1050"/>
      <c r="AE2235" s="1050"/>
      <c r="AF2235" s="1052"/>
    </row>
    <row r="2236" spans="1:32" ht="15.75" x14ac:dyDescent="0.25">
      <c r="A2236" s="2017"/>
      <c r="B2236" s="2018"/>
      <c r="C2236" s="2018"/>
      <c r="D2236" s="2018"/>
      <c r="E2236" s="2018"/>
      <c r="F2236" s="2018"/>
      <c r="G2236" s="2018"/>
      <c r="H2236" s="2018"/>
      <c r="I2236" s="2018"/>
      <c r="J2236" s="2018"/>
      <c r="K2236" s="2018"/>
      <c r="L2236" s="2018"/>
      <c r="M2236" s="2018"/>
      <c r="N2236" s="2018"/>
      <c r="O2236" s="2018"/>
      <c r="P2236" s="2018"/>
      <c r="Q2236" s="2018"/>
      <c r="R2236" s="2018"/>
      <c r="S2236" s="2018"/>
      <c r="T2236" s="2018"/>
      <c r="U2236" s="2018"/>
      <c r="V2236" s="2018"/>
      <c r="W2236" s="2018"/>
      <c r="X2236" s="2018"/>
      <c r="Y2236" s="2018"/>
      <c r="Z2236" s="2105"/>
      <c r="AA2236" s="2105"/>
      <c r="AB2236" s="1050"/>
      <c r="AC2236" s="1050"/>
      <c r="AD2236" s="1050"/>
      <c r="AE2236" s="1050"/>
      <c r="AF2236" s="1052"/>
    </row>
    <row r="2237" spans="1:32" ht="15.75" x14ac:dyDescent="0.25">
      <c r="A2237" s="2017"/>
      <c r="B2237" s="2018"/>
      <c r="C2237" s="2018"/>
      <c r="D2237" s="2018"/>
      <c r="E2237" s="2018"/>
      <c r="F2237" s="2018"/>
      <c r="G2237" s="2018"/>
      <c r="H2237" s="2018"/>
      <c r="I2237" s="2018"/>
      <c r="J2237" s="2018"/>
      <c r="K2237" s="2018"/>
      <c r="L2237" s="2018"/>
      <c r="M2237" s="2018"/>
      <c r="N2237" s="2018"/>
      <c r="O2237" s="2018"/>
      <c r="P2237" s="2018"/>
      <c r="Q2237" s="2018"/>
      <c r="R2237" s="2018"/>
      <c r="S2237" s="2018"/>
      <c r="T2237" s="2018"/>
      <c r="U2237" s="2018"/>
      <c r="V2237" s="2018"/>
      <c r="W2237" s="2018"/>
      <c r="X2237" s="2018"/>
      <c r="Y2237" s="2018"/>
      <c r="Z2237" s="2105"/>
      <c r="AA2237" s="2105"/>
      <c r="AB2237" s="1050"/>
      <c r="AC2237" s="1050"/>
      <c r="AD2237" s="1050"/>
      <c r="AE2237" s="1050"/>
      <c r="AF2237" s="1052"/>
    </row>
    <row r="2238" spans="1:32" ht="15.75" x14ac:dyDescent="0.25">
      <c r="A2238" s="2017"/>
      <c r="B2238" s="2018"/>
      <c r="C2238" s="2018"/>
      <c r="D2238" s="2018"/>
      <c r="E2238" s="2018"/>
      <c r="F2238" s="2018"/>
      <c r="G2238" s="2018"/>
      <c r="H2238" s="2018"/>
      <c r="I2238" s="2018"/>
      <c r="J2238" s="2018"/>
      <c r="K2238" s="2018"/>
      <c r="L2238" s="2018"/>
      <c r="M2238" s="2018"/>
      <c r="N2238" s="2018"/>
      <c r="O2238" s="2018"/>
      <c r="P2238" s="2018"/>
      <c r="Q2238" s="2018"/>
      <c r="R2238" s="2018"/>
      <c r="S2238" s="2018"/>
      <c r="T2238" s="2018"/>
      <c r="U2238" s="2018"/>
      <c r="V2238" s="2018"/>
      <c r="W2238" s="2018"/>
      <c r="X2238" s="2018"/>
      <c r="Y2238" s="2018"/>
      <c r="Z2238" s="2105"/>
      <c r="AA2238" s="2105"/>
      <c r="AB2238" s="1050"/>
      <c r="AC2238" s="1050"/>
      <c r="AD2238" s="1050"/>
      <c r="AE2238" s="1050"/>
      <c r="AF2238" s="1052"/>
    </row>
    <row r="2239" spans="1:32" ht="15.75" x14ac:dyDescent="0.25">
      <c r="A2239" s="2017"/>
      <c r="B2239" s="2018"/>
      <c r="C2239" s="2018"/>
      <c r="D2239" s="2018"/>
      <c r="E2239" s="2018"/>
      <c r="F2239" s="2018"/>
      <c r="G2239" s="2018"/>
      <c r="H2239" s="2018"/>
      <c r="I2239" s="2018"/>
      <c r="J2239" s="2018"/>
      <c r="K2239" s="2018"/>
      <c r="L2239" s="2018"/>
      <c r="M2239" s="2018"/>
      <c r="N2239" s="2018"/>
      <c r="O2239" s="2018"/>
      <c r="P2239" s="2018"/>
      <c r="Q2239" s="2018"/>
      <c r="R2239" s="2018"/>
      <c r="S2239" s="2018"/>
      <c r="T2239" s="2018"/>
      <c r="U2239" s="2018"/>
      <c r="V2239" s="2018"/>
      <c r="W2239" s="2018"/>
      <c r="X2239" s="2018"/>
      <c r="Y2239" s="2018"/>
      <c r="Z2239" s="2105"/>
      <c r="AA2239" s="2105"/>
      <c r="AB2239" s="1050"/>
      <c r="AC2239" s="1050"/>
      <c r="AD2239" s="1050"/>
      <c r="AE2239" s="1050"/>
      <c r="AF2239" s="1052"/>
    </row>
    <row r="2240" spans="1:32" ht="15.75" x14ac:dyDescent="0.25">
      <c r="A2240" s="2017"/>
      <c r="B2240" s="2018"/>
      <c r="C2240" s="2018"/>
      <c r="D2240" s="2018"/>
      <c r="E2240" s="2018"/>
      <c r="F2240" s="2018"/>
      <c r="G2240" s="2018"/>
      <c r="H2240" s="2018"/>
      <c r="I2240" s="2018"/>
      <c r="J2240" s="2018"/>
      <c r="K2240" s="2018"/>
      <c r="L2240" s="2018"/>
      <c r="M2240" s="2018"/>
      <c r="N2240" s="2018"/>
      <c r="O2240" s="2018"/>
      <c r="P2240" s="2018"/>
      <c r="Q2240" s="2018"/>
      <c r="R2240" s="2018"/>
      <c r="S2240" s="2018"/>
      <c r="T2240" s="2018"/>
      <c r="U2240" s="2018"/>
      <c r="V2240" s="2018"/>
      <c r="W2240" s="2018"/>
      <c r="X2240" s="2018"/>
      <c r="Y2240" s="2018"/>
      <c r="Z2240" s="2105"/>
      <c r="AA2240" s="2105"/>
      <c r="AB2240" s="1050"/>
      <c r="AC2240" s="1050"/>
      <c r="AD2240" s="1050"/>
      <c r="AE2240" s="1050"/>
      <c r="AF2240" s="1052"/>
    </row>
    <row r="2241" spans="1:32" ht="15.75" x14ac:dyDescent="0.25">
      <c r="A2241" s="2017"/>
      <c r="B2241" s="2018"/>
      <c r="C2241" s="2018"/>
      <c r="D2241" s="2018"/>
      <c r="E2241" s="2018"/>
      <c r="F2241" s="2018"/>
      <c r="G2241" s="2018"/>
      <c r="H2241" s="2018"/>
      <c r="I2241" s="2018"/>
      <c r="J2241" s="2018"/>
      <c r="K2241" s="2018"/>
      <c r="L2241" s="2018"/>
      <c r="M2241" s="2018"/>
      <c r="N2241" s="2018"/>
      <c r="O2241" s="2018"/>
      <c r="P2241" s="2018"/>
      <c r="Q2241" s="2018"/>
      <c r="R2241" s="2018"/>
      <c r="S2241" s="2018"/>
      <c r="T2241" s="2018"/>
      <c r="U2241" s="2018"/>
      <c r="V2241" s="2018"/>
      <c r="W2241" s="2018"/>
      <c r="X2241" s="2018"/>
      <c r="Y2241" s="2018"/>
      <c r="Z2241" s="2022"/>
      <c r="AA2241" s="2022"/>
      <c r="AB2241" s="1050"/>
      <c r="AC2241" s="1050"/>
      <c r="AD2241" s="1050"/>
      <c r="AE2241" s="1050"/>
      <c r="AF2241" s="1052"/>
    </row>
    <row r="2242" spans="1:32" ht="15.75" x14ac:dyDescent="0.25">
      <c r="A2242" s="2017"/>
      <c r="B2242" s="2018"/>
      <c r="C2242" s="2018"/>
      <c r="D2242" s="2018"/>
      <c r="E2242" s="2018"/>
      <c r="F2242" s="2018"/>
      <c r="G2242" s="2018"/>
      <c r="H2242" s="2018"/>
      <c r="I2242" s="2018"/>
      <c r="J2242" s="2018"/>
      <c r="K2242" s="2018"/>
      <c r="L2242" s="2018"/>
      <c r="M2242" s="2018"/>
      <c r="N2242" s="2018"/>
      <c r="O2242" s="2018"/>
      <c r="P2242" s="2018"/>
      <c r="Q2242" s="2018"/>
      <c r="R2242" s="2018"/>
      <c r="S2242" s="2018"/>
      <c r="T2242" s="2018"/>
      <c r="U2242" s="2018"/>
      <c r="V2242" s="2018"/>
      <c r="W2242" s="2018"/>
      <c r="X2242" s="2018"/>
      <c r="Y2242" s="2018"/>
      <c r="Z2242" s="2022"/>
      <c r="AA2242" s="2022"/>
      <c r="AB2242" s="1050"/>
      <c r="AC2242" s="1050"/>
      <c r="AD2242" s="1050"/>
      <c r="AE2242" s="1050"/>
      <c r="AF2242" s="1052"/>
    </row>
    <row r="2243" spans="1:32" ht="15.75" x14ac:dyDescent="0.25">
      <c r="A2243" s="2017"/>
      <c r="B2243" s="2018"/>
      <c r="C2243" s="2018"/>
      <c r="D2243" s="2018"/>
      <c r="E2243" s="2018"/>
      <c r="F2243" s="2018"/>
      <c r="G2243" s="2018"/>
      <c r="H2243" s="2018"/>
      <c r="I2243" s="2018"/>
      <c r="J2243" s="2018"/>
      <c r="K2243" s="2018"/>
      <c r="L2243" s="2018"/>
      <c r="M2243" s="2018"/>
      <c r="N2243" s="2018"/>
      <c r="O2243" s="2018"/>
      <c r="P2243" s="2018"/>
      <c r="Q2243" s="2018"/>
      <c r="R2243" s="2018"/>
      <c r="S2243" s="2018"/>
      <c r="T2243" s="2018"/>
      <c r="U2243" s="2018"/>
      <c r="V2243" s="2018"/>
      <c r="W2243" s="2018"/>
      <c r="X2243" s="2018"/>
      <c r="Y2243" s="2018"/>
      <c r="Z2243" s="2022"/>
      <c r="AA2243" s="2022"/>
      <c r="AB2243" s="1050"/>
      <c r="AC2243" s="1050"/>
      <c r="AD2243" s="1050"/>
      <c r="AE2243" s="1050"/>
      <c r="AF2243" s="1052"/>
    </row>
    <row r="2244" spans="1:32" ht="15.75" x14ac:dyDescent="0.25">
      <c r="A2244" s="2017"/>
      <c r="B2244" s="2018"/>
      <c r="C2244" s="2018"/>
      <c r="D2244" s="2018"/>
      <c r="E2244" s="2018"/>
      <c r="F2244" s="2018"/>
      <c r="G2244" s="2018"/>
      <c r="H2244" s="2018"/>
      <c r="I2244" s="2018"/>
      <c r="J2244" s="2018"/>
      <c r="K2244" s="2018"/>
      <c r="L2244" s="2018"/>
      <c r="M2244" s="2018"/>
      <c r="N2244" s="2018"/>
      <c r="O2244" s="2018"/>
      <c r="P2244" s="2018"/>
      <c r="Q2244" s="2018"/>
      <c r="R2244" s="2018"/>
      <c r="S2244" s="2018"/>
      <c r="T2244" s="2018"/>
      <c r="U2244" s="2018"/>
      <c r="V2244" s="2018"/>
      <c r="W2244" s="2018"/>
      <c r="X2244" s="2018"/>
      <c r="Y2244" s="2018"/>
      <c r="Z2244" s="2022"/>
      <c r="AA2244" s="2022"/>
      <c r="AB2244" s="1050"/>
      <c r="AC2244" s="1050"/>
      <c r="AD2244" s="1050"/>
      <c r="AE2244" s="1050"/>
      <c r="AF2244" s="1052"/>
    </row>
    <row r="2245" spans="1:32" ht="15.75" x14ac:dyDescent="0.25">
      <c r="A2245" s="2017"/>
      <c r="B2245" s="2018"/>
      <c r="C2245" s="2018"/>
      <c r="D2245" s="2018"/>
      <c r="E2245" s="2018"/>
      <c r="F2245" s="2018"/>
      <c r="G2245" s="2018"/>
      <c r="H2245" s="2018"/>
      <c r="I2245" s="2018"/>
      <c r="J2245" s="2018"/>
      <c r="K2245" s="2018"/>
      <c r="L2245" s="2018"/>
      <c r="M2245" s="2018"/>
      <c r="N2245" s="2018"/>
      <c r="O2245" s="2018"/>
      <c r="P2245" s="2018"/>
      <c r="Q2245" s="2018"/>
      <c r="R2245" s="2018"/>
      <c r="S2245" s="2018"/>
      <c r="T2245" s="2018"/>
      <c r="U2245" s="2018"/>
      <c r="V2245" s="2018"/>
      <c r="W2245" s="2018"/>
      <c r="X2245" s="2018"/>
      <c r="Y2245" s="2018"/>
      <c r="Z2245" s="2023"/>
      <c r="AA2245" s="2023"/>
      <c r="AB2245" s="1050"/>
      <c r="AC2245" s="1050"/>
      <c r="AD2245" s="1050"/>
      <c r="AE2245" s="1050"/>
      <c r="AF2245" s="1052"/>
    </row>
    <row r="2246" spans="1:32" ht="15.75" x14ac:dyDescent="0.25">
      <c r="A2246" s="2017"/>
      <c r="B2246" s="2018"/>
      <c r="C2246" s="2018"/>
      <c r="D2246" s="2018"/>
      <c r="E2246" s="2018"/>
      <c r="F2246" s="2018"/>
      <c r="G2246" s="2018"/>
      <c r="H2246" s="2018"/>
      <c r="I2246" s="2018"/>
      <c r="J2246" s="2018"/>
      <c r="K2246" s="2018"/>
      <c r="L2246" s="2018"/>
      <c r="M2246" s="2018"/>
      <c r="N2246" s="2018"/>
      <c r="O2246" s="2018"/>
      <c r="P2246" s="2018"/>
      <c r="Q2246" s="2018"/>
      <c r="R2246" s="2018"/>
      <c r="S2246" s="2018"/>
      <c r="T2246" s="2018"/>
      <c r="U2246" s="2018"/>
      <c r="V2246" s="2018"/>
      <c r="W2246" s="2018"/>
      <c r="X2246" s="2018"/>
      <c r="Y2246" s="2018"/>
      <c r="Z2246" s="2023"/>
      <c r="AA2246" s="2023"/>
      <c r="AB2246" s="1050"/>
      <c r="AC2246" s="1050"/>
      <c r="AD2246" s="1050"/>
      <c r="AE2246" s="1050"/>
      <c r="AF2246" s="1052"/>
    </row>
    <row r="2247" spans="1:32" ht="15.75" x14ac:dyDescent="0.25">
      <c r="A2247" s="2017"/>
      <c r="B2247" s="2018"/>
      <c r="C2247" s="2018"/>
      <c r="D2247" s="2018"/>
      <c r="E2247" s="2018"/>
      <c r="F2247" s="2018"/>
      <c r="G2247" s="2018"/>
      <c r="H2247" s="2018"/>
      <c r="I2247" s="2018"/>
      <c r="J2247" s="2018"/>
      <c r="K2247" s="2018"/>
      <c r="L2247" s="2018"/>
      <c r="M2247" s="2018"/>
      <c r="N2247" s="2018"/>
      <c r="O2247" s="2018"/>
      <c r="P2247" s="2018"/>
      <c r="Q2247" s="2018"/>
      <c r="R2247" s="2018"/>
      <c r="S2247" s="2018"/>
      <c r="T2247" s="2018"/>
      <c r="U2247" s="2018"/>
      <c r="V2247" s="2018"/>
      <c r="W2247" s="2018"/>
      <c r="X2247" s="2018"/>
      <c r="Y2247" s="2018"/>
      <c r="Z2247" s="2023"/>
      <c r="AA2247" s="2023"/>
      <c r="AB2247" s="1050"/>
      <c r="AC2247" s="1050"/>
      <c r="AD2247" s="1050"/>
      <c r="AE2247" s="1050"/>
      <c r="AF2247" s="1052"/>
    </row>
    <row r="2248" spans="1:32" ht="15.75" x14ac:dyDescent="0.25">
      <c r="A2248" s="2017"/>
      <c r="B2248" s="2018"/>
      <c r="C2248" s="2018"/>
      <c r="D2248" s="2018"/>
      <c r="E2248" s="2018"/>
      <c r="F2248" s="2018"/>
      <c r="G2248" s="2018"/>
      <c r="H2248" s="2018"/>
      <c r="I2248" s="2018"/>
      <c r="J2248" s="2018"/>
      <c r="K2248" s="2018"/>
      <c r="L2248" s="2018"/>
      <c r="M2248" s="2018"/>
      <c r="N2248" s="2018"/>
      <c r="O2248" s="2018"/>
      <c r="P2248" s="2018"/>
      <c r="Q2248" s="2018"/>
      <c r="R2248" s="2018"/>
      <c r="S2248" s="2018"/>
      <c r="T2248" s="2018"/>
      <c r="U2248" s="2018"/>
      <c r="V2248" s="2018"/>
      <c r="W2248" s="2018"/>
      <c r="X2248" s="2018"/>
      <c r="Y2248" s="2018"/>
      <c r="Z2248" s="2023"/>
      <c r="AA2248" s="2023"/>
      <c r="AB2248" s="1050"/>
      <c r="AC2248" s="1050"/>
      <c r="AD2248" s="1050"/>
      <c r="AE2248" s="1050"/>
      <c r="AF2248" s="1052"/>
    </row>
    <row r="2249" spans="1:32" ht="15.75" x14ac:dyDescent="0.25">
      <c r="A2249" s="2017"/>
      <c r="B2249" s="2018"/>
      <c r="C2249" s="2018"/>
      <c r="D2249" s="2018"/>
      <c r="E2249" s="2018"/>
      <c r="F2249" s="2018"/>
      <c r="G2249" s="2018"/>
      <c r="H2249" s="2018"/>
      <c r="I2249" s="2018"/>
      <c r="J2249" s="2018"/>
      <c r="K2249" s="2018"/>
      <c r="L2249" s="2018"/>
      <c r="M2249" s="2018"/>
      <c r="N2249" s="2018"/>
      <c r="O2249" s="2018"/>
      <c r="P2249" s="2018"/>
      <c r="Q2249" s="2018"/>
      <c r="R2249" s="2018"/>
      <c r="S2249" s="2018"/>
      <c r="T2249" s="2018"/>
      <c r="U2249" s="2018"/>
      <c r="V2249" s="2018"/>
      <c r="W2249" s="2018"/>
      <c r="X2249" s="2018"/>
      <c r="Y2249" s="2018"/>
      <c r="Z2249" s="2023"/>
      <c r="AA2249" s="2023"/>
      <c r="AB2249" s="1050"/>
      <c r="AC2249" s="1050"/>
      <c r="AD2249" s="1050"/>
      <c r="AE2249" s="1050"/>
      <c r="AF2249" s="1052"/>
    </row>
    <row r="2250" spans="1:32" ht="15.75" x14ac:dyDescent="0.25">
      <c r="A2250" s="2017"/>
      <c r="B2250" s="2018"/>
      <c r="C2250" s="2018"/>
      <c r="D2250" s="2018"/>
      <c r="E2250" s="2018"/>
      <c r="F2250" s="2018"/>
      <c r="G2250" s="2018"/>
      <c r="H2250" s="2018"/>
      <c r="I2250" s="2018"/>
      <c r="J2250" s="2018"/>
      <c r="K2250" s="2018"/>
      <c r="L2250" s="2018"/>
      <c r="M2250" s="2018"/>
      <c r="N2250" s="2018"/>
      <c r="O2250" s="2018"/>
      <c r="P2250" s="2018"/>
      <c r="Q2250" s="2018"/>
      <c r="R2250" s="2018"/>
      <c r="S2250" s="2018"/>
      <c r="T2250" s="2018"/>
      <c r="U2250" s="2018"/>
      <c r="V2250" s="2018"/>
      <c r="W2250" s="2018"/>
      <c r="X2250" s="2018"/>
      <c r="Y2250" s="2018"/>
      <c r="Z2250" s="2023"/>
      <c r="AA2250" s="2023"/>
      <c r="AB2250" s="1050"/>
      <c r="AC2250" s="1050"/>
      <c r="AD2250" s="1050"/>
      <c r="AE2250" s="1050"/>
      <c r="AF2250" s="1052"/>
    </row>
    <row r="2251" spans="1:32" ht="16.5" thickBot="1" x14ac:dyDescent="0.3">
      <c r="A2251" s="2019"/>
      <c r="B2251" s="2020"/>
      <c r="C2251" s="2020"/>
      <c r="D2251" s="2020"/>
      <c r="E2251" s="2020"/>
      <c r="F2251" s="2020"/>
      <c r="G2251" s="2020"/>
      <c r="H2251" s="2020"/>
      <c r="I2251" s="2020"/>
      <c r="J2251" s="2020"/>
      <c r="K2251" s="2020"/>
      <c r="L2251" s="2020"/>
      <c r="M2251" s="2020"/>
      <c r="N2251" s="2020"/>
      <c r="O2251" s="2020"/>
      <c r="P2251" s="2020"/>
      <c r="Q2251" s="2020"/>
      <c r="R2251" s="2020"/>
      <c r="S2251" s="2020"/>
      <c r="T2251" s="2020"/>
      <c r="U2251" s="2020"/>
      <c r="V2251" s="2020"/>
      <c r="W2251" s="2020"/>
      <c r="X2251" s="2020"/>
      <c r="Y2251" s="2020"/>
      <c r="Z2251" s="2024"/>
      <c r="AA2251" s="2024"/>
      <c r="AB2251" s="1057"/>
      <c r="AC2251" s="1057"/>
      <c r="AD2251" s="1057"/>
      <c r="AE2251" s="1057"/>
      <c r="AF2251" s="1058"/>
    </row>
    <row r="2252" spans="1:32" ht="15.75" x14ac:dyDescent="0.25">
      <c r="A2252" s="2009" t="s">
        <v>1855</v>
      </c>
      <c r="B2252" s="2010"/>
      <c r="C2252" s="2010"/>
      <c r="D2252" s="2010"/>
      <c r="E2252" s="2010"/>
      <c r="F2252" s="2010"/>
      <c r="G2252" s="2010"/>
      <c r="H2252" s="2010"/>
      <c r="I2252" s="2010"/>
      <c r="J2252" s="2010"/>
      <c r="K2252" s="2010"/>
      <c r="L2252" s="2010"/>
      <c r="M2252" s="2010"/>
      <c r="N2252" s="2010"/>
      <c r="O2252" s="2010"/>
      <c r="P2252" s="2010"/>
      <c r="Q2252" s="2010"/>
      <c r="R2252" s="2010"/>
      <c r="S2252" s="2010"/>
      <c r="T2252" s="2010"/>
      <c r="U2252" s="2010"/>
      <c r="V2252" s="2010"/>
      <c r="W2252" s="2010"/>
      <c r="X2252" s="2010"/>
      <c r="Y2252" s="2010"/>
      <c r="Z2252" s="2013" t="s">
        <v>1850</v>
      </c>
      <c r="AA2252" s="2013"/>
      <c r="AB2252" s="2013"/>
      <c r="AC2252" s="2013"/>
      <c r="AD2252" s="2013"/>
      <c r="AE2252" s="2013"/>
      <c r="AF2252" s="1059">
        <f>SUM(AF2228:AF2251)</f>
        <v>26.24</v>
      </c>
    </row>
    <row r="2253" spans="1:32" ht="15.75" x14ac:dyDescent="0.25">
      <c r="A2253" s="2011"/>
      <c r="B2253" s="2012"/>
      <c r="C2253" s="2012"/>
      <c r="D2253" s="2012"/>
      <c r="E2253" s="2012"/>
      <c r="F2253" s="2012"/>
      <c r="G2253" s="2012"/>
      <c r="H2253" s="2012"/>
      <c r="I2253" s="2012"/>
      <c r="J2253" s="2012"/>
      <c r="K2253" s="2012"/>
      <c r="L2253" s="2012"/>
      <c r="M2253" s="2012"/>
      <c r="N2253" s="2012"/>
      <c r="O2253" s="2012"/>
      <c r="P2253" s="2012"/>
      <c r="Q2253" s="2012"/>
      <c r="R2253" s="2012"/>
      <c r="S2253" s="2012"/>
      <c r="T2253" s="2012"/>
      <c r="U2253" s="2012"/>
      <c r="V2253" s="2012"/>
      <c r="W2253" s="2012"/>
      <c r="X2253" s="2012"/>
      <c r="Y2253" s="2012"/>
      <c r="Z2253" s="2014" t="s">
        <v>1851</v>
      </c>
      <c r="AA2253" s="2014"/>
      <c r="AB2253" s="2014"/>
      <c r="AC2253" s="2014"/>
      <c r="AD2253" s="2014"/>
      <c r="AE2253" s="2014"/>
      <c r="AF2253" s="1060">
        <v>0</v>
      </c>
    </row>
    <row r="2254" spans="1:32" ht="15.75" x14ac:dyDescent="0.25">
      <c r="A2254" s="2011"/>
      <c r="B2254" s="2012"/>
      <c r="C2254" s="2012"/>
      <c r="D2254" s="2012"/>
      <c r="E2254" s="2012"/>
      <c r="F2254" s="2012"/>
      <c r="G2254" s="2012"/>
      <c r="H2254" s="2012"/>
      <c r="I2254" s="2012"/>
      <c r="J2254" s="2012"/>
      <c r="K2254" s="2012"/>
      <c r="L2254" s="2012"/>
      <c r="M2254" s="2012"/>
      <c r="N2254" s="2012"/>
      <c r="O2254" s="2012"/>
      <c r="P2254" s="2012"/>
      <c r="Q2254" s="2012"/>
      <c r="R2254" s="2012"/>
      <c r="S2254" s="2012"/>
      <c r="T2254" s="2012"/>
      <c r="U2254" s="2012"/>
      <c r="V2254" s="2012"/>
      <c r="W2254" s="2012"/>
      <c r="X2254" s="2012"/>
      <c r="Y2254" s="2012"/>
      <c r="Z2254" s="2015" t="s">
        <v>1833</v>
      </c>
      <c r="AA2254" s="2015"/>
      <c r="AB2254" s="2015"/>
      <c r="AC2254" s="2015"/>
      <c r="AD2254" s="2015"/>
      <c r="AE2254" s="2015"/>
      <c r="AF2254" s="1061">
        <f>SUM(AF2252:AF2253)</f>
        <v>26.24</v>
      </c>
    </row>
    <row r="2255" spans="1:32" x14ac:dyDescent="0.2">
      <c r="A2255" s="2012" t="s">
        <v>1859</v>
      </c>
      <c r="B2255" s="2012"/>
      <c r="C2255" s="2012"/>
      <c r="D2255" s="2012"/>
      <c r="E2255" s="2012"/>
      <c r="F2255" s="2012"/>
      <c r="G2255" s="2012"/>
      <c r="H2255" s="2012"/>
      <c r="I2255" s="2012"/>
      <c r="J2255" s="2012"/>
      <c r="K2255" s="2012"/>
      <c r="L2255" s="2012"/>
      <c r="M2255" s="2012"/>
      <c r="N2255" s="2012"/>
      <c r="O2255" s="2012"/>
      <c r="P2255" s="2012"/>
      <c r="Q2255" s="2012"/>
      <c r="R2255" s="2012"/>
      <c r="S2255" s="2012"/>
      <c r="T2255" s="2016" t="s">
        <v>1840</v>
      </c>
      <c r="U2255" s="2016"/>
      <c r="V2255" s="2016"/>
      <c r="W2255" s="2016"/>
      <c r="X2255" s="2016"/>
      <c r="Y2255" s="2016"/>
      <c r="Z2255" s="2016"/>
      <c r="AA2255" s="2016"/>
      <c r="AB2255" s="2012" t="s">
        <v>1852</v>
      </c>
      <c r="AC2255" s="2012"/>
      <c r="AD2255" s="2012"/>
      <c r="AE2255" s="2012"/>
      <c r="AF2255" s="2012"/>
    </row>
    <row r="2256" spans="1:32" x14ac:dyDescent="0.2">
      <c r="A2256" s="2012"/>
      <c r="B2256" s="2012"/>
      <c r="C2256" s="2012"/>
      <c r="D2256" s="2012"/>
      <c r="E2256" s="2012"/>
      <c r="F2256" s="2012"/>
      <c r="G2256" s="2012"/>
      <c r="H2256" s="2012"/>
      <c r="I2256" s="2012"/>
      <c r="J2256" s="2012"/>
      <c r="K2256" s="2012"/>
      <c r="L2256" s="2012"/>
      <c r="M2256" s="2012"/>
      <c r="N2256" s="2012"/>
      <c r="O2256" s="2012"/>
      <c r="P2256" s="2012"/>
      <c r="Q2256" s="2012"/>
      <c r="R2256" s="2012"/>
      <c r="S2256" s="2012"/>
      <c r="T2256" s="2016"/>
      <c r="U2256" s="2016"/>
      <c r="V2256" s="2016"/>
      <c r="W2256" s="2016"/>
      <c r="X2256" s="2016"/>
      <c r="Y2256" s="2016"/>
      <c r="Z2256" s="2016"/>
      <c r="AA2256" s="2016"/>
      <c r="AB2256" s="2012"/>
      <c r="AC2256" s="2012"/>
      <c r="AD2256" s="2012"/>
      <c r="AE2256" s="2012"/>
      <c r="AF2256" s="2012"/>
    </row>
    <row r="2257" spans="1:32" ht="13.5" thickBot="1" x14ac:dyDescent="0.25"/>
    <row r="2258" spans="1:32" ht="26.45" customHeight="1" x14ac:dyDescent="0.2">
      <c r="A2258" s="2025" t="s">
        <v>1854</v>
      </c>
      <c r="B2258" s="2026"/>
      <c r="C2258" s="2026"/>
      <c r="D2258" s="2026"/>
      <c r="E2258" s="2026"/>
      <c r="F2258" s="2026"/>
      <c r="G2258" s="2026"/>
      <c r="H2258" s="2026"/>
      <c r="I2258" s="2026"/>
      <c r="J2258" s="2026"/>
      <c r="K2258" s="2026"/>
      <c r="L2258" s="2026"/>
      <c r="M2258" s="2026"/>
      <c r="N2258" s="2026"/>
      <c r="O2258" s="2026"/>
      <c r="P2258" s="2026"/>
      <c r="Q2258" s="2026"/>
      <c r="R2258" s="2026"/>
      <c r="S2258" s="2026"/>
      <c r="T2258" s="2026"/>
      <c r="U2258" s="2026"/>
      <c r="V2258" s="2026"/>
      <c r="W2258" s="2026"/>
      <c r="X2258" s="2026"/>
      <c r="Y2258" s="2026"/>
      <c r="Z2258" s="2026"/>
      <c r="AA2258" s="2026"/>
      <c r="AB2258" s="2026"/>
      <c r="AC2258" s="2026"/>
      <c r="AD2258" s="2026"/>
      <c r="AE2258" s="1041" t="s">
        <v>1834</v>
      </c>
      <c r="AF2258" s="1042" t="s">
        <v>1835</v>
      </c>
    </row>
    <row r="2259" spans="1:32" ht="21" customHeight="1" thickBot="1" x14ac:dyDescent="0.25">
      <c r="A2259" s="2027"/>
      <c r="B2259" s="2028"/>
      <c r="C2259" s="2028"/>
      <c r="D2259" s="2028"/>
      <c r="E2259" s="2028"/>
      <c r="F2259" s="2028"/>
      <c r="G2259" s="2028"/>
      <c r="H2259" s="2028"/>
      <c r="I2259" s="2028"/>
      <c r="J2259" s="2028"/>
      <c r="K2259" s="2028"/>
      <c r="L2259" s="2028"/>
      <c r="M2259" s="2028"/>
      <c r="N2259" s="2028"/>
      <c r="O2259" s="2028"/>
      <c r="P2259" s="2028"/>
      <c r="Q2259" s="2028"/>
      <c r="R2259" s="2028"/>
      <c r="S2259" s="2028"/>
      <c r="T2259" s="2028"/>
      <c r="U2259" s="2028"/>
      <c r="V2259" s="2028"/>
      <c r="W2259" s="2028"/>
      <c r="X2259" s="2028"/>
      <c r="Y2259" s="2028"/>
      <c r="Z2259" s="2028"/>
      <c r="AA2259" s="2028"/>
      <c r="AB2259" s="2028"/>
      <c r="AC2259" s="2028"/>
      <c r="AD2259" s="2028"/>
      <c r="AE2259" s="1041" t="s">
        <v>1836</v>
      </c>
      <c r="AF2259" s="1044">
        <v>1</v>
      </c>
    </row>
    <row r="2260" spans="1:32" ht="15.75" x14ac:dyDescent="0.2">
      <c r="A2260" s="2029"/>
      <c r="B2260" s="2030"/>
      <c r="C2260" s="2030"/>
      <c r="D2260" s="2031"/>
      <c r="E2260" s="2025" t="str">
        <f>'01'!$A$12</f>
        <v>"CONSTRUCCION SISTEMA DE ACUEDUCTO FASE II DEL MUNICIPIO DE TESALIA DPTO DEL HUILA"</v>
      </c>
      <c r="F2260" s="2026"/>
      <c r="G2260" s="2026"/>
      <c r="H2260" s="2026"/>
      <c r="I2260" s="2026"/>
      <c r="J2260" s="2026"/>
      <c r="K2260" s="2026"/>
      <c r="L2260" s="2026"/>
      <c r="M2260" s="2026"/>
      <c r="N2260" s="2026"/>
      <c r="O2260" s="2026"/>
      <c r="P2260" s="2026"/>
      <c r="Q2260" s="2026"/>
      <c r="R2260" s="2026"/>
      <c r="S2260" s="2026"/>
      <c r="T2260" s="2026"/>
      <c r="U2260" s="2026"/>
      <c r="V2260" s="2026"/>
      <c r="W2260" s="2026"/>
      <c r="X2260" s="2026"/>
      <c r="Y2260" s="2026"/>
      <c r="Z2260" s="2026"/>
      <c r="AA2260" s="2026"/>
      <c r="AB2260" s="2026"/>
      <c r="AC2260" s="2026"/>
      <c r="AD2260" s="2035"/>
      <c r="AE2260" s="1041" t="s">
        <v>847</v>
      </c>
      <c r="AF2260" s="1045">
        <f>'01'!$M$13</f>
        <v>0</v>
      </c>
    </row>
    <row r="2261" spans="1:32" ht="16.5" thickBot="1" x14ac:dyDescent="0.25">
      <c r="A2261" s="2032"/>
      <c r="B2261" s="2033"/>
      <c r="C2261" s="2033"/>
      <c r="D2261" s="2034"/>
      <c r="E2261" s="2027"/>
      <c r="F2261" s="2028"/>
      <c r="G2261" s="2028"/>
      <c r="H2261" s="2028"/>
      <c r="I2261" s="2028"/>
      <c r="J2261" s="2028"/>
      <c r="K2261" s="2028"/>
      <c r="L2261" s="2028"/>
      <c r="M2261" s="2028"/>
      <c r="N2261" s="2028"/>
      <c r="O2261" s="2028"/>
      <c r="P2261" s="2028"/>
      <c r="Q2261" s="2028"/>
      <c r="R2261" s="2028"/>
      <c r="S2261" s="2028"/>
      <c r="T2261" s="2028"/>
      <c r="U2261" s="2028"/>
      <c r="V2261" s="2028"/>
      <c r="W2261" s="2028"/>
      <c r="X2261" s="2028"/>
      <c r="Y2261" s="2028"/>
      <c r="Z2261" s="2028"/>
      <c r="AA2261" s="2028"/>
      <c r="AB2261" s="2028"/>
      <c r="AC2261" s="2028"/>
      <c r="AD2261" s="2036"/>
      <c r="AE2261" s="1041" t="s">
        <v>1837</v>
      </c>
      <c r="AF2261" s="1042" t="s">
        <v>1838</v>
      </c>
    </row>
    <row r="2262" spans="1:32" ht="15.75" x14ac:dyDescent="0.25">
      <c r="A2262" s="2037" t="s">
        <v>1860</v>
      </c>
      <c r="B2262" s="2038"/>
      <c r="C2262" s="2038"/>
      <c r="D2262" s="2038"/>
      <c r="E2262" s="2038"/>
      <c r="F2262" s="2038"/>
      <c r="G2262" s="2038"/>
      <c r="H2262" s="2038"/>
      <c r="I2262" s="2038"/>
      <c r="J2262" s="2038"/>
      <c r="K2262" s="2038"/>
      <c r="L2262" s="2038"/>
      <c r="M2262" s="2038"/>
      <c r="N2262" s="2038"/>
      <c r="O2262" s="2038"/>
      <c r="P2262" s="2038"/>
      <c r="Q2262" s="2038"/>
      <c r="R2262" s="2038"/>
      <c r="S2262" s="2038"/>
      <c r="T2262" s="2038"/>
      <c r="U2262" s="2038"/>
      <c r="V2262" s="2038"/>
      <c r="W2262" s="2038"/>
      <c r="X2262" s="2038"/>
      <c r="Y2262" s="2038"/>
      <c r="Z2262" s="2038"/>
      <c r="AA2262" s="2038"/>
      <c r="AB2262" s="2038"/>
      <c r="AC2262" s="2038"/>
      <c r="AD2262" s="2038"/>
      <c r="AE2262" s="2039" t="s">
        <v>1839</v>
      </c>
      <c r="AF2262" s="2040"/>
    </row>
    <row r="2263" spans="1:32" ht="15.75" x14ac:dyDescent="0.25">
      <c r="A2263" s="2041" t="s">
        <v>1840</v>
      </c>
      <c r="B2263" s="2042"/>
      <c r="C2263" s="2042"/>
      <c r="D2263" s="2042"/>
      <c r="E2263" s="2042"/>
      <c r="F2263" s="2042"/>
      <c r="G2263" s="2042"/>
      <c r="H2263" s="2042"/>
      <c r="I2263" s="2042"/>
      <c r="J2263" s="2042"/>
      <c r="K2263" s="2042"/>
      <c r="L2263" s="2042"/>
      <c r="M2263" s="2042"/>
      <c r="N2263" s="2042"/>
      <c r="O2263" s="2042"/>
      <c r="P2263" s="2042"/>
      <c r="Q2263" s="2042"/>
      <c r="R2263" s="2042"/>
      <c r="S2263" s="2042"/>
      <c r="T2263" s="2042"/>
      <c r="U2263" s="2042"/>
      <c r="V2263" s="2042"/>
      <c r="W2263" s="2042"/>
      <c r="X2263" s="2042"/>
      <c r="Y2263" s="2042"/>
      <c r="Z2263" s="2042"/>
      <c r="AA2263" s="2042"/>
      <c r="AB2263" s="2042"/>
      <c r="AC2263" s="2042"/>
      <c r="AD2263" s="2043"/>
      <c r="AE2263" s="2014" t="s">
        <v>1841</v>
      </c>
      <c r="AF2263" s="2044"/>
    </row>
    <row r="2264" spans="1:32" ht="15.75" x14ac:dyDescent="0.25">
      <c r="A2264" s="2045" t="s">
        <v>1853</v>
      </c>
      <c r="B2264" s="2046"/>
      <c r="C2264" s="2046"/>
      <c r="D2264" s="2046"/>
      <c r="E2264" s="2046"/>
      <c r="F2264" s="2046"/>
      <c r="G2264" s="2046"/>
      <c r="H2264" s="2046"/>
      <c r="I2264" s="2046"/>
      <c r="J2264" s="2046"/>
      <c r="K2264" s="2046"/>
      <c r="L2264" s="2046"/>
      <c r="M2264" s="2046"/>
      <c r="N2264" s="2046"/>
      <c r="O2264" s="2046"/>
      <c r="P2264" s="2046"/>
      <c r="Q2264" s="2046"/>
      <c r="R2264" s="2046"/>
      <c r="S2264" s="2046"/>
      <c r="T2264" s="2046"/>
      <c r="U2264" s="2046"/>
      <c r="V2264" s="2046"/>
      <c r="W2264" s="2046"/>
      <c r="X2264" s="2046"/>
      <c r="Y2264" s="2046"/>
      <c r="Z2264" s="2046"/>
      <c r="AA2264" s="2046"/>
      <c r="AB2264" s="2046"/>
      <c r="AC2264" s="2046"/>
      <c r="AD2264" s="2046"/>
      <c r="AE2264" s="2047">
        <f>'01'!$M$13</f>
        <v>0</v>
      </c>
      <c r="AF2264" s="2044"/>
    </row>
    <row r="2265" spans="1:32" x14ac:dyDescent="0.2">
      <c r="A2265" s="1046"/>
      <c r="B2265" s="1047"/>
      <c r="C2265" s="1047"/>
      <c r="D2265" s="1047"/>
      <c r="E2265" s="1047"/>
      <c r="F2265" s="1047"/>
      <c r="G2265" s="1047"/>
      <c r="H2265" s="1047"/>
      <c r="I2265" s="1047"/>
      <c r="J2265" s="1047"/>
      <c r="K2265" s="1047"/>
      <c r="L2265" s="1047"/>
      <c r="M2265" s="1047"/>
      <c r="N2265" s="1047"/>
      <c r="O2265" s="1047"/>
      <c r="P2265" s="1047"/>
      <c r="Q2265" s="1047"/>
      <c r="R2265" s="1047"/>
      <c r="S2265" s="1047"/>
      <c r="T2265" s="1047"/>
      <c r="U2265" s="1047"/>
      <c r="V2265" s="1047"/>
      <c r="W2265" s="1047"/>
      <c r="X2265" s="1047"/>
      <c r="Y2265" s="1047"/>
      <c r="Z2265" s="1047"/>
      <c r="AA2265" s="1047"/>
      <c r="AB2265" s="1047"/>
      <c r="AC2265" s="1047"/>
      <c r="AD2265" s="1047"/>
      <c r="AE2265" s="1047"/>
      <c r="AF2265" s="1048"/>
    </row>
    <row r="2266" spans="1:32" ht="30" customHeight="1" x14ac:dyDescent="0.2">
      <c r="A2266" s="2048" t="s">
        <v>1842</v>
      </c>
      <c r="B2266" s="2049"/>
      <c r="C2266" s="2049"/>
      <c r="D2266" s="2049"/>
      <c r="E2266" s="2049"/>
      <c r="F2266" s="2050" t="str">
        <f>+'01'!$H$63</f>
        <v>C - FLOCULADOR, SEDIMENTADOR, CANAL DE AGUA SEDIMENTADA Y CANAL DE LAVADO</v>
      </c>
      <c r="G2266" s="2049"/>
      <c r="H2266" s="2049"/>
      <c r="I2266" s="2049"/>
      <c r="J2266" s="2049"/>
      <c r="K2266" s="2049"/>
      <c r="L2266" s="2049"/>
      <c r="M2266" s="2049"/>
      <c r="N2266" s="2049"/>
      <c r="O2266" s="2049"/>
      <c r="P2266" s="2049"/>
      <c r="Q2266" s="2049"/>
      <c r="R2266" s="2049"/>
      <c r="S2266" s="2049"/>
      <c r="T2266" s="2049"/>
      <c r="U2266" s="2049"/>
      <c r="V2266" s="2049"/>
      <c r="W2266" s="2049"/>
      <c r="X2266" s="2049"/>
      <c r="Y2266" s="2051"/>
      <c r="Z2266" s="2052" t="s">
        <v>1843</v>
      </c>
      <c r="AA2266" s="2053"/>
      <c r="AB2266" s="2058" t="s">
        <v>1844</v>
      </c>
      <c r="AC2266" s="2059"/>
      <c r="AD2266" s="2060"/>
      <c r="AE2266" s="2064" t="s">
        <v>1845</v>
      </c>
      <c r="AF2266" s="2067" t="s">
        <v>1846</v>
      </c>
    </row>
    <row r="2267" spans="1:32" ht="15" customHeight="1" x14ac:dyDescent="0.2">
      <c r="A2267" s="2070" t="str">
        <f>+'01'!A100</f>
        <v>C-08-15</v>
      </c>
      <c r="B2267" s="2071"/>
      <c r="C2267" s="2072"/>
      <c r="D2267" s="2076" t="str">
        <f>VLOOKUP(A2267,'01'!$A$12:$N$299,3,FALSE)</f>
        <v xml:space="preserve">ANTRACITA PARA FILTRO. </v>
      </c>
      <c r="E2267" s="2077"/>
      <c r="F2267" s="2077"/>
      <c r="G2267" s="2077"/>
      <c r="H2267" s="2077"/>
      <c r="I2267" s="2077"/>
      <c r="J2267" s="2077"/>
      <c r="K2267" s="2077"/>
      <c r="L2267" s="2077"/>
      <c r="M2267" s="2077"/>
      <c r="N2267" s="2077"/>
      <c r="O2267" s="2077"/>
      <c r="P2267" s="2077"/>
      <c r="Q2267" s="2077"/>
      <c r="R2267" s="2077"/>
      <c r="S2267" s="2078"/>
      <c r="T2267" s="2082" t="s">
        <v>124</v>
      </c>
      <c r="U2267" s="2083"/>
      <c r="V2267" s="2083"/>
      <c r="W2267" s="2083"/>
      <c r="X2267" s="2052" t="str">
        <f>VLOOKUP(A2267,'01'!$A$12:$N$299,9,FALSE)</f>
        <v>M3</v>
      </c>
      <c r="Y2267" s="2053"/>
      <c r="Z2267" s="2054"/>
      <c r="AA2267" s="2055"/>
      <c r="AB2267" s="2061"/>
      <c r="AC2267" s="2062"/>
      <c r="AD2267" s="2063"/>
      <c r="AE2267" s="2065"/>
      <c r="AF2267" s="2068"/>
    </row>
    <row r="2268" spans="1:32" ht="15" customHeight="1" x14ac:dyDescent="0.25">
      <c r="A2268" s="2073"/>
      <c r="B2268" s="2074"/>
      <c r="C2268" s="2075"/>
      <c r="D2268" s="2079"/>
      <c r="E2268" s="2080"/>
      <c r="F2268" s="2080"/>
      <c r="G2268" s="2080"/>
      <c r="H2268" s="2080"/>
      <c r="I2268" s="2080"/>
      <c r="J2268" s="2080"/>
      <c r="K2268" s="2080"/>
      <c r="L2268" s="2080"/>
      <c r="M2268" s="2080"/>
      <c r="N2268" s="2080"/>
      <c r="O2268" s="2080"/>
      <c r="P2268" s="2080"/>
      <c r="Q2268" s="2080"/>
      <c r="R2268" s="2080"/>
      <c r="S2268" s="2081"/>
      <c r="T2268" s="2084"/>
      <c r="U2268" s="2085"/>
      <c r="V2268" s="2085"/>
      <c r="W2268" s="2085"/>
      <c r="X2268" s="2056"/>
      <c r="Y2268" s="2057"/>
      <c r="Z2268" s="2056"/>
      <c r="AA2268" s="2057"/>
      <c r="AB2268" s="1049" t="s">
        <v>1847</v>
      </c>
      <c r="AC2268" s="1049" t="s">
        <v>1848</v>
      </c>
      <c r="AD2268" s="1049" t="s">
        <v>1861</v>
      </c>
      <c r="AE2268" s="2066"/>
      <c r="AF2268" s="2069"/>
    </row>
    <row r="2269" spans="1:32" ht="15.6" customHeight="1" x14ac:dyDescent="0.25">
      <c r="A2269" s="2017"/>
      <c r="B2269" s="2018"/>
      <c r="C2269" s="2018"/>
      <c r="D2269" s="2018"/>
      <c r="E2269" s="2018"/>
      <c r="F2269" s="2018"/>
      <c r="G2269" s="2018"/>
      <c r="H2269" s="2018"/>
      <c r="I2269" s="2018"/>
      <c r="J2269" s="2018"/>
      <c r="K2269" s="2018"/>
      <c r="L2269" s="2018"/>
      <c r="M2269" s="2018"/>
      <c r="N2269" s="2018"/>
      <c r="O2269" s="2018"/>
      <c r="P2269" s="2018"/>
      <c r="Q2269" s="2018"/>
      <c r="R2269" s="2018"/>
      <c r="S2269" s="2018"/>
      <c r="T2269" s="2018"/>
      <c r="U2269" s="2018"/>
      <c r="V2269" s="2018"/>
      <c r="W2269" s="2018"/>
      <c r="X2269" s="2018"/>
      <c r="Y2269" s="2018"/>
      <c r="Z2269" s="2096" t="s">
        <v>2436</v>
      </c>
      <c r="AA2269" s="2097"/>
      <c r="AB2269" s="1050">
        <f>+AB2187</f>
        <v>1.67</v>
      </c>
      <c r="AC2269" s="1050">
        <f>+AC2187</f>
        <v>1.3</v>
      </c>
      <c r="AD2269" s="1050">
        <v>0.45</v>
      </c>
      <c r="AE2269" s="1050">
        <v>4</v>
      </c>
      <c r="AF2269" s="1052">
        <f>+ROUND(AB2269*AC2269*AD2269*AE2269,2)</f>
        <v>3.91</v>
      </c>
    </row>
    <row r="2270" spans="1:32" ht="15.6" customHeight="1" x14ac:dyDescent="0.25">
      <c r="A2270" s="2017"/>
      <c r="B2270" s="2018"/>
      <c r="C2270" s="2018"/>
      <c r="D2270" s="2018"/>
      <c r="E2270" s="2018"/>
      <c r="F2270" s="2018"/>
      <c r="G2270" s="2018"/>
      <c r="H2270" s="2018"/>
      <c r="I2270" s="2018"/>
      <c r="J2270" s="2018"/>
      <c r="K2270" s="2018"/>
      <c r="L2270" s="2018"/>
      <c r="M2270" s="2018"/>
      <c r="N2270" s="2018"/>
      <c r="O2270" s="2018"/>
      <c r="P2270" s="2018"/>
      <c r="Q2270" s="2018"/>
      <c r="R2270" s="2018"/>
      <c r="S2270" s="2018"/>
      <c r="T2270" s="2018"/>
      <c r="U2270" s="2018"/>
      <c r="V2270" s="2018"/>
      <c r="W2270" s="2018"/>
      <c r="X2270" s="2018"/>
      <c r="Y2270" s="2018"/>
      <c r="Z2270" s="2096"/>
      <c r="AA2270" s="2097"/>
      <c r="AB2270" s="1050"/>
      <c r="AC2270" s="1050"/>
      <c r="AD2270" s="1050"/>
      <c r="AE2270" s="1050"/>
      <c r="AF2270" s="1052"/>
    </row>
    <row r="2271" spans="1:32" ht="15.75" x14ac:dyDescent="0.25">
      <c r="A2271" s="2017"/>
      <c r="B2271" s="2018"/>
      <c r="C2271" s="2018"/>
      <c r="D2271" s="2018"/>
      <c r="E2271" s="2018"/>
      <c r="F2271" s="2018"/>
      <c r="G2271" s="2018"/>
      <c r="H2271" s="2018"/>
      <c r="I2271" s="2018"/>
      <c r="J2271" s="2018"/>
      <c r="K2271" s="2018"/>
      <c r="L2271" s="2018"/>
      <c r="M2271" s="2018"/>
      <c r="N2271" s="2018"/>
      <c r="O2271" s="2018"/>
      <c r="P2271" s="2018"/>
      <c r="Q2271" s="2018"/>
      <c r="R2271" s="2018"/>
      <c r="S2271" s="2018"/>
      <c r="T2271" s="2018"/>
      <c r="U2271" s="2018"/>
      <c r="V2271" s="2018"/>
      <c r="W2271" s="2018"/>
      <c r="X2271" s="2018"/>
      <c r="Y2271" s="2018"/>
      <c r="Z2271" s="2096"/>
      <c r="AA2271" s="2097"/>
      <c r="AB2271" s="1050"/>
      <c r="AC2271" s="1050"/>
      <c r="AD2271" s="1050"/>
      <c r="AE2271" s="1050"/>
      <c r="AF2271" s="1052"/>
    </row>
    <row r="2272" spans="1:32" ht="15.75" x14ac:dyDescent="0.25">
      <c r="A2272" s="2017"/>
      <c r="B2272" s="2018"/>
      <c r="C2272" s="2018"/>
      <c r="D2272" s="2018"/>
      <c r="E2272" s="2018"/>
      <c r="F2272" s="2018"/>
      <c r="G2272" s="2018"/>
      <c r="H2272" s="2018"/>
      <c r="I2272" s="2018"/>
      <c r="J2272" s="2018"/>
      <c r="K2272" s="2018"/>
      <c r="L2272" s="2018"/>
      <c r="M2272" s="2018"/>
      <c r="N2272" s="2018"/>
      <c r="O2272" s="2018"/>
      <c r="P2272" s="2018"/>
      <c r="Q2272" s="2018"/>
      <c r="R2272" s="2018"/>
      <c r="S2272" s="2018"/>
      <c r="T2272" s="2018"/>
      <c r="U2272" s="2018"/>
      <c r="V2272" s="2018"/>
      <c r="W2272" s="2018"/>
      <c r="X2272" s="2018"/>
      <c r="Y2272" s="2018"/>
      <c r="Z2272" s="2096"/>
      <c r="AA2272" s="2097"/>
      <c r="AB2272" s="1050"/>
      <c r="AC2272" s="1050"/>
      <c r="AD2272" s="1050"/>
      <c r="AE2272" s="1050"/>
      <c r="AF2272" s="1052"/>
    </row>
    <row r="2273" spans="1:32" ht="15.75" x14ac:dyDescent="0.25">
      <c r="A2273" s="2017"/>
      <c r="B2273" s="2018"/>
      <c r="C2273" s="2018"/>
      <c r="D2273" s="2018"/>
      <c r="E2273" s="2018"/>
      <c r="F2273" s="2018"/>
      <c r="G2273" s="2018"/>
      <c r="H2273" s="2018"/>
      <c r="I2273" s="2018"/>
      <c r="J2273" s="2018"/>
      <c r="K2273" s="2018"/>
      <c r="L2273" s="2018"/>
      <c r="M2273" s="2018"/>
      <c r="N2273" s="2018"/>
      <c r="O2273" s="2018"/>
      <c r="P2273" s="2018"/>
      <c r="Q2273" s="2018"/>
      <c r="R2273" s="2018"/>
      <c r="S2273" s="2018"/>
      <c r="T2273" s="2018"/>
      <c r="U2273" s="2018"/>
      <c r="V2273" s="2018"/>
      <c r="W2273" s="2018"/>
      <c r="X2273" s="2018"/>
      <c r="Y2273" s="2018"/>
      <c r="Z2273" s="2096"/>
      <c r="AA2273" s="2097"/>
      <c r="AB2273" s="1050"/>
      <c r="AC2273" s="1050"/>
      <c r="AD2273" s="1050"/>
      <c r="AE2273" s="1050"/>
      <c r="AF2273" s="1052"/>
    </row>
    <row r="2274" spans="1:32" ht="15.75" x14ac:dyDescent="0.25">
      <c r="A2274" s="2017"/>
      <c r="B2274" s="2018"/>
      <c r="C2274" s="2018"/>
      <c r="D2274" s="2018"/>
      <c r="E2274" s="2018"/>
      <c r="F2274" s="2018"/>
      <c r="G2274" s="2018"/>
      <c r="H2274" s="2018"/>
      <c r="I2274" s="2018"/>
      <c r="J2274" s="2018"/>
      <c r="K2274" s="2018"/>
      <c r="L2274" s="2018"/>
      <c r="M2274" s="2018"/>
      <c r="N2274" s="2018"/>
      <c r="O2274" s="2018"/>
      <c r="P2274" s="2018"/>
      <c r="Q2274" s="2018"/>
      <c r="R2274" s="2018"/>
      <c r="S2274" s="2018"/>
      <c r="T2274" s="2018"/>
      <c r="U2274" s="2018"/>
      <c r="V2274" s="2018"/>
      <c r="W2274" s="2018"/>
      <c r="X2274" s="2018"/>
      <c r="Y2274" s="2018"/>
      <c r="Z2274" s="2096"/>
      <c r="AA2274" s="2097"/>
      <c r="AB2274" s="1050"/>
      <c r="AC2274" s="1050"/>
      <c r="AD2274" s="1050"/>
      <c r="AE2274" s="1050"/>
      <c r="AF2274" s="1052"/>
    </row>
    <row r="2275" spans="1:32" ht="15.75" x14ac:dyDescent="0.25">
      <c r="A2275" s="2017"/>
      <c r="B2275" s="2018"/>
      <c r="C2275" s="2018"/>
      <c r="D2275" s="2018"/>
      <c r="E2275" s="2018"/>
      <c r="F2275" s="2018"/>
      <c r="G2275" s="2018"/>
      <c r="H2275" s="2018"/>
      <c r="I2275" s="2018"/>
      <c r="J2275" s="2018"/>
      <c r="K2275" s="2018"/>
      <c r="L2275" s="2018"/>
      <c r="M2275" s="2018"/>
      <c r="N2275" s="2018"/>
      <c r="O2275" s="2018"/>
      <c r="P2275" s="2018"/>
      <c r="Q2275" s="2018"/>
      <c r="R2275" s="2018"/>
      <c r="S2275" s="2018"/>
      <c r="T2275" s="2018"/>
      <c r="U2275" s="2018"/>
      <c r="V2275" s="2018"/>
      <c r="W2275" s="2018"/>
      <c r="X2275" s="2018"/>
      <c r="Y2275" s="2018"/>
      <c r="Z2275" s="2105"/>
      <c r="AA2275" s="2105"/>
      <c r="AB2275" s="1050"/>
      <c r="AC2275" s="1050"/>
      <c r="AD2275" s="1050"/>
      <c r="AE2275" s="1050"/>
      <c r="AF2275" s="1052"/>
    </row>
    <row r="2276" spans="1:32" ht="15.75" x14ac:dyDescent="0.25">
      <c r="A2276" s="2017"/>
      <c r="B2276" s="2018"/>
      <c r="C2276" s="2018"/>
      <c r="D2276" s="2018"/>
      <c r="E2276" s="2018"/>
      <c r="F2276" s="2018"/>
      <c r="G2276" s="2018"/>
      <c r="H2276" s="2018"/>
      <c r="I2276" s="2018"/>
      <c r="J2276" s="2018"/>
      <c r="K2276" s="2018"/>
      <c r="L2276" s="2018"/>
      <c r="M2276" s="2018"/>
      <c r="N2276" s="2018"/>
      <c r="O2276" s="2018"/>
      <c r="P2276" s="2018"/>
      <c r="Q2276" s="2018"/>
      <c r="R2276" s="2018"/>
      <c r="S2276" s="2018"/>
      <c r="T2276" s="2018"/>
      <c r="U2276" s="2018"/>
      <c r="V2276" s="2018"/>
      <c r="W2276" s="2018"/>
      <c r="X2276" s="2018"/>
      <c r="Y2276" s="2018"/>
      <c r="Z2276" s="2105"/>
      <c r="AA2276" s="2105"/>
      <c r="AB2276" s="1050"/>
      <c r="AC2276" s="1050"/>
      <c r="AD2276" s="1050"/>
      <c r="AE2276" s="1050"/>
      <c r="AF2276" s="1052"/>
    </row>
    <row r="2277" spans="1:32" ht="15.75" x14ac:dyDescent="0.25">
      <c r="A2277" s="2017"/>
      <c r="B2277" s="2018"/>
      <c r="C2277" s="2018"/>
      <c r="D2277" s="2018"/>
      <c r="E2277" s="2018"/>
      <c r="F2277" s="2018"/>
      <c r="G2277" s="2018"/>
      <c r="H2277" s="2018"/>
      <c r="I2277" s="2018"/>
      <c r="J2277" s="2018"/>
      <c r="K2277" s="2018"/>
      <c r="L2277" s="2018"/>
      <c r="M2277" s="2018"/>
      <c r="N2277" s="2018"/>
      <c r="O2277" s="2018"/>
      <c r="P2277" s="2018"/>
      <c r="Q2277" s="2018"/>
      <c r="R2277" s="2018"/>
      <c r="S2277" s="2018"/>
      <c r="T2277" s="2018"/>
      <c r="U2277" s="2018"/>
      <c r="V2277" s="2018"/>
      <c r="W2277" s="2018"/>
      <c r="X2277" s="2018"/>
      <c r="Y2277" s="2018"/>
      <c r="Z2277" s="2105"/>
      <c r="AA2277" s="2105"/>
      <c r="AB2277" s="1050"/>
      <c r="AC2277" s="1050"/>
      <c r="AD2277" s="1050"/>
      <c r="AE2277" s="1050"/>
      <c r="AF2277" s="1052"/>
    </row>
    <row r="2278" spans="1:32" ht="15.75" x14ac:dyDescent="0.25">
      <c r="A2278" s="2017"/>
      <c r="B2278" s="2018"/>
      <c r="C2278" s="2018"/>
      <c r="D2278" s="2018"/>
      <c r="E2278" s="2018"/>
      <c r="F2278" s="2018"/>
      <c r="G2278" s="2018"/>
      <c r="H2278" s="2018"/>
      <c r="I2278" s="2018"/>
      <c r="J2278" s="2018"/>
      <c r="K2278" s="2018"/>
      <c r="L2278" s="2018"/>
      <c r="M2278" s="2018"/>
      <c r="N2278" s="2018"/>
      <c r="O2278" s="2018"/>
      <c r="P2278" s="2018"/>
      <c r="Q2278" s="2018"/>
      <c r="R2278" s="2018"/>
      <c r="S2278" s="2018"/>
      <c r="T2278" s="2018"/>
      <c r="U2278" s="2018"/>
      <c r="V2278" s="2018"/>
      <c r="W2278" s="2018"/>
      <c r="X2278" s="2018"/>
      <c r="Y2278" s="2018"/>
      <c r="Z2278" s="2105"/>
      <c r="AA2278" s="2105"/>
      <c r="AB2278" s="1050"/>
      <c r="AC2278" s="1050"/>
      <c r="AD2278" s="1050"/>
      <c r="AE2278" s="1050"/>
      <c r="AF2278" s="1052"/>
    </row>
    <row r="2279" spans="1:32" ht="15.75" x14ac:dyDescent="0.25">
      <c r="A2279" s="2017"/>
      <c r="B2279" s="2018"/>
      <c r="C2279" s="2018"/>
      <c r="D2279" s="2018"/>
      <c r="E2279" s="2018"/>
      <c r="F2279" s="2018"/>
      <c r="G2279" s="2018"/>
      <c r="H2279" s="2018"/>
      <c r="I2279" s="2018"/>
      <c r="J2279" s="2018"/>
      <c r="K2279" s="2018"/>
      <c r="L2279" s="2018"/>
      <c r="M2279" s="2018"/>
      <c r="N2279" s="2018"/>
      <c r="O2279" s="2018"/>
      <c r="P2279" s="2018"/>
      <c r="Q2279" s="2018"/>
      <c r="R2279" s="2018"/>
      <c r="S2279" s="2018"/>
      <c r="T2279" s="2018"/>
      <c r="U2279" s="2018"/>
      <c r="V2279" s="2018"/>
      <c r="W2279" s="2018"/>
      <c r="X2279" s="2018"/>
      <c r="Y2279" s="2018"/>
      <c r="Z2279" s="2105"/>
      <c r="AA2279" s="2105"/>
      <c r="AB2279" s="1050"/>
      <c r="AC2279" s="1050"/>
      <c r="AD2279" s="1050"/>
      <c r="AE2279" s="1050"/>
      <c r="AF2279" s="1052"/>
    </row>
    <row r="2280" spans="1:32" ht="15.75" x14ac:dyDescent="0.25">
      <c r="A2280" s="2017"/>
      <c r="B2280" s="2018"/>
      <c r="C2280" s="2018"/>
      <c r="D2280" s="2018"/>
      <c r="E2280" s="2018"/>
      <c r="F2280" s="2018"/>
      <c r="G2280" s="2018"/>
      <c r="H2280" s="2018"/>
      <c r="I2280" s="2018"/>
      <c r="J2280" s="2018"/>
      <c r="K2280" s="2018"/>
      <c r="L2280" s="2018"/>
      <c r="M2280" s="2018"/>
      <c r="N2280" s="2018"/>
      <c r="O2280" s="2018"/>
      <c r="P2280" s="2018"/>
      <c r="Q2280" s="2018"/>
      <c r="R2280" s="2018"/>
      <c r="S2280" s="2018"/>
      <c r="T2280" s="2018"/>
      <c r="U2280" s="2018"/>
      <c r="V2280" s="2018"/>
      <c r="W2280" s="2018"/>
      <c r="X2280" s="2018"/>
      <c r="Y2280" s="2018"/>
      <c r="Z2280" s="2105"/>
      <c r="AA2280" s="2105"/>
      <c r="AB2280" s="1050"/>
      <c r="AC2280" s="1050"/>
      <c r="AD2280" s="1050"/>
      <c r="AE2280" s="1050"/>
      <c r="AF2280" s="1052"/>
    </row>
    <row r="2281" spans="1:32" ht="15.75" x14ac:dyDescent="0.25">
      <c r="A2281" s="2017"/>
      <c r="B2281" s="2018"/>
      <c r="C2281" s="2018"/>
      <c r="D2281" s="2018"/>
      <c r="E2281" s="2018"/>
      <c r="F2281" s="2018"/>
      <c r="G2281" s="2018"/>
      <c r="H2281" s="2018"/>
      <c r="I2281" s="2018"/>
      <c r="J2281" s="2018"/>
      <c r="K2281" s="2018"/>
      <c r="L2281" s="2018"/>
      <c r="M2281" s="2018"/>
      <c r="N2281" s="2018"/>
      <c r="O2281" s="2018"/>
      <c r="P2281" s="2018"/>
      <c r="Q2281" s="2018"/>
      <c r="R2281" s="2018"/>
      <c r="S2281" s="2018"/>
      <c r="T2281" s="2018"/>
      <c r="U2281" s="2018"/>
      <c r="V2281" s="2018"/>
      <c r="W2281" s="2018"/>
      <c r="X2281" s="2018"/>
      <c r="Y2281" s="2018"/>
      <c r="Z2281" s="2105"/>
      <c r="AA2281" s="2105"/>
      <c r="AB2281" s="1050"/>
      <c r="AC2281" s="1050"/>
      <c r="AD2281" s="1050"/>
      <c r="AE2281" s="1050"/>
      <c r="AF2281" s="1052"/>
    </row>
    <row r="2282" spans="1:32" ht="15.75" x14ac:dyDescent="0.25">
      <c r="A2282" s="2017"/>
      <c r="B2282" s="2018"/>
      <c r="C2282" s="2018"/>
      <c r="D2282" s="2018"/>
      <c r="E2282" s="2018"/>
      <c r="F2282" s="2018"/>
      <c r="G2282" s="2018"/>
      <c r="H2282" s="2018"/>
      <c r="I2282" s="2018"/>
      <c r="J2282" s="2018"/>
      <c r="K2282" s="2018"/>
      <c r="L2282" s="2018"/>
      <c r="M2282" s="2018"/>
      <c r="N2282" s="2018"/>
      <c r="O2282" s="2018"/>
      <c r="P2282" s="2018"/>
      <c r="Q2282" s="2018"/>
      <c r="R2282" s="2018"/>
      <c r="S2282" s="2018"/>
      <c r="T2282" s="2018"/>
      <c r="U2282" s="2018"/>
      <c r="V2282" s="2018"/>
      <c r="W2282" s="2018"/>
      <c r="X2282" s="2018"/>
      <c r="Y2282" s="2018"/>
      <c r="Z2282" s="2022"/>
      <c r="AA2282" s="2022"/>
      <c r="AB2282" s="1050"/>
      <c r="AC2282" s="1050"/>
      <c r="AD2282" s="1050"/>
      <c r="AE2282" s="1050"/>
      <c r="AF2282" s="1052"/>
    </row>
    <row r="2283" spans="1:32" ht="15.75" x14ac:dyDescent="0.25">
      <c r="A2283" s="2017"/>
      <c r="B2283" s="2018"/>
      <c r="C2283" s="2018"/>
      <c r="D2283" s="2018"/>
      <c r="E2283" s="2018"/>
      <c r="F2283" s="2018"/>
      <c r="G2283" s="2018"/>
      <c r="H2283" s="2018"/>
      <c r="I2283" s="2018"/>
      <c r="J2283" s="2018"/>
      <c r="K2283" s="2018"/>
      <c r="L2283" s="2018"/>
      <c r="M2283" s="2018"/>
      <c r="N2283" s="2018"/>
      <c r="O2283" s="2018"/>
      <c r="P2283" s="2018"/>
      <c r="Q2283" s="2018"/>
      <c r="R2283" s="2018"/>
      <c r="S2283" s="2018"/>
      <c r="T2283" s="2018"/>
      <c r="U2283" s="2018"/>
      <c r="V2283" s="2018"/>
      <c r="W2283" s="2018"/>
      <c r="X2283" s="2018"/>
      <c r="Y2283" s="2018"/>
      <c r="Z2283" s="2022"/>
      <c r="AA2283" s="2022"/>
      <c r="AB2283" s="1050"/>
      <c r="AC2283" s="1050"/>
      <c r="AD2283" s="1050"/>
      <c r="AE2283" s="1050"/>
      <c r="AF2283" s="1052"/>
    </row>
    <row r="2284" spans="1:32" ht="15.75" x14ac:dyDescent="0.25">
      <c r="A2284" s="2017"/>
      <c r="B2284" s="2018"/>
      <c r="C2284" s="2018"/>
      <c r="D2284" s="2018"/>
      <c r="E2284" s="2018"/>
      <c r="F2284" s="2018"/>
      <c r="G2284" s="2018"/>
      <c r="H2284" s="2018"/>
      <c r="I2284" s="2018"/>
      <c r="J2284" s="2018"/>
      <c r="K2284" s="2018"/>
      <c r="L2284" s="2018"/>
      <c r="M2284" s="2018"/>
      <c r="N2284" s="2018"/>
      <c r="O2284" s="2018"/>
      <c r="P2284" s="2018"/>
      <c r="Q2284" s="2018"/>
      <c r="R2284" s="2018"/>
      <c r="S2284" s="2018"/>
      <c r="T2284" s="2018"/>
      <c r="U2284" s="2018"/>
      <c r="V2284" s="2018"/>
      <c r="W2284" s="2018"/>
      <c r="X2284" s="2018"/>
      <c r="Y2284" s="2018"/>
      <c r="Z2284" s="2022"/>
      <c r="AA2284" s="2022"/>
      <c r="AB2284" s="1050"/>
      <c r="AC2284" s="1050"/>
      <c r="AD2284" s="1050"/>
      <c r="AE2284" s="1050"/>
      <c r="AF2284" s="1052"/>
    </row>
    <row r="2285" spans="1:32" ht="15.75" x14ac:dyDescent="0.25">
      <c r="A2285" s="2017"/>
      <c r="B2285" s="2018"/>
      <c r="C2285" s="2018"/>
      <c r="D2285" s="2018"/>
      <c r="E2285" s="2018"/>
      <c r="F2285" s="2018"/>
      <c r="G2285" s="2018"/>
      <c r="H2285" s="2018"/>
      <c r="I2285" s="2018"/>
      <c r="J2285" s="2018"/>
      <c r="K2285" s="2018"/>
      <c r="L2285" s="2018"/>
      <c r="M2285" s="2018"/>
      <c r="N2285" s="2018"/>
      <c r="O2285" s="2018"/>
      <c r="P2285" s="2018"/>
      <c r="Q2285" s="2018"/>
      <c r="R2285" s="2018"/>
      <c r="S2285" s="2018"/>
      <c r="T2285" s="2018"/>
      <c r="U2285" s="2018"/>
      <c r="V2285" s="2018"/>
      <c r="W2285" s="2018"/>
      <c r="X2285" s="2018"/>
      <c r="Y2285" s="2018"/>
      <c r="Z2285" s="2022"/>
      <c r="AA2285" s="2022"/>
      <c r="AB2285" s="1050"/>
      <c r="AC2285" s="1050"/>
      <c r="AD2285" s="1050"/>
      <c r="AE2285" s="1050"/>
      <c r="AF2285" s="1052"/>
    </row>
    <row r="2286" spans="1:32" ht="15.75" x14ac:dyDescent="0.25">
      <c r="A2286" s="2017"/>
      <c r="B2286" s="2018"/>
      <c r="C2286" s="2018"/>
      <c r="D2286" s="2018"/>
      <c r="E2286" s="2018"/>
      <c r="F2286" s="2018"/>
      <c r="G2286" s="2018"/>
      <c r="H2286" s="2018"/>
      <c r="I2286" s="2018"/>
      <c r="J2286" s="2018"/>
      <c r="K2286" s="2018"/>
      <c r="L2286" s="2018"/>
      <c r="M2286" s="2018"/>
      <c r="N2286" s="2018"/>
      <c r="O2286" s="2018"/>
      <c r="P2286" s="2018"/>
      <c r="Q2286" s="2018"/>
      <c r="R2286" s="2018"/>
      <c r="S2286" s="2018"/>
      <c r="T2286" s="2018"/>
      <c r="U2286" s="2018"/>
      <c r="V2286" s="2018"/>
      <c r="W2286" s="2018"/>
      <c r="X2286" s="2018"/>
      <c r="Y2286" s="2018"/>
      <c r="Z2286" s="2023"/>
      <c r="AA2286" s="2023"/>
      <c r="AB2286" s="1050"/>
      <c r="AC2286" s="1050"/>
      <c r="AD2286" s="1050"/>
      <c r="AE2286" s="1050"/>
      <c r="AF2286" s="1052"/>
    </row>
    <row r="2287" spans="1:32" ht="15.75" x14ac:dyDescent="0.25">
      <c r="A2287" s="2017"/>
      <c r="B2287" s="2018"/>
      <c r="C2287" s="2018"/>
      <c r="D2287" s="2018"/>
      <c r="E2287" s="2018"/>
      <c r="F2287" s="2018"/>
      <c r="G2287" s="2018"/>
      <c r="H2287" s="2018"/>
      <c r="I2287" s="2018"/>
      <c r="J2287" s="2018"/>
      <c r="K2287" s="2018"/>
      <c r="L2287" s="2018"/>
      <c r="M2287" s="2018"/>
      <c r="N2287" s="2018"/>
      <c r="O2287" s="2018"/>
      <c r="P2287" s="2018"/>
      <c r="Q2287" s="2018"/>
      <c r="R2287" s="2018"/>
      <c r="S2287" s="2018"/>
      <c r="T2287" s="2018"/>
      <c r="U2287" s="2018"/>
      <c r="V2287" s="2018"/>
      <c r="W2287" s="2018"/>
      <c r="X2287" s="2018"/>
      <c r="Y2287" s="2018"/>
      <c r="Z2287" s="2023"/>
      <c r="AA2287" s="2023"/>
      <c r="AB2287" s="1050"/>
      <c r="AC2287" s="1050"/>
      <c r="AD2287" s="1050"/>
      <c r="AE2287" s="1050"/>
      <c r="AF2287" s="1052"/>
    </row>
    <row r="2288" spans="1:32" ht="15.75" x14ac:dyDescent="0.25">
      <c r="A2288" s="2017"/>
      <c r="B2288" s="2018"/>
      <c r="C2288" s="2018"/>
      <c r="D2288" s="2018"/>
      <c r="E2288" s="2018"/>
      <c r="F2288" s="2018"/>
      <c r="G2288" s="2018"/>
      <c r="H2288" s="2018"/>
      <c r="I2288" s="2018"/>
      <c r="J2288" s="2018"/>
      <c r="K2288" s="2018"/>
      <c r="L2288" s="2018"/>
      <c r="M2288" s="2018"/>
      <c r="N2288" s="2018"/>
      <c r="O2288" s="2018"/>
      <c r="P2288" s="2018"/>
      <c r="Q2288" s="2018"/>
      <c r="R2288" s="2018"/>
      <c r="S2288" s="2018"/>
      <c r="T2288" s="2018"/>
      <c r="U2288" s="2018"/>
      <c r="V2288" s="2018"/>
      <c r="W2288" s="2018"/>
      <c r="X2288" s="2018"/>
      <c r="Y2288" s="2018"/>
      <c r="Z2288" s="2023"/>
      <c r="AA2288" s="2023"/>
      <c r="AB2288" s="1050"/>
      <c r="AC2288" s="1050"/>
      <c r="AD2288" s="1050"/>
      <c r="AE2288" s="1050"/>
      <c r="AF2288" s="1052"/>
    </row>
    <row r="2289" spans="1:32" ht="15.75" x14ac:dyDescent="0.25">
      <c r="A2289" s="2017"/>
      <c r="B2289" s="2018"/>
      <c r="C2289" s="2018"/>
      <c r="D2289" s="2018"/>
      <c r="E2289" s="2018"/>
      <c r="F2289" s="2018"/>
      <c r="G2289" s="2018"/>
      <c r="H2289" s="2018"/>
      <c r="I2289" s="2018"/>
      <c r="J2289" s="2018"/>
      <c r="K2289" s="2018"/>
      <c r="L2289" s="2018"/>
      <c r="M2289" s="2018"/>
      <c r="N2289" s="2018"/>
      <c r="O2289" s="2018"/>
      <c r="P2289" s="2018"/>
      <c r="Q2289" s="2018"/>
      <c r="R2289" s="2018"/>
      <c r="S2289" s="2018"/>
      <c r="T2289" s="2018"/>
      <c r="U2289" s="2018"/>
      <c r="V2289" s="2018"/>
      <c r="W2289" s="2018"/>
      <c r="X2289" s="2018"/>
      <c r="Y2289" s="2018"/>
      <c r="Z2289" s="2023"/>
      <c r="AA2289" s="2023"/>
      <c r="AB2289" s="1050"/>
      <c r="AC2289" s="1050"/>
      <c r="AD2289" s="1050"/>
      <c r="AE2289" s="1050"/>
      <c r="AF2289" s="1052"/>
    </row>
    <row r="2290" spans="1:32" ht="15.75" x14ac:dyDescent="0.25">
      <c r="A2290" s="2017"/>
      <c r="B2290" s="2018"/>
      <c r="C2290" s="2018"/>
      <c r="D2290" s="2018"/>
      <c r="E2290" s="2018"/>
      <c r="F2290" s="2018"/>
      <c r="G2290" s="2018"/>
      <c r="H2290" s="2018"/>
      <c r="I2290" s="2018"/>
      <c r="J2290" s="2018"/>
      <c r="K2290" s="2018"/>
      <c r="L2290" s="2018"/>
      <c r="M2290" s="2018"/>
      <c r="N2290" s="2018"/>
      <c r="O2290" s="2018"/>
      <c r="P2290" s="2018"/>
      <c r="Q2290" s="2018"/>
      <c r="R2290" s="2018"/>
      <c r="S2290" s="2018"/>
      <c r="T2290" s="2018"/>
      <c r="U2290" s="2018"/>
      <c r="V2290" s="2018"/>
      <c r="W2290" s="2018"/>
      <c r="X2290" s="2018"/>
      <c r="Y2290" s="2018"/>
      <c r="Z2290" s="2023"/>
      <c r="AA2290" s="2023"/>
      <c r="AB2290" s="1050"/>
      <c r="AC2290" s="1050"/>
      <c r="AD2290" s="1050"/>
      <c r="AE2290" s="1050"/>
      <c r="AF2290" s="1052"/>
    </row>
    <row r="2291" spans="1:32" ht="15.75" x14ac:dyDescent="0.25">
      <c r="A2291" s="2017"/>
      <c r="B2291" s="2018"/>
      <c r="C2291" s="2018"/>
      <c r="D2291" s="2018"/>
      <c r="E2291" s="2018"/>
      <c r="F2291" s="2018"/>
      <c r="G2291" s="2018"/>
      <c r="H2291" s="2018"/>
      <c r="I2291" s="2018"/>
      <c r="J2291" s="2018"/>
      <c r="K2291" s="2018"/>
      <c r="L2291" s="2018"/>
      <c r="M2291" s="2018"/>
      <c r="N2291" s="2018"/>
      <c r="O2291" s="2018"/>
      <c r="P2291" s="2018"/>
      <c r="Q2291" s="2018"/>
      <c r="R2291" s="2018"/>
      <c r="S2291" s="2018"/>
      <c r="T2291" s="2018"/>
      <c r="U2291" s="2018"/>
      <c r="V2291" s="2018"/>
      <c r="W2291" s="2018"/>
      <c r="X2291" s="2018"/>
      <c r="Y2291" s="2018"/>
      <c r="Z2291" s="2023"/>
      <c r="AA2291" s="2023"/>
      <c r="AB2291" s="1050"/>
      <c r="AC2291" s="1050"/>
      <c r="AD2291" s="1050"/>
      <c r="AE2291" s="1050"/>
      <c r="AF2291" s="1052"/>
    </row>
    <row r="2292" spans="1:32" ht="16.5" thickBot="1" x14ac:dyDescent="0.3">
      <c r="A2292" s="2019"/>
      <c r="B2292" s="2020"/>
      <c r="C2292" s="2020"/>
      <c r="D2292" s="2020"/>
      <c r="E2292" s="2020"/>
      <c r="F2292" s="2020"/>
      <c r="G2292" s="2020"/>
      <c r="H2292" s="2020"/>
      <c r="I2292" s="2020"/>
      <c r="J2292" s="2020"/>
      <c r="K2292" s="2020"/>
      <c r="L2292" s="2020"/>
      <c r="M2292" s="2020"/>
      <c r="N2292" s="2020"/>
      <c r="O2292" s="2020"/>
      <c r="P2292" s="2020"/>
      <c r="Q2292" s="2020"/>
      <c r="R2292" s="2020"/>
      <c r="S2292" s="2020"/>
      <c r="T2292" s="2020"/>
      <c r="U2292" s="2020"/>
      <c r="V2292" s="2020"/>
      <c r="W2292" s="2020"/>
      <c r="X2292" s="2020"/>
      <c r="Y2292" s="2020"/>
      <c r="Z2292" s="2024"/>
      <c r="AA2292" s="2024"/>
      <c r="AB2292" s="1057"/>
      <c r="AC2292" s="1057"/>
      <c r="AD2292" s="1057"/>
      <c r="AE2292" s="1057"/>
      <c r="AF2292" s="1058"/>
    </row>
    <row r="2293" spans="1:32" ht="15.75" x14ac:dyDescent="0.25">
      <c r="A2293" s="2009" t="s">
        <v>1855</v>
      </c>
      <c r="B2293" s="2010"/>
      <c r="C2293" s="2010"/>
      <c r="D2293" s="2010"/>
      <c r="E2293" s="2010"/>
      <c r="F2293" s="2010"/>
      <c r="G2293" s="2010"/>
      <c r="H2293" s="2010"/>
      <c r="I2293" s="2010"/>
      <c r="J2293" s="2010"/>
      <c r="K2293" s="2010"/>
      <c r="L2293" s="2010"/>
      <c r="M2293" s="2010"/>
      <c r="N2293" s="2010"/>
      <c r="O2293" s="2010"/>
      <c r="P2293" s="2010"/>
      <c r="Q2293" s="2010"/>
      <c r="R2293" s="2010"/>
      <c r="S2293" s="2010"/>
      <c r="T2293" s="2010"/>
      <c r="U2293" s="2010"/>
      <c r="V2293" s="2010"/>
      <c r="W2293" s="2010"/>
      <c r="X2293" s="2010"/>
      <c r="Y2293" s="2010"/>
      <c r="Z2293" s="2013" t="s">
        <v>1850</v>
      </c>
      <c r="AA2293" s="2013"/>
      <c r="AB2293" s="2013"/>
      <c r="AC2293" s="2013"/>
      <c r="AD2293" s="2013"/>
      <c r="AE2293" s="2013"/>
      <c r="AF2293" s="1059">
        <f>SUM(AF2269:AF2292)</f>
        <v>3.91</v>
      </c>
    </row>
    <row r="2294" spans="1:32" ht="15.75" x14ac:dyDescent="0.25">
      <c r="A2294" s="2011"/>
      <c r="B2294" s="2012"/>
      <c r="C2294" s="2012"/>
      <c r="D2294" s="2012"/>
      <c r="E2294" s="2012"/>
      <c r="F2294" s="2012"/>
      <c r="G2294" s="2012"/>
      <c r="H2294" s="2012"/>
      <c r="I2294" s="2012"/>
      <c r="J2294" s="2012"/>
      <c r="K2294" s="2012"/>
      <c r="L2294" s="2012"/>
      <c r="M2294" s="2012"/>
      <c r="N2294" s="2012"/>
      <c r="O2294" s="2012"/>
      <c r="P2294" s="2012"/>
      <c r="Q2294" s="2012"/>
      <c r="R2294" s="2012"/>
      <c r="S2294" s="2012"/>
      <c r="T2294" s="2012"/>
      <c r="U2294" s="2012"/>
      <c r="V2294" s="2012"/>
      <c r="W2294" s="2012"/>
      <c r="X2294" s="2012"/>
      <c r="Y2294" s="2012"/>
      <c r="Z2294" s="2014" t="s">
        <v>1851</v>
      </c>
      <c r="AA2294" s="2014"/>
      <c r="AB2294" s="2014"/>
      <c r="AC2294" s="2014"/>
      <c r="AD2294" s="2014"/>
      <c r="AE2294" s="2014"/>
      <c r="AF2294" s="1060">
        <v>0</v>
      </c>
    </row>
    <row r="2295" spans="1:32" ht="15.75" x14ac:dyDescent="0.25">
      <c r="A2295" s="2011"/>
      <c r="B2295" s="2012"/>
      <c r="C2295" s="2012"/>
      <c r="D2295" s="2012"/>
      <c r="E2295" s="2012"/>
      <c r="F2295" s="2012"/>
      <c r="G2295" s="2012"/>
      <c r="H2295" s="2012"/>
      <c r="I2295" s="2012"/>
      <c r="J2295" s="2012"/>
      <c r="K2295" s="2012"/>
      <c r="L2295" s="2012"/>
      <c r="M2295" s="2012"/>
      <c r="N2295" s="2012"/>
      <c r="O2295" s="2012"/>
      <c r="P2295" s="2012"/>
      <c r="Q2295" s="2012"/>
      <c r="R2295" s="2012"/>
      <c r="S2295" s="2012"/>
      <c r="T2295" s="2012"/>
      <c r="U2295" s="2012"/>
      <c r="V2295" s="2012"/>
      <c r="W2295" s="2012"/>
      <c r="X2295" s="2012"/>
      <c r="Y2295" s="2012"/>
      <c r="Z2295" s="2015" t="s">
        <v>1833</v>
      </c>
      <c r="AA2295" s="2015"/>
      <c r="AB2295" s="2015"/>
      <c r="AC2295" s="2015"/>
      <c r="AD2295" s="2015"/>
      <c r="AE2295" s="2015"/>
      <c r="AF2295" s="1061">
        <f>SUM(AF2293:AF2294)</f>
        <v>3.91</v>
      </c>
    </row>
    <row r="2296" spans="1:32" x14ac:dyDescent="0.2">
      <c r="A2296" s="2012" t="s">
        <v>1859</v>
      </c>
      <c r="B2296" s="2012"/>
      <c r="C2296" s="2012"/>
      <c r="D2296" s="2012"/>
      <c r="E2296" s="2012"/>
      <c r="F2296" s="2012"/>
      <c r="G2296" s="2012"/>
      <c r="H2296" s="2012"/>
      <c r="I2296" s="2012"/>
      <c r="J2296" s="2012"/>
      <c r="K2296" s="2012"/>
      <c r="L2296" s="2012"/>
      <c r="M2296" s="2012"/>
      <c r="N2296" s="2012"/>
      <c r="O2296" s="2012"/>
      <c r="P2296" s="2012"/>
      <c r="Q2296" s="2012"/>
      <c r="R2296" s="2012"/>
      <c r="S2296" s="2012"/>
      <c r="T2296" s="2016" t="s">
        <v>1840</v>
      </c>
      <c r="U2296" s="2016"/>
      <c r="V2296" s="2016"/>
      <c r="W2296" s="2016"/>
      <c r="X2296" s="2016"/>
      <c r="Y2296" s="2016"/>
      <c r="Z2296" s="2016"/>
      <c r="AA2296" s="2016"/>
      <c r="AB2296" s="2012" t="s">
        <v>1852</v>
      </c>
      <c r="AC2296" s="2012"/>
      <c r="AD2296" s="2012"/>
      <c r="AE2296" s="2012"/>
      <c r="AF2296" s="2012"/>
    </row>
    <row r="2297" spans="1:32" x14ac:dyDescent="0.2">
      <c r="A2297" s="2012"/>
      <c r="B2297" s="2012"/>
      <c r="C2297" s="2012"/>
      <c r="D2297" s="2012"/>
      <c r="E2297" s="2012"/>
      <c r="F2297" s="2012"/>
      <c r="G2297" s="2012"/>
      <c r="H2297" s="2012"/>
      <c r="I2297" s="2012"/>
      <c r="J2297" s="2012"/>
      <c r="K2297" s="2012"/>
      <c r="L2297" s="2012"/>
      <c r="M2297" s="2012"/>
      <c r="N2297" s="2012"/>
      <c r="O2297" s="2012"/>
      <c r="P2297" s="2012"/>
      <c r="Q2297" s="2012"/>
      <c r="R2297" s="2012"/>
      <c r="S2297" s="2012"/>
      <c r="T2297" s="2016"/>
      <c r="U2297" s="2016"/>
      <c r="V2297" s="2016"/>
      <c r="W2297" s="2016"/>
      <c r="X2297" s="2016"/>
      <c r="Y2297" s="2016"/>
      <c r="Z2297" s="2016"/>
      <c r="AA2297" s="2016"/>
      <c r="AB2297" s="2012"/>
      <c r="AC2297" s="2012"/>
      <c r="AD2297" s="2012"/>
      <c r="AE2297" s="2012"/>
      <c r="AF2297" s="2012"/>
    </row>
    <row r="2298" spans="1:32" ht="13.5" thickBot="1" x14ac:dyDescent="0.25"/>
    <row r="2299" spans="1:32" ht="26.45" customHeight="1" x14ac:dyDescent="0.2">
      <c r="A2299" s="2025" t="s">
        <v>1854</v>
      </c>
      <c r="B2299" s="2026"/>
      <c r="C2299" s="2026"/>
      <c r="D2299" s="2026"/>
      <c r="E2299" s="2026"/>
      <c r="F2299" s="2026"/>
      <c r="G2299" s="2026"/>
      <c r="H2299" s="2026"/>
      <c r="I2299" s="2026"/>
      <c r="J2299" s="2026"/>
      <c r="K2299" s="2026"/>
      <c r="L2299" s="2026"/>
      <c r="M2299" s="2026"/>
      <c r="N2299" s="2026"/>
      <c r="O2299" s="2026"/>
      <c r="P2299" s="2026"/>
      <c r="Q2299" s="2026"/>
      <c r="R2299" s="2026"/>
      <c r="S2299" s="2026"/>
      <c r="T2299" s="2026"/>
      <c r="U2299" s="2026"/>
      <c r="V2299" s="2026"/>
      <c r="W2299" s="2026"/>
      <c r="X2299" s="2026"/>
      <c r="Y2299" s="2026"/>
      <c r="Z2299" s="2026"/>
      <c r="AA2299" s="2026"/>
      <c r="AB2299" s="2026"/>
      <c r="AC2299" s="2026"/>
      <c r="AD2299" s="2026"/>
      <c r="AE2299" s="1041" t="s">
        <v>1834</v>
      </c>
      <c r="AF2299" s="1042" t="s">
        <v>1835</v>
      </c>
    </row>
    <row r="2300" spans="1:32" ht="21" customHeight="1" thickBot="1" x14ac:dyDescent="0.25">
      <c r="A2300" s="2027"/>
      <c r="B2300" s="2028"/>
      <c r="C2300" s="2028"/>
      <c r="D2300" s="2028"/>
      <c r="E2300" s="2028"/>
      <c r="F2300" s="2028"/>
      <c r="G2300" s="2028"/>
      <c r="H2300" s="2028"/>
      <c r="I2300" s="2028"/>
      <c r="J2300" s="2028"/>
      <c r="K2300" s="2028"/>
      <c r="L2300" s="2028"/>
      <c r="M2300" s="2028"/>
      <c r="N2300" s="2028"/>
      <c r="O2300" s="2028"/>
      <c r="P2300" s="2028"/>
      <c r="Q2300" s="2028"/>
      <c r="R2300" s="2028"/>
      <c r="S2300" s="2028"/>
      <c r="T2300" s="2028"/>
      <c r="U2300" s="2028"/>
      <c r="V2300" s="2028"/>
      <c r="W2300" s="2028"/>
      <c r="X2300" s="2028"/>
      <c r="Y2300" s="2028"/>
      <c r="Z2300" s="2028"/>
      <c r="AA2300" s="2028"/>
      <c r="AB2300" s="2028"/>
      <c r="AC2300" s="2028"/>
      <c r="AD2300" s="2028"/>
      <c r="AE2300" s="1041" t="s">
        <v>1836</v>
      </c>
      <c r="AF2300" s="1044">
        <v>1</v>
      </c>
    </row>
    <row r="2301" spans="1:32" ht="15.75" x14ac:dyDescent="0.2">
      <c r="A2301" s="2029"/>
      <c r="B2301" s="2030"/>
      <c r="C2301" s="2030"/>
      <c r="D2301" s="2031"/>
      <c r="E2301" s="2025" t="str">
        <f>'01'!$A$12</f>
        <v>"CONSTRUCCION SISTEMA DE ACUEDUCTO FASE II DEL MUNICIPIO DE TESALIA DPTO DEL HUILA"</v>
      </c>
      <c r="F2301" s="2026"/>
      <c r="G2301" s="2026"/>
      <c r="H2301" s="2026"/>
      <c r="I2301" s="2026"/>
      <c r="J2301" s="2026"/>
      <c r="K2301" s="2026"/>
      <c r="L2301" s="2026"/>
      <c r="M2301" s="2026"/>
      <c r="N2301" s="2026"/>
      <c r="O2301" s="2026"/>
      <c r="P2301" s="2026"/>
      <c r="Q2301" s="2026"/>
      <c r="R2301" s="2026"/>
      <c r="S2301" s="2026"/>
      <c r="T2301" s="2026"/>
      <c r="U2301" s="2026"/>
      <c r="V2301" s="2026"/>
      <c r="W2301" s="2026"/>
      <c r="X2301" s="2026"/>
      <c r="Y2301" s="2026"/>
      <c r="Z2301" s="2026"/>
      <c r="AA2301" s="2026"/>
      <c r="AB2301" s="2026"/>
      <c r="AC2301" s="2026"/>
      <c r="AD2301" s="2035"/>
      <c r="AE2301" s="1041" t="s">
        <v>847</v>
      </c>
      <c r="AF2301" s="1045">
        <f>'01'!$M$13</f>
        <v>0</v>
      </c>
    </row>
    <row r="2302" spans="1:32" ht="16.5" thickBot="1" x14ac:dyDescent="0.25">
      <c r="A2302" s="2032"/>
      <c r="B2302" s="2033"/>
      <c r="C2302" s="2033"/>
      <c r="D2302" s="2034"/>
      <c r="E2302" s="2027"/>
      <c r="F2302" s="2028"/>
      <c r="G2302" s="2028"/>
      <c r="H2302" s="2028"/>
      <c r="I2302" s="2028"/>
      <c r="J2302" s="2028"/>
      <c r="K2302" s="2028"/>
      <c r="L2302" s="2028"/>
      <c r="M2302" s="2028"/>
      <c r="N2302" s="2028"/>
      <c r="O2302" s="2028"/>
      <c r="P2302" s="2028"/>
      <c r="Q2302" s="2028"/>
      <c r="R2302" s="2028"/>
      <c r="S2302" s="2028"/>
      <c r="T2302" s="2028"/>
      <c r="U2302" s="2028"/>
      <c r="V2302" s="2028"/>
      <c r="W2302" s="2028"/>
      <c r="X2302" s="2028"/>
      <c r="Y2302" s="2028"/>
      <c r="Z2302" s="2028"/>
      <c r="AA2302" s="2028"/>
      <c r="AB2302" s="2028"/>
      <c r="AC2302" s="2028"/>
      <c r="AD2302" s="2036"/>
      <c r="AE2302" s="1041" t="s">
        <v>1837</v>
      </c>
      <c r="AF2302" s="1042" t="s">
        <v>1838</v>
      </c>
    </row>
    <row r="2303" spans="1:32" ht="15.75" x14ac:dyDescent="0.25">
      <c r="A2303" s="2037" t="s">
        <v>1860</v>
      </c>
      <c r="B2303" s="2038"/>
      <c r="C2303" s="2038"/>
      <c r="D2303" s="2038"/>
      <c r="E2303" s="2038"/>
      <c r="F2303" s="2038"/>
      <c r="G2303" s="2038"/>
      <c r="H2303" s="2038"/>
      <c r="I2303" s="2038"/>
      <c r="J2303" s="2038"/>
      <c r="K2303" s="2038"/>
      <c r="L2303" s="2038"/>
      <c r="M2303" s="2038"/>
      <c r="N2303" s="2038"/>
      <c r="O2303" s="2038"/>
      <c r="P2303" s="2038"/>
      <c r="Q2303" s="2038"/>
      <c r="R2303" s="2038"/>
      <c r="S2303" s="2038"/>
      <c r="T2303" s="2038"/>
      <c r="U2303" s="2038"/>
      <c r="V2303" s="2038"/>
      <c r="W2303" s="2038"/>
      <c r="X2303" s="2038"/>
      <c r="Y2303" s="2038"/>
      <c r="Z2303" s="2038"/>
      <c r="AA2303" s="2038"/>
      <c r="AB2303" s="2038"/>
      <c r="AC2303" s="2038"/>
      <c r="AD2303" s="2038"/>
      <c r="AE2303" s="2039" t="s">
        <v>1839</v>
      </c>
      <c r="AF2303" s="2040"/>
    </row>
    <row r="2304" spans="1:32" ht="15.75" x14ac:dyDescent="0.25">
      <c r="A2304" s="2041" t="s">
        <v>1840</v>
      </c>
      <c r="B2304" s="2042"/>
      <c r="C2304" s="2042"/>
      <c r="D2304" s="2042"/>
      <c r="E2304" s="2042"/>
      <c r="F2304" s="2042"/>
      <c r="G2304" s="2042"/>
      <c r="H2304" s="2042"/>
      <c r="I2304" s="2042"/>
      <c r="J2304" s="2042"/>
      <c r="K2304" s="2042"/>
      <c r="L2304" s="2042"/>
      <c r="M2304" s="2042"/>
      <c r="N2304" s="2042"/>
      <c r="O2304" s="2042"/>
      <c r="P2304" s="2042"/>
      <c r="Q2304" s="2042"/>
      <c r="R2304" s="2042"/>
      <c r="S2304" s="2042"/>
      <c r="T2304" s="2042"/>
      <c r="U2304" s="2042"/>
      <c r="V2304" s="2042"/>
      <c r="W2304" s="2042"/>
      <c r="X2304" s="2042"/>
      <c r="Y2304" s="2042"/>
      <c r="Z2304" s="2042"/>
      <c r="AA2304" s="2042"/>
      <c r="AB2304" s="2042"/>
      <c r="AC2304" s="2042"/>
      <c r="AD2304" s="2043"/>
      <c r="AE2304" s="2014" t="s">
        <v>1841</v>
      </c>
      <c r="AF2304" s="2044"/>
    </row>
    <row r="2305" spans="1:32" ht="15.75" x14ac:dyDescent="0.25">
      <c r="A2305" s="2045" t="s">
        <v>1853</v>
      </c>
      <c r="B2305" s="2046"/>
      <c r="C2305" s="2046"/>
      <c r="D2305" s="2046"/>
      <c r="E2305" s="2046"/>
      <c r="F2305" s="2046"/>
      <c r="G2305" s="2046"/>
      <c r="H2305" s="2046"/>
      <c r="I2305" s="2046"/>
      <c r="J2305" s="2046"/>
      <c r="K2305" s="2046"/>
      <c r="L2305" s="2046"/>
      <c r="M2305" s="2046"/>
      <c r="N2305" s="2046"/>
      <c r="O2305" s="2046"/>
      <c r="P2305" s="2046"/>
      <c r="Q2305" s="2046"/>
      <c r="R2305" s="2046"/>
      <c r="S2305" s="2046"/>
      <c r="T2305" s="2046"/>
      <c r="U2305" s="2046"/>
      <c r="V2305" s="2046"/>
      <c r="W2305" s="2046"/>
      <c r="X2305" s="2046"/>
      <c r="Y2305" s="2046"/>
      <c r="Z2305" s="2046"/>
      <c r="AA2305" s="2046"/>
      <c r="AB2305" s="2046"/>
      <c r="AC2305" s="2046"/>
      <c r="AD2305" s="2046"/>
      <c r="AE2305" s="2047">
        <f>'01'!$M$13</f>
        <v>0</v>
      </c>
      <c r="AF2305" s="2044"/>
    </row>
    <row r="2306" spans="1:32" x14ac:dyDescent="0.2">
      <c r="A2306" s="1046"/>
      <c r="B2306" s="1047"/>
      <c r="C2306" s="1047"/>
      <c r="D2306" s="1047"/>
      <c r="E2306" s="1047"/>
      <c r="F2306" s="1047"/>
      <c r="G2306" s="1047"/>
      <c r="H2306" s="1047"/>
      <c r="I2306" s="1047"/>
      <c r="J2306" s="1047"/>
      <c r="K2306" s="1047"/>
      <c r="L2306" s="1047"/>
      <c r="M2306" s="1047"/>
      <c r="N2306" s="1047"/>
      <c r="O2306" s="1047"/>
      <c r="P2306" s="1047"/>
      <c r="Q2306" s="1047"/>
      <c r="R2306" s="1047"/>
      <c r="S2306" s="1047"/>
      <c r="T2306" s="1047"/>
      <c r="U2306" s="1047"/>
      <c r="V2306" s="1047"/>
      <c r="W2306" s="1047"/>
      <c r="X2306" s="1047"/>
      <c r="Y2306" s="1047"/>
      <c r="Z2306" s="1047"/>
      <c r="AA2306" s="1047"/>
      <c r="AB2306" s="1047"/>
      <c r="AC2306" s="1047"/>
      <c r="AD2306" s="1047"/>
      <c r="AE2306" s="1047"/>
      <c r="AF2306" s="1048"/>
    </row>
    <row r="2307" spans="1:32" ht="30" customHeight="1" x14ac:dyDescent="0.2">
      <c r="A2307" s="2048" t="s">
        <v>1842</v>
      </c>
      <c r="B2307" s="2049"/>
      <c r="C2307" s="2049"/>
      <c r="D2307" s="2049"/>
      <c r="E2307" s="2049"/>
      <c r="F2307" s="2050" t="str">
        <f>+'01'!$H$63</f>
        <v>C - FLOCULADOR, SEDIMENTADOR, CANAL DE AGUA SEDIMENTADA Y CANAL DE LAVADO</v>
      </c>
      <c r="G2307" s="2049"/>
      <c r="H2307" s="2049"/>
      <c r="I2307" s="2049"/>
      <c r="J2307" s="2049"/>
      <c r="K2307" s="2049"/>
      <c r="L2307" s="2049"/>
      <c r="M2307" s="2049"/>
      <c r="N2307" s="2049"/>
      <c r="O2307" s="2049"/>
      <c r="P2307" s="2049"/>
      <c r="Q2307" s="2049"/>
      <c r="R2307" s="2049"/>
      <c r="S2307" s="2049"/>
      <c r="T2307" s="2049"/>
      <c r="U2307" s="2049"/>
      <c r="V2307" s="2049"/>
      <c r="W2307" s="2049"/>
      <c r="X2307" s="2049"/>
      <c r="Y2307" s="2051"/>
      <c r="Z2307" s="2052" t="s">
        <v>1843</v>
      </c>
      <c r="AA2307" s="2053"/>
      <c r="AB2307" s="2058" t="s">
        <v>1844</v>
      </c>
      <c r="AC2307" s="2059"/>
      <c r="AD2307" s="2060"/>
      <c r="AE2307" s="2064" t="s">
        <v>1845</v>
      </c>
      <c r="AF2307" s="2067" t="s">
        <v>1846</v>
      </c>
    </row>
    <row r="2308" spans="1:32" ht="15" customHeight="1" x14ac:dyDescent="0.2">
      <c r="A2308" s="2070" t="str">
        <f>+'01'!A101</f>
        <v>C-08-16</v>
      </c>
      <c r="B2308" s="2071"/>
      <c r="C2308" s="2072"/>
      <c r="D2308" s="2076" t="str">
        <f>VLOOKUP(A2308,'01'!$A$12:$N$299,3,FALSE)</f>
        <v xml:space="preserve">ARENA PARA FILTRO. </v>
      </c>
      <c r="E2308" s="2077"/>
      <c r="F2308" s="2077"/>
      <c r="G2308" s="2077"/>
      <c r="H2308" s="2077"/>
      <c r="I2308" s="2077"/>
      <c r="J2308" s="2077"/>
      <c r="K2308" s="2077"/>
      <c r="L2308" s="2077"/>
      <c r="M2308" s="2077"/>
      <c r="N2308" s="2077"/>
      <c r="O2308" s="2077"/>
      <c r="P2308" s="2077"/>
      <c r="Q2308" s="2077"/>
      <c r="R2308" s="2077"/>
      <c r="S2308" s="2078"/>
      <c r="T2308" s="2082" t="s">
        <v>124</v>
      </c>
      <c r="U2308" s="2083"/>
      <c r="V2308" s="2083"/>
      <c r="W2308" s="2083"/>
      <c r="X2308" s="2052" t="str">
        <f>VLOOKUP(A2308,'01'!$A$12:$N$299,9,FALSE)</f>
        <v>M3</v>
      </c>
      <c r="Y2308" s="2053"/>
      <c r="Z2308" s="2054"/>
      <c r="AA2308" s="2055"/>
      <c r="AB2308" s="2061"/>
      <c r="AC2308" s="2062"/>
      <c r="AD2308" s="2063"/>
      <c r="AE2308" s="2065"/>
      <c r="AF2308" s="2068"/>
    </row>
    <row r="2309" spans="1:32" ht="15" customHeight="1" x14ac:dyDescent="0.25">
      <c r="A2309" s="2073"/>
      <c r="B2309" s="2074"/>
      <c r="C2309" s="2075"/>
      <c r="D2309" s="2079"/>
      <c r="E2309" s="2080"/>
      <c r="F2309" s="2080"/>
      <c r="G2309" s="2080"/>
      <c r="H2309" s="2080"/>
      <c r="I2309" s="2080"/>
      <c r="J2309" s="2080"/>
      <c r="K2309" s="2080"/>
      <c r="L2309" s="2080"/>
      <c r="M2309" s="2080"/>
      <c r="N2309" s="2080"/>
      <c r="O2309" s="2080"/>
      <c r="P2309" s="2080"/>
      <c r="Q2309" s="2080"/>
      <c r="R2309" s="2080"/>
      <c r="S2309" s="2081"/>
      <c r="T2309" s="2084"/>
      <c r="U2309" s="2085"/>
      <c r="V2309" s="2085"/>
      <c r="W2309" s="2085"/>
      <c r="X2309" s="2056"/>
      <c r="Y2309" s="2057"/>
      <c r="Z2309" s="2056"/>
      <c r="AA2309" s="2057"/>
      <c r="AB2309" s="1049" t="s">
        <v>1847</v>
      </c>
      <c r="AC2309" s="1049" t="s">
        <v>1848</v>
      </c>
      <c r="AD2309" s="1049" t="s">
        <v>1861</v>
      </c>
      <c r="AE2309" s="2066"/>
      <c r="AF2309" s="2069"/>
    </row>
    <row r="2310" spans="1:32" ht="15.6" customHeight="1" x14ac:dyDescent="0.25">
      <c r="A2310" s="2017"/>
      <c r="B2310" s="2018"/>
      <c r="C2310" s="2018"/>
      <c r="D2310" s="2018"/>
      <c r="E2310" s="2018"/>
      <c r="F2310" s="2018"/>
      <c r="G2310" s="2018"/>
      <c r="H2310" s="2018"/>
      <c r="I2310" s="2018"/>
      <c r="J2310" s="2018"/>
      <c r="K2310" s="2018"/>
      <c r="L2310" s="2018"/>
      <c r="M2310" s="2018"/>
      <c r="N2310" s="2018"/>
      <c r="O2310" s="2018"/>
      <c r="P2310" s="2018"/>
      <c r="Q2310" s="2018"/>
      <c r="R2310" s="2018"/>
      <c r="S2310" s="2018"/>
      <c r="T2310" s="2018"/>
      <c r="U2310" s="2018"/>
      <c r="V2310" s="2018"/>
      <c r="W2310" s="2018"/>
      <c r="X2310" s="2018"/>
      <c r="Y2310" s="2018"/>
      <c r="Z2310" s="2096" t="s">
        <v>2436</v>
      </c>
      <c r="AA2310" s="2097"/>
      <c r="AB2310" s="1050">
        <f>+AB2269</f>
        <v>1.67</v>
      </c>
      <c r="AC2310" s="1050">
        <f>+AC2269</f>
        <v>1.3</v>
      </c>
      <c r="AD2310" s="1050">
        <v>0.2</v>
      </c>
      <c r="AE2310" s="1050">
        <v>4</v>
      </c>
      <c r="AF2310" s="1052">
        <f>+ROUND(AB2310*AC2310*AD2310*AE2310,2)</f>
        <v>1.74</v>
      </c>
    </row>
    <row r="2311" spans="1:32" ht="15.6" customHeight="1" x14ac:dyDescent="0.25">
      <c r="A2311" s="2017"/>
      <c r="B2311" s="2018"/>
      <c r="C2311" s="2018"/>
      <c r="D2311" s="2018"/>
      <c r="E2311" s="2018"/>
      <c r="F2311" s="2018"/>
      <c r="G2311" s="2018"/>
      <c r="H2311" s="2018"/>
      <c r="I2311" s="2018"/>
      <c r="J2311" s="2018"/>
      <c r="K2311" s="2018"/>
      <c r="L2311" s="2018"/>
      <c r="M2311" s="2018"/>
      <c r="N2311" s="2018"/>
      <c r="O2311" s="2018"/>
      <c r="P2311" s="2018"/>
      <c r="Q2311" s="2018"/>
      <c r="R2311" s="2018"/>
      <c r="S2311" s="2018"/>
      <c r="T2311" s="2018"/>
      <c r="U2311" s="2018"/>
      <c r="V2311" s="2018"/>
      <c r="W2311" s="2018"/>
      <c r="X2311" s="2018"/>
      <c r="Y2311" s="2018"/>
      <c r="Z2311" s="2096"/>
      <c r="AA2311" s="2097"/>
      <c r="AB2311" s="1050"/>
      <c r="AC2311" s="1050"/>
      <c r="AD2311" s="1050"/>
      <c r="AE2311" s="1050"/>
      <c r="AF2311" s="1052"/>
    </row>
    <row r="2312" spans="1:32" ht="15.75" x14ac:dyDescent="0.25">
      <c r="A2312" s="2017"/>
      <c r="B2312" s="2018"/>
      <c r="C2312" s="2018"/>
      <c r="D2312" s="2018"/>
      <c r="E2312" s="2018"/>
      <c r="F2312" s="2018"/>
      <c r="G2312" s="2018"/>
      <c r="H2312" s="2018"/>
      <c r="I2312" s="2018"/>
      <c r="J2312" s="2018"/>
      <c r="K2312" s="2018"/>
      <c r="L2312" s="2018"/>
      <c r="M2312" s="2018"/>
      <c r="N2312" s="2018"/>
      <c r="O2312" s="2018"/>
      <c r="P2312" s="2018"/>
      <c r="Q2312" s="2018"/>
      <c r="R2312" s="2018"/>
      <c r="S2312" s="2018"/>
      <c r="T2312" s="2018"/>
      <c r="U2312" s="2018"/>
      <c r="V2312" s="2018"/>
      <c r="W2312" s="2018"/>
      <c r="X2312" s="2018"/>
      <c r="Y2312" s="2018"/>
      <c r="Z2312" s="2096"/>
      <c r="AA2312" s="2097"/>
      <c r="AB2312" s="1050"/>
      <c r="AC2312" s="1050"/>
      <c r="AD2312" s="1050"/>
      <c r="AE2312" s="1050"/>
      <c r="AF2312" s="1052"/>
    </row>
    <row r="2313" spans="1:32" ht="15.75" x14ac:dyDescent="0.25">
      <c r="A2313" s="2017"/>
      <c r="B2313" s="2018"/>
      <c r="C2313" s="2018"/>
      <c r="D2313" s="2018"/>
      <c r="E2313" s="2018"/>
      <c r="F2313" s="2018"/>
      <c r="G2313" s="2018"/>
      <c r="H2313" s="2018"/>
      <c r="I2313" s="2018"/>
      <c r="J2313" s="2018"/>
      <c r="K2313" s="2018"/>
      <c r="L2313" s="2018"/>
      <c r="M2313" s="2018"/>
      <c r="N2313" s="2018"/>
      <c r="O2313" s="2018"/>
      <c r="P2313" s="2018"/>
      <c r="Q2313" s="2018"/>
      <c r="R2313" s="2018"/>
      <c r="S2313" s="2018"/>
      <c r="T2313" s="2018"/>
      <c r="U2313" s="2018"/>
      <c r="V2313" s="2018"/>
      <c r="W2313" s="2018"/>
      <c r="X2313" s="2018"/>
      <c r="Y2313" s="2018"/>
      <c r="Z2313" s="2096"/>
      <c r="AA2313" s="2097"/>
      <c r="AB2313" s="1050"/>
      <c r="AC2313" s="1050"/>
      <c r="AD2313" s="1050"/>
      <c r="AE2313" s="1050"/>
      <c r="AF2313" s="1052"/>
    </row>
    <row r="2314" spans="1:32" ht="15.75" x14ac:dyDescent="0.25">
      <c r="A2314" s="2017"/>
      <c r="B2314" s="2018"/>
      <c r="C2314" s="2018"/>
      <c r="D2314" s="2018"/>
      <c r="E2314" s="2018"/>
      <c r="F2314" s="2018"/>
      <c r="G2314" s="2018"/>
      <c r="H2314" s="2018"/>
      <c r="I2314" s="2018"/>
      <c r="J2314" s="2018"/>
      <c r="K2314" s="2018"/>
      <c r="L2314" s="2018"/>
      <c r="M2314" s="2018"/>
      <c r="N2314" s="2018"/>
      <c r="O2314" s="2018"/>
      <c r="P2314" s="2018"/>
      <c r="Q2314" s="2018"/>
      <c r="R2314" s="2018"/>
      <c r="S2314" s="2018"/>
      <c r="T2314" s="2018"/>
      <c r="U2314" s="2018"/>
      <c r="V2314" s="2018"/>
      <c r="W2314" s="2018"/>
      <c r="X2314" s="2018"/>
      <c r="Y2314" s="2018"/>
      <c r="Z2314" s="2096"/>
      <c r="AA2314" s="2097"/>
      <c r="AB2314" s="1050"/>
      <c r="AC2314" s="1050"/>
      <c r="AD2314" s="1050"/>
      <c r="AE2314" s="1050"/>
      <c r="AF2314" s="1052"/>
    </row>
    <row r="2315" spans="1:32" ht="15.75" x14ac:dyDescent="0.25">
      <c r="A2315" s="2017"/>
      <c r="B2315" s="2018"/>
      <c r="C2315" s="2018"/>
      <c r="D2315" s="2018"/>
      <c r="E2315" s="2018"/>
      <c r="F2315" s="2018"/>
      <c r="G2315" s="2018"/>
      <c r="H2315" s="2018"/>
      <c r="I2315" s="2018"/>
      <c r="J2315" s="2018"/>
      <c r="K2315" s="2018"/>
      <c r="L2315" s="2018"/>
      <c r="M2315" s="2018"/>
      <c r="N2315" s="2018"/>
      <c r="O2315" s="2018"/>
      <c r="P2315" s="2018"/>
      <c r="Q2315" s="2018"/>
      <c r="R2315" s="2018"/>
      <c r="S2315" s="2018"/>
      <c r="T2315" s="2018"/>
      <c r="U2315" s="2018"/>
      <c r="V2315" s="2018"/>
      <c r="W2315" s="2018"/>
      <c r="X2315" s="2018"/>
      <c r="Y2315" s="2018"/>
      <c r="Z2315" s="2096"/>
      <c r="AA2315" s="2097"/>
      <c r="AB2315" s="1050"/>
      <c r="AC2315" s="1050"/>
      <c r="AD2315" s="1050"/>
      <c r="AE2315" s="1050"/>
      <c r="AF2315" s="1052"/>
    </row>
    <row r="2316" spans="1:32" ht="15.75" x14ac:dyDescent="0.25">
      <c r="A2316" s="2017"/>
      <c r="B2316" s="2018"/>
      <c r="C2316" s="2018"/>
      <c r="D2316" s="2018"/>
      <c r="E2316" s="2018"/>
      <c r="F2316" s="2018"/>
      <c r="G2316" s="2018"/>
      <c r="H2316" s="2018"/>
      <c r="I2316" s="2018"/>
      <c r="J2316" s="2018"/>
      <c r="K2316" s="2018"/>
      <c r="L2316" s="2018"/>
      <c r="M2316" s="2018"/>
      <c r="N2316" s="2018"/>
      <c r="O2316" s="2018"/>
      <c r="P2316" s="2018"/>
      <c r="Q2316" s="2018"/>
      <c r="R2316" s="2018"/>
      <c r="S2316" s="2018"/>
      <c r="T2316" s="2018"/>
      <c r="U2316" s="2018"/>
      <c r="V2316" s="2018"/>
      <c r="W2316" s="2018"/>
      <c r="X2316" s="2018"/>
      <c r="Y2316" s="2018"/>
      <c r="Z2316" s="2105"/>
      <c r="AA2316" s="2105"/>
      <c r="AB2316" s="1050"/>
      <c r="AC2316" s="1050"/>
      <c r="AD2316" s="1050"/>
      <c r="AE2316" s="1050"/>
      <c r="AF2316" s="1052"/>
    </row>
    <row r="2317" spans="1:32" ht="15.75" x14ac:dyDescent="0.25">
      <c r="A2317" s="2017"/>
      <c r="B2317" s="2018"/>
      <c r="C2317" s="2018"/>
      <c r="D2317" s="2018"/>
      <c r="E2317" s="2018"/>
      <c r="F2317" s="2018"/>
      <c r="G2317" s="2018"/>
      <c r="H2317" s="2018"/>
      <c r="I2317" s="2018"/>
      <c r="J2317" s="2018"/>
      <c r="K2317" s="2018"/>
      <c r="L2317" s="2018"/>
      <c r="M2317" s="2018"/>
      <c r="N2317" s="2018"/>
      <c r="O2317" s="2018"/>
      <c r="P2317" s="2018"/>
      <c r="Q2317" s="2018"/>
      <c r="R2317" s="2018"/>
      <c r="S2317" s="2018"/>
      <c r="T2317" s="2018"/>
      <c r="U2317" s="2018"/>
      <c r="V2317" s="2018"/>
      <c r="W2317" s="2018"/>
      <c r="X2317" s="2018"/>
      <c r="Y2317" s="2018"/>
      <c r="Z2317" s="2105"/>
      <c r="AA2317" s="2105"/>
      <c r="AB2317" s="1050"/>
      <c r="AC2317" s="1050"/>
      <c r="AD2317" s="1050"/>
      <c r="AE2317" s="1050"/>
      <c r="AF2317" s="1052"/>
    </row>
    <row r="2318" spans="1:32" ht="15.75" x14ac:dyDescent="0.25">
      <c r="A2318" s="2017"/>
      <c r="B2318" s="2018"/>
      <c r="C2318" s="2018"/>
      <c r="D2318" s="2018"/>
      <c r="E2318" s="2018"/>
      <c r="F2318" s="2018"/>
      <c r="G2318" s="2018"/>
      <c r="H2318" s="2018"/>
      <c r="I2318" s="2018"/>
      <c r="J2318" s="2018"/>
      <c r="K2318" s="2018"/>
      <c r="L2318" s="2018"/>
      <c r="M2318" s="2018"/>
      <c r="N2318" s="2018"/>
      <c r="O2318" s="2018"/>
      <c r="P2318" s="2018"/>
      <c r="Q2318" s="2018"/>
      <c r="R2318" s="2018"/>
      <c r="S2318" s="2018"/>
      <c r="T2318" s="2018"/>
      <c r="U2318" s="2018"/>
      <c r="V2318" s="2018"/>
      <c r="W2318" s="2018"/>
      <c r="X2318" s="2018"/>
      <c r="Y2318" s="2018"/>
      <c r="Z2318" s="2105"/>
      <c r="AA2318" s="2105"/>
      <c r="AB2318" s="1050"/>
      <c r="AC2318" s="1050"/>
      <c r="AD2318" s="1050"/>
      <c r="AE2318" s="1050"/>
      <c r="AF2318" s="1052"/>
    </row>
    <row r="2319" spans="1:32" ht="15.75" x14ac:dyDescent="0.25">
      <c r="A2319" s="2017"/>
      <c r="B2319" s="2018"/>
      <c r="C2319" s="2018"/>
      <c r="D2319" s="2018"/>
      <c r="E2319" s="2018"/>
      <c r="F2319" s="2018"/>
      <c r="G2319" s="2018"/>
      <c r="H2319" s="2018"/>
      <c r="I2319" s="2018"/>
      <c r="J2319" s="2018"/>
      <c r="K2319" s="2018"/>
      <c r="L2319" s="2018"/>
      <c r="M2319" s="2018"/>
      <c r="N2319" s="2018"/>
      <c r="O2319" s="2018"/>
      <c r="P2319" s="2018"/>
      <c r="Q2319" s="2018"/>
      <c r="R2319" s="2018"/>
      <c r="S2319" s="2018"/>
      <c r="T2319" s="2018"/>
      <c r="U2319" s="2018"/>
      <c r="V2319" s="2018"/>
      <c r="W2319" s="2018"/>
      <c r="X2319" s="2018"/>
      <c r="Y2319" s="2018"/>
      <c r="Z2319" s="2105"/>
      <c r="AA2319" s="2105"/>
      <c r="AB2319" s="1050"/>
      <c r="AC2319" s="1050"/>
      <c r="AD2319" s="1050"/>
      <c r="AE2319" s="1050"/>
      <c r="AF2319" s="1052"/>
    </row>
    <row r="2320" spans="1:32" ht="15.75" x14ac:dyDescent="0.25">
      <c r="A2320" s="2017"/>
      <c r="B2320" s="2018"/>
      <c r="C2320" s="2018"/>
      <c r="D2320" s="2018"/>
      <c r="E2320" s="2018"/>
      <c r="F2320" s="2018"/>
      <c r="G2320" s="2018"/>
      <c r="H2320" s="2018"/>
      <c r="I2320" s="2018"/>
      <c r="J2320" s="2018"/>
      <c r="K2320" s="2018"/>
      <c r="L2320" s="2018"/>
      <c r="M2320" s="2018"/>
      <c r="N2320" s="2018"/>
      <c r="O2320" s="2018"/>
      <c r="P2320" s="2018"/>
      <c r="Q2320" s="2018"/>
      <c r="R2320" s="2018"/>
      <c r="S2320" s="2018"/>
      <c r="T2320" s="2018"/>
      <c r="U2320" s="2018"/>
      <c r="V2320" s="2018"/>
      <c r="W2320" s="2018"/>
      <c r="X2320" s="2018"/>
      <c r="Y2320" s="2018"/>
      <c r="Z2320" s="2105"/>
      <c r="AA2320" s="2105"/>
      <c r="AB2320" s="1050"/>
      <c r="AC2320" s="1050"/>
      <c r="AD2320" s="1050"/>
      <c r="AE2320" s="1050"/>
      <c r="AF2320" s="1052"/>
    </row>
    <row r="2321" spans="1:32" ht="15.75" x14ac:dyDescent="0.25">
      <c r="A2321" s="2017"/>
      <c r="B2321" s="2018"/>
      <c r="C2321" s="2018"/>
      <c r="D2321" s="2018"/>
      <c r="E2321" s="2018"/>
      <c r="F2321" s="2018"/>
      <c r="G2321" s="2018"/>
      <c r="H2321" s="2018"/>
      <c r="I2321" s="2018"/>
      <c r="J2321" s="2018"/>
      <c r="K2321" s="2018"/>
      <c r="L2321" s="2018"/>
      <c r="M2321" s="2018"/>
      <c r="N2321" s="2018"/>
      <c r="O2321" s="2018"/>
      <c r="P2321" s="2018"/>
      <c r="Q2321" s="2018"/>
      <c r="R2321" s="2018"/>
      <c r="S2321" s="2018"/>
      <c r="T2321" s="2018"/>
      <c r="U2321" s="2018"/>
      <c r="V2321" s="2018"/>
      <c r="W2321" s="2018"/>
      <c r="X2321" s="2018"/>
      <c r="Y2321" s="2018"/>
      <c r="Z2321" s="2105"/>
      <c r="AA2321" s="2105"/>
      <c r="AB2321" s="1050"/>
      <c r="AC2321" s="1050"/>
      <c r="AD2321" s="1050"/>
      <c r="AE2321" s="1050"/>
      <c r="AF2321" s="1052"/>
    </row>
    <row r="2322" spans="1:32" ht="15.75" x14ac:dyDescent="0.25">
      <c r="A2322" s="2017"/>
      <c r="B2322" s="2018"/>
      <c r="C2322" s="2018"/>
      <c r="D2322" s="2018"/>
      <c r="E2322" s="2018"/>
      <c r="F2322" s="2018"/>
      <c r="G2322" s="2018"/>
      <c r="H2322" s="2018"/>
      <c r="I2322" s="2018"/>
      <c r="J2322" s="2018"/>
      <c r="K2322" s="2018"/>
      <c r="L2322" s="2018"/>
      <c r="M2322" s="2018"/>
      <c r="N2322" s="2018"/>
      <c r="O2322" s="2018"/>
      <c r="P2322" s="2018"/>
      <c r="Q2322" s="2018"/>
      <c r="R2322" s="2018"/>
      <c r="S2322" s="2018"/>
      <c r="T2322" s="2018"/>
      <c r="U2322" s="2018"/>
      <c r="V2322" s="2018"/>
      <c r="W2322" s="2018"/>
      <c r="X2322" s="2018"/>
      <c r="Y2322" s="2018"/>
      <c r="Z2322" s="2105"/>
      <c r="AA2322" s="2105"/>
      <c r="AB2322" s="1050"/>
      <c r="AC2322" s="1050"/>
      <c r="AD2322" s="1050"/>
      <c r="AE2322" s="1050"/>
      <c r="AF2322" s="1052"/>
    </row>
    <row r="2323" spans="1:32" ht="15.75" x14ac:dyDescent="0.25">
      <c r="A2323" s="2017"/>
      <c r="B2323" s="2018"/>
      <c r="C2323" s="2018"/>
      <c r="D2323" s="2018"/>
      <c r="E2323" s="2018"/>
      <c r="F2323" s="2018"/>
      <c r="G2323" s="2018"/>
      <c r="H2323" s="2018"/>
      <c r="I2323" s="2018"/>
      <c r="J2323" s="2018"/>
      <c r="K2323" s="2018"/>
      <c r="L2323" s="2018"/>
      <c r="M2323" s="2018"/>
      <c r="N2323" s="2018"/>
      <c r="O2323" s="2018"/>
      <c r="P2323" s="2018"/>
      <c r="Q2323" s="2018"/>
      <c r="R2323" s="2018"/>
      <c r="S2323" s="2018"/>
      <c r="T2323" s="2018"/>
      <c r="U2323" s="2018"/>
      <c r="V2323" s="2018"/>
      <c r="W2323" s="2018"/>
      <c r="X2323" s="2018"/>
      <c r="Y2323" s="2018"/>
      <c r="Z2323" s="2022"/>
      <c r="AA2323" s="2022"/>
      <c r="AB2323" s="1050"/>
      <c r="AC2323" s="1050"/>
      <c r="AD2323" s="1050"/>
      <c r="AE2323" s="1050"/>
      <c r="AF2323" s="1052"/>
    </row>
    <row r="2324" spans="1:32" ht="15.75" x14ac:dyDescent="0.25">
      <c r="A2324" s="2017"/>
      <c r="B2324" s="2018"/>
      <c r="C2324" s="2018"/>
      <c r="D2324" s="2018"/>
      <c r="E2324" s="2018"/>
      <c r="F2324" s="2018"/>
      <c r="G2324" s="2018"/>
      <c r="H2324" s="2018"/>
      <c r="I2324" s="2018"/>
      <c r="J2324" s="2018"/>
      <c r="K2324" s="2018"/>
      <c r="L2324" s="2018"/>
      <c r="M2324" s="2018"/>
      <c r="N2324" s="2018"/>
      <c r="O2324" s="2018"/>
      <c r="P2324" s="2018"/>
      <c r="Q2324" s="2018"/>
      <c r="R2324" s="2018"/>
      <c r="S2324" s="2018"/>
      <c r="T2324" s="2018"/>
      <c r="U2324" s="2018"/>
      <c r="V2324" s="2018"/>
      <c r="W2324" s="2018"/>
      <c r="X2324" s="2018"/>
      <c r="Y2324" s="2018"/>
      <c r="Z2324" s="2022"/>
      <c r="AA2324" s="2022"/>
      <c r="AB2324" s="1050"/>
      <c r="AC2324" s="1050"/>
      <c r="AD2324" s="1050"/>
      <c r="AE2324" s="1050"/>
      <c r="AF2324" s="1052"/>
    </row>
    <row r="2325" spans="1:32" ht="15.75" x14ac:dyDescent="0.25">
      <c r="A2325" s="2017"/>
      <c r="B2325" s="2018"/>
      <c r="C2325" s="2018"/>
      <c r="D2325" s="2018"/>
      <c r="E2325" s="2018"/>
      <c r="F2325" s="2018"/>
      <c r="G2325" s="2018"/>
      <c r="H2325" s="2018"/>
      <c r="I2325" s="2018"/>
      <c r="J2325" s="2018"/>
      <c r="K2325" s="2018"/>
      <c r="L2325" s="2018"/>
      <c r="M2325" s="2018"/>
      <c r="N2325" s="2018"/>
      <c r="O2325" s="2018"/>
      <c r="P2325" s="2018"/>
      <c r="Q2325" s="2018"/>
      <c r="R2325" s="2018"/>
      <c r="S2325" s="2018"/>
      <c r="T2325" s="2018"/>
      <c r="U2325" s="2018"/>
      <c r="V2325" s="2018"/>
      <c r="W2325" s="2018"/>
      <c r="X2325" s="2018"/>
      <c r="Y2325" s="2018"/>
      <c r="Z2325" s="2022"/>
      <c r="AA2325" s="2022"/>
      <c r="AB2325" s="1050"/>
      <c r="AC2325" s="1050"/>
      <c r="AD2325" s="1050"/>
      <c r="AE2325" s="1050"/>
      <c r="AF2325" s="1052"/>
    </row>
    <row r="2326" spans="1:32" ht="15.75" x14ac:dyDescent="0.25">
      <c r="A2326" s="2017"/>
      <c r="B2326" s="2018"/>
      <c r="C2326" s="2018"/>
      <c r="D2326" s="2018"/>
      <c r="E2326" s="2018"/>
      <c r="F2326" s="2018"/>
      <c r="G2326" s="2018"/>
      <c r="H2326" s="2018"/>
      <c r="I2326" s="2018"/>
      <c r="J2326" s="2018"/>
      <c r="K2326" s="2018"/>
      <c r="L2326" s="2018"/>
      <c r="M2326" s="2018"/>
      <c r="N2326" s="2018"/>
      <c r="O2326" s="2018"/>
      <c r="P2326" s="2018"/>
      <c r="Q2326" s="2018"/>
      <c r="R2326" s="2018"/>
      <c r="S2326" s="2018"/>
      <c r="T2326" s="2018"/>
      <c r="U2326" s="2018"/>
      <c r="V2326" s="2018"/>
      <c r="W2326" s="2018"/>
      <c r="X2326" s="2018"/>
      <c r="Y2326" s="2018"/>
      <c r="Z2326" s="2022"/>
      <c r="AA2326" s="2022"/>
      <c r="AB2326" s="1050"/>
      <c r="AC2326" s="1050"/>
      <c r="AD2326" s="1050"/>
      <c r="AE2326" s="1050"/>
      <c r="AF2326" s="1052"/>
    </row>
    <row r="2327" spans="1:32" ht="15.75" x14ac:dyDescent="0.25">
      <c r="A2327" s="2017"/>
      <c r="B2327" s="2018"/>
      <c r="C2327" s="2018"/>
      <c r="D2327" s="2018"/>
      <c r="E2327" s="2018"/>
      <c r="F2327" s="2018"/>
      <c r="G2327" s="2018"/>
      <c r="H2327" s="2018"/>
      <c r="I2327" s="2018"/>
      <c r="J2327" s="2018"/>
      <c r="K2327" s="2018"/>
      <c r="L2327" s="2018"/>
      <c r="M2327" s="2018"/>
      <c r="N2327" s="2018"/>
      <c r="O2327" s="2018"/>
      <c r="P2327" s="2018"/>
      <c r="Q2327" s="2018"/>
      <c r="R2327" s="2018"/>
      <c r="S2327" s="2018"/>
      <c r="T2327" s="2018"/>
      <c r="U2327" s="2018"/>
      <c r="V2327" s="2018"/>
      <c r="W2327" s="2018"/>
      <c r="X2327" s="2018"/>
      <c r="Y2327" s="2018"/>
      <c r="Z2327" s="2023"/>
      <c r="AA2327" s="2023"/>
      <c r="AB2327" s="1050"/>
      <c r="AC2327" s="1050"/>
      <c r="AD2327" s="1050"/>
      <c r="AE2327" s="1050"/>
      <c r="AF2327" s="1052"/>
    </row>
    <row r="2328" spans="1:32" ht="15.75" x14ac:dyDescent="0.25">
      <c r="A2328" s="2017"/>
      <c r="B2328" s="2018"/>
      <c r="C2328" s="2018"/>
      <c r="D2328" s="2018"/>
      <c r="E2328" s="2018"/>
      <c r="F2328" s="2018"/>
      <c r="G2328" s="2018"/>
      <c r="H2328" s="2018"/>
      <c r="I2328" s="2018"/>
      <c r="J2328" s="2018"/>
      <c r="K2328" s="2018"/>
      <c r="L2328" s="2018"/>
      <c r="M2328" s="2018"/>
      <c r="N2328" s="2018"/>
      <c r="O2328" s="2018"/>
      <c r="P2328" s="2018"/>
      <c r="Q2328" s="2018"/>
      <c r="R2328" s="2018"/>
      <c r="S2328" s="2018"/>
      <c r="T2328" s="2018"/>
      <c r="U2328" s="2018"/>
      <c r="V2328" s="2018"/>
      <c r="W2328" s="2018"/>
      <c r="X2328" s="2018"/>
      <c r="Y2328" s="2018"/>
      <c r="Z2328" s="2023"/>
      <c r="AA2328" s="2023"/>
      <c r="AB2328" s="1050"/>
      <c r="AC2328" s="1050"/>
      <c r="AD2328" s="1050"/>
      <c r="AE2328" s="1050"/>
      <c r="AF2328" s="1052"/>
    </row>
    <row r="2329" spans="1:32" ht="15.75" x14ac:dyDescent="0.25">
      <c r="A2329" s="2017"/>
      <c r="B2329" s="2018"/>
      <c r="C2329" s="2018"/>
      <c r="D2329" s="2018"/>
      <c r="E2329" s="2018"/>
      <c r="F2329" s="2018"/>
      <c r="G2329" s="2018"/>
      <c r="H2329" s="2018"/>
      <c r="I2329" s="2018"/>
      <c r="J2329" s="2018"/>
      <c r="K2329" s="2018"/>
      <c r="L2329" s="2018"/>
      <c r="M2329" s="2018"/>
      <c r="N2329" s="2018"/>
      <c r="O2329" s="2018"/>
      <c r="P2329" s="2018"/>
      <c r="Q2329" s="2018"/>
      <c r="R2329" s="2018"/>
      <c r="S2329" s="2018"/>
      <c r="T2329" s="2018"/>
      <c r="U2329" s="2018"/>
      <c r="V2329" s="2018"/>
      <c r="W2329" s="2018"/>
      <c r="X2329" s="2018"/>
      <c r="Y2329" s="2018"/>
      <c r="Z2329" s="2023"/>
      <c r="AA2329" s="2023"/>
      <c r="AB2329" s="1050"/>
      <c r="AC2329" s="1050"/>
      <c r="AD2329" s="1050"/>
      <c r="AE2329" s="1050"/>
      <c r="AF2329" s="1052"/>
    </row>
    <row r="2330" spans="1:32" ht="15.75" x14ac:dyDescent="0.25">
      <c r="A2330" s="2017"/>
      <c r="B2330" s="2018"/>
      <c r="C2330" s="2018"/>
      <c r="D2330" s="2018"/>
      <c r="E2330" s="2018"/>
      <c r="F2330" s="2018"/>
      <c r="G2330" s="2018"/>
      <c r="H2330" s="2018"/>
      <c r="I2330" s="2018"/>
      <c r="J2330" s="2018"/>
      <c r="K2330" s="2018"/>
      <c r="L2330" s="2018"/>
      <c r="M2330" s="2018"/>
      <c r="N2330" s="2018"/>
      <c r="O2330" s="2018"/>
      <c r="P2330" s="2018"/>
      <c r="Q2330" s="2018"/>
      <c r="R2330" s="2018"/>
      <c r="S2330" s="2018"/>
      <c r="T2330" s="2018"/>
      <c r="U2330" s="2018"/>
      <c r="V2330" s="2018"/>
      <c r="W2330" s="2018"/>
      <c r="X2330" s="2018"/>
      <c r="Y2330" s="2018"/>
      <c r="Z2330" s="2023"/>
      <c r="AA2330" s="2023"/>
      <c r="AB2330" s="1050"/>
      <c r="AC2330" s="1050"/>
      <c r="AD2330" s="1050"/>
      <c r="AE2330" s="1050"/>
      <c r="AF2330" s="1052"/>
    </row>
    <row r="2331" spans="1:32" ht="15.75" x14ac:dyDescent="0.25">
      <c r="A2331" s="2017"/>
      <c r="B2331" s="2018"/>
      <c r="C2331" s="2018"/>
      <c r="D2331" s="2018"/>
      <c r="E2331" s="2018"/>
      <c r="F2331" s="2018"/>
      <c r="G2331" s="2018"/>
      <c r="H2331" s="2018"/>
      <c r="I2331" s="2018"/>
      <c r="J2331" s="2018"/>
      <c r="K2331" s="2018"/>
      <c r="L2331" s="2018"/>
      <c r="M2331" s="2018"/>
      <c r="N2331" s="2018"/>
      <c r="O2331" s="2018"/>
      <c r="P2331" s="2018"/>
      <c r="Q2331" s="2018"/>
      <c r="R2331" s="2018"/>
      <c r="S2331" s="2018"/>
      <c r="T2331" s="2018"/>
      <c r="U2331" s="2018"/>
      <c r="V2331" s="2018"/>
      <c r="W2331" s="2018"/>
      <c r="X2331" s="2018"/>
      <c r="Y2331" s="2018"/>
      <c r="Z2331" s="2023"/>
      <c r="AA2331" s="2023"/>
      <c r="AB2331" s="1050"/>
      <c r="AC2331" s="1050"/>
      <c r="AD2331" s="1050"/>
      <c r="AE2331" s="1050"/>
      <c r="AF2331" s="1052"/>
    </row>
    <row r="2332" spans="1:32" ht="15.75" x14ac:dyDescent="0.25">
      <c r="A2332" s="2017"/>
      <c r="B2332" s="2018"/>
      <c r="C2332" s="2018"/>
      <c r="D2332" s="2018"/>
      <c r="E2332" s="2018"/>
      <c r="F2332" s="2018"/>
      <c r="G2332" s="2018"/>
      <c r="H2332" s="2018"/>
      <c r="I2332" s="2018"/>
      <c r="J2332" s="2018"/>
      <c r="K2332" s="2018"/>
      <c r="L2332" s="2018"/>
      <c r="M2332" s="2018"/>
      <c r="N2332" s="2018"/>
      <c r="O2332" s="2018"/>
      <c r="P2332" s="2018"/>
      <c r="Q2332" s="2018"/>
      <c r="R2332" s="2018"/>
      <c r="S2332" s="2018"/>
      <c r="T2332" s="2018"/>
      <c r="U2332" s="2018"/>
      <c r="V2332" s="2018"/>
      <c r="W2332" s="2018"/>
      <c r="X2332" s="2018"/>
      <c r="Y2332" s="2018"/>
      <c r="Z2332" s="2023"/>
      <c r="AA2332" s="2023"/>
      <c r="AB2332" s="1050"/>
      <c r="AC2332" s="1050"/>
      <c r="AD2332" s="1050"/>
      <c r="AE2332" s="1050"/>
      <c r="AF2332" s="1052"/>
    </row>
    <row r="2333" spans="1:32" ht="16.5" thickBot="1" x14ac:dyDescent="0.3">
      <c r="A2333" s="2019"/>
      <c r="B2333" s="2020"/>
      <c r="C2333" s="2020"/>
      <c r="D2333" s="2020"/>
      <c r="E2333" s="2020"/>
      <c r="F2333" s="2020"/>
      <c r="G2333" s="2020"/>
      <c r="H2333" s="2020"/>
      <c r="I2333" s="2020"/>
      <c r="J2333" s="2020"/>
      <c r="K2333" s="2020"/>
      <c r="L2333" s="2020"/>
      <c r="M2333" s="2020"/>
      <c r="N2333" s="2020"/>
      <c r="O2333" s="2020"/>
      <c r="P2333" s="2020"/>
      <c r="Q2333" s="2020"/>
      <c r="R2333" s="2020"/>
      <c r="S2333" s="2020"/>
      <c r="T2333" s="2020"/>
      <c r="U2333" s="2020"/>
      <c r="V2333" s="2020"/>
      <c r="W2333" s="2020"/>
      <c r="X2333" s="2020"/>
      <c r="Y2333" s="2020"/>
      <c r="Z2333" s="2024"/>
      <c r="AA2333" s="2024"/>
      <c r="AB2333" s="1057"/>
      <c r="AC2333" s="1057"/>
      <c r="AD2333" s="1057"/>
      <c r="AE2333" s="1057"/>
      <c r="AF2333" s="1058"/>
    </row>
    <row r="2334" spans="1:32" ht="15.75" x14ac:dyDescent="0.25">
      <c r="A2334" s="2009" t="s">
        <v>1855</v>
      </c>
      <c r="B2334" s="2010"/>
      <c r="C2334" s="2010"/>
      <c r="D2334" s="2010"/>
      <c r="E2334" s="2010"/>
      <c r="F2334" s="2010"/>
      <c r="G2334" s="2010"/>
      <c r="H2334" s="2010"/>
      <c r="I2334" s="2010"/>
      <c r="J2334" s="2010"/>
      <c r="K2334" s="2010"/>
      <c r="L2334" s="2010"/>
      <c r="M2334" s="2010"/>
      <c r="N2334" s="2010"/>
      <c r="O2334" s="2010"/>
      <c r="P2334" s="2010"/>
      <c r="Q2334" s="2010"/>
      <c r="R2334" s="2010"/>
      <c r="S2334" s="2010"/>
      <c r="T2334" s="2010"/>
      <c r="U2334" s="2010"/>
      <c r="V2334" s="2010"/>
      <c r="W2334" s="2010"/>
      <c r="X2334" s="2010"/>
      <c r="Y2334" s="2010"/>
      <c r="Z2334" s="2013" t="s">
        <v>1850</v>
      </c>
      <c r="AA2334" s="2013"/>
      <c r="AB2334" s="2013"/>
      <c r="AC2334" s="2013"/>
      <c r="AD2334" s="2013"/>
      <c r="AE2334" s="2013"/>
      <c r="AF2334" s="1059">
        <f>SUM(AF2310:AF2333)</f>
        <v>1.74</v>
      </c>
    </row>
    <row r="2335" spans="1:32" ht="15.75" x14ac:dyDescent="0.25">
      <c r="A2335" s="2011"/>
      <c r="B2335" s="2012"/>
      <c r="C2335" s="2012"/>
      <c r="D2335" s="2012"/>
      <c r="E2335" s="2012"/>
      <c r="F2335" s="2012"/>
      <c r="G2335" s="2012"/>
      <c r="H2335" s="2012"/>
      <c r="I2335" s="2012"/>
      <c r="J2335" s="2012"/>
      <c r="K2335" s="2012"/>
      <c r="L2335" s="2012"/>
      <c r="M2335" s="2012"/>
      <c r="N2335" s="2012"/>
      <c r="O2335" s="2012"/>
      <c r="P2335" s="2012"/>
      <c r="Q2335" s="2012"/>
      <c r="R2335" s="2012"/>
      <c r="S2335" s="2012"/>
      <c r="T2335" s="2012"/>
      <c r="U2335" s="2012"/>
      <c r="V2335" s="2012"/>
      <c r="W2335" s="2012"/>
      <c r="X2335" s="2012"/>
      <c r="Y2335" s="2012"/>
      <c r="Z2335" s="2014" t="s">
        <v>1851</v>
      </c>
      <c r="AA2335" s="2014"/>
      <c r="AB2335" s="2014"/>
      <c r="AC2335" s="2014"/>
      <c r="AD2335" s="2014"/>
      <c r="AE2335" s="2014"/>
      <c r="AF2335" s="1060">
        <v>0</v>
      </c>
    </row>
    <row r="2336" spans="1:32" ht="15.75" x14ac:dyDescent="0.25">
      <c r="A2336" s="2011"/>
      <c r="B2336" s="2012"/>
      <c r="C2336" s="2012"/>
      <c r="D2336" s="2012"/>
      <c r="E2336" s="2012"/>
      <c r="F2336" s="2012"/>
      <c r="G2336" s="2012"/>
      <c r="H2336" s="2012"/>
      <c r="I2336" s="2012"/>
      <c r="J2336" s="2012"/>
      <c r="K2336" s="2012"/>
      <c r="L2336" s="2012"/>
      <c r="M2336" s="2012"/>
      <c r="N2336" s="2012"/>
      <c r="O2336" s="2012"/>
      <c r="P2336" s="2012"/>
      <c r="Q2336" s="2012"/>
      <c r="R2336" s="2012"/>
      <c r="S2336" s="2012"/>
      <c r="T2336" s="2012"/>
      <c r="U2336" s="2012"/>
      <c r="V2336" s="2012"/>
      <c r="W2336" s="2012"/>
      <c r="X2336" s="2012"/>
      <c r="Y2336" s="2012"/>
      <c r="Z2336" s="2015" t="s">
        <v>1833</v>
      </c>
      <c r="AA2336" s="2015"/>
      <c r="AB2336" s="2015"/>
      <c r="AC2336" s="2015"/>
      <c r="AD2336" s="2015"/>
      <c r="AE2336" s="2015"/>
      <c r="AF2336" s="1061">
        <f>SUM(AF2334:AF2335)</f>
        <v>1.74</v>
      </c>
    </row>
    <row r="2337" spans="1:32" x14ac:dyDescent="0.2">
      <c r="A2337" s="2012" t="s">
        <v>1859</v>
      </c>
      <c r="B2337" s="2012"/>
      <c r="C2337" s="2012"/>
      <c r="D2337" s="2012"/>
      <c r="E2337" s="2012"/>
      <c r="F2337" s="2012"/>
      <c r="G2337" s="2012"/>
      <c r="H2337" s="2012"/>
      <c r="I2337" s="2012"/>
      <c r="J2337" s="2012"/>
      <c r="K2337" s="2012"/>
      <c r="L2337" s="2012"/>
      <c r="M2337" s="2012"/>
      <c r="N2337" s="2012"/>
      <c r="O2337" s="2012"/>
      <c r="P2337" s="2012"/>
      <c r="Q2337" s="2012"/>
      <c r="R2337" s="2012"/>
      <c r="S2337" s="2012"/>
      <c r="T2337" s="2016" t="s">
        <v>1840</v>
      </c>
      <c r="U2337" s="2016"/>
      <c r="V2337" s="2016"/>
      <c r="W2337" s="2016"/>
      <c r="X2337" s="2016"/>
      <c r="Y2337" s="2016"/>
      <c r="Z2337" s="2016"/>
      <c r="AA2337" s="2016"/>
      <c r="AB2337" s="2012" t="s">
        <v>1852</v>
      </c>
      <c r="AC2337" s="2012"/>
      <c r="AD2337" s="2012"/>
      <c r="AE2337" s="2012"/>
      <c r="AF2337" s="2012"/>
    </row>
    <row r="2338" spans="1:32" x14ac:dyDescent="0.2">
      <c r="A2338" s="2012"/>
      <c r="B2338" s="2012"/>
      <c r="C2338" s="2012"/>
      <c r="D2338" s="2012"/>
      <c r="E2338" s="2012"/>
      <c r="F2338" s="2012"/>
      <c r="G2338" s="2012"/>
      <c r="H2338" s="2012"/>
      <c r="I2338" s="2012"/>
      <c r="J2338" s="2012"/>
      <c r="K2338" s="2012"/>
      <c r="L2338" s="2012"/>
      <c r="M2338" s="2012"/>
      <c r="N2338" s="2012"/>
      <c r="O2338" s="2012"/>
      <c r="P2338" s="2012"/>
      <c r="Q2338" s="2012"/>
      <c r="R2338" s="2012"/>
      <c r="S2338" s="2012"/>
      <c r="T2338" s="2016"/>
      <c r="U2338" s="2016"/>
      <c r="V2338" s="2016"/>
      <c r="W2338" s="2016"/>
      <c r="X2338" s="2016"/>
      <c r="Y2338" s="2016"/>
      <c r="Z2338" s="2016"/>
      <c r="AA2338" s="2016"/>
      <c r="AB2338" s="2012"/>
      <c r="AC2338" s="2012"/>
      <c r="AD2338" s="2012"/>
      <c r="AE2338" s="2012"/>
      <c r="AF2338" s="2012"/>
    </row>
    <row r="2339" spans="1:32" ht="13.5" thickBot="1" x14ac:dyDescent="0.25"/>
    <row r="2340" spans="1:32" ht="26.45" customHeight="1" x14ac:dyDescent="0.2">
      <c r="A2340" s="2025" t="s">
        <v>1854</v>
      </c>
      <c r="B2340" s="2026"/>
      <c r="C2340" s="2026"/>
      <c r="D2340" s="2026"/>
      <c r="E2340" s="2026"/>
      <c r="F2340" s="2026"/>
      <c r="G2340" s="2026"/>
      <c r="H2340" s="2026"/>
      <c r="I2340" s="2026"/>
      <c r="J2340" s="2026"/>
      <c r="K2340" s="2026"/>
      <c r="L2340" s="2026"/>
      <c r="M2340" s="2026"/>
      <c r="N2340" s="2026"/>
      <c r="O2340" s="2026"/>
      <c r="P2340" s="2026"/>
      <c r="Q2340" s="2026"/>
      <c r="R2340" s="2026"/>
      <c r="S2340" s="2026"/>
      <c r="T2340" s="2026"/>
      <c r="U2340" s="2026"/>
      <c r="V2340" s="2026"/>
      <c r="W2340" s="2026"/>
      <c r="X2340" s="2026"/>
      <c r="Y2340" s="2026"/>
      <c r="Z2340" s="2026"/>
      <c r="AA2340" s="2026"/>
      <c r="AB2340" s="2026"/>
      <c r="AC2340" s="2026"/>
      <c r="AD2340" s="2026"/>
      <c r="AE2340" s="1041" t="s">
        <v>1834</v>
      </c>
      <c r="AF2340" s="1042" t="s">
        <v>1835</v>
      </c>
    </row>
    <row r="2341" spans="1:32" ht="21" customHeight="1" thickBot="1" x14ac:dyDescent="0.25">
      <c r="A2341" s="2027"/>
      <c r="B2341" s="2028"/>
      <c r="C2341" s="2028"/>
      <c r="D2341" s="2028"/>
      <c r="E2341" s="2028"/>
      <c r="F2341" s="2028"/>
      <c r="G2341" s="2028"/>
      <c r="H2341" s="2028"/>
      <c r="I2341" s="2028"/>
      <c r="J2341" s="2028"/>
      <c r="K2341" s="2028"/>
      <c r="L2341" s="2028"/>
      <c r="M2341" s="2028"/>
      <c r="N2341" s="2028"/>
      <c r="O2341" s="2028"/>
      <c r="P2341" s="2028"/>
      <c r="Q2341" s="2028"/>
      <c r="R2341" s="2028"/>
      <c r="S2341" s="2028"/>
      <c r="T2341" s="2028"/>
      <c r="U2341" s="2028"/>
      <c r="V2341" s="2028"/>
      <c r="W2341" s="2028"/>
      <c r="X2341" s="2028"/>
      <c r="Y2341" s="2028"/>
      <c r="Z2341" s="2028"/>
      <c r="AA2341" s="2028"/>
      <c r="AB2341" s="2028"/>
      <c r="AC2341" s="2028"/>
      <c r="AD2341" s="2028"/>
      <c r="AE2341" s="1041" t="s">
        <v>1836</v>
      </c>
      <c r="AF2341" s="1044">
        <v>1</v>
      </c>
    </row>
    <row r="2342" spans="1:32" ht="15.75" x14ac:dyDescent="0.2">
      <c r="A2342" s="2029"/>
      <c r="B2342" s="2030"/>
      <c r="C2342" s="2030"/>
      <c r="D2342" s="2031"/>
      <c r="E2342" s="2025" t="str">
        <f>'01'!$A$12</f>
        <v>"CONSTRUCCION SISTEMA DE ACUEDUCTO FASE II DEL MUNICIPIO DE TESALIA DPTO DEL HUILA"</v>
      </c>
      <c r="F2342" s="2026"/>
      <c r="G2342" s="2026"/>
      <c r="H2342" s="2026"/>
      <c r="I2342" s="2026"/>
      <c r="J2342" s="2026"/>
      <c r="K2342" s="2026"/>
      <c r="L2342" s="2026"/>
      <c r="M2342" s="2026"/>
      <c r="N2342" s="2026"/>
      <c r="O2342" s="2026"/>
      <c r="P2342" s="2026"/>
      <c r="Q2342" s="2026"/>
      <c r="R2342" s="2026"/>
      <c r="S2342" s="2026"/>
      <c r="T2342" s="2026"/>
      <c r="U2342" s="2026"/>
      <c r="V2342" s="2026"/>
      <c r="W2342" s="2026"/>
      <c r="X2342" s="2026"/>
      <c r="Y2342" s="2026"/>
      <c r="Z2342" s="2026"/>
      <c r="AA2342" s="2026"/>
      <c r="AB2342" s="2026"/>
      <c r="AC2342" s="2026"/>
      <c r="AD2342" s="2035"/>
      <c r="AE2342" s="1041" t="s">
        <v>847</v>
      </c>
      <c r="AF2342" s="1045">
        <f>'01'!$M$13</f>
        <v>0</v>
      </c>
    </row>
    <row r="2343" spans="1:32" ht="16.5" thickBot="1" x14ac:dyDescent="0.25">
      <c r="A2343" s="2032"/>
      <c r="B2343" s="2033"/>
      <c r="C2343" s="2033"/>
      <c r="D2343" s="2034"/>
      <c r="E2343" s="2027"/>
      <c r="F2343" s="2028"/>
      <c r="G2343" s="2028"/>
      <c r="H2343" s="2028"/>
      <c r="I2343" s="2028"/>
      <c r="J2343" s="2028"/>
      <c r="K2343" s="2028"/>
      <c r="L2343" s="2028"/>
      <c r="M2343" s="2028"/>
      <c r="N2343" s="2028"/>
      <c r="O2343" s="2028"/>
      <c r="P2343" s="2028"/>
      <c r="Q2343" s="2028"/>
      <c r="R2343" s="2028"/>
      <c r="S2343" s="2028"/>
      <c r="T2343" s="2028"/>
      <c r="U2343" s="2028"/>
      <c r="V2343" s="2028"/>
      <c r="W2343" s="2028"/>
      <c r="X2343" s="2028"/>
      <c r="Y2343" s="2028"/>
      <c r="Z2343" s="2028"/>
      <c r="AA2343" s="2028"/>
      <c r="AB2343" s="2028"/>
      <c r="AC2343" s="2028"/>
      <c r="AD2343" s="2036"/>
      <c r="AE2343" s="1041" t="s">
        <v>1837</v>
      </c>
      <c r="AF2343" s="1042" t="s">
        <v>1838</v>
      </c>
    </row>
    <row r="2344" spans="1:32" ht="15.75" x14ac:dyDescent="0.25">
      <c r="A2344" s="2037" t="s">
        <v>1860</v>
      </c>
      <c r="B2344" s="2038"/>
      <c r="C2344" s="2038"/>
      <c r="D2344" s="2038"/>
      <c r="E2344" s="2038"/>
      <c r="F2344" s="2038"/>
      <c r="G2344" s="2038"/>
      <c r="H2344" s="2038"/>
      <c r="I2344" s="2038"/>
      <c r="J2344" s="2038"/>
      <c r="K2344" s="2038"/>
      <c r="L2344" s="2038"/>
      <c r="M2344" s="2038"/>
      <c r="N2344" s="2038"/>
      <c r="O2344" s="2038"/>
      <c r="P2344" s="2038"/>
      <c r="Q2344" s="2038"/>
      <c r="R2344" s="2038"/>
      <c r="S2344" s="2038"/>
      <c r="T2344" s="2038"/>
      <c r="U2344" s="2038"/>
      <c r="V2344" s="2038"/>
      <c r="W2344" s="2038"/>
      <c r="X2344" s="2038"/>
      <c r="Y2344" s="2038"/>
      <c r="Z2344" s="2038"/>
      <c r="AA2344" s="2038"/>
      <c r="AB2344" s="2038"/>
      <c r="AC2344" s="2038"/>
      <c r="AD2344" s="2038"/>
      <c r="AE2344" s="2039" t="s">
        <v>1839</v>
      </c>
      <c r="AF2344" s="2040"/>
    </row>
    <row r="2345" spans="1:32" ht="15.75" x14ac:dyDescent="0.25">
      <c r="A2345" s="2041" t="s">
        <v>1840</v>
      </c>
      <c r="B2345" s="2042"/>
      <c r="C2345" s="2042"/>
      <c r="D2345" s="2042"/>
      <c r="E2345" s="2042"/>
      <c r="F2345" s="2042"/>
      <c r="G2345" s="2042"/>
      <c r="H2345" s="2042"/>
      <c r="I2345" s="2042"/>
      <c r="J2345" s="2042"/>
      <c r="K2345" s="2042"/>
      <c r="L2345" s="2042"/>
      <c r="M2345" s="2042"/>
      <c r="N2345" s="2042"/>
      <c r="O2345" s="2042"/>
      <c r="P2345" s="2042"/>
      <c r="Q2345" s="2042"/>
      <c r="R2345" s="2042"/>
      <c r="S2345" s="2042"/>
      <c r="T2345" s="2042"/>
      <c r="U2345" s="2042"/>
      <c r="V2345" s="2042"/>
      <c r="W2345" s="2042"/>
      <c r="X2345" s="2042"/>
      <c r="Y2345" s="2042"/>
      <c r="Z2345" s="2042"/>
      <c r="AA2345" s="2042"/>
      <c r="AB2345" s="2042"/>
      <c r="AC2345" s="2042"/>
      <c r="AD2345" s="2043"/>
      <c r="AE2345" s="2014" t="s">
        <v>1841</v>
      </c>
      <c r="AF2345" s="2044"/>
    </row>
    <row r="2346" spans="1:32" ht="15.75" x14ac:dyDescent="0.25">
      <c r="A2346" s="2045" t="s">
        <v>1853</v>
      </c>
      <c r="B2346" s="2046"/>
      <c r="C2346" s="2046"/>
      <c r="D2346" s="2046"/>
      <c r="E2346" s="2046"/>
      <c r="F2346" s="2046"/>
      <c r="G2346" s="2046"/>
      <c r="H2346" s="2046"/>
      <c r="I2346" s="2046"/>
      <c r="J2346" s="2046"/>
      <c r="K2346" s="2046"/>
      <c r="L2346" s="2046"/>
      <c r="M2346" s="2046"/>
      <c r="N2346" s="2046"/>
      <c r="O2346" s="2046"/>
      <c r="P2346" s="2046"/>
      <c r="Q2346" s="2046"/>
      <c r="R2346" s="2046"/>
      <c r="S2346" s="2046"/>
      <c r="T2346" s="2046"/>
      <c r="U2346" s="2046"/>
      <c r="V2346" s="2046"/>
      <c r="W2346" s="2046"/>
      <c r="X2346" s="2046"/>
      <c r="Y2346" s="2046"/>
      <c r="Z2346" s="2046"/>
      <c r="AA2346" s="2046"/>
      <c r="AB2346" s="2046"/>
      <c r="AC2346" s="2046"/>
      <c r="AD2346" s="2046"/>
      <c r="AE2346" s="2047">
        <f>'01'!$M$13</f>
        <v>0</v>
      </c>
      <c r="AF2346" s="2044"/>
    </row>
    <row r="2347" spans="1:32" x14ac:dyDescent="0.2">
      <c r="A2347" s="1046"/>
      <c r="B2347" s="1047"/>
      <c r="C2347" s="1047"/>
      <c r="D2347" s="1047"/>
      <c r="E2347" s="1047"/>
      <c r="F2347" s="1047"/>
      <c r="G2347" s="1047"/>
      <c r="H2347" s="1047"/>
      <c r="I2347" s="1047"/>
      <c r="J2347" s="1047"/>
      <c r="K2347" s="1047"/>
      <c r="L2347" s="1047"/>
      <c r="M2347" s="1047"/>
      <c r="N2347" s="1047"/>
      <c r="O2347" s="1047"/>
      <c r="P2347" s="1047"/>
      <c r="Q2347" s="1047"/>
      <c r="R2347" s="1047"/>
      <c r="S2347" s="1047"/>
      <c r="T2347" s="1047"/>
      <c r="U2347" s="1047"/>
      <c r="V2347" s="1047"/>
      <c r="W2347" s="1047"/>
      <c r="X2347" s="1047"/>
      <c r="Y2347" s="1047"/>
      <c r="Z2347" s="1047"/>
      <c r="AA2347" s="1047"/>
      <c r="AB2347" s="1047"/>
      <c r="AC2347" s="1047"/>
      <c r="AD2347" s="1047"/>
      <c r="AE2347" s="1047"/>
      <c r="AF2347" s="1048"/>
    </row>
    <row r="2348" spans="1:32" ht="30" customHeight="1" x14ac:dyDescent="0.2">
      <c r="A2348" s="2048" t="s">
        <v>1842</v>
      </c>
      <c r="B2348" s="2049"/>
      <c r="C2348" s="2049"/>
      <c r="D2348" s="2049"/>
      <c r="E2348" s="2049"/>
      <c r="F2348" s="2050" t="str">
        <f>+'01'!$H$63</f>
        <v>C - FLOCULADOR, SEDIMENTADOR, CANAL DE AGUA SEDIMENTADA Y CANAL DE LAVADO</v>
      </c>
      <c r="G2348" s="2049"/>
      <c r="H2348" s="2049"/>
      <c r="I2348" s="2049"/>
      <c r="J2348" s="2049"/>
      <c r="K2348" s="2049"/>
      <c r="L2348" s="2049"/>
      <c r="M2348" s="2049"/>
      <c r="N2348" s="2049"/>
      <c r="O2348" s="2049"/>
      <c r="P2348" s="2049"/>
      <c r="Q2348" s="2049"/>
      <c r="R2348" s="2049"/>
      <c r="S2348" s="2049"/>
      <c r="T2348" s="2049"/>
      <c r="U2348" s="2049"/>
      <c r="V2348" s="2049"/>
      <c r="W2348" s="2049"/>
      <c r="X2348" s="2049"/>
      <c r="Y2348" s="2051"/>
      <c r="Z2348" s="2052" t="s">
        <v>1843</v>
      </c>
      <c r="AA2348" s="2053"/>
      <c r="AB2348" s="2058" t="s">
        <v>1844</v>
      </c>
      <c r="AC2348" s="2059"/>
      <c r="AD2348" s="2060"/>
      <c r="AE2348" s="2064" t="s">
        <v>1845</v>
      </c>
      <c r="AF2348" s="2067" t="s">
        <v>1846</v>
      </c>
    </row>
    <row r="2349" spans="1:32" ht="15" customHeight="1" x14ac:dyDescent="0.2">
      <c r="A2349" s="2070" t="str">
        <f>+'01'!A102</f>
        <v>C-08-17</v>
      </c>
      <c r="B2349" s="2071"/>
      <c r="C2349" s="2072"/>
      <c r="D2349" s="2076" t="str">
        <f>VLOOKUP(A2349,'01'!$A$12:$N$299,3,FALSE)</f>
        <v xml:space="preserve">GRAVA PARA FILTRO. </v>
      </c>
      <c r="E2349" s="2077"/>
      <c r="F2349" s="2077"/>
      <c r="G2349" s="2077"/>
      <c r="H2349" s="2077"/>
      <c r="I2349" s="2077"/>
      <c r="J2349" s="2077"/>
      <c r="K2349" s="2077"/>
      <c r="L2349" s="2077"/>
      <c r="M2349" s="2077"/>
      <c r="N2349" s="2077"/>
      <c r="O2349" s="2077"/>
      <c r="P2349" s="2077"/>
      <c r="Q2349" s="2077"/>
      <c r="R2349" s="2077"/>
      <c r="S2349" s="2078"/>
      <c r="T2349" s="2082" t="s">
        <v>124</v>
      </c>
      <c r="U2349" s="2083"/>
      <c r="V2349" s="2083"/>
      <c r="W2349" s="2083"/>
      <c r="X2349" s="2052" t="str">
        <f>VLOOKUP(A2349,'01'!$A$12:$N$299,9,FALSE)</f>
        <v>M3</v>
      </c>
      <c r="Y2349" s="2053"/>
      <c r="Z2349" s="2054"/>
      <c r="AA2349" s="2055"/>
      <c r="AB2349" s="2061"/>
      <c r="AC2349" s="2062"/>
      <c r="AD2349" s="2063"/>
      <c r="AE2349" s="2065"/>
      <c r="AF2349" s="2068"/>
    </row>
    <row r="2350" spans="1:32" ht="15" customHeight="1" x14ac:dyDescent="0.25">
      <c r="A2350" s="2073"/>
      <c r="B2350" s="2074"/>
      <c r="C2350" s="2075"/>
      <c r="D2350" s="2079"/>
      <c r="E2350" s="2080"/>
      <c r="F2350" s="2080"/>
      <c r="G2350" s="2080"/>
      <c r="H2350" s="2080"/>
      <c r="I2350" s="2080"/>
      <c r="J2350" s="2080"/>
      <c r="K2350" s="2080"/>
      <c r="L2350" s="2080"/>
      <c r="M2350" s="2080"/>
      <c r="N2350" s="2080"/>
      <c r="O2350" s="2080"/>
      <c r="P2350" s="2080"/>
      <c r="Q2350" s="2080"/>
      <c r="R2350" s="2080"/>
      <c r="S2350" s="2081"/>
      <c r="T2350" s="2084"/>
      <c r="U2350" s="2085"/>
      <c r="V2350" s="2085"/>
      <c r="W2350" s="2085"/>
      <c r="X2350" s="2056"/>
      <c r="Y2350" s="2057"/>
      <c r="Z2350" s="2056"/>
      <c r="AA2350" s="2057"/>
      <c r="AB2350" s="1049" t="s">
        <v>1847</v>
      </c>
      <c r="AC2350" s="1049" t="s">
        <v>1848</v>
      </c>
      <c r="AD2350" s="1049" t="s">
        <v>1861</v>
      </c>
      <c r="AE2350" s="2066"/>
      <c r="AF2350" s="2069"/>
    </row>
    <row r="2351" spans="1:32" ht="15.6" customHeight="1" x14ac:dyDescent="0.25">
      <c r="A2351" s="2017"/>
      <c r="B2351" s="2018"/>
      <c r="C2351" s="2018"/>
      <c r="D2351" s="2018"/>
      <c r="E2351" s="2018"/>
      <c r="F2351" s="2018"/>
      <c r="G2351" s="2018"/>
      <c r="H2351" s="2018"/>
      <c r="I2351" s="2018"/>
      <c r="J2351" s="2018"/>
      <c r="K2351" s="2018"/>
      <c r="L2351" s="2018"/>
      <c r="M2351" s="2018"/>
      <c r="N2351" s="2018"/>
      <c r="O2351" s="2018"/>
      <c r="P2351" s="2018"/>
      <c r="Q2351" s="2018"/>
      <c r="R2351" s="2018"/>
      <c r="S2351" s="2018"/>
      <c r="T2351" s="2018"/>
      <c r="U2351" s="2018"/>
      <c r="V2351" s="2018"/>
      <c r="W2351" s="2018"/>
      <c r="X2351" s="2018"/>
      <c r="Y2351" s="2018"/>
      <c r="Z2351" s="2096" t="s">
        <v>2436</v>
      </c>
      <c r="AA2351" s="2097"/>
      <c r="AB2351" s="1050">
        <f>+AB2310</f>
        <v>1.67</v>
      </c>
      <c r="AC2351" s="1050">
        <f>+AC2310</f>
        <v>1.3</v>
      </c>
      <c r="AD2351" s="1050">
        <v>0.2</v>
      </c>
      <c r="AE2351" s="1050">
        <v>4</v>
      </c>
      <c r="AF2351" s="1052">
        <f>+ROUND(AB2351*AC2351*AD2351*AE2351,2)</f>
        <v>1.74</v>
      </c>
    </row>
    <row r="2352" spans="1:32" ht="15.6" customHeight="1" x14ac:dyDescent="0.25">
      <c r="A2352" s="2017"/>
      <c r="B2352" s="2018"/>
      <c r="C2352" s="2018"/>
      <c r="D2352" s="2018"/>
      <c r="E2352" s="2018"/>
      <c r="F2352" s="2018"/>
      <c r="G2352" s="2018"/>
      <c r="H2352" s="2018"/>
      <c r="I2352" s="2018"/>
      <c r="J2352" s="2018"/>
      <c r="K2352" s="2018"/>
      <c r="L2352" s="2018"/>
      <c r="M2352" s="2018"/>
      <c r="N2352" s="2018"/>
      <c r="O2352" s="2018"/>
      <c r="P2352" s="2018"/>
      <c r="Q2352" s="2018"/>
      <c r="R2352" s="2018"/>
      <c r="S2352" s="2018"/>
      <c r="T2352" s="2018"/>
      <c r="U2352" s="2018"/>
      <c r="V2352" s="2018"/>
      <c r="W2352" s="2018"/>
      <c r="X2352" s="2018"/>
      <c r="Y2352" s="2018"/>
      <c r="Z2352" s="2096"/>
      <c r="AA2352" s="2097"/>
      <c r="AB2352" s="1050"/>
      <c r="AC2352" s="1050"/>
      <c r="AD2352" s="1050"/>
      <c r="AE2352" s="1050"/>
      <c r="AF2352" s="1052"/>
    </row>
    <row r="2353" spans="1:32" ht="15.75" x14ac:dyDescent="0.25">
      <c r="A2353" s="2017"/>
      <c r="B2353" s="2018"/>
      <c r="C2353" s="2018"/>
      <c r="D2353" s="2018"/>
      <c r="E2353" s="2018"/>
      <c r="F2353" s="2018"/>
      <c r="G2353" s="2018"/>
      <c r="H2353" s="2018"/>
      <c r="I2353" s="2018"/>
      <c r="J2353" s="2018"/>
      <c r="K2353" s="2018"/>
      <c r="L2353" s="2018"/>
      <c r="M2353" s="2018"/>
      <c r="N2353" s="2018"/>
      <c r="O2353" s="2018"/>
      <c r="P2353" s="2018"/>
      <c r="Q2353" s="2018"/>
      <c r="R2353" s="2018"/>
      <c r="S2353" s="2018"/>
      <c r="T2353" s="2018"/>
      <c r="U2353" s="2018"/>
      <c r="V2353" s="2018"/>
      <c r="W2353" s="2018"/>
      <c r="X2353" s="2018"/>
      <c r="Y2353" s="2018"/>
      <c r="Z2353" s="2096"/>
      <c r="AA2353" s="2097"/>
      <c r="AB2353" s="1050"/>
      <c r="AC2353" s="1050"/>
      <c r="AD2353" s="1050"/>
      <c r="AE2353" s="1050"/>
      <c r="AF2353" s="1052"/>
    </row>
    <row r="2354" spans="1:32" ht="15.75" x14ac:dyDescent="0.25">
      <c r="A2354" s="2017"/>
      <c r="B2354" s="2018"/>
      <c r="C2354" s="2018"/>
      <c r="D2354" s="2018"/>
      <c r="E2354" s="2018"/>
      <c r="F2354" s="2018"/>
      <c r="G2354" s="2018"/>
      <c r="H2354" s="2018"/>
      <c r="I2354" s="2018"/>
      <c r="J2354" s="2018"/>
      <c r="K2354" s="2018"/>
      <c r="L2354" s="2018"/>
      <c r="M2354" s="2018"/>
      <c r="N2354" s="2018"/>
      <c r="O2354" s="2018"/>
      <c r="P2354" s="2018"/>
      <c r="Q2354" s="2018"/>
      <c r="R2354" s="2018"/>
      <c r="S2354" s="2018"/>
      <c r="T2354" s="2018"/>
      <c r="U2354" s="2018"/>
      <c r="V2354" s="2018"/>
      <c r="W2354" s="2018"/>
      <c r="X2354" s="2018"/>
      <c r="Y2354" s="2018"/>
      <c r="Z2354" s="2096"/>
      <c r="AA2354" s="2097"/>
      <c r="AB2354" s="1050"/>
      <c r="AC2354" s="1050"/>
      <c r="AD2354" s="1050"/>
      <c r="AE2354" s="1050"/>
      <c r="AF2354" s="1052"/>
    </row>
    <row r="2355" spans="1:32" ht="15.75" x14ac:dyDescent="0.25">
      <c r="A2355" s="2017"/>
      <c r="B2355" s="2018"/>
      <c r="C2355" s="2018"/>
      <c r="D2355" s="2018"/>
      <c r="E2355" s="2018"/>
      <c r="F2355" s="2018"/>
      <c r="G2355" s="2018"/>
      <c r="H2355" s="2018"/>
      <c r="I2355" s="2018"/>
      <c r="J2355" s="2018"/>
      <c r="K2355" s="2018"/>
      <c r="L2355" s="2018"/>
      <c r="M2355" s="2018"/>
      <c r="N2355" s="2018"/>
      <c r="O2355" s="2018"/>
      <c r="P2355" s="2018"/>
      <c r="Q2355" s="2018"/>
      <c r="R2355" s="2018"/>
      <c r="S2355" s="2018"/>
      <c r="T2355" s="2018"/>
      <c r="U2355" s="2018"/>
      <c r="V2355" s="2018"/>
      <c r="W2355" s="2018"/>
      <c r="X2355" s="2018"/>
      <c r="Y2355" s="2018"/>
      <c r="Z2355" s="2096"/>
      <c r="AA2355" s="2097"/>
      <c r="AB2355" s="1050"/>
      <c r="AC2355" s="1050"/>
      <c r="AD2355" s="1050"/>
      <c r="AE2355" s="1050"/>
      <c r="AF2355" s="1052"/>
    </row>
    <row r="2356" spans="1:32" ht="15.75" x14ac:dyDescent="0.25">
      <c r="A2356" s="2017"/>
      <c r="B2356" s="2018"/>
      <c r="C2356" s="2018"/>
      <c r="D2356" s="2018"/>
      <c r="E2356" s="2018"/>
      <c r="F2356" s="2018"/>
      <c r="G2356" s="2018"/>
      <c r="H2356" s="2018"/>
      <c r="I2356" s="2018"/>
      <c r="J2356" s="2018"/>
      <c r="K2356" s="2018"/>
      <c r="L2356" s="2018"/>
      <c r="M2356" s="2018"/>
      <c r="N2356" s="2018"/>
      <c r="O2356" s="2018"/>
      <c r="P2356" s="2018"/>
      <c r="Q2356" s="2018"/>
      <c r="R2356" s="2018"/>
      <c r="S2356" s="2018"/>
      <c r="T2356" s="2018"/>
      <c r="U2356" s="2018"/>
      <c r="V2356" s="2018"/>
      <c r="W2356" s="2018"/>
      <c r="X2356" s="2018"/>
      <c r="Y2356" s="2018"/>
      <c r="Z2356" s="2096"/>
      <c r="AA2356" s="2097"/>
      <c r="AB2356" s="1050"/>
      <c r="AC2356" s="1050"/>
      <c r="AD2356" s="1050"/>
      <c r="AE2356" s="1050"/>
      <c r="AF2356" s="1052"/>
    </row>
    <row r="2357" spans="1:32" ht="15.75" x14ac:dyDescent="0.25">
      <c r="A2357" s="2017"/>
      <c r="B2357" s="2018"/>
      <c r="C2357" s="2018"/>
      <c r="D2357" s="2018"/>
      <c r="E2357" s="2018"/>
      <c r="F2357" s="2018"/>
      <c r="G2357" s="2018"/>
      <c r="H2357" s="2018"/>
      <c r="I2357" s="2018"/>
      <c r="J2357" s="2018"/>
      <c r="K2357" s="2018"/>
      <c r="L2357" s="2018"/>
      <c r="M2357" s="2018"/>
      <c r="N2357" s="2018"/>
      <c r="O2357" s="2018"/>
      <c r="P2357" s="2018"/>
      <c r="Q2357" s="2018"/>
      <c r="R2357" s="2018"/>
      <c r="S2357" s="2018"/>
      <c r="T2357" s="2018"/>
      <c r="U2357" s="2018"/>
      <c r="V2357" s="2018"/>
      <c r="W2357" s="2018"/>
      <c r="X2357" s="2018"/>
      <c r="Y2357" s="2018"/>
      <c r="Z2357" s="2105"/>
      <c r="AA2357" s="2105"/>
      <c r="AB2357" s="1050"/>
      <c r="AC2357" s="1050"/>
      <c r="AD2357" s="1050"/>
      <c r="AE2357" s="1050"/>
      <c r="AF2357" s="1052"/>
    </row>
    <row r="2358" spans="1:32" ht="15.75" x14ac:dyDescent="0.25">
      <c r="A2358" s="2017"/>
      <c r="B2358" s="2018"/>
      <c r="C2358" s="2018"/>
      <c r="D2358" s="2018"/>
      <c r="E2358" s="2018"/>
      <c r="F2358" s="2018"/>
      <c r="G2358" s="2018"/>
      <c r="H2358" s="2018"/>
      <c r="I2358" s="2018"/>
      <c r="J2358" s="2018"/>
      <c r="K2358" s="2018"/>
      <c r="L2358" s="2018"/>
      <c r="M2358" s="2018"/>
      <c r="N2358" s="2018"/>
      <c r="O2358" s="2018"/>
      <c r="P2358" s="2018"/>
      <c r="Q2358" s="2018"/>
      <c r="R2358" s="2018"/>
      <c r="S2358" s="2018"/>
      <c r="T2358" s="2018"/>
      <c r="U2358" s="2018"/>
      <c r="V2358" s="2018"/>
      <c r="W2358" s="2018"/>
      <c r="X2358" s="2018"/>
      <c r="Y2358" s="2018"/>
      <c r="Z2358" s="2105"/>
      <c r="AA2358" s="2105"/>
      <c r="AB2358" s="1050"/>
      <c r="AC2358" s="1050"/>
      <c r="AD2358" s="1050"/>
      <c r="AE2358" s="1050"/>
      <c r="AF2358" s="1052"/>
    </row>
    <row r="2359" spans="1:32" ht="15.75" x14ac:dyDescent="0.25">
      <c r="A2359" s="2017"/>
      <c r="B2359" s="2018"/>
      <c r="C2359" s="2018"/>
      <c r="D2359" s="2018"/>
      <c r="E2359" s="2018"/>
      <c r="F2359" s="2018"/>
      <c r="G2359" s="2018"/>
      <c r="H2359" s="2018"/>
      <c r="I2359" s="2018"/>
      <c r="J2359" s="2018"/>
      <c r="K2359" s="2018"/>
      <c r="L2359" s="2018"/>
      <c r="M2359" s="2018"/>
      <c r="N2359" s="2018"/>
      <c r="O2359" s="2018"/>
      <c r="P2359" s="2018"/>
      <c r="Q2359" s="2018"/>
      <c r="R2359" s="2018"/>
      <c r="S2359" s="2018"/>
      <c r="T2359" s="2018"/>
      <c r="U2359" s="2018"/>
      <c r="V2359" s="2018"/>
      <c r="W2359" s="2018"/>
      <c r="X2359" s="2018"/>
      <c r="Y2359" s="2018"/>
      <c r="Z2359" s="2105"/>
      <c r="AA2359" s="2105"/>
      <c r="AB2359" s="1050"/>
      <c r="AC2359" s="1050"/>
      <c r="AD2359" s="1050"/>
      <c r="AE2359" s="1050"/>
      <c r="AF2359" s="1052"/>
    </row>
    <row r="2360" spans="1:32" ht="15.75" x14ac:dyDescent="0.25">
      <c r="A2360" s="2017"/>
      <c r="B2360" s="2018"/>
      <c r="C2360" s="2018"/>
      <c r="D2360" s="2018"/>
      <c r="E2360" s="2018"/>
      <c r="F2360" s="2018"/>
      <c r="G2360" s="2018"/>
      <c r="H2360" s="2018"/>
      <c r="I2360" s="2018"/>
      <c r="J2360" s="2018"/>
      <c r="K2360" s="2018"/>
      <c r="L2360" s="2018"/>
      <c r="M2360" s="2018"/>
      <c r="N2360" s="2018"/>
      <c r="O2360" s="2018"/>
      <c r="P2360" s="2018"/>
      <c r="Q2360" s="2018"/>
      <c r="R2360" s="2018"/>
      <c r="S2360" s="2018"/>
      <c r="T2360" s="2018"/>
      <c r="U2360" s="2018"/>
      <c r="V2360" s="2018"/>
      <c r="W2360" s="2018"/>
      <c r="X2360" s="2018"/>
      <c r="Y2360" s="2018"/>
      <c r="Z2360" s="2105"/>
      <c r="AA2360" s="2105"/>
      <c r="AB2360" s="1050"/>
      <c r="AC2360" s="1050"/>
      <c r="AD2360" s="1050"/>
      <c r="AE2360" s="1050"/>
      <c r="AF2360" s="1052"/>
    </row>
    <row r="2361" spans="1:32" ht="15.75" x14ac:dyDescent="0.25">
      <c r="A2361" s="2017"/>
      <c r="B2361" s="2018"/>
      <c r="C2361" s="2018"/>
      <c r="D2361" s="2018"/>
      <c r="E2361" s="2018"/>
      <c r="F2361" s="2018"/>
      <c r="G2361" s="2018"/>
      <c r="H2361" s="2018"/>
      <c r="I2361" s="2018"/>
      <c r="J2361" s="2018"/>
      <c r="K2361" s="2018"/>
      <c r="L2361" s="2018"/>
      <c r="M2361" s="2018"/>
      <c r="N2361" s="2018"/>
      <c r="O2361" s="2018"/>
      <c r="P2361" s="2018"/>
      <c r="Q2361" s="2018"/>
      <c r="R2361" s="2018"/>
      <c r="S2361" s="2018"/>
      <c r="T2361" s="2018"/>
      <c r="U2361" s="2018"/>
      <c r="V2361" s="2018"/>
      <c r="W2361" s="2018"/>
      <c r="X2361" s="2018"/>
      <c r="Y2361" s="2018"/>
      <c r="Z2361" s="2105"/>
      <c r="AA2361" s="2105"/>
      <c r="AB2361" s="1050"/>
      <c r="AC2361" s="1050"/>
      <c r="AD2361" s="1050"/>
      <c r="AE2361" s="1050"/>
      <c r="AF2361" s="1052"/>
    </row>
    <row r="2362" spans="1:32" ht="15.75" x14ac:dyDescent="0.25">
      <c r="A2362" s="2017"/>
      <c r="B2362" s="2018"/>
      <c r="C2362" s="2018"/>
      <c r="D2362" s="2018"/>
      <c r="E2362" s="2018"/>
      <c r="F2362" s="2018"/>
      <c r="G2362" s="2018"/>
      <c r="H2362" s="2018"/>
      <c r="I2362" s="2018"/>
      <c r="J2362" s="2018"/>
      <c r="K2362" s="2018"/>
      <c r="L2362" s="2018"/>
      <c r="M2362" s="2018"/>
      <c r="N2362" s="2018"/>
      <c r="O2362" s="2018"/>
      <c r="P2362" s="2018"/>
      <c r="Q2362" s="2018"/>
      <c r="R2362" s="2018"/>
      <c r="S2362" s="2018"/>
      <c r="T2362" s="2018"/>
      <c r="U2362" s="2018"/>
      <c r="V2362" s="2018"/>
      <c r="W2362" s="2018"/>
      <c r="X2362" s="2018"/>
      <c r="Y2362" s="2018"/>
      <c r="Z2362" s="2105"/>
      <c r="AA2362" s="2105"/>
      <c r="AB2362" s="1050"/>
      <c r="AC2362" s="1050"/>
      <c r="AD2362" s="1050"/>
      <c r="AE2362" s="1050"/>
      <c r="AF2362" s="1052"/>
    </row>
    <row r="2363" spans="1:32" ht="15.75" x14ac:dyDescent="0.25">
      <c r="A2363" s="2017"/>
      <c r="B2363" s="2018"/>
      <c r="C2363" s="2018"/>
      <c r="D2363" s="2018"/>
      <c r="E2363" s="2018"/>
      <c r="F2363" s="2018"/>
      <c r="G2363" s="2018"/>
      <c r="H2363" s="2018"/>
      <c r="I2363" s="2018"/>
      <c r="J2363" s="2018"/>
      <c r="K2363" s="2018"/>
      <c r="L2363" s="2018"/>
      <c r="M2363" s="2018"/>
      <c r="N2363" s="2018"/>
      <c r="O2363" s="2018"/>
      <c r="P2363" s="2018"/>
      <c r="Q2363" s="2018"/>
      <c r="R2363" s="2018"/>
      <c r="S2363" s="2018"/>
      <c r="T2363" s="2018"/>
      <c r="U2363" s="2018"/>
      <c r="V2363" s="2018"/>
      <c r="W2363" s="2018"/>
      <c r="X2363" s="2018"/>
      <c r="Y2363" s="2018"/>
      <c r="Z2363" s="2105"/>
      <c r="AA2363" s="2105"/>
      <c r="AB2363" s="1050"/>
      <c r="AC2363" s="1050"/>
      <c r="AD2363" s="1050"/>
      <c r="AE2363" s="1050"/>
      <c r="AF2363" s="1052"/>
    </row>
    <row r="2364" spans="1:32" ht="15.75" x14ac:dyDescent="0.25">
      <c r="A2364" s="2017"/>
      <c r="B2364" s="2018"/>
      <c r="C2364" s="2018"/>
      <c r="D2364" s="2018"/>
      <c r="E2364" s="2018"/>
      <c r="F2364" s="2018"/>
      <c r="G2364" s="2018"/>
      <c r="H2364" s="2018"/>
      <c r="I2364" s="2018"/>
      <c r="J2364" s="2018"/>
      <c r="K2364" s="2018"/>
      <c r="L2364" s="2018"/>
      <c r="M2364" s="2018"/>
      <c r="N2364" s="2018"/>
      <c r="O2364" s="2018"/>
      <c r="P2364" s="2018"/>
      <c r="Q2364" s="2018"/>
      <c r="R2364" s="2018"/>
      <c r="S2364" s="2018"/>
      <c r="T2364" s="2018"/>
      <c r="U2364" s="2018"/>
      <c r="V2364" s="2018"/>
      <c r="W2364" s="2018"/>
      <c r="X2364" s="2018"/>
      <c r="Y2364" s="2018"/>
      <c r="Z2364" s="2022"/>
      <c r="AA2364" s="2022"/>
      <c r="AB2364" s="1050"/>
      <c r="AC2364" s="1050"/>
      <c r="AD2364" s="1050"/>
      <c r="AE2364" s="1050"/>
      <c r="AF2364" s="1052"/>
    </row>
    <row r="2365" spans="1:32" ht="15.75" x14ac:dyDescent="0.25">
      <c r="A2365" s="2017"/>
      <c r="B2365" s="2018"/>
      <c r="C2365" s="2018"/>
      <c r="D2365" s="2018"/>
      <c r="E2365" s="2018"/>
      <c r="F2365" s="2018"/>
      <c r="G2365" s="2018"/>
      <c r="H2365" s="2018"/>
      <c r="I2365" s="2018"/>
      <c r="J2365" s="2018"/>
      <c r="K2365" s="2018"/>
      <c r="L2365" s="2018"/>
      <c r="M2365" s="2018"/>
      <c r="N2365" s="2018"/>
      <c r="O2365" s="2018"/>
      <c r="P2365" s="2018"/>
      <c r="Q2365" s="2018"/>
      <c r="R2365" s="2018"/>
      <c r="S2365" s="2018"/>
      <c r="T2365" s="2018"/>
      <c r="U2365" s="2018"/>
      <c r="V2365" s="2018"/>
      <c r="W2365" s="2018"/>
      <c r="X2365" s="2018"/>
      <c r="Y2365" s="2018"/>
      <c r="Z2365" s="2022"/>
      <c r="AA2365" s="2022"/>
      <c r="AB2365" s="1050"/>
      <c r="AC2365" s="1050"/>
      <c r="AD2365" s="1050"/>
      <c r="AE2365" s="1050"/>
      <c r="AF2365" s="1052"/>
    </row>
    <row r="2366" spans="1:32" ht="15.75" x14ac:dyDescent="0.25">
      <c r="A2366" s="2017"/>
      <c r="B2366" s="2018"/>
      <c r="C2366" s="2018"/>
      <c r="D2366" s="2018"/>
      <c r="E2366" s="2018"/>
      <c r="F2366" s="2018"/>
      <c r="G2366" s="2018"/>
      <c r="H2366" s="2018"/>
      <c r="I2366" s="2018"/>
      <c r="J2366" s="2018"/>
      <c r="K2366" s="2018"/>
      <c r="L2366" s="2018"/>
      <c r="M2366" s="2018"/>
      <c r="N2366" s="2018"/>
      <c r="O2366" s="2018"/>
      <c r="P2366" s="2018"/>
      <c r="Q2366" s="2018"/>
      <c r="R2366" s="2018"/>
      <c r="S2366" s="2018"/>
      <c r="T2366" s="2018"/>
      <c r="U2366" s="2018"/>
      <c r="V2366" s="2018"/>
      <c r="W2366" s="2018"/>
      <c r="X2366" s="2018"/>
      <c r="Y2366" s="2018"/>
      <c r="Z2366" s="2022"/>
      <c r="AA2366" s="2022"/>
      <c r="AB2366" s="1050"/>
      <c r="AC2366" s="1050"/>
      <c r="AD2366" s="1050"/>
      <c r="AE2366" s="1050"/>
      <c r="AF2366" s="1052"/>
    </row>
    <row r="2367" spans="1:32" ht="15.75" x14ac:dyDescent="0.25">
      <c r="A2367" s="2017"/>
      <c r="B2367" s="2018"/>
      <c r="C2367" s="2018"/>
      <c r="D2367" s="2018"/>
      <c r="E2367" s="2018"/>
      <c r="F2367" s="2018"/>
      <c r="G2367" s="2018"/>
      <c r="H2367" s="2018"/>
      <c r="I2367" s="2018"/>
      <c r="J2367" s="2018"/>
      <c r="K2367" s="2018"/>
      <c r="L2367" s="2018"/>
      <c r="M2367" s="2018"/>
      <c r="N2367" s="2018"/>
      <c r="O2367" s="2018"/>
      <c r="P2367" s="2018"/>
      <c r="Q2367" s="2018"/>
      <c r="R2367" s="2018"/>
      <c r="S2367" s="2018"/>
      <c r="T2367" s="2018"/>
      <c r="U2367" s="2018"/>
      <c r="V2367" s="2018"/>
      <c r="W2367" s="2018"/>
      <c r="X2367" s="2018"/>
      <c r="Y2367" s="2018"/>
      <c r="Z2367" s="2022"/>
      <c r="AA2367" s="2022"/>
      <c r="AB2367" s="1050"/>
      <c r="AC2367" s="1050"/>
      <c r="AD2367" s="1050"/>
      <c r="AE2367" s="1050"/>
      <c r="AF2367" s="1052"/>
    </row>
    <row r="2368" spans="1:32" ht="15.75" x14ac:dyDescent="0.25">
      <c r="A2368" s="2017"/>
      <c r="B2368" s="2018"/>
      <c r="C2368" s="2018"/>
      <c r="D2368" s="2018"/>
      <c r="E2368" s="2018"/>
      <c r="F2368" s="2018"/>
      <c r="G2368" s="2018"/>
      <c r="H2368" s="2018"/>
      <c r="I2368" s="2018"/>
      <c r="J2368" s="2018"/>
      <c r="K2368" s="2018"/>
      <c r="L2368" s="2018"/>
      <c r="M2368" s="2018"/>
      <c r="N2368" s="2018"/>
      <c r="O2368" s="2018"/>
      <c r="P2368" s="2018"/>
      <c r="Q2368" s="2018"/>
      <c r="R2368" s="2018"/>
      <c r="S2368" s="2018"/>
      <c r="T2368" s="2018"/>
      <c r="U2368" s="2018"/>
      <c r="V2368" s="2018"/>
      <c r="W2368" s="2018"/>
      <c r="X2368" s="2018"/>
      <c r="Y2368" s="2018"/>
      <c r="Z2368" s="2023"/>
      <c r="AA2368" s="2023"/>
      <c r="AB2368" s="1050"/>
      <c r="AC2368" s="1050"/>
      <c r="AD2368" s="1050"/>
      <c r="AE2368" s="1050"/>
      <c r="AF2368" s="1052"/>
    </row>
    <row r="2369" spans="1:32" ht="15.75" x14ac:dyDescent="0.25">
      <c r="A2369" s="2017"/>
      <c r="B2369" s="2018"/>
      <c r="C2369" s="2018"/>
      <c r="D2369" s="2018"/>
      <c r="E2369" s="2018"/>
      <c r="F2369" s="2018"/>
      <c r="G2369" s="2018"/>
      <c r="H2369" s="2018"/>
      <c r="I2369" s="2018"/>
      <c r="J2369" s="2018"/>
      <c r="K2369" s="2018"/>
      <c r="L2369" s="2018"/>
      <c r="M2369" s="2018"/>
      <c r="N2369" s="2018"/>
      <c r="O2369" s="2018"/>
      <c r="P2369" s="2018"/>
      <c r="Q2369" s="2018"/>
      <c r="R2369" s="2018"/>
      <c r="S2369" s="2018"/>
      <c r="T2369" s="2018"/>
      <c r="U2369" s="2018"/>
      <c r="V2369" s="2018"/>
      <c r="W2369" s="2018"/>
      <c r="X2369" s="2018"/>
      <c r="Y2369" s="2018"/>
      <c r="Z2369" s="2023"/>
      <c r="AA2369" s="2023"/>
      <c r="AB2369" s="1050"/>
      <c r="AC2369" s="1050"/>
      <c r="AD2369" s="1050"/>
      <c r="AE2369" s="1050"/>
      <c r="AF2369" s="1052"/>
    </row>
    <row r="2370" spans="1:32" ht="15.75" x14ac:dyDescent="0.25">
      <c r="A2370" s="2017"/>
      <c r="B2370" s="2018"/>
      <c r="C2370" s="2018"/>
      <c r="D2370" s="2018"/>
      <c r="E2370" s="2018"/>
      <c r="F2370" s="2018"/>
      <c r="G2370" s="2018"/>
      <c r="H2370" s="2018"/>
      <c r="I2370" s="2018"/>
      <c r="J2370" s="2018"/>
      <c r="K2370" s="2018"/>
      <c r="L2370" s="2018"/>
      <c r="M2370" s="2018"/>
      <c r="N2370" s="2018"/>
      <c r="O2370" s="2018"/>
      <c r="P2370" s="2018"/>
      <c r="Q2370" s="2018"/>
      <c r="R2370" s="2018"/>
      <c r="S2370" s="2018"/>
      <c r="T2370" s="2018"/>
      <c r="U2370" s="2018"/>
      <c r="V2370" s="2018"/>
      <c r="W2370" s="2018"/>
      <c r="X2370" s="2018"/>
      <c r="Y2370" s="2018"/>
      <c r="Z2370" s="2023"/>
      <c r="AA2370" s="2023"/>
      <c r="AB2370" s="1050"/>
      <c r="AC2370" s="1050"/>
      <c r="AD2370" s="1050"/>
      <c r="AE2370" s="1050"/>
      <c r="AF2370" s="1052"/>
    </row>
    <row r="2371" spans="1:32" ht="15.75" x14ac:dyDescent="0.25">
      <c r="A2371" s="2017"/>
      <c r="B2371" s="2018"/>
      <c r="C2371" s="2018"/>
      <c r="D2371" s="2018"/>
      <c r="E2371" s="2018"/>
      <c r="F2371" s="2018"/>
      <c r="G2371" s="2018"/>
      <c r="H2371" s="2018"/>
      <c r="I2371" s="2018"/>
      <c r="J2371" s="2018"/>
      <c r="K2371" s="2018"/>
      <c r="L2371" s="2018"/>
      <c r="M2371" s="2018"/>
      <c r="N2371" s="2018"/>
      <c r="O2371" s="2018"/>
      <c r="P2371" s="2018"/>
      <c r="Q2371" s="2018"/>
      <c r="R2371" s="2018"/>
      <c r="S2371" s="2018"/>
      <c r="T2371" s="2018"/>
      <c r="U2371" s="2018"/>
      <c r="V2371" s="2018"/>
      <c r="W2371" s="2018"/>
      <c r="X2371" s="2018"/>
      <c r="Y2371" s="2018"/>
      <c r="Z2371" s="2023"/>
      <c r="AA2371" s="2023"/>
      <c r="AB2371" s="1050"/>
      <c r="AC2371" s="1050"/>
      <c r="AD2371" s="1050"/>
      <c r="AE2371" s="1050"/>
      <c r="AF2371" s="1052"/>
    </row>
    <row r="2372" spans="1:32" ht="15.75" x14ac:dyDescent="0.25">
      <c r="A2372" s="2017"/>
      <c r="B2372" s="2018"/>
      <c r="C2372" s="2018"/>
      <c r="D2372" s="2018"/>
      <c r="E2372" s="2018"/>
      <c r="F2372" s="2018"/>
      <c r="G2372" s="2018"/>
      <c r="H2372" s="2018"/>
      <c r="I2372" s="2018"/>
      <c r="J2372" s="2018"/>
      <c r="K2372" s="2018"/>
      <c r="L2372" s="2018"/>
      <c r="M2372" s="2018"/>
      <c r="N2372" s="2018"/>
      <c r="O2372" s="2018"/>
      <c r="P2372" s="2018"/>
      <c r="Q2372" s="2018"/>
      <c r="R2372" s="2018"/>
      <c r="S2372" s="2018"/>
      <c r="T2372" s="2018"/>
      <c r="U2372" s="2018"/>
      <c r="V2372" s="2018"/>
      <c r="W2372" s="2018"/>
      <c r="X2372" s="2018"/>
      <c r="Y2372" s="2018"/>
      <c r="Z2372" s="2023"/>
      <c r="AA2372" s="2023"/>
      <c r="AB2372" s="1050"/>
      <c r="AC2372" s="1050"/>
      <c r="AD2372" s="1050"/>
      <c r="AE2372" s="1050"/>
      <c r="AF2372" s="1052"/>
    </row>
    <row r="2373" spans="1:32" ht="15.75" x14ac:dyDescent="0.25">
      <c r="A2373" s="2017"/>
      <c r="B2373" s="2018"/>
      <c r="C2373" s="2018"/>
      <c r="D2373" s="2018"/>
      <c r="E2373" s="2018"/>
      <c r="F2373" s="2018"/>
      <c r="G2373" s="2018"/>
      <c r="H2373" s="2018"/>
      <c r="I2373" s="2018"/>
      <c r="J2373" s="2018"/>
      <c r="K2373" s="2018"/>
      <c r="L2373" s="2018"/>
      <c r="M2373" s="2018"/>
      <c r="N2373" s="2018"/>
      <c r="O2373" s="2018"/>
      <c r="P2373" s="2018"/>
      <c r="Q2373" s="2018"/>
      <c r="R2373" s="2018"/>
      <c r="S2373" s="2018"/>
      <c r="T2373" s="2018"/>
      <c r="U2373" s="2018"/>
      <c r="V2373" s="2018"/>
      <c r="W2373" s="2018"/>
      <c r="X2373" s="2018"/>
      <c r="Y2373" s="2018"/>
      <c r="Z2373" s="2023"/>
      <c r="AA2373" s="2023"/>
      <c r="AB2373" s="1050"/>
      <c r="AC2373" s="1050"/>
      <c r="AD2373" s="1050"/>
      <c r="AE2373" s="1050"/>
      <c r="AF2373" s="1052"/>
    </row>
    <row r="2374" spans="1:32" ht="16.5" thickBot="1" x14ac:dyDescent="0.3">
      <c r="A2374" s="2019"/>
      <c r="B2374" s="2020"/>
      <c r="C2374" s="2020"/>
      <c r="D2374" s="2020"/>
      <c r="E2374" s="2020"/>
      <c r="F2374" s="2020"/>
      <c r="G2374" s="2020"/>
      <c r="H2374" s="2020"/>
      <c r="I2374" s="2020"/>
      <c r="J2374" s="2020"/>
      <c r="K2374" s="2020"/>
      <c r="L2374" s="2020"/>
      <c r="M2374" s="2020"/>
      <c r="N2374" s="2020"/>
      <c r="O2374" s="2020"/>
      <c r="P2374" s="2020"/>
      <c r="Q2374" s="2020"/>
      <c r="R2374" s="2020"/>
      <c r="S2374" s="2020"/>
      <c r="T2374" s="2020"/>
      <c r="U2374" s="2020"/>
      <c r="V2374" s="2020"/>
      <c r="W2374" s="2020"/>
      <c r="X2374" s="2020"/>
      <c r="Y2374" s="2020"/>
      <c r="Z2374" s="2024"/>
      <c r="AA2374" s="2024"/>
      <c r="AB2374" s="1057"/>
      <c r="AC2374" s="1057"/>
      <c r="AD2374" s="1057"/>
      <c r="AE2374" s="1057"/>
      <c r="AF2374" s="1058"/>
    </row>
    <row r="2375" spans="1:32" ht="15.75" x14ac:dyDescent="0.25">
      <c r="A2375" s="2009" t="s">
        <v>1855</v>
      </c>
      <c r="B2375" s="2010"/>
      <c r="C2375" s="2010"/>
      <c r="D2375" s="2010"/>
      <c r="E2375" s="2010"/>
      <c r="F2375" s="2010"/>
      <c r="G2375" s="2010"/>
      <c r="H2375" s="2010"/>
      <c r="I2375" s="2010"/>
      <c r="J2375" s="2010"/>
      <c r="K2375" s="2010"/>
      <c r="L2375" s="2010"/>
      <c r="M2375" s="2010"/>
      <c r="N2375" s="2010"/>
      <c r="O2375" s="2010"/>
      <c r="P2375" s="2010"/>
      <c r="Q2375" s="2010"/>
      <c r="R2375" s="2010"/>
      <c r="S2375" s="2010"/>
      <c r="T2375" s="2010"/>
      <c r="U2375" s="2010"/>
      <c r="V2375" s="2010"/>
      <c r="W2375" s="2010"/>
      <c r="X2375" s="2010"/>
      <c r="Y2375" s="2010"/>
      <c r="Z2375" s="2013" t="s">
        <v>1850</v>
      </c>
      <c r="AA2375" s="2013"/>
      <c r="AB2375" s="2013"/>
      <c r="AC2375" s="2013"/>
      <c r="AD2375" s="2013"/>
      <c r="AE2375" s="2013"/>
      <c r="AF2375" s="1059">
        <f>SUM(AF2351:AF2374)</f>
        <v>1.74</v>
      </c>
    </row>
    <row r="2376" spans="1:32" ht="15.75" x14ac:dyDescent="0.25">
      <c r="A2376" s="2011"/>
      <c r="B2376" s="2012"/>
      <c r="C2376" s="2012"/>
      <c r="D2376" s="2012"/>
      <c r="E2376" s="2012"/>
      <c r="F2376" s="2012"/>
      <c r="G2376" s="2012"/>
      <c r="H2376" s="2012"/>
      <c r="I2376" s="2012"/>
      <c r="J2376" s="2012"/>
      <c r="K2376" s="2012"/>
      <c r="L2376" s="2012"/>
      <c r="M2376" s="2012"/>
      <c r="N2376" s="2012"/>
      <c r="O2376" s="2012"/>
      <c r="P2376" s="2012"/>
      <c r="Q2376" s="2012"/>
      <c r="R2376" s="2012"/>
      <c r="S2376" s="2012"/>
      <c r="T2376" s="2012"/>
      <c r="U2376" s="2012"/>
      <c r="V2376" s="2012"/>
      <c r="W2376" s="2012"/>
      <c r="X2376" s="2012"/>
      <c r="Y2376" s="2012"/>
      <c r="Z2376" s="2014" t="s">
        <v>1851</v>
      </c>
      <c r="AA2376" s="2014"/>
      <c r="AB2376" s="2014"/>
      <c r="AC2376" s="2014"/>
      <c r="AD2376" s="2014"/>
      <c r="AE2376" s="2014"/>
      <c r="AF2376" s="1060">
        <v>0</v>
      </c>
    </row>
    <row r="2377" spans="1:32" ht="15.75" x14ac:dyDescent="0.25">
      <c r="A2377" s="2011"/>
      <c r="B2377" s="2012"/>
      <c r="C2377" s="2012"/>
      <c r="D2377" s="2012"/>
      <c r="E2377" s="2012"/>
      <c r="F2377" s="2012"/>
      <c r="G2377" s="2012"/>
      <c r="H2377" s="2012"/>
      <c r="I2377" s="2012"/>
      <c r="J2377" s="2012"/>
      <c r="K2377" s="2012"/>
      <c r="L2377" s="2012"/>
      <c r="M2377" s="2012"/>
      <c r="N2377" s="2012"/>
      <c r="O2377" s="2012"/>
      <c r="P2377" s="2012"/>
      <c r="Q2377" s="2012"/>
      <c r="R2377" s="2012"/>
      <c r="S2377" s="2012"/>
      <c r="T2377" s="2012"/>
      <c r="U2377" s="2012"/>
      <c r="V2377" s="2012"/>
      <c r="W2377" s="2012"/>
      <c r="X2377" s="2012"/>
      <c r="Y2377" s="2012"/>
      <c r="Z2377" s="2015" t="s">
        <v>1833</v>
      </c>
      <c r="AA2377" s="2015"/>
      <c r="AB2377" s="2015"/>
      <c r="AC2377" s="2015"/>
      <c r="AD2377" s="2015"/>
      <c r="AE2377" s="2015"/>
      <c r="AF2377" s="1061">
        <f>SUM(AF2375:AF2376)</f>
        <v>1.74</v>
      </c>
    </row>
    <row r="2378" spans="1:32" x14ac:dyDescent="0.2">
      <c r="A2378" s="2012" t="s">
        <v>1859</v>
      </c>
      <c r="B2378" s="2012"/>
      <c r="C2378" s="2012"/>
      <c r="D2378" s="2012"/>
      <c r="E2378" s="2012"/>
      <c r="F2378" s="2012"/>
      <c r="G2378" s="2012"/>
      <c r="H2378" s="2012"/>
      <c r="I2378" s="2012"/>
      <c r="J2378" s="2012"/>
      <c r="K2378" s="2012"/>
      <c r="L2378" s="2012"/>
      <c r="M2378" s="2012"/>
      <c r="N2378" s="2012"/>
      <c r="O2378" s="2012"/>
      <c r="P2378" s="2012"/>
      <c r="Q2378" s="2012"/>
      <c r="R2378" s="2012"/>
      <c r="S2378" s="2012"/>
      <c r="T2378" s="2016" t="s">
        <v>1840</v>
      </c>
      <c r="U2378" s="2016"/>
      <c r="V2378" s="2016"/>
      <c r="W2378" s="2016"/>
      <c r="X2378" s="2016"/>
      <c r="Y2378" s="2016"/>
      <c r="Z2378" s="2016"/>
      <c r="AA2378" s="2016"/>
      <c r="AB2378" s="2012" t="s">
        <v>1852</v>
      </c>
      <c r="AC2378" s="2012"/>
      <c r="AD2378" s="2012"/>
      <c r="AE2378" s="2012"/>
      <c r="AF2378" s="2012"/>
    </row>
    <row r="2379" spans="1:32" x14ac:dyDescent="0.2">
      <c r="A2379" s="2012"/>
      <c r="B2379" s="2012"/>
      <c r="C2379" s="2012"/>
      <c r="D2379" s="2012"/>
      <c r="E2379" s="2012"/>
      <c r="F2379" s="2012"/>
      <c r="G2379" s="2012"/>
      <c r="H2379" s="2012"/>
      <c r="I2379" s="2012"/>
      <c r="J2379" s="2012"/>
      <c r="K2379" s="2012"/>
      <c r="L2379" s="2012"/>
      <c r="M2379" s="2012"/>
      <c r="N2379" s="2012"/>
      <c r="O2379" s="2012"/>
      <c r="P2379" s="2012"/>
      <c r="Q2379" s="2012"/>
      <c r="R2379" s="2012"/>
      <c r="S2379" s="2012"/>
      <c r="T2379" s="2016"/>
      <c r="U2379" s="2016"/>
      <c r="V2379" s="2016"/>
      <c r="W2379" s="2016"/>
      <c r="X2379" s="2016"/>
      <c r="Y2379" s="2016"/>
      <c r="Z2379" s="2016"/>
      <c r="AA2379" s="2016"/>
      <c r="AB2379" s="2012"/>
      <c r="AC2379" s="2012"/>
      <c r="AD2379" s="2012"/>
      <c r="AE2379" s="2012"/>
      <c r="AF2379" s="2012"/>
    </row>
    <row r="2380" spans="1:32" ht="13.5" thickBot="1" x14ac:dyDescent="0.25"/>
    <row r="2381" spans="1:32" ht="26.45" customHeight="1" x14ac:dyDescent="0.2">
      <c r="A2381" s="2025" t="s">
        <v>1854</v>
      </c>
      <c r="B2381" s="2026"/>
      <c r="C2381" s="2026"/>
      <c r="D2381" s="2026"/>
      <c r="E2381" s="2026"/>
      <c r="F2381" s="2026"/>
      <c r="G2381" s="2026"/>
      <c r="H2381" s="2026"/>
      <c r="I2381" s="2026"/>
      <c r="J2381" s="2026"/>
      <c r="K2381" s="2026"/>
      <c r="L2381" s="2026"/>
      <c r="M2381" s="2026"/>
      <c r="N2381" s="2026"/>
      <c r="O2381" s="2026"/>
      <c r="P2381" s="2026"/>
      <c r="Q2381" s="2026"/>
      <c r="R2381" s="2026"/>
      <c r="S2381" s="2026"/>
      <c r="T2381" s="2026"/>
      <c r="U2381" s="2026"/>
      <c r="V2381" s="2026"/>
      <c r="W2381" s="2026"/>
      <c r="X2381" s="2026"/>
      <c r="Y2381" s="2026"/>
      <c r="Z2381" s="2026"/>
      <c r="AA2381" s="2026"/>
      <c r="AB2381" s="2026"/>
      <c r="AC2381" s="2026"/>
      <c r="AD2381" s="2026"/>
      <c r="AE2381" s="1041" t="s">
        <v>1834</v>
      </c>
      <c r="AF2381" s="1042" t="s">
        <v>1835</v>
      </c>
    </row>
    <row r="2382" spans="1:32" ht="21" customHeight="1" thickBot="1" x14ac:dyDescent="0.25">
      <c r="A2382" s="2027"/>
      <c r="B2382" s="2028"/>
      <c r="C2382" s="2028"/>
      <c r="D2382" s="2028"/>
      <c r="E2382" s="2028"/>
      <c r="F2382" s="2028"/>
      <c r="G2382" s="2028"/>
      <c r="H2382" s="2028"/>
      <c r="I2382" s="2028"/>
      <c r="J2382" s="2028"/>
      <c r="K2382" s="2028"/>
      <c r="L2382" s="2028"/>
      <c r="M2382" s="2028"/>
      <c r="N2382" s="2028"/>
      <c r="O2382" s="2028"/>
      <c r="P2382" s="2028"/>
      <c r="Q2382" s="2028"/>
      <c r="R2382" s="2028"/>
      <c r="S2382" s="2028"/>
      <c r="T2382" s="2028"/>
      <c r="U2382" s="2028"/>
      <c r="V2382" s="2028"/>
      <c r="W2382" s="2028"/>
      <c r="X2382" s="2028"/>
      <c r="Y2382" s="2028"/>
      <c r="Z2382" s="2028"/>
      <c r="AA2382" s="2028"/>
      <c r="AB2382" s="2028"/>
      <c r="AC2382" s="2028"/>
      <c r="AD2382" s="2028"/>
      <c r="AE2382" s="1041" t="s">
        <v>1836</v>
      </c>
      <c r="AF2382" s="1044">
        <v>1</v>
      </c>
    </row>
    <row r="2383" spans="1:32" ht="15.75" x14ac:dyDescent="0.2">
      <c r="A2383" s="2029"/>
      <c r="B2383" s="2030"/>
      <c r="C2383" s="2030"/>
      <c r="D2383" s="2031"/>
      <c r="E2383" s="2025" t="str">
        <f>'01'!$A$12</f>
        <v>"CONSTRUCCION SISTEMA DE ACUEDUCTO FASE II DEL MUNICIPIO DE TESALIA DPTO DEL HUILA"</v>
      </c>
      <c r="F2383" s="2026"/>
      <c r="G2383" s="2026"/>
      <c r="H2383" s="2026"/>
      <c r="I2383" s="2026"/>
      <c r="J2383" s="2026"/>
      <c r="K2383" s="2026"/>
      <c r="L2383" s="2026"/>
      <c r="M2383" s="2026"/>
      <c r="N2383" s="2026"/>
      <c r="O2383" s="2026"/>
      <c r="P2383" s="2026"/>
      <c r="Q2383" s="2026"/>
      <c r="R2383" s="2026"/>
      <c r="S2383" s="2026"/>
      <c r="T2383" s="2026"/>
      <c r="U2383" s="2026"/>
      <c r="V2383" s="2026"/>
      <c r="W2383" s="2026"/>
      <c r="X2383" s="2026"/>
      <c r="Y2383" s="2026"/>
      <c r="Z2383" s="2026"/>
      <c r="AA2383" s="2026"/>
      <c r="AB2383" s="2026"/>
      <c r="AC2383" s="2026"/>
      <c r="AD2383" s="2035"/>
      <c r="AE2383" s="1041" t="s">
        <v>847</v>
      </c>
      <c r="AF2383" s="1045">
        <f>'01'!$M$13</f>
        <v>0</v>
      </c>
    </row>
    <row r="2384" spans="1:32" ht="16.5" thickBot="1" x14ac:dyDescent="0.25">
      <c r="A2384" s="2032"/>
      <c r="B2384" s="2033"/>
      <c r="C2384" s="2033"/>
      <c r="D2384" s="2034"/>
      <c r="E2384" s="2027"/>
      <c r="F2384" s="2028"/>
      <c r="G2384" s="2028"/>
      <c r="H2384" s="2028"/>
      <c r="I2384" s="2028"/>
      <c r="J2384" s="2028"/>
      <c r="K2384" s="2028"/>
      <c r="L2384" s="2028"/>
      <c r="M2384" s="2028"/>
      <c r="N2384" s="2028"/>
      <c r="O2384" s="2028"/>
      <c r="P2384" s="2028"/>
      <c r="Q2384" s="2028"/>
      <c r="R2384" s="2028"/>
      <c r="S2384" s="2028"/>
      <c r="T2384" s="2028"/>
      <c r="U2384" s="2028"/>
      <c r="V2384" s="2028"/>
      <c r="W2384" s="2028"/>
      <c r="X2384" s="2028"/>
      <c r="Y2384" s="2028"/>
      <c r="Z2384" s="2028"/>
      <c r="AA2384" s="2028"/>
      <c r="AB2384" s="2028"/>
      <c r="AC2384" s="2028"/>
      <c r="AD2384" s="2036"/>
      <c r="AE2384" s="1041" t="s">
        <v>1837</v>
      </c>
      <c r="AF2384" s="1042" t="s">
        <v>1838</v>
      </c>
    </row>
    <row r="2385" spans="1:32" ht="15.75" x14ac:dyDescent="0.25">
      <c r="A2385" s="2037" t="s">
        <v>1860</v>
      </c>
      <c r="B2385" s="2038"/>
      <c r="C2385" s="2038"/>
      <c r="D2385" s="2038"/>
      <c r="E2385" s="2038"/>
      <c r="F2385" s="2038"/>
      <c r="G2385" s="2038"/>
      <c r="H2385" s="2038"/>
      <c r="I2385" s="2038"/>
      <c r="J2385" s="2038"/>
      <c r="K2385" s="2038"/>
      <c r="L2385" s="2038"/>
      <c r="M2385" s="2038"/>
      <c r="N2385" s="2038"/>
      <c r="O2385" s="2038"/>
      <c r="P2385" s="2038"/>
      <c r="Q2385" s="2038"/>
      <c r="R2385" s="2038"/>
      <c r="S2385" s="2038"/>
      <c r="T2385" s="2038"/>
      <c r="U2385" s="2038"/>
      <c r="V2385" s="2038"/>
      <c r="W2385" s="2038"/>
      <c r="X2385" s="2038"/>
      <c r="Y2385" s="2038"/>
      <c r="Z2385" s="2038"/>
      <c r="AA2385" s="2038"/>
      <c r="AB2385" s="2038"/>
      <c r="AC2385" s="2038"/>
      <c r="AD2385" s="2038"/>
      <c r="AE2385" s="2039" t="s">
        <v>1839</v>
      </c>
      <c r="AF2385" s="2040"/>
    </row>
    <row r="2386" spans="1:32" ht="15.75" x14ac:dyDescent="0.25">
      <c r="A2386" s="2041" t="s">
        <v>1840</v>
      </c>
      <c r="B2386" s="2042"/>
      <c r="C2386" s="2042"/>
      <c r="D2386" s="2042"/>
      <c r="E2386" s="2042"/>
      <c r="F2386" s="2042"/>
      <c r="G2386" s="2042"/>
      <c r="H2386" s="2042"/>
      <c r="I2386" s="2042"/>
      <c r="J2386" s="2042"/>
      <c r="K2386" s="2042"/>
      <c r="L2386" s="2042"/>
      <c r="M2386" s="2042"/>
      <c r="N2386" s="2042"/>
      <c r="O2386" s="2042"/>
      <c r="P2386" s="2042"/>
      <c r="Q2386" s="2042"/>
      <c r="R2386" s="2042"/>
      <c r="S2386" s="2042"/>
      <c r="T2386" s="2042"/>
      <c r="U2386" s="2042"/>
      <c r="V2386" s="2042"/>
      <c r="W2386" s="2042"/>
      <c r="X2386" s="2042"/>
      <c r="Y2386" s="2042"/>
      <c r="Z2386" s="2042"/>
      <c r="AA2386" s="2042"/>
      <c r="AB2386" s="2042"/>
      <c r="AC2386" s="2042"/>
      <c r="AD2386" s="2043"/>
      <c r="AE2386" s="2014" t="s">
        <v>1841</v>
      </c>
      <c r="AF2386" s="2044"/>
    </row>
    <row r="2387" spans="1:32" ht="15.75" x14ac:dyDescent="0.25">
      <c r="A2387" s="2045" t="s">
        <v>1853</v>
      </c>
      <c r="B2387" s="2046"/>
      <c r="C2387" s="2046"/>
      <c r="D2387" s="2046"/>
      <c r="E2387" s="2046"/>
      <c r="F2387" s="2046"/>
      <c r="G2387" s="2046"/>
      <c r="H2387" s="2046"/>
      <c r="I2387" s="2046"/>
      <c r="J2387" s="2046"/>
      <c r="K2387" s="2046"/>
      <c r="L2387" s="2046"/>
      <c r="M2387" s="2046"/>
      <c r="N2387" s="2046"/>
      <c r="O2387" s="2046"/>
      <c r="P2387" s="2046"/>
      <c r="Q2387" s="2046"/>
      <c r="R2387" s="2046"/>
      <c r="S2387" s="2046"/>
      <c r="T2387" s="2046"/>
      <c r="U2387" s="2046"/>
      <c r="V2387" s="2046"/>
      <c r="W2387" s="2046"/>
      <c r="X2387" s="2046"/>
      <c r="Y2387" s="2046"/>
      <c r="Z2387" s="2046"/>
      <c r="AA2387" s="2046"/>
      <c r="AB2387" s="2046"/>
      <c r="AC2387" s="2046"/>
      <c r="AD2387" s="2046"/>
      <c r="AE2387" s="2047">
        <f>'01'!$M$13</f>
        <v>0</v>
      </c>
      <c r="AF2387" s="2044"/>
    </row>
    <row r="2388" spans="1:32" x14ac:dyDescent="0.2">
      <c r="A2388" s="1046"/>
      <c r="B2388" s="1047"/>
      <c r="C2388" s="1047"/>
      <c r="D2388" s="1047"/>
      <c r="E2388" s="1047"/>
      <c r="F2388" s="1047"/>
      <c r="G2388" s="1047"/>
      <c r="H2388" s="1047"/>
      <c r="I2388" s="1047"/>
      <c r="J2388" s="1047"/>
      <c r="K2388" s="1047"/>
      <c r="L2388" s="1047"/>
      <c r="M2388" s="1047"/>
      <c r="N2388" s="1047"/>
      <c r="O2388" s="1047"/>
      <c r="P2388" s="1047"/>
      <c r="Q2388" s="1047"/>
      <c r="R2388" s="1047"/>
      <c r="S2388" s="1047"/>
      <c r="T2388" s="1047"/>
      <c r="U2388" s="1047"/>
      <c r="V2388" s="1047"/>
      <c r="W2388" s="1047"/>
      <c r="X2388" s="1047"/>
      <c r="Y2388" s="1047"/>
      <c r="Z2388" s="1047"/>
      <c r="AA2388" s="1047"/>
      <c r="AB2388" s="1047"/>
      <c r="AC2388" s="1047"/>
      <c r="AD2388" s="1047"/>
      <c r="AE2388" s="1047"/>
      <c r="AF2388" s="1048"/>
    </row>
    <row r="2389" spans="1:32" ht="30" customHeight="1" x14ac:dyDescent="0.2">
      <c r="A2389" s="2048" t="s">
        <v>1842</v>
      </c>
      <c r="B2389" s="2049"/>
      <c r="C2389" s="2049"/>
      <c r="D2389" s="2049"/>
      <c r="E2389" s="2049"/>
      <c r="F2389" s="2050" t="str">
        <f>+'01'!$H$63</f>
        <v>C - FLOCULADOR, SEDIMENTADOR, CANAL DE AGUA SEDIMENTADA Y CANAL DE LAVADO</v>
      </c>
      <c r="G2389" s="2049"/>
      <c r="H2389" s="2049"/>
      <c r="I2389" s="2049"/>
      <c r="J2389" s="2049"/>
      <c r="K2389" s="2049"/>
      <c r="L2389" s="2049"/>
      <c r="M2389" s="2049"/>
      <c r="N2389" s="2049"/>
      <c r="O2389" s="2049"/>
      <c r="P2389" s="2049"/>
      <c r="Q2389" s="2049"/>
      <c r="R2389" s="2049"/>
      <c r="S2389" s="2049"/>
      <c r="T2389" s="2049"/>
      <c r="U2389" s="2049"/>
      <c r="V2389" s="2049"/>
      <c r="W2389" s="2049"/>
      <c r="X2389" s="2049"/>
      <c r="Y2389" s="2051"/>
      <c r="Z2389" s="2052" t="s">
        <v>1843</v>
      </c>
      <c r="AA2389" s="2053"/>
      <c r="AB2389" s="2058" t="s">
        <v>1844</v>
      </c>
      <c r="AC2389" s="2059"/>
      <c r="AD2389" s="2060"/>
      <c r="AE2389" s="2064" t="s">
        <v>1845</v>
      </c>
      <c r="AF2389" s="2067" t="s">
        <v>1846</v>
      </c>
    </row>
    <row r="2390" spans="1:32" ht="15" customHeight="1" x14ac:dyDescent="0.2">
      <c r="A2390" s="2070" t="str">
        <f>+'01'!A103</f>
        <v>C-08-18</v>
      </c>
      <c r="B2390" s="2071"/>
      <c r="C2390" s="2072"/>
      <c r="D2390" s="2076" t="str">
        <f>VLOOKUP(A2390,'01'!$A$12:$N$299,3,FALSE)</f>
        <v xml:space="preserve">SUMINISTRO E INSTALACIÓN CODO PVC DE 90 GRADOS PRESIÓN DE 8". INCLUYE UNIÓN DE REPARACIÓN. </v>
      </c>
      <c r="E2390" s="2077"/>
      <c r="F2390" s="2077"/>
      <c r="G2390" s="2077"/>
      <c r="H2390" s="2077"/>
      <c r="I2390" s="2077"/>
      <c r="J2390" s="2077"/>
      <c r="K2390" s="2077"/>
      <c r="L2390" s="2077"/>
      <c r="M2390" s="2077"/>
      <c r="N2390" s="2077"/>
      <c r="O2390" s="2077"/>
      <c r="P2390" s="2077"/>
      <c r="Q2390" s="2077"/>
      <c r="R2390" s="2077"/>
      <c r="S2390" s="2078"/>
      <c r="T2390" s="2082" t="s">
        <v>124</v>
      </c>
      <c r="U2390" s="2083"/>
      <c r="V2390" s="2083"/>
      <c r="W2390" s="2083"/>
      <c r="X2390" s="2052" t="str">
        <f>VLOOKUP(A2390,'01'!$A$12:$N$299,9,FALSE)</f>
        <v>UND</v>
      </c>
      <c r="Y2390" s="2053"/>
      <c r="Z2390" s="2054"/>
      <c r="AA2390" s="2055"/>
      <c r="AB2390" s="2061"/>
      <c r="AC2390" s="2062"/>
      <c r="AD2390" s="2063"/>
      <c r="AE2390" s="2065"/>
      <c r="AF2390" s="2068"/>
    </row>
    <row r="2391" spans="1:32" ht="15" customHeight="1" x14ac:dyDescent="0.25">
      <c r="A2391" s="2073"/>
      <c r="B2391" s="2074"/>
      <c r="C2391" s="2075"/>
      <c r="D2391" s="2079"/>
      <c r="E2391" s="2080"/>
      <c r="F2391" s="2080"/>
      <c r="G2391" s="2080"/>
      <c r="H2391" s="2080"/>
      <c r="I2391" s="2080"/>
      <c r="J2391" s="2080"/>
      <c r="K2391" s="2080"/>
      <c r="L2391" s="2080"/>
      <c r="M2391" s="2080"/>
      <c r="N2391" s="2080"/>
      <c r="O2391" s="2080"/>
      <c r="P2391" s="2080"/>
      <c r="Q2391" s="2080"/>
      <c r="R2391" s="2080"/>
      <c r="S2391" s="2081"/>
      <c r="T2391" s="2084"/>
      <c r="U2391" s="2085"/>
      <c r="V2391" s="2085"/>
      <c r="W2391" s="2085"/>
      <c r="X2391" s="2056"/>
      <c r="Y2391" s="2057"/>
      <c r="Z2391" s="2056"/>
      <c r="AA2391" s="2057"/>
      <c r="AB2391" s="1049" t="s">
        <v>1847</v>
      </c>
      <c r="AC2391" s="1049" t="s">
        <v>1848</v>
      </c>
      <c r="AD2391" s="1049" t="s">
        <v>1861</v>
      </c>
      <c r="AE2391" s="2066"/>
      <c r="AF2391" s="2069"/>
    </row>
    <row r="2392" spans="1:32" ht="15.6" customHeight="1" x14ac:dyDescent="0.25">
      <c r="A2392" s="2017"/>
      <c r="B2392" s="2018"/>
      <c r="C2392" s="2018"/>
      <c r="D2392" s="2018"/>
      <c r="E2392" s="2018"/>
      <c r="F2392" s="2018"/>
      <c r="G2392" s="2018"/>
      <c r="H2392" s="2018"/>
      <c r="I2392" s="2018"/>
      <c r="J2392" s="2018"/>
      <c r="K2392" s="2018"/>
      <c r="L2392" s="2018"/>
      <c r="M2392" s="2018"/>
      <c r="N2392" s="2018"/>
      <c r="O2392" s="2018"/>
      <c r="P2392" s="2018"/>
      <c r="Q2392" s="2018"/>
      <c r="R2392" s="2018"/>
      <c r="S2392" s="2018"/>
      <c r="T2392" s="2018"/>
      <c r="U2392" s="2018"/>
      <c r="V2392" s="2018"/>
      <c r="W2392" s="2018"/>
      <c r="X2392" s="2018"/>
      <c r="Y2392" s="2018"/>
      <c r="Z2392" s="2096" t="s">
        <v>2438</v>
      </c>
      <c r="AA2392" s="2097"/>
      <c r="AB2392" s="1050"/>
      <c r="AC2392" s="1050"/>
      <c r="AD2392" s="1050"/>
      <c r="AE2392" s="1050">
        <v>2</v>
      </c>
      <c r="AF2392" s="1052">
        <f>+ROUND(AE2392,2)</f>
        <v>2</v>
      </c>
    </row>
    <row r="2393" spans="1:32" ht="15.6" customHeight="1" x14ac:dyDescent="0.25">
      <c r="A2393" s="2017"/>
      <c r="B2393" s="2018"/>
      <c r="C2393" s="2018"/>
      <c r="D2393" s="2018"/>
      <c r="E2393" s="2018"/>
      <c r="F2393" s="2018"/>
      <c r="G2393" s="2018"/>
      <c r="H2393" s="2018"/>
      <c r="I2393" s="2018"/>
      <c r="J2393" s="2018"/>
      <c r="K2393" s="2018"/>
      <c r="L2393" s="2018"/>
      <c r="M2393" s="2018"/>
      <c r="N2393" s="2018"/>
      <c r="O2393" s="2018"/>
      <c r="P2393" s="2018"/>
      <c r="Q2393" s="2018"/>
      <c r="R2393" s="2018"/>
      <c r="S2393" s="2018"/>
      <c r="T2393" s="2018"/>
      <c r="U2393" s="2018"/>
      <c r="V2393" s="2018"/>
      <c r="W2393" s="2018"/>
      <c r="X2393" s="2018"/>
      <c r="Y2393" s="2018"/>
      <c r="Z2393" s="2096"/>
      <c r="AA2393" s="2097"/>
      <c r="AB2393" s="1050"/>
      <c r="AC2393" s="1050"/>
      <c r="AD2393" s="1050"/>
      <c r="AE2393" s="1050"/>
      <c r="AF2393" s="1052"/>
    </row>
    <row r="2394" spans="1:32" ht="15.75" x14ac:dyDescent="0.25">
      <c r="A2394" s="2017"/>
      <c r="B2394" s="2018"/>
      <c r="C2394" s="2018"/>
      <c r="D2394" s="2018"/>
      <c r="E2394" s="2018"/>
      <c r="F2394" s="2018"/>
      <c r="G2394" s="2018"/>
      <c r="H2394" s="2018"/>
      <c r="I2394" s="2018"/>
      <c r="J2394" s="2018"/>
      <c r="K2394" s="2018"/>
      <c r="L2394" s="2018"/>
      <c r="M2394" s="2018"/>
      <c r="N2394" s="2018"/>
      <c r="O2394" s="2018"/>
      <c r="P2394" s="2018"/>
      <c r="Q2394" s="2018"/>
      <c r="R2394" s="2018"/>
      <c r="S2394" s="2018"/>
      <c r="T2394" s="2018"/>
      <c r="U2394" s="2018"/>
      <c r="V2394" s="2018"/>
      <c r="W2394" s="2018"/>
      <c r="X2394" s="2018"/>
      <c r="Y2394" s="2018"/>
      <c r="Z2394" s="2096"/>
      <c r="AA2394" s="2097"/>
      <c r="AB2394" s="1050"/>
      <c r="AC2394" s="1050"/>
      <c r="AD2394" s="1050"/>
      <c r="AE2394" s="1050"/>
      <c r="AF2394" s="1052"/>
    </row>
    <row r="2395" spans="1:32" ht="15.75" x14ac:dyDescent="0.25">
      <c r="A2395" s="2017"/>
      <c r="B2395" s="2018"/>
      <c r="C2395" s="2018"/>
      <c r="D2395" s="2018"/>
      <c r="E2395" s="2018"/>
      <c r="F2395" s="2018"/>
      <c r="G2395" s="2018"/>
      <c r="H2395" s="2018"/>
      <c r="I2395" s="2018"/>
      <c r="J2395" s="2018"/>
      <c r="K2395" s="2018"/>
      <c r="L2395" s="2018"/>
      <c r="M2395" s="2018"/>
      <c r="N2395" s="2018"/>
      <c r="O2395" s="2018"/>
      <c r="P2395" s="2018"/>
      <c r="Q2395" s="2018"/>
      <c r="R2395" s="2018"/>
      <c r="S2395" s="2018"/>
      <c r="T2395" s="2018"/>
      <c r="U2395" s="2018"/>
      <c r="V2395" s="2018"/>
      <c r="W2395" s="2018"/>
      <c r="X2395" s="2018"/>
      <c r="Y2395" s="2018"/>
      <c r="Z2395" s="2096"/>
      <c r="AA2395" s="2097"/>
      <c r="AB2395" s="1050"/>
      <c r="AC2395" s="1050"/>
      <c r="AD2395" s="1050"/>
      <c r="AE2395" s="1050"/>
      <c r="AF2395" s="1052"/>
    </row>
    <row r="2396" spans="1:32" ht="15.75" x14ac:dyDescent="0.25">
      <c r="A2396" s="2017"/>
      <c r="B2396" s="2018"/>
      <c r="C2396" s="2018"/>
      <c r="D2396" s="2018"/>
      <c r="E2396" s="2018"/>
      <c r="F2396" s="2018"/>
      <c r="G2396" s="2018"/>
      <c r="H2396" s="2018"/>
      <c r="I2396" s="2018"/>
      <c r="J2396" s="2018"/>
      <c r="K2396" s="2018"/>
      <c r="L2396" s="2018"/>
      <c r="M2396" s="2018"/>
      <c r="N2396" s="2018"/>
      <c r="O2396" s="2018"/>
      <c r="P2396" s="2018"/>
      <c r="Q2396" s="2018"/>
      <c r="R2396" s="2018"/>
      <c r="S2396" s="2018"/>
      <c r="T2396" s="2018"/>
      <c r="U2396" s="2018"/>
      <c r="V2396" s="2018"/>
      <c r="W2396" s="2018"/>
      <c r="X2396" s="2018"/>
      <c r="Y2396" s="2018"/>
      <c r="Z2396" s="2096"/>
      <c r="AA2396" s="2097"/>
      <c r="AB2396" s="1050"/>
      <c r="AC2396" s="1050"/>
      <c r="AD2396" s="1050"/>
      <c r="AE2396" s="1050"/>
      <c r="AF2396" s="1052"/>
    </row>
    <row r="2397" spans="1:32" ht="15.75" x14ac:dyDescent="0.25">
      <c r="A2397" s="2017"/>
      <c r="B2397" s="2018"/>
      <c r="C2397" s="2018"/>
      <c r="D2397" s="2018"/>
      <c r="E2397" s="2018"/>
      <c r="F2397" s="2018"/>
      <c r="G2397" s="2018"/>
      <c r="H2397" s="2018"/>
      <c r="I2397" s="2018"/>
      <c r="J2397" s="2018"/>
      <c r="K2397" s="2018"/>
      <c r="L2397" s="2018"/>
      <c r="M2397" s="2018"/>
      <c r="N2397" s="2018"/>
      <c r="O2397" s="2018"/>
      <c r="P2397" s="2018"/>
      <c r="Q2397" s="2018"/>
      <c r="R2397" s="2018"/>
      <c r="S2397" s="2018"/>
      <c r="T2397" s="2018"/>
      <c r="U2397" s="2018"/>
      <c r="V2397" s="2018"/>
      <c r="W2397" s="2018"/>
      <c r="X2397" s="2018"/>
      <c r="Y2397" s="2018"/>
      <c r="Z2397" s="2096"/>
      <c r="AA2397" s="2097"/>
      <c r="AB2397" s="1050"/>
      <c r="AC2397" s="1050"/>
      <c r="AD2397" s="1050"/>
      <c r="AE2397" s="1050"/>
      <c r="AF2397" s="1052"/>
    </row>
    <row r="2398" spans="1:32" ht="15.75" x14ac:dyDescent="0.25">
      <c r="A2398" s="2017"/>
      <c r="B2398" s="2018"/>
      <c r="C2398" s="2018"/>
      <c r="D2398" s="2018"/>
      <c r="E2398" s="2018"/>
      <c r="F2398" s="2018"/>
      <c r="G2398" s="2018"/>
      <c r="H2398" s="2018"/>
      <c r="I2398" s="2018"/>
      <c r="J2398" s="2018"/>
      <c r="K2398" s="2018"/>
      <c r="L2398" s="2018"/>
      <c r="M2398" s="2018"/>
      <c r="N2398" s="2018"/>
      <c r="O2398" s="2018"/>
      <c r="P2398" s="2018"/>
      <c r="Q2398" s="2018"/>
      <c r="R2398" s="2018"/>
      <c r="S2398" s="2018"/>
      <c r="T2398" s="2018"/>
      <c r="U2398" s="2018"/>
      <c r="V2398" s="2018"/>
      <c r="W2398" s="2018"/>
      <c r="X2398" s="2018"/>
      <c r="Y2398" s="2018"/>
      <c r="Z2398" s="2105"/>
      <c r="AA2398" s="2105"/>
      <c r="AB2398" s="1050"/>
      <c r="AC2398" s="1050"/>
      <c r="AD2398" s="1050"/>
      <c r="AE2398" s="1050"/>
      <c r="AF2398" s="1052"/>
    </row>
    <row r="2399" spans="1:32" ht="15.75" x14ac:dyDescent="0.25">
      <c r="A2399" s="2017"/>
      <c r="B2399" s="2018"/>
      <c r="C2399" s="2018"/>
      <c r="D2399" s="2018"/>
      <c r="E2399" s="2018"/>
      <c r="F2399" s="2018"/>
      <c r="G2399" s="2018"/>
      <c r="H2399" s="2018"/>
      <c r="I2399" s="2018"/>
      <c r="J2399" s="2018"/>
      <c r="K2399" s="2018"/>
      <c r="L2399" s="2018"/>
      <c r="M2399" s="2018"/>
      <c r="N2399" s="2018"/>
      <c r="O2399" s="2018"/>
      <c r="P2399" s="2018"/>
      <c r="Q2399" s="2018"/>
      <c r="R2399" s="2018"/>
      <c r="S2399" s="2018"/>
      <c r="T2399" s="2018"/>
      <c r="U2399" s="2018"/>
      <c r="V2399" s="2018"/>
      <c r="W2399" s="2018"/>
      <c r="X2399" s="2018"/>
      <c r="Y2399" s="2018"/>
      <c r="Z2399" s="2105"/>
      <c r="AA2399" s="2105"/>
      <c r="AB2399" s="1050"/>
      <c r="AC2399" s="1050"/>
      <c r="AD2399" s="1050"/>
      <c r="AE2399" s="1050"/>
      <c r="AF2399" s="1052"/>
    </row>
    <row r="2400" spans="1:32" ht="15.75" x14ac:dyDescent="0.25">
      <c r="A2400" s="2017"/>
      <c r="B2400" s="2018"/>
      <c r="C2400" s="2018"/>
      <c r="D2400" s="2018"/>
      <c r="E2400" s="2018"/>
      <c r="F2400" s="2018"/>
      <c r="G2400" s="2018"/>
      <c r="H2400" s="2018"/>
      <c r="I2400" s="2018"/>
      <c r="J2400" s="2018"/>
      <c r="K2400" s="2018"/>
      <c r="L2400" s="2018"/>
      <c r="M2400" s="2018"/>
      <c r="N2400" s="2018"/>
      <c r="O2400" s="2018"/>
      <c r="P2400" s="2018"/>
      <c r="Q2400" s="2018"/>
      <c r="R2400" s="2018"/>
      <c r="S2400" s="2018"/>
      <c r="T2400" s="2018"/>
      <c r="U2400" s="2018"/>
      <c r="V2400" s="2018"/>
      <c r="W2400" s="2018"/>
      <c r="X2400" s="2018"/>
      <c r="Y2400" s="2018"/>
      <c r="Z2400" s="2105"/>
      <c r="AA2400" s="2105"/>
      <c r="AB2400" s="1050"/>
      <c r="AC2400" s="1050"/>
      <c r="AD2400" s="1050"/>
      <c r="AE2400" s="1050"/>
      <c r="AF2400" s="1052"/>
    </row>
    <row r="2401" spans="1:32" ht="15.75" x14ac:dyDescent="0.25">
      <c r="A2401" s="2017"/>
      <c r="B2401" s="2018"/>
      <c r="C2401" s="2018"/>
      <c r="D2401" s="2018"/>
      <c r="E2401" s="2018"/>
      <c r="F2401" s="2018"/>
      <c r="G2401" s="2018"/>
      <c r="H2401" s="2018"/>
      <c r="I2401" s="2018"/>
      <c r="J2401" s="2018"/>
      <c r="K2401" s="2018"/>
      <c r="L2401" s="2018"/>
      <c r="M2401" s="2018"/>
      <c r="N2401" s="2018"/>
      <c r="O2401" s="2018"/>
      <c r="P2401" s="2018"/>
      <c r="Q2401" s="2018"/>
      <c r="R2401" s="2018"/>
      <c r="S2401" s="2018"/>
      <c r="T2401" s="2018"/>
      <c r="U2401" s="2018"/>
      <c r="V2401" s="2018"/>
      <c r="W2401" s="2018"/>
      <c r="X2401" s="2018"/>
      <c r="Y2401" s="2018"/>
      <c r="Z2401" s="2105"/>
      <c r="AA2401" s="2105"/>
      <c r="AB2401" s="1050"/>
      <c r="AC2401" s="1050"/>
      <c r="AD2401" s="1050"/>
      <c r="AE2401" s="1050"/>
      <c r="AF2401" s="1052"/>
    </row>
    <row r="2402" spans="1:32" ht="15.75" x14ac:dyDescent="0.25">
      <c r="A2402" s="2017"/>
      <c r="B2402" s="2018"/>
      <c r="C2402" s="2018"/>
      <c r="D2402" s="2018"/>
      <c r="E2402" s="2018"/>
      <c r="F2402" s="2018"/>
      <c r="G2402" s="2018"/>
      <c r="H2402" s="2018"/>
      <c r="I2402" s="2018"/>
      <c r="J2402" s="2018"/>
      <c r="K2402" s="2018"/>
      <c r="L2402" s="2018"/>
      <c r="M2402" s="2018"/>
      <c r="N2402" s="2018"/>
      <c r="O2402" s="2018"/>
      <c r="P2402" s="2018"/>
      <c r="Q2402" s="2018"/>
      <c r="R2402" s="2018"/>
      <c r="S2402" s="2018"/>
      <c r="T2402" s="2018"/>
      <c r="U2402" s="2018"/>
      <c r="V2402" s="2018"/>
      <c r="W2402" s="2018"/>
      <c r="X2402" s="2018"/>
      <c r="Y2402" s="2018"/>
      <c r="Z2402" s="2105"/>
      <c r="AA2402" s="2105"/>
      <c r="AB2402" s="1050"/>
      <c r="AC2402" s="1050"/>
      <c r="AD2402" s="1050"/>
      <c r="AE2402" s="1050"/>
      <c r="AF2402" s="1052"/>
    </row>
    <row r="2403" spans="1:32" ht="15.75" x14ac:dyDescent="0.25">
      <c r="A2403" s="2017"/>
      <c r="B2403" s="2018"/>
      <c r="C2403" s="2018"/>
      <c r="D2403" s="2018"/>
      <c r="E2403" s="2018"/>
      <c r="F2403" s="2018"/>
      <c r="G2403" s="2018"/>
      <c r="H2403" s="2018"/>
      <c r="I2403" s="2018"/>
      <c r="J2403" s="2018"/>
      <c r="K2403" s="2018"/>
      <c r="L2403" s="2018"/>
      <c r="M2403" s="2018"/>
      <c r="N2403" s="2018"/>
      <c r="O2403" s="2018"/>
      <c r="P2403" s="2018"/>
      <c r="Q2403" s="2018"/>
      <c r="R2403" s="2018"/>
      <c r="S2403" s="2018"/>
      <c r="T2403" s="2018"/>
      <c r="U2403" s="2018"/>
      <c r="V2403" s="2018"/>
      <c r="W2403" s="2018"/>
      <c r="X2403" s="2018"/>
      <c r="Y2403" s="2018"/>
      <c r="Z2403" s="2105"/>
      <c r="AA2403" s="2105"/>
      <c r="AB2403" s="1050"/>
      <c r="AC2403" s="1050"/>
      <c r="AD2403" s="1050"/>
      <c r="AE2403" s="1050"/>
      <c r="AF2403" s="1052"/>
    </row>
    <row r="2404" spans="1:32" ht="15.75" x14ac:dyDescent="0.25">
      <c r="A2404" s="2017"/>
      <c r="B2404" s="2018"/>
      <c r="C2404" s="2018"/>
      <c r="D2404" s="2018"/>
      <c r="E2404" s="2018"/>
      <c r="F2404" s="2018"/>
      <c r="G2404" s="2018"/>
      <c r="H2404" s="2018"/>
      <c r="I2404" s="2018"/>
      <c r="J2404" s="2018"/>
      <c r="K2404" s="2018"/>
      <c r="L2404" s="2018"/>
      <c r="M2404" s="2018"/>
      <c r="N2404" s="2018"/>
      <c r="O2404" s="2018"/>
      <c r="P2404" s="2018"/>
      <c r="Q2404" s="2018"/>
      <c r="R2404" s="2018"/>
      <c r="S2404" s="2018"/>
      <c r="T2404" s="2018"/>
      <c r="U2404" s="2018"/>
      <c r="V2404" s="2018"/>
      <c r="W2404" s="2018"/>
      <c r="X2404" s="2018"/>
      <c r="Y2404" s="2018"/>
      <c r="Z2404" s="2105"/>
      <c r="AA2404" s="2105"/>
      <c r="AB2404" s="1050"/>
      <c r="AC2404" s="1050"/>
      <c r="AD2404" s="1050"/>
      <c r="AE2404" s="1050"/>
      <c r="AF2404" s="1052"/>
    </row>
    <row r="2405" spans="1:32" ht="15.75" x14ac:dyDescent="0.25">
      <c r="A2405" s="2017"/>
      <c r="B2405" s="2018"/>
      <c r="C2405" s="2018"/>
      <c r="D2405" s="2018"/>
      <c r="E2405" s="2018"/>
      <c r="F2405" s="2018"/>
      <c r="G2405" s="2018"/>
      <c r="H2405" s="2018"/>
      <c r="I2405" s="2018"/>
      <c r="J2405" s="2018"/>
      <c r="K2405" s="2018"/>
      <c r="L2405" s="2018"/>
      <c r="M2405" s="2018"/>
      <c r="N2405" s="2018"/>
      <c r="O2405" s="2018"/>
      <c r="P2405" s="2018"/>
      <c r="Q2405" s="2018"/>
      <c r="R2405" s="2018"/>
      <c r="S2405" s="2018"/>
      <c r="T2405" s="2018"/>
      <c r="U2405" s="2018"/>
      <c r="V2405" s="2018"/>
      <c r="W2405" s="2018"/>
      <c r="X2405" s="2018"/>
      <c r="Y2405" s="2018"/>
      <c r="Z2405" s="2022"/>
      <c r="AA2405" s="2022"/>
      <c r="AB2405" s="1050"/>
      <c r="AC2405" s="1050"/>
      <c r="AD2405" s="1050"/>
      <c r="AE2405" s="1050"/>
      <c r="AF2405" s="1052"/>
    </row>
    <row r="2406" spans="1:32" ht="15.75" x14ac:dyDescent="0.25">
      <c r="A2406" s="2017"/>
      <c r="B2406" s="2018"/>
      <c r="C2406" s="2018"/>
      <c r="D2406" s="2018"/>
      <c r="E2406" s="2018"/>
      <c r="F2406" s="2018"/>
      <c r="G2406" s="2018"/>
      <c r="H2406" s="2018"/>
      <c r="I2406" s="2018"/>
      <c r="J2406" s="2018"/>
      <c r="K2406" s="2018"/>
      <c r="L2406" s="2018"/>
      <c r="M2406" s="2018"/>
      <c r="N2406" s="2018"/>
      <c r="O2406" s="2018"/>
      <c r="P2406" s="2018"/>
      <c r="Q2406" s="2018"/>
      <c r="R2406" s="2018"/>
      <c r="S2406" s="2018"/>
      <c r="T2406" s="2018"/>
      <c r="U2406" s="2018"/>
      <c r="V2406" s="2018"/>
      <c r="W2406" s="2018"/>
      <c r="X2406" s="2018"/>
      <c r="Y2406" s="2018"/>
      <c r="Z2406" s="2022"/>
      <c r="AA2406" s="2022"/>
      <c r="AB2406" s="1050"/>
      <c r="AC2406" s="1050"/>
      <c r="AD2406" s="1050"/>
      <c r="AE2406" s="1050"/>
      <c r="AF2406" s="1052"/>
    </row>
    <row r="2407" spans="1:32" ht="15.75" x14ac:dyDescent="0.25">
      <c r="A2407" s="2017"/>
      <c r="B2407" s="2018"/>
      <c r="C2407" s="2018"/>
      <c r="D2407" s="2018"/>
      <c r="E2407" s="2018"/>
      <c r="F2407" s="2018"/>
      <c r="G2407" s="2018"/>
      <c r="H2407" s="2018"/>
      <c r="I2407" s="2018"/>
      <c r="J2407" s="2018"/>
      <c r="K2407" s="2018"/>
      <c r="L2407" s="2018"/>
      <c r="M2407" s="2018"/>
      <c r="N2407" s="2018"/>
      <c r="O2407" s="2018"/>
      <c r="P2407" s="2018"/>
      <c r="Q2407" s="2018"/>
      <c r="R2407" s="2018"/>
      <c r="S2407" s="2018"/>
      <c r="T2407" s="2018"/>
      <c r="U2407" s="2018"/>
      <c r="V2407" s="2018"/>
      <c r="W2407" s="2018"/>
      <c r="X2407" s="2018"/>
      <c r="Y2407" s="2018"/>
      <c r="Z2407" s="2022"/>
      <c r="AA2407" s="2022"/>
      <c r="AB2407" s="1050"/>
      <c r="AC2407" s="1050"/>
      <c r="AD2407" s="1050"/>
      <c r="AE2407" s="1050"/>
      <c r="AF2407" s="1052"/>
    </row>
    <row r="2408" spans="1:32" ht="15.75" x14ac:dyDescent="0.25">
      <c r="A2408" s="2017"/>
      <c r="B2408" s="2018"/>
      <c r="C2408" s="2018"/>
      <c r="D2408" s="2018"/>
      <c r="E2408" s="2018"/>
      <c r="F2408" s="2018"/>
      <c r="G2408" s="2018"/>
      <c r="H2408" s="2018"/>
      <c r="I2408" s="2018"/>
      <c r="J2408" s="2018"/>
      <c r="K2408" s="2018"/>
      <c r="L2408" s="2018"/>
      <c r="M2408" s="2018"/>
      <c r="N2408" s="2018"/>
      <c r="O2408" s="2018"/>
      <c r="P2408" s="2018"/>
      <c r="Q2408" s="2018"/>
      <c r="R2408" s="2018"/>
      <c r="S2408" s="2018"/>
      <c r="T2408" s="2018"/>
      <c r="U2408" s="2018"/>
      <c r="V2408" s="2018"/>
      <c r="W2408" s="2018"/>
      <c r="X2408" s="2018"/>
      <c r="Y2408" s="2018"/>
      <c r="Z2408" s="2022"/>
      <c r="AA2408" s="2022"/>
      <c r="AB2408" s="1050"/>
      <c r="AC2408" s="1050"/>
      <c r="AD2408" s="1050"/>
      <c r="AE2408" s="1050"/>
      <c r="AF2408" s="1052"/>
    </row>
    <row r="2409" spans="1:32" ht="15.75" x14ac:dyDescent="0.25">
      <c r="A2409" s="2017"/>
      <c r="B2409" s="2018"/>
      <c r="C2409" s="2018"/>
      <c r="D2409" s="2018"/>
      <c r="E2409" s="2018"/>
      <c r="F2409" s="2018"/>
      <c r="G2409" s="2018"/>
      <c r="H2409" s="2018"/>
      <c r="I2409" s="2018"/>
      <c r="J2409" s="2018"/>
      <c r="K2409" s="2018"/>
      <c r="L2409" s="2018"/>
      <c r="M2409" s="2018"/>
      <c r="N2409" s="2018"/>
      <c r="O2409" s="2018"/>
      <c r="P2409" s="2018"/>
      <c r="Q2409" s="2018"/>
      <c r="R2409" s="2018"/>
      <c r="S2409" s="2018"/>
      <c r="T2409" s="2018"/>
      <c r="U2409" s="2018"/>
      <c r="V2409" s="2018"/>
      <c r="W2409" s="2018"/>
      <c r="X2409" s="2018"/>
      <c r="Y2409" s="2018"/>
      <c r="Z2409" s="2023"/>
      <c r="AA2409" s="2023"/>
      <c r="AB2409" s="1050"/>
      <c r="AC2409" s="1050"/>
      <c r="AD2409" s="1050"/>
      <c r="AE2409" s="1050"/>
      <c r="AF2409" s="1052"/>
    </row>
    <row r="2410" spans="1:32" ht="15.75" x14ac:dyDescent="0.25">
      <c r="A2410" s="2017"/>
      <c r="B2410" s="2018"/>
      <c r="C2410" s="2018"/>
      <c r="D2410" s="2018"/>
      <c r="E2410" s="2018"/>
      <c r="F2410" s="2018"/>
      <c r="G2410" s="2018"/>
      <c r="H2410" s="2018"/>
      <c r="I2410" s="2018"/>
      <c r="J2410" s="2018"/>
      <c r="K2410" s="2018"/>
      <c r="L2410" s="2018"/>
      <c r="M2410" s="2018"/>
      <c r="N2410" s="2018"/>
      <c r="O2410" s="2018"/>
      <c r="P2410" s="2018"/>
      <c r="Q2410" s="2018"/>
      <c r="R2410" s="2018"/>
      <c r="S2410" s="2018"/>
      <c r="T2410" s="2018"/>
      <c r="U2410" s="2018"/>
      <c r="V2410" s="2018"/>
      <c r="W2410" s="2018"/>
      <c r="X2410" s="2018"/>
      <c r="Y2410" s="2018"/>
      <c r="Z2410" s="2023"/>
      <c r="AA2410" s="2023"/>
      <c r="AB2410" s="1050"/>
      <c r="AC2410" s="1050"/>
      <c r="AD2410" s="1050"/>
      <c r="AE2410" s="1050"/>
      <c r="AF2410" s="1052"/>
    </row>
    <row r="2411" spans="1:32" ht="15.75" x14ac:dyDescent="0.25">
      <c r="A2411" s="2017"/>
      <c r="B2411" s="2018"/>
      <c r="C2411" s="2018"/>
      <c r="D2411" s="2018"/>
      <c r="E2411" s="2018"/>
      <c r="F2411" s="2018"/>
      <c r="G2411" s="2018"/>
      <c r="H2411" s="2018"/>
      <c r="I2411" s="2018"/>
      <c r="J2411" s="2018"/>
      <c r="K2411" s="2018"/>
      <c r="L2411" s="2018"/>
      <c r="M2411" s="2018"/>
      <c r="N2411" s="2018"/>
      <c r="O2411" s="2018"/>
      <c r="P2411" s="2018"/>
      <c r="Q2411" s="2018"/>
      <c r="R2411" s="2018"/>
      <c r="S2411" s="2018"/>
      <c r="T2411" s="2018"/>
      <c r="U2411" s="2018"/>
      <c r="V2411" s="2018"/>
      <c r="W2411" s="2018"/>
      <c r="X2411" s="2018"/>
      <c r="Y2411" s="2018"/>
      <c r="Z2411" s="2023"/>
      <c r="AA2411" s="2023"/>
      <c r="AB2411" s="1050"/>
      <c r="AC2411" s="1050"/>
      <c r="AD2411" s="1050"/>
      <c r="AE2411" s="1050"/>
      <c r="AF2411" s="1052"/>
    </row>
    <row r="2412" spans="1:32" ht="15.75" x14ac:dyDescent="0.25">
      <c r="A2412" s="2017"/>
      <c r="B2412" s="2018"/>
      <c r="C2412" s="2018"/>
      <c r="D2412" s="2018"/>
      <c r="E2412" s="2018"/>
      <c r="F2412" s="2018"/>
      <c r="G2412" s="2018"/>
      <c r="H2412" s="2018"/>
      <c r="I2412" s="2018"/>
      <c r="J2412" s="2018"/>
      <c r="K2412" s="2018"/>
      <c r="L2412" s="2018"/>
      <c r="M2412" s="2018"/>
      <c r="N2412" s="2018"/>
      <c r="O2412" s="2018"/>
      <c r="P2412" s="2018"/>
      <c r="Q2412" s="2018"/>
      <c r="R2412" s="2018"/>
      <c r="S2412" s="2018"/>
      <c r="T2412" s="2018"/>
      <c r="U2412" s="2018"/>
      <c r="V2412" s="2018"/>
      <c r="W2412" s="2018"/>
      <c r="X2412" s="2018"/>
      <c r="Y2412" s="2018"/>
      <c r="Z2412" s="2023"/>
      <c r="AA2412" s="2023"/>
      <c r="AB2412" s="1050"/>
      <c r="AC2412" s="1050"/>
      <c r="AD2412" s="1050"/>
      <c r="AE2412" s="1050"/>
      <c r="AF2412" s="1052"/>
    </row>
    <row r="2413" spans="1:32" ht="15.75" x14ac:dyDescent="0.25">
      <c r="A2413" s="2017"/>
      <c r="B2413" s="2018"/>
      <c r="C2413" s="2018"/>
      <c r="D2413" s="2018"/>
      <c r="E2413" s="2018"/>
      <c r="F2413" s="2018"/>
      <c r="G2413" s="2018"/>
      <c r="H2413" s="2018"/>
      <c r="I2413" s="2018"/>
      <c r="J2413" s="2018"/>
      <c r="K2413" s="2018"/>
      <c r="L2413" s="2018"/>
      <c r="M2413" s="2018"/>
      <c r="N2413" s="2018"/>
      <c r="O2413" s="2018"/>
      <c r="P2413" s="2018"/>
      <c r="Q2413" s="2018"/>
      <c r="R2413" s="2018"/>
      <c r="S2413" s="2018"/>
      <c r="T2413" s="2018"/>
      <c r="U2413" s="2018"/>
      <c r="V2413" s="2018"/>
      <c r="W2413" s="2018"/>
      <c r="X2413" s="2018"/>
      <c r="Y2413" s="2018"/>
      <c r="Z2413" s="2023"/>
      <c r="AA2413" s="2023"/>
      <c r="AB2413" s="1050"/>
      <c r="AC2413" s="1050"/>
      <c r="AD2413" s="1050"/>
      <c r="AE2413" s="1050"/>
      <c r="AF2413" s="1052"/>
    </row>
    <row r="2414" spans="1:32" ht="15.75" x14ac:dyDescent="0.25">
      <c r="A2414" s="2017"/>
      <c r="B2414" s="2018"/>
      <c r="C2414" s="2018"/>
      <c r="D2414" s="2018"/>
      <c r="E2414" s="2018"/>
      <c r="F2414" s="2018"/>
      <c r="G2414" s="2018"/>
      <c r="H2414" s="2018"/>
      <c r="I2414" s="2018"/>
      <c r="J2414" s="2018"/>
      <c r="K2414" s="2018"/>
      <c r="L2414" s="2018"/>
      <c r="M2414" s="2018"/>
      <c r="N2414" s="2018"/>
      <c r="O2414" s="2018"/>
      <c r="P2414" s="2018"/>
      <c r="Q2414" s="2018"/>
      <c r="R2414" s="2018"/>
      <c r="S2414" s="2018"/>
      <c r="T2414" s="2018"/>
      <c r="U2414" s="2018"/>
      <c r="V2414" s="2018"/>
      <c r="W2414" s="2018"/>
      <c r="X2414" s="2018"/>
      <c r="Y2414" s="2018"/>
      <c r="Z2414" s="2023"/>
      <c r="AA2414" s="2023"/>
      <c r="AB2414" s="1050"/>
      <c r="AC2414" s="1050"/>
      <c r="AD2414" s="1050"/>
      <c r="AE2414" s="1050"/>
      <c r="AF2414" s="1052"/>
    </row>
    <row r="2415" spans="1:32" ht="16.5" thickBot="1" x14ac:dyDescent="0.3">
      <c r="A2415" s="2019"/>
      <c r="B2415" s="2020"/>
      <c r="C2415" s="2020"/>
      <c r="D2415" s="2020"/>
      <c r="E2415" s="2020"/>
      <c r="F2415" s="2020"/>
      <c r="G2415" s="2020"/>
      <c r="H2415" s="2020"/>
      <c r="I2415" s="2020"/>
      <c r="J2415" s="2020"/>
      <c r="K2415" s="2020"/>
      <c r="L2415" s="2020"/>
      <c r="M2415" s="2020"/>
      <c r="N2415" s="2020"/>
      <c r="O2415" s="2020"/>
      <c r="P2415" s="2020"/>
      <c r="Q2415" s="2020"/>
      <c r="R2415" s="2020"/>
      <c r="S2415" s="2020"/>
      <c r="T2415" s="2020"/>
      <c r="U2415" s="2020"/>
      <c r="V2415" s="2020"/>
      <c r="W2415" s="2020"/>
      <c r="X2415" s="2020"/>
      <c r="Y2415" s="2020"/>
      <c r="Z2415" s="2024"/>
      <c r="AA2415" s="2024"/>
      <c r="AB2415" s="1057"/>
      <c r="AC2415" s="1057"/>
      <c r="AD2415" s="1057"/>
      <c r="AE2415" s="1057"/>
      <c r="AF2415" s="1058"/>
    </row>
    <row r="2416" spans="1:32" ht="15.75" x14ac:dyDescent="0.25">
      <c r="A2416" s="2009" t="s">
        <v>1855</v>
      </c>
      <c r="B2416" s="2010"/>
      <c r="C2416" s="2010"/>
      <c r="D2416" s="2010"/>
      <c r="E2416" s="2010"/>
      <c r="F2416" s="2010"/>
      <c r="G2416" s="2010"/>
      <c r="H2416" s="2010"/>
      <c r="I2416" s="2010"/>
      <c r="J2416" s="2010"/>
      <c r="K2416" s="2010"/>
      <c r="L2416" s="2010"/>
      <c r="M2416" s="2010"/>
      <c r="N2416" s="2010"/>
      <c r="O2416" s="2010"/>
      <c r="P2416" s="2010"/>
      <c r="Q2416" s="2010"/>
      <c r="R2416" s="2010"/>
      <c r="S2416" s="2010"/>
      <c r="T2416" s="2010"/>
      <c r="U2416" s="2010"/>
      <c r="V2416" s="2010"/>
      <c r="W2416" s="2010"/>
      <c r="X2416" s="2010"/>
      <c r="Y2416" s="2010"/>
      <c r="Z2416" s="2013" t="s">
        <v>1850</v>
      </c>
      <c r="AA2416" s="2013"/>
      <c r="AB2416" s="2013"/>
      <c r="AC2416" s="2013"/>
      <c r="AD2416" s="2013"/>
      <c r="AE2416" s="2013"/>
      <c r="AF2416" s="1059">
        <f>SUM(AF2392:AF2415)</f>
        <v>2</v>
      </c>
    </row>
    <row r="2417" spans="1:32" ht="15.75" x14ac:dyDescent="0.25">
      <c r="A2417" s="2011"/>
      <c r="B2417" s="2012"/>
      <c r="C2417" s="2012"/>
      <c r="D2417" s="2012"/>
      <c r="E2417" s="2012"/>
      <c r="F2417" s="2012"/>
      <c r="G2417" s="2012"/>
      <c r="H2417" s="2012"/>
      <c r="I2417" s="2012"/>
      <c r="J2417" s="2012"/>
      <c r="K2417" s="2012"/>
      <c r="L2417" s="2012"/>
      <c r="M2417" s="2012"/>
      <c r="N2417" s="2012"/>
      <c r="O2417" s="2012"/>
      <c r="P2417" s="2012"/>
      <c r="Q2417" s="2012"/>
      <c r="R2417" s="2012"/>
      <c r="S2417" s="2012"/>
      <c r="T2417" s="2012"/>
      <c r="U2417" s="2012"/>
      <c r="V2417" s="2012"/>
      <c r="W2417" s="2012"/>
      <c r="X2417" s="2012"/>
      <c r="Y2417" s="2012"/>
      <c r="Z2417" s="2014" t="s">
        <v>1851</v>
      </c>
      <c r="AA2417" s="2014"/>
      <c r="AB2417" s="2014"/>
      <c r="AC2417" s="2014"/>
      <c r="AD2417" s="2014"/>
      <c r="AE2417" s="2014"/>
      <c r="AF2417" s="1060">
        <v>0</v>
      </c>
    </row>
    <row r="2418" spans="1:32" ht="15.75" x14ac:dyDescent="0.25">
      <c r="A2418" s="2011"/>
      <c r="B2418" s="2012"/>
      <c r="C2418" s="2012"/>
      <c r="D2418" s="2012"/>
      <c r="E2418" s="2012"/>
      <c r="F2418" s="2012"/>
      <c r="G2418" s="2012"/>
      <c r="H2418" s="2012"/>
      <c r="I2418" s="2012"/>
      <c r="J2418" s="2012"/>
      <c r="K2418" s="2012"/>
      <c r="L2418" s="2012"/>
      <c r="M2418" s="2012"/>
      <c r="N2418" s="2012"/>
      <c r="O2418" s="2012"/>
      <c r="P2418" s="2012"/>
      <c r="Q2418" s="2012"/>
      <c r="R2418" s="2012"/>
      <c r="S2418" s="2012"/>
      <c r="T2418" s="2012"/>
      <c r="U2418" s="2012"/>
      <c r="V2418" s="2012"/>
      <c r="W2418" s="2012"/>
      <c r="X2418" s="2012"/>
      <c r="Y2418" s="2012"/>
      <c r="Z2418" s="2015" t="s">
        <v>1833</v>
      </c>
      <c r="AA2418" s="2015"/>
      <c r="AB2418" s="2015"/>
      <c r="AC2418" s="2015"/>
      <c r="AD2418" s="2015"/>
      <c r="AE2418" s="2015"/>
      <c r="AF2418" s="1061">
        <f>SUM(AF2416:AF2417)</f>
        <v>2</v>
      </c>
    </row>
    <row r="2419" spans="1:32" x14ac:dyDescent="0.2">
      <c r="A2419" s="2012" t="s">
        <v>1859</v>
      </c>
      <c r="B2419" s="2012"/>
      <c r="C2419" s="2012"/>
      <c r="D2419" s="2012"/>
      <c r="E2419" s="2012"/>
      <c r="F2419" s="2012"/>
      <c r="G2419" s="2012"/>
      <c r="H2419" s="2012"/>
      <c r="I2419" s="2012"/>
      <c r="J2419" s="2012"/>
      <c r="K2419" s="2012"/>
      <c r="L2419" s="2012"/>
      <c r="M2419" s="2012"/>
      <c r="N2419" s="2012"/>
      <c r="O2419" s="2012"/>
      <c r="P2419" s="2012"/>
      <c r="Q2419" s="2012"/>
      <c r="R2419" s="2012"/>
      <c r="S2419" s="2012"/>
      <c r="T2419" s="2016" t="s">
        <v>1840</v>
      </c>
      <c r="U2419" s="2016"/>
      <c r="V2419" s="2016"/>
      <c r="W2419" s="2016"/>
      <c r="X2419" s="2016"/>
      <c r="Y2419" s="2016"/>
      <c r="Z2419" s="2016"/>
      <c r="AA2419" s="2016"/>
      <c r="AB2419" s="2012" t="s">
        <v>1852</v>
      </c>
      <c r="AC2419" s="2012"/>
      <c r="AD2419" s="2012"/>
      <c r="AE2419" s="2012"/>
      <c r="AF2419" s="2012"/>
    </row>
    <row r="2420" spans="1:32" x14ac:dyDescent="0.2">
      <c r="A2420" s="2012"/>
      <c r="B2420" s="2012"/>
      <c r="C2420" s="2012"/>
      <c r="D2420" s="2012"/>
      <c r="E2420" s="2012"/>
      <c r="F2420" s="2012"/>
      <c r="G2420" s="2012"/>
      <c r="H2420" s="2012"/>
      <c r="I2420" s="2012"/>
      <c r="J2420" s="2012"/>
      <c r="K2420" s="2012"/>
      <c r="L2420" s="2012"/>
      <c r="M2420" s="2012"/>
      <c r="N2420" s="2012"/>
      <c r="O2420" s="2012"/>
      <c r="P2420" s="2012"/>
      <c r="Q2420" s="2012"/>
      <c r="R2420" s="2012"/>
      <c r="S2420" s="2012"/>
      <c r="T2420" s="2016"/>
      <c r="U2420" s="2016"/>
      <c r="V2420" s="2016"/>
      <c r="W2420" s="2016"/>
      <c r="X2420" s="2016"/>
      <c r="Y2420" s="2016"/>
      <c r="Z2420" s="2016"/>
      <c r="AA2420" s="2016"/>
      <c r="AB2420" s="2012"/>
      <c r="AC2420" s="2012"/>
      <c r="AD2420" s="2012"/>
      <c r="AE2420" s="2012"/>
      <c r="AF2420" s="2012"/>
    </row>
    <row r="2421" spans="1:32" ht="13.5" thickBot="1" x14ac:dyDescent="0.25"/>
    <row r="2422" spans="1:32" ht="26.45" customHeight="1" x14ac:dyDescent="0.2">
      <c r="A2422" s="2025" t="s">
        <v>1854</v>
      </c>
      <c r="B2422" s="2026"/>
      <c r="C2422" s="2026"/>
      <c r="D2422" s="2026"/>
      <c r="E2422" s="2026"/>
      <c r="F2422" s="2026"/>
      <c r="G2422" s="2026"/>
      <c r="H2422" s="2026"/>
      <c r="I2422" s="2026"/>
      <c r="J2422" s="2026"/>
      <c r="K2422" s="2026"/>
      <c r="L2422" s="2026"/>
      <c r="M2422" s="2026"/>
      <c r="N2422" s="2026"/>
      <c r="O2422" s="2026"/>
      <c r="P2422" s="2026"/>
      <c r="Q2422" s="2026"/>
      <c r="R2422" s="2026"/>
      <c r="S2422" s="2026"/>
      <c r="T2422" s="2026"/>
      <c r="U2422" s="2026"/>
      <c r="V2422" s="2026"/>
      <c r="W2422" s="2026"/>
      <c r="X2422" s="2026"/>
      <c r="Y2422" s="2026"/>
      <c r="Z2422" s="2026"/>
      <c r="AA2422" s="2026"/>
      <c r="AB2422" s="2026"/>
      <c r="AC2422" s="2026"/>
      <c r="AD2422" s="2026"/>
      <c r="AE2422" s="1041" t="s">
        <v>1834</v>
      </c>
      <c r="AF2422" s="1042" t="s">
        <v>1835</v>
      </c>
    </row>
    <row r="2423" spans="1:32" ht="21" customHeight="1" thickBot="1" x14ac:dyDescent="0.25">
      <c r="A2423" s="2027"/>
      <c r="B2423" s="2028"/>
      <c r="C2423" s="2028"/>
      <c r="D2423" s="2028"/>
      <c r="E2423" s="2028"/>
      <c r="F2423" s="2028"/>
      <c r="G2423" s="2028"/>
      <c r="H2423" s="2028"/>
      <c r="I2423" s="2028"/>
      <c r="J2423" s="2028"/>
      <c r="K2423" s="2028"/>
      <c r="L2423" s="2028"/>
      <c r="M2423" s="2028"/>
      <c r="N2423" s="2028"/>
      <c r="O2423" s="2028"/>
      <c r="P2423" s="2028"/>
      <c r="Q2423" s="2028"/>
      <c r="R2423" s="2028"/>
      <c r="S2423" s="2028"/>
      <c r="T2423" s="2028"/>
      <c r="U2423" s="2028"/>
      <c r="V2423" s="2028"/>
      <c r="W2423" s="2028"/>
      <c r="X2423" s="2028"/>
      <c r="Y2423" s="2028"/>
      <c r="Z2423" s="2028"/>
      <c r="AA2423" s="2028"/>
      <c r="AB2423" s="2028"/>
      <c r="AC2423" s="2028"/>
      <c r="AD2423" s="2028"/>
      <c r="AE2423" s="1041" t="s">
        <v>1836</v>
      </c>
      <c r="AF2423" s="1044">
        <v>1</v>
      </c>
    </row>
    <row r="2424" spans="1:32" ht="15.75" x14ac:dyDescent="0.2">
      <c r="A2424" s="2029"/>
      <c r="B2424" s="2030"/>
      <c r="C2424" s="2030"/>
      <c r="D2424" s="2031"/>
      <c r="E2424" s="2025" t="str">
        <f>'01'!$A$12</f>
        <v>"CONSTRUCCION SISTEMA DE ACUEDUCTO FASE II DEL MUNICIPIO DE TESALIA DPTO DEL HUILA"</v>
      </c>
      <c r="F2424" s="2026"/>
      <c r="G2424" s="2026"/>
      <c r="H2424" s="2026"/>
      <c r="I2424" s="2026"/>
      <c r="J2424" s="2026"/>
      <c r="K2424" s="2026"/>
      <c r="L2424" s="2026"/>
      <c r="M2424" s="2026"/>
      <c r="N2424" s="2026"/>
      <c r="O2424" s="2026"/>
      <c r="P2424" s="2026"/>
      <c r="Q2424" s="2026"/>
      <c r="R2424" s="2026"/>
      <c r="S2424" s="2026"/>
      <c r="T2424" s="2026"/>
      <c r="U2424" s="2026"/>
      <c r="V2424" s="2026"/>
      <c r="W2424" s="2026"/>
      <c r="X2424" s="2026"/>
      <c r="Y2424" s="2026"/>
      <c r="Z2424" s="2026"/>
      <c r="AA2424" s="2026"/>
      <c r="AB2424" s="2026"/>
      <c r="AC2424" s="2026"/>
      <c r="AD2424" s="2035"/>
      <c r="AE2424" s="1041" t="s">
        <v>847</v>
      </c>
      <c r="AF2424" s="1045">
        <f>'01'!$M$13</f>
        <v>0</v>
      </c>
    </row>
    <row r="2425" spans="1:32" ht="16.5" thickBot="1" x14ac:dyDescent="0.25">
      <c r="A2425" s="2032"/>
      <c r="B2425" s="2033"/>
      <c r="C2425" s="2033"/>
      <c r="D2425" s="2034"/>
      <c r="E2425" s="2027"/>
      <c r="F2425" s="2028"/>
      <c r="G2425" s="2028"/>
      <c r="H2425" s="2028"/>
      <c r="I2425" s="2028"/>
      <c r="J2425" s="2028"/>
      <c r="K2425" s="2028"/>
      <c r="L2425" s="2028"/>
      <c r="M2425" s="2028"/>
      <c r="N2425" s="2028"/>
      <c r="O2425" s="2028"/>
      <c r="P2425" s="2028"/>
      <c r="Q2425" s="2028"/>
      <c r="R2425" s="2028"/>
      <c r="S2425" s="2028"/>
      <c r="T2425" s="2028"/>
      <c r="U2425" s="2028"/>
      <c r="V2425" s="2028"/>
      <c r="W2425" s="2028"/>
      <c r="X2425" s="2028"/>
      <c r="Y2425" s="2028"/>
      <c r="Z2425" s="2028"/>
      <c r="AA2425" s="2028"/>
      <c r="AB2425" s="2028"/>
      <c r="AC2425" s="2028"/>
      <c r="AD2425" s="2036"/>
      <c r="AE2425" s="1041" t="s">
        <v>1837</v>
      </c>
      <c r="AF2425" s="1042" t="s">
        <v>1838</v>
      </c>
    </row>
    <row r="2426" spans="1:32" ht="15.75" x14ac:dyDescent="0.25">
      <c r="A2426" s="2037" t="s">
        <v>1860</v>
      </c>
      <c r="B2426" s="2038"/>
      <c r="C2426" s="2038"/>
      <c r="D2426" s="2038"/>
      <c r="E2426" s="2038"/>
      <c r="F2426" s="2038"/>
      <c r="G2426" s="2038"/>
      <c r="H2426" s="2038"/>
      <c r="I2426" s="2038"/>
      <c r="J2426" s="2038"/>
      <c r="K2426" s="2038"/>
      <c r="L2426" s="2038"/>
      <c r="M2426" s="2038"/>
      <c r="N2426" s="2038"/>
      <c r="O2426" s="2038"/>
      <c r="P2426" s="2038"/>
      <c r="Q2426" s="2038"/>
      <c r="R2426" s="2038"/>
      <c r="S2426" s="2038"/>
      <c r="T2426" s="2038"/>
      <c r="U2426" s="2038"/>
      <c r="V2426" s="2038"/>
      <c r="W2426" s="2038"/>
      <c r="X2426" s="2038"/>
      <c r="Y2426" s="2038"/>
      <c r="Z2426" s="2038"/>
      <c r="AA2426" s="2038"/>
      <c r="AB2426" s="2038"/>
      <c r="AC2426" s="2038"/>
      <c r="AD2426" s="2038"/>
      <c r="AE2426" s="2039" t="s">
        <v>1839</v>
      </c>
      <c r="AF2426" s="2040"/>
    </row>
    <row r="2427" spans="1:32" ht="15.75" x14ac:dyDescent="0.25">
      <c r="A2427" s="2041" t="s">
        <v>1840</v>
      </c>
      <c r="B2427" s="2042"/>
      <c r="C2427" s="2042"/>
      <c r="D2427" s="2042"/>
      <c r="E2427" s="2042"/>
      <c r="F2427" s="2042"/>
      <c r="G2427" s="2042"/>
      <c r="H2427" s="2042"/>
      <c r="I2427" s="2042"/>
      <c r="J2427" s="2042"/>
      <c r="K2427" s="2042"/>
      <c r="L2427" s="2042"/>
      <c r="M2427" s="2042"/>
      <c r="N2427" s="2042"/>
      <c r="O2427" s="2042"/>
      <c r="P2427" s="2042"/>
      <c r="Q2427" s="2042"/>
      <c r="R2427" s="2042"/>
      <c r="S2427" s="2042"/>
      <c r="T2427" s="2042"/>
      <c r="U2427" s="2042"/>
      <c r="V2427" s="2042"/>
      <c r="W2427" s="2042"/>
      <c r="X2427" s="2042"/>
      <c r="Y2427" s="2042"/>
      <c r="Z2427" s="2042"/>
      <c r="AA2427" s="2042"/>
      <c r="AB2427" s="2042"/>
      <c r="AC2427" s="2042"/>
      <c r="AD2427" s="2043"/>
      <c r="AE2427" s="2014" t="s">
        <v>1841</v>
      </c>
      <c r="AF2427" s="2044"/>
    </row>
    <row r="2428" spans="1:32" ht="15.75" x14ac:dyDescent="0.25">
      <c r="A2428" s="2045" t="s">
        <v>1853</v>
      </c>
      <c r="B2428" s="2046"/>
      <c r="C2428" s="2046"/>
      <c r="D2428" s="2046"/>
      <c r="E2428" s="2046"/>
      <c r="F2428" s="2046"/>
      <c r="G2428" s="2046"/>
      <c r="H2428" s="2046"/>
      <c r="I2428" s="2046"/>
      <c r="J2428" s="2046"/>
      <c r="K2428" s="2046"/>
      <c r="L2428" s="2046"/>
      <c r="M2428" s="2046"/>
      <c r="N2428" s="2046"/>
      <c r="O2428" s="2046"/>
      <c r="P2428" s="2046"/>
      <c r="Q2428" s="2046"/>
      <c r="R2428" s="2046"/>
      <c r="S2428" s="2046"/>
      <c r="T2428" s="2046"/>
      <c r="U2428" s="2046"/>
      <c r="V2428" s="2046"/>
      <c r="W2428" s="2046"/>
      <c r="X2428" s="2046"/>
      <c r="Y2428" s="2046"/>
      <c r="Z2428" s="2046"/>
      <c r="AA2428" s="2046"/>
      <c r="AB2428" s="2046"/>
      <c r="AC2428" s="2046"/>
      <c r="AD2428" s="2046"/>
      <c r="AE2428" s="2047">
        <f>'01'!$M$13</f>
        <v>0</v>
      </c>
      <c r="AF2428" s="2044"/>
    </row>
    <row r="2429" spans="1:32" x14ac:dyDescent="0.2">
      <c r="A2429" s="1046"/>
      <c r="B2429" s="1047"/>
      <c r="C2429" s="1047"/>
      <c r="D2429" s="1047"/>
      <c r="E2429" s="1047"/>
      <c r="F2429" s="1047"/>
      <c r="G2429" s="1047"/>
      <c r="H2429" s="1047"/>
      <c r="I2429" s="1047"/>
      <c r="J2429" s="1047"/>
      <c r="K2429" s="1047"/>
      <c r="L2429" s="1047"/>
      <c r="M2429" s="1047"/>
      <c r="N2429" s="1047"/>
      <c r="O2429" s="1047"/>
      <c r="P2429" s="1047"/>
      <c r="Q2429" s="1047"/>
      <c r="R2429" s="1047"/>
      <c r="S2429" s="1047"/>
      <c r="T2429" s="1047"/>
      <c r="U2429" s="1047"/>
      <c r="V2429" s="1047"/>
      <c r="W2429" s="1047"/>
      <c r="X2429" s="1047"/>
      <c r="Y2429" s="1047"/>
      <c r="Z2429" s="1047"/>
      <c r="AA2429" s="1047"/>
      <c r="AB2429" s="1047"/>
      <c r="AC2429" s="1047"/>
      <c r="AD2429" s="1047"/>
      <c r="AE2429" s="1047"/>
      <c r="AF2429" s="1048"/>
    </row>
    <row r="2430" spans="1:32" ht="30" customHeight="1" x14ac:dyDescent="0.2">
      <c r="A2430" s="2048" t="s">
        <v>1842</v>
      </c>
      <c r="B2430" s="2049"/>
      <c r="C2430" s="2049"/>
      <c r="D2430" s="2049"/>
      <c r="E2430" s="2049"/>
      <c r="F2430" s="2050" t="str">
        <f>+'01'!$H$105</f>
        <v>D - CANAL DE DESINFECCIÓN</v>
      </c>
      <c r="G2430" s="2049"/>
      <c r="H2430" s="2049"/>
      <c r="I2430" s="2049"/>
      <c r="J2430" s="2049"/>
      <c r="K2430" s="2049"/>
      <c r="L2430" s="2049"/>
      <c r="M2430" s="2049"/>
      <c r="N2430" s="2049"/>
      <c r="O2430" s="2049"/>
      <c r="P2430" s="2049"/>
      <c r="Q2430" s="2049"/>
      <c r="R2430" s="2049"/>
      <c r="S2430" s="2049"/>
      <c r="T2430" s="2049"/>
      <c r="U2430" s="2049"/>
      <c r="V2430" s="2049"/>
      <c r="W2430" s="2049"/>
      <c r="X2430" s="2049"/>
      <c r="Y2430" s="2051"/>
      <c r="Z2430" s="2052" t="s">
        <v>1843</v>
      </c>
      <c r="AA2430" s="2053"/>
      <c r="AB2430" s="2058" t="s">
        <v>1844</v>
      </c>
      <c r="AC2430" s="2059"/>
      <c r="AD2430" s="2060"/>
      <c r="AE2430" s="2064" t="s">
        <v>1845</v>
      </c>
      <c r="AF2430" s="2067" t="s">
        <v>1846</v>
      </c>
    </row>
    <row r="2431" spans="1:32" ht="15" customHeight="1" x14ac:dyDescent="0.2">
      <c r="A2431" s="2070" t="str">
        <f>+'01'!A108</f>
        <v>D-01-01</v>
      </c>
      <c r="B2431" s="2071"/>
      <c r="C2431" s="2072"/>
      <c r="D2431" s="2076" t="str">
        <f>VLOOKUP(A2431,'01'!$A$12:$N$299,3,FALSE)</f>
        <v>LOCALIZACIÓN Y REPLANTEO. INCLUYE: MATERIALES, EQUIPOS, COMISIÓN TOPOGRÁFICA PARA CONTROL DE NIVELES PERMANENTES Y PLANOS RECORD.</v>
      </c>
      <c r="E2431" s="2077"/>
      <c r="F2431" s="2077"/>
      <c r="G2431" s="2077"/>
      <c r="H2431" s="2077"/>
      <c r="I2431" s="2077"/>
      <c r="J2431" s="2077"/>
      <c r="K2431" s="2077"/>
      <c r="L2431" s="2077"/>
      <c r="M2431" s="2077"/>
      <c r="N2431" s="2077"/>
      <c r="O2431" s="2077"/>
      <c r="P2431" s="2077"/>
      <c r="Q2431" s="2077"/>
      <c r="R2431" s="2077"/>
      <c r="S2431" s="2078"/>
      <c r="T2431" s="2082" t="s">
        <v>124</v>
      </c>
      <c r="U2431" s="2083"/>
      <c r="V2431" s="2083"/>
      <c r="W2431" s="2083"/>
      <c r="X2431" s="2052" t="str">
        <f>VLOOKUP(A2431,'01'!$A$12:$N$299,9,FALSE)</f>
        <v>M2</v>
      </c>
      <c r="Y2431" s="2053"/>
      <c r="Z2431" s="2054"/>
      <c r="AA2431" s="2055"/>
      <c r="AB2431" s="2061"/>
      <c r="AC2431" s="2062"/>
      <c r="AD2431" s="2063"/>
      <c r="AE2431" s="2065"/>
      <c r="AF2431" s="2068"/>
    </row>
    <row r="2432" spans="1:32" ht="15" customHeight="1" x14ac:dyDescent="0.25">
      <c r="A2432" s="2073"/>
      <c r="B2432" s="2074"/>
      <c r="C2432" s="2075"/>
      <c r="D2432" s="2079"/>
      <c r="E2432" s="2080"/>
      <c r="F2432" s="2080"/>
      <c r="G2432" s="2080"/>
      <c r="H2432" s="2080"/>
      <c r="I2432" s="2080"/>
      <c r="J2432" s="2080"/>
      <c r="K2432" s="2080"/>
      <c r="L2432" s="2080"/>
      <c r="M2432" s="2080"/>
      <c r="N2432" s="2080"/>
      <c r="O2432" s="2080"/>
      <c r="P2432" s="2080"/>
      <c r="Q2432" s="2080"/>
      <c r="R2432" s="2080"/>
      <c r="S2432" s="2081"/>
      <c r="T2432" s="2084"/>
      <c r="U2432" s="2085"/>
      <c r="V2432" s="2085"/>
      <c r="W2432" s="2085"/>
      <c r="X2432" s="2056"/>
      <c r="Y2432" s="2057"/>
      <c r="Z2432" s="2056"/>
      <c r="AA2432" s="2057"/>
      <c r="AB2432" s="1049" t="s">
        <v>1847</v>
      </c>
      <c r="AC2432" s="1049" t="s">
        <v>1848</v>
      </c>
      <c r="AD2432" s="1049" t="s">
        <v>1861</v>
      </c>
      <c r="AE2432" s="2066"/>
      <c r="AF2432" s="2069"/>
    </row>
    <row r="2433" spans="1:32" ht="15.6" customHeight="1" x14ac:dyDescent="0.25">
      <c r="A2433" s="2017"/>
      <c r="B2433" s="2018"/>
      <c r="C2433" s="2018"/>
      <c r="D2433" s="2018"/>
      <c r="E2433" s="2018"/>
      <c r="F2433" s="2018"/>
      <c r="G2433" s="2018"/>
      <c r="H2433" s="2018"/>
      <c r="I2433" s="2018"/>
      <c r="J2433" s="2018"/>
      <c r="K2433" s="2018"/>
      <c r="L2433" s="2018"/>
      <c r="M2433" s="2018"/>
      <c r="N2433" s="2018"/>
      <c r="O2433" s="2018"/>
      <c r="P2433" s="2018"/>
      <c r="Q2433" s="2018"/>
      <c r="R2433" s="2018"/>
      <c r="S2433" s="2018"/>
      <c r="T2433" s="2018"/>
      <c r="U2433" s="2018"/>
      <c r="V2433" s="2018"/>
      <c r="W2433" s="2018"/>
      <c r="X2433" s="2018"/>
      <c r="Y2433" s="2018"/>
      <c r="Z2433" s="2096" t="s">
        <v>2451</v>
      </c>
      <c r="AA2433" s="2097"/>
      <c r="AB2433" s="1050">
        <f>6.8</f>
        <v>6.8</v>
      </c>
      <c r="AC2433" s="1050">
        <f>6.45</f>
        <v>6.45</v>
      </c>
      <c r="AD2433" s="1050"/>
      <c r="AE2433" s="1050">
        <v>1</v>
      </c>
      <c r="AF2433" s="1052">
        <f>+ROUND(AB2433*AC2433,2)</f>
        <v>43.86</v>
      </c>
    </row>
    <row r="2434" spans="1:32" ht="15.6" customHeight="1" x14ac:dyDescent="0.25">
      <c r="A2434" s="2017"/>
      <c r="B2434" s="2018"/>
      <c r="C2434" s="2018"/>
      <c r="D2434" s="2018"/>
      <c r="E2434" s="2018"/>
      <c r="F2434" s="2018"/>
      <c r="G2434" s="2018"/>
      <c r="H2434" s="2018"/>
      <c r="I2434" s="2018"/>
      <c r="J2434" s="2018"/>
      <c r="K2434" s="2018"/>
      <c r="L2434" s="2018"/>
      <c r="M2434" s="2018"/>
      <c r="N2434" s="2018"/>
      <c r="O2434" s="2018"/>
      <c r="P2434" s="2018"/>
      <c r="Q2434" s="2018"/>
      <c r="R2434" s="2018"/>
      <c r="S2434" s="2018"/>
      <c r="T2434" s="2018"/>
      <c r="U2434" s="2018"/>
      <c r="V2434" s="2018"/>
      <c r="W2434" s="2018"/>
      <c r="X2434" s="2018"/>
      <c r="Y2434" s="2018"/>
      <c r="Z2434" s="2096" t="s">
        <v>2452</v>
      </c>
      <c r="AA2434" s="2097"/>
      <c r="AB2434" s="1050">
        <f>1.6</f>
        <v>1.6</v>
      </c>
      <c r="AC2434" s="1050">
        <f>1.6</f>
        <v>1.6</v>
      </c>
      <c r="AD2434" s="1050"/>
      <c r="AE2434" s="1050">
        <v>1</v>
      </c>
      <c r="AF2434" s="1052">
        <f>+ROUND(AB2434*AC2434,2)</f>
        <v>2.56</v>
      </c>
    </row>
    <row r="2435" spans="1:32" ht="15.75" x14ac:dyDescent="0.25">
      <c r="A2435" s="2017"/>
      <c r="B2435" s="2018"/>
      <c r="C2435" s="2018"/>
      <c r="D2435" s="2018"/>
      <c r="E2435" s="2018"/>
      <c r="F2435" s="2018"/>
      <c r="G2435" s="2018"/>
      <c r="H2435" s="2018"/>
      <c r="I2435" s="2018"/>
      <c r="J2435" s="2018"/>
      <c r="K2435" s="2018"/>
      <c r="L2435" s="2018"/>
      <c r="M2435" s="2018"/>
      <c r="N2435" s="2018"/>
      <c r="O2435" s="2018"/>
      <c r="P2435" s="2018"/>
      <c r="Q2435" s="2018"/>
      <c r="R2435" s="2018"/>
      <c r="S2435" s="2018"/>
      <c r="T2435" s="2018"/>
      <c r="U2435" s="2018"/>
      <c r="V2435" s="2018"/>
      <c r="W2435" s="2018"/>
      <c r="X2435" s="2018"/>
      <c r="Y2435" s="2018"/>
      <c r="Z2435" s="2096"/>
      <c r="AA2435" s="2097"/>
      <c r="AB2435" s="1050"/>
      <c r="AC2435" s="1050"/>
      <c r="AD2435" s="1050"/>
      <c r="AE2435" s="1050"/>
      <c r="AF2435" s="1052"/>
    </row>
    <row r="2436" spans="1:32" ht="15.75" x14ac:dyDescent="0.25">
      <c r="A2436" s="2017"/>
      <c r="B2436" s="2018"/>
      <c r="C2436" s="2018"/>
      <c r="D2436" s="2018"/>
      <c r="E2436" s="2018"/>
      <c r="F2436" s="2018"/>
      <c r="G2436" s="2018"/>
      <c r="H2436" s="2018"/>
      <c r="I2436" s="2018"/>
      <c r="J2436" s="2018"/>
      <c r="K2436" s="2018"/>
      <c r="L2436" s="2018"/>
      <c r="M2436" s="2018"/>
      <c r="N2436" s="2018"/>
      <c r="O2436" s="2018"/>
      <c r="P2436" s="2018"/>
      <c r="Q2436" s="2018"/>
      <c r="R2436" s="2018"/>
      <c r="S2436" s="2018"/>
      <c r="T2436" s="2018"/>
      <c r="U2436" s="2018"/>
      <c r="V2436" s="2018"/>
      <c r="W2436" s="2018"/>
      <c r="X2436" s="2018"/>
      <c r="Y2436" s="2018"/>
      <c r="Z2436" s="2096"/>
      <c r="AA2436" s="2097"/>
      <c r="AB2436" s="1050"/>
      <c r="AC2436" s="1050"/>
      <c r="AD2436" s="1050"/>
      <c r="AE2436" s="1050"/>
      <c r="AF2436" s="1052"/>
    </row>
    <row r="2437" spans="1:32" ht="15.75" x14ac:dyDescent="0.25">
      <c r="A2437" s="2017"/>
      <c r="B2437" s="2018"/>
      <c r="C2437" s="2018"/>
      <c r="D2437" s="2018"/>
      <c r="E2437" s="2018"/>
      <c r="F2437" s="2018"/>
      <c r="G2437" s="2018"/>
      <c r="H2437" s="2018"/>
      <c r="I2437" s="2018"/>
      <c r="J2437" s="2018"/>
      <c r="K2437" s="2018"/>
      <c r="L2437" s="2018"/>
      <c r="M2437" s="2018"/>
      <c r="N2437" s="2018"/>
      <c r="O2437" s="2018"/>
      <c r="P2437" s="2018"/>
      <c r="Q2437" s="2018"/>
      <c r="R2437" s="2018"/>
      <c r="S2437" s="2018"/>
      <c r="T2437" s="2018"/>
      <c r="U2437" s="2018"/>
      <c r="V2437" s="2018"/>
      <c r="W2437" s="2018"/>
      <c r="X2437" s="2018"/>
      <c r="Y2437" s="2018"/>
      <c r="Z2437" s="2096"/>
      <c r="AA2437" s="2097"/>
      <c r="AB2437" s="1050"/>
      <c r="AC2437" s="1050"/>
      <c r="AD2437" s="1050"/>
      <c r="AE2437" s="1050"/>
      <c r="AF2437" s="1052"/>
    </row>
    <row r="2438" spans="1:32" ht="15.75" x14ac:dyDescent="0.25">
      <c r="A2438" s="2017"/>
      <c r="B2438" s="2018"/>
      <c r="C2438" s="2018"/>
      <c r="D2438" s="2018"/>
      <c r="E2438" s="2018"/>
      <c r="F2438" s="2018"/>
      <c r="G2438" s="2018"/>
      <c r="H2438" s="2018"/>
      <c r="I2438" s="2018"/>
      <c r="J2438" s="2018"/>
      <c r="K2438" s="2018"/>
      <c r="L2438" s="2018"/>
      <c r="M2438" s="2018"/>
      <c r="N2438" s="2018"/>
      <c r="O2438" s="2018"/>
      <c r="P2438" s="2018"/>
      <c r="Q2438" s="2018"/>
      <c r="R2438" s="2018"/>
      <c r="S2438" s="2018"/>
      <c r="T2438" s="2018"/>
      <c r="U2438" s="2018"/>
      <c r="V2438" s="2018"/>
      <c r="W2438" s="2018"/>
      <c r="X2438" s="2018"/>
      <c r="Y2438" s="2018"/>
      <c r="Z2438" s="2096"/>
      <c r="AA2438" s="2097"/>
      <c r="AB2438" s="1050"/>
      <c r="AC2438" s="1050"/>
      <c r="AD2438" s="1050"/>
      <c r="AE2438" s="1050"/>
      <c r="AF2438" s="1052"/>
    </row>
    <row r="2439" spans="1:32" ht="15.75" x14ac:dyDescent="0.25">
      <c r="A2439" s="2017"/>
      <c r="B2439" s="2018"/>
      <c r="C2439" s="2018"/>
      <c r="D2439" s="2018"/>
      <c r="E2439" s="2018"/>
      <c r="F2439" s="2018"/>
      <c r="G2439" s="2018"/>
      <c r="H2439" s="2018"/>
      <c r="I2439" s="2018"/>
      <c r="J2439" s="2018"/>
      <c r="K2439" s="2018"/>
      <c r="L2439" s="2018"/>
      <c r="M2439" s="2018"/>
      <c r="N2439" s="2018"/>
      <c r="O2439" s="2018"/>
      <c r="P2439" s="2018"/>
      <c r="Q2439" s="2018"/>
      <c r="R2439" s="2018"/>
      <c r="S2439" s="2018"/>
      <c r="T2439" s="2018"/>
      <c r="U2439" s="2018"/>
      <c r="V2439" s="2018"/>
      <c r="W2439" s="2018"/>
      <c r="X2439" s="2018"/>
      <c r="Y2439" s="2018"/>
      <c r="Z2439" s="2105"/>
      <c r="AA2439" s="2105"/>
      <c r="AB2439" s="1050"/>
      <c r="AC2439" s="1050"/>
      <c r="AD2439" s="1050"/>
      <c r="AE2439" s="1050"/>
      <c r="AF2439" s="1052"/>
    </row>
    <row r="2440" spans="1:32" ht="15.75" x14ac:dyDescent="0.25">
      <c r="A2440" s="2017"/>
      <c r="B2440" s="2018"/>
      <c r="C2440" s="2018"/>
      <c r="D2440" s="2018"/>
      <c r="E2440" s="2018"/>
      <c r="F2440" s="2018"/>
      <c r="G2440" s="2018"/>
      <c r="H2440" s="2018"/>
      <c r="I2440" s="2018"/>
      <c r="J2440" s="2018"/>
      <c r="K2440" s="2018"/>
      <c r="L2440" s="2018"/>
      <c r="M2440" s="2018"/>
      <c r="N2440" s="2018"/>
      <c r="O2440" s="2018"/>
      <c r="P2440" s="2018"/>
      <c r="Q2440" s="2018"/>
      <c r="R2440" s="2018"/>
      <c r="S2440" s="2018"/>
      <c r="T2440" s="2018"/>
      <c r="U2440" s="2018"/>
      <c r="V2440" s="2018"/>
      <c r="W2440" s="2018"/>
      <c r="X2440" s="2018"/>
      <c r="Y2440" s="2018"/>
      <c r="Z2440" s="2105"/>
      <c r="AA2440" s="2105"/>
      <c r="AB2440" s="1050"/>
      <c r="AC2440" s="1050"/>
      <c r="AD2440" s="1050"/>
      <c r="AE2440" s="1050"/>
      <c r="AF2440" s="1052"/>
    </row>
    <row r="2441" spans="1:32" ht="15.75" x14ac:dyDescent="0.25">
      <c r="A2441" s="2017"/>
      <c r="B2441" s="2018"/>
      <c r="C2441" s="2018"/>
      <c r="D2441" s="2018"/>
      <c r="E2441" s="2018"/>
      <c r="F2441" s="2018"/>
      <c r="G2441" s="2018"/>
      <c r="H2441" s="2018"/>
      <c r="I2441" s="2018"/>
      <c r="J2441" s="2018"/>
      <c r="K2441" s="2018"/>
      <c r="L2441" s="2018"/>
      <c r="M2441" s="2018"/>
      <c r="N2441" s="2018"/>
      <c r="O2441" s="2018"/>
      <c r="P2441" s="2018"/>
      <c r="Q2441" s="2018"/>
      <c r="R2441" s="2018"/>
      <c r="S2441" s="2018"/>
      <c r="T2441" s="2018"/>
      <c r="U2441" s="2018"/>
      <c r="V2441" s="2018"/>
      <c r="W2441" s="2018"/>
      <c r="X2441" s="2018"/>
      <c r="Y2441" s="2018"/>
      <c r="Z2441" s="2105"/>
      <c r="AA2441" s="2105"/>
      <c r="AB2441" s="1050"/>
      <c r="AC2441" s="1050"/>
      <c r="AD2441" s="1050"/>
      <c r="AE2441" s="1050"/>
      <c r="AF2441" s="1052"/>
    </row>
    <row r="2442" spans="1:32" ht="15.75" x14ac:dyDescent="0.25">
      <c r="A2442" s="2017"/>
      <c r="B2442" s="2018"/>
      <c r="C2442" s="2018"/>
      <c r="D2442" s="2018"/>
      <c r="E2442" s="2018"/>
      <c r="F2442" s="2018"/>
      <c r="G2442" s="2018"/>
      <c r="H2442" s="2018"/>
      <c r="I2442" s="2018"/>
      <c r="J2442" s="2018"/>
      <c r="K2442" s="2018"/>
      <c r="L2442" s="2018"/>
      <c r="M2442" s="2018"/>
      <c r="N2442" s="2018"/>
      <c r="O2442" s="2018"/>
      <c r="P2442" s="2018"/>
      <c r="Q2442" s="2018"/>
      <c r="R2442" s="2018"/>
      <c r="S2442" s="2018"/>
      <c r="T2442" s="2018"/>
      <c r="U2442" s="2018"/>
      <c r="V2442" s="2018"/>
      <c r="W2442" s="2018"/>
      <c r="X2442" s="2018"/>
      <c r="Y2442" s="2018"/>
      <c r="Z2442" s="2105"/>
      <c r="AA2442" s="2105"/>
      <c r="AB2442" s="1050"/>
      <c r="AC2442" s="1050"/>
      <c r="AD2442" s="1050"/>
      <c r="AE2442" s="1050"/>
      <c r="AF2442" s="1052"/>
    </row>
    <row r="2443" spans="1:32" ht="15.75" x14ac:dyDescent="0.25">
      <c r="A2443" s="2017"/>
      <c r="B2443" s="2018"/>
      <c r="C2443" s="2018"/>
      <c r="D2443" s="2018"/>
      <c r="E2443" s="2018"/>
      <c r="F2443" s="2018"/>
      <c r="G2443" s="2018"/>
      <c r="H2443" s="2018"/>
      <c r="I2443" s="2018"/>
      <c r="J2443" s="2018"/>
      <c r="K2443" s="2018"/>
      <c r="L2443" s="2018"/>
      <c r="M2443" s="2018"/>
      <c r="N2443" s="2018"/>
      <c r="O2443" s="2018"/>
      <c r="P2443" s="2018"/>
      <c r="Q2443" s="2018"/>
      <c r="R2443" s="2018"/>
      <c r="S2443" s="2018"/>
      <c r="T2443" s="2018"/>
      <c r="U2443" s="2018"/>
      <c r="V2443" s="2018"/>
      <c r="W2443" s="2018"/>
      <c r="X2443" s="2018"/>
      <c r="Y2443" s="2018"/>
      <c r="Z2443" s="2105"/>
      <c r="AA2443" s="2105"/>
      <c r="AB2443" s="1050"/>
      <c r="AC2443" s="1050"/>
      <c r="AD2443" s="1050"/>
      <c r="AE2443" s="1050"/>
      <c r="AF2443" s="1052"/>
    </row>
    <row r="2444" spans="1:32" ht="15.75" x14ac:dyDescent="0.25">
      <c r="A2444" s="2017"/>
      <c r="B2444" s="2018"/>
      <c r="C2444" s="2018"/>
      <c r="D2444" s="2018"/>
      <c r="E2444" s="2018"/>
      <c r="F2444" s="2018"/>
      <c r="G2444" s="2018"/>
      <c r="H2444" s="2018"/>
      <c r="I2444" s="2018"/>
      <c r="J2444" s="2018"/>
      <c r="K2444" s="2018"/>
      <c r="L2444" s="2018"/>
      <c r="M2444" s="2018"/>
      <c r="N2444" s="2018"/>
      <c r="O2444" s="2018"/>
      <c r="P2444" s="2018"/>
      <c r="Q2444" s="2018"/>
      <c r="R2444" s="2018"/>
      <c r="S2444" s="2018"/>
      <c r="T2444" s="2018"/>
      <c r="U2444" s="2018"/>
      <c r="V2444" s="2018"/>
      <c r="W2444" s="2018"/>
      <c r="X2444" s="2018"/>
      <c r="Y2444" s="2018"/>
      <c r="Z2444" s="2105"/>
      <c r="AA2444" s="2105"/>
      <c r="AB2444" s="1050"/>
      <c r="AC2444" s="1050"/>
      <c r="AD2444" s="1050"/>
      <c r="AE2444" s="1050"/>
      <c r="AF2444" s="1052"/>
    </row>
    <row r="2445" spans="1:32" ht="15.75" x14ac:dyDescent="0.25">
      <c r="A2445" s="2017"/>
      <c r="B2445" s="2018"/>
      <c r="C2445" s="2018"/>
      <c r="D2445" s="2018"/>
      <c r="E2445" s="2018"/>
      <c r="F2445" s="2018"/>
      <c r="G2445" s="2018"/>
      <c r="H2445" s="2018"/>
      <c r="I2445" s="2018"/>
      <c r="J2445" s="2018"/>
      <c r="K2445" s="2018"/>
      <c r="L2445" s="2018"/>
      <c r="M2445" s="2018"/>
      <c r="N2445" s="2018"/>
      <c r="O2445" s="2018"/>
      <c r="P2445" s="2018"/>
      <c r="Q2445" s="2018"/>
      <c r="R2445" s="2018"/>
      <c r="S2445" s="2018"/>
      <c r="T2445" s="2018"/>
      <c r="U2445" s="2018"/>
      <c r="V2445" s="2018"/>
      <c r="W2445" s="2018"/>
      <c r="X2445" s="2018"/>
      <c r="Y2445" s="2018"/>
      <c r="Z2445" s="2105"/>
      <c r="AA2445" s="2105"/>
      <c r="AB2445" s="1050"/>
      <c r="AC2445" s="1050"/>
      <c r="AD2445" s="1050"/>
      <c r="AE2445" s="1050"/>
      <c r="AF2445" s="1052"/>
    </row>
    <row r="2446" spans="1:32" ht="15.75" x14ac:dyDescent="0.25">
      <c r="A2446" s="2017"/>
      <c r="B2446" s="2018"/>
      <c r="C2446" s="2018"/>
      <c r="D2446" s="2018"/>
      <c r="E2446" s="2018"/>
      <c r="F2446" s="2018"/>
      <c r="G2446" s="2018"/>
      <c r="H2446" s="2018"/>
      <c r="I2446" s="2018"/>
      <c r="J2446" s="2018"/>
      <c r="K2446" s="2018"/>
      <c r="L2446" s="2018"/>
      <c r="M2446" s="2018"/>
      <c r="N2446" s="2018"/>
      <c r="O2446" s="2018"/>
      <c r="P2446" s="2018"/>
      <c r="Q2446" s="2018"/>
      <c r="R2446" s="2018"/>
      <c r="S2446" s="2018"/>
      <c r="T2446" s="2018"/>
      <c r="U2446" s="2018"/>
      <c r="V2446" s="2018"/>
      <c r="W2446" s="2018"/>
      <c r="X2446" s="2018"/>
      <c r="Y2446" s="2018"/>
      <c r="Z2446" s="2022"/>
      <c r="AA2446" s="2022"/>
      <c r="AB2446" s="1050"/>
      <c r="AC2446" s="1050"/>
      <c r="AD2446" s="1050"/>
      <c r="AE2446" s="1050"/>
      <c r="AF2446" s="1052"/>
    </row>
    <row r="2447" spans="1:32" ht="15.75" x14ac:dyDescent="0.25">
      <c r="A2447" s="2017"/>
      <c r="B2447" s="2018"/>
      <c r="C2447" s="2018"/>
      <c r="D2447" s="2018"/>
      <c r="E2447" s="2018"/>
      <c r="F2447" s="2018"/>
      <c r="G2447" s="2018"/>
      <c r="H2447" s="2018"/>
      <c r="I2447" s="2018"/>
      <c r="J2447" s="2018"/>
      <c r="K2447" s="2018"/>
      <c r="L2447" s="2018"/>
      <c r="M2447" s="2018"/>
      <c r="N2447" s="2018"/>
      <c r="O2447" s="2018"/>
      <c r="P2447" s="2018"/>
      <c r="Q2447" s="2018"/>
      <c r="R2447" s="2018"/>
      <c r="S2447" s="2018"/>
      <c r="T2447" s="2018"/>
      <c r="U2447" s="2018"/>
      <c r="V2447" s="2018"/>
      <c r="W2447" s="2018"/>
      <c r="X2447" s="2018"/>
      <c r="Y2447" s="2018"/>
      <c r="Z2447" s="2022"/>
      <c r="AA2447" s="2022"/>
      <c r="AB2447" s="1050"/>
      <c r="AC2447" s="1050"/>
      <c r="AD2447" s="1050"/>
      <c r="AE2447" s="1050"/>
      <c r="AF2447" s="1052"/>
    </row>
    <row r="2448" spans="1:32" ht="15.75" x14ac:dyDescent="0.25">
      <c r="A2448" s="2017"/>
      <c r="B2448" s="2018"/>
      <c r="C2448" s="2018"/>
      <c r="D2448" s="2018"/>
      <c r="E2448" s="2018"/>
      <c r="F2448" s="2018"/>
      <c r="G2448" s="2018"/>
      <c r="H2448" s="2018"/>
      <c r="I2448" s="2018"/>
      <c r="J2448" s="2018"/>
      <c r="K2448" s="2018"/>
      <c r="L2448" s="2018"/>
      <c r="M2448" s="2018"/>
      <c r="N2448" s="2018"/>
      <c r="O2448" s="2018"/>
      <c r="P2448" s="2018"/>
      <c r="Q2448" s="2018"/>
      <c r="R2448" s="2018"/>
      <c r="S2448" s="2018"/>
      <c r="T2448" s="2018"/>
      <c r="U2448" s="2018"/>
      <c r="V2448" s="2018"/>
      <c r="W2448" s="2018"/>
      <c r="X2448" s="2018"/>
      <c r="Y2448" s="2018"/>
      <c r="Z2448" s="2022"/>
      <c r="AA2448" s="2022"/>
      <c r="AB2448" s="1050"/>
      <c r="AC2448" s="1050"/>
      <c r="AD2448" s="1050"/>
      <c r="AE2448" s="1050"/>
      <c r="AF2448" s="1052"/>
    </row>
    <row r="2449" spans="1:32" ht="15.75" x14ac:dyDescent="0.25">
      <c r="A2449" s="2017"/>
      <c r="B2449" s="2018"/>
      <c r="C2449" s="2018"/>
      <c r="D2449" s="2018"/>
      <c r="E2449" s="2018"/>
      <c r="F2449" s="2018"/>
      <c r="G2449" s="2018"/>
      <c r="H2449" s="2018"/>
      <c r="I2449" s="2018"/>
      <c r="J2449" s="2018"/>
      <c r="K2449" s="2018"/>
      <c r="L2449" s="2018"/>
      <c r="M2449" s="2018"/>
      <c r="N2449" s="2018"/>
      <c r="O2449" s="2018"/>
      <c r="P2449" s="2018"/>
      <c r="Q2449" s="2018"/>
      <c r="R2449" s="2018"/>
      <c r="S2449" s="2018"/>
      <c r="T2449" s="2018"/>
      <c r="U2449" s="2018"/>
      <c r="V2449" s="2018"/>
      <c r="W2449" s="2018"/>
      <c r="X2449" s="2018"/>
      <c r="Y2449" s="2018"/>
      <c r="Z2449" s="2022"/>
      <c r="AA2449" s="2022"/>
      <c r="AB2449" s="1050"/>
      <c r="AC2449" s="1050"/>
      <c r="AD2449" s="1050"/>
      <c r="AE2449" s="1050"/>
      <c r="AF2449" s="1052"/>
    </row>
    <row r="2450" spans="1:32" ht="15.75" x14ac:dyDescent="0.25">
      <c r="A2450" s="2017"/>
      <c r="B2450" s="2018"/>
      <c r="C2450" s="2018"/>
      <c r="D2450" s="2018"/>
      <c r="E2450" s="2018"/>
      <c r="F2450" s="2018"/>
      <c r="G2450" s="2018"/>
      <c r="H2450" s="2018"/>
      <c r="I2450" s="2018"/>
      <c r="J2450" s="2018"/>
      <c r="K2450" s="2018"/>
      <c r="L2450" s="2018"/>
      <c r="M2450" s="2018"/>
      <c r="N2450" s="2018"/>
      <c r="O2450" s="2018"/>
      <c r="P2450" s="2018"/>
      <c r="Q2450" s="2018"/>
      <c r="R2450" s="2018"/>
      <c r="S2450" s="2018"/>
      <c r="T2450" s="2018"/>
      <c r="U2450" s="2018"/>
      <c r="V2450" s="2018"/>
      <c r="W2450" s="2018"/>
      <c r="X2450" s="2018"/>
      <c r="Y2450" s="2018"/>
      <c r="Z2450" s="2023"/>
      <c r="AA2450" s="2023"/>
      <c r="AB2450" s="1050"/>
      <c r="AC2450" s="1050"/>
      <c r="AD2450" s="1050"/>
      <c r="AE2450" s="1050"/>
      <c r="AF2450" s="1052"/>
    </row>
    <row r="2451" spans="1:32" ht="15.75" x14ac:dyDescent="0.25">
      <c r="A2451" s="2017"/>
      <c r="B2451" s="2018"/>
      <c r="C2451" s="2018"/>
      <c r="D2451" s="2018"/>
      <c r="E2451" s="2018"/>
      <c r="F2451" s="2018"/>
      <c r="G2451" s="2018"/>
      <c r="H2451" s="2018"/>
      <c r="I2451" s="2018"/>
      <c r="J2451" s="2018"/>
      <c r="K2451" s="2018"/>
      <c r="L2451" s="2018"/>
      <c r="M2451" s="2018"/>
      <c r="N2451" s="2018"/>
      <c r="O2451" s="2018"/>
      <c r="P2451" s="2018"/>
      <c r="Q2451" s="2018"/>
      <c r="R2451" s="2018"/>
      <c r="S2451" s="2018"/>
      <c r="T2451" s="2018"/>
      <c r="U2451" s="2018"/>
      <c r="V2451" s="2018"/>
      <c r="W2451" s="2018"/>
      <c r="X2451" s="2018"/>
      <c r="Y2451" s="2018"/>
      <c r="Z2451" s="2023"/>
      <c r="AA2451" s="2023"/>
      <c r="AB2451" s="1050"/>
      <c r="AC2451" s="1050"/>
      <c r="AD2451" s="1050"/>
      <c r="AE2451" s="1050"/>
      <c r="AF2451" s="1052"/>
    </row>
    <row r="2452" spans="1:32" ht="15.75" x14ac:dyDescent="0.25">
      <c r="A2452" s="2017"/>
      <c r="B2452" s="2018"/>
      <c r="C2452" s="2018"/>
      <c r="D2452" s="2018"/>
      <c r="E2452" s="2018"/>
      <c r="F2452" s="2018"/>
      <c r="G2452" s="2018"/>
      <c r="H2452" s="2018"/>
      <c r="I2452" s="2018"/>
      <c r="J2452" s="2018"/>
      <c r="K2452" s="2018"/>
      <c r="L2452" s="2018"/>
      <c r="M2452" s="2018"/>
      <c r="N2452" s="2018"/>
      <c r="O2452" s="2018"/>
      <c r="P2452" s="2018"/>
      <c r="Q2452" s="2018"/>
      <c r="R2452" s="2018"/>
      <c r="S2452" s="2018"/>
      <c r="T2452" s="2018"/>
      <c r="U2452" s="2018"/>
      <c r="V2452" s="2018"/>
      <c r="W2452" s="2018"/>
      <c r="X2452" s="2018"/>
      <c r="Y2452" s="2018"/>
      <c r="Z2452" s="2023"/>
      <c r="AA2452" s="2023"/>
      <c r="AB2452" s="1050"/>
      <c r="AC2452" s="1050"/>
      <c r="AD2452" s="1050"/>
      <c r="AE2452" s="1050"/>
      <c r="AF2452" s="1052"/>
    </row>
    <row r="2453" spans="1:32" ht="15.75" x14ac:dyDescent="0.25">
      <c r="A2453" s="2017"/>
      <c r="B2453" s="2018"/>
      <c r="C2453" s="2018"/>
      <c r="D2453" s="2018"/>
      <c r="E2453" s="2018"/>
      <c r="F2453" s="2018"/>
      <c r="G2453" s="2018"/>
      <c r="H2453" s="2018"/>
      <c r="I2453" s="2018"/>
      <c r="J2453" s="2018"/>
      <c r="K2453" s="2018"/>
      <c r="L2453" s="2018"/>
      <c r="M2453" s="2018"/>
      <c r="N2453" s="2018"/>
      <c r="O2453" s="2018"/>
      <c r="P2453" s="2018"/>
      <c r="Q2453" s="2018"/>
      <c r="R2453" s="2018"/>
      <c r="S2453" s="2018"/>
      <c r="T2453" s="2018"/>
      <c r="U2453" s="2018"/>
      <c r="V2453" s="2018"/>
      <c r="W2453" s="2018"/>
      <c r="X2453" s="2018"/>
      <c r="Y2453" s="2018"/>
      <c r="Z2453" s="2023"/>
      <c r="AA2453" s="2023"/>
      <c r="AB2453" s="1050"/>
      <c r="AC2453" s="1050"/>
      <c r="AD2453" s="1050"/>
      <c r="AE2453" s="1050"/>
      <c r="AF2453" s="1052"/>
    </row>
    <row r="2454" spans="1:32" ht="15.75" x14ac:dyDescent="0.25">
      <c r="A2454" s="2017"/>
      <c r="B2454" s="2018"/>
      <c r="C2454" s="2018"/>
      <c r="D2454" s="2018"/>
      <c r="E2454" s="2018"/>
      <c r="F2454" s="2018"/>
      <c r="G2454" s="2018"/>
      <c r="H2454" s="2018"/>
      <c r="I2454" s="2018"/>
      <c r="J2454" s="2018"/>
      <c r="K2454" s="2018"/>
      <c r="L2454" s="2018"/>
      <c r="M2454" s="2018"/>
      <c r="N2454" s="2018"/>
      <c r="O2454" s="2018"/>
      <c r="P2454" s="2018"/>
      <c r="Q2454" s="2018"/>
      <c r="R2454" s="2018"/>
      <c r="S2454" s="2018"/>
      <c r="T2454" s="2018"/>
      <c r="U2454" s="2018"/>
      <c r="V2454" s="2018"/>
      <c r="W2454" s="2018"/>
      <c r="X2454" s="2018"/>
      <c r="Y2454" s="2018"/>
      <c r="Z2454" s="2023"/>
      <c r="AA2454" s="2023"/>
      <c r="AB2454" s="1050"/>
      <c r="AC2454" s="1050"/>
      <c r="AD2454" s="1050"/>
      <c r="AE2454" s="1050"/>
      <c r="AF2454" s="1052"/>
    </row>
    <row r="2455" spans="1:32" ht="15.75" x14ac:dyDescent="0.25">
      <c r="A2455" s="2017"/>
      <c r="B2455" s="2018"/>
      <c r="C2455" s="2018"/>
      <c r="D2455" s="2018"/>
      <c r="E2455" s="2018"/>
      <c r="F2455" s="2018"/>
      <c r="G2455" s="2018"/>
      <c r="H2455" s="2018"/>
      <c r="I2455" s="2018"/>
      <c r="J2455" s="2018"/>
      <c r="K2455" s="2018"/>
      <c r="L2455" s="2018"/>
      <c r="M2455" s="2018"/>
      <c r="N2455" s="2018"/>
      <c r="O2455" s="2018"/>
      <c r="P2455" s="2018"/>
      <c r="Q2455" s="2018"/>
      <c r="R2455" s="2018"/>
      <c r="S2455" s="2018"/>
      <c r="T2455" s="2018"/>
      <c r="U2455" s="2018"/>
      <c r="V2455" s="2018"/>
      <c r="W2455" s="2018"/>
      <c r="X2455" s="2018"/>
      <c r="Y2455" s="2018"/>
      <c r="Z2455" s="2023"/>
      <c r="AA2455" s="2023"/>
      <c r="AB2455" s="1050"/>
      <c r="AC2455" s="1050"/>
      <c r="AD2455" s="1050"/>
      <c r="AE2455" s="1050"/>
      <c r="AF2455" s="1052"/>
    </row>
    <row r="2456" spans="1:32" ht="16.5" thickBot="1" x14ac:dyDescent="0.3">
      <c r="A2456" s="2019"/>
      <c r="B2456" s="2020"/>
      <c r="C2456" s="2020"/>
      <c r="D2456" s="2020"/>
      <c r="E2456" s="2020"/>
      <c r="F2456" s="2020"/>
      <c r="G2456" s="2020"/>
      <c r="H2456" s="2020"/>
      <c r="I2456" s="2020"/>
      <c r="J2456" s="2020"/>
      <c r="K2456" s="2020"/>
      <c r="L2456" s="2020"/>
      <c r="M2456" s="2020"/>
      <c r="N2456" s="2020"/>
      <c r="O2456" s="2020"/>
      <c r="P2456" s="2020"/>
      <c r="Q2456" s="2020"/>
      <c r="R2456" s="2020"/>
      <c r="S2456" s="2020"/>
      <c r="T2456" s="2020"/>
      <c r="U2456" s="2020"/>
      <c r="V2456" s="2020"/>
      <c r="W2456" s="2020"/>
      <c r="X2456" s="2020"/>
      <c r="Y2456" s="2020"/>
      <c r="Z2456" s="2024"/>
      <c r="AA2456" s="2024"/>
      <c r="AB2456" s="1057"/>
      <c r="AC2456" s="1057"/>
      <c r="AD2456" s="1057"/>
      <c r="AE2456" s="1057"/>
      <c r="AF2456" s="1058"/>
    </row>
    <row r="2457" spans="1:32" ht="15.75" x14ac:dyDescent="0.25">
      <c r="A2457" s="2009" t="s">
        <v>2453</v>
      </c>
      <c r="B2457" s="2010"/>
      <c r="C2457" s="2010"/>
      <c r="D2457" s="2010"/>
      <c r="E2457" s="2010"/>
      <c r="F2457" s="2010"/>
      <c r="G2457" s="2010"/>
      <c r="H2457" s="2010"/>
      <c r="I2457" s="2010"/>
      <c r="J2457" s="2010"/>
      <c r="K2457" s="2010"/>
      <c r="L2457" s="2010"/>
      <c r="M2457" s="2010"/>
      <c r="N2457" s="2010"/>
      <c r="O2457" s="2010"/>
      <c r="P2457" s="2010"/>
      <c r="Q2457" s="2010"/>
      <c r="R2457" s="2010"/>
      <c r="S2457" s="2010"/>
      <c r="T2457" s="2010"/>
      <c r="U2457" s="2010"/>
      <c r="V2457" s="2010"/>
      <c r="W2457" s="2010"/>
      <c r="X2457" s="2010"/>
      <c r="Y2457" s="2010"/>
      <c r="Z2457" s="2013" t="s">
        <v>1850</v>
      </c>
      <c r="AA2457" s="2013"/>
      <c r="AB2457" s="2013"/>
      <c r="AC2457" s="2013"/>
      <c r="AD2457" s="2013"/>
      <c r="AE2457" s="2013"/>
      <c r="AF2457" s="1059">
        <f>SUM(AF2433:AF2456)</f>
        <v>46.42</v>
      </c>
    </row>
    <row r="2458" spans="1:32" ht="15.75" x14ac:dyDescent="0.25">
      <c r="A2458" s="2011"/>
      <c r="B2458" s="2012"/>
      <c r="C2458" s="2012"/>
      <c r="D2458" s="2012"/>
      <c r="E2458" s="2012"/>
      <c r="F2458" s="2012"/>
      <c r="G2458" s="2012"/>
      <c r="H2458" s="2012"/>
      <c r="I2458" s="2012"/>
      <c r="J2458" s="2012"/>
      <c r="K2458" s="2012"/>
      <c r="L2458" s="2012"/>
      <c r="M2458" s="2012"/>
      <c r="N2458" s="2012"/>
      <c r="O2458" s="2012"/>
      <c r="P2458" s="2012"/>
      <c r="Q2458" s="2012"/>
      <c r="R2458" s="2012"/>
      <c r="S2458" s="2012"/>
      <c r="T2458" s="2012"/>
      <c r="U2458" s="2012"/>
      <c r="V2458" s="2012"/>
      <c r="W2458" s="2012"/>
      <c r="X2458" s="2012"/>
      <c r="Y2458" s="2012"/>
      <c r="Z2458" s="2014" t="s">
        <v>1851</v>
      </c>
      <c r="AA2458" s="2014"/>
      <c r="AB2458" s="2014"/>
      <c r="AC2458" s="2014"/>
      <c r="AD2458" s="2014"/>
      <c r="AE2458" s="2014"/>
      <c r="AF2458" s="1060">
        <v>0</v>
      </c>
    </row>
    <row r="2459" spans="1:32" ht="15.75" x14ac:dyDescent="0.25">
      <c r="A2459" s="2011"/>
      <c r="B2459" s="2012"/>
      <c r="C2459" s="2012"/>
      <c r="D2459" s="2012"/>
      <c r="E2459" s="2012"/>
      <c r="F2459" s="2012"/>
      <c r="G2459" s="2012"/>
      <c r="H2459" s="2012"/>
      <c r="I2459" s="2012"/>
      <c r="J2459" s="2012"/>
      <c r="K2459" s="2012"/>
      <c r="L2459" s="2012"/>
      <c r="M2459" s="2012"/>
      <c r="N2459" s="2012"/>
      <c r="O2459" s="2012"/>
      <c r="P2459" s="2012"/>
      <c r="Q2459" s="2012"/>
      <c r="R2459" s="2012"/>
      <c r="S2459" s="2012"/>
      <c r="T2459" s="2012"/>
      <c r="U2459" s="2012"/>
      <c r="V2459" s="2012"/>
      <c r="W2459" s="2012"/>
      <c r="X2459" s="2012"/>
      <c r="Y2459" s="2012"/>
      <c r="Z2459" s="2015" t="s">
        <v>1833</v>
      </c>
      <c r="AA2459" s="2015"/>
      <c r="AB2459" s="2015"/>
      <c r="AC2459" s="2015"/>
      <c r="AD2459" s="2015"/>
      <c r="AE2459" s="2015"/>
      <c r="AF2459" s="1061">
        <f>SUM(AF2457:AF2458)</f>
        <v>46.42</v>
      </c>
    </row>
    <row r="2460" spans="1:32" x14ac:dyDescent="0.2">
      <c r="A2460" s="2012" t="s">
        <v>1859</v>
      </c>
      <c r="B2460" s="2012"/>
      <c r="C2460" s="2012"/>
      <c r="D2460" s="2012"/>
      <c r="E2460" s="2012"/>
      <c r="F2460" s="2012"/>
      <c r="G2460" s="2012"/>
      <c r="H2460" s="2012"/>
      <c r="I2460" s="2012"/>
      <c r="J2460" s="2012"/>
      <c r="K2460" s="2012"/>
      <c r="L2460" s="2012"/>
      <c r="M2460" s="2012"/>
      <c r="N2460" s="2012"/>
      <c r="O2460" s="2012"/>
      <c r="P2460" s="2012"/>
      <c r="Q2460" s="2012"/>
      <c r="R2460" s="2012"/>
      <c r="S2460" s="2012"/>
      <c r="T2460" s="2016" t="s">
        <v>1840</v>
      </c>
      <c r="U2460" s="2016"/>
      <c r="V2460" s="2016"/>
      <c r="W2460" s="2016"/>
      <c r="X2460" s="2016"/>
      <c r="Y2460" s="2016"/>
      <c r="Z2460" s="2016"/>
      <c r="AA2460" s="2016"/>
      <c r="AB2460" s="2012" t="s">
        <v>1852</v>
      </c>
      <c r="AC2460" s="2012"/>
      <c r="AD2460" s="2012"/>
      <c r="AE2460" s="2012"/>
      <c r="AF2460" s="2012"/>
    </row>
    <row r="2461" spans="1:32" x14ac:dyDescent="0.2">
      <c r="A2461" s="2012"/>
      <c r="B2461" s="2012"/>
      <c r="C2461" s="2012"/>
      <c r="D2461" s="2012"/>
      <c r="E2461" s="2012"/>
      <c r="F2461" s="2012"/>
      <c r="G2461" s="2012"/>
      <c r="H2461" s="2012"/>
      <c r="I2461" s="2012"/>
      <c r="J2461" s="2012"/>
      <c r="K2461" s="2012"/>
      <c r="L2461" s="2012"/>
      <c r="M2461" s="2012"/>
      <c r="N2461" s="2012"/>
      <c r="O2461" s="2012"/>
      <c r="P2461" s="2012"/>
      <c r="Q2461" s="2012"/>
      <c r="R2461" s="2012"/>
      <c r="S2461" s="2012"/>
      <c r="T2461" s="2016"/>
      <c r="U2461" s="2016"/>
      <c r="V2461" s="2016"/>
      <c r="W2461" s="2016"/>
      <c r="X2461" s="2016"/>
      <c r="Y2461" s="2016"/>
      <c r="Z2461" s="2016"/>
      <c r="AA2461" s="2016"/>
      <c r="AB2461" s="2012"/>
      <c r="AC2461" s="2012"/>
      <c r="AD2461" s="2012"/>
      <c r="AE2461" s="2012"/>
      <c r="AF2461" s="2012"/>
    </row>
    <row r="2462" spans="1:32" ht="13.5" thickBot="1" x14ac:dyDescent="0.25"/>
    <row r="2463" spans="1:32" ht="26.45" customHeight="1" x14ac:dyDescent="0.2">
      <c r="A2463" s="2025" t="s">
        <v>1854</v>
      </c>
      <c r="B2463" s="2026"/>
      <c r="C2463" s="2026"/>
      <c r="D2463" s="2026"/>
      <c r="E2463" s="2026"/>
      <c r="F2463" s="2026"/>
      <c r="G2463" s="2026"/>
      <c r="H2463" s="2026"/>
      <c r="I2463" s="2026"/>
      <c r="J2463" s="2026"/>
      <c r="K2463" s="2026"/>
      <c r="L2463" s="2026"/>
      <c r="M2463" s="2026"/>
      <c r="N2463" s="2026"/>
      <c r="O2463" s="2026"/>
      <c r="P2463" s="2026"/>
      <c r="Q2463" s="2026"/>
      <c r="R2463" s="2026"/>
      <c r="S2463" s="2026"/>
      <c r="T2463" s="2026"/>
      <c r="U2463" s="2026"/>
      <c r="V2463" s="2026"/>
      <c r="W2463" s="2026"/>
      <c r="X2463" s="2026"/>
      <c r="Y2463" s="2026"/>
      <c r="Z2463" s="2026"/>
      <c r="AA2463" s="2026"/>
      <c r="AB2463" s="2026"/>
      <c r="AC2463" s="2026"/>
      <c r="AD2463" s="2026"/>
      <c r="AE2463" s="1041" t="s">
        <v>1834</v>
      </c>
      <c r="AF2463" s="1042" t="s">
        <v>1835</v>
      </c>
    </row>
    <row r="2464" spans="1:32" ht="21" customHeight="1" thickBot="1" x14ac:dyDescent="0.25">
      <c r="A2464" s="2027"/>
      <c r="B2464" s="2028"/>
      <c r="C2464" s="2028"/>
      <c r="D2464" s="2028"/>
      <c r="E2464" s="2028"/>
      <c r="F2464" s="2028"/>
      <c r="G2464" s="2028"/>
      <c r="H2464" s="2028"/>
      <c r="I2464" s="2028"/>
      <c r="J2464" s="2028"/>
      <c r="K2464" s="2028"/>
      <c r="L2464" s="2028"/>
      <c r="M2464" s="2028"/>
      <c r="N2464" s="2028"/>
      <c r="O2464" s="2028"/>
      <c r="P2464" s="2028"/>
      <c r="Q2464" s="2028"/>
      <c r="R2464" s="2028"/>
      <c r="S2464" s="2028"/>
      <c r="T2464" s="2028"/>
      <c r="U2464" s="2028"/>
      <c r="V2464" s="2028"/>
      <c r="W2464" s="2028"/>
      <c r="X2464" s="2028"/>
      <c r="Y2464" s="2028"/>
      <c r="Z2464" s="2028"/>
      <c r="AA2464" s="2028"/>
      <c r="AB2464" s="2028"/>
      <c r="AC2464" s="2028"/>
      <c r="AD2464" s="2028"/>
      <c r="AE2464" s="1041" t="s">
        <v>1836</v>
      </c>
      <c r="AF2464" s="1044">
        <v>1</v>
      </c>
    </row>
    <row r="2465" spans="1:32" ht="15.75" x14ac:dyDescent="0.2">
      <c r="A2465" s="2029"/>
      <c r="B2465" s="2030"/>
      <c r="C2465" s="2030"/>
      <c r="D2465" s="2031"/>
      <c r="E2465" s="2025" t="str">
        <f>'01'!$A$12</f>
        <v>"CONSTRUCCION SISTEMA DE ACUEDUCTO FASE II DEL MUNICIPIO DE TESALIA DPTO DEL HUILA"</v>
      </c>
      <c r="F2465" s="2026"/>
      <c r="G2465" s="2026"/>
      <c r="H2465" s="2026"/>
      <c r="I2465" s="2026"/>
      <c r="J2465" s="2026"/>
      <c r="K2465" s="2026"/>
      <c r="L2465" s="2026"/>
      <c r="M2465" s="2026"/>
      <c r="N2465" s="2026"/>
      <c r="O2465" s="2026"/>
      <c r="P2465" s="2026"/>
      <c r="Q2465" s="2026"/>
      <c r="R2465" s="2026"/>
      <c r="S2465" s="2026"/>
      <c r="T2465" s="2026"/>
      <c r="U2465" s="2026"/>
      <c r="V2465" s="2026"/>
      <c r="W2465" s="2026"/>
      <c r="X2465" s="2026"/>
      <c r="Y2465" s="2026"/>
      <c r="Z2465" s="2026"/>
      <c r="AA2465" s="2026"/>
      <c r="AB2465" s="2026"/>
      <c r="AC2465" s="2026"/>
      <c r="AD2465" s="2035"/>
      <c r="AE2465" s="1041" t="s">
        <v>847</v>
      </c>
      <c r="AF2465" s="1045">
        <f>'01'!$M$13</f>
        <v>0</v>
      </c>
    </row>
    <row r="2466" spans="1:32" ht="16.5" thickBot="1" x14ac:dyDescent="0.25">
      <c r="A2466" s="2032"/>
      <c r="B2466" s="2033"/>
      <c r="C2466" s="2033"/>
      <c r="D2466" s="2034"/>
      <c r="E2466" s="2027"/>
      <c r="F2466" s="2028"/>
      <c r="G2466" s="2028"/>
      <c r="H2466" s="2028"/>
      <c r="I2466" s="2028"/>
      <c r="J2466" s="2028"/>
      <c r="K2466" s="2028"/>
      <c r="L2466" s="2028"/>
      <c r="M2466" s="2028"/>
      <c r="N2466" s="2028"/>
      <c r="O2466" s="2028"/>
      <c r="P2466" s="2028"/>
      <c r="Q2466" s="2028"/>
      <c r="R2466" s="2028"/>
      <c r="S2466" s="2028"/>
      <c r="T2466" s="2028"/>
      <c r="U2466" s="2028"/>
      <c r="V2466" s="2028"/>
      <c r="W2466" s="2028"/>
      <c r="X2466" s="2028"/>
      <c r="Y2466" s="2028"/>
      <c r="Z2466" s="2028"/>
      <c r="AA2466" s="2028"/>
      <c r="AB2466" s="2028"/>
      <c r="AC2466" s="2028"/>
      <c r="AD2466" s="2036"/>
      <c r="AE2466" s="1041" t="s">
        <v>1837</v>
      </c>
      <c r="AF2466" s="1042" t="s">
        <v>1838</v>
      </c>
    </row>
    <row r="2467" spans="1:32" ht="15.75" x14ac:dyDescent="0.25">
      <c r="A2467" s="2037" t="s">
        <v>1860</v>
      </c>
      <c r="B2467" s="2038"/>
      <c r="C2467" s="2038"/>
      <c r="D2467" s="2038"/>
      <c r="E2467" s="2038"/>
      <c r="F2467" s="2038"/>
      <c r="G2467" s="2038"/>
      <c r="H2467" s="2038"/>
      <c r="I2467" s="2038"/>
      <c r="J2467" s="2038"/>
      <c r="K2467" s="2038"/>
      <c r="L2467" s="2038"/>
      <c r="M2467" s="2038"/>
      <c r="N2467" s="2038"/>
      <c r="O2467" s="2038"/>
      <c r="P2467" s="2038"/>
      <c r="Q2467" s="2038"/>
      <c r="R2467" s="2038"/>
      <c r="S2467" s="2038"/>
      <c r="T2467" s="2038"/>
      <c r="U2467" s="2038"/>
      <c r="V2467" s="2038"/>
      <c r="W2467" s="2038"/>
      <c r="X2467" s="2038"/>
      <c r="Y2467" s="2038"/>
      <c r="Z2467" s="2038"/>
      <c r="AA2467" s="2038"/>
      <c r="AB2467" s="2038"/>
      <c r="AC2467" s="2038"/>
      <c r="AD2467" s="2038"/>
      <c r="AE2467" s="2039" t="s">
        <v>1839</v>
      </c>
      <c r="AF2467" s="2040"/>
    </row>
    <row r="2468" spans="1:32" ht="15.75" x14ac:dyDescent="0.25">
      <c r="A2468" s="2041" t="s">
        <v>1840</v>
      </c>
      <c r="B2468" s="2042"/>
      <c r="C2468" s="2042"/>
      <c r="D2468" s="2042"/>
      <c r="E2468" s="2042"/>
      <c r="F2468" s="2042"/>
      <c r="G2468" s="2042"/>
      <c r="H2468" s="2042"/>
      <c r="I2468" s="2042"/>
      <c r="J2468" s="2042"/>
      <c r="K2468" s="2042"/>
      <c r="L2468" s="2042"/>
      <c r="M2468" s="2042"/>
      <c r="N2468" s="2042"/>
      <c r="O2468" s="2042"/>
      <c r="P2468" s="2042"/>
      <c r="Q2468" s="2042"/>
      <c r="R2468" s="2042"/>
      <c r="S2468" s="2042"/>
      <c r="T2468" s="2042"/>
      <c r="U2468" s="2042"/>
      <c r="V2468" s="2042"/>
      <c r="W2468" s="2042"/>
      <c r="X2468" s="2042"/>
      <c r="Y2468" s="2042"/>
      <c r="Z2468" s="2042"/>
      <c r="AA2468" s="2042"/>
      <c r="AB2468" s="2042"/>
      <c r="AC2468" s="2042"/>
      <c r="AD2468" s="2043"/>
      <c r="AE2468" s="2014" t="s">
        <v>1841</v>
      </c>
      <c r="AF2468" s="2044"/>
    </row>
    <row r="2469" spans="1:32" ht="15.75" x14ac:dyDescent="0.25">
      <c r="A2469" s="2045" t="s">
        <v>1853</v>
      </c>
      <c r="B2469" s="2046"/>
      <c r="C2469" s="2046"/>
      <c r="D2469" s="2046"/>
      <c r="E2469" s="2046"/>
      <c r="F2469" s="2046"/>
      <c r="G2469" s="2046"/>
      <c r="H2469" s="2046"/>
      <c r="I2469" s="2046"/>
      <c r="J2469" s="2046"/>
      <c r="K2469" s="2046"/>
      <c r="L2469" s="2046"/>
      <c r="M2469" s="2046"/>
      <c r="N2469" s="2046"/>
      <c r="O2469" s="2046"/>
      <c r="P2469" s="2046"/>
      <c r="Q2469" s="2046"/>
      <c r="R2469" s="2046"/>
      <c r="S2469" s="2046"/>
      <c r="T2469" s="2046"/>
      <c r="U2469" s="2046"/>
      <c r="V2469" s="2046"/>
      <c r="W2469" s="2046"/>
      <c r="X2469" s="2046"/>
      <c r="Y2469" s="2046"/>
      <c r="Z2469" s="2046"/>
      <c r="AA2469" s="2046"/>
      <c r="AB2469" s="2046"/>
      <c r="AC2469" s="2046"/>
      <c r="AD2469" s="2046"/>
      <c r="AE2469" s="2047">
        <f>'01'!$M$13</f>
        <v>0</v>
      </c>
      <c r="AF2469" s="2044"/>
    </row>
    <row r="2470" spans="1:32" x14ac:dyDescent="0.2">
      <c r="A2470" s="1046"/>
      <c r="B2470" s="1047"/>
      <c r="C2470" s="1047"/>
      <c r="D2470" s="1047"/>
      <c r="E2470" s="1047"/>
      <c r="F2470" s="1047"/>
      <c r="G2470" s="1047"/>
      <c r="H2470" s="1047"/>
      <c r="I2470" s="1047"/>
      <c r="J2470" s="1047"/>
      <c r="K2470" s="1047"/>
      <c r="L2470" s="1047"/>
      <c r="M2470" s="1047"/>
      <c r="N2470" s="1047"/>
      <c r="O2470" s="1047"/>
      <c r="P2470" s="1047"/>
      <c r="Q2470" s="1047"/>
      <c r="R2470" s="1047"/>
      <c r="S2470" s="1047"/>
      <c r="T2470" s="1047"/>
      <c r="U2470" s="1047"/>
      <c r="V2470" s="1047"/>
      <c r="W2470" s="1047"/>
      <c r="X2470" s="1047"/>
      <c r="Y2470" s="1047"/>
      <c r="Z2470" s="1047"/>
      <c r="AA2470" s="1047"/>
      <c r="AB2470" s="1047"/>
      <c r="AC2470" s="1047"/>
      <c r="AD2470" s="1047"/>
      <c r="AE2470" s="1047"/>
      <c r="AF2470" s="1048"/>
    </row>
    <row r="2471" spans="1:32" ht="30" customHeight="1" x14ac:dyDescent="0.2">
      <c r="A2471" s="2048" t="s">
        <v>1842</v>
      </c>
      <c r="B2471" s="2049"/>
      <c r="C2471" s="2049"/>
      <c r="D2471" s="2049"/>
      <c r="E2471" s="2049"/>
      <c r="F2471" s="2050" t="str">
        <f>+'01'!$H$105</f>
        <v>D - CANAL DE DESINFECCIÓN</v>
      </c>
      <c r="G2471" s="2049"/>
      <c r="H2471" s="2049"/>
      <c r="I2471" s="2049"/>
      <c r="J2471" s="2049"/>
      <c r="K2471" s="2049"/>
      <c r="L2471" s="2049"/>
      <c r="M2471" s="2049"/>
      <c r="N2471" s="2049"/>
      <c r="O2471" s="2049"/>
      <c r="P2471" s="2049"/>
      <c r="Q2471" s="2049"/>
      <c r="R2471" s="2049"/>
      <c r="S2471" s="2049"/>
      <c r="T2471" s="2049"/>
      <c r="U2471" s="2049"/>
      <c r="V2471" s="2049"/>
      <c r="W2471" s="2049"/>
      <c r="X2471" s="2049"/>
      <c r="Y2471" s="2051"/>
      <c r="Z2471" s="2052" t="s">
        <v>1843</v>
      </c>
      <c r="AA2471" s="2053"/>
      <c r="AB2471" s="2058" t="s">
        <v>1844</v>
      </c>
      <c r="AC2471" s="2059"/>
      <c r="AD2471" s="2060"/>
      <c r="AE2471" s="2064" t="s">
        <v>1845</v>
      </c>
      <c r="AF2471" s="2067" t="s">
        <v>1846</v>
      </c>
    </row>
    <row r="2472" spans="1:32" ht="15" customHeight="1" x14ac:dyDescent="0.2">
      <c r="A2472" s="2070" t="str">
        <f>+'01'!A110</f>
        <v>D-02-01</v>
      </c>
      <c r="B2472" s="2071"/>
      <c r="C2472" s="2072"/>
      <c r="D2472" s="2076" t="str">
        <f>VLOOKUP(A2472,'01'!$A$12:$N$299,3,FALSE)</f>
        <v>EXCAVACIÓN MANUAL EN TIERRA</v>
      </c>
      <c r="E2472" s="2077"/>
      <c r="F2472" s="2077"/>
      <c r="G2472" s="2077"/>
      <c r="H2472" s="2077"/>
      <c r="I2472" s="2077"/>
      <c r="J2472" s="2077"/>
      <c r="K2472" s="2077"/>
      <c r="L2472" s="2077"/>
      <c r="M2472" s="2077"/>
      <c r="N2472" s="2077"/>
      <c r="O2472" s="2077"/>
      <c r="P2472" s="2077"/>
      <c r="Q2472" s="2077"/>
      <c r="R2472" s="2077"/>
      <c r="S2472" s="2078"/>
      <c r="T2472" s="2082" t="s">
        <v>124</v>
      </c>
      <c r="U2472" s="2083"/>
      <c r="V2472" s="2083"/>
      <c r="W2472" s="2083"/>
      <c r="X2472" s="2052" t="str">
        <f>VLOOKUP(A2472,'01'!$A$12:$N$299,9,FALSE)</f>
        <v>M3</v>
      </c>
      <c r="Y2472" s="2053"/>
      <c r="Z2472" s="2054"/>
      <c r="AA2472" s="2055"/>
      <c r="AB2472" s="2061"/>
      <c r="AC2472" s="2062"/>
      <c r="AD2472" s="2063"/>
      <c r="AE2472" s="2065"/>
      <c r="AF2472" s="2068"/>
    </row>
    <row r="2473" spans="1:32" ht="15" customHeight="1" x14ac:dyDescent="0.25">
      <c r="A2473" s="2073"/>
      <c r="B2473" s="2074"/>
      <c r="C2473" s="2075"/>
      <c r="D2473" s="2079"/>
      <c r="E2473" s="2080"/>
      <c r="F2473" s="2080"/>
      <c r="G2473" s="2080"/>
      <c r="H2473" s="2080"/>
      <c r="I2473" s="2080"/>
      <c r="J2473" s="2080"/>
      <c r="K2473" s="2080"/>
      <c r="L2473" s="2080"/>
      <c r="M2473" s="2080"/>
      <c r="N2473" s="2080"/>
      <c r="O2473" s="2080"/>
      <c r="P2473" s="2080"/>
      <c r="Q2473" s="2080"/>
      <c r="R2473" s="2080"/>
      <c r="S2473" s="2081"/>
      <c r="T2473" s="2084"/>
      <c r="U2473" s="2085"/>
      <c r="V2473" s="2085"/>
      <c r="W2473" s="2085"/>
      <c r="X2473" s="2056"/>
      <c r="Y2473" s="2057"/>
      <c r="Z2473" s="2056"/>
      <c r="AA2473" s="2057"/>
      <c r="AB2473" s="1049" t="s">
        <v>1847</v>
      </c>
      <c r="AC2473" s="1049" t="s">
        <v>1848</v>
      </c>
      <c r="AD2473" s="1049" t="s">
        <v>1861</v>
      </c>
      <c r="AE2473" s="2066"/>
      <c r="AF2473" s="2069"/>
    </row>
    <row r="2474" spans="1:32" ht="15.6" customHeight="1" x14ac:dyDescent="0.25">
      <c r="A2474" s="2017"/>
      <c r="B2474" s="2018"/>
      <c r="C2474" s="2018"/>
      <c r="D2474" s="2018"/>
      <c r="E2474" s="2018"/>
      <c r="F2474" s="2018"/>
      <c r="G2474" s="2018"/>
      <c r="H2474" s="2018"/>
      <c r="I2474" s="2018"/>
      <c r="J2474" s="2018"/>
      <c r="K2474" s="2018"/>
      <c r="L2474" s="2018"/>
      <c r="M2474" s="2018"/>
      <c r="N2474" s="2018"/>
      <c r="O2474" s="2018"/>
      <c r="P2474" s="2018"/>
      <c r="Q2474" s="2018"/>
      <c r="R2474" s="2018"/>
      <c r="S2474" s="2018"/>
      <c r="T2474" s="2018"/>
      <c r="U2474" s="2018"/>
      <c r="V2474" s="2018"/>
      <c r="W2474" s="2018"/>
      <c r="X2474" s="2018"/>
      <c r="Y2474" s="2018"/>
      <c r="Z2474" s="2096" t="s">
        <v>2451</v>
      </c>
      <c r="AA2474" s="2097"/>
      <c r="AB2474" s="1050">
        <f>+AB2433</f>
        <v>6.8</v>
      </c>
      <c r="AC2474" s="1050">
        <f>+AC2433</f>
        <v>6.45</v>
      </c>
      <c r="AD2474" s="1050">
        <v>2</v>
      </c>
      <c r="AE2474" s="1050">
        <v>1</v>
      </c>
      <c r="AF2474" s="1052">
        <f>+ROUND(AB2474*AC2474*AD2474*AE2474,2)</f>
        <v>87.72</v>
      </c>
    </row>
    <row r="2475" spans="1:32" ht="15.6" customHeight="1" x14ac:dyDescent="0.25">
      <c r="A2475" s="2017"/>
      <c r="B2475" s="2018"/>
      <c r="C2475" s="2018"/>
      <c r="D2475" s="2018"/>
      <c r="E2475" s="2018"/>
      <c r="F2475" s="2018"/>
      <c r="G2475" s="2018"/>
      <c r="H2475" s="2018"/>
      <c r="I2475" s="2018"/>
      <c r="J2475" s="2018"/>
      <c r="K2475" s="2018"/>
      <c r="L2475" s="2018"/>
      <c r="M2475" s="2018"/>
      <c r="N2475" s="2018"/>
      <c r="O2475" s="2018"/>
      <c r="P2475" s="2018"/>
      <c r="Q2475" s="2018"/>
      <c r="R2475" s="2018"/>
      <c r="S2475" s="2018"/>
      <c r="T2475" s="2018"/>
      <c r="U2475" s="2018"/>
      <c r="V2475" s="2018"/>
      <c r="W2475" s="2018"/>
      <c r="X2475" s="2018"/>
      <c r="Y2475" s="2018"/>
      <c r="Z2475" s="2096" t="s">
        <v>2452</v>
      </c>
      <c r="AA2475" s="2097"/>
      <c r="AB2475" s="1050">
        <f>+AB2434</f>
        <v>1.6</v>
      </c>
      <c r="AC2475" s="1050">
        <f>+AC2434</f>
        <v>1.6</v>
      </c>
      <c r="AD2475" s="1050">
        <v>1</v>
      </c>
      <c r="AE2475" s="1050">
        <v>1</v>
      </c>
      <c r="AF2475" s="1052">
        <f>+ROUND(AB2475*AC2475*AD2475*AE2475,2)</f>
        <v>2.56</v>
      </c>
    </row>
    <row r="2476" spans="1:32" ht="15.75" x14ac:dyDescent="0.25">
      <c r="A2476" s="2017"/>
      <c r="B2476" s="2018"/>
      <c r="C2476" s="2018"/>
      <c r="D2476" s="2018"/>
      <c r="E2476" s="2018"/>
      <c r="F2476" s="2018"/>
      <c r="G2476" s="2018"/>
      <c r="H2476" s="2018"/>
      <c r="I2476" s="2018"/>
      <c r="J2476" s="2018"/>
      <c r="K2476" s="2018"/>
      <c r="L2476" s="2018"/>
      <c r="M2476" s="2018"/>
      <c r="N2476" s="2018"/>
      <c r="O2476" s="2018"/>
      <c r="P2476" s="2018"/>
      <c r="Q2476" s="2018"/>
      <c r="R2476" s="2018"/>
      <c r="S2476" s="2018"/>
      <c r="T2476" s="2018"/>
      <c r="U2476" s="2018"/>
      <c r="V2476" s="2018"/>
      <c r="W2476" s="2018"/>
      <c r="X2476" s="2018"/>
      <c r="Y2476" s="2018"/>
      <c r="Z2476" s="2096" t="s">
        <v>2454</v>
      </c>
      <c r="AA2476" s="2097"/>
      <c r="AB2476" s="1050">
        <v>5</v>
      </c>
      <c r="AC2476" s="1050">
        <v>1</v>
      </c>
      <c r="AD2476" s="1050">
        <v>0.5</v>
      </c>
      <c r="AE2476" s="1050">
        <v>1</v>
      </c>
      <c r="AF2476" s="1052">
        <f>+ROUND(AB2476*AC2476*AD2476*AE2476,2)</f>
        <v>2.5</v>
      </c>
    </row>
    <row r="2477" spans="1:32" ht="15.75" x14ac:dyDescent="0.25">
      <c r="A2477" s="2017"/>
      <c r="B2477" s="2018"/>
      <c r="C2477" s="2018"/>
      <c r="D2477" s="2018"/>
      <c r="E2477" s="2018"/>
      <c r="F2477" s="2018"/>
      <c r="G2477" s="2018"/>
      <c r="H2477" s="2018"/>
      <c r="I2477" s="2018"/>
      <c r="J2477" s="2018"/>
      <c r="K2477" s="2018"/>
      <c r="L2477" s="2018"/>
      <c r="M2477" s="2018"/>
      <c r="N2477" s="2018"/>
      <c r="O2477" s="2018"/>
      <c r="P2477" s="2018"/>
      <c r="Q2477" s="2018"/>
      <c r="R2477" s="2018"/>
      <c r="S2477" s="2018"/>
      <c r="T2477" s="2018"/>
      <c r="U2477" s="2018"/>
      <c r="V2477" s="2018"/>
      <c r="W2477" s="2018"/>
      <c r="X2477" s="2018"/>
      <c r="Y2477" s="2018"/>
      <c r="Z2477" s="2096"/>
      <c r="AA2477" s="2097"/>
      <c r="AB2477" s="1050"/>
      <c r="AC2477" s="1050"/>
      <c r="AD2477" s="1050"/>
      <c r="AE2477" s="1050"/>
      <c r="AF2477" s="1052"/>
    </row>
    <row r="2478" spans="1:32" ht="15.75" x14ac:dyDescent="0.25">
      <c r="A2478" s="2017"/>
      <c r="B2478" s="2018"/>
      <c r="C2478" s="2018"/>
      <c r="D2478" s="2018"/>
      <c r="E2478" s="2018"/>
      <c r="F2478" s="2018"/>
      <c r="G2478" s="2018"/>
      <c r="H2478" s="2018"/>
      <c r="I2478" s="2018"/>
      <c r="J2478" s="2018"/>
      <c r="K2478" s="2018"/>
      <c r="L2478" s="2018"/>
      <c r="M2478" s="2018"/>
      <c r="N2478" s="2018"/>
      <c r="O2478" s="2018"/>
      <c r="P2478" s="2018"/>
      <c r="Q2478" s="2018"/>
      <c r="R2478" s="2018"/>
      <c r="S2478" s="2018"/>
      <c r="T2478" s="2018"/>
      <c r="U2478" s="2018"/>
      <c r="V2478" s="2018"/>
      <c r="W2478" s="2018"/>
      <c r="X2478" s="2018"/>
      <c r="Y2478" s="2018"/>
      <c r="Z2478" s="2096"/>
      <c r="AA2478" s="2097"/>
      <c r="AB2478" s="1050"/>
      <c r="AC2478" s="1050"/>
      <c r="AD2478" s="1050"/>
      <c r="AE2478" s="1050"/>
      <c r="AF2478" s="1052"/>
    </row>
    <row r="2479" spans="1:32" ht="15.75" x14ac:dyDescent="0.25">
      <c r="A2479" s="2017"/>
      <c r="B2479" s="2018"/>
      <c r="C2479" s="2018"/>
      <c r="D2479" s="2018"/>
      <c r="E2479" s="2018"/>
      <c r="F2479" s="2018"/>
      <c r="G2479" s="2018"/>
      <c r="H2479" s="2018"/>
      <c r="I2479" s="2018"/>
      <c r="J2479" s="2018"/>
      <c r="K2479" s="2018"/>
      <c r="L2479" s="2018"/>
      <c r="M2479" s="2018"/>
      <c r="N2479" s="2018"/>
      <c r="O2479" s="2018"/>
      <c r="P2479" s="2018"/>
      <c r="Q2479" s="2018"/>
      <c r="R2479" s="2018"/>
      <c r="S2479" s="2018"/>
      <c r="T2479" s="2018"/>
      <c r="U2479" s="2018"/>
      <c r="V2479" s="2018"/>
      <c r="W2479" s="2018"/>
      <c r="X2479" s="2018"/>
      <c r="Y2479" s="2018"/>
      <c r="Z2479" s="2096"/>
      <c r="AA2479" s="2097"/>
      <c r="AB2479" s="1050"/>
      <c r="AC2479" s="1050"/>
      <c r="AD2479" s="1050"/>
      <c r="AE2479" s="1050"/>
      <c r="AF2479" s="1052"/>
    </row>
    <row r="2480" spans="1:32" ht="15.75" x14ac:dyDescent="0.25">
      <c r="A2480" s="2017"/>
      <c r="B2480" s="2018"/>
      <c r="C2480" s="2018"/>
      <c r="D2480" s="2018"/>
      <c r="E2480" s="2018"/>
      <c r="F2480" s="2018"/>
      <c r="G2480" s="2018"/>
      <c r="H2480" s="2018"/>
      <c r="I2480" s="2018"/>
      <c r="J2480" s="2018"/>
      <c r="K2480" s="2018"/>
      <c r="L2480" s="2018"/>
      <c r="M2480" s="2018"/>
      <c r="N2480" s="2018"/>
      <c r="O2480" s="2018"/>
      <c r="P2480" s="2018"/>
      <c r="Q2480" s="2018"/>
      <c r="R2480" s="2018"/>
      <c r="S2480" s="2018"/>
      <c r="T2480" s="2018"/>
      <c r="U2480" s="2018"/>
      <c r="V2480" s="2018"/>
      <c r="W2480" s="2018"/>
      <c r="X2480" s="2018"/>
      <c r="Y2480" s="2018"/>
      <c r="Z2480" s="2105"/>
      <c r="AA2480" s="2105"/>
      <c r="AB2480" s="1050"/>
      <c r="AC2480" s="1050"/>
      <c r="AD2480" s="1050"/>
      <c r="AE2480" s="1050"/>
      <c r="AF2480" s="1052"/>
    </row>
    <row r="2481" spans="1:32" ht="15.75" x14ac:dyDescent="0.25">
      <c r="A2481" s="2017"/>
      <c r="B2481" s="2018"/>
      <c r="C2481" s="2018"/>
      <c r="D2481" s="2018"/>
      <c r="E2481" s="2018"/>
      <c r="F2481" s="2018"/>
      <c r="G2481" s="2018"/>
      <c r="H2481" s="2018"/>
      <c r="I2481" s="2018"/>
      <c r="J2481" s="2018"/>
      <c r="K2481" s="2018"/>
      <c r="L2481" s="2018"/>
      <c r="M2481" s="2018"/>
      <c r="N2481" s="2018"/>
      <c r="O2481" s="2018"/>
      <c r="P2481" s="2018"/>
      <c r="Q2481" s="2018"/>
      <c r="R2481" s="2018"/>
      <c r="S2481" s="2018"/>
      <c r="T2481" s="2018"/>
      <c r="U2481" s="2018"/>
      <c r="V2481" s="2018"/>
      <c r="W2481" s="2018"/>
      <c r="X2481" s="2018"/>
      <c r="Y2481" s="2018"/>
      <c r="Z2481" s="2105"/>
      <c r="AA2481" s="2105"/>
      <c r="AB2481" s="1050"/>
      <c r="AC2481" s="1050"/>
      <c r="AD2481" s="1050"/>
      <c r="AE2481" s="1050"/>
      <c r="AF2481" s="1052"/>
    </row>
    <row r="2482" spans="1:32" ht="15.75" x14ac:dyDescent="0.25">
      <c r="A2482" s="2017"/>
      <c r="B2482" s="2018"/>
      <c r="C2482" s="2018"/>
      <c r="D2482" s="2018"/>
      <c r="E2482" s="2018"/>
      <c r="F2482" s="2018"/>
      <c r="G2482" s="2018"/>
      <c r="H2482" s="2018"/>
      <c r="I2482" s="2018"/>
      <c r="J2482" s="2018"/>
      <c r="K2482" s="2018"/>
      <c r="L2482" s="2018"/>
      <c r="M2482" s="2018"/>
      <c r="N2482" s="2018"/>
      <c r="O2482" s="2018"/>
      <c r="P2482" s="2018"/>
      <c r="Q2482" s="2018"/>
      <c r="R2482" s="2018"/>
      <c r="S2482" s="2018"/>
      <c r="T2482" s="2018"/>
      <c r="U2482" s="2018"/>
      <c r="V2482" s="2018"/>
      <c r="W2482" s="2018"/>
      <c r="X2482" s="2018"/>
      <c r="Y2482" s="2018"/>
      <c r="Z2482" s="2105"/>
      <c r="AA2482" s="2105"/>
      <c r="AB2482" s="1050"/>
      <c r="AC2482" s="1050"/>
      <c r="AD2482" s="1050"/>
      <c r="AE2482" s="1050"/>
      <c r="AF2482" s="1052"/>
    </row>
    <row r="2483" spans="1:32" ht="15.75" x14ac:dyDescent="0.25">
      <c r="A2483" s="2017"/>
      <c r="B2483" s="2018"/>
      <c r="C2483" s="2018"/>
      <c r="D2483" s="2018"/>
      <c r="E2483" s="2018"/>
      <c r="F2483" s="2018"/>
      <c r="G2483" s="2018"/>
      <c r="H2483" s="2018"/>
      <c r="I2483" s="2018"/>
      <c r="J2483" s="2018"/>
      <c r="K2483" s="2018"/>
      <c r="L2483" s="2018"/>
      <c r="M2483" s="2018"/>
      <c r="N2483" s="2018"/>
      <c r="O2483" s="2018"/>
      <c r="P2483" s="2018"/>
      <c r="Q2483" s="2018"/>
      <c r="R2483" s="2018"/>
      <c r="S2483" s="2018"/>
      <c r="T2483" s="2018"/>
      <c r="U2483" s="2018"/>
      <c r="V2483" s="2018"/>
      <c r="W2483" s="2018"/>
      <c r="X2483" s="2018"/>
      <c r="Y2483" s="2018"/>
      <c r="Z2483" s="2105"/>
      <c r="AA2483" s="2105"/>
      <c r="AB2483" s="1050"/>
      <c r="AC2483" s="1050"/>
      <c r="AD2483" s="1050"/>
      <c r="AE2483" s="1050"/>
      <c r="AF2483" s="1052"/>
    </row>
    <row r="2484" spans="1:32" ht="15.75" x14ac:dyDescent="0.25">
      <c r="A2484" s="2017"/>
      <c r="B2484" s="2018"/>
      <c r="C2484" s="2018"/>
      <c r="D2484" s="2018"/>
      <c r="E2484" s="2018"/>
      <c r="F2484" s="2018"/>
      <c r="G2484" s="2018"/>
      <c r="H2484" s="2018"/>
      <c r="I2484" s="2018"/>
      <c r="J2484" s="2018"/>
      <c r="K2484" s="2018"/>
      <c r="L2484" s="2018"/>
      <c r="M2484" s="2018"/>
      <c r="N2484" s="2018"/>
      <c r="O2484" s="2018"/>
      <c r="P2484" s="2018"/>
      <c r="Q2484" s="2018"/>
      <c r="R2484" s="2018"/>
      <c r="S2484" s="2018"/>
      <c r="T2484" s="2018"/>
      <c r="U2484" s="2018"/>
      <c r="V2484" s="2018"/>
      <c r="W2484" s="2018"/>
      <c r="X2484" s="2018"/>
      <c r="Y2484" s="2018"/>
      <c r="Z2484" s="2105"/>
      <c r="AA2484" s="2105"/>
      <c r="AB2484" s="1050"/>
      <c r="AC2484" s="1050"/>
      <c r="AD2484" s="1050"/>
      <c r="AE2484" s="1050"/>
      <c r="AF2484" s="1052"/>
    </row>
    <row r="2485" spans="1:32" ht="15.75" x14ac:dyDescent="0.25">
      <c r="A2485" s="2017"/>
      <c r="B2485" s="2018"/>
      <c r="C2485" s="2018"/>
      <c r="D2485" s="2018"/>
      <c r="E2485" s="2018"/>
      <c r="F2485" s="2018"/>
      <c r="G2485" s="2018"/>
      <c r="H2485" s="2018"/>
      <c r="I2485" s="2018"/>
      <c r="J2485" s="2018"/>
      <c r="K2485" s="2018"/>
      <c r="L2485" s="2018"/>
      <c r="M2485" s="2018"/>
      <c r="N2485" s="2018"/>
      <c r="O2485" s="2018"/>
      <c r="P2485" s="2018"/>
      <c r="Q2485" s="2018"/>
      <c r="R2485" s="2018"/>
      <c r="S2485" s="2018"/>
      <c r="T2485" s="2018"/>
      <c r="U2485" s="2018"/>
      <c r="V2485" s="2018"/>
      <c r="W2485" s="2018"/>
      <c r="X2485" s="2018"/>
      <c r="Y2485" s="2018"/>
      <c r="Z2485" s="2105"/>
      <c r="AA2485" s="2105"/>
      <c r="AB2485" s="1050"/>
      <c r="AC2485" s="1050"/>
      <c r="AD2485" s="1050"/>
      <c r="AE2485" s="1050"/>
      <c r="AF2485" s="1052"/>
    </row>
    <row r="2486" spans="1:32" ht="15.75" x14ac:dyDescent="0.25">
      <c r="A2486" s="2017"/>
      <c r="B2486" s="2018"/>
      <c r="C2486" s="2018"/>
      <c r="D2486" s="2018"/>
      <c r="E2486" s="2018"/>
      <c r="F2486" s="2018"/>
      <c r="G2486" s="2018"/>
      <c r="H2486" s="2018"/>
      <c r="I2486" s="2018"/>
      <c r="J2486" s="2018"/>
      <c r="K2486" s="2018"/>
      <c r="L2486" s="2018"/>
      <c r="M2486" s="2018"/>
      <c r="N2486" s="2018"/>
      <c r="O2486" s="2018"/>
      <c r="P2486" s="2018"/>
      <c r="Q2486" s="2018"/>
      <c r="R2486" s="2018"/>
      <c r="S2486" s="2018"/>
      <c r="T2486" s="2018"/>
      <c r="U2486" s="2018"/>
      <c r="V2486" s="2018"/>
      <c r="W2486" s="2018"/>
      <c r="X2486" s="2018"/>
      <c r="Y2486" s="2018"/>
      <c r="Z2486" s="2105"/>
      <c r="AA2486" s="2105"/>
      <c r="AB2486" s="1050"/>
      <c r="AC2486" s="1050"/>
      <c r="AD2486" s="1050"/>
      <c r="AE2486" s="1050"/>
      <c r="AF2486" s="1052"/>
    </row>
    <row r="2487" spans="1:32" ht="15.75" x14ac:dyDescent="0.25">
      <c r="A2487" s="2017"/>
      <c r="B2487" s="2018"/>
      <c r="C2487" s="2018"/>
      <c r="D2487" s="2018"/>
      <c r="E2487" s="2018"/>
      <c r="F2487" s="2018"/>
      <c r="G2487" s="2018"/>
      <c r="H2487" s="2018"/>
      <c r="I2487" s="2018"/>
      <c r="J2487" s="2018"/>
      <c r="K2487" s="2018"/>
      <c r="L2487" s="2018"/>
      <c r="M2487" s="2018"/>
      <c r="N2487" s="2018"/>
      <c r="O2487" s="2018"/>
      <c r="P2487" s="2018"/>
      <c r="Q2487" s="2018"/>
      <c r="R2487" s="2018"/>
      <c r="S2487" s="2018"/>
      <c r="T2487" s="2018"/>
      <c r="U2487" s="2018"/>
      <c r="V2487" s="2018"/>
      <c r="W2487" s="2018"/>
      <c r="X2487" s="2018"/>
      <c r="Y2487" s="2018"/>
      <c r="Z2487" s="2022"/>
      <c r="AA2487" s="2022"/>
      <c r="AB2487" s="1050"/>
      <c r="AC2487" s="1050"/>
      <c r="AD2487" s="1050"/>
      <c r="AE2487" s="1050"/>
      <c r="AF2487" s="1052"/>
    </row>
    <row r="2488" spans="1:32" ht="15.75" x14ac:dyDescent="0.25">
      <c r="A2488" s="2017"/>
      <c r="B2488" s="2018"/>
      <c r="C2488" s="2018"/>
      <c r="D2488" s="2018"/>
      <c r="E2488" s="2018"/>
      <c r="F2488" s="2018"/>
      <c r="G2488" s="2018"/>
      <c r="H2488" s="2018"/>
      <c r="I2488" s="2018"/>
      <c r="J2488" s="2018"/>
      <c r="K2488" s="2018"/>
      <c r="L2488" s="2018"/>
      <c r="M2488" s="2018"/>
      <c r="N2488" s="2018"/>
      <c r="O2488" s="2018"/>
      <c r="P2488" s="2018"/>
      <c r="Q2488" s="2018"/>
      <c r="R2488" s="2018"/>
      <c r="S2488" s="2018"/>
      <c r="T2488" s="2018"/>
      <c r="U2488" s="2018"/>
      <c r="V2488" s="2018"/>
      <c r="W2488" s="2018"/>
      <c r="X2488" s="2018"/>
      <c r="Y2488" s="2018"/>
      <c r="Z2488" s="2022"/>
      <c r="AA2488" s="2022"/>
      <c r="AB2488" s="1050"/>
      <c r="AC2488" s="1050"/>
      <c r="AD2488" s="1050"/>
      <c r="AE2488" s="1050"/>
      <c r="AF2488" s="1052"/>
    </row>
    <row r="2489" spans="1:32" ht="15.75" x14ac:dyDescent="0.25">
      <c r="A2489" s="2017"/>
      <c r="B2489" s="2018"/>
      <c r="C2489" s="2018"/>
      <c r="D2489" s="2018"/>
      <c r="E2489" s="2018"/>
      <c r="F2489" s="2018"/>
      <c r="G2489" s="2018"/>
      <c r="H2489" s="2018"/>
      <c r="I2489" s="2018"/>
      <c r="J2489" s="2018"/>
      <c r="K2489" s="2018"/>
      <c r="L2489" s="2018"/>
      <c r="M2489" s="2018"/>
      <c r="N2489" s="2018"/>
      <c r="O2489" s="2018"/>
      <c r="P2489" s="2018"/>
      <c r="Q2489" s="2018"/>
      <c r="R2489" s="2018"/>
      <c r="S2489" s="2018"/>
      <c r="T2489" s="2018"/>
      <c r="U2489" s="2018"/>
      <c r="V2489" s="2018"/>
      <c r="W2489" s="2018"/>
      <c r="X2489" s="2018"/>
      <c r="Y2489" s="2018"/>
      <c r="Z2489" s="2022"/>
      <c r="AA2489" s="2022"/>
      <c r="AB2489" s="1050"/>
      <c r="AC2489" s="1050"/>
      <c r="AD2489" s="1050"/>
      <c r="AE2489" s="1050"/>
      <c r="AF2489" s="1052"/>
    </row>
    <row r="2490" spans="1:32" ht="15.75" x14ac:dyDescent="0.25">
      <c r="A2490" s="2017"/>
      <c r="B2490" s="2018"/>
      <c r="C2490" s="2018"/>
      <c r="D2490" s="2018"/>
      <c r="E2490" s="2018"/>
      <c r="F2490" s="2018"/>
      <c r="G2490" s="2018"/>
      <c r="H2490" s="2018"/>
      <c r="I2490" s="2018"/>
      <c r="J2490" s="2018"/>
      <c r="K2490" s="2018"/>
      <c r="L2490" s="2018"/>
      <c r="M2490" s="2018"/>
      <c r="N2490" s="2018"/>
      <c r="O2490" s="2018"/>
      <c r="P2490" s="2018"/>
      <c r="Q2490" s="2018"/>
      <c r="R2490" s="2018"/>
      <c r="S2490" s="2018"/>
      <c r="T2490" s="2018"/>
      <c r="U2490" s="2018"/>
      <c r="V2490" s="2018"/>
      <c r="W2490" s="2018"/>
      <c r="X2490" s="2018"/>
      <c r="Y2490" s="2018"/>
      <c r="Z2490" s="2022"/>
      <c r="AA2490" s="2022"/>
      <c r="AB2490" s="1050"/>
      <c r="AC2490" s="1050"/>
      <c r="AD2490" s="1050"/>
      <c r="AE2490" s="1050"/>
      <c r="AF2490" s="1052"/>
    </row>
    <row r="2491" spans="1:32" ht="15.75" x14ac:dyDescent="0.25">
      <c r="A2491" s="2017"/>
      <c r="B2491" s="2018"/>
      <c r="C2491" s="2018"/>
      <c r="D2491" s="2018"/>
      <c r="E2491" s="2018"/>
      <c r="F2491" s="2018"/>
      <c r="G2491" s="2018"/>
      <c r="H2491" s="2018"/>
      <c r="I2491" s="2018"/>
      <c r="J2491" s="2018"/>
      <c r="K2491" s="2018"/>
      <c r="L2491" s="2018"/>
      <c r="M2491" s="2018"/>
      <c r="N2491" s="2018"/>
      <c r="O2491" s="2018"/>
      <c r="P2491" s="2018"/>
      <c r="Q2491" s="2018"/>
      <c r="R2491" s="2018"/>
      <c r="S2491" s="2018"/>
      <c r="T2491" s="2018"/>
      <c r="U2491" s="2018"/>
      <c r="V2491" s="2018"/>
      <c r="W2491" s="2018"/>
      <c r="X2491" s="2018"/>
      <c r="Y2491" s="2018"/>
      <c r="Z2491" s="2023"/>
      <c r="AA2491" s="2023"/>
      <c r="AB2491" s="1050"/>
      <c r="AC2491" s="1050"/>
      <c r="AD2491" s="1050"/>
      <c r="AE2491" s="1050"/>
      <c r="AF2491" s="1052"/>
    </row>
    <row r="2492" spans="1:32" ht="15.75" x14ac:dyDescent="0.25">
      <c r="A2492" s="2017"/>
      <c r="B2492" s="2018"/>
      <c r="C2492" s="2018"/>
      <c r="D2492" s="2018"/>
      <c r="E2492" s="2018"/>
      <c r="F2492" s="2018"/>
      <c r="G2492" s="2018"/>
      <c r="H2492" s="2018"/>
      <c r="I2492" s="2018"/>
      <c r="J2492" s="2018"/>
      <c r="K2492" s="2018"/>
      <c r="L2492" s="2018"/>
      <c r="M2492" s="2018"/>
      <c r="N2492" s="2018"/>
      <c r="O2492" s="2018"/>
      <c r="P2492" s="2018"/>
      <c r="Q2492" s="2018"/>
      <c r="R2492" s="2018"/>
      <c r="S2492" s="2018"/>
      <c r="T2492" s="2018"/>
      <c r="U2492" s="2018"/>
      <c r="V2492" s="2018"/>
      <c r="W2492" s="2018"/>
      <c r="X2492" s="2018"/>
      <c r="Y2492" s="2018"/>
      <c r="Z2492" s="2023"/>
      <c r="AA2492" s="2023"/>
      <c r="AB2492" s="1050"/>
      <c r="AC2492" s="1050"/>
      <c r="AD2492" s="1050"/>
      <c r="AE2492" s="1050"/>
      <c r="AF2492" s="1052"/>
    </row>
    <row r="2493" spans="1:32" ht="15.75" x14ac:dyDescent="0.25">
      <c r="A2493" s="2017"/>
      <c r="B2493" s="2018"/>
      <c r="C2493" s="2018"/>
      <c r="D2493" s="2018"/>
      <c r="E2493" s="2018"/>
      <c r="F2493" s="2018"/>
      <c r="G2493" s="2018"/>
      <c r="H2493" s="2018"/>
      <c r="I2493" s="2018"/>
      <c r="J2493" s="2018"/>
      <c r="K2493" s="2018"/>
      <c r="L2493" s="2018"/>
      <c r="M2493" s="2018"/>
      <c r="N2493" s="2018"/>
      <c r="O2493" s="2018"/>
      <c r="P2493" s="2018"/>
      <c r="Q2493" s="2018"/>
      <c r="R2493" s="2018"/>
      <c r="S2493" s="2018"/>
      <c r="T2493" s="2018"/>
      <c r="U2493" s="2018"/>
      <c r="V2493" s="2018"/>
      <c r="W2493" s="2018"/>
      <c r="X2493" s="2018"/>
      <c r="Y2493" s="2018"/>
      <c r="Z2493" s="2023"/>
      <c r="AA2493" s="2023"/>
      <c r="AB2493" s="1050"/>
      <c r="AC2493" s="1050"/>
      <c r="AD2493" s="1050"/>
      <c r="AE2493" s="1050"/>
      <c r="AF2493" s="1052"/>
    </row>
    <row r="2494" spans="1:32" ht="15.75" x14ac:dyDescent="0.25">
      <c r="A2494" s="2017"/>
      <c r="B2494" s="2018"/>
      <c r="C2494" s="2018"/>
      <c r="D2494" s="2018"/>
      <c r="E2494" s="2018"/>
      <c r="F2494" s="2018"/>
      <c r="G2494" s="2018"/>
      <c r="H2494" s="2018"/>
      <c r="I2494" s="2018"/>
      <c r="J2494" s="2018"/>
      <c r="K2494" s="2018"/>
      <c r="L2494" s="2018"/>
      <c r="M2494" s="2018"/>
      <c r="N2494" s="2018"/>
      <c r="O2494" s="2018"/>
      <c r="P2494" s="2018"/>
      <c r="Q2494" s="2018"/>
      <c r="R2494" s="2018"/>
      <c r="S2494" s="2018"/>
      <c r="T2494" s="2018"/>
      <c r="U2494" s="2018"/>
      <c r="V2494" s="2018"/>
      <c r="W2494" s="2018"/>
      <c r="X2494" s="2018"/>
      <c r="Y2494" s="2018"/>
      <c r="Z2494" s="2023"/>
      <c r="AA2494" s="2023"/>
      <c r="AB2494" s="1050"/>
      <c r="AC2494" s="1050"/>
      <c r="AD2494" s="1050"/>
      <c r="AE2494" s="1050"/>
      <c r="AF2494" s="1052"/>
    </row>
    <row r="2495" spans="1:32" ht="15.75" x14ac:dyDescent="0.25">
      <c r="A2495" s="2017"/>
      <c r="B2495" s="2018"/>
      <c r="C2495" s="2018"/>
      <c r="D2495" s="2018"/>
      <c r="E2495" s="2018"/>
      <c r="F2495" s="2018"/>
      <c r="G2495" s="2018"/>
      <c r="H2495" s="2018"/>
      <c r="I2495" s="2018"/>
      <c r="J2495" s="2018"/>
      <c r="K2495" s="2018"/>
      <c r="L2495" s="2018"/>
      <c r="M2495" s="2018"/>
      <c r="N2495" s="2018"/>
      <c r="O2495" s="2018"/>
      <c r="P2495" s="2018"/>
      <c r="Q2495" s="2018"/>
      <c r="R2495" s="2018"/>
      <c r="S2495" s="2018"/>
      <c r="T2495" s="2018"/>
      <c r="U2495" s="2018"/>
      <c r="V2495" s="2018"/>
      <c r="W2495" s="2018"/>
      <c r="X2495" s="2018"/>
      <c r="Y2495" s="2018"/>
      <c r="Z2495" s="2023"/>
      <c r="AA2495" s="2023"/>
      <c r="AB2495" s="1050"/>
      <c r="AC2495" s="1050"/>
      <c r="AD2495" s="1050"/>
      <c r="AE2495" s="1050"/>
      <c r="AF2495" s="1052"/>
    </row>
    <row r="2496" spans="1:32" ht="15.75" x14ac:dyDescent="0.25">
      <c r="A2496" s="2017"/>
      <c r="B2496" s="2018"/>
      <c r="C2496" s="2018"/>
      <c r="D2496" s="2018"/>
      <c r="E2496" s="2018"/>
      <c r="F2496" s="2018"/>
      <c r="G2496" s="2018"/>
      <c r="H2496" s="2018"/>
      <c r="I2496" s="2018"/>
      <c r="J2496" s="2018"/>
      <c r="K2496" s="2018"/>
      <c r="L2496" s="2018"/>
      <c r="M2496" s="2018"/>
      <c r="N2496" s="2018"/>
      <c r="O2496" s="2018"/>
      <c r="P2496" s="2018"/>
      <c r="Q2496" s="2018"/>
      <c r="R2496" s="2018"/>
      <c r="S2496" s="2018"/>
      <c r="T2496" s="2018"/>
      <c r="U2496" s="2018"/>
      <c r="V2496" s="2018"/>
      <c r="W2496" s="2018"/>
      <c r="X2496" s="2018"/>
      <c r="Y2496" s="2018"/>
      <c r="Z2496" s="2023"/>
      <c r="AA2496" s="2023"/>
      <c r="AB2496" s="1050"/>
      <c r="AC2496" s="1050"/>
      <c r="AD2496" s="1050"/>
      <c r="AE2496" s="1050"/>
      <c r="AF2496" s="1052"/>
    </row>
    <row r="2497" spans="1:32" ht="16.5" thickBot="1" x14ac:dyDescent="0.3">
      <c r="A2497" s="2019"/>
      <c r="B2497" s="2020"/>
      <c r="C2497" s="2020"/>
      <c r="D2497" s="2020"/>
      <c r="E2497" s="2020"/>
      <c r="F2497" s="2020"/>
      <c r="G2497" s="2020"/>
      <c r="H2497" s="2020"/>
      <c r="I2497" s="2020"/>
      <c r="J2497" s="2020"/>
      <c r="K2497" s="2020"/>
      <c r="L2497" s="2020"/>
      <c r="M2497" s="2020"/>
      <c r="N2497" s="2020"/>
      <c r="O2497" s="2020"/>
      <c r="P2497" s="2020"/>
      <c r="Q2497" s="2020"/>
      <c r="R2497" s="2020"/>
      <c r="S2497" s="2020"/>
      <c r="T2497" s="2020"/>
      <c r="U2497" s="2020"/>
      <c r="V2497" s="2020"/>
      <c r="W2497" s="2020"/>
      <c r="X2497" s="2020"/>
      <c r="Y2497" s="2020"/>
      <c r="Z2497" s="2024"/>
      <c r="AA2497" s="2024"/>
      <c r="AB2497" s="1057"/>
      <c r="AC2497" s="1057"/>
      <c r="AD2497" s="1057"/>
      <c r="AE2497" s="1057"/>
      <c r="AF2497" s="1058"/>
    </row>
    <row r="2498" spans="1:32" ht="15.75" x14ac:dyDescent="0.25">
      <c r="A2498" s="2009" t="s">
        <v>1855</v>
      </c>
      <c r="B2498" s="2010"/>
      <c r="C2498" s="2010"/>
      <c r="D2498" s="2010"/>
      <c r="E2498" s="2010"/>
      <c r="F2498" s="2010"/>
      <c r="G2498" s="2010"/>
      <c r="H2498" s="2010"/>
      <c r="I2498" s="2010"/>
      <c r="J2498" s="2010"/>
      <c r="K2498" s="2010"/>
      <c r="L2498" s="2010"/>
      <c r="M2498" s="2010"/>
      <c r="N2498" s="2010"/>
      <c r="O2498" s="2010"/>
      <c r="P2498" s="2010"/>
      <c r="Q2498" s="2010"/>
      <c r="R2498" s="2010"/>
      <c r="S2498" s="2010"/>
      <c r="T2498" s="2010"/>
      <c r="U2498" s="2010"/>
      <c r="V2498" s="2010"/>
      <c r="W2498" s="2010"/>
      <c r="X2498" s="2010"/>
      <c r="Y2498" s="2010"/>
      <c r="Z2498" s="2013" t="s">
        <v>1850</v>
      </c>
      <c r="AA2498" s="2013"/>
      <c r="AB2498" s="2013"/>
      <c r="AC2498" s="2013"/>
      <c r="AD2498" s="2013"/>
      <c r="AE2498" s="2013"/>
      <c r="AF2498" s="1059">
        <f>SUM(AF2474:AF2497)</f>
        <v>92.78</v>
      </c>
    </row>
    <row r="2499" spans="1:32" ht="15.75" x14ac:dyDescent="0.25">
      <c r="A2499" s="2011"/>
      <c r="B2499" s="2012"/>
      <c r="C2499" s="2012"/>
      <c r="D2499" s="2012"/>
      <c r="E2499" s="2012"/>
      <c r="F2499" s="2012"/>
      <c r="G2499" s="2012"/>
      <c r="H2499" s="2012"/>
      <c r="I2499" s="2012"/>
      <c r="J2499" s="2012"/>
      <c r="K2499" s="2012"/>
      <c r="L2499" s="2012"/>
      <c r="M2499" s="2012"/>
      <c r="N2499" s="2012"/>
      <c r="O2499" s="2012"/>
      <c r="P2499" s="2012"/>
      <c r="Q2499" s="2012"/>
      <c r="R2499" s="2012"/>
      <c r="S2499" s="2012"/>
      <c r="T2499" s="2012"/>
      <c r="U2499" s="2012"/>
      <c r="V2499" s="2012"/>
      <c r="W2499" s="2012"/>
      <c r="X2499" s="2012"/>
      <c r="Y2499" s="2012"/>
      <c r="Z2499" s="2014" t="s">
        <v>1851</v>
      </c>
      <c r="AA2499" s="2014"/>
      <c r="AB2499" s="2014"/>
      <c r="AC2499" s="2014"/>
      <c r="AD2499" s="2014"/>
      <c r="AE2499" s="2014"/>
      <c r="AF2499" s="1060">
        <v>0</v>
      </c>
    </row>
    <row r="2500" spans="1:32" ht="15.75" x14ac:dyDescent="0.25">
      <c r="A2500" s="2011"/>
      <c r="B2500" s="2012"/>
      <c r="C2500" s="2012"/>
      <c r="D2500" s="2012"/>
      <c r="E2500" s="2012"/>
      <c r="F2500" s="2012"/>
      <c r="G2500" s="2012"/>
      <c r="H2500" s="2012"/>
      <c r="I2500" s="2012"/>
      <c r="J2500" s="2012"/>
      <c r="K2500" s="2012"/>
      <c r="L2500" s="2012"/>
      <c r="M2500" s="2012"/>
      <c r="N2500" s="2012"/>
      <c r="O2500" s="2012"/>
      <c r="P2500" s="2012"/>
      <c r="Q2500" s="2012"/>
      <c r="R2500" s="2012"/>
      <c r="S2500" s="2012"/>
      <c r="T2500" s="2012"/>
      <c r="U2500" s="2012"/>
      <c r="V2500" s="2012"/>
      <c r="W2500" s="2012"/>
      <c r="X2500" s="2012"/>
      <c r="Y2500" s="2012"/>
      <c r="Z2500" s="2015" t="s">
        <v>1833</v>
      </c>
      <c r="AA2500" s="2015"/>
      <c r="AB2500" s="2015"/>
      <c r="AC2500" s="2015"/>
      <c r="AD2500" s="2015"/>
      <c r="AE2500" s="2015"/>
      <c r="AF2500" s="1061">
        <f>SUM(AF2498:AF2499)</f>
        <v>92.78</v>
      </c>
    </row>
    <row r="2501" spans="1:32" x14ac:dyDescent="0.2">
      <c r="A2501" s="2012" t="s">
        <v>1859</v>
      </c>
      <c r="B2501" s="2012"/>
      <c r="C2501" s="2012"/>
      <c r="D2501" s="2012"/>
      <c r="E2501" s="2012"/>
      <c r="F2501" s="2012"/>
      <c r="G2501" s="2012"/>
      <c r="H2501" s="2012"/>
      <c r="I2501" s="2012"/>
      <c r="J2501" s="2012"/>
      <c r="K2501" s="2012"/>
      <c r="L2501" s="2012"/>
      <c r="M2501" s="2012"/>
      <c r="N2501" s="2012"/>
      <c r="O2501" s="2012"/>
      <c r="P2501" s="2012"/>
      <c r="Q2501" s="2012"/>
      <c r="R2501" s="2012"/>
      <c r="S2501" s="2012"/>
      <c r="T2501" s="2016" t="s">
        <v>1840</v>
      </c>
      <c r="U2501" s="2016"/>
      <c r="V2501" s="2016"/>
      <c r="W2501" s="2016"/>
      <c r="X2501" s="2016"/>
      <c r="Y2501" s="2016"/>
      <c r="Z2501" s="2016"/>
      <c r="AA2501" s="2016"/>
      <c r="AB2501" s="2012" t="s">
        <v>1852</v>
      </c>
      <c r="AC2501" s="2012"/>
      <c r="AD2501" s="2012"/>
      <c r="AE2501" s="2012"/>
      <c r="AF2501" s="2012"/>
    </row>
    <row r="2502" spans="1:32" x14ac:dyDescent="0.2">
      <c r="A2502" s="2012"/>
      <c r="B2502" s="2012"/>
      <c r="C2502" s="2012"/>
      <c r="D2502" s="2012"/>
      <c r="E2502" s="2012"/>
      <c r="F2502" s="2012"/>
      <c r="G2502" s="2012"/>
      <c r="H2502" s="2012"/>
      <c r="I2502" s="2012"/>
      <c r="J2502" s="2012"/>
      <c r="K2502" s="2012"/>
      <c r="L2502" s="2012"/>
      <c r="M2502" s="2012"/>
      <c r="N2502" s="2012"/>
      <c r="O2502" s="2012"/>
      <c r="P2502" s="2012"/>
      <c r="Q2502" s="2012"/>
      <c r="R2502" s="2012"/>
      <c r="S2502" s="2012"/>
      <c r="T2502" s="2016"/>
      <c r="U2502" s="2016"/>
      <c r="V2502" s="2016"/>
      <c r="W2502" s="2016"/>
      <c r="X2502" s="2016"/>
      <c r="Y2502" s="2016"/>
      <c r="Z2502" s="2016"/>
      <c r="AA2502" s="2016"/>
      <c r="AB2502" s="2012"/>
      <c r="AC2502" s="2012"/>
      <c r="AD2502" s="2012"/>
      <c r="AE2502" s="2012"/>
      <c r="AF2502" s="2012"/>
    </row>
    <row r="2503" spans="1:32" ht="13.5" thickBot="1" x14ac:dyDescent="0.25"/>
    <row r="2504" spans="1:32" ht="26.45" customHeight="1" x14ac:dyDescent="0.2">
      <c r="A2504" s="2025" t="s">
        <v>1854</v>
      </c>
      <c r="B2504" s="2026"/>
      <c r="C2504" s="2026"/>
      <c r="D2504" s="2026"/>
      <c r="E2504" s="2026"/>
      <c r="F2504" s="2026"/>
      <c r="G2504" s="2026"/>
      <c r="H2504" s="2026"/>
      <c r="I2504" s="2026"/>
      <c r="J2504" s="2026"/>
      <c r="K2504" s="2026"/>
      <c r="L2504" s="2026"/>
      <c r="M2504" s="2026"/>
      <c r="N2504" s="2026"/>
      <c r="O2504" s="2026"/>
      <c r="P2504" s="2026"/>
      <c r="Q2504" s="2026"/>
      <c r="R2504" s="2026"/>
      <c r="S2504" s="2026"/>
      <c r="T2504" s="2026"/>
      <c r="U2504" s="2026"/>
      <c r="V2504" s="2026"/>
      <c r="W2504" s="2026"/>
      <c r="X2504" s="2026"/>
      <c r="Y2504" s="2026"/>
      <c r="Z2504" s="2026"/>
      <c r="AA2504" s="2026"/>
      <c r="AB2504" s="2026"/>
      <c r="AC2504" s="2026"/>
      <c r="AD2504" s="2026"/>
      <c r="AE2504" s="1041" t="s">
        <v>1834</v>
      </c>
      <c r="AF2504" s="1042" t="s">
        <v>1835</v>
      </c>
    </row>
    <row r="2505" spans="1:32" ht="21" customHeight="1" thickBot="1" x14ac:dyDescent="0.25">
      <c r="A2505" s="2027"/>
      <c r="B2505" s="2028"/>
      <c r="C2505" s="2028"/>
      <c r="D2505" s="2028"/>
      <c r="E2505" s="2028"/>
      <c r="F2505" s="2028"/>
      <c r="G2505" s="2028"/>
      <c r="H2505" s="2028"/>
      <c r="I2505" s="2028"/>
      <c r="J2505" s="2028"/>
      <c r="K2505" s="2028"/>
      <c r="L2505" s="2028"/>
      <c r="M2505" s="2028"/>
      <c r="N2505" s="2028"/>
      <c r="O2505" s="2028"/>
      <c r="P2505" s="2028"/>
      <c r="Q2505" s="2028"/>
      <c r="R2505" s="2028"/>
      <c r="S2505" s="2028"/>
      <c r="T2505" s="2028"/>
      <c r="U2505" s="2028"/>
      <c r="V2505" s="2028"/>
      <c r="W2505" s="2028"/>
      <c r="X2505" s="2028"/>
      <c r="Y2505" s="2028"/>
      <c r="Z2505" s="2028"/>
      <c r="AA2505" s="2028"/>
      <c r="AB2505" s="2028"/>
      <c r="AC2505" s="2028"/>
      <c r="AD2505" s="2028"/>
      <c r="AE2505" s="1041" t="s">
        <v>1836</v>
      </c>
      <c r="AF2505" s="1044">
        <v>1</v>
      </c>
    </row>
    <row r="2506" spans="1:32" ht="15.75" x14ac:dyDescent="0.2">
      <c r="A2506" s="2029"/>
      <c r="B2506" s="2030"/>
      <c r="C2506" s="2030"/>
      <c r="D2506" s="2031"/>
      <c r="E2506" s="2025" t="str">
        <f>'01'!$A$12</f>
        <v>"CONSTRUCCION SISTEMA DE ACUEDUCTO FASE II DEL MUNICIPIO DE TESALIA DPTO DEL HUILA"</v>
      </c>
      <c r="F2506" s="2026"/>
      <c r="G2506" s="2026"/>
      <c r="H2506" s="2026"/>
      <c r="I2506" s="2026"/>
      <c r="J2506" s="2026"/>
      <c r="K2506" s="2026"/>
      <c r="L2506" s="2026"/>
      <c r="M2506" s="2026"/>
      <c r="N2506" s="2026"/>
      <c r="O2506" s="2026"/>
      <c r="P2506" s="2026"/>
      <c r="Q2506" s="2026"/>
      <c r="R2506" s="2026"/>
      <c r="S2506" s="2026"/>
      <c r="T2506" s="2026"/>
      <c r="U2506" s="2026"/>
      <c r="V2506" s="2026"/>
      <c r="W2506" s="2026"/>
      <c r="X2506" s="2026"/>
      <c r="Y2506" s="2026"/>
      <c r="Z2506" s="2026"/>
      <c r="AA2506" s="2026"/>
      <c r="AB2506" s="2026"/>
      <c r="AC2506" s="2026"/>
      <c r="AD2506" s="2035"/>
      <c r="AE2506" s="1041" t="s">
        <v>847</v>
      </c>
      <c r="AF2506" s="1045">
        <f>'01'!$M$13</f>
        <v>0</v>
      </c>
    </row>
    <row r="2507" spans="1:32" ht="16.5" thickBot="1" x14ac:dyDescent="0.25">
      <c r="A2507" s="2032"/>
      <c r="B2507" s="2033"/>
      <c r="C2507" s="2033"/>
      <c r="D2507" s="2034"/>
      <c r="E2507" s="2027"/>
      <c r="F2507" s="2028"/>
      <c r="G2507" s="2028"/>
      <c r="H2507" s="2028"/>
      <c r="I2507" s="2028"/>
      <c r="J2507" s="2028"/>
      <c r="K2507" s="2028"/>
      <c r="L2507" s="2028"/>
      <c r="M2507" s="2028"/>
      <c r="N2507" s="2028"/>
      <c r="O2507" s="2028"/>
      <c r="P2507" s="2028"/>
      <c r="Q2507" s="2028"/>
      <c r="R2507" s="2028"/>
      <c r="S2507" s="2028"/>
      <c r="T2507" s="2028"/>
      <c r="U2507" s="2028"/>
      <c r="V2507" s="2028"/>
      <c r="W2507" s="2028"/>
      <c r="X2507" s="2028"/>
      <c r="Y2507" s="2028"/>
      <c r="Z2507" s="2028"/>
      <c r="AA2507" s="2028"/>
      <c r="AB2507" s="2028"/>
      <c r="AC2507" s="2028"/>
      <c r="AD2507" s="2036"/>
      <c r="AE2507" s="1041" t="s">
        <v>1837</v>
      </c>
      <c r="AF2507" s="1042" t="s">
        <v>1838</v>
      </c>
    </row>
    <row r="2508" spans="1:32" ht="15.75" x14ac:dyDescent="0.25">
      <c r="A2508" s="2037" t="s">
        <v>1860</v>
      </c>
      <c r="B2508" s="2038"/>
      <c r="C2508" s="2038"/>
      <c r="D2508" s="2038"/>
      <c r="E2508" s="2038"/>
      <c r="F2508" s="2038"/>
      <c r="G2508" s="2038"/>
      <c r="H2508" s="2038"/>
      <c r="I2508" s="2038"/>
      <c r="J2508" s="2038"/>
      <c r="K2508" s="2038"/>
      <c r="L2508" s="2038"/>
      <c r="M2508" s="2038"/>
      <c r="N2508" s="2038"/>
      <c r="O2508" s="2038"/>
      <c r="P2508" s="2038"/>
      <c r="Q2508" s="2038"/>
      <c r="R2508" s="2038"/>
      <c r="S2508" s="2038"/>
      <c r="T2508" s="2038"/>
      <c r="U2508" s="2038"/>
      <c r="V2508" s="2038"/>
      <c r="W2508" s="2038"/>
      <c r="X2508" s="2038"/>
      <c r="Y2508" s="2038"/>
      <c r="Z2508" s="2038"/>
      <c r="AA2508" s="2038"/>
      <c r="AB2508" s="2038"/>
      <c r="AC2508" s="2038"/>
      <c r="AD2508" s="2038"/>
      <c r="AE2508" s="2039" t="s">
        <v>1839</v>
      </c>
      <c r="AF2508" s="2040"/>
    </row>
    <row r="2509" spans="1:32" ht="15.75" x14ac:dyDescent="0.25">
      <c r="A2509" s="2041" t="s">
        <v>1840</v>
      </c>
      <c r="B2509" s="2042"/>
      <c r="C2509" s="2042"/>
      <c r="D2509" s="2042"/>
      <c r="E2509" s="2042"/>
      <c r="F2509" s="2042"/>
      <c r="G2509" s="2042"/>
      <c r="H2509" s="2042"/>
      <c r="I2509" s="2042"/>
      <c r="J2509" s="2042"/>
      <c r="K2509" s="2042"/>
      <c r="L2509" s="2042"/>
      <c r="M2509" s="2042"/>
      <c r="N2509" s="2042"/>
      <c r="O2509" s="2042"/>
      <c r="P2509" s="2042"/>
      <c r="Q2509" s="2042"/>
      <c r="R2509" s="2042"/>
      <c r="S2509" s="2042"/>
      <c r="T2509" s="2042"/>
      <c r="U2509" s="2042"/>
      <c r="V2509" s="2042"/>
      <c r="W2509" s="2042"/>
      <c r="X2509" s="2042"/>
      <c r="Y2509" s="2042"/>
      <c r="Z2509" s="2042"/>
      <c r="AA2509" s="2042"/>
      <c r="AB2509" s="2042"/>
      <c r="AC2509" s="2042"/>
      <c r="AD2509" s="2043"/>
      <c r="AE2509" s="2014" t="s">
        <v>1841</v>
      </c>
      <c r="AF2509" s="2044"/>
    </row>
    <row r="2510" spans="1:32" ht="15.75" x14ac:dyDescent="0.25">
      <c r="A2510" s="2045" t="s">
        <v>1853</v>
      </c>
      <c r="B2510" s="2046"/>
      <c r="C2510" s="2046"/>
      <c r="D2510" s="2046"/>
      <c r="E2510" s="2046"/>
      <c r="F2510" s="2046"/>
      <c r="G2510" s="2046"/>
      <c r="H2510" s="2046"/>
      <c r="I2510" s="2046"/>
      <c r="J2510" s="2046"/>
      <c r="K2510" s="2046"/>
      <c r="L2510" s="2046"/>
      <c r="M2510" s="2046"/>
      <c r="N2510" s="2046"/>
      <c r="O2510" s="2046"/>
      <c r="P2510" s="2046"/>
      <c r="Q2510" s="2046"/>
      <c r="R2510" s="2046"/>
      <c r="S2510" s="2046"/>
      <c r="T2510" s="2046"/>
      <c r="U2510" s="2046"/>
      <c r="V2510" s="2046"/>
      <c r="W2510" s="2046"/>
      <c r="X2510" s="2046"/>
      <c r="Y2510" s="2046"/>
      <c r="Z2510" s="2046"/>
      <c r="AA2510" s="2046"/>
      <c r="AB2510" s="2046"/>
      <c r="AC2510" s="2046"/>
      <c r="AD2510" s="2046"/>
      <c r="AE2510" s="2047">
        <f>'01'!$M$13</f>
        <v>0</v>
      </c>
      <c r="AF2510" s="2044"/>
    </row>
    <row r="2511" spans="1:32" x14ac:dyDescent="0.2">
      <c r="A2511" s="1046"/>
      <c r="B2511" s="1047"/>
      <c r="C2511" s="1047"/>
      <c r="D2511" s="1047"/>
      <c r="E2511" s="1047"/>
      <c r="F2511" s="1047"/>
      <c r="G2511" s="1047"/>
      <c r="H2511" s="1047"/>
      <c r="I2511" s="1047"/>
      <c r="J2511" s="1047"/>
      <c r="K2511" s="1047"/>
      <c r="L2511" s="1047"/>
      <c r="M2511" s="1047"/>
      <c r="N2511" s="1047"/>
      <c r="O2511" s="1047"/>
      <c r="P2511" s="1047"/>
      <c r="Q2511" s="1047"/>
      <c r="R2511" s="1047"/>
      <c r="S2511" s="1047"/>
      <c r="T2511" s="1047"/>
      <c r="U2511" s="1047"/>
      <c r="V2511" s="1047"/>
      <c r="W2511" s="1047"/>
      <c r="X2511" s="1047"/>
      <c r="Y2511" s="1047"/>
      <c r="Z2511" s="1047"/>
      <c r="AA2511" s="1047"/>
      <c r="AB2511" s="1047"/>
      <c r="AC2511" s="1047"/>
      <c r="AD2511" s="1047"/>
      <c r="AE2511" s="1047"/>
      <c r="AF2511" s="1048"/>
    </row>
    <row r="2512" spans="1:32" ht="30" customHeight="1" x14ac:dyDescent="0.2">
      <c r="A2512" s="2048" t="s">
        <v>1842</v>
      </c>
      <c r="B2512" s="2049"/>
      <c r="C2512" s="2049"/>
      <c r="D2512" s="2049"/>
      <c r="E2512" s="2049"/>
      <c r="F2512" s="2050" t="str">
        <f>+'01'!$H$105</f>
        <v>D - CANAL DE DESINFECCIÓN</v>
      </c>
      <c r="G2512" s="2049"/>
      <c r="H2512" s="2049"/>
      <c r="I2512" s="2049"/>
      <c r="J2512" s="2049"/>
      <c r="K2512" s="2049"/>
      <c r="L2512" s="2049"/>
      <c r="M2512" s="2049"/>
      <c r="N2512" s="2049"/>
      <c r="O2512" s="2049"/>
      <c r="P2512" s="2049"/>
      <c r="Q2512" s="2049"/>
      <c r="R2512" s="2049"/>
      <c r="S2512" s="2049"/>
      <c r="T2512" s="2049"/>
      <c r="U2512" s="2049"/>
      <c r="V2512" s="2049"/>
      <c r="W2512" s="2049"/>
      <c r="X2512" s="2049"/>
      <c r="Y2512" s="2051"/>
      <c r="Z2512" s="2052" t="s">
        <v>1843</v>
      </c>
      <c r="AA2512" s="2053"/>
      <c r="AB2512" s="2058" t="s">
        <v>1844</v>
      </c>
      <c r="AC2512" s="2059"/>
      <c r="AD2512" s="2060"/>
      <c r="AE2512" s="2064" t="s">
        <v>1845</v>
      </c>
      <c r="AF2512" s="2067" t="s">
        <v>1846</v>
      </c>
    </row>
    <row r="2513" spans="1:32" ht="15" customHeight="1" x14ac:dyDescent="0.2">
      <c r="A2513" s="2070" t="str">
        <f>+'01'!A112</f>
        <v>D-03-01</v>
      </c>
      <c r="B2513" s="2071"/>
      <c r="C2513" s="2072"/>
      <c r="D2513" s="2076" t="str">
        <f>VLOOKUP(A2513,'01'!$A$12:$N$299,3,FALSE)</f>
        <v>MATERIAL SOPORTE EN INSTALACION DE TUBERIA. CAMA DE ARENA DE BASE 0.10 METROS Y 0.15 METROS POR ENCIMA DE LA COTA CLAVE DE LA TUBERIA.</v>
      </c>
      <c r="E2513" s="2077"/>
      <c r="F2513" s="2077"/>
      <c r="G2513" s="2077"/>
      <c r="H2513" s="2077"/>
      <c r="I2513" s="2077"/>
      <c r="J2513" s="2077"/>
      <c r="K2513" s="2077"/>
      <c r="L2513" s="2077"/>
      <c r="M2513" s="2077"/>
      <c r="N2513" s="2077"/>
      <c r="O2513" s="2077"/>
      <c r="P2513" s="2077"/>
      <c r="Q2513" s="2077"/>
      <c r="R2513" s="2077"/>
      <c r="S2513" s="2078"/>
      <c r="T2513" s="2082" t="s">
        <v>124</v>
      </c>
      <c r="U2513" s="2083"/>
      <c r="V2513" s="2083"/>
      <c r="W2513" s="2083"/>
      <c r="X2513" s="2052" t="str">
        <f>VLOOKUP(A2513,'01'!$A$12:$N$299,9,FALSE)</f>
        <v>M3</v>
      </c>
      <c r="Y2513" s="2053"/>
      <c r="Z2513" s="2054"/>
      <c r="AA2513" s="2055"/>
      <c r="AB2513" s="2061"/>
      <c r="AC2513" s="2062"/>
      <c r="AD2513" s="2063"/>
      <c r="AE2513" s="2065"/>
      <c r="AF2513" s="2068"/>
    </row>
    <row r="2514" spans="1:32" ht="15" customHeight="1" x14ac:dyDescent="0.25">
      <c r="A2514" s="2073"/>
      <c r="B2514" s="2074"/>
      <c r="C2514" s="2075"/>
      <c r="D2514" s="2079"/>
      <c r="E2514" s="2080"/>
      <c r="F2514" s="2080"/>
      <c r="G2514" s="2080"/>
      <c r="H2514" s="2080"/>
      <c r="I2514" s="2080"/>
      <c r="J2514" s="2080"/>
      <c r="K2514" s="2080"/>
      <c r="L2514" s="2080"/>
      <c r="M2514" s="2080"/>
      <c r="N2514" s="2080"/>
      <c r="O2514" s="2080"/>
      <c r="P2514" s="2080"/>
      <c r="Q2514" s="2080"/>
      <c r="R2514" s="2080"/>
      <c r="S2514" s="2081"/>
      <c r="T2514" s="2084"/>
      <c r="U2514" s="2085"/>
      <c r="V2514" s="2085"/>
      <c r="W2514" s="2085"/>
      <c r="X2514" s="2056"/>
      <c r="Y2514" s="2057"/>
      <c r="Z2514" s="2056"/>
      <c r="AA2514" s="2057"/>
      <c r="AB2514" s="1049" t="s">
        <v>1847</v>
      </c>
      <c r="AC2514" s="1049" t="s">
        <v>1848</v>
      </c>
      <c r="AD2514" s="1049" t="s">
        <v>1861</v>
      </c>
      <c r="AE2514" s="2066"/>
      <c r="AF2514" s="2069"/>
    </row>
    <row r="2515" spans="1:32" ht="15.6" customHeight="1" x14ac:dyDescent="0.25">
      <c r="A2515" s="2017"/>
      <c r="B2515" s="2018"/>
      <c r="C2515" s="2018"/>
      <c r="D2515" s="2018"/>
      <c r="E2515" s="2018"/>
      <c r="F2515" s="2018"/>
      <c r="G2515" s="2018"/>
      <c r="H2515" s="2018"/>
      <c r="I2515" s="2018"/>
      <c r="J2515" s="2018"/>
      <c r="K2515" s="2018"/>
      <c r="L2515" s="2018"/>
      <c r="M2515" s="2018"/>
      <c r="N2515" s="2018"/>
      <c r="O2515" s="2018"/>
      <c r="P2515" s="2018"/>
      <c r="Q2515" s="2018"/>
      <c r="R2515" s="2018"/>
      <c r="S2515" s="2018"/>
      <c r="T2515" s="2018"/>
      <c r="U2515" s="2018"/>
      <c r="V2515" s="2018"/>
      <c r="W2515" s="2018"/>
      <c r="X2515" s="2018"/>
      <c r="Y2515" s="2018"/>
      <c r="Z2515" s="2096" t="s">
        <v>2454</v>
      </c>
      <c r="AA2515" s="2097"/>
      <c r="AB2515" s="1050">
        <f>+AB2476</f>
        <v>5</v>
      </c>
      <c r="AC2515" s="1050">
        <f>+AC2476</f>
        <v>1</v>
      </c>
      <c r="AD2515" s="1050">
        <v>0.1</v>
      </c>
      <c r="AE2515" s="1050">
        <v>1</v>
      </c>
      <c r="AF2515" s="1052">
        <f>+ROUND(AB2515*AC2515*AD2515*AE2515,2)</f>
        <v>0.5</v>
      </c>
    </row>
    <row r="2516" spans="1:32" ht="15.6" customHeight="1" x14ac:dyDescent="0.25">
      <c r="A2516" s="2017"/>
      <c r="B2516" s="2018"/>
      <c r="C2516" s="2018"/>
      <c r="D2516" s="2018"/>
      <c r="E2516" s="2018"/>
      <c r="F2516" s="2018"/>
      <c r="G2516" s="2018"/>
      <c r="H2516" s="2018"/>
      <c r="I2516" s="2018"/>
      <c r="J2516" s="2018"/>
      <c r="K2516" s="2018"/>
      <c r="L2516" s="2018"/>
      <c r="M2516" s="2018"/>
      <c r="N2516" s="2018"/>
      <c r="O2516" s="2018"/>
      <c r="P2516" s="2018"/>
      <c r="Q2516" s="2018"/>
      <c r="R2516" s="2018"/>
      <c r="S2516" s="2018"/>
      <c r="T2516" s="2018"/>
      <c r="U2516" s="2018"/>
      <c r="V2516" s="2018"/>
      <c r="W2516" s="2018"/>
      <c r="X2516" s="2018"/>
      <c r="Y2516" s="2018"/>
      <c r="Z2516" s="2096"/>
      <c r="AA2516" s="2097"/>
      <c r="AB2516" s="1050"/>
      <c r="AC2516" s="1050"/>
      <c r="AD2516" s="1050"/>
      <c r="AE2516" s="1050"/>
      <c r="AF2516" s="1052"/>
    </row>
    <row r="2517" spans="1:32" ht="15.75" x14ac:dyDescent="0.25">
      <c r="A2517" s="2017"/>
      <c r="B2517" s="2018"/>
      <c r="C2517" s="2018"/>
      <c r="D2517" s="2018"/>
      <c r="E2517" s="2018"/>
      <c r="F2517" s="2018"/>
      <c r="G2517" s="2018"/>
      <c r="H2517" s="2018"/>
      <c r="I2517" s="2018"/>
      <c r="J2517" s="2018"/>
      <c r="K2517" s="2018"/>
      <c r="L2517" s="2018"/>
      <c r="M2517" s="2018"/>
      <c r="N2517" s="2018"/>
      <c r="O2517" s="2018"/>
      <c r="P2517" s="2018"/>
      <c r="Q2517" s="2018"/>
      <c r="R2517" s="2018"/>
      <c r="S2517" s="2018"/>
      <c r="T2517" s="2018"/>
      <c r="U2517" s="2018"/>
      <c r="V2517" s="2018"/>
      <c r="W2517" s="2018"/>
      <c r="X2517" s="2018"/>
      <c r="Y2517" s="2018"/>
      <c r="Z2517" s="2096"/>
      <c r="AA2517" s="2097"/>
      <c r="AB2517" s="1050"/>
      <c r="AC2517" s="1050"/>
      <c r="AD2517" s="1050"/>
      <c r="AE2517" s="1050"/>
      <c r="AF2517" s="1052"/>
    </row>
    <row r="2518" spans="1:32" ht="15.75" x14ac:dyDescent="0.25">
      <c r="A2518" s="2017"/>
      <c r="B2518" s="2018"/>
      <c r="C2518" s="2018"/>
      <c r="D2518" s="2018"/>
      <c r="E2518" s="2018"/>
      <c r="F2518" s="2018"/>
      <c r="G2518" s="2018"/>
      <c r="H2518" s="2018"/>
      <c r="I2518" s="2018"/>
      <c r="J2518" s="2018"/>
      <c r="K2518" s="2018"/>
      <c r="L2518" s="2018"/>
      <c r="M2518" s="2018"/>
      <c r="N2518" s="2018"/>
      <c r="O2518" s="2018"/>
      <c r="P2518" s="2018"/>
      <c r="Q2518" s="2018"/>
      <c r="R2518" s="2018"/>
      <c r="S2518" s="2018"/>
      <c r="T2518" s="2018"/>
      <c r="U2518" s="2018"/>
      <c r="V2518" s="2018"/>
      <c r="W2518" s="2018"/>
      <c r="X2518" s="2018"/>
      <c r="Y2518" s="2018"/>
      <c r="Z2518" s="2096"/>
      <c r="AA2518" s="2097"/>
      <c r="AB2518" s="1050"/>
      <c r="AC2518" s="1050"/>
      <c r="AD2518" s="1050"/>
      <c r="AE2518" s="1050"/>
      <c r="AF2518" s="1052"/>
    </row>
    <row r="2519" spans="1:32" ht="15.75" x14ac:dyDescent="0.25">
      <c r="A2519" s="2017"/>
      <c r="B2519" s="2018"/>
      <c r="C2519" s="2018"/>
      <c r="D2519" s="2018"/>
      <c r="E2519" s="2018"/>
      <c r="F2519" s="2018"/>
      <c r="G2519" s="2018"/>
      <c r="H2519" s="2018"/>
      <c r="I2519" s="2018"/>
      <c r="J2519" s="2018"/>
      <c r="K2519" s="2018"/>
      <c r="L2519" s="2018"/>
      <c r="M2519" s="2018"/>
      <c r="N2519" s="2018"/>
      <c r="O2519" s="2018"/>
      <c r="P2519" s="2018"/>
      <c r="Q2519" s="2018"/>
      <c r="R2519" s="2018"/>
      <c r="S2519" s="2018"/>
      <c r="T2519" s="2018"/>
      <c r="U2519" s="2018"/>
      <c r="V2519" s="2018"/>
      <c r="W2519" s="2018"/>
      <c r="X2519" s="2018"/>
      <c r="Y2519" s="2018"/>
      <c r="Z2519" s="2096"/>
      <c r="AA2519" s="2097"/>
      <c r="AB2519" s="1050"/>
      <c r="AC2519" s="1050"/>
      <c r="AD2519" s="1050"/>
      <c r="AE2519" s="1050"/>
      <c r="AF2519" s="1052"/>
    </row>
    <row r="2520" spans="1:32" ht="15.75" x14ac:dyDescent="0.25">
      <c r="A2520" s="2017"/>
      <c r="B2520" s="2018"/>
      <c r="C2520" s="2018"/>
      <c r="D2520" s="2018"/>
      <c r="E2520" s="2018"/>
      <c r="F2520" s="2018"/>
      <c r="G2520" s="2018"/>
      <c r="H2520" s="2018"/>
      <c r="I2520" s="2018"/>
      <c r="J2520" s="2018"/>
      <c r="K2520" s="2018"/>
      <c r="L2520" s="2018"/>
      <c r="M2520" s="2018"/>
      <c r="N2520" s="2018"/>
      <c r="O2520" s="2018"/>
      <c r="P2520" s="2018"/>
      <c r="Q2520" s="2018"/>
      <c r="R2520" s="2018"/>
      <c r="S2520" s="2018"/>
      <c r="T2520" s="2018"/>
      <c r="U2520" s="2018"/>
      <c r="V2520" s="2018"/>
      <c r="W2520" s="2018"/>
      <c r="X2520" s="2018"/>
      <c r="Y2520" s="2018"/>
      <c r="Z2520" s="2096"/>
      <c r="AA2520" s="2097"/>
      <c r="AB2520" s="1050"/>
      <c r="AC2520" s="1050"/>
      <c r="AD2520" s="1050"/>
      <c r="AE2520" s="1050"/>
      <c r="AF2520" s="1052"/>
    </row>
    <row r="2521" spans="1:32" ht="15.75" x14ac:dyDescent="0.25">
      <c r="A2521" s="2017"/>
      <c r="B2521" s="2018"/>
      <c r="C2521" s="2018"/>
      <c r="D2521" s="2018"/>
      <c r="E2521" s="2018"/>
      <c r="F2521" s="2018"/>
      <c r="G2521" s="2018"/>
      <c r="H2521" s="2018"/>
      <c r="I2521" s="2018"/>
      <c r="J2521" s="2018"/>
      <c r="K2521" s="2018"/>
      <c r="L2521" s="2018"/>
      <c r="M2521" s="2018"/>
      <c r="N2521" s="2018"/>
      <c r="O2521" s="2018"/>
      <c r="P2521" s="2018"/>
      <c r="Q2521" s="2018"/>
      <c r="R2521" s="2018"/>
      <c r="S2521" s="2018"/>
      <c r="T2521" s="2018"/>
      <c r="U2521" s="2018"/>
      <c r="V2521" s="2018"/>
      <c r="W2521" s="2018"/>
      <c r="X2521" s="2018"/>
      <c r="Y2521" s="2018"/>
      <c r="Z2521" s="2105"/>
      <c r="AA2521" s="2105"/>
      <c r="AB2521" s="1050"/>
      <c r="AC2521" s="1050"/>
      <c r="AD2521" s="1050"/>
      <c r="AE2521" s="1050"/>
      <c r="AF2521" s="1052"/>
    </row>
    <row r="2522" spans="1:32" ht="15.75" x14ac:dyDescent="0.25">
      <c r="A2522" s="2017"/>
      <c r="B2522" s="2018"/>
      <c r="C2522" s="2018"/>
      <c r="D2522" s="2018"/>
      <c r="E2522" s="2018"/>
      <c r="F2522" s="2018"/>
      <c r="G2522" s="2018"/>
      <c r="H2522" s="2018"/>
      <c r="I2522" s="2018"/>
      <c r="J2522" s="2018"/>
      <c r="K2522" s="2018"/>
      <c r="L2522" s="2018"/>
      <c r="M2522" s="2018"/>
      <c r="N2522" s="2018"/>
      <c r="O2522" s="2018"/>
      <c r="P2522" s="2018"/>
      <c r="Q2522" s="2018"/>
      <c r="R2522" s="2018"/>
      <c r="S2522" s="2018"/>
      <c r="T2522" s="2018"/>
      <c r="U2522" s="2018"/>
      <c r="V2522" s="2018"/>
      <c r="W2522" s="2018"/>
      <c r="X2522" s="2018"/>
      <c r="Y2522" s="2018"/>
      <c r="Z2522" s="2105"/>
      <c r="AA2522" s="2105"/>
      <c r="AB2522" s="1050"/>
      <c r="AC2522" s="1050"/>
      <c r="AD2522" s="1050"/>
      <c r="AE2522" s="1050"/>
      <c r="AF2522" s="1052"/>
    </row>
    <row r="2523" spans="1:32" ht="15.75" x14ac:dyDescent="0.25">
      <c r="A2523" s="2017"/>
      <c r="B2523" s="2018"/>
      <c r="C2523" s="2018"/>
      <c r="D2523" s="2018"/>
      <c r="E2523" s="2018"/>
      <c r="F2523" s="2018"/>
      <c r="G2523" s="2018"/>
      <c r="H2523" s="2018"/>
      <c r="I2523" s="2018"/>
      <c r="J2523" s="2018"/>
      <c r="K2523" s="2018"/>
      <c r="L2523" s="2018"/>
      <c r="M2523" s="2018"/>
      <c r="N2523" s="2018"/>
      <c r="O2523" s="2018"/>
      <c r="P2523" s="2018"/>
      <c r="Q2523" s="2018"/>
      <c r="R2523" s="2018"/>
      <c r="S2523" s="2018"/>
      <c r="T2523" s="2018"/>
      <c r="U2523" s="2018"/>
      <c r="V2523" s="2018"/>
      <c r="W2523" s="2018"/>
      <c r="X2523" s="2018"/>
      <c r="Y2523" s="2018"/>
      <c r="Z2523" s="2105"/>
      <c r="AA2523" s="2105"/>
      <c r="AB2523" s="1050"/>
      <c r="AC2523" s="1050"/>
      <c r="AD2523" s="1050"/>
      <c r="AE2523" s="1050"/>
      <c r="AF2523" s="1052"/>
    </row>
    <row r="2524" spans="1:32" ht="15.75" x14ac:dyDescent="0.25">
      <c r="A2524" s="2017"/>
      <c r="B2524" s="2018"/>
      <c r="C2524" s="2018"/>
      <c r="D2524" s="2018"/>
      <c r="E2524" s="2018"/>
      <c r="F2524" s="2018"/>
      <c r="G2524" s="2018"/>
      <c r="H2524" s="2018"/>
      <c r="I2524" s="2018"/>
      <c r="J2524" s="2018"/>
      <c r="K2524" s="2018"/>
      <c r="L2524" s="2018"/>
      <c r="M2524" s="2018"/>
      <c r="N2524" s="2018"/>
      <c r="O2524" s="2018"/>
      <c r="P2524" s="2018"/>
      <c r="Q2524" s="2018"/>
      <c r="R2524" s="2018"/>
      <c r="S2524" s="2018"/>
      <c r="T2524" s="2018"/>
      <c r="U2524" s="2018"/>
      <c r="V2524" s="2018"/>
      <c r="W2524" s="2018"/>
      <c r="X2524" s="2018"/>
      <c r="Y2524" s="2018"/>
      <c r="Z2524" s="2105"/>
      <c r="AA2524" s="2105"/>
      <c r="AB2524" s="1050"/>
      <c r="AC2524" s="1050"/>
      <c r="AD2524" s="1050"/>
      <c r="AE2524" s="1050"/>
      <c r="AF2524" s="1052"/>
    </row>
    <row r="2525" spans="1:32" ht="15.75" x14ac:dyDescent="0.25">
      <c r="A2525" s="2017"/>
      <c r="B2525" s="2018"/>
      <c r="C2525" s="2018"/>
      <c r="D2525" s="2018"/>
      <c r="E2525" s="2018"/>
      <c r="F2525" s="2018"/>
      <c r="G2525" s="2018"/>
      <c r="H2525" s="2018"/>
      <c r="I2525" s="2018"/>
      <c r="J2525" s="2018"/>
      <c r="K2525" s="2018"/>
      <c r="L2525" s="2018"/>
      <c r="M2525" s="2018"/>
      <c r="N2525" s="2018"/>
      <c r="O2525" s="2018"/>
      <c r="P2525" s="2018"/>
      <c r="Q2525" s="2018"/>
      <c r="R2525" s="2018"/>
      <c r="S2525" s="2018"/>
      <c r="T2525" s="2018"/>
      <c r="U2525" s="2018"/>
      <c r="V2525" s="2018"/>
      <c r="W2525" s="2018"/>
      <c r="X2525" s="2018"/>
      <c r="Y2525" s="2018"/>
      <c r="Z2525" s="2105"/>
      <c r="AA2525" s="2105"/>
      <c r="AB2525" s="1050"/>
      <c r="AC2525" s="1050"/>
      <c r="AD2525" s="1050"/>
      <c r="AE2525" s="1050"/>
      <c r="AF2525" s="1052"/>
    </row>
    <row r="2526" spans="1:32" ht="15.75" x14ac:dyDescent="0.25">
      <c r="A2526" s="2017"/>
      <c r="B2526" s="2018"/>
      <c r="C2526" s="2018"/>
      <c r="D2526" s="2018"/>
      <c r="E2526" s="2018"/>
      <c r="F2526" s="2018"/>
      <c r="G2526" s="2018"/>
      <c r="H2526" s="2018"/>
      <c r="I2526" s="2018"/>
      <c r="J2526" s="2018"/>
      <c r="K2526" s="2018"/>
      <c r="L2526" s="2018"/>
      <c r="M2526" s="2018"/>
      <c r="N2526" s="2018"/>
      <c r="O2526" s="2018"/>
      <c r="P2526" s="2018"/>
      <c r="Q2526" s="2018"/>
      <c r="R2526" s="2018"/>
      <c r="S2526" s="2018"/>
      <c r="T2526" s="2018"/>
      <c r="U2526" s="2018"/>
      <c r="V2526" s="2018"/>
      <c r="W2526" s="2018"/>
      <c r="X2526" s="2018"/>
      <c r="Y2526" s="2018"/>
      <c r="Z2526" s="2105"/>
      <c r="AA2526" s="2105"/>
      <c r="AB2526" s="1050"/>
      <c r="AC2526" s="1050"/>
      <c r="AD2526" s="1050"/>
      <c r="AE2526" s="1050"/>
      <c r="AF2526" s="1052"/>
    </row>
    <row r="2527" spans="1:32" ht="15.75" x14ac:dyDescent="0.25">
      <c r="A2527" s="2017"/>
      <c r="B2527" s="2018"/>
      <c r="C2527" s="2018"/>
      <c r="D2527" s="2018"/>
      <c r="E2527" s="2018"/>
      <c r="F2527" s="2018"/>
      <c r="G2527" s="2018"/>
      <c r="H2527" s="2018"/>
      <c r="I2527" s="2018"/>
      <c r="J2527" s="2018"/>
      <c r="K2527" s="2018"/>
      <c r="L2527" s="2018"/>
      <c r="M2527" s="2018"/>
      <c r="N2527" s="2018"/>
      <c r="O2527" s="2018"/>
      <c r="P2527" s="2018"/>
      <c r="Q2527" s="2018"/>
      <c r="R2527" s="2018"/>
      <c r="S2527" s="2018"/>
      <c r="T2527" s="2018"/>
      <c r="U2527" s="2018"/>
      <c r="V2527" s="2018"/>
      <c r="W2527" s="2018"/>
      <c r="X2527" s="2018"/>
      <c r="Y2527" s="2018"/>
      <c r="Z2527" s="2105"/>
      <c r="AA2527" s="2105"/>
      <c r="AB2527" s="1050"/>
      <c r="AC2527" s="1050"/>
      <c r="AD2527" s="1050"/>
      <c r="AE2527" s="1050"/>
      <c r="AF2527" s="1052"/>
    </row>
    <row r="2528" spans="1:32" ht="15.75" x14ac:dyDescent="0.25">
      <c r="A2528" s="2017"/>
      <c r="B2528" s="2018"/>
      <c r="C2528" s="2018"/>
      <c r="D2528" s="2018"/>
      <c r="E2528" s="2018"/>
      <c r="F2528" s="2018"/>
      <c r="G2528" s="2018"/>
      <c r="H2528" s="2018"/>
      <c r="I2528" s="2018"/>
      <c r="J2528" s="2018"/>
      <c r="K2528" s="2018"/>
      <c r="L2528" s="2018"/>
      <c r="M2528" s="2018"/>
      <c r="N2528" s="2018"/>
      <c r="O2528" s="2018"/>
      <c r="P2528" s="2018"/>
      <c r="Q2528" s="2018"/>
      <c r="R2528" s="2018"/>
      <c r="S2528" s="2018"/>
      <c r="T2528" s="2018"/>
      <c r="U2528" s="2018"/>
      <c r="V2528" s="2018"/>
      <c r="W2528" s="2018"/>
      <c r="X2528" s="2018"/>
      <c r="Y2528" s="2018"/>
      <c r="Z2528" s="2022"/>
      <c r="AA2528" s="2022"/>
      <c r="AB2528" s="1050"/>
      <c r="AC2528" s="1050"/>
      <c r="AD2528" s="1050"/>
      <c r="AE2528" s="1050"/>
      <c r="AF2528" s="1052"/>
    </row>
    <row r="2529" spans="1:32" ht="15.75" x14ac:dyDescent="0.25">
      <c r="A2529" s="2017"/>
      <c r="B2529" s="2018"/>
      <c r="C2529" s="2018"/>
      <c r="D2529" s="2018"/>
      <c r="E2529" s="2018"/>
      <c r="F2529" s="2018"/>
      <c r="G2529" s="2018"/>
      <c r="H2529" s="2018"/>
      <c r="I2529" s="2018"/>
      <c r="J2529" s="2018"/>
      <c r="K2529" s="2018"/>
      <c r="L2529" s="2018"/>
      <c r="M2529" s="2018"/>
      <c r="N2529" s="2018"/>
      <c r="O2529" s="2018"/>
      <c r="P2529" s="2018"/>
      <c r="Q2529" s="2018"/>
      <c r="R2529" s="2018"/>
      <c r="S2529" s="2018"/>
      <c r="T2529" s="2018"/>
      <c r="U2529" s="2018"/>
      <c r="V2529" s="2018"/>
      <c r="W2529" s="2018"/>
      <c r="X2529" s="2018"/>
      <c r="Y2529" s="2018"/>
      <c r="Z2529" s="2022"/>
      <c r="AA2529" s="2022"/>
      <c r="AB2529" s="1050"/>
      <c r="AC2529" s="1050"/>
      <c r="AD2529" s="1050"/>
      <c r="AE2529" s="1050"/>
      <c r="AF2529" s="1052"/>
    </row>
    <row r="2530" spans="1:32" ht="15.75" x14ac:dyDescent="0.25">
      <c r="A2530" s="2017"/>
      <c r="B2530" s="2018"/>
      <c r="C2530" s="2018"/>
      <c r="D2530" s="2018"/>
      <c r="E2530" s="2018"/>
      <c r="F2530" s="2018"/>
      <c r="G2530" s="2018"/>
      <c r="H2530" s="2018"/>
      <c r="I2530" s="2018"/>
      <c r="J2530" s="2018"/>
      <c r="K2530" s="2018"/>
      <c r="L2530" s="2018"/>
      <c r="M2530" s="2018"/>
      <c r="N2530" s="2018"/>
      <c r="O2530" s="2018"/>
      <c r="P2530" s="2018"/>
      <c r="Q2530" s="2018"/>
      <c r="R2530" s="2018"/>
      <c r="S2530" s="2018"/>
      <c r="T2530" s="2018"/>
      <c r="U2530" s="2018"/>
      <c r="V2530" s="2018"/>
      <c r="W2530" s="2018"/>
      <c r="X2530" s="2018"/>
      <c r="Y2530" s="2018"/>
      <c r="Z2530" s="2022"/>
      <c r="AA2530" s="2022"/>
      <c r="AB2530" s="1050"/>
      <c r="AC2530" s="1050"/>
      <c r="AD2530" s="1050"/>
      <c r="AE2530" s="1050"/>
      <c r="AF2530" s="1052"/>
    </row>
    <row r="2531" spans="1:32" ht="15.75" x14ac:dyDescent="0.25">
      <c r="A2531" s="2017"/>
      <c r="B2531" s="2018"/>
      <c r="C2531" s="2018"/>
      <c r="D2531" s="2018"/>
      <c r="E2531" s="2018"/>
      <c r="F2531" s="2018"/>
      <c r="G2531" s="2018"/>
      <c r="H2531" s="2018"/>
      <c r="I2531" s="2018"/>
      <c r="J2531" s="2018"/>
      <c r="K2531" s="2018"/>
      <c r="L2531" s="2018"/>
      <c r="M2531" s="2018"/>
      <c r="N2531" s="2018"/>
      <c r="O2531" s="2018"/>
      <c r="P2531" s="2018"/>
      <c r="Q2531" s="2018"/>
      <c r="R2531" s="2018"/>
      <c r="S2531" s="2018"/>
      <c r="T2531" s="2018"/>
      <c r="U2531" s="2018"/>
      <c r="V2531" s="2018"/>
      <c r="W2531" s="2018"/>
      <c r="X2531" s="2018"/>
      <c r="Y2531" s="2018"/>
      <c r="Z2531" s="2022"/>
      <c r="AA2531" s="2022"/>
      <c r="AB2531" s="1050"/>
      <c r="AC2531" s="1050"/>
      <c r="AD2531" s="1050"/>
      <c r="AE2531" s="1050"/>
      <c r="AF2531" s="1052"/>
    </row>
    <row r="2532" spans="1:32" ht="15.75" x14ac:dyDescent="0.25">
      <c r="A2532" s="2017"/>
      <c r="B2532" s="2018"/>
      <c r="C2532" s="2018"/>
      <c r="D2532" s="2018"/>
      <c r="E2532" s="2018"/>
      <c r="F2532" s="2018"/>
      <c r="G2532" s="2018"/>
      <c r="H2532" s="2018"/>
      <c r="I2532" s="2018"/>
      <c r="J2532" s="2018"/>
      <c r="K2532" s="2018"/>
      <c r="L2532" s="2018"/>
      <c r="M2532" s="2018"/>
      <c r="N2532" s="2018"/>
      <c r="O2532" s="2018"/>
      <c r="P2532" s="2018"/>
      <c r="Q2532" s="2018"/>
      <c r="R2532" s="2018"/>
      <c r="S2532" s="2018"/>
      <c r="T2532" s="2018"/>
      <c r="U2532" s="2018"/>
      <c r="V2532" s="2018"/>
      <c r="W2532" s="2018"/>
      <c r="X2532" s="2018"/>
      <c r="Y2532" s="2018"/>
      <c r="Z2532" s="2023"/>
      <c r="AA2532" s="2023"/>
      <c r="AB2532" s="1050"/>
      <c r="AC2532" s="1050"/>
      <c r="AD2532" s="1050"/>
      <c r="AE2532" s="1050"/>
      <c r="AF2532" s="1052"/>
    </row>
    <row r="2533" spans="1:32" ht="15.75" x14ac:dyDescent="0.25">
      <c r="A2533" s="2017"/>
      <c r="B2533" s="2018"/>
      <c r="C2533" s="2018"/>
      <c r="D2533" s="2018"/>
      <c r="E2533" s="2018"/>
      <c r="F2533" s="2018"/>
      <c r="G2533" s="2018"/>
      <c r="H2533" s="2018"/>
      <c r="I2533" s="2018"/>
      <c r="J2533" s="2018"/>
      <c r="K2533" s="2018"/>
      <c r="L2533" s="2018"/>
      <c r="M2533" s="2018"/>
      <c r="N2533" s="2018"/>
      <c r="O2533" s="2018"/>
      <c r="P2533" s="2018"/>
      <c r="Q2533" s="2018"/>
      <c r="R2533" s="2018"/>
      <c r="S2533" s="2018"/>
      <c r="T2533" s="2018"/>
      <c r="U2533" s="2018"/>
      <c r="V2533" s="2018"/>
      <c r="W2533" s="2018"/>
      <c r="X2533" s="2018"/>
      <c r="Y2533" s="2018"/>
      <c r="Z2533" s="2023"/>
      <c r="AA2533" s="2023"/>
      <c r="AB2533" s="1050"/>
      <c r="AC2533" s="1050"/>
      <c r="AD2533" s="1050"/>
      <c r="AE2533" s="1050"/>
      <c r="AF2533" s="1052"/>
    </row>
    <row r="2534" spans="1:32" ht="15.75" x14ac:dyDescent="0.25">
      <c r="A2534" s="2017"/>
      <c r="B2534" s="2018"/>
      <c r="C2534" s="2018"/>
      <c r="D2534" s="2018"/>
      <c r="E2534" s="2018"/>
      <c r="F2534" s="2018"/>
      <c r="G2534" s="2018"/>
      <c r="H2534" s="2018"/>
      <c r="I2534" s="2018"/>
      <c r="J2534" s="2018"/>
      <c r="K2534" s="2018"/>
      <c r="L2534" s="2018"/>
      <c r="M2534" s="2018"/>
      <c r="N2534" s="2018"/>
      <c r="O2534" s="2018"/>
      <c r="P2534" s="2018"/>
      <c r="Q2534" s="2018"/>
      <c r="R2534" s="2018"/>
      <c r="S2534" s="2018"/>
      <c r="T2534" s="2018"/>
      <c r="U2534" s="2018"/>
      <c r="V2534" s="2018"/>
      <c r="W2534" s="2018"/>
      <c r="X2534" s="2018"/>
      <c r="Y2534" s="2018"/>
      <c r="Z2534" s="2023"/>
      <c r="AA2534" s="2023"/>
      <c r="AB2534" s="1050"/>
      <c r="AC2534" s="1050"/>
      <c r="AD2534" s="1050"/>
      <c r="AE2534" s="1050"/>
      <c r="AF2534" s="1052"/>
    </row>
    <row r="2535" spans="1:32" ht="15.75" x14ac:dyDescent="0.25">
      <c r="A2535" s="2017"/>
      <c r="B2535" s="2018"/>
      <c r="C2535" s="2018"/>
      <c r="D2535" s="2018"/>
      <c r="E2535" s="2018"/>
      <c r="F2535" s="2018"/>
      <c r="G2535" s="2018"/>
      <c r="H2535" s="2018"/>
      <c r="I2535" s="2018"/>
      <c r="J2535" s="2018"/>
      <c r="K2535" s="2018"/>
      <c r="L2535" s="2018"/>
      <c r="M2535" s="2018"/>
      <c r="N2535" s="2018"/>
      <c r="O2535" s="2018"/>
      <c r="P2535" s="2018"/>
      <c r="Q2535" s="2018"/>
      <c r="R2535" s="2018"/>
      <c r="S2535" s="2018"/>
      <c r="T2535" s="2018"/>
      <c r="U2535" s="2018"/>
      <c r="V2535" s="2018"/>
      <c r="W2535" s="2018"/>
      <c r="X2535" s="2018"/>
      <c r="Y2535" s="2018"/>
      <c r="Z2535" s="2023"/>
      <c r="AA2535" s="2023"/>
      <c r="AB2535" s="1050"/>
      <c r="AC2535" s="1050"/>
      <c r="AD2535" s="1050"/>
      <c r="AE2535" s="1050"/>
      <c r="AF2535" s="1052"/>
    </row>
    <row r="2536" spans="1:32" ht="15.75" x14ac:dyDescent="0.25">
      <c r="A2536" s="2017"/>
      <c r="B2536" s="2018"/>
      <c r="C2536" s="2018"/>
      <c r="D2536" s="2018"/>
      <c r="E2536" s="2018"/>
      <c r="F2536" s="2018"/>
      <c r="G2536" s="2018"/>
      <c r="H2536" s="2018"/>
      <c r="I2536" s="2018"/>
      <c r="J2536" s="2018"/>
      <c r="K2536" s="2018"/>
      <c r="L2536" s="2018"/>
      <c r="M2536" s="2018"/>
      <c r="N2536" s="2018"/>
      <c r="O2536" s="2018"/>
      <c r="P2536" s="2018"/>
      <c r="Q2536" s="2018"/>
      <c r="R2536" s="2018"/>
      <c r="S2536" s="2018"/>
      <c r="T2536" s="2018"/>
      <c r="U2536" s="2018"/>
      <c r="V2536" s="2018"/>
      <c r="W2536" s="2018"/>
      <c r="X2536" s="2018"/>
      <c r="Y2536" s="2018"/>
      <c r="Z2536" s="2023"/>
      <c r="AA2536" s="2023"/>
      <c r="AB2536" s="1050"/>
      <c r="AC2536" s="1050"/>
      <c r="AD2536" s="1050"/>
      <c r="AE2536" s="1050"/>
      <c r="AF2536" s="1052"/>
    </row>
    <row r="2537" spans="1:32" ht="15.75" x14ac:dyDescent="0.25">
      <c r="A2537" s="2017"/>
      <c r="B2537" s="2018"/>
      <c r="C2537" s="2018"/>
      <c r="D2537" s="2018"/>
      <c r="E2537" s="2018"/>
      <c r="F2537" s="2018"/>
      <c r="G2537" s="2018"/>
      <c r="H2537" s="2018"/>
      <c r="I2537" s="2018"/>
      <c r="J2537" s="2018"/>
      <c r="K2537" s="2018"/>
      <c r="L2537" s="2018"/>
      <c r="M2537" s="2018"/>
      <c r="N2537" s="2018"/>
      <c r="O2537" s="2018"/>
      <c r="P2537" s="2018"/>
      <c r="Q2537" s="2018"/>
      <c r="R2537" s="2018"/>
      <c r="S2537" s="2018"/>
      <c r="T2537" s="2018"/>
      <c r="U2537" s="2018"/>
      <c r="V2537" s="2018"/>
      <c r="W2537" s="2018"/>
      <c r="X2537" s="2018"/>
      <c r="Y2537" s="2018"/>
      <c r="Z2537" s="2023"/>
      <c r="AA2537" s="2023"/>
      <c r="AB2537" s="1050"/>
      <c r="AC2537" s="1050"/>
      <c r="AD2537" s="1050"/>
      <c r="AE2537" s="1050"/>
      <c r="AF2537" s="1052"/>
    </row>
    <row r="2538" spans="1:32" ht="16.5" thickBot="1" x14ac:dyDescent="0.3">
      <c r="A2538" s="2019"/>
      <c r="B2538" s="2020"/>
      <c r="C2538" s="2020"/>
      <c r="D2538" s="2020"/>
      <c r="E2538" s="2020"/>
      <c r="F2538" s="2020"/>
      <c r="G2538" s="2020"/>
      <c r="H2538" s="2020"/>
      <c r="I2538" s="2020"/>
      <c r="J2538" s="2020"/>
      <c r="K2538" s="2020"/>
      <c r="L2538" s="2020"/>
      <c r="M2538" s="2020"/>
      <c r="N2538" s="2020"/>
      <c r="O2538" s="2020"/>
      <c r="P2538" s="2020"/>
      <c r="Q2538" s="2020"/>
      <c r="R2538" s="2020"/>
      <c r="S2538" s="2020"/>
      <c r="T2538" s="2020"/>
      <c r="U2538" s="2020"/>
      <c r="V2538" s="2020"/>
      <c r="W2538" s="2020"/>
      <c r="X2538" s="2020"/>
      <c r="Y2538" s="2020"/>
      <c r="Z2538" s="2024"/>
      <c r="AA2538" s="2024"/>
      <c r="AB2538" s="1057"/>
      <c r="AC2538" s="1057"/>
      <c r="AD2538" s="1057"/>
      <c r="AE2538" s="1057"/>
      <c r="AF2538" s="1058"/>
    </row>
    <row r="2539" spans="1:32" ht="15.75" x14ac:dyDescent="0.25">
      <c r="A2539" s="2009" t="s">
        <v>1855</v>
      </c>
      <c r="B2539" s="2010"/>
      <c r="C2539" s="2010"/>
      <c r="D2539" s="2010"/>
      <c r="E2539" s="2010"/>
      <c r="F2539" s="2010"/>
      <c r="G2539" s="2010"/>
      <c r="H2539" s="2010"/>
      <c r="I2539" s="2010"/>
      <c r="J2539" s="2010"/>
      <c r="K2539" s="2010"/>
      <c r="L2539" s="2010"/>
      <c r="M2539" s="2010"/>
      <c r="N2539" s="2010"/>
      <c r="O2539" s="2010"/>
      <c r="P2539" s="2010"/>
      <c r="Q2539" s="2010"/>
      <c r="R2539" s="2010"/>
      <c r="S2539" s="2010"/>
      <c r="T2539" s="2010"/>
      <c r="U2539" s="2010"/>
      <c r="V2539" s="2010"/>
      <c r="W2539" s="2010"/>
      <c r="X2539" s="2010"/>
      <c r="Y2539" s="2010"/>
      <c r="Z2539" s="2013" t="s">
        <v>1850</v>
      </c>
      <c r="AA2539" s="2013"/>
      <c r="AB2539" s="2013"/>
      <c r="AC2539" s="2013"/>
      <c r="AD2539" s="2013"/>
      <c r="AE2539" s="2013"/>
      <c r="AF2539" s="1059">
        <f>SUM(AF2515:AF2538)</f>
        <v>0.5</v>
      </c>
    </row>
    <row r="2540" spans="1:32" ht="15.75" x14ac:dyDescent="0.25">
      <c r="A2540" s="2011"/>
      <c r="B2540" s="2012"/>
      <c r="C2540" s="2012"/>
      <c r="D2540" s="2012"/>
      <c r="E2540" s="2012"/>
      <c r="F2540" s="2012"/>
      <c r="G2540" s="2012"/>
      <c r="H2540" s="2012"/>
      <c r="I2540" s="2012"/>
      <c r="J2540" s="2012"/>
      <c r="K2540" s="2012"/>
      <c r="L2540" s="2012"/>
      <c r="M2540" s="2012"/>
      <c r="N2540" s="2012"/>
      <c r="O2540" s="2012"/>
      <c r="P2540" s="2012"/>
      <c r="Q2540" s="2012"/>
      <c r="R2540" s="2012"/>
      <c r="S2540" s="2012"/>
      <c r="T2540" s="2012"/>
      <c r="U2540" s="2012"/>
      <c r="V2540" s="2012"/>
      <c r="W2540" s="2012"/>
      <c r="X2540" s="2012"/>
      <c r="Y2540" s="2012"/>
      <c r="Z2540" s="2014" t="s">
        <v>1851</v>
      </c>
      <c r="AA2540" s="2014"/>
      <c r="AB2540" s="2014"/>
      <c r="AC2540" s="2014"/>
      <c r="AD2540" s="2014"/>
      <c r="AE2540" s="2014"/>
      <c r="AF2540" s="1060">
        <v>0</v>
      </c>
    </row>
    <row r="2541" spans="1:32" ht="15.75" x14ac:dyDescent="0.25">
      <c r="A2541" s="2011"/>
      <c r="B2541" s="2012"/>
      <c r="C2541" s="2012"/>
      <c r="D2541" s="2012"/>
      <c r="E2541" s="2012"/>
      <c r="F2541" s="2012"/>
      <c r="G2541" s="2012"/>
      <c r="H2541" s="2012"/>
      <c r="I2541" s="2012"/>
      <c r="J2541" s="2012"/>
      <c r="K2541" s="2012"/>
      <c r="L2541" s="2012"/>
      <c r="M2541" s="2012"/>
      <c r="N2541" s="2012"/>
      <c r="O2541" s="2012"/>
      <c r="P2541" s="2012"/>
      <c r="Q2541" s="2012"/>
      <c r="R2541" s="2012"/>
      <c r="S2541" s="2012"/>
      <c r="T2541" s="2012"/>
      <c r="U2541" s="2012"/>
      <c r="V2541" s="2012"/>
      <c r="W2541" s="2012"/>
      <c r="X2541" s="2012"/>
      <c r="Y2541" s="2012"/>
      <c r="Z2541" s="2015" t="s">
        <v>1833</v>
      </c>
      <c r="AA2541" s="2015"/>
      <c r="AB2541" s="2015"/>
      <c r="AC2541" s="2015"/>
      <c r="AD2541" s="2015"/>
      <c r="AE2541" s="2015"/>
      <c r="AF2541" s="1061">
        <f>SUM(AF2539:AF2540)</f>
        <v>0.5</v>
      </c>
    </row>
    <row r="2542" spans="1:32" x14ac:dyDescent="0.2">
      <c r="A2542" s="2012" t="s">
        <v>1859</v>
      </c>
      <c r="B2542" s="2012"/>
      <c r="C2542" s="2012"/>
      <c r="D2542" s="2012"/>
      <c r="E2542" s="2012"/>
      <c r="F2542" s="2012"/>
      <c r="G2542" s="2012"/>
      <c r="H2542" s="2012"/>
      <c r="I2542" s="2012"/>
      <c r="J2542" s="2012"/>
      <c r="K2542" s="2012"/>
      <c r="L2542" s="2012"/>
      <c r="M2542" s="2012"/>
      <c r="N2542" s="2012"/>
      <c r="O2542" s="2012"/>
      <c r="P2542" s="2012"/>
      <c r="Q2542" s="2012"/>
      <c r="R2542" s="2012"/>
      <c r="S2542" s="2012"/>
      <c r="T2542" s="2016" t="s">
        <v>1840</v>
      </c>
      <c r="U2542" s="2016"/>
      <c r="V2542" s="2016"/>
      <c r="W2542" s="2016"/>
      <c r="X2542" s="2016"/>
      <c r="Y2542" s="2016"/>
      <c r="Z2542" s="2016"/>
      <c r="AA2542" s="2016"/>
      <c r="AB2542" s="2012" t="s">
        <v>1852</v>
      </c>
      <c r="AC2542" s="2012"/>
      <c r="AD2542" s="2012"/>
      <c r="AE2542" s="2012"/>
      <c r="AF2542" s="2012"/>
    </row>
    <row r="2543" spans="1:32" x14ac:dyDescent="0.2">
      <c r="A2543" s="2012"/>
      <c r="B2543" s="2012"/>
      <c r="C2543" s="2012"/>
      <c r="D2543" s="2012"/>
      <c r="E2543" s="2012"/>
      <c r="F2543" s="2012"/>
      <c r="G2543" s="2012"/>
      <c r="H2543" s="2012"/>
      <c r="I2543" s="2012"/>
      <c r="J2543" s="2012"/>
      <c r="K2543" s="2012"/>
      <c r="L2543" s="2012"/>
      <c r="M2543" s="2012"/>
      <c r="N2543" s="2012"/>
      <c r="O2543" s="2012"/>
      <c r="P2543" s="2012"/>
      <c r="Q2543" s="2012"/>
      <c r="R2543" s="2012"/>
      <c r="S2543" s="2012"/>
      <c r="T2543" s="2016"/>
      <c r="U2543" s="2016"/>
      <c r="V2543" s="2016"/>
      <c r="W2543" s="2016"/>
      <c r="X2543" s="2016"/>
      <c r="Y2543" s="2016"/>
      <c r="Z2543" s="2016"/>
      <c r="AA2543" s="2016"/>
      <c r="AB2543" s="2012"/>
      <c r="AC2543" s="2012"/>
      <c r="AD2543" s="2012"/>
      <c r="AE2543" s="2012"/>
      <c r="AF2543" s="2012"/>
    </row>
    <row r="2544" spans="1:32" ht="13.5" thickBot="1" x14ac:dyDescent="0.25"/>
    <row r="2545" spans="1:32" ht="26.45" customHeight="1" x14ac:dyDescent="0.2">
      <c r="A2545" s="2025" t="s">
        <v>1854</v>
      </c>
      <c r="B2545" s="2026"/>
      <c r="C2545" s="2026"/>
      <c r="D2545" s="2026"/>
      <c r="E2545" s="2026"/>
      <c r="F2545" s="2026"/>
      <c r="G2545" s="2026"/>
      <c r="H2545" s="2026"/>
      <c r="I2545" s="2026"/>
      <c r="J2545" s="2026"/>
      <c r="K2545" s="2026"/>
      <c r="L2545" s="2026"/>
      <c r="M2545" s="2026"/>
      <c r="N2545" s="2026"/>
      <c r="O2545" s="2026"/>
      <c r="P2545" s="2026"/>
      <c r="Q2545" s="2026"/>
      <c r="R2545" s="2026"/>
      <c r="S2545" s="2026"/>
      <c r="T2545" s="2026"/>
      <c r="U2545" s="2026"/>
      <c r="V2545" s="2026"/>
      <c r="W2545" s="2026"/>
      <c r="X2545" s="2026"/>
      <c r="Y2545" s="2026"/>
      <c r="Z2545" s="2026"/>
      <c r="AA2545" s="2026"/>
      <c r="AB2545" s="2026"/>
      <c r="AC2545" s="2026"/>
      <c r="AD2545" s="2026"/>
      <c r="AE2545" s="1041" t="s">
        <v>1834</v>
      </c>
      <c r="AF2545" s="1042" t="s">
        <v>1835</v>
      </c>
    </row>
    <row r="2546" spans="1:32" ht="21" customHeight="1" thickBot="1" x14ac:dyDescent="0.25">
      <c r="A2546" s="2027"/>
      <c r="B2546" s="2028"/>
      <c r="C2546" s="2028"/>
      <c r="D2546" s="2028"/>
      <c r="E2546" s="2028"/>
      <c r="F2546" s="2028"/>
      <c r="G2546" s="2028"/>
      <c r="H2546" s="2028"/>
      <c r="I2546" s="2028"/>
      <c r="J2546" s="2028"/>
      <c r="K2546" s="2028"/>
      <c r="L2546" s="2028"/>
      <c r="M2546" s="2028"/>
      <c r="N2546" s="2028"/>
      <c r="O2546" s="2028"/>
      <c r="P2546" s="2028"/>
      <c r="Q2546" s="2028"/>
      <c r="R2546" s="2028"/>
      <c r="S2546" s="2028"/>
      <c r="T2546" s="2028"/>
      <c r="U2546" s="2028"/>
      <c r="V2546" s="2028"/>
      <c r="W2546" s="2028"/>
      <c r="X2546" s="2028"/>
      <c r="Y2546" s="2028"/>
      <c r="Z2546" s="2028"/>
      <c r="AA2546" s="2028"/>
      <c r="AB2546" s="2028"/>
      <c r="AC2546" s="2028"/>
      <c r="AD2546" s="2028"/>
      <c r="AE2546" s="1041" t="s">
        <v>1836</v>
      </c>
      <c r="AF2546" s="1044">
        <v>1</v>
      </c>
    </row>
    <row r="2547" spans="1:32" ht="15.75" x14ac:dyDescent="0.2">
      <c r="A2547" s="2029"/>
      <c r="B2547" s="2030"/>
      <c r="C2547" s="2030"/>
      <c r="D2547" s="2031"/>
      <c r="E2547" s="2025" t="str">
        <f>'01'!$A$12</f>
        <v>"CONSTRUCCION SISTEMA DE ACUEDUCTO FASE II DEL MUNICIPIO DE TESALIA DPTO DEL HUILA"</v>
      </c>
      <c r="F2547" s="2026"/>
      <c r="G2547" s="2026"/>
      <c r="H2547" s="2026"/>
      <c r="I2547" s="2026"/>
      <c r="J2547" s="2026"/>
      <c r="K2547" s="2026"/>
      <c r="L2547" s="2026"/>
      <c r="M2547" s="2026"/>
      <c r="N2547" s="2026"/>
      <c r="O2547" s="2026"/>
      <c r="P2547" s="2026"/>
      <c r="Q2547" s="2026"/>
      <c r="R2547" s="2026"/>
      <c r="S2547" s="2026"/>
      <c r="T2547" s="2026"/>
      <c r="U2547" s="2026"/>
      <c r="V2547" s="2026"/>
      <c r="W2547" s="2026"/>
      <c r="X2547" s="2026"/>
      <c r="Y2547" s="2026"/>
      <c r="Z2547" s="2026"/>
      <c r="AA2547" s="2026"/>
      <c r="AB2547" s="2026"/>
      <c r="AC2547" s="2026"/>
      <c r="AD2547" s="2035"/>
      <c r="AE2547" s="1041" t="s">
        <v>847</v>
      </c>
      <c r="AF2547" s="1045">
        <f>'01'!$M$13</f>
        <v>0</v>
      </c>
    </row>
    <row r="2548" spans="1:32" ht="16.5" thickBot="1" x14ac:dyDescent="0.25">
      <c r="A2548" s="2032"/>
      <c r="B2548" s="2033"/>
      <c r="C2548" s="2033"/>
      <c r="D2548" s="2034"/>
      <c r="E2548" s="2027"/>
      <c r="F2548" s="2028"/>
      <c r="G2548" s="2028"/>
      <c r="H2548" s="2028"/>
      <c r="I2548" s="2028"/>
      <c r="J2548" s="2028"/>
      <c r="K2548" s="2028"/>
      <c r="L2548" s="2028"/>
      <c r="M2548" s="2028"/>
      <c r="N2548" s="2028"/>
      <c r="O2548" s="2028"/>
      <c r="P2548" s="2028"/>
      <c r="Q2548" s="2028"/>
      <c r="R2548" s="2028"/>
      <c r="S2548" s="2028"/>
      <c r="T2548" s="2028"/>
      <c r="U2548" s="2028"/>
      <c r="V2548" s="2028"/>
      <c r="W2548" s="2028"/>
      <c r="X2548" s="2028"/>
      <c r="Y2548" s="2028"/>
      <c r="Z2548" s="2028"/>
      <c r="AA2548" s="2028"/>
      <c r="AB2548" s="2028"/>
      <c r="AC2548" s="2028"/>
      <c r="AD2548" s="2036"/>
      <c r="AE2548" s="1041" t="s">
        <v>1837</v>
      </c>
      <c r="AF2548" s="1042" t="s">
        <v>1838</v>
      </c>
    </row>
    <row r="2549" spans="1:32" ht="15.75" x14ac:dyDescent="0.25">
      <c r="A2549" s="2037" t="s">
        <v>1860</v>
      </c>
      <c r="B2549" s="2038"/>
      <c r="C2549" s="2038"/>
      <c r="D2549" s="2038"/>
      <c r="E2549" s="2038"/>
      <c r="F2549" s="2038"/>
      <c r="G2549" s="2038"/>
      <c r="H2549" s="2038"/>
      <c r="I2549" s="2038"/>
      <c r="J2549" s="2038"/>
      <c r="K2549" s="2038"/>
      <c r="L2549" s="2038"/>
      <c r="M2549" s="2038"/>
      <c r="N2549" s="2038"/>
      <c r="O2549" s="2038"/>
      <c r="P2549" s="2038"/>
      <c r="Q2549" s="2038"/>
      <c r="R2549" s="2038"/>
      <c r="S2549" s="2038"/>
      <c r="T2549" s="2038"/>
      <c r="U2549" s="2038"/>
      <c r="V2549" s="2038"/>
      <c r="W2549" s="2038"/>
      <c r="X2549" s="2038"/>
      <c r="Y2549" s="2038"/>
      <c r="Z2549" s="2038"/>
      <c r="AA2549" s="2038"/>
      <c r="AB2549" s="2038"/>
      <c r="AC2549" s="2038"/>
      <c r="AD2549" s="2038"/>
      <c r="AE2549" s="2039" t="s">
        <v>1839</v>
      </c>
      <c r="AF2549" s="2040"/>
    </row>
    <row r="2550" spans="1:32" ht="15.75" x14ac:dyDescent="0.25">
      <c r="A2550" s="2041" t="s">
        <v>1840</v>
      </c>
      <c r="B2550" s="2042"/>
      <c r="C2550" s="2042"/>
      <c r="D2550" s="2042"/>
      <c r="E2550" s="2042"/>
      <c r="F2550" s="2042"/>
      <c r="G2550" s="2042"/>
      <c r="H2550" s="2042"/>
      <c r="I2550" s="2042"/>
      <c r="J2550" s="2042"/>
      <c r="K2550" s="2042"/>
      <c r="L2550" s="2042"/>
      <c r="M2550" s="2042"/>
      <c r="N2550" s="2042"/>
      <c r="O2550" s="2042"/>
      <c r="P2550" s="2042"/>
      <c r="Q2550" s="2042"/>
      <c r="R2550" s="2042"/>
      <c r="S2550" s="2042"/>
      <c r="T2550" s="2042"/>
      <c r="U2550" s="2042"/>
      <c r="V2550" s="2042"/>
      <c r="W2550" s="2042"/>
      <c r="X2550" s="2042"/>
      <c r="Y2550" s="2042"/>
      <c r="Z2550" s="2042"/>
      <c r="AA2550" s="2042"/>
      <c r="AB2550" s="2042"/>
      <c r="AC2550" s="2042"/>
      <c r="AD2550" s="2043"/>
      <c r="AE2550" s="2014" t="s">
        <v>1841</v>
      </c>
      <c r="AF2550" s="2044"/>
    </row>
    <row r="2551" spans="1:32" ht="15.75" x14ac:dyDescent="0.25">
      <c r="A2551" s="2045" t="s">
        <v>1853</v>
      </c>
      <c r="B2551" s="2046"/>
      <c r="C2551" s="2046"/>
      <c r="D2551" s="2046"/>
      <c r="E2551" s="2046"/>
      <c r="F2551" s="2046"/>
      <c r="G2551" s="2046"/>
      <c r="H2551" s="2046"/>
      <c r="I2551" s="2046"/>
      <c r="J2551" s="2046"/>
      <c r="K2551" s="2046"/>
      <c r="L2551" s="2046"/>
      <c r="M2551" s="2046"/>
      <c r="N2551" s="2046"/>
      <c r="O2551" s="2046"/>
      <c r="P2551" s="2046"/>
      <c r="Q2551" s="2046"/>
      <c r="R2551" s="2046"/>
      <c r="S2551" s="2046"/>
      <c r="T2551" s="2046"/>
      <c r="U2551" s="2046"/>
      <c r="V2551" s="2046"/>
      <c r="W2551" s="2046"/>
      <c r="X2551" s="2046"/>
      <c r="Y2551" s="2046"/>
      <c r="Z2551" s="2046"/>
      <c r="AA2551" s="2046"/>
      <c r="AB2551" s="2046"/>
      <c r="AC2551" s="2046"/>
      <c r="AD2551" s="2046"/>
      <c r="AE2551" s="2047">
        <f>'01'!$M$13</f>
        <v>0</v>
      </c>
      <c r="AF2551" s="2044"/>
    </row>
    <row r="2552" spans="1:32" x14ac:dyDescent="0.2">
      <c r="A2552" s="1046"/>
      <c r="B2552" s="1047"/>
      <c r="C2552" s="1047"/>
      <c r="D2552" s="1047"/>
      <c r="E2552" s="1047"/>
      <c r="F2552" s="1047"/>
      <c r="G2552" s="1047"/>
      <c r="H2552" s="1047"/>
      <c r="I2552" s="1047"/>
      <c r="J2552" s="1047"/>
      <c r="K2552" s="1047"/>
      <c r="L2552" s="1047"/>
      <c r="M2552" s="1047"/>
      <c r="N2552" s="1047"/>
      <c r="O2552" s="1047"/>
      <c r="P2552" s="1047"/>
      <c r="Q2552" s="1047"/>
      <c r="R2552" s="1047"/>
      <c r="S2552" s="1047"/>
      <c r="T2552" s="1047"/>
      <c r="U2552" s="1047"/>
      <c r="V2552" s="1047"/>
      <c r="W2552" s="1047"/>
      <c r="X2552" s="1047"/>
      <c r="Y2552" s="1047"/>
      <c r="Z2552" s="1047"/>
      <c r="AA2552" s="1047"/>
      <c r="AB2552" s="1047"/>
      <c r="AC2552" s="1047"/>
      <c r="AD2552" s="1047"/>
      <c r="AE2552" s="1047"/>
      <c r="AF2552" s="1048"/>
    </row>
    <row r="2553" spans="1:32" ht="30" customHeight="1" x14ac:dyDescent="0.2">
      <c r="A2553" s="2048" t="s">
        <v>1842</v>
      </c>
      <c r="B2553" s="2049"/>
      <c r="C2553" s="2049"/>
      <c r="D2553" s="2049"/>
      <c r="E2553" s="2049"/>
      <c r="F2553" s="2050" t="str">
        <f>+'01'!$H$105</f>
        <v>D - CANAL DE DESINFECCIÓN</v>
      </c>
      <c r="G2553" s="2049"/>
      <c r="H2553" s="2049"/>
      <c r="I2553" s="2049"/>
      <c r="J2553" s="2049"/>
      <c r="K2553" s="2049"/>
      <c r="L2553" s="2049"/>
      <c r="M2553" s="2049"/>
      <c r="N2553" s="2049"/>
      <c r="O2553" s="2049"/>
      <c r="P2553" s="2049"/>
      <c r="Q2553" s="2049"/>
      <c r="R2553" s="2049"/>
      <c r="S2553" s="2049"/>
      <c r="T2553" s="2049"/>
      <c r="U2553" s="2049"/>
      <c r="V2553" s="2049"/>
      <c r="W2553" s="2049"/>
      <c r="X2553" s="2049"/>
      <c r="Y2553" s="2051"/>
      <c r="Z2553" s="2052" t="s">
        <v>1843</v>
      </c>
      <c r="AA2553" s="2053"/>
      <c r="AB2553" s="2058" t="s">
        <v>1844</v>
      </c>
      <c r="AC2553" s="2059"/>
      <c r="AD2553" s="2060"/>
      <c r="AE2553" s="2064" t="s">
        <v>1845</v>
      </c>
      <c r="AF2553" s="2067" t="s">
        <v>1846</v>
      </c>
    </row>
    <row r="2554" spans="1:32" ht="15" customHeight="1" x14ac:dyDescent="0.2">
      <c r="A2554" s="2070" t="str">
        <f>+'01'!A113</f>
        <v>D-03-02</v>
      </c>
      <c r="B2554" s="2071"/>
      <c r="C2554" s="2072"/>
      <c r="D2554" s="2076" t="str">
        <f>VLOOKUP(A2554,'01'!$A$12:$N$299,3,FALSE)</f>
        <v>RELLENO EN RECEBO COMUN PROVENIENTE DE MATERIAL DE PRESTAMO, COMPACTADO MECANICAMENTE.</v>
      </c>
      <c r="E2554" s="2077"/>
      <c r="F2554" s="2077"/>
      <c r="G2554" s="2077"/>
      <c r="H2554" s="2077"/>
      <c r="I2554" s="2077"/>
      <c r="J2554" s="2077"/>
      <c r="K2554" s="2077"/>
      <c r="L2554" s="2077"/>
      <c r="M2554" s="2077"/>
      <c r="N2554" s="2077"/>
      <c r="O2554" s="2077"/>
      <c r="P2554" s="2077"/>
      <c r="Q2554" s="2077"/>
      <c r="R2554" s="2077"/>
      <c r="S2554" s="2078"/>
      <c r="T2554" s="2082" t="s">
        <v>124</v>
      </c>
      <c r="U2554" s="2083"/>
      <c r="V2554" s="2083"/>
      <c r="W2554" s="2083"/>
      <c r="X2554" s="2052" t="str">
        <f>VLOOKUP(A2554,'01'!$A$12:$N$299,9,FALSE)</f>
        <v>M3</v>
      </c>
      <c r="Y2554" s="2053"/>
      <c r="Z2554" s="2054"/>
      <c r="AA2554" s="2055"/>
      <c r="AB2554" s="2061"/>
      <c r="AC2554" s="2062"/>
      <c r="AD2554" s="2063"/>
      <c r="AE2554" s="2065"/>
      <c r="AF2554" s="2068"/>
    </row>
    <row r="2555" spans="1:32" ht="15" customHeight="1" x14ac:dyDescent="0.25">
      <c r="A2555" s="2073"/>
      <c r="B2555" s="2074"/>
      <c r="C2555" s="2075"/>
      <c r="D2555" s="2079"/>
      <c r="E2555" s="2080"/>
      <c r="F2555" s="2080"/>
      <c r="G2555" s="2080"/>
      <c r="H2555" s="2080"/>
      <c r="I2555" s="2080"/>
      <c r="J2555" s="2080"/>
      <c r="K2555" s="2080"/>
      <c r="L2555" s="2080"/>
      <c r="M2555" s="2080"/>
      <c r="N2555" s="2080"/>
      <c r="O2555" s="2080"/>
      <c r="P2555" s="2080"/>
      <c r="Q2555" s="2080"/>
      <c r="R2555" s="2080"/>
      <c r="S2555" s="2081"/>
      <c r="T2555" s="2084"/>
      <c r="U2555" s="2085"/>
      <c r="V2555" s="2085"/>
      <c r="W2555" s="2085"/>
      <c r="X2555" s="2056"/>
      <c r="Y2555" s="2057"/>
      <c r="Z2555" s="2056"/>
      <c r="AA2555" s="2057"/>
      <c r="AB2555" s="1049" t="s">
        <v>1847</v>
      </c>
      <c r="AC2555" s="1049" t="s">
        <v>1848</v>
      </c>
      <c r="AD2555" s="1049" t="s">
        <v>1861</v>
      </c>
      <c r="AE2555" s="2066"/>
      <c r="AF2555" s="2069"/>
    </row>
    <row r="2556" spans="1:32" ht="15.6" customHeight="1" x14ac:dyDescent="0.25">
      <c r="A2556" s="2017"/>
      <c r="B2556" s="2018"/>
      <c r="C2556" s="2018"/>
      <c r="D2556" s="2018"/>
      <c r="E2556" s="2018"/>
      <c r="F2556" s="2018"/>
      <c r="G2556" s="2018"/>
      <c r="H2556" s="2018"/>
      <c r="I2556" s="2018"/>
      <c r="J2556" s="2018"/>
      <c r="K2556" s="2018"/>
      <c r="L2556" s="2018"/>
      <c r="M2556" s="2018"/>
      <c r="N2556" s="2018"/>
      <c r="O2556" s="2018"/>
      <c r="P2556" s="2018"/>
      <c r="Q2556" s="2018"/>
      <c r="R2556" s="2018"/>
      <c r="S2556" s="2018"/>
      <c r="T2556" s="2018"/>
      <c r="U2556" s="2018"/>
      <c r="V2556" s="2018"/>
      <c r="W2556" s="2018"/>
      <c r="X2556" s="2018"/>
      <c r="Y2556" s="2018"/>
      <c r="Z2556" s="2096" t="s">
        <v>2451</v>
      </c>
      <c r="AA2556" s="2097"/>
      <c r="AB2556" s="1050">
        <v>6.2</v>
      </c>
      <c r="AC2556" s="1050">
        <v>5.85</v>
      </c>
      <c r="AD2556" s="1050">
        <v>0.2</v>
      </c>
      <c r="AE2556" s="1050">
        <v>1</v>
      </c>
      <c r="AF2556" s="1052">
        <f>+ROUND(AB2556*AC2556*AD2556*AE2556,2)</f>
        <v>7.25</v>
      </c>
    </row>
    <row r="2557" spans="1:32" ht="15.6" customHeight="1" x14ac:dyDescent="0.25">
      <c r="A2557" s="2017"/>
      <c r="B2557" s="2018"/>
      <c r="C2557" s="2018"/>
      <c r="D2557" s="2018"/>
      <c r="E2557" s="2018"/>
      <c r="F2557" s="2018"/>
      <c r="G2557" s="2018"/>
      <c r="H2557" s="2018"/>
      <c r="I2557" s="2018"/>
      <c r="J2557" s="2018"/>
      <c r="K2557" s="2018"/>
      <c r="L2557" s="2018"/>
      <c r="M2557" s="2018"/>
      <c r="N2557" s="2018"/>
      <c r="O2557" s="2018"/>
      <c r="P2557" s="2018"/>
      <c r="Q2557" s="2018"/>
      <c r="R2557" s="2018"/>
      <c r="S2557" s="2018"/>
      <c r="T2557" s="2018"/>
      <c r="U2557" s="2018"/>
      <c r="V2557" s="2018"/>
      <c r="W2557" s="2018"/>
      <c r="X2557" s="2018"/>
      <c r="Y2557" s="2018"/>
      <c r="Z2557" s="2096" t="s">
        <v>2452</v>
      </c>
      <c r="AA2557" s="2097"/>
      <c r="AB2557" s="1050">
        <v>1</v>
      </c>
      <c r="AC2557" s="1050">
        <v>1</v>
      </c>
      <c r="AD2557" s="1050">
        <v>0.1</v>
      </c>
      <c r="AE2557" s="1050">
        <v>1</v>
      </c>
      <c r="AF2557" s="1052">
        <f>+ROUND(AB2557*AC2557*AD2557*AE2557,2)</f>
        <v>0.1</v>
      </c>
    </row>
    <row r="2558" spans="1:32" ht="15.75" x14ac:dyDescent="0.25">
      <c r="A2558" s="2017"/>
      <c r="B2558" s="2018"/>
      <c r="C2558" s="2018"/>
      <c r="D2558" s="2018"/>
      <c r="E2558" s="2018"/>
      <c r="F2558" s="2018"/>
      <c r="G2558" s="2018"/>
      <c r="H2558" s="2018"/>
      <c r="I2558" s="2018"/>
      <c r="J2558" s="2018"/>
      <c r="K2558" s="2018"/>
      <c r="L2558" s="2018"/>
      <c r="M2558" s="2018"/>
      <c r="N2558" s="2018"/>
      <c r="O2558" s="2018"/>
      <c r="P2558" s="2018"/>
      <c r="Q2558" s="2018"/>
      <c r="R2558" s="2018"/>
      <c r="S2558" s="2018"/>
      <c r="T2558" s="2018"/>
      <c r="U2558" s="2018"/>
      <c r="V2558" s="2018"/>
      <c r="W2558" s="2018"/>
      <c r="X2558" s="2018"/>
      <c r="Y2558" s="2018"/>
      <c r="Z2558" s="2096"/>
      <c r="AA2558" s="2097"/>
      <c r="AB2558" s="1050"/>
      <c r="AC2558" s="1050"/>
      <c r="AD2558" s="1050"/>
      <c r="AE2558" s="1050"/>
      <c r="AF2558" s="1052"/>
    </row>
    <row r="2559" spans="1:32" ht="15.75" x14ac:dyDescent="0.25">
      <c r="A2559" s="2017"/>
      <c r="B2559" s="2018"/>
      <c r="C2559" s="2018"/>
      <c r="D2559" s="2018"/>
      <c r="E2559" s="2018"/>
      <c r="F2559" s="2018"/>
      <c r="G2559" s="2018"/>
      <c r="H2559" s="2018"/>
      <c r="I2559" s="2018"/>
      <c r="J2559" s="2018"/>
      <c r="K2559" s="2018"/>
      <c r="L2559" s="2018"/>
      <c r="M2559" s="2018"/>
      <c r="N2559" s="2018"/>
      <c r="O2559" s="2018"/>
      <c r="P2559" s="2018"/>
      <c r="Q2559" s="2018"/>
      <c r="R2559" s="2018"/>
      <c r="S2559" s="2018"/>
      <c r="T2559" s="2018"/>
      <c r="U2559" s="2018"/>
      <c r="V2559" s="2018"/>
      <c r="W2559" s="2018"/>
      <c r="X2559" s="2018"/>
      <c r="Y2559" s="2018"/>
      <c r="Z2559" s="2096"/>
      <c r="AA2559" s="2097"/>
      <c r="AB2559" s="1050"/>
      <c r="AC2559" s="1050"/>
      <c r="AD2559" s="1050"/>
      <c r="AE2559" s="1050"/>
      <c r="AF2559" s="1052"/>
    </row>
    <row r="2560" spans="1:32" ht="15.75" x14ac:dyDescent="0.25">
      <c r="A2560" s="2017"/>
      <c r="B2560" s="2018"/>
      <c r="C2560" s="2018"/>
      <c r="D2560" s="2018"/>
      <c r="E2560" s="2018"/>
      <c r="F2560" s="2018"/>
      <c r="G2560" s="2018"/>
      <c r="H2560" s="2018"/>
      <c r="I2560" s="2018"/>
      <c r="J2560" s="2018"/>
      <c r="K2560" s="2018"/>
      <c r="L2560" s="2018"/>
      <c r="M2560" s="2018"/>
      <c r="N2560" s="2018"/>
      <c r="O2560" s="2018"/>
      <c r="P2560" s="2018"/>
      <c r="Q2560" s="2018"/>
      <c r="R2560" s="2018"/>
      <c r="S2560" s="2018"/>
      <c r="T2560" s="2018"/>
      <c r="U2560" s="2018"/>
      <c r="V2560" s="2018"/>
      <c r="W2560" s="2018"/>
      <c r="X2560" s="2018"/>
      <c r="Y2560" s="2018"/>
      <c r="Z2560" s="2096"/>
      <c r="AA2560" s="2097"/>
      <c r="AB2560" s="1050"/>
      <c r="AC2560" s="1050"/>
      <c r="AD2560" s="1050"/>
      <c r="AE2560" s="1050"/>
      <c r="AF2560" s="1052"/>
    </row>
    <row r="2561" spans="1:32" ht="15.75" x14ac:dyDescent="0.25">
      <c r="A2561" s="2017"/>
      <c r="B2561" s="2018"/>
      <c r="C2561" s="2018"/>
      <c r="D2561" s="2018"/>
      <c r="E2561" s="2018"/>
      <c r="F2561" s="2018"/>
      <c r="G2561" s="2018"/>
      <c r="H2561" s="2018"/>
      <c r="I2561" s="2018"/>
      <c r="J2561" s="2018"/>
      <c r="K2561" s="2018"/>
      <c r="L2561" s="2018"/>
      <c r="M2561" s="2018"/>
      <c r="N2561" s="2018"/>
      <c r="O2561" s="2018"/>
      <c r="P2561" s="2018"/>
      <c r="Q2561" s="2018"/>
      <c r="R2561" s="2018"/>
      <c r="S2561" s="2018"/>
      <c r="T2561" s="2018"/>
      <c r="U2561" s="2018"/>
      <c r="V2561" s="2018"/>
      <c r="W2561" s="2018"/>
      <c r="X2561" s="2018"/>
      <c r="Y2561" s="2018"/>
      <c r="Z2561" s="2096"/>
      <c r="AA2561" s="2097"/>
      <c r="AB2561" s="1050"/>
      <c r="AC2561" s="1050"/>
      <c r="AD2561" s="1050"/>
      <c r="AE2561" s="1050"/>
      <c r="AF2561" s="1052"/>
    </row>
    <row r="2562" spans="1:32" ht="15.75" x14ac:dyDescent="0.25">
      <c r="A2562" s="2017"/>
      <c r="B2562" s="2018"/>
      <c r="C2562" s="2018"/>
      <c r="D2562" s="2018"/>
      <c r="E2562" s="2018"/>
      <c r="F2562" s="2018"/>
      <c r="G2562" s="2018"/>
      <c r="H2562" s="2018"/>
      <c r="I2562" s="2018"/>
      <c r="J2562" s="2018"/>
      <c r="K2562" s="2018"/>
      <c r="L2562" s="2018"/>
      <c r="M2562" s="2018"/>
      <c r="N2562" s="2018"/>
      <c r="O2562" s="2018"/>
      <c r="P2562" s="2018"/>
      <c r="Q2562" s="2018"/>
      <c r="R2562" s="2018"/>
      <c r="S2562" s="2018"/>
      <c r="T2562" s="2018"/>
      <c r="U2562" s="2018"/>
      <c r="V2562" s="2018"/>
      <c r="W2562" s="2018"/>
      <c r="X2562" s="2018"/>
      <c r="Y2562" s="2018"/>
      <c r="Z2562" s="2105"/>
      <c r="AA2562" s="2105"/>
      <c r="AB2562" s="1050"/>
      <c r="AC2562" s="1050"/>
      <c r="AD2562" s="1050"/>
      <c r="AE2562" s="1050"/>
      <c r="AF2562" s="1052"/>
    </row>
    <row r="2563" spans="1:32" ht="15.75" x14ac:dyDescent="0.25">
      <c r="A2563" s="2017"/>
      <c r="B2563" s="2018"/>
      <c r="C2563" s="2018"/>
      <c r="D2563" s="2018"/>
      <c r="E2563" s="2018"/>
      <c r="F2563" s="2018"/>
      <c r="G2563" s="2018"/>
      <c r="H2563" s="2018"/>
      <c r="I2563" s="2018"/>
      <c r="J2563" s="2018"/>
      <c r="K2563" s="2018"/>
      <c r="L2563" s="2018"/>
      <c r="M2563" s="2018"/>
      <c r="N2563" s="2018"/>
      <c r="O2563" s="2018"/>
      <c r="P2563" s="2018"/>
      <c r="Q2563" s="2018"/>
      <c r="R2563" s="2018"/>
      <c r="S2563" s="2018"/>
      <c r="T2563" s="2018"/>
      <c r="U2563" s="2018"/>
      <c r="V2563" s="2018"/>
      <c r="W2563" s="2018"/>
      <c r="X2563" s="2018"/>
      <c r="Y2563" s="2018"/>
      <c r="Z2563" s="2105"/>
      <c r="AA2563" s="2105"/>
      <c r="AB2563" s="1050"/>
      <c r="AC2563" s="1050"/>
      <c r="AD2563" s="1050"/>
      <c r="AE2563" s="1050"/>
      <c r="AF2563" s="1052"/>
    </row>
    <row r="2564" spans="1:32" ht="15.75" x14ac:dyDescent="0.25">
      <c r="A2564" s="2017"/>
      <c r="B2564" s="2018"/>
      <c r="C2564" s="2018"/>
      <c r="D2564" s="2018"/>
      <c r="E2564" s="2018"/>
      <c r="F2564" s="2018"/>
      <c r="G2564" s="2018"/>
      <c r="H2564" s="2018"/>
      <c r="I2564" s="2018"/>
      <c r="J2564" s="2018"/>
      <c r="K2564" s="2018"/>
      <c r="L2564" s="2018"/>
      <c r="M2564" s="2018"/>
      <c r="N2564" s="2018"/>
      <c r="O2564" s="2018"/>
      <c r="P2564" s="2018"/>
      <c r="Q2564" s="2018"/>
      <c r="R2564" s="2018"/>
      <c r="S2564" s="2018"/>
      <c r="T2564" s="2018"/>
      <c r="U2564" s="2018"/>
      <c r="V2564" s="2018"/>
      <c r="W2564" s="2018"/>
      <c r="X2564" s="2018"/>
      <c r="Y2564" s="2018"/>
      <c r="Z2564" s="2105"/>
      <c r="AA2564" s="2105"/>
      <c r="AB2564" s="1050"/>
      <c r="AC2564" s="1050"/>
      <c r="AD2564" s="1050"/>
      <c r="AE2564" s="1050"/>
      <c r="AF2564" s="1052"/>
    </row>
    <row r="2565" spans="1:32" ht="15.75" x14ac:dyDescent="0.25">
      <c r="A2565" s="2017"/>
      <c r="B2565" s="2018"/>
      <c r="C2565" s="2018"/>
      <c r="D2565" s="2018"/>
      <c r="E2565" s="2018"/>
      <c r="F2565" s="2018"/>
      <c r="G2565" s="2018"/>
      <c r="H2565" s="2018"/>
      <c r="I2565" s="2018"/>
      <c r="J2565" s="2018"/>
      <c r="K2565" s="2018"/>
      <c r="L2565" s="2018"/>
      <c r="M2565" s="2018"/>
      <c r="N2565" s="2018"/>
      <c r="O2565" s="2018"/>
      <c r="P2565" s="2018"/>
      <c r="Q2565" s="2018"/>
      <c r="R2565" s="2018"/>
      <c r="S2565" s="2018"/>
      <c r="T2565" s="2018"/>
      <c r="U2565" s="2018"/>
      <c r="V2565" s="2018"/>
      <c r="W2565" s="2018"/>
      <c r="X2565" s="2018"/>
      <c r="Y2565" s="2018"/>
      <c r="Z2565" s="2105"/>
      <c r="AA2565" s="2105"/>
      <c r="AB2565" s="1050"/>
      <c r="AC2565" s="1050"/>
      <c r="AD2565" s="1050"/>
      <c r="AE2565" s="1050"/>
      <c r="AF2565" s="1052"/>
    </row>
    <row r="2566" spans="1:32" ht="15.75" x14ac:dyDescent="0.25">
      <c r="A2566" s="2017"/>
      <c r="B2566" s="2018"/>
      <c r="C2566" s="2018"/>
      <c r="D2566" s="2018"/>
      <c r="E2566" s="2018"/>
      <c r="F2566" s="2018"/>
      <c r="G2566" s="2018"/>
      <c r="H2566" s="2018"/>
      <c r="I2566" s="2018"/>
      <c r="J2566" s="2018"/>
      <c r="K2566" s="2018"/>
      <c r="L2566" s="2018"/>
      <c r="M2566" s="2018"/>
      <c r="N2566" s="2018"/>
      <c r="O2566" s="2018"/>
      <c r="P2566" s="2018"/>
      <c r="Q2566" s="2018"/>
      <c r="R2566" s="2018"/>
      <c r="S2566" s="2018"/>
      <c r="T2566" s="2018"/>
      <c r="U2566" s="2018"/>
      <c r="V2566" s="2018"/>
      <c r="W2566" s="2018"/>
      <c r="X2566" s="2018"/>
      <c r="Y2566" s="2018"/>
      <c r="Z2566" s="2105"/>
      <c r="AA2566" s="2105"/>
      <c r="AB2566" s="1050"/>
      <c r="AC2566" s="1050"/>
      <c r="AD2566" s="1050"/>
      <c r="AE2566" s="1050"/>
      <c r="AF2566" s="1052"/>
    </row>
    <row r="2567" spans="1:32" ht="15.75" x14ac:dyDescent="0.25">
      <c r="A2567" s="2017"/>
      <c r="B2567" s="2018"/>
      <c r="C2567" s="2018"/>
      <c r="D2567" s="2018"/>
      <c r="E2567" s="2018"/>
      <c r="F2567" s="2018"/>
      <c r="G2567" s="2018"/>
      <c r="H2567" s="2018"/>
      <c r="I2567" s="2018"/>
      <c r="J2567" s="2018"/>
      <c r="K2567" s="2018"/>
      <c r="L2567" s="2018"/>
      <c r="M2567" s="2018"/>
      <c r="N2567" s="2018"/>
      <c r="O2567" s="2018"/>
      <c r="P2567" s="2018"/>
      <c r="Q2567" s="2018"/>
      <c r="R2567" s="2018"/>
      <c r="S2567" s="2018"/>
      <c r="T2567" s="2018"/>
      <c r="U2567" s="2018"/>
      <c r="V2567" s="2018"/>
      <c r="W2567" s="2018"/>
      <c r="X2567" s="2018"/>
      <c r="Y2567" s="2018"/>
      <c r="Z2567" s="2105"/>
      <c r="AA2567" s="2105"/>
      <c r="AB2567" s="1050"/>
      <c r="AC2567" s="1050"/>
      <c r="AD2567" s="1050"/>
      <c r="AE2567" s="1050"/>
      <c r="AF2567" s="1052"/>
    </row>
    <row r="2568" spans="1:32" ht="15.75" x14ac:dyDescent="0.25">
      <c r="A2568" s="2017"/>
      <c r="B2568" s="2018"/>
      <c r="C2568" s="2018"/>
      <c r="D2568" s="2018"/>
      <c r="E2568" s="2018"/>
      <c r="F2568" s="2018"/>
      <c r="G2568" s="2018"/>
      <c r="H2568" s="2018"/>
      <c r="I2568" s="2018"/>
      <c r="J2568" s="2018"/>
      <c r="K2568" s="2018"/>
      <c r="L2568" s="2018"/>
      <c r="M2568" s="2018"/>
      <c r="N2568" s="2018"/>
      <c r="O2568" s="2018"/>
      <c r="P2568" s="2018"/>
      <c r="Q2568" s="2018"/>
      <c r="R2568" s="2018"/>
      <c r="S2568" s="2018"/>
      <c r="T2568" s="2018"/>
      <c r="U2568" s="2018"/>
      <c r="V2568" s="2018"/>
      <c r="W2568" s="2018"/>
      <c r="X2568" s="2018"/>
      <c r="Y2568" s="2018"/>
      <c r="Z2568" s="2105"/>
      <c r="AA2568" s="2105"/>
      <c r="AB2568" s="1050"/>
      <c r="AC2568" s="1050"/>
      <c r="AD2568" s="1050"/>
      <c r="AE2568" s="1050"/>
      <c r="AF2568" s="1052"/>
    </row>
    <row r="2569" spans="1:32" ht="15.75" x14ac:dyDescent="0.25">
      <c r="A2569" s="2017"/>
      <c r="B2569" s="2018"/>
      <c r="C2569" s="2018"/>
      <c r="D2569" s="2018"/>
      <c r="E2569" s="2018"/>
      <c r="F2569" s="2018"/>
      <c r="G2569" s="2018"/>
      <c r="H2569" s="2018"/>
      <c r="I2569" s="2018"/>
      <c r="J2569" s="2018"/>
      <c r="K2569" s="2018"/>
      <c r="L2569" s="2018"/>
      <c r="M2569" s="2018"/>
      <c r="N2569" s="2018"/>
      <c r="O2569" s="2018"/>
      <c r="P2569" s="2018"/>
      <c r="Q2569" s="2018"/>
      <c r="R2569" s="2018"/>
      <c r="S2569" s="2018"/>
      <c r="T2569" s="2018"/>
      <c r="U2569" s="2018"/>
      <c r="V2569" s="2018"/>
      <c r="W2569" s="2018"/>
      <c r="X2569" s="2018"/>
      <c r="Y2569" s="2018"/>
      <c r="Z2569" s="2022"/>
      <c r="AA2569" s="2022"/>
      <c r="AB2569" s="1050"/>
      <c r="AC2569" s="1050"/>
      <c r="AD2569" s="1050"/>
      <c r="AE2569" s="1050"/>
      <c r="AF2569" s="1052"/>
    </row>
    <row r="2570" spans="1:32" ht="15.75" x14ac:dyDescent="0.25">
      <c r="A2570" s="2017"/>
      <c r="B2570" s="2018"/>
      <c r="C2570" s="2018"/>
      <c r="D2570" s="2018"/>
      <c r="E2570" s="2018"/>
      <c r="F2570" s="2018"/>
      <c r="G2570" s="2018"/>
      <c r="H2570" s="2018"/>
      <c r="I2570" s="2018"/>
      <c r="J2570" s="2018"/>
      <c r="K2570" s="2018"/>
      <c r="L2570" s="2018"/>
      <c r="M2570" s="2018"/>
      <c r="N2570" s="2018"/>
      <c r="O2570" s="2018"/>
      <c r="P2570" s="2018"/>
      <c r="Q2570" s="2018"/>
      <c r="R2570" s="2018"/>
      <c r="S2570" s="2018"/>
      <c r="T2570" s="2018"/>
      <c r="U2570" s="2018"/>
      <c r="V2570" s="2018"/>
      <c r="W2570" s="2018"/>
      <c r="X2570" s="2018"/>
      <c r="Y2570" s="2018"/>
      <c r="Z2570" s="2022"/>
      <c r="AA2570" s="2022"/>
      <c r="AB2570" s="1050"/>
      <c r="AC2570" s="1050"/>
      <c r="AD2570" s="1050"/>
      <c r="AE2570" s="1050"/>
      <c r="AF2570" s="1052"/>
    </row>
    <row r="2571" spans="1:32" ht="15.75" x14ac:dyDescent="0.25">
      <c r="A2571" s="2017"/>
      <c r="B2571" s="2018"/>
      <c r="C2571" s="2018"/>
      <c r="D2571" s="2018"/>
      <c r="E2571" s="2018"/>
      <c r="F2571" s="2018"/>
      <c r="G2571" s="2018"/>
      <c r="H2571" s="2018"/>
      <c r="I2571" s="2018"/>
      <c r="J2571" s="2018"/>
      <c r="K2571" s="2018"/>
      <c r="L2571" s="2018"/>
      <c r="M2571" s="2018"/>
      <c r="N2571" s="2018"/>
      <c r="O2571" s="2018"/>
      <c r="P2571" s="2018"/>
      <c r="Q2571" s="2018"/>
      <c r="R2571" s="2018"/>
      <c r="S2571" s="2018"/>
      <c r="T2571" s="2018"/>
      <c r="U2571" s="2018"/>
      <c r="V2571" s="2018"/>
      <c r="W2571" s="2018"/>
      <c r="X2571" s="2018"/>
      <c r="Y2571" s="2018"/>
      <c r="Z2571" s="2022"/>
      <c r="AA2571" s="2022"/>
      <c r="AB2571" s="1050"/>
      <c r="AC2571" s="1050"/>
      <c r="AD2571" s="1050"/>
      <c r="AE2571" s="1050"/>
      <c r="AF2571" s="1052"/>
    </row>
    <row r="2572" spans="1:32" ht="15.75" x14ac:dyDescent="0.25">
      <c r="A2572" s="2017"/>
      <c r="B2572" s="2018"/>
      <c r="C2572" s="2018"/>
      <c r="D2572" s="2018"/>
      <c r="E2572" s="2018"/>
      <c r="F2572" s="2018"/>
      <c r="G2572" s="2018"/>
      <c r="H2572" s="2018"/>
      <c r="I2572" s="2018"/>
      <c r="J2572" s="2018"/>
      <c r="K2572" s="2018"/>
      <c r="L2572" s="2018"/>
      <c r="M2572" s="2018"/>
      <c r="N2572" s="2018"/>
      <c r="O2572" s="2018"/>
      <c r="P2572" s="2018"/>
      <c r="Q2572" s="2018"/>
      <c r="R2572" s="2018"/>
      <c r="S2572" s="2018"/>
      <c r="T2572" s="2018"/>
      <c r="U2572" s="2018"/>
      <c r="V2572" s="2018"/>
      <c r="W2572" s="2018"/>
      <c r="X2572" s="2018"/>
      <c r="Y2572" s="2018"/>
      <c r="Z2572" s="2022"/>
      <c r="AA2572" s="2022"/>
      <c r="AB2572" s="1050"/>
      <c r="AC2572" s="1050"/>
      <c r="AD2572" s="1050"/>
      <c r="AE2572" s="1050"/>
      <c r="AF2572" s="1052"/>
    </row>
    <row r="2573" spans="1:32" ht="15.75" x14ac:dyDescent="0.25">
      <c r="A2573" s="2017"/>
      <c r="B2573" s="2018"/>
      <c r="C2573" s="2018"/>
      <c r="D2573" s="2018"/>
      <c r="E2573" s="2018"/>
      <c r="F2573" s="2018"/>
      <c r="G2573" s="2018"/>
      <c r="H2573" s="2018"/>
      <c r="I2573" s="2018"/>
      <c r="J2573" s="2018"/>
      <c r="K2573" s="2018"/>
      <c r="L2573" s="2018"/>
      <c r="M2573" s="2018"/>
      <c r="N2573" s="2018"/>
      <c r="O2573" s="2018"/>
      <c r="P2573" s="2018"/>
      <c r="Q2573" s="2018"/>
      <c r="R2573" s="2018"/>
      <c r="S2573" s="2018"/>
      <c r="T2573" s="2018"/>
      <c r="U2573" s="2018"/>
      <c r="V2573" s="2018"/>
      <c r="W2573" s="2018"/>
      <c r="X2573" s="2018"/>
      <c r="Y2573" s="2018"/>
      <c r="Z2573" s="2023"/>
      <c r="AA2573" s="2023"/>
      <c r="AB2573" s="1050"/>
      <c r="AC2573" s="1050"/>
      <c r="AD2573" s="1050"/>
      <c r="AE2573" s="1050"/>
      <c r="AF2573" s="1052"/>
    </row>
    <row r="2574" spans="1:32" ht="15.75" x14ac:dyDescent="0.25">
      <c r="A2574" s="2017"/>
      <c r="B2574" s="2018"/>
      <c r="C2574" s="2018"/>
      <c r="D2574" s="2018"/>
      <c r="E2574" s="2018"/>
      <c r="F2574" s="2018"/>
      <c r="G2574" s="2018"/>
      <c r="H2574" s="2018"/>
      <c r="I2574" s="2018"/>
      <c r="J2574" s="2018"/>
      <c r="K2574" s="2018"/>
      <c r="L2574" s="2018"/>
      <c r="M2574" s="2018"/>
      <c r="N2574" s="2018"/>
      <c r="O2574" s="2018"/>
      <c r="P2574" s="2018"/>
      <c r="Q2574" s="2018"/>
      <c r="R2574" s="2018"/>
      <c r="S2574" s="2018"/>
      <c r="T2574" s="2018"/>
      <c r="U2574" s="2018"/>
      <c r="V2574" s="2018"/>
      <c r="W2574" s="2018"/>
      <c r="X2574" s="2018"/>
      <c r="Y2574" s="2018"/>
      <c r="Z2574" s="2023"/>
      <c r="AA2574" s="2023"/>
      <c r="AB2574" s="1050"/>
      <c r="AC2574" s="1050"/>
      <c r="AD2574" s="1050"/>
      <c r="AE2574" s="1050"/>
      <c r="AF2574" s="1052"/>
    </row>
    <row r="2575" spans="1:32" ht="15.75" x14ac:dyDescent="0.25">
      <c r="A2575" s="2017"/>
      <c r="B2575" s="2018"/>
      <c r="C2575" s="2018"/>
      <c r="D2575" s="2018"/>
      <c r="E2575" s="2018"/>
      <c r="F2575" s="2018"/>
      <c r="G2575" s="2018"/>
      <c r="H2575" s="2018"/>
      <c r="I2575" s="2018"/>
      <c r="J2575" s="2018"/>
      <c r="K2575" s="2018"/>
      <c r="L2575" s="2018"/>
      <c r="M2575" s="2018"/>
      <c r="N2575" s="2018"/>
      <c r="O2575" s="2018"/>
      <c r="P2575" s="2018"/>
      <c r="Q2575" s="2018"/>
      <c r="R2575" s="2018"/>
      <c r="S2575" s="2018"/>
      <c r="T2575" s="2018"/>
      <c r="U2575" s="2018"/>
      <c r="V2575" s="2018"/>
      <c r="W2575" s="2018"/>
      <c r="X2575" s="2018"/>
      <c r="Y2575" s="2018"/>
      <c r="Z2575" s="2023"/>
      <c r="AA2575" s="2023"/>
      <c r="AB2575" s="1050"/>
      <c r="AC2575" s="1050"/>
      <c r="AD2575" s="1050"/>
      <c r="AE2575" s="1050"/>
      <c r="AF2575" s="1052"/>
    </row>
    <row r="2576" spans="1:32" ht="15.75" x14ac:dyDescent="0.25">
      <c r="A2576" s="2017"/>
      <c r="B2576" s="2018"/>
      <c r="C2576" s="2018"/>
      <c r="D2576" s="2018"/>
      <c r="E2576" s="2018"/>
      <c r="F2576" s="2018"/>
      <c r="G2576" s="2018"/>
      <c r="H2576" s="2018"/>
      <c r="I2576" s="2018"/>
      <c r="J2576" s="2018"/>
      <c r="K2576" s="2018"/>
      <c r="L2576" s="2018"/>
      <c r="M2576" s="2018"/>
      <c r="N2576" s="2018"/>
      <c r="O2576" s="2018"/>
      <c r="P2576" s="2018"/>
      <c r="Q2576" s="2018"/>
      <c r="R2576" s="2018"/>
      <c r="S2576" s="2018"/>
      <c r="T2576" s="2018"/>
      <c r="U2576" s="2018"/>
      <c r="V2576" s="2018"/>
      <c r="W2576" s="2018"/>
      <c r="X2576" s="2018"/>
      <c r="Y2576" s="2018"/>
      <c r="Z2576" s="2023"/>
      <c r="AA2576" s="2023"/>
      <c r="AB2576" s="1050"/>
      <c r="AC2576" s="1050"/>
      <c r="AD2576" s="1050"/>
      <c r="AE2576" s="1050"/>
      <c r="AF2576" s="1052"/>
    </row>
    <row r="2577" spans="1:32" ht="15.75" x14ac:dyDescent="0.25">
      <c r="A2577" s="2017"/>
      <c r="B2577" s="2018"/>
      <c r="C2577" s="2018"/>
      <c r="D2577" s="2018"/>
      <c r="E2577" s="2018"/>
      <c r="F2577" s="2018"/>
      <c r="G2577" s="2018"/>
      <c r="H2577" s="2018"/>
      <c r="I2577" s="2018"/>
      <c r="J2577" s="2018"/>
      <c r="K2577" s="2018"/>
      <c r="L2577" s="2018"/>
      <c r="M2577" s="2018"/>
      <c r="N2577" s="2018"/>
      <c r="O2577" s="2018"/>
      <c r="P2577" s="2018"/>
      <c r="Q2577" s="2018"/>
      <c r="R2577" s="2018"/>
      <c r="S2577" s="2018"/>
      <c r="T2577" s="2018"/>
      <c r="U2577" s="2018"/>
      <c r="V2577" s="2018"/>
      <c r="W2577" s="2018"/>
      <c r="X2577" s="2018"/>
      <c r="Y2577" s="2018"/>
      <c r="Z2577" s="2023"/>
      <c r="AA2577" s="2023"/>
      <c r="AB2577" s="1050"/>
      <c r="AC2577" s="1050"/>
      <c r="AD2577" s="1050"/>
      <c r="AE2577" s="1050"/>
      <c r="AF2577" s="1052"/>
    </row>
    <row r="2578" spans="1:32" ht="15.75" x14ac:dyDescent="0.25">
      <c r="A2578" s="2017"/>
      <c r="B2578" s="2018"/>
      <c r="C2578" s="2018"/>
      <c r="D2578" s="2018"/>
      <c r="E2578" s="2018"/>
      <c r="F2578" s="2018"/>
      <c r="G2578" s="2018"/>
      <c r="H2578" s="2018"/>
      <c r="I2578" s="2018"/>
      <c r="J2578" s="2018"/>
      <c r="K2578" s="2018"/>
      <c r="L2578" s="2018"/>
      <c r="M2578" s="2018"/>
      <c r="N2578" s="2018"/>
      <c r="O2578" s="2018"/>
      <c r="P2578" s="2018"/>
      <c r="Q2578" s="2018"/>
      <c r="R2578" s="2018"/>
      <c r="S2578" s="2018"/>
      <c r="T2578" s="2018"/>
      <c r="U2578" s="2018"/>
      <c r="V2578" s="2018"/>
      <c r="W2578" s="2018"/>
      <c r="X2578" s="2018"/>
      <c r="Y2578" s="2018"/>
      <c r="Z2578" s="2023"/>
      <c r="AA2578" s="2023"/>
      <c r="AB2578" s="1050"/>
      <c r="AC2578" s="1050"/>
      <c r="AD2578" s="1050"/>
      <c r="AE2578" s="1050"/>
      <c r="AF2578" s="1052"/>
    </row>
    <row r="2579" spans="1:32" ht="16.5" thickBot="1" x14ac:dyDescent="0.3">
      <c r="A2579" s="2019"/>
      <c r="B2579" s="2020"/>
      <c r="C2579" s="2020"/>
      <c r="D2579" s="2020"/>
      <c r="E2579" s="2020"/>
      <c r="F2579" s="2020"/>
      <c r="G2579" s="2020"/>
      <c r="H2579" s="2020"/>
      <c r="I2579" s="2020"/>
      <c r="J2579" s="2020"/>
      <c r="K2579" s="2020"/>
      <c r="L2579" s="2020"/>
      <c r="M2579" s="2020"/>
      <c r="N2579" s="2020"/>
      <c r="O2579" s="2020"/>
      <c r="P2579" s="2020"/>
      <c r="Q2579" s="2020"/>
      <c r="R2579" s="2020"/>
      <c r="S2579" s="2020"/>
      <c r="T2579" s="2020"/>
      <c r="U2579" s="2020"/>
      <c r="V2579" s="2020"/>
      <c r="W2579" s="2020"/>
      <c r="X2579" s="2020"/>
      <c r="Y2579" s="2020"/>
      <c r="Z2579" s="2024"/>
      <c r="AA2579" s="2024"/>
      <c r="AB2579" s="1057"/>
      <c r="AC2579" s="1057"/>
      <c r="AD2579" s="1057"/>
      <c r="AE2579" s="1057"/>
      <c r="AF2579" s="1058"/>
    </row>
    <row r="2580" spans="1:32" ht="15.75" x14ac:dyDescent="0.25">
      <c r="A2580" s="2009" t="s">
        <v>1855</v>
      </c>
      <c r="B2580" s="2010"/>
      <c r="C2580" s="2010"/>
      <c r="D2580" s="2010"/>
      <c r="E2580" s="2010"/>
      <c r="F2580" s="2010"/>
      <c r="G2580" s="2010"/>
      <c r="H2580" s="2010"/>
      <c r="I2580" s="2010"/>
      <c r="J2580" s="2010"/>
      <c r="K2580" s="2010"/>
      <c r="L2580" s="2010"/>
      <c r="M2580" s="2010"/>
      <c r="N2580" s="2010"/>
      <c r="O2580" s="2010"/>
      <c r="P2580" s="2010"/>
      <c r="Q2580" s="2010"/>
      <c r="R2580" s="2010"/>
      <c r="S2580" s="2010"/>
      <c r="T2580" s="2010"/>
      <c r="U2580" s="2010"/>
      <c r="V2580" s="2010"/>
      <c r="W2580" s="2010"/>
      <c r="X2580" s="2010"/>
      <c r="Y2580" s="2010"/>
      <c r="Z2580" s="2013" t="s">
        <v>1850</v>
      </c>
      <c r="AA2580" s="2013"/>
      <c r="AB2580" s="2013"/>
      <c r="AC2580" s="2013"/>
      <c r="AD2580" s="2013"/>
      <c r="AE2580" s="2013"/>
      <c r="AF2580" s="1059">
        <f>SUM(AF2556:AF2579)</f>
        <v>7.35</v>
      </c>
    </row>
    <row r="2581" spans="1:32" ht="15.75" x14ac:dyDescent="0.25">
      <c r="A2581" s="2011"/>
      <c r="B2581" s="2012"/>
      <c r="C2581" s="2012"/>
      <c r="D2581" s="2012"/>
      <c r="E2581" s="2012"/>
      <c r="F2581" s="2012"/>
      <c r="G2581" s="2012"/>
      <c r="H2581" s="2012"/>
      <c r="I2581" s="2012"/>
      <c r="J2581" s="2012"/>
      <c r="K2581" s="2012"/>
      <c r="L2581" s="2012"/>
      <c r="M2581" s="2012"/>
      <c r="N2581" s="2012"/>
      <c r="O2581" s="2012"/>
      <c r="P2581" s="2012"/>
      <c r="Q2581" s="2012"/>
      <c r="R2581" s="2012"/>
      <c r="S2581" s="2012"/>
      <c r="T2581" s="2012"/>
      <c r="U2581" s="2012"/>
      <c r="V2581" s="2012"/>
      <c r="W2581" s="2012"/>
      <c r="X2581" s="2012"/>
      <c r="Y2581" s="2012"/>
      <c r="Z2581" s="2014" t="s">
        <v>1851</v>
      </c>
      <c r="AA2581" s="2014"/>
      <c r="AB2581" s="2014"/>
      <c r="AC2581" s="2014"/>
      <c r="AD2581" s="2014"/>
      <c r="AE2581" s="2014"/>
      <c r="AF2581" s="1060">
        <v>0</v>
      </c>
    </row>
    <row r="2582" spans="1:32" ht="15.75" x14ac:dyDescent="0.25">
      <c r="A2582" s="2011"/>
      <c r="B2582" s="2012"/>
      <c r="C2582" s="2012"/>
      <c r="D2582" s="2012"/>
      <c r="E2582" s="2012"/>
      <c r="F2582" s="2012"/>
      <c r="G2582" s="2012"/>
      <c r="H2582" s="2012"/>
      <c r="I2582" s="2012"/>
      <c r="J2582" s="2012"/>
      <c r="K2582" s="2012"/>
      <c r="L2582" s="2012"/>
      <c r="M2582" s="2012"/>
      <c r="N2582" s="2012"/>
      <c r="O2582" s="2012"/>
      <c r="P2582" s="2012"/>
      <c r="Q2582" s="2012"/>
      <c r="R2582" s="2012"/>
      <c r="S2582" s="2012"/>
      <c r="T2582" s="2012"/>
      <c r="U2582" s="2012"/>
      <c r="V2582" s="2012"/>
      <c r="W2582" s="2012"/>
      <c r="X2582" s="2012"/>
      <c r="Y2582" s="2012"/>
      <c r="Z2582" s="2015" t="s">
        <v>1833</v>
      </c>
      <c r="AA2582" s="2015"/>
      <c r="AB2582" s="2015"/>
      <c r="AC2582" s="2015"/>
      <c r="AD2582" s="2015"/>
      <c r="AE2582" s="2015"/>
      <c r="AF2582" s="1061">
        <f>SUM(AF2580:AF2581)</f>
        <v>7.35</v>
      </c>
    </row>
    <row r="2583" spans="1:32" x14ac:dyDescent="0.2">
      <c r="A2583" s="2012" t="s">
        <v>1859</v>
      </c>
      <c r="B2583" s="2012"/>
      <c r="C2583" s="2012"/>
      <c r="D2583" s="2012"/>
      <c r="E2583" s="2012"/>
      <c r="F2583" s="2012"/>
      <c r="G2583" s="2012"/>
      <c r="H2583" s="2012"/>
      <c r="I2583" s="2012"/>
      <c r="J2583" s="2012"/>
      <c r="K2583" s="2012"/>
      <c r="L2583" s="2012"/>
      <c r="M2583" s="2012"/>
      <c r="N2583" s="2012"/>
      <c r="O2583" s="2012"/>
      <c r="P2583" s="2012"/>
      <c r="Q2583" s="2012"/>
      <c r="R2583" s="2012"/>
      <c r="S2583" s="2012"/>
      <c r="T2583" s="2016" t="s">
        <v>1840</v>
      </c>
      <c r="U2583" s="2016"/>
      <c r="V2583" s="2016"/>
      <c r="W2583" s="2016"/>
      <c r="X2583" s="2016"/>
      <c r="Y2583" s="2016"/>
      <c r="Z2583" s="2016"/>
      <c r="AA2583" s="2016"/>
      <c r="AB2583" s="2012" t="s">
        <v>1852</v>
      </c>
      <c r="AC2583" s="2012"/>
      <c r="AD2583" s="2012"/>
      <c r="AE2583" s="2012"/>
      <c r="AF2583" s="2012"/>
    </row>
    <row r="2584" spans="1:32" x14ac:dyDescent="0.2">
      <c r="A2584" s="2012"/>
      <c r="B2584" s="2012"/>
      <c r="C2584" s="2012"/>
      <c r="D2584" s="2012"/>
      <c r="E2584" s="2012"/>
      <c r="F2584" s="2012"/>
      <c r="G2584" s="2012"/>
      <c r="H2584" s="2012"/>
      <c r="I2584" s="2012"/>
      <c r="J2584" s="2012"/>
      <c r="K2584" s="2012"/>
      <c r="L2584" s="2012"/>
      <c r="M2584" s="2012"/>
      <c r="N2584" s="2012"/>
      <c r="O2584" s="2012"/>
      <c r="P2584" s="2012"/>
      <c r="Q2584" s="2012"/>
      <c r="R2584" s="2012"/>
      <c r="S2584" s="2012"/>
      <c r="T2584" s="2016"/>
      <c r="U2584" s="2016"/>
      <c r="V2584" s="2016"/>
      <c r="W2584" s="2016"/>
      <c r="X2584" s="2016"/>
      <c r="Y2584" s="2016"/>
      <c r="Z2584" s="2016"/>
      <c r="AA2584" s="2016"/>
      <c r="AB2584" s="2012"/>
      <c r="AC2584" s="2012"/>
      <c r="AD2584" s="2012"/>
      <c r="AE2584" s="2012"/>
      <c r="AF2584" s="2012"/>
    </row>
    <row r="2585" spans="1:32" ht="13.5" thickBot="1" x14ac:dyDescent="0.25"/>
    <row r="2586" spans="1:32" ht="22.9" customHeight="1" x14ac:dyDescent="0.2">
      <c r="A2586" s="2025" t="s">
        <v>1854</v>
      </c>
      <c r="B2586" s="2026"/>
      <c r="C2586" s="2026"/>
      <c r="D2586" s="2026"/>
      <c r="E2586" s="2026"/>
      <c r="F2586" s="2026"/>
      <c r="G2586" s="2026"/>
      <c r="H2586" s="2026"/>
      <c r="I2586" s="2026"/>
      <c r="J2586" s="2026"/>
      <c r="K2586" s="2026"/>
      <c r="L2586" s="2026"/>
      <c r="M2586" s="2026"/>
      <c r="N2586" s="2026"/>
      <c r="O2586" s="2026"/>
      <c r="P2586" s="2026"/>
      <c r="Q2586" s="2026"/>
      <c r="R2586" s="2026"/>
      <c r="S2586" s="2026"/>
      <c r="T2586" s="2026"/>
      <c r="U2586" s="2026"/>
      <c r="V2586" s="2026"/>
      <c r="W2586" s="2026"/>
      <c r="X2586" s="2026"/>
      <c r="Y2586" s="2026"/>
      <c r="Z2586" s="2026"/>
      <c r="AA2586" s="2026"/>
      <c r="AB2586" s="2026"/>
      <c r="AC2586" s="2026"/>
      <c r="AD2586" s="2026"/>
      <c r="AE2586" s="1041" t="s">
        <v>1834</v>
      </c>
      <c r="AF2586" s="1042" t="s">
        <v>1835</v>
      </c>
    </row>
    <row r="2587" spans="1:32" ht="25.15" customHeight="1" thickBot="1" x14ac:dyDescent="0.25">
      <c r="A2587" s="2027"/>
      <c r="B2587" s="2028"/>
      <c r="C2587" s="2028"/>
      <c r="D2587" s="2028"/>
      <c r="E2587" s="2028"/>
      <c r="F2587" s="2028"/>
      <c r="G2587" s="2028"/>
      <c r="H2587" s="2028"/>
      <c r="I2587" s="2028"/>
      <c r="J2587" s="2028"/>
      <c r="K2587" s="2028"/>
      <c r="L2587" s="2028"/>
      <c r="M2587" s="2028"/>
      <c r="N2587" s="2028"/>
      <c r="O2587" s="2028"/>
      <c r="P2587" s="2028"/>
      <c r="Q2587" s="2028"/>
      <c r="R2587" s="2028"/>
      <c r="S2587" s="2028"/>
      <c r="T2587" s="2028"/>
      <c r="U2587" s="2028"/>
      <c r="V2587" s="2028"/>
      <c r="W2587" s="2028"/>
      <c r="X2587" s="2028"/>
      <c r="Y2587" s="2028"/>
      <c r="Z2587" s="2028"/>
      <c r="AA2587" s="2028"/>
      <c r="AB2587" s="2028"/>
      <c r="AC2587" s="2028"/>
      <c r="AD2587" s="2028"/>
      <c r="AE2587" s="1041" t="s">
        <v>1836</v>
      </c>
      <c r="AF2587" s="1044">
        <v>1</v>
      </c>
    </row>
    <row r="2588" spans="1:32" ht="15.75" x14ac:dyDescent="0.2">
      <c r="A2588" s="2029"/>
      <c r="B2588" s="2030"/>
      <c r="C2588" s="2030"/>
      <c r="D2588" s="2031"/>
      <c r="E2588" s="2025" t="str">
        <f>'01'!$A$12</f>
        <v>"CONSTRUCCION SISTEMA DE ACUEDUCTO FASE II DEL MUNICIPIO DE TESALIA DPTO DEL HUILA"</v>
      </c>
      <c r="F2588" s="2026"/>
      <c r="G2588" s="2026"/>
      <c r="H2588" s="2026"/>
      <c r="I2588" s="2026"/>
      <c r="J2588" s="2026"/>
      <c r="K2588" s="2026"/>
      <c r="L2588" s="2026"/>
      <c r="M2588" s="2026"/>
      <c r="N2588" s="2026"/>
      <c r="O2588" s="2026"/>
      <c r="P2588" s="2026"/>
      <c r="Q2588" s="2026"/>
      <c r="R2588" s="2026"/>
      <c r="S2588" s="2026"/>
      <c r="T2588" s="2026"/>
      <c r="U2588" s="2026"/>
      <c r="V2588" s="2026"/>
      <c r="W2588" s="2026"/>
      <c r="X2588" s="2026"/>
      <c r="Y2588" s="2026"/>
      <c r="Z2588" s="2026"/>
      <c r="AA2588" s="2026"/>
      <c r="AB2588" s="2026"/>
      <c r="AC2588" s="2026"/>
      <c r="AD2588" s="2035"/>
      <c r="AE2588" s="1041" t="s">
        <v>847</v>
      </c>
      <c r="AF2588" s="1045">
        <f>'01'!$M$13</f>
        <v>0</v>
      </c>
    </row>
    <row r="2589" spans="1:32" ht="16.5" thickBot="1" x14ac:dyDescent="0.25">
      <c r="A2589" s="2032"/>
      <c r="B2589" s="2033"/>
      <c r="C2589" s="2033"/>
      <c r="D2589" s="2034"/>
      <c r="E2589" s="2027"/>
      <c r="F2589" s="2028"/>
      <c r="G2589" s="2028"/>
      <c r="H2589" s="2028"/>
      <c r="I2589" s="2028"/>
      <c r="J2589" s="2028"/>
      <c r="K2589" s="2028"/>
      <c r="L2589" s="2028"/>
      <c r="M2589" s="2028"/>
      <c r="N2589" s="2028"/>
      <c r="O2589" s="2028"/>
      <c r="P2589" s="2028"/>
      <c r="Q2589" s="2028"/>
      <c r="R2589" s="2028"/>
      <c r="S2589" s="2028"/>
      <c r="T2589" s="2028"/>
      <c r="U2589" s="2028"/>
      <c r="V2589" s="2028"/>
      <c r="W2589" s="2028"/>
      <c r="X2589" s="2028"/>
      <c r="Y2589" s="2028"/>
      <c r="Z2589" s="2028"/>
      <c r="AA2589" s="2028"/>
      <c r="AB2589" s="2028"/>
      <c r="AC2589" s="2028"/>
      <c r="AD2589" s="2036"/>
      <c r="AE2589" s="1041" t="s">
        <v>1837</v>
      </c>
      <c r="AF2589" s="1042" t="s">
        <v>1838</v>
      </c>
    </row>
    <row r="2590" spans="1:32" ht="15.75" x14ac:dyDescent="0.25">
      <c r="A2590" s="2037" t="s">
        <v>1860</v>
      </c>
      <c r="B2590" s="2038"/>
      <c r="C2590" s="2038"/>
      <c r="D2590" s="2038"/>
      <c r="E2590" s="2038"/>
      <c r="F2590" s="2038"/>
      <c r="G2590" s="2038"/>
      <c r="H2590" s="2038"/>
      <c r="I2590" s="2038"/>
      <c r="J2590" s="2038"/>
      <c r="K2590" s="2038"/>
      <c r="L2590" s="2038"/>
      <c r="M2590" s="2038"/>
      <c r="N2590" s="2038"/>
      <c r="O2590" s="2038"/>
      <c r="P2590" s="2038"/>
      <c r="Q2590" s="2038"/>
      <c r="R2590" s="2038"/>
      <c r="S2590" s="2038"/>
      <c r="T2590" s="2038"/>
      <c r="U2590" s="2038"/>
      <c r="V2590" s="2038"/>
      <c r="W2590" s="2038"/>
      <c r="X2590" s="2038"/>
      <c r="Y2590" s="2038"/>
      <c r="Z2590" s="2038"/>
      <c r="AA2590" s="2038"/>
      <c r="AB2590" s="2038"/>
      <c r="AC2590" s="2038"/>
      <c r="AD2590" s="2038"/>
      <c r="AE2590" s="2039" t="s">
        <v>1839</v>
      </c>
      <c r="AF2590" s="2040"/>
    </row>
    <row r="2591" spans="1:32" ht="15.75" x14ac:dyDescent="0.25">
      <c r="A2591" s="2041" t="s">
        <v>1840</v>
      </c>
      <c r="B2591" s="2042"/>
      <c r="C2591" s="2042"/>
      <c r="D2591" s="2042"/>
      <c r="E2591" s="2042"/>
      <c r="F2591" s="2042"/>
      <c r="G2591" s="2042"/>
      <c r="H2591" s="2042"/>
      <c r="I2591" s="2042"/>
      <c r="J2591" s="2042"/>
      <c r="K2591" s="2042"/>
      <c r="L2591" s="2042"/>
      <c r="M2591" s="2042"/>
      <c r="N2591" s="2042"/>
      <c r="O2591" s="2042"/>
      <c r="P2591" s="2042"/>
      <c r="Q2591" s="2042"/>
      <c r="R2591" s="2042"/>
      <c r="S2591" s="2042"/>
      <c r="T2591" s="2042"/>
      <c r="U2591" s="2042"/>
      <c r="V2591" s="2042"/>
      <c r="W2591" s="2042"/>
      <c r="X2591" s="2042"/>
      <c r="Y2591" s="2042"/>
      <c r="Z2591" s="2042"/>
      <c r="AA2591" s="2042"/>
      <c r="AB2591" s="2042"/>
      <c r="AC2591" s="2042"/>
      <c r="AD2591" s="2043"/>
      <c r="AE2591" s="2014" t="s">
        <v>1841</v>
      </c>
      <c r="AF2591" s="2044"/>
    </row>
    <row r="2592" spans="1:32" ht="15.75" x14ac:dyDescent="0.25">
      <c r="A2592" s="2045" t="s">
        <v>1853</v>
      </c>
      <c r="B2592" s="2046"/>
      <c r="C2592" s="2046"/>
      <c r="D2592" s="2046"/>
      <c r="E2592" s="2046"/>
      <c r="F2592" s="2046"/>
      <c r="G2592" s="2046"/>
      <c r="H2592" s="2046"/>
      <c r="I2592" s="2046"/>
      <c r="J2592" s="2046"/>
      <c r="K2592" s="2046"/>
      <c r="L2592" s="2046"/>
      <c r="M2592" s="2046"/>
      <c r="N2592" s="2046"/>
      <c r="O2592" s="2046"/>
      <c r="P2592" s="2046"/>
      <c r="Q2592" s="2046"/>
      <c r="R2592" s="2046"/>
      <c r="S2592" s="2046"/>
      <c r="T2592" s="2046"/>
      <c r="U2592" s="2046"/>
      <c r="V2592" s="2046"/>
      <c r="W2592" s="2046"/>
      <c r="X2592" s="2046"/>
      <c r="Y2592" s="2046"/>
      <c r="Z2592" s="2046"/>
      <c r="AA2592" s="2046"/>
      <c r="AB2592" s="2046"/>
      <c r="AC2592" s="2046"/>
      <c r="AD2592" s="2046"/>
      <c r="AE2592" s="2047">
        <f>'01'!$M$13</f>
        <v>0</v>
      </c>
      <c r="AF2592" s="2044"/>
    </row>
    <row r="2594" spans="1:34" ht="30" customHeight="1" x14ac:dyDescent="0.2">
      <c r="A2594" s="2048" t="s">
        <v>1842</v>
      </c>
      <c r="B2594" s="2049"/>
      <c r="C2594" s="2049"/>
      <c r="D2594" s="2049"/>
      <c r="E2594" s="2049"/>
      <c r="F2594" s="2050" t="str">
        <f>+'01'!$H$105</f>
        <v>D - CANAL DE DESINFECCIÓN</v>
      </c>
      <c r="G2594" s="2049"/>
      <c r="H2594" s="2049"/>
      <c r="I2594" s="2049"/>
      <c r="J2594" s="2049"/>
      <c r="K2594" s="2049"/>
      <c r="L2594" s="2049"/>
      <c r="M2594" s="2049"/>
      <c r="N2594" s="2049"/>
      <c r="O2594" s="2049"/>
      <c r="P2594" s="2049"/>
      <c r="Q2594" s="2049"/>
      <c r="R2594" s="2049"/>
      <c r="S2594" s="2049"/>
      <c r="T2594" s="2049"/>
      <c r="U2594" s="2049"/>
      <c r="V2594" s="2049"/>
      <c r="W2594" s="2049"/>
      <c r="X2594" s="2049"/>
      <c r="Y2594" s="2051"/>
      <c r="Z2594" s="2052" t="s">
        <v>1843</v>
      </c>
      <c r="AA2594" s="2053"/>
      <c r="AB2594" s="2058" t="s">
        <v>1844</v>
      </c>
      <c r="AC2594" s="2059"/>
      <c r="AD2594" s="2060"/>
      <c r="AE2594" s="2064" t="s">
        <v>1845</v>
      </c>
      <c r="AF2594" s="2067" t="s">
        <v>1846</v>
      </c>
    </row>
    <row r="2595" spans="1:34" x14ac:dyDescent="0.2">
      <c r="A2595" s="2070" t="str">
        <f>+'01'!A114</f>
        <v>D-03-03</v>
      </c>
      <c r="B2595" s="2071"/>
      <c r="C2595" s="2072"/>
      <c r="D2595" s="2076" t="str">
        <f>VLOOKUP(A2595,'01'!$A$12:$N$299,3,FALSE)</f>
        <v>RELLENO CON MATERIAL SELECCIONADO DE LA EXCAVACIÓN, COMPACTADO CON EQUIPO MECÁNICO EN CAPAS DE 0,20 m</v>
      </c>
      <c r="E2595" s="2077"/>
      <c r="F2595" s="2077"/>
      <c r="G2595" s="2077"/>
      <c r="H2595" s="2077"/>
      <c r="I2595" s="2077"/>
      <c r="J2595" s="2077"/>
      <c r="K2595" s="2077"/>
      <c r="L2595" s="2077"/>
      <c r="M2595" s="2077"/>
      <c r="N2595" s="2077"/>
      <c r="O2595" s="2077"/>
      <c r="P2595" s="2077"/>
      <c r="Q2595" s="2077"/>
      <c r="R2595" s="2077"/>
      <c r="S2595" s="2078"/>
      <c r="T2595" s="2082" t="s">
        <v>124</v>
      </c>
      <c r="U2595" s="2083"/>
      <c r="V2595" s="2083"/>
      <c r="W2595" s="2083"/>
      <c r="X2595" s="2052" t="str">
        <f>VLOOKUP(A2595,'01'!$A$12:$N$299,9,FALSE)</f>
        <v>M3</v>
      </c>
      <c r="Y2595" s="2053"/>
      <c r="Z2595" s="2054"/>
      <c r="AA2595" s="2055"/>
      <c r="AB2595" s="2061"/>
      <c r="AC2595" s="2062"/>
      <c r="AD2595" s="2063"/>
      <c r="AE2595" s="2065"/>
      <c r="AF2595" s="2068"/>
    </row>
    <row r="2596" spans="1:34" ht="15.75" x14ac:dyDescent="0.25">
      <c r="A2596" s="2073"/>
      <c r="B2596" s="2074"/>
      <c r="C2596" s="2075"/>
      <c r="D2596" s="2079"/>
      <c r="E2596" s="2080"/>
      <c r="F2596" s="2080"/>
      <c r="G2596" s="2080"/>
      <c r="H2596" s="2080"/>
      <c r="I2596" s="2080"/>
      <c r="J2596" s="2080"/>
      <c r="K2596" s="2080"/>
      <c r="L2596" s="2080"/>
      <c r="M2596" s="2080"/>
      <c r="N2596" s="2080"/>
      <c r="O2596" s="2080"/>
      <c r="P2596" s="2080"/>
      <c r="Q2596" s="2080"/>
      <c r="R2596" s="2080"/>
      <c r="S2596" s="2081"/>
      <c r="T2596" s="2084"/>
      <c r="U2596" s="2085"/>
      <c r="V2596" s="2085"/>
      <c r="W2596" s="2085"/>
      <c r="X2596" s="2056"/>
      <c r="Y2596" s="2057"/>
      <c r="Z2596" s="2056"/>
      <c r="AA2596" s="2057"/>
      <c r="AB2596" s="1049" t="s">
        <v>2417</v>
      </c>
      <c r="AC2596" s="1049" t="s">
        <v>2418</v>
      </c>
      <c r="AD2596" s="1049" t="s">
        <v>2419</v>
      </c>
      <c r="AE2596" s="2066"/>
      <c r="AF2596" s="2069"/>
    </row>
    <row r="2597" spans="1:34" ht="15.75" x14ac:dyDescent="0.25">
      <c r="A2597" s="2017"/>
      <c r="B2597" s="2018"/>
      <c r="C2597" s="2018"/>
      <c r="D2597" s="2018"/>
      <c r="E2597" s="2018"/>
      <c r="F2597" s="2018"/>
      <c r="G2597" s="2018"/>
      <c r="H2597" s="2018"/>
      <c r="I2597" s="2018"/>
      <c r="J2597" s="2018"/>
      <c r="K2597" s="2018"/>
      <c r="L2597" s="2018"/>
      <c r="M2597" s="2018"/>
      <c r="N2597" s="2018"/>
      <c r="O2597" s="2018"/>
      <c r="P2597" s="2018"/>
      <c r="Q2597" s="2018"/>
      <c r="R2597" s="2018"/>
      <c r="S2597" s="2018"/>
      <c r="T2597" s="2018"/>
      <c r="U2597" s="2018"/>
      <c r="V2597" s="2018"/>
      <c r="W2597" s="2018"/>
      <c r="X2597" s="2018"/>
      <c r="Y2597" s="2094"/>
      <c r="Z2597" s="2096" t="s">
        <v>2451</v>
      </c>
      <c r="AA2597" s="2097"/>
      <c r="AB2597" s="1050">
        <f>+AF2474</f>
        <v>87.72</v>
      </c>
      <c r="AC2597" s="1050">
        <f>+AF2556</f>
        <v>7.25</v>
      </c>
      <c r="AD2597" s="1050">
        <f>+AB2556*AC2556*2.3</f>
        <v>83.420999999999978</v>
      </c>
      <c r="AE2597" s="1051">
        <v>1</v>
      </c>
      <c r="AF2597" s="1052">
        <f>+ROUND(AB2597-AC2597-AD2597,2)</f>
        <v>-2.95</v>
      </c>
      <c r="AH2597" s="1174"/>
    </row>
    <row r="2598" spans="1:34" ht="15.75" x14ac:dyDescent="0.25">
      <c r="A2598" s="2017"/>
      <c r="B2598" s="2018"/>
      <c r="C2598" s="2018"/>
      <c r="D2598" s="2018"/>
      <c r="E2598" s="2018"/>
      <c r="F2598" s="2018"/>
      <c r="G2598" s="2018"/>
      <c r="H2598" s="2018"/>
      <c r="I2598" s="2018"/>
      <c r="J2598" s="2018"/>
      <c r="K2598" s="2018"/>
      <c r="L2598" s="2018"/>
      <c r="M2598" s="2018"/>
      <c r="N2598" s="2018"/>
      <c r="O2598" s="2018"/>
      <c r="P2598" s="2018"/>
      <c r="Q2598" s="2018"/>
      <c r="R2598" s="2018"/>
      <c r="S2598" s="2018"/>
      <c r="T2598" s="2018"/>
      <c r="U2598" s="2018"/>
      <c r="V2598" s="2018"/>
      <c r="W2598" s="2018"/>
      <c r="X2598" s="2018"/>
      <c r="Y2598" s="2094"/>
      <c r="Z2598" s="2096" t="s">
        <v>2452</v>
      </c>
      <c r="AA2598" s="2097"/>
      <c r="AB2598" s="1050">
        <f>+AF2475</f>
        <v>2.56</v>
      </c>
      <c r="AC2598" s="1050">
        <f>+AF2557</f>
        <v>0.1</v>
      </c>
      <c r="AD2598" s="1050">
        <f>+AB2557*AC2557*1.15</f>
        <v>1.1499999999999999</v>
      </c>
      <c r="AE2598" s="1051">
        <v>1</v>
      </c>
      <c r="AF2598" s="1052">
        <f t="shared" ref="AF2598:AF2599" si="39">+ROUND(AB2598-AC2598-AD2598,2)</f>
        <v>1.31</v>
      </c>
    </row>
    <row r="2599" spans="1:34" ht="15.6" customHeight="1" x14ac:dyDescent="0.25">
      <c r="A2599" s="2017"/>
      <c r="B2599" s="2018"/>
      <c r="C2599" s="2018"/>
      <c r="D2599" s="2018"/>
      <c r="E2599" s="2018"/>
      <c r="F2599" s="2018"/>
      <c r="G2599" s="2018"/>
      <c r="H2599" s="2018"/>
      <c r="I2599" s="2018"/>
      <c r="J2599" s="2018"/>
      <c r="K2599" s="2018"/>
      <c r="L2599" s="2018"/>
      <c r="M2599" s="2018"/>
      <c r="N2599" s="2018"/>
      <c r="O2599" s="2018"/>
      <c r="P2599" s="2018"/>
      <c r="Q2599" s="2018"/>
      <c r="R2599" s="2018"/>
      <c r="S2599" s="2018"/>
      <c r="T2599" s="2018"/>
      <c r="U2599" s="2018"/>
      <c r="V2599" s="2018"/>
      <c r="W2599" s="2018"/>
      <c r="X2599" s="2018"/>
      <c r="Y2599" s="2094"/>
      <c r="Z2599" s="2096" t="s">
        <v>2456</v>
      </c>
      <c r="AA2599" s="2097"/>
      <c r="AB2599" s="1050">
        <f>+AF2476</f>
        <v>2.5</v>
      </c>
      <c r="AC2599" s="1050">
        <f>+AF2515</f>
        <v>0.5</v>
      </c>
      <c r="AD2599" s="1050">
        <f>+ROUND(PI()*(0.2^2)/4*AB2515,2)</f>
        <v>0.16</v>
      </c>
      <c r="AE2599" s="1051">
        <v>1</v>
      </c>
      <c r="AF2599" s="1052">
        <f t="shared" si="39"/>
        <v>1.84</v>
      </c>
    </row>
    <row r="2600" spans="1:34" ht="15.75" x14ac:dyDescent="0.25">
      <c r="A2600" s="2017"/>
      <c r="B2600" s="2018"/>
      <c r="C2600" s="2018"/>
      <c r="D2600" s="2018"/>
      <c r="E2600" s="2018"/>
      <c r="F2600" s="2018"/>
      <c r="G2600" s="2018"/>
      <c r="H2600" s="2018"/>
      <c r="I2600" s="2018"/>
      <c r="J2600" s="2018"/>
      <c r="K2600" s="2018"/>
      <c r="L2600" s="2018"/>
      <c r="M2600" s="2018"/>
      <c r="N2600" s="2018"/>
      <c r="O2600" s="2018"/>
      <c r="P2600" s="2018"/>
      <c r="Q2600" s="2018"/>
      <c r="R2600" s="2018"/>
      <c r="S2600" s="2018"/>
      <c r="T2600" s="2018"/>
      <c r="U2600" s="2018"/>
      <c r="V2600" s="2018"/>
      <c r="W2600" s="2018"/>
      <c r="X2600" s="2018"/>
      <c r="Y2600" s="2094"/>
      <c r="Z2600" s="2096"/>
      <c r="AA2600" s="2097"/>
      <c r="AB2600" s="1050"/>
      <c r="AC2600" s="1050"/>
      <c r="AD2600" s="1050"/>
      <c r="AE2600" s="1051"/>
      <c r="AF2600" s="1052"/>
    </row>
    <row r="2601" spans="1:34" ht="15.75" x14ac:dyDescent="0.25">
      <c r="A2601" s="2017"/>
      <c r="B2601" s="2018"/>
      <c r="C2601" s="2018"/>
      <c r="D2601" s="2018"/>
      <c r="E2601" s="2018"/>
      <c r="F2601" s="2018"/>
      <c r="G2601" s="2018"/>
      <c r="H2601" s="2018"/>
      <c r="I2601" s="2018"/>
      <c r="J2601" s="2018"/>
      <c r="K2601" s="2018"/>
      <c r="L2601" s="2018"/>
      <c r="M2601" s="2018"/>
      <c r="N2601" s="2018"/>
      <c r="O2601" s="2018"/>
      <c r="P2601" s="2018"/>
      <c r="Q2601" s="2018"/>
      <c r="R2601" s="2018"/>
      <c r="S2601" s="2018"/>
      <c r="T2601" s="2018"/>
      <c r="U2601" s="2018"/>
      <c r="V2601" s="2018"/>
      <c r="W2601" s="2018"/>
      <c r="X2601" s="2018"/>
      <c r="Y2601" s="2094"/>
      <c r="Z2601" s="2096"/>
      <c r="AA2601" s="2097"/>
      <c r="AB2601" s="1053"/>
      <c r="AC2601" s="1053"/>
      <c r="AD2601" s="1050"/>
      <c r="AE2601" s="1051"/>
      <c r="AF2601" s="1052"/>
    </row>
    <row r="2602" spans="1:34" ht="15.75" x14ac:dyDescent="0.25">
      <c r="A2602" s="2017"/>
      <c r="B2602" s="2018"/>
      <c r="C2602" s="2018"/>
      <c r="D2602" s="2018"/>
      <c r="E2602" s="2018"/>
      <c r="F2602" s="2018"/>
      <c r="G2602" s="2018"/>
      <c r="H2602" s="2018"/>
      <c r="I2602" s="2018"/>
      <c r="J2602" s="2018"/>
      <c r="K2602" s="2018"/>
      <c r="L2602" s="2018"/>
      <c r="M2602" s="2018"/>
      <c r="N2602" s="2018"/>
      <c r="O2602" s="2018"/>
      <c r="P2602" s="2018"/>
      <c r="Q2602" s="2018"/>
      <c r="R2602" s="2018"/>
      <c r="S2602" s="2018"/>
      <c r="T2602" s="2018"/>
      <c r="U2602" s="2018"/>
      <c r="V2602" s="2018"/>
      <c r="W2602" s="2018"/>
      <c r="X2602" s="2018"/>
      <c r="Y2602" s="2094"/>
      <c r="Z2602" s="2096"/>
      <c r="AA2602" s="2097"/>
      <c r="AB2602" s="1053"/>
      <c r="AC2602" s="1053"/>
      <c r="AD2602" s="1053"/>
      <c r="AE2602" s="1051"/>
      <c r="AF2602" s="1052"/>
    </row>
    <row r="2603" spans="1:34" ht="15.75" x14ac:dyDescent="0.25">
      <c r="A2603" s="2017"/>
      <c r="B2603" s="2018"/>
      <c r="C2603" s="2018"/>
      <c r="D2603" s="2018"/>
      <c r="E2603" s="2018"/>
      <c r="F2603" s="2018"/>
      <c r="G2603" s="2018"/>
      <c r="H2603" s="2018"/>
      <c r="I2603" s="2018"/>
      <c r="J2603" s="2018"/>
      <c r="K2603" s="2018"/>
      <c r="L2603" s="2018"/>
      <c r="M2603" s="2018"/>
      <c r="N2603" s="2018"/>
      <c r="O2603" s="2018"/>
      <c r="P2603" s="2018"/>
      <c r="Q2603" s="2018"/>
      <c r="R2603" s="2018"/>
      <c r="S2603" s="2018"/>
      <c r="T2603" s="2018"/>
      <c r="U2603" s="2018"/>
      <c r="V2603" s="2018"/>
      <c r="W2603" s="2018"/>
      <c r="X2603" s="2018"/>
      <c r="Y2603" s="2094"/>
      <c r="Z2603" s="2096"/>
      <c r="AA2603" s="2097"/>
      <c r="AB2603" s="1053"/>
      <c r="AC2603" s="1053"/>
      <c r="AD2603" s="1053"/>
      <c r="AE2603" s="1051"/>
      <c r="AF2603" s="1052"/>
    </row>
    <row r="2604" spans="1:34" ht="15.75" x14ac:dyDescent="0.25">
      <c r="A2604" s="2017"/>
      <c r="B2604" s="2018"/>
      <c r="C2604" s="2018"/>
      <c r="D2604" s="2018"/>
      <c r="E2604" s="2018"/>
      <c r="F2604" s="2018"/>
      <c r="G2604" s="2018"/>
      <c r="H2604" s="2018"/>
      <c r="I2604" s="2018"/>
      <c r="J2604" s="2018"/>
      <c r="K2604" s="2018"/>
      <c r="L2604" s="2018"/>
      <c r="M2604" s="2018"/>
      <c r="N2604" s="2018"/>
      <c r="O2604" s="2018"/>
      <c r="P2604" s="2018"/>
      <c r="Q2604" s="2018"/>
      <c r="R2604" s="2018"/>
      <c r="S2604" s="2018"/>
      <c r="T2604" s="2018"/>
      <c r="U2604" s="2018"/>
      <c r="V2604" s="2018"/>
      <c r="W2604" s="2018"/>
      <c r="X2604" s="2018"/>
      <c r="Y2604" s="2094"/>
      <c r="Z2604" s="2096"/>
      <c r="AA2604" s="2097"/>
      <c r="AB2604" s="1053"/>
      <c r="AC2604" s="1053"/>
      <c r="AD2604" s="1053"/>
      <c r="AE2604" s="1051"/>
      <c r="AF2604" s="1052"/>
    </row>
    <row r="2605" spans="1:34" ht="15.75" x14ac:dyDescent="0.25">
      <c r="A2605" s="2017"/>
      <c r="B2605" s="2018"/>
      <c r="C2605" s="2018"/>
      <c r="D2605" s="2018"/>
      <c r="E2605" s="2018"/>
      <c r="F2605" s="2018"/>
      <c r="G2605" s="2018"/>
      <c r="H2605" s="2018"/>
      <c r="I2605" s="2018"/>
      <c r="J2605" s="2018"/>
      <c r="K2605" s="2018"/>
      <c r="L2605" s="2018"/>
      <c r="M2605" s="2018"/>
      <c r="N2605" s="2018"/>
      <c r="O2605" s="2018"/>
      <c r="P2605" s="2018"/>
      <c r="Q2605" s="2018"/>
      <c r="R2605" s="2018"/>
      <c r="S2605" s="2018"/>
      <c r="T2605" s="2018"/>
      <c r="U2605" s="2018"/>
      <c r="V2605" s="2018"/>
      <c r="W2605" s="2018"/>
      <c r="X2605" s="2018"/>
      <c r="Y2605" s="2094"/>
      <c r="Z2605" s="2096"/>
      <c r="AA2605" s="2097"/>
      <c r="AB2605" s="1053"/>
      <c r="AC2605" s="1053"/>
      <c r="AD2605" s="1053"/>
      <c r="AE2605" s="1050"/>
      <c r="AF2605" s="1054"/>
    </row>
    <row r="2606" spans="1:34" ht="15.75" x14ac:dyDescent="0.25">
      <c r="A2606" s="2017"/>
      <c r="B2606" s="2018"/>
      <c r="C2606" s="2018"/>
      <c r="D2606" s="2018"/>
      <c r="E2606" s="2018"/>
      <c r="F2606" s="2018"/>
      <c r="G2606" s="2018"/>
      <c r="H2606" s="2018"/>
      <c r="I2606" s="2018"/>
      <c r="J2606" s="2018"/>
      <c r="K2606" s="2018"/>
      <c r="L2606" s="2018"/>
      <c r="M2606" s="2018"/>
      <c r="N2606" s="2018"/>
      <c r="O2606" s="2018"/>
      <c r="P2606" s="2018"/>
      <c r="Q2606" s="2018"/>
      <c r="R2606" s="2018"/>
      <c r="S2606" s="2018"/>
      <c r="T2606" s="2018"/>
      <c r="U2606" s="2018"/>
      <c r="V2606" s="2018"/>
      <c r="W2606" s="2018"/>
      <c r="X2606" s="2018"/>
      <c r="Y2606" s="2094"/>
      <c r="Z2606" s="2096"/>
      <c r="AA2606" s="2097"/>
      <c r="AB2606" s="1053"/>
      <c r="AC2606" s="1053"/>
      <c r="AD2606" s="1053"/>
      <c r="AE2606" s="1051"/>
      <c r="AF2606" s="1054"/>
    </row>
    <row r="2607" spans="1:34" ht="15.75" x14ac:dyDescent="0.25">
      <c r="A2607" s="2017"/>
      <c r="B2607" s="2018"/>
      <c r="C2607" s="2018"/>
      <c r="D2607" s="2018"/>
      <c r="E2607" s="2018"/>
      <c r="F2607" s="2018"/>
      <c r="G2607" s="2018"/>
      <c r="H2607" s="2018"/>
      <c r="I2607" s="2018"/>
      <c r="J2607" s="2018"/>
      <c r="K2607" s="2018"/>
      <c r="L2607" s="2018"/>
      <c r="M2607" s="2018"/>
      <c r="N2607" s="2018"/>
      <c r="O2607" s="2018"/>
      <c r="P2607" s="2018"/>
      <c r="Q2607" s="2018"/>
      <c r="R2607" s="2018"/>
      <c r="S2607" s="2018"/>
      <c r="T2607" s="2018"/>
      <c r="U2607" s="2018"/>
      <c r="V2607" s="2018"/>
      <c r="W2607" s="2018"/>
      <c r="X2607" s="2018"/>
      <c r="Y2607" s="2094"/>
      <c r="Z2607" s="2096"/>
      <c r="AA2607" s="2097"/>
      <c r="AB2607" s="1053"/>
      <c r="AC2607" s="1053"/>
      <c r="AD2607" s="1053"/>
      <c r="AE2607" s="1051"/>
      <c r="AF2607" s="1054"/>
    </row>
    <row r="2608" spans="1:34" ht="15.75" x14ac:dyDescent="0.25">
      <c r="A2608" s="2017"/>
      <c r="B2608" s="2018"/>
      <c r="C2608" s="2018"/>
      <c r="D2608" s="2018"/>
      <c r="E2608" s="2018"/>
      <c r="F2608" s="2018"/>
      <c r="G2608" s="2018"/>
      <c r="H2608" s="2018"/>
      <c r="I2608" s="2018"/>
      <c r="J2608" s="2018"/>
      <c r="K2608" s="2018"/>
      <c r="L2608" s="2018"/>
      <c r="M2608" s="2018"/>
      <c r="N2608" s="2018"/>
      <c r="O2608" s="2018"/>
      <c r="P2608" s="2018"/>
      <c r="Q2608" s="2018"/>
      <c r="R2608" s="2018"/>
      <c r="S2608" s="2018"/>
      <c r="T2608" s="2018"/>
      <c r="U2608" s="2018"/>
      <c r="V2608" s="2018"/>
      <c r="W2608" s="2018"/>
      <c r="X2608" s="2018"/>
      <c r="Y2608" s="2094"/>
      <c r="Z2608" s="2096"/>
      <c r="AA2608" s="2097"/>
      <c r="AB2608" s="1053"/>
      <c r="AC2608" s="1053"/>
      <c r="AD2608" s="1053"/>
      <c r="AE2608" s="1051"/>
      <c r="AF2608" s="1054"/>
    </row>
    <row r="2609" spans="1:32" ht="15.75" x14ac:dyDescent="0.25">
      <c r="A2609" s="2017"/>
      <c r="B2609" s="2018"/>
      <c r="C2609" s="2018"/>
      <c r="D2609" s="2018"/>
      <c r="E2609" s="2018"/>
      <c r="F2609" s="2018"/>
      <c r="G2609" s="2018"/>
      <c r="H2609" s="2018"/>
      <c r="I2609" s="2018"/>
      <c r="J2609" s="2018"/>
      <c r="K2609" s="2018"/>
      <c r="L2609" s="2018"/>
      <c r="M2609" s="2018"/>
      <c r="N2609" s="2018"/>
      <c r="O2609" s="2018"/>
      <c r="P2609" s="2018"/>
      <c r="Q2609" s="2018"/>
      <c r="R2609" s="2018"/>
      <c r="S2609" s="2018"/>
      <c r="T2609" s="2018"/>
      <c r="U2609" s="2018"/>
      <c r="V2609" s="2018"/>
      <c r="W2609" s="2018"/>
      <c r="X2609" s="2018"/>
      <c r="Y2609" s="2094"/>
      <c r="Z2609" s="2096"/>
      <c r="AA2609" s="2097"/>
      <c r="AB2609" s="1053"/>
      <c r="AC2609" s="1053"/>
      <c r="AD2609" s="1053"/>
      <c r="AE2609" s="1051"/>
      <c r="AF2609" s="1054"/>
    </row>
    <row r="2610" spans="1:32" ht="15.75" x14ac:dyDescent="0.25">
      <c r="A2610" s="2017"/>
      <c r="B2610" s="2018"/>
      <c r="C2610" s="2018"/>
      <c r="D2610" s="2018"/>
      <c r="E2610" s="2018"/>
      <c r="F2610" s="2018"/>
      <c r="G2610" s="2018"/>
      <c r="H2610" s="2018"/>
      <c r="I2610" s="2018"/>
      <c r="J2610" s="2018"/>
      <c r="K2610" s="2018"/>
      <c r="L2610" s="2018"/>
      <c r="M2610" s="2018"/>
      <c r="N2610" s="2018"/>
      <c r="O2610" s="2018"/>
      <c r="P2610" s="2018"/>
      <c r="Q2610" s="2018"/>
      <c r="R2610" s="2018"/>
      <c r="S2610" s="2018"/>
      <c r="T2610" s="2018"/>
      <c r="U2610" s="2018"/>
      <c r="V2610" s="2018"/>
      <c r="W2610" s="2018"/>
      <c r="X2610" s="2018"/>
      <c r="Y2610" s="2094"/>
      <c r="Z2610" s="2096"/>
      <c r="AA2610" s="2097"/>
      <c r="AB2610" s="1053"/>
      <c r="AC2610" s="1053"/>
      <c r="AD2610" s="1053"/>
      <c r="AE2610" s="1051"/>
      <c r="AF2610" s="1054"/>
    </row>
    <row r="2611" spans="1:32" ht="15.75" x14ac:dyDescent="0.25">
      <c r="A2611" s="2017"/>
      <c r="B2611" s="2018"/>
      <c r="C2611" s="2018"/>
      <c r="D2611" s="2018"/>
      <c r="E2611" s="2018"/>
      <c r="F2611" s="2018"/>
      <c r="G2611" s="2018"/>
      <c r="H2611" s="2018"/>
      <c r="I2611" s="2018"/>
      <c r="J2611" s="2018"/>
      <c r="K2611" s="2018"/>
      <c r="L2611" s="2018"/>
      <c r="M2611" s="2018"/>
      <c r="N2611" s="2018"/>
      <c r="O2611" s="2018"/>
      <c r="P2611" s="2018"/>
      <c r="Q2611" s="2018"/>
      <c r="R2611" s="2018"/>
      <c r="S2611" s="2018"/>
      <c r="T2611" s="2018"/>
      <c r="U2611" s="2018"/>
      <c r="V2611" s="2018"/>
      <c r="W2611" s="2018"/>
      <c r="X2611" s="2018"/>
      <c r="Y2611" s="2094"/>
      <c r="Z2611" s="2096"/>
      <c r="AA2611" s="2097"/>
      <c r="AB2611" s="1055"/>
      <c r="AC2611" s="1055"/>
      <c r="AD2611" s="1055"/>
      <c r="AE2611" s="1051"/>
      <c r="AF2611" s="1056"/>
    </row>
    <row r="2612" spans="1:32" ht="15.75" x14ac:dyDescent="0.25">
      <c r="A2612" s="2017"/>
      <c r="B2612" s="2018"/>
      <c r="C2612" s="2018"/>
      <c r="D2612" s="2018"/>
      <c r="E2612" s="2018"/>
      <c r="F2612" s="2018"/>
      <c r="G2612" s="2018"/>
      <c r="H2612" s="2018"/>
      <c r="I2612" s="2018"/>
      <c r="J2612" s="2018"/>
      <c r="K2612" s="2018"/>
      <c r="L2612" s="2018"/>
      <c r="M2612" s="2018"/>
      <c r="N2612" s="2018"/>
      <c r="O2612" s="2018"/>
      <c r="P2612" s="2018"/>
      <c r="Q2612" s="2018"/>
      <c r="R2612" s="2018"/>
      <c r="S2612" s="2018"/>
      <c r="T2612" s="2018"/>
      <c r="U2612" s="2018"/>
      <c r="V2612" s="2018"/>
      <c r="W2612" s="2018"/>
      <c r="X2612" s="2018"/>
      <c r="Y2612" s="2094"/>
      <c r="Z2612" s="2096"/>
      <c r="AA2612" s="2097"/>
      <c r="AB2612" s="1055"/>
      <c r="AC2612" s="1055"/>
      <c r="AD2612" s="1055"/>
      <c r="AE2612" s="1055"/>
      <c r="AF2612" s="1056"/>
    </row>
    <row r="2613" spans="1:32" ht="15.75" x14ac:dyDescent="0.25">
      <c r="A2613" s="2017"/>
      <c r="B2613" s="2018"/>
      <c r="C2613" s="2018"/>
      <c r="D2613" s="2018"/>
      <c r="E2613" s="2018"/>
      <c r="F2613" s="2018"/>
      <c r="G2613" s="2018"/>
      <c r="H2613" s="2018"/>
      <c r="I2613" s="2018"/>
      <c r="J2613" s="2018"/>
      <c r="K2613" s="2018"/>
      <c r="L2613" s="2018"/>
      <c r="M2613" s="2018"/>
      <c r="N2613" s="2018"/>
      <c r="O2613" s="2018"/>
      <c r="P2613" s="2018"/>
      <c r="Q2613" s="2018"/>
      <c r="R2613" s="2018"/>
      <c r="S2613" s="2018"/>
      <c r="T2613" s="2018"/>
      <c r="U2613" s="2018"/>
      <c r="V2613" s="2018"/>
      <c r="W2613" s="2018"/>
      <c r="X2613" s="2018"/>
      <c r="Y2613" s="2094"/>
      <c r="Z2613" s="2096"/>
      <c r="AA2613" s="2097"/>
      <c r="AB2613" s="1055"/>
      <c r="AC2613" s="1055"/>
      <c r="AD2613" s="1055"/>
      <c r="AE2613" s="1055"/>
      <c r="AF2613" s="1056"/>
    </row>
    <row r="2614" spans="1:32" ht="15.75" x14ac:dyDescent="0.25">
      <c r="A2614" s="2017"/>
      <c r="B2614" s="2018"/>
      <c r="C2614" s="2018"/>
      <c r="D2614" s="2018"/>
      <c r="E2614" s="2018"/>
      <c r="F2614" s="2018"/>
      <c r="G2614" s="2018"/>
      <c r="H2614" s="2018"/>
      <c r="I2614" s="2018"/>
      <c r="J2614" s="2018"/>
      <c r="K2614" s="2018"/>
      <c r="L2614" s="2018"/>
      <c r="M2614" s="2018"/>
      <c r="N2614" s="2018"/>
      <c r="O2614" s="2018"/>
      <c r="P2614" s="2018"/>
      <c r="Q2614" s="2018"/>
      <c r="R2614" s="2018"/>
      <c r="S2614" s="2018"/>
      <c r="T2614" s="2018"/>
      <c r="U2614" s="2018"/>
      <c r="V2614" s="2018"/>
      <c r="W2614" s="2018"/>
      <c r="X2614" s="2018"/>
      <c r="Y2614" s="2094"/>
      <c r="Z2614" s="2096"/>
      <c r="AA2614" s="2097"/>
      <c r="AB2614" s="1055"/>
      <c r="AC2614" s="1055"/>
      <c r="AD2614" s="1055"/>
      <c r="AE2614" s="1055"/>
      <c r="AF2614" s="1056"/>
    </row>
    <row r="2615" spans="1:32" ht="15.75" x14ac:dyDescent="0.25">
      <c r="A2615" s="2017"/>
      <c r="B2615" s="2018"/>
      <c r="C2615" s="2018"/>
      <c r="D2615" s="2018"/>
      <c r="E2615" s="2018"/>
      <c r="F2615" s="2018"/>
      <c r="G2615" s="2018"/>
      <c r="H2615" s="2018"/>
      <c r="I2615" s="2018"/>
      <c r="J2615" s="2018"/>
      <c r="K2615" s="2018"/>
      <c r="L2615" s="2018"/>
      <c r="M2615" s="2018"/>
      <c r="N2615" s="2018"/>
      <c r="O2615" s="2018"/>
      <c r="P2615" s="2018"/>
      <c r="Q2615" s="2018"/>
      <c r="R2615" s="2018"/>
      <c r="S2615" s="2018"/>
      <c r="T2615" s="2018"/>
      <c r="U2615" s="2018"/>
      <c r="V2615" s="2018"/>
      <c r="W2615" s="2018"/>
      <c r="X2615" s="2018"/>
      <c r="Y2615" s="2094"/>
      <c r="Z2615" s="2096"/>
      <c r="AA2615" s="2097"/>
      <c r="AB2615" s="1055"/>
      <c r="AC2615" s="1055"/>
      <c r="AD2615" s="1055"/>
      <c r="AE2615" s="1055"/>
      <c r="AF2615" s="1056"/>
    </row>
    <row r="2616" spans="1:32" ht="16.5" thickBot="1" x14ac:dyDescent="0.3">
      <c r="A2616" s="2019"/>
      <c r="B2616" s="2020"/>
      <c r="C2616" s="2020"/>
      <c r="D2616" s="2020"/>
      <c r="E2616" s="2020"/>
      <c r="F2616" s="2020"/>
      <c r="G2616" s="2020"/>
      <c r="H2616" s="2020"/>
      <c r="I2616" s="2020"/>
      <c r="J2616" s="2020"/>
      <c r="K2616" s="2020"/>
      <c r="L2616" s="2020"/>
      <c r="M2616" s="2020"/>
      <c r="N2616" s="2020"/>
      <c r="O2616" s="2020"/>
      <c r="P2616" s="2020"/>
      <c r="Q2616" s="2020"/>
      <c r="R2616" s="2020"/>
      <c r="S2616" s="2020"/>
      <c r="T2616" s="2020"/>
      <c r="U2616" s="2020"/>
      <c r="V2616" s="2020"/>
      <c r="W2616" s="2020"/>
      <c r="X2616" s="2020"/>
      <c r="Y2616" s="2095"/>
      <c r="Z2616" s="2098"/>
      <c r="AA2616" s="2099"/>
      <c r="AB2616" s="1057"/>
      <c r="AC2616" s="1057"/>
      <c r="AD2616" s="1057"/>
      <c r="AE2616" s="1057"/>
      <c r="AF2616" s="1058"/>
    </row>
    <row r="2617" spans="1:32" ht="15.75" x14ac:dyDescent="0.25">
      <c r="A2617" s="2100" t="s">
        <v>1855</v>
      </c>
      <c r="B2617" s="2101"/>
      <c r="C2617" s="2101"/>
      <c r="D2617" s="2101"/>
      <c r="E2617" s="2101"/>
      <c r="F2617" s="2101"/>
      <c r="G2617" s="2101"/>
      <c r="H2617" s="2101"/>
      <c r="I2617" s="2101"/>
      <c r="J2617" s="2101"/>
      <c r="K2617" s="2101"/>
      <c r="L2617" s="2101"/>
      <c r="M2617" s="2101"/>
      <c r="N2617" s="2101"/>
      <c r="O2617" s="2101"/>
      <c r="P2617" s="2101"/>
      <c r="Q2617" s="2101"/>
      <c r="R2617" s="2101"/>
      <c r="S2617" s="2101"/>
      <c r="T2617" s="2101"/>
      <c r="U2617" s="2101"/>
      <c r="V2617" s="2101"/>
      <c r="W2617" s="2101"/>
      <c r="X2617" s="2101"/>
      <c r="Y2617" s="2101"/>
      <c r="Z2617" s="2013" t="s">
        <v>1850</v>
      </c>
      <c r="AA2617" s="2013"/>
      <c r="AB2617" s="2013"/>
      <c r="AC2617" s="2013"/>
      <c r="AD2617" s="2013"/>
      <c r="AE2617" s="2013"/>
      <c r="AF2617" s="1059">
        <f>SUM(AF2597:AF2616)</f>
        <v>0.19999999999999996</v>
      </c>
    </row>
    <row r="2618" spans="1:32" ht="15.75" x14ac:dyDescent="0.25">
      <c r="A2618" s="2102"/>
      <c r="B2618" s="2103"/>
      <c r="C2618" s="2103"/>
      <c r="D2618" s="2103"/>
      <c r="E2618" s="2103"/>
      <c r="F2618" s="2103"/>
      <c r="G2618" s="2103"/>
      <c r="H2618" s="2103"/>
      <c r="I2618" s="2103"/>
      <c r="J2618" s="2103"/>
      <c r="K2618" s="2103"/>
      <c r="L2618" s="2103"/>
      <c r="M2618" s="2103"/>
      <c r="N2618" s="2103"/>
      <c r="O2618" s="2103"/>
      <c r="P2618" s="2103"/>
      <c r="Q2618" s="2103"/>
      <c r="R2618" s="2103"/>
      <c r="S2618" s="2103"/>
      <c r="T2618" s="2103"/>
      <c r="U2618" s="2103"/>
      <c r="V2618" s="2103"/>
      <c r="W2618" s="2103"/>
      <c r="X2618" s="2103"/>
      <c r="Y2618" s="2103"/>
      <c r="Z2618" s="2014" t="s">
        <v>1851</v>
      </c>
      <c r="AA2618" s="2014"/>
      <c r="AB2618" s="2014"/>
      <c r="AC2618" s="2014"/>
      <c r="AD2618" s="2014"/>
      <c r="AE2618" s="2014"/>
      <c r="AF2618" s="1060">
        <v>0</v>
      </c>
    </row>
    <row r="2619" spans="1:32" ht="15.75" x14ac:dyDescent="0.25">
      <c r="A2619" s="2102"/>
      <c r="B2619" s="2103"/>
      <c r="C2619" s="2103"/>
      <c r="D2619" s="2103"/>
      <c r="E2619" s="2103"/>
      <c r="F2619" s="2103"/>
      <c r="G2619" s="2103"/>
      <c r="H2619" s="2103"/>
      <c r="I2619" s="2103"/>
      <c r="J2619" s="2103"/>
      <c r="K2619" s="2103"/>
      <c r="L2619" s="2103"/>
      <c r="M2619" s="2103"/>
      <c r="N2619" s="2103"/>
      <c r="O2619" s="2103"/>
      <c r="P2619" s="2103"/>
      <c r="Q2619" s="2103"/>
      <c r="R2619" s="2103"/>
      <c r="S2619" s="2103"/>
      <c r="T2619" s="2103"/>
      <c r="U2619" s="2103"/>
      <c r="V2619" s="2103"/>
      <c r="W2619" s="2103"/>
      <c r="X2619" s="2103"/>
      <c r="Y2619" s="2103"/>
      <c r="Z2619" s="2015" t="s">
        <v>1833</v>
      </c>
      <c r="AA2619" s="2015"/>
      <c r="AB2619" s="2015"/>
      <c r="AC2619" s="2015"/>
      <c r="AD2619" s="2015"/>
      <c r="AE2619" s="2015"/>
      <c r="AF2619" s="1061">
        <f>SUM(AF2617:AF2618)</f>
        <v>0.19999999999999996</v>
      </c>
    </row>
    <row r="2620" spans="1:32" x14ac:dyDescent="0.2">
      <c r="A2620" s="2012" t="s">
        <v>1859</v>
      </c>
      <c r="B2620" s="2012"/>
      <c r="C2620" s="2012"/>
      <c r="D2620" s="2012"/>
      <c r="E2620" s="2012"/>
      <c r="F2620" s="2012"/>
      <c r="G2620" s="2012"/>
      <c r="H2620" s="2012"/>
      <c r="I2620" s="2012"/>
      <c r="J2620" s="2012"/>
      <c r="K2620" s="2012"/>
      <c r="L2620" s="2012"/>
      <c r="M2620" s="2012"/>
      <c r="N2620" s="2012"/>
      <c r="O2620" s="2012"/>
      <c r="P2620" s="2012"/>
      <c r="Q2620" s="2012"/>
      <c r="R2620" s="2012"/>
      <c r="S2620" s="2012"/>
      <c r="T2620" s="2016" t="s">
        <v>1840</v>
      </c>
      <c r="U2620" s="2016"/>
      <c r="V2620" s="2016"/>
      <c r="W2620" s="2016"/>
      <c r="X2620" s="2016"/>
      <c r="Y2620" s="2016"/>
      <c r="Z2620" s="2016"/>
      <c r="AA2620" s="2016"/>
      <c r="AB2620" s="2012" t="s">
        <v>1852</v>
      </c>
      <c r="AC2620" s="2012"/>
      <c r="AD2620" s="2012"/>
      <c r="AE2620" s="2012"/>
      <c r="AF2620" s="2012"/>
    </row>
    <row r="2621" spans="1:32" x14ac:dyDescent="0.2">
      <c r="A2621" s="2012"/>
      <c r="B2621" s="2012"/>
      <c r="C2621" s="2012"/>
      <c r="D2621" s="2012"/>
      <c r="E2621" s="2012"/>
      <c r="F2621" s="2012"/>
      <c r="G2621" s="2012"/>
      <c r="H2621" s="2012"/>
      <c r="I2621" s="2012"/>
      <c r="J2621" s="2012"/>
      <c r="K2621" s="2012"/>
      <c r="L2621" s="2012"/>
      <c r="M2621" s="2012"/>
      <c r="N2621" s="2012"/>
      <c r="O2621" s="2012"/>
      <c r="P2621" s="2012"/>
      <c r="Q2621" s="2012"/>
      <c r="R2621" s="2012"/>
      <c r="S2621" s="2012"/>
      <c r="T2621" s="2016"/>
      <c r="U2621" s="2016"/>
      <c r="V2621" s="2016"/>
      <c r="W2621" s="2016"/>
      <c r="X2621" s="2016"/>
      <c r="Y2621" s="2016"/>
      <c r="Z2621" s="2016"/>
      <c r="AA2621" s="2016"/>
      <c r="AB2621" s="2012"/>
      <c r="AC2621" s="2012"/>
      <c r="AD2621" s="2012"/>
      <c r="AE2621" s="2012"/>
      <c r="AF2621" s="2012"/>
    </row>
    <row r="2622" spans="1:32" ht="13.5" thickBot="1" x14ac:dyDescent="0.25"/>
    <row r="2623" spans="1:32" ht="21.6" customHeight="1" x14ac:dyDescent="0.2">
      <c r="A2623" s="2025" t="s">
        <v>1854</v>
      </c>
      <c r="B2623" s="2026"/>
      <c r="C2623" s="2026"/>
      <c r="D2623" s="2026"/>
      <c r="E2623" s="2026"/>
      <c r="F2623" s="2026"/>
      <c r="G2623" s="2026"/>
      <c r="H2623" s="2026"/>
      <c r="I2623" s="2026"/>
      <c r="J2623" s="2026"/>
      <c r="K2623" s="2026"/>
      <c r="L2623" s="2026"/>
      <c r="M2623" s="2026"/>
      <c r="N2623" s="2026"/>
      <c r="O2623" s="2026"/>
      <c r="P2623" s="2026"/>
      <c r="Q2623" s="2026"/>
      <c r="R2623" s="2026"/>
      <c r="S2623" s="2026"/>
      <c r="T2623" s="2026"/>
      <c r="U2623" s="2026"/>
      <c r="V2623" s="2026"/>
      <c r="W2623" s="2026"/>
      <c r="X2623" s="2026"/>
      <c r="Y2623" s="2026"/>
      <c r="Z2623" s="2026"/>
      <c r="AA2623" s="2026"/>
      <c r="AB2623" s="2026"/>
      <c r="AC2623" s="2026"/>
      <c r="AD2623" s="2026"/>
      <c r="AE2623" s="1041" t="s">
        <v>1834</v>
      </c>
      <c r="AF2623" s="1042" t="s">
        <v>1835</v>
      </c>
    </row>
    <row r="2624" spans="1:32" ht="22.15" customHeight="1" thickBot="1" x14ac:dyDescent="0.25">
      <c r="A2624" s="2027"/>
      <c r="B2624" s="2028"/>
      <c r="C2624" s="2028"/>
      <c r="D2624" s="2028"/>
      <c r="E2624" s="2028"/>
      <c r="F2624" s="2028"/>
      <c r="G2624" s="2028"/>
      <c r="H2624" s="2028"/>
      <c r="I2624" s="2028"/>
      <c r="J2624" s="2028"/>
      <c r="K2624" s="2028"/>
      <c r="L2624" s="2028"/>
      <c r="M2624" s="2028"/>
      <c r="N2624" s="2028"/>
      <c r="O2624" s="2028"/>
      <c r="P2624" s="2028"/>
      <c r="Q2624" s="2028"/>
      <c r="R2624" s="2028"/>
      <c r="S2624" s="2028"/>
      <c r="T2624" s="2028"/>
      <c r="U2624" s="2028"/>
      <c r="V2624" s="2028"/>
      <c r="W2624" s="2028"/>
      <c r="X2624" s="2028"/>
      <c r="Y2624" s="2028"/>
      <c r="Z2624" s="2028"/>
      <c r="AA2624" s="2028"/>
      <c r="AB2624" s="2028"/>
      <c r="AC2624" s="2028"/>
      <c r="AD2624" s="2028"/>
      <c r="AE2624" s="1041" t="s">
        <v>1836</v>
      </c>
      <c r="AF2624" s="1044">
        <v>1</v>
      </c>
    </row>
    <row r="2625" spans="1:32" ht="15.75" x14ac:dyDescent="0.2">
      <c r="A2625" s="2029"/>
      <c r="B2625" s="2030"/>
      <c r="C2625" s="2030"/>
      <c r="D2625" s="2031"/>
      <c r="E2625" s="2025" t="str">
        <f>'01'!$A$12</f>
        <v>"CONSTRUCCION SISTEMA DE ACUEDUCTO FASE II DEL MUNICIPIO DE TESALIA DPTO DEL HUILA"</v>
      </c>
      <c r="F2625" s="2026"/>
      <c r="G2625" s="2026"/>
      <c r="H2625" s="2026"/>
      <c r="I2625" s="2026"/>
      <c r="J2625" s="2026"/>
      <c r="K2625" s="2026"/>
      <c r="L2625" s="2026"/>
      <c r="M2625" s="2026"/>
      <c r="N2625" s="2026"/>
      <c r="O2625" s="2026"/>
      <c r="P2625" s="2026"/>
      <c r="Q2625" s="2026"/>
      <c r="R2625" s="2026"/>
      <c r="S2625" s="2026"/>
      <c r="T2625" s="2026"/>
      <c r="U2625" s="2026"/>
      <c r="V2625" s="2026"/>
      <c r="W2625" s="2026"/>
      <c r="X2625" s="2026"/>
      <c r="Y2625" s="2026"/>
      <c r="Z2625" s="2026"/>
      <c r="AA2625" s="2026"/>
      <c r="AB2625" s="2026"/>
      <c r="AC2625" s="2026"/>
      <c r="AD2625" s="2035"/>
      <c r="AE2625" s="1041" t="s">
        <v>847</v>
      </c>
      <c r="AF2625" s="1045">
        <f>'01'!$M$13</f>
        <v>0</v>
      </c>
    </row>
    <row r="2626" spans="1:32" ht="16.5" thickBot="1" x14ac:dyDescent="0.25">
      <c r="A2626" s="2032"/>
      <c r="B2626" s="2033"/>
      <c r="C2626" s="2033"/>
      <c r="D2626" s="2034"/>
      <c r="E2626" s="2027"/>
      <c r="F2626" s="2028"/>
      <c r="G2626" s="2028"/>
      <c r="H2626" s="2028"/>
      <c r="I2626" s="2028"/>
      <c r="J2626" s="2028"/>
      <c r="K2626" s="2028"/>
      <c r="L2626" s="2028"/>
      <c r="M2626" s="2028"/>
      <c r="N2626" s="2028"/>
      <c r="O2626" s="2028"/>
      <c r="P2626" s="2028"/>
      <c r="Q2626" s="2028"/>
      <c r="R2626" s="2028"/>
      <c r="S2626" s="2028"/>
      <c r="T2626" s="2028"/>
      <c r="U2626" s="2028"/>
      <c r="V2626" s="2028"/>
      <c r="W2626" s="2028"/>
      <c r="X2626" s="2028"/>
      <c r="Y2626" s="2028"/>
      <c r="Z2626" s="2028"/>
      <c r="AA2626" s="2028"/>
      <c r="AB2626" s="2028"/>
      <c r="AC2626" s="2028"/>
      <c r="AD2626" s="2036"/>
      <c r="AE2626" s="1041" t="s">
        <v>1837</v>
      </c>
      <c r="AF2626" s="1042" t="s">
        <v>1838</v>
      </c>
    </row>
    <row r="2627" spans="1:32" ht="15.75" x14ac:dyDescent="0.25">
      <c r="A2627" s="2037" t="s">
        <v>1860</v>
      </c>
      <c r="B2627" s="2038"/>
      <c r="C2627" s="2038"/>
      <c r="D2627" s="2038"/>
      <c r="E2627" s="2038"/>
      <c r="F2627" s="2038"/>
      <c r="G2627" s="2038"/>
      <c r="H2627" s="2038"/>
      <c r="I2627" s="2038"/>
      <c r="J2627" s="2038"/>
      <c r="K2627" s="2038"/>
      <c r="L2627" s="2038"/>
      <c r="M2627" s="2038"/>
      <c r="N2627" s="2038"/>
      <c r="O2627" s="2038"/>
      <c r="P2627" s="2038"/>
      <c r="Q2627" s="2038"/>
      <c r="R2627" s="2038"/>
      <c r="S2627" s="2038"/>
      <c r="T2627" s="2038"/>
      <c r="U2627" s="2038"/>
      <c r="V2627" s="2038"/>
      <c r="W2627" s="2038"/>
      <c r="X2627" s="2038"/>
      <c r="Y2627" s="2038"/>
      <c r="Z2627" s="2038"/>
      <c r="AA2627" s="2038"/>
      <c r="AB2627" s="2038"/>
      <c r="AC2627" s="2038"/>
      <c r="AD2627" s="2038"/>
      <c r="AE2627" s="2039" t="s">
        <v>1839</v>
      </c>
      <c r="AF2627" s="2040"/>
    </row>
    <row r="2628" spans="1:32" ht="15.75" x14ac:dyDescent="0.25">
      <c r="A2628" s="2041" t="s">
        <v>1840</v>
      </c>
      <c r="B2628" s="2042"/>
      <c r="C2628" s="2042"/>
      <c r="D2628" s="2042"/>
      <c r="E2628" s="2042"/>
      <c r="F2628" s="2042"/>
      <c r="G2628" s="2042"/>
      <c r="H2628" s="2042"/>
      <c r="I2628" s="2042"/>
      <c r="J2628" s="2042"/>
      <c r="K2628" s="2042"/>
      <c r="L2628" s="2042"/>
      <c r="M2628" s="2042"/>
      <c r="N2628" s="2042"/>
      <c r="O2628" s="2042"/>
      <c r="P2628" s="2042"/>
      <c r="Q2628" s="2042"/>
      <c r="R2628" s="2042"/>
      <c r="S2628" s="2042"/>
      <c r="T2628" s="2042"/>
      <c r="U2628" s="2042"/>
      <c r="V2628" s="2042"/>
      <c r="W2628" s="2042"/>
      <c r="X2628" s="2042"/>
      <c r="Y2628" s="2042"/>
      <c r="Z2628" s="2042"/>
      <c r="AA2628" s="2042"/>
      <c r="AB2628" s="2042"/>
      <c r="AC2628" s="2042"/>
      <c r="AD2628" s="2043"/>
      <c r="AE2628" s="2014" t="s">
        <v>1841</v>
      </c>
      <c r="AF2628" s="2044"/>
    </row>
    <row r="2629" spans="1:32" ht="15.75" x14ac:dyDescent="0.25">
      <c r="A2629" s="2045" t="s">
        <v>1853</v>
      </c>
      <c r="B2629" s="2046"/>
      <c r="C2629" s="2046"/>
      <c r="D2629" s="2046"/>
      <c r="E2629" s="2046"/>
      <c r="F2629" s="2046"/>
      <c r="G2629" s="2046"/>
      <c r="H2629" s="2046"/>
      <c r="I2629" s="2046"/>
      <c r="J2629" s="2046"/>
      <c r="K2629" s="2046"/>
      <c r="L2629" s="2046"/>
      <c r="M2629" s="2046"/>
      <c r="N2629" s="2046"/>
      <c r="O2629" s="2046"/>
      <c r="P2629" s="2046"/>
      <c r="Q2629" s="2046"/>
      <c r="R2629" s="2046"/>
      <c r="S2629" s="2046"/>
      <c r="T2629" s="2046"/>
      <c r="U2629" s="2046"/>
      <c r="V2629" s="2046"/>
      <c r="W2629" s="2046"/>
      <c r="X2629" s="2046"/>
      <c r="Y2629" s="2046"/>
      <c r="Z2629" s="2046"/>
      <c r="AA2629" s="2046"/>
      <c r="AB2629" s="2046"/>
      <c r="AC2629" s="2046"/>
      <c r="AD2629" s="2046"/>
      <c r="AE2629" s="2047">
        <f>'01'!$M$13</f>
        <v>0</v>
      </c>
      <c r="AF2629" s="2044"/>
    </row>
    <row r="2630" spans="1:32" x14ac:dyDescent="0.2">
      <c r="A2630" s="1046"/>
      <c r="B2630" s="1047"/>
      <c r="C2630" s="1047"/>
      <c r="D2630" s="1047"/>
      <c r="E2630" s="1047"/>
      <c r="F2630" s="1047"/>
      <c r="G2630" s="1047"/>
      <c r="H2630" s="1047"/>
      <c r="I2630" s="1047"/>
      <c r="J2630" s="1047"/>
      <c r="K2630" s="1047"/>
      <c r="L2630" s="1047"/>
      <c r="M2630" s="1047"/>
      <c r="N2630" s="1047"/>
      <c r="O2630" s="1047"/>
      <c r="P2630" s="1047"/>
      <c r="Q2630" s="1047"/>
      <c r="R2630" s="1047"/>
      <c r="S2630" s="1047"/>
      <c r="T2630" s="1047"/>
      <c r="U2630" s="1047"/>
      <c r="V2630" s="1047"/>
      <c r="W2630" s="1047"/>
      <c r="X2630" s="1047"/>
      <c r="Y2630" s="1047"/>
      <c r="Z2630" s="1047"/>
      <c r="AA2630" s="1047"/>
      <c r="AB2630" s="1047"/>
      <c r="AC2630" s="1047"/>
      <c r="AD2630" s="1047"/>
      <c r="AE2630" s="1047"/>
      <c r="AF2630" s="1048"/>
    </row>
    <row r="2631" spans="1:32" ht="15.75" x14ac:dyDescent="0.2">
      <c r="A2631" s="2048" t="s">
        <v>1842</v>
      </c>
      <c r="B2631" s="2049"/>
      <c r="C2631" s="2049"/>
      <c r="D2631" s="2049"/>
      <c r="E2631" s="2049"/>
      <c r="F2631" s="2050" t="str">
        <f>+'01'!$H$105</f>
        <v>D - CANAL DE DESINFECCIÓN</v>
      </c>
      <c r="G2631" s="2049"/>
      <c r="H2631" s="2049"/>
      <c r="I2631" s="2049"/>
      <c r="J2631" s="2049"/>
      <c r="K2631" s="2049"/>
      <c r="L2631" s="2049"/>
      <c r="M2631" s="2049"/>
      <c r="N2631" s="2049"/>
      <c r="O2631" s="2049"/>
      <c r="P2631" s="2049"/>
      <c r="Q2631" s="2049"/>
      <c r="R2631" s="2049"/>
      <c r="S2631" s="2049"/>
      <c r="T2631" s="2049"/>
      <c r="U2631" s="2049"/>
      <c r="V2631" s="2049"/>
      <c r="W2631" s="2049"/>
      <c r="X2631" s="2049"/>
      <c r="Y2631" s="2051"/>
      <c r="Z2631" s="2052" t="s">
        <v>1843</v>
      </c>
      <c r="AA2631" s="2053"/>
      <c r="AB2631" s="2058" t="s">
        <v>1844</v>
      </c>
      <c r="AC2631" s="2059"/>
      <c r="AD2631" s="2060"/>
      <c r="AE2631" s="2064" t="s">
        <v>2184</v>
      </c>
      <c r="AF2631" s="2067" t="s">
        <v>1846</v>
      </c>
    </row>
    <row r="2632" spans="1:32" x14ac:dyDescent="0.2">
      <c r="A2632" s="2070" t="str">
        <f>+'01'!A116</f>
        <v>D-04-01</v>
      </c>
      <c r="B2632" s="2071"/>
      <c r="C2632" s="2072"/>
      <c r="D2632" s="2076" t="str">
        <f>VLOOKUP(A2632,'01'!$A$12:$N$299,3,FALSE)</f>
        <v>RETIRO DE MATERIAL SOBRANTE HASTA BOTADERO AUTORIZADO (INCLUYE FACTOR DE EXPANSIÓN)</v>
      </c>
      <c r="E2632" s="2077"/>
      <c r="F2632" s="2077"/>
      <c r="G2632" s="2077"/>
      <c r="H2632" s="2077"/>
      <c r="I2632" s="2077"/>
      <c r="J2632" s="2077"/>
      <c r="K2632" s="2077"/>
      <c r="L2632" s="2077"/>
      <c r="M2632" s="2077"/>
      <c r="N2632" s="2077"/>
      <c r="O2632" s="2077"/>
      <c r="P2632" s="2077"/>
      <c r="Q2632" s="2077"/>
      <c r="R2632" s="2077"/>
      <c r="S2632" s="2078"/>
      <c r="T2632" s="2082" t="s">
        <v>124</v>
      </c>
      <c r="U2632" s="2083"/>
      <c r="V2632" s="2083"/>
      <c r="W2632" s="2083"/>
      <c r="X2632" s="2052" t="str">
        <f>VLOOKUP(A2632,'01'!$A$12:$N$299,9,FALSE)</f>
        <v>M3-KM</v>
      </c>
      <c r="Y2632" s="2053"/>
      <c r="Z2632" s="2054"/>
      <c r="AA2632" s="2055"/>
      <c r="AB2632" s="2061"/>
      <c r="AC2632" s="2062"/>
      <c r="AD2632" s="2063"/>
      <c r="AE2632" s="2065"/>
      <c r="AF2632" s="2068"/>
    </row>
    <row r="2633" spans="1:32" ht="31.5" x14ac:dyDescent="0.25">
      <c r="A2633" s="2073"/>
      <c r="B2633" s="2074"/>
      <c r="C2633" s="2075"/>
      <c r="D2633" s="2079"/>
      <c r="E2633" s="2080"/>
      <c r="F2633" s="2080"/>
      <c r="G2633" s="2080"/>
      <c r="H2633" s="2080"/>
      <c r="I2633" s="2080"/>
      <c r="J2633" s="2080"/>
      <c r="K2633" s="2080"/>
      <c r="L2633" s="2080"/>
      <c r="M2633" s="2080"/>
      <c r="N2633" s="2080"/>
      <c r="O2633" s="2080"/>
      <c r="P2633" s="2080"/>
      <c r="Q2633" s="2080"/>
      <c r="R2633" s="2080"/>
      <c r="S2633" s="2081"/>
      <c r="T2633" s="2084"/>
      <c r="U2633" s="2085"/>
      <c r="V2633" s="2085"/>
      <c r="W2633" s="2085"/>
      <c r="X2633" s="2056"/>
      <c r="Y2633" s="2057"/>
      <c r="Z2633" s="2056"/>
      <c r="AA2633" s="2057"/>
      <c r="AB2633" s="1122" t="s">
        <v>2180</v>
      </c>
      <c r="AC2633" s="1122" t="s">
        <v>2181</v>
      </c>
      <c r="AD2633" s="1122" t="s">
        <v>1869</v>
      </c>
      <c r="AE2633" s="2066"/>
      <c r="AF2633" s="2069"/>
    </row>
    <row r="2634" spans="1:32" ht="15.75" x14ac:dyDescent="0.25">
      <c r="A2634" s="2017"/>
      <c r="B2634" s="2018"/>
      <c r="C2634" s="2018"/>
      <c r="D2634" s="2018"/>
      <c r="E2634" s="2018"/>
      <c r="F2634" s="2018"/>
      <c r="G2634" s="2018"/>
      <c r="H2634" s="2018"/>
      <c r="I2634" s="2018"/>
      <c r="J2634" s="2018"/>
      <c r="K2634" s="2018"/>
      <c r="L2634" s="2018"/>
      <c r="M2634" s="2018"/>
      <c r="N2634" s="2018"/>
      <c r="O2634" s="2018"/>
      <c r="P2634" s="2018"/>
      <c r="Q2634" s="2018"/>
      <c r="R2634" s="2018"/>
      <c r="S2634" s="2018"/>
      <c r="T2634" s="2018"/>
      <c r="U2634" s="2018"/>
      <c r="V2634" s="2018"/>
      <c r="W2634" s="2018"/>
      <c r="X2634" s="2018"/>
      <c r="Y2634" s="2094"/>
      <c r="Z2634" s="2096"/>
      <c r="AA2634" s="2097"/>
      <c r="AB2634" s="1050">
        <f>+AF2500</f>
        <v>92.78</v>
      </c>
      <c r="AC2634" s="1050">
        <f>+AF2619</f>
        <v>0.19999999999999996</v>
      </c>
      <c r="AD2634" s="1050">
        <v>1.25</v>
      </c>
      <c r="AE2634" s="1051">
        <f>+'01'!E15</f>
        <v>5</v>
      </c>
      <c r="AF2634" s="1052">
        <f>ROUND((AB2634-AC2634)*AD2634*AE2634,2)</f>
        <v>578.63</v>
      </c>
    </row>
    <row r="2635" spans="1:32" ht="15.75" x14ac:dyDescent="0.25">
      <c r="A2635" s="2017"/>
      <c r="B2635" s="2018"/>
      <c r="C2635" s="2018"/>
      <c r="D2635" s="2018"/>
      <c r="E2635" s="2018"/>
      <c r="F2635" s="2018"/>
      <c r="G2635" s="2018"/>
      <c r="H2635" s="2018"/>
      <c r="I2635" s="2018"/>
      <c r="J2635" s="2018"/>
      <c r="K2635" s="2018"/>
      <c r="L2635" s="2018"/>
      <c r="M2635" s="2018"/>
      <c r="N2635" s="2018"/>
      <c r="O2635" s="2018"/>
      <c r="P2635" s="2018"/>
      <c r="Q2635" s="2018"/>
      <c r="R2635" s="2018"/>
      <c r="S2635" s="2018"/>
      <c r="T2635" s="2018"/>
      <c r="U2635" s="2018"/>
      <c r="V2635" s="2018"/>
      <c r="W2635" s="2018"/>
      <c r="X2635" s="2018"/>
      <c r="Y2635" s="2094"/>
      <c r="Z2635" s="2096"/>
      <c r="AA2635" s="2097"/>
      <c r="AB2635" s="1050"/>
      <c r="AC2635" s="1050"/>
      <c r="AD2635" s="1050"/>
      <c r="AE2635" s="1051"/>
      <c r="AF2635" s="1052"/>
    </row>
    <row r="2636" spans="1:32" ht="15.75" x14ac:dyDescent="0.25">
      <c r="A2636" s="2017"/>
      <c r="B2636" s="2018"/>
      <c r="C2636" s="2018"/>
      <c r="D2636" s="2018"/>
      <c r="E2636" s="2018"/>
      <c r="F2636" s="2018"/>
      <c r="G2636" s="2018"/>
      <c r="H2636" s="2018"/>
      <c r="I2636" s="2018"/>
      <c r="J2636" s="2018"/>
      <c r="K2636" s="2018"/>
      <c r="L2636" s="2018"/>
      <c r="M2636" s="2018"/>
      <c r="N2636" s="2018"/>
      <c r="O2636" s="2018"/>
      <c r="P2636" s="2018"/>
      <c r="Q2636" s="2018"/>
      <c r="R2636" s="2018"/>
      <c r="S2636" s="2018"/>
      <c r="T2636" s="2018"/>
      <c r="U2636" s="2018"/>
      <c r="V2636" s="2018"/>
      <c r="W2636" s="2018"/>
      <c r="X2636" s="2018"/>
      <c r="Y2636" s="2094"/>
      <c r="Z2636" s="2096"/>
      <c r="AA2636" s="2097"/>
      <c r="AB2636" s="1050"/>
      <c r="AC2636" s="1050"/>
      <c r="AD2636" s="1050"/>
      <c r="AE2636" s="1051"/>
      <c r="AF2636" s="1052"/>
    </row>
    <row r="2637" spans="1:32" ht="15.75" x14ac:dyDescent="0.25">
      <c r="A2637" s="2017"/>
      <c r="B2637" s="2018"/>
      <c r="C2637" s="2018"/>
      <c r="D2637" s="2018"/>
      <c r="E2637" s="2018"/>
      <c r="F2637" s="2018"/>
      <c r="G2637" s="2018"/>
      <c r="H2637" s="2018"/>
      <c r="I2637" s="2018"/>
      <c r="J2637" s="2018"/>
      <c r="K2637" s="2018"/>
      <c r="L2637" s="2018"/>
      <c r="M2637" s="2018"/>
      <c r="N2637" s="2018"/>
      <c r="O2637" s="2018"/>
      <c r="P2637" s="2018"/>
      <c r="Q2637" s="2018"/>
      <c r="R2637" s="2018"/>
      <c r="S2637" s="2018"/>
      <c r="T2637" s="2018"/>
      <c r="U2637" s="2018"/>
      <c r="V2637" s="2018"/>
      <c r="W2637" s="2018"/>
      <c r="X2637" s="2018"/>
      <c r="Y2637" s="2094"/>
      <c r="Z2637" s="2096"/>
      <c r="AA2637" s="2097"/>
      <c r="AB2637" s="1050"/>
      <c r="AC2637" s="1050"/>
      <c r="AD2637" s="1050"/>
      <c r="AE2637" s="1051"/>
      <c r="AF2637" s="1052"/>
    </row>
    <row r="2638" spans="1:32" ht="15.75" x14ac:dyDescent="0.25">
      <c r="A2638" s="2017"/>
      <c r="B2638" s="2018"/>
      <c r="C2638" s="2018"/>
      <c r="D2638" s="2018"/>
      <c r="E2638" s="2018"/>
      <c r="F2638" s="2018"/>
      <c r="G2638" s="2018"/>
      <c r="H2638" s="2018"/>
      <c r="I2638" s="2018"/>
      <c r="J2638" s="2018"/>
      <c r="K2638" s="2018"/>
      <c r="L2638" s="2018"/>
      <c r="M2638" s="2018"/>
      <c r="N2638" s="2018"/>
      <c r="O2638" s="2018"/>
      <c r="P2638" s="2018"/>
      <c r="Q2638" s="2018"/>
      <c r="R2638" s="2018"/>
      <c r="S2638" s="2018"/>
      <c r="T2638" s="2018"/>
      <c r="U2638" s="2018"/>
      <c r="V2638" s="2018"/>
      <c r="W2638" s="2018"/>
      <c r="X2638" s="2018"/>
      <c r="Y2638" s="2094"/>
      <c r="Z2638" s="2096"/>
      <c r="AA2638" s="2097"/>
      <c r="AB2638" s="1050"/>
      <c r="AC2638" s="1050"/>
      <c r="AD2638" s="1050"/>
      <c r="AE2638" s="1051"/>
      <c r="AF2638" s="1052"/>
    </row>
    <row r="2639" spans="1:32" ht="15.75" x14ac:dyDescent="0.25">
      <c r="A2639" s="2017"/>
      <c r="B2639" s="2018"/>
      <c r="C2639" s="2018"/>
      <c r="D2639" s="2018"/>
      <c r="E2639" s="2018"/>
      <c r="F2639" s="2018"/>
      <c r="G2639" s="2018"/>
      <c r="H2639" s="2018"/>
      <c r="I2639" s="2018"/>
      <c r="J2639" s="2018"/>
      <c r="K2639" s="2018"/>
      <c r="L2639" s="2018"/>
      <c r="M2639" s="2018"/>
      <c r="N2639" s="2018"/>
      <c r="O2639" s="2018"/>
      <c r="P2639" s="2018"/>
      <c r="Q2639" s="2018"/>
      <c r="R2639" s="2018"/>
      <c r="S2639" s="2018"/>
      <c r="T2639" s="2018"/>
      <c r="U2639" s="2018"/>
      <c r="V2639" s="2018"/>
      <c r="W2639" s="2018"/>
      <c r="X2639" s="2018"/>
      <c r="Y2639" s="2094"/>
      <c r="Z2639" s="2096"/>
      <c r="AA2639" s="2097"/>
      <c r="AB2639" s="1050"/>
      <c r="AC2639" s="1050"/>
      <c r="AD2639" s="1050"/>
      <c r="AE2639" s="1051"/>
      <c r="AF2639" s="1052"/>
    </row>
    <row r="2640" spans="1:32" ht="15.75" x14ac:dyDescent="0.25">
      <c r="A2640" s="2017"/>
      <c r="B2640" s="2018"/>
      <c r="C2640" s="2018"/>
      <c r="D2640" s="2018"/>
      <c r="E2640" s="2018"/>
      <c r="F2640" s="2018"/>
      <c r="G2640" s="2018"/>
      <c r="H2640" s="2018"/>
      <c r="I2640" s="2018"/>
      <c r="J2640" s="2018"/>
      <c r="K2640" s="2018"/>
      <c r="L2640" s="2018"/>
      <c r="M2640" s="2018"/>
      <c r="N2640" s="2018"/>
      <c r="O2640" s="2018"/>
      <c r="P2640" s="2018"/>
      <c r="Q2640" s="2018"/>
      <c r="R2640" s="2018"/>
      <c r="S2640" s="2018"/>
      <c r="T2640" s="2018"/>
      <c r="U2640" s="2018"/>
      <c r="V2640" s="2018"/>
      <c r="W2640" s="2018"/>
      <c r="X2640" s="2018"/>
      <c r="Y2640" s="2094"/>
      <c r="Z2640" s="2096"/>
      <c r="AA2640" s="2097"/>
      <c r="AB2640" s="1050"/>
      <c r="AC2640" s="1050"/>
      <c r="AD2640" s="1050"/>
      <c r="AE2640" s="1051"/>
      <c r="AF2640" s="1052"/>
    </row>
    <row r="2641" spans="1:32" ht="15.75" x14ac:dyDescent="0.25">
      <c r="A2641" s="2017"/>
      <c r="B2641" s="2018"/>
      <c r="C2641" s="2018"/>
      <c r="D2641" s="2018"/>
      <c r="E2641" s="2018"/>
      <c r="F2641" s="2018"/>
      <c r="G2641" s="2018"/>
      <c r="H2641" s="2018"/>
      <c r="I2641" s="2018"/>
      <c r="J2641" s="2018"/>
      <c r="K2641" s="2018"/>
      <c r="L2641" s="2018"/>
      <c r="M2641" s="2018"/>
      <c r="N2641" s="2018"/>
      <c r="O2641" s="2018"/>
      <c r="P2641" s="2018"/>
      <c r="Q2641" s="2018"/>
      <c r="R2641" s="2018"/>
      <c r="S2641" s="2018"/>
      <c r="T2641" s="2018"/>
      <c r="U2641" s="2018"/>
      <c r="V2641" s="2018"/>
      <c r="W2641" s="2018"/>
      <c r="X2641" s="2018"/>
      <c r="Y2641" s="2094"/>
      <c r="Z2641" s="2096"/>
      <c r="AA2641" s="2097"/>
      <c r="AB2641" s="1053"/>
      <c r="AC2641" s="1053"/>
      <c r="AD2641" s="1053"/>
      <c r="AE2641" s="1051"/>
      <c r="AF2641" s="1052"/>
    </row>
    <row r="2642" spans="1:32" ht="15.75" x14ac:dyDescent="0.25">
      <c r="A2642" s="2017"/>
      <c r="B2642" s="2018"/>
      <c r="C2642" s="2018"/>
      <c r="D2642" s="2018"/>
      <c r="E2642" s="2018"/>
      <c r="F2642" s="2018"/>
      <c r="G2642" s="2018"/>
      <c r="H2642" s="2018"/>
      <c r="I2642" s="2018"/>
      <c r="J2642" s="2018"/>
      <c r="K2642" s="2018"/>
      <c r="L2642" s="2018"/>
      <c r="M2642" s="2018"/>
      <c r="N2642" s="2018"/>
      <c r="O2642" s="2018"/>
      <c r="P2642" s="2018"/>
      <c r="Q2642" s="2018"/>
      <c r="R2642" s="2018"/>
      <c r="S2642" s="2018"/>
      <c r="T2642" s="2018"/>
      <c r="U2642" s="2018"/>
      <c r="V2642" s="2018"/>
      <c r="W2642" s="2018"/>
      <c r="X2642" s="2018"/>
      <c r="Y2642" s="2094"/>
      <c r="Z2642" s="2096"/>
      <c r="AA2642" s="2097"/>
      <c r="AB2642" s="1053"/>
      <c r="AC2642" s="1053"/>
      <c r="AD2642" s="1053"/>
      <c r="AE2642" s="1050"/>
      <c r="AF2642" s="1054"/>
    </row>
    <row r="2643" spans="1:32" ht="15.75" x14ac:dyDescent="0.25">
      <c r="A2643" s="2017"/>
      <c r="B2643" s="2018"/>
      <c r="C2643" s="2018"/>
      <c r="D2643" s="2018"/>
      <c r="E2643" s="2018"/>
      <c r="F2643" s="2018"/>
      <c r="G2643" s="2018"/>
      <c r="H2643" s="2018"/>
      <c r="I2643" s="2018"/>
      <c r="J2643" s="2018"/>
      <c r="K2643" s="2018"/>
      <c r="L2643" s="2018"/>
      <c r="M2643" s="2018"/>
      <c r="N2643" s="2018"/>
      <c r="O2643" s="2018"/>
      <c r="P2643" s="2018"/>
      <c r="Q2643" s="2018"/>
      <c r="R2643" s="2018"/>
      <c r="S2643" s="2018"/>
      <c r="T2643" s="2018"/>
      <c r="U2643" s="2018"/>
      <c r="V2643" s="2018"/>
      <c r="W2643" s="2018"/>
      <c r="X2643" s="2018"/>
      <c r="Y2643" s="2094"/>
      <c r="Z2643" s="2096"/>
      <c r="AA2643" s="2097"/>
      <c r="AB2643" s="1053"/>
      <c r="AC2643" s="1053"/>
      <c r="AD2643" s="1053"/>
      <c r="AE2643" s="1051"/>
      <c r="AF2643" s="1054"/>
    </row>
    <row r="2644" spans="1:32" ht="15.75" x14ac:dyDescent="0.25">
      <c r="A2644" s="2017"/>
      <c r="B2644" s="2018"/>
      <c r="C2644" s="2018"/>
      <c r="D2644" s="2018"/>
      <c r="E2644" s="2018"/>
      <c r="F2644" s="2018"/>
      <c r="G2644" s="2018"/>
      <c r="H2644" s="2018"/>
      <c r="I2644" s="2018"/>
      <c r="J2644" s="2018"/>
      <c r="K2644" s="2018"/>
      <c r="L2644" s="2018"/>
      <c r="M2644" s="2018"/>
      <c r="N2644" s="2018"/>
      <c r="O2644" s="2018"/>
      <c r="P2644" s="2018"/>
      <c r="Q2644" s="2018"/>
      <c r="R2644" s="2018"/>
      <c r="S2644" s="2018"/>
      <c r="T2644" s="2018"/>
      <c r="U2644" s="2018"/>
      <c r="V2644" s="2018"/>
      <c r="W2644" s="2018"/>
      <c r="X2644" s="2018"/>
      <c r="Y2644" s="2094"/>
      <c r="Z2644" s="2096"/>
      <c r="AA2644" s="2097"/>
      <c r="AB2644" s="1053"/>
      <c r="AC2644" s="1053"/>
      <c r="AD2644" s="1053"/>
      <c r="AE2644" s="1051"/>
      <c r="AF2644" s="1054"/>
    </row>
    <row r="2645" spans="1:32" ht="15.75" x14ac:dyDescent="0.25">
      <c r="A2645" s="2017"/>
      <c r="B2645" s="2018"/>
      <c r="C2645" s="2018"/>
      <c r="D2645" s="2018"/>
      <c r="E2645" s="2018"/>
      <c r="F2645" s="2018"/>
      <c r="G2645" s="2018"/>
      <c r="H2645" s="2018"/>
      <c r="I2645" s="2018"/>
      <c r="J2645" s="2018"/>
      <c r="K2645" s="2018"/>
      <c r="L2645" s="2018"/>
      <c r="M2645" s="2018"/>
      <c r="N2645" s="2018"/>
      <c r="O2645" s="2018"/>
      <c r="P2645" s="2018"/>
      <c r="Q2645" s="2018"/>
      <c r="R2645" s="2018"/>
      <c r="S2645" s="2018"/>
      <c r="T2645" s="2018"/>
      <c r="U2645" s="2018"/>
      <c r="V2645" s="2018"/>
      <c r="W2645" s="2018"/>
      <c r="X2645" s="2018"/>
      <c r="Y2645" s="2094"/>
      <c r="Z2645" s="2096"/>
      <c r="AA2645" s="2097"/>
      <c r="AB2645" s="1053"/>
      <c r="AC2645" s="1053"/>
      <c r="AD2645" s="1053"/>
      <c r="AE2645" s="1051"/>
      <c r="AF2645" s="1054"/>
    </row>
    <row r="2646" spans="1:32" ht="15.75" x14ac:dyDescent="0.25">
      <c r="A2646" s="2017"/>
      <c r="B2646" s="2018"/>
      <c r="C2646" s="2018"/>
      <c r="D2646" s="2018"/>
      <c r="E2646" s="2018"/>
      <c r="F2646" s="2018"/>
      <c r="G2646" s="2018"/>
      <c r="H2646" s="2018"/>
      <c r="I2646" s="2018"/>
      <c r="J2646" s="2018"/>
      <c r="K2646" s="2018"/>
      <c r="L2646" s="2018"/>
      <c r="M2646" s="2018"/>
      <c r="N2646" s="2018"/>
      <c r="O2646" s="2018"/>
      <c r="P2646" s="2018"/>
      <c r="Q2646" s="2018"/>
      <c r="R2646" s="2018"/>
      <c r="S2646" s="2018"/>
      <c r="T2646" s="2018"/>
      <c r="U2646" s="2018"/>
      <c r="V2646" s="2018"/>
      <c r="W2646" s="2018"/>
      <c r="X2646" s="2018"/>
      <c r="Y2646" s="2094"/>
      <c r="Z2646" s="2096"/>
      <c r="AA2646" s="2097"/>
      <c r="AB2646" s="1053"/>
      <c r="AC2646" s="1053"/>
      <c r="AD2646" s="1053"/>
      <c r="AE2646" s="1051"/>
      <c r="AF2646" s="1054"/>
    </row>
    <row r="2647" spans="1:32" ht="15.75" x14ac:dyDescent="0.25">
      <c r="A2647" s="2017"/>
      <c r="B2647" s="2018"/>
      <c r="C2647" s="2018"/>
      <c r="D2647" s="2018"/>
      <c r="E2647" s="2018"/>
      <c r="F2647" s="2018"/>
      <c r="G2647" s="2018"/>
      <c r="H2647" s="2018"/>
      <c r="I2647" s="2018"/>
      <c r="J2647" s="2018"/>
      <c r="K2647" s="2018"/>
      <c r="L2647" s="2018"/>
      <c r="M2647" s="2018"/>
      <c r="N2647" s="2018"/>
      <c r="O2647" s="2018"/>
      <c r="P2647" s="2018"/>
      <c r="Q2647" s="2018"/>
      <c r="R2647" s="2018"/>
      <c r="S2647" s="2018"/>
      <c r="T2647" s="2018"/>
      <c r="U2647" s="2018"/>
      <c r="V2647" s="2018"/>
      <c r="W2647" s="2018"/>
      <c r="X2647" s="2018"/>
      <c r="Y2647" s="2094"/>
      <c r="Z2647" s="2096"/>
      <c r="AA2647" s="2097"/>
      <c r="AB2647" s="1053"/>
      <c r="AC2647" s="1053"/>
      <c r="AD2647" s="1053"/>
      <c r="AE2647" s="1051"/>
      <c r="AF2647" s="1054"/>
    </row>
    <row r="2648" spans="1:32" ht="15.75" x14ac:dyDescent="0.25">
      <c r="A2648" s="2017"/>
      <c r="B2648" s="2018"/>
      <c r="C2648" s="2018"/>
      <c r="D2648" s="2018"/>
      <c r="E2648" s="2018"/>
      <c r="F2648" s="2018"/>
      <c r="G2648" s="2018"/>
      <c r="H2648" s="2018"/>
      <c r="I2648" s="2018"/>
      <c r="J2648" s="2018"/>
      <c r="K2648" s="2018"/>
      <c r="L2648" s="2018"/>
      <c r="M2648" s="2018"/>
      <c r="N2648" s="2018"/>
      <c r="O2648" s="2018"/>
      <c r="P2648" s="2018"/>
      <c r="Q2648" s="2018"/>
      <c r="R2648" s="2018"/>
      <c r="S2648" s="2018"/>
      <c r="T2648" s="2018"/>
      <c r="U2648" s="2018"/>
      <c r="V2648" s="2018"/>
      <c r="W2648" s="2018"/>
      <c r="X2648" s="2018"/>
      <c r="Y2648" s="2094"/>
      <c r="Z2648" s="2096"/>
      <c r="AA2648" s="2097"/>
      <c r="AB2648" s="1055"/>
      <c r="AC2648" s="1055"/>
      <c r="AD2648" s="1055"/>
      <c r="AE2648" s="1051"/>
      <c r="AF2648" s="1056"/>
    </row>
    <row r="2649" spans="1:32" ht="15.75" x14ac:dyDescent="0.25">
      <c r="A2649" s="2017"/>
      <c r="B2649" s="2018"/>
      <c r="C2649" s="2018"/>
      <c r="D2649" s="2018"/>
      <c r="E2649" s="2018"/>
      <c r="F2649" s="2018"/>
      <c r="G2649" s="2018"/>
      <c r="H2649" s="2018"/>
      <c r="I2649" s="2018"/>
      <c r="J2649" s="2018"/>
      <c r="K2649" s="2018"/>
      <c r="L2649" s="2018"/>
      <c r="M2649" s="2018"/>
      <c r="N2649" s="2018"/>
      <c r="O2649" s="2018"/>
      <c r="P2649" s="2018"/>
      <c r="Q2649" s="2018"/>
      <c r="R2649" s="2018"/>
      <c r="S2649" s="2018"/>
      <c r="T2649" s="2018"/>
      <c r="U2649" s="2018"/>
      <c r="V2649" s="2018"/>
      <c r="W2649" s="2018"/>
      <c r="X2649" s="2018"/>
      <c r="Y2649" s="2094"/>
      <c r="Z2649" s="2096"/>
      <c r="AA2649" s="2097"/>
      <c r="AB2649" s="1055"/>
      <c r="AC2649" s="1055"/>
      <c r="AD2649" s="1055"/>
      <c r="AE2649" s="1055"/>
      <c r="AF2649" s="1056"/>
    </row>
    <row r="2650" spans="1:32" ht="15.75" x14ac:dyDescent="0.25">
      <c r="A2650" s="2017"/>
      <c r="B2650" s="2018"/>
      <c r="C2650" s="2018"/>
      <c r="D2650" s="2018"/>
      <c r="E2650" s="2018"/>
      <c r="F2650" s="2018"/>
      <c r="G2650" s="2018"/>
      <c r="H2650" s="2018"/>
      <c r="I2650" s="2018"/>
      <c r="J2650" s="2018"/>
      <c r="K2650" s="2018"/>
      <c r="L2650" s="2018"/>
      <c r="M2650" s="2018"/>
      <c r="N2650" s="2018"/>
      <c r="O2650" s="2018"/>
      <c r="P2650" s="2018"/>
      <c r="Q2650" s="2018"/>
      <c r="R2650" s="2018"/>
      <c r="S2650" s="2018"/>
      <c r="T2650" s="2018"/>
      <c r="U2650" s="2018"/>
      <c r="V2650" s="2018"/>
      <c r="W2650" s="2018"/>
      <c r="X2650" s="2018"/>
      <c r="Y2650" s="2094"/>
      <c r="Z2650" s="2096"/>
      <c r="AA2650" s="2097"/>
      <c r="AB2650" s="1055"/>
      <c r="AC2650" s="1055"/>
      <c r="AD2650" s="1055"/>
      <c r="AE2650" s="1055"/>
      <c r="AF2650" s="1056"/>
    </row>
    <row r="2651" spans="1:32" ht="15.75" x14ac:dyDescent="0.25">
      <c r="A2651" s="2017"/>
      <c r="B2651" s="2018"/>
      <c r="C2651" s="2018"/>
      <c r="D2651" s="2018"/>
      <c r="E2651" s="2018"/>
      <c r="F2651" s="2018"/>
      <c r="G2651" s="2018"/>
      <c r="H2651" s="2018"/>
      <c r="I2651" s="2018"/>
      <c r="J2651" s="2018"/>
      <c r="K2651" s="2018"/>
      <c r="L2651" s="2018"/>
      <c r="M2651" s="2018"/>
      <c r="N2651" s="2018"/>
      <c r="O2651" s="2018"/>
      <c r="P2651" s="2018"/>
      <c r="Q2651" s="2018"/>
      <c r="R2651" s="2018"/>
      <c r="S2651" s="2018"/>
      <c r="T2651" s="2018"/>
      <c r="U2651" s="2018"/>
      <c r="V2651" s="2018"/>
      <c r="W2651" s="2018"/>
      <c r="X2651" s="2018"/>
      <c r="Y2651" s="2094"/>
      <c r="Z2651" s="2096"/>
      <c r="AA2651" s="2097"/>
      <c r="AB2651" s="1055"/>
      <c r="AC2651" s="1055"/>
      <c r="AD2651" s="1055"/>
      <c r="AE2651" s="1055"/>
      <c r="AF2651" s="1056"/>
    </row>
    <row r="2652" spans="1:32" ht="15.75" x14ac:dyDescent="0.25">
      <c r="A2652" s="2017"/>
      <c r="B2652" s="2018"/>
      <c r="C2652" s="2018"/>
      <c r="D2652" s="2018"/>
      <c r="E2652" s="2018"/>
      <c r="F2652" s="2018"/>
      <c r="G2652" s="2018"/>
      <c r="H2652" s="2018"/>
      <c r="I2652" s="2018"/>
      <c r="J2652" s="2018"/>
      <c r="K2652" s="2018"/>
      <c r="L2652" s="2018"/>
      <c r="M2652" s="2018"/>
      <c r="N2652" s="2018"/>
      <c r="O2652" s="2018"/>
      <c r="P2652" s="2018"/>
      <c r="Q2652" s="2018"/>
      <c r="R2652" s="2018"/>
      <c r="S2652" s="2018"/>
      <c r="T2652" s="2018"/>
      <c r="U2652" s="2018"/>
      <c r="V2652" s="2018"/>
      <c r="W2652" s="2018"/>
      <c r="X2652" s="2018"/>
      <c r="Y2652" s="2094"/>
      <c r="Z2652" s="2096"/>
      <c r="AA2652" s="2097"/>
      <c r="AB2652" s="1055"/>
      <c r="AC2652" s="1055"/>
      <c r="AD2652" s="1055"/>
      <c r="AE2652" s="1055"/>
      <c r="AF2652" s="1056"/>
    </row>
    <row r="2653" spans="1:32" ht="15.75" x14ac:dyDescent="0.25">
      <c r="A2653" s="2017"/>
      <c r="B2653" s="2018"/>
      <c r="C2653" s="2018"/>
      <c r="D2653" s="2018"/>
      <c r="E2653" s="2018"/>
      <c r="F2653" s="2018"/>
      <c r="G2653" s="2018"/>
      <c r="H2653" s="2018"/>
      <c r="I2653" s="2018"/>
      <c r="J2653" s="2018"/>
      <c r="K2653" s="2018"/>
      <c r="L2653" s="2018"/>
      <c r="M2653" s="2018"/>
      <c r="N2653" s="2018"/>
      <c r="O2653" s="2018"/>
      <c r="P2653" s="2018"/>
      <c r="Q2653" s="2018"/>
      <c r="R2653" s="2018"/>
      <c r="S2653" s="2018"/>
      <c r="T2653" s="2018"/>
      <c r="U2653" s="2018"/>
      <c r="V2653" s="2018"/>
      <c r="W2653" s="2018"/>
      <c r="X2653" s="2018"/>
      <c r="Y2653" s="2094"/>
      <c r="Z2653" s="2096"/>
      <c r="AA2653" s="2097"/>
      <c r="AB2653" s="1055"/>
      <c r="AC2653" s="1055"/>
      <c r="AD2653" s="1055"/>
      <c r="AE2653" s="1055"/>
      <c r="AF2653" s="1056"/>
    </row>
    <row r="2654" spans="1:32" ht="16.5" thickBot="1" x14ac:dyDescent="0.3">
      <c r="A2654" s="2019"/>
      <c r="B2654" s="2020"/>
      <c r="C2654" s="2020"/>
      <c r="D2654" s="2020"/>
      <c r="E2654" s="2020"/>
      <c r="F2654" s="2020"/>
      <c r="G2654" s="2020"/>
      <c r="H2654" s="2020"/>
      <c r="I2654" s="2020"/>
      <c r="J2654" s="2020"/>
      <c r="K2654" s="2020"/>
      <c r="L2654" s="2020"/>
      <c r="M2654" s="2020"/>
      <c r="N2654" s="2020"/>
      <c r="O2654" s="2020"/>
      <c r="P2654" s="2020"/>
      <c r="Q2654" s="2020"/>
      <c r="R2654" s="2020"/>
      <c r="S2654" s="2020"/>
      <c r="T2654" s="2020"/>
      <c r="U2654" s="2020"/>
      <c r="V2654" s="2020"/>
      <c r="W2654" s="2020"/>
      <c r="X2654" s="2020"/>
      <c r="Y2654" s="2095"/>
      <c r="Z2654" s="2098"/>
      <c r="AA2654" s="2099"/>
      <c r="AB2654" s="1057"/>
      <c r="AC2654" s="1057"/>
      <c r="AD2654" s="1057"/>
      <c r="AE2654" s="1057"/>
      <c r="AF2654" s="1058"/>
    </row>
    <row r="2655" spans="1:32" ht="15.75" x14ac:dyDescent="0.25">
      <c r="A2655" s="2009" t="s">
        <v>2411</v>
      </c>
      <c r="B2655" s="2010"/>
      <c r="C2655" s="2010"/>
      <c r="D2655" s="2010"/>
      <c r="E2655" s="2010"/>
      <c r="F2655" s="2010"/>
      <c r="G2655" s="2010"/>
      <c r="H2655" s="2010"/>
      <c r="I2655" s="2010"/>
      <c r="J2655" s="2010"/>
      <c r="K2655" s="2010"/>
      <c r="L2655" s="2010"/>
      <c r="M2655" s="2010"/>
      <c r="N2655" s="2010"/>
      <c r="O2655" s="2010"/>
      <c r="P2655" s="2010"/>
      <c r="Q2655" s="2010"/>
      <c r="R2655" s="2010"/>
      <c r="S2655" s="2010"/>
      <c r="T2655" s="2010"/>
      <c r="U2655" s="2010"/>
      <c r="V2655" s="2010"/>
      <c r="W2655" s="2010"/>
      <c r="X2655" s="2010"/>
      <c r="Y2655" s="2010"/>
      <c r="Z2655" s="2013" t="s">
        <v>1850</v>
      </c>
      <c r="AA2655" s="2013"/>
      <c r="AB2655" s="2013"/>
      <c r="AC2655" s="2013"/>
      <c r="AD2655" s="2013"/>
      <c r="AE2655" s="2013"/>
      <c r="AF2655" s="1059">
        <f>SUM(AF2634:AF2654)</f>
        <v>578.63</v>
      </c>
    </row>
    <row r="2656" spans="1:32" ht="15.75" x14ac:dyDescent="0.25">
      <c r="A2656" s="2011"/>
      <c r="B2656" s="2012"/>
      <c r="C2656" s="2012"/>
      <c r="D2656" s="2012"/>
      <c r="E2656" s="2012"/>
      <c r="F2656" s="2012"/>
      <c r="G2656" s="2012"/>
      <c r="H2656" s="2012"/>
      <c r="I2656" s="2012"/>
      <c r="J2656" s="2012"/>
      <c r="K2656" s="2012"/>
      <c r="L2656" s="2012"/>
      <c r="M2656" s="2012"/>
      <c r="N2656" s="2012"/>
      <c r="O2656" s="2012"/>
      <c r="P2656" s="2012"/>
      <c r="Q2656" s="2012"/>
      <c r="R2656" s="2012"/>
      <c r="S2656" s="2012"/>
      <c r="T2656" s="2012"/>
      <c r="U2656" s="2012"/>
      <c r="V2656" s="2012"/>
      <c r="W2656" s="2012"/>
      <c r="X2656" s="2012"/>
      <c r="Y2656" s="2012"/>
      <c r="Z2656" s="2014" t="s">
        <v>1851</v>
      </c>
      <c r="AA2656" s="2014"/>
      <c r="AB2656" s="2014"/>
      <c r="AC2656" s="2014"/>
      <c r="AD2656" s="2014"/>
      <c r="AE2656" s="2014"/>
      <c r="AF2656" s="1060">
        <v>0</v>
      </c>
    </row>
    <row r="2657" spans="1:32" ht="15.75" x14ac:dyDescent="0.25">
      <c r="A2657" s="2011"/>
      <c r="B2657" s="2012"/>
      <c r="C2657" s="2012"/>
      <c r="D2657" s="2012"/>
      <c r="E2657" s="2012"/>
      <c r="F2657" s="2012"/>
      <c r="G2657" s="2012"/>
      <c r="H2657" s="2012"/>
      <c r="I2657" s="2012"/>
      <c r="J2657" s="2012"/>
      <c r="K2657" s="2012"/>
      <c r="L2657" s="2012"/>
      <c r="M2657" s="2012"/>
      <c r="N2657" s="2012"/>
      <c r="O2657" s="2012"/>
      <c r="P2657" s="2012"/>
      <c r="Q2657" s="2012"/>
      <c r="R2657" s="2012"/>
      <c r="S2657" s="2012"/>
      <c r="T2657" s="2012"/>
      <c r="U2657" s="2012"/>
      <c r="V2657" s="2012"/>
      <c r="W2657" s="2012"/>
      <c r="X2657" s="2012"/>
      <c r="Y2657" s="2012"/>
      <c r="Z2657" s="2015" t="s">
        <v>1833</v>
      </c>
      <c r="AA2657" s="2015"/>
      <c r="AB2657" s="2015"/>
      <c r="AC2657" s="2015"/>
      <c r="AD2657" s="2015"/>
      <c r="AE2657" s="2015"/>
      <c r="AF2657" s="1061">
        <f>SUM(AF2655:AF2656)</f>
        <v>578.63</v>
      </c>
    </row>
    <row r="2658" spans="1:32" x14ac:dyDescent="0.2">
      <c r="A2658" s="2012" t="s">
        <v>1859</v>
      </c>
      <c r="B2658" s="2012"/>
      <c r="C2658" s="2012"/>
      <c r="D2658" s="2012"/>
      <c r="E2658" s="2012"/>
      <c r="F2658" s="2012"/>
      <c r="G2658" s="2012"/>
      <c r="H2658" s="2012"/>
      <c r="I2658" s="2012"/>
      <c r="J2658" s="2012"/>
      <c r="K2658" s="2012"/>
      <c r="L2658" s="2012"/>
      <c r="M2658" s="2012"/>
      <c r="N2658" s="2012"/>
      <c r="O2658" s="2012"/>
      <c r="P2658" s="2012"/>
      <c r="Q2658" s="2012"/>
      <c r="R2658" s="2012"/>
      <c r="S2658" s="2012"/>
      <c r="T2658" s="2016" t="s">
        <v>1840</v>
      </c>
      <c r="U2658" s="2016"/>
      <c r="V2658" s="2016"/>
      <c r="W2658" s="2016"/>
      <c r="X2658" s="2016"/>
      <c r="Y2658" s="2016"/>
      <c r="Z2658" s="2016"/>
      <c r="AA2658" s="2016"/>
      <c r="AB2658" s="2012" t="s">
        <v>1852</v>
      </c>
      <c r="AC2658" s="2012"/>
      <c r="AD2658" s="2012"/>
      <c r="AE2658" s="2012"/>
      <c r="AF2658" s="2012"/>
    </row>
    <row r="2659" spans="1:32" x14ac:dyDescent="0.2">
      <c r="A2659" s="2012"/>
      <c r="B2659" s="2012"/>
      <c r="C2659" s="2012"/>
      <c r="D2659" s="2012"/>
      <c r="E2659" s="2012"/>
      <c r="F2659" s="2012"/>
      <c r="G2659" s="2012"/>
      <c r="H2659" s="2012"/>
      <c r="I2659" s="2012"/>
      <c r="J2659" s="2012"/>
      <c r="K2659" s="2012"/>
      <c r="L2659" s="2012"/>
      <c r="M2659" s="2012"/>
      <c r="N2659" s="2012"/>
      <c r="O2659" s="2012"/>
      <c r="P2659" s="2012"/>
      <c r="Q2659" s="2012"/>
      <c r="R2659" s="2012"/>
      <c r="S2659" s="2012"/>
      <c r="T2659" s="2016"/>
      <c r="U2659" s="2016"/>
      <c r="V2659" s="2016"/>
      <c r="W2659" s="2016"/>
      <c r="X2659" s="2016"/>
      <c r="Y2659" s="2016"/>
      <c r="Z2659" s="2016"/>
      <c r="AA2659" s="2016"/>
      <c r="AB2659" s="2012"/>
      <c r="AC2659" s="2012"/>
      <c r="AD2659" s="2012"/>
      <c r="AE2659" s="2012"/>
      <c r="AF2659" s="2012"/>
    </row>
    <row r="2660" spans="1:32" ht="16.5" thickBot="1" x14ac:dyDescent="0.25">
      <c r="A2660" s="1062"/>
      <c r="B2660" s="1062"/>
      <c r="C2660" s="1062"/>
      <c r="D2660" s="1062"/>
      <c r="E2660" s="1062"/>
      <c r="F2660" s="1062"/>
      <c r="G2660" s="1062"/>
      <c r="H2660" s="1062"/>
      <c r="I2660" s="1062"/>
      <c r="J2660" s="1062"/>
      <c r="K2660" s="1062"/>
      <c r="L2660" s="1062"/>
      <c r="M2660" s="1062"/>
      <c r="N2660" s="1062"/>
      <c r="O2660" s="1062"/>
      <c r="P2660" s="1062"/>
      <c r="Q2660" s="1062"/>
      <c r="R2660" s="1062"/>
      <c r="S2660" s="1062"/>
      <c r="T2660" s="1063"/>
      <c r="U2660" s="1063"/>
      <c r="V2660" s="1063"/>
      <c r="W2660" s="1063"/>
      <c r="X2660" s="1063"/>
      <c r="Y2660" s="1063"/>
      <c r="Z2660" s="1063"/>
      <c r="AA2660" s="1063"/>
      <c r="AB2660" s="1062"/>
      <c r="AC2660" s="1062"/>
      <c r="AD2660" s="1062"/>
      <c r="AE2660" s="1064"/>
      <c r="AF2660" s="1065"/>
    </row>
    <row r="2661" spans="1:32" ht="22.15" customHeight="1" x14ac:dyDescent="0.2">
      <c r="A2661" s="2025" t="s">
        <v>1854</v>
      </c>
      <c r="B2661" s="2026"/>
      <c r="C2661" s="2026"/>
      <c r="D2661" s="2026"/>
      <c r="E2661" s="2026"/>
      <c r="F2661" s="2026"/>
      <c r="G2661" s="2026"/>
      <c r="H2661" s="2026"/>
      <c r="I2661" s="2026"/>
      <c r="J2661" s="2026"/>
      <c r="K2661" s="2026"/>
      <c r="L2661" s="2026"/>
      <c r="M2661" s="2026"/>
      <c r="N2661" s="2026"/>
      <c r="O2661" s="2026"/>
      <c r="P2661" s="2026"/>
      <c r="Q2661" s="2026"/>
      <c r="R2661" s="2026"/>
      <c r="S2661" s="2026"/>
      <c r="T2661" s="2026"/>
      <c r="U2661" s="2026"/>
      <c r="V2661" s="2026"/>
      <c r="W2661" s="2026"/>
      <c r="X2661" s="2026"/>
      <c r="Y2661" s="2026"/>
      <c r="Z2661" s="2026"/>
      <c r="AA2661" s="2026"/>
      <c r="AB2661" s="2026"/>
      <c r="AC2661" s="2026"/>
      <c r="AD2661" s="2026"/>
      <c r="AE2661" s="1041" t="s">
        <v>1834</v>
      </c>
      <c r="AF2661" s="1042" t="s">
        <v>1835</v>
      </c>
    </row>
    <row r="2662" spans="1:32" ht="24" customHeight="1" thickBot="1" x14ac:dyDescent="0.25">
      <c r="A2662" s="2027"/>
      <c r="B2662" s="2028"/>
      <c r="C2662" s="2028"/>
      <c r="D2662" s="2028"/>
      <c r="E2662" s="2028"/>
      <c r="F2662" s="2028"/>
      <c r="G2662" s="2028"/>
      <c r="H2662" s="2028"/>
      <c r="I2662" s="2028"/>
      <c r="J2662" s="2028"/>
      <c r="K2662" s="2028"/>
      <c r="L2662" s="2028"/>
      <c r="M2662" s="2028"/>
      <c r="N2662" s="2028"/>
      <c r="O2662" s="2028"/>
      <c r="P2662" s="2028"/>
      <c r="Q2662" s="2028"/>
      <c r="R2662" s="2028"/>
      <c r="S2662" s="2028"/>
      <c r="T2662" s="2028"/>
      <c r="U2662" s="2028"/>
      <c r="V2662" s="2028"/>
      <c r="W2662" s="2028"/>
      <c r="X2662" s="2028"/>
      <c r="Y2662" s="2028"/>
      <c r="Z2662" s="2028"/>
      <c r="AA2662" s="2028"/>
      <c r="AB2662" s="2028"/>
      <c r="AC2662" s="2028"/>
      <c r="AD2662" s="2028"/>
      <c r="AE2662" s="1041" t="s">
        <v>1836</v>
      </c>
      <c r="AF2662" s="1044">
        <v>1</v>
      </c>
    </row>
    <row r="2663" spans="1:32" ht="15.75" x14ac:dyDescent="0.2">
      <c r="A2663" s="2029"/>
      <c r="B2663" s="2030"/>
      <c r="C2663" s="2030"/>
      <c r="D2663" s="2031"/>
      <c r="E2663" s="2025" t="str">
        <f>'01'!$A$12</f>
        <v>"CONSTRUCCION SISTEMA DE ACUEDUCTO FASE II DEL MUNICIPIO DE TESALIA DPTO DEL HUILA"</v>
      </c>
      <c r="F2663" s="2026"/>
      <c r="G2663" s="2026"/>
      <c r="H2663" s="2026"/>
      <c r="I2663" s="2026"/>
      <c r="J2663" s="2026"/>
      <c r="K2663" s="2026"/>
      <c r="L2663" s="2026"/>
      <c r="M2663" s="2026"/>
      <c r="N2663" s="2026"/>
      <c r="O2663" s="2026"/>
      <c r="P2663" s="2026"/>
      <c r="Q2663" s="2026"/>
      <c r="R2663" s="2026"/>
      <c r="S2663" s="2026"/>
      <c r="T2663" s="2026"/>
      <c r="U2663" s="2026"/>
      <c r="V2663" s="2026"/>
      <c r="W2663" s="2026"/>
      <c r="X2663" s="2026"/>
      <c r="Y2663" s="2026"/>
      <c r="Z2663" s="2026"/>
      <c r="AA2663" s="2026"/>
      <c r="AB2663" s="2026"/>
      <c r="AC2663" s="2026"/>
      <c r="AD2663" s="2035"/>
      <c r="AE2663" s="1041" t="s">
        <v>847</v>
      </c>
      <c r="AF2663" s="1045">
        <f>'01'!$M$13</f>
        <v>0</v>
      </c>
    </row>
    <row r="2664" spans="1:32" ht="16.5" thickBot="1" x14ac:dyDescent="0.25">
      <c r="A2664" s="2032"/>
      <c r="B2664" s="2033"/>
      <c r="C2664" s="2033"/>
      <c r="D2664" s="2034"/>
      <c r="E2664" s="2027"/>
      <c r="F2664" s="2028"/>
      <c r="G2664" s="2028"/>
      <c r="H2664" s="2028"/>
      <c r="I2664" s="2028"/>
      <c r="J2664" s="2028"/>
      <c r="K2664" s="2028"/>
      <c r="L2664" s="2028"/>
      <c r="M2664" s="2028"/>
      <c r="N2664" s="2028"/>
      <c r="O2664" s="2028"/>
      <c r="P2664" s="2028"/>
      <c r="Q2664" s="2028"/>
      <c r="R2664" s="2028"/>
      <c r="S2664" s="2028"/>
      <c r="T2664" s="2028"/>
      <c r="U2664" s="2028"/>
      <c r="V2664" s="2028"/>
      <c r="W2664" s="2028"/>
      <c r="X2664" s="2028"/>
      <c r="Y2664" s="2028"/>
      <c r="Z2664" s="2028"/>
      <c r="AA2664" s="2028"/>
      <c r="AB2664" s="2028"/>
      <c r="AC2664" s="2028"/>
      <c r="AD2664" s="2036"/>
      <c r="AE2664" s="1041" t="s">
        <v>1837</v>
      </c>
      <c r="AF2664" s="1042" t="s">
        <v>1838</v>
      </c>
    </row>
    <row r="2665" spans="1:32" ht="15.75" x14ac:dyDescent="0.25">
      <c r="A2665" s="2037" t="s">
        <v>1860</v>
      </c>
      <c r="B2665" s="2038"/>
      <c r="C2665" s="2038"/>
      <c r="D2665" s="2038"/>
      <c r="E2665" s="2038"/>
      <c r="F2665" s="2038"/>
      <c r="G2665" s="2038"/>
      <c r="H2665" s="2038"/>
      <c r="I2665" s="2038"/>
      <c r="J2665" s="2038"/>
      <c r="K2665" s="2038"/>
      <c r="L2665" s="2038"/>
      <c r="M2665" s="2038"/>
      <c r="N2665" s="2038"/>
      <c r="O2665" s="2038"/>
      <c r="P2665" s="2038"/>
      <c r="Q2665" s="2038"/>
      <c r="R2665" s="2038"/>
      <c r="S2665" s="2038"/>
      <c r="T2665" s="2038"/>
      <c r="U2665" s="2038"/>
      <c r="V2665" s="2038"/>
      <c r="W2665" s="2038"/>
      <c r="X2665" s="2038"/>
      <c r="Y2665" s="2038"/>
      <c r="Z2665" s="2038"/>
      <c r="AA2665" s="2038"/>
      <c r="AB2665" s="2038"/>
      <c r="AC2665" s="2038"/>
      <c r="AD2665" s="2038"/>
      <c r="AE2665" s="2039" t="s">
        <v>1839</v>
      </c>
      <c r="AF2665" s="2040"/>
    </row>
    <row r="2666" spans="1:32" ht="15.75" x14ac:dyDescent="0.25">
      <c r="A2666" s="2041" t="s">
        <v>1840</v>
      </c>
      <c r="B2666" s="2042"/>
      <c r="C2666" s="2042"/>
      <c r="D2666" s="2042"/>
      <c r="E2666" s="2042"/>
      <c r="F2666" s="2042"/>
      <c r="G2666" s="2042"/>
      <c r="H2666" s="2042"/>
      <c r="I2666" s="2042"/>
      <c r="J2666" s="2042"/>
      <c r="K2666" s="2042"/>
      <c r="L2666" s="2042"/>
      <c r="M2666" s="2042"/>
      <c r="N2666" s="2042"/>
      <c r="O2666" s="2042"/>
      <c r="P2666" s="2042"/>
      <c r="Q2666" s="2042"/>
      <c r="R2666" s="2042"/>
      <c r="S2666" s="2042"/>
      <c r="T2666" s="2042"/>
      <c r="U2666" s="2042"/>
      <c r="V2666" s="2042"/>
      <c r="W2666" s="2042"/>
      <c r="X2666" s="2042"/>
      <c r="Y2666" s="2042"/>
      <c r="Z2666" s="2042"/>
      <c r="AA2666" s="2042"/>
      <c r="AB2666" s="2042"/>
      <c r="AC2666" s="2042"/>
      <c r="AD2666" s="2043"/>
      <c r="AE2666" s="2014" t="s">
        <v>1841</v>
      </c>
      <c r="AF2666" s="2044"/>
    </row>
    <row r="2667" spans="1:32" ht="15.75" x14ac:dyDescent="0.25">
      <c r="A2667" s="2045" t="s">
        <v>1853</v>
      </c>
      <c r="B2667" s="2046"/>
      <c r="C2667" s="2046"/>
      <c r="D2667" s="2046"/>
      <c r="E2667" s="2046"/>
      <c r="F2667" s="2046"/>
      <c r="G2667" s="2046"/>
      <c r="H2667" s="2046"/>
      <c r="I2667" s="2046"/>
      <c r="J2667" s="2046"/>
      <c r="K2667" s="2046"/>
      <c r="L2667" s="2046"/>
      <c r="M2667" s="2046"/>
      <c r="N2667" s="2046"/>
      <c r="O2667" s="2046"/>
      <c r="P2667" s="2046"/>
      <c r="Q2667" s="2046"/>
      <c r="R2667" s="2046"/>
      <c r="S2667" s="2046"/>
      <c r="T2667" s="2046"/>
      <c r="U2667" s="2046"/>
      <c r="V2667" s="2046"/>
      <c r="W2667" s="2046"/>
      <c r="X2667" s="2046"/>
      <c r="Y2667" s="2046"/>
      <c r="Z2667" s="2046"/>
      <c r="AA2667" s="2046"/>
      <c r="AB2667" s="2046"/>
      <c r="AC2667" s="2046"/>
      <c r="AD2667" s="2046"/>
      <c r="AE2667" s="2047">
        <f>'01'!$M$13</f>
        <v>0</v>
      </c>
      <c r="AF2667" s="2044"/>
    </row>
    <row r="2668" spans="1:32" x14ac:dyDescent="0.2">
      <c r="A2668" s="1046"/>
      <c r="B2668" s="1047"/>
      <c r="C2668" s="1047"/>
      <c r="D2668" s="1047"/>
      <c r="E2668" s="1047"/>
      <c r="F2668" s="1047"/>
      <c r="G2668" s="1047"/>
      <c r="H2668" s="1047"/>
      <c r="I2668" s="1047"/>
      <c r="J2668" s="1047"/>
      <c r="K2668" s="1047"/>
      <c r="L2668" s="1047"/>
      <c r="M2668" s="1047"/>
      <c r="N2668" s="1047"/>
      <c r="O2668" s="1047"/>
      <c r="P2668" s="1047"/>
      <c r="Q2668" s="1047"/>
      <c r="R2668" s="1047"/>
      <c r="S2668" s="1047"/>
      <c r="T2668" s="1047"/>
      <c r="U2668" s="1047"/>
      <c r="V2668" s="1047"/>
      <c r="W2668" s="1047"/>
      <c r="X2668" s="1047"/>
      <c r="Y2668" s="1047"/>
      <c r="Z2668" s="1047"/>
      <c r="AA2668" s="1047"/>
      <c r="AB2668" s="1047"/>
      <c r="AC2668" s="1047"/>
      <c r="AD2668" s="1047"/>
      <c r="AE2668" s="1047"/>
      <c r="AF2668" s="1048"/>
    </row>
    <row r="2669" spans="1:32" ht="15.75" x14ac:dyDescent="0.2">
      <c r="A2669" s="2048" t="s">
        <v>1842</v>
      </c>
      <c r="B2669" s="2049"/>
      <c r="C2669" s="2049"/>
      <c r="D2669" s="2049"/>
      <c r="E2669" s="2049"/>
      <c r="F2669" s="2050" t="str">
        <f>+'01'!$H$105</f>
        <v>D - CANAL DE DESINFECCIÓN</v>
      </c>
      <c r="G2669" s="2049"/>
      <c r="H2669" s="2049"/>
      <c r="I2669" s="2049"/>
      <c r="J2669" s="2049"/>
      <c r="K2669" s="2049"/>
      <c r="L2669" s="2049"/>
      <c r="M2669" s="2049"/>
      <c r="N2669" s="2049"/>
      <c r="O2669" s="2049"/>
      <c r="P2669" s="2049"/>
      <c r="Q2669" s="2049"/>
      <c r="R2669" s="2049"/>
      <c r="S2669" s="2049"/>
      <c r="T2669" s="2049"/>
      <c r="U2669" s="2049"/>
      <c r="V2669" s="2049"/>
      <c r="W2669" s="2049"/>
      <c r="X2669" s="2049"/>
      <c r="Y2669" s="2051"/>
      <c r="Z2669" s="2052" t="s">
        <v>1843</v>
      </c>
      <c r="AA2669" s="2053"/>
      <c r="AB2669" s="2058" t="s">
        <v>1844</v>
      </c>
      <c r="AC2669" s="2059"/>
      <c r="AD2669" s="2060"/>
      <c r="AE2669" s="2064" t="s">
        <v>2184</v>
      </c>
      <c r="AF2669" s="2067" t="s">
        <v>1846</v>
      </c>
    </row>
    <row r="2670" spans="1:32" x14ac:dyDescent="0.2">
      <c r="A2670" s="2070" t="str">
        <f>+'01'!A117</f>
        <v>D-04-02</v>
      </c>
      <c r="B2670" s="2071"/>
      <c r="C2670" s="2072"/>
      <c r="D2670" s="2076" t="str">
        <f>VLOOKUP(A2670,'01'!$A$12:$N$299,3,FALSE)</f>
        <v>DISPOSICIÓN DE MATERIAL PROVENIENTE DE EXCAVACIÓN (NO INCLUYE TRANSPORTE)</v>
      </c>
      <c r="E2670" s="2077"/>
      <c r="F2670" s="2077"/>
      <c r="G2670" s="2077"/>
      <c r="H2670" s="2077"/>
      <c r="I2670" s="2077"/>
      <c r="J2670" s="2077"/>
      <c r="K2670" s="2077"/>
      <c r="L2670" s="2077"/>
      <c r="M2670" s="2077"/>
      <c r="N2670" s="2077"/>
      <c r="O2670" s="2077"/>
      <c r="P2670" s="2077"/>
      <c r="Q2670" s="2077"/>
      <c r="R2670" s="2077"/>
      <c r="S2670" s="2078"/>
      <c r="T2670" s="2082" t="s">
        <v>124</v>
      </c>
      <c r="U2670" s="2083"/>
      <c r="V2670" s="2083"/>
      <c r="W2670" s="2083"/>
      <c r="X2670" s="2052" t="str">
        <f>VLOOKUP(A2670,'01'!$A$12:$N$299,9,FALSE)</f>
        <v>M3</v>
      </c>
      <c r="Y2670" s="2053"/>
      <c r="Z2670" s="2054"/>
      <c r="AA2670" s="2055"/>
      <c r="AB2670" s="2061"/>
      <c r="AC2670" s="2062"/>
      <c r="AD2670" s="2063"/>
      <c r="AE2670" s="2065"/>
      <c r="AF2670" s="2068"/>
    </row>
    <row r="2671" spans="1:32" ht="31.5" x14ac:dyDescent="0.25">
      <c r="A2671" s="2073"/>
      <c r="B2671" s="2074"/>
      <c r="C2671" s="2075"/>
      <c r="D2671" s="2079"/>
      <c r="E2671" s="2080"/>
      <c r="F2671" s="2080"/>
      <c r="G2671" s="2080"/>
      <c r="H2671" s="2080"/>
      <c r="I2671" s="2080"/>
      <c r="J2671" s="2080"/>
      <c r="K2671" s="2080"/>
      <c r="L2671" s="2080"/>
      <c r="M2671" s="2080"/>
      <c r="N2671" s="2080"/>
      <c r="O2671" s="2080"/>
      <c r="P2671" s="2080"/>
      <c r="Q2671" s="2080"/>
      <c r="R2671" s="2080"/>
      <c r="S2671" s="2081"/>
      <c r="T2671" s="2084"/>
      <c r="U2671" s="2085"/>
      <c r="V2671" s="2085"/>
      <c r="W2671" s="2085"/>
      <c r="X2671" s="2056"/>
      <c r="Y2671" s="2057"/>
      <c r="Z2671" s="2056"/>
      <c r="AA2671" s="2057"/>
      <c r="AB2671" s="1122" t="s">
        <v>2180</v>
      </c>
      <c r="AC2671" s="1122" t="s">
        <v>2181</v>
      </c>
      <c r="AD2671" s="1122" t="s">
        <v>1869</v>
      </c>
      <c r="AE2671" s="2066"/>
      <c r="AF2671" s="2069"/>
    </row>
    <row r="2672" spans="1:32" ht="15.75" x14ac:dyDescent="0.25">
      <c r="A2672" s="2017"/>
      <c r="B2672" s="2018"/>
      <c r="C2672" s="2018"/>
      <c r="D2672" s="2018"/>
      <c r="E2672" s="2018"/>
      <c r="F2672" s="2018"/>
      <c r="G2672" s="2018"/>
      <c r="H2672" s="2018"/>
      <c r="I2672" s="2018"/>
      <c r="J2672" s="2018"/>
      <c r="K2672" s="2018"/>
      <c r="L2672" s="2018"/>
      <c r="M2672" s="2018"/>
      <c r="N2672" s="2018"/>
      <c r="O2672" s="2018"/>
      <c r="P2672" s="2018"/>
      <c r="Q2672" s="2018"/>
      <c r="R2672" s="2018"/>
      <c r="S2672" s="2018"/>
      <c r="T2672" s="2018"/>
      <c r="U2672" s="2018"/>
      <c r="V2672" s="2018"/>
      <c r="W2672" s="2018"/>
      <c r="X2672" s="2018"/>
      <c r="Y2672" s="2094"/>
      <c r="Z2672" s="2096"/>
      <c r="AA2672" s="2097"/>
      <c r="AB2672" s="1050">
        <f>+AB2634</f>
        <v>92.78</v>
      </c>
      <c r="AC2672" s="1050">
        <f>+AC2634</f>
        <v>0.19999999999999996</v>
      </c>
      <c r="AD2672" s="1050">
        <f>+AD2634</f>
        <v>1.25</v>
      </c>
      <c r="AE2672" s="1051">
        <f>+'01'!E15</f>
        <v>5</v>
      </c>
      <c r="AF2672" s="1052">
        <f>ROUND((AB2672-AC2672)*AD2672,2)</f>
        <v>115.73</v>
      </c>
    </row>
    <row r="2673" spans="1:32" ht="15.75" x14ac:dyDescent="0.25">
      <c r="A2673" s="2017"/>
      <c r="B2673" s="2018"/>
      <c r="C2673" s="2018"/>
      <c r="D2673" s="2018"/>
      <c r="E2673" s="2018"/>
      <c r="F2673" s="2018"/>
      <c r="G2673" s="2018"/>
      <c r="H2673" s="2018"/>
      <c r="I2673" s="2018"/>
      <c r="J2673" s="2018"/>
      <c r="K2673" s="2018"/>
      <c r="L2673" s="2018"/>
      <c r="M2673" s="2018"/>
      <c r="N2673" s="2018"/>
      <c r="O2673" s="2018"/>
      <c r="P2673" s="2018"/>
      <c r="Q2673" s="2018"/>
      <c r="R2673" s="2018"/>
      <c r="S2673" s="2018"/>
      <c r="T2673" s="2018"/>
      <c r="U2673" s="2018"/>
      <c r="V2673" s="2018"/>
      <c r="W2673" s="2018"/>
      <c r="X2673" s="2018"/>
      <c r="Y2673" s="2094"/>
      <c r="Z2673" s="2096"/>
      <c r="AA2673" s="2097"/>
      <c r="AB2673" s="1050"/>
      <c r="AC2673" s="1050"/>
      <c r="AD2673" s="1050"/>
      <c r="AE2673" s="1051"/>
      <c r="AF2673" s="1052"/>
    </row>
    <row r="2674" spans="1:32" ht="15.75" x14ac:dyDescent="0.25">
      <c r="A2674" s="2017"/>
      <c r="B2674" s="2018"/>
      <c r="C2674" s="2018"/>
      <c r="D2674" s="2018"/>
      <c r="E2674" s="2018"/>
      <c r="F2674" s="2018"/>
      <c r="G2674" s="2018"/>
      <c r="H2674" s="2018"/>
      <c r="I2674" s="2018"/>
      <c r="J2674" s="2018"/>
      <c r="K2674" s="2018"/>
      <c r="L2674" s="2018"/>
      <c r="M2674" s="2018"/>
      <c r="N2674" s="2018"/>
      <c r="O2674" s="2018"/>
      <c r="P2674" s="2018"/>
      <c r="Q2674" s="2018"/>
      <c r="R2674" s="2018"/>
      <c r="S2674" s="2018"/>
      <c r="T2674" s="2018"/>
      <c r="U2674" s="2018"/>
      <c r="V2674" s="2018"/>
      <c r="W2674" s="2018"/>
      <c r="X2674" s="2018"/>
      <c r="Y2674" s="2094"/>
      <c r="Z2674" s="2096"/>
      <c r="AA2674" s="2097"/>
      <c r="AB2674" s="1050"/>
      <c r="AC2674" s="1050"/>
      <c r="AD2674" s="1050"/>
      <c r="AE2674" s="1051"/>
      <c r="AF2674" s="1052"/>
    </row>
    <row r="2675" spans="1:32" ht="15.75" x14ac:dyDescent="0.25">
      <c r="A2675" s="2017"/>
      <c r="B2675" s="2018"/>
      <c r="C2675" s="2018"/>
      <c r="D2675" s="2018"/>
      <c r="E2675" s="2018"/>
      <c r="F2675" s="2018"/>
      <c r="G2675" s="2018"/>
      <c r="H2675" s="2018"/>
      <c r="I2675" s="2018"/>
      <c r="J2675" s="2018"/>
      <c r="K2675" s="2018"/>
      <c r="L2675" s="2018"/>
      <c r="M2675" s="2018"/>
      <c r="N2675" s="2018"/>
      <c r="O2675" s="2018"/>
      <c r="P2675" s="2018"/>
      <c r="Q2675" s="2018"/>
      <c r="R2675" s="2018"/>
      <c r="S2675" s="2018"/>
      <c r="T2675" s="2018"/>
      <c r="U2675" s="2018"/>
      <c r="V2675" s="2018"/>
      <c r="W2675" s="2018"/>
      <c r="X2675" s="2018"/>
      <c r="Y2675" s="2094"/>
      <c r="Z2675" s="2096"/>
      <c r="AA2675" s="2097"/>
      <c r="AB2675" s="1050"/>
      <c r="AC2675" s="1050"/>
      <c r="AD2675" s="1050"/>
      <c r="AE2675" s="1051"/>
      <c r="AF2675" s="1052"/>
    </row>
    <row r="2676" spans="1:32" ht="15.75" x14ac:dyDescent="0.25">
      <c r="A2676" s="2017"/>
      <c r="B2676" s="2018"/>
      <c r="C2676" s="2018"/>
      <c r="D2676" s="2018"/>
      <c r="E2676" s="2018"/>
      <c r="F2676" s="2018"/>
      <c r="G2676" s="2018"/>
      <c r="H2676" s="2018"/>
      <c r="I2676" s="2018"/>
      <c r="J2676" s="2018"/>
      <c r="K2676" s="2018"/>
      <c r="L2676" s="2018"/>
      <c r="M2676" s="2018"/>
      <c r="N2676" s="2018"/>
      <c r="O2676" s="2018"/>
      <c r="P2676" s="2018"/>
      <c r="Q2676" s="2018"/>
      <c r="R2676" s="2018"/>
      <c r="S2676" s="2018"/>
      <c r="T2676" s="2018"/>
      <c r="U2676" s="2018"/>
      <c r="V2676" s="2018"/>
      <c r="W2676" s="2018"/>
      <c r="X2676" s="2018"/>
      <c r="Y2676" s="2094"/>
      <c r="Z2676" s="2096"/>
      <c r="AA2676" s="2097"/>
      <c r="AB2676" s="1050"/>
      <c r="AC2676" s="1050"/>
      <c r="AD2676" s="1050"/>
      <c r="AE2676" s="1051"/>
      <c r="AF2676" s="1052"/>
    </row>
    <row r="2677" spans="1:32" ht="15.75" x14ac:dyDescent="0.25">
      <c r="A2677" s="2017"/>
      <c r="B2677" s="2018"/>
      <c r="C2677" s="2018"/>
      <c r="D2677" s="2018"/>
      <c r="E2677" s="2018"/>
      <c r="F2677" s="2018"/>
      <c r="G2677" s="2018"/>
      <c r="H2677" s="2018"/>
      <c r="I2677" s="2018"/>
      <c r="J2677" s="2018"/>
      <c r="K2677" s="2018"/>
      <c r="L2677" s="2018"/>
      <c r="M2677" s="2018"/>
      <c r="N2677" s="2018"/>
      <c r="O2677" s="2018"/>
      <c r="P2677" s="2018"/>
      <c r="Q2677" s="2018"/>
      <c r="R2677" s="2018"/>
      <c r="S2677" s="2018"/>
      <c r="T2677" s="2018"/>
      <c r="U2677" s="2018"/>
      <c r="V2677" s="2018"/>
      <c r="W2677" s="2018"/>
      <c r="X2677" s="2018"/>
      <c r="Y2677" s="2094"/>
      <c r="Z2677" s="2096"/>
      <c r="AA2677" s="2097"/>
      <c r="AB2677" s="1050"/>
      <c r="AC2677" s="1050"/>
      <c r="AD2677" s="1050"/>
      <c r="AE2677" s="1051"/>
      <c r="AF2677" s="1052"/>
    </row>
    <row r="2678" spans="1:32" ht="15.75" x14ac:dyDescent="0.25">
      <c r="A2678" s="2017"/>
      <c r="B2678" s="2018"/>
      <c r="C2678" s="2018"/>
      <c r="D2678" s="2018"/>
      <c r="E2678" s="2018"/>
      <c r="F2678" s="2018"/>
      <c r="G2678" s="2018"/>
      <c r="H2678" s="2018"/>
      <c r="I2678" s="2018"/>
      <c r="J2678" s="2018"/>
      <c r="K2678" s="2018"/>
      <c r="L2678" s="2018"/>
      <c r="M2678" s="2018"/>
      <c r="N2678" s="2018"/>
      <c r="O2678" s="2018"/>
      <c r="P2678" s="2018"/>
      <c r="Q2678" s="2018"/>
      <c r="R2678" s="2018"/>
      <c r="S2678" s="2018"/>
      <c r="T2678" s="2018"/>
      <c r="U2678" s="2018"/>
      <c r="V2678" s="2018"/>
      <c r="W2678" s="2018"/>
      <c r="X2678" s="2018"/>
      <c r="Y2678" s="2094"/>
      <c r="Z2678" s="2096"/>
      <c r="AA2678" s="2097"/>
      <c r="AB2678" s="1050"/>
      <c r="AC2678" s="1050"/>
      <c r="AD2678" s="1050"/>
      <c r="AE2678" s="1051"/>
      <c r="AF2678" s="1052"/>
    </row>
    <row r="2679" spans="1:32" ht="15.75" x14ac:dyDescent="0.25">
      <c r="A2679" s="2017"/>
      <c r="B2679" s="2018"/>
      <c r="C2679" s="2018"/>
      <c r="D2679" s="2018"/>
      <c r="E2679" s="2018"/>
      <c r="F2679" s="2018"/>
      <c r="G2679" s="2018"/>
      <c r="H2679" s="2018"/>
      <c r="I2679" s="2018"/>
      <c r="J2679" s="2018"/>
      <c r="K2679" s="2018"/>
      <c r="L2679" s="2018"/>
      <c r="M2679" s="2018"/>
      <c r="N2679" s="2018"/>
      <c r="O2679" s="2018"/>
      <c r="P2679" s="2018"/>
      <c r="Q2679" s="2018"/>
      <c r="R2679" s="2018"/>
      <c r="S2679" s="2018"/>
      <c r="T2679" s="2018"/>
      <c r="U2679" s="2018"/>
      <c r="V2679" s="2018"/>
      <c r="W2679" s="2018"/>
      <c r="X2679" s="2018"/>
      <c r="Y2679" s="2094"/>
      <c r="Z2679" s="2096"/>
      <c r="AA2679" s="2097"/>
      <c r="AB2679" s="1053"/>
      <c r="AC2679" s="1053"/>
      <c r="AD2679" s="1053"/>
      <c r="AE2679" s="1051"/>
      <c r="AF2679" s="1052"/>
    </row>
    <row r="2680" spans="1:32" ht="15.75" x14ac:dyDescent="0.25">
      <c r="A2680" s="2017"/>
      <c r="B2680" s="2018"/>
      <c r="C2680" s="2018"/>
      <c r="D2680" s="2018"/>
      <c r="E2680" s="2018"/>
      <c r="F2680" s="2018"/>
      <c r="G2680" s="2018"/>
      <c r="H2680" s="2018"/>
      <c r="I2680" s="2018"/>
      <c r="J2680" s="2018"/>
      <c r="K2680" s="2018"/>
      <c r="L2680" s="2018"/>
      <c r="M2680" s="2018"/>
      <c r="N2680" s="2018"/>
      <c r="O2680" s="2018"/>
      <c r="P2680" s="2018"/>
      <c r="Q2680" s="2018"/>
      <c r="R2680" s="2018"/>
      <c r="S2680" s="2018"/>
      <c r="T2680" s="2018"/>
      <c r="U2680" s="2018"/>
      <c r="V2680" s="2018"/>
      <c r="W2680" s="2018"/>
      <c r="X2680" s="2018"/>
      <c r="Y2680" s="2094"/>
      <c r="Z2680" s="2096"/>
      <c r="AA2680" s="2097"/>
      <c r="AB2680" s="1053"/>
      <c r="AC2680" s="1053"/>
      <c r="AD2680" s="1053"/>
      <c r="AE2680" s="1050"/>
      <c r="AF2680" s="1054"/>
    </row>
    <row r="2681" spans="1:32" ht="15.75" x14ac:dyDescent="0.25">
      <c r="A2681" s="2017"/>
      <c r="B2681" s="2018"/>
      <c r="C2681" s="2018"/>
      <c r="D2681" s="2018"/>
      <c r="E2681" s="2018"/>
      <c r="F2681" s="2018"/>
      <c r="G2681" s="2018"/>
      <c r="H2681" s="2018"/>
      <c r="I2681" s="2018"/>
      <c r="J2681" s="2018"/>
      <c r="K2681" s="2018"/>
      <c r="L2681" s="2018"/>
      <c r="M2681" s="2018"/>
      <c r="N2681" s="2018"/>
      <c r="O2681" s="2018"/>
      <c r="P2681" s="2018"/>
      <c r="Q2681" s="2018"/>
      <c r="R2681" s="2018"/>
      <c r="S2681" s="2018"/>
      <c r="T2681" s="2018"/>
      <c r="U2681" s="2018"/>
      <c r="V2681" s="2018"/>
      <c r="W2681" s="2018"/>
      <c r="X2681" s="2018"/>
      <c r="Y2681" s="2094"/>
      <c r="Z2681" s="2096"/>
      <c r="AA2681" s="2097"/>
      <c r="AB2681" s="1053"/>
      <c r="AC2681" s="1053"/>
      <c r="AD2681" s="1053"/>
      <c r="AE2681" s="1051"/>
      <c r="AF2681" s="1054"/>
    </row>
    <row r="2682" spans="1:32" ht="15.75" x14ac:dyDescent="0.25">
      <c r="A2682" s="2017"/>
      <c r="B2682" s="2018"/>
      <c r="C2682" s="2018"/>
      <c r="D2682" s="2018"/>
      <c r="E2682" s="2018"/>
      <c r="F2682" s="2018"/>
      <c r="G2682" s="2018"/>
      <c r="H2682" s="2018"/>
      <c r="I2682" s="2018"/>
      <c r="J2682" s="2018"/>
      <c r="K2682" s="2018"/>
      <c r="L2682" s="2018"/>
      <c r="M2682" s="2018"/>
      <c r="N2682" s="2018"/>
      <c r="O2682" s="2018"/>
      <c r="P2682" s="2018"/>
      <c r="Q2682" s="2018"/>
      <c r="R2682" s="2018"/>
      <c r="S2682" s="2018"/>
      <c r="T2682" s="2018"/>
      <c r="U2682" s="2018"/>
      <c r="V2682" s="2018"/>
      <c r="W2682" s="2018"/>
      <c r="X2682" s="2018"/>
      <c r="Y2682" s="2094"/>
      <c r="Z2682" s="2096"/>
      <c r="AA2682" s="2097"/>
      <c r="AB2682" s="1053"/>
      <c r="AC2682" s="1053"/>
      <c r="AD2682" s="1053"/>
      <c r="AE2682" s="1051"/>
      <c r="AF2682" s="1054"/>
    </row>
    <row r="2683" spans="1:32" ht="15.75" x14ac:dyDescent="0.25">
      <c r="A2683" s="2017"/>
      <c r="B2683" s="2018"/>
      <c r="C2683" s="2018"/>
      <c r="D2683" s="2018"/>
      <c r="E2683" s="2018"/>
      <c r="F2683" s="2018"/>
      <c r="G2683" s="2018"/>
      <c r="H2683" s="2018"/>
      <c r="I2683" s="2018"/>
      <c r="J2683" s="2018"/>
      <c r="K2683" s="2018"/>
      <c r="L2683" s="2018"/>
      <c r="M2683" s="2018"/>
      <c r="N2683" s="2018"/>
      <c r="O2683" s="2018"/>
      <c r="P2683" s="2018"/>
      <c r="Q2683" s="2018"/>
      <c r="R2683" s="2018"/>
      <c r="S2683" s="2018"/>
      <c r="T2683" s="2018"/>
      <c r="U2683" s="2018"/>
      <c r="V2683" s="2018"/>
      <c r="W2683" s="2018"/>
      <c r="X2683" s="2018"/>
      <c r="Y2683" s="2094"/>
      <c r="Z2683" s="2096"/>
      <c r="AA2683" s="2097"/>
      <c r="AB2683" s="1053"/>
      <c r="AC2683" s="1053"/>
      <c r="AD2683" s="1053"/>
      <c r="AE2683" s="1051"/>
      <c r="AF2683" s="1054"/>
    </row>
    <row r="2684" spans="1:32" ht="15.75" x14ac:dyDescent="0.25">
      <c r="A2684" s="2017"/>
      <c r="B2684" s="2018"/>
      <c r="C2684" s="2018"/>
      <c r="D2684" s="2018"/>
      <c r="E2684" s="2018"/>
      <c r="F2684" s="2018"/>
      <c r="G2684" s="2018"/>
      <c r="H2684" s="2018"/>
      <c r="I2684" s="2018"/>
      <c r="J2684" s="2018"/>
      <c r="K2684" s="2018"/>
      <c r="L2684" s="2018"/>
      <c r="M2684" s="2018"/>
      <c r="N2684" s="2018"/>
      <c r="O2684" s="2018"/>
      <c r="P2684" s="2018"/>
      <c r="Q2684" s="2018"/>
      <c r="R2684" s="2018"/>
      <c r="S2684" s="2018"/>
      <c r="T2684" s="2018"/>
      <c r="U2684" s="2018"/>
      <c r="V2684" s="2018"/>
      <c r="W2684" s="2018"/>
      <c r="X2684" s="2018"/>
      <c r="Y2684" s="2094"/>
      <c r="Z2684" s="2096"/>
      <c r="AA2684" s="2097"/>
      <c r="AB2684" s="1053"/>
      <c r="AC2684" s="1053"/>
      <c r="AD2684" s="1053"/>
      <c r="AE2684" s="1051"/>
      <c r="AF2684" s="1054"/>
    </row>
    <row r="2685" spans="1:32" ht="15.75" x14ac:dyDescent="0.25">
      <c r="A2685" s="2017"/>
      <c r="B2685" s="2018"/>
      <c r="C2685" s="2018"/>
      <c r="D2685" s="2018"/>
      <c r="E2685" s="2018"/>
      <c r="F2685" s="2018"/>
      <c r="G2685" s="2018"/>
      <c r="H2685" s="2018"/>
      <c r="I2685" s="2018"/>
      <c r="J2685" s="2018"/>
      <c r="K2685" s="2018"/>
      <c r="L2685" s="2018"/>
      <c r="M2685" s="2018"/>
      <c r="N2685" s="2018"/>
      <c r="O2685" s="2018"/>
      <c r="P2685" s="2018"/>
      <c r="Q2685" s="2018"/>
      <c r="R2685" s="2018"/>
      <c r="S2685" s="2018"/>
      <c r="T2685" s="2018"/>
      <c r="U2685" s="2018"/>
      <c r="V2685" s="2018"/>
      <c r="W2685" s="2018"/>
      <c r="X2685" s="2018"/>
      <c r="Y2685" s="2094"/>
      <c r="Z2685" s="2096"/>
      <c r="AA2685" s="2097"/>
      <c r="AB2685" s="1053"/>
      <c r="AC2685" s="1053"/>
      <c r="AD2685" s="1053"/>
      <c r="AE2685" s="1051"/>
      <c r="AF2685" s="1054"/>
    </row>
    <row r="2686" spans="1:32" ht="15.75" x14ac:dyDescent="0.25">
      <c r="A2686" s="2017"/>
      <c r="B2686" s="2018"/>
      <c r="C2686" s="2018"/>
      <c r="D2686" s="2018"/>
      <c r="E2686" s="2018"/>
      <c r="F2686" s="2018"/>
      <c r="G2686" s="2018"/>
      <c r="H2686" s="2018"/>
      <c r="I2686" s="2018"/>
      <c r="J2686" s="2018"/>
      <c r="K2686" s="2018"/>
      <c r="L2686" s="2018"/>
      <c r="M2686" s="2018"/>
      <c r="N2686" s="2018"/>
      <c r="O2686" s="2018"/>
      <c r="P2686" s="2018"/>
      <c r="Q2686" s="2018"/>
      <c r="R2686" s="2018"/>
      <c r="S2686" s="2018"/>
      <c r="T2686" s="2018"/>
      <c r="U2686" s="2018"/>
      <c r="V2686" s="2018"/>
      <c r="W2686" s="2018"/>
      <c r="X2686" s="2018"/>
      <c r="Y2686" s="2094"/>
      <c r="Z2686" s="2096"/>
      <c r="AA2686" s="2097"/>
      <c r="AB2686" s="1055"/>
      <c r="AC2686" s="1055"/>
      <c r="AD2686" s="1055"/>
      <c r="AE2686" s="1051"/>
      <c r="AF2686" s="1056"/>
    </row>
    <row r="2687" spans="1:32" ht="15.75" x14ac:dyDescent="0.25">
      <c r="A2687" s="2017"/>
      <c r="B2687" s="2018"/>
      <c r="C2687" s="2018"/>
      <c r="D2687" s="2018"/>
      <c r="E2687" s="2018"/>
      <c r="F2687" s="2018"/>
      <c r="G2687" s="2018"/>
      <c r="H2687" s="2018"/>
      <c r="I2687" s="2018"/>
      <c r="J2687" s="2018"/>
      <c r="K2687" s="2018"/>
      <c r="L2687" s="2018"/>
      <c r="M2687" s="2018"/>
      <c r="N2687" s="2018"/>
      <c r="O2687" s="2018"/>
      <c r="P2687" s="2018"/>
      <c r="Q2687" s="2018"/>
      <c r="R2687" s="2018"/>
      <c r="S2687" s="2018"/>
      <c r="T2687" s="2018"/>
      <c r="U2687" s="2018"/>
      <c r="V2687" s="2018"/>
      <c r="W2687" s="2018"/>
      <c r="X2687" s="2018"/>
      <c r="Y2687" s="2094"/>
      <c r="Z2687" s="2096"/>
      <c r="AA2687" s="2097"/>
      <c r="AB2687" s="1055"/>
      <c r="AC2687" s="1055"/>
      <c r="AD2687" s="1055"/>
      <c r="AE2687" s="1055"/>
      <c r="AF2687" s="1056"/>
    </row>
    <row r="2688" spans="1:32" ht="15.75" x14ac:dyDescent="0.25">
      <c r="A2688" s="2017"/>
      <c r="B2688" s="2018"/>
      <c r="C2688" s="2018"/>
      <c r="D2688" s="2018"/>
      <c r="E2688" s="2018"/>
      <c r="F2688" s="2018"/>
      <c r="G2688" s="2018"/>
      <c r="H2688" s="2018"/>
      <c r="I2688" s="2018"/>
      <c r="J2688" s="2018"/>
      <c r="K2688" s="2018"/>
      <c r="L2688" s="2018"/>
      <c r="M2688" s="2018"/>
      <c r="N2688" s="2018"/>
      <c r="O2688" s="2018"/>
      <c r="P2688" s="2018"/>
      <c r="Q2688" s="2018"/>
      <c r="R2688" s="2018"/>
      <c r="S2688" s="2018"/>
      <c r="T2688" s="2018"/>
      <c r="U2688" s="2018"/>
      <c r="V2688" s="2018"/>
      <c r="W2688" s="2018"/>
      <c r="X2688" s="2018"/>
      <c r="Y2688" s="2094"/>
      <c r="Z2688" s="2096"/>
      <c r="AA2688" s="2097"/>
      <c r="AB2688" s="1055"/>
      <c r="AC2688" s="1055"/>
      <c r="AD2688" s="1055"/>
      <c r="AE2688" s="1055"/>
      <c r="AF2688" s="1056"/>
    </row>
    <row r="2689" spans="1:32" ht="15.75" x14ac:dyDescent="0.25">
      <c r="A2689" s="2017"/>
      <c r="B2689" s="2018"/>
      <c r="C2689" s="2018"/>
      <c r="D2689" s="2018"/>
      <c r="E2689" s="2018"/>
      <c r="F2689" s="2018"/>
      <c r="G2689" s="2018"/>
      <c r="H2689" s="2018"/>
      <c r="I2689" s="2018"/>
      <c r="J2689" s="2018"/>
      <c r="K2689" s="2018"/>
      <c r="L2689" s="2018"/>
      <c r="M2689" s="2018"/>
      <c r="N2689" s="2018"/>
      <c r="O2689" s="2018"/>
      <c r="P2689" s="2018"/>
      <c r="Q2689" s="2018"/>
      <c r="R2689" s="2018"/>
      <c r="S2689" s="2018"/>
      <c r="T2689" s="2018"/>
      <c r="U2689" s="2018"/>
      <c r="V2689" s="2018"/>
      <c r="W2689" s="2018"/>
      <c r="X2689" s="2018"/>
      <c r="Y2689" s="2094"/>
      <c r="Z2689" s="2096"/>
      <c r="AA2689" s="2097"/>
      <c r="AB2689" s="1055"/>
      <c r="AC2689" s="1055"/>
      <c r="AD2689" s="1055"/>
      <c r="AE2689" s="1055"/>
      <c r="AF2689" s="1056"/>
    </row>
    <row r="2690" spans="1:32" ht="15.75" x14ac:dyDescent="0.25">
      <c r="A2690" s="2017"/>
      <c r="B2690" s="2018"/>
      <c r="C2690" s="2018"/>
      <c r="D2690" s="2018"/>
      <c r="E2690" s="2018"/>
      <c r="F2690" s="2018"/>
      <c r="G2690" s="2018"/>
      <c r="H2690" s="2018"/>
      <c r="I2690" s="2018"/>
      <c r="J2690" s="2018"/>
      <c r="K2690" s="2018"/>
      <c r="L2690" s="2018"/>
      <c r="M2690" s="2018"/>
      <c r="N2690" s="2018"/>
      <c r="O2690" s="2018"/>
      <c r="P2690" s="2018"/>
      <c r="Q2690" s="2018"/>
      <c r="R2690" s="2018"/>
      <c r="S2690" s="2018"/>
      <c r="T2690" s="2018"/>
      <c r="U2690" s="2018"/>
      <c r="V2690" s="2018"/>
      <c r="W2690" s="2018"/>
      <c r="X2690" s="2018"/>
      <c r="Y2690" s="2094"/>
      <c r="Z2690" s="2096"/>
      <c r="AA2690" s="2097"/>
      <c r="AB2690" s="1055"/>
      <c r="AC2690" s="1055"/>
      <c r="AD2690" s="1055"/>
      <c r="AE2690" s="1055"/>
      <c r="AF2690" s="1056"/>
    </row>
    <row r="2691" spans="1:32" ht="15.75" x14ac:dyDescent="0.25">
      <c r="A2691" s="2017"/>
      <c r="B2691" s="2018"/>
      <c r="C2691" s="2018"/>
      <c r="D2691" s="2018"/>
      <c r="E2691" s="2018"/>
      <c r="F2691" s="2018"/>
      <c r="G2691" s="2018"/>
      <c r="H2691" s="2018"/>
      <c r="I2691" s="2018"/>
      <c r="J2691" s="2018"/>
      <c r="K2691" s="2018"/>
      <c r="L2691" s="2018"/>
      <c r="M2691" s="2018"/>
      <c r="N2691" s="2018"/>
      <c r="O2691" s="2018"/>
      <c r="P2691" s="2018"/>
      <c r="Q2691" s="2018"/>
      <c r="R2691" s="2018"/>
      <c r="S2691" s="2018"/>
      <c r="T2691" s="2018"/>
      <c r="U2691" s="2018"/>
      <c r="V2691" s="2018"/>
      <c r="W2691" s="2018"/>
      <c r="X2691" s="2018"/>
      <c r="Y2691" s="2094"/>
      <c r="Z2691" s="2096"/>
      <c r="AA2691" s="2097"/>
      <c r="AB2691" s="1055"/>
      <c r="AC2691" s="1055"/>
      <c r="AD2691" s="1055"/>
      <c r="AE2691" s="1055"/>
      <c r="AF2691" s="1056"/>
    </row>
    <row r="2692" spans="1:32" ht="16.5" thickBot="1" x14ac:dyDescent="0.3">
      <c r="A2692" s="2019"/>
      <c r="B2692" s="2020"/>
      <c r="C2692" s="2020"/>
      <c r="D2692" s="2020"/>
      <c r="E2692" s="2020"/>
      <c r="F2692" s="2020"/>
      <c r="G2692" s="2020"/>
      <c r="H2692" s="2020"/>
      <c r="I2692" s="2020"/>
      <c r="J2692" s="2020"/>
      <c r="K2692" s="2020"/>
      <c r="L2692" s="2020"/>
      <c r="M2692" s="2020"/>
      <c r="N2692" s="2020"/>
      <c r="O2692" s="2020"/>
      <c r="P2692" s="2020"/>
      <c r="Q2692" s="2020"/>
      <c r="R2692" s="2020"/>
      <c r="S2692" s="2020"/>
      <c r="T2692" s="2020"/>
      <c r="U2692" s="2020"/>
      <c r="V2692" s="2020"/>
      <c r="W2692" s="2020"/>
      <c r="X2692" s="2020"/>
      <c r="Y2692" s="2095"/>
      <c r="Z2692" s="2098"/>
      <c r="AA2692" s="2099"/>
      <c r="AB2692" s="1057"/>
      <c r="AC2692" s="1057"/>
      <c r="AD2692" s="1057"/>
      <c r="AE2692" s="1057"/>
      <c r="AF2692" s="1058"/>
    </row>
    <row r="2693" spans="1:32" ht="15.75" x14ac:dyDescent="0.25">
      <c r="A2693" s="2009" t="s">
        <v>2411</v>
      </c>
      <c r="B2693" s="2010"/>
      <c r="C2693" s="2010"/>
      <c r="D2693" s="2010"/>
      <c r="E2693" s="2010"/>
      <c r="F2693" s="2010"/>
      <c r="G2693" s="2010"/>
      <c r="H2693" s="2010"/>
      <c r="I2693" s="2010"/>
      <c r="J2693" s="2010"/>
      <c r="K2693" s="2010"/>
      <c r="L2693" s="2010"/>
      <c r="M2693" s="2010"/>
      <c r="N2693" s="2010"/>
      <c r="O2693" s="2010"/>
      <c r="P2693" s="2010"/>
      <c r="Q2693" s="2010"/>
      <c r="R2693" s="2010"/>
      <c r="S2693" s="2010"/>
      <c r="T2693" s="2010"/>
      <c r="U2693" s="2010"/>
      <c r="V2693" s="2010"/>
      <c r="W2693" s="2010"/>
      <c r="X2693" s="2010"/>
      <c r="Y2693" s="2010"/>
      <c r="Z2693" s="2013" t="s">
        <v>1850</v>
      </c>
      <c r="AA2693" s="2013"/>
      <c r="AB2693" s="2013"/>
      <c r="AC2693" s="2013"/>
      <c r="AD2693" s="2013"/>
      <c r="AE2693" s="2013"/>
      <c r="AF2693" s="1059">
        <f>SUM(AF2672:AF2692)</f>
        <v>115.73</v>
      </c>
    </row>
    <row r="2694" spans="1:32" ht="15.75" x14ac:dyDescent="0.25">
      <c r="A2694" s="2011"/>
      <c r="B2694" s="2012"/>
      <c r="C2694" s="2012"/>
      <c r="D2694" s="2012"/>
      <c r="E2694" s="2012"/>
      <c r="F2694" s="2012"/>
      <c r="G2694" s="2012"/>
      <c r="H2694" s="2012"/>
      <c r="I2694" s="2012"/>
      <c r="J2694" s="2012"/>
      <c r="K2694" s="2012"/>
      <c r="L2694" s="2012"/>
      <c r="M2694" s="2012"/>
      <c r="N2694" s="2012"/>
      <c r="O2694" s="2012"/>
      <c r="P2694" s="2012"/>
      <c r="Q2694" s="2012"/>
      <c r="R2694" s="2012"/>
      <c r="S2694" s="2012"/>
      <c r="T2694" s="2012"/>
      <c r="U2694" s="2012"/>
      <c r="V2694" s="2012"/>
      <c r="W2694" s="2012"/>
      <c r="X2694" s="2012"/>
      <c r="Y2694" s="2012"/>
      <c r="Z2694" s="2014" t="s">
        <v>1851</v>
      </c>
      <c r="AA2694" s="2014"/>
      <c r="AB2694" s="2014"/>
      <c r="AC2694" s="2014"/>
      <c r="AD2694" s="2014"/>
      <c r="AE2694" s="2014"/>
      <c r="AF2694" s="1060">
        <v>0</v>
      </c>
    </row>
    <row r="2695" spans="1:32" ht="15.75" x14ac:dyDescent="0.25">
      <c r="A2695" s="2011"/>
      <c r="B2695" s="2012"/>
      <c r="C2695" s="2012"/>
      <c r="D2695" s="2012"/>
      <c r="E2695" s="2012"/>
      <c r="F2695" s="2012"/>
      <c r="G2695" s="2012"/>
      <c r="H2695" s="2012"/>
      <c r="I2695" s="2012"/>
      <c r="J2695" s="2012"/>
      <c r="K2695" s="2012"/>
      <c r="L2695" s="2012"/>
      <c r="M2695" s="2012"/>
      <c r="N2695" s="2012"/>
      <c r="O2695" s="2012"/>
      <c r="P2695" s="2012"/>
      <c r="Q2695" s="2012"/>
      <c r="R2695" s="2012"/>
      <c r="S2695" s="2012"/>
      <c r="T2695" s="2012"/>
      <c r="U2695" s="2012"/>
      <c r="V2695" s="2012"/>
      <c r="W2695" s="2012"/>
      <c r="X2695" s="2012"/>
      <c r="Y2695" s="2012"/>
      <c r="Z2695" s="2015" t="s">
        <v>1833</v>
      </c>
      <c r="AA2695" s="2015"/>
      <c r="AB2695" s="2015"/>
      <c r="AC2695" s="2015"/>
      <c r="AD2695" s="2015"/>
      <c r="AE2695" s="2015"/>
      <c r="AF2695" s="1061">
        <f>SUM(AF2693:AF2694)</f>
        <v>115.73</v>
      </c>
    </row>
    <row r="2696" spans="1:32" x14ac:dyDescent="0.2">
      <c r="A2696" s="2012" t="s">
        <v>1859</v>
      </c>
      <c r="B2696" s="2012"/>
      <c r="C2696" s="2012"/>
      <c r="D2696" s="2012"/>
      <c r="E2696" s="2012"/>
      <c r="F2696" s="2012"/>
      <c r="G2696" s="2012"/>
      <c r="H2696" s="2012"/>
      <c r="I2696" s="2012"/>
      <c r="J2696" s="2012"/>
      <c r="K2696" s="2012"/>
      <c r="L2696" s="2012"/>
      <c r="M2696" s="2012"/>
      <c r="N2696" s="2012"/>
      <c r="O2696" s="2012"/>
      <c r="P2696" s="2012"/>
      <c r="Q2696" s="2012"/>
      <c r="R2696" s="2012"/>
      <c r="S2696" s="2012"/>
      <c r="T2696" s="2016" t="s">
        <v>1840</v>
      </c>
      <c r="U2696" s="2016"/>
      <c r="V2696" s="2016"/>
      <c r="W2696" s="2016"/>
      <c r="X2696" s="2016"/>
      <c r="Y2696" s="2016"/>
      <c r="Z2696" s="2016"/>
      <c r="AA2696" s="2016"/>
      <c r="AB2696" s="2012" t="s">
        <v>1852</v>
      </c>
      <c r="AC2696" s="2012"/>
      <c r="AD2696" s="2012"/>
      <c r="AE2696" s="2012"/>
      <c r="AF2696" s="2012"/>
    </row>
    <row r="2697" spans="1:32" x14ac:dyDescent="0.2">
      <c r="A2697" s="2012"/>
      <c r="B2697" s="2012"/>
      <c r="C2697" s="2012"/>
      <c r="D2697" s="2012"/>
      <c r="E2697" s="2012"/>
      <c r="F2697" s="2012"/>
      <c r="G2697" s="2012"/>
      <c r="H2697" s="2012"/>
      <c r="I2697" s="2012"/>
      <c r="J2697" s="2012"/>
      <c r="K2697" s="2012"/>
      <c r="L2697" s="2012"/>
      <c r="M2697" s="2012"/>
      <c r="N2697" s="2012"/>
      <c r="O2697" s="2012"/>
      <c r="P2697" s="2012"/>
      <c r="Q2697" s="2012"/>
      <c r="R2697" s="2012"/>
      <c r="S2697" s="2012"/>
      <c r="T2697" s="2016"/>
      <c r="U2697" s="2016"/>
      <c r="V2697" s="2016"/>
      <c r="W2697" s="2016"/>
      <c r="X2697" s="2016"/>
      <c r="Y2697" s="2016"/>
      <c r="Z2697" s="2016"/>
      <c r="AA2697" s="2016"/>
      <c r="AB2697" s="2012"/>
      <c r="AC2697" s="2012"/>
      <c r="AD2697" s="2012"/>
      <c r="AE2697" s="2012"/>
      <c r="AF2697" s="2012"/>
    </row>
    <row r="2698" spans="1:32" ht="13.5" thickBot="1" x14ac:dyDescent="0.25"/>
    <row r="2699" spans="1:32" ht="26.45" customHeight="1" x14ac:dyDescent="0.2">
      <c r="A2699" s="2025" t="s">
        <v>1854</v>
      </c>
      <c r="B2699" s="2026"/>
      <c r="C2699" s="2026"/>
      <c r="D2699" s="2026"/>
      <c r="E2699" s="2026"/>
      <c r="F2699" s="2026"/>
      <c r="G2699" s="2026"/>
      <c r="H2699" s="2026"/>
      <c r="I2699" s="2026"/>
      <c r="J2699" s="2026"/>
      <c r="K2699" s="2026"/>
      <c r="L2699" s="2026"/>
      <c r="M2699" s="2026"/>
      <c r="N2699" s="2026"/>
      <c r="O2699" s="2026"/>
      <c r="P2699" s="2026"/>
      <c r="Q2699" s="2026"/>
      <c r="R2699" s="2026"/>
      <c r="S2699" s="2026"/>
      <c r="T2699" s="2026"/>
      <c r="U2699" s="2026"/>
      <c r="V2699" s="2026"/>
      <c r="W2699" s="2026"/>
      <c r="X2699" s="2026"/>
      <c r="Y2699" s="2026"/>
      <c r="Z2699" s="2026"/>
      <c r="AA2699" s="2026"/>
      <c r="AB2699" s="2026"/>
      <c r="AC2699" s="2026"/>
      <c r="AD2699" s="2026"/>
      <c r="AE2699" s="1041" t="s">
        <v>1834</v>
      </c>
      <c r="AF2699" s="1042" t="s">
        <v>1835</v>
      </c>
    </row>
    <row r="2700" spans="1:32" ht="21" customHeight="1" thickBot="1" x14ac:dyDescent="0.25">
      <c r="A2700" s="2027"/>
      <c r="B2700" s="2028"/>
      <c r="C2700" s="2028"/>
      <c r="D2700" s="2028"/>
      <c r="E2700" s="2028"/>
      <c r="F2700" s="2028"/>
      <c r="G2700" s="2028"/>
      <c r="H2700" s="2028"/>
      <c r="I2700" s="2028"/>
      <c r="J2700" s="2028"/>
      <c r="K2700" s="2028"/>
      <c r="L2700" s="2028"/>
      <c r="M2700" s="2028"/>
      <c r="N2700" s="2028"/>
      <c r="O2700" s="2028"/>
      <c r="P2700" s="2028"/>
      <c r="Q2700" s="2028"/>
      <c r="R2700" s="2028"/>
      <c r="S2700" s="2028"/>
      <c r="T2700" s="2028"/>
      <c r="U2700" s="2028"/>
      <c r="V2700" s="2028"/>
      <c r="W2700" s="2028"/>
      <c r="X2700" s="2028"/>
      <c r="Y2700" s="2028"/>
      <c r="Z2700" s="2028"/>
      <c r="AA2700" s="2028"/>
      <c r="AB2700" s="2028"/>
      <c r="AC2700" s="2028"/>
      <c r="AD2700" s="2028"/>
      <c r="AE2700" s="1041" t="s">
        <v>1836</v>
      </c>
      <c r="AF2700" s="1044">
        <v>1</v>
      </c>
    </row>
    <row r="2701" spans="1:32" ht="15.75" x14ac:dyDescent="0.2">
      <c r="A2701" s="2029"/>
      <c r="B2701" s="2030"/>
      <c r="C2701" s="2030"/>
      <c r="D2701" s="2031"/>
      <c r="E2701" s="2025" t="str">
        <f>'01'!$A$12</f>
        <v>"CONSTRUCCION SISTEMA DE ACUEDUCTO FASE II DEL MUNICIPIO DE TESALIA DPTO DEL HUILA"</v>
      </c>
      <c r="F2701" s="2026"/>
      <c r="G2701" s="2026"/>
      <c r="H2701" s="2026"/>
      <c r="I2701" s="2026"/>
      <c r="J2701" s="2026"/>
      <c r="K2701" s="2026"/>
      <c r="L2701" s="2026"/>
      <c r="M2701" s="2026"/>
      <c r="N2701" s="2026"/>
      <c r="O2701" s="2026"/>
      <c r="P2701" s="2026"/>
      <c r="Q2701" s="2026"/>
      <c r="R2701" s="2026"/>
      <c r="S2701" s="2026"/>
      <c r="T2701" s="2026"/>
      <c r="U2701" s="2026"/>
      <c r="V2701" s="2026"/>
      <c r="W2701" s="2026"/>
      <c r="X2701" s="2026"/>
      <c r="Y2701" s="2026"/>
      <c r="Z2701" s="2026"/>
      <c r="AA2701" s="2026"/>
      <c r="AB2701" s="2026"/>
      <c r="AC2701" s="2026"/>
      <c r="AD2701" s="2035"/>
      <c r="AE2701" s="1041" t="s">
        <v>847</v>
      </c>
      <c r="AF2701" s="1045">
        <f>'01'!$M$13</f>
        <v>0</v>
      </c>
    </row>
    <row r="2702" spans="1:32" ht="16.5" thickBot="1" x14ac:dyDescent="0.25">
      <c r="A2702" s="2032"/>
      <c r="B2702" s="2033"/>
      <c r="C2702" s="2033"/>
      <c r="D2702" s="2034"/>
      <c r="E2702" s="2027"/>
      <c r="F2702" s="2028"/>
      <c r="G2702" s="2028"/>
      <c r="H2702" s="2028"/>
      <c r="I2702" s="2028"/>
      <c r="J2702" s="2028"/>
      <c r="K2702" s="2028"/>
      <c r="L2702" s="2028"/>
      <c r="M2702" s="2028"/>
      <c r="N2702" s="2028"/>
      <c r="O2702" s="2028"/>
      <c r="P2702" s="2028"/>
      <c r="Q2702" s="2028"/>
      <c r="R2702" s="2028"/>
      <c r="S2702" s="2028"/>
      <c r="T2702" s="2028"/>
      <c r="U2702" s="2028"/>
      <c r="V2702" s="2028"/>
      <c r="W2702" s="2028"/>
      <c r="X2702" s="2028"/>
      <c r="Y2702" s="2028"/>
      <c r="Z2702" s="2028"/>
      <c r="AA2702" s="2028"/>
      <c r="AB2702" s="2028"/>
      <c r="AC2702" s="2028"/>
      <c r="AD2702" s="2036"/>
      <c r="AE2702" s="1041" t="s">
        <v>1837</v>
      </c>
      <c r="AF2702" s="1042" t="s">
        <v>1838</v>
      </c>
    </row>
    <row r="2703" spans="1:32" ht="15.75" x14ac:dyDescent="0.25">
      <c r="A2703" s="2037" t="s">
        <v>1860</v>
      </c>
      <c r="B2703" s="2038"/>
      <c r="C2703" s="2038"/>
      <c r="D2703" s="2038"/>
      <c r="E2703" s="2038"/>
      <c r="F2703" s="2038"/>
      <c r="G2703" s="2038"/>
      <c r="H2703" s="2038"/>
      <c r="I2703" s="2038"/>
      <c r="J2703" s="2038"/>
      <c r="K2703" s="2038"/>
      <c r="L2703" s="2038"/>
      <c r="M2703" s="2038"/>
      <c r="N2703" s="2038"/>
      <c r="O2703" s="2038"/>
      <c r="P2703" s="2038"/>
      <c r="Q2703" s="2038"/>
      <c r="R2703" s="2038"/>
      <c r="S2703" s="2038"/>
      <c r="T2703" s="2038"/>
      <c r="U2703" s="2038"/>
      <c r="V2703" s="2038"/>
      <c r="W2703" s="2038"/>
      <c r="X2703" s="2038"/>
      <c r="Y2703" s="2038"/>
      <c r="Z2703" s="2038"/>
      <c r="AA2703" s="2038"/>
      <c r="AB2703" s="2038"/>
      <c r="AC2703" s="2038"/>
      <c r="AD2703" s="2038"/>
      <c r="AE2703" s="2039" t="s">
        <v>1839</v>
      </c>
      <c r="AF2703" s="2040"/>
    </row>
    <row r="2704" spans="1:32" ht="15.75" x14ac:dyDescent="0.25">
      <c r="A2704" s="2041" t="s">
        <v>1840</v>
      </c>
      <c r="B2704" s="2042"/>
      <c r="C2704" s="2042"/>
      <c r="D2704" s="2042"/>
      <c r="E2704" s="2042"/>
      <c r="F2704" s="2042"/>
      <c r="G2704" s="2042"/>
      <c r="H2704" s="2042"/>
      <c r="I2704" s="2042"/>
      <c r="J2704" s="2042"/>
      <c r="K2704" s="2042"/>
      <c r="L2704" s="2042"/>
      <c r="M2704" s="2042"/>
      <c r="N2704" s="2042"/>
      <c r="O2704" s="2042"/>
      <c r="P2704" s="2042"/>
      <c r="Q2704" s="2042"/>
      <c r="R2704" s="2042"/>
      <c r="S2704" s="2042"/>
      <c r="T2704" s="2042"/>
      <c r="U2704" s="2042"/>
      <c r="V2704" s="2042"/>
      <c r="W2704" s="2042"/>
      <c r="X2704" s="2042"/>
      <c r="Y2704" s="2042"/>
      <c r="Z2704" s="2042"/>
      <c r="AA2704" s="2042"/>
      <c r="AB2704" s="2042"/>
      <c r="AC2704" s="2042"/>
      <c r="AD2704" s="2043"/>
      <c r="AE2704" s="2014" t="s">
        <v>1841</v>
      </c>
      <c r="AF2704" s="2044"/>
    </row>
    <row r="2705" spans="1:32" ht="15.75" x14ac:dyDescent="0.25">
      <c r="A2705" s="2045" t="s">
        <v>1853</v>
      </c>
      <c r="B2705" s="2046"/>
      <c r="C2705" s="2046"/>
      <c r="D2705" s="2046"/>
      <c r="E2705" s="2046"/>
      <c r="F2705" s="2046"/>
      <c r="G2705" s="2046"/>
      <c r="H2705" s="2046"/>
      <c r="I2705" s="2046"/>
      <c r="J2705" s="2046"/>
      <c r="K2705" s="2046"/>
      <c r="L2705" s="2046"/>
      <c r="M2705" s="2046"/>
      <c r="N2705" s="2046"/>
      <c r="O2705" s="2046"/>
      <c r="P2705" s="2046"/>
      <c r="Q2705" s="2046"/>
      <c r="R2705" s="2046"/>
      <c r="S2705" s="2046"/>
      <c r="T2705" s="2046"/>
      <c r="U2705" s="2046"/>
      <c r="V2705" s="2046"/>
      <c r="W2705" s="2046"/>
      <c r="X2705" s="2046"/>
      <c r="Y2705" s="2046"/>
      <c r="Z2705" s="2046"/>
      <c r="AA2705" s="2046"/>
      <c r="AB2705" s="2046"/>
      <c r="AC2705" s="2046"/>
      <c r="AD2705" s="2046"/>
      <c r="AE2705" s="2047">
        <f>'01'!$M$13</f>
        <v>0</v>
      </c>
      <c r="AF2705" s="2044"/>
    </row>
    <row r="2706" spans="1:32" x14ac:dyDescent="0.2">
      <c r="A2706" s="1046"/>
      <c r="B2706" s="1047"/>
      <c r="C2706" s="1047"/>
      <c r="D2706" s="1047"/>
      <c r="E2706" s="1047"/>
      <c r="F2706" s="1047"/>
      <c r="G2706" s="1047"/>
      <c r="H2706" s="1047"/>
      <c r="I2706" s="1047"/>
      <c r="J2706" s="1047"/>
      <c r="K2706" s="1047"/>
      <c r="L2706" s="1047"/>
      <c r="M2706" s="1047"/>
      <c r="N2706" s="1047"/>
      <c r="O2706" s="1047"/>
      <c r="P2706" s="1047"/>
      <c r="Q2706" s="1047"/>
      <c r="R2706" s="1047"/>
      <c r="S2706" s="1047"/>
      <c r="T2706" s="1047"/>
      <c r="U2706" s="1047"/>
      <c r="V2706" s="1047"/>
      <c r="W2706" s="1047"/>
      <c r="X2706" s="1047"/>
      <c r="Y2706" s="1047"/>
      <c r="Z2706" s="1047"/>
      <c r="AA2706" s="1047"/>
      <c r="AB2706" s="1047"/>
      <c r="AC2706" s="1047"/>
      <c r="AD2706" s="1047"/>
      <c r="AE2706" s="1047"/>
      <c r="AF2706" s="1048"/>
    </row>
    <row r="2707" spans="1:32" ht="30" customHeight="1" x14ac:dyDescent="0.2">
      <c r="A2707" s="2048" t="s">
        <v>1842</v>
      </c>
      <c r="B2707" s="2049"/>
      <c r="C2707" s="2049"/>
      <c r="D2707" s="2049"/>
      <c r="E2707" s="2049"/>
      <c r="F2707" s="2050" t="str">
        <f>+'01'!$H$105</f>
        <v>D - CANAL DE DESINFECCIÓN</v>
      </c>
      <c r="G2707" s="2049"/>
      <c r="H2707" s="2049"/>
      <c r="I2707" s="2049"/>
      <c r="J2707" s="2049"/>
      <c r="K2707" s="2049"/>
      <c r="L2707" s="2049"/>
      <c r="M2707" s="2049"/>
      <c r="N2707" s="2049"/>
      <c r="O2707" s="2049"/>
      <c r="P2707" s="2049"/>
      <c r="Q2707" s="2049"/>
      <c r="R2707" s="2049"/>
      <c r="S2707" s="2049"/>
      <c r="T2707" s="2049"/>
      <c r="U2707" s="2049"/>
      <c r="V2707" s="2049"/>
      <c r="W2707" s="2049"/>
      <c r="X2707" s="2049"/>
      <c r="Y2707" s="2051"/>
      <c r="Z2707" s="2052" t="s">
        <v>1843</v>
      </c>
      <c r="AA2707" s="2053"/>
      <c r="AB2707" s="2058" t="s">
        <v>1844</v>
      </c>
      <c r="AC2707" s="2059"/>
      <c r="AD2707" s="2060"/>
      <c r="AE2707" s="2064" t="s">
        <v>1845</v>
      </c>
      <c r="AF2707" s="2067" t="s">
        <v>1846</v>
      </c>
    </row>
    <row r="2708" spans="1:32" ht="15" customHeight="1" x14ac:dyDescent="0.2">
      <c r="A2708" s="2070" t="str">
        <f>+'01'!A119</f>
        <v>D-05-01</v>
      </c>
      <c r="B2708" s="2071"/>
      <c r="C2708" s="2072"/>
      <c r="D2708" s="2076" t="str">
        <f>VLOOKUP(A2708,'01'!$A$12:$N$299,3,FALSE)</f>
        <v>CONCRETO PARA SOLADO, LIMPIEZA Y/O RELLENOS FLUIDOS (140KG/CM2) - ESPESOR=0.05 METROS.</v>
      </c>
      <c r="E2708" s="2077"/>
      <c r="F2708" s="2077"/>
      <c r="G2708" s="2077"/>
      <c r="H2708" s="2077"/>
      <c r="I2708" s="2077"/>
      <c r="J2708" s="2077"/>
      <c r="K2708" s="2077"/>
      <c r="L2708" s="2077"/>
      <c r="M2708" s="2077"/>
      <c r="N2708" s="2077"/>
      <c r="O2708" s="2077"/>
      <c r="P2708" s="2077"/>
      <c r="Q2708" s="2077"/>
      <c r="R2708" s="2077"/>
      <c r="S2708" s="2078"/>
      <c r="T2708" s="2082" t="s">
        <v>124</v>
      </c>
      <c r="U2708" s="2083"/>
      <c r="V2708" s="2083"/>
      <c r="W2708" s="2083"/>
      <c r="X2708" s="2052" t="str">
        <f>VLOOKUP(A2708,'01'!$A$12:$N$299,9,FALSE)</f>
        <v>M3</v>
      </c>
      <c r="Y2708" s="2053"/>
      <c r="Z2708" s="2054"/>
      <c r="AA2708" s="2055"/>
      <c r="AB2708" s="2061"/>
      <c r="AC2708" s="2062"/>
      <c r="AD2708" s="2063"/>
      <c r="AE2708" s="2065"/>
      <c r="AF2708" s="2068"/>
    </row>
    <row r="2709" spans="1:32" ht="15" customHeight="1" x14ac:dyDescent="0.25">
      <c r="A2709" s="2073"/>
      <c r="B2709" s="2074"/>
      <c r="C2709" s="2075"/>
      <c r="D2709" s="2079"/>
      <c r="E2709" s="2080"/>
      <c r="F2709" s="2080"/>
      <c r="G2709" s="2080"/>
      <c r="H2709" s="2080"/>
      <c r="I2709" s="2080"/>
      <c r="J2709" s="2080"/>
      <c r="K2709" s="2080"/>
      <c r="L2709" s="2080"/>
      <c r="M2709" s="2080"/>
      <c r="N2709" s="2080"/>
      <c r="O2709" s="2080"/>
      <c r="P2709" s="2080"/>
      <c r="Q2709" s="2080"/>
      <c r="R2709" s="2080"/>
      <c r="S2709" s="2081"/>
      <c r="T2709" s="2084"/>
      <c r="U2709" s="2085"/>
      <c r="V2709" s="2085"/>
      <c r="W2709" s="2085"/>
      <c r="X2709" s="2056"/>
      <c r="Y2709" s="2057"/>
      <c r="Z2709" s="2056"/>
      <c r="AA2709" s="2057"/>
      <c r="AB2709" s="1049" t="s">
        <v>1847</v>
      </c>
      <c r="AC2709" s="1049" t="s">
        <v>1848</v>
      </c>
      <c r="AD2709" s="1049" t="s">
        <v>1861</v>
      </c>
      <c r="AE2709" s="2066"/>
      <c r="AF2709" s="2069"/>
    </row>
    <row r="2710" spans="1:32" ht="15.6" customHeight="1" x14ac:dyDescent="0.25">
      <c r="A2710" s="2017"/>
      <c r="B2710" s="2018"/>
      <c r="C2710" s="2018"/>
      <c r="D2710" s="2018"/>
      <c r="E2710" s="2018"/>
      <c r="F2710" s="2018"/>
      <c r="G2710" s="2018"/>
      <c r="H2710" s="2018"/>
      <c r="I2710" s="2018"/>
      <c r="J2710" s="2018"/>
      <c r="K2710" s="2018"/>
      <c r="L2710" s="2018"/>
      <c r="M2710" s="2018"/>
      <c r="N2710" s="2018"/>
      <c r="O2710" s="2018"/>
      <c r="P2710" s="2018"/>
      <c r="Q2710" s="2018"/>
      <c r="R2710" s="2018"/>
      <c r="S2710" s="2018"/>
      <c r="T2710" s="2018"/>
      <c r="U2710" s="2018"/>
      <c r="V2710" s="2018"/>
      <c r="W2710" s="2018"/>
      <c r="X2710" s="2018"/>
      <c r="Y2710" s="2018"/>
      <c r="Z2710" s="2096" t="s">
        <v>2451</v>
      </c>
      <c r="AA2710" s="2097"/>
      <c r="AB2710" s="1050">
        <v>6.2</v>
      </c>
      <c r="AC2710" s="1050">
        <v>5.85</v>
      </c>
      <c r="AD2710" s="1050">
        <v>0.05</v>
      </c>
      <c r="AE2710" s="1050">
        <v>1</v>
      </c>
      <c r="AF2710" s="1052">
        <f>+ROUND(AB2710*AC2710*AD2710*AE2710,2)</f>
        <v>1.81</v>
      </c>
    </row>
    <row r="2711" spans="1:32" ht="15.6" customHeight="1" x14ac:dyDescent="0.25">
      <c r="A2711" s="2017"/>
      <c r="B2711" s="2018"/>
      <c r="C2711" s="2018"/>
      <c r="D2711" s="2018"/>
      <c r="E2711" s="2018"/>
      <c r="F2711" s="2018"/>
      <c r="G2711" s="2018"/>
      <c r="H2711" s="2018"/>
      <c r="I2711" s="2018"/>
      <c r="J2711" s="2018"/>
      <c r="K2711" s="2018"/>
      <c r="L2711" s="2018"/>
      <c r="M2711" s="2018"/>
      <c r="N2711" s="2018"/>
      <c r="O2711" s="2018"/>
      <c r="P2711" s="2018"/>
      <c r="Q2711" s="2018"/>
      <c r="R2711" s="2018"/>
      <c r="S2711" s="2018"/>
      <c r="T2711" s="2018"/>
      <c r="U2711" s="2018"/>
      <c r="V2711" s="2018"/>
      <c r="W2711" s="2018"/>
      <c r="X2711" s="2018"/>
      <c r="Y2711" s="2018"/>
      <c r="Z2711" s="2096" t="s">
        <v>2452</v>
      </c>
      <c r="AA2711" s="2097"/>
      <c r="AB2711" s="1050">
        <v>1</v>
      </c>
      <c r="AC2711" s="1050">
        <v>1</v>
      </c>
      <c r="AD2711" s="1050">
        <v>0.05</v>
      </c>
      <c r="AE2711" s="1050">
        <v>1</v>
      </c>
      <c r="AF2711" s="1052">
        <f>+ROUND(AB2711*AC2711*AD2711*AE2711,2)</f>
        <v>0.05</v>
      </c>
    </row>
    <row r="2712" spans="1:32" ht="15.75" x14ac:dyDescent="0.25">
      <c r="A2712" s="2017"/>
      <c r="B2712" s="2018"/>
      <c r="C2712" s="2018"/>
      <c r="D2712" s="2018"/>
      <c r="E2712" s="2018"/>
      <c r="F2712" s="2018"/>
      <c r="G2712" s="2018"/>
      <c r="H2712" s="2018"/>
      <c r="I2712" s="2018"/>
      <c r="J2712" s="2018"/>
      <c r="K2712" s="2018"/>
      <c r="L2712" s="2018"/>
      <c r="M2712" s="2018"/>
      <c r="N2712" s="2018"/>
      <c r="O2712" s="2018"/>
      <c r="P2712" s="2018"/>
      <c r="Q2712" s="2018"/>
      <c r="R2712" s="2018"/>
      <c r="S2712" s="2018"/>
      <c r="T2712" s="2018"/>
      <c r="U2712" s="2018"/>
      <c r="V2712" s="2018"/>
      <c r="W2712" s="2018"/>
      <c r="X2712" s="2018"/>
      <c r="Y2712" s="2018"/>
      <c r="Z2712" s="2096"/>
      <c r="AA2712" s="2097"/>
      <c r="AB2712" s="1050"/>
      <c r="AC2712" s="1050"/>
      <c r="AD2712" s="1050"/>
      <c r="AE2712" s="1050"/>
      <c r="AF2712" s="1052"/>
    </row>
    <row r="2713" spans="1:32" ht="15.75" x14ac:dyDescent="0.25">
      <c r="A2713" s="2017"/>
      <c r="B2713" s="2018"/>
      <c r="C2713" s="2018"/>
      <c r="D2713" s="2018"/>
      <c r="E2713" s="2018"/>
      <c r="F2713" s="2018"/>
      <c r="G2713" s="2018"/>
      <c r="H2713" s="2018"/>
      <c r="I2713" s="2018"/>
      <c r="J2713" s="2018"/>
      <c r="K2713" s="2018"/>
      <c r="L2713" s="2018"/>
      <c r="M2713" s="2018"/>
      <c r="N2713" s="2018"/>
      <c r="O2713" s="2018"/>
      <c r="P2713" s="2018"/>
      <c r="Q2713" s="2018"/>
      <c r="R2713" s="2018"/>
      <c r="S2713" s="2018"/>
      <c r="T2713" s="2018"/>
      <c r="U2713" s="2018"/>
      <c r="V2713" s="2018"/>
      <c r="W2713" s="2018"/>
      <c r="X2713" s="2018"/>
      <c r="Y2713" s="2018"/>
      <c r="Z2713" s="2096"/>
      <c r="AA2713" s="2097"/>
      <c r="AB2713" s="1050"/>
      <c r="AC2713" s="1050"/>
      <c r="AD2713" s="1050"/>
      <c r="AE2713" s="1050"/>
      <c r="AF2713" s="1052"/>
    </row>
    <row r="2714" spans="1:32" ht="15.75" x14ac:dyDescent="0.25">
      <c r="A2714" s="2017"/>
      <c r="B2714" s="2018"/>
      <c r="C2714" s="2018"/>
      <c r="D2714" s="2018"/>
      <c r="E2714" s="2018"/>
      <c r="F2714" s="2018"/>
      <c r="G2714" s="2018"/>
      <c r="H2714" s="2018"/>
      <c r="I2714" s="2018"/>
      <c r="J2714" s="2018"/>
      <c r="K2714" s="2018"/>
      <c r="L2714" s="2018"/>
      <c r="M2714" s="2018"/>
      <c r="N2714" s="2018"/>
      <c r="O2714" s="2018"/>
      <c r="P2714" s="2018"/>
      <c r="Q2714" s="2018"/>
      <c r="R2714" s="2018"/>
      <c r="S2714" s="2018"/>
      <c r="T2714" s="2018"/>
      <c r="U2714" s="2018"/>
      <c r="V2714" s="2018"/>
      <c r="W2714" s="2018"/>
      <c r="X2714" s="2018"/>
      <c r="Y2714" s="2018"/>
      <c r="Z2714" s="2096"/>
      <c r="AA2714" s="2097"/>
      <c r="AB2714" s="1050"/>
      <c r="AC2714" s="1050"/>
      <c r="AD2714" s="1050"/>
      <c r="AE2714" s="1050"/>
      <c r="AF2714" s="1052"/>
    </row>
    <row r="2715" spans="1:32" ht="15.75" x14ac:dyDescent="0.25">
      <c r="A2715" s="2017"/>
      <c r="B2715" s="2018"/>
      <c r="C2715" s="2018"/>
      <c r="D2715" s="2018"/>
      <c r="E2715" s="2018"/>
      <c r="F2715" s="2018"/>
      <c r="G2715" s="2018"/>
      <c r="H2715" s="2018"/>
      <c r="I2715" s="2018"/>
      <c r="J2715" s="2018"/>
      <c r="K2715" s="2018"/>
      <c r="L2715" s="2018"/>
      <c r="M2715" s="2018"/>
      <c r="N2715" s="2018"/>
      <c r="O2715" s="2018"/>
      <c r="P2715" s="2018"/>
      <c r="Q2715" s="2018"/>
      <c r="R2715" s="2018"/>
      <c r="S2715" s="2018"/>
      <c r="T2715" s="2018"/>
      <c r="U2715" s="2018"/>
      <c r="V2715" s="2018"/>
      <c r="W2715" s="2018"/>
      <c r="X2715" s="2018"/>
      <c r="Y2715" s="2018"/>
      <c r="Z2715" s="2096"/>
      <c r="AA2715" s="2097"/>
      <c r="AB2715" s="1050"/>
      <c r="AC2715" s="1050"/>
      <c r="AD2715" s="1050"/>
      <c r="AE2715" s="1050"/>
      <c r="AF2715" s="1052"/>
    </row>
    <row r="2716" spans="1:32" ht="15.75" x14ac:dyDescent="0.25">
      <c r="A2716" s="2017"/>
      <c r="B2716" s="2018"/>
      <c r="C2716" s="2018"/>
      <c r="D2716" s="2018"/>
      <c r="E2716" s="2018"/>
      <c r="F2716" s="2018"/>
      <c r="G2716" s="2018"/>
      <c r="H2716" s="2018"/>
      <c r="I2716" s="2018"/>
      <c r="J2716" s="2018"/>
      <c r="K2716" s="2018"/>
      <c r="L2716" s="2018"/>
      <c r="M2716" s="2018"/>
      <c r="N2716" s="2018"/>
      <c r="O2716" s="2018"/>
      <c r="P2716" s="2018"/>
      <c r="Q2716" s="2018"/>
      <c r="R2716" s="2018"/>
      <c r="S2716" s="2018"/>
      <c r="T2716" s="2018"/>
      <c r="U2716" s="2018"/>
      <c r="V2716" s="2018"/>
      <c r="W2716" s="2018"/>
      <c r="X2716" s="2018"/>
      <c r="Y2716" s="2018"/>
      <c r="Z2716" s="2105"/>
      <c r="AA2716" s="2105"/>
      <c r="AB2716" s="1050"/>
      <c r="AC2716" s="1050"/>
      <c r="AD2716" s="1050"/>
      <c r="AE2716" s="1050"/>
      <c r="AF2716" s="1052"/>
    </row>
    <row r="2717" spans="1:32" ht="15.75" x14ac:dyDescent="0.25">
      <c r="A2717" s="2017"/>
      <c r="B2717" s="2018"/>
      <c r="C2717" s="2018"/>
      <c r="D2717" s="2018"/>
      <c r="E2717" s="2018"/>
      <c r="F2717" s="2018"/>
      <c r="G2717" s="2018"/>
      <c r="H2717" s="2018"/>
      <c r="I2717" s="2018"/>
      <c r="J2717" s="2018"/>
      <c r="K2717" s="2018"/>
      <c r="L2717" s="2018"/>
      <c r="M2717" s="2018"/>
      <c r="N2717" s="2018"/>
      <c r="O2717" s="2018"/>
      <c r="P2717" s="2018"/>
      <c r="Q2717" s="2018"/>
      <c r="R2717" s="2018"/>
      <c r="S2717" s="2018"/>
      <c r="T2717" s="2018"/>
      <c r="U2717" s="2018"/>
      <c r="V2717" s="2018"/>
      <c r="W2717" s="2018"/>
      <c r="X2717" s="2018"/>
      <c r="Y2717" s="2018"/>
      <c r="Z2717" s="2105"/>
      <c r="AA2717" s="2105"/>
      <c r="AB2717" s="1050"/>
      <c r="AC2717" s="1050"/>
      <c r="AD2717" s="1050"/>
      <c r="AE2717" s="1050"/>
      <c r="AF2717" s="1052"/>
    </row>
    <row r="2718" spans="1:32" ht="15.75" x14ac:dyDescent="0.25">
      <c r="A2718" s="2017"/>
      <c r="B2718" s="2018"/>
      <c r="C2718" s="2018"/>
      <c r="D2718" s="2018"/>
      <c r="E2718" s="2018"/>
      <c r="F2718" s="2018"/>
      <c r="G2718" s="2018"/>
      <c r="H2718" s="2018"/>
      <c r="I2718" s="2018"/>
      <c r="J2718" s="2018"/>
      <c r="K2718" s="2018"/>
      <c r="L2718" s="2018"/>
      <c r="M2718" s="2018"/>
      <c r="N2718" s="2018"/>
      <c r="O2718" s="2018"/>
      <c r="P2718" s="2018"/>
      <c r="Q2718" s="2018"/>
      <c r="R2718" s="2018"/>
      <c r="S2718" s="2018"/>
      <c r="T2718" s="2018"/>
      <c r="U2718" s="2018"/>
      <c r="V2718" s="2018"/>
      <c r="W2718" s="2018"/>
      <c r="X2718" s="2018"/>
      <c r="Y2718" s="2018"/>
      <c r="Z2718" s="2105"/>
      <c r="AA2718" s="2105"/>
      <c r="AB2718" s="1050"/>
      <c r="AC2718" s="1050"/>
      <c r="AD2718" s="1050"/>
      <c r="AE2718" s="1050"/>
      <c r="AF2718" s="1052"/>
    </row>
    <row r="2719" spans="1:32" ht="15.75" x14ac:dyDescent="0.25">
      <c r="A2719" s="2017"/>
      <c r="B2719" s="2018"/>
      <c r="C2719" s="2018"/>
      <c r="D2719" s="2018"/>
      <c r="E2719" s="2018"/>
      <c r="F2719" s="2018"/>
      <c r="G2719" s="2018"/>
      <c r="H2719" s="2018"/>
      <c r="I2719" s="2018"/>
      <c r="J2719" s="2018"/>
      <c r="K2719" s="2018"/>
      <c r="L2719" s="2018"/>
      <c r="M2719" s="2018"/>
      <c r="N2719" s="2018"/>
      <c r="O2719" s="2018"/>
      <c r="P2719" s="2018"/>
      <c r="Q2719" s="2018"/>
      <c r="R2719" s="2018"/>
      <c r="S2719" s="2018"/>
      <c r="T2719" s="2018"/>
      <c r="U2719" s="2018"/>
      <c r="V2719" s="2018"/>
      <c r="W2719" s="2018"/>
      <c r="X2719" s="2018"/>
      <c r="Y2719" s="2018"/>
      <c r="Z2719" s="2105"/>
      <c r="AA2719" s="2105"/>
      <c r="AB2719" s="1050"/>
      <c r="AC2719" s="1050"/>
      <c r="AD2719" s="1050"/>
      <c r="AE2719" s="1050"/>
      <c r="AF2719" s="1052"/>
    </row>
    <row r="2720" spans="1:32" ht="15.75" x14ac:dyDescent="0.25">
      <c r="A2720" s="2017"/>
      <c r="B2720" s="2018"/>
      <c r="C2720" s="2018"/>
      <c r="D2720" s="2018"/>
      <c r="E2720" s="2018"/>
      <c r="F2720" s="2018"/>
      <c r="G2720" s="2018"/>
      <c r="H2720" s="2018"/>
      <c r="I2720" s="2018"/>
      <c r="J2720" s="2018"/>
      <c r="K2720" s="2018"/>
      <c r="L2720" s="2018"/>
      <c r="M2720" s="2018"/>
      <c r="N2720" s="2018"/>
      <c r="O2720" s="2018"/>
      <c r="P2720" s="2018"/>
      <c r="Q2720" s="2018"/>
      <c r="R2720" s="2018"/>
      <c r="S2720" s="2018"/>
      <c r="T2720" s="2018"/>
      <c r="U2720" s="2018"/>
      <c r="V2720" s="2018"/>
      <c r="W2720" s="2018"/>
      <c r="X2720" s="2018"/>
      <c r="Y2720" s="2018"/>
      <c r="Z2720" s="2105"/>
      <c r="AA2720" s="2105"/>
      <c r="AB2720" s="1050"/>
      <c r="AC2720" s="1050"/>
      <c r="AD2720" s="1050"/>
      <c r="AE2720" s="1050"/>
      <c r="AF2720" s="1052"/>
    </row>
    <row r="2721" spans="1:32" ht="15.75" x14ac:dyDescent="0.25">
      <c r="A2721" s="2017"/>
      <c r="B2721" s="2018"/>
      <c r="C2721" s="2018"/>
      <c r="D2721" s="2018"/>
      <c r="E2721" s="2018"/>
      <c r="F2721" s="2018"/>
      <c r="G2721" s="2018"/>
      <c r="H2721" s="2018"/>
      <c r="I2721" s="2018"/>
      <c r="J2721" s="2018"/>
      <c r="K2721" s="2018"/>
      <c r="L2721" s="2018"/>
      <c r="M2721" s="2018"/>
      <c r="N2721" s="2018"/>
      <c r="O2721" s="2018"/>
      <c r="P2721" s="2018"/>
      <c r="Q2721" s="2018"/>
      <c r="R2721" s="2018"/>
      <c r="S2721" s="2018"/>
      <c r="T2721" s="2018"/>
      <c r="U2721" s="2018"/>
      <c r="V2721" s="2018"/>
      <c r="W2721" s="2018"/>
      <c r="X2721" s="2018"/>
      <c r="Y2721" s="2018"/>
      <c r="Z2721" s="2105"/>
      <c r="AA2721" s="2105"/>
      <c r="AB2721" s="1050"/>
      <c r="AC2721" s="1050"/>
      <c r="AD2721" s="1050"/>
      <c r="AE2721" s="1050"/>
      <c r="AF2721" s="1052"/>
    </row>
    <row r="2722" spans="1:32" ht="15.75" x14ac:dyDescent="0.25">
      <c r="A2722" s="2017"/>
      <c r="B2722" s="2018"/>
      <c r="C2722" s="2018"/>
      <c r="D2722" s="2018"/>
      <c r="E2722" s="2018"/>
      <c r="F2722" s="2018"/>
      <c r="G2722" s="2018"/>
      <c r="H2722" s="2018"/>
      <c r="I2722" s="2018"/>
      <c r="J2722" s="2018"/>
      <c r="K2722" s="2018"/>
      <c r="L2722" s="2018"/>
      <c r="M2722" s="2018"/>
      <c r="N2722" s="2018"/>
      <c r="O2722" s="2018"/>
      <c r="P2722" s="2018"/>
      <c r="Q2722" s="2018"/>
      <c r="R2722" s="2018"/>
      <c r="S2722" s="2018"/>
      <c r="T2722" s="2018"/>
      <c r="U2722" s="2018"/>
      <c r="V2722" s="2018"/>
      <c r="W2722" s="2018"/>
      <c r="X2722" s="2018"/>
      <c r="Y2722" s="2018"/>
      <c r="Z2722" s="2105"/>
      <c r="AA2722" s="2105"/>
      <c r="AB2722" s="1050"/>
      <c r="AC2722" s="1050"/>
      <c r="AD2722" s="1050"/>
      <c r="AE2722" s="1050"/>
      <c r="AF2722" s="1052"/>
    </row>
    <row r="2723" spans="1:32" ht="15.75" x14ac:dyDescent="0.25">
      <c r="A2723" s="2017"/>
      <c r="B2723" s="2018"/>
      <c r="C2723" s="2018"/>
      <c r="D2723" s="2018"/>
      <c r="E2723" s="2018"/>
      <c r="F2723" s="2018"/>
      <c r="G2723" s="2018"/>
      <c r="H2723" s="2018"/>
      <c r="I2723" s="2018"/>
      <c r="J2723" s="2018"/>
      <c r="K2723" s="2018"/>
      <c r="L2723" s="2018"/>
      <c r="M2723" s="2018"/>
      <c r="N2723" s="2018"/>
      <c r="O2723" s="2018"/>
      <c r="P2723" s="2018"/>
      <c r="Q2723" s="2018"/>
      <c r="R2723" s="2018"/>
      <c r="S2723" s="2018"/>
      <c r="T2723" s="2018"/>
      <c r="U2723" s="2018"/>
      <c r="V2723" s="2018"/>
      <c r="W2723" s="2018"/>
      <c r="X2723" s="2018"/>
      <c r="Y2723" s="2018"/>
      <c r="Z2723" s="2022"/>
      <c r="AA2723" s="2022"/>
      <c r="AB2723" s="1050"/>
      <c r="AC2723" s="1050"/>
      <c r="AD2723" s="1050"/>
      <c r="AE2723" s="1050"/>
      <c r="AF2723" s="1052"/>
    </row>
    <row r="2724" spans="1:32" ht="15.75" x14ac:dyDescent="0.25">
      <c r="A2724" s="2017"/>
      <c r="B2724" s="2018"/>
      <c r="C2724" s="2018"/>
      <c r="D2724" s="2018"/>
      <c r="E2724" s="2018"/>
      <c r="F2724" s="2018"/>
      <c r="G2724" s="2018"/>
      <c r="H2724" s="2018"/>
      <c r="I2724" s="2018"/>
      <c r="J2724" s="2018"/>
      <c r="K2724" s="2018"/>
      <c r="L2724" s="2018"/>
      <c r="M2724" s="2018"/>
      <c r="N2724" s="2018"/>
      <c r="O2724" s="2018"/>
      <c r="P2724" s="2018"/>
      <c r="Q2724" s="2018"/>
      <c r="R2724" s="2018"/>
      <c r="S2724" s="2018"/>
      <c r="T2724" s="2018"/>
      <c r="U2724" s="2018"/>
      <c r="V2724" s="2018"/>
      <c r="W2724" s="2018"/>
      <c r="X2724" s="2018"/>
      <c r="Y2724" s="2018"/>
      <c r="Z2724" s="2022"/>
      <c r="AA2724" s="2022"/>
      <c r="AB2724" s="1050"/>
      <c r="AC2724" s="1050"/>
      <c r="AD2724" s="1050"/>
      <c r="AE2724" s="1050"/>
      <c r="AF2724" s="1052"/>
    </row>
    <row r="2725" spans="1:32" ht="15.75" x14ac:dyDescent="0.25">
      <c r="A2725" s="2017"/>
      <c r="B2725" s="2018"/>
      <c r="C2725" s="2018"/>
      <c r="D2725" s="2018"/>
      <c r="E2725" s="2018"/>
      <c r="F2725" s="2018"/>
      <c r="G2725" s="2018"/>
      <c r="H2725" s="2018"/>
      <c r="I2725" s="2018"/>
      <c r="J2725" s="2018"/>
      <c r="K2725" s="2018"/>
      <c r="L2725" s="2018"/>
      <c r="M2725" s="2018"/>
      <c r="N2725" s="2018"/>
      <c r="O2725" s="2018"/>
      <c r="P2725" s="2018"/>
      <c r="Q2725" s="2018"/>
      <c r="R2725" s="2018"/>
      <c r="S2725" s="2018"/>
      <c r="T2725" s="2018"/>
      <c r="U2725" s="2018"/>
      <c r="V2725" s="2018"/>
      <c r="W2725" s="2018"/>
      <c r="X2725" s="2018"/>
      <c r="Y2725" s="2018"/>
      <c r="Z2725" s="2022"/>
      <c r="AA2725" s="2022"/>
      <c r="AB2725" s="1050"/>
      <c r="AC2725" s="1050"/>
      <c r="AD2725" s="1050"/>
      <c r="AE2725" s="1050"/>
      <c r="AF2725" s="1052"/>
    </row>
    <row r="2726" spans="1:32" ht="15.75" x14ac:dyDescent="0.25">
      <c r="A2726" s="2017"/>
      <c r="B2726" s="2018"/>
      <c r="C2726" s="2018"/>
      <c r="D2726" s="2018"/>
      <c r="E2726" s="2018"/>
      <c r="F2726" s="2018"/>
      <c r="G2726" s="2018"/>
      <c r="H2726" s="2018"/>
      <c r="I2726" s="2018"/>
      <c r="J2726" s="2018"/>
      <c r="K2726" s="2018"/>
      <c r="L2726" s="2018"/>
      <c r="M2726" s="2018"/>
      <c r="N2726" s="2018"/>
      <c r="O2726" s="2018"/>
      <c r="P2726" s="2018"/>
      <c r="Q2726" s="2018"/>
      <c r="R2726" s="2018"/>
      <c r="S2726" s="2018"/>
      <c r="T2726" s="2018"/>
      <c r="U2726" s="2018"/>
      <c r="V2726" s="2018"/>
      <c r="W2726" s="2018"/>
      <c r="X2726" s="2018"/>
      <c r="Y2726" s="2018"/>
      <c r="Z2726" s="2022"/>
      <c r="AA2726" s="2022"/>
      <c r="AB2726" s="1050"/>
      <c r="AC2726" s="1050"/>
      <c r="AD2726" s="1050"/>
      <c r="AE2726" s="1050"/>
      <c r="AF2726" s="1052"/>
    </row>
    <row r="2727" spans="1:32" ht="15.75" x14ac:dyDescent="0.25">
      <c r="A2727" s="2017"/>
      <c r="B2727" s="2018"/>
      <c r="C2727" s="2018"/>
      <c r="D2727" s="2018"/>
      <c r="E2727" s="2018"/>
      <c r="F2727" s="2018"/>
      <c r="G2727" s="2018"/>
      <c r="H2727" s="2018"/>
      <c r="I2727" s="2018"/>
      <c r="J2727" s="2018"/>
      <c r="K2727" s="2018"/>
      <c r="L2727" s="2018"/>
      <c r="M2727" s="2018"/>
      <c r="N2727" s="2018"/>
      <c r="O2727" s="2018"/>
      <c r="P2727" s="2018"/>
      <c r="Q2727" s="2018"/>
      <c r="R2727" s="2018"/>
      <c r="S2727" s="2018"/>
      <c r="T2727" s="2018"/>
      <c r="U2727" s="2018"/>
      <c r="V2727" s="2018"/>
      <c r="W2727" s="2018"/>
      <c r="X2727" s="2018"/>
      <c r="Y2727" s="2018"/>
      <c r="Z2727" s="2023"/>
      <c r="AA2727" s="2023"/>
      <c r="AB2727" s="1050"/>
      <c r="AC2727" s="1050"/>
      <c r="AD2727" s="1050"/>
      <c r="AE2727" s="1050"/>
      <c r="AF2727" s="1052"/>
    </row>
    <row r="2728" spans="1:32" ht="15.75" x14ac:dyDescent="0.25">
      <c r="A2728" s="2017"/>
      <c r="B2728" s="2018"/>
      <c r="C2728" s="2018"/>
      <c r="D2728" s="2018"/>
      <c r="E2728" s="2018"/>
      <c r="F2728" s="2018"/>
      <c r="G2728" s="2018"/>
      <c r="H2728" s="2018"/>
      <c r="I2728" s="2018"/>
      <c r="J2728" s="2018"/>
      <c r="K2728" s="2018"/>
      <c r="L2728" s="2018"/>
      <c r="M2728" s="2018"/>
      <c r="N2728" s="2018"/>
      <c r="O2728" s="2018"/>
      <c r="P2728" s="2018"/>
      <c r="Q2728" s="2018"/>
      <c r="R2728" s="2018"/>
      <c r="S2728" s="2018"/>
      <c r="T2728" s="2018"/>
      <c r="U2728" s="2018"/>
      <c r="V2728" s="2018"/>
      <c r="W2728" s="2018"/>
      <c r="X2728" s="2018"/>
      <c r="Y2728" s="2018"/>
      <c r="Z2728" s="2023"/>
      <c r="AA2728" s="2023"/>
      <c r="AB2728" s="1050"/>
      <c r="AC2728" s="1050"/>
      <c r="AD2728" s="1050"/>
      <c r="AE2728" s="1050"/>
      <c r="AF2728" s="1052"/>
    </row>
    <row r="2729" spans="1:32" ht="15.75" x14ac:dyDescent="0.25">
      <c r="A2729" s="2017"/>
      <c r="B2729" s="2018"/>
      <c r="C2729" s="2018"/>
      <c r="D2729" s="2018"/>
      <c r="E2729" s="2018"/>
      <c r="F2729" s="2018"/>
      <c r="G2729" s="2018"/>
      <c r="H2729" s="2018"/>
      <c r="I2729" s="2018"/>
      <c r="J2729" s="2018"/>
      <c r="K2729" s="2018"/>
      <c r="L2729" s="2018"/>
      <c r="M2729" s="2018"/>
      <c r="N2729" s="2018"/>
      <c r="O2729" s="2018"/>
      <c r="P2729" s="2018"/>
      <c r="Q2729" s="2018"/>
      <c r="R2729" s="2018"/>
      <c r="S2729" s="2018"/>
      <c r="T2729" s="2018"/>
      <c r="U2729" s="2018"/>
      <c r="V2729" s="2018"/>
      <c r="W2729" s="2018"/>
      <c r="X2729" s="2018"/>
      <c r="Y2729" s="2018"/>
      <c r="Z2729" s="2023"/>
      <c r="AA2729" s="2023"/>
      <c r="AB2729" s="1050"/>
      <c r="AC2729" s="1050"/>
      <c r="AD2729" s="1050"/>
      <c r="AE2729" s="1050"/>
      <c r="AF2729" s="1052"/>
    </row>
    <row r="2730" spans="1:32" ht="15.75" x14ac:dyDescent="0.25">
      <c r="A2730" s="2017"/>
      <c r="B2730" s="2018"/>
      <c r="C2730" s="2018"/>
      <c r="D2730" s="2018"/>
      <c r="E2730" s="2018"/>
      <c r="F2730" s="2018"/>
      <c r="G2730" s="2018"/>
      <c r="H2730" s="2018"/>
      <c r="I2730" s="2018"/>
      <c r="J2730" s="2018"/>
      <c r="K2730" s="2018"/>
      <c r="L2730" s="2018"/>
      <c r="M2730" s="2018"/>
      <c r="N2730" s="2018"/>
      <c r="O2730" s="2018"/>
      <c r="P2730" s="2018"/>
      <c r="Q2730" s="2018"/>
      <c r="R2730" s="2018"/>
      <c r="S2730" s="2018"/>
      <c r="T2730" s="2018"/>
      <c r="U2730" s="2018"/>
      <c r="V2730" s="2018"/>
      <c r="W2730" s="2018"/>
      <c r="X2730" s="2018"/>
      <c r="Y2730" s="2018"/>
      <c r="Z2730" s="2023"/>
      <c r="AA2730" s="2023"/>
      <c r="AB2730" s="1050"/>
      <c r="AC2730" s="1050"/>
      <c r="AD2730" s="1050"/>
      <c r="AE2730" s="1050"/>
      <c r="AF2730" s="1052"/>
    </row>
    <row r="2731" spans="1:32" ht="15.75" x14ac:dyDescent="0.25">
      <c r="A2731" s="2017"/>
      <c r="B2731" s="2018"/>
      <c r="C2731" s="2018"/>
      <c r="D2731" s="2018"/>
      <c r="E2731" s="2018"/>
      <c r="F2731" s="2018"/>
      <c r="G2731" s="2018"/>
      <c r="H2731" s="2018"/>
      <c r="I2731" s="2018"/>
      <c r="J2731" s="2018"/>
      <c r="K2731" s="2018"/>
      <c r="L2731" s="2018"/>
      <c r="M2731" s="2018"/>
      <c r="N2731" s="2018"/>
      <c r="O2731" s="2018"/>
      <c r="P2731" s="2018"/>
      <c r="Q2731" s="2018"/>
      <c r="R2731" s="2018"/>
      <c r="S2731" s="2018"/>
      <c r="T2731" s="2018"/>
      <c r="U2731" s="2018"/>
      <c r="V2731" s="2018"/>
      <c r="W2731" s="2018"/>
      <c r="X2731" s="2018"/>
      <c r="Y2731" s="2018"/>
      <c r="Z2731" s="2023"/>
      <c r="AA2731" s="2023"/>
      <c r="AB2731" s="1050"/>
      <c r="AC2731" s="1050"/>
      <c r="AD2731" s="1050"/>
      <c r="AE2731" s="1050"/>
      <c r="AF2731" s="1052"/>
    </row>
    <row r="2732" spans="1:32" ht="15.75" x14ac:dyDescent="0.25">
      <c r="A2732" s="2017"/>
      <c r="B2732" s="2018"/>
      <c r="C2732" s="2018"/>
      <c r="D2732" s="2018"/>
      <c r="E2732" s="2018"/>
      <c r="F2732" s="2018"/>
      <c r="G2732" s="2018"/>
      <c r="H2732" s="2018"/>
      <c r="I2732" s="2018"/>
      <c r="J2732" s="2018"/>
      <c r="K2732" s="2018"/>
      <c r="L2732" s="2018"/>
      <c r="M2732" s="2018"/>
      <c r="N2732" s="2018"/>
      <c r="O2732" s="2018"/>
      <c r="P2732" s="2018"/>
      <c r="Q2732" s="2018"/>
      <c r="R2732" s="2018"/>
      <c r="S2732" s="2018"/>
      <c r="T2732" s="2018"/>
      <c r="U2732" s="2018"/>
      <c r="V2732" s="2018"/>
      <c r="W2732" s="2018"/>
      <c r="X2732" s="2018"/>
      <c r="Y2732" s="2018"/>
      <c r="Z2732" s="2023"/>
      <c r="AA2732" s="2023"/>
      <c r="AB2732" s="1050"/>
      <c r="AC2732" s="1050"/>
      <c r="AD2732" s="1050"/>
      <c r="AE2732" s="1050"/>
      <c r="AF2732" s="1052"/>
    </row>
    <row r="2733" spans="1:32" ht="16.5" thickBot="1" x14ac:dyDescent="0.3">
      <c r="A2733" s="2019"/>
      <c r="B2733" s="2020"/>
      <c r="C2733" s="2020"/>
      <c r="D2733" s="2020"/>
      <c r="E2733" s="2020"/>
      <c r="F2733" s="2020"/>
      <c r="G2733" s="2020"/>
      <c r="H2733" s="2020"/>
      <c r="I2733" s="2020"/>
      <c r="J2733" s="2020"/>
      <c r="K2733" s="2020"/>
      <c r="L2733" s="2020"/>
      <c r="M2733" s="2020"/>
      <c r="N2733" s="2020"/>
      <c r="O2733" s="2020"/>
      <c r="P2733" s="2020"/>
      <c r="Q2733" s="2020"/>
      <c r="R2733" s="2020"/>
      <c r="S2733" s="2020"/>
      <c r="T2733" s="2020"/>
      <c r="U2733" s="2020"/>
      <c r="V2733" s="2020"/>
      <c r="W2733" s="2020"/>
      <c r="X2733" s="2020"/>
      <c r="Y2733" s="2020"/>
      <c r="Z2733" s="2024"/>
      <c r="AA2733" s="2024"/>
      <c r="AB2733" s="1057"/>
      <c r="AC2733" s="1057"/>
      <c r="AD2733" s="1057"/>
      <c r="AE2733" s="1057"/>
      <c r="AF2733" s="1058"/>
    </row>
    <row r="2734" spans="1:32" ht="15.75" x14ac:dyDescent="0.25">
      <c r="A2734" s="2009" t="s">
        <v>1855</v>
      </c>
      <c r="B2734" s="2010"/>
      <c r="C2734" s="2010"/>
      <c r="D2734" s="2010"/>
      <c r="E2734" s="2010"/>
      <c r="F2734" s="2010"/>
      <c r="G2734" s="2010"/>
      <c r="H2734" s="2010"/>
      <c r="I2734" s="2010"/>
      <c r="J2734" s="2010"/>
      <c r="K2734" s="2010"/>
      <c r="L2734" s="2010"/>
      <c r="M2734" s="2010"/>
      <c r="N2734" s="2010"/>
      <c r="O2734" s="2010"/>
      <c r="P2734" s="2010"/>
      <c r="Q2734" s="2010"/>
      <c r="R2734" s="2010"/>
      <c r="S2734" s="2010"/>
      <c r="T2734" s="2010"/>
      <c r="U2734" s="2010"/>
      <c r="V2734" s="2010"/>
      <c r="W2734" s="2010"/>
      <c r="X2734" s="2010"/>
      <c r="Y2734" s="2010"/>
      <c r="Z2734" s="2013" t="s">
        <v>1850</v>
      </c>
      <c r="AA2734" s="2013"/>
      <c r="AB2734" s="2013"/>
      <c r="AC2734" s="2013"/>
      <c r="AD2734" s="2013"/>
      <c r="AE2734" s="2013"/>
      <c r="AF2734" s="1059">
        <f>SUM(AF2710:AF2733)</f>
        <v>1.86</v>
      </c>
    </row>
    <row r="2735" spans="1:32" ht="15.75" x14ac:dyDescent="0.25">
      <c r="A2735" s="2011"/>
      <c r="B2735" s="2012"/>
      <c r="C2735" s="2012"/>
      <c r="D2735" s="2012"/>
      <c r="E2735" s="2012"/>
      <c r="F2735" s="2012"/>
      <c r="G2735" s="2012"/>
      <c r="H2735" s="2012"/>
      <c r="I2735" s="2012"/>
      <c r="J2735" s="2012"/>
      <c r="K2735" s="2012"/>
      <c r="L2735" s="2012"/>
      <c r="M2735" s="2012"/>
      <c r="N2735" s="2012"/>
      <c r="O2735" s="2012"/>
      <c r="P2735" s="2012"/>
      <c r="Q2735" s="2012"/>
      <c r="R2735" s="2012"/>
      <c r="S2735" s="2012"/>
      <c r="T2735" s="2012"/>
      <c r="U2735" s="2012"/>
      <c r="V2735" s="2012"/>
      <c r="W2735" s="2012"/>
      <c r="X2735" s="2012"/>
      <c r="Y2735" s="2012"/>
      <c r="Z2735" s="2014" t="s">
        <v>1851</v>
      </c>
      <c r="AA2735" s="2014"/>
      <c r="AB2735" s="2014"/>
      <c r="AC2735" s="2014"/>
      <c r="AD2735" s="2014"/>
      <c r="AE2735" s="2014"/>
      <c r="AF2735" s="1060">
        <v>0</v>
      </c>
    </row>
    <row r="2736" spans="1:32" ht="15.75" x14ac:dyDescent="0.25">
      <c r="A2736" s="2011"/>
      <c r="B2736" s="2012"/>
      <c r="C2736" s="2012"/>
      <c r="D2736" s="2012"/>
      <c r="E2736" s="2012"/>
      <c r="F2736" s="2012"/>
      <c r="G2736" s="2012"/>
      <c r="H2736" s="2012"/>
      <c r="I2736" s="2012"/>
      <c r="J2736" s="2012"/>
      <c r="K2736" s="2012"/>
      <c r="L2736" s="2012"/>
      <c r="M2736" s="2012"/>
      <c r="N2736" s="2012"/>
      <c r="O2736" s="2012"/>
      <c r="P2736" s="2012"/>
      <c r="Q2736" s="2012"/>
      <c r="R2736" s="2012"/>
      <c r="S2736" s="2012"/>
      <c r="T2736" s="2012"/>
      <c r="U2736" s="2012"/>
      <c r="V2736" s="2012"/>
      <c r="W2736" s="2012"/>
      <c r="X2736" s="2012"/>
      <c r="Y2736" s="2012"/>
      <c r="Z2736" s="2015" t="s">
        <v>1833</v>
      </c>
      <c r="AA2736" s="2015"/>
      <c r="AB2736" s="2015"/>
      <c r="AC2736" s="2015"/>
      <c r="AD2736" s="2015"/>
      <c r="AE2736" s="2015"/>
      <c r="AF2736" s="1061">
        <f>SUM(AF2734:AF2735)</f>
        <v>1.86</v>
      </c>
    </row>
    <row r="2737" spans="1:32" x14ac:dyDescent="0.2">
      <c r="A2737" s="2012" t="s">
        <v>1859</v>
      </c>
      <c r="B2737" s="2012"/>
      <c r="C2737" s="2012"/>
      <c r="D2737" s="2012"/>
      <c r="E2737" s="2012"/>
      <c r="F2737" s="2012"/>
      <c r="G2737" s="2012"/>
      <c r="H2737" s="2012"/>
      <c r="I2737" s="2012"/>
      <c r="J2737" s="2012"/>
      <c r="K2737" s="2012"/>
      <c r="L2737" s="2012"/>
      <c r="M2737" s="2012"/>
      <c r="N2737" s="2012"/>
      <c r="O2737" s="2012"/>
      <c r="P2737" s="2012"/>
      <c r="Q2737" s="2012"/>
      <c r="R2737" s="2012"/>
      <c r="S2737" s="2012"/>
      <c r="T2737" s="2016" t="s">
        <v>1840</v>
      </c>
      <c r="U2737" s="2016"/>
      <c r="V2737" s="2016"/>
      <c r="W2737" s="2016"/>
      <c r="X2737" s="2016"/>
      <c r="Y2737" s="2016"/>
      <c r="Z2737" s="2016"/>
      <c r="AA2737" s="2016"/>
      <c r="AB2737" s="2012" t="s">
        <v>1852</v>
      </c>
      <c r="AC2737" s="2012"/>
      <c r="AD2737" s="2012"/>
      <c r="AE2737" s="2012"/>
      <c r="AF2737" s="2012"/>
    </row>
    <row r="2738" spans="1:32" x14ac:dyDescent="0.2">
      <c r="A2738" s="2012"/>
      <c r="B2738" s="2012"/>
      <c r="C2738" s="2012"/>
      <c r="D2738" s="2012"/>
      <c r="E2738" s="2012"/>
      <c r="F2738" s="2012"/>
      <c r="G2738" s="2012"/>
      <c r="H2738" s="2012"/>
      <c r="I2738" s="2012"/>
      <c r="J2738" s="2012"/>
      <c r="K2738" s="2012"/>
      <c r="L2738" s="2012"/>
      <c r="M2738" s="2012"/>
      <c r="N2738" s="2012"/>
      <c r="O2738" s="2012"/>
      <c r="P2738" s="2012"/>
      <c r="Q2738" s="2012"/>
      <c r="R2738" s="2012"/>
      <c r="S2738" s="2012"/>
      <c r="T2738" s="2016"/>
      <c r="U2738" s="2016"/>
      <c r="V2738" s="2016"/>
      <c r="W2738" s="2016"/>
      <c r="X2738" s="2016"/>
      <c r="Y2738" s="2016"/>
      <c r="Z2738" s="2016"/>
      <c r="AA2738" s="2016"/>
      <c r="AB2738" s="2012"/>
      <c r="AC2738" s="2012"/>
      <c r="AD2738" s="2012"/>
      <c r="AE2738" s="2012"/>
      <c r="AF2738" s="2012"/>
    </row>
    <row r="2739" spans="1:32" ht="13.5" thickBot="1" x14ac:dyDescent="0.25"/>
    <row r="2740" spans="1:32" ht="26.45" customHeight="1" x14ac:dyDescent="0.2">
      <c r="A2740" s="2025" t="s">
        <v>1854</v>
      </c>
      <c r="B2740" s="2026"/>
      <c r="C2740" s="2026"/>
      <c r="D2740" s="2026"/>
      <c r="E2740" s="2026"/>
      <c r="F2740" s="2026"/>
      <c r="G2740" s="2026"/>
      <c r="H2740" s="2026"/>
      <c r="I2740" s="2026"/>
      <c r="J2740" s="2026"/>
      <c r="K2740" s="2026"/>
      <c r="L2740" s="2026"/>
      <c r="M2740" s="2026"/>
      <c r="N2740" s="2026"/>
      <c r="O2740" s="2026"/>
      <c r="P2740" s="2026"/>
      <c r="Q2740" s="2026"/>
      <c r="R2740" s="2026"/>
      <c r="S2740" s="2026"/>
      <c r="T2740" s="2026"/>
      <c r="U2740" s="2026"/>
      <c r="V2740" s="2026"/>
      <c r="W2740" s="2026"/>
      <c r="X2740" s="2026"/>
      <c r="Y2740" s="2026"/>
      <c r="Z2740" s="2026"/>
      <c r="AA2740" s="2026"/>
      <c r="AB2740" s="2026"/>
      <c r="AC2740" s="2026"/>
      <c r="AD2740" s="2026"/>
      <c r="AE2740" s="1041" t="s">
        <v>1834</v>
      </c>
      <c r="AF2740" s="1042" t="s">
        <v>1835</v>
      </c>
    </row>
    <row r="2741" spans="1:32" ht="21" customHeight="1" thickBot="1" x14ac:dyDescent="0.25">
      <c r="A2741" s="2027"/>
      <c r="B2741" s="2028"/>
      <c r="C2741" s="2028"/>
      <c r="D2741" s="2028"/>
      <c r="E2741" s="2028"/>
      <c r="F2741" s="2028"/>
      <c r="G2741" s="2028"/>
      <c r="H2741" s="2028"/>
      <c r="I2741" s="2028"/>
      <c r="J2741" s="2028"/>
      <c r="K2741" s="2028"/>
      <c r="L2741" s="2028"/>
      <c r="M2741" s="2028"/>
      <c r="N2741" s="2028"/>
      <c r="O2741" s="2028"/>
      <c r="P2741" s="2028"/>
      <c r="Q2741" s="2028"/>
      <c r="R2741" s="2028"/>
      <c r="S2741" s="2028"/>
      <c r="T2741" s="2028"/>
      <c r="U2741" s="2028"/>
      <c r="V2741" s="2028"/>
      <c r="W2741" s="2028"/>
      <c r="X2741" s="2028"/>
      <c r="Y2741" s="2028"/>
      <c r="Z2741" s="2028"/>
      <c r="AA2741" s="2028"/>
      <c r="AB2741" s="2028"/>
      <c r="AC2741" s="2028"/>
      <c r="AD2741" s="2028"/>
      <c r="AE2741" s="1041" t="s">
        <v>1836</v>
      </c>
      <c r="AF2741" s="1044">
        <v>1</v>
      </c>
    </row>
    <row r="2742" spans="1:32" ht="15.75" x14ac:dyDescent="0.2">
      <c r="A2742" s="2029"/>
      <c r="B2742" s="2030"/>
      <c r="C2742" s="2030"/>
      <c r="D2742" s="2031"/>
      <c r="E2742" s="2025" t="str">
        <f>'01'!$A$12</f>
        <v>"CONSTRUCCION SISTEMA DE ACUEDUCTO FASE II DEL MUNICIPIO DE TESALIA DPTO DEL HUILA"</v>
      </c>
      <c r="F2742" s="2026"/>
      <c r="G2742" s="2026"/>
      <c r="H2742" s="2026"/>
      <c r="I2742" s="2026"/>
      <c r="J2742" s="2026"/>
      <c r="K2742" s="2026"/>
      <c r="L2742" s="2026"/>
      <c r="M2742" s="2026"/>
      <c r="N2742" s="2026"/>
      <c r="O2742" s="2026"/>
      <c r="P2742" s="2026"/>
      <c r="Q2742" s="2026"/>
      <c r="R2742" s="2026"/>
      <c r="S2742" s="2026"/>
      <c r="T2742" s="2026"/>
      <c r="U2742" s="2026"/>
      <c r="V2742" s="2026"/>
      <c r="W2742" s="2026"/>
      <c r="X2742" s="2026"/>
      <c r="Y2742" s="2026"/>
      <c r="Z2742" s="2026"/>
      <c r="AA2742" s="2026"/>
      <c r="AB2742" s="2026"/>
      <c r="AC2742" s="2026"/>
      <c r="AD2742" s="2035"/>
      <c r="AE2742" s="1041" t="s">
        <v>847</v>
      </c>
      <c r="AF2742" s="1045">
        <f>'01'!$M$13</f>
        <v>0</v>
      </c>
    </row>
    <row r="2743" spans="1:32" ht="16.5" thickBot="1" x14ac:dyDescent="0.25">
      <c r="A2743" s="2032"/>
      <c r="B2743" s="2033"/>
      <c r="C2743" s="2033"/>
      <c r="D2743" s="2034"/>
      <c r="E2743" s="2027"/>
      <c r="F2743" s="2028"/>
      <c r="G2743" s="2028"/>
      <c r="H2743" s="2028"/>
      <c r="I2743" s="2028"/>
      <c r="J2743" s="2028"/>
      <c r="K2743" s="2028"/>
      <c r="L2743" s="2028"/>
      <c r="M2743" s="2028"/>
      <c r="N2743" s="2028"/>
      <c r="O2743" s="2028"/>
      <c r="P2743" s="2028"/>
      <c r="Q2743" s="2028"/>
      <c r="R2743" s="2028"/>
      <c r="S2743" s="2028"/>
      <c r="T2743" s="2028"/>
      <c r="U2743" s="2028"/>
      <c r="V2743" s="2028"/>
      <c r="W2743" s="2028"/>
      <c r="X2743" s="2028"/>
      <c r="Y2743" s="2028"/>
      <c r="Z2743" s="2028"/>
      <c r="AA2743" s="2028"/>
      <c r="AB2743" s="2028"/>
      <c r="AC2743" s="2028"/>
      <c r="AD2743" s="2036"/>
      <c r="AE2743" s="1041" t="s">
        <v>1837</v>
      </c>
      <c r="AF2743" s="1042" t="s">
        <v>1838</v>
      </c>
    </row>
    <row r="2744" spans="1:32" ht="15.75" x14ac:dyDescent="0.25">
      <c r="A2744" s="2037" t="s">
        <v>1860</v>
      </c>
      <c r="B2744" s="2038"/>
      <c r="C2744" s="2038"/>
      <c r="D2744" s="2038"/>
      <c r="E2744" s="2038"/>
      <c r="F2744" s="2038"/>
      <c r="G2744" s="2038"/>
      <c r="H2744" s="2038"/>
      <c r="I2744" s="2038"/>
      <c r="J2744" s="2038"/>
      <c r="K2744" s="2038"/>
      <c r="L2744" s="2038"/>
      <c r="M2744" s="2038"/>
      <c r="N2744" s="2038"/>
      <c r="O2744" s="2038"/>
      <c r="P2744" s="2038"/>
      <c r="Q2744" s="2038"/>
      <c r="R2744" s="2038"/>
      <c r="S2744" s="2038"/>
      <c r="T2744" s="2038"/>
      <c r="U2744" s="2038"/>
      <c r="V2744" s="2038"/>
      <c r="W2744" s="2038"/>
      <c r="X2744" s="2038"/>
      <c r="Y2744" s="2038"/>
      <c r="Z2744" s="2038"/>
      <c r="AA2744" s="2038"/>
      <c r="AB2744" s="2038"/>
      <c r="AC2744" s="2038"/>
      <c r="AD2744" s="2038"/>
      <c r="AE2744" s="2039" t="s">
        <v>1839</v>
      </c>
      <c r="AF2744" s="2040"/>
    </row>
    <row r="2745" spans="1:32" ht="15.75" x14ac:dyDescent="0.25">
      <c r="A2745" s="2041" t="s">
        <v>1840</v>
      </c>
      <c r="B2745" s="2042"/>
      <c r="C2745" s="2042"/>
      <c r="D2745" s="2042"/>
      <c r="E2745" s="2042"/>
      <c r="F2745" s="2042"/>
      <c r="G2745" s="2042"/>
      <c r="H2745" s="2042"/>
      <c r="I2745" s="2042"/>
      <c r="J2745" s="2042"/>
      <c r="K2745" s="2042"/>
      <c r="L2745" s="2042"/>
      <c r="M2745" s="2042"/>
      <c r="N2745" s="2042"/>
      <c r="O2745" s="2042"/>
      <c r="P2745" s="2042"/>
      <c r="Q2745" s="2042"/>
      <c r="R2745" s="2042"/>
      <c r="S2745" s="2042"/>
      <c r="T2745" s="2042"/>
      <c r="U2745" s="2042"/>
      <c r="V2745" s="2042"/>
      <c r="W2745" s="2042"/>
      <c r="X2745" s="2042"/>
      <c r="Y2745" s="2042"/>
      <c r="Z2745" s="2042"/>
      <c r="AA2745" s="2042"/>
      <c r="AB2745" s="2042"/>
      <c r="AC2745" s="2042"/>
      <c r="AD2745" s="2043"/>
      <c r="AE2745" s="2014" t="s">
        <v>1841</v>
      </c>
      <c r="AF2745" s="2044"/>
    </row>
    <row r="2746" spans="1:32" ht="15.75" x14ac:dyDescent="0.25">
      <c r="A2746" s="2045" t="s">
        <v>1853</v>
      </c>
      <c r="B2746" s="2046"/>
      <c r="C2746" s="2046"/>
      <c r="D2746" s="2046"/>
      <c r="E2746" s="2046"/>
      <c r="F2746" s="2046"/>
      <c r="G2746" s="2046"/>
      <c r="H2746" s="2046"/>
      <c r="I2746" s="2046"/>
      <c r="J2746" s="2046"/>
      <c r="K2746" s="2046"/>
      <c r="L2746" s="2046"/>
      <c r="M2746" s="2046"/>
      <c r="N2746" s="2046"/>
      <c r="O2746" s="2046"/>
      <c r="P2746" s="2046"/>
      <c r="Q2746" s="2046"/>
      <c r="R2746" s="2046"/>
      <c r="S2746" s="2046"/>
      <c r="T2746" s="2046"/>
      <c r="U2746" s="2046"/>
      <c r="V2746" s="2046"/>
      <c r="W2746" s="2046"/>
      <c r="X2746" s="2046"/>
      <c r="Y2746" s="2046"/>
      <c r="Z2746" s="2046"/>
      <c r="AA2746" s="2046"/>
      <c r="AB2746" s="2046"/>
      <c r="AC2746" s="2046"/>
      <c r="AD2746" s="2046"/>
      <c r="AE2746" s="2047">
        <f>'01'!$M$13</f>
        <v>0</v>
      </c>
      <c r="AF2746" s="2044"/>
    </row>
    <row r="2747" spans="1:32" x14ac:dyDescent="0.2">
      <c r="A2747" s="1046"/>
      <c r="B2747" s="1047"/>
      <c r="C2747" s="1047"/>
      <c r="D2747" s="1047"/>
      <c r="E2747" s="1047"/>
      <c r="F2747" s="1047"/>
      <c r="G2747" s="1047"/>
      <c r="H2747" s="1047"/>
      <c r="I2747" s="1047"/>
      <c r="J2747" s="1047"/>
      <c r="K2747" s="1047"/>
      <c r="L2747" s="1047"/>
      <c r="M2747" s="1047"/>
      <c r="N2747" s="1047"/>
      <c r="O2747" s="1047"/>
      <c r="P2747" s="1047"/>
      <c r="Q2747" s="1047"/>
      <c r="R2747" s="1047"/>
      <c r="S2747" s="1047"/>
      <c r="T2747" s="1047"/>
      <c r="U2747" s="1047"/>
      <c r="V2747" s="1047"/>
      <c r="W2747" s="1047"/>
      <c r="X2747" s="1047"/>
      <c r="Y2747" s="1047"/>
      <c r="Z2747" s="1047"/>
      <c r="AA2747" s="1047"/>
      <c r="AB2747" s="1047"/>
      <c r="AC2747" s="1047"/>
      <c r="AD2747" s="1047"/>
      <c r="AE2747" s="1047"/>
      <c r="AF2747" s="1048"/>
    </row>
    <row r="2748" spans="1:32" ht="30" customHeight="1" x14ac:dyDescent="0.2">
      <c r="A2748" s="2048" t="s">
        <v>1842</v>
      </c>
      <c r="B2748" s="2049"/>
      <c r="C2748" s="2049"/>
      <c r="D2748" s="2049"/>
      <c r="E2748" s="2049"/>
      <c r="F2748" s="2050" t="str">
        <f>+'01'!$H$105</f>
        <v>D - CANAL DE DESINFECCIÓN</v>
      </c>
      <c r="G2748" s="2049"/>
      <c r="H2748" s="2049"/>
      <c r="I2748" s="2049"/>
      <c r="J2748" s="2049"/>
      <c r="K2748" s="2049"/>
      <c r="L2748" s="2049"/>
      <c r="M2748" s="2049"/>
      <c r="N2748" s="2049"/>
      <c r="O2748" s="2049"/>
      <c r="P2748" s="2049"/>
      <c r="Q2748" s="2049"/>
      <c r="R2748" s="2049"/>
      <c r="S2748" s="2049"/>
      <c r="T2748" s="2049"/>
      <c r="U2748" s="2049"/>
      <c r="V2748" s="2049"/>
      <c r="W2748" s="2049"/>
      <c r="X2748" s="2049"/>
      <c r="Y2748" s="2051"/>
      <c r="Z2748" s="2052" t="s">
        <v>1843</v>
      </c>
      <c r="AA2748" s="2053"/>
      <c r="AB2748" s="2058" t="s">
        <v>1844</v>
      </c>
      <c r="AC2748" s="2059"/>
      <c r="AD2748" s="2060"/>
      <c r="AE2748" s="2064" t="s">
        <v>1845</v>
      </c>
      <c r="AF2748" s="2067" t="s">
        <v>1846</v>
      </c>
    </row>
    <row r="2749" spans="1:32" ht="15" customHeight="1" x14ac:dyDescent="0.2">
      <c r="A2749" s="2070" t="str">
        <f>+'01'!A120</f>
        <v>D-05-02</v>
      </c>
      <c r="B2749" s="2071"/>
      <c r="C2749" s="2072"/>
      <c r="D2749" s="2076" t="str">
        <f>VLOOKUP(A2749,'01'!$A$12:$N$299,3,FALSE)</f>
        <v>CONCRETO DE FC=280 KG/CM2, IMPERMEABILIZADO PARA ESTRUCTURAS ENTERRADAS Y SEMIENTERRADAS.</v>
      </c>
      <c r="E2749" s="2077"/>
      <c r="F2749" s="2077"/>
      <c r="G2749" s="2077"/>
      <c r="H2749" s="2077"/>
      <c r="I2749" s="2077"/>
      <c r="J2749" s="2077"/>
      <c r="K2749" s="2077"/>
      <c r="L2749" s="2077"/>
      <c r="M2749" s="2077"/>
      <c r="N2749" s="2077"/>
      <c r="O2749" s="2077"/>
      <c r="P2749" s="2077"/>
      <c r="Q2749" s="2077"/>
      <c r="R2749" s="2077"/>
      <c r="S2749" s="2078"/>
      <c r="T2749" s="2082" t="s">
        <v>124</v>
      </c>
      <c r="U2749" s="2083"/>
      <c r="V2749" s="2083"/>
      <c r="W2749" s="2083"/>
      <c r="X2749" s="2052" t="str">
        <f>VLOOKUP(A2749,'01'!$A$12:$N$299,9,FALSE)</f>
        <v>M3</v>
      </c>
      <c r="Y2749" s="2053"/>
      <c r="Z2749" s="2054"/>
      <c r="AA2749" s="2055"/>
      <c r="AB2749" s="2061"/>
      <c r="AC2749" s="2062"/>
      <c r="AD2749" s="2063"/>
      <c r="AE2749" s="2065"/>
      <c r="AF2749" s="2068"/>
    </row>
    <row r="2750" spans="1:32" ht="15" customHeight="1" x14ac:dyDescent="0.25">
      <c r="A2750" s="2073"/>
      <c r="B2750" s="2074"/>
      <c r="C2750" s="2075"/>
      <c r="D2750" s="2079"/>
      <c r="E2750" s="2080"/>
      <c r="F2750" s="2080"/>
      <c r="G2750" s="2080"/>
      <c r="H2750" s="2080"/>
      <c r="I2750" s="2080"/>
      <c r="J2750" s="2080"/>
      <c r="K2750" s="2080"/>
      <c r="L2750" s="2080"/>
      <c r="M2750" s="2080"/>
      <c r="N2750" s="2080"/>
      <c r="O2750" s="2080"/>
      <c r="P2750" s="2080"/>
      <c r="Q2750" s="2080"/>
      <c r="R2750" s="2080"/>
      <c r="S2750" s="2081"/>
      <c r="T2750" s="2084"/>
      <c r="U2750" s="2085"/>
      <c r="V2750" s="2085"/>
      <c r="W2750" s="2085"/>
      <c r="X2750" s="2056"/>
      <c r="Y2750" s="2057"/>
      <c r="Z2750" s="2056"/>
      <c r="AA2750" s="2057"/>
      <c r="AB2750" s="1049" t="s">
        <v>1847</v>
      </c>
      <c r="AC2750" s="1049" t="s">
        <v>1848</v>
      </c>
      <c r="AD2750" s="1049" t="s">
        <v>1861</v>
      </c>
      <c r="AE2750" s="2066"/>
      <c r="AF2750" s="2069"/>
    </row>
    <row r="2751" spans="1:32" ht="15.6" customHeight="1" x14ac:dyDescent="0.25">
      <c r="A2751" s="2017"/>
      <c r="B2751" s="2018"/>
      <c r="C2751" s="2018"/>
      <c r="D2751" s="2018"/>
      <c r="E2751" s="2018"/>
      <c r="F2751" s="2018"/>
      <c r="G2751" s="2018"/>
      <c r="H2751" s="2018"/>
      <c r="I2751" s="2018"/>
      <c r="J2751" s="2018"/>
      <c r="K2751" s="2018"/>
      <c r="L2751" s="2018"/>
      <c r="M2751" s="2018"/>
      <c r="N2751" s="2018"/>
      <c r="O2751" s="2018"/>
      <c r="P2751" s="2018"/>
      <c r="Q2751" s="2018"/>
      <c r="R2751" s="2018"/>
      <c r="S2751" s="2018"/>
      <c r="T2751" s="2018"/>
      <c r="U2751" s="2018"/>
      <c r="V2751" s="2018"/>
      <c r="W2751" s="2018"/>
      <c r="X2751" s="2018"/>
      <c r="Y2751" s="2018"/>
      <c r="Z2751" s="2134" t="s">
        <v>2451</v>
      </c>
      <c r="AA2751" s="2134"/>
      <c r="AB2751" s="1050">
        <f>+AB2710</f>
        <v>6.2</v>
      </c>
      <c r="AC2751" s="1050">
        <f>+AC2710</f>
        <v>5.85</v>
      </c>
      <c r="AD2751" s="1050">
        <v>0.3</v>
      </c>
      <c r="AE2751" s="1050">
        <v>1</v>
      </c>
      <c r="AF2751" s="1052">
        <f>+ROUND(AB2751*AC2751*AD2751*AE2751,2)</f>
        <v>10.88</v>
      </c>
    </row>
    <row r="2752" spans="1:32" ht="15.6" customHeight="1" x14ac:dyDescent="0.25">
      <c r="A2752" s="2017"/>
      <c r="B2752" s="2018"/>
      <c r="C2752" s="2018"/>
      <c r="D2752" s="2018"/>
      <c r="E2752" s="2018"/>
      <c r="F2752" s="2018"/>
      <c r="G2752" s="2018"/>
      <c r="H2752" s="2018"/>
      <c r="I2752" s="2018"/>
      <c r="J2752" s="2018"/>
      <c r="K2752" s="2018"/>
      <c r="L2752" s="2018"/>
      <c r="M2752" s="2018"/>
      <c r="N2752" s="2018"/>
      <c r="O2752" s="2018"/>
      <c r="P2752" s="2018"/>
      <c r="Q2752" s="2018"/>
      <c r="R2752" s="2018"/>
      <c r="S2752" s="2018"/>
      <c r="T2752" s="2018"/>
      <c r="U2752" s="2018"/>
      <c r="V2752" s="2018"/>
      <c r="W2752" s="2018"/>
      <c r="X2752" s="2018"/>
      <c r="Y2752" s="2018"/>
      <c r="Z2752" s="2134"/>
      <c r="AA2752" s="2134"/>
      <c r="AB2752" s="1050">
        <v>6.2</v>
      </c>
      <c r="AC2752" s="1050">
        <v>0.3</v>
      </c>
      <c r="AD2752" s="1050">
        <v>2</v>
      </c>
      <c r="AE2752" s="1050">
        <v>2</v>
      </c>
      <c r="AF2752" s="1052">
        <f t="shared" ref="AF2752:AF2758" si="40">+ROUND(AB2752*AC2752*AD2752*AE2752,2)</f>
        <v>7.44</v>
      </c>
    </row>
    <row r="2753" spans="1:32" ht="15.75" x14ac:dyDescent="0.25">
      <c r="A2753" s="2017"/>
      <c r="B2753" s="2018"/>
      <c r="C2753" s="2018"/>
      <c r="D2753" s="2018"/>
      <c r="E2753" s="2018"/>
      <c r="F2753" s="2018"/>
      <c r="G2753" s="2018"/>
      <c r="H2753" s="2018"/>
      <c r="I2753" s="2018"/>
      <c r="J2753" s="2018"/>
      <c r="K2753" s="2018"/>
      <c r="L2753" s="2018"/>
      <c r="M2753" s="2018"/>
      <c r="N2753" s="2018"/>
      <c r="O2753" s="2018"/>
      <c r="P2753" s="2018"/>
      <c r="Q2753" s="2018"/>
      <c r="R2753" s="2018"/>
      <c r="S2753" s="2018"/>
      <c r="T2753" s="2018"/>
      <c r="U2753" s="2018"/>
      <c r="V2753" s="2018"/>
      <c r="W2753" s="2018"/>
      <c r="X2753" s="2018"/>
      <c r="Y2753" s="2018"/>
      <c r="Z2753" s="2134"/>
      <c r="AA2753" s="2134"/>
      <c r="AB2753" s="1050">
        <v>5.85</v>
      </c>
      <c r="AC2753" s="1050">
        <v>0.3</v>
      </c>
      <c r="AD2753" s="1050">
        <v>2</v>
      </c>
      <c r="AE2753" s="1050">
        <v>2</v>
      </c>
      <c r="AF2753" s="1052">
        <f t="shared" si="40"/>
        <v>7.02</v>
      </c>
    </row>
    <row r="2754" spans="1:32" ht="15.75" x14ac:dyDescent="0.25">
      <c r="A2754" s="2017"/>
      <c r="B2754" s="2018"/>
      <c r="C2754" s="2018"/>
      <c r="D2754" s="2018"/>
      <c r="E2754" s="2018"/>
      <c r="F2754" s="2018"/>
      <c r="G2754" s="2018"/>
      <c r="H2754" s="2018"/>
      <c r="I2754" s="2018"/>
      <c r="J2754" s="2018"/>
      <c r="K2754" s="2018"/>
      <c r="L2754" s="2018"/>
      <c r="M2754" s="2018"/>
      <c r="N2754" s="2018"/>
      <c r="O2754" s="2018"/>
      <c r="P2754" s="2018"/>
      <c r="Q2754" s="2018"/>
      <c r="R2754" s="2018"/>
      <c r="S2754" s="2018"/>
      <c r="T2754" s="2018"/>
      <c r="U2754" s="2018"/>
      <c r="V2754" s="2018"/>
      <c r="W2754" s="2018"/>
      <c r="X2754" s="2018"/>
      <c r="Y2754" s="2018"/>
      <c r="Z2754" s="2134"/>
      <c r="AA2754" s="2134"/>
      <c r="AB2754" s="1050">
        <v>5</v>
      </c>
      <c r="AC2754" s="1050">
        <v>0.15</v>
      </c>
      <c r="AD2754" s="1050">
        <v>2</v>
      </c>
      <c r="AE2754" s="1050">
        <v>4</v>
      </c>
      <c r="AF2754" s="1052">
        <f t="shared" si="40"/>
        <v>6</v>
      </c>
    </row>
    <row r="2755" spans="1:32" ht="15.75" x14ac:dyDescent="0.25">
      <c r="A2755" s="2017"/>
      <c r="B2755" s="2018"/>
      <c r="C2755" s="2018"/>
      <c r="D2755" s="2018"/>
      <c r="E2755" s="2018"/>
      <c r="F2755" s="2018"/>
      <c r="G2755" s="2018"/>
      <c r="H2755" s="2018"/>
      <c r="I2755" s="2018"/>
      <c r="J2755" s="2018"/>
      <c r="K2755" s="2018"/>
      <c r="L2755" s="2018"/>
      <c r="M2755" s="2018"/>
      <c r="N2755" s="2018"/>
      <c r="O2755" s="2018"/>
      <c r="P2755" s="2018"/>
      <c r="Q2755" s="2018"/>
      <c r="R2755" s="2018"/>
      <c r="S2755" s="2018"/>
      <c r="T2755" s="2018"/>
      <c r="U2755" s="2018"/>
      <c r="V2755" s="2018"/>
      <c r="W2755" s="2018"/>
      <c r="X2755" s="2018"/>
      <c r="Y2755" s="2018"/>
      <c r="Z2755" s="2134"/>
      <c r="AA2755" s="2134"/>
      <c r="AB2755" s="1050">
        <f>+AB2751</f>
        <v>6.2</v>
      </c>
      <c r="AC2755" s="1050">
        <f>+AC2751</f>
        <v>5.85</v>
      </c>
      <c r="AD2755" s="1050">
        <v>0.15</v>
      </c>
      <c r="AE2755" s="1050">
        <v>1</v>
      </c>
      <c r="AF2755" s="1052">
        <f t="shared" si="40"/>
        <v>5.44</v>
      </c>
    </row>
    <row r="2756" spans="1:32" ht="15.75" x14ac:dyDescent="0.25">
      <c r="A2756" s="2017"/>
      <c r="B2756" s="2018"/>
      <c r="C2756" s="2018"/>
      <c r="D2756" s="2018"/>
      <c r="E2756" s="2018"/>
      <c r="F2756" s="2018"/>
      <c r="G2756" s="2018"/>
      <c r="H2756" s="2018"/>
      <c r="I2756" s="2018"/>
      <c r="J2756" s="2018"/>
      <c r="K2756" s="2018"/>
      <c r="L2756" s="2018"/>
      <c r="M2756" s="2018"/>
      <c r="N2756" s="2018"/>
      <c r="O2756" s="2018"/>
      <c r="P2756" s="2018"/>
      <c r="Q2756" s="2018"/>
      <c r="R2756" s="2018"/>
      <c r="S2756" s="2018"/>
      <c r="T2756" s="2018"/>
      <c r="U2756" s="2018"/>
      <c r="V2756" s="2018"/>
      <c r="W2756" s="2018"/>
      <c r="X2756" s="2018"/>
      <c r="Y2756" s="2018"/>
      <c r="Z2756" s="2134" t="s">
        <v>2452</v>
      </c>
      <c r="AA2756" s="2134"/>
      <c r="AB2756" s="1050">
        <f>+AB2711</f>
        <v>1</v>
      </c>
      <c r="AC2756" s="1050">
        <f>+AC2711</f>
        <v>1</v>
      </c>
      <c r="AD2756" s="1050">
        <v>0.15</v>
      </c>
      <c r="AE2756" s="1050">
        <v>1</v>
      </c>
      <c r="AF2756" s="1052">
        <f t="shared" si="40"/>
        <v>0.15</v>
      </c>
    </row>
    <row r="2757" spans="1:32" ht="15.75" x14ac:dyDescent="0.25">
      <c r="A2757" s="2017"/>
      <c r="B2757" s="2018"/>
      <c r="C2757" s="2018"/>
      <c r="D2757" s="2018"/>
      <c r="E2757" s="2018"/>
      <c r="F2757" s="2018"/>
      <c r="G2757" s="2018"/>
      <c r="H2757" s="2018"/>
      <c r="I2757" s="2018"/>
      <c r="J2757" s="2018"/>
      <c r="K2757" s="2018"/>
      <c r="L2757" s="2018"/>
      <c r="M2757" s="2018"/>
      <c r="N2757" s="2018"/>
      <c r="O2757" s="2018"/>
      <c r="P2757" s="2018"/>
      <c r="Q2757" s="2018"/>
      <c r="R2757" s="2018"/>
      <c r="S2757" s="2018"/>
      <c r="T2757" s="2018"/>
      <c r="U2757" s="2018"/>
      <c r="V2757" s="2018"/>
      <c r="W2757" s="2018"/>
      <c r="X2757" s="2018"/>
      <c r="Y2757" s="2018"/>
      <c r="Z2757" s="2134"/>
      <c r="AA2757" s="2134"/>
      <c r="AB2757" s="1050">
        <v>1</v>
      </c>
      <c r="AC2757" s="1050">
        <v>0.1</v>
      </c>
      <c r="AD2757" s="1050">
        <v>1</v>
      </c>
      <c r="AE2757" s="1050">
        <v>4</v>
      </c>
      <c r="AF2757" s="1052">
        <f t="shared" si="40"/>
        <v>0.4</v>
      </c>
    </row>
    <row r="2758" spans="1:32" ht="15.75" x14ac:dyDescent="0.25">
      <c r="A2758" s="2017"/>
      <c r="B2758" s="2018"/>
      <c r="C2758" s="2018"/>
      <c r="D2758" s="2018"/>
      <c r="E2758" s="2018"/>
      <c r="F2758" s="2018"/>
      <c r="G2758" s="2018"/>
      <c r="H2758" s="2018"/>
      <c r="I2758" s="2018"/>
      <c r="J2758" s="2018"/>
      <c r="K2758" s="2018"/>
      <c r="L2758" s="2018"/>
      <c r="M2758" s="2018"/>
      <c r="N2758" s="2018"/>
      <c r="O2758" s="2018"/>
      <c r="P2758" s="2018"/>
      <c r="Q2758" s="2018"/>
      <c r="R2758" s="2018"/>
      <c r="S2758" s="2018"/>
      <c r="T2758" s="2018"/>
      <c r="U2758" s="2018"/>
      <c r="V2758" s="2018"/>
      <c r="W2758" s="2018"/>
      <c r="X2758" s="2018"/>
      <c r="Y2758" s="2018"/>
      <c r="Z2758" s="2134"/>
      <c r="AA2758" s="2134"/>
      <c r="AB2758" s="1050">
        <f>+AB2756</f>
        <v>1</v>
      </c>
      <c r="AC2758" s="1050">
        <f>+AC2756</f>
        <v>1</v>
      </c>
      <c r="AD2758" s="1050">
        <v>0.1</v>
      </c>
      <c r="AE2758" s="1050">
        <v>1</v>
      </c>
      <c r="AF2758" s="1052">
        <f t="shared" si="40"/>
        <v>0.1</v>
      </c>
    </row>
    <row r="2759" spans="1:32" ht="15.75" x14ac:dyDescent="0.25">
      <c r="A2759" s="2017"/>
      <c r="B2759" s="2018"/>
      <c r="C2759" s="2018"/>
      <c r="D2759" s="2018"/>
      <c r="E2759" s="2018"/>
      <c r="F2759" s="2018"/>
      <c r="G2759" s="2018"/>
      <c r="H2759" s="2018"/>
      <c r="I2759" s="2018"/>
      <c r="J2759" s="2018"/>
      <c r="K2759" s="2018"/>
      <c r="L2759" s="2018"/>
      <c r="M2759" s="2018"/>
      <c r="N2759" s="2018"/>
      <c r="O2759" s="2018"/>
      <c r="P2759" s="2018"/>
      <c r="Q2759" s="2018"/>
      <c r="R2759" s="2018"/>
      <c r="S2759" s="2018"/>
      <c r="T2759" s="2018"/>
      <c r="U2759" s="2018"/>
      <c r="V2759" s="2018"/>
      <c r="W2759" s="2018"/>
      <c r="X2759" s="2018"/>
      <c r="Y2759" s="2018"/>
      <c r="Z2759" s="2105"/>
      <c r="AA2759" s="2105"/>
      <c r="AB2759" s="1050"/>
      <c r="AC2759" s="1050"/>
      <c r="AD2759" s="1050"/>
      <c r="AE2759" s="1050"/>
      <c r="AF2759" s="1052"/>
    </row>
    <row r="2760" spans="1:32" ht="15.75" x14ac:dyDescent="0.25">
      <c r="A2760" s="2017"/>
      <c r="B2760" s="2018"/>
      <c r="C2760" s="2018"/>
      <c r="D2760" s="2018"/>
      <c r="E2760" s="2018"/>
      <c r="F2760" s="2018"/>
      <c r="G2760" s="2018"/>
      <c r="H2760" s="2018"/>
      <c r="I2760" s="2018"/>
      <c r="J2760" s="2018"/>
      <c r="K2760" s="2018"/>
      <c r="L2760" s="2018"/>
      <c r="M2760" s="2018"/>
      <c r="N2760" s="2018"/>
      <c r="O2760" s="2018"/>
      <c r="P2760" s="2018"/>
      <c r="Q2760" s="2018"/>
      <c r="R2760" s="2018"/>
      <c r="S2760" s="2018"/>
      <c r="T2760" s="2018"/>
      <c r="U2760" s="2018"/>
      <c r="V2760" s="2018"/>
      <c r="W2760" s="2018"/>
      <c r="X2760" s="2018"/>
      <c r="Y2760" s="2018"/>
      <c r="Z2760" s="2105"/>
      <c r="AA2760" s="2105"/>
      <c r="AB2760" s="1050"/>
      <c r="AC2760" s="1050"/>
      <c r="AD2760" s="1050"/>
      <c r="AE2760" s="1050"/>
      <c r="AF2760" s="1052"/>
    </row>
    <row r="2761" spans="1:32" ht="15.75" x14ac:dyDescent="0.25">
      <c r="A2761" s="2017"/>
      <c r="B2761" s="2018"/>
      <c r="C2761" s="2018"/>
      <c r="D2761" s="2018"/>
      <c r="E2761" s="2018"/>
      <c r="F2761" s="2018"/>
      <c r="G2761" s="2018"/>
      <c r="H2761" s="2018"/>
      <c r="I2761" s="2018"/>
      <c r="J2761" s="2018"/>
      <c r="K2761" s="2018"/>
      <c r="L2761" s="2018"/>
      <c r="M2761" s="2018"/>
      <c r="N2761" s="2018"/>
      <c r="O2761" s="2018"/>
      <c r="P2761" s="2018"/>
      <c r="Q2761" s="2018"/>
      <c r="R2761" s="2018"/>
      <c r="S2761" s="2018"/>
      <c r="T2761" s="2018"/>
      <c r="U2761" s="2018"/>
      <c r="V2761" s="2018"/>
      <c r="W2761" s="2018"/>
      <c r="X2761" s="2018"/>
      <c r="Y2761" s="2018"/>
      <c r="Z2761" s="2105"/>
      <c r="AA2761" s="2105"/>
      <c r="AB2761" s="1050"/>
      <c r="AC2761" s="1050"/>
      <c r="AD2761" s="1050"/>
      <c r="AE2761" s="1050"/>
      <c r="AF2761" s="1052"/>
    </row>
    <row r="2762" spans="1:32" ht="15.75" x14ac:dyDescent="0.25">
      <c r="A2762" s="2017"/>
      <c r="B2762" s="2018"/>
      <c r="C2762" s="2018"/>
      <c r="D2762" s="2018"/>
      <c r="E2762" s="2018"/>
      <c r="F2762" s="2018"/>
      <c r="G2762" s="2018"/>
      <c r="H2762" s="2018"/>
      <c r="I2762" s="2018"/>
      <c r="J2762" s="2018"/>
      <c r="K2762" s="2018"/>
      <c r="L2762" s="2018"/>
      <c r="M2762" s="2018"/>
      <c r="N2762" s="2018"/>
      <c r="O2762" s="2018"/>
      <c r="P2762" s="2018"/>
      <c r="Q2762" s="2018"/>
      <c r="R2762" s="2018"/>
      <c r="S2762" s="2018"/>
      <c r="T2762" s="2018"/>
      <c r="U2762" s="2018"/>
      <c r="V2762" s="2018"/>
      <c r="W2762" s="2018"/>
      <c r="X2762" s="2018"/>
      <c r="Y2762" s="2018"/>
      <c r="Z2762" s="2105"/>
      <c r="AA2762" s="2105"/>
      <c r="AB2762" s="1050"/>
      <c r="AC2762" s="1050"/>
      <c r="AD2762" s="1050"/>
      <c r="AE2762" s="1050"/>
      <c r="AF2762" s="1052"/>
    </row>
    <row r="2763" spans="1:32" ht="15.75" x14ac:dyDescent="0.25">
      <c r="A2763" s="2017"/>
      <c r="B2763" s="2018"/>
      <c r="C2763" s="2018"/>
      <c r="D2763" s="2018"/>
      <c r="E2763" s="2018"/>
      <c r="F2763" s="2018"/>
      <c r="G2763" s="2018"/>
      <c r="H2763" s="2018"/>
      <c r="I2763" s="2018"/>
      <c r="J2763" s="2018"/>
      <c r="K2763" s="2018"/>
      <c r="L2763" s="2018"/>
      <c r="M2763" s="2018"/>
      <c r="N2763" s="2018"/>
      <c r="O2763" s="2018"/>
      <c r="P2763" s="2018"/>
      <c r="Q2763" s="2018"/>
      <c r="R2763" s="2018"/>
      <c r="S2763" s="2018"/>
      <c r="T2763" s="2018"/>
      <c r="U2763" s="2018"/>
      <c r="V2763" s="2018"/>
      <c r="W2763" s="2018"/>
      <c r="X2763" s="2018"/>
      <c r="Y2763" s="2018"/>
      <c r="Z2763" s="2105"/>
      <c r="AA2763" s="2105"/>
      <c r="AB2763" s="1050"/>
      <c r="AC2763" s="1050"/>
      <c r="AD2763" s="1050"/>
      <c r="AE2763" s="1050"/>
      <c r="AF2763" s="1052"/>
    </row>
    <row r="2764" spans="1:32" ht="15.75" x14ac:dyDescent="0.25">
      <c r="A2764" s="2017"/>
      <c r="B2764" s="2018"/>
      <c r="C2764" s="2018"/>
      <c r="D2764" s="2018"/>
      <c r="E2764" s="2018"/>
      <c r="F2764" s="2018"/>
      <c r="G2764" s="2018"/>
      <c r="H2764" s="2018"/>
      <c r="I2764" s="2018"/>
      <c r="J2764" s="2018"/>
      <c r="K2764" s="2018"/>
      <c r="L2764" s="2018"/>
      <c r="M2764" s="2018"/>
      <c r="N2764" s="2018"/>
      <c r="O2764" s="2018"/>
      <c r="P2764" s="2018"/>
      <c r="Q2764" s="2018"/>
      <c r="R2764" s="2018"/>
      <c r="S2764" s="2018"/>
      <c r="T2764" s="2018"/>
      <c r="U2764" s="2018"/>
      <c r="V2764" s="2018"/>
      <c r="W2764" s="2018"/>
      <c r="X2764" s="2018"/>
      <c r="Y2764" s="2018"/>
      <c r="Z2764" s="2022"/>
      <c r="AA2764" s="2022"/>
      <c r="AB2764" s="1050"/>
      <c r="AC2764" s="1050"/>
      <c r="AD2764" s="1050"/>
      <c r="AE2764" s="1050"/>
      <c r="AF2764" s="1052"/>
    </row>
    <row r="2765" spans="1:32" ht="15.75" x14ac:dyDescent="0.25">
      <c r="A2765" s="2017"/>
      <c r="B2765" s="2018"/>
      <c r="C2765" s="2018"/>
      <c r="D2765" s="2018"/>
      <c r="E2765" s="2018"/>
      <c r="F2765" s="2018"/>
      <c r="G2765" s="2018"/>
      <c r="H2765" s="2018"/>
      <c r="I2765" s="2018"/>
      <c r="J2765" s="2018"/>
      <c r="K2765" s="2018"/>
      <c r="L2765" s="2018"/>
      <c r="M2765" s="2018"/>
      <c r="N2765" s="2018"/>
      <c r="O2765" s="2018"/>
      <c r="P2765" s="2018"/>
      <c r="Q2765" s="2018"/>
      <c r="R2765" s="2018"/>
      <c r="S2765" s="2018"/>
      <c r="T2765" s="2018"/>
      <c r="U2765" s="2018"/>
      <c r="V2765" s="2018"/>
      <c r="W2765" s="2018"/>
      <c r="X2765" s="2018"/>
      <c r="Y2765" s="2018"/>
      <c r="Z2765" s="2022"/>
      <c r="AA2765" s="2022"/>
      <c r="AB2765" s="1050"/>
      <c r="AC2765" s="1050"/>
      <c r="AD2765" s="1050"/>
      <c r="AE2765" s="1050"/>
      <c r="AF2765" s="1052"/>
    </row>
    <row r="2766" spans="1:32" ht="15.75" x14ac:dyDescent="0.25">
      <c r="A2766" s="2017"/>
      <c r="B2766" s="2018"/>
      <c r="C2766" s="2018"/>
      <c r="D2766" s="2018"/>
      <c r="E2766" s="2018"/>
      <c r="F2766" s="2018"/>
      <c r="G2766" s="2018"/>
      <c r="H2766" s="2018"/>
      <c r="I2766" s="2018"/>
      <c r="J2766" s="2018"/>
      <c r="K2766" s="2018"/>
      <c r="L2766" s="2018"/>
      <c r="M2766" s="2018"/>
      <c r="N2766" s="2018"/>
      <c r="O2766" s="2018"/>
      <c r="P2766" s="2018"/>
      <c r="Q2766" s="2018"/>
      <c r="R2766" s="2018"/>
      <c r="S2766" s="2018"/>
      <c r="T2766" s="2018"/>
      <c r="U2766" s="2018"/>
      <c r="V2766" s="2018"/>
      <c r="W2766" s="2018"/>
      <c r="X2766" s="2018"/>
      <c r="Y2766" s="2018"/>
      <c r="Z2766" s="2022"/>
      <c r="AA2766" s="2022"/>
      <c r="AB2766" s="1050"/>
      <c r="AC2766" s="1050"/>
      <c r="AD2766" s="1050"/>
      <c r="AE2766" s="1050"/>
      <c r="AF2766" s="1052"/>
    </row>
    <row r="2767" spans="1:32" ht="15.75" x14ac:dyDescent="0.25">
      <c r="A2767" s="2017"/>
      <c r="B2767" s="2018"/>
      <c r="C2767" s="2018"/>
      <c r="D2767" s="2018"/>
      <c r="E2767" s="2018"/>
      <c r="F2767" s="2018"/>
      <c r="G2767" s="2018"/>
      <c r="H2767" s="2018"/>
      <c r="I2767" s="2018"/>
      <c r="J2767" s="2018"/>
      <c r="K2767" s="2018"/>
      <c r="L2767" s="2018"/>
      <c r="M2767" s="2018"/>
      <c r="N2767" s="2018"/>
      <c r="O2767" s="2018"/>
      <c r="P2767" s="2018"/>
      <c r="Q2767" s="2018"/>
      <c r="R2767" s="2018"/>
      <c r="S2767" s="2018"/>
      <c r="T2767" s="2018"/>
      <c r="U2767" s="2018"/>
      <c r="V2767" s="2018"/>
      <c r="W2767" s="2018"/>
      <c r="X2767" s="2018"/>
      <c r="Y2767" s="2018"/>
      <c r="Z2767" s="2022"/>
      <c r="AA2767" s="2022"/>
      <c r="AB2767" s="1050"/>
      <c r="AC2767" s="1050"/>
      <c r="AD2767" s="1050"/>
      <c r="AE2767" s="1050"/>
      <c r="AF2767" s="1052"/>
    </row>
    <row r="2768" spans="1:32" ht="15.75" x14ac:dyDescent="0.25">
      <c r="A2768" s="2017"/>
      <c r="B2768" s="2018"/>
      <c r="C2768" s="2018"/>
      <c r="D2768" s="2018"/>
      <c r="E2768" s="2018"/>
      <c r="F2768" s="2018"/>
      <c r="G2768" s="2018"/>
      <c r="H2768" s="2018"/>
      <c r="I2768" s="2018"/>
      <c r="J2768" s="2018"/>
      <c r="K2768" s="2018"/>
      <c r="L2768" s="2018"/>
      <c r="M2768" s="2018"/>
      <c r="N2768" s="2018"/>
      <c r="O2768" s="2018"/>
      <c r="P2768" s="2018"/>
      <c r="Q2768" s="2018"/>
      <c r="R2768" s="2018"/>
      <c r="S2768" s="2018"/>
      <c r="T2768" s="2018"/>
      <c r="U2768" s="2018"/>
      <c r="V2768" s="2018"/>
      <c r="W2768" s="2018"/>
      <c r="X2768" s="2018"/>
      <c r="Y2768" s="2018"/>
      <c r="Z2768" s="2023"/>
      <c r="AA2768" s="2023"/>
      <c r="AB2768" s="1050"/>
      <c r="AC2768" s="1050"/>
      <c r="AD2768" s="1050"/>
      <c r="AE2768" s="1050"/>
      <c r="AF2768" s="1052"/>
    </row>
    <row r="2769" spans="1:32" ht="15.75" x14ac:dyDescent="0.25">
      <c r="A2769" s="2017"/>
      <c r="B2769" s="2018"/>
      <c r="C2769" s="2018"/>
      <c r="D2769" s="2018"/>
      <c r="E2769" s="2018"/>
      <c r="F2769" s="2018"/>
      <c r="G2769" s="2018"/>
      <c r="H2769" s="2018"/>
      <c r="I2769" s="2018"/>
      <c r="J2769" s="2018"/>
      <c r="K2769" s="2018"/>
      <c r="L2769" s="2018"/>
      <c r="M2769" s="2018"/>
      <c r="N2769" s="2018"/>
      <c r="O2769" s="2018"/>
      <c r="P2769" s="2018"/>
      <c r="Q2769" s="2018"/>
      <c r="R2769" s="2018"/>
      <c r="S2769" s="2018"/>
      <c r="T2769" s="2018"/>
      <c r="U2769" s="2018"/>
      <c r="V2769" s="2018"/>
      <c r="W2769" s="2018"/>
      <c r="X2769" s="2018"/>
      <c r="Y2769" s="2018"/>
      <c r="Z2769" s="2023"/>
      <c r="AA2769" s="2023"/>
      <c r="AB2769" s="1050"/>
      <c r="AC2769" s="1050"/>
      <c r="AD2769" s="1050"/>
      <c r="AE2769" s="1050"/>
      <c r="AF2769" s="1052"/>
    </row>
    <row r="2770" spans="1:32" ht="15.75" x14ac:dyDescent="0.25">
      <c r="A2770" s="2017"/>
      <c r="B2770" s="2018"/>
      <c r="C2770" s="2018"/>
      <c r="D2770" s="2018"/>
      <c r="E2770" s="2018"/>
      <c r="F2770" s="2018"/>
      <c r="G2770" s="2018"/>
      <c r="H2770" s="2018"/>
      <c r="I2770" s="2018"/>
      <c r="J2770" s="2018"/>
      <c r="K2770" s="2018"/>
      <c r="L2770" s="2018"/>
      <c r="M2770" s="2018"/>
      <c r="N2770" s="2018"/>
      <c r="O2770" s="2018"/>
      <c r="P2770" s="2018"/>
      <c r="Q2770" s="2018"/>
      <c r="R2770" s="2018"/>
      <c r="S2770" s="2018"/>
      <c r="T2770" s="2018"/>
      <c r="U2770" s="2018"/>
      <c r="V2770" s="2018"/>
      <c r="W2770" s="2018"/>
      <c r="X2770" s="2018"/>
      <c r="Y2770" s="2018"/>
      <c r="Z2770" s="2023"/>
      <c r="AA2770" s="2023"/>
      <c r="AB2770" s="1050"/>
      <c r="AC2770" s="1050"/>
      <c r="AD2770" s="1050"/>
      <c r="AE2770" s="1050"/>
      <c r="AF2770" s="1052"/>
    </row>
    <row r="2771" spans="1:32" ht="15.75" x14ac:dyDescent="0.25">
      <c r="A2771" s="2017"/>
      <c r="B2771" s="2018"/>
      <c r="C2771" s="2018"/>
      <c r="D2771" s="2018"/>
      <c r="E2771" s="2018"/>
      <c r="F2771" s="2018"/>
      <c r="G2771" s="2018"/>
      <c r="H2771" s="2018"/>
      <c r="I2771" s="2018"/>
      <c r="J2771" s="2018"/>
      <c r="K2771" s="2018"/>
      <c r="L2771" s="2018"/>
      <c r="M2771" s="2018"/>
      <c r="N2771" s="2018"/>
      <c r="O2771" s="2018"/>
      <c r="P2771" s="2018"/>
      <c r="Q2771" s="2018"/>
      <c r="R2771" s="2018"/>
      <c r="S2771" s="2018"/>
      <c r="T2771" s="2018"/>
      <c r="U2771" s="2018"/>
      <c r="V2771" s="2018"/>
      <c r="W2771" s="2018"/>
      <c r="X2771" s="2018"/>
      <c r="Y2771" s="2018"/>
      <c r="Z2771" s="2023"/>
      <c r="AA2771" s="2023"/>
      <c r="AB2771" s="1050"/>
      <c r="AC2771" s="1050"/>
      <c r="AD2771" s="1050"/>
      <c r="AE2771" s="1050"/>
      <c r="AF2771" s="1052"/>
    </row>
    <row r="2772" spans="1:32" ht="15.75" x14ac:dyDescent="0.25">
      <c r="A2772" s="2017"/>
      <c r="B2772" s="2018"/>
      <c r="C2772" s="2018"/>
      <c r="D2772" s="2018"/>
      <c r="E2772" s="2018"/>
      <c r="F2772" s="2018"/>
      <c r="G2772" s="2018"/>
      <c r="H2772" s="2018"/>
      <c r="I2772" s="2018"/>
      <c r="J2772" s="2018"/>
      <c r="K2772" s="2018"/>
      <c r="L2772" s="2018"/>
      <c r="M2772" s="2018"/>
      <c r="N2772" s="2018"/>
      <c r="O2772" s="2018"/>
      <c r="P2772" s="2018"/>
      <c r="Q2772" s="2018"/>
      <c r="R2772" s="2018"/>
      <c r="S2772" s="2018"/>
      <c r="T2772" s="2018"/>
      <c r="U2772" s="2018"/>
      <c r="V2772" s="2018"/>
      <c r="W2772" s="2018"/>
      <c r="X2772" s="2018"/>
      <c r="Y2772" s="2018"/>
      <c r="Z2772" s="2023"/>
      <c r="AA2772" s="2023"/>
      <c r="AB2772" s="1050"/>
      <c r="AC2772" s="1050"/>
      <c r="AD2772" s="1050"/>
      <c r="AE2772" s="1050"/>
      <c r="AF2772" s="1052"/>
    </row>
    <row r="2773" spans="1:32" ht="15.75" x14ac:dyDescent="0.25">
      <c r="A2773" s="2017"/>
      <c r="B2773" s="2018"/>
      <c r="C2773" s="2018"/>
      <c r="D2773" s="2018"/>
      <c r="E2773" s="2018"/>
      <c r="F2773" s="2018"/>
      <c r="G2773" s="2018"/>
      <c r="H2773" s="2018"/>
      <c r="I2773" s="2018"/>
      <c r="J2773" s="2018"/>
      <c r="K2773" s="2018"/>
      <c r="L2773" s="2018"/>
      <c r="M2773" s="2018"/>
      <c r="N2773" s="2018"/>
      <c r="O2773" s="2018"/>
      <c r="P2773" s="2018"/>
      <c r="Q2773" s="2018"/>
      <c r="R2773" s="2018"/>
      <c r="S2773" s="2018"/>
      <c r="T2773" s="2018"/>
      <c r="U2773" s="2018"/>
      <c r="V2773" s="2018"/>
      <c r="W2773" s="2018"/>
      <c r="X2773" s="2018"/>
      <c r="Y2773" s="2018"/>
      <c r="Z2773" s="2023"/>
      <c r="AA2773" s="2023"/>
      <c r="AB2773" s="1050"/>
      <c r="AC2773" s="1050"/>
      <c r="AD2773" s="1050"/>
      <c r="AE2773" s="1050"/>
      <c r="AF2773" s="1052"/>
    </row>
    <row r="2774" spans="1:32" ht="16.5" thickBot="1" x14ac:dyDescent="0.3">
      <c r="A2774" s="2019"/>
      <c r="B2774" s="2020"/>
      <c r="C2774" s="2020"/>
      <c r="D2774" s="2020"/>
      <c r="E2774" s="2020"/>
      <c r="F2774" s="2020"/>
      <c r="G2774" s="2020"/>
      <c r="H2774" s="2020"/>
      <c r="I2774" s="2020"/>
      <c r="J2774" s="2020"/>
      <c r="K2774" s="2020"/>
      <c r="L2774" s="2020"/>
      <c r="M2774" s="2020"/>
      <c r="N2774" s="2020"/>
      <c r="O2774" s="2020"/>
      <c r="P2774" s="2020"/>
      <c r="Q2774" s="2020"/>
      <c r="R2774" s="2020"/>
      <c r="S2774" s="2020"/>
      <c r="T2774" s="2020"/>
      <c r="U2774" s="2020"/>
      <c r="V2774" s="2020"/>
      <c r="W2774" s="2020"/>
      <c r="X2774" s="2020"/>
      <c r="Y2774" s="2020"/>
      <c r="Z2774" s="2024"/>
      <c r="AA2774" s="2024"/>
      <c r="AB2774" s="1057"/>
      <c r="AC2774" s="1057"/>
      <c r="AD2774" s="1057"/>
      <c r="AE2774" s="1057"/>
      <c r="AF2774" s="1058"/>
    </row>
    <row r="2775" spans="1:32" ht="15.75" x14ac:dyDescent="0.25">
      <c r="A2775" s="2009" t="s">
        <v>1855</v>
      </c>
      <c r="B2775" s="2010"/>
      <c r="C2775" s="2010"/>
      <c r="D2775" s="2010"/>
      <c r="E2775" s="2010"/>
      <c r="F2775" s="2010"/>
      <c r="G2775" s="2010"/>
      <c r="H2775" s="2010"/>
      <c r="I2775" s="2010"/>
      <c r="J2775" s="2010"/>
      <c r="K2775" s="2010"/>
      <c r="L2775" s="2010"/>
      <c r="M2775" s="2010"/>
      <c r="N2775" s="2010"/>
      <c r="O2775" s="2010"/>
      <c r="P2775" s="2010"/>
      <c r="Q2775" s="2010"/>
      <c r="R2775" s="2010"/>
      <c r="S2775" s="2010"/>
      <c r="T2775" s="2010"/>
      <c r="U2775" s="2010"/>
      <c r="V2775" s="2010"/>
      <c r="W2775" s="2010"/>
      <c r="X2775" s="2010"/>
      <c r="Y2775" s="2010"/>
      <c r="Z2775" s="2013" t="s">
        <v>1850</v>
      </c>
      <c r="AA2775" s="2013"/>
      <c r="AB2775" s="2013"/>
      <c r="AC2775" s="2013"/>
      <c r="AD2775" s="2013"/>
      <c r="AE2775" s="2013"/>
      <c r="AF2775" s="1059">
        <f>SUM(AF2751:AF2774)</f>
        <v>37.43</v>
      </c>
    </row>
    <row r="2776" spans="1:32" ht="15.75" x14ac:dyDescent="0.25">
      <c r="A2776" s="2011"/>
      <c r="B2776" s="2012"/>
      <c r="C2776" s="2012"/>
      <c r="D2776" s="2012"/>
      <c r="E2776" s="2012"/>
      <c r="F2776" s="2012"/>
      <c r="G2776" s="2012"/>
      <c r="H2776" s="2012"/>
      <c r="I2776" s="2012"/>
      <c r="J2776" s="2012"/>
      <c r="K2776" s="2012"/>
      <c r="L2776" s="2012"/>
      <c r="M2776" s="2012"/>
      <c r="N2776" s="2012"/>
      <c r="O2776" s="2012"/>
      <c r="P2776" s="2012"/>
      <c r="Q2776" s="2012"/>
      <c r="R2776" s="2012"/>
      <c r="S2776" s="2012"/>
      <c r="T2776" s="2012"/>
      <c r="U2776" s="2012"/>
      <c r="V2776" s="2012"/>
      <c r="W2776" s="2012"/>
      <c r="X2776" s="2012"/>
      <c r="Y2776" s="2012"/>
      <c r="Z2776" s="2014" t="s">
        <v>1851</v>
      </c>
      <c r="AA2776" s="2014"/>
      <c r="AB2776" s="2014"/>
      <c r="AC2776" s="2014"/>
      <c r="AD2776" s="2014"/>
      <c r="AE2776" s="2014"/>
      <c r="AF2776" s="1060">
        <v>0</v>
      </c>
    </row>
    <row r="2777" spans="1:32" ht="15.75" x14ac:dyDescent="0.25">
      <c r="A2777" s="2011"/>
      <c r="B2777" s="2012"/>
      <c r="C2777" s="2012"/>
      <c r="D2777" s="2012"/>
      <c r="E2777" s="2012"/>
      <c r="F2777" s="2012"/>
      <c r="G2777" s="2012"/>
      <c r="H2777" s="2012"/>
      <c r="I2777" s="2012"/>
      <c r="J2777" s="2012"/>
      <c r="K2777" s="2012"/>
      <c r="L2777" s="2012"/>
      <c r="M2777" s="2012"/>
      <c r="N2777" s="2012"/>
      <c r="O2777" s="2012"/>
      <c r="P2777" s="2012"/>
      <c r="Q2777" s="2012"/>
      <c r="R2777" s="2012"/>
      <c r="S2777" s="2012"/>
      <c r="T2777" s="2012"/>
      <c r="U2777" s="2012"/>
      <c r="V2777" s="2012"/>
      <c r="W2777" s="2012"/>
      <c r="X2777" s="2012"/>
      <c r="Y2777" s="2012"/>
      <c r="Z2777" s="2015" t="s">
        <v>1833</v>
      </c>
      <c r="AA2777" s="2015"/>
      <c r="AB2777" s="2015"/>
      <c r="AC2777" s="2015"/>
      <c r="AD2777" s="2015"/>
      <c r="AE2777" s="2015"/>
      <c r="AF2777" s="1061">
        <f>SUM(AF2775:AF2776)</f>
        <v>37.43</v>
      </c>
    </row>
    <row r="2778" spans="1:32" x14ac:dyDescent="0.2">
      <c r="A2778" s="2012" t="s">
        <v>1859</v>
      </c>
      <c r="B2778" s="2012"/>
      <c r="C2778" s="2012"/>
      <c r="D2778" s="2012"/>
      <c r="E2778" s="2012"/>
      <c r="F2778" s="2012"/>
      <c r="G2778" s="2012"/>
      <c r="H2778" s="2012"/>
      <c r="I2778" s="2012"/>
      <c r="J2778" s="2012"/>
      <c r="K2778" s="2012"/>
      <c r="L2778" s="2012"/>
      <c r="M2778" s="2012"/>
      <c r="N2778" s="2012"/>
      <c r="O2778" s="2012"/>
      <c r="P2778" s="2012"/>
      <c r="Q2778" s="2012"/>
      <c r="R2778" s="2012"/>
      <c r="S2778" s="2012"/>
      <c r="T2778" s="2016" t="s">
        <v>1840</v>
      </c>
      <c r="U2778" s="2016"/>
      <c r="V2778" s="2016"/>
      <c r="W2778" s="2016"/>
      <c r="X2778" s="2016"/>
      <c r="Y2778" s="2016"/>
      <c r="Z2778" s="2016"/>
      <c r="AA2778" s="2016"/>
      <c r="AB2778" s="2012" t="s">
        <v>1852</v>
      </c>
      <c r="AC2778" s="2012"/>
      <c r="AD2778" s="2012"/>
      <c r="AE2778" s="2012"/>
      <c r="AF2778" s="2012"/>
    </row>
    <row r="2779" spans="1:32" x14ac:dyDescent="0.2">
      <c r="A2779" s="2012"/>
      <c r="B2779" s="2012"/>
      <c r="C2779" s="2012"/>
      <c r="D2779" s="2012"/>
      <c r="E2779" s="2012"/>
      <c r="F2779" s="2012"/>
      <c r="G2779" s="2012"/>
      <c r="H2779" s="2012"/>
      <c r="I2779" s="2012"/>
      <c r="J2779" s="2012"/>
      <c r="K2779" s="2012"/>
      <c r="L2779" s="2012"/>
      <c r="M2779" s="2012"/>
      <c r="N2779" s="2012"/>
      <c r="O2779" s="2012"/>
      <c r="P2779" s="2012"/>
      <c r="Q2779" s="2012"/>
      <c r="R2779" s="2012"/>
      <c r="S2779" s="2012"/>
      <c r="T2779" s="2016"/>
      <c r="U2779" s="2016"/>
      <c r="V2779" s="2016"/>
      <c r="W2779" s="2016"/>
      <c r="X2779" s="2016"/>
      <c r="Y2779" s="2016"/>
      <c r="Z2779" s="2016"/>
      <c r="AA2779" s="2016"/>
      <c r="AB2779" s="2012"/>
      <c r="AC2779" s="2012"/>
      <c r="AD2779" s="2012"/>
      <c r="AE2779" s="2012"/>
      <c r="AF2779" s="2012"/>
    </row>
    <row r="2780" spans="1:32" ht="13.5" thickBot="1" x14ac:dyDescent="0.25"/>
    <row r="2781" spans="1:32" ht="26.45" customHeight="1" x14ac:dyDescent="0.2">
      <c r="A2781" s="2025" t="s">
        <v>1854</v>
      </c>
      <c r="B2781" s="2026"/>
      <c r="C2781" s="2026"/>
      <c r="D2781" s="2026"/>
      <c r="E2781" s="2026"/>
      <c r="F2781" s="2026"/>
      <c r="G2781" s="2026"/>
      <c r="H2781" s="2026"/>
      <c r="I2781" s="2026"/>
      <c r="J2781" s="2026"/>
      <c r="K2781" s="2026"/>
      <c r="L2781" s="2026"/>
      <c r="M2781" s="2026"/>
      <c r="N2781" s="2026"/>
      <c r="O2781" s="2026"/>
      <c r="P2781" s="2026"/>
      <c r="Q2781" s="2026"/>
      <c r="R2781" s="2026"/>
      <c r="S2781" s="2026"/>
      <c r="T2781" s="2026"/>
      <c r="U2781" s="2026"/>
      <c r="V2781" s="2026"/>
      <c r="W2781" s="2026"/>
      <c r="X2781" s="2026"/>
      <c r="Y2781" s="2026"/>
      <c r="Z2781" s="2026"/>
      <c r="AA2781" s="2026"/>
      <c r="AB2781" s="2026"/>
      <c r="AC2781" s="2026"/>
      <c r="AD2781" s="2026"/>
      <c r="AE2781" s="1041" t="s">
        <v>1834</v>
      </c>
      <c r="AF2781" s="1042" t="s">
        <v>1835</v>
      </c>
    </row>
    <row r="2782" spans="1:32" ht="21" customHeight="1" thickBot="1" x14ac:dyDescent="0.25">
      <c r="A2782" s="2027"/>
      <c r="B2782" s="2028"/>
      <c r="C2782" s="2028"/>
      <c r="D2782" s="2028"/>
      <c r="E2782" s="2028"/>
      <c r="F2782" s="2028"/>
      <c r="G2782" s="2028"/>
      <c r="H2782" s="2028"/>
      <c r="I2782" s="2028"/>
      <c r="J2782" s="2028"/>
      <c r="K2782" s="2028"/>
      <c r="L2782" s="2028"/>
      <c r="M2782" s="2028"/>
      <c r="N2782" s="2028"/>
      <c r="O2782" s="2028"/>
      <c r="P2782" s="2028"/>
      <c r="Q2782" s="2028"/>
      <c r="R2782" s="2028"/>
      <c r="S2782" s="2028"/>
      <c r="T2782" s="2028"/>
      <c r="U2782" s="2028"/>
      <c r="V2782" s="2028"/>
      <c r="W2782" s="2028"/>
      <c r="X2782" s="2028"/>
      <c r="Y2782" s="2028"/>
      <c r="Z2782" s="2028"/>
      <c r="AA2782" s="2028"/>
      <c r="AB2782" s="2028"/>
      <c r="AC2782" s="2028"/>
      <c r="AD2782" s="2028"/>
      <c r="AE2782" s="1041" t="s">
        <v>1836</v>
      </c>
      <c r="AF2782" s="1044">
        <v>1</v>
      </c>
    </row>
    <row r="2783" spans="1:32" ht="15.75" x14ac:dyDescent="0.2">
      <c r="A2783" s="2029"/>
      <c r="B2783" s="2030"/>
      <c r="C2783" s="2030"/>
      <c r="D2783" s="2031"/>
      <c r="E2783" s="2025" t="str">
        <f>'01'!$A$12</f>
        <v>"CONSTRUCCION SISTEMA DE ACUEDUCTO FASE II DEL MUNICIPIO DE TESALIA DPTO DEL HUILA"</v>
      </c>
      <c r="F2783" s="2026"/>
      <c r="G2783" s="2026"/>
      <c r="H2783" s="2026"/>
      <c r="I2783" s="2026"/>
      <c r="J2783" s="2026"/>
      <c r="K2783" s="2026"/>
      <c r="L2783" s="2026"/>
      <c r="M2783" s="2026"/>
      <c r="N2783" s="2026"/>
      <c r="O2783" s="2026"/>
      <c r="P2783" s="2026"/>
      <c r="Q2783" s="2026"/>
      <c r="R2783" s="2026"/>
      <c r="S2783" s="2026"/>
      <c r="T2783" s="2026"/>
      <c r="U2783" s="2026"/>
      <c r="V2783" s="2026"/>
      <c r="W2783" s="2026"/>
      <c r="X2783" s="2026"/>
      <c r="Y2783" s="2026"/>
      <c r="Z2783" s="2026"/>
      <c r="AA2783" s="2026"/>
      <c r="AB2783" s="2026"/>
      <c r="AC2783" s="2026"/>
      <c r="AD2783" s="2035"/>
      <c r="AE2783" s="1041" t="s">
        <v>847</v>
      </c>
      <c r="AF2783" s="1045">
        <f>'01'!$M$13</f>
        <v>0</v>
      </c>
    </row>
    <row r="2784" spans="1:32" ht="16.5" thickBot="1" x14ac:dyDescent="0.25">
      <c r="A2784" s="2032"/>
      <c r="B2784" s="2033"/>
      <c r="C2784" s="2033"/>
      <c r="D2784" s="2034"/>
      <c r="E2784" s="2027"/>
      <c r="F2784" s="2028"/>
      <c r="G2784" s="2028"/>
      <c r="H2784" s="2028"/>
      <c r="I2784" s="2028"/>
      <c r="J2784" s="2028"/>
      <c r="K2784" s="2028"/>
      <c r="L2784" s="2028"/>
      <c r="M2784" s="2028"/>
      <c r="N2784" s="2028"/>
      <c r="O2784" s="2028"/>
      <c r="P2784" s="2028"/>
      <c r="Q2784" s="2028"/>
      <c r="R2784" s="2028"/>
      <c r="S2784" s="2028"/>
      <c r="T2784" s="2028"/>
      <c r="U2784" s="2028"/>
      <c r="V2784" s="2028"/>
      <c r="W2784" s="2028"/>
      <c r="X2784" s="2028"/>
      <c r="Y2784" s="2028"/>
      <c r="Z2784" s="2028"/>
      <c r="AA2784" s="2028"/>
      <c r="AB2784" s="2028"/>
      <c r="AC2784" s="2028"/>
      <c r="AD2784" s="2036"/>
      <c r="AE2784" s="1041" t="s">
        <v>1837</v>
      </c>
      <c r="AF2784" s="1042" t="s">
        <v>1838</v>
      </c>
    </row>
    <row r="2785" spans="1:32" ht="15.75" x14ac:dyDescent="0.25">
      <c r="A2785" s="2037" t="s">
        <v>1860</v>
      </c>
      <c r="B2785" s="2038"/>
      <c r="C2785" s="2038"/>
      <c r="D2785" s="2038"/>
      <c r="E2785" s="2038"/>
      <c r="F2785" s="2038"/>
      <c r="G2785" s="2038"/>
      <c r="H2785" s="2038"/>
      <c r="I2785" s="2038"/>
      <c r="J2785" s="2038"/>
      <c r="K2785" s="2038"/>
      <c r="L2785" s="2038"/>
      <c r="M2785" s="2038"/>
      <c r="N2785" s="2038"/>
      <c r="O2785" s="2038"/>
      <c r="P2785" s="2038"/>
      <c r="Q2785" s="2038"/>
      <c r="R2785" s="2038"/>
      <c r="S2785" s="2038"/>
      <c r="T2785" s="2038"/>
      <c r="U2785" s="2038"/>
      <c r="V2785" s="2038"/>
      <c r="W2785" s="2038"/>
      <c r="X2785" s="2038"/>
      <c r="Y2785" s="2038"/>
      <c r="Z2785" s="2038"/>
      <c r="AA2785" s="2038"/>
      <c r="AB2785" s="2038"/>
      <c r="AC2785" s="2038"/>
      <c r="AD2785" s="2038"/>
      <c r="AE2785" s="2039" t="s">
        <v>1839</v>
      </c>
      <c r="AF2785" s="2040"/>
    </row>
    <row r="2786" spans="1:32" ht="15.75" x14ac:dyDescent="0.25">
      <c r="A2786" s="2041" t="s">
        <v>1840</v>
      </c>
      <c r="B2786" s="2042"/>
      <c r="C2786" s="2042"/>
      <c r="D2786" s="2042"/>
      <c r="E2786" s="2042"/>
      <c r="F2786" s="2042"/>
      <c r="G2786" s="2042"/>
      <c r="H2786" s="2042"/>
      <c r="I2786" s="2042"/>
      <c r="J2786" s="2042"/>
      <c r="K2786" s="2042"/>
      <c r="L2786" s="2042"/>
      <c r="M2786" s="2042"/>
      <c r="N2786" s="2042"/>
      <c r="O2786" s="2042"/>
      <c r="P2786" s="2042"/>
      <c r="Q2786" s="2042"/>
      <c r="R2786" s="2042"/>
      <c r="S2786" s="2042"/>
      <c r="T2786" s="2042"/>
      <c r="U2786" s="2042"/>
      <c r="V2786" s="2042"/>
      <c r="W2786" s="2042"/>
      <c r="X2786" s="2042"/>
      <c r="Y2786" s="2042"/>
      <c r="Z2786" s="2042"/>
      <c r="AA2786" s="2042"/>
      <c r="AB2786" s="2042"/>
      <c r="AC2786" s="2042"/>
      <c r="AD2786" s="2043"/>
      <c r="AE2786" s="2014" t="s">
        <v>1841</v>
      </c>
      <c r="AF2786" s="2044"/>
    </row>
    <row r="2787" spans="1:32" ht="15.75" x14ac:dyDescent="0.25">
      <c r="A2787" s="2045" t="s">
        <v>1853</v>
      </c>
      <c r="B2787" s="2046"/>
      <c r="C2787" s="2046"/>
      <c r="D2787" s="2046"/>
      <c r="E2787" s="2046"/>
      <c r="F2787" s="2046"/>
      <c r="G2787" s="2046"/>
      <c r="H2787" s="2046"/>
      <c r="I2787" s="2046"/>
      <c r="J2787" s="2046"/>
      <c r="K2787" s="2046"/>
      <c r="L2787" s="2046"/>
      <c r="M2787" s="2046"/>
      <c r="N2787" s="2046"/>
      <c r="O2787" s="2046"/>
      <c r="P2787" s="2046"/>
      <c r="Q2787" s="2046"/>
      <c r="R2787" s="2046"/>
      <c r="S2787" s="2046"/>
      <c r="T2787" s="2046"/>
      <c r="U2787" s="2046"/>
      <c r="V2787" s="2046"/>
      <c r="W2787" s="2046"/>
      <c r="X2787" s="2046"/>
      <c r="Y2787" s="2046"/>
      <c r="Z2787" s="2046"/>
      <c r="AA2787" s="2046"/>
      <c r="AB2787" s="2046"/>
      <c r="AC2787" s="2046"/>
      <c r="AD2787" s="2046"/>
      <c r="AE2787" s="2047">
        <f>'01'!$M$13</f>
        <v>0</v>
      </c>
      <c r="AF2787" s="2044"/>
    </row>
    <row r="2788" spans="1:32" x14ac:dyDescent="0.2">
      <c r="A2788" s="1046"/>
      <c r="B2788" s="1047"/>
      <c r="C2788" s="1047"/>
      <c r="D2788" s="1047"/>
      <c r="E2788" s="1047"/>
      <c r="F2788" s="1047"/>
      <c r="G2788" s="1047"/>
      <c r="H2788" s="1047"/>
      <c r="I2788" s="1047"/>
      <c r="J2788" s="1047"/>
      <c r="K2788" s="1047"/>
      <c r="L2788" s="1047"/>
      <c r="M2788" s="1047"/>
      <c r="N2788" s="1047"/>
      <c r="O2788" s="1047"/>
      <c r="P2788" s="1047"/>
      <c r="Q2788" s="1047"/>
      <c r="R2788" s="1047"/>
      <c r="S2788" s="1047"/>
      <c r="T2788" s="1047"/>
      <c r="U2788" s="1047"/>
      <c r="V2788" s="1047"/>
      <c r="W2788" s="1047"/>
      <c r="X2788" s="1047"/>
      <c r="Y2788" s="1047"/>
      <c r="Z2788" s="1047"/>
      <c r="AA2788" s="1047"/>
      <c r="AB2788" s="1047"/>
      <c r="AC2788" s="1047"/>
      <c r="AD2788" s="1047"/>
      <c r="AE2788" s="1047"/>
      <c r="AF2788" s="1048"/>
    </row>
    <row r="2789" spans="1:32" ht="30" customHeight="1" x14ac:dyDescent="0.2">
      <c r="A2789" s="2048" t="s">
        <v>1842</v>
      </c>
      <c r="B2789" s="2049"/>
      <c r="C2789" s="2049"/>
      <c r="D2789" s="2049"/>
      <c r="E2789" s="2049"/>
      <c r="F2789" s="2050" t="str">
        <f>+'01'!$H$105</f>
        <v>D - CANAL DE DESINFECCIÓN</v>
      </c>
      <c r="G2789" s="2049"/>
      <c r="H2789" s="2049"/>
      <c r="I2789" s="2049"/>
      <c r="J2789" s="2049"/>
      <c r="K2789" s="2049"/>
      <c r="L2789" s="2049"/>
      <c r="M2789" s="2049"/>
      <c r="N2789" s="2049"/>
      <c r="O2789" s="2049"/>
      <c r="P2789" s="2049"/>
      <c r="Q2789" s="2049"/>
      <c r="R2789" s="2049"/>
      <c r="S2789" s="2049"/>
      <c r="T2789" s="2049"/>
      <c r="U2789" s="2049"/>
      <c r="V2789" s="2049"/>
      <c r="W2789" s="2049"/>
      <c r="X2789" s="2049"/>
      <c r="Y2789" s="2051"/>
      <c r="Z2789" s="2052" t="s">
        <v>1843</v>
      </c>
      <c r="AA2789" s="2053"/>
      <c r="AB2789" s="2058" t="s">
        <v>1844</v>
      </c>
      <c r="AC2789" s="2059"/>
      <c r="AD2789" s="2060"/>
      <c r="AE2789" s="2064" t="s">
        <v>1845</v>
      </c>
      <c r="AF2789" s="2067" t="s">
        <v>1846</v>
      </c>
    </row>
    <row r="2790" spans="1:32" ht="30" customHeight="1" x14ac:dyDescent="0.2">
      <c r="A2790" s="2070" t="str">
        <f>+'01'!A122</f>
        <v>D-06-01</v>
      </c>
      <c r="B2790" s="2071"/>
      <c r="C2790" s="2072"/>
      <c r="D2790" s="2076" t="str">
        <f>VLOOKUP(A2790,'01'!$A$12:$N$299,3,FALSE)</f>
        <v>ACERO DE REFUERZO FIGURADO FY= 420 MPA-60000 PSI, CORRUGADO. INCLUYE TRANSPORTE CON DESCARGA, TRANSPORTE INTERNO, ALAMBRE DE AMARRE, CERTIFICADOS Y TODOS LOS ELEMENTOS NECESARIOS PARA SU CORRECTA INSTALACIÓN, SEGÚN DISEÑO Y RECOMENDACIONES.</v>
      </c>
      <c r="E2790" s="2077"/>
      <c r="F2790" s="2077"/>
      <c r="G2790" s="2077"/>
      <c r="H2790" s="2077"/>
      <c r="I2790" s="2077"/>
      <c r="J2790" s="2077"/>
      <c r="K2790" s="2077"/>
      <c r="L2790" s="2077"/>
      <c r="M2790" s="2077"/>
      <c r="N2790" s="2077"/>
      <c r="O2790" s="2077"/>
      <c r="P2790" s="2077"/>
      <c r="Q2790" s="2077"/>
      <c r="R2790" s="2077"/>
      <c r="S2790" s="2078"/>
      <c r="T2790" s="2082" t="s">
        <v>124</v>
      </c>
      <c r="U2790" s="2083"/>
      <c r="V2790" s="2083"/>
      <c r="W2790" s="2083"/>
      <c r="X2790" s="2052" t="str">
        <f>VLOOKUP(A2790,'01'!$A$12:$N$299,9,FALSE)</f>
        <v>KG</v>
      </c>
      <c r="Y2790" s="2053"/>
      <c r="Z2790" s="2054"/>
      <c r="AA2790" s="2055"/>
      <c r="AB2790" s="2061"/>
      <c r="AC2790" s="2062"/>
      <c r="AD2790" s="2063"/>
      <c r="AE2790" s="2065"/>
      <c r="AF2790" s="2068"/>
    </row>
    <row r="2791" spans="1:32" ht="30" customHeight="1" x14ac:dyDescent="0.25">
      <c r="A2791" s="2073"/>
      <c r="B2791" s="2074"/>
      <c r="C2791" s="2075"/>
      <c r="D2791" s="2079"/>
      <c r="E2791" s="2080"/>
      <c r="F2791" s="2080"/>
      <c r="G2791" s="2080"/>
      <c r="H2791" s="2080"/>
      <c r="I2791" s="2080"/>
      <c r="J2791" s="2080"/>
      <c r="K2791" s="2080"/>
      <c r="L2791" s="2080"/>
      <c r="M2791" s="2080"/>
      <c r="N2791" s="2080"/>
      <c r="O2791" s="2080"/>
      <c r="P2791" s="2080"/>
      <c r="Q2791" s="2080"/>
      <c r="R2791" s="2080"/>
      <c r="S2791" s="2081"/>
      <c r="T2791" s="2084"/>
      <c r="U2791" s="2085"/>
      <c r="V2791" s="2085"/>
      <c r="W2791" s="2085"/>
      <c r="X2791" s="2056"/>
      <c r="Y2791" s="2057"/>
      <c r="Z2791" s="2056"/>
      <c r="AA2791" s="2057"/>
      <c r="AB2791" s="1049" t="s">
        <v>1847</v>
      </c>
      <c r="AC2791" s="1049" t="s">
        <v>1848</v>
      </c>
      <c r="AD2791" s="1049" t="s">
        <v>1861</v>
      </c>
      <c r="AE2791" s="2066"/>
      <c r="AF2791" s="2069"/>
    </row>
    <row r="2792" spans="1:32" ht="15.6" customHeight="1" x14ac:dyDescent="0.25">
      <c r="A2792" s="2017"/>
      <c r="B2792" s="2018"/>
      <c r="C2792" s="2018"/>
      <c r="D2792" s="2018"/>
      <c r="E2792" s="2018"/>
      <c r="F2792" s="2018"/>
      <c r="G2792" s="2018"/>
      <c r="H2792" s="2018"/>
      <c r="I2792" s="2018"/>
      <c r="J2792" s="2018"/>
      <c r="K2792" s="2018"/>
      <c r="L2792" s="2018"/>
      <c r="M2792" s="2018"/>
      <c r="N2792" s="2018"/>
      <c r="O2792" s="2018"/>
      <c r="P2792" s="2018"/>
      <c r="Q2792" s="2018"/>
      <c r="R2792" s="2018"/>
      <c r="S2792" s="2018"/>
      <c r="T2792" s="2018"/>
      <c r="U2792" s="2018"/>
      <c r="V2792" s="2018"/>
      <c r="W2792" s="2018"/>
      <c r="X2792" s="2018"/>
      <c r="Y2792" s="2018"/>
      <c r="Z2792" s="2105"/>
      <c r="AA2792" s="2105"/>
      <c r="AB2792" s="1050"/>
      <c r="AC2792" s="1050"/>
      <c r="AD2792" s="1050"/>
      <c r="AE2792" s="1050"/>
      <c r="AF2792" s="1052">
        <v>6319.76</v>
      </c>
    </row>
    <row r="2793" spans="1:32" ht="15.6" customHeight="1" x14ac:dyDescent="0.25">
      <c r="A2793" s="2017"/>
      <c r="B2793" s="2018"/>
      <c r="C2793" s="2018"/>
      <c r="D2793" s="2018"/>
      <c r="E2793" s="2018"/>
      <c r="F2793" s="2018"/>
      <c r="G2793" s="2018"/>
      <c r="H2793" s="2018"/>
      <c r="I2793" s="2018"/>
      <c r="J2793" s="2018"/>
      <c r="K2793" s="2018"/>
      <c r="L2793" s="2018"/>
      <c r="M2793" s="2018"/>
      <c r="N2793" s="2018"/>
      <c r="O2793" s="2018"/>
      <c r="P2793" s="2018"/>
      <c r="Q2793" s="2018"/>
      <c r="R2793" s="2018"/>
      <c r="S2793" s="2018"/>
      <c r="T2793" s="2018"/>
      <c r="U2793" s="2018"/>
      <c r="V2793" s="2018"/>
      <c r="W2793" s="2018"/>
      <c r="X2793" s="2018"/>
      <c r="Y2793" s="2018"/>
      <c r="Z2793" s="2105"/>
      <c r="AA2793" s="2105"/>
      <c r="AB2793" s="1050"/>
      <c r="AC2793" s="1050"/>
      <c r="AD2793" s="1050"/>
      <c r="AE2793" s="1050"/>
      <c r="AF2793" s="1052"/>
    </row>
    <row r="2794" spans="1:32" ht="15.75" x14ac:dyDescent="0.25">
      <c r="A2794" s="2017"/>
      <c r="B2794" s="2018"/>
      <c r="C2794" s="2018"/>
      <c r="D2794" s="2018"/>
      <c r="E2794" s="2018"/>
      <c r="F2794" s="2018"/>
      <c r="G2794" s="2018"/>
      <c r="H2794" s="2018"/>
      <c r="I2794" s="2018"/>
      <c r="J2794" s="2018"/>
      <c r="K2794" s="2018"/>
      <c r="L2794" s="2018"/>
      <c r="M2794" s="2018"/>
      <c r="N2794" s="2018"/>
      <c r="O2794" s="2018"/>
      <c r="P2794" s="2018"/>
      <c r="Q2794" s="2018"/>
      <c r="R2794" s="2018"/>
      <c r="S2794" s="2018"/>
      <c r="T2794" s="2018"/>
      <c r="U2794" s="2018"/>
      <c r="V2794" s="2018"/>
      <c r="W2794" s="2018"/>
      <c r="X2794" s="2018"/>
      <c r="Y2794" s="2018"/>
      <c r="Z2794" s="2105"/>
      <c r="AA2794" s="2105"/>
      <c r="AB2794" s="1050"/>
      <c r="AC2794" s="1050"/>
      <c r="AD2794" s="1050"/>
      <c r="AE2794" s="1050"/>
      <c r="AF2794" s="1052"/>
    </row>
    <row r="2795" spans="1:32" ht="15.75" x14ac:dyDescent="0.25">
      <c r="A2795" s="2017"/>
      <c r="B2795" s="2018"/>
      <c r="C2795" s="2018"/>
      <c r="D2795" s="2018"/>
      <c r="E2795" s="2018"/>
      <c r="F2795" s="2018"/>
      <c r="G2795" s="2018"/>
      <c r="H2795" s="2018"/>
      <c r="I2795" s="2018"/>
      <c r="J2795" s="2018"/>
      <c r="K2795" s="2018"/>
      <c r="L2795" s="2018"/>
      <c r="M2795" s="2018"/>
      <c r="N2795" s="2018"/>
      <c r="O2795" s="2018"/>
      <c r="P2795" s="2018"/>
      <c r="Q2795" s="2018"/>
      <c r="R2795" s="2018"/>
      <c r="S2795" s="2018"/>
      <c r="T2795" s="2018"/>
      <c r="U2795" s="2018"/>
      <c r="V2795" s="2018"/>
      <c r="W2795" s="2018"/>
      <c r="X2795" s="2018"/>
      <c r="Y2795" s="2018"/>
      <c r="Z2795" s="2105"/>
      <c r="AA2795" s="2105"/>
      <c r="AB2795" s="1050"/>
      <c r="AC2795" s="1050"/>
      <c r="AD2795" s="1050"/>
      <c r="AE2795" s="1050"/>
      <c r="AF2795" s="1052"/>
    </row>
    <row r="2796" spans="1:32" ht="15.75" x14ac:dyDescent="0.25">
      <c r="A2796" s="2017"/>
      <c r="B2796" s="2018"/>
      <c r="C2796" s="2018"/>
      <c r="D2796" s="2018"/>
      <c r="E2796" s="2018"/>
      <c r="F2796" s="2018"/>
      <c r="G2796" s="2018"/>
      <c r="H2796" s="2018"/>
      <c r="I2796" s="2018"/>
      <c r="J2796" s="2018"/>
      <c r="K2796" s="2018"/>
      <c r="L2796" s="2018"/>
      <c r="M2796" s="2018"/>
      <c r="N2796" s="2018"/>
      <c r="O2796" s="2018"/>
      <c r="P2796" s="2018"/>
      <c r="Q2796" s="2018"/>
      <c r="R2796" s="2018"/>
      <c r="S2796" s="2018"/>
      <c r="T2796" s="2018"/>
      <c r="U2796" s="2018"/>
      <c r="V2796" s="2018"/>
      <c r="W2796" s="2018"/>
      <c r="X2796" s="2018"/>
      <c r="Y2796" s="2018"/>
      <c r="Z2796" s="2105"/>
      <c r="AA2796" s="2105"/>
      <c r="AB2796" s="1050"/>
      <c r="AC2796" s="1050"/>
      <c r="AD2796" s="1050"/>
      <c r="AE2796" s="1050"/>
      <c r="AF2796" s="1052"/>
    </row>
    <row r="2797" spans="1:32" ht="15.75" x14ac:dyDescent="0.25">
      <c r="A2797" s="2017"/>
      <c r="B2797" s="2018"/>
      <c r="C2797" s="2018"/>
      <c r="D2797" s="2018"/>
      <c r="E2797" s="2018"/>
      <c r="F2797" s="2018"/>
      <c r="G2797" s="2018"/>
      <c r="H2797" s="2018"/>
      <c r="I2797" s="2018"/>
      <c r="J2797" s="2018"/>
      <c r="K2797" s="2018"/>
      <c r="L2797" s="2018"/>
      <c r="M2797" s="2018"/>
      <c r="N2797" s="2018"/>
      <c r="O2797" s="2018"/>
      <c r="P2797" s="2018"/>
      <c r="Q2797" s="2018"/>
      <c r="R2797" s="2018"/>
      <c r="S2797" s="2018"/>
      <c r="T2797" s="2018"/>
      <c r="U2797" s="2018"/>
      <c r="V2797" s="2018"/>
      <c r="W2797" s="2018"/>
      <c r="X2797" s="2018"/>
      <c r="Y2797" s="2018"/>
      <c r="Z2797" s="2105"/>
      <c r="AA2797" s="2105"/>
      <c r="AB2797" s="1050"/>
      <c r="AC2797" s="1050"/>
      <c r="AD2797" s="1050"/>
      <c r="AE2797" s="1050"/>
      <c r="AF2797" s="1052"/>
    </row>
    <row r="2798" spans="1:32" ht="15.75" x14ac:dyDescent="0.25">
      <c r="A2798" s="2017"/>
      <c r="B2798" s="2018"/>
      <c r="C2798" s="2018"/>
      <c r="D2798" s="2018"/>
      <c r="E2798" s="2018"/>
      <c r="F2798" s="2018"/>
      <c r="G2798" s="2018"/>
      <c r="H2798" s="2018"/>
      <c r="I2798" s="2018"/>
      <c r="J2798" s="2018"/>
      <c r="K2798" s="2018"/>
      <c r="L2798" s="2018"/>
      <c r="M2798" s="2018"/>
      <c r="N2798" s="2018"/>
      <c r="O2798" s="2018"/>
      <c r="P2798" s="2018"/>
      <c r="Q2798" s="2018"/>
      <c r="R2798" s="2018"/>
      <c r="S2798" s="2018"/>
      <c r="T2798" s="2018"/>
      <c r="U2798" s="2018"/>
      <c r="V2798" s="2018"/>
      <c r="W2798" s="2018"/>
      <c r="X2798" s="2018"/>
      <c r="Y2798" s="2018"/>
      <c r="Z2798" s="2105"/>
      <c r="AA2798" s="2105"/>
      <c r="AB2798" s="1050"/>
      <c r="AC2798" s="1050"/>
      <c r="AD2798" s="1050"/>
      <c r="AE2798" s="1050"/>
      <c r="AF2798" s="1052"/>
    </row>
    <row r="2799" spans="1:32" ht="15.75" x14ac:dyDescent="0.25">
      <c r="A2799" s="2017"/>
      <c r="B2799" s="2018"/>
      <c r="C2799" s="2018"/>
      <c r="D2799" s="2018"/>
      <c r="E2799" s="2018"/>
      <c r="F2799" s="2018"/>
      <c r="G2799" s="2018"/>
      <c r="H2799" s="2018"/>
      <c r="I2799" s="2018"/>
      <c r="J2799" s="2018"/>
      <c r="K2799" s="2018"/>
      <c r="L2799" s="2018"/>
      <c r="M2799" s="2018"/>
      <c r="N2799" s="2018"/>
      <c r="O2799" s="2018"/>
      <c r="P2799" s="2018"/>
      <c r="Q2799" s="2018"/>
      <c r="R2799" s="2018"/>
      <c r="S2799" s="2018"/>
      <c r="T2799" s="2018"/>
      <c r="U2799" s="2018"/>
      <c r="V2799" s="2018"/>
      <c r="W2799" s="2018"/>
      <c r="X2799" s="2018"/>
      <c r="Y2799" s="2018"/>
      <c r="Z2799" s="2105"/>
      <c r="AA2799" s="2105"/>
      <c r="AB2799" s="1050"/>
      <c r="AC2799" s="1050"/>
      <c r="AD2799" s="1050"/>
      <c r="AE2799" s="1050"/>
      <c r="AF2799" s="1052"/>
    </row>
    <row r="2800" spans="1:32" ht="15.75" x14ac:dyDescent="0.25">
      <c r="A2800" s="2017"/>
      <c r="B2800" s="2018"/>
      <c r="C2800" s="2018"/>
      <c r="D2800" s="2018"/>
      <c r="E2800" s="2018"/>
      <c r="F2800" s="2018"/>
      <c r="G2800" s="2018"/>
      <c r="H2800" s="2018"/>
      <c r="I2800" s="2018"/>
      <c r="J2800" s="2018"/>
      <c r="K2800" s="2018"/>
      <c r="L2800" s="2018"/>
      <c r="M2800" s="2018"/>
      <c r="N2800" s="2018"/>
      <c r="O2800" s="2018"/>
      <c r="P2800" s="2018"/>
      <c r="Q2800" s="2018"/>
      <c r="R2800" s="2018"/>
      <c r="S2800" s="2018"/>
      <c r="T2800" s="2018"/>
      <c r="U2800" s="2018"/>
      <c r="V2800" s="2018"/>
      <c r="W2800" s="2018"/>
      <c r="X2800" s="2018"/>
      <c r="Y2800" s="2018"/>
      <c r="Z2800" s="2105"/>
      <c r="AA2800" s="2105"/>
      <c r="AB2800" s="1050"/>
      <c r="AC2800" s="1050"/>
      <c r="AD2800" s="1050"/>
      <c r="AE2800" s="1050"/>
      <c r="AF2800" s="1052"/>
    </row>
    <row r="2801" spans="1:32" ht="15.75" x14ac:dyDescent="0.25">
      <c r="A2801" s="2017"/>
      <c r="B2801" s="2018"/>
      <c r="C2801" s="2018"/>
      <c r="D2801" s="2018"/>
      <c r="E2801" s="2018"/>
      <c r="F2801" s="2018"/>
      <c r="G2801" s="2018"/>
      <c r="H2801" s="2018"/>
      <c r="I2801" s="2018"/>
      <c r="J2801" s="2018"/>
      <c r="K2801" s="2018"/>
      <c r="L2801" s="2018"/>
      <c r="M2801" s="2018"/>
      <c r="N2801" s="2018"/>
      <c r="O2801" s="2018"/>
      <c r="P2801" s="2018"/>
      <c r="Q2801" s="2018"/>
      <c r="R2801" s="2018"/>
      <c r="S2801" s="2018"/>
      <c r="T2801" s="2018"/>
      <c r="U2801" s="2018"/>
      <c r="V2801" s="2018"/>
      <c r="W2801" s="2018"/>
      <c r="X2801" s="2018"/>
      <c r="Y2801" s="2018"/>
      <c r="Z2801" s="2105"/>
      <c r="AA2801" s="2105"/>
      <c r="AB2801" s="1050"/>
      <c r="AC2801" s="1050"/>
      <c r="AD2801" s="1050"/>
      <c r="AE2801" s="1050"/>
      <c r="AF2801" s="1052"/>
    </row>
    <row r="2802" spans="1:32" ht="15.75" x14ac:dyDescent="0.25">
      <c r="A2802" s="2017"/>
      <c r="B2802" s="2018"/>
      <c r="C2802" s="2018"/>
      <c r="D2802" s="2018"/>
      <c r="E2802" s="2018"/>
      <c r="F2802" s="2018"/>
      <c r="G2802" s="2018"/>
      <c r="H2802" s="2018"/>
      <c r="I2802" s="2018"/>
      <c r="J2802" s="2018"/>
      <c r="K2802" s="2018"/>
      <c r="L2802" s="2018"/>
      <c r="M2802" s="2018"/>
      <c r="N2802" s="2018"/>
      <c r="O2802" s="2018"/>
      <c r="P2802" s="2018"/>
      <c r="Q2802" s="2018"/>
      <c r="R2802" s="2018"/>
      <c r="S2802" s="2018"/>
      <c r="T2802" s="2018"/>
      <c r="U2802" s="2018"/>
      <c r="V2802" s="2018"/>
      <c r="W2802" s="2018"/>
      <c r="X2802" s="2018"/>
      <c r="Y2802" s="2018"/>
      <c r="Z2802" s="2105"/>
      <c r="AA2802" s="2105"/>
      <c r="AB2802" s="1050"/>
      <c r="AC2802" s="1050"/>
      <c r="AD2802" s="1050"/>
      <c r="AE2802" s="1050"/>
      <c r="AF2802" s="1052"/>
    </row>
    <row r="2803" spans="1:32" ht="15.75" x14ac:dyDescent="0.25">
      <c r="A2803" s="2017"/>
      <c r="B2803" s="2018"/>
      <c r="C2803" s="2018"/>
      <c r="D2803" s="2018"/>
      <c r="E2803" s="2018"/>
      <c r="F2803" s="2018"/>
      <c r="G2803" s="2018"/>
      <c r="H2803" s="2018"/>
      <c r="I2803" s="2018"/>
      <c r="J2803" s="2018"/>
      <c r="K2803" s="2018"/>
      <c r="L2803" s="2018"/>
      <c r="M2803" s="2018"/>
      <c r="N2803" s="2018"/>
      <c r="O2803" s="2018"/>
      <c r="P2803" s="2018"/>
      <c r="Q2803" s="2018"/>
      <c r="R2803" s="2018"/>
      <c r="S2803" s="2018"/>
      <c r="T2803" s="2018"/>
      <c r="U2803" s="2018"/>
      <c r="V2803" s="2018"/>
      <c r="W2803" s="2018"/>
      <c r="X2803" s="2018"/>
      <c r="Y2803" s="2018"/>
      <c r="Z2803" s="2105"/>
      <c r="AA2803" s="2105"/>
      <c r="AB2803" s="1050"/>
      <c r="AC2803" s="1050"/>
      <c r="AD2803" s="1050"/>
      <c r="AE2803" s="1050"/>
      <c r="AF2803" s="1052"/>
    </row>
    <row r="2804" spans="1:32" ht="15.75" x14ac:dyDescent="0.25">
      <c r="A2804" s="2017"/>
      <c r="B2804" s="2018"/>
      <c r="C2804" s="2018"/>
      <c r="D2804" s="2018"/>
      <c r="E2804" s="2018"/>
      <c r="F2804" s="2018"/>
      <c r="G2804" s="2018"/>
      <c r="H2804" s="2018"/>
      <c r="I2804" s="2018"/>
      <c r="J2804" s="2018"/>
      <c r="K2804" s="2018"/>
      <c r="L2804" s="2018"/>
      <c r="M2804" s="2018"/>
      <c r="N2804" s="2018"/>
      <c r="O2804" s="2018"/>
      <c r="P2804" s="2018"/>
      <c r="Q2804" s="2018"/>
      <c r="R2804" s="2018"/>
      <c r="S2804" s="2018"/>
      <c r="T2804" s="2018"/>
      <c r="U2804" s="2018"/>
      <c r="V2804" s="2018"/>
      <c r="W2804" s="2018"/>
      <c r="X2804" s="2018"/>
      <c r="Y2804" s="2018"/>
      <c r="Z2804" s="2105"/>
      <c r="AA2804" s="2105"/>
      <c r="AB2804" s="1050"/>
      <c r="AC2804" s="1050"/>
      <c r="AD2804" s="1050"/>
      <c r="AE2804" s="1050"/>
      <c r="AF2804" s="1052"/>
    </row>
    <row r="2805" spans="1:32" ht="15.75" x14ac:dyDescent="0.25">
      <c r="A2805" s="2017"/>
      <c r="B2805" s="2018"/>
      <c r="C2805" s="2018"/>
      <c r="D2805" s="2018"/>
      <c r="E2805" s="2018"/>
      <c r="F2805" s="2018"/>
      <c r="G2805" s="2018"/>
      <c r="H2805" s="2018"/>
      <c r="I2805" s="2018"/>
      <c r="J2805" s="2018"/>
      <c r="K2805" s="2018"/>
      <c r="L2805" s="2018"/>
      <c r="M2805" s="2018"/>
      <c r="N2805" s="2018"/>
      <c r="O2805" s="2018"/>
      <c r="P2805" s="2018"/>
      <c r="Q2805" s="2018"/>
      <c r="R2805" s="2018"/>
      <c r="S2805" s="2018"/>
      <c r="T2805" s="2018"/>
      <c r="U2805" s="2018"/>
      <c r="V2805" s="2018"/>
      <c r="W2805" s="2018"/>
      <c r="X2805" s="2018"/>
      <c r="Y2805" s="2018"/>
      <c r="Z2805" s="2022"/>
      <c r="AA2805" s="2022"/>
      <c r="AB2805" s="1050"/>
      <c r="AC2805" s="1050"/>
      <c r="AD2805" s="1050"/>
      <c r="AE2805" s="1050"/>
      <c r="AF2805" s="1052"/>
    </row>
    <row r="2806" spans="1:32" ht="15.75" x14ac:dyDescent="0.25">
      <c r="A2806" s="2017"/>
      <c r="B2806" s="2018"/>
      <c r="C2806" s="2018"/>
      <c r="D2806" s="2018"/>
      <c r="E2806" s="2018"/>
      <c r="F2806" s="2018"/>
      <c r="G2806" s="2018"/>
      <c r="H2806" s="2018"/>
      <c r="I2806" s="2018"/>
      <c r="J2806" s="2018"/>
      <c r="K2806" s="2018"/>
      <c r="L2806" s="2018"/>
      <c r="M2806" s="2018"/>
      <c r="N2806" s="2018"/>
      <c r="O2806" s="2018"/>
      <c r="P2806" s="2018"/>
      <c r="Q2806" s="2018"/>
      <c r="R2806" s="2018"/>
      <c r="S2806" s="2018"/>
      <c r="T2806" s="2018"/>
      <c r="U2806" s="2018"/>
      <c r="V2806" s="2018"/>
      <c r="W2806" s="2018"/>
      <c r="X2806" s="2018"/>
      <c r="Y2806" s="2018"/>
      <c r="Z2806" s="2022"/>
      <c r="AA2806" s="2022"/>
      <c r="AB2806" s="1050"/>
      <c r="AC2806" s="1050"/>
      <c r="AD2806" s="1050"/>
      <c r="AE2806" s="1050"/>
      <c r="AF2806" s="1052"/>
    </row>
    <row r="2807" spans="1:32" ht="15.75" x14ac:dyDescent="0.25">
      <c r="A2807" s="2017"/>
      <c r="B2807" s="2018"/>
      <c r="C2807" s="2018"/>
      <c r="D2807" s="2018"/>
      <c r="E2807" s="2018"/>
      <c r="F2807" s="2018"/>
      <c r="G2807" s="2018"/>
      <c r="H2807" s="2018"/>
      <c r="I2807" s="2018"/>
      <c r="J2807" s="2018"/>
      <c r="K2807" s="2018"/>
      <c r="L2807" s="2018"/>
      <c r="M2807" s="2018"/>
      <c r="N2807" s="2018"/>
      <c r="O2807" s="2018"/>
      <c r="P2807" s="2018"/>
      <c r="Q2807" s="2018"/>
      <c r="R2807" s="2018"/>
      <c r="S2807" s="2018"/>
      <c r="T2807" s="2018"/>
      <c r="U2807" s="2018"/>
      <c r="V2807" s="2018"/>
      <c r="W2807" s="2018"/>
      <c r="X2807" s="2018"/>
      <c r="Y2807" s="2018"/>
      <c r="Z2807" s="2022"/>
      <c r="AA2807" s="2022"/>
      <c r="AB2807" s="1050"/>
      <c r="AC2807" s="1050"/>
      <c r="AD2807" s="1050"/>
      <c r="AE2807" s="1050"/>
      <c r="AF2807" s="1052"/>
    </row>
    <row r="2808" spans="1:32" ht="15.75" x14ac:dyDescent="0.25">
      <c r="A2808" s="2017"/>
      <c r="B2808" s="2018"/>
      <c r="C2808" s="2018"/>
      <c r="D2808" s="2018"/>
      <c r="E2808" s="2018"/>
      <c r="F2808" s="2018"/>
      <c r="G2808" s="2018"/>
      <c r="H2808" s="2018"/>
      <c r="I2808" s="2018"/>
      <c r="J2808" s="2018"/>
      <c r="K2808" s="2018"/>
      <c r="L2808" s="2018"/>
      <c r="M2808" s="2018"/>
      <c r="N2808" s="2018"/>
      <c r="O2808" s="2018"/>
      <c r="P2808" s="2018"/>
      <c r="Q2808" s="2018"/>
      <c r="R2808" s="2018"/>
      <c r="S2808" s="2018"/>
      <c r="T2808" s="2018"/>
      <c r="U2808" s="2018"/>
      <c r="V2808" s="2018"/>
      <c r="W2808" s="2018"/>
      <c r="X2808" s="2018"/>
      <c r="Y2808" s="2018"/>
      <c r="Z2808" s="2022"/>
      <c r="AA2808" s="2022"/>
      <c r="AB2808" s="1050"/>
      <c r="AC2808" s="1050"/>
      <c r="AD2808" s="1050"/>
      <c r="AE2808" s="1050"/>
      <c r="AF2808" s="1052"/>
    </row>
    <row r="2809" spans="1:32" ht="15.75" x14ac:dyDescent="0.25">
      <c r="A2809" s="2017"/>
      <c r="B2809" s="2018"/>
      <c r="C2809" s="2018"/>
      <c r="D2809" s="2018"/>
      <c r="E2809" s="2018"/>
      <c r="F2809" s="2018"/>
      <c r="G2809" s="2018"/>
      <c r="H2809" s="2018"/>
      <c r="I2809" s="2018"/>
      <c r="J2809" s="2018"/>
      <c r="K2809" s="2018"/>
      <c r="L2809" s="2018"/>
      <c r="M2809" s="2018"/>
      <c r="N2809" s="2018"/>
      <c r="O2809" s="2018"/>
      <c r="P2809" s="2018"/>
      <c r="Q2809" s="2018"/>
      <c r="R2809" s="2018"/>
      <c r="S2809" s="2018"/>
      <c r="T2809" s="2018"/>
      <c r="U2809" s="2018"/>
      <c r="V2809" s="2018"/>
      <c r="W2809" s="2018"/>
      <c r="X2809" s="2018"/>
      <c r="Y2809" s="2018"/>
      <c r="Z2809" s="2023"/>
      <c r="AA2809" s="2023"/>
      <c r="AB2809" s="1050"/>
      <c r="AC2809" s="1050"/>
      <c r="AD2809" s="1050"/>
      <c r="AE2809" s="1050"/>
      <c r="AF2809" s="1052"/>
    </row>
    <row r="2810" spans="1:32" ht="15.75" x14ac:dyDescent="0.25">
      <c r="A2810" s="2017"/>
      <c r="B2810" s="2018"/>
      <c r="C2810" s="2018"/>
      <c r="D2810" s="2018"/>
      <c r="E2810" s="2018"/>
      <c r="F2810" s="2018"/>
      <c r="G2810" s="2018"/>
      <c r="H2810" s="2018"/>
      <c r="I2810" s="2018"/>
      <c r="J2810" s="2018"/>
      <c r="K2810" s="2018"/>
      <c r="L2810" s="2018"/>
      <c r="M2810" s="2018"/>
      <c r="N2810" s="2018"/>
      <c r="O2810" s="2018"/>
      <c r="P2810" s="2018"/>
      <c r="Q2810" s="2018"/>
      <c r="R2810" s="2018"/>
      <c r="S2810" s="2018"/>
      <c r="T2810" s="2018"/>
      <c r="U2810" s="2018"/>
      <c r="V2810" s="2018"/>
      <c r="W2810" s="2018"/>
      <c r="X2810" s="2018"/>
      <c r="Y2810" s="2018"/>
      <c r="Z2810" s="2023"/>
      <c r="AA2810" s="2023"/>
      <c r="AB2810" s="1050"/>
      <c r="AC2810" s="1050"/>
      <c r="AD2810" s="1050"/>
      <c r="AE2810" s="1050"/>
      <c r="AF2810" s="1052"/>
    </row>
    <row r="2811" spans="1:32" ht="15.75" x14ac:dyDescent="0.25">
      <c r="A2811" s="2017"/>
      <c r="B2811" s="2018"/>
      <c r="C2811" s="2018"/>
      <c r="D2811" s="2018"/>
      <c r="E2811" s="2018"/>
      <c r="F2811" s="2018"/>
      <c r="G2811" s="2018"/>
      <c r="H2811" s="2018"/>
      <c r="I2811" s="2018"/>
      <c r="J2811" s="2018"/>
      <c r="K2811" s="2018"/>
      <c r="L2811" s="2018"/>
      <c r="M2811" s="2018"/>
      <c r="N2811" s="2018"/>
      <c r="O2811" s="2018"/>
      <c r="P2811" s="2018"/>
      <c r="Q2811" s="2018"/>
      <c r="R2811" s="2018"/>
      <c r="S2811" s="2018"/>
      <c r="T2811" s="2018"/>
      <c r="U2811" s="2018"/>
      <c r="V2811" s="2018"/>
      <c r="W2811" s="2018"/>
      <c r="X2811" s="2018"/>
      <c r="Y2811" s="2018"/>
      <c r="Z2811" s="2023"/>
      <c r="AA2811" s="2023"/>
      <c r="AB2811" s="1050"/>
      <c r="AC2811" s="1050"/>
      <c r="AD2811" s="1050"/>
      <c r="AE2811" s="1050"/>
      <c r="AF2811" s="1052"/>
    </row>
    <row r="2812" spans="1:32" ht="15.75" x14ac:dyDescent="0.25">
      <c r="A2812" s="2017"/>
      <c r="B2812" s="2018"/>
      <c r="C2812" s="2018"/>
      <c r="D2812" s="2018"/>
      <c r="E2812" s="2018"/>
      <c r="F2812" s="2018"/>
      <c r="G2812" s="2018"/>
      <c r="H2812" s="2018"/>
      <c r="I2812" s="2018"/>
      <c r="J2812" s="2018"/>
      <c r="K2812" s="2018"/>
      <c r="L2812" s="2018"/>
      <c r="M2812" s="2018"/>
      <c r="N2812" s="2018"/>
      <c r="O2812" s="2018"/>
      <c r="P2812" s="2018"/>
      <c r="Q2812" s="2018"/>
      <c r="R2812" s="2018"/>
      <c r="S2812" s="2018"/>
      <c r="T2812" s="2018"/>
      <c r="U2812" s="2018"/>
      <c r="V2812" s="2018"/>
      <c r="W2812" s="2018"/>
      <c r="X2812" s="2018"/>
      <c r="Y2812" s="2018"/>
      <c r="Z2812" s="2023"/>
      <c r="AA2812" s="2023"/>
      <c r="AB2812" s="1050"/>
      <c r="AC2812" s="1050"/>
      <c r="AD2812" s="1050"/>
      <c r="AE2812" s="1050"/>
      <c r="AF2812" s="1052"/>
    </row>
    <row r="2813" spans="1:32" ht="15.75" x14ac:dyDescent="0.25">
      <c r="A2813" s="2017"/>
      <c r="B2813" s="2018"/>
      <c r="C2813" s="2018"/>
      <c r="D2813" s="2018"/>
      <c r="E2813" s="2018"/>
      <c r="F2813" s="2018"/>
      <c r="G2813" s="2018"/>
      <c r="H2813" s="2018"/>
      <c r="I2813" s="2018"/>
      <c r="J2813" s="2018"/>
      <c r="K2813" s="2018"/>
      <c r="L2813" s="2018"/>
      <c r="M2813" s="2018"/>
      <c r="N2813" s="2018"/>
      <c r="O2813" s="2018"/>
      <c r="P2813" s="2018"/>
      <c r="Q2813" s="2018"/>
      <c r="R2813" s="2018"/>
      <c r="S2813" s="2018"/>
      <c r="T2813" s="2018"/>
      <c r="U2813" s="2018"/>
      <c r="V2813" s="2018"/>
      <c r="W2813" s="2018"/>
      <c r="X2813" s="2018"/>
      <c r="Y2813" s="2018"/>
      <c r="Z2813" s="2023"/>
      <c r="AA2813" s="2023"/>
      <c r="AB2813" s="1050"/>
      <c r="AC2813" s="1050"/>
      <c r="AD2813" s="1050"/>
      <c r="AE2813" s="1050"/>
      <c r="AF2813" s="1052"/>
    </row>
    <row r="2814" spans="1:32" ht="15.75" x14ac:dyDescent="0.25">
      <c r="A2814" s="2017"/>
      <c r="B2814" s="2018"/>
      <c r="C2814" s="2018"/>
      <c r="D2814" s="2018"/>
      <c r="E2814" s="2018"/>
      <c r="F2814" s="2018"/>
      <c r="G2814" s="2018"/>
      <c r="H2814" s="2018"/>
      <c r="I2814" s="2018"/>
      <c r="J2814" s="2018"/>
      <c r="K2814" s="2018"/>
      <c r="L2814" s="2018"/>
      <c r="M2814" s="2018"/>
      <c r="N2814" s="2018"/>
      <c r="O2814" s="2018"/>
      <c r="P2814" s="2018"/>
      <c r="Q2814" s="2018"/>
      <c r="R2814" s="2018"/>
      <c r="S2814" s="2018"/>
      <c r="T2814" s="2018"/>
      <c r="U2814" s="2018"/>
      <c r="V2814" s="2018"/>
      <c r="W2814" s="2018"/>
      <c r="X2814" s="2018"/>
      <c r="Y2814" s="2018"/>
      <c r="Z2814" s="2023"/>
      <c r="AA2814" s="2023"/>
      <c r="AB2814" s="1050"/>
      <c r="AC2814" s="1050"/>
      <c r="AD2814" s="1050"/>
      <c r="AE2814" s="1050"/>
      <c r="AF2814" s="1052"/>
    </row>
    <row r="2815" spans="1:32" ht="16.5" thickBot="1" x14ac:dyDescent="0.3">
      <c r="A2815" s="2019"/>
      <c r="B2815" s="2020"/>
      <c r="C2815" s="2020"/>
      <c r="D2815" s="2020"/>
      <c r="E2815" s="2020"/>
      <c r="F2815" s="2020"/>
      <c r="G2815" s="2020"/>
      <c r="H2815" s="2020"/>
      <c r="I2815" s="2020"/>
      <c r="J2815" s="2020"/>
      <c r="K2815" s="2020"/>
      <c r="L2815" s="2020"/>
      <c r="M2815" s="2020"/>
      <c r="N2815" s="2020"/>
      <c r="O2815" s="2020"/>
      <c r="P2815" s="2020"/>
      <c r="Q2815" s="2020"/>
      <c r="R2815" s="2020"/>
      <c r="S2815" s="2020"/>
      <c r="T2815" s="2020"/>
      <c r="U2815" s="2020"/>
      <c r="V2815" s="2020"/>
      <c r="W2815" s="2020"/>
      <c r="X2815" s="2020"/>
      <c r="Y2815" s="2020"/>
      <c r="Z2815" s="2024"/>
      <c r="AA2815" s="2024"/>
      <c r="AB2815" s="1057"/>
      <c r="AC2815" s="1057"/>
      <c r="AD2815" s="1057"/>
      <c r="AE2815" s="1057"/>
      <c r="AF2815" s="1058"/>
    </row>
    <row r="2816" spans="1:32" ht="15.75" x14ac:dyDescent="0.25">
      <c r="A2816" s="2009" t="s">
        <v>1855</v>
      </c>
      <c r="B2816" s="2010"/>
      <c r="C2816" s="2010"/>
      <c r="D2816" s="2010"/>
      <c r="E2816" s="2010"/>
      <c r="F2816" s="2010"/>
      <c r="G2816" s="2010"/>
      <c r="H2816" s="2010"/>
      <c r="I2816" s="2010"/>
      <c r="J2816" s="2010"/>
      <c r="K2816" s="2010"/>
      <c r="L2816" s="2010"/>
      <c r="M2816" s="2010"/>
      <c r="N2816" s="2010"/>
      <c r="O2816" s="2010"/>
      <c r="P2816" s="2010"/>
      <c r="Q2816" s="2010"/>
      <c r="R2816" s="2010"/>
      <c r="S2816" s="2010"/>
      <c r="T2816" s="2010"/>
      <c r="U2816" s="2010"/>
      <c r="V2816" s="2010"/>
      <c r="W2816" s="2010"/>
      <c r="X2816" s="2010"/>
      <c r="Y2816" s="2010"/>
      <c r="Z2816" s="2013" t="s">
        <v>1850</v>
      </c>
      <c r="AA2816" s="2013"/>
      <c r="AB2816" s="2013"/>
      <c r="AC2816" s="2013"/>
      <c r="AD2816" s="2013"/>
      <c r="AE2816" s="2013"/>
      <c r="AF2816" s="1059">
        <f>SUM(AF2792:AF2815)</f>
        <v>6319.76</v>
      </c>
    </row>
    <row r="2817" spans="1:32" ht="15.75" x14ac:dyDescent="0.25">
      <c r="A2817" s="2011"/>
      <c r="B2817" s="2012"/>
      <c r="C2817" s="2012"/>
      <c r="D2817" s="2012"/>
      <c r="E2817" s="2012"/>
      <c r="F2817" s="2012"/>
      <c r="G2817" s="2012"/>
      <c r="H2817" s="2012"/>
      <c r="I2817" s="2012"/>
      <c r="J2817" s="2012"/>
      <c r="K2817" s="2012"/>
      <c r="L2817" s="2012"/>
      <c r="M2817" s="2012"/>
      <c r="N2817" s="2012"/>
      <c r="O2817" s="2012"/>
      <c r="P2817" s="2012"/>
      <c r="Q2817" s="2012"/>
      <c r="R2817" s="2012"/>
      <c r="S2817" s="2012"/>
      <c r="T2817" s="2012"/>
      <c r="U2817" s="2012"/>
      <c r="V2817" s="2012"/>
      <c r="W2817" s="2012"/>
      <c r="X2817" s="2012"/>
      <c r="Y2817" s="2012"/>
      <c r="Z2817" s="2014" t="s">
        <v>1851</v>
      </c>
      <c r="AA2817" s="2014"/>
      <c r="AB2817" s="2014"/>
      <c r="AC2817" s="2014"/>
      <c r="AD2817" s="2014"/>
      <c r="AE2817" s="2014"/>
      <c r="AF2817" s="1060">
        <v>0</v>
      </c>
    </row>
    <row r="2818" spans="1:32" ht="15.75" x14ac:dyDescent="0.25">
      <c r="A2818" s="2011"/>
      <c r="B2818" s="2012"/>
      <c r="C2818" s="2012"/>
      <c r="D2818" s="2012"/>
      <c r="E2818" s="2012"/>
      <c r="F2818" s="2012"/>
      <c r="G2818" s="2012"/>
      <c r="H2818" s="2012"/>
      <c r="I2818" s="2012"/>
      <c r="J2818" s="2012"/>
      <c r="K2818" s="2012"/>
      <c r="L2818" s="2012"/>
      <c r="M2818" s="2012"/>
      <c r="N2818" s="2012"/>
      <c r="O2818" s="2012"/>
      <c r="P2818" s="2012"/>
      <c r="Q2818" s="2012"/>
      <c r="R2818" s="2012"/>
      <c r="S2818" s="2012"/>
      <c r="T2818" s="2012"/>
      <c r="U2818" s="2012"/>
      <c r="V2818" s="2012"/>
      <c r="W2818" s="2012"/>
      <c r="X2818" s="2012"/>
      <c r="Y2818" s="2012"/>
      <c r="Z2818" s="2015" t="s">
        <v>1833</v>
      </c>
      <c r="AA2818" s="2015"/>
      <c r="AB2818" s="2015"/>
      <c r="AC2818" s="2015"/>
      <c r="AD2818" s="2015"/>
      <c r="AE2818" s="2015"/>
      <c r="AF2818" s="1061">
        <f>SUM(AF2816:AF2817)</f>
        <v>6319.76</v>
      </c>
    </row>
    <row r="2819" spans="1:32" x14ac:dyDescent="0.2">
      <c r="A2819" s="2012" t="s">
        <v>1859</v>
      </c>
      <c r="B2819" s="2012"/>
      <c r="C2819" s="2012"/>
      <c r="D2819" s="2012"/>
      <c r="E2819" s="2012"/>
      <c r="F2819" s="2012"/>
      <c r="G2819" s="2012"/>
      <c r="H2819" s="2012"/>
      <c r="I2819" s="2012"/>
      <c r="J2819" s="2012"/>
      <c r="K2819" s="2012"/>
      <c r="L2819" s="2012"/>
      <c r="M2819" s="2012"/>
      <c r="N2819" s="2012"/>
      <c r="O2819" s="2012"/>
      <c r="P2819" s="2012"/>
      <c r="Q2819" s="2012"/>
      <c r="R2819" s="2012"/>
      <c r="S2819" s="2012"/>
      <c r="T2819" s="2016" t="s">
        <v>1840</v>
      </c>
      <c r="U2819" s="2016"/>
      <c r="V2819" s="2016"/>
      <c r="W2819" s="2016"/>
      <c r="X2819" s="2016"/>
      <c r="Y2819" s="2016"/>
      <c r="Z2819" s="2016"/>
      <c r="AA2819" s="2016"/>
      <c r="AB2819" s="2012" t="s">
        <v>1852</v>
      </c>
      <c r="AC2819" s="2012"/>
      <c r="AD2819" s="2012"/>
      <c r="AE2819" s="2012"/>
      <c r="AF2819" s="2012"/>
    </row>
    <row r="2820" spans="1:32" x14ac:dyDescent="0.2">
      <c r="A2820" s="2012"/>
      <c r="B2820" s="2012"/>
      <c r="C2820" s="2012"/>
      <c r="D2820" s="2012"/>
      <c r="E2820" s="2012"/>
      <c r="F2820" s="2012"/>
      <c r="G2820" s="2012"/>
      <c r="H2820" s="2012"/>
      <c r="I2820" s="2012"/>
      <c r="J2820" s="2012"/>
      <c r="K2820" s="2012"/>
      <c r="L2820" s="2012"/>
      <c r="M2820" s="2012"/>
      <c r="N2820" s="2012"/>
      <c r="O2820" s="2012"/>
      <c r="P2820" s="2012"/>
      <c r="Q2820" s="2012"/>
      <c r="R2820" s="2012"/>
      <c r="S2820" s="2012"/>
      <c r="T2820" s="2016"/>
      <c r="U2820" s="2016"/>
      <c r="V2820" s="2016"/>
      <c r="W2820" s="2016"/>
      <c r="X2820" s="2016"/>
      <c r="Y2820" s="2016"/>
      <c r="Z2820" s="2016"/>
      <c r="AA2820" s="2016"/>
      <c r="AB2820" s="2012"/>
      <c r="AC2820" s="2012"/>
      <c r="AD2820" s="2012"/>
      <c r="AE2820" s="2012"/>
      <c r="AF2820" s="2012"/>
    </row>
    <row r="2821" spans="1:32" ht="13.5" thickBot="1" x14ac:dyDescent="0.25"/>
    <row r="2822" spans="1:32" ht="26.45" customHeight="1" x14ac:dyDescent="0.2">
      <c r="A2822" s="2025" t="s">
        <v>1854</v>
      </c>
      <c r="B2822" s="2026"/>
      <c r="C2822" s="2026"/>
      <c r="D2822" s="2026"/>
      <c r="E2822" s="2026"/>
      <c r="F2822" s="2026"/>
      <c r="G2822" s="2026"/>
      <c r="H2822" s="2026"/>
      <c r="I2822" s="2026"/>
      <c r="J2822" s="2026"/>
      <c r="K2822" s="2026"/>
      <c r="L2822" s="2026"/>
      <c r="M2822" s="2026"/>
      <c r="N2822" s="2026"/>
      <c r="O2822" s="2026"/>
      <c r="P2822" s="2026"/>
      <c r="Q2822" s="2026"/>
      <c r="R2822" s="2026"/>
      <c r="S2822" s="2026"/>
      <c r="T2822" s="2026"/>
      <c r="U2822" s="2026"/>
      <c r="V2822" s="2026"/>
      <c r="W2822" s="2026"/>
      <c r="X2822" s="2026"/>
      <c r="Y2822" s="2026"/>
      <c r="Z2822" s="2026"/>
      <c r="AA2822" s="2026"/>
      <c r="AB2822" s="2026"/>
      <c r="AC2822" s="2026"/>
      <c r="AD2822" s="2026"/>
      <c r="AE2822" s="1041" t="s">
        <v>1834</v>
      </c>
      <c r="AF2822" s="1042" t="s">
        <v>1835</v>
      </c>
    </row>
    <row r="2823" spans="1:32" ht="21" customHeight="1" thickBot="1" x14ac:dyDescent="0.25">
      <c r="A2823" s="2027"/>
      <c r="B2823" s="2028"/>
      <c r="C2823" s="2028"/>
      <c r="D2823" s="2028"/>
      <c r="E2823" s="2028"/>
      <c r="F2823" s="2028"/>
      <c r="G2823" s="2028"/>
      <c r="H2823" s="2028"/>
      <c r="I2823" s="2028"/>
      <c r="J2823" s="2028"/>
      <c r="K2823" s="2028"/>
      <c r="L2823" s="2028"/>
      <c r="M2823" s="2028"/>
      <c r="N2823" s="2028"/>
      <c r="O2823" s="2028"/>
      <c r="P2823" s="2028"/>
      <c r="Q2823" s="2028"/>
      <c r="R2823" s="2028"/>
      <c r="S2823" s="2028"/>
      <c r="T2823" s="2028"/>
      <c r="U2823" s="2028"/>
      <c r="V2823" s="2028"/>
      <c r="W2823" s="2028"/>
      <c r="X2823" s="2028"/>
      <c r="Y2823" s="2028"/>
      <c r="Z2823" s="2028"/>
      <c r="AA2823" s="2028"/>
      <c r="AB2823" s="2028"/>
      <c r="AC2823" s="2028"/>
      <c r="AD2823" s="2028"/>
      <c r="AE2823" s="1041" t="s">
        <v>1836</v>
      </c>
      <c r="AF2823" s="1044">
        <v>1</v>
      </c>
    </row>
    <row r="2824" spans="1:32" ht="15.75" x14ac:dyDescent="0.2">
      <c r="A2824" s="2029"/>
      <c r="B2824" s="2030"/>
      <c r="C2824" s="2030"/>
      <c r="D2824" s="2031"/>
      <c r="E2824" s="2025" t="str">
        <f>'01'!$A$12</f>
        <v>"CONSTRUCCION SISTEMA DE ACUEDUCTO FASE II DEL MUNICIPIO DE TESALIA DPTO DEL HUILA"</v>
      </c>
      <c r="F2824" s="2026"/>
      <c r="G2824" s="2026"/>
      <c r="H2824" s="2026"/>
      <c r="I2824" s="2026"/>
      <c r="J2824" s="2026"/>
      <c r="K2824" s="2026"/>
      <c r="L2824" s="2026"/>
      <c r="M2824" s="2026"/>
      <c r="N2824" s="2026"/>
      <c r="O2824" s="2026"/>
      <c r="P2824" s="2026"/>
      <c r="Q2824" s="2026"/>
      <c r="R2824" s="2026"/>
      <c r="S2824" s="2026"/>
      <c r="T2824" s="2026"/>
      <c r="U2824" s="2026"/>
      <c r="V2824" s="2026"/>
      <c r="W2824" s="2026"/>
      <c r="X2824" s="2026"/>
      <c r="Y2824" s="2026"/>
      <c r="Z2824" s="2026"/>
      <c r="AA2824" s="2026"/>
      <c r="AB2824" s="2026"/>
      <c r="AC2824" s="2026"/>
      <c r="AD2824" s="2035"/>
      <c r="AE2824" s="1041" t="s">
        <v>847</v>
      </c>
      <c r="AF2824" s="1045">
        <f>'01'!$M$13</f>
        <v>0</v>
      </c>
    </row>
    <row r="2825" spans="1:32" ht="16.5" thickBot="1" x14ac:dyDescent="0.25">
      <c r="A2825" s="2032"/>
      <c r="B2825" s="2033"/>
      <c r="C2825" s="2033"/>
      <c r="D2825" s="2034"/>
      <c r="E2825" s="2027"/>
      <c r="F2825" s="2028"/>
      <c r="G2825" s="2028"/>
      <c r="H2825" s="2028"/>
      <c r="I2825" s="2028"/>
      <c r="J2825" s="2028"/>
      <c r="K2825" s="2028"/>
      <c r="L2825" s="2028"/>
      <c r="M2825" s="2028"/>
      <c r="N2825" s="2028"/>
      <c r="O2825" s="2028"/>
      <c r="P2825" s="2028"/>
      <c r="Q2825" s="2028"/>
      <c r="R2825" s="2028"/>
      <c r="S2825" s="2028"/>
      <c r="T2825" s="2028"/>
      <c r="U2825" s="2028"/>
      <c r="V2825" s="2028"/>
      <c r="W2825" s="2028"/>
      <c r="X2825" s="2028"/>
      <c r="Y2825" s="2028"/>
      <c r="Z2825" s="2028"/>
      <c r="AA2825" s="2028"/>
      <c r="AB2825" s="2028"/>
      <c r="AC2825" s="2028"/>
      <c r="AD2825" s="2036"/>
      <c r="AE2825" s="1041" t="s">
        <v>1837</v>
      </c>
      <c r="AF2825" s="1042" t="s">
        <v>1838</v>
      </c>
    </row>
    <row r="2826" spans="1:32" ht="15.75" x14ac:dyDescent="0.25">
      <c r="A2826" s="2037" t="s">
        <v>1860</v>
      </c>
      <c r="B2826" s="2038"/>
      <c r="C2826" s="2038"/>
      <c r="D2826" s="2038"/>
      <c r="E2826" s="2038"/>
      <c r="F2826" s="2038"/>
      <c r="G2826" s="2038"/>
      <c r="H2826" s="2038"/>
      <c r="I2826" s="2038"/>
      <c r="J2826" s="2038"/>
      <c r="K2826" s="2038"/>
      <c r="L2826" s="2038"/>
      <c r="M2826" s="2038"/>
      <c r="N2826" s="2038"/>
      <c r="O2826" s="2038"/>
      <c r="P2826" s="2038"/>
      <c r="Q2826" s="2038"/>
      <c r="R2826" s="2038"/>
      <c r="S2826" s="2038"/>
      <c r="T2826" s="2038"/>
      <c r="U2826" s="2038"/>
      <c r="V2826" s="2038"/>
      <c r="W2826" s="2038"/>
      <c r="X2826" s="2038"/>
      <c r="Y2826" s="2038"/>
      <c r="Z2826" s="2038"/>
      <c r="AA2826" s="2038"/>
      <c r="AB2826" s="2038"/>
      <c r="AC2826" s="2038"/>
      <c r="AD2826" s="2038"/>
      <c r="AE2826" s="2039" t="s">
        <v>1839</v>
      </c>
      <c r="AF2826" s="2040"/>
    </row>
    <row r="2827" spans="1:32" ht="15.75" x14ac:dyDescent="0.25">
      <c r="A2827" s="2041" t="s">
        <v>1840</v>
      </c>
      <c r="B2827" s="2042"/>
      <c r="C2827" s="2042"/>
      <c r="D2827" s="2042"/>
      <c r="E2827" s="2042"/>
      <c r="F2827" s="2042"/>
      <c r="G2827" s="2042"/>
      <c r="H2827" s="2042"/>
      <c r="I2827" s="2042"/>
      <c r="J2827" s="2042"/>
      <c r="K2827" s="2042"/>
      <c r="L2827" s="2042"/>
      <c r="M2827" s="2042"/>
      <c r="N2827" s="2042"/>
      <c r="O2827" s="2042"/>
      <c r="P2827" s="2042"/>
      <c r="Q2827" s="2042"/>
      <c r="R2827" s="2042"/>
      <c r="S2827" s="2042"/>
      <c r="T2827" s="2042"/>
      <c r="U2827" s="2042"/>
      <c r="V2827" s="2042"/>
      <c r="W2827" s="2042"/>
      <c r="X2827" s="2042"/>
      <c r="Y2827" s="2042"/>
      <c r="Z2827" s="2042"/>
      <c r="AA2827" s="2042"/>
      <c r="AB2827" s="2042"/>
      <c r="AC2827" s="2042"/>
      <c r="AD2827" s="2043"/>
      <c r="AE2827" s="2014" t="s">
        <v>1841</v>
      </c>
      <c r="AF2827" s="2044"/>
    </row>
    <row r="2828" spans="1:32" ht="15.75" x14ac:dyDescent="0.25">
      <c r="A2828" s="2045" t="s">
        <v>1853</v>
      </c>
      <c r="B2828" s="2046"/>
      <c r="C2828" s="2046"/>
      <c r="D2828" s="2046"/>
      <c r="E2828" s="2046"/>
      <c r="F2828" s="2046"/>
      <c r="G2828" s="2046"/>
      <c r="H2828" s="2046"/>
      <c r="I2828" s="2046"/>
      <c r="J2828" s="2046"/>
      <c r="K2828" s="2046"/>
      <c r="L2828" s="2046"/>
      <c r="M2828" s="2046"/>
      <c r="N2828" s="2046"/>
      <c r="O2828" s="2046"/>
      <c r="P2828" s="2046"/>
      <c r="Q2828" s="2046"/>
      <c r="R2828" s="2046"/>
      <c r="S2828" s="2046"/>
      <c r="T2828" s="2046"/>
      <c r="U2828" s="2046"/>
      <c r="V2828" s="2046"/>
      <c r="W2828" s="2046"/>
      <c r="X2828" s="2046"/>
      <c r="Y2828" s="2046"/>
      <c r="Z2828" s="2046"/>
      <c r="AA2828" s="2046"/>
      <c r="AB2828" s="2046"/>
      <c r="AC2828" s="2046"/>
      <c r="AD2828" s="2046"/>
      <c r="AE2828" s="2047">
        <f>'01'!$M$13</f>
        <v>0</v>
      </c>
      <c r="AF2828" s="2044"/>
    </row>
    <row r="2829" spans="1:32" x14ac:dyDescent="0.2">
      <c r="A2829" s="1046"/>
      <c r="B2829" s="1047"/>
      <c r="C2829" s="1047"/>
      <c r="D2829" s="1047"/>
      <c r="E2829" s="1047"/>
      <c r="F2829" s="1047"/>
      <c r="G2829" s="1047"/>
      <c r="H2829" s="1047"/>
      <c r="I2829" s="1047"/>
      <c r="J2829" s="1047"/>
      <c r="K2829" s="1047"/>
      <c r="L2829" s="1047"/>
      <c r="M2829" s="1047"/>
      <c r="N2829" s="1047"/>
      <c r="O2829" s="1047"/>
      <c r="P2829" s="1047"/>
      <c r="Q2829" s="1047"/>
      <c r="R2829" s="1047"/>
      <c r="S2829" s="1047"/>
      <c r="T2829" s="1047"/>
      <c r="U2829" s="1047"/>
      <c r="V2829" s="1047"/>
      <c r="W2829" s="1047"/>
      <c r="X2829" s="1047"/>
      <c r="Y2829" s="1047"/>
      <c r="Z2829" s="1047"/>
      <c r="AA2829" s="1047"/>
      <c r="AB2829" s="1047"/>
      <c r="AC2829" s="1047"/>
      <c r="AD2829" s="1047"/>
      <c r="AE2829" s="1047"/>
      <c r="AF2829" s="1048"/>
    </row>
    <row r="2830" spans="1:32" ht="30" customHeight="1" x14ac:dyDescent="0.2">
      <c r="A2830" s="2048" t="s">
        <v>1842</v>
      </c>
      <c r="B2830" s="2049"/>
      <c r="C2830" s="2049"/>
      <c r="D2830" s="2049"/>
      <c r="E2830" s="2049"/>
      <c r="F2830" s="2050" t="str">
        <f>+'01'!$H$105</f>
        <v>D - CANAL DE DESINFECCIÓN</v>
      </c>
      <c r="G2830" s="2049"/>
      <c r="H2830" s="2049"/>
      <c r="I2830" s="2049"/>
      <c r="J2830" s="2049"/>
      <c r="K2830" s="2049"/>
      <c r="L2830" s="2049"/>
      <c r="M2830" s="2049"/>
      <c r="N2830" s="2049"/>
      <c r="O2830" s="2049"/>
      <c r="P2830" s="2049"/>
      <c r="Q2830" s="2049"/>
      <c r="R2830" s="2049"/>
      <c r="S2830" s="2049"/>
      <c r="T2830" s="2049"/>
      <c r="U2830" s="2049"/>
      <c r="V2830" s="2049"/>
      <c r="W2830" s="2049"/>
      <c r="X2830" s="2049"/>
      <c r="Y2830" s="2051"/>
      <c r="Z2830" s="2052" t="s">
        <v>1843</v>
      </c>
      <c r="AA2830" s="2053"/>
      <c r="AB2830" s="2058" t="s">
        <v>1844</v>
      </c>
      <c r="AC2830" s="2059"/>
      <c r="AD2830" s="2060"/>
      <c r="AE2830" s="2064" t="s">
        <v>1845</v>
      </c>
      <c r="AF2830" s="2067" t="s">
        <v>1846</v>
      </c>
    </row>
    <row r="2831" spans="1:32" ht="15" customHeight="1" x14ac:dyDescent="0.2">
      <c r="A2831" s="2070" t="str">
        <f>+'01'!A124</f>
        <v>D-07-01</v>
      </c>
      <c r="B2831" s="2071"/>
      <c r="C2831" s="2072"/>
      <c r="D2831" s="2076" t="str">
        <f>VLOOKUP(A2831,'01'!$A$12:$N$299,3,FALSE)</f>
        <v>SUMINISTRO E INSTALACIÓN DE TUBERIA PVC UNION MECANICA DE 8". PRESIÓN DE TRABAJO 200 PSI.</v>
      </c>
      <c r="E2831" s="2077"/>
      <c r="F2831" s="2077"/>
      <c r="G2831" s="2077"/>
      <c r="H2831" s="2077"/>
      <c r="I2831" s="2077"/>
      <c r="J2831" s="2077"/>
      <c r="K2831" s="2077"/>
      <c r="L2831" s="2077"/>
      <c r="M2831" s="2077"/>
      <c r="N2831" s="2077"/>
      <c r="O2831" s="2077"/>
      <c r="P2831" s="2077"/>
      <c r="Q2831" s="2077"/>
      <c r="R2831" s="2077"/>
      <c r="S2831" s="2078"/>
      <c r="T2831" s="2082" t="s">
        <v>124</v>
      </c>
      <c r="U2831" s="2083"/>
      <c r="V2831" s="2083"/>
      <c r="W2831" s="2083"/>
      <c r="X2831" s="2052" t="str">
        <f>VLOOKUP(A2831,'01'!$A$12:$N$299,9,FALSE)</f>
        <v>ML</v>
      </c>
      <c r="Y2831" s="2053"/>
      <c r="Z2831" s="2054"/>
      <c r="AA2831" s="2055"/>
      <c r="AB2831" s="2061"/>
      <c r="AC2831" s="2062"/>
      <c r="AD2831" s="2063"/>
      <c r="AE2831" s="2065"/>
      <c r="AF2831" s="2068"/>
    </row>
    <row r="2832" spans="1:32" ht="15" customHeight="1" x14ac:dyDescent="0.25">
      <c r="A2832" s="2073"/>
      <c r="B2832" s="2074"/>
      <c r="C2832" s="2075"/>
      <c r="D2832" s="2079"/>
      <c r="E2832" s="2080"/>
      <c r="F2832" s="2080"/>
      <c r="G2832" s="2080"/>
      <c r="H2832" s="2080"/>
      <c r="I2832" s="2080"/>
      <c r="J2832" s="2080"/>
      <c r="K2832" s="2080"/>
      <c r="L2832" s="2080"/>
      <c r="M2832" s="2080"/>
      <c r="N2832" s="2080"/>
      <c r="O2832" s="2080"/>
      <c r="P2832" s="2080"/>
      <c r="Q2832" s="2080"/>
      <c r="R2832" s="2080"/>
      <c r="S2832" s="2081"/>
      <c r="T2832" s="2084"/>
      <c r="U2832" s="2085"/>
      <c r="V2832" s="2085"/>
      <c r="W2832" s="2085"/>
      <c r="X2832" s="2056"/>
      <c r="Y2832" s="2057"/>
      <c r="Z2832" s="2056"/>
      <c r="AA2832" s="2057"/>
      <c r="AB2832" s="1049" t="s">
        <v>1847</v>
      </c>
      <c r="AC2832" s="1049" t="s">
        <v>1848</v>
      </c>
      <c r="AD2832" s="1049" t="s">
        <v>1861</v>
      </c>
      <c r="AE2832" s="2066"/>
      <c r="AF2832" s="2069"/>
    </row>
    <row r="2833" spans="1:32" ht="15.6" customHeight="1" x14ac:dyDescent="0.25">
      <c r="A2833" s="2017"/>
      <c r="B2833" s="2018"/>
      <c r="C2833" s="2018"/>
      <c r="D2833" s="2018"/>
      <c r="E2833" s="2018"/>
      <c r="F2833" s="2018"/>
      <c r="G2833" s="2018"/>
      <c r="H2833" s="2018"/>
      <c r="I2833" s="2018"/>
      <c r="J2833" s="2018"/>
      <c r="K2833" s="2018"/>
      <c r="L2833" s="2018"/>
      <c r="M2833" s="2018"/>
      <c r="N2833" s="2018"/>
      <c r="O2833" s="2018"/>
      <c r="P2833" s="2018"/>
      <c r="Q2833" s="2018"/>
      <c r="R2833" s="2018"/>
      <c r="S2833" s="2018"/>
      <c r="T2833" s="2018"/>
      <c r="U2833" s="2018"/>
      <c r="V2833" s="2018"/>
      <c r="W2833" s="2018"/>
      <c r="X2833" s="2018"/>
      <c r="Y2833" s="2018"/>
      <c r="Z2833" s="2021" t="s">
        <v>2457</v>
      </c>
      <c r="AA2833" s="2021"/>
      <c r="AB2833" s="1050">
        <f>+AB2476</f>
        <v>5</v>
      </c>
      <c r="AC2833" s="1050"/>
      <c r="AD2833" s="1050"/>
      <c r="AE2833" s="1050">
        <v>1</v>
      </c>
      <c r="AF2833" s="1052">
        <f>+ROUND(AB2833*AE2833,2)</f>
        <v>5</v>
      </c>
    </row>
    <row r="2834" spans="1:32" ht="15.6" customHeight="1" x14ac:dyDescent="0.25">
      <c r="A2834" s="2017"/>
      <c r="B2834" s="2018"/>
      <c r="C2834" s="2018"/>
      <c r="D2834" s="2018"/>
      <c r="E2834" s="2018"/>
      <c r="F2834" s="2018"/>
      <c r="G2834" s="2018"/>
      <c r="H2834" s="2018"/>
      <c r="I2834" s="2018"/>
      <c r="J2834" s="2018"/>
      <c r="K2834" s="2018"/>
      <c r="L2834" s="2018"/>
      <c r="M2834" s="2018"/>
      <c r="N2834" s="2018"/>
      <c r="O2834" s="2018"/>
      <c r="P2834" s="2018"/>
      <c r="Q2834" s="2018"/>
      <c r="R2834" s="2018"/>
      <c r="S2834" s="2018"/>
      <c r="T2834" s="2018"/>
      <c r="U2834" s="2018"/>
      <c r="V2834" s="2018"/>
      <c r="W2834" s="2018"/>
      <c r="X2834" s="2018"/>
      <c r="Y2834" s="2018"/>
      <c r="Z2834" s="2105"/>
      <c r="AA2834" s="2105"/>
      <c r="AB2834" s="1050"/>
      <c r="AC2834" s="1050"/>
      <c r="AD2834" s="1050"/>
      <c r="AE2834" s="1050"/>
      <c r="AF2834" s="1052"/>
    </row>
    <row r="2835" spans="1:32" ht="15.75" x14ac:dyDescent="0.25">
      <c r="A2835" s="2017"/>
      <c r="B2835" s="2018"/>
      <c r="C2835" s="2018"/>
      <c r="D2835" s="2018"/>
      <c r="E2835" s="2018"/>
      <c r="F2835" s="2018"/>
      <c r="G2835" s="2018"/>
      <c r="H2835" s="2018"/>
      <c r="I2835" s="2018"/>
      <c r="J2835" s="2018"/>
      <c r="K2835" s="2018"/>
      <c r="L2835" s="2018"/>
      <c r="M2835" s="2018"/>
      <c r="N2835" s="2018"/>
      <c r="O2835" s="2018"/>
      <c r="P2835" s="2018"/>
      <c r="Q2835" s="2018"/>
      <c r="R2835" s="2018"/>
      <c r="S2835" s="2018"/>
      <c r="T2835" s="2018"/>
      <c r="U2835" s="2018"/>
      <c r="V2835" s="2018"/>
      <c r="W2835" s="2018"/>
      <c r="X2835" s="2018"/>
      <c r="Y2835" s="2018"/>
      <c r="Z2835" s="2105"/>
      <c r="AA2835" s="2105"/>
      <c r="AB2835" s="1050"/>
      <c r="AC2835" s="1050"/>
      <c r="AD2835" s="1050"/>
      <c r="AE2835" s="1050"/>
      <c r="AF2835" s="1052"/>
    </row>
    <row r="2836" spans="1:32" ht="15.75" x14ac:dyDescent="0.25">
      <c r="A2836" s="2017"/>
      <c r="B2836" s="2018"/>
      <c r="C2836" s="2018"/>
      <c r="D2836" s="2018"/>
      <c r="E2836" s="2018"/>
      <c r="F2836" s="2018"/>
      <c r="G2836" s="2018"/>
      <c r="H2836" s="2018"/>
      <c r="I2836" s="2018"/>
      <c r="J2836" s="2018"/>
      <c r="K2836" s="2018"/>
      <c r="L2836" s="2018"/>
      <c r="M2836" s="2018"/>
      <c r="N2836" s="2018"/>
      <c r="O2836" s="2018"/>
      <c r="P2836" s="2018"/>
      <c r="Q2836" s="2018"/>
      <c r="R2836" s="2018"/>
      <c r="S2836" s="2018"/>
      <c r="T2836" s="2018"/>
      <c r="U2836" s="2018"/>
      <c r="V2836" s="2018"/>
      <c r="W2836" s="2018"/>
      <c r="X2836" s="2018"/>
      <c r="Y2836" s="2018"/>
      <c r="Z2836" s="2105"/>
      <c r="AA2836" s="2105"/>
      <c r="AB2836" s="1050"/>
      <c r="AC2836" s="1050"/>
      <c r="AD2836" s="1050"/>
      <c r="AE2836" s="1050"/>
      <c r="AF2836" s="1052"/>
    </row>
    <row r="2837" spans="1:32" ht="15.75" x14ac:dyDescent="0.25">
      <c r="A2837" s="2017"/>
      <c r="B2837" s="2018"/>
      <c r="C2837" s="2018"/>
      <c r="D2837" s="2018"/>
      <c r="E2837" s="2018"/>
      <c r="F2837" s="2018"/>
      <c r="G2837" s="2018"/>
      <c r="H2837" s="2018"/>
      <c r="I2837" s="2018"/>
      <c r="J2837" s="2018"/>
      <c r="K2837" s="2018"/>
      <c r="L2837" s="2018"/>
      <c r="M2837" s="2018"/>
      <c r="N2837" s="2018"/>
      <c r="O2837" s="2018"/>
      <c r="P2837" s="2018"/>
      <c r="Q2837" s="2018"/>
      <c r="R2837" s="2018"/>
      <c r="S2837" s="2018"/>
      <c r="T2837" s="2018"/>
      <c r="U2837" s="2018"/>
      <c r="V2837" s="2018"/>
      <c r="W2837" s="2018"/>
      <c r="X2837" s="2018"/>
      <c r="Y2837" s="2018"/>
      <c r="Z2837" s="2105"/>
      <c r="AA2837" s="2105"/>
      <c r="AB2837" s="1050"/>
      <c r="AC2837" s="1050"/>
      <c r="AD2837" s="1050"/>
      <c r="AE2837" s="1050"/>
      <c r="AF2837" s="1052"/>
    </row>
    <row r="2838" spans="1:32" ht="15.75" x14ac:dyDescent="0.25">
      <c r="A2838" s="2017"/>
      <c r="B2838" s="2018"/>
      <c r="C2838" s="2018"/>
      <c r="D2838" s="2018"/>
      <c r="E2838" s="2018"/>
      <c r="F2838" s="2018"/>
      <c r="G2838" s="2018"/>
      <c r="H2838" s="2018"/>
      <c r="I2838" s="2018"/>
      <c r="J2838" s="2018"/>
      <c r="K2838" s="2018"/>
      <c r="L2838" s="2018"/>
      <c r="M2838" s="2018"/>
      <c r="N2838" s="2018"/>
      <c r="O2838" s="2018"/>
      <c r="P2838" s="2018"/>
      <c r="Q2838" s="2018"/>
      <c r="R2838" s="2018"/>
      <c r="S2838" s="2018"/>
      <c r="T2838" s="2018"/>
      <c r="U2838" s="2018"/>
      <c r="V2838" s="2018"/>
      <c r="W2838" s="2018"/>
      <c r="X2838" s="2018"/>
      <c r="Y2838" s="2018"/>
      <c r="Z2838" s="2105"/>
      <c r="AA2838" s="2105"/>
      <c r="AB2838" s="1050"/>
      <c r="AC2838" s="1050"/>
      <c r="AD2838" s="1050"/>
      <c r="AE2838" s="1050"/>
      <c r="AF2838" s="1052"/>
    </row>
    <row r="2839" spans="1:32" ht="15.75" x14ac:dyDescent="0.25">
      <c r="A2839" s="2017"/>
      <c r="B2839" s="2018"/>
      <c r="C2839" s="2018"/>
      <c r="D2839" s="2018"/>
      <c r="E2839" s="2018"/>
      <c r="F2839" s="2018"/>
      <c r="G2839" s="2018"/>
      <c r="H2839" s="2018"/>
      <c r="I2839" s="2018"/>
      <c r="J2839" s="2018"/>
      <c r="K2839" s="2018"/>
      <c r="L2839" s="2018"/>
      <c r="M2839" s="2018"/>
      <c r="N2839" s="2018"/>
      <c r="O2839" s="2018"/>
      <c r="P2839" s="2018"/>
      <c r="Q2839" s="2018"/>
      <c r="R2839" s="2018"/>
      <c r="S2839" s="2018"/>
      <c r="T2839" s="2018"/>
      <c r="U2839" s="2018"/>
      <c r="V2839" s="2018"/>
      <c r="W2839" s="2018"/>
      <c r="X2839" s="2018"/>
      <c r="Y2839" s="2018"/>
      <c r="Z2839" s="2105"/>
      <c r="AA2839" s="2105"/>
      <c r="AB2839" s="1050"/>
      <c r="AC2839" s="1050"/>
      <c r="AD2839" s="1050"/>
      <c r="AE2839" s="1050"/>
      <c r="AF2839" s="1052"/>
    </row>
    <row r="2840" spans="1:32" ht="15.75" x14ac:dyDescent="0.25">
      <c r="A2840" s="2017"/>
      <c r="B2840" s="2018"/>
      <c r="C2840" s="2018"/>
      <c r="D2840" s="2018"/>
      <c r="E2840" s="2018"/>
      <c r="F2840" s="2018"/>
      <c r="G2840" s="2018"/>
      <c r="H2840" s="2018"/>
      <c r="I2840" s="2018"/>
      <c r="J2840" s="2018"/>
      <c r="K2840" s="2018"/>
      <c r="L2840" s="2018"/>
      <c r="M2840" s="2018"/>
      <c r="N2840" s="2018"/>
      <c r="O2840" s="2018"/>
      <c r="P2840" s="2018"/>
      <c r="Q2840" s="2018"/>
      <c r="R2840" s="2018"/>
      <c r="S2840" s="2018"/>
      <c r="T2840" s="2018"/>
      <c r="U2840" s="2018"/>
      <c r="V2840" s="2018"/>
      <c r="W2840" s="2018"/>
      <c r="X2840" s="2018"/>
      <c r="Y2840" s="2018"/>
      <c r="Z2840" s="2105"/>
      <c r="AA2840" s="2105"/>
      <c r="AB2840" s="1050"/>
      <c r="AC2840" s="1050"/>
      <c r="AD2840" s="1050"/>
      <c r="AE2840" s="1050"/>
      <c r="AF2840" s="1052"/>
    </row>
    <row r="2841" spans="1:32" ht="15.75" x14ac:dyDescent="0.25">
      <c r="A2841" s="2017"/>
      <c r="B2841" s="2018"/>
      <c r="C2841" s="2018"/>
      <c r="D2841" s="2018"/>
      <c r="E2841" s="2018"/>
      <c r="F2841" s="2018"/>
      <c r="G2841" s="2018"/>
      <c r="H2841" s="2018"/>
      <c r="I2841" s="2018"/>
      <c r="J2841" s="2018"/>
      <c r="K2841" s="2018"/>
      <c r="L2841" s="2018"/>
      <c r="M2841" s="2018"/>
      <c r="N2841" s="2018"/>
      <c r="O2841" s="2018"/>
      <c r="P2841" s="2018"/>
      <c r="Q2841" s="2018"/>
      <c r="R2841" s="2018"/>
      <c r="S2841" s="2018"/>
      <c r="T2841" s="2018"/>
      <c r="U2841" s="2018"/>
      <c r="V2841" s="2018"/>
      <c r="W2841" s="2018"/>
      <c r="X2841" s="2018"/>
      <c r="Y2841" s="2018"/>
      <c r="Z2841" s="2105"/>
      <c r="AA2841" s="2105"/>
      <c r="AB2841" s="1050"/>
      <c r="AC2841" s="1050"/>
      <c r="AD2841" s="1050"/>
      <c r="AE2841" s="1050"/>
      <c r="AF2841" s="1052"/>
    </row>
    <row r="2842" spans="1:32" ht="15.75" x14ac:dyDescent="0.25">
      <c r="A2842" s="2017"/>
      <c r="B2842" s="2018"/>
      <c r="C2842" s="2018"/>
      <c r="D2842" s="2018"/>
      <c r="E2842" s="2018"/>
      <c r="F2842" s="2018"/>
      <c r="G2842" s="2018"/>
      <c r="H2842" s="2018"/>
      <c r="I2842" s="2018"/>
      <c r="J2842" s="2018"/>
      <c r="K2842" s="2018"/>
      <c r="L2842" s="2018"/>
      <c r="M2842" s="2018"/>
      <c r="N2842" s="2018"/>
      <c r="O2842" s="2018"/>
      <c r="P2842" s="2018"/>
      <c r="Q2842" s="2018"/>
      <c r="R2842" s="2018"/>
      <c r="S2842" s="2018"/>
      <c r="T2842" s="2018"/>
      <c r="U2842" s="2018"/>
      <c r="V2842" s="2018"/>
      <c r="W2842" s="2018"/>
      <c r="X2842" s="2018"/>
      <c r="Y2842" s="2018"/>
      <c r="Z2842" s="2105"/>
      <c r="AA2842" s="2105"/>
      <c r="AB2842" s="1050"/>
      <c r="AC2842" s="1050"/>
      <c r="AD2842" s="1050"/>
      <c r="AE2842" s="1050"/>
      <c r="AF2842" s="1052"/>
    </row>
    <row r="2843" spans="1:32" ht="15.75" x14ac:dyDescent="0.25">
      <c r="A2843" s="2017"/>
      <c r="B2843" s="2018"/>
      <c r="C2843" s="2018"/>
      <c r="D2843" s="2018"/>
      <c r="E2843" s="2018"/>
      <c r="F2843" s="2018"/>
      <c r="G2843" s="2018"/>
      <c r="H2843" s="2018"/>
      <c r="I2843" s="2018"/>
      <c r="J2843" s="2018"/>
      <c r="K2843" s="2018"/>
      <c r="L2843" s="2018"/>
      <c r="M2843" s="2018"/>
      <c r="N2843" s="2018"/>
      <c r="O2843" s="2018"/>
      <c r="P2843" s="2018"/>
      <c r="Q2843" s="2018"/>
      <c r="R2843" s="2018"/>
      <c r="S2843" s="2018"/>
      <c r="T2843" s="2018"/>
      <c r="U2843" s="2018"/>
      <c r="V2843" s="2018"/>
      <c r="W2843" s="2018"/>
      <c r="X2843" s="2018"/>
      <c r="Y2843" s="2018"/>
      <c r="Z2843" s="2105"/>
      <c r="AA2843" s="2105"/>
      <c r="AB2843" s="1050"/>
      <c r="AC2843" s="1050"/>
      <c r="AD2843" s="1050"/>
      <c r="AE2843" s="1050"/>
      <c r="AF2843" s="1052"/>
    </row>
    <row r="2844" spans="1:32" ht="15.75" x14ac:dyDescent="0.25">
      <c r="A2844" s="2017"/>
      <c r="B2844" s="2018"/>
      <c r="C2844" s="2018"/>
      <c r="D2844" s="2018"/>
      <c r="E2844" s="2018"/>
      <c r="F2844" s="2018"/>
      <c r="G2844" s="2018"/>
      <c r="H2844" s="2018"/>
      <c r="I2844" s="2018"/>
      <c r="J2844" s="2018"/>
      <c r="K2844" s="2018"/>
      <c r="L2844" s="2018"/>
      <c r="M2844" s="2018"/>
      <c r="N2844" s="2018"/>
      <c r="O2844" s="2018"/>
      <c r="P2844" s="2018"/>
      <c r="Q2844" s="2018"/>
      <c r="R2844" s="2018"/>
      <c r="S2844" s="2018"/>
      <c r="T2844" s="2018"/>
      <c r="U2844" s="2018"/>
      <c r="V2844" s="2018"/>
      <c r="W2844" s="2018"/>
      <c r="X2844" s="2018"/>
      <c r="Y2844" s="2018"/>
      <c r="Z2844" s="2105"/>
      <c r="AA2844" s="2105"/>
      <c r="AB2844" s="1050"/>
      <c r="AC2844" s="1050"/>
      <c r="AD2844" s="1050"/>
      <c r="AE2844" s="1050"/>
      <c r="AF2844" s="1052"/>
    </row>
    <row r="2845" spans="1:32" ht="15.75" x14ac:dyDescent="0.25">
      <c r="A2845" s="2017"/>
      <c r="B2845" s="2018"/>
      <c r="C2845" s="2018"/>
      <c r="D2845" s="2018"/>
      <c r="E2845" s="2018"/>
      <c r="F2845" s="2018"/>
      <c r="G2845" s="2018"/>
      <c r="H2845" s="2018"/>
      <c r="I2845" s="2018"/>
      <c r="J2845" s="2018"/>
      <c r="K2845" s="2018"/>
      <c r="L2845" s="2018"/>
      <c r="M2845" s="2018"/>
      <c r="N2845" s="2018"/>
      <c r="O2845" s="2018"/>
      <c r="P2845" s="2018"/>
      <c r="Q2845" s="2018"/>
      <c r="R2845" s="2018"/>
      <c r="S2845" s="2018"/>
      <c r="T2845" s="2018"/>
      <c r="U2845" s="2018"/>
      <c r="V2845" s="2018"/>
      <c r="W2845" s="2018"/>
      <c r="X2845" s="2018"/>
      <c r="Y2845" s="2018"/>
      <c r="Z2845" s="2105"/>
      <c r="AA2845" s="2105"/>
      <c r="AB2845" s="1050"/>
      <c r="AC2845" s="1050"/>
      <c r="AD2845" s="1050"/>
      <c r="AE2845" s="1050"/>
      <c r="AF2845" s="1052"/>
    </row>
    <row r="2846" spans="1:32" ht="15.75" x14ac:dyDescent="0.25">
      <c r="A2846" s="2017"/>
      <c r="B2846" s="2018"/>
      <c r="C2846" s="2018"/>
      <c r="D2846" s="2018"/>
      <c r="E2846" s="2018"/>
      <c r="F2846" s="2018"/>
      <c r="G2846" s="2018"/>
      <c r="H2846" s="2018"/>
      <c r="I2846" s="2018"/>
      <c r="J2846" s="2018"/>
      <c r="K2846" s="2018"/>
      <c r="L2846" s="2018"/>
      <c r="M2846" s="2018"/>
      <c r="N2846" s="2018"/>
      <c r="O2846" s="2018"/>
      <c r="P2846" s="2018"/>
      <c r="Q2846" s="2018"/>
      <c r="R2846" s="2018"/>
      <c r="S2846" s="2018"/>
      <c r="T2846" s="2018"/>
      <c r="U2846" s="2018"/>
      <c r="V2846" s="2018"/>
      <c r="W2846" s="2018"/>
      <c r="X2846" s="2018"/>
      <c r="Y2846" s="2018"/>
      <c r="Z2846" s="2022"/>
      <c r="AA2846" s="2022"/>
      <c r="AB2846" s="1050"/>
      <c r="AC2846" s="1050"/>
      <c r="AD2846" s="1050"/>
      <c r="AE2846" s="1050"/>
      <c r="AF2846" s="1052"/>
    </row>
    <row r="2847" spans="1:32" ht="15.75" x14ac:dyDescent="0.25">
      <c r="A2847" s="2017"/>
      <c r="B2847" s="2018"/>
      <c r="C2847" s="2018"/>
      <c r="D2847" s="2018"/>
      <c r="E2847" s="2018"/>
      <c r="F2847" s="2018"/>
      <c r="G2847" s="2018"/>
      <c r="H2847" s="2018"/>
      <c r="I2847" s="2018"/>
      <c r="J2847" s="2018"/>
      <c r="K2847" s="2018"/>
      <c r="L2847" s="2018"/>
      <c r="M2847" s="2018"/>
      <c r="N2847" s="2018"/>
      <c r="O2847" s="2018"/>
      <c r="P2847" s="2018"/>
      <c r="Q2847" s="2018"/>
      <c r="R2847" s="2018"/>
      <c r="S2847" s="2018"/>
      <c r="T2847" s="2018"/>
      <c r="U2847" s="2018"/>
      <c r="V2847" s="2018"/>
      <c r="W2847" s="2018"/>
      <c r="X2847" s="2018"/>
      <c r="Y2847" s="2018"/>
      <c r="Z2847" s="2022"/>
      <c r="AA2847" s="2022"/>
      <c r="AB2847" s="1050"/>
      <c r="AC2847" s="1050"/>
      <c r="AD2847" s="1050"/>
      <c r="AE2847" s="1050"/>
      <c r="AF2847" s="1052"/>
    </row>
    <row r="2848" spans="1:32" ht="15.75" x14ac:dyDescent="0.25">
      <c r="A2848" s="2017"/>
      <c r="B2848" s="2018"/>
      <c r="C2848" s="2018"/>
      <c r="D2848" s="2018"/>
      <c r="E2848" s="2018"/>
      <c r="F2848" s="2018"/>
      <c r="G2848" s="2018"/>
      <c r="H2848" s="2018"/>
      <c r="I2848" s="2018"/>
      <c r="J2848" s="2018"/>
      <c r="K2848" s="2018"/>
      <c r="L2848" s="2018"/>
      <c r="M2848" s="2018"/>
      <c r="N2848" s="2018"/>
      <c r="O2848" s="2018"/>
      <c r="P2848" s="2018"/>
      <c r="Q2848" s="2018"/>
      <c r="R2848" s="2018"/>
      <c r="S2848" s="2018"/>
      <c r="T2848" s="2018"/>
      <c r="U2848" s="2018"/>
      <c r="V2848" s="2018"/>
      <c r="W2848" s="2018"/>
      <c r="X2848" s="2018"/>
      <c r="Y2848" s="2018"/>
      <c r="Z2848" s="2022"/>
      <c r="AA2848" s="2022"/>
      <c r="AB2848" s="1050"/>
      <c r="AC2848" s="1050"/>
      <c r="AD2848" s="1050"/>
      <c r="AE2848" s="1050"/>
      <c r="AF2848" s="1052"/>
    </row>
    <row r="2849" spans="1:32" ht="15.75" x14ac:dyDescent="0.25">
      <c r="A2849" s="2017"/>
      <c r="B2849" s="2018"/>
      <c r="C2849" s="2018"/>
      <c r="D2849" s="2018"/>
      <c r="E2849" s="2018"/>
      <c r="F2849" s="2018"/>
      <c r="G2849" s="2018"/>
      <c r="H2849" s="2018"/>
      <c r="I2849" s="2018"/>
      <c r="J2849" s="2018"/>
      <c r="K2849" s="2018"/>
      <c r="L2849" s="2018"/>
      <c r="M2849" s="2018"/>
      <c r="N2849" s="2018"/>
      <c r="O2849" s="2018"/>
      <c r="P2849" s="2018"/>
      <c r="Q2849" s="2018"/>
      <c r="R2849" s="2018"/>
      <c r="S2849" s="2018"/>
      <c r="T2849" s="2018"/>
      <c r="U2849" s="2018"/>
      <c r="V2849" s="2018"/>
      <c r="W2849" s="2018"/>
      <c r="X2849" s="2018"/>
      <c r="Y2849" s="2018"/>
      <c r="Z2849" s="2022"/>
      <c r="AA2849" s="2022"/>
      <c r="AB2849" s="1050"/>
      <c r="AC2849" s="1050"/>
      <c r="AD2849" s="1050"/>
      <c r="AE2849" s="1050"/>
      <c r="AF2849" s="1052"/>
    </row>
    <row r="2850" spans="1:32" ht="15.75" x14ac:dyDescent="0.25">
      <c r="A2850" s="2017"/>
      <c r="B2850" s="2018"/>
      <c r="C2850" s="2018"/>
      <c r="D2850" s="2018"/>
      <c r="E2850" s="2018"/>
      <c r="F2850" s="2018"/>
      <c r="G2850" s="2018"/>
      <c r="H2850" s="2018"/>
      <c r="I2850" s="2018"/>
      <c r="J2850" s="2018"/>
      <c r="K2850" s="2018"/>
      <c r="L2850" s="2018"/>
      <c r="M2850" s="2018"/>
      <c r="N2850" s="2018"/>
      <c r="O2850" s="2018"/>
      <c r="P2850" s="2018"/>
      <c r="Q2850" s="2018"/>
      <c r="R2850" s="2018"/>
      <c r="S2850" s="2018"/>
      <c r="T2850" s="2018"/>
      <c r="U2850" s="2018"/>
      <c r="V2850" s="2018"/>
      <c r="W2850" s="2018"/>
      <c r="X2850" s="2018"/>
      <c r="Y2850" s="2018"/>
      <c r="Z2850" s="2023"/>
      <c r="AA2850" s="2023"/>
      <c r="AB2850" s="1050"/>
      <c r="AC2850" s="1050"/>
      <c r="AD2850" s="1050"/>
      <c r="AE2850" s="1050"/>
      <c r="AF2850" s="1052"/>
    </row>
    <row r="2851" spans="1:32" ht="15.75" x14ac:dyDescent="0.25">
      <c r="A2851" s="2017"/>
      <c r="B2851" s="2018"/>
      <c r="C2851" s="2018"/>
      <c r="D2851" s="2018"/>
      <c r="E2851" s="2018"/>
      <c r="F2851" s="2018"/>
      <c r="G2851" s="2018"/>
      <c r="H2851" s="2018"/>
      <c r="I2851" s="2018"/>
      <c r="J2851" s="2018"/>
      <c r="K2851" s="2018"/>
      <c r="L2851" s="2018"/>
      <c r="M2851" s="2018"/>
      <c r="N2851" s="2018"/>
      <c r="O2851" s="2018"/>
      <c r="P2851" s="2018"/>
      <c r="Q2851" s="2018"/>
      <c r="R2851" s="2018"/>
      <c r="S2851" s="2018"/>
      <c r="T2851" s="2018"/>
      <c r="U2851" s="2018"/>
      <c r="V2851" s="2018"/>
      <c r="W2851" s="2018"/>
      <c r="X2851" s="2018"/>
      <c r="Y2851" s="2018"/>
      <c r="Z2851" s="2023"/>
      <c r="AA2851" s="2023"/>
      <c r="AB2851" s="1050"/>
      <c r="AC2851" s="1050"/>
      <c r="AD2851" s="1050"/>
      <c r="AE2851" s="1050"/>
      <c r="AF2851" s="1052"/>
    </row>
    <row r="2852" spans="1:32" ht="15.75" x14ac:dyDescent="0.25">
      <c r="A2852" s="2017"/>
      <c r="B2852" s="2018"/>
      <c r="C2852" s="2018"/>
      <c r="D2852" s="2018"/>
      <c r="E2852" s="2018"/>
      <c r="F2852" s="2018"/>
      <c r="G2852" s="2018"/>
      <c r="H2852" s="2018"/>
      <c r="I2852" s="2018"/>
      <c r="J2852" s="2018"/>
      <c r="K2852" s="2018"/>
      <c r="L2852" s="2018"/>
      <c r="M2852" s="2018"/>
      <c r="N2852" s="2018"/>
      <c r="O2852" s="2018"/>
      <c r="P2852" s="2018"/>
      <c r="Q2852" s="2018"/>
      <c r="R2852" s="2018"/>
      <c r="S2852" s="2018"/>
      <c r="T2852" s="2018"/>
      <c r="U2852" s="2018"/>
      <c r="V2852" s="2018"/>
      <c r="W2852" s="2018"/>
      <c r="X2852" s="2018"/>
      <c r="Y2852" s="2018"/>
      <c r="Z2852" s="2023"/>
      <c r="AA2852" s="2023"/>
      <c r="AB2852" s="1050"/>
      <c r="AC2852" s="1050"/>
      <c r="AD2852" s="1050"/>
      <c r="AE2852" s="1050"/>
      <c r="AF2852" s="1052"/>
    </row>
    <row r="2853" spans="1:32" ht="15.75" x14ac:dyDescent="0.25">
      <c r="A2853" s="2017"/>
      <c r="B2853" s="2018"/>
      <c r="C2853" s="2018"/>
      <c r="D2853" s="2018"/>
      <c r="E2853" s="2018"/>
      <c r="F2853" s="2018"/>
      <c r="G2853" s="2018"/>
      <c r="H2853" s="2018"/>
      <c r="I2853" s="2018"/>
      <c r="J2853" s="2018"/>
      <c r="K2853" s="2018"/>
      <c r="L2853" s="2018"/>
      <c r="M2853" s="2018"/>
      <c r="N2853" s="2018"/>
      <c r="O2853" s="2018"/>
      <c r="P2853" s="2018"/>
      <c r="Q2853" s="2018"/>
      <c r="R2853" s="2018"/>
      <c r="S2853" s="2018"/>
      <c r="T2853" s="2018"/>
      <c r="U2853" s="2018"/>
      <c r="V2853" s="2018"/>
      <c r="W2853" s="2018"/>
      <c r="X2853" s="2018"/>
      <c r="Y2853" s="2018"/>
      <c r="Z2853" s="2023"/>
      <c r="AA2853" s="2023"/>
      <c r="AB2853" s="1050"/>
      <c r="AC2853" s="1050"/>
      <c r="AD2853" s="1050"/>
      <c r="AE2853" s="1050"/>
      <c r="AF2853" s="1052"/>
    </row>
    <row r="2854" spans="1:32" ht="15.75" x14ac:dyDescent="0.25">
      <c r="A2854" s="2017"/>
      <c r="B2854" s="2018"/>
      <c r="C2854" s="2018"/>
      <c r="D2854" s="2018"/>
      <c r="E2854" s="2018"/>
      <c r="F2854" s="2018"/>
      <c r="G2854" s="2018"/>
      <c r="H2854" s="2018"/>
      <c r="I2854" s="2018"/>
      <c r="J2854" s="2018"/>
      <c r="K2854" s="2018"/>
      <c r="L2854" s="2018"/>
      <c r="M2854" s="2018"/>
      <c r="N2854" s="2018"/>
      <c r="O2854" s="2018"/>
      <c r="P2854" s="2018"/>
      <c r="Q2854" s="2018"/>
      <c r="R2854" s="2018"/>
      <c r="S2854" s="2018"/>
      <c r="T2854" s="2018"/>
      <c r="U2854" s="2018"/>
      <c r="V2854" s="2018"/>
      <c r="W2854" s="2018"/>
      <c r="X2854" s="2018"/>
      <c r="Y2854" s="2018"/>
      <c r="Z2854" s="2023"/>
      <c r="AA2854" s="2023"/>
      <c r="AB2854" s="1050"/>
      <c r="AC2854" s="1050"/>
      <c r="AD2854" s="1050"/>
      <c r="AE2854" s="1050"/>
      <c r="AF2854" s="1052"/>
    </row>
    <row r="2855" spans="1:32" ht="15.75" x14ac:dyDescent="0.25">
      <c r="A2855" s="2017"/>
      <c r="B2855" s="2018"/>
      <c r="C2855" s="2018"/>
      <c r="D2855" s="2018"/>
      <c r="E2855" s="2018"/>
      <c r="F2855" s="2018"/>
      <c r="G2855" s="2018"/>
      <c r="H2855" s="2018"/>
      <c r="I2855" s="2018"/>
      <c r="J2855" s="2018"/>
      <c r="K2855" s="2018"/>
      <c r="L2855" s="2018"/>
      <c r="M2855" s="2018"/>
      <c r="N2855" s="2018"/>
      <c r="O2855" s="2018"/>
      <c r="P2855" s="2018"/>
      <c r="Q2855" s="2018"/>
      <c r="R2855" s="2018"/>
      <c r="S2855" s="2018"/>
      <c r="T2855" s="2018"/>
      <c r="U2855" s="2018"/>
      <c r="V2855" s="2018"/>
      <c r="W2855" s="2018"/>
      <c r="X2855" s="2018"/>
      <c r="Y2855" s="2018"/>
      <c r="Z2855" s="2023"/>
      <c r="AA2855" s="2023"/>
      <c r="AB2855" s="1050"/>
      <c r="AC2855" s="1050"/>
      <c r="AD2855" s="1050"/>
      <c r="AE2855" s="1050"/>
      <c r="AF2855" s="1052"/>
    </row>
    <row r="2856" spans="1:32" ht="16.5" thickBot="1" x14ac:dyDescent="0.3">
      <c r="A2856" s="2019"/>
      <c r="B2856" s="2020"/>
      <c r="C2856" s="2020"/>
      <c r="D2856" s="2020"/>
      <c r="E2856" s="2020"/>
      <c r="F2856" s="2020"/>
      <c r="G2856" s="2020"/>
      <c r="H2856" s="2020"/>
      <c r="I2856" s="2020"/>
      <c r="J2856" s="2020"/>
      <c r="K2856" s="2020"/>
      <c r="L2856" s="2020"/>
      <c r="M2856" s="2020"/>
      <c r="N2856" s="2020"/>
      <c r="O2856" s="2020"/>
      <c r="P2856" s="2020"/>
      <c r="Q2856" s="2020"/>
      <c r="R2856" s="2020"/>
      <c r="S2856" s="2020"/>
      <c r="T2856" s="2020"/>
      <c r="U2856" s="2020"/>
      <c r="V2856" s="2020"/>
      <c r="W2856" s="2020"/>
      <c r="X2856" s="2020"/>
      <c r="Y2856" s="2020"/>
      <c r="Z2856" s="2024"/>
      <c r="AA2856" s="2024"/>
      <c r="AB2856" s="1057"/>
      <c r="AC2856" s="1057"/>
      <c r="AD2856" s="1057"/>
      <c r="AE2856" s="1057"/>
      <c r="AF2856" s="1058"/>
    </row>
    <row r="2857" spans="1:32" ht="15.75" x14ac:dyDescent="0.25">
      <c r="A2857" s="2009" t="s">
        <v>1855</v>
      </c>
      <c r="B2857" s="2010"/>
      <c r="C2857" s="2010"/>
      <c r="D2857" s="2010"/>
      <c r="E2857" s="2010"/>
      <c r="F2857" s="2010"/>
      <c r="G2857" s="2010"/>
      <c r="H2857" s="2010"/>
      <c r="I2857" s="2010"/>
      <c r="J2857" s="2010"/>
      <c r="K2857" s="2010"/>
      <c r="L2857" s="2010"/>
      <c r="M2857" s="2010"/>
      <c r="N2857" s="2010"/>
      <c r="O2857" s="2010"/>
      <c r="P2857" s="2010"/>
      <c r="Q2857" s="2010"/>
      <c r="R2857" s="2010"/>
      <c r="S2857" s="2010"/>
      <c r="T2857" s="2010"/>
      <c r="U2857" s="2010"/>
      <c r="V2857" s="2010"/>
      <c r="W2857" s="2010"/>
      <c r="X2857" s="2010"/>
      <c r="Y2857" s="2010"/>
      <c r="Z2857" s="2013" t="s">
        <v>1850</v>
      </c>
      <c r="AA2857" s="2013"/>
      <c r="AB2857" s="2013"/>
      <c r="AC2857" s="2013"/>
      <c r="AD2857" s="2013"/>
      <c r="AE2857" s="2013"/>
      <c r="AF2857" s="1059">
        <f>SUM(AF2833:AF2856)</f>
        <v>5</v>
      </c>
    </row>
    <row r="2858" spans="1:32" ht="15.75" x14ac:dyDescent="0.25">
      <c r="A2858" s="2011"/>
      <c r="B2858" s="2012"/>
      <c r="C2858" s="2012"/>
      <c r="D2858" s="2012"/>
      <c r="E2858" s="2012"/>
      <c r="F2858" s="2012"/>
      <c r="G2858" s="2012"/>
      <c r="H2858" s="2012"/>
      <c r="I2858" s="2012"/>
      <c r="J2858" s="2012"/>
      <c r="K2858" s="2012"/>
      <c r="L2858" s="2012"/>
      <c r="M2858" s="2012"/>
      <c r="N2858" s="2012"/>
      <c r="O2858" s="2012"/>
      <c r="P2858" s="2012"/>
      <c r="Q2858" s="2012"/>
      <c r="R2858" s="2012"/>
      <c r="S2858" s="2012"/>
      <c r="T2858" s="2012"/>
      <c r="U2858" s="2012"/>
      <c r="V2858" s="2012"/>
      <c r="W2858" s="2012"/>
      <c r="X2858" s="2012"/>
      <c r="Y2858" s="2012"/>
      <c r="Z2858" s="2014" t="s">
        <v>1851</v>
      </c>
      <c r="AA2858" s="2014"/>
      <c r="AB2858" s="2014"/>
      <c r="AC2858" s="2014"/>
      <c r="AD2858" s="2014"/>
      <c r="AE2858" s="2014"/>
      <c r="AF2858" s="1060">
        <v>0</v>
      </c>
    </row>
    <row r="2859" spans="1:32" ht="15.75" x14ac:dyDescent="0.25">
      <c r="A2859" s="2011"/>
      <c r="B2859" s="2012"/>
      <c r="C2859" s="2012"/>
      <c r="D2859" s="2012"/>
      <c r="E2859" s="2012"/>
      <c r="F2859" s="2012"/>
      <c r="G2859" s="2012"/>
      <c r="H2859" s="2012"/>
      <c r="I2859" s="2012"/>
      <c r="J2859" s="2012"/>
      <c r="K2859" s="2012"/>
      <c r="L2859" s="2012"/>
      <c r="M2859" s="2012"/>
      <c r="N2859" s="2012"/>
      <c r="O2859" s="2012"/>
      <c r="P2859" s="2012"/>
      <c r="Q2859" s="2012"/>
      <c r="R2859" s="2012"/>
      <c r="S2859" s="2012"/>
      <c r="T2859" s="2012"/>
      <c r="U2859" s="2012"/>
      <c r="V2859" s="2012"/>
      <c r="W2859" s="2012"/>
      <c r="X2859" s="2012"/>
      <c r="Y2859" s="2012"/>
      <c r="Z2859" s="2015" t="s">
        <v>1833</v>
      </c>
      <c r="AA2859" s="2015"/>
      <c r="AB2859" s="2015"/>
      <c r="AC2859" s="2015"/>
      <c r="AD2859" s="2015"/>
      <c r="AE2859" s="2015"/>
      <c r="AF2859" s="1061">
        <f>SUM(AF2857:AF2858)</f>
        <v>5</v>
      </c>
    </row>
    <row r="2860" spans="1:32" x14ac:dyDescent="0.2">
      <c r="A2860" s="2012" t="s">
        <v>1859</v>
      </c>
      <c r="B2860" s="2012"/>
      <c r="C2860" s="2012"/>
      <c r="D2860" s="2012"/>
      <c r="E2860" s="2012"/>
      <c r="F2860" s="2012"/>
      <c r="G2860" s="2012"/>
      <c r="H2860" s="2012"/>
      <c r="I2860" s="2012"/>
      <c r="J2860" s="2012"/>
      <c r="K2860" s="2012"/>
      <c r="L2860" s="2012"/>
      <c r="M2860" s="2012"/>
      <c r="N2860" s="2012"/>
      <c r="O2860" s="2012"/>
      <c r="P2860" s="2012"/>
      <c r="Q2860" s="2012"/>
      <c r="R2860" s="2012"/>
      <c r="S2860" s="2012"/>
      <c r="T2860" s="2016" t="s">
        <v>1840</v>
      </c>
      <c r="U2860" s="2016"/>
      <c r="V2860" s="2016"/>
      <c r="W2860" s="2016"/>
      <c r="X2860" s="2016"/>
      <c r="Y2860" s="2016"/>
      <c r="Z2860" s="2016"/>
      <c r="AA2860" s="2016"/>
      <c r="AB2860" s="2012" t="s">
        <v>1852</v>
      </c>
      <c r="AC2860" s="2012"/>
      <c r="AD2860" s="2012"/>
      <c r="AE2860" s="2012"/>
      <c r="AF2860" s="2012"/>
    </row>
    <row r="2861" spans="1:32" x14ac:dyDescent="0.2">
      <c r="A2861" s="2012"/>
      <c r="B2861" s="2012"/>
      <c r="C2861" s="2012"/>
      <c r="D2861" s="2012"/>
      <c r="E2861" s="2012"/>
      <c r="F2861" s="2012"/>
      <c r="G2861" s="2012"/>
      <c r="H2861" s="2012"/>
      <c r="I2861" s="2012"/>
      <c r="J2861" s="2012"/>
      <c r="K2861" s="2012"/>
      <c r="L2861" s="2012"/>
      <c r="M2861" s="2012"/>
      <c r="N2861" s="2012"/>
      <c r="O2861" s="2012"/>
      <c r="P2861" s="2012"/>
      <c r="Q2861" s="2012"/>
      <c r="R2861" s="2012"/>
      <c r="S2861" s="2012"/>
      <c r="T2861" s="2016"/>
      <c r="U2861" s="2016"/>
      <c r="V2861" s="2016"/>
      <c r="W2861" s="2016"/>
      <c r="X2861" s="2016"/>
      <c r="Y2861" s="2016"/>
      <c r="Z2861" s="2016"/>
      <c r="AA2861" s="2016"/>
      <c r="AB2861" s="2012"/>
      <c r="AC2861" s="2012"/>
      <c r="AD2861" s="2012"/>
      <c r="AE2861" s="2012"/>
      <c r="AF2861" s="2012"/>
    </row>
    <row r="2862" spans="1:32" ht="13.5" thickBot="1" x14ac:dyDescent="0.25"/>
    <row r="2863" spans="1:32" ht="26.45" customHeight="1" x14ac:dyDescent="0.2">
      <c r="A2863" s="2025" t="s">
        <v>1854</v>
      </c>
      <c r="B2863" s="2026"/>
      <c r="C2863" s="2026"/>
      <c r="D2863" s="2026"/>
      <c r="E2863" s="2026"/>
      <c r="F2863" s="2026"/>
      <c r="G2863" s="2026"/>
      <c r="H2863" s="2026"/>
      <c r="I2863" s="2026"/>
      <c r="J2863" s="2026"/>
      <c r="K2863" s="2026"/>
      <c r="L2863" s="2026"/>
      <c r="M2863" s="2026"/>
      <c r="N2863" s="2026"/>
      <c r="O2863" s="2026"/>
      <c r="P2863" s="2026"/>
      <c r="Q2863" s="2026"/>
      <c r="R2863" s="2026"/>
      <c r="S2863" s="2026"/>
      <c r="T2863" s="2026"/>
      <c r="U2863" s="2026"/>
      <c r="V2863" s="2026"/>
      <c r="W2863" s="2026"/>
      <c r="X2863" s="2026"/>
      <c r="Y2863" s="2026"/>
      <c r="Z2863" s="2026"/>
      <c r="AA2863" s="2026"/>
      <c r="AB2863" s="2026"/>
      <c r="AC2863" s="2026"/>
      <c r="AD2863" s="2026"/>
      <c r="AE2863" s="1041" t="s">
        <v>1834</v>
      </c>
      <c r="AF2863" s="1042" t="s">
        <v>1835</v>
      </c>
    </row>
    <row r="2864" spans="1:32" ht="21" customHeight="1" thickBot="1" x14ac:dyDescent="0.25">
      <c r="A2864" s="2027"/>
      <c r="B2864" s="2028"/>
      <c r="C2864" s="2028"/>
      <c r="D2864" s="2028"/>
      <c r="E2864" s="2028"/>
      <c r="F2864" s="2028"/>
      <c r="G2864" s="2028"/>
      <c r="H2864" s="2028"/>
      <c r="I2864" s="2028"/>
      <c r="J2864" s="2028"/>
      <c r="K2864" s="2028"/>
      <c r="L2864" s="2028"/>
      <c r="M2864" s="2028"/>
      <c r="N2864" s="2028"/>
      <c r="O2864" s="2028"/>
      <c r="P2864" s="2028"/>
      <c r="Q2864" s="2028"/>
      <c r="R2864" s="2028"/>
      <c r="S2864" s="2028"/>
      <c r="T2864" s="2028"/>
      <c r="U2864" s="2028"/>
      <c r="V2864" s="2028"/>
      <c r="W2864" s="2028"/>
      <c r="X2864" s="2028"/>
      <c r="Y2864" s="2028"/>
      <c r="Z2864" s="2028"/>
      <c r="AA2864" s="2028"/>
      <c r="AB2864" s="2028"/>
      <c r="AC2864" s="2028"/>
      <c r="AD2864" s="2028"/>
      <c r="AE2864" s="1041" t="s">
        <v>1836</v>
      </c>
      <c r="AF2864" s="1044">
        <v>1</v>
      </c>
    </row>
    <row r="2865" spans="1:32" ht="15.75" x14ac:dyDescent="0.2">
      <c r="A2865" s="2029"/>
      <c r="B2865" s="2030"/>
      <c r="C2865" s="2030"/>
      <c r="D2865" s="2031"/>
      <c r="E2865" s="2025" t="str">
        <f>'01'!$A$12</f>
        <v>"CONSTRUCCION SISTEMA DE ACUEDUCTO FASE II DEL MUNICIPIO DE TESALIA DPTO DEL HUILA"</v>
      </c>
      <c r="F2865" s="2026"/>
      <c r="G2865" s="2026"/>
      <c r="H2865" s="2026"/>
      <c r="I2865" s="2026"/>
      <c r="J2865" s="2026"/>
      <c r="K2865" s="2026"/>
      <c r="L2865" s="2026"/>
      <c r="M2865" s="2026"/>
      <c r="N2865" s="2026"/>
      <c r="O2865" s="2026"/>
      <c r="P2865" s="2026"/>
      <c r="Q2865" s="2026"/>
      <c r="R2865" s="2026"/>
      <c r="S2865" s="2026"/>
      <c r="T2865" s="2026"/>
      <c r="U2865" s="2026"/>
      <c r="V2865" s="2026"/>
      <c r="W2865" s="2026"/>
      <c r="X2865" s="2026"/>
      <c r="Y2865" s="2026"/>
      <c r="Z2865" s="2026"/>
      <c r="AA2865" s="2026"/>
      <c r="AB2865" s="2026"/>
      <c r="AC2865" s="2026"/>
      <c r="AD2865" s="2035"/>
      <c r="AE2865" s="1041" t="s">
        <v>847</v>
      </c>
      <c r="AF2865" s="1045">
        <f>'01'!$M$13</f>
        <v>0</v>
      </c>
    </row>
    <row r="2866" spans="1:32" ht="16.5" thickBot="1" x14ac:dyDescent="0.25">
      <c r="A2866" s="2032"/>
      <c r="B2866" s="2033"/>
      <c r="C2866" s="2033"/>
      <c r="D2866" s="2034"/>
      <c r="E2866" s="2027"/>
      <c r="F2866" s="2028"/>
      <c r="G2866" s="2028"/>
      <c r="H2866" s="2028"/>
      <c r="I2866" s="2028"/>
      <c r="J2866" s="2028"/>
      <c r="K2866" s="2028"/>
      <c r="L2866" s="2028"/>
      <c r="M2866" s="2028"/>
      <c r="N2866" s="2028"/>
      <c r="O2866" s="2028"/>
      <c r="P2866" s="2028"/>
      <c r="Q2866" s="2028"/>
      <c r="R2866" s="2028"/>
      <c r="S2866" s="2028"/>
      <c r="T2866" s="2028"/>
      <c r="U2866" s="2028"/>
      <c r="V2866" s="2028"/>
      <c r="W2866" s="2028"/>
      <c r="X2866" s="2028"/>
      <c r="Y2866" s="2028"/>
      <c r="Z2866" s="2028"/>
      <c r="AA2866" s="2028"/>
      <c r="AB2866" s="2028"/>
      <c r="AC2866" s="2028"/>
      <c r="AD2866" s="2036"/>
      <c r="AE2866" s="1041" t="s">
        <v>1837</v>
      </c>
      <c r="AF2866" s="1042" t="s">
        <v>1838</v>
      </c>
    </row>
    <row r="2867" spans="1:32" ht="15.75" x14ac:dyDescent="0.25">
      <c r="A2867" s="2037" t="s">
        <v>1860</v>
      </c>
      <c r="B2867" s="2038"/>
      <c r="C2867" s="2038"/>
      <c r="D2867" s="2038"/>
      <c r="E2867" s="2038"/>
      <c r="F2867" s="2038"/>
      <c r="G2867" s="2038"/>
      <c r="H2867" s="2038"/>
      <c r="I2867" s="2038"/>
      <c r="J2867" s="2038"/>
      <c r="K2867" s="2038"/>
      <c r="L2867" s="2038"/>
      <c r="M2867" s="2038"/>
      <c r="N2867" s="2038"/>
      <c r="O2867" s="2038"/>
      <c r="P2867" s="2038"/>
      <c r="Q2867" s="2038"/>
      <c r="R2867" s="2038"/>
      <c r="S2867" s="2038"/>
      <c r="T2867" s="2038"/>
      <c r="U2867" s="2038"/>
      <c r="V2867" s="2038"/>
      <c r="W2867" s="2038"/>
      <c r="X2867" s="2038"/>
      <c r="Y2867" s="2038"/>
      <c r="Z2867" s="2038"/>
      <c r="AA2867" s="2038"/>
      <c r="AB2867" s="2038"/>
      <c r="AC2867" s="2038"/>
      <c r="AD2867" s="2038"/>
      <c r="AE2867" s="2039" t="s">
        <v>1839</v>
      </c>
      <c r="AF2867" s="2040"/>
    </row>
    <row r="2868" spans="1:32" ht="15.75" x14ac:dyDescent="0.25">
      <c r="A2868" s="2041" t="s">
        <v>1840</v>
      </c>
      <c r="B2868" s="2042"/>
      <c r="C2868" s="2042"/>
      <c r="D2868" s="2042"/>
      <c r="E2868" s="2042"/>
      <c r="F2868" s="2042"/>
      <c r="G2868" s="2042"/>
      <c r="H2868" s="2042"/>
      <c r="I2868" s="2042"/>
      <c r="J2868" s="2042"/>
      <c r="K2868" s="2042"/>
      <c r="L2868" s="2042"/>
      <c r="M2868" s="2042"/>
      <c r="N2868" s="2042"/>
      <c r="O2868" s="2042"/>
      <c r="P2868" s="2042"/>
      <c r="Q2868" s="2042"/>
      <c r="R2868" s="2042"/>
      <c r="S2868" s="2042"/>
      <c r="T2868" s="2042"/>
      <c r="U2868" s="2042"/>
      <c r="V2868" s="2042"/>
      <c r="W2868" s="2042"/>
      <c r="X2868" s="2042"/>
      <c r="Y2868" s="2042"/>
      <c r="Z2868" s="2042"/>
      <c r="AA2868" s="2042"/>
      <c r="AB2868" s="2042"/>
      <c r="AC2868" s="2042"/>
      <c r="AD2868" s="2043"/>
      <c r="AE2868" s="2014" t="s">
        <v>1841</v>
      </c>
      <c r="AF2868" s="2044"/>
    </row>
    <row r="2869" spans="1:32" ht="15.75" x14ac:dyDescent="0.25">
      <c r="A2869" s="2045" t="s">
        <v>1853</v>
      </c>
      <c r="B2869" s="2046"/>
      <c r="C2869" s="2046"/>
      <c r="D2869" s="2046"/>
      <c r="E2869" s="2046"/>
      <c r="F2869" s="2046"/>
      <c r="G2869" s="2046"/>
      <c r="H2869" s="2046"/>
      <c r="I2869" s="2046"/>
      <c r="J2869" s="2046"/>
      <c r="K2869" s="2046"/>
      <c r="L2869" s="2046"/>
      <c r="M2869" s="2046"/>
      <c r="N2869" s="2046"/>
      <c r="O2869" s="2046"/>
      <c r="P2869" s="2046"/>
      <c r="Q2869" s="2046"/>
      <c r="R2869" s="2046"/>
      <c r="S2869" s="2046"/>
      <c r="T2869" s="2046"/>
      <c r="U2869" s="2046"/>
      <c r="V2869" s="2046"/>
      <c r="W2869" s="2046"/>
      <c r="X2869" s="2046"/>
      <c r="Y2869" s="2046"/>
      <c r="Z2869" s="2046"/>
      <c r="AA2869" s="2046"/>
      <c r="AB2869" s="2046"/>
      <c r="AC2869" s="2046"/>
      <c r="AD2869" s="2046"/>
      <c r="AE2869" s="2047">
        <f>'01'!$M$13</f>
        <v>0</v>
      </c>
      <c r="AF2869" s="2044"/>
    </row>
    <row r="2870" spans="1:32" x14ac:dyDescent="0.2">
      <c r="A2870" s="1046"/>
      <c r="B2870" s="1047"/>
      <c r="C2870" s="1047"/>
      <c r="D2870" s="1047"/>
      <c r="E2870" s="1047"/>
      <c r="F2870" s="1047"/>
      <c r="G2870" s="1047"/>
      <c r="H2870" s="1047"/>
      <c r="I2870" s="1047"/>
      <c r="J2870" s="1047"/>
      <c r="K2870" s="1047"/>
      <c r="L2870" s="1047"/>
      <c r="M2870" s="1047"/>
      <c r="N2870" s="1047"/>
      <c r="O2870" s="1047"/>
      <c r="P2870" s="1047"/>
      <c r="Q2870" s="1047"/>
      <c r="R2870" s="1047"/>
      <c r="S2870" s="1047"/>
      <c r="T2870" s="1047"/>
      <c r="U2870" s="1047"/>
      <c r="V2870" s="1047"/>
      <c r="W2870" s="1047"/>
      <c r="X2870" s="1047"/>
      <c r="Y2870" s="1047"/>
      <c r="Z2870" s="1047"/>
      <c r="AA2870" s="1047"/>
      <c r="AB2870" s="1047"/>
      <c r="AC2870" s="1047"/>
      <c r="AD2870" s="1047"/>
      <c r="AE2870" s="1047"/>
      <c r="AF2870" s="1048"/>
    </row>
    <row r="2871" spans="1:32" ht="30" customHeight="1" x14ac:dyDescent="0.2">
      <c r="A2871" s="2048" t="s">
        <v>1842</v>
      </c>
      <c r="B2871" s="2049"/>
      <c r="C2871" s="2049"/>
      <c r="D2871" s="2049"/>
      <c r="E2871" s="2049"/>
      <c r="F2871" s="2050" t="str">
        <f>+'01'!$H$105</f>
        <v>D - CANAL DE DESINFECCIÓN</v>
      </c>
      <c r="G2871" s="2049"/>
      <c r="H2871" s="2049"/>
      <c r="I2871" s="2049"/>
      <c r="J2871" s="2049"/>
      <c r="K2871" s="2049"/>
      <c r="L2871" s="2049"/>
      <c r="M2871" s="2049"/>
      <c r="N2871" s="2049"/>
      <c r="O2871" s="2049"/>
      <c r="P2871" s="2049"/>
      <c r="Q2871" s="2049"/>
      <c r="R2871" s="2049"/>
      <c r="S2871" s="2049"/>
      <c r="T2871" s="2049"/>
      <c r="U2871" s="2049"/>
      <c r="V2871" s="2049"/>
      <c r="W2871" s="2049"/>
      <c r="X2871" s="2049"/>
      <c r="Y2871" s="2051"/>
      <c r="Z2871" s="2052" t="s">
        <v>1843</v>
      </c>
      <c r="AA2871" s="2053"/>
      <c r="AB2871" s="2058" t="s">
        <v>1844</v>
      </c>
      <c r="AC2871" s="2059"/>
      <c r="AD2871" s="2060"/>
      <c r="AE2871" s="2064" t="s">
        <v>1845</v>
      </c>
      <c r="AF2871" s="2067" t="s">
        <v>1846</v>
      </c>
    </row>
    <row r="2872" spans="1:32" ht="15" customHeight="1" x14ac:dyDescent="0.2">
      <c r="A2872" s="2070" t="str">
        <f>+'01'!A126</f>
        <v>D-08-01</v>
      </c>
      <c r="B2872" s="2071"/>
      <c r="C2872" s="2072"/>
      <c r="D2872" s="2076" t="str">
        <f>VLOOKUP(A2872,'01'!$A$12:$N$299,3,FALSE)</f>
        <v>SUMINISTRO E INSTALACIÓN DE CINTA PVC DE 0.15 METROS PARA JUNTA DE CONSTRUCCION EN TANQUES.</v>
      </c>
      <c r="E2872" s="2077"/>
      <c r="F2872" s="2077"/>
      <c r="G2872" s="2077"/>
      <c r="H2872" s="2077"/>
      <c r="I2872" s="2077"/>
      <c r="J2872" s="2077"/>
      <c r="K2872" s="2077"/>
      <c r="L2872" s="2077"/>
      <c r="M2872" s="2077"/>
      <c r="N2872" s="2077"/>
      <c r="O2872" s="2077"/>
      <c r="P2872" s="2077"/>
      <c r="Q2872" s="2077"/>
      <c r="R2872" s="2077"/>
      <c r="S2872" s="2078"/>
      <c r="T2872" s="2082" t="s">
        <v>124</v>
      </c>
      <c r="U2872" s="2083"/>
      <c r="V2872" s="2083"/>
      <c r="W2872" s="2083"/>
      <c r="X2872" s="2052" t="str">
        <f>VLOOKUP(A2872,'01'!$A$12:$N$299,9,FALSE)</f>
        <v>ML</v>
      </c>
      <c r="Y2872" s="2053"/>
      <c r="Z2872" s="2054"/>
      <c r="AA2872" s="2055"/>
      <c r="AB2872" s="2061"/>
      <c r="AC2872" s="2062"/>
      <c r="AD2872" s="2063"/>
      <c r="AE2872" s="2065"/>
      <c r="AF2872" s="2068"/>
    </row>
    <row r="2873" spans="1:32" ht="15" customHeight="1" x14ac:dyDescent="0.25">
      <c r="A2873" s="2073"/>
      <c r="B2873" s="2074"/>
      <c r="C2873" s="2075"/>
      <c r="D2873" s="2079"/>
      <c r="E2873" s="2080"/>
      <c r="F2873" s="2080"/>
      <c r="G2873" s="2080"/>
      <c r="H2873" s="2080"/>
      <c r="I2873" s="2080"/>
      <c r="J2873" s="2080"/>
      <c r="K2873" s="2080"/>
      <c r="L2873" s="2080"/>
      <c r="M2873" s="2080"/>
      <c r="N2873" s="2080"/>
      <c r="O2873" s="2080"/>
      <c r="P2873" s="2080"/>
      <c r="Q2873" s="2080"/>
      <c r="R2873" s="2080"/>
      <c r="S2873" s="2081"/>
      <c r="T2873" s="2084"/>
      <c r="U2873" s="2085"/>
      <c r="V2873" s="2085"/>
      <c r="W2873" s="2085"/>
      <c r="X2873" s="2056"/>
      <c r="Y2873" s="2057"/>
      <c r="Z2873" s="2056"/>
      <c r="AA2873" s="2057"/>
      <c r="AB2873" s="1049" t="s">
        <v>1847</v>
      </c>
      <c r="AC2873" s="1049" t="s">
        <v>1848</v>
      </c>
      <c r="AD2873" s="1049" t="s">
        <v>1861</v>
      </c>
      <c r="AE2873" s="2066"/>
      <c r="AF2873" s="2069"/>
    </row>
    <row r="2874" spans="1:32" ht="15.6" customHeight="1" x14ac:dyDescent="0.25">
      <c r="A2874" s="2017"/>
      <c r="B2874" s="2018"/>
      <c r="C2874" s="2018"/>
      <c r="D2874" s="2018"/>
      <c r="E2874" s="2018"/>
      <c r="F2874" s="2018"/>
      <c r="G2874" s="2018"/>
      <c r="H2874" s="2018"/>
      <c r="I2874" s="2018"/>
      <c r="J2874" s="2018"/>
      <c r="K2874" s="2018"/>
      <c r="L2874" s="2018"/>
      <c r="M2874" s="2018"/>
      <c r="N2874" s="2018"/>
      <c r="O2874" s="2018"/>
      <c r="P2874" s="2018"/>
      <c r="Q2874" s="2018"/>
      <c r="R2874" s="2018"/>
      <c r="S2874" s="2018"/>
      <c r="T2874" s="2018"/>
      <c r="U2874" s="2018"/>
      <c r="V2874" s="2018"/>
      <c r="W2874" s="2018"/>
      <c r="X2874" s="2018"/>
      <c r="Y2874" s="2018"/>
      <c r="Z2874" s="2021" t="s">
        <v>2451</v>
      </c>
      <c r="AA2874" s="2021"/>
      <c r="AB2874" s="1050">
        <f>+((AB2751+AC2751)*2)</f>
        <v>24.1</v>
      </c>
      <c r="AC2874" s="1050"/>
      <c r="AD2874" s="1050"/>
      <c r="AE2874" s="1050">
        <v>1</v>
      </c>
      <c r="AF2874" s="1052">
        <f>+ROUND(AB2874*AE2874,2)</f>
        <v>24.1</v>
      </c>
    </row>
    <row r="2875" spans="1:32" ht="15.6" customHeight="1" x14ac:dyDescent="0.25">
      <c r="A2875" s="2017"/>
      <c r="B2875" s="2018"/>
      <c r="C2875" s="2018"/>
      <c r="D2875" s="2018"/>
      <c r="E2875" s="2018"/>
      <c r="F2875" s="2018"/>
      <c r="G2875" s="2018"/>
      <c r="H2875" s="2018"/>
      <c r="I2875" s="2018"/>
      <c r="J2875" s="2018"/>
      <c r="K2875" s="2018"/>
      <c r="L2875" s="2018"/>
      <c r="M2875" s="2018"/>
      <c r="N2875" s="2018"/>
      <c r="O2875" s="2018"/>
      <c r="P2875" s="2018"/>
      <c r="Q2875" s="2018"/>
      <c r="R2875" s="2018"/>
      <c r="S2875" s="2018"/>
      <c r="T2875" s="2018"/>
      <c r="U2875" s="2018"/>
      <c r="V2875" s="2018"/>
      <c r="W2875" s="2018"/>
      <c r="X2875" s="2018"/>
      <c r="Y2875" s="2018"/>
      <c r="Z2875" s="2021" t="s">
        <v>2458</v>
      </c>
      <c r="AA2875" s="2021"/>
      <c r="AB2875" s="1050">
        <f>+AB2756*4</f>
        <v>4</v>
      </c>
      <c r="AC2875" s="1050"/>
      <c r="AD2875" s="1050"/>
      <c r="AE2875" s="1050">
        <v>1</v>
      </c>
      <c r="AF2875" s="1052">
        <f>+ROUND(AB2875*AE2875,2)</f>
        <v>4</v>
      </c>
    </row>
    <row r="2876" spans="1:32" ht="15.75" x14ac:dyDescent="0.25">
      <c r="A2876" s="2017"/>
      <c r="B2876" s="2018"/>
      <c r="C2876" s="2018"/>
      <c r="D2876" s="2018"/>
      <c r="E2876" s="2018"/>
      <c r="F2876" s="2018"/>
      <c r="G2876" s="2018"/>
      <c r="H2876" s="2018"/>
      <c r="I2876" s="2018"/>
      <c r="J2876" s="2018"/>
      <c r="K2876" s="2018"/>
      <c r="L2876" s="2018"/>
      <c r="M2876" s="2018"/>
      <c r="N2876" s="2018"/>
      <c r="O2876" s="2018"/>
      <c r="P2876" s="2018"/>
      <c r="Q2876" s="2018"/>
      <c r="R2876" s="2018"/>
      <c r="S2876" s="2018"/>
      <c r="T2876" s="2018"/>
      <c r="U2876" s="2018"/>
      <c r="V2876" s="2018"/>
      <c r="W2876" s="2018"/>
      <c r="X2876" s="2018"/>
      <c r="Y2876" s="2018"/>
      <c r="Z2876" s="2021"/>
      <c r="AA2876" s="2021"/>
      <c r="AB2876" s="1050"/>
      <c r="AC2876" s="1050"/>
      <c r="AD2876" s="1050"/>
      <c r="AE2876" s="1050"/>
      <c r="AF2876" s="1052"/>
    </row>
    <row r="2877" spans="1:32" ht="15.75" x14ac:dyDescent="0.25">
      <c r="A2877" s="2017"/>
      <c r="B2877" s="2018"/>
      <c r="C2877" s="2018"/>
      <c r="D2877" s="2018"/>
      <c r="E2877" s="2018"/>
      <c r="F2877" s="2018"/>
      <c r="G2877" s="2018"/>
      <c r="H2877" s="2018"/>
      <c r="I2877" s="2018"/>
      <c r="J2877" s="2018"/>
      <c r="K2877" s="2018"/>
      <c r="L2877" s="2018"/>
      <c r="M2877" s="2018"/>
      <c r="N2877" s="2018"/>
      <c r="O2877" s="2018"/>
      <c r="P2877" s="2018"/>
      <c r="Q2877" s="2018"/>
      <c r="R2877" s="2018"/>
      <c r="S2877" s="2018"/>
      <c r="T2877" s="2018"/>
      <c r="U2877" s="2018"/>
      <c r="V2877" s="2018"/>
      <c r="W2877" s="2018"/>
      <c r="X2877" s="2018"/>
      <c r="Y2877" s="2018"/>
      <c r="Z2877" s="2021"/>
      <c r="AA2877" s="2021"/>
      <c r="AB2877" s="1050"/>
      <c r="AC2877" s="1050"/>
      <c r="AD2877" s="1050"/>
      <c r="AE2877" s="1050"/>
      <c r="AF2877" s="1052"/>
    </row>
    <row r="2878" spans="1:32" ht="15.75" x14ac:dyDescent="0.25">
      <c r="A2878" s="2017"/>
      <c r="B2878" s="2018"/>
      <c r="C2878" s="2018"/>
      <c r="D2878" s="2018"/>
      <c r="E2878" s="2018"/>
      <c r="F2878" s="2018"/>
      <c r="G2878" s="2018"/>
      <c r="H2878" s="2018"/>
      <c r="I2878" s="2018"/>
      <c r="J2878" s="2018"/>
      <c r="K2878" s="2018"/>
      <c r="L2878" s="2018"/>
      <c r="M2878" s="2018"/>
      <c r="N2878" s="2018"/>
      <c r="O2878" s="2018"/>
      <c r="P2878" s="2018"/>
      <c r="Q2878" s="2018"/>
      <c r="R2878" s="2018"/>
      <c r="S2878" s="2018"/>
      <c r="T2878" s="2018"/>
      <c r="U2878" s="2018"/>
      <c r="V2878" s="2018"/>
      <c r="W2878" s="2018"/>
      <c r="X2878" s="2018"/>
      <c r="Y2878" s="2018"/>
      <c r="Z2878" s="2021"/>
      <c r="AA2878" s="2021"/>
      <c r="AB2878" s="1050"/>
      <c r="AC2878" s="1050"/>
      <c r="AD2878" s="1050"/>
      <c r="AE2878" s="1050"/>
      <c r="AF2878" s="1052"/>
    </row>
    <row r="2879" spans="1:32" ht="15.75" x14ac:dyDescent="0.25">
      <c r="A2879" s="2017"/>
      <c r="B2879" s="2018"/>
      <c r="C2879" s="2018"/>
      <c r="D2879" s="2018"/>
      <c r="E2879" s="2018"/>
      <c r="F2879" s="2018"/>
      <c r="G2879" s="2018"/>
      <c r="H2879" s="2018"/>
      <c r="I2879" s="2018"/>
      <c r="J2879" s="2018"/>
      <c r="K2879" s="2018"/>
      <c r="L2879" s="2018"/>
      <c r="M2879" s="2018"/>
      <c r="N2879" s="2018"/>
      <c r="O2879" s="2018"/>
      <c r="P2879" s="2018"/>
      <c r="Q2879" s="2018"/>
      <c r="R2879" s="2018"/>
      <c r="S2879" s="2018"/>
      <c r="T2879" s="2018"/>
      <c r="U2879" s="2018"/>
      <c r="V2879" s="2018"/>
      <c r="W2879" s="2018"/>
      <c r="X2879" s="2018"/>
      <c r="Y2879" s="2018"/>
      <c r="Z2879" s="2021"/>
      <c r="AA2879" s="2021"/>
      <c r="AB2879" s="1050"/>
      <c r="AC2879" s="1050"/>
      <c r="AD2879" s="1050"/>
      <c r="AE2879" s="1050"/>
      <c r="AF2879" s="1052"/>
    </row>
    <row r="2880" spans="1:32" ht="15.75" x14ac:dyDescent="0.25">
      <c r="A2880" s="2017"/>
      <c r="B2880" s="2018"/>
      <c r="C2880" s="2018"/>
      <c r="D2880" s="2018"/>
      <c r="E2880" s="2018"/>
      <c r="F2880" s="2018"/>
      <c r="G2880" s="2018"/>
      <c r="H2880" s="2018"/>
      <c r="I2880" s="2018"/>
      <c r="J2880" s="2018"/>
      <c r="K2880" s="2018"/>
      <c r="L2880" s="2018"/>
      <c r="M2880" s="2018"/>
      <c r="N2880" s="2018"/>
      <c r="O2880" s="2018"/>
      <c r="P2880" s="2018"/>
      <c r="Q2880" s="2018"/>
      <c r="R2880" s="2018"/>
      <c r="S2880" s="2018"/>
      <c r="T2880" s="2018"/>
      <c r="U2880" s="2018"/>
      <c r="V2880" s="2018"/>
      <c r="W2880" s="2018"/>
      <c r="X2880" s="2018"/>
      <c r="Y2880" s="2018"/>
      <c r="Z2880" s="2021"/>
      <c r="AA2880" s="2021"/>
      <c r="AB2880" s="1050"/>
      <c r="AC2880" s="1050"/>
      <c r="AD2880" s="1050"/>
      <c r="AE2880" s="1050"/>
      <c r="AF2880" s="1052"/>
    </row>
    <row r="2881" spans="1:32" ht="15.75" x14ac:dyDescent="0.25">
      <c r="A2881" s="2017"/>
      <c r="B2881" s="2018"/>
      <c r="C2881" s="2018"/>
      <c r="D2881" s="2018"/>
      <c r="E2881" s="2018"/>
      <c r="F2881" s="2018"/>
      <c r="G2881" s="2018"/>
      <c r="H2881" s="2018"/>
      <c r="I2881" s="2018"/>
      <c r="J2881" s="2018"/>
      <c r="K2881" s="2018"/>
      <c r="L2881" s="2018"/>
      <c r="M2881" s="2018"/>
      <c r="N2881" s="2018"/>
      <c r="O2881" s="2018"/>
      <c r="P2881" s="2018"/>
      <c r="Q2881" s="2018"/>
      <c r="R2881" s="2018"/>
      <c r="S2881" s="2018"/>
      <c r="T2881" s="2018"/>
      <c r="U2881" s="2018"/>
      <c r="V2881" s="2018"/>
      <c r="W2881" s="2018"/>
      <c r="X2881" s="2018"/>
      <c r="Y2881" s="2018"/>
      <c r="Z2881" s="2021"/>
      <c r="AA2881" s="2021"/>
      <c r="AB2881" s="1050"/>
      <c r="AC2881" s="1050"/>
      <c r="AD2881" s="1050"/>
      <c r="AE2881" s="1050"/>
      <c r="AF2881" s="1052"/>
    </row>
    <row r="2882" spans="1:32" ht="15.75" x14ac:dyDescent="0.25">
      <c r="A2882" s="2017"/>
      <c r="B2882" s="2018"/>
      <c r="C2882" s="2018"/>
      <c r="D2882" s="2018"/>
      <c r="E2882" s="2018"/>
      <c r="F2882" s="2018"/>
      <c r="G2882" s="2018"/>
      <c r="H2882" s="2018"/>
      <c r="I2882" s="2018"/>
      <c r="J2882" s="2018"/>
      <c r="K2882" s="2018"/>
      <c r="L2882" s="2018"/>
      <c r="M2882" s="2018"/>
      <c r="N2882" s="2018"/>
      <c r="O2882" s="2018"/>
      <c r="P2882" s="2018"/>
      <c r="Q2882" s="2018"/>
      <c r="R2882" s="2018"/>
      <c r="S2882" s="2018"/>
      <c r="T2882" s="2018"/>
      <c r="U2882" s="2018"/>
      <c r="V2882" s="2018"/>
      <c r="W2882" s="2018"/>
      <c r="X2882" s="2018"/>
      <c r="Y2882" s="2018"/>
      <c r="Z2882" s="2021"/>
      <c r="AA2882" s="2021"/>
      <c r="AB2882" s="1050"/>
      <c r="AC2882" s="1050"/>
      <c r="AD2882" s="1050"/>
      <c r="AE2882" s="1050"/>
      <c r="AF2882" s="1052"/>
    </row>
    <row r="2883" spans="1:32" ht="15.75" x14ac:dyDescent="0.25">
      <c r="A2883" s="2017"/>
      <c r="B2883" s="2018"/>
      <c r="C2883" s="2018"/>
      <c r="D2883" s="2018"/>
      <c r="E2883" s="2018"/>
      <c r="F2883" s="2018"/>
      <c r="G2883" s="2018"/>
      <c r="H2883" s="2018"/>
      <c r="I2883" s="2018"/>
      <c r="J2883" s="2018"/>
      <c r="K2883" s="2018"/>
      <c r="L2883" s="2018"/>
      <c r="M2883" s="2018"/>
      <c r="N2883" s="2018"/>
      <c r="O2883" s="2018"/>
      <c r="P2883" s="2018"/>
      <c r="Q2883" s="2018"/>
      <c r="R2883" s="2018"/>
      <c r="S2883" s="2018"/>
      <c r="T2883" s="2018"/>
      <c r="U2883" s="2018"/>
      <c r="V2883" s="2018"/>
      <c r="W2883" s="2018"/>
      <c r="X2883" s="2018"/>
      <c r="Y2883" s="2018"/>
      <c r="Z2883" s="2021"/>
      <c r="AA2883" s="2021"/>
      <c r="AB2883" s="1050"/>
      <c r="AC2883" s="1050"/>
      <c r="AD2883" s="1050"/>
      <c r="AE2883" s="1050"/>
      <c r="AF2883" s="1052"/>
    </row>
    <row r="2884" spans="1:32" ht="15.75" x14ac:dyDescent="0.25">
      <c r="A2884" s="2017"/>
      <c r="B2884" s="2018"/>
      <c r="C2884" s="2018"/>
      <c r="D2884" s="2018"/>
      <c r="E2884" s="2018"/>
      <c r="F2884" s="2018"/>
      <c r="G2884" s="2018"/>
      <c r="H2884" s="2018"/>
      <c r="I2884" s="2018"/>
      <c r="J2884" s="2018"/>
      <c r="K2884" s="2018"/>
      <c r="L2884" s="2018"/>
      <c r="M2884" s="2018"/>
      <c r="N2884" s="2018"/>
      <c r="O2884" s="2018"/>
      <c r="P2884" s="2018"/>
      <c r="Q2884" s="2018"/>
      <c r="R2884" s="2018"/>
      <c r="S2884" s="2018"/>
      <c r="T2884" s="2018"/>
      <c r="U2884" s="2018"/>
      <c r="V2884" s="2018"/>
      <c r="W2884" s="2018"/>
      <c r="X2884" s="2018"/>
      <c r="Y2884" s="2018"/>
      <c r="Z2884" s="2021"/>
      <c r="AA2884" s="2021"/>
      <c r="AB2884" s="1050"/>
      <c r="AC2884" s="1050"/>
      <c r="AD2884" s="1050"/>
      <c r="AE2884" s="1050"/>
      <c r="AF2884" s="1052"/>
    </row>
    <row r="2885" spans="1:32" ht="15.75" x14ac:dyDescent="0.25">
      <c r="A2885" s="2017"/>
      <c r="B2885" s="2018"/>
      <c r="C2885" s="2018"/>
      <c r="D2885" s="2018"/>
      <c r="E2885" s="2018"/>
      <c r="F2885" s="2018"/>
      <c r="G2885" s="2018"/>
      <c r="H2885" s="2018"/>
      <c r="I2885" s="2018"/>
      <c r="J2885" s="2018"/>
      <c r="K2885" s="2018"/>
      <c r="L2885" s="2018"/>
      <c r="M2885" s="2018"/>
      <c r="N2885" s="2018"/>
      <c r="O2885" s="2018"/>
      <c r="P2885" s="2018"/>
      <c r="Q2885" s="2018"/>
      <c r="R2885" s="2018"/>
      <c r="S2885" s="2018"/>
      <c r="T2885" s="2018"/>
      <c r="U2885" s="2018"/>
      <c r="V2885" s="2018"/>
      <c r="W2885" s="2018"/>
      <c r="X2885" s="2018"/>
      <c r="Y2885" s="2018"/>
      <c r="Z2885" s="2021"/>
      <c r="AA2885" s="2021"/>
      <c r="AB2885" s="1050"/>
      <c r="AC2885" s="1050"/>
      <c r="AD2885" s="1050"/>
      <c r="AE2885" s="1050"/>
      <c r="AF2885" s="1052"/>
    </row>
    <row r="2886" spans="1:32" ht="15.75" x14ac:dyDescent="0.25">
      <c r="A2886" s="2017"/>
      <c r="B2886" s="2018"/>
      <c r="C2886" s="2018"/>
      <c r="D2886" s="2018"/>
      <c r="E2886" s="2018"/>
      <c r="F2886" s="2018"/>
      <c r="G2886" s="2018"/>
      <c r="H2886" s="2018"/>
      <c r="I2886" s="2018"/>
      <c r="J2886" s="2018"/>
      <c r="K2886" s="2018"/>
      <c r="L2886" s="2018"/>
      <c r="M2886" s="2018"/>
      <c r="N2886" s="2018"/>
      <c r="O2886" s="2018"/>
      <c r="P2886" s="2018"/>
      <c r="Q2886" s="2018"/>
      <c r="R2886" s="2018"/>
      <c r="S2886" s="2018"/>
      <c r="T2886" s="2018"/>
      <c r="U2886" s="2018"/>
      <c r="V2886" s="2018"/>
      <c r="W2886" s="2018"/>
      <c r="X2886" s="2018"/>
      <c r="Y2886" s="2018"/>
      <c r="Z2886" s="2021"/>
      <c r="AA2886" s="2021"/>
      <c r="AB2886" s="1050"/>
      <c r="AC2886" s="1050"/>
      <c r="AD2886" s="1050"/>
      <c r="AE2886" s="1050"/>
      <c r="AF2886" s="1052"/>
    </row>
    <row r="2887" spans="1:32" ht="15.75" x14ac:dyDescent="0.25">
      <c r="A2887" s="2017"/>
      <c r="B2887" s="2018"/>
      <c r="C2887" s="2018"/>
      <c r="D2887" s="2018"/>
      <c r="E2887" s="2018"/>
      <c r="F2887" s="2018"/>
      <c r="G2887" s="2018"/>
      <c r="H2887" s="2018"/>
      <c r="I2887" s="2018"/>
      <c r="J2887" s="2018"/>
      <c r="K2887" s="2018"/>
      <c r="L2887" s="2018"/>
      <c r="M2887" s="2018"/>
      <c r="N2887" s="2018"/>
      <c r="O2887" s="2018"/>
      <c r="P2887" s="2018"/>
      <c r="Q2887" s="2018"/>
      <c r="R2887" s="2018"/>
      <c r="S2887" s="2018"/>
      <c r="T2887" s="2018"/>
      <c r="U2887" s="2018"/>
      <c r="V2887" s="2018"/>
      <c r="W2887" s="2018"/>
      <c r="X2887" s="2018"/>
      <c r="Y2887" s="2018"/>
      <c r="Z2887" s="2021"/>
      <c r="AA2887" s="2021"/>
      <c r="AB2887" s="1050"/>
      <c r="AC2887" s="1050"/>
      <c r="AD2887" s="1050"/>
      <c r="AE2887" s="1050"/>
      <c r="AF2887" s="1052"/>
    </row>
    <row r="2888" spans="1:32" ht="15.75" x14ac:dyDescent="0.25">
      <c r="A2888" s="2017"/>
      <c r="B2888" s="2018"/>
      <c r="C2888" s="2018"/>
      <c r="D2888" s="2018"/>
      <c r="E2888" s="2018"/>
      <c r="F2888" s="2018"/>
      <c r="G2888" s="2018"/>
      <c r="H2888" s="2018"/>
      <c r="I2888" s="2018"/>
      <c r="J2888" s="2018"/>
      <c r="K2888" s="2018"/>
      <c r="L2888" s="2018"/>
      <c r="M2888" s="2018"/>
      <c r="N2888" s="2018"/>
      <c r="O2888" s="2018"/>
      <c r="P2888" s="2018"/>
      <c r="Q2888" s="2018"/>
      <c r="R2888" s="2018"/>
      <c r="S2888" s="2018"/>
      <c r="T2888" s="2018"/>
      <c r="U2888" s="2018"/>
      <c r="V2888" s="2018"/>
      <c r="W2888" s="2018"/>
      <c r="X2888" s="2018"/>
      <c r="Y2888" s="2018"/>
      <c r="Z2888" s="2022"/>
      <c r="AA2888" s="2022"/>
      <c r="AB2888" s="1050"/>
      <c r="AC2888" s="1050"/>
      <c r="AD2888" s="1050"/>
      <c r="AE2888" s="1050"/>
      <c r="AF2888" s="1052"/>
    </row>
    <row r="2889" spans="1:32" ht="15.75" x14ac:dyDescent="0.25">
      <c r="A2889" s="2017"/>
      <c r="B2889" s="2018"/>
      <c r="C2889" s="2018"/>
      <c r="D2889" s="2018"/>
      <c r="E2889" s="2018"/>
      <c r="F2889" s="2018"/>
      <c r="G2889" s="2018"/>
      <c r="H2889" s="2018"/>
      <c r="I2889" s="2018"/>
      <c r="J2889" s="2018"/>
      <c r="K2889" s="2018"/>
      <c r="L2889" s="2018"/>
      <c r="M2889" s="2018"/>
      <c r="N2889" s="2018"/>
      <c r="O2889" s="2018"/>
      <c r="P2889" s="2018"/>
      <c r="Q2889" s="2018"/>
      <c r="R2889" s="2018"/>
      <c r="S2889" s="2018"/>
      <c r="T2889" s="2018"/>
      <c r="U2889" s="2018"/>
      <c r="V2889" s="2018"/>
      <c r="W2889" s="2018"/>
      <c r="X2889" s="2018"/>
      <c r="Y2889" s="2018"/>
      <c r="Z2889" s="2022"/>
      <c r="AA2889" s="2022"/>
      <c r="AB2889" s="1050"/>
      <c r="AC2889" s="1050"/>
      <c r="AD2889" s="1050"/>
      <c r="AE2889" s="1050"/>
      <c r="AF2889" s="1052"/>
    </row>
    <row r="2890" spans="1:32" ht="15.75" x14ac:dyDescent="0.25">
      <c r="A2890" s="2017"/>
      <c r="B2890" s="2018"/>
      <c r="C2890" s="2018"/>
      <c r="D2890" s="2018"/>
      <c r="E2890" s="2018"/>
      <c r="F2890" s="2018"/>
      <c r="G2890" s="2018"/>
      <c r="H2890" s="2018"/>
      <c r="I2890" s="2018"/>
      <c r="J2890" s="2018"/>
      <c r="K2890" s="2018"/>
      <c r="L2890" s="2018"/>
      <c r="M2890" s="2018"/>
      <c r="N2890" s="2018"/>
      <c r="O2890" s="2018"/>
      <c r="P2890" s="2018"/>
      <c r="Q2890" s="2018"/>
      <c r="R2890" s="2018"/>
      <c r="S2890" s="2018"/>
      <c r="T2890" s="2018"/>
      <c r="U2890" s="2018"/>
      <c r="V2890" s="2018"/>
      <c r="W2890" s="2018"/>
      <c r="X2890" s="2018"/>
      <c r="Y2890" s="2018"/>
      <c r="Z2890" s="2022"/>
      <c r="AA2890" s="2022"/>
      <c r="AB2890" s="1050"/>
      <c r="AC2890" s="1050"/>
      <c r="AD2890" s="1050"/>
      <c r="AE2890" s="1050"/>
      <c r="AF2890" s="1052"/>
    </row>
    <row r="2891" spans="1:32" ht="15.75" x14ac:dyDescent="0.25">
      <c r="A2891" s="2017"/>
      <c r="B2891" s="2018"/>
      <c r="C2891" s="2018"/>
      <c r="D2891" s="2018"/>
      <c r="E2891" s="2018"/>
      <c r="F2891" s="2018"/>
      <c r="G2891" s="2018"/>
      <c r="H2891" s="2018"/>
      <c r="I2891" s="2018"/>
      <c r="J2891" s="2018"/>
      <c r="K2891" s="2018"/>
      <c r="L2891" s="2018"/>
      <c r="M2891" s="2018"/>
      <c r="N2891" s="2018"/>
      <c r="O2891" s="2018"/>
      <c r="P2891" s="2018"/>
      <c r="Q2891" s="2018"/>
      <c r="R2891" s="2018"/>
      <c r="S2891" s="2018"/>
      <c r="T2891" s="2018"/>
      <c r="U2891" s="2018"/>
      <c r="V2891" s="2018"/>
      <c r="W2891" s="2018"/>
      <c r="X2891" s="2018"/>
      <c r="Y2891" s="2018"/>
      <c r="Z2891" s="2023"/>
      <c r="AA2891" s="2023"/>
      <c r="AB2891" s="1050"/>
      <c r="AC2891" s="1050"/>
      <c r="AD2891" s="1050"/>
      <c r="AE2891" s="1050"/>
      <c r="AF2891" s="1052"/>
    </row>
    <row r="2892" spans="1:32" ht="15.75" x14ac:dyDescent="0.25">
      <c r="A2892" s="2017"/>
      <c r="B2892" s="2018"/>
      <c r="C2892" s="2018"/>
      <c r="D2892" s="2018"/>
      <c r="E2892" s="2018"/>
      <c r="F2892" s="2018"/>
      <c r="G2892" s="2018"/>
      <c r="H2892" s="2018"/>
      <c r="I2892" s="2018"/>
      <c r="J2892" s="2018"/>
      <c r="K2892" s="2018"/>
      <c r="L2892" s="2018"/>
      <c r="M2892" s="2018"/>
      <c r="N2892" s="2018"/>
      <c r="O2892" s="2018"/>
      <c r="P2892" s="2018"/>
      <c r="Q2892" s="2018"/>
      <c r="R2892" s="2018"/>
      <c r="S2892" s="2018"/>
      <c r="T2892" s="2018"/>
      <c r="U2892" s="2018"/>
      <c r="V2892" s="2018"/>
      <c r="W2892" s="2018"/>
      <c r="X2892" s="2018"/>
      <c r="Y2892" s="2018"/>
      <c r="Z2892" s="2023"/>
      <c r="AA2892" s="2023"/>
      <c r="AB2892" s="1050"/>
      <c r="AC2892" s="1050"/>
      <c r="AD2892" s="1050"/>
      <c r="AE2892" s="1050"/>
      <c r="AF2892" s="1052"/>
    </row>
    <row r="2893" spans="1:32" ht="15.75" x14ac:dyDescent="0.25">
      <c r="A2893" s="2017"/>
      <c r="B2893" s="2018"/>
      <c r="C2893" s="2018"/>
      <c r="D2893" s="2018"/>
      <c r="E2893" s="2018"/>
      <c r="F2893" s="2018"/>
      <c r="G2893" s="2018"/>
      <c r="H2893" s="2018"/>
      <c r="I2893" s="2018"/>
      <c r="J2893" s="2018"/>
      <c r="K2893" s="2018"/>
      <c r="L2893" s="2018"/>
      <c r="M2893" s="2018"/>
      <c r="N2893" s="2018"/>
      <c r="O2893" s="2018"/>
      <c r="P2893" s="2018"/>
      <c r="Q2893" s="2018"/>
      <c r="R2893" s="2018"/>
      <c r="S2893" s="2018"/>
      <c r="T2893" s="2018"/>
      <c r="U2893" s="2018"/>
      <c r="V2893" s="2018"/>
      <c r="W2893" s="2018"/>
      <c r="X2893" s="2018"/>
      <c r="Y2893" s="2018"/>
      <c r="Z2893" s="2023"/>
      <c r="AA2893" s="2023"/>
      <c r="AB2893" s="1050"/>
      <c r="AC2893" s="1050"/>
      <c r="AD2893" s="1050"/>
      <c r="AE2893" s="1050"/>
      <c r="AF2893" s="1052"/>
    </row>
    <row r="2894" spans="1:32" ht="15.75" x14ac:dyDescent="0.25">
      <c r="A2894" s="2017"/>
      <c r="B2894" s="2018"/>
      <c r="C2894" s="2018"/>
      <c r="D2894" s="2018"/>
      <c r="E2894" s="2018"/>
      <c r="F2894" s="2018"/>
      <c r="G2894" s="2018"/>
      <c r="H2894" s="2018"/>
      <c r="I2894" s="2018"/>
      <c r="J2894" s="2018"/>
      <c r="K2894" s="2018"/>
      <c r="L2894" s="2018"/>
      <c r="M2894" s="2018"/>
      <c r="N2894" s="2018"/>
      <c r="O2894" s="2018"/>
      <c r="P2894" s="2018"/>
      <c r="Q2894" s="2018"/>
      <c r="R2894" s="2018"/>
      <c r="S2894" s="2018"/>
      <c r="T2894" s="2018"/>
      <c r="U2894" s="2018"/>
      <c r="V2894" s="2018"/>
      <c r="W2894" s="2018"/>
      <c r="X2894" s="2018"/>
      <c r="Y2894" s="2018"/>
      <c r="Z2894" s="2023"/>
      <c r="AA2894" s="2023"/>
      <c r="AB2894" s="1050"/>
      <c r="AC2894" s="1050"/>
      <c r="AD2894" s="1050"/>
      <c r="AE2894" s="1050"/>
      <c r="AF2894" s="1052"/>
    </row>
    <row r="2895" spans="1:32" ht="15.75" x14ac:dyDescent="0.25">
      <c r="A2895" s="2017"/>
      <c r="B2895" s="2018"/>
      <c r="C2895" s="2018"/>
      <c r="D2895" s="2018"/>
      <c r="E2895" s="2018"/>
      <c r="F2895" s="2018"/>
      <c r="G2895" s="2018"/>
      <c r="H2895" s="2018"/>
      <c r="I2895" s="2018"/>
      <c r="J2895" s="2018"/>
      <c r="K2895" s="2018"/>
      <c r="L2895" s="2018"/>
      <c r="M2895" s="2018"/>
      <c r="N2895" s="2018"/>
      <c r="O2895" s="2018"/>
      <c r="P2895" s="2018"/>
      <c r="Q2895" s="2018"/>
      <c r="R2895" s="2018"/>
      <c r="S2895" s="2018"/>
      <c r="T2895" s="2018"/>
      <c r="U2895" s="2018"/>
      <c r="V2895" s="2018"/>
      <c r="W2895" s="2018"/>
      <c r="X2895" s="2018"/>
      <c r="Y2895" s="2018"/>
      <c r="Z2895" s="2023"/>
      <c r="AA2895" s="2023"/>
      <c r="AB2895" s="1050"/>
      <c r="AC2895" s="1050"/>
      <c r="AD2895" s="1050"/>
      <c r="AE2895" s="1050"/>
      <c r="AF2895" s="1052"/>
    </row>
    <row r="2896" spans="1:32" ht="15.75" x14ac:dyDescent="0.25">
      <c r="A2896" s="2017"/>
      <c r="B2896" s="2018"/>
      <c r="C2896" s="2018"/>
      <c r="D2896" s="2018"/>
      <c r="E2896" s="2018"/>
      <c r="F2896" s="2018"/>
      <c r="G2896" s="2018"/>
      <c r="H2896" s="2018"/>
      <c r="I2896" s="2018"/>
      <c r="J2896" s="2018"/>
      <c r="K2896" s="2018"/>
      <c r="L2896" s="2018"/>
      <c r="M2896" s="2018"/>
      <c r="N2896" s="2018"/>
      <c r="O2896" s="2018"/>
      <c r="P2896" s="2018"/>
      <c r="Q2896" s="2018"/>
      <c r="R2896" s="2018"/>
      <c r="S2896" s="2018"/>
      <c r="T2896" s="2018"/>
      <c r="U2896" s="2018"/>
      <c r="V2896" s="2018"/>
      <c r="W2896" s="2018"/>
      <c r="X2896" s="2018"/>
      <c r="Y2896" s="2018"/>
      <c r="Z2896" s="2023"/>
      <c r="AA2896" s="2023"/>
      <c r="AB2896" s="1050"/>
      <c r="AC2896" s="1050"/>
      <c r="AD2896" s="1050"/>
      <c r="AE2896" s="1050"/>
      <c r="AF2896" s="1052"/>
    </row>
    <row r="2897" spans="1:32" ht="16.5" thickBot="1" x14ac:dyDescent="0.3">
      <c r="A2897" s="2019"/>
      <c r="B2897" s="2020"/>
      <c r="C2897" s="2020"/>
      <c r="D2897" s="2020"/>
      <c r="E2897" s="2020"/>
      <c r="F2897" s="2020"/>
      <c r="G2897" s="2020"/>
      <c r="H2897" s="2020"/>
      <c r="I2897" s="2020"/>
      <c r="J2897" s="2020"/>
      <c r="K2897" s="2020"/>
      <c r="L2897" s="2020"/>
      <c r="M2897" s="2020"/>
      <c r="N2897" s="2020"/>
      <c r="O2897" s="2020"/>
      <c r="P2897" s="2020"/>
      <c r="Q2897" s="2020"/>
      <c r="R2897" s="2020"/>
      <c r="S2897" s="2020"/>
      <c r="T2897" s="2020"/>
      <c r="U2897" s="2020"/>
      <c r="V2897" s="2020"/>
      <c r="W2897" s="2020"/>
      <c r="X2897" s="2020"/>
      <c r="Y2897" s="2020"/>
      <c r="Z2897" s="2024"/>
      <c r="AA2897" s="2024"/>
      <c r="AB2897" s="1057"/>
      <c r="AC2897" s="1057"/>
      <c r="AD2897" s="1057"/>
      <c r="AE2897" s="1057"/>
      <c r="AF2897" s="1058"/>
    </row>
    <row r="2898" spans="1:32" ht="15.75" x14ac:dyDescent="0.25">
      <c r="A2898" s="2009" t="s">
        <v>1855</v>
      </c>
      <c r="B2898" s="2010"/>
      <c r="C2898" s="2010"/>
      <c r="D2898" s="2010"/>
      <c r="E2898" s="2010"/>
      <c r="F2898" s="2010"/>
      <c r="G2898" s="2010"/>
      <c r="H2898" s="2010"/>
      <c r="I2898" s="2010"/>
      <c r="J2898" s="2010"/>
      <c r="K2898" s="2010"/>
      <c r="L2898" s="2010"/>
      <c r="M2898" s="2010"/>
      <c r="N2898" s="2010"/>
      <c r="O2898" s="2010"/>
      <c r="P2898" s="2010"/>
      <c r="Q2898" s="2010"/>
      <c r="R2898" s="2010"/>
      <c r="S2898" s="2010"/>
      <c r="T2898" s="2010"/>
      <c r="U2898" s="2010"/>
      <c r="V2898" s="2010"/>
      <c r="W2898" s="2010"/>
      <c r="X2898" s="2010"/>
      <c r="Y2898" s="2010"/>
      <c r="Z2898" s="2013" t="s">
        <v>1850</v>
      </c>
      <c r="AA2898" s="2013"/>
      <c r="AB2898" s="2013"/>
      <c r="AC2898" s="2013"/>
      <c r="AD2898" s="2013"/>
      <c r="AE2898" s="2013"/>
      <c r="AF2898" s="1059">
        <f>SUM(AF2874:AF2897)</f>
        <v>28.1</v>
      </c>
    </row>
    <row r="2899" spans="1:32" ht="15.75" x14ac:dyDescent="0.25">
      <c r="A2899" s="2011"/>
      <c r="B2899" s="2012"/>
      <c r="C2899" s="2012"/>
      <c r="D2899" s="2012"/>
      <c r="E2899" s="2012"/>
      <c r="F2899" s="2012"/>
      <c r="G2899" s="2012"/>
      <c r="H2899" s="2012"/>
      <c r="I2899" s="2012"/>
      <c r="J2899" s="2012"/>
      <c r="K2899" s="2012"/>
      <c r="L2899" s="2012"/>
      <c r="M2899" s="2012"/>
      <c r="N2899" s="2012"/>
      <c r="O2899" s="2012"/>
      <c r="P2899" s="2012"/>
      <c r="Q2899" s="2012"/>
      <c r="R2899" s="2012"/>
      <c r="S2899" s="2012"/>
      <c r="T2899" s="2012"/>
      <c r="U2899" s="2012"/>
      <c r="V2899" s="2012"/>
      <c r="W2899" s="2012"/>
      <c r="X2899" s="2012"/>
      <c r="Y2899" s="2012"/>
      <c r="Z2899" s="2014" t="s">
        <v>1851</v>
      </c>
      <c r="AA2899" s="2014"/>
      <c r="AB2899" s="2014"/>
      <c r="AC2899" s="2014"/>
      <c r="AD2899" s="2014"/>
      <c r="AE2899" s="2014"/>
      <c r="AF2899" s="1060">
        <v>0</v>
      </c>
    </row>
    <row r="2900" spans="1:32" ht="15.75" x14ac:dyDescent="0.25">
      <c r="A2900" s="2011"/>
      <c r="B2900" s="2012"/>
      <c r="C2900" s="2012"/>
      <c r="D2900" s="2012"/>
      <c r="E2900" s="2012"/>
      <c r="F2900" s="2012"/>
      <c r="G2900" s="2012"/>
      <c r="H2900" s="2012"/>
      <c r="I2900" s="2012"/>
      <c r="J2900" s="2012"/>
      <c r="K2900" s="2012"/>
      <c r="L2900" s="2012"/>
      <c r="M2900" s="2012"/>
      <c r="N2900" s="2012"/>
      <c r="O2900" s="2012"/>
      <c r="P2900" s="2012"/>
      <c r="Q2900" s="2012"/>
      <c r="R2900" s="2012"/>
      <c r="S2900" s="2012"/>
      <c r="T2900" s="2012"/>
      <c r="U2900" s="2012"/>
      <c r="V2900" s="2012"/>
      <c r="W2900" s="2012"/>
      <c r="X2900" s="2012"/>
      <c r="Y2900" s="2012"/>
      <c r="Z2900" s="2015" t="s">
        <v>1833</v>
      </c>
      <c r="AA2900" s="2015"/>
      <c r="AB2900" s="2015"/>
      <c r="AC2900" s="2015"/>
      <c r="AD2900" s="2015"/>
      <c r="AE2900" s="2015"/>
      <c r="AF2900" s="1061">
        <f>SUM(AF2898:AF2899)</f>
        <v>28.1</v>
      </c>
    </row>
    <row r="2901" spans="1:32" x14ac:dyDescent="0.2">
      <c r="A2901" s="2012" t="s">
        <v>1859</v>
      </c>
      <c r="B2901" s="2012"/>
      <c r="C2901" s="2012"/>
      <c r="D2901" s="2012"/>
      <c r="E2901" s="2012"/>
      <c r="F2901" s="2012"/>
      <c r="G2901" s="2012"/>
      <c r="H2901" s="2012"/>
      <c r="I2901" s="2012"/>
      <c r="J2901" s="2012"/>
      <c r="K2901" s="2012"/>
      <c r="L2901" s="2012"/>
      <c r="M2901" s="2012"/>
      <c r="N2901" s="2012"/>
      <c r="O2901" s="2012"/>
      <c r="P2901" s="2012"/>
      <c r="Q2901" s="2012"/>
      <c r="R2901" s="2012"/>
      <c r="S2901" s="2012"/>
      <c r="T2901" s="2016" t="s">
        <v>1840</v>
      </c>
      <c r="U2901" s="2016"/>
      <c r="V2901" s="2016"/>
      <c r="W2901" s="2016"/>
      <c r="X2901" s="2016"/>
      <c r="Y2901" s="2016"/>
      <c r="Z2901" s="2016"/>
      <c r="AA2901" s="2016"/>
      <c r="AB2901" s="2012" t="s">
        <v>1852</v>
      </c>
      <c r="AC2901" s="2012"/>
      <c r="AD2901" s="2012"/>
      <c r="AE2901" s="2012"/>
      <c r="AF2901" s="2012"/>
    </row>
    <row r="2902" spans="1:32" x14ac:dyDescent="0.2">
      <c r="A2902" s="2012"/>
      <c r="B2902" s="2012"/>
      <c r="C2902" s="2012"/>
      <c r="D2902" s="2012"/>
      <c r="E2902" s="2012"/>
      <c r="F2902" s="2012"/>
      <c r="G2902" s="2012"/>
      <c r="H2902" s="2012"/>
      <c r="I2902" s="2012"/>
      <c r="J2902" s="2012"/>
      <c r="K2902" s="2012"/>
      <c r="L2902" s="2012"/>
      <c r="M2902" s="2012"/>
      <c r="N2902" s="2012"/>
      <c r="O2902" s="2012"/>
      <c r="P2902" s="2012"/>
      <c r="Q2902" s="2012"/>
      <c r="R2902" s="2012"/>
      <c r="S2902" s="2012"/>
      <c r="T2902" s="2016"/>
      <c r="U2902" s="2016"/>
      <c r="V2902" s="2016"/>
      <c r="W2902" s="2016"/>
      <c r="X2902" s="2016"/>
      <c r="Y2902" s="2016"/>
      <c r="Z2902" s="2016"/>
      <c r="AA2902" s="2016"/>
      <c r="AB2902" s="2012"/>
      <c r="AC2902" s="2012"/>
      <c r="AD2902" s="2012"/>
      <c r="AE2902" s="2012"/>
      <c r="AF2902" s="2012"/>
    </row>
    <row r="2903" spans="1:32" ht="13.5" thickBot="1" x14ac:dyDescent="0.25"/>
    <row r="2904" spans="1:32" ht="26.45" customHeight="1" x14ac:dyDescent="0.2">
      <c r="A2904" s="2025" t="s">
        <v>1854</v>
      </c>
      <c r="B2904" s="2026"/>
      <c r="C2904" s="2026"/>
      <c r="D2904" s="2026"/>
      <c r="E2904" s="2026"/>
      <c r="F2904" s="2026"/>
      <c r="G2904" s="2026"/>
      <c r="H2904" s="2026"/>
      <c r="I2904" s="2026"/>
      <c r="J2904" s="2026"/>
      <c r="K2904" s="2026"/>
      <c r="L2904" s="2026"/>
      <c r="M2904" s="2026"/>
      <c r="N2904" s="2026"/>
      <c r="O2904" s="2026"/>
      <c r="P2904" s="2026"/>
      <c r="Q2904" s="2026"/>
      <c r="R2904" s="2026"/>
      <c r="S2904" s="2026"/>
      <c r="T2904" s="2026"/>
      <c r="U2904" s="2026"/>
      <c r="V2904" s="2026"/>
      <c r="W2904" s="2026"/>
      <c r="X2904" s="2026"/>
      <c r="Y2904" s="2026"/>
      <c r="Z2904" s="2026"/>
      <c r="AA2904" s="2026"/>
      <c r="AB2904" s="2026"/>
      <c r="AC2904" s="2026"/>
      <c r="AD2904" s="2026"/>
      <c r="AE2904" s="1041" t="s">
        <v>1834</v>
      </c>
      <c r="AF2904" s="1042" t="s">
        <v>1835</v>
      </c>
    </row>
    <row r="2905" spans="1:32" ht="21" customHeight="1" thickBot="1" x14ac:dyDescent="0.25">
      <c r="A2905" s="2027"/>
      <c r="B2905" s="2028"/>
      <c r="C2905" s="2028"/>
      <c r="D2905" s="2028"/>
      <c r="E2905" s="2028"/>
      <c r="F2905" s="2028"/>
      <c r="G2905" s="2028"/>
      <c r="H2905" s="2028"/>
      <c r="I2905" s="2028"/>
      <c r="J2905" s="2028"/>
      <c r="K2905" s="2028"/>
      <c r="L2905" s="2028"/>
      <c r="M2905" s="2028"/>
      <c r="N2905" s="2028"/>
      <c r="O2905" s="2028"/>
      <c r="P2905" s="2028"/>
      <c r="Q2905" s="2028"/>
      <c r="R2905" s="2028"/>
      <c r="S2905" s="2028"/>
      <c r="T2905" s="2028"/>
      <c r="U2905" s="2028"/>
      <c r="V2905" s="2028"/>
      <c r="W2905" s="2028"/>
      <c r="X2905" s="2028"/>
      <c r="Y2905" s="2028"/>
      <c r="Z2905" s="2028"/>
      <c r="AA2905" s="2028"/>
      <c r="AB2905" s="2028"/>
      <c r="AC2905" s="2028"/>
      <c r="AD2905" s="2028"/>
      <c r="AE2905" s="1041" t="s">
        <v>1836</v>
      </c>
      <c r="AF2905" s="1044">
        <v>1</v>
      </c>
    </row>
    <row r="2906" spans="1:32" ht="15.75" x14ac:dyDescent="0.2">
      <c r="A2906" s="2029"/>
      <c r="B2906" s="2030"/>
      <c r="C2906" s="2030"/>
      <c r="D2906" s="2031"/>
      <c r="E2906" s="2025" t="str">
        <f>'01'!$A$12</f>
        <v>"CONSTRUCCION SISTEMA DE ACUEDUCTO FASE II DEL MUNICIPIO DE TESALIA DPTO DEL HUILA"</v>
      </c>
      <c r="F2906" s="2026"/>
      <c r="G2906" s="2026"/>
      <c r="H2906" s="2026"/>
      <c r="I2906" s="2026"/>
      <c r="J2906" s="2026"/>
      <c r="K2906" s="2026"/>
      <c r="L2906" s="2026"/>
      <c r="M2906" s="2026"/>
      <c r="N2906" s="2026"/>
      <c r="O2906" s="2026"/>
      <c r="P2906" s="2026"/>
      <c r="Q2906" s="2026"/>
      <c r="R2906" s="2026"/>
      <c r="S2906" s="2026"/>
      <c r="T2906" s="2026"/>
      <c r="U2906" s="2026"/>
      <c r="V2906" s="2026"/>
      <c r="W2906" s="2026"/>
      <c r="X2906" s="2026"/>
      <c r="Y2906" s="2026"/>
      <c r="Z2906" s="2026"/>
      <c r="AA2906" s="2026"/>
      <c r="AB2906" s="2026"/>
      <c r="AC2906" s="2026"/>
      <c r="AD2906" s="2035"/>
      <c r="AE2906" s="1041" t="s">
        <v>847</v>
      </c>
      <c r="AF2906" s="1045">
        <f>'01'!$M$13</f>
        <v>0</v>
      </c>
    </row>
    <row r="2907" spans="1:32" ht="16.5" thickBot="1" x14ac:dyDescent="0.25">
      <c r="A2907" s="2032"/>
      <c r="B2907" s="2033"/>
      <c r="C2907" s="2033"/>
      <c r="D2907" s="2034"/>
      <c r="E2907" s="2027"/>
      <c r="F2907" s="2028"/>
      <c r="G2907" s="2028"/>
      <c r="H2907" s="2028"/>
      <c r="I2907" s="2028"/>
      <c r="J2907" s="2028"/>
      <c r="K2907" s="2028"/>
      <c r="L2907" s="2028"/>
      <c r="M2907" s="2028"/>
      <c r="N2907" s="2028"/>
      <c r="O2907" s="2028"/>
      <c r="P2907" s="2028"/>
      <c r="Q2907" s="2028"/>
      <c r="R2907" s="2028"/>
      <c r="S2907" s="2028"/>
      <c r="T2907" s="2028"/>
      <c r="U2907" s="2028"/>
      <c r="V2907" s="2028"/>
      <c r="W2907" s="2028"/>
      <c r="X2907" s="2028"/>
      <c r="Y2907" s="2028"/>
      <c r="Z2907" s="2028"/>
      <c r="AA2907" s="2028"/>
      <c r="AB2907" s="2028"/>
      <c r="AC2907" s="2028"/>
      <c r="AD2907" s="2036"/>
      <c r="AE2907" s="1041" t="s">
        <v>1837</v>
      </c>
      <c r="AF2907" s="1042" t="s">
        <v>1838</v>
      </c>
    </row>
    <row r="2908" spans="1:32" ht="15.75" x14ac:dyDescent="0.25">
      <c r="A2908" s="2037" t="s">
        <v>1860</v>
      </c>
      <c r="B2908" s="2038"/>
      <c r="C2908" s="2038"/>
      <c r="D2908" s="2038"/>
      <c r="E2908" s="2038"/>
      <c r="F2908" s="2038"/>
      <c r="G2908" s="2038"/>
      <c r="H2908" s="2038"/>
      <c r="I2908" s="2038"/>
      <c r="J2908" s="2038"/>
      <c r="K2908" s="2038"/>
      <c r="L2908" s="2038"/>
      <c r="M2908" s="2038"/>
      <c r="N2908" s="2038"/>
      <c r="O2908" s="2038"/>
      <c r="P2908" s="2038"/>
      <c r="Q2908" s="2038"/>
      <c r="R2908" s="2038"/>
      <c r="S2908" s="2038"/>
      <c r="T2908" s="2038"/>
      <c r="U2908" s="2038"/>
      <c r="V2908" s="2038"/>
      <c r="W2908" s="2038"/>
      <c r="X2908" s="2038"/>
      <c r="Y2908" s="2038"/>
      <c r="Z2908" s="2038"/>
      <c r="AA2908" s="2038"/>
      <c r="AB2908" s="2038"/>
      <c r="AC2908" s="2038"/>
      <c r="AD2908" s="2038"/>
      <c r="AE2908" s="2039" t="s">
        <v>1839</v>
      </c>
      <c r="AF2908" s="2040"/>
    </row>
    <row r="2909" spans="1:32" ht="15.75" x14ac:dyDescent="0.25">
      <c r="A2909" s="2041" t="s">
        <v>1840</v>
      </c>
      <c r="B2909" s="2042"/>
      <c r="C2909" s="2042"/>
      <c r="D2909" s="2042"/>
      <c r="E2909" s="2042"/>
      <c r="F2909" s="2042"/>
      <c r="G2909" s="2042"/>
      <c r="H2909" s="2042"/>
      <c r="I2909" s="2042"/>
      <c r="J2909" s="2042"/>
      <c r="K2909" s="2042"/>
      <c r="L2909" s="2042"/>
      <c r="M2909" s="2042"/>
      <c r="N2909" s="2042"/>
      <c r="O2909" s="2042"/>
      <c r="P2909" s="2042"/>
      <c r="Q2909" s="2042"/>
      <c r="R2909" s="2042"/>
      <c r="S2909" s="2042"/>
      <c r="T2909" s="2042"/>
      <c r="U2909" s="2042"/>
      <c r="V2909" s="2042"/>
      <c r="W2909" s="2042"/>
      <c r="X2909" s="2042"/>
      <c r="Y2909" s="2042"/>
      <c r="Z2909" s="2042"/>
      <c r="AA2909" s="2042"/>
      <c r="AB2909" s="2042"/>
      <c r="AC2909" s="2042"/>
      <c r="AD2909" s="2043"/>
      <c r="AE2909" s="2014" t="s">
        <v>1841</v>
      </c>
      <c r="AF2909" s="2044"/>
    </row>
    <row r="2910" spans="1:32" ht="15.75" x14ac:dyDescent="0.25">
      <c r="A2910" s="2045" t="s">
        <v>1853</v>
      </c>
      <c r="B2910" s="2046"/>
      <c r="C2910" s="2046"/>
      <c r="D2910" s="2046"/>
      <c r="E2910" s="2046"/>
      <c r="F2910" s="2046"/>
      <c r="G2910" s="2046"/>
      <c r="H2910" s="2046"/>
      <c r="I2910" s="2046"/>
      <c r="J2910" s="2046"/>
      <c r="K2910" s="2046"/>
      <c r="L2910" s="2046"/>
      <c r="M2910" s="2046"/>
      <c r="N2910" s="2046"/>
      <c r="O2910" s="2046"/>
      <c r="P2910" s="2046"/>
      <c r="Q2910" s="2046"/>
      <c r="R2910" s="2046"/>
      <c r="S2910" s="2046"/>
      <c r="T2910" s="2046"/>
      <c r="U2910" s="2046"/>
      <c r="V2910" s="2046"/>
      <c r="W2910" s="2046"/>
      <c r="X2910" s="2046"/>
      <c r="Y2910" s="2046"/>
      <c r="Z2910" s="2046"/>
      <c r="AA2910" s="2046"/>
      <c r="AB2910" s="2046"/>
      <c r="AC2910" s="2046"/>
      <c r="AD2910" s="2046"/>
      <c r="AE2910" s="2047">
        <f>'01'!$M$13</f>
        <v>0</v>
      </c>
      <c r="AF2910" s="2044"/>
    </row>
    <row r="2911" spans="1:32" x14ac:dyDescent="0.2">
      <c r="A2911" s="1046"/>
      <c r="B2911" s="1047"/>
      <c r="C2911" s="1047"/>
      <c r="D2911" s="1047"/>
      <c r="E2911" s="1047"/>
      <c r="F2911" s="1047"/>
      <c r="G2911" s="1047"/>
      <c r="H2911" s="1047"/>
      <c r="I2911" s="1047"/>
      <c r="J2911" s="1047"/>
      <c r="K2911" s="1047"/>
      <c r="L2911" s="1047"/>
      <c r="M2911" s="1047"/>
      <c r="N2911" s="1047"/>
      <c r="O2911" s="1047"/>
      <c r="P2911" s="1047"/>
      <c r="Q2911" s="1047"/>
      <c r="R2911" s="1047"/>
      <c r="S2911" s="1047"/>
      <c r="T2911" s="1047"/>
      <c r="U2911" s="1047"/>
      <c r="V2911" s="1047"/>
      <c r="W2911" s="1047"/>
      <c r="X2911" s="1047"/>
      <c r="Y2911" s="1047"/>
      <c r="Z2911" s="1047"/>
      <c r="AA2911" s="1047"/>
      <c r="AB2911" s="1047"/>
      <c r="AC2911" s="1047"/>
      <c r="AD2911" s="1047"/>
      <c r="AE2911" s="1047"/>
      <c r="AF2911" s="1048"/>
    </row>
    <row r="2912" spans="1:32" ht="30" customHeight="1" x14ac:dyDescent="0.2">
      <c r="A2912" s="2048" t="s">
        <v>1842</v>
      </c>
      <c r="B2912" s="2049"/>
      <c r="C2912" s="2049"/>
      <c r="D2912" s="2049"/>
      <c r="E2912" s="2049"/>
      <c r="F2912" s="2050" t="str">
        <f>+'01'!$H$105</f>
        <v>D - CANAL DE DESINFECCIÓN</v>
      </c>
      <c r="G2912" s="2049"/>
      <c r="H2912" s="2049"/>
      <c r="I2912" s="2049"/>
      <c r="J2912" s="2049"/>
      <c r="K2912" s="2049"/>
      <c r="L2912" s="2049"/>
      <c r="M2912" s="2049"/>
      <c r="N2912" s="2049"/>
      <c r="O2912" s="2049"/>
      <c r="P2912" s="2049"/>
      <c r="Q2912" s="2049"/>
      <c r="R2912" s="2049"/>
      <c r="S2912" s="2049"/>
      <c r="T2912" s="2049"/>
      <c r="U2912" s="2049"/>
      <c r="V2912" s="2049"/>
      <c r="W2912" s="2049"/>
      <c r="X2912" s="2049"/>
      <c r="Y2912" s="2051"/>
      <c r="Z2912" s="2052" t="s">
        <v>1843</v>
      </c>
      <c r="AA2912" s="2053"/>
      <c r="AB2912" s="2058" t="s">
        <v>1844</v>
      </c>
      <c r="AC2912" s="2059"/>
      <c r="AD2912" s="2060"/>
      <c r="AE2912" s="2064" t="s">
        <v>1845</v>
      </c>
      <c r="AF2912" s="2067" t="s">
        <v>1846</v>
      </c>
    </row>
    <row r="2913" spans="1:32" ht="15" customHeight="1" x14ac:dyDescent="0.2">
      <c r="A2913" s="2070" t="str">
        <f>+'01'!A127</f>
        <v>D-08-02</v>
      </c>
      <c r="B2913" s="2071"/>
      <c r="C2913" s="2072"/>
      <c r="D2913" s="2076" t="str">
        <f>VLOOKUP(A2913,'01'!$A$12:$N$299,3,FALSE)</f>
        <v>SUMINISTRO E INSTALACIÓN PASAMURO HD 8" BXB=0,75M Z=0.375 M.</v>
      </c>
      <c r="E2913" s="2077"/>
      <c r="F2913" s="2077"/>
      <c r="G2913" s="2077"/>
      <c r="H2913" s="2077"/>
      <c r="I2913" s="2077"/>
      <c r="J2913" s="2077"/>
      <c r="K2913" s="2077"/>
      <c r="L2913" s="2077"/>
      <c r="M2913" s="2077"/>
      <c r="N2913" s="2077"/>
      <c r="O2913" s="2077"/>
      <c r="P2913" s="2077"/>
      <c r="Q2913" s="2077"/>
      <c r="R2913" s="2077"/>
      <c r="S2913" s="2078"/>
      <c r="T2913" s="2082" t="s">
        <v>124</v>
      </c>
      <c r="U2913" s="2083"/>
      <c r="V2913" s="2083"/>
      <c r="W2913" s="2083"/>
      <c r="X2913" s="2052" t="str">
        <f>VLOOKUP(A2913,'01'!$A$12:$N$299,9,FALSE)</f>
        <v>UND</v>
      </c>
      <c r="Y2913" s="2053"/>
      <c r="Z2913" s="2054"/>
      <c r="AA2913" s="2055"/>
      <c r="AB2913" s="2061"/>
      <c r="AC2913" s="2062"/>
      <c r="AD2913" s="2063"/>
      <c r="AE2913" s="2065"/>
      <c r="AF2913" s="2068"/>
    </row>
    <row r="2914" spans="1:32" ht="15" customHeight="1" x14ac:dyDescent="0.25">
      <c r="A2914" s="2073"/>
      <c r="B2914" s="2074"/>
      <c r="C2914" s="2075"/>
      <c r="D2914" s="2079"/>
      <c r="E2914" s="2080"/>
      <c r="F2914" s="2080"/>
      <c r="G2914" s="2080"/>
      <c r="H2914" s="2080"/>
      <c r="I2914" s="2080"/>
      <c r="J2914" s="2080"/>
      <c r="K2914" s="2080"/>
      <c r="L2914" s="2080"/>
      <c r="M2914" s="2080"/>
      <c r="N2914" s="2080"/>
      <c r="O2914" s="2080"/>
      <c r="P2914" s="2080"/>
      <c r="Q2914" s="2080"/>
      <c r="R2914" s="2080"/>
      <c r="S2914" s="2081"/>
      <c r="T2914" s="2084"/>
      <c r="U2914" s="2085"/>
      <c r="V2914" s="2085"/>
      <c r="W2914" s="2085"/>
      <c r="X2914" s="2056"/>
      <c r="Y2914" s="2057"/>
      <c r="Z2914" s="2056"/>
      <c r="AA2914" s="2057"/>
      <c r="AB2914" s="1049" t="s">
        <v>1847</v>
      </c>
      <c r="AC2914" s="1049" t="s">
        <v>1848</v>
      </c>
      <c r="AD2914" s="1049" t="s">
        <v>1861</v>
      </c>
      <c r="AE2914" s="2066"/>
      <c r="AF2914" s="2069"/>
    </row>
    <row r="2915" spans="1:32" ht="15.6" customHeight="1" x14ac:dyDescent="0.25">
      <c r="A2915" s="2017"/>
      <c r="B2915" s="2018"/>
      <c r="C2915" s="2018"/>
      <c r="D2915" s="2018"/>
      <c r="E2915" s="2018"/>
      <c r="F2915" s="2018"/>
      <c r="G2915" s="2018"/>
      <c r="H2915" s="2018"/>
      <c r="I2915" s="2018"/>
      <c r="J2915" s="2018"/>
      <c r="K2915" s="2018"/>
      <c r="L2915" s="2018"/>
      <c r="M2915" s="2018"/>
      <c r="N2915" s="2018"/>
      <c r="O2915" s="2018"/>
      <c r="P2915" s="2018"/>
      <c r="Q2915" s="2018"/>
      <c r="R2915" s="2018"/>
      <c r="S2915" s="2018"/>
      <c r="T2915" s="2018"/>
      <c r="U2915" s="2018"/>
      <c r="V2915" s="2018"/>
      <c r="W2915" s="2018"/>
      <c r="X2915" s="2018"/>
      <c r="Y2915" s="2018"/>
      <c r="Z2915" s="2021" t="s">
        <v>2458</v>
      </c>
      <c r="AA2915" s="2021"/>
      <c r="AB2915" s="1050"/>
      <c r="AC2915" s="1050"/>
      <c r="AD2915" s="1050"/>
      <c r="AE2915" s="1050">
        <v>1</v>
      </c>
      <c r="AF2915" s="1052">
        <f>+AE2915</f>
        <v>1</v>
      </c>
    </row>
    <row r="2916" spans="1:32" ht="15.6" customHeight="1" x14ac:dyDescent="0.25">
      <c r="A2916" s="2017"/>
      <c r="B2916" s="2018"/>
      <c r="C2916" s="2018"/>
      <c r="D2916" s="2018"/>
      <c r="E2916" s="2018"/>
      <c r="F2916" s="2018"/>
      <c r="G2916" s="2018"/>
      <c r="H2916" s="2018"/>
      <c r="I2916" s="2018"/>
      <c r="J2916" s="2018"/>
      <c r="K2916" s="2018"/>
      <c r="L2916" s="2018"/>
      <c r="M2916" s="2018"/>
      <c r="N2916" s="2018"/>
      <c r="O2916" s="2018"/>
      <c r="P2916" s="2018"/>
      <c r="Q2916" s="2018"/>
      <c r="R2916" s="2018"/>
      <c r="S2916" s="2018"/>
      <c r="T2916" s="2018"/>
      <c r="U2916" s="2018"/>
      <c r="V2916" s="2018"/>
      <c r="W2916" s="2018"/>
      <c r="X2916" s="2018"/>
      <c r="Y2916" s="2018"/>
      <c r="Z2916" s="2021"/>
      <c r="AA2916" s="2021"/>
      <c r="AB2916" s="1050"/>
      <c r="AC2916" s="1050"/>
      <c r="AD2916" s="1050"/>
      <c r="AE2916" s="1050"/>
      <c r="AF2916" s="1052"/>
    </row>
    <row r="2917" spans="1:32" ht="15.75" x14ac:dyDescent="0.25">
      <c r="A2917" s="2017"/>
      <c r="B2917" s="2018"/>
      <c r="C2917" s="2018"/>
      <c r="D2917" s="2018"/>
      <c r="E2917" s="2018"/>
      <c r="F2917" s="2018"/>
      <c r="G2917" s="2018"/>
      <c r="H2917" s="2018"/>
      <c r="I2917" s="2018"/>
      <c r="J2917" s="2018"/>
      <c r="K2917" s="2018"/>
      <c r="L2917" s="2018"/>
      <c r="M2917" s="2018"/>
      <c r="N2917" s="2018"/>
      <c r="O2917" s="2018"/>
      <c r="P2917" s="2018"/>
      <c r="Q2917" s="2018"/>
      <c r="R2917" s="2018"/>
      <c r="S2917" s="2018"/>
      <c r="T2917" s="2018"/>
      <c r="U2917" s="2018"/>
      <c r="V2917" s="2018"/>
      <c r="W2917" s="2018"/>
      <c r="X2917" s="2018"/>
      <c r="Y2917" s="2018"/>
      <c r="Z2917" s="2021"/>
      <c r="AA2917" s="2021"/>
      <c r="AB2917" s="1050"/>
      <c r="AC2917" s="1050"/>
      <c r="AD2917" s="1050"/>
      <c r="AE2917" s="1050"/>
      <c r="AF2917" s="1052"/>
    </row>
    <row r="2918" spans="1:32" ht="15.75" x14ac:dyDescent="0.25">
      <c r="A2918" s="2017"/>
      <c r="B2918" s="2018"/>
      <c r="C2918" s="2018"/>
      <c r="D2918" s="2018"/>
      <c r="E2918" s="2018"/>
      <c r="F2918" s="2018"/>
      <c r="G2918" s="2018"/>
      <c r="H2918" s="2018"/>
      <c r="I2918" s="2018"/>
      <c r="J2918" s="2018"/>
      <c r="K2918" s="2018"/>
      <c r="L2918" s="2018"/>
      <c r="M2918" s="2018"/>
      <c r="N2918" s="2018"/>
      <c r="O2918" s="2018"/>
      <c r="P2918" s="2018"/>
      <c r="Q2918" s="2018"/>
      <c r="R2918" s="2018"/>
      <c r="S2918" s="2018"/>
      <c r="T2918" s="2018"/>
      <c r="U2918" s="2018"/>
      <c r="V2918" s="2018"/>
      <c r="W2918" s="2018"/>
      <c r="X2918" s="2018"/>
      <c r="Y2918" s="2018"/>
      <c r="Z2918" s="2021"/>
      <c r="AA2918" s="2021"/>
      <c r="AB2918" s="1050"/>
      <c r="AC2918" s="1050"/>
      <c r="AD2918" s="1050"/>
      <c r="AE2918" s="1050"/>
      <c r="AF2918" s="1052"/>
    </row>
    <row r="2919" spans="1:32" ht="15.75" x14ac:dyDescent="0.25">
      <c r="A2919" s="2017"/>
      <c r="B2919" s="2018"/>
      <c r="C2919" s="2018"/>
      <c r="D2919" s="2018"/>
      <c r="E2919" s="2018"/>
      <c r="F2919" s="2018"/>
      <c r="G2919" s="2018"/>
      <c r="H2919" s="2018"/>
      <c r="I2919" s="2018"/>
      <c r="J2919" s="2018"/>
      <c r="K2919" s="2018"/>
      <c r="L2919" s="2018"/>
      <c r="M2919" s="2018"/>
      <c r="N2919" s="2018"/>
      <c r="O2919" s="2018"/>
      <c r="P2919" s="2018"/>
      <c r="Q2919" s="2018"/>
      <c r="R2919" s="2018"/>
      <c r="S2919" s="2018"/>
      <c r="T2919" s="2018"/>
      <c r="U2919" s="2018"/>
      <c r="V2919" s="2018"/>
      <c r="W2919" s="2018"/>
      <c r="X2919" s="2018"/>
      <c r="Y2919" s="2018"/>
      <c r="Z2919" s="2021"/>
      <c r="AA2919" s="2021"/>
      <c r="AB2919" s="1050"/>
      <c r="AC2919" s="1050"/>
      <c r="AD2919" s="1050"/>
      <c r="AE2919" s="1050"/>
      <c r="AF2919" s="1052"/>
    </row>
    <row r="2920" spans="1:32" ht="15.75" x14ac:dyDescent="0.25">
      <c r="A2920" s="2017"/>
      <c r="B2920" s="2018"/>
      <c r="C2920" s="2018"/>
      <c r="D2920" s="2018"/>
      <c r="E2920" s="2018"/>
      <c r="F2920" s="2018"/>
      <c r="G2920" s="2018"/>
      <c r="H2920" s="2018"/>
      <c r="I2920" s="2018"/>
      <c r="J2920" s="2018"/>
      <c r="K2920" s="2018"/>
      <c r="L2920" s="2018"/>
      <c r="M2920" s="2018"/>
      <c r="N2920" s="2018"/>
      <c r="O2920" s="2018"/>
      <c r="P2920" s="2018"/>
      <c r="Q2920" s="2018"/>
      <c r="R2920" s="2018"/>
      <c r="S2920" s="2018"/>
      <c r="T2920" s="2018"/>
      <c r="U2920" s="2018"/>
      <c r="V2920" s="2018"/>
      <c r="W2920" s="2018"/>
      <c r="X2920" s="2018"/>
      <c r="Y2920" s="2018"/>
      <c r="Z2920" s="2021"/>
      <c r="AA2920" s="2021"/>
      <c r="AB2920" s="1050"/>
      <c r="AC2920" s="1050"/>
      <c r="AD2920" s="1050"/>
      <c r="AE2920" s="1050"/>
      <c r="AF2920" s="1052"/>
    </row>
    <row r="2921" spans="1:32" ht="15.75" x14ac:dyDescent="0.25">
      <c r="A2921" s="2017"/>
      <c r="B2921" s="2018"/>
      <c r="C2921" s="2018"/>
      <c r="D2921" s="2018"/>
      <c r="E2921" s="2018"/>
      <c r="F2921" s="2018"/>
      <c r="G2921" s="2018"/>
      <c r="H2921" s="2018"/>
      <c r="I2921" s="2018"/>
      <c r="J2921" s="2018"/>
      <c r="K2921" s="2018"/>
      <c r="L2921" s="2018"/>
      <c r="M2921" s="2018"/>
      <c r="N2921" s="2018"/>
      <c r="O2921" s="2018"/>
      <c r="P2921" s="2018"/>
      <c r="Q2921" s="2018"/>
      <c r="R2921" s="2018"/>
      <c r="S2921" s="2018"/>
      <c r="T2921" s="2018"/>
      <c r="U2921" s="2018"/>
      <c r="V2921" s="2018"/>
      <c r="W2921" s="2018"/>
      <c r="X2921" s="2018"/>
      <c r="Y2921" s="2018"/>
      <c r="Z2921" s="2021"/>
      <c r="AA2921" s="2021"/>
      <c r="AB2921" s="1050"/>
      <c r="AC2921" s="1050"/>
      <c r="AD2921" s="1050"/>
      <c r="AE2921" s="1050"/>
      <c r="AF2921" s="1052"/>
    </row>
    <row r="2922" spans="1:32" ht="15.75" x14ac:dyDescent="0.25">
      <c r="A2922" s="2017"/>
      <c r="B2922" s="2018"/>
      <c r="C2922" s="2018"/>
      <c r="D2922" s="2018"/>
      <c r="E2922" s="2018"/>
      <c r="F2922" s="2018"/>
      <c r="G2922" s="2018"/>
      <c r="H2922" s="2018"/>
      <c r="I2922" s="2018"/>
      <c r="J2922" s="2018"/>
      <c r="K2922" s="2018"/>
      <c r="L2922" s="2018"/>
      <c r="M2922" s="2018"/>
      <c r="N2922" s="2018"/>
      <c r="O2922" s="2018"/>
      <c r="P2922" s="2018"/>
      <c r="Q2922" s="2018"/>
      <c r="R2922" s="2018"/>
      <c r="S2922" s="2018"/>
      <c r="T2922" s="2018"/>
      <c r="U2922" s="2018"/>
      <c r="V2922" s="2018"/>
      <c r="W2922" s="2018"/>
      <c r="X2922" s="2018"/>
      <c r="Y2922" s="2018"/>
      <c r="Z2922" s="2021"/>
      <c r="AA2922" s="2021"/>
      <c r="AB2922" s="1050"/>
      <c r="AC2922" s="1050"/>
      <c r="AD2922" s="1050"/>
      <c r="AE2922" s="1050"/>
      <c r="AF2922" s="1052"/>
    </row>
    <row r="2923" spans="1:32" ht="15.75" x14ac:dyDescent="0.25">
      <c r="A2923" s="2017"/>
      <c r="B2923" s="2018"/>
      <c r="C2923" s="2018"/>
      <c r="D2923" s="2018"/>
      <c r="E2923" s="2018"/>
      <c r="F2923" s="2018"/>
      <c r="G2923" s="2018"/>
      <c r="H2923" s="2018"/>
      <c r="I2923" s="2018"/>
      <c r="J2923" s="2018"/>
      <c r="K2923" s="2018"/>
      <c r="L2923" s="2018"/>
      <c r="M2923" s="2018"/>
      <c r="N2923" s="2018"/>
      <c r="O2923" s="2018"/>
      <c r="P2923" s="2018"/>
      <c r="Q2923" s="2018"/>
      <c r="R2923" s="2018"/>
      <c r="S2923" s="2018"/>
      <c r="T2923" s="2018"/>
      <c r="U2923" s="2018"/>
      <c r="V2923" s="2018"/>
      <c r="W2923" s="2018"/>
      <c r="X2923" s="2018"/>
      <c r="Y2923" s="2018"/>
      <c r="Z2923" s="2021"/>
      <c r="AA2923" s="2021"/>
      <c r="AB2923" s="1050"/>
      <c r="AC2923" s="1050"/>
      <c r="AD2923" s="1050"/>
      <c r="AE2923" s="1050"/>
      <c r="AF2923" s="1052"/>
    </row>
    <row r="2924" spans="1:32" ht="15.75" x14ac:dyDescent="0.25">
      <c r="A2924" s="2017"/>
      <c r="B2924" s="2018"/>
      <c r="C2924" s="2018"/>
      <c r="D2924" s="2018"/>
      <c r="E2924" s="2018"/>
      <c r="F2924" s="2018"/>
      <c r="G2924" s="2018"/>
      <c r="H2924" s="2018"/>
      <c r="I2924" s="2018"/>
      <c r="J2924" s="2018"/>
      <c r="K2924" s="2018"/>
      <c r="L2924" s="2018"/>
      <c r="M2924" s="2018"/>
      <c r="N2924" s="2018"/>
      <c r="O2924" s="2018"/>
      <c r="P2924" s="2018"/>
      <c r="Q2924" s="2018"/>
      <c r="R2924" s="2018"/>
      <c r="S2924" s="2018"/>
      <c r="T2924" s="2018"/>
      <c r="U2924" s="2018"/>
      <c r="V2924" s="2018"/>
      <c r="W2924" s="2018"/>
      <c r="X2924" s="2018"/>
      <c r="Y2924" s="2018"/>
      <c r="Z2924" s="2021"/>
      <c r="AA2924" s="2021"/>
      <c r="AB2924" s="1050"/>
      <c r="AC2924" s="1050"/>
      <c r="AD2924" s="1050"/>
      <c r="AE2924" s="1050"/>
      <c r="AF2924" s="1052"/>
    </row>
    <row r="2925" spans="1:32" ht="15.75" x14ac:dyDescent="0.25">
      <c r="A2925" s="2017"/>
      <c r="B2925" s="2018"/>
      <c r="C2925" s="2018"/>
      <c r="D2925" s="2018"/>
      <c r="E2925" s="2018"/>
      <c r="F2925" s="2018"/>
      <c r="G2925" s="2018"/>
      <c r="H2925" s="2018"/>
      <c r="I2925" s="2018"/>
      <c r="J2925" s="2018"/>
      <c r="K2925" s="2018"/>
      <c r="L2925" s="2018"/>
      <c r="M2925" s="2018"/>
      <c r="N2925" s="2018"/>
      <c r="O2925" s="2018"/>
      <c r="P2925" s="2018"/>
      <c r="Q2925" s="2018"/>
      <c r="R2925" s="2018"/>
      <c r="S2925" s="2018"/>
      <c r="T2925" s="2018"/>
      <c r="U2925" s="2018"/>
      <c r="V2925" s="2018"/>
      <c r="W2925" s="2018"/>
      <c r="X2925" s="2018"/>
      <c r="Y2925" s="2018"/>
      <c r="Z2925" s="2021"/>
      <c r="AA2925" s="2021"/>
      <c r="AB2925" s="1050"/>
      <c r="AC2925" s="1050"/>
      <c r="AD2925" s="1050"/>
      <c r="AE2925" s="1050"/>
      <c r="AF2925" s="1052"/>
    </row>
    <row r="2926" spans="1:32" ht="15.75" x14ac:dyDescent="0.25">
      <c r="A2926" s="2017"/>
      <c r="B2926" s="2018"/>
      <c r="C2926" s="2018"/>
      <c r="D2926" s="2018"/>
      <c r="E2926" s="2018"/>
      <c r="F2926" s="2018"/>
      <c r="G2926" s="2018"/>
      <c r="H2926" s="2018"/>
      <c r="I2926" s="2018"/>
      <c r="J2926" s="2018"/>
      <c r="K2926" s="2018"/>
      <c r="L2926" s="2018"/>
      <c r="M2926" s="2018"/>
      <c r="N2926" s="2018"/>
      <c r="O2926" s="2018"/>
      <c r="P2926" s="2018"/>
      <c r="Q2926" s="2018"/>
      <c r="R2926" s="2018"/>
      <c r="S2926" s="2018"/>
      <c r="T2926" s="2018"/>
      <c r="U2926" s="2018"/>
      <c r="V2926" s="2018"/>
      <c r="W2926" s="2018"/>
      <c r="X2926" s="2018"/>
      <c r="Y2926" s="2018"/>
      <c r="Z2926" s="2021"/>
      <c r="AA2926" s="2021"/>
      <c r="AB2926" s="1050"/>
      <c r="AC2926" s="1050"/>
      <c r="AD2926" s="1050"/>
      <c r="AE2926" s="1050"/>
      <c r="AF2926" s="1052"/>
    </row>
    <row r="2927" spans="1:32" ht="15.75" x14ac:dyDescent="0.25">
      <c r="A2927" s="2017"/>
      <c r="B2927" s="2018"/>
      <c r="C2927" s="2018"/>
      <c r="D2927" s="2018"/>
      <c r="E2927" s="2018"/>
      <c r="F2927" s="2018"/>
      <c r="G2927" s="2018"/>
      <c r="H2927" s="2018"/>
      <c r="I2927" s="2018"/>
      <c r="J2927" s="2018"/>
      <c r="K2927" s="2018"/>
      <c r="L2927" s="2018"/>
      <c r="M2927" s="2018"/>
      <c r="N2927" s="2018"/>
      <c r="O2927" s="2018"/>
      <c r="P2927" s="2018"/>
      <c r="Q2927" s="2018"/>
      <c r="R2927" s="2018"/>
      <c r="S2927" s="2018"/>
      <c r="T2927" s="2018"/>
      <c r="U2927" s="2018"/>
      <c r="V2927" s="2018"/>
      <c r="W2927" s="2018"/>
      <c r="X2927" s="2018"/>
      <c r="Y2927" s="2018"/>
      <c r="Z2927" s="2021"/>
      <c r="AA2927" s="2021"/>
      <c r="AB2927" s="1050"/>
      <c r="AC2927" s="1050"/>
      <c r="AD2927" s="1050"/>
      <c r="AE2927" s="1050"/>
      <c r="AF2927" s="1052"/>
    </row>
    <row r="2928" spans="1:32" ht="15.75" x14ac:dyDescent="0.25">
      <c r="A2928" s="2017"/>
      <c r="B2928" s="2018"/>
      <c r="C2928" s="2018"/>
      <c r="D2928" s="2018"/>
      <c r="E2928" s="2018"/>
      <c r="F2928" s="2018"/>
      <c r="G2928" s="2018"/>
      <c r="H2928" s="2018"/>
      <c r="I2928" s="2018"/>
      <c r="J2928" s="2018"/>
      <c r="K2928" s="2018"/>
      <c r="L2928" s="2018"/>
      <c r="M2928" s="2018"/>
      <c r="N2928" s="2018"/>
      <c r="O2928" s="2018"/>
      <c r="P2928" s="2018"/>
      <c r="Q2928" s="2018"/>
      <c r="R2928" s="2018"/>
      <c r="S2928" s="2018"/>
      <c r="T2928" s="2018"/>
      <c r="U2928" s="2018"/>
      <c r="V2928" s="2018"/>
      <c r="W2928" s="2018"/>
      <c r="X2928" s="2018"/>
      <c r="Y2928" s="2018"/>
      <c r="Z2928" s="2021"/>
      <c r="AA2928" s="2021"/>
      <c r="AB2928" s="1050"/>
      <c r="AC2928" s="1050"/>
      <c r="AD2928" s="1050"/>
      <c r="AE2928" s="1050"/>
      <c r="AF2928" s="1052"/>
    </row>
    <row r="2929" spans="1:32" ht="15.75" x14ac:dyDescent="0.25">
      <c r="A2929" s="2017"/>
      <c r="B2929" s="2018"/>
      <c r="C2929" s="2018"/>
      <c r="D2929" s="2018"/>
      <c r="E2929" s="2018"/>
      <c r="F2929" s="2018"/>
      <c r="G2929" s="2018"/>
      <c r="H2929" s="2018"/>
      <c r="I2929" s="2018"/>
      <c r="J2929" s="2018"/>
      <c r="K2929" s="2018"/>
      <c r="L2929" s="2018"/>
      <c r="M2929" s="2018"/>
      <c r="N2929" s="2018"/>
      <c r="O2929" s="2018"/>
      <c r="P2929" s="2018"/>
      <c r="Q2929" s="2018"/>
      <c r="R2929" s="2018"/>
      <c r="S2929" s="2018"/>
      <c r="T2929" s="2018"/>
      <c r="U2929" s="2018"/>
      <c r="V2929" s="2018"/>
      <c r="W2929" s="2018"/>
      <c r="X2929" s="2018"/>
      <c r="Y2929" s="2018"/>
      <c r="Z2929" s="2022"/>
      <c r="AA2929" s="2022"/>
      <c r="AB2929" s="1050"/>
      <c r="AC2929" s="1050"/>
      <c r="AD2929" s="1050"/>
      <c r="AE2929" s="1050"/>
      <c r="AF2929" s="1052"/>
    </row>
    <row r="2930" spans="1:32" ht="15.75" x14ac:dyDescent="0.25">
      <c r="A2930" s="2017"/>
      <c r="B2930" s="2018"/>
      <c r="C2930" s="2018"/>
      <c r="D2930" s="2018"/>
      <c r="E2930" s="2018"/>
      <c r="F2930" s="2018"/>
      <c r="G2930" s="2018"/>
      <c r="H2930" s="2018"/>
      <c r="I2930" s="2018"/>
      <c r="J2930" s="2018"/>
      <c r="K2930" s="2018"/>
      <c r="L2930" s="2018"/>
      <c r="M2930" s="2018"/>
      <c r="N2930" s="2018"/>
      <c r="O2930" s="2018"/>
      <c r="P2930" s="2018"/>
      <c r="Q2930" s="2018"/>
      <c r="R2930" s="2018"/>
      <c r="S2930" s="2018"/>
      <c r="T2930" s="2018"/>
      <c r="U2930" s="2018"/>
      <c r="V2930" s="2018"/>
      <c r="W2930" s="2018"/>
      <c r="X2930" s="2018"/>
      <c r="Y2930" s="2018"/>
      <c r="Z2930" s="2022"/>
      <c r="AA2930" s="2022"/>
      <c r="AB2930" s="1050"/>
      <c r="AC2930" s="1050"/>
      <c r="AD2930" s="1050"/>
      <c r="AE2930" s="1050"/>
      <c r="AF2930" s="1052"/>
    </row>
    <row r="2931" spans="1:32" ht="15.75" x14ac:dyDescent="0.25">
      <c r="A2931" s="2017"/>
      <c r="B2931" s="2018"/>
      <c r="C2931" s="2018"/>
      <c r="D2931" s="2018"/>
      <c r="E2931" s="2018"/>
      <c r="F2931" s="2018"/>
      <c r="G2931" s="2018"/>
      <c r="H2931" s="2018"/>
      <c r="I2931" s="2018"/>
      <c r="J2931" s="2018"/>
      <c r="K2931" s="2018"/>
      <c r="L2931" s="2018"/>
      <c r="M2931" s="2018"/>
      <c r="N2931" s="2018"/>
      <c r="O2931" s="2018"/>
      <c r="P2931" s="2018"/>
      <c r="Q2931" s="2018"/>
      <c r="R2931" s="2018"/>
      <c r="S2931" s="2018"/>
      <c r="T2931" s="2018"/>
      <c r="U2931" s="2018"/>
      <c r="V2931" s="2018"/>
      <c r="W2931" s="2018"/>
      <c r="X2931" s="2018"/>
      <c r="Y2931" s="2018"/>
      <c r="Z2931" s="2022"/>
      <c r="AA2931" s="2022"/>
      <c r="AB2931" s="1050"/>
      <c r="AC2931" s="1050"/>
      <c r="AD2931" s="1050"/>
      <c r="AE2931" s="1050"/>
      <c r="AF2931" s="1052"/>
    </row>
    <row r="2932" spans="1:32" ht="15.75" x14ac:dyDescent="0.25">
      <c r="A2932" s="2017"/>
      <c r="B2932" s="2018"/>
      <c r="C2932" s="2018"/>
      <c r="D2932" s="2018"/>
      <c r="E2932" s="2018"/>
      <c r="F2932" s="2018"/>
      <c r="G2932" s="2018"/>
      <c r="H2932" s="2018"/>
      <c r="I2932" s="2018"/>
      <c r="J2932" s="2018"/>
      <c r="K2932" s="2018"/>
      <c r="L2932" s="2018"/>
      <c r="M2932" s="2018"/>
      <c r="N2932" s="2018"/>
      <c r="O2932" s="2018"/>
      <c r="P2932" s="2018"/>
      <c r="Q2932" s="2018"/>
      <c r="R2932" s="2018"/>
      <c r="S2932" s="2018"/>
      <c r="T2932" s="2018"/>
      <c r="U2932" s="2018"/>
      <c r="V2932" s="2018"/>
      <c r="W2932" s="2018"/>
      <c r="X2932" s="2018"/>
      <c r="Y2932" s="2018"/>
      <c r="Z2932" s="2023"/>
      <c r="AA2932" s="2023"/>
      <c r="AB2932" s="1050"/>
      <c r="AC2932" s="1050"/>
      <c r="AD2932" s="1050"/>
      <c r="AE2932" s="1050"/>
      <c r="AF2932" s="1052"/>
    </row>
    <row r="2933" spans="1:32" ht="15.75" x14ac:dyDescent="0.25">
      <c r="A2933" s="2017"/>
      <c r="B2933" s="2018"/>
      <c r="C2933" s="2018"/>
      <c r="D2933" s="2018"/>
      <c r="E2933" s="2018"/>
      <c r="F2933" s="2018"/>
      <c r="G2933" s="2018"/>
      <c r="H2933" s="2018"/>
      <c r="I2933" s="2018"/>
      <c r="J2933" s="2018"/>
      <c r="K2933" s="2018"/>
      <c r="L2933" s="2018"/>
      <c r="M2933" s="2018"/>
      <c r="N2933" s="2018"/>
      <c r="O2933" s="2018"/>
      <c r="P2933" s="2018"/>
      <c r="Q2933" s="2018"/>
      <c r="R2933" s="2018"/>
      <c r="S2933" s="2018"/>
      <c r="T2933" s="2018"/>
      <c r="U2933" s="2018"/>
      <c r="V2933" s="2018"/>
      <c r="W2933" s="2018"/>
      <c r="X2933" s="2018"/>
      <c r="Y2933" s="2018"/>
      <c r="Z2933" s="2023"/>
      <c r="AA2933" s="2023"/>
      <c r="AB2933" s="1050"/>
      <c r="AC2933" s="1050"/>
      <c r="AD2933" s="1050"/>
      <c r="AE2933" s="1050"/>
      <c r="AF2933" s="1052"/>
    </row>
    <row r="2934" spans="1:32" ht="15.75" x14ac:dyDescent="0.25">
      <c r="A2934" s="2017"/>
      <c r="B2934" s="2018"/>
      <c r="C2934" s="2018"/>
      <c r="D2934" s="2018"/>
      <c r="E2934" s="2018"/>
      <c r="F2934" s="2018"/>
      <c r="G2934" s="2018"/>
      <c r="H2934" s="2018"/>
      <c r="I2934" s="2018"/>
      <c r="J2934" s="2018"/>
      <c r="K2934" s="2018"/>
      <c r="L2934" s="2018"/>
      <c r="M2934" s="2018"/>
      <c r="N2934" s="2018"/>
      <c r="O2934" s="2018"/>
      <c r="P2934" s="2018"/>
      <c r="Q2934" s="2018"/>
      <c r="R2934" s="2018"/>
      <c r="S2934" s="2018"/>
      <c r="T2934" s="2018"/>
      <c r="U2934" s="2018"/>
      <c r="V2934" s="2018"/>
      <c r="W2934" s="2018"/>
      <c r="X2934" s="2018"/>
      <c r="Y2934" s="2018"/>
      <c r="Z2934" s="2023"/>
      <c r="AA2934" s="2023"/>
      <c r="AB2934" s="1050"/>
      <c r="AC2934" s="1050"/>
      <c r="AD2934" s="1050"/>
      <c r="AE2934" s="1050"/>
      <c r="AF2934" s="1052"/>
    </row>
    <row r="2935" spans="1:32" ht="15.75" x14ac:dyDescent="0.25">
      <c r="A2935" s="2017"/>
      <c r="B2935" s="2018"/>
      <c r="C2935" s="2018"/>
      <c r="D2935" s="2018"/>
      <c r="E2935" s="2018"/>
      <c r="F2935" s="2018"/>
      <c r="G2935" s="2018"/>
      <c r="H2935" s="2018"/>
      <c r="I2935" s="2018"/>
      <c r="J2935" s="2018"/>
      <c r="K2935" s="2018"/>
      <c r="L2935" s="2018"/>
      <c r="M2935" s="2018"/>
      <c r="N2935" s="2018"/>
      <c r="O2935" s="2018"/>
      <c r="P2935" s="2018"/>
      <c r="Q2935" s="2018"/>
      <c r="R2935" s="2018"/>
      <c r="S2935" s="2018"/>
      <c r="T2935" s="2018"/>
      <c r="U2935" s="2018"/>
      <c r="V2935" s="2018"/>
      <c r="W2935" s="2018"/>
      <c r="X2935" s="2018"/>
      <c r="Y2935" s="2018"/>
      <c r="Z2935" s="2023"/>
      <c r="AA2935" s="2023"/>
      <c r="AB2935" s="1050"/>
      <c r="AC2935" s="1050"/>
      <c r="AD2935" s="1050"/>
      <c r="AE2935" s="1050"/>
      <c r="AF2935" s="1052"/>
    </row>
    <row r="2936" spans="1:32" ht="15.75" x14ac:dyDescent="0.25">
      <c r="A2936" s="2017"/>
      <c r="B2936" s="2018"/>
      <c r="C2936" s="2018"/>
      <c r="D2936" s="2018"/>
      <c r="E2936" s="2018"/>
      <c r="F2936" s="2018"/>
      <c r="G2936" s="2018"/>
      <c r="H2936" s="2018"/>
      <c r="I2936" s="2018"/>
      <c r="J2936" s="2018"/>
      <c r="K2936" s="2018"/>
      <c r="L2936" s="2018"/>
      <c r="M2936" s="2018"/>
      <c r="N2936" s="2018"/>
      <c r="O2936" s="2018"/>
      <c r="P2936" s="2018"/>
      <c r="Q2936" s="2018"/>
      <c r="R2936" s="2018"/>
      <c r="S2936" s="2018"/>
      <c r="T2936" s="2018"/>
      <c r="U2936" s="2018"/>
      <c r="V2936" s="2018"/>
      <c r="W2936" s="2018"/>
      <c r="X2936" s="2018"/>
      <c r="Y2936" s="2018"/>
      <c r="Z2936" s="2023"/>
      <c r="AA2936" s="2023"/>
      <c r="AB2936" s="1050"/>
      <c r="AC2936" s="1050"/>
      <c r="AD2936" s="1050"/>
      <c r="AE2936" s="1050"/>
      <c r="AF2936" s="1052"/>
    </row>
    <row r="2937" spans="1:32" ht="15.75" x14ac:dyDescent="0.25">
      <c r="A2937" s="2017"/>
      <c r="B2937" s="2018"/>
      <c r="C2937" s="2018"/>
      <c r="D2937" s="2018"/>
      <c r="E2937" s="2018"/>
      <c r="F2937" s="2018"/>
      <c r="G2937" s="2018"/>
      <c r="H2937" s="2018"/>
      <c r="I2937" s="2018"/>
      <c r="J2937" s="2018"/>
      <c r="K2937" s="2018"/>
      <c r="L2937" s="2018"/>
      <c r="M2937" s="2018"/>
      <c r="N2937" s="2018"/>
      <c r="O2937" s="2018"/>
      <c r="P2937" s="2018"/>
      <c r="Q2937" s="2018"/>
      <c r="R2937" s="2018"/>
      <c r="S2937" s="2018"/>
      <c r="T2937" s="2018"/>
      <c r="U2937" s="2018"/>
      <c r="V2937" s="2018"/>
      <c r="W2937" s="2018"/>
      <c r="X2937" s="2018"/>
      <c r="Y2937" s="2018"/>
      <c r="Z2937" s="2023"/>
      <c r="AA2937" s="2023"/>
      <c r="AB2937" s="1050"/>
      <c r="AC2937" s="1050"/>
      <c r="AD2937" s="1050"/>
      <c r="AE2937" s="1050"/>
      <c r="AF2937" s="1052"/>
    </row>
    <row r="2938" spans="1:32" ht="16.5" thickBot="1" x14ac:dyDescent="0.3">
      <c r="A2938" s="2019"/>
      <c r="B2938" s="2020"/>
      <c r="C2938" s="2020"/>
      <c r="D2938" s="2020"/>
      <c r="E2938" s="2020"/>
      <c r="F2938" s="2020"/>
      <c r="G2938" s="2020"/>
      <c r="H2938" s="2020"/>
      <c r="I2938" s="2020"/>
      <c r="J2938" s="2020"/>
      <c r="K2938" s="2020"/>
      <c r="L2938" s="2020"/>
      <c r="M2938" s="2020"/>
      <c r="N2938" s="2020"/>
      <c r="O2938" s="2020"/>
      <c r="P2938" s="2020"/>
      <c r="Q2938" s="2020"/>
      <c r="R2938" s="2020"/>
      <c r="S2938" s="2020"/>
      <c r="T2938" s="2020"/>
      <c r="U2938" s="2020"/>
      <c r="V2938" s="2020"/>
      <c r="W2938" s="2020"/>
      <c r="X2938" s="2020"/>
      <c r="Y2938" s="2020"/>
      <c r="Z2938" s="2024"/>
      <c r="AA2938" s="2024"/>
      <c r="AB2938" s="1057"/>
      <c r="AC2938" s="1057"/>
      <c r="AD2938" s="1057"/>
      <c r="AE2938" s="1057"/>
      <c r="AF2938" s="1058"/>
    </row>
    <row r="2939" spans="1:32" ht="15.75" x14ac:dyDescent="0.25">
      <c r="A2939" s="2009" t="s">
        <v>1855</v>
      </c>
      <c r="B2939" s="2010"/>
      <c r="C2939" s="2010"/>
      <c r="D2939" s="2010"/>
      <c r="E2939" s="2010"/>
      <c r="F2939" s="2010"/>
      <c r="G2939" s="2010"/>
      <c r="H2939" s="2010"/>
      <c r="I2939" s="2010"/>
      <c r="J2939" s="2010"/>
      <c r="K2939" s="2010"/>
      <c r="L2939" s="2010"/>
      <c r="M2939" s="2010"/>
      <c r="N2939" s="2010"/>
      <c r="O2939" s="2010"/>
      <c r="P2939" s="2010"/>
      <c r="Q2939" s="2010"/>
      <c r="R2939" s="2010"/>
      <c r="S2939" s="2010"/>
      <c r="T2939" s="2010"/>
      <c r="U2939" s="2010"/>
      <c r="V2939" s="2010"/>
      <c r="W2939" s="2010"/>
      <c r="X2939" s="2010"/>
      <c r="Y2939" s="2010"/>
      <c r="Z2939" s="2013" t="s">
        <v>1850</v>
      </c>
      <c r="AA2939" s="2013"/>
      <c r="AB2939" s="2013"/>
      <c r="AC2939" s="2013"/>
      <c r="AD2939" s="2013"/>
      <c r="AE2939" s="2013"/>
      <c r="AF2939" s="1059">
        <f>SUM(AF2915:AF2938)</f>
        <v>1</v>
      </c>
    </row>
    <row r="2940" spans="1:32" ht="15.75" x14ac:dyDescent="0.25">
      <c r="A2940" s="2011"/>
      <c r="B2940" s="2012"/>
      <c r="C2940" s="2012"/>
      <c r="D2940" s="2012"/>
      <c r="E2940" s="2012"/>
      <c r="F2940" s="2012"/>
      <c r="G2940" s="2012"/>
      <c r="H2940" s="2012"/>
      <c r="I2940" s="2012"/>
      <c r="J2940" s="2012"/>
      <c r="K2940" s="2012"/>
      <c r="L2940" s="2012"/>
      <c r="M2940" s="2012"/>
      <c r="N2940" s="2012"/>
      <c r="O2940" s="2012"/>
      <c r="P2940" s="2012"/>
      <c r="Q2940" s="2012"/>
      <c r="R2940" s="2012"/>
      <c r="S2940" s="2012"/>
      <c r="T2940" s="2012"/>
      <c r="U2940" s="2012"/>
      <c r="V2940" s="2012"/>
      <c r="W2940" s="2012"/>
      <c r="X2940" s="2012"/>
      <c r="Y2940" s="2012"/>
      <c r="Z2940" s="2014" t="s">
        <v>1851</v>
      </c>
      <c r="AA2940" s="2014"/>
      <c r="AB2940" s="2014"/>
      <c r="AC2940" s="2014"/>
      <c r="AD2940" s="2014"/>
      <c r="AE2940" s="2014"/>
      <c r="AF2940" s="1060">
        <v>0</v>
      </c>
    </row>
    <row r="2941" spans="1:32" ht="15.75" x14ac:dyDescent="0.25">
      <c r="A2941" s="2011"/>
      <c r="B2941" s="2012"/>
      <c r="C2941" s="2012"/>
      <c r="D2941" s="2012"/>
      <c r="E2941" s="2012"/>
      <c r="F2941" s="2012"/>
      <c r="G2941" s="2012"/>
      <c r="H2941" s="2012"/>
      <c r="I2941" s="2012"/>
      <c r="J2941" s="2012"/>
      <c r="K2941" s="2012"/>
      <c r="L2941" s="2012"/>
      <c r="M2941" s="2012"/>
      <c r="N2941" s="2012"/>
      <c r="O2941" s="2012"/>
      <c r="P2941" s="2012"/>
      <c r="Q2941" s="2012"/>
      <c r="R2941" s="2012"/>
      <c r="S2941" s="2012"/>
      <c r="T2941" s="2012"/>
      <c r="U2941" s="2012"/>
      <c r="V2941" s="2012"/>
      <c r="W2941" s="2012"/>
      <c r="X2941" s="2012"/>
      <c r="Y2941" s="2012"/>
      <c r="Z2941" s="2015" t="s">
        <v>1833</v>
      </c>
      <c r="AA2941" s="2015"/>
      <c r="AB2941" s="2015"/>
      <c r="AC2941" s="2015"/>
      <c r="AD2941" s="2015"/>
      <c r="AE2941" s="2015"/>
      <c r="AF2941" s="1061">
        <f>SUM(AF2939:AF2940)</f>
        <v>1</v>
      </c>
    </row>
    <row r="2942" spans="1:32" x14ac:dyDescent="0.2">
      <c r="A2942" s="2012" t="s">
        <v>1859</v>
      </c>
      <c r="B2942" s="2012"/>
      <c r="C2942" s="2012"/>
      <c r="D2942" s="2012"/>
      <c r="E2942" s="2012"/>
      <c r="F2942" s="2012"/>
      <c r="G2942" s="2012"/>
      <c r="H2942" s="2012"/>
      <c r="I2942" s="2012"/>
      <c r="J2942" s="2012"/>
      <c r="K2942" s="2012"/>
      <c r="L2942" s="2012"/>
      <c r="M2942" s="2012"/>
      <c r="N2942" s="2012"/>
      <c r="O2942" s="2012"/>
      <c r="P2942" s="2012"/>
      <c r="Q2942" s="2012"/>
      <c r="R2942" s="2012"/>
      <c r="S2942" s="2012"/>
      <c r="T2942" s="2016" t="s">
        <v>1840</v>
      </c>
      <c r="U2942" s="2016"/>
      <c r="V2942" s="2016"/>
      <c r="W2942" s="2016"/>
      <c r="X2942" s="2016"/>
      <c r="Y2942" s="2016"/>
      <c r="Z2942" s="2016"/>
      <c r="AA2942" s="2016"/>
      <c r="AB2942" s="2012" t="s">
        <v>1852</v>
      </c>
      <c r="AC2942" s="2012"/>
      <c r="AD2942" s="2012"/>
      <c r="AE2942" s="2012"/>
      <c r="AF2942" s="2012"/>
    </row>
    <row r="2943" spans="1:32" x14ac:dyDescent="0.2">
      <c r="A2943" s="2012"/>
      <c r="B2943" s="2012"/>
      <c r="C2943" s="2012"/>
      <c r="D2943" s="2012"/>
      <c r="E2943" s="2012"/>
      <c r="F2943" s="2012"/>
      <c r="G2943" s="2012"/>
      <c r="H2943" s="2012"/>
      <c r="I2943" s="2012"/>
      <c r="J2943" s="2012"/>
      <c r="K2943" s="2012"/>
      <c r="L2943" s="2012"/>
      <c r="M2943" s="2012"/>
      <c r="N2943" s="2012"/>
      <c r="O2943" s="2012"/>
      <c r="P2943" s="2012"/>
      <c r="Q2943" s="2012"/>
      <c r="R2943" s="2012"/>
      <c r="S2943" s="2012"/>
      <c r="T2943" s="2016"/>
      <c r="U2943" s="2016"/>
      <c r="V2943" s="2016"/>
      <c r="W2943" s="2016"/>
      <c r="X2943" s="2016"/>
      <c r="Y2943" s="2016"/>
      <c r="Z2943" s="2016"/>
      <c r="AA2943" s="2016"/>
      <c r="AB2943" s="2012"/>
      <c r="AC2943" s="2012"/>
      <c r="AD2943" s="2012"/>
      <c r="AE2943" s="2012"/>
      <c r="AF2943" s="2012"/>
    </row>
    <row r="2944" spans="1:32" ht="13.5" thickBot="1" x14ac:dyDescent="0.25"/>
    <row r="2945" spans="1:32" ht="26.45" customHeight="1" x14ac:dyDescent="0.2">
      <c r="A2945" s="2025" t="s">
        <v>1854</v>
      </c>
      <c r="B2945" s="2026"/>
      <c r="C2945" s="2026"/>
      <c r="D2945" s="2026"/>
      <c r="E2945" s="2026"/>
      <c r="F2945" s="2026"/>
      <c r="G2945" s="2026"/>
      <c r="H2945" s="2026"/>
      <c r="I2945" s="2026"/>
      <c r="J2945" s="2026"/>
      <c r="K2945" s="2026"/>
      <c r="L2945" s="2026"/>
      <c r="M2945" s="2026"/>
      <c r="N2945" s="2026"/>
      <c r="O2945" s="2026"/>
      <c r="P2945" s="2026"/>
      <c r="Q2945" s="2026"/>
      <c r="R2945" s="2026"/>
      <c r="S2945" s="2026"/>
      <c r="T2945" s="2026"/>
      <c r="U2945" s="2026"/>
      <c r="V2945" s="2026"/>
      <c r="W2945" s="2026"/>
      <c r="X2945" s="2026"/>
      <c r="Y2945" s="2026"/>
      <c r="Z2945" s="2026"/>
      <c r="AA2945" s="2026"/>
      <c r="AB2945" s="2026"/>
      <c r="AC2945" s="2026"/>
      <c r="AD2945" s="2026"/>
      <c r="AE2945" s="1041" t="s">
        <v>1834</v>
      </c>
      <c r="AF2945" s="1042" t="s">
        <v>1835</v>
      </c>
    </row>
    <row r="2946" spans="1:32" ht="21" customHeight="1" thickBot="1" x14ac:dyDescent="0.25">
      <c r="A2946" s="2027"/>
      <c r="B2946" s="2028"/>
      <c r="C2946" s="2028"/>
      <c r="D2946" s="2028"/>
      <c r="E2946" s="2028"/>
      <c r="F2946" s="2028"/>
      <c r="G2946" s="2028"/>
      <c r="H2946" s="2028"/>
      <c r="I2946" s="2028"/>
      <c r="J2946" s="2028"/>
      <c r="K2946" s="2028"/>
      <c r="L2946" s="2028"/>
      <c r="M2946" s="2028"/>
      <c r="N2946" s="2028"/>
      <c r="O2946" s="2028"/>
      <c r="P2946" s="2028"/>
      <c r="Q2946" s="2028"/>
      <c r="R2946" s="2028"/>
      <c r="S2946" s="2028"/>
      <c r="T2946" s="2028"/>
      <c r="U2946" s="2028"/>
      <c r="V2946" s="2028"/>
      <c r="W2946" s="2028"/>
      <c r="X2946" s="2028"/>
      <c r="Y2946" s="2028"/>
      <c r="Z2946" s="2028"/>
      <c r="AA2946" s="2028"/>
      <c r="AB2946" s="2028"/>
      <c r="AC2946" s="2028"/>
      <c r="AD2946" s="2028"/>
      <c r="AE2946" s="1041" t="s">
        <v>1836</v>
      </c>
      <c r="AF2946" s="1044">
        <v>1</v>
      </c>
    </row>
    <row r="2947" spans="1:32" ht="15.75" x14ac:dyDescent="0.2">
      <c r="A2947" s="2029"/>
      <c r="B2947" s="2030"/>
      <c r="C2947" s="2030"/>
      <c r="D2947" s="2031"/>
      <c r="E2947" s="2025" t="str">
        <f>'01'!$A$12</f>
        <v>"CONSTRUCCION SISTEMA DE ACUEDUCTO FASE II DEL MUNICIPIO DE TESALIA DPTO DEL HUILA"</v>
      </c>
      <c r="F2947" s="2026"/>
      <c r="G2947" s="2026"/>
      <c r="H2947" s="2026"/>
      <c r="I2947" s="2026"/>
      <c r="J2947" s="2026"/>
      <c r="K2947" s="2026"/>
      <c r="L2947" s="2026"/>
      <c r="M2947" s="2026"/>
      <c r="N2947" s="2026"/>
      <c r="O2947" s="2026"/>
      <c r="P2947" s="2026"/>
      <c r="Q2947" s="2026"/>
      <c r="R2947" s="2026"/>
      <c r="S2947" s="2026"/>
      <c r="T2947" s="2026"/>
      <c r="U2947" s="2026"/>
      <c r="V2947" s="2026"/>
      <c r="W2947" s="2026"/>
      <c r="X2947" s="2026"/>
      <c r="Y2947" s="2026"/>
      <c r="Z2947" s="2026"/>
      <c r="AA2947" s="2026"/>
      <c r="AB2947" s="2026"/>
      <c r="AC2947" s="2026"/>
      <c r="AD2947" s="2035"/>
      <c r="AE2947" s="1041" t="s">
        <v>847</v>
      </c>
      <c r="AF2947" s="1045">
        <f>'01'!$M$13</f>
        <v>0</v>
      </c>
    </row>
    <row r="2948" spans="1:32" ht="16.5" thickBot="1" x14ac:dyDescent="0.25">
      <c r="A2948" s="2032"/>
      <c r="B2948" s="2033"/>
      <c r="C2948" s="2033"/>
      <c r="D2948" s="2034"/>
      <c r="E2948" s="2027"/>
      <c r="F2948" s="2028"/>
      <c r="G2948" s="2028"/>
      <c r="H2948" s="2028"/>
      <c r="I2948" s="2028"/>
      <c r="J2948" s="2028"/>
      <c r="K2948" s="2028"/>
      <c r="L2948" s="2028"/>
      <c r="M2948" s="2028"/>
      <c r="N2948" s="2028"/>
      <c r="O2948" s="2028"/>
      <c r="P2948" s="2028"/>
      <c r="Q2948" s="2028"/>
      <c r="R2948" s="2028"/>
      <c r="S2948" s="2028"/>
      <c r="T2948" s="2028"/>
      <c r="U2948" s="2028"/>
      <c r="V2948" s="2028"/>
      <c r="W2948" s="2028"/>
      <c r="X2948" s="2028"/>
      <c r="Y2948" s="2028"/>
      <c r="Z2948" s="2028"/>
      <c r="AA2948" s="2028"/>
      <c r="AB2948" s="2028"/>
      <c r="AC2948" s="2028"/>
      <c r="AD2948" s="2036"/>
      <c r="AE2948" s="1041" t="s">
        <v>1837</v>
      </c>
      <c r="AF2948" s="1042" t="s">
        <v>1838</v>
      </c>
    </row>
    <row r="2949" spans="1:32" ht="15.75" x14ac:dyDescent="0.25">
      <c r="A2949" s="2037" t="s">
        <v>1860</v>
      </c>
      <c r="B2949" s="2038"/>
      <c r="C2949" s="2038"/>
      <c r="D2949" s="2038"/>
      <c r="E2949" s="2038"/>
      <c r="F2949" s="2038"/>
      <c r="G2949" s="2038"/>
      <c r="H2949" s="2038"/>
      <c r="I2949" s="2038"/>
      <c r="J2949" s="2038"/>
      <c r="K2949" s="2038"/>
      <c r="L2949" s="2038"/>
      <c r="M2949" s="2038"/>
      <c r="N2949" s="2038"/>
      <c r="O2949" s="2038"/>
      <c r="P2949" s="2038"/>
      <c r="Q2949" s="2038"/>
      <c r="R2949" s="2038"/>
      <c r="S2949" s="2038"/>
      <c r="T2949" s="2038"/>
      <c r="U2949" s="2038"/>
      <c r="V2949" s="2038"/>
      <c r="W2949" s="2038"/>
      <c r="X2949" s="2038"/>
      <c r="Y2949" s="2038"/>
      <c r="Z2949" s="2038"/>
      <c r="AA2949" s="2038"/>
      <c r="AB2949" s="2038"/>
      <c r="AC2949" s="2038"/>
      <c r="AD2949" s="2038"/>
      <c r="AE2949" s="2039" t="s">
        <v>1839</v>
      </c>
      <c r="AF2949" s="2040"/>
    </row>
    <row r="2950" spans="1:32" ht="15.75" x14ac:dyDescent="0.25">
      <c r="A2950" s="2041" t="s">
        <v>1840</v>
      </c>
      <c r="B2950" s="2042"/>
      <c r="C2950" s="2042"/>
      <c r="D2950" s="2042"/>
      <c r="E2950" s="2042"/>
      <c r="F2950" s="2042"/>
      <c r="G2950" s="2042"/>
      <c r="H2950" s="2042"/>
      <c r="I2950" s="2042"/>
      <c r="J2950" s="2042"/>
      <c r="K2950" s="2042"/>
      <c r="L2950" s="2042"/>
      <c r="M2950" s="2042"/>
      <c r="N2950" s="2042"/>
      <c r="O2950" s="2042"/>
      <c r="P2950" s="2042"/>
      <c r="Q2950" s="2042"/>
      <c r="R2950" s="2042"/>
      <c r="S2950" s="2042"/>
      <c r="T2950" s="2042"/>
      <c r="U2950" s="2042"/>
      <c r="V2950" s="2042"/>
      <c r="W2950" s="2042"/>
      <c r="X2950" s="2042"/>
      <c r="Y2950" s="2042"/>
      <c r="Z2950" s="2042"/>
      <c r="AA2950" s="2042"/>
      <c r="AB2950" s="2042"/>
      <c r="AC2950" s="2042"/>
      <c r="AD2950" s="2043"/>
      <c r="AE2950" s="2014" t="s">
        <v>1841</v>
      </c>
      <c r="AF2950" s="2044"/>
    </row>
    <row r="2951" spans="1:32" ht="15.75" x14ac:dyDescent="0.25">
      <c r="A2951" s="2045" t="s">
        <v>1853</v>
      </c>
      <c r="B2951" s="2046"/>
      <c r="C2951" s="2046"/>
      <c r="D2951" s="2046"/>
      <c r="E2951" s="2046"/>
      <c r="F2951" s="2046"/>
      <c r="G2951" s="2046"/>
      <c r="H2951" s="2046"/>
      <c r="I2951" s="2046"/>
      <c r="J2951" s="2046"/>
      <c r="K2951" s="2046"/>
      <c r="L2951" s="2046"/>
      <c r="M2951" s="2046"/>
      <c r="N2951" s="2046"/>
      <c r="O2951" s="2046"/>
      <c r="P2951" s="2046"/>
      <c r="Q2951" s="2046"/>
      <c r="R2951" s="2046"/>
      <c r="S2951" s="2046"/>
      <c r="T2951" s="2046"/>
      <c r="U2951" s="2046"/>
      <c r="V2951" s="2046"/>
      <c r="W2951" s="2046"/>
      <c r="X2951" s="2046"/>
      <c r="Y2951" s="2046"/>
      <c r="Z2951" s="2046"/>
      <c r="AA2951" s="2046"/>
      <c r="AB2951" s="2046"/>
      <c r="AC2951" s="2046"/>
      <c r="AD2951" s="2046"/>
      <c r="AE2951" s="2047">
        <f>'01'!$M$13</f>
        <v>0</v>
      </c>
      <c r="AF2951" s="2044"/>
    </row>
    <row r="2952" spans="1:32" x14ac:dyDescent="0.2">
      <c r="A2952" s="1046"/>
      <c r="B2952" s="1047"/>
      <c r="C2952" s="1047"/>
      <c r="D2952" s="1047"/>
      <c r="E2952" s="1047"/>
      <c r="F2952" s="1047"/>
      <c r="G2952" s="1047"/>
      <c r="H2952" s="1047"/>
      <c r="I2952" s="1047"/>
      <c r="J2952" s="1047"/>
      <c r="K2952" s="1047"/>
      <c r="L2952" s="1047"/>
      <c r="M2952" s="1047"/>
      <c r="N2952" s="1047"/>
      <c r="O2952" s="1047"/>
      <c r="P2952" s="1047"/>
      <c r="Q2952" s="1047"/>
      <c r="R2952" s="1047"/>
      <c r="S2952" s="1047"/>
      <c r="T2952" s="1047"/>
      <c r="U2952" s="1047"/>
      <c r="V2952" s="1047"/>
      <c r="W2952" s="1047"/>
      <c r="X2952" s="1047"/>
      <c r="Y2952" s="1047"/>
      <c r="Z2952" s="1047"/>
      <c r="AA2952" s="1047"/>
      <c r="AB2952" s="1047"/>
      <c r="AC2952" s="1047"/>
      <c r="AD2952" s="1047"/>
      <c r="AE2952" s="1047"/>
      <c r="AF2952" s="1048"/>
    </row>
    <row r="2953" spans="1:32" ht="30" customHeight="1" x14ac:dyDescent="0.2">
      <c r="A2953" s="2048" t="s">
        <v>1842</v>
      </c>
      <c r="B2953" s="2049"/>
      <c r="C2953" s="2049"/>
      <c r="D2953" s="2049"/>
      <c r="E2953" s="2049"/>
      <c r="F2953" s="2050" t="str">
        <f>+'01'!$H$105</f>
        <v>D - CANAL DE DESINFECCIÓN</v>
      </c>
      <c r="G2953" s="2049"/>
      <c r="H2953" s="2049"/>
      <c r="I2953" s="2049"/>
      <c r="J2953" s="2049"/>
      <c r="K2953" s="2049"/>
      <c r="L2953" s="2049"/>
      <c r="M2953" s="2049"/>
      <c r="N2953" s="2049"/>
      <c r="O2953" s="2049"/>
      <c r="P2953" s="2049"/>
      <c r="Q2953" s="2049"/>
      <c r="R2953" s="2049"/>
      <c r="S2953" s="2049"/>
      <c r="T2953" s="2049"/>
      <c r="U2953" s="2049"/>
      <c r="V2953" s="2049"/>
      <c r="W2953" s="2049"/>
      <c r="X2953" s="2049"/>
      <c r="Y2953" s="2051"/>
      <c r="Z2953" s="2052" t="s">
        <v>1843</v>
      </c>
      <c r="AA2953" s="2053"/>
      <c r="AB2953" s="2058" t="s">
        <v>1844</v>
      </c>
      <c r="AC2953" s="2059"/>
      <c r="AD2953" s="2060"/>
      <c r="AE2953" s="2064" t="s">
        <v>1845</v>
      </c>
      <c r="AF2953" s="2067" t="s">
        <v>1846</v>
      </c>
    </row>
    <row r="2954" spans="1:32" ht="15" customHeight="1" x14ac:dyDescent="0.2">
      <c r="A2954" s="2070" t="str">
        <f>+'01'!A128</f>
        <v>D-08-03</v>
      </c>
      <c r="B2954" s="2071"/>
      <c r="C2954" s="2072"/>
      <c r="D2954" s="2076" t="str">
        <f>VLOOKUP(A2954,'01'!$A$12:$N$299,3,FALSE)</f>
        <v>SUMINISTRO E INSTALACIÓN VÁLVULA DE COMPUERTA ELASTICA VASTAGO NO ASCENDENTE EXTREMO BRIDADO PARA PVC DIAMETRO 8".</v>
      </c>
      <c r="E2954" s="2077"/>
      <c r="F2954" s="2077"/>
      <c r="G2954" s="2077"/>
      <c r="H2954" s="2077"/>
      <c r="I2954" s="2077"/>
      <c r="J2954" s="2077"/>
      <c r="K2954" s="2077"/>
      <c r="L2954" s="2077"/>
      <c r="M2954" s="2077"/>
      <c r="N2954" s="2077"/>
      <c r="O2954" s="2077"/>
      <c r="P2954" s="2077"/>
      <c r="Q2954" s="2077"/>
      <c r="R2954" s="2077"/>
      <c r="S2954" s="2078"/>
      <c r="T2954" s="2082" t="s">
        <v>124</v>
      </c>
      <c r="U2954" s="2083"/>
      <c r="V2954" s="2083"/>
      <c r="W2954" s="2083"/>
      <c r="X2954" s="2052" t="str">
        <f>VLOOKUP(A2954,'01'!$A$12:$N$299,9,FALSE)</f>
        <v>UND</v>
      </c>
      <c r="Y2954" s="2053"/>
      <c r="Z2954" s="2054"/>
      <c r="AA2954" s="2055"/>
      <c r="AB2954" s="2061"/>
      <c r="AC2954" s="2062"/>
      <c r="AD2954" s="2063"/>
      <c r="AE2954" s="2065"/>
      <c r="AF2954" s="2068"/>
    </row>
    <row r="2955" spans="1:32" ht="15" customHeight="1" x14ac:dyDescent="0.25">
      <c r="A2955" s="2073"/>
      <c r="B2955" s="2074"/>
      <c r="C2955" s="2075"/>
      <c r="D2955" s="2079"/>
      <c r="E2955" s="2080"/>
      <c r="F2955" s="2080"/>
      <c r="G2955" s="2080"/>
      <c r="H2955" s="2080"/>
      <c r="I2955" s="2080"/>
      <c r="J2955" s="2080"/>
      <c r="K2955" s="2080"/>
      <c r="L2955" s="2080"/>
      <c r="M2955" s="2080"/>
      <c r="N2955" s="2080"/>
      <c r="O2955" s="2080"/>
      <c r="P2955" s="2080"/>
      <c r="Q2955" s="2080"/>
      <c r="R2955" s="2080"/>
      <c r="S2955" s="2081"/>
      <c r="T2955" s="2084"/>
      <c r="U2955" s="2085"/>
      <c r="V2955" s="2085"/>
      <c r="W2955" s="2085"/>
      <c r="X2955" s="2056"/>
      <c r="Y2955" s="2057"/>
      <c r="Z2955" s="2056"/>
      <c r="AA2955" s="2057"/>
      <c r="AB2955" s="1049" t="s">
        <v>1847</v>
      </c>
      <c r="AC2955" s="1049" t="s">
        <v>1848</v>
      </c>
      <c r="AD2955" s="1049" t="s">
        <v>1861</v>
      </c>
      <c r="AE2955" s="2066"/>
      <c r="AF2955" s="2069"/>
    </row>
    <row r="2956" spans="1:32" ht="15.6" customHeight="1" x14ac:dyDescent="0.25">
      <c r="A2956" s="2017"/>
      <c r="B2956" s="2018"/>
      <c r="C2956" s="2018"/>
      <c r="D2956" s="2018"/>
      <c r="E2956" s="2018"/>
      <c r="F2956" s="2018"/>
      <c r="G2956" s="2018"/>
      <c r="H2956" s="2018"/>
      <c r="I2956" s="2018"/>
      <c r="J2956" s="2018"/>
      <c r="K2956" s="2018"/>
      <c r="L2956" s="2018"/>
      <c r="M2956" s="2018"/>
      <c r="N2956" s="2018"/>
      <c r="O2956" s="2018"/>
      <c r="P2956" s="2018"/>
      <c r="Q2956" s="2018"/>
      <c r="R2956" s="2018"/>
      <c r="S2956" s="2018"/>
      <c r="T2956" s="2018"/>
      <c r="U2956" s="2018"/>
      <c r="V2956" s="2018"/>
      <c r="W2956" s="2018"/>
      <c r="X2956" s="2018"/>
      <c r="Y2956" s="2018"/>
      <c r="Z2956" s="2021" t="s">
        <v>2458</v>
      </c>
      <c r="AA2956" s="2021"/>
      <c r="AB2956" s="1050"/>
      <c r="AC2956" s="1050"/>
      <c r="AD2956" s="1050"/>
      <c r="AE2956" s="1050">
        <v>1</v>
      </c>
      <c r="AF2956" s="1052">
        <f>+AE2956</f>
        <v>1</v>
      </c>
    </row>
    <row r="2957" spans="1:32" ht="15.6" customHeight="1" x14ac:dyDescent="0.25">
      <c r="A2957" s="2017"/>
      <c r="B2957" s="2018"/>
      <c r="C2957" s="2018"/>
      <c r="D2957" s="2018"/>
      <c r="E2957" s="2018"/>
      <c r="F2957" s="2018"/>
      <c r="G2957" s="2018"/>
      <c r="H2957" s="2018"/>
      <c r="I2957" s="2018"/>
      <c r="J2957" s="2018"/>
      <c r="K2957" s="2018"/>
      <c r="L2957" s="2018"/>
      <c r="M2957" s="2018"/>
      <c r="N2957" s="2018"/>
      <c r="O2957" s="2018"/>
      <c r="P2957" s="2018"/>
      <c r="Q2957" s="2018"/>
      <c r="R2957" s="2018"/>
      <c r="S2957" s="2018"/>
      <c r="T2957" s="2018"/>
      <c r="U2957" s="2018"/>
      <c r="V2957" s="2018"/>
      <c r="W2957" s="2018"/>
      <c r="X2957" s="2018"/>
      <c r="Y2957" s="2018"/>
      <c r="Z2957" s="2021"/>
      <c r="AA2957" s="2021"/>
      <c r="AB2957" s="1050"/>
      <c r="AC2957" s="1050"/>
      <c r="AD2957" s="1050"/>
      <c r="AE2957" s="1050"/>
      <c r="AF2957" s="1052"/>
    </row>
    <row r="2958" spans="1:32" ht="15.75" x14ac:dyDescent="0.25">
      <c r="A2958" s="2017"/>
      <c r="B2958" s="2018"/>
      <c r="C2958" s="2018"/>
      <c r="D2958" s="2018"/>
      <c r="E2958" s="2018"/>
      <c r="F2958" s="2018"/>
      <c r="G2958" s="2018"/>
      <c r="H2958" s="2018"/>
      <c r="I2958" s="2018"/>
      <c r="J2958" s="2018"/>
      <c r="K2958" s="2018"/>
      <c r="L2958" s="2018"/>
      <c r="M2958" s="2018"/>
      <c r="N2958" s="2018"/>
      <c r="O2958" s="2018"/>
      <c r="P2958" s="2018"/>
      <c r="Q2958" s="2018"/>
      <c r="R2958" s="2018"/>
      <c r="S2958" s="2018"/>
      <c r="T2958" s="2018"/>
      <c r="U2958" s="2018"/>
      <c r="V2958" s="2018"/>
      <c r="W2958" s="2018"/>
      <c r="X2958" s="2018"/>
      <c r="Y2958" s="2018"/>
      <c r="Z2958" s="2021"/>
      <c r="AA2958" s="2021"/>
      <c r="AB2958" s="1050"/>
      <c r="AC2958" s="1050"/>
      <c r="AD2958" s="1050"/>
      <c r="AE2958" s="1050"/>
      <c r="AF2958" s="1052"/>
    </row>
    <row r="2959" spans="1:32" ht="15.75" x14ac:dyDescent="0.25">
      <c r="A2959" s="2017"/>
      <c r="B2959" s="2018"/>
      <c r="C2959" s="2018"/>
      <c r="D2959" s="2018"/>
      <c r="E2959" s="2018"/>
      <c r="F2959" s="2018"/>
      <c r="G2959" s="2018"/>
      <c r="H2959" s="2018"/>
      <c r="I2959" s="2018"/>
      <c r="J2959" s="2018"/>
      <c r="K2959" s="2018"/>
      <c r="L2959" s="2018"/>
      <c r="M2959" s="2018"/>
      <c r="N2959" s="2018"/>
      <c r="O2959" s="2018"/>
      <c r="P2959" s="2018"/>
      <c r="Q2959" s="2018"/>
      <c r="R2959" s="2018"/>
      <c r="S2959" s="2018"/>
      <c r="T2959" s="2018"/>
      <c r="U2959" s="2018"/>
      <c r="V2959" s="2018"/>
      <c r="W2959" s="2018"/>
      <c r="X2959" s="2018"/>
      <c r="Y2959" s="2018"/>
      <c r="Z2959" s="2021"/>
      <c r="AA2959" s="2021"/>
      <c r="AB2959" s="1050"/>
      <c r="AC2959" s="1050"/>
      <c r="AD2959" s="1050"/>
      <c r="AE2959" s="1050"/>
      <c r="AF2959" s="1052"/>
    </row>
    <row r="2960" spans="1:32" ht="15.75" x14ac:dyDescent="0.25">
      <c r="A2960" s="2017"/>
      <c r="B2960" s="2018"/>
      <c r="C2960" s="2018"/>
      <c r="D2960" s="2018"/>
      <c r="E2960" s="2018"/>
      <c r="F2960" s="2018"/>
      <c r="G2960" s="2018"/>
      <c r="H2960" s="2018"/>
      <c r="I2960" s="2018"/>
      <c r="J2960" s="2018"/>
      <c r="K2960" s="2018"/>
      <c r="L2960" s="2018"/>
      <c r="M2960" s="2018"/>
      <c r="N2960" s="2018"/>
      <c r="O2960" s="2018"/>
      <c r="P2960" s="2018"/>
      <c r="Q2960" s="2018"/>
      <c r="R2960" s="2018"/>
      <c r="S2960" s="2018"/>
      <c r="T2960" s="2018"/>
      <c r="U2960" s="2018"/>
      <c r="V2960" s="2018"/>
      <c r="W2960" s="2018"/>
      <c r="X2960" s="2018"/>
      <c r="Y2960" s="2018"/>
      <c r="Z2960" s="2021"/>
      <c r="AA2960" s="2021"/>
      <c r="AB2960" s="1050"/>
      <c r="AC2960" s="1050"/>
      <c r="AD2960" s="1050"/>
      <c r="AE2960" s="1050"/>
      <c r="AF2960" s="1052"/>
    </row>
    <row r="2961" spans="1:32" ht="15.75" x14ac:dyDescent="0.25">
      <c r="A2961" s="2017"/>
      <c r="B2961" s="2018"/>
      <c r="C2961" s="2018"/>
      <c r="D2961" s="2018"/>
      <c r="E2961" s="2018"/>
      <c r="F2961" s="2018"/>
      <c r="G2961" s="2018"/>
      <c r="H2961" s="2018"/>
      <c r="I2961" s="2018"/>
      <c r="J2961" s="2018"/>
      <c r="K2961" s="2018"/>
      <c r="L2961" s="2018"/>
      <c r="M2961" s="2018"/>
      <c r="N2961" s="2018"/>
      <c r="O2961" s="2018"/>
      <c r="P2961" s="2018"/>
      <c r="Q2961" s="2018"/>
      <c r="R2961" s="2018"/>
      <c r="S2961" s="2018"/>
      <c r="T2961" s="2018"/>
      <c r="U2961" s="2018"/>
      <c r="V2961" s="2018"/>
      <c r="W2961" s="2018"/>
      <c r="X2961" s="2018"/>
      <c r="Y2961" s="2018"/>
      <c r="Z2961" s="2021"/>
      <c r="AA2961" s="2021"/>
      <c r="AB2961" s="1050"/>
      <c r="AC2961" s="1050"/>
      <c r="AD2961" s="1050"/>
      <c r="AE2961" s="1050"/>
      <c r="AF2961" s="1052"/>
    </row>
    <row r="2962" spans="1:32" ht="15.75" x14ac:dyDescent="0.25">
      <c r="A2962" s="2017"/>
      <c r="B2962" s="2018"/>
      <c r="C2962" s="2018"/>
      <c r="D2962" s="2018"/>
      <c r="E2962" s="2018"/>
      <c r="F2962" s="2018"/>
      <c r="G2962" s="2018"/>
      <c r="H2962" s="2018"/>
      <c r="I2962" s="2018"/>
      <c r="J2962" s="2018"/>
      <c r="K2962" s="2018"/>
      <c r="L2962" s="2018"/>
      <c r="M2962" s="2018"/>
      <c r="N2962" s="2018"/>
      <c r="O2962" s="2018"/>
      <c r="P2962" s="2018"/>
      <c r="Q2962" s="2018"/>
      <c r="R2962" s="2018"/>
      <c r="S2962" s="2018"/>
      <c r="T2962" s="2018"/>
      <c r="U2962" s="2018"/>
      <c r="V2962" s="2018"/>
      <c r="W2962" s="2018"/>
      <c r="X2962" s="2018"/>
      <c r="Y2962" s="2018"/>
      <c r="Z2962" s="2021"/>
      <c r="AA2962" s="2021"/>
      <c r="AB2962" s="1050"/>
      <c r="AC2962" s="1050"/>
      <c r="AD2962" s="1050"/>
      <c r="AE2962" s="1050"/>
      <c r="AF2962" s="1052"/>
    </row>
    <row r="2963" spans="1:32" ht="15.75" x14ac:dyDescent="0.25">
      <c r="A2963" s="2017"/>
      <c r="B2963" s="2018"/>
      <c r="C2963" s="2018"/>
      <c r="D2963" s="2018"/>
      <c r="E2963" s="2018"/>
      <c r="F2963" s="2018"/>
      <c r="G2963" s="2018"/>
      <c r="H2963" s="2018"/>
      <c r="I2963" s="2018"/>
      <c r="J2963" s="2018"/>
      <c r="K2963" s="2018"/>
      <c r="L2963" s="2018"/>
      <c r="M2963" s="2018"/>
      <c r="N2963" s="2018"/>
      <c r="O2963" s="2018"/>
      <c r="P2963" s="2018"/>
      <c r="Q2963" s="2018"/>
      <c r="R2963" s="2018"/>
      <c r="S2963" s="2018"/>
      <c r="T2963" s="2018"/>
      <c r="U2963" s="2018"/>
      <c r="V2963" s="2018"/>
      <c r="W2963" s="2018"/>
      <c r="X2963" s="2018"/>
      <c r="Y2963" s="2018"/>
      <c r="Z2963" s="2021"/>
      <c r="AA2963" s="2021"/>
      <c r="AB2963" s="1050"/>
      <c r="AC2963" s="1050"/>
      <c r="AD2963" s="1050"/>
      <c r="AE2963" s="1050"/>
      <c r="AF2963" s="1052"/>
    </row>
    <row r="2964" spans="1:32" ht="15.75" x14ac:dyDescent="0.25">
      <c r="A2964" s="2017"/>
      <c r="B2964" s="2018"/>
      <c r="C2964" s="2018"/>
      <c r="D2964" s="2018"/>
      <c r="E2964" s="2018"/>
      <c r="F2964" s="2018"/>
      <c r="G2964" s="2018"/>
      <c r="H2964" s="2018"/>
      <c r="I2964" s="2018"/>
      <c r="J2964" s="2018"/>
      <c r="K2964" s="2018"/>
      <c r="L2964" s="2018"/>
      <c r="M2964" s="2018"/>
      <c r="N2964" s="2018"/>
      <c r="O2964" s="2018"/>
      <c r="P2964" s="2018"/>
      <c r="Q2964" s="2018"/>
      <c r="R2964" s="2018"/>
      <c r="S2964" s="2018"/>
      <c r="T2964" s="2018"/>
      <c r="U2964" s="2018"/>
      <c r="V2964" s="2018"/>
      <c r="W2964" s="2018"/>
      <c r="X2964" s="2018"/>
      <c r="Y2964" s="2018"/>
      <c r="Z2964" s="2021"/>
      <c r="AA2964" s="2021"/>
      <c r="AB2964" s="1050"/>
      <c r="AC2964" s="1050"/>
      <c r="AD2964" s="1050"/>
      <c r="AE2964" s="1050"/>
      <c r="AF2964" s="1052"/>
    </row>
    <row r="2965" spans="1:32" ht="15.75" x14ac:dyDescent="0.25">
      <c r="A2965" s="2017"/>
      <c r="B2965" s="2018"/>
      <c r="C2965" s="2018"/>
      <c r="D2965" s="2018"/>
      <c r="E2965" s="2018"/>
      <c r="F2965" s="2018"/>
      <c r="G2965" s="2018"/>
      <c r="H2965" s="2018"/>
      <c r="I2965" s="2018"/>
      <c r="J2965" s="2018"/>
      <c r="K2965" s="2018"/>
      <c r="L2965" s="2018"/>
      <c r="M2965" s="2018"/>
      <c r="N2965" s="2018"/>
      <c r="O2965" s="2018"/>
      <c r="P2965" s="2018"/>
      <c r="Q2965" s="2018"/>
      <c r="R2965" s="2018"/>
      <c r="S2965" s="2018"/>
      <c r="T2965" s="2018"/>
      <c r="U2965" s="2018"/>
      <c r="V2965" s="2018"/>
      <c r="W2965" s="2018"/>
      <c r="X2965" s="2018"/>
      <c r="Y2965" s="2018"/>
      <c r="Z2965" s="2021"/>
      <c r="AA2965" s="2021"/>
      <c r="AB2965" s="1050"/>
      <c r="AC2965" s="1050"/>
      <c r="AD2965" s="1050"/>
      <c r="AE2965" s="1050"/>
      <c r="AF2965" s="1052"/>
    </row>
    <row r="2966" spans="1:32" ht="15.75" x14ac:dyDescent="0.25">
      <c r="A2966" s="2017"/>
      <c r="B2966" s="2018"/>
      <c r="C2966" s="2018"/>
      <c r="D2966" s="2018"/>
      <c r="E2966" s="2018"/>
      <c r="F2966" s="2018"/>
      <c r="G2966" s="2018"/>
      <c r="H2966" s="2018"/>
      <c r="I2966" s="2018"/>
      <c r="J2966" s="2018"/>
      <c r="K2966" s="2018"/>
      <c r="L2966" s="2018"/>
      <c r="M2966" s="2018"/>
      <c r="N2966" s="2018"/>
      <c r="O2966" s="2018"/>
      <c r="P2966" s="2018"/>
      <c r="Q2966" s="2018"/>
      <c r="R2966" s="2018"/>
      <c r="S2966" s="2018"/>
      <c r="T2966" s="2018"/>
      <c r="U2966" s="2018"/>
      <c r="V2966" s="2018"/>
      <c r="W2966" s="2018"/>
      <c r="X2966" s="2018"/>
      <c r="Y2966" s="2018"/>
      <c r="Z2966" s="2021"/>
      <c r="AA2966" s="2021"/>
      <c r="AB2966" s="1050"/>
      <c r="AC2966" s="1050"/>
      <c r="AD2966" s="1050"/>
      <c r="AE2966" s="1050"/>
      <c r="AF2966" s="1052"/>
    </row>
    <row r="2967" spans="1:32" ht="15.75" x14ac:dyDescent="0.25">
      <c r="A2967" s="2017"/>
      <c r="B2967" s="2018"/>
      <c r="C2967" s="2018"/>
      <c r="D2967" s="2018"/>
      <c r="E2967" s="2018"/>
      <c r="F2967" s="2018"/>
      <c r="G2967" s="2018"/>
      <c r="H2967" s="2018"/>
      <c r="I2967" s="2018"/>
      <c r="J2967" s="2018"/>
      <c r="K2967" s="2018"/>
      <c r="L2967" s="2018"/>
      <c r="M2967" s="2018"/>
      <c r="N2967" s="2018"/>
      <c r="O2967" s="2018"/>
      <c r="P2967" s="2018"/>
      <c r="Q2967" s="2018"/>
      <c r="R2967" s="2018"/>
      <c r="S2967" s="2018"/>
      <c r="T2967" s="2018"/>
      <c r="U2967" s="2018"/>
      <c r="V2967" s="2018"/>
      <c r="W2967" s="2018"/>
      <c r="X2967" s="2018"/>
      <c r="Y2967" s="2018"/>
      <c r="Z2967" s="2021"/>
      <c r="AA2967" s="2021"/>
      <c r="AB2967" s="1050"/>
      <c r="AC2967" s="1050"/>
      <c r="AD2967" s="1050"/>
      <c r="AE2967" s="1050"/>
      <c r="AF2967" s="1052"/>
    </row>
    <row r="2968" spans="1:32" ht="15.75" x14ac:dyDescent="0.25">
      <c r="A2968" s="2017"/>
      <c r="B2968" s="2018"/>
      <c r="C2968" s="2018"/>
      <c r="D2968" s="2018"/>
      <c r="E2968" s="2018"/>
      <c r="F2968" s="2018"/>
      <c r="G2968" s="2018"/>
      <c r="H2968" s="2018"/>
      <c r="I2968" s="2018"/>
      <c r="J2968" s="2018"/>
      <c r="K2968" s="2018"/>
      <c r="L2968" s="2018"/>
      <c r="M2968" s="2018"/>
      <c r="N2968" s="2018"/>
      <c r="O2968" s="2018"/>
      <c r="P2968" s="2018"/>
      <c r="Q2968" s="2018"/>
      <c r="R2968" s="2018"/>
      <c r="S2968" s="2018"/>
      <c r="T2968" s="2018"/>
      <c r="U2968" s="2018"/>
      <c r="V2968" s="2018"/>
      <c r="W2968" s="2018"/>
      <c r="X2968" s="2018"/>
      <c r="Y2968" s="2018"/>
      <c r="Z2968" s="2021"/>
      <c r="AA2968" s="2021"/>
      <c r="AB2968" s="1050"/>
      <c r="AC2968" s="1050"/>
      <c r="AD2968" s="1050"/>
      <c r="AE2968" s="1050"/>
      <c r="AF2968" s="1052"/>
    </row>
    <row r="2969" spans="1:32" ht="15.75" x14ac:dyDescent="0.25">
      <c r="A2969" s="2017"/>
      <c r="B2969" s="2018"/>
      <c r="C2969" s="2018"/>
      <c r="D2969" s="2018"/>
      <c r="E2969" s="2018"/>
      <c r="F2969" s="2018"/>
      <c r="G2969" s="2018"/>
      <c r="H2969" s="2018"/>
      <c r="I2969" s="2018"/>
      <c r="J2969" s="2018"/>
      <c r="K2969" s="2018"/>
      <c r="L2969" s="2018"/>
      <c r="M2969" s="2018"/>
      <c r="N2969" s="2018"/>
      <c r="O2969" s="2018"/>
      <c r="P2969" s="2018"/>
      <c r="Q2969" s="2018"/>
      <c r="R2969" s="2018"/>
      <c r="S2969" s="2018"/>
      <c r="T2969" s="2018"/>
      <c r="U2969" s="2018"/>
      <c r="V2969" s="2018"/>
      <c r="W2969" s="2018"/>
      <c r="X2969" s="2018"/>
      <c r="Y2969" s="2018"/>
      <c r="Z2969" s="2021"/>
      <c r="AA2969" s="2021"/>
      <c r="AB2969" s="1050"/>
      <c r="AC2969" s="1050"/>
      <c r="AD2969" s="1050"/>
      <c r="AE2969" s="1050"/>
      <c r="AF2969" s="1052"/>
    </row>
    <row r="2970" spans="1:32" ht="15.75" x14ac:dyDescent="0.25">
      <c r="A2970" s="2017"/>
      <c r="B2970" s="2018"/>
      <c r="C2970" s="2018"/>
      <c r="D2970" s="2018"/>
      <c r="E2970" s="2018"/>
      <c r="F2970" s="2018"/>
      <c r="G2970" s="2018"/>
      <c r="H2970" s="2018"/>
      <c r="I2970" s="2018"/>
      <c r="J2970" s="2018"/>
      <c r="K2970" s="2018"/>
      <c r="L2970" s="2018"/>
      <c r="M2970" s="2018"/>
      <c r="N2970" s="2018"/>
      <c r="O2970" s="2018"/>
      <c r="P2970" s="2018"/>
      <c r="Q2970" s="2018"/>
      <c r="R2970" s="2018"/>
      <c r="S2970" s="2018"/>
      <c r="T2970" s="2018"/>
      <c r="U2970" s="2018"/>
      <c r="V2970" s="2018"/>
      <c r="W2970" s="2018"/>
      <c r="X2970" s="2018"/>
      <c r="Y2970" s="2018"/>
      <c r="Z2970" s="2022"/>
      <c r="AA2970" s="2022"/>
      <c r="AB2970" s="1050"/>
      <c r="AC2970" s="1050"/>
      <c r="AD2970" s="1050"/>
      <c r="AE2970" s="1050"/>
      <c r="AF2970" s="1052"/>
    </row>
    <row r="2971" spans="1:32" ht="15.75" x14ac:dyDescent="0.25">
      <c r="A2971" s="2017"/>
      <c r="B2971" s="2018"/>
      <c r="C2971" s="2018"/>
      <c r="D2971" s="2018"/>
      <c r="E2971" s="2018"/>
      <c r="F2971" s="2018"/>
      <c r="G2971" s="2018"/>
      <c r="H2971" s="2018"/>
      <c r="I2971" s="2018"/>
      <c r="J2971" s="2018"/>
      <c r="K2971" s="2018"/>
      <c r="L2971" s="2018"/>
      <c r="M2971" s="2018"/>
      <c r="N2971" s="2018"/>
      <c r="O2971" s="2018"/>
      <c r="P2971" s="2018"/>
      <c r="Q2971" s="2018"/>
      <c r="R2971" s="2018"/>
      <c r="S2971" s="2018"/>
      <c r="T2971" s="2018"/>
      <c r="U2971" s="2018"/>
      <c r="V2971" s="2018"/>
      <c r="W2971" s="2018"/>
      <c r="X2971" s="2018"/>
      <c r="Y2971" s="2018"/>
      <c r="Z2971" s="2022"/>
      <c r="AA2971" s="2022"/>
      <c r="AB2971" s="1050"/>
      <c r="AC2971" s="1050"/>
      <c r="AD2971" s="1050"/>
      <c r="AE2971" s="1050"/>
      <c r="AF2971" s="1052"/>
    </row>
    <row r="2972" spans="1:32" ht="15.75" x14ac:dyDescent="0.25">
      <c r="A2972" s="2017"/>
      <c r="B2972" s="2018"/>
      <c r="C2972" s="2018"/>
      <c r="D2972" s="2018"/>
      <c r="E2972" s="2018"/>
      <c r="F2972" s="2018"/>
      <c r="G2972" s="2018"/>
      <c r="H2972" s="2018"/>
      <c r="I2972" s="2018"/>
      <c r="J2972" s="2018"/>
      <c r="K2972" s="2018"/>
      <c r="L2972" s="2018"/>
      <c r="M2972" s="2018"/>
      <c r="N2972" s="2018"/>
      <c r="O2972" s="2018"/>
      <c r="P2972" s="2018"/>
      <c r="Q2972" s="2018"/>
      <c r="R2972" s="2018"/>
      <c r="S2972" s="2018"/>
      <c r="T2972" s="2018"/>
      <c r="U2972" s="2018"/>
      <c r="V2972" s="2018"/>
      <c r="W2972" s="2018"/>
      <c r="X2972" s="2018"/>
      <c r="Y2972" s="2018"/>
      <c r="Z2972" s="2022"/>
      <c r="AA2972" s="2022"/>
      <c r="AB2972" s="1050"/>
      <c r="AC2972" s="1050"/>
      <c r="AD2972" s="1050"/>
      <c r="AE2972" s="1050"/>
      <c r="AF2972" s="1052"/>
    </row>
    <row r="2973" spans="1:32" ht="15.75" x14ac:dyDescent="0.25">
      <c r="A2973" s="2017"/>
      <c r="B2973" s="2018"/>
      <c r="C2973" s="2018"/>
      <c r="D2973" s="2018"/>
      <c r="E2973" s="2018"/>
      <c r="F2973" s="2018"/>
      <c r="G2973" s="2018"/>
      <c r="H2973" s="2018"/>
      <c r="I2973" s="2018"/>
      <c r="J2973" s="2018"/>
      <c r="K2973" s="2018"/>
      <c r="L2973" s="2018"/>
      <c r="M2973" s="2018"/>
      <c r="N2973" s="2018"/>
      <c r="O2973" s="2018"/>
      <c r="P2973" s="2018"/>
      <c r="Q2973" s="2018"/>
      <c r="R2973" s="2018"/>
      <c r="S2973" s="2018"/>
      <c r="T2973" s="2018"/>
      <c r="U2973" s="2018"/>
      <c r="V2973" s="2018"/>
      <c r="W2973" s="2018"/>
      <c r="X2973" s="2018"/>
      <c r="Y2973" s="2018"/>
      <c r="Z2973" s="2023"/>
      <c r="AA2973" s="2023"/>
      <c r="AB2973" s="1050"/>
      <c r="AC2973" s="1050"/>
      <c r="AD2973" s="1050"/>
      <c r="AE2973" s="1050"/>
      <c r="AF2973" s="1052"/>
    </row>
    <row r="2974" spans="1:32" ht="15.75" x14ac:dyDescent="0.25">
      <c r="A2974" s="2017"/>
      <c r="B2974" s="2018"/>
      <c r="C2974" s="2018"/>
      <c r="D2974" s="2018"/>
      <c r="E2974" s="2018"/>
      <c r="F2974" s="2018"/>
      <c r="G2974" s="2018"/>
      <c r="H2974" s="2018"/>
      <c r="I2974" s="2018"/>
      <c r="J2974" s="2018"/>
      <c r="K2974" s="2018"/>
      <c r="L2974" s="2018"/>
      <c r="M2974" s="2018"/>
      <c r="N2974" s="2018"/>
      <c r="O2974" s="2018"/>
      <c r="P2974" s="2018"/>
      <c r="Q2974" s="2018"/>
      <c r="R2974" s="2018"/>
      <c r="S2974" s="2018"/>
      <c r="T2974" s="2018"/>
      <c r="U2974" s="2018"/>
      <c r="V2974" s="2018"/>
      <c r="W2974" s="2018"/>
      <c r="X2974" s="2018"/>
      <c r="Y2974" s="2018"/>
      <c r="Z2974" s="2023"/>
      <c r="AA2974" s="2023"/>
      <c r="AB2974" s="1050"/>
      <c r="AC2974" s="1050"/>
      <c r="AD2974" s="1050"/>
      <c r="AE2974" s="1050"/>
      <c r="AF2974" s="1052"/>
    </row>
    <row r="2975" spans="1:32" ht="15.75" x14ac:dyDescent="0.25">
      <c r="A2975" s="2017"/>
      <c r="B2975" s="2018"/>
      <c r="C2975" s="2018"/>
      <c r="D2975" s="2018"/>
      <c r="E2975" s="2018"/>
      <c r="F2975" s="2018"/>
      <c r="G2975" s="2018"/>
      <c r="H2975" s="2018"/>
      <c r="I2975" s="2018"/>
      <c r="J2975" s="2018"/>
      <c r="K2975" s="2018"/>
      <c r="L2975" s="2018"/>
      <c r="M2975" s="2018"/>
      <c r="N2975" s="2018"/>
      <c r="O2975" s="2018"/>
      <c r="P2975" s="2018"/>
      <c r="Q2975" s="2018"/>
      <c r="R2975" s="2018"/>
      <c r="S2975" s="2018"/>
      <c r="T2975" s="2018"/>
      <c r="U2975" s="2018"/>
      <c r="V2975" s="2018"/>
      <c r="W2975" s="2018"/>
      <c r="X2975" s="2018"/>
      <c r="Y2975" s="2018"/>
      <c r="Z2975" s="2023"/>
      <c r="AA2975" s="2023"/>
      <c r="AB2975" s="1050"/>
      <c r="AC2975" s="1050"/>
      <c r="AD2975" s="1050"/>
      <c r="AE2975" s="1050"/>
      <c r="AF2975" s="1052"/>
    </row>
    <row r="2976" spans="1:32" ht="15.75" x14ac:dyDescent="0.25">
      <c r="A2976" s="2017"/>
      <c r="B2976" s="2018"/>
      <c r="C2976" s="2018"/>
      <c r="D2976" s="2018"/>
      <c r="E2976" s="2018"/>
      <c r="F2976" s="2018"/>
      <c r="G2976" s="2018"/>
      <c r="H2976" s="2018"/>
      <c r="I2976" s="2018"/>
      <c r="J2976" s="2018"/>
      <c r="K2976" s="2018"/>
      <c r="L2976" s="2018"/>
      <c r="M2976" s="2018"/>
      <c r="N2976" s="2018"/>
      <c r="O2976" s="2018"/>
      <c r="P2976" s="2018"/>
      <c r="Q2976" s="2018"/>
      <c r="R2976" s="2018"/>
      <c r="S2976" s="2018"/>
      <c r="T2976" s="2018"/>
      <c r="U2976" s="2018"/>
      <c r="V2976" s="2018"/>
      <c r="W2976" s="2018"/>
      <c r="X2976" s="2018"/>
      <c r="Y2976" s="2018"/>
      <c r="Z2976" s="2023"/>
      <c r="AA2976" s="2023"/>
      <c r="AB2976" s="1050"/>
      <c r="AC2976" s="1050"/>
      <c r="AD2976" s="1050"/>
      <c r="AE2976" s="1050"/>
      <c r="AF2976" s="1052"/>
    </row>
    <row r="2977" spans="1:32" ht="15.75" x14ac:dyDescent="0.25">
      <c r="A2977" s="2017"/>
      <c r="B2977" s="2018"/>
      <c r="C2977" s="2018"/>
      <c r="D2977" s="2018"/>
      <c r="E2977" s="2018"/>
      <c r="F2977" s="2018"/>
      <c r="G2977" s="2018"/>
      <c r="H2977" s="2018"/>
      <c r="I2977" s="2018"/>
      <c r="J2977" s="2018"/>
      <c r="K2977" s="2018"/>
      <c r="L2977" s="2018"/>
      <c r="M2977" s="2018"/>
      <c r="N2977" s="2018"/>
      <c r="O2977" s="2018"/>
      <c r="P2977" s="2018"/>
      <c r="Q2977" s="2018"/>
      <c r="R2977" s="2018"/>
      <c r="S2977" s="2018"/>
      <c r="T2977" s="2018"/>
      <c r="U2977" s="2018"/>
      <c r="V2977" s="2018"/>
      <c r="W2977" s="2018"/>
      <c r="X2977" s="2018"/>
      <c r="Y2977" s="2018"/>
      <c r="Z2977" s="2023"/>
      <c r="AA2977" s="2023"/>
      <c r="AB2977" s="1050"/>
      <c r="AC2977" s="1050"/>
      <c r="AD2977" s="1050"/>
      <c r="AE2977" s="1050"/>
      <c r="AF2977" s="1052"/>
    </row>
    <row r="2978" spans="1:32" ht="15.75" x14ac:dyDescent="0.25">
      <c r="A2978" s="2017"/>
      <c r="B2978" s="2018"/>
      <c r="C2978" s="2018"/>
      <c r="D2978" s="2018"/>
      <c r="E2978" s="2018"/>
      <c r="F2978" s="2018"/>
      <c r="G2978" s="2018"/>
      <c r="H2978" s="2018"/>
      <c r="I2978" s="2018"/>
      <c r="J2978" s="2018"/>
      <c r="K2978" s="2018"/>
      <c r="L2978" s="2018"/>
      <c r="M2978" s="2018"/>
      <c r="N2978" s="2018"/>
      <c r="O2978" s="2018"/>
      <c r="P2978" s="2018"/>
      <c r="Q2978" s="2018"/>
      <c r="R2978" s="2018"/>
      <c r="S2978" s="2018"/>
      <c r="T2978" s="2018"/>
      <c r="U2978" s="2018"/>
      <c r="V2978" s="2018"/>
      <c r="W2978" s="2018"/>
      <c r="X2978" s="2018"/>
      <c r="Y2978" s="2018"/>
      <c r="Z2978" s="2023"/>
      <c r="AA2978" s="2023"/>
      <c r="AB2978" s="1050"/>
      <c r="AC2978" s="1050"/>
      <c r="AD2978" s="1050"/>
      <c r="AE2978" s="1050"/>
      <c r="AF2978" s="1052"/>
    </row>
    <row r="2979" spans="1:32" ht="16.5" thickBot="1" x14ac:dyDescent="0.3">
      <c r="A2979" s="2019"/>
      <c r="B2979" s="2020"/>
      <c r="C2979" s="2020"/>
      <c r="D2979" s="2020"/>
      <c r="E2979" s="2020"/>
      <c r="F2979" s="2020"/>
      <c r="G2979" s="2020"/>
      <c r="H2979" s="2020"/>
      <c r="I2979" s="2020"/>
      <c r="J2979" s="2020"/>
      <c r="K2979" s="2020"/>
      <c r="L2979" s="2020"/>
      <c r="M2979" s="2020"/>
      <c r="N2979" s="2020"/>
      <c r="O2979" s="2020"/>
      <c r="P2979" s="2020"/>
      <c r="Q2979" s="2020"/>
      <c r="R2979" s="2020"/>
      <c r="S2979" s="2020"/>
      <c r="T2979" s="2020"/>
      <c r="U2979" s="2020"/>
      <c r="V2979" s="2020"/>
      <c r="W2979" s="2020"/>
      <c r="X2979" s="2020"/>
      <c r="Y2979" s="2020"/>
      <c r="Z2979" s="2024"/>
      <c r="AA2979" s="2024"/>
      <c r="AB2979" s="1057"/>
      <c r="AC2979" s="1057"/>
      <c r="AD2979" s="1057"/>
      <c r="AE2979" s="1057"/>
      <c r="AF2979" s="1058"/>
    </row>
    <row r="2980" spans="1:32" ht="15.75" x14ac:dyDescent="0.25">
      <c r="A2980" s="2009" t="s">
        <v>1855</v>
      </c>
      <c r="B2980" s="2010"/>
      <c r="C2980" s="2010"/>
      <c r="D2980" s="2010"/>
      <c r="E2980" s="2010"/>
      <c r="F2980" s="2010"/>
      <c r="G2980" s="2010"/>
      <c r="H2980" s="2010"/>
      <c r="I2980" s="2010"/>
      <c r="J2980" s="2010"/>
      <c r="K2980" s="2010"/>
      <c r="L2980" s="2010"/>
      <c r="M2980" s="2010"/>
      <c r="N2980" s="2010"/>
      <c r="O2980" s="2010"/>
      <c r="P2980" s="2010"/>
      <c r="Q2980" s="2010"/>
      <c r="R2980" s="2010"/>
      <c r="S2980" s="2010"/>
      <c r="T2980" s="2010"/>
      <c r="U2980" s="2010"/>
      <c r="V2980" s="2010"/>
      <c r="W2980" s="2010"/>
      <c r="X2980" s="2010"/>
      <c r="Y2980" s="2010"/>
      <c r="Z2980" s="2013" t="s">
        <v>1850</v>
      </c>
      <c r="AA2980" s="2013"/>
      <c r="AB2980" s="2013"/>
      <c r="AC2980" s="2013"/>
      <c r="AD2980" s="2013"/>
      <c r="AE2980" s="2013"/>
      <c r="AF2980" s="1059">
        <f>SUM(AF2956:AF2979)</f>
        <v>1</v>
      </c>
    </row>
    <row r="2981" spans="1:32" ht="15.75" x14ac:dyDescent="0.25">
      <c r="A2981" s="2011"/>
      <c r="B2981" s="2012"/>
      <c r="C2981" s="2012"/>
      <c r="D2981" s="2012"/>
      <c r="E2981" s="2012"/>
      <c r="F2981" s="2012"/>
      <c r="G2981" s="2012"/>
      <c r="H2981" s="2012"/>
      <c r="I2981" s="2012"/>
      <c r="J2981" s="2012"/>
      <c r="K2981" s="2012"/>
      <c r="L2981" s="2012"/>
      <c r="M2981" s="2012"/>
      <c r="N2981" s="2012"/>
      <c r="O2981" s="2012"/>
      <c r="P2981" s="2012"/>
      <c r="Q2981" s="2012"/>
      <c r="R2981" s="2012"/>
      <c r="S2981" s="2012"/>
      <c r="T2981" s="2012"/>
      <c r="U2981" s="2012"/>
      <c r="V2981" s="2012"/>
      <c r="W2981" s="2012"/>
      <c r="X2981" s="2012"/>
      <c r="Y2981" s="2012"/>
      <c r="Z2981" s="2014" t="s">
        <v>1851</v>
      </c>
      <c r="AA2981" s="2014"/>
      <c r="AB2981" s="2014"/>
      <c r="AC2981" s="2014"/>
      <c r="AD2981" s="2014"/>
      <c r="AE2981" s="2014"/>
      <c r="AF2981" s="1060">
        <v>0</v>
      </c>
    </row>
    <row r="2982" spans="1:32" ht="15.75" x14ac:dyDescent="0.25">
      <c r="A2982" s="2011"/>
      <c r="B2982" s="2012"/>
      <c r="C2982" s="2012"/>
      <c r="D2982" s="2012"/>
      <c r="E2982" s="2012"/>
      <c r="F2982" s="2012"/>
      <c r="G2982" s="2012"/>
      <c r="H2982" s="2012"/>
      <c r="I2982" s="2012"/>
      <c r="J2982" s="2012"/>
      <c r="K2982" s="2012"/>
      <c r="L2982" s="2012"/>
      <c r="M2982" s="2012"/>
      <c r="N2982" s="2012"/>
      <c r="O2982" s="2012"/>
      <c r="P2982" s="2012"/>
      <c r="Q2982" s="2012"/>
      <c r="R2982" s="2012"/>
      <c r="S2982" s="2012"/>
      <c r="T2982" s="2012"/>
      <c r="U2982" s="2012"/>
      <c r="V2982" s="2012"/>
      <c r="W2982" s="2012"/>
      <c r="X2982" s="2012"/>
      <c r="Y2982" s="2012"/>
      <c r="Z2982" s="2015" t="s">
        <v>1833</v>
      </c>
      <c r="AA2982" s="2015"/>
      <c r="AB2982" s="2015"/>
      <c r="AC2982" s="2015"/>
      <c r="AD2982" s="2015"/>
      <c r="AE2982" s="2015"/>
      <c r="AF2982" s="1061">
        <f>SUM(AF2980:AF2981)</f>
        <v>1</v>
      </c>
    </row>
    <row r="2983" spans="1:32" x14ac:dyDescent="0.2">
      <c r="A2983" s="2012" t="s">
        <v>1859</v>
      </c>
      <c r="B2983" s="2012"/>
      <c r="C2983" s="2012"/>
      <c r="D2983" s="2012"/>
      <c r="E2983" s="2012"/>
      <c r="F2983" s="2012"/>
      <c r="G2983" s="2012"/>
      <c r="H2983" s="2012"/>
      <c r="I2983" s="2012"/>
      <c r="J2983" s="2012"/>
      <c r="K2983" s="2012"/>
      <c r="L2983" s="2012"/>
      <c r="M2983" s="2012"/>
      <c r="N2983" s="2012"/>
      <c r="O2983" s="2012"/>
      <c r="P2983" s="2012"/>
      <c r="Q2983" s="2012"/>
      <c r="R2983" s="2012"/>
      <c r="S2983" s="2012"/>
      <c r="T2983" s="2016" t="s">
        <v>1840</v>
      </c>
      <c r="U2983" s="2016"/>
      <c r="V2983" s="2016"/>
      <c r="W2983" s="2016"/>
      <c r="X2983" s="2016"/>
      <c r="Y2983" s="2016"/>
      <c r="Z2983" s="2016"/>
      <c r="AA2983" s="2016"/>
      <c r="AB2983" s="2012" t="s">
        <v>1852</v>
      </c>
      <c r="AC2983" s="2012"/>
      <c r="AD2983" s="2012"/>
      <c r="AE2983" s="2012"/>
      <c r="AF2983" s="2012"/>
    </row>
    <row r="2984" spans="1:32" x14ac:dyDescent="0.2">
      <c r="A2984" s="2012"/>
      <c r="B2984" s="2012"/>
      <c r="C2984" s="2012"/>
      <c r="D2984" s="2012"/>
      <c r="E2984" s="2012"/>
      <c r="F2984" s="2012"/>
      <c r="G2984" s="2012"/>
      <c r="H2984" s="2012"/>
      <c r="I2984" s="2012"/>
      <c r="J2984" s="2012"/>
      <c r="K2984" s="2012"/>
      <c r="L2984" s="2012"/>
      <c r="M2984" s="2012"/>
      <c r="N2984" s="2012"/>
      <c r="O2984" s="2012"/>
      <c r="P2984" s="2012"/>
      <c r="Q2984" s="2012"/>
      <c r="R2984" s="2012"/>
      <c r="S2984" s="2012"/>
      <c r="T2984" s="2016"/>
      <c r="U2984" s="2016"/>
      <c r="V2984" s="2016"/>
      <c r="W2984" s="2016"/>
      <c r="X2984" s="2016"/>
      <c r="Y2984" s="2016"/>
      <c r="Z2984" s="2016"/>
      <c r="AA2984" s="2016"/>
      <c r="AB2984" s="2012"/>
      <c r="AC2984" s="2012"/>
      <c r="AD2984" s="2012"/>
      <c r="AE2984" s="2012"/>
      <c r="AF2984" s="2012"/>
    </row>
    <row r="2985" spans="1:32" ht="13.5" thickBot="1" x14ac:dyDescent="0.25"/>
    <row r="2986" spans="1:32" ht="26.45" customHeight="1" x14ac:dyDescent="0.2">
      <c r="A2986" s="2025" t="s">
        <v>1854</v>
      </c>
      <c r="B2986" s="2026"/>
      <c r="C2986" s="2026"/>
      <c r="D2986" s="2026"/>
      <c r="E2986" s="2026"/>
      <c r="F2986" s="2026"/>
      <c r="G2986" s="2026"/>
      <c r="H2986" s="2026"/>
      <c r="I2986" s="2026"/>
      <c r="J2986" s="2026"/>
      <c r="K2986" s="2026"/>
      <c r="L2986" s="2026"/>
      <c r="M2986" s="2026"/>
      <c r="N2986" s="2026"/>
      <c r="O2986" s="2026"/>
      <c r="P2986" s="2026"/>
      <c r="Q2986" s="2026"/>
      <c r="R2986" s="2026"/>
      <c r="S2986" s="2026"/>
      <c r="T2986" s="2026"/>
      <c r="U2986" s="2026"/>
      <c r="V2986" s="2026"/>
      <c r="W2986" s="2026"/>
      <c r="X2986" s="2026"/>
      <c r="Y2986" s="2026"/>
      <c r="Z2986" s="2026"/>
      <c r="AA2986" s="2026"/>
      <c r="AB2986" s="2026"/>
      <c r="AC2986" s="2026"/>
      <c r="AD2986" s="2026"/>
      <c r="AE2986" s="1041" t="s">
        <v>1834</v>
      </c>
      <c r="AF2986" s="1042" t="s">
        <v>1835</v>
      </c>
    </row>
    <row r="2987" spans="1:32" ht="21" customHeight="1" thickBot="1" x14ac:dyDescent="0.25">
      <c r="A2987" s="2027"/>
      <c r="B2987" s="2028"/>
      <c r="C2987" s="2028"/>
      <c r="D2987" s="2028"/>
      <c r="E2987" s="2028"/>
      <c r="F2987" s="2028"/>
      <c r="G2987" s="2028"/>
      <c r="H2987" s="2028"/>
      <c r="I2987" s="2028"/>
      <c r="J2987" s="2028"/>
      <c r="K2987" s="2028"/>
      <c r="L2987" s="2028"/>
      <c r="M2987" s="2028"/>
      <c r="N2987" s="2028"/>
      <c r="O2987" s="2028"/>
      <c r="P2987" s="2028"/>
      <c r="Q2987" s="2028"/>
      <c r="R2987" s="2028"/>
      <c r="S2987" s="2028"/>
      <c r="T2987" s="2028"/>
      <c r="U2987" s="2028"/>
      <c r="V2987" s="2028"/>
      <c r="W2987" s="2028"/>
      <c r="X2987" s="2028"/>
      <c r="Y2987" s="2028"/>
      <c r="Z2987" s="2028"/>
      <c r="AA2987" s="2028"/>
      <c r="AB2987" s="2028"/>
      <c r="AC2987" s="2028"/>
      <c r="AD2987" s="2028"/>
      <c r="AE2987" s="1041" t="s">
        <v>1836</v>
      </c>
      <c r="AF2987" s="1044">
        <v>1</v>
      </c>
    </row>
    <row r="2988" spans="1:32" ht="15.75" x14ac:dyDescent="0.2">
      <c r="A2988" s="2029"/>
      <c r="B2988" s="2030"/>
      <c r="C2988" s="2030"/>
      <c r="D2988" s="2031"/>
      <c r="E2988" s="2025" t="str">
        <f>'01'!$A$12</f>
        <v>"CONSTRUCCION SISTEMA DE ACUEDUCTO FASE II DEL MUNICIPIO DE TESALIA DPTO DEL HUILA"</v>
      </c>
      <c r="F2988" s="2026"/>
      <c r="G2988" s="2026"/>
      <c r="H2988" s="2026"/>
      <c r="I2988" s="2026"/>
      <c r="J2988" s="2026"/>
      <c r="K2988" s="2026"/>
      <c r="L2988" s="2026"/>
      <c r="M2988" s="2026"/>
      <c r="N2988" s="2026"/>
      <c r="O2988" s="2026"/>
      <c r="P2988" s="2026"/>
      <c r="Q2988" s="2026"/>
      <c r="R2988" s="2026"/>
      <c r="S2988" s="2026"/>
      <c r="T2988" s="2026"/>
      <c r="U2988" s="2026"/>
      <c r="V2988" s="2026"/>
      <c r="W2988" s="2026"/>
      <c r="X2988" s="2026"/>
      <c r="Y2988" s="2026"/>
      <c r="Z2988" s="2026"/>
      <c r="AA2988" s="2026"/>
      <c r="AB2988" s="2026"/>
      <c r="AC2988" s="2026"/>
      <c r="AD2988" s="2035"/>
      <c r="AE2988" s="1041" t="s">
        <v>847</v>
      </c>
      <c r="AF2988" s="1045">
        <f>'01'!$M$13</f>
        <v>0</v>
      </c>
    </row>
    <row r="2989" spans="1:32" ht="16.5" thickBot="1" x14ac:dyDescent="0.25">
      <c r="A2989" s="2032"/>
      <c r="B2989" s="2033"/>
      <c r="C2989" s="2033"/>
      <c r="D2989" s="2034"/>
      <c r="E2989" s="2027"/>
      <c r="F2989" s="2028"/>
      <c r="G2989" s="2028"/>
      <c r="H2989" s="2028"/>
      <c r="I2989" s="2028"/>
      <c r="J2989" s="2028"/>
      <c r="K2989" s="2028"/>
      <c r="L2989" s="2028"/>
      <c r="M2989" s="2028"/>
      <c r="N2989" s="2028"/>
      <c r="O2989" s="2028"/>
      <c r="P2989" s="2028"/>
      <c r="Q2989" s="2028"/>
      <c r="R2989" s="2028"/>
      <c r="S2989" s="2028"/>
      <c r="T2989" s="2028"/>
      <c r="U2989" s="2028"/>
      <c r="V2989" s="2028"/>
      <c r="W2989" s="2028"/>
      <c r="X2989" s="2028"/>
      <c r="Y2989" s="2028"/>
      <c r="Z2989" s="2028"/>
      <c r="AA2989" s="2028"/>
      <c r="AB2989" s="2028"/>
      <c r="AC2989" s="2028"/>
      <c r="AD2989" s="2036"/>
      <c r="AE2989" s="1041" t="s">
        <v>1837</v>
      </c>
      <c r="AF2989" s="1042" t="s">
        <v>1838</v>
      </c>
    </row>
    <row r="2990" spans="1:32" ht="15.75" x14ac:dyDescent="0.25">
      <c r="A2990" s="2037" t="s">
        <v>1860</v>
      </c>
      <c r="B2990" s="2038"/>
      <c r="C2990" s="2038"/>
      <c r="D2990" s="2038"/>
      <c r="E2990" s="2038"/>
      <c r="F2990" s="2038"/>
      <c r="G2990" s="2038"/>
      <c r="H2990" s="2038"/>
      <c r="I2990" s="2038"/>
      <c r="J2990" s="2038"/>
      <c r="K2990" s="2038"/>
      <c r="L2990" s="2038"/>
      <c r="M2990" s="2038"/>
      <c r="N2990" s="2038"/>
      <c r="O2990" s="2038"/>
      <c r="P2990" s="2038"/>
      <c r="Q2990" s="2038"/>
      <c r="R2990" s="2038"/>
      <c r="S2990" s="2038"/>
      <c r="T2990" s="2038"/>
      <c r="U2990" s="2038"/>
      <c r="V2990" s="2038"/>
      <c r="W2990" s="2038"/>
      <c r="X2990" s="2038"/>
      <c r="Y2990" s="2038"/>
      <c r="Z2990" s="2038"/>
      <c r="AA2990" s="2038"/>
      <c r="AB2990" s="2038"/>
      <c r="AC2990" s="2038"/>
      <c r="AD2990" s="2038"/>
      <c r="AE2990" s="2039" t="s">
        <v>1839</v>
      </c>
      <c r="AF2990" s="2040"/>
    </row>
    <row r="2991" spans="1:32" ht="15.75" x14ac:dyDescent="0.25">
      <c r="A2991" s="2041" t="s">
        <v>1840</v>
      </c>
      <c r="B2991" s="2042"/>
      <c r="C2991" s="2042"/>
      <c r="D2991" s="2042"/>
      <c r="E2991" s="2042"/>
      <c r="F2991" s="2042"/>
      <c r="G2991" s="2042"/>
      <c r="H2991" s="2042"/>
      <c r="I2991" s="2042"/>
      <c r="J2991" s="2042"/>
      <c r="K2991" s="2042"/>
      <c r="L2991" s="2042"/>
      <c r="M2991" s="2042"/>
      <c r="N2991" s="2042"/>
      <c r="O2991" s="2042"/>
      <c r="P2991" s="2042"/>
      <c r="Q2991" s="2042"/>
      <c r="R2991" s="2042"/>
      <c r="S2991" s="2042"/>
      <c r="T2991" s="2042"/>
      <c r="U2991" s="2042"/>
      <c r="V2991" s="2042"/>
      <c r="W2991" s="2042"/>
      <c r="X2991" s="2042"/>
      <c r="Y2991" s="2042"/>
      <c r="Z2991" s="2042"/>
      <c r="AA2991" s="2042"/>
      <c r="AB2991" s="2042"/>
      <c r="AC2991" s="2042"/>
      <c r="AD2991" s="2043"/>
      <c r="AE2991" s="2014" t="s">
        <v>1841</v>
      </c>
      <c r="AF2991" s="2044"/>
    </row>
    <row r="2992" spans="1:32" ht="15.75" x14ac:dyDescent="0.25">
      <c r="A2992" s="2045" t="s">
        <v>1853</v>
      </c>
      <c r="B2992" s="2046"/>
      <c r="C2992" s="2046"/>
      <c r="D2992" s="2046"/>
      <c r="E2992" s="2046"/>
      <c r="F2992" s="2046"/>
      <c r="G2992" s="2046"/>
      <c r="H2992" s="2046"/>
      <c r="I2992" s="2046"/>
      <c r="J2992" s="2046"/>
      <c r="K2992" s="2046"/>
      <c r="L2992" s="2046"/>
      <c r="M2992" s="2046"/>
      <c r="N2992" s="2046"/>
      <c r="O2992" s="2046"/>
      <c r="P2992" s="2046"/>
      <c r="Q2992" s="2046"/>
      <c r="R2992" s="2046"/>
      <c r="S2992" s="2046"/>
      <c r="T2992" s="2046"/>
      <c r="U2992" s="2046"/>
      <c r="V2992" s="2046"/>
      <c r="W2992" s="2046"/>
      <c r="X2992" s="2046"/>
      <c r="Y2992" s="2046"/>
      <c r="Z2992" s="2046"/>
      <c r="AA2992" s="2046"/>
      <c r="AB2992" s="2046"/>
      <c r="AC2992" s="2046"/>
      <c r="AD2992" s="2046"/>
      <c r="AE2992" s="2047">
        <f>'01'!$M$13</f>
        <v>0</v>
      </c>
      <c r="AF2992" s="2044"/>
    </row>
    <row r="2993" spans="1:32" x14ac:dyDescent="0.2">
      <c r="A2993" s="1046"/>
      <c r="B2993" s="1047"/>
      <c r="C2993" s="1047"/>
      <c r="D2993" s="1047"/>
      <c r="E2993" s="1047"/>
      <c r="F2993" s="1047"/>
      <c r="G2993" s="1047"/>
      <c r="H2993" s="1047"/>
      <c r="I2993" s="1047"/>
      <c r="J2993" s="1047"/>
      <c r="K2993" s="1047"/>
      <c r="L2993" s="1047"/>
      <c r="M2993" s="1047"/>
      <c r="N2993" s="1047"/>
      <c r="O2993" s="1047"/>
      <c r="P2993" s="1047"/>
      <c r="Q2993" s="1047"/>
      <c r="R2993" s="1047"/>
      <c r="S2993" s="1047"/>
      <c r="T2993" s="1047"/>
      <c r="U2993" s="1047"/>
      <c r="V2993" s="1047"/>
      <c r="W2993" s="1047"/>
      <c r="X2993" s="1047"/>
      <c r="Y2993" s="1047"/>
      <c r="Z2993" s="1047"/>
      <c r="AA2993" s="1047"/>
      <c r="AB2993" s="1047"/>
      <c r="AC2993" s="1047"/>
      <c r="AD2993" s="1047"/>
      <c r="AE2993" s="1047"/>
      <c r="AF2993" s="1048"/>
    </row>
    <row r="2994" spans="1:32" ht="30" customHeight="1" x14ac:dyDescent="0.2">
      <c r="A2994" s="2048" t="s">
        <v>1842</v>
      </c>
      <c r="B2994" s="2049"/>
      <c r="C2994" s="2049"/>
      <c r="D2994" s="2049"/>
      <c r="E2994" s="2049"/>
      <c r="F2994" s="2050" t="str">
        <f>+'01'!$H$130</f>
        <v>E - ESPESADOR GRAVIMÉTRICO</v>
      </c>
      <c r="G2994" s="2049"/>
      <c r="H2994" s="2049"/>
      <c r="I2994" s="2049"/>
      <c r="J2994" s="2049"/>
      <c r="K2994" s="2049"/>
      <c r="L2994" s="2049"/>
      <c r="M2994" s="2049"/>
      <c r="N2994" s="2049"/>
      <c r="O2994" s="2049"/>
      <c r="P2994" s="2049"/>
      <c r="Q2994" s="2049"/>
      <c r="R2994" s="2049"/>
      <c r="S2994" s="2049"/>
      <c r="T2994" s="2049"/>
      <c r="U2994" s="2049"/>
      <c r="V2994" s="2049"/>
      <c r="W2994" s="2049"/>
      <c r="X2994" s="2049"/>
      <c r="Y2994" s="2051"/>
      <c r="Z2994" s="2052" t="s">
        <v>1843</v>
      </c>
      <c r="AA2994" s="2053"/>
      <c r="AB2994" s="2058" t="s">
        <v>1844</v>
      </c>
      <c r="AC2994" s="2059"/>
      <c r="AD2994" s="2060"/>
      <c r="AE2994" s="2064" t="s">
        <v>1845</v>
      </c>
      <c r="AF2994" s="2067" t="s">
        <v>1846</v>
      </c>
    </row>
    <row r="2995" spans="1:32" ht="15" customHeight="1" x14ac:dyDescent="0.2">
      <c r="A2995" s="2070" t="str">
        <f>+'01'!A133</f>
        <v>E-01-01</v>
      </c>
      <c r="B2995" s="2071"/>
      <c r="C2995" s="2072"/>
      <c r="D2995" s="2076" t="str">
        <f>VLOOKUP(A2995,'01'!$A$12:$N$299,3,FALSE)</f>
        <v>LOCALIZACIÓN Y REPLANTEO. INCLUYE: MATERIALES, EQUIPOS, COMISIÓN TOPOGRÁFICA PARA CONTROL DE NIVELES PERMANENTES Y PLANOS RECORD.</v>
      </c>
      <c r="E2995" s="2077"/>
      <c r="F2995" s="2077"/>
      <c r="G2995" s="2077"/>
      <c r="H2995" s="2077"/>
      <c r="I2995" s="2077"/>
      <c r="J2995" s="2077"/>
      <c r="K2995" s="2077"/>
      <c r="L2995" s="2077"/>
      <c r="M2995" s="2077"/>
      <c r="N2995" s="2077"/>
      <c r="O2995" s="2077"/>
      <c r="P2995" s="2077"/>
      <c r="Q2995" s="2077"/>
      <c r="R2995" s="2077"/>
      <c r="S2995" s="2078"/>
      <c r="T2995" s="2082" t="s">
        <v>124</v>
      </c>
      <c r="U2995" s="2083"/>
      <c r="V2995" s="2083"/>
      <c r="W2995" s="2083"/>
      <c r="X2995" s="2052" t="str">
        <f>VLOOKUP(A2995,'01'!$A$12:$N$299,9,FALSE)</f>
        <v>M2</v>
      </c>
      <c r="Y2995" s="2053"/>
      <c r="Z2995" s="2054"/>
      <c r="AA2995" s="2055"/>
      <c r="AB2995" s="2061"/>
      <c r="AC2995" s="2062"/>
      <c r="AD2995" s="2063"/>
      <c r="AE2995" s="2065"/>
      <c r="AF2995" s="2068"/>
    </row>
    <row r="2996" spans="1:32" ht="15" customHeight="1" x14ac:dyDescent="0.25">
      <c r="A2996" s="2073"/>
      <c r="B2996" s="2074"/>
      <c r="C2996" s="2075"/>
      <c r="D2996" s="2079"/>
      <c r="E2996" s="2080"/>
      <c r="F2996" s="2080"/>
      <c r="G2996" s="2080"/>
      <c r="H2996" s="2080"/>
      <c r="I2996" s="2080"/>
      <c r="J2996" s="2080"/>
      <c r="K2996" s="2080"/>
      <c r="L2996" s="2080"/>
      <c r="M2996" s="2080"/>
      <c r="N2996" s="2080"/>
      <c r="O2996" s="2080"/>
      <c r="P2996" s="2080"/>
      <c r="Q2996" s="2080"/>
      <c r="R2996" s="2080"/>
      <c r="S2996" s="2081"/>
      <c r="T2996" s="2084"/>
      <c r="U2996" s="2085"/>
      <c r="V2996" s="2085"/>
      <c r="W2996" s="2085"/>
      <c r="X2996" s="2056"/>
      <c r="Y2996" s="2057"/>
      <c r="Z2996" s="2056"/>
      <c r="AA2996" s="2057"/>
      <c r="AB2996" s="1049" t="s">
        <v>1847</v>
      </c>
      <c r="AC2996" s="1049" t="s">
        <v>1848</v>
      </c>
      <c r="AD2996" s="1049" t="s">
        <v>1861</v>
      </c>
      <c r="AE2996" s="2066"/>
      <c r="AF2996" s="2069"/>
    </row>
    <row r="2997" spans="1:32" ht="15.6" customHeight="1" x14ac:dyDescent="0.25">
      <c r="A2997" s="2017"/>
      <c r="B2997" s="2018"/>
      <c r="C2997" s="2018"/>
      <c r="D2997" s="2018"/>
      <c r="E2997" s="2018"/>
      <c r="F2997" s="2018"/>
      <c r="G2997" s="2018"/>
      <c r="H2997" s="2018"/>
      <c r="I2997" s="2018"/>
      <c r="J2997" s="2018"/>
      <c r="K2997" s="2018"/>
      <c r="L2997" s="2018"/>
      <c r="M2997" s="2018"/>
      <c r="N2997" s="2018"/>
      <c r="O2997" s="2018"/>
      <c r="P2997" s="2018"/>
      <c r="Q2997" s="2018"/>
      <c r="R2997" s="2018"/>
      <c r="S2997" s="2018"/>
      <c r="T2997" s="2018"/>
      <c r="U2997" s="2018"/>
      <c r="V2997" s="2018"/>
      <c r="W2997" s="2018"/>
      <c r="X2997" s="2018"/>
      <c r="Y2997" s="2018"/>
      <c r="Z2997" s="2021" t="s">
        <v>2459</v>
      </c>
      <c r="AA2997" s="2021"/>
      <c r="AB2997" s="1050">
        <v>5.4</v>
      </c>
      <c r="AC2997" s="1050">
        <v>5.4</v>
      </c>
      <c r="AD2997" s="1050"/>
      <c r="AE2997" s="1050">
        <v>1</v>
      </c>
      <c r="AF2997" s="1052">
        <f>+ROUND(AB2997*AC2997*AE2997,2)</f>
        <v>29.16</v>
      </c>
    </row>
    <row r="2998" spans="1:32" ht="15.6" customHeight="1" x14ac:dyDescent="0.25">
      <c r="A2998" s="2017"/>
      <c r="B2998" s="2018"/>
      <c r="C2998" s="2018"/>
      <c r="D2998" s="2018"/>
      <c r="E2998" s="2018"/>
      <c r="F2998" s="2018"/>
      <c r="G2998" s="2018"/>
      <c r="H2998" s="2018"/>
      <c r="I2998" s="2018"/>
      <c r="J2998" s="2018"/>
      <c r="K2998" s="2018"/>
      <c r="L2998" s="2018"/>
      <c r="M2998" s="2018"/>
      <c r="N2998" s="2018"/>
      <c r="O2998" s="2018"/>
      <c r="P2998" s="2018"/>
      <c r="Q2998" s="2018"/>
      <c r="R2998" s="2018"/>
      <c r="S2998" s="2018"/>
      <c r="T2998" s="2018"/>
      <c r="U2998" s="2018"/>
      <c r="V2998" s="2018"/>
      <c r="W2998" s="2018"/>
      <c r="X2998" s="2018"/>
      <c r="Y2998" s="2018"/>
      <c r="Z2998" s="2021" t="s">
        <v>2460</v>
      </c>
      <c r="AA2998" s="2021"/>
      <c r="AB2998" s="1050">
        <v>1.8</v>
      </c>
      <c r="AC2998" s="1050">
        <v>2</v>
      </c>
      <c r="AD2998" s="1050"/>
      <c r="AE2998" s="1050">
        <v>1</v>
      </c>
      <c r="AF2998" s="1052">
        <f t="shared" ref="AF2998:AF2999" si="41">+ROUND(AB2998*AC2998*AE2998,2)</f>
        <v>3.6</v>
      </c>
    </row>
    <row r="2999" spans="1:32" ht="15.75" x14ac:dyDescent="0.25">
      <c r="A2999" s="2017"/>
      <c r="B2999" s="2018"/>
      <c r="C2999" s="2018"/>
      <c r="D2999" s="2018"/>
      <c r="E2999" s="2018"/>
      <c r="F2999" s="2018"/>
      <c r="G2999" s="2018"/>
      <c r="H2999" s="2018"/>
      <c r="I2999" s="2018"/>
      <c r="J2999" s="2018"/>
      <c r="K2999" s="2018"/>
      <c r="L2999" s="2018"/>
      <c r="M2999" s="2018"/>
      <c r="N2999" s="2018"/>
      <c r="O2999" s="2018"/>
      <c r="P2999" s="2018"/>
      <c r="Q2999" s="2018"/>
      <c r="R2999" s="2018"/>
      <c r="S2999" s="2018"/>
      <c r="T2999" s="2018"/>
      <c r="U2999" s="2018"/>
      <c r="V2999" s="2018"/>
      <c r="W2999" s="2018"/>
      <c r="X2999" s="2018"/>
      <c r="Y2999" s="2018"/>
      <c r="Z2999" s="2021" t="s">
        <v>2461</v>
      </c>
      <c r="AA2999" s="2021"/>
      <c r="AB2999" s="1050">
        <v>1.8</v>
      </c>
      <c r="AC2999" s="1050">
        <v>2</v>
      </c>
      <c r="AD2999" s="1050"/>
      <c r="AE2999" s="1050">
        <v>1</v>
      </c>
      <c r="AF2999" s="1052">
        <f t="shared" si="41"/>
        <v>3.6</v>
      </c>
    </row>
    <row r="3000" spans="1:32" ht="15.75" x14ac:dyDescent="0.25">
      <c r="A3000" s="2017"/>
      <c r="B3000" s="2018"/>
      <c r="C3000" s="2018"/>
      <c r="D3000" s="2018"/>
      <c r="E3000" s="2018"/>
      <c r="F3000" s="2018"/>
      <c r="G3000" s="2018"/>
      <c r="H3000" s="2018"/>
      <c r="I3000" s="2018"/>
      <c r="J3000" s="2018"/>
      <c r="K3000" s="2018"/>
      <c r="L3000" s="2018"/>
      <c r="M3000" s="2018"/>
      <c r="N3000" s="2018"/>
      <c r="O3000" s="2018"/>
      <c r="P3000" s="2018"/>
      <c r="Q3000" s="2018"/>
      <c r="R3000" s="2018"/>
      <c r="S3000" s="2018"/>
      <c r="T3000" s="2018"/>
      <c r="U3000" s="2018"/>
      <c r="V3000" s="2018"/>
      <c r="W3000" s="2018"/>
      <c r="X3000" s="2018"/>
      <c r="Y3000" s="2018"/>
      <c r="Z3000" s="2021"/>
      <c r="AA3000" s="2021"/>
      <c r="AB3000" s="1050"/>
      <c r="AC3000" s="1050"/>
      <c r="AD3000" s="1050"/>
      <c r="AE3000" s="1050"/>
      <c r="AF3000" s="1052"/>
    </row>
    <row r="3001" spans="1:32" ht="15.75" x14ac:dyDescent="0.25">
      <c r="A3001" s="2017"/>
      <c r="B3001" s="2018"/>
      <c r="C3001" s="2018"/>
      <c r="D3001" s="2018"/>
      <c r="E3001" s="2018"/>
      <c r="F3001" s="2018"/>
      <c r="G3001" s="2018"/>
      <c r="H3001" s="2018"/>
      <c r="I3001" s="2018"/>
      <c r="J3001" s="2018"/>
      <c r="K3001" s="2018"/>
      <c r="L3001" s="2018"/>
      <c r="M3001" s="2018"/>
      <c r="N3001" s="2018"/>
      <c r="O3001" s="2018"/>
      <c r="P3001" s="2018"/>
      <c r="Q3001" s="2018"/>
      <c r="R3001" s="2018"/>
      <c r="S3001" s="2018"/>
      <c r="T3001" s="2018"/>
      <c r="U3001" s="2018"/>
      <c r="V3001" s="2018"/>
      <c r="W3001" s="2018"/>
      <c r="X3001" s="2018"/>
      <c r="Y3001" s="2018"/>
      <c r="Z3001" s="2021"/>
      <c r="AA3001" s="2021"/>
      <c r="AB3001" s="1050"/>
      <c r="AC3001" s="1050"/>
      <c r="AD3001" s="1050"/>
      <c r="AE3001" s="1050"/>
      <c r="AF3001" s="1052"/>
    </row>
    <row r="3002" spans="1:32" ht="15.75" x14ac:dyDescent="0.25">
      <c r="A3002" s="2017"/>
      <c r="B3002" s="2018"/>
      <c r="C3002" s="2018"/>
      <c r="D3002" s="2018"/>
      <c r="E3002" s="2018"/>
      <c r="F3002" s="2018"/>
      <c r="G3002" s="2018"/>
      <c r="H3002" s="2018"/>
      <c r="I3002" s="2018"/>
      <c r="J3002" s="2018"/>
      <c r="K3002" s="2018"/>
      <c r="L3002" s="2018"/>
      <c r="M3002" s="2018"/>
      <c r="N3002" s="2018"/>
      <c r="O3002" s="2018"/>
      <c r="P3002" s="2018"/>
      <c r="Q3002" s="2018"/>
      <c r="R3002" s="2018"/>
      <c r="S3002" s="2018"/>
      <c r="T3002" s="2018"/>
      <c r="U3002" s="2018"/>
      <c r="V3002" s="2018"/>
      <c r="W3002" s="2018"/>
      <c r="X3002" s="2018"/>
      <c r="Y3002" s="2018"/>
      <c r="Z3002" s="2021"/>
      <c r="AA3002" s="2021"/>
      <c r="AB3002" s="1050"/>
      <c r="AC3002" s="1050"/>
      <c r="AD3002" s="1050"/>
      <c r="AE3002" s="1050"/>
      <c r="AF3002" s="1052"/>
    </row>
    <row r="3003" spans="1:32" ht="15.75" x14ac:dyDescent="0.25">
      <c r="A3003" s="2017"/>
      <c r="B3003" s="2018"/>
      <c r="C3003" s="2018"/>
      <c r="D3003" s="2018"/>
      <c r="E3003" s="2018"/>
      <c r="F3003" s="2018"/>
      <c r="G3003" s="2018"/>
      <c r="H3003" s="2018"/>
      <c r="I3003" s="2018"/>
      <c r="J3003" s="2018"/>
      <c r="K3003" s="2018"/>
      <c r="L3003" s="2018"/>
      <c r="M3003" s="2018"/>
      <c r="N3003" s="2018"/>
      <c r="O3003" s="2018"/>
      <c r="P3003" s="2018"/>
      <c r="Q3003" s="2018"/>
      <c r="R3003" s="2018"/>
      <c r="S3003" s="2018"/>
      <c r="T3003" s="2018"/>
      <c r="U3003" s="2018"/>
      <c r="V3003" s="2018"/>
      <c r="W3003" s="2018"/>
      <c r="X3003" s="2018"/>
      <c r="Y3003" s="2018"/>
      <c r="Z3003" s="2021"/>
      <c r="AA3003" s="2021"/>
      <c r="AB3003" s="1050"/>
      <c r="AC3003" s="1050"/>
      <c r="AD3003" s="1050"/>
      <c r="AE3003" s="1050"/>
      <c r="AF3003" s="1052"/>
    </row>
    <row r="3004" spans="1:32" ht="15.75" x14ac:dyDescent="0.25">
      <c r="A3004" s="2017"/>
      <c r="B3004" s="2018"/>
      <c r="C3004" s="2018"/>
      <c r="D3004" s="2018"/>
      <c r="E3004" s="2018"/>
      <c r="F3004" s="2018"/>
      <c r="G3004" s="2018"/>
      <c r="H3004" s="2018"/>
      <c r="I3004" s="2018"/>
      <c r="J3004" s="2018"/>
      <c r="K3004" s="2018"/>
      <c r="L3004" s="2018"/>
      <c r="M3004" s="2018"/>
      <c r="N3004" s="2018"/>
      <c r="O3004" s="2018"/>
      <c r="P3004" s="2018"/>
      <c r="Q3004" s="2018"/>
      <c r="R3004" s="2018"/>
      <c r="S3004" s="2018"/>
      <c r="T3004" s="2018"/>
      <c r="U3004" s="2018"/>
      <c r="V3004" s="2018"/>
      <c r="W3004" s="2018"/>
      <c r="X3004" s="2018"/>
      <c r="Y3004" s="2018"/>
      <c r="Z3004" s="2021"/>
      <c r="AA3004" s="2021"/>
      <c r="AB3004" s="1050"/>
      <c r="AC3004" s="1050"/>
      <c r="AD3004" s="1050"/>
      <c r="AE3004" s="1050"/>
      <c r="AF3004" s="1052"/>
    </row>
    <row r="3005" spans="1:32" ht="15.75" x14ac:dyDescent="0.25">
      <c r="A3005" s="2017"/>
      <c r="B3005" s="2018"/>
      <c r="C3005" s="2018"/>
      <c r="D3005" s="2018"/>
      <c r="E3005" s="2018"/>
      <c r="F3005" s="2018"/>
      <c r="G3005" s="2018"/>
      <c r="H3005" s="2018"/>
      <c r="I3005" s="2018"/>
      <c r="J3005" s="2018"/>
      <c r="K3005" s="2018"/>
      <c r="L3005" s="2018"/>
      <c r="M3005" s="2018"/>
      <c r="N3005" s="2018"/>
      <c r="O3005" s="2018"/>
      <c r="P3005" s="2018"/>
      <c r="Q3005" s="2018"/>
      <c r="R3005" s="2018"/>
      <c r="S3005" s="2018"/>
      <c r="T3005" s="2018"/>
      <c r="U3005" s="2018"/>
      <c r="V3005" s="2018"/>
      <c r="W3005" s="2018"/>
      <c r="X3005" s="2018"/>
      <c r="Y3005" s="2018"/>
      <c r="Z3005" s="2021"/>
      <c r="AA3005" s="2021"/>
      <c r="AB3005" s="1050"/>
      <c r="AC3005" s="1050"/>
      <c r="AD3005" s="1050"/>
      <c r="AE3005" s="1050"/>
      <c r="AF3005" s="1052"/>
    </row>
    <row r="3006" spans="1:32" ht="15.75" x14ac:dyDescent="0.25">
      <c r="A3006" s="2017"/>
      <c r="B3006" s="2018"/>
      <c r="C3006" s="2018"/>
      <c r="D3006" s="2018"/>
      <c r="E3006" s="2018"/>
      <c r="F3006" s="2018"/>
      <c r="G3006" s="2018"/>
      <c r="H3006" s="2018"/>
      <c r="I3006" s="2018"/>
      <c r="J3006" s="2018"/>
      <c r="K3006" s="2018"/>
      <c r="L3006" s="2018"/>
      <c r="M3006" s="2018"/>
      <c r="N3006" s="2018"/>
      <c r="O3006" s="2018"/>
      <c r="P3006" s="2018"/>
      <c r="Q3006" s="2018"/>
      <c r="R3006" s="2018"/>
      <c r="S3006" s="2018"/>
      <c r="T3006" s="2018"/>
      <c r="U3006" s="2018"/>
      <c r="V3006" s="2018"/>
      <c r="W3006" s="2018"/>
      <c r="X3006" s="2018"/>
      <c r="Y3006" s="2018"/>
      <c r="Z3006" s="2021"/>
      <c r="AA3006" s="2021"/>
      <c r="AB3006" s="1050"/>
      <c r="AC3006" s="1050"/>
      <c r="AD3006" s="1050"/>
      <c r="AE3006" s="1050"/>
      <c r="AF3006" s="1052"/>
    </row>
    <row r="3007" spans="1:32" ht="15.75" x14ac:dyDescent="0.25">
      <c r="A3007" s="2017"/>
      <c r="B3007" s="2018"/>
      <c r="C3007" s="2018"/>
      <c r="D3007" s="2018"/>
      <c r="E3007" s="2018"/>
      <c r="F3007" s="2018"/>
      <c r="G3007" s="2018"/>
      <c r="H3007" s="2018"/>
      <c r="I3007" s="2018"/>
      <c r="J3007" s="2018"/>
      <c r="K3007" s="2018"/>
      <c r="L3007" s="2018"/>
      <c r="M3007" s="2018"/>
      <c r="N3007" s="2018"/>
      <c r="O3007" s="2018"/>
      <c r="P3007" s="2018"/>
      <c r="Q3007" s="2018"/>
      <c r="R3007" s="2018"/>
      <c r="S3007" s="2018"/>
      <c r="T3007" s="2018"/>
      <c r="U3007" s="2018"/>
      <c r="V3007" s="2018"/>
      <c r="W3007" s="2018"/>
      <c r="X3007" s="2018"/>
      <c r="Y3007" s="2018"/>
      <c r="Z3007" s="2021"/>
      <c r="AA3007" s="2021"/>
      <c r="AB3007" s="1050"/>
      <c r="AC3007" s="1050"/>
      <c r="AD3007" s="1050"/>
      <c r="AE3007" s="1050"/>
      <c r="AF3007" s="1052"/>
    </row>
    <row r="3008" spans="1:32" ht="15.75" x14ac:dyDescent="0.25">
      <c r="A3008" s="2017"/>
      <c r="B3008" s="2018"/>
      <c r="C3008" s="2018"/>
      <c r="D3008" s="2018"/>
      <c r="E3008" s="2018"/>
      <c r="F3008" s="2018"/>
      <c r="G3008" s="2018"/>
      <c r="H3008" s="2018"/>
      <c r="I3008" s="2018"/>
      <c r="J3008" s="2018"/>
      <c r="K3008" s="2018"/>
      <c r="L3008" s="2018"/>
      <c r="M3008" s="2018"/>
      <c r="N3008" s="2018"/>
      <c r="O3008" s="2018"/>
      <c r="P3008" s="2018"/>
      <c r="Q3008" s="2018"/>
      <c r="R3008" s="2018"/>
      <c r="S3008" s="2018"/>
      <c r="T3008" s="2018"/>
      <c r="U3008" s="2018"/>
      <c r="V3008" s="2018"/>
      <c r="W3008" s="2018"/>
      <c r="X3008" s="2018"/>
      <c r="Y3008" s="2018"/>
      <c r="Z3008" s="2021"/>
      <c r="AA3008" s="2021"/>
      <c r="AB3008" s="1050"/>
      <c r="AC3008" s="1050"/>
      <c r="AD3008" s="1050"/>
      <c r="AE3008" s="1050"/>
      <c r="AF3008" s="1052"/>
    </row>
    <row r="3009" spans="1:32" ht="15.75" x14ac:dyDescent="0.25">
      <c r="A3009" s="2017"/>
      <c r="B3009" s="2018"/>
      <c r="C3009" s="2018"/>
      <c r="D3009" s="2018"/>
      <c r="E3009" s="2018"/>
      <c r="F3009" s="2018"/>
      <c r="G3009" s="2018"/>
      <c r="H3009" s="2018"/>
      <c r="I3009" s="2018"/>
      <c r="J3009" s="2018"/>
      <c r="K3009" s="2018"/>
      <c r="L3009" s="2018"/>
      <c r="M3009" s="2018"/>
      <c r="N3009" s="2018"/>
      <c r="O3009" s="2018"/>
      <c r="P3009" s="2018"/>
      <c r="Q3009" s="2018"/>
      <c r="R3009" s="2018"/>
      <c r="S3009" s="2018"/>
      <c r="T3009" s="2018"/>
      <c r="U3009" s="2018"/>
      <c r="V3009" s="2018"/>
      <c r="W3009" s="2018"/>
      <c r="X3009" s="2018"/>
      <c r="Y3009" s="2018"/>
      <c r="Z3009" s="2021"/>
      <c r="AA3009" s="2021"/>
      <c r="AB3009" s="1050"/>
      <c r="AC3009" s="1050"/>
      <c r="AD3009" s="1050"/>
      <c r="AE3009" s="1050"/>
      <c r="AF3009" s="1052"/>
    </row>
    <row r="3010" spans="1:32" ht="15.75" x14ac:dyDescent="0.25">
      <c r="A3010" s="2017"/>
      <c r="B3010" s="2018"/>
      <c r="C3010" s="2018"/>
      <c r="D3010" s="2018"/>
      <c r="E3010" s="2018"/>
      <c r="F3010" s="2018"/>
      <c r="G3010" s="2018"/>
      <c r="H3010" s="2018"/>
      <c r="I3010" s="2018"/>
      <c r="J3010" s="2018"/>
      <c r="K3010" s="2018"/>
      <c r="L3010" s="2018"/>
      <c r="M3010" s="2018"/>
      <c r="N3010" s="2018"/>
      <c r="O3010" s="2018"/>
      <c r="P3010" s="2018"/>
      <c r="Q3010" s="2018"/>
      <c r="R3010" s="2018"/>
      <c r="S3010" s="2018"/>
      <c r="T3010" s="2018"/>
      <c r="U3010" s="2018"/>
      <c r="V3010" s="2018"/>
      <c r="W3010" s="2018"/>
      <c r="X3010" s="2018"/>
      <c r="Y3010" s="2018"/>
      <c r="Z3010" s="2021"/>
      <c r="AA3010" s="2021"/>
      <c r="AB3010" s="1050"/>
      <c r="AC3010" s="1050"/>
      <c r="AD3010" s="1050"/>
      <c r="AE3010" s="1050"/>
      <c r="AF3010" s="1052"/>
    </row>
    <row r="3011" spans="1:32" ht="15.75" x14ac:dyDescent="0.25">
      <c r="A3011" s="2017"/>
      <c r="B3011" s="2018"/>
      <c r="C3011" s="2018"/>
      <c r="D3011" s="2018"/>
      <c r="E3011" s="2018"/>
      <c r="F3011" s="2018"/>
      <c r="G3011" s="2018"/>
      <c r="H3011" s="2018"/>
      <c r="I3011" s="2018"/>
      <c r="J3011" s="2018"/>
      <c r="K3011" s="2018"/>
      <c r="L3011" s="2018"/>
      <c r="M3011" s="2018"/>
      <c r="N3011" s="2018"/>
      <c r="O3011" s="2018"/>
      <c r="P3011" s="2018"/>
      <c r="Q3011" s="2018"/>
      <c r="R3011" s="2018"/>
      <c r="S3011" s="2018"/>
      <c r="T3011" s="2018"/>
      <c r="U3011" s="2018"/>
      <c r="V3011" s="2018"/>
      <c r="W3011" s="2018"/>
      <c r="X3011" s="2018"/>
      <c r="Y3011" s="2018"/>
      <c r="Z3011" s="2022"/>
      <c r="AA3011" s="2022"/>
      <c r="AB3011" s="1050"/>
      <c r="AC3011" s="1050"/>
      <c r="AD3011" s="1050"/>
      <c r="AE3011" s="1050"/>
      <c r="AF3011" s="1052"/>
    </row>
    <row r="3012" spans="1:32" ht="15.75" x14ac:dyDescent="0.25">
      <c r="A3012" s="2017"/>
      <c r="B3012" s="2018"/>
      <c r="C3012" s="2018"/>
      <c r="D3012" s="2018"/>
      <c r="E3012" s="2018"/>
      <c r="F3012" s="2018"/>
      <c r="G3012" s="2018"/>
      <c r="H3012" s="2018"/>
      <c r="I3012" s="2018"/>
      <c r="J3012" s="2018"/>
      <c r="K3012" s="2018"/>
      <c r="L3012" s="2018"/>
      <c r="M3012" s="2018"/>
      <c r="N3012" s="2018"/>
      <c r="O3012" s="2018"/>
      <c r="P3012" s="2018"/>
      <c r="Q3012" s="2018"/>
      <c r="R3012" s="2018"/>
      <c r="S3012" s="2018"/>
      <c r="T3012" s="2018"/>
      <c r="U3012" s="2018"/>
      <c r="V3012" s="2018"/>
      <c r="W3012" s="2018"/>
      <c r="X3012" s="2018"/>
      <c r="Y3012" s="2018"/>
      <c r="Z3012" s="2022"/>
      <c r="AA3012" s="2022"/>
      <c r="AB3012" s="1050"/>
      <c r="AC3012" s="1050"/>
      <c r="AD3012" s="1050"/>
      <c r="AE3012" s="1050"/>
      <c r="AF3012" s="1052"/>
    </row>
    <row r="3013" spans="1:32" ht="15.75" x14ac:dyDescent="0.25">
      <c r="A3013" s="2017"/>
      <c r="B3013" s="2018"/>
      <c r="C3013" s="2018"/>
      <c r="D3013" s="2018"/>
      <c r="E3013" s="2018"/>
      <c r="F3013" s="2018"/>
      <c r="G3013" s="2018"/>
      <c r="H3013" s="2018"/>
      <c r="I3013" s="2018"/>
      <c r="J3013" s="2018"/>
      <c r="K3013" s="2018"/>
      <c r="L3013" s="2018"/>
      <c r="M3013" s="2018"/>
      <c r="N3013" s="2018"/>
      <c r="O3013" s="2018"/>
      <c r="P3013" s="2018"/>
      <c r="Q3013" s="2018"/>
      <c r="R3013" s="2018"/>
      <c r="S3013" s="2018"/>
      <c r="T3013" s="2018"/>
      <c r="U3013" s="2018"/>
      <c r="V3013" s="2018"/>
      <c r="W3013" s="2018"/>
      <c r="X3013" s="2018"/>
      <c r="Y3013" s="2018"/>
      <c r="Z3013" s="2022"/>
      <c r="AA3013" s="2022"/>
      <c r="AB3013" s="1050"/>
      <c r="AC3013" s="1050"/>
      <c r="AD3013" s="1050"/>
      <c r="AE3013" s="1050"/>
      <c r="AF3013" s="1052"/>
    </row>
    <row r="3014" spans="1:32" ht="15.75" x14ac:dyDescent="0.25">
      <c r="A3014" s="2017"/>
      <c r="B3014" s="2018"/>
      <c r="C3014" s="2018"/>
      <c r="D3014" s="2018"/>
      <c r="E3014" s="2018"/>
      <c r="F3014" s="2018"/>
      <c r="G3014" s="2018"/>
      <c r="H3014" s="2018"/>
      <c r="I3014" s="2018"/>
      <c r="J3014" s="2018"/>
      <c r="K3014" s="2018"/>
      <c r="L3014" s="2018"/>
      <c r="M3014" s="2018"/>
      <c r="N3014" s="2018"/>
      <c r="O3014" s="2018"/>
      <c r="P3014" s="2018"/>
      <c r="Q3014" s="2018"/>
      <c r="R3014" s="2018"/>
      <c r="S3014" s="2018"/>
      <c r="T3014" s="2018"/>
      <c r="U3014" s="2018"/>
      <c r="V3014" s="2018"/>
      <c r="W3014" s="2018"/>
      <c r="X3014" s="2018"/>
      <c r="Y3014" s="2018"/>
      <c r="Z3014" s="2023"/>
      <c r="AA3014" s="2023"/>
      <c r="AB3014" s="1050"/>
      <c r="AC3014" s="1050"/>
      <c r="AD3014" s="1050"/>
      <c r="AE3014" s="1050"/>
      <c r="AF3014" s="1052"/>
    </row>
    <row r="3015" spans="1:32" ht="15.75" x14ac:dyDescent="0.25">
      <c r="A3015" s="2017"/>
      <c r="B3015" s="2018"/>
      <c r="C3015" s="2018"/>
      <c r="D3015" s="2018"/>
      <c r="E3015" s="2018"/>
      <c r="F3015" s="2018"/>
      <c r="G3015" s="2018"/>
      <c r="H3015" s="2018"/>
      <c r="I3015" s="2018"/>
      <c r="J3015" s="2018"/>
      <c r="K3015" s="2018"/>
      <c r="L3015" s="2018"/>
      <c r="M3015" s="2018"/>
      <c r="N3015" s="2018"/>
      <c r="O3015" s="2018"/>
      <c r="P3015" s="2018"/>
      <c r="Q3015" s="2018"/>
      <c r="R3015" s="2018"/>
      <c r="S3015" s="2018"/>
      <c r="T3015" s="2018"/>
      <c r="U3015" s="2018"/>
      <c r="V3015" s="2018"/>
      <c r="W3015" s="2018"/>
      <c r="X3015" s="2018"/>
      <c r="Y3015" s="2018"/>
      <c r="Z3015" s="2023"/>
      <c r="AA3015" s="2023"/>
      <c r="AB3015" s="1050"/>
      <c r="AC3015" s="1050"/>
      <c r="AD3015" s="1050"/>
      <c r="AE3015" s="1050"/>
      <c r="AF3015" s="1052"/>
    </row>
    <row r="3016" spans="1:32" ht="15.75" x14ac:dyDescent="0.25">
      <c r="A3016" s="2017"/>
      <c r="B3016" s="2018"/>
      <c r="C3016" s="2018"/>
      <c r="D3016" s="2018"/>
      <c r="E3016" s="2018"/>
      <c r="F3016" s="2018"/>
      <c r="G3016" s="2018"/>
      <c r="H3016" s="2018"/>
      <c r="I3016" s="2018"/>
      <c r="J3016" s="2018"/>
      <c r="K3016" s="2018"/>
      <c r="L3016" s="2018"/>
      <c r="M3016" s="2018"/>
      <c r="N3016" s="2018"/>
      <c r="O3016" s="2018"/>
      <c r="P3016" s="2018"/>
      <c r="Q3016" s="2018"/>
      <c r="R3016" s="2018"/>
      <c r="S3016" s="2018"/>
      <c r="T3016" s="2018"/>
      <c r="U3016" s="2018"/>
      <c r="V3016" s="2018"/>
      <c r="W3016" s="2018"/>
      <c r="X3016" s="2018"/>
      <c r="Y3016" s="2018"/>
      <c r="Z3016" s="2023"/>
      <c r="AA3016" s="2023"/>
      <c r="AB3016" s="1050"/>
      <c r="AC3016" s="1050"/>
      <c r="AD3016" s="1050"/>
      <c r="AE3016" s="1050"/>
      <c r="AF3016" s="1052"/>
    </row>
    <row r="3017" spans="1:32" ht="15.75" x14ac:dyDescent="0.25">
      <c r="A3017" s="2017"/>
      <c r="B3017" s="2018"/>
      <c r="C3017" s="2018"/>
      <c r="D3017" s="2018"/>
      <c r="E3017" s="2018"/>
      <c r="F3017" s="2018"/>
      <c r="G3017" s="2018"/>
      <c r="H3017" s="2018"/>
      <c r="I3017" s="2018"/>
      <c r="J3017" s="2018"/>
      <c r="K3017" s="2018"/>
      <c r="L3017" s="2018"/>
      <c r="M3017" s="2018"/>
      <c r="N3017" s="2018"/>
      <c r="O3017" s="2018"/>
      <c r="P3017" s="2018"/>
      <c r="Q3017" s="2018"/>
      <c r="R3017" s="2018"/>
      <c r="S3017" s="2018"/>
      <c r="T3017" s="2018"/>
      <c r="U3017" s="2018"/>
      <c r="V3017" s="2018"/>
      <c r="W3017" s="2018"/>
      <c r="X3017" s="2018"/>
      <c r="Y3017" s="2018"/>
      <c r="Z3017" s="2023"/>
      <c r="AA3017" s="2023"/>
      <c r="AB3017" s="1050"/>
      <c r="AC3017" s="1050"/>
      <c r="AD3017" s="1050"/>
      <c r="AE3017" s="1050"/>
      <c r="AF3017" s="1052"/>
    </row>
    <row r="3018" spans="1:32" ht="15.75" x14ac:dyDescent="0.25">
      <c r="A3018" s="2017"/>
      <c r="B3018" s="2018"/>
      <c r="C3018" s="2018"/>
      <c r="D3018" s="2018"/>
      <c r="E3018" s="2018"/>
      <c r="F3018" s="2018"/>
      <c r="G3018" s="2018"/>
      <c r="H3018" s="2018"/>
      <c r="I3018" s="2018"/>
      <c r="J3018" s="2018"/>
      <c r="K3018" s="2018"/>
      <c r="L3018" s="2018"/>
      <c r="M3018" s="2018"/>
      <c r="N3018" s="2018"/>
      <c r="O3018" s="2018"/>
      <c r="P3018" s="2018"/>
      <c r="Q3018" s="2018"/>
      <c r="R3018" s="2018"/>
      <c r="S3018" s="2018"/>
      <c r="T3018" s="2018"/>
      <c r="U3018" s="2018"/>
      <c r="V3018" s="2018"/>
      <c r="W3018" s="2018"/>
      <c r="X3018" s="2018"/>
      <c r="Y3018" s="2018"/>
      <c r="Z3018" s="2023"/>
      <c r="AA3018" s="2023"/>
      <c r="AB3018" s="1050"/>
      <c r="AC3018" s="1050"/>
      <c r="AD3018" s="1050"/>
      <c r="AE3018" s="1050"/>
      <c r="AF3018" s="1052"/>
    </row>
    <row r="3019" spans="1:32" ht="15.75" x14ac:dyDescent="0.25">
      <c r="A3019" s="2017"/>
      <c r="B3019" s="2018"/>
      <c r="C3019" s="2018"/>
      <c r="D3019" s="2018"/>
      <c r="E3019" s="2018"/>
      <c r="F3019" s="2018"/>
      <c r="G3019" s="2018"/>
      <c r="H3019" s="2018"/>
      <c r="I3019" s="2018"/>
      <c r="J3019" s="2018"/>
      <c r="K3019" s="2018"/>
      <c r="L3019" s="2018"/>
      <c r="M3019" s="2018"/>
      <c r="N3019" s="2018"/>
      <c r="O3019" s="2018"/>
      <c r="P3019" s="2018"/>
      <c r="Q3019" s="2018"/>
      <c r="R3019" s="2018"/>
      <c r="S3019" s="2018"/>
      <c r="T3019" s="2018"/>
      <c r="U3019" s="2018"/>
      <c r="V3019" s="2018"/>
      <c r="W3019" s="2018"/>
      <c r="X3019" s="2018"/>
      <c r="Y3019" s="2018"/>
      <c r="Z3019" s="2023"/>
      <c r="AA3019" s="2023"/>
      <c r="AB3019" s="1050"/>
      <c r="AC3019" s="1050"/>
      <c r="AD3019" s="1050"/>
      <c r="AE3019" s="1050"/>
      <c r="AF3019" s="1052"/>
    </row>
    <row r="3020" spans="1:32" ht="16.5" thickBot="1" x14ac:dyDescent="0.3">
      <c r="A3020" s="2019"/>
      <c r="B3020" s="2020"/>
      <c r="C3020" s="2020"/>
      <c r="D3020" s="2020"/>
      <c r="E3020" s="2020"/>
      <c r="F3020" s="2020"/>
      <c r="G3020" s="2020"/>
      <c r="H3020" s="2020"/>
      <c r="I3020" s="2020"/>
      <c r="J3020" s="2020"/>
      <c r="K3020" s="2020"/>
      <c r="L3020" s="2020"/>
      <c r="M3020" s="2020"/>
      <c r="N3020" s="2020"/>
      <c r="O3020" s="2020"/>
      <c r="P3020" s="2020"/>
      <c r="Q3020" s="2020"/>
      <c r="R3020" s="2020"/>
      <c r="S3020" s="2020"/>
      <c r="T3020" s="2020"/>
      <c r="U3020" s="2020"/>
      <c r="V3020" s="2020"/>
      <c r="W3020" s="2020"/>
      <c r="X3020" s="2020"/>
      <c r="Y3020" s="2020"/>
      <c r="Z3020" s="2024"/>
      <c r="AA3020" s="2024"/>
      <c r="AB3020" s="1057"/>
      <c r="AC3020" s="1057"/>
      <c r="AD3020" s="1057"/>
      <c r="AE3020" s="1057"/>
      <c r="AF3020" s="1058"/>
    </row>
    <row r="3021" spans="1:32" ht="15.75" x14ac:dyDescent="0.25">
      <c r="A3021" s="2009" t="s">
        <v>2463</v>
      </c>
      <c r="B3021" s="2010"/>
      <c r="C3021" s="2010"/>
      <c r="D3021" s="2010"/>
      <c r="E3021" s="2010"/>
      <c r="F3021" s="2010"/>
      <c r="G3021" s="2010"/>
      <c r="H3021" s="2010"/>
      <c r="I3021" s="2010"/>
      <c r="J3021" s="2010"/>
      <c r="K3021" s="2010"/>
      <c r="L3021" s="2010"/>
      <c r="M3021" s="2010"/>
      <c r="N3021" s="2010"/>
      <c r="O3021" s="2010"/>
      <c r="P3021" s="2010"/>
      <c r="Q3021" s="2010"/>
      <c r="R3021" s="2010"/>
      <c r="S3021" s="2010"/>
      <c r="T3021" s="2010"/>
      <c r="U3021" s="2010"/>
      <c r="V3021" s="2010"/>
      <c r="W3021" s="2010"/>
      <c r="X3021" s="2010"/>
      <c r="Y3021" s="2010"/>
      <c r="Z3021" s="2013" t="s">
        <v>1850</v>
      </c>
      <c r="AA3021" s="2013"/>
      <c r="AB3021" s="2013"/>
      <c r="AC3021" s="2013"/>
      <c r="AD3021" s="2013"/>
      <c r="AE3021" s="2013"/>
      <c r="AF3021" s="1059">
        <f>SUM(AF2997:AF3020)</f>
        <v>36.36</v>
      </c>
    </row>
    <row r="3022" spans="1:32" ht="15.75" x14ac:dyDescent="0.25">
      <c r="A3022" s="2011"/>
      <c r="B3022" s="2012"/>
      <c r="C3022" s="2012"/>
      <c r="D3022" s="2012"/>
      <c r="E3022" s="2012"/>
      <c r="F3022" s="2012"/>
      <c r="G3022" s="2012"/>
      <c r="H3022" s="2012"/>
      <c r="I3022" s="2012"/>
      <c r="J3022" s="2012"/>
      <c r="K3022" s="2012"/>
      <c r="L3022" s="2012"/>
      <c r="M3022" s="2012"/>
      <c r="N3022" s="2012"/>
      <c r="O3022" s="2012"/>
      <c r="P3022" s="2012"/>
      <c r="Q3022" s="2012"/>
      <c r="R3022" s="2012"/>
      <c r="S3022" s="2012"/>
      <c r="T3022" s="2012"/>
      <c r="U3022" s="2012"/>
      <c r="V3022" s="2012"/>
      <c r="W3022" s="2012"/>
      <c r="X3022" s="2012"/>
      <c r="Y3022" s="2012"/>
      <c r="Z3022" s="2014" t="s">
        <v>1851</v>
      </c>
      <c r="AA3022" s="2014"/>
      <c r="AB3022" s="2014"/>
      <c r="AC3022" s="2014"/>
      <c r="AD3022" s="2014"/>
      <c r="AE3022" s="2014"/>
      <c r="AF3022" s="1060">
        <v>0</v>
      </c>
    </row>
    <row r="3023" spans="1:32" ht="15.75" x14ac:dyDescent="0.25">
      <c r="A3023" s="2011"/>
      <c r="B3023" s="2012"/>
      <c r="C3023" s="2012"/>
      <c r="D3023" s="2012"/>
      <c r="E3023" s="2012"/>
      <c r="F3023" s="2012"/>
      <c r="G3023" s="2012"/>
      <c r="H3023" s="2012"/>
      <c r="I3023" s="2012"/>
      <c r="J3023" s="2012"/>
      <c r="K3023" s="2012"/>
      <c r="L3023" s="2012"/>
      <c r="M3023" s="2012"/>
      <c r="N3023" s="2012"/>
      <c r="O3023" s="2012"/>
      <c r="P3023" s="2012"/>
      <c r="Q3023" s="2012"/>
      <c r="R3023" s="2012"/>
      <c r="S3023" s="2012"/>
      <c r="T3023" s="2012"/>
      <c r="U3023" s="2012"/>
      <c r="V3023" s="2012"/>
      <c r="W3023" s="2012"/>
      <c r="X3023" s="2012"/>
      <c r="Y3023" s="2012"/>
      <c r="Z3023" s="2015" t="s">
        <v>1833</v>
      </c>
      <c r="AA3023" s="2015"/>
      <c r="AB3023" s="2015"/>
      <c r="AC3023" s="2015"/>
      <c r="AD3023" s="2015"/>
      <c r="AE3023" s="2015"/>
      <c r="AF3023" s="1061">
        <f>SUM(AF3021:AF3022)</f>
        <v>36.36</v>
      </c>
    </row>
    <row r="3024" spans="1:32" x14ac:dyDescent="0.2">
      <c r="A3024" s="2012" t="s">
        <v>1859</v>
      </c>
      <c r="B3024" s="2012"/>
      <c r="C3024" s="2012"/>
      <c r="D3024" s="2012"/>
      <c r="E3024" s="2012"/>
      <c r="F3024" s="2012"/>
      <c r="G3024" s="2012"/>
      <c r="H3024" s="2012"/>
      <c r="I3024" s="2012"/>
      <c r="J3024" s="2012"/>
      <c r="K3024" s="2012"/>
      <c r="L3024" s="2012"/>
      <c r="M3024" s="2012"/>
      <c r="N3024" s="2012"/>
      <c r="O3024" s="2012"/>
      <c r="P3024" s="2012"/>
      <c r="Q3024" s="2012"/>
      <c r="R3024" s="2012"/>
      <c r="S3024" s="2012"/>
      <c r="T3024" s="2016" t="s">
        <v>1840</v>
      </c>
      <c r="U3024" s="2016"/>
      <c r="V3024" s="2016"/>
      <c r="W3024" s="2016"/>
      <c r="X3024" s="2016"/>
      <c r="Y3024" s="2016"/>
      <c r="Z3024" s="2016"/>
      <c r="AA3024" s="2016"/>
      <c r="AB3024" s="2012" t="s">
        <v>1852</v>
      </c>
      <c r="AC3024" s="2012"/>
      <c r="AD3024" s="2012"/>
      <c r="AE3024" s="2012"/>
      <c r="AF3024" s="2012"/>
    </row>
    <row r="3025" spans="1:32" x14ac:dyDescent="0.2">
      <c r="A3025" s="2012"/>
      <c r="B3025" s="2012"/>
      <c r="C3025" s="2012"/>
      <c r="D3025" s="2012"/>
      <c r="E3025" s="2012"/>
      <c r="F3025" s="2012"/>
      <c r="G3025" s="2012"/>
      <c r="H3025" s="2012"/>
      <c r="I3025" s="2012"/>
      <c r="J3025" s="2012"/>
      <c r="K3025" s="2012"/>
      <c r="L3025" s="2012"/>
      <c r="M3025" s="2012"/>
      <c r="N3025" s="2012"/>
      <c r="O3025" s="2012"/>
      <c r="P3025" s="2012"/>
      <c r="Q3025" s="2012"/>
      <c r="R3025" s="2012"/>
      <c r="S3025" s="2012"/>
      <c r="T3025" s="2016"/>
      <c r="U3025" s="2016"/>
      <c r="V3025" s="2016"/>
      <c r="W3025" s="2016"/>
      <c r="X3025" s="2016"/>
      <c r="Y3025" s="2016"/>
      <c r="Z3025" s="2016"/>
      <c r="AA3025" s="2016"/>
      <c r="AB3025" s="2012"/>
      <c r="AC3025" s="2012"/>
      <c r="AD3025" s="2012"/>
      <c r="AE3025" s="2012"/>
      <c r="AF3025" s="2012"/>
    </row>
    <row r="3026" spans="1:32" ht="13.5" thickBot="1" x14ac:dyDescent="0.25"/>
    <row r="3027" spans="1:32" ht="26.45" customHeight="1" x14ac:dyDescent="0.2">
      <c r="A3027" s="2025" t="s">
        <v>1854</v>
      </c>
      <c r="B3027" s="2026"/>
      <c r="C3027" s="2026"/>
      <c r="D3027" s="2026"/>
      <c r="E3027" s="2026"/>
      <c r="F3027" s="2026"/>
      <c r="G3027" s="2026"/>
      <c r="H3027" s="2026"/>
      <c r="I3027" s="2026"/>
      <c r="J3027" s="2026"/>
      <c r="K3027" s="2026"/>
      <c r="L3027" s="2026"/>
      <c r="M3027" s="2026"/>
      <c r="N3027" s="2026"/>
      <c r="O3027" s="2026"/>
      <c r="P3027" s="2026"/>
      <c r="Q3027" s="2026"/>
      <c r="R3027" s="2026"/>
      <c r="S3027" s="2026"/>
      <c r="T3027" s="2026"/>
      <c r="U3027" s="2026"/>
      <c r="V3027" s="2026"/>
      <c r="W3027" s="2026"/>
      <c r="X3027" s="2026"/>
      <c r="Y3027" s="2026"/>
      <c r="Z3027" s="2026"/>
      <c r="AA3027" s="2026"/>
      <c r="AB3027" s="2026"/>
      <c r="AC3027" s="2026"/>
      <c r="AD3027" s="2026"/>
      <c r="AE3027" s="1041" t="s">
        <v>1834</v>
      </c>
      <c r="AF3027" s="1042" t="s">
        <v>1835</v>
      </c>
    </row>
    <row r="3028" spans="1:32" ht="21" customHeight="1" thickBot="1" x14ac:dyDescent="0.25">
      <c r="A3028" s="2027"/>
      <c r="B3028" s="2028"/>
      <c r="C3028" s="2028"/>
      <c r="D3028" s="2028"/>
      <c r="E3028" s="2028"/>
      <c r="F3028" s="2028"/>
      <c r="G3028" s="2028"/>
      <c r="H3028" s="2028"/>
      <c r="I3028" s="2028"/>
      <c r="J3028" s="2028"/>
      <c r="K3028" s="2028"/>
      <c r="L3028" s="2028"/>
      <c r="M3028" s="2028"/>
      <c r="N3028" s="2028"/>
      <c r="O3028" s="2028"/>
      <c r="P3028" s="2028"/>
      <c r="Q3028" s="2028"/>
      <c r="R3028" s="2028"/>
      <c r="S3028" s="2028"/>
      <c r="T3028" s="2028"/>
      <c r="U3028" s="2028"/>
      <c r="V3028" s="2028"/>
      <c r="W3028" s="2028"/>
      <c r="X3028" s="2028"/>
      <c r="Y3028" s="2028"/>
      <c r="Z3028" s="2028"/>
      <c r="AA3028" s="2028"/>
      <c r="AB3028" s="2028"/>
      <c r="AC3028" s="2028"/>
      <c r="AD3028" s="2028"/>
      <c r="AE3028" s="1041" t="s">
        <v>1836</v>
      </c>
      <c r="AF3028" s="1044">
        <v>1</v>
      </c>
    </row>
    <row r="3029" spans="1:32" ht="15.75" x14ac:dyDescent="0.2">
      <c r="A3029" s="2029"/>
      <c r="B3029" s="2030"/>
      <c r="C3029" s="2030"/>
      <c r="D3029" s="2031"/>
      <c r="E3029" s="2025" t="str">
        <f>'01'!$A$12</f>
        <v>"CONSTRUCCION SISTEMA DE ACUEDUCTO FASE II DEL MUNICIPIO DE TESALIA DPTO DEL HUILA"</v>
      </c>
      <c r="F3029" s="2026"/>
      <c r="G3029" s="2026"/>
      <c r="H3029" s="2026"/>
      <c r="I3029" s="2026"/>
      <c r="J3029" s="2026"/>
      <c r="K3029" s="2026"/>
      <c r="L3029" s="2026"/>
      <c r="M3029" s="2026"/>
      <c r="N3029" s="2026"/>
      <c r="O3029" s="2026"/>
      <c r="P3029" s="2026"/>
      <c r="Q3029" s="2026"/>
      <c r="R3029" s="2026"/>
      <c r="S3029" s="2026"/>
      <c r="T3029" s="2026"/>
      <c r="U3029" s="2026"/>
      <c r="V3029" s="2026"/>
      <c r="W3029" s="2026"/>
      <c r="X3029" s="2026"/>
      <c r="Y3029" s="2026"/>
      <c r="Z3029" s="2026"/>
      <c r="AA3029" s="2026"/>
      <c r="AB3029" s="2026"/>
      <c r="AC3029" s="2026"/>
      <c r="AD3029" s="2035"/>
      <c r="AE3029" s="1041" t="s">
        <v>847</v>
      </c>
      <c r="AF3029" s="1045">
        <f>'01'!$M$13</f>
        <v>0</v>
      </c>
    </row>
    <row r="3030" spans="1:32" ht="16.5" thickBot="1" x14ac:dyDescent="0.25">
      <c r="A3030" s="2032"/>
      <c r="B3030" s="2033"/>
      <c r="C3030" s="2033"/>
      <c r="D3030" s="2034"/>
      <c r="E3030" s="2027"/>
      <c r="F3030" s="2028"/>
      <c r="G3030" s="2028"/>
      <c r="H3030" s="2028"/>
      <c r="I3030" s="2028"/>
      <c r="J3030" s="2028"/>
      <c r="K3030" s="2028"/>
      <c r="L3030" s="2028"/>
      <c r="M3030" s="2028"/>
      <c r="N3030" s="2028"/>
      <c r="O3030" s="2028"/>
      <c r="P3030" s="2028"/>
      <c r="Q3030" s="2028"/>
      <c r="R3030" s="2028"/>
      <c r="S3030" s="2028"/>
      <c r="T3030" s="2028"/>
      <c r="U3030" s="2028"/>
      <c r="V3030" s="2028"/>
      <c r="W3030" s="2028"/>
      <c r="X3030" s="2028"/>
      <c r="Y3030" s="2028"/>
      <c r="Z3030" s="2028"/>
      <c r="AA3030" s="2028"/>
      <c r="AB3030" s="2028"/>
      <c r="AC3030" s="2028"/>
      <c r="AD3030" s="2036"/>
      <c r="AE3030" s="1041" t="s">
        <v>1837</v>
      </c>
      <c r="AF3030" s="1042" t="s">
        <v>1838</v>
      </c>
    </row>
    <row r="3031" spans="1:32" ht="15.75" x14ac:dyDescent="0.25">
      <c r="A3031" s="2037" t="s">
        <v>1860</v>
      </c>
      <c r="B3031" s="2038"/>
      <c r="C3031" s="2038"/>
      <c r="D3031" s="2038"/>
      <c r="E3031" s="2038"/>
      <c r="F3031" s="2038"/>
      <c r="G3031" s="2038"/>
      <c r="H3031" s="2038"/>
      <c r="I3031" s="2038"/>
      <c r="J3031" s="2038"/>
      <c r="K3031" s="2038"/>
      <c r="L3031" s="2038"/>
      <c r="M3031" s="2038"/>
      <c r="N3031" s="2038"/>
      <c r="O3031" s="2038"/>
      <c r="P3031" s="2038"/>
      <c r="Q3031" s="2038"/>
      <c r="R3031" s="2038"/>
      <c r="S3031" s="2038"/>
      <c r="T3031" s="2038"/>
      <c r="U3031" s="2038"/>
      <c r="V3031" s="2038"/>
      <c r="W3031" s="2038"/>
      <c r="X3031" s="2038"/>
      <c r="Y3031" s="2038"/>
      <c r="Z3031" s="2038"/>
      <c r="AA3031" s="2038"/>
      <c r="AB3031" s="2038"/>
      <c r="AC3031" s="2038"/>
      <c r="AD3031" s="2038"/>
      <c r="AE3031" s="2039" t="s">
        <v>1839</v>
      </c>
      <c r="AF3031" s="2040"/>
    </row>
    <row r="3032" spans="1:32" ht="15.75" x14ac:dyDescent="0.25">
      <c r="A3032" s="2041" t="s">
        <v>1840</v>
      </c>
      <c r="B3032" s="2042"/>
      <c r="C3032" s="2042"/>
      <c r="D3032" s="2042"/>
      <c r="E3032" s="2042"/>
      <c r="F3032" s="2042"/>
      <c r="G3032" s="2042"/>
      <c r="H3032" s="2042"/>
      <c r="I3032" s="2042"/>
      <c r="J3032" s="2042"/>
      <c r="K3032" s="2042"/>
      <c r="L3032" s="2042"/>
      <c r="M3032" s="2042"/>
      <c r="N3032" s="2042"/>
      <c r="O3032" s="2042"/>
      <c r="P3032" s="2042"/>
      <c r="Q3032" s="2042"/>
      <c r="R3032" s="2042"/>
      <c r="S3032" s="2042"/>
      <c r="T3032" s="2042"/>
      <c r="U3032" s="2042"/>
      <c r="V3032" s="2042"/>
      <c r="W3032" s="2042"/>
      <c r="X3032" s="2042"/>
      <c r="Y3032" s="2042"/>
      <c r="Z3032" s="2042"/>
      <c r="AA3032" s="2042"/>
      <c r="AB3032" s="2042"/>
      <c r="AC3032" s="2042"/>
      <c r="AD3032" s="2043"/>
      <c r="AE3032" s="2014" t="s">
        <v>1841</v>
      </c>
      <c r="AF3032" s="2044"/>
    </row>
    <row r="3033" spans="1:32" ht="15.75" x14ac:dyDescent="0.25">
      <c r="A3033" s="2045" t="s">
        <v>1853</v>
      </c>
      <c r="B3033" s="2046"/>
      <c r="C3033" s="2046"/>
      <c r="D3033" s="2046"/>
      <c r="E3033" s="2046"/>
      <c r="F3033" s="2046"/>
      <c r="G3033" s="2046"/>
      <c r="H3033" s="2046"/>
      <c r="I3033" s="2046"/>
      <c r="J3033" s="2046"/>
      <c r="K3033" s="2046"/>
      <c r="L3033" s="2046"/>
      <c r="M3033" s="2046"/>
      <c r="N3033" s="2046"/>
      <c r="O3033" s="2046"/>
      <c r="P3033" s="2046"/>
      <c r="Q3033" s="2046"/>
      <c r="R3033" s="2046"/>
      <c r="S3033" s="2046"/>
      <c r="T3033" s="2046"/>
      <c r="U3033" s="2046"/>
      <c r="V3033" s="2046"/>
      <c r="W3033" s="2046"/>
      <c r="X3033" s="2046"/>
      <c r="Y3033" s="2046"/>
      <c r="Z3033" s="2046"/>
      <c r="AA3033" s="2046"/>
      <c r="AB3033" s="2046"/>
      <c r="AC3033" s="2046"/>
      <c r="AD3033" s="2046"/>
      <c r="AE3033" s="2047">
        <f>'01'!$M$13</f>
        <v>0</v>
      </c>
      <c r="AF3033" s="2044"/>
    </row>
    <row r="3034" spans="1:32" x14ac:dyDescent="0.2">
      <c r="A3034" s="1046"/>
      <c r="B3034" s="1047"/>
      <c r="C3034" s="1047"/>
      <c r="D3034" s="1047"/>
      <c r="E3034" s="1047"/>
      <c r="F3034" s="1047"/>
      <c r="G3034" s="1047"/>
      <c r="H3034" s="1047"/>
      <c r="I3034" s="1047"/>
      <c r="J3034" s="1047"/>
      <c r="K3034" s="1047"/>
      <c r="L3034" s="1047"/>
      <c r="M3034" s="1047"/>
      <c r="N3034" s="1047"/>
      <c r="O3034" s="1047"/>
      <c r="P3034" s="1047"/>
      <c r="Q3034" s="1047"/>
      <c r="R3034" s="1047"/>
      <c r="S3034" s="1047"/>
      <c r="T3034" s="1047"/>
      <c r="U3034" s="1047"/>
      <c r="V3034" s="1047"/>
      <c r="W3034" s="1047"/>
      <c r="X3034" s="1047"/>
      <c r="Y3034" s="1047"/>
      <c r="Z3034" s="1047"/>
      <c r="AA3034" s="1047"/>
      <c r="AB3034" s="1047"/>
      <c r="AC3034" s="1047"/>
      <c r="AD3034" s="1047"/>
      <c r="AE3034" s="1047"/>
      <c r="AF3034" s="1048"/>
    </row>
    <row r="3035" spans="1:32" ht="30" customHeight="1" x14ac:dyDescent="0.2">
      <c r="A3035" s="2048" t="s">
        <v>1842</v>
      </c>
      <c r="B3035" s="2049"/>
      <c r="C3035" s="2049"/>
      <c r="D3035" s="2049"/>
      <c r="E3035" s="2049"/>
      <c r="F3035" s="2050" t="str">
        <f>+'01'!$H$130</f>
        <v>E - ESPESADOR GRAVIMÉTRICO</v>
      </c>
      <c r="G3035" s="2049"/>
      <c r="H3035" s="2049"/>
      <c r="I3035" s="2049"/>
      <c r="J3035" s="2049"/>
      <c r="K3035" s="2049"/>
      <c r="L3035" s="2049"/>
      <c r="M3035" s="2049"/>
      <c r="N3035" s="2049"/>
      <c r="O3035" s="2049"/>
      <c r="P3035" s="2049"/>
      <c r="Q3035" s="2049"/>
      <c r="R3035" s="2049"/>
      <c r="S3035" s="2049"/>
      <c r="T3035" s="2049"/>
      <c r="U3035" s="2049"/>
      <c r="V3035" s="2049"/>
      <c r="W3035" s="2049"/>
      <c r="X3035" s="2049"/>
      <c r="Y3035" s="2051"/>
      <c r="Z3035" s="2052" t="s">
        <v>1843</v>
      </c>
      <c r="AA3035" s="2053"/>
      <c r="AB3035" s="2058" t="s">
        <v>1844</v>
      </c>
      <c r="AC3035" s="2059"/>
      <c r="AD3035" s="2060"/>
      <c r="AE3035" s="2064" t="s">
        <v>1845</v>
      </c>
      <c r="AF3035" s="2067" t="s">
        <v>1846</v>
      </c>
    </row>
    <row r="3036" spans="1:32" ht="15" customHeight="1" x14ac:dyDescent="0.2">
      <c r="A3036" s="2070" t="str">
        <f>+'01'!A135</f>
        <v>E-02-01</v>
      </c>
      <c r="B3036" s="2071"/>
      <c r="C3036" s="2072"/>
      <c r="D3036" s="2076" t="str">
        <f>VLOOKUP(A3036,'01'!$A$12:$N$299,3,FALSE)</f>
        <v>EXCAVACIÓN MANUAL EN TIERRA</v>
      </c>
      <c r="E3036" s="2077"/>
      <c r="F3036" s="2077"/>
      <c r="G3036" s="2077"/>
      <c r="H3036" s="2077"/>
      <c r="I3036" s="2077"/>
      <c r="J3036" s="2077"/>
      <c r="K3036" s="2077"/>
      <c r="L3036" s="2077"/>
      <c r="M3036" s="2077"/>
      <c r="N3036" s="2077"/>
      <c r="O3036" s="2077"/>
      <c r="P3036" s="2077"/>
      <c r="Q3036" s="2077"/>
      <c r="R3036" s="2077"/>
      <c r="S3036" s="2078"/>
      <c r="T3036" s="2082" t="s">
        <v>124</v>
      </c>
      <c r="U3036" s="2083"/>
      <c r="V3036" s="2083"/>
      <c r="W3036" s="2083"/>
      <c r="X3036" s="2052" t="str">
        <f>VLOOKUP(A3036,'01'!$A$12:$N$299,9,FALSE)</f>
        <v>M3</v>
      </c>
      <c r="Y3036" s="2053"/>
      <c r="Z3036" s="2054"/>
      <c r="AA3036" s="2055"/>
      <c r="AB3036" s="2061"/>
      <c r="AC3036" s="2062"/>
      <c r="AD3036" s="2063"/>
      <c r="AE3036" s="2065"/>
      <c r="AF3036" s="2068"/>
    </row>
    <row r="3037" spans="1:32" ht="15" customHeight="1" x14ac:dyDescent="0.25">
      <c r="A3037" s="2073"/>
      <c r="B3037" s="2074"/>
      <c r="C3037" s="2075"/>
      <c r="D3037" s="2079"/>
      <c r="E3037" s="2080"/>
      <c r="F3037" s="2080"/>
      <c r="G3037" s="2080"/>
      <c r="H3037" s="2080"/>
      <c r="I3037" s="2080"/>
      <c r="J3037" s="2080"/>
      <c r="K3037" s="2080"/>
      <c r="L3037" s="2080"/>
      <c r="M3037" s="2080"/>
      <c r="N3037" s="2080"/>
      <c r="O3037" s="2080"/>
      <c r="P3037" s="2080"/>
      <c r="Q3037" s="2080"/>
      <c r="R3037" s="2080"/>
      <c r="S3037" s="2081"/>
      <c r="T3037" s="2084"/>
      <c r="U3037" s="2085"/>
      <c r="V3037" s="2085"/>
      <c r="W3037" s="2085"/>
      <c r="X3037" s="2056"/>
      <c r="Y3037" s="2057"/>
      <c r="Z3037" s="2056"/>
      <c r="AA3037" s="2057"/>
      <c r="AB3037" s="1049" t="s">
        <v>1847</v>
      </c>
      <c r="AC3037" s="1049" t="s">
        <v>1848</v>
      </c>
      <c r="AD3037" s="1049" t="s">
        <v>1861</v>
      </c>
      <c r="AE3037" s="2066"/>
      <c r="AF3037" s="2069"/>
    </row>
    <row r="3038" spans="1:32" ht="15.6" customHeight="1" x14ac:dyDescent="0.25">
      <c r="A3038" s="2017"/>
      <c r="B3038" s="2018"/>
      <c r="C3038" s="2018"/>
      <c r="D3038" s="2018"/>
      <c r="E3038" s="2018"/>
      <c r="F3038" s="2018"/>
      <c r="G3038" s="2018"/>
      <c r="H3038" s="2018"/>
      <c r="I3038" s="2018"/>
      <c r="J3038" s="2018"/>
      <c r="K3038" s="2018"/>
      <c r="L3038" s="2018"/>
      <c r="M3038" s="2018"/>
      <c r="N3038" s="2018"/>
      <c r="O3038" s="2018"/>
      <c r="P3038" s="2018"/>
      <c r="Q3038" s="2018"/>
      <c r="R3038" s="2018"/>
      <c r="S3038" s="2018"/>
      <c r="T3038" s="2018"/>
      <c r="U3038" s="2018"/>
      <c r="V3038" s="2018"/>
      <c r="W3038" s="2018"/>
      <c r="X3038" s="2018"/>
      <c r="Y3038" s="2018"/>
      <c r="Z3038" s="2021" t="s">
        <v>2459</v>
      </c>
      <c r="AA3038" s="2021"/>
      <c r="AB3038" s="1050">
        <f>+AB2997</f>
        <v>5.4</v>
      </c>
      <c r="AC3038" s="1050">
        <f>+AC2997</f>
        <v>5.4</v>
      </c>
      <c r="AD3038" s="1050">
        <v>3.5</v>
      </c>
      <c r="AE3038" s="1050">
        <v>1</v>
      </c>
      <c r="AF3038" s="1052">
        <f>+ROUND(AB3038*AC3038*AD3038*AE3038,2)</f>
        <v>102.06</v>
      </c>
    </row>
    <row r="3039" spans="1:32" ht="15.6" customHeight="1" x14ac:dyDescent="0.25">
      <c r="A3039" s="2017"/>
      <c r="B3039" s="2018"/>
      <c r="C3039" s="2018"/>
      <c r="D3039" s="2018"/>
      <c r="E3039" s="2018"/>
      <c r="F3039" s="2018"/>
      <c r="G3039" s="2018"/>
      <c r="H3039" s="2018"/>
      <c r="I3039" s="2018"/>
      <c r="J3039" s="2018"/>
      <c r="K3039" s="2018"/>
      <c r="L3039" s="2018"/>
      <c r="M3039" s="2018"/>
      <c r="N3039" s="2018"/>
      <c r="O3039" s="2018"/>
      <c r="P3039" s="2018"/>
      <c r="Q3039" s="2018"/>
      <c r="R3039" s="2018"/>
      <c r="S3039" s="2018"/>
      <c r="T3039" s="2018"/>
      <c r="U3039" s="2018"/>
      <c r="V3039" s="2018"/>
      <c r="W3039" s="2018"/>
      <c r="X3039" s="2018"/>
      <c r="Y3039" s="2018"/>
      <c r="Z3039" s="2021" t="s">
        <v>2460</v>
      </c>
      <c r="AA3039" s="2021"/>
      <c r="AB3039" s="1050">
        <f t="shared" ref="AB3039:AC3040" si="42">+AB2998</f>
        <v>1.8</v>
      </c>
      <c r="AC3039" s="1050">
        <f t="shared" si="42"/>
        <v>2</v>
      </c>
      <c r="AD3039" s="1050">
        <v>1.5</v>
      </c>
      <c r="AE3039" s="1050">
        <v>1</v>
      </c>
      <c r="AF3039" s="1052">
        <f t="shared" ref="AF3039:AF3041" si="43">+ROUND(AB3039*AC3039*AD3039*AE3039,2)</f>
        <v>5.4</v>
      </c>
    </row>
    <row r="3040" spans="1:32" ht="15.75" x14ac:dyDescent="0.25">
      <c r="A3040" s="2017"/>
      <c r="B3040" s="2018"/>
      <c r="C3040" s="2018"/>
      <c r="D3040" s="2018"/>
      <c r="E3040" s="2018"/>
      <c r="F3040" s="2018"/>
      <c r="G3040" s="2018"/>
      <c r="H3040" s="2018"/>
      <c r="I3040" s="2018"/>
      <c r="J3040" s="2018"/>
      <c r="K3040" s="2018"/>
      <c r="L3040" s="2018"/>
      <c r="M3040" s="2018"/>
      <c r="N3040" s="2018"/>
      <c r="O3040" s="2018"/>
      <c r="P3040" s="2018"/>
      <c r="Q3040" s="2018"/>
      <c r="R3040" s="2018"/>
      <c r="S3040" s="2018"/>
      <c r="T3040" s="2018"/>
      <c r="U3040" s="2018"/>
      <c r="V3040" s="2018"/>
      <c r="W3040" s="2018"/>
      <c r="X3040" s="2018"/>
      <c r="Y3040" s="2018"/>
      <c r="Z3040" s="2021" t="s">
        <v>2461</v>
      </c>
      <c r="AA3040" s="2021"/>
      <c r="AB3040" s="1050">
        <f t="shared" si="42"/>
        <v>1.8</v>
      </c>
      <c r="AC3040" s="1050">
        <f t="shared" si="42"/>
        <v>2</v>
      </c>
      <c r="AD3040" s="1050">
        <v>3</v>
      </c>
      <c r="AE3040" s="1050">
        <v>1</v>
      </c>
      <c r="AF3040" s="1052">
        <f t="shared" si="43"/>
        <v>10.8</v>
      </c>
    </row>
    <row r="3041" spans="1:32" ht="15.75" x14ac:dyDescent="0.25">
      <c r="A3041" s="2017"/>
      <c r="B3041" s="2018"/>
      <c r="C3041" s="2018"/>
      <c r="D3041" s="2018"/>
      <c r="E3041" s="2018"/>
      <c r="F3041" s="2018"/>
      <c r="G3041" s="2018"/>
      <c r="H3041" s="2018"/>
      <c r="I3041" s="2018"/>
      <c r="J3041" s="2018"/>
      <c r="K3041" s="2018"/>
      <c r="L3041" s="2018"/>
      <c r="M3041" s="2018"/>
      <c r="N3041" s="2018"/>
      <c r="O3041" s="2018"/>
      <c r="P3041" s="2018"/>
      <c r="Q3041" s="2018"/>
      <c r="R3041" s="2018"/>
      <c r="S3041" s="2018"/>
      <c r="T3041" s="2018"/>
      <c r="U3041" s="2018"/>
      <c r="V3041" s="2018"/>
      <c r="W3041" s="2018"/>
      <c r="X3041" s="2018"/>
      <c r="Y3041" s="2018"/>
      <c r="Z3041" s="2021" t="s">
        <v>2450</v>
      </c>
      <c r="AA3041" s="2021"/>
      <c r="AB3041" s="1050">
        <v>8</v>
      </c>
      <c r="AC3041" s="1050">
        <v>1</v>
      </c>
      <c r="AD3041" s="1050">
        <v>1</v>
      </c>
      <c r="AE3041" s="1050">
        <v>1</v>
      </c>
      <c r="AF3041" s="1052">
        <f t="shared" si="43"/>
        <v>8</v>
      </c>
    </row>
    <row r="3042" spans="1:32" ht="15.75" x14ac:dyDescent="0.25">
      <c r="A3042" s="2017"/>
      <c r="B3042" s="2018"/>
      <c r="C3042" s="2018"/>
      <c r="D3042" s="2018"/>
      <c r="E3042" s="2018"/>
      <c r="F3042" s="2018"/>
      <c r="G3042" s="2018"/>
      <c r="H3042" s="2018"/>
      <c r="I3042" s="2018"/>
      <c r="J3042" s="2018"/>
      <c r="K3042" s="2018"/>
      <c r="L3042" s="2018"/>
      <c r="M3042" s="2018"/>
      <c r="N3042" s="2018"/>
      <c r="O3042" s="2018"/>
      <c r="P3042" s="2018"/>
      <c r="Q3042" s="2018"/>
      <c r="R3042" s="2018"/>
      <c r="S3042" s="2018"/>
      <c r="T3042" s="2018"/>
      <c r="U3042" s="2018"/>
      <c r="V3042" s="2018"/>
      <c r="W3042" s="2018"/>
      <c r="X3042" s="2018"/>
      <c r="Y3042" s="2018"/>
      <c r="Z3042" s="2021"/>
      <c r="AA3042" s="2021"/>
      <c r="AB3042" s="1050"/>
      <c r="AC3042" s="1050"/>
      <c r="AD3042" s="1050"/>
      <c r="AE3042" s="1050"/>
      <c r="AF3042" s="1052"/>
    </row>
    <row r="3043" spans="1:32" ht="15.75" x14ac:dyDescent="0.25">
      <c r="A3043" s="2017"/>
      <c r="B3043" s="2018"/>
      <c r="C3043" s="2018"/>
      <c r="D3043" s="2018"/>
      <c r="E3043" s="2018"/>
      <c r="F3043" s="2018"/>
      <c r="G3043" s="2018"/>
      <c r="H3043" s="2018"/>
      <c r="I3043" s="2018"/>
      <c r="J3043" s="2018"/>
      <c r="K3043" s="2018"/>
      <c r="L3043" s="2018"/>
      <c r="M3043" s="2018"/>
      <c r="N3043" s="2018"/>
      <c r="O3043" s="2018"/>
      <c r="P3043" s="2018"/>
      <c r="Q3043" s="2018"/>
      <c r="R3043" s="2018"/>
      <c r="S3043" s="2018"/>
      <c r="T3043" s="2018"/>
      <c r="U3043" s="2018"/>
      <c r="V3043" s="2018"/>
      <c r="W3043" s="2018"/>
      <c r="X3043" s="2018"/>
      <c r="Y3043" s="2018"/>
      <c r="Z3043" s="2021"/>
      <c r="AA3043" s="2021"/>
      <c r="AB3043" s="1050"/>
      <c r="AC3043" s="1050"/>
      <c r="AD3043" s="1050"/>
      <c r="AE3043" s="1050"/>
      <c r="AF3043" s="1052"/>
    </row>
    <row r="3044" spans="1:32" ht="15.75" x14ac:dyDescent="0.25">
      <c r="A3044" s="2017"/>
      <c r="B3044" s="2018"/>
      <c r="C3044" s="2018"/>
      <c r="D3044" s="2018"/>
      <c r="E3044" s="2018"/>
      <c r="F3044" s="2018"/>
      <c r="G3044" s="2018"/>
      <c r="H3044" s="2018"/>
      <c r="I3044" s="2018"/>
      <c r="J3044" s="2018"/>
      <c r="K3044" s="2018"/>
      <c r="L3044" s="2018"/>
      <c r="M3044" s="2018"/>
      <c r="N3044" s="2018"/>
      <c r="O3044" s="2018"/>
      <c r="P3044" s="2018"/>
      <c r="Q3044" s="2018"/>
      <c r="R3044" s="2018"/>
      <c r="S3044" s="2018"/>
      <c r="T3044" s="2018"/>
      <c r="U3044" s="2018"/>
      <c r="V3044" s="2018"/>
      <c r="W3044" s="2018"/>
      <c r="X3044" s="2018"/>
      <c r="Y3044" s="2018"/>
      <c r="Z3044" s="2021"/>
      <c r="AA3044" s="2021"/>
      <c r="AB3044" s="1050"/>
      <c r="AC3044" s="1050"/>
      <c r="AD3044" s="1050"/>
      <c r="AE3044" s="1050"/>
      <c r="AF3044" s="1052"/>
    </row>
    <row r="3045" spans="1:32" ht="15.75" x14ac:dyDescent="0.25">
      <c r="A3045" s="2017"/>
      <c r="B3045" s="2018"/>
      <c r="C3045" s="2018"/>
      <c r="D3045" s="2018"/>
      <c r="E3045" s="2018"/>
      <c r="F3045" s="2018"/>
      <c r="G3045" s="2018"/>
      <c r="H3045" s="2018"/>
      <c r="I3045" s="2018"/>
      <c r="J3045" s="2018"/>
      <c r="K3045" s="2018"/>
      <c r="L3045" s="2018"/>
      <c r="M3045" s="2018"/>
      <c r="N3045" s="2018"/>
      <c r="O3045" s="2018"/>
      <c r="P3045" s="2018"/>
      <c r="Q3045" s="2018"/>
      <c r="R3045" s="2018"/>
      <c r="S3045" s="2018"/>
      <c r="T3045" s="2018"/>
      <c r="U3045" s="2018"/>
      <c r="V3045" s="2018"/>
      <c r="W3045" s="2018"/>
      <c r="X3045" s="2018"/>
      <c r="Y3045" s="2018"/>
      <c r="Z3045" s="2021"/>
      <c r="AA3045" s="2021"/>
      <c r="AB3045" s="1050"/>
      <c r="AC3045" s="1050"/>
      <c r="AD3045" s="1050"/>
      <c r="AE3045" s="1050"/>
      <c r="AF3045" s="1052"/>
    </row>
    <row r="3046" spans="1:32" ht="15.75" x14ac:dyDescent="0.25">
      <c r="A3046" s="2017"/>
      <c r="B3046" s="2018"/>
      <c r="C3046" s="2018"/>
      <c r="D3046" s="2018"/>
      <c r="E3046" s="2018"/>
      <c r="F3046" s="2018"/>
      <c r="G3046" s="2018"/>
      <c r="H3046" s="2018"/>
      <c r="I3046" s="2018"/>
      <c r="J3046" s="2018"/>
      <c r="K3046" s="2018"/>
      <c r="L3046" s="2018"/>
      <c r="M3046" s="2018"/>
      <c r="N3046" s="2018"/>
      <c r="O3046" s="2018"/>
      <c r="P3046" s="2018"/>
      <c r="Q3046" s="2018"/>
      <c r="R3046" s="2018"/>
      <c r="S3046" s="2018"/>
      <c r="T3046" s="2018"/>
      <c r="U3046" s="2018"/>
      <c r="V3046" s="2018"/>
      <c r="W3046" s="2018"/>
      <c r="X3046" s="2018"/>
      <c r="Y3046" s="2018"/>
      <c r="Z3046" s="2021"/>
      <c r="AA3046" s="2021"/>
      <c r="AB3046" s="1050"/>
      <c r="AC3046" s="1050"/>
      <c r="AD3046" s="1050"/>
      <c r="AE3046" s="1050"/>
      <c r="AF3046" s="1052"/>
    </row>
    <row r="3047" spans="1:32" ht="15.75" x14ac:dyDescent="0.25">
      <c r="A3047" s="2017"/>
      <c r="B3047" s="2018"/>
      <c r="C3047" s="2018"/>
      <c r="D3047" s="2018"/>
      <c r="E3047" s="2018"/>
      <c r="F3047" s="2018"/>
      <c r="G3047" s="2018"/>
      <c r="H3047" s="2018"/>
      <c r="I3047" s="2018"/>
      <c r="J3047" s="2018"/>
      <c r="K3047" s="2018"/>
      <c r="L3047" s="2018"/>
      <c r="M3047" s="2018"/>
      <c r="N3047" s="2018"/>
      <c r="O3047" s="2018"/>
      <c r="P3047" s="2018"/>
      <c r="Q3047" s="2018"/>
      <c r="R3047" s="2018"/>
      <c r="S3047" s="2018"/>
      <c r="T3047" s="2018"/>
      <c r="U3047" s="2018"/>
      <c r="V3047" s="2018"/>
      <c r="W3047" s="2018"/>
      <c r="X3047" s="2018"/>
      <c r="Y3047" s="2018"/>
      <c r="Z3047" s="2021"/>
      <c r="AA3047" s="2021"/>
      <c r="AB3047" s="1050"/>
      <c r="AC3047" s="1050"/>
      <c r="AD3047" s="1050"/>
      <c r="AE3047" s="1050"/>
      <c r="AF3047" s="1052"/>
    </row>
    <row r="3048" spans="1:32" ht="15.75" x14ac:dyDescent="0.25">
      <c r="A3048" s="2017"/>
      <c r="B3048" s="2018"/>
      <c r="C3048" s="2018"/>
      <c r="D3048" s="2018"/>
      <c r="E3048" s="2018"/>
      <c r="F3048" s="2018"/>
      <c r="G3048" s="2018"/>
      <c r="H3048" s="2018"/>
      <c r="I3048" s="2018"/>
      <c r="J3048" s="2018"/>
      <c r="K3048" s="2018"/>
      <c r="L3048" s="2018"/>
      <c r="M3048" s="2018"/>
      <c r="N3048" s="2018"/>
      <c r="O3048" s="2018"/>
      <c r="P3048" s="2018"/>
      <c r="Q3048" s="2018"/>
      <c r="R3048" s="2018"/>
      <c r="S3048" s="2018"/>
      <c r="T3048" s="2018"/>
      <c r="U3048" s="2018"/>
      <c r="V3048" s="2018"/>
      <c r="W3048" s="2018"/>
      <c r="X3048" s="2018"/>
      <c r="Y3048" s="2018"/>
      <c r="Z3048" s="2021"/>
      <c r="AA3048" s="2021"/>
      <c r="AB3048" s="1050"/>
      <c r="AC3048" s="1050"/>
      <c r="AD3048" s="1050"/>
      <c r="AE3048" s="1050"/>
      <c r="AF3048" s="1052"/>
    </row>
    <row r="3049" spans="1:32" ht="15.75" x14ac:dyDescent="0.25">
      <c r="A3049" s="2017"/>
      <c r="B3049" s="2018"/>
      <c r="C3049" s="2018"/>
      <c r="D3049" s="2018"/>
      <c r="E3049" s="2018"/>
      <c r="F3049" s="2018"/>
      <c r="G3049" s="2018"/>
      <c r="H3049" s="2018"/>
      <c r="I3049" s="2018"/>
      <c r="J3049" s="2018"/>
      <c r="K3049" s="2018"/>
      <c r="L3049" s="2018"/>
      <c r="M3049" s="2018"/>
      <c r="N3049" s="2018"/>
      <c r="O3049" s="2018"/>
      <c r="P3049" s="2018"/>
      <c r="Q3049" s="2018"/>
      <c r="R3049" s="2018"/>
      <c r="S3049" s="2018"/>
      <c r="T3049" s="2018"/>
      <c r="U3049" s="2018"/>
      <c r="V3049" s="2018"/>
      <c r="W3049" s="2018"/>
      <c r="X3049" s="2018"/>
      <c r="Y3049" s="2018"/>
      <c r="Z3049" s="2021"/>
      <c r="AA3049" s="2021"/>
      <c r="AB3049" s="1050"/>
      <c r="AC3049" s="1050"/>
      <c r="AD3049" s="1050"/>
      <c r="AE3049" s="1050"/>
      <c r="AF3049" s="1052"/>
    </row>
    <row r="3050" spans="1:32" ht="15.75" x14ac:dyDescent="0.25">
      <c r="A3050" s="2017"/>
      <c r="B3050" s="2018"/>
      <c r="C3050" s="2018"/>
      <c r="D3050" s="2018"/>
      <c r="E3050" s="2018"/>
      <c r="F3050" s="2018"/>
      <c r="G3050" s="2018"/>
      <c r="H3050" s="2018"/>
      <c r="I3050" s="2018"/>
      <c r="J3050" s="2018"/>
      <c r="K3050" s="2018"/>
      <c r="L3050" s="2018"/>
      <c r="M3050" s="2018"/>
      <c r="N3050" s="2018"/>
      <c r="O3050" s="2018"/>
      <c r="P3050" s="2018"/>
      <c r="Q3050" s="2018"/>
      <c r="R3050" s="2018"/>
      <c r="S3050" s="2018"/>
      <c r="T3050" s="2018"/>
      <c r="U3050" s="2018"/>
      <c r="V3050" s="2018"/>
      <c r="W3050" s="2018"/>
      <c r="X3050" s="2018"/>
      <c r="Y3050" s="2018"/>
      <c r="Z3050" s="2021"/>
      <c r="AA3050" s="2021"/>
      <c r="AB3050" s="1050"/>
      <c r="AC3050" s="1050"/>
      <c r="AD3050" s="1050"/>
      <c r="AE3050" s="1050"/>
      <c r="AF3050" s="1052"/>
    </row>
    <row r="3051" spans="1:32" ht="15.75" x14ac:dyDescent="0.25">
      <c r="A3051" s="2017"/>
      <c r="B3051" s="2018"/>
      <c r="C3051" s="2018"/>
      <c r="D3051" s="2018"/>
      <c r="E3051" s="2018"/>
      <c r="F3051" s="2018"/>
      <c r="G3051" s="2018"/>
      <c r="H3051" s="2018"/>
      <c r="I3051" s="2018"/>
      <c r="J3051" s="2018"/>
      <c r="K3051" s="2018"/>
      <c r="L3051" s="2018"/>
      <c r="M3051" s="2018"/>
      <c r="N3051" s="2018"/>
      <c r="O3051" s="2018"/>
      <c r="P3051" s="2018"/>
      <c r="Q3051" s="2018"/>
      <c r="R3051" s="2018"/>
      <c r="S3051" s="2018"/>
      <c r="T3051" s="2018"/>
      <c r="U3051" s="2018"/>
      <c r="V3051" s="2018"/>
      <c r="W3051" s="2018"/>
      <c r="X3051" s="2018"/>
      <c r="Y3051" s="2018"/>
      <c r="Z3051" s="2021"/>
      <c r="AA3051" s="2021"/>
      <c r="AB3051" s="1050"/>
      <c r="AC3051" s="1050"/>
      <c r="AD3051" s="1050"/>
      <c r="AE3051" s="1050"/>
      <c r="AF3051" s="1052"/>
    </row>
    <row r="3052" spans="1:32" ht="15.75" x14ac:dyDescent="0.25">
      <c r="A3052" s="2017"/>
      <c r="B3052" s="2018"/>
      <c r="C3052" s="2018"/>
      <c r="D3052" s="2018"/>
      <c r="E3052" s="2018"/>
      <c r="F3052" s="2018"/>
      <c r="G3052" s="2018"/>
      <c r="H3052" s="2018"/>
      <c r="I3052" s="2018"/>
      <c r="J3052" s="2018"/>
      <c r="K3052" s="2018"/>
      <c r="L3052" s="2018"/>
      <c r="M3052" s="2018"/>
      <c r="N3052" s="2018"/>
      <c r="O3052" s="2018"/>
      <c r="P3052" s="2018"/>
      <c r="Q3052" s="2018"/>
      <c r="R3052" s="2018"/>
      <c r="S3052" s="2018"/>
      <c r="T3052" s="2018"/>
      <c r="U3052" s="2018"/>
      <c r="V3052" s="2018"/>
      <c r="W3052" s="2018"/>
      <c r="X3052" s="2018"/>
      <c r="Y3052" s="2018"/>
      <c r="Z3052" s="2022"/>
      <c r="AA3052" s="2022"/>
      <c r="AB3052" s="1050"/>
      <c r="AC3052" s="1050"/>
      <c r="AD3052" s="1050"/>
      <c r="AE3052" s="1050"/>
      <c r="AF3052" s="1052"/>
    </row>
    <row r="3053" spans="1:32" ht="15.75" x14ac:dyDescent="0.25">
      <c r="A3053" s="2017"/>
      <c r="B3053" s="2018"/>
      <c r="C3053" s="2018"/>
      <c r="D3053" s="2018"/>
      <c r="E3053" s="2018"/>
      <c r="F3053" s="2018"/>
      <c r="G3053" s="2018"/>
      <c r="H3053" s="2018"/>
      <c r="I3053" s="2018"/>
      <c r="J3053" s="2018"/>
      <c r="K3053" s="2018"/>
      <c r="L3053" s="2018"/>
      <c r="M3053" s="2018"/>
      <c r="N3053" s="2018"/>
      <c r="O3053" s="2018"/>
      <c r="P3053" s="2018"/>
      <c r="Q3053" s="2018"/>
      <c r="R3053" s="2018"/>
      <c r="S3053" s="2018"/>
      <c r="T3053" s="2018"/>
      <c r="U3053" s="2018"/>
      <c r="V3053" s="2018"/>
      <c r="W3053" s="2018"/>
      <c r="X3053" s="2018"/>
      <c r="Y3053" s="2018"/>
      <c r="Z3053" s="2022"/>
      <c r="AA3053" s="2022"/>
      <c r="AB3053" s="1050"/>
      <c r="AC3053" s="1050"/>
      <c r="AD3053" s="1050"/>
      <c r="AE3053" s="1050"/>
      <c r="AF3053" s="1052"/>
    </row>
    <row r="3054" spans="1:32" ht="15.75" x14ac:dyDescent="0.25">
      <c r="A3054" s="2017"/>
      <c r="B3054" s="2018"/>
      <c r="C3054" s="2018"/>
      <c r="D3054" s="2018"/>
      <c r="E3054" s="2018"/>
      <c r="F3054" s="2018"/>
      <c r="G3054" s="2018"/>
      <c r="H3054" s="2018"/>
      <c r="I3054" s="2018"/>
      <c r="J3054" s="2018"/>
      <c r="K3054" s="2018"/>
      <c r="L3054" s="2018"/>
      <c r="M3054" s="2018"/>
      <c r="N3054" s="2018"/>
      <c r="O3054" s="2018"/>
      <c r="P3054" s="2018"/>
      <c r="Q3054" s="2018"/>
      <c r="R3054" s="2018"/>
      <c r="S3054" s="2018"/>
      <c r="T3054" s="2018"/>
      <c r="U3054" s="2018"/>
      <c r="V3054" s="2018"/>
      <c r="W3054" s="2018"/>
      <c r="X3054" s="2018"/>
      <c r="Y3054" s="2018"/>
      <c r="Z3054" s="2022"/>
      <c r="AA3054" s="2022"/>
      <c r="AB3054" s="1050"/>
      <c r="AC3054" s="1050"/>
      <c r="AD3054" s="1050"/>
      <c r="AE3054" s="1050"/>
      <c r="AF3054" s="1052"/>
    </row>
    <row r="3055" spans="1:32" ht="15.75" x14ac:dyDescent="0.25">
      <c r="A3055" s="2017"/>
      <c r="B3055" s="2018"/>
      <c r="C3055" s="2018"/>
      <c r="D3055" s="2018"/>
      <c r="E3055" s="2018"/>
      <c r="F3055" s="2018"/>
      <c r="G3055" s="2018"/>
      <c r="H3055" s="2018"/>
      <c r="I3055" s="2018"/>
      <c r="J3055" s="2018"/>
      <c r="K3055" s="2018"/>
      <c r="L3055" s="2018"/>
      <c r="M3055" s="2018"/>
      <c r="N3055" s="2018"/>
      <c r="O3055" s="2018"/>
      <c r="P3055" s="2018"/>
      <c r="Q3055" s="2018"/>
      <c r="R3055" s="2018"/>
      <c r="S3055" s="2018"/>
      <c r="T3055" s="2018"/>
      <c r="U3055" s="2018"/>
      <c r="V3055" s="2018"/>
      <c r="W3055" s="2018"/>
      <c r="X3055" s="2018"/>
      <c r="Y3055" s="2018"/>
      <c r="Z3055" s="2023"/>
      <c r="AA3055" s="2023"/>
      <c r="AB3055" s="1050"/>
      <c r="AC3055" s="1050"/>
      <c r="AD3055" s="1050"/>
      <c r="AE3055" s="1050"/>
      <c r="AF3055" s="1052"/>
    </row>
    <row r="3056" spans="1:32" ht="15.75" x14ac:dyDescent="0.25">
      <c r="A3056" s="2017"/>
      <c r="B3056" s="2018"/>
      <c r="C3056" s="2018"/>
      <c r="D3056" s="2018"/>
      <c r="E3056" s="2018"/>
      <c r="F3056" s="2018"/>
      <c r="G3056" s="2018"/>
      <c r="H3056" s="2018"/>
      <c r="I3056" s="2018"/>
      <c r="J3056" s="2018"/>
      <c r="K3056" s="2018"/>
      <c r="L3056" s="2018"/>
      <c r="M3056" s="2018"/>
      <c r="N3056" s="2018"/>
      <c r="O3056" s="2018"/>
      <c r="P3056" s="2018"/>
      <c r="Q3056" s="2018"/>
      <c r="R3056" s="2018"/>
      <c r="S3056" s="2018"/>
      <c r="T3056" s="2018"/>
      <c r="U3056" s="2018"/>
      <c r="V3056" s="2018"/>
      <c r="W3056" s="2018"/>
      <c r="X3056" s="2018"/>
      <c r="Y3056" s="2018"/>
      <c r="Z3056" s="2023"/>
      <c r="AA3056" s="2023"/>
      <c r="AB3056" s="1050"/>
      <c r="AC3056" s="1050"/>
      <c r="AD3056" s="1050"/>
      <c r="AE3056" s="1050"/>
      <c r="AF3056" s="1052"/>
    </row>
    <row r="3057" spans="1:32" ht="15.75" x14ac:dyDescent="0.25">
      <c r="A3057" s="2017"/>
      <c r="B3057" s="2018"/>
      <c r="C3057" s="2018"/>
      <c r="D3057" s="2018"/>
      <c r="E3057" s="2018"/>
      <c r="F3057" s="2018"/>
      <c r="G3057" s="2018"/>
      <c r="H3057" s="2018"/>
      <c r="I3057" s="2018"/>
      <c r="J3057" s="2018"/>
      <c r="K3057" s="2018"/>
      <c r="L3057" s="2018"/>
      <c r="M3057" s="2018"/>
      <c r="N3057" s="2018"/>
      <c r="O3057" s="2018"/>
      <c r="P3057" s="2018"/>
      <c r="Q3057" s="2018"/>
      <c r="R3057" s="2018"/>
      <c r="S3057" s="2018"/>
      <c r="T3057" s="2018"/>
      <c r="U3057" s="2018"/>
      <c r="V3057" s="2018"/>
      <c r="W3057" s="2018"/>
      <c r="X3057" s="2018"/>
      <c r="Y3057" s="2018"/>
      <c r="Z3057" s="2023"/>
      <c r="AA3057" s="2023"/>
      <c r="AB3057" s="1050"/>
      <c r="AC3057" s="1050"/>
      <c r="AD3057" s="1050"/>
      <c r="AE3057" s="1050"/>
      <c r="AF3057" s="1052"/>
    </row>
    <row r="3058" spans="1:32" ht="15.75" x14ac:dyDescent="0.25">
      <c r="A3058" s="2017"/>
      <c r="B3058" s="2018"/>
      <c r="C3058" s="2018"/>
      <c r="D3058" s="2018"/>
      <c r="E3058" s="2018"/>
      <c r="F3058" s="2018"/>
      <c r="G3058" s="2018"/>
      <c r="H3058" s="2018"/>
      <c r="I3058" s="2018"/>
      <c r="J3058" s="2018"/>
      <c r="K3058" s="2018"/>
      <c r="L3058" s="2018"/>
      <c r="M3058" s="2018"/>
      <c r="N3058" s="2018"/>
      <c r="O3058" s="2018"/>
      <c r="P3058" s="2018"/>
      <c r="Q3058" s="2018"/>
      <c r="R3058" s="2018"/>
      <c r="S3058" s="2018"/>
      <c r="T3058" s="2018"/>
      <c r="U3058" s="2018"/>
      <c r="V3058" s="2018"/>
      <c r="W3058" s="2018"/>
      <c r="X3058" s="2018"/>
      <c r="Y3058" s="2018"/>
      <c r="Z3058" s="2023"/>
      <c r="AA3058" s="2023"/>
      <c r="AB3058" s="1050"/>
      <c r="AC3058" s="1050"/>
      <c r="AD3058" s="1050"/>
      <c r="AE3058" s="1050"/>
      <c r="AF3058" s="1052"/>
    </row>
    <row r="3059" spans="1:32" ht="15.75" x14ac:dyDescent="0.25">
      <c r="A3059" s="2017"/>
      <c r="B3059" s="2018"/>
      <c r="C3059" s="2018"/>
      <c r="D3059" s="2018"/>
      <c r="E3059" s="2018"/>
      <c r="F3059" s="2018"/>
      <c r="G3059" s="2018"/>
      <c r="H3059" s="2018"/>
      <c r="I3059" s="2018"/>
      <c r="J3059" s="2018"/>
      <c r="K3059" s="2018"/>
      <c r="L3059" s="2018"/>
      <c r="M3059" s="2018"/>
      <c r="N3059" s="2018"/>
      <c r="O3059" s="2018"/>
      <c r="P3059" s="2018"/>
      <c r="Q3059" s="2018"/>
      <c r="R3059" s="2018"/>
      <c r="S3059" s="2018"/>
      <c r="T3059" s="2018"/>
      <c r="U3059" s="2018"/>
      <c r="V3059" s="2018"/>
      <c r="W3059" s="2018"/>
      <c r="X3059" s="2018"/>
      <c r="Y3059" s="2018"/>
      <c r="Z3059" s="2023"/>
      <c r="AA3059" s="2023"/>
      <c r="AB3059" s="1050"/>
      <c r="AC3059" s="1050"/>
      <c r="AD3059" s="1050"/>
      <c r="AE3059" s="1050"/>
      <c r="AF3059" s="1052"/>
    </row>
    <row r="3060" spans="1:32" ht="15.75" x14ac:dyDescent="0.25">
      <c r="A3060" s="2017"/>
      <c r="B3060" s="2018"/>
      <c r="C3060" s="2018"/>
      <c r="D3060" s="2018"/>
      <c r="E3060" s="2018"/>
      <c r="F3060" s="2018"/>
      <c r="G3060" s="2018"/>
      <c r="H3060" s="2018"/>
      <c r="I3060" s="2018"/>
      <c r="J3060" s="2018"/>
      <c r="K3060" s="2018"/>
      <c r="L3060" s="2018"/>
      <c r="M3060" s="2018"/>
      <c r="N3060" s="2018"/>
      <c r="O3060" s="2018"/>
      <c r="P3060" s="2018"/>
      <c r="Q3060" s="2018"/>
      <c r="R3060" s="2018"/>
      <c r="S3060" s="2018"/>
      <c r="T3060" s="2018"/>
      <c r="U3060" s="2018"/>
      <c r="V3060" s="2018"/>
      <c r="W3060" s="2018"/>
      <c r="X3060" s="2018"/>
      <c r="Y3060" s="2018"/>
      <c r="Z3060" s="2023"/>
      <c r="AA3060" s="2023"/>
      <c r="AB3060" s="1050"/>
      <c r="AC3060" s="1050"/>
      <c r="AD3060" s="1050"/>
      <c r="AE3060" s="1050"/>
      <c r="AF3060" s="1052"/>
    </row>
    <row r="3061" spans="1:32" ht="16.5" thickBot="1" x14ac:dyDescent="0.3">
      <c r="A3061" s="2019"/>
      <c r="B3061" s="2020"/>
      <c r="C3061" s="2020"/>
      <c r="D3061" s="2020"/>
      <c r="E3061" s="2020"/>
      <c r="F3061" s="2020"/>
      <c r="G3061" s="2020"/>
      <c r="H3061" s="2020"/>
      <c r="I3061" s="2020"/>
      <c r="J3061" s="2020"/>
      <c r="K3061" s="2020"/>
      <c r="L3061" s="2020"/>
      <c r="M3061" s="2020"/>
      <c r="N3061" s="2020"/>
      <c r="O3061" s="2020"/>
      <c r="P3061" s="2020"/>
      <c r="Q3061" s="2020"/>
      <c r="R3061" s="2020"/>
      <c r="S3061" s="2020"/>
      <c r="T3061" s="2020"/>
      <c r="U3061" s="2020"/>
      <c r="V3061" s="2020"/>
      <c r="W3061" s="2020"/>
      <c r="X3061" s="2020"/>
      <c r="Y3061" s="2020"/>
      <c r="Z3061" s="2024"/>
      <c r="AA3061" s="2024"/>
      <c r="AB3061" s="1057"/>
      <c r="AC3061" s="1057"/>
      <c r="AD3061" s="1057"/>
      <c r="AE3061" s="1057"/>
      <c r="AF3061" s="1058"/>
    </row>
    <row r="3062" spans="1:32" ht="15.75" x14ac:dyDescent="0.25">
      <c r="A3062" s="2100" t="s">
        <v>2464</v>
      </c>
      <c r="B3062" s="2101"/>
      <c r="C3062" s="2101"/>
      <c r="D3062" s="2101"/>
      <c r="E3062" s="2101"/>
      <c r="F3062" s="2101"/>
      <c r="G3062" s="2101"/>
      <c r="H3062" s="2101"/>
      <c r="I3062" s="2101"/>
      <c r="J3062" s="2101"/>
      <c r="K3062" s="2101"/>
      <c r="L3062" s="2101"/>
      <c r="M3062" s="2101"/>
      <c r="N3062" s="2101"/>
      <c r="O3062" s="2101"/>
      <c r="P3062" s="2101"/>
      <c r="Q3062" s="2101"/>
      <c r="R3062" s="2101"/>
      <c r="S3062" s="2101"/>
      <c r="T3062" s="2101"/>
      <c r="U3062" s="2101"/>
      <c r="V3062" s="2101"/>
      <c r="W3062" s="2101"/>
      <c r="X3062" s="2101"/>
      <c r="Y3062" s="2101"/>
      <c r="Z3062" s="2013" t="s">
        <v>1850</v>
      </c>
      <c r="AA3062" s="2013"/>
      <c r="AB3062" s="2013"/>
      <c r="AC3062" s="2013"/>
      <c r="AD3062" s="2013"/>
      <c r="AE3062" s="2013"/>
      <c r="AF3062" s="1059">
        <f>SUM(AF3038:AF3061)</f>
        <v>126.26</v>
      </c>
    </row>
    <row r="3063" spans="1:32" ht="15.75" x14ac:dyDescent="0.25">
      <c r="A3063" s="2102"/>
      <c r="B3063" s="2103"/>
      <c r="C3063" s="2103"/>
      <c r="D3063" s="2103"/>
      <c r="E3063" s="2103"/>
      <c r="F3063" s="2103"/>
      <c r="G3063" s="2103"/>
      <c r="H3063" s="2103"/>
      <c r="I3063" s="2103"/>
      <c r="J3063" s="2103"/>
      <c r="K3063" s="2103"/>
      <c r="L3063" s="2103"/>
      <c r="M3063" s="2103"/>
      <c r="N3063" s="2103"/>
      <c r="O3063" s="2103"/>
      <c r="P3063" s="2103"/>
      <c r="Q3063" s="2103"/>
      <c r="R3063" s="2103"/>
      <c r="S3063" s="2103"/>
      <c r="T3063" s="2103"/>
      <c r="U3063" s="2103"/>
      <c r="V3063" s="2103"/>
      <c r="W3063" s="2103"/>
      <c r="X3063" s="2103"/>
      <c r="Y3063" s="2103"/>
      <c r="Z3063" s="2014" t="s">
        <v>1851</v>
      </c>
      <c r="AA3063" s="2014"/>
      <c r="AB3063" s="2014"/>
      <c r="AC3063" s="2014"/>
      <c r="AD3063" s="2014"/>
      <c r="AE3063" s="2014"/>
      <c r="AF3063" s="1060">
        <v>0</v>
      </c>
    </row>
    <row r="3064" spans="1:32" ht="15.75" x14ac:dyDescent="0.25">
      <c r="A3064" s="2102"/>
      <c r="B3064" s="2103"/>
      <c r="C3064" s="2103"/>
      <c r="D3064" s="2103"/>
      <c r="E3064" s="2103"/>
      <c r="F3064" s="2103"/>
      <c r="G3064" s="2103"/>
      <c r="H3064" s="2103"/>
      <c r="I3064" s="2103"/>
      <c r="J3064" s="2103"/>
      <c r="K3064" s="2103"/>
      <c r="L3064" s="2103"/>
      <c r="M3064" s="2103"/>
      <c r="N3064" s="2103"/>
      <c r="O3064" s="2103"/>
      <c r="P3064" s="2103"/>
      <c r="Q3064" s="2103"/>
      <c r="R3064" s="2103"/>
      <c r="S3064" s="2103"/>
      <c r="T3064" s="2103"/>
      <c r="U3064" s="2103"/>
      <c r="V3064" s="2103"/>
      <c r="W3064" s="2103"/>
      <c r="X3064" s="2103"/>
      <c r="Y3064" s="2103"/>
      <c r="Z3064" s="2015" t="s">
        <v>1833</v>
      </c>
      <c r="AA3064" s="2015"/>
      <c r="AB3064" s="2015"/>
      <c r="AC3064" s="2015"/>
      <c r="AD3064" s="2015"/>
      <c r="AE3064" s="2015"/>
      <c r="AF3064" s="1061">
        <f>SUM(AF3062:AF3063)</f>
        <v>126.26</v>
      </c>
    </row>
    <row r="3065" spans="1:32" x14ac:dyDescent="0.2">
      <c r="A3065" s="2012" t="s">
        <v>1859</v>
      </c>
      <c r="B3065" s="2012"/>
      <c r="C3065" s="2012"/>
      <c r="D3065" s="2012"/>
      <c r="E3065" s="2012"/>
      <c r="F3065" s="2012"/>
      <c r="G3065" s="2012"/>
      <c r="H3065" s="2012"/>
      <c r="I3065" s="2012"/>
      <c r="J3065" s="2012"/>
      <c r="K3065" s="2012"/>
      <c r="L3065" s="2012"/>
      <c r="M3065" s="2012"/>
      <c r="N3065" s="2012"/>
      <c r="O3065" s="2012"/>
      <c r="P3065" s="2012"/>
      <c r="Q3065" s="2012"/>
      <c r="R3065" s="2012"/>
      <c r="S3065" s="2012"/>
      <c r="T3065" s="2016" t="s">
        <v>1840</v>
      </c>
      <c r="U3065" s="2016"/>
      <c r="V3065" s="2016"/>
      <c r="W3065" s="2016"/>
      <c r="X3065" s="2016"/>
      <c r="Y3065" s="2016"/>
      <c r="Z3065" s="2016"/>
      <c r="AA3065" s="2016"/>
      <c r="AB3065" s="2012" t="s">
        <v>1852</v>
      </c>
      <c r="AC3065" s="2012"/>
      <c r="AD3065" s="2012"/>
      <c r="AE3065" s="2012"/>
      <c r="AF3065" s="2012"/>
    </row>
    <row r="3066" spans="1:32" x14ac:dyDescent="0.2">
      <c r="A3066" s="2012"/>
      <c r="B3066" s="2012"/>
      <c r="C3066" s="2012"/>
      <c r="D3066" s="2012"/>
      <c r="E3066" s="2012"/>
      <c r="F3066" s="2012"/>
      <c r="G3066" s="2012"/>
      <c r="H3066" s="2012"/>
      <c r="I3066" s="2012"/>
      <c r="J3066" s="2012"/>
      <c r="K3066" s="2012"/>
      <c r="L3066" s="2012"/>
      <c r="M3066" s="2012"/>
      <c r="N3066" s="2012"/>
      <c r="O3066" s="2012"/>
      <c r="P3066" s="2012"/>
      <c r="Q3066" s="2012"/>
      <c r="R3066" s="2012"/>
      <c r="S3066" s="2012"/>
      <c r="T3066" s="2016"/>
      <c r="U3066" s="2016"/>
      <c r="V3066" s="2016"/>
      <c r="W3066" s="2016"/>
      <c r="X3066" s="2016"/>
      <c r="Y3066" s="2016"/>
      <c r="Z3066" s="2016"/>
      <c r="AA3066" s="2016"/>
      <c r="AB3066" s="2012"/>
      <c r="AC3066" s="2012"/>
      <c r="AD3066" s="2012"/>
      <c r="AE3066" s="2012"/>
      <c r="AF3066" s="2012"/>
    </row>
    <row r="3067" spans="1:32" ht="13.5" thickBot="1" x14ac:dyDescent="0.25"/>
    <row r="3068" spans="1:32" ht="26.45" customHeight="1" x14ac:dyDescent="0.2">
      <c r="A3068" s="2025" t="s">
        <v>1854</v>
      </c>
      <c r="B3068" s="2026"/>
      <c r="C3068" s="2026"/>
      <c r="D3068" s="2026"/>
      <c r="E3068" s="2026"/>
      <c r="F3068" s="2026"/>
      <c r="G3068" s="2026"/>
      <c r="H3068" s="2026"/>
      <c r="I3068" s="2026"/>
      <c r="J3068" s="2026"/>
      <c r="K3068" s="2026"/>
      <c r="L3068" s="2026"/>
      <c r="M3068" s="2026"/>
      <c r="N3068" s="2026"/>
      <c r="O3068" s="2026"/>
      <c r="P3068" s="2026"/>
      <c r="Q3068" s="2026"/>
      <c r="R3068" s="2026"/>
      <c r="S3068" s="2026"/>
      <c r="T3068" s="2026"/>
      <c r="U3068" s="2026"/>
      <c r="V3068" s="2026"/>
      <c r="W3068" s="2026"/>
      <c r="X3068" s="2026"/>
      <c r="Y3068" s="2026"/>
      <c r="Z3068" s="2026"/>
      <c r="AA3068" s="2026"/>
      <c r="AB3068" s="2026"/>
      <c r="AC3068" s="2026"/>
      <c r="AD3068" s="2026"/>
      <c r="AE3068" s="1041" t="s">
        <v>1834</v>
      </c>
      <c r="AF3068" s="1042" t="s">
        <v>1835</v>
      </c>
    </row>
    <row r="3069" spans="1:32" ht="21" customHeight="1" thickBot="1" x14ac:dyDescent="0.25">
      <c r="A3069" s="2027"/>
      <c r="B3069" s="2028"/>
      <c r="C3069" s="2028"/>
      <c r="D3069" s="2028"/>
      <c r="E3069" s="2028"/>
      <c r="F3069" s="2028"/>
      <c r="G3069" s="2028"/>
      <c r="H3069" s="2028"/>
      <c r="I3069" s="2028"/>
      <c r="J3069" s="2028"/>
      <c r="K3069" s="2028"/>
      <c r="L3069" s="2028"/>
      <c r="M3069" s="2028"/>
      <c r="N3069" s="2028"/>
      <c r="O3069" s="2028"/>
      <c r="P3069" s="2028"/>
      <c r="Q3069" s="2028"/>
      <c r="R3069" s="2028"/>
      <c r="S3069" s="2028"/>
      <c r="T3069" s="2028"/>
      <c r="U3069" s="2028"/>
      <c r="V3069" s="2028"/>
      <c r="W3069" s="2028"/>
      <c r="X3069" s="2028"/>
      <c r="Y3069" s="2028"/>
      <c r="Z3069" s="2028"/>
      <c r="AA3069" s="2028"/>
      <c r="AB3069" s="2028"/>
      <c r="AC3069" s="2028"/>
      <c r="AD3069" s="2028"/>
      <c r="AE3069" s="1041" t="s">
        <v>1836</v>
      </c>
      <c r="AF3069" s="1044">
        <v>1</v>
      </c>
    </row>
    <row r="3070" spans="1:32" ht="15.75" x14ac:dyDescent="0.2">
      <c r="A3070" s="2029"/>
      <c r="B3070" s="2030"/>
      <c r="C3070" s="2030"/>
      <c r="D3070" s="2031"/>
      <c r="E3070" s="2025" t="str">
        <f>'01'!$A$12</f>
        <v>"CONSTRUCCION SISTEMA DE ACUEDUCTO FASE II DEL MUNICIPIO DE TESALIA DPTO DEL HUILA"</v>
      </c>
      <c r="F3070" s="2026"/>
      <c r="G3070" s="2026"/>
      <c r="H3070" s="2026"/>
      <c r="I3070" s="2026"/>
      <c r="J3070" s="2026"/>
      <c r="K3070" s="2026"/>
      <c r="L3070" s="2026"/>
      <c r="M3070" s="2026"/>
      <c r="N3070" s="2026"/>
      <c r="O3070" s="2026"/>
      <c r="P3070" s="2026"/>
      <c r="Q3070" s="2026"/>
      <c r="R3070" s="2026"/>
      <c r="S3070" s="2026"/>
      <c r="T3070" s="2026"/>
      <c r="U3070" s="2026"/>
      <c r="V3070" s="2026"/>
      <c r="W3070" s="2026"/>
      <c r="X3070" s="2026"/>
      <c r="Y3070" s="2026"/>
      <c r="Z3070" s="2026"/>
      <c r="AA3070" s="2026"/>
      <c r="AB3070" s="2026"/>
      <c r="AC3070" s="2026"/>
      <c r="AD3070" s="2035"/>
      <c r="AE3070" s="1041" t="s">
        <v>847</v>
      </c>
      <c r="AF3070" s="1045">
        <f>'01'!$M$13</f>
        <v>0</v>
      </c>
    </row>
    <row r="3071" spans="1:32" ht="16.5" thickBot="1" x14ac:dyDescent="0.25">
      <c r="A3071" s="2032"/>
      <c r="B3071" s="2033"/>
      <c r="C3071" s="2033"/>
      <c r="D3071" s="2034"/>
      <c r="E3071" s="2027"/>
      <c r="F3071" s="2028"/>
      <c r="G3071" s="2028"/>
      <c r="H3071" s="2028"/>
      <c r="I3071" s="2028"/>
      <c r="J3071" s="2028"/>
      <c r="K3071" s="2028"/>
      <c r="L3071" s="2028"/>
      <c r="M3071" s="2028"/>
      <c r="N3071" s="2028"/>
      <c r="O3071" s="2028"/>
      <c r="P3071" s="2028"/>
      <c r="Q3071" s="2028"/>
      <c r="R3071" s="2028"/>
      <c r="S3071" s="2028"/>
      <c r="T3071" s="2028"/>
      <c r="U3071" s="2028"/>
      <c r="V3071" s="2028"/>
      <c r="W3071" s="2028"/>
      <c r="X3071" s="2028"/>
      <c r="Y3071" s="2028"/>
      <c r="Z3071" s="2028"/>
      <c r="AA3071" s="2028"/>
      <c r="AB3071" s="2028"/>
      <c r="AC3071" s="2028"/>
      <c r="AD3071" s="2036"/>
      <c r="AE3071" s="1041" t="s">
        <v>1837</v>
      </c>
      <c r="AF3071" s="1042" t="s">
        <v>1838</v>
      </c>
    </row>
    <row r="3072" spans="1:32" ht="15.75" x14ac:dyDescent="0.25">
      <c r="A3072" s="2037" t="s">
        <v>1860</v>
      </c>
      <c r="B3072" s="2038"/>
      <c r="C3072" s="2038"/>
      <c r="D3072" s="2038"/>
      <c r="E3072" s="2038"/>
      <c r="F3072" s="2038"/>
      <c r="G3072" s="2038"/>
      <c r="H3072" s="2038"/>
      <c r="I3072" s="2038"/>
      <c r="J3072" s="2038"/>
      <c r="K3072" s="2038"/>
      <c r="L3072" s="2038"/>
      <c r="M3072" s="2038"/>
      <c r="N3072" s="2038"/>
      <c r="O3072" s="2038"/>
      <c r="P3072" s="2038"/>
      <c r="Q3072" s="2038"/>
      <c r="R3072" s="2038"/>
      <c r="S3072" s="2038"/>
      <c r="T3072" s="2038"/>
      <c r="U3072" s="2038"/>
      <c r="V3072" s="2038"/>
      <c r="W3072" s="2038"/>
      <c r="X3072" s="2038"/>
      <c r="Y3072" s="2038"/>
      <c r="Z3072" s="2038"/>
      <c r="AA3072" s="2038"/>
      <c r="AB3072" s="2038"/>
      <c r="AC3072" s="2038"/>
      <c r="AD3072" s="2038"/>
      <c r="AE3072" s="2039" t="s">
        <v>1839</v>
      </c>
      <c r="AF3072" s="2040"/>
    </row>
    <row r="3073" spans="1:32" ht="15.75" x14ac:dyDescent="0.25">
      <c r="A3073" s="2041" t="s">
        <v>1840</v>
      </c>
      <c r="B3073" s="2042"/>
      <c r="C3073" s="2042"/>
      <c r="D3073" s="2042"/>
      <c r="E3073" s="2042"/>
      <c r="F3073" s="2042"/>
      <c r="G3073" s="2042"/>
      <c r="H3073" s="2042"/>
      <c r="I3073" s="2042"/>
      <c r="J3073" s="2042"/>
      <c r="K3073" s="2042"/>
      <c r="L3073" s="2042"/>
      <c r="M3073" s="2042"/>
      <c r="N3073" s="2042"/>
      <c r="O3073" s="2042"/>
      <c r="P3073" s="2042"/>
      <c r="Q3073" s="2042"/>
      <c r="R3073" s="2042"/>
      <c r="S3073" s="2042"/>
      <c r="T3073" s="2042"/>
      <c r="U3073" s="2042"/>
      <c r="V3073" s="2042"/>
      <c r="W3073" s="2042"/>
      <c r="X3073" s="2042"/>
      <c r="Y3073" s="2042"/>
      <c r="Z3073" s="2042"/>
      <c r="AA3073" s="2042"/>
      <c r="AB3073" s="2042"/>
      <c r="AC3073" s="2042"/>
      <c r="AD3073" s="2043"/>
      <c r="AE3073" s="2014" t="s">
        <v>1841</v>
      </c>
      <c r="AF3073" s="2044"/>
    </row>
    <row r="3074" spans="1:32" ht="15.75" x14ac:dyDescent="0.25">
      <c r="A3074" s="2045" t="s">
        <v>1853</v>
      </c>
      <c r="B3074" s="2046"/>
      <c r="C3074" s="2046"/>
      <c r="D3074" s="2046"/>
      <c r="E3074" s="2046"/>
      <c r="F3074" s="2046"/>
      <c r="G3074" s="2046"/>
      <c r="H3074" s="2046"/>
      <c r="I3074" s="2046"/>
      <c r="J3074" s="2046"/>
      <c r="K3074" s="2046"/>
      <c r="L3074" s="2046"/>
      <c r="M3074" s="2046"/>
      <c r="N3074" s="2046"/>
      <c r="O3074" s="2046"/>
      <c r="P3074" s="2046"/>
      <c r="Q3074" s="2046"/>
      <c r="R3074" s="2046"/>
      <c r="S3074" s="2046"/>
      <c r="T3074" s="2046"/>
      <c r="U3074" s="2046"/>
      <c r="V3074" s="2046"/>
      <c r="W3074" s="2046"/>
      <c r="X3074" s="2046"/>
      <c r="Y3074" s="2046"/>
      <c r="Z3074" s="2046"/>
      <c r="AA3074" s="2046"/>
      <c r="AB3074" s="2046"/>
      <c r="AC3074" s="2046"/>
      <c r="AD3074" s="2046"/>
      <c r="AE3074" s="2047">
        <f>'01'!$M$13</f>
        <v>0</v>
      </c>
      <c r="AF3074" s="2044"/>
    </row>
    <row r="3075" spans="1:32" x14ac:dyDescent="0.2">
      <c r="A3075" s="1046"/>
      <c r="B3075" s="1047"/>
      <c r="C3075" s="1047"/>
      <c r="D3075" s="1047"/>
      <c r="E3075" s="1047"/>
      <c r="F3075" s="1047"/>
      <c r="G3075" s="1047"/>
      <c r="H3075" s="1047"/>
      <c r="I3075" s="1047"/>
      <c r="J3075" s="1047"/>
      <c r="K3075" s="1047"/>
      <c r="L3075" s="1047"/>
      <c r="M3075" s="1047"/>
      <c r="N3075" s="1047"/>
      <c r="O3075" s="1047"/>
      <c r="P3075" s="1047"/>
      <c r="Q3075" s="1047"/>
      <c r="R3075" s="1047"/>
      <c r="S3075" s="1047"/>
      <c r="T3075" s="1047"/>
      <c r="U3075" s="1047"/>
      <c r="V3075" s="1047"/>
      <c r="W3075" s="1047"/>
      <c r="X3075" s="1047"/>
      <c r="Y3075" s="1047"/>
      <c r="Z3075" s="1047"/>
      <c r="AA3075" s="1047"/>
      <c r="AB3075" s="1047"/>
      <c r="AC3075" s="1047"/>
      <c r="AD3075" s="1047"/>
      <c r="AE3075" s="1047"/>
      <c r="AF3075" s="1048"/>
    </row>
    <row r="3076" spans="1:32" ht="30" customHeight="1" x14ac:dyDescent="0.2">
      <c r="A3076" s="2048" t="s">
        <v>1842</v>
      </c>
      <c r="B3076" s="2049"/>
      <c r="C3076" s="2049"/>
      <c r="D3076" s="2049"/>
      <c r="E3076" s="2049"/>
      <c r="F3076" s="2050" t="str">
        <f>+'01'!$H$130</f>
        <v>E - ESPESADOR GRAVIMÉTRICO</v>
      </c>
      <c r="G3076" s="2049"/>
      <c r="H3076" s="2049"/>
      <c r="I3076" s="2049"/>
      <c r="J3076" s="2049"/>
      <c r="K3076" s="2049"/>
      <c r="L3076" s="2049"/>
      <c r="M3076" s="2049"/>
      <c r="N3076" s="2049"/>
      <c r="O3076" s="2049"/>
      <c r="P3076" s="2049"/>
      <c r="Q3076" s="2049"/>
      <c r="R3076" s="2049"/>
      <c r="S3076" s="2049"/>
      <c r="T3076" s="2049"/>
      <c r="U3076" s="2049"/>
      <c r="V3076" s="2049"/>
      <c r="W3076" s="2049"/>
      <c r="X3076" s="2049"/>
      <c r="Y3076" s="2051"/>
      <c r="Z3076" s="2052" t="s">
        <v>1843</v>
      </c>
      <c r="AA3076" s="2053"/>
      <c r="AB3076" s="2058" t="s">
        <v>1844</v>
      </c>
      <c r="AC3076" s="2059"/>
      <c r="AD3076" s="2060"/>
      <c r="AE3076" s="2064" t="s">
        <v>1845</v>
      </c>
      <c r="AF3076" s="2067" t="s">
        <v>1846</v>
      </c>
    </row>
    <row r="3077" spans="1:32" ht="15" customHeight="1" x14ac:dyDescent="0.2">
      <c r="A3077" s="2070" t="str">
        <f>+'01'!A137</f>
        <v>E-03-01</v>
      </c>
      <c r="B3077" s="2071"/>
      <c r="C3077" s="2072"/>
      <c r="D3077" s="2076" t="str">
        <f>VLOOKUP(A3077,'01'!$A$12:$N$299,3,FALSE)</f>
        <v>MATERIAL SOPORTE EN INSTALACION DE TUBERIA. CAMA DE ARENA DE BASE 0.10 METROS Y 0.15 METROS POR ENCIMA DE LA COTA CLAVE DE LA TUBERIA.</v>
      </c>
      <c r="E3077" s="2077"/>
      <c r="F3077" s="2077"/>
      <c r="G3077" s="2077"/>
      <c r="H3077" s="2077"/>
      <c r="I3077" s="2077"/>
      <c r="J3077" s="2077"/>
      <c r="K3077" s="2077"/>
      <c r="L3077" s="2077"/>
      <c r="M3077" s="2077"/>
      <c r="N3077" s="2077"/>
      <c r="O3077" s="2077"/>
      <c r="P3077" s="2077"/>
      <c r="Q3077" s="2077"/>
      <c r="R3077" s="2077"/>
      <c r="S3077" s="2078"/>
      <c r="T3077" s="2082" t="s">
        <v>124</v>
      </c>
      <c r="U3077" s="2083"/>
      <c r="V3077" s="2083"/>
      <c r="W3077" s="2083"/>
      <c r="X3077" s="2052" t="str">
        <f>VLOOKUP(A3077,'01'!$A$12:$N$299,9,FALSE)</f>
        <v>M3</v>
      </c>
      <c r="Y3077" s="2053"/>
      <c r="Z3077" s="2054"/>
      <c r="AA3077" s="2055"/>
      <c r="AB3077" s="2061"/>
      <c r="AC3077" s="2062"/>
      <c r="AD3077" s="2063"/>
      <c r="AE3077" s="2065"/>
      <c r="AF3077" s="2068"/>
    </row>
    <row r="3078" spans="1:32" ht="15" customHeight="1" x14ac:dyDescent="0.25">
      <c r="A3078" s="2073"/>
      <c r="B3078" s="2074"/>
      <c r="C3078" s="2075"/>
      <c r="D3078" s="2079"/>
      <c r="E3078" s="2080"/>
      <c r="F3078" s="2080"/>
      <c r="G3078" s="2080"/>
      <c r="H3078" s="2080"/>
      <c r="I3078" s="2080"/>
      <c r="J3078" s="2080"/>
      <c r="K3078" s="2080"/>
      <c r="L3078" s="2080"/>
      <c r="M3078" s="2080"/>
      <c r="N3078" s="2080"/>
      <c r="O3078" s="2080"/>
      <c r="P3078" s="2080"/>
      <c r="Q3078" s="2080"/>
      <c r="R3078" s="2080"/>
      <c r="S3078" s="2081"/>
      <c r="T3078" s="2084"/>
      <c r="U3078" s="2085"/>
      <c r="V3078" s="2085"/>
      <c r="W3078" s="2085"/>
      <c r="X3078" s="2056"/>
      <c r="Y3078" s="2057"/>
      <c r="Z3078" s="2056"/>
      <c r="AA3078" s="2057"/>
      <c r="AB3078" s="1049" t="s">
        <v>1847</v>
      </c>
      <c r="AC3078" s="1049" t="s">
        <v>1848</v>
      </c>
      <c r="AD3078" s="1049" t="s">
        <v>1861</v>
      </c>
      <c r="AE3078" s="2066"/>
      <c r="AF3078" s="2069"/>
    </row>
    <row r="3079" spans="1:32" ht="15.6" customHeight="1" x14ac:dyDescent="0.25">
      <c r="A3079" s="2017"/>
      <c r="B3079" s="2018"/>
      <c r="C3079" s="2018"/>
      <c r="D3079" s="2018"/>
      <c r="E3079" s="2018"/>
      <c r="F3079" s="2018"/>
      <c r="G3079" s="2018"/>
      <c r="H3079" s="2018"/>
      <c r="I3079" s="2018"/>
      <c r="J3079" s="2018"/>
      <c r="K3079" s="2018"/>
      <c r="L3079" s="2018"/>
      <c r="M3079" s="2018"/>
      <c r="N3079" s="2018"/>
      <c r="O3079" s="2018"/>
      <c r="P3079" s="2018"/>
      <c r="Q3079" s="2018"/>
      <c r="R3079" s="2018"/>
      <c r="S3079" s="2018"/>
      <c r="T3079" s="2018"/>
      <c r="U3079" s="2018"/>
      <c r="V3079" s="2018"/>
      <c r="W3079" s="2018"/>
      <c r="X3079" s="2018"/>
      <c r="Y3079" s="2018"/>
      <c r="Z3079" s="2021" t="s">
        <v>2459</v>
      </c>
      <c r="AA3079" s="2021"/>
      <c r="AB3079" s="1050">
        <v>0</v>
      </c>
      <c r="AC3079" s="1050">
        <v>0</v>
      </c>
      <c r="AD3079" s="1050">
        <v>0</v>
      </c>
      <c r="AE3079" s="1050">
        <v>1</v>
      </c>
      <c r="AF3079" s="1052">
        <f>+ROUND(AB3079*AC3079*AD3079*AE3079,2)</f>
        <v>0</v>
      </c>
    </row>
    <row r="3080" spans="1:32" ht="15.6" customHeight="1" x14ac:dyDescent="0.25">
      <c r="A3080" s="2017"/>
      <c r="B3080" s="2018"/>
      <c r="C3080" s="2018"/>
      <c r="D3080" s="2018"/>
      <c r="E3080" s="2018"/>
      <c r="F3080" s="2018"/>
      <c r="G3080" s="2018"/>
      <c r="H3080" s="2018"/>
      <c r="I3080" s="2018"/>
      <c r="J3080" s="2018"/>
      <c r="K3080" s="2018"/>
      <c r="L3080" s="2018"/>
      <c r="M3080" s="2018"/>
      <c r="N3080" s="2018"/>
      <c r="O3080" s="2018"/>
      <c r="P3080" s="2018"/>
      <c r="Q3080" s="2018"/>
      <c r="R3080" s="2018"/>
      <c r="S3080" s="2018"/>
      <c r="T3080" s="2018"/>
      <c r="U3080" s="2018"/>
      <c r="V3080" s="2018"/>
      <c r="W3080" s="2018"/>
      <c r="X3080" s="2018"/>
      <c r="Y3080" s="2018"/>
      <c r="Z3080" s="2021" t="s">
        <v>2460</v>
      </c>
      <c r="AA3080" s="2021"/>
      <c r="AB3080" s="1050">
        <v>0</v>
      </c>
      <c r="AC3080" s="1050">
        <v>0</v>
      </c>
      <c r="AD3080" s="1050">
        <v>0</v>
      </c>
      <c r="AE3080" s="1050">
        <v>1</v>
      </c>
      <c r="AF3080" s="1052">
        <f t="shared" ref="AF3080:AF3082" si="44">+ROUND(AB3080*AC3080*AD3080*AE3080,2)</f>
        <v>0</v>
      </c>
    </row>
    <row r="3081" spans="1:32" ht="15.75" x14ac:dyDescent="0.25">
      <c r="A3081" s="2017"/>
      <c r="B3081" s="2018"/>
      <c r="C3081" s="2018"/>
      <c r="D3081" s="2018"/>
      <c r="E3081" s="2018"/>
      <c r="F3081" s="2018"/>
      <c r="G3081" s="2018"/>
      <c r="H3081" s="2018"/>
      <c r="I3081" s="2018"/>
      <c r="J3081" s="2018"/>
      <c r="K3081" s="2018"/>
      <c r="L3081" s="2018"/>
      <c r="M3081" s="2018"/>
      <c r="N3081" s="2018"/>
      <c r="O3081" s="2018"/>
      <c r="P3081" s="2018"/>
      <c r="Q3081" s="2018"/>
      <c r="R3081" s="2018"/>
      <c r="S3081" s="2018"/>
      <c r="T3081" s="2018"/>
      <c r="U3081" s="2018"/>
      <c r="V3081" s="2018"/>
      <c r="W3081" s="2018"/>
      <c r="X3081" s="2018"/>
      <c r="Y3081" s="2018"/>
      <c r="Z3081" s="2021" t="s">
        <v>2461</v>
      </c>
      <c r="AA3081" s="2021"/>
      <c r="AB3081" s="1050">
        <v>0</v>
      </c>
      <c r="AC3081" s="1050">
        <v>0</v>
      </c>
      <c r="AD3081" s="1050">
        <v>0</v>
      </c>
      <c r="AE3081" s="1050">
        <v>1</v>
      </c>
      <c r="AF3081" s="1052">
        <f t="shared" si="44"/>
        <v>0</v>
      </c>
    </row>
    <row r="3082" spans="1:32" ht="15.75" x14ac:dyDescent="0.25">
      <c r="A3082" s="2017"/>
      <c r="B3082" s="2018"/>
      <c r="C3082" s="2018"/>
      <c r="D3082" s="2018"/>
      <c r="E3082" s="2018"/>
      <c r="F3082" s="2018"/>
      <c r="G3082" s="2018"/>
      <c r="H3082" s="2018"/>
      <c r="I3082" s="2018"/>
      <c r="J3082" s="2018"/>
      <c r="K3082" s="2018"/>
      <c r="L3082" s="2018"/>
      <c r="M3082" s="2018"/>
      <c r="N3082" s="2018"/>
      <c r="O3082" s="2018"/>
      <c r="P3082" s="2018"/>
      <c r="Q3082" s="2018"/>
      <c r="R3082" s="2018"/>
      <c r="S3082" s="2018"/>
      <c r="T3082" s="2018"/>
      <c r="U3082" s="2018"/>
      <c r="V3082" s="2018"/>
      <c r="W3082" s="2018"/>
      <c r="X3082" s="2018"/>
      <c r="Y3082" s="2018"/>
      <c r="Z3082" s="2021" t="s">
        <v>2450</v>
      </c>
      <c r="AA3082" s="2021"/>
      <c r="AB3082" s="1050">
        <v>8</v>
      </c>
      <c r="AC3082" s="1050">
        <v>1</v>
      </c>
      <c r="AD3082" s="1050">
        <v>0.1</v>
      </c>
      <c r="AE3082" s="1050">
        <v>1</v>
      </c>
      <c r="AF3082" s="1052">
        <f t="shared" si="44"/>
        <v>0.8</v>
      </c>
    </row>
    <row r="3083" spans="1:32" ht="15.75" x14ac:dyDescent="0.25">
      <c r="A3083" s="2017"/>
      <c r="B3083" s="2018"/>
      <c r="C3083" s="2018"/>
      <c r="D3083" s="2018"/>
      <c r="E3083" s="2018"/>
      <c r="F3083" s="2018"/>
      <c r="G3083" s="2018"/>
      <c r="H3083" s="2018"/>
      <c r="I3083" s="2018"/>
      <c r="J3083" s="2018"/>
      <c r="K3083" s="2018"/>
      <c r="L3083" s="2018"/>
      <c r="M3083" s="2018"/>
      <c r="N3083" s="2018"/>
      <c r="O3083" s="2018"/>
      <c r="P3083" s="2018"/>
      <c r="Q3083" s="2018"/>
      <c r="R3083" s="2018"/>
      <c r="S3083" s="2018"/>
      <c r="T3083" s="2018"/>
      <c r="U3083" s="2018"/>
      <c r="V3083" s="2018"/>
      <c r="W3083" s="2018"/>
      <c r="X3083" s="2018"/>
      <c r="Y3083" s="2018"/>
      <c r="Z3083" s="2021"/>
      <c r="AA3083" s="2021"/>
      <c r="AB3083" s="1050"/>
      <c r="AC3083" s="1050"/>
      <c r="AD3083" s="1050"/>
      <c r="AE3083" s="1050"/>
      <c r="AF3083" s="1052"/>
    </row>
    <row r="3084" spans="1:32" ht="15.75" x14ac:dyDescent="0.25">
      <c r="A3084" s="2017"/>
      <c r="B3084" s="2018"/>
      <c r="C3084" s="2018"/>
      <c r="D3084" s="2018"/>
      <c r="E3084" s="2018"/>
      <c r="F3084" s="2018"/>
      <c r="G3084" s="2018"/>
      <c r="H3084" s="2018"/>
      <c r="I3084" s="2018"/>
      <c r="J3084" s="2018"/>
      <c r="K3084" s="2018"/>
      <c r="L3084" s="2018"/>
      <c r="M3084" s="2018"/>
      <c r="N3084" s="2018"/>
      <c r="O3084" s="2018"/>
      <c r="P3084" s="2018"/>
      <c r="Q3084" s="2018"/>
      <c r="R3084" s="2018"/>
      <c r="S3084" s="2018"/>
      <c r="T3084" s="2018"/>
      <c r="U3084" s="2018"/>
      <c r="V3084" s="2018"/>
      <c r="W3084" s="2018"/>
      <c r="X3084" s="2018"/>
      <c r="Y3084" s="2018"/>
      <c r="Z3084" s="2021"/>
      <c r="AA3084" s="2021"/>
      <c r="AB3084" s="1050"/>
      <c r="AC3084" s="1050"/>
      <c r="AD3084" s="1050"/>
      <c r="AE3084" s="1050"/>
      <c r="AF3084" s="1052"/>
    </row>
    <row r="3085" spans="1:32" ht="15.75" x14ac:dyDescent="0.25">
      <c r="A3085" s="2017"/>
      <c r="B3085" s="2018"/>
      <c r="C3085" s="2018"/>
      <c r="D3085" s="2018"/>
      <c r="E3085" s="2018"/>
      <c r="F3085" s="2018"/>
      <c r="G3085" s="2018"/>
      <c r="H3085" s="2018"/>
      <c r="I3085" s="2018"/>
      <c r="J3085" s="2018"/>
      <c r="K3085" s="2018"/>
      <c r="L3085" s="2018"/>
      <c r="M3085" s="2018"/>
      <c r="N3085" s="2018"/>
      <c r="O3085" s="2018"/>
      <c r="P3085" s="2018"/>
      <c r="Q3085" s="2018"/>
      <c r="R3085" s="2018"/>
      <c r="S3085" s="2018"/>
      <c r="T3085" s="2018"/>
      <c r="U3085" s="2018"/>
      <c r="V3085" s="2018"/>
      <c r="W3085" s="2018"/>
      <c r="X3085" s="2018"/>
      <c r="Y3085" s="2018"/>
      <c r="Z3085" s="2021"/>
      <c r="AA3085" s="2021"/>
      <c r="AB3085" s="1050"/>
      <c r="AC3085" s="1050"/>
      <c r="AD3085" s="1050"/>
      <c r="AE3085" s="1050"/>
      <c r="AF3085" s="1052"/>
    </row>
    <row r="3086" spans="1:32" ht="15.75" x14ac:dyDescent="0.25">
      <c r="A3086" s="2017"/>
      <c r="B3086" s="2018"/>
      <c r="C3086" s="2018"/>
      <c r="D3086" s="2018"/>
      <c r="E3086" s="2018"/>
      <c r="F3086" s="2018"/>
      <c r="G3086" s="2018"/>
      <c r="H3086" s="2018"/>
      <c r="I3086" s="2018"/>
      <c r="J3086" s="2018"/>
      <c r="K3086" s="2018"/>
      <c r="L3086" s="2018"/>
      <c r="M3086" s="2018"/>
      <c r="N3086" s="2018"/>
      <c r="O3086" s="2018"/>
      <c r="P3086" s="2018"/>
      <c r="Q3086" s="2018"/>
      <c r="R3086" s="2018"/>
      <c r="S3086" s="2018"/>
      <c r="T3086" s="2018"/>
      <c r="U3086" s="2018"/>
      <c r="V3086" s="2018"/>
      <c r="W3086" s="2018"/>
      <c r="X3086" s="2018"/>
      <c r="Y3086" s="2018"/>
      <c r="Z3086" s="2021"/>
      <c r="AA3086" s="2021"/>
      <c r="AB3086" s="1050"/>
      <c r="AC3086" s="1050"/>
      <c r="AD3086" s="1050"/>
      <c r="AE3086" s="1050"/>
      <c r="AF3086" s="1052"/>
    </row>
    <row r="3087" spans="1:32" ht="15.75" x14ac:dyDescent="0.25">
      <c r="A3087" s="2017"/>
      <c r="B3087" s="2018"/>
      <c r="C3087" s="2018"/>
      <c r="D3087" s="2018"/>
      <c r="E3087" s="2018"/>
      <c r="F3087" s="2018"/>
      <c r="G3087" s="2018"/>
      <c r="H3087" s="2018"/>
      <c r="I3087" s="2018"/>
      <c r="J3087" s="2018"/>
      <c r="K3087" s="2018"/>
      <c r="L3087" s="2018"/>
      <c r="M3087" s="2018"/>
      <c r="N3087" s="2018"/>
      <c r="O3087" s="2018"/>
      <c r="P3087" s="2018"/>
      <c r="Q3087" s="2018"/>
      <c r="R3087" s="2018"/>
      <c r="S3087" s="2018"/>
      <c r="T3087" s="2018"/>
      <c r="U3087" s="2018"/>
      <c r="V3087" s="2018"/>
      <c r="W3087" s="2018"/>
      <c r="X3087" s="2018"/>
      <c r="Y3087" s="2018"/>
      <c r="Z3087" s="2021"/>
      <c r="AA3087" s="2021"/>
      <c r="AB3087" s="1050"/>
      <c r="AC3087" s="1050"/>
      <c r="AD3087" s="1050"/>
      <c r="AE3087" s="1050"/>
      <c r="AF3087" s="1052"/>
    </row>
    <row r="3088" spans="1:32" ht="15.75" x14ac:dyDescent="0.25">
      <c r="A3088" s="2017"/>
      <c r="B3088" s="2018"/>
      <c r="C3088" s="2018"/>
      <c r="D3088" s="2018"/>
      <c r="E3088" s="2018"/>
      <c r="F3088" s="2018"/>
      <c r="G3088" s="2018"/>
      <c r="H3088" s="2018"/>
      <c r="I3088" s="2018"/>
      <c r="J3088" s="2018"/>
      <c r="K3088" s="2018"/>
      <c r="L3088" s="2018"/>
      <c r="M3088" s="2018"/>
      <c r="N3088" s="2018"/>
      <c r="O3088" s="2018"/>
      <c r="P3088" s="2018"/>
      <c r="Q3088" s="2018"/>
      <c r="R3088" s="2018"/>
      <c r="S3088" s="2018"/>
      <c r="T3088" s="2018"/>
      <c r="U3088" s="2018"/>
      <c r="V3088" s="2018"/>
      <c r="W3088" s="2018"/>
      <c r="X3088" s="2018"/>
      <c r="Y3088" s="2018"/>
      <c r="Z3088" s="2021"/>
      <c r="AA3088" s="2021"/>
      <c r="AB3088" s="1050"/>
      <c r="AC3088" s="1050"/>
      <c r="AD3088" s="1050"/>
      <c r="AE3088" s="1050"/>
      <c r="AF3088" s="1052"/>
    </row>
    <row r="3089" spans="1:32" ht="15.75" x14ac:dyDescent="0.25">
      <c r="A3089" s="2017"/>
      <c r="B3089" s="2018"/>
      <c r="C3089" s="2018"/>
      <c r="D3089" s="2018"/>
      <c r="E3089" s="2018"/>
      <c r="F3089" s="2018"/>
      <c r="G3089" s="2018"/>
      <c r="H3089" s="2018"/>
      <c r="I3089" s="2018"/>
      <c r="J3089" s="2018"/>
      <c r="K3089" s="2018"/>
      <c r="L3089" s="2018"/>
      <c r="M3089" s="2018"/>
      <c r="N3089" s="2018"/>
      <c r="O3089" s="2018"/>
      <c r="P3089" s="2018"/>
      <c r="Q3089" s="2018"/>
      <c r="R3089" s="2018"/>
      <c r="S3089" s="2018"/>
      <c r="T3089" s="2018"/>
      <c r="U3089" s="2018"/>
      <c r="V3089" s="2018"/>
      <c r="W3089" s="2018"/>
      <c r="X3089" s="2018"/>
      <c r="Y3089" s="2018"/>
      <c r="Z3089" s="2021"/>
      <c r="AA3089" s="2021"/>
      <c r="AB3089" s="1050"/>
      <c r="AC3089" s="1050"/>
      <c r="AD3089" s="1050"/>
      <c r="AE3089" s="1050"/>
      <c r="AF3089" s="1052"/>
    </row>
    <row r="3090" spans="1:32" ht="15.75" x14ac:dyDescent="0.25">
      <c r="A3090" s="2017"/>
      <c r="B3090" s="2018"/>
      <c r="C3090" s="2018"/>
      <c r="D3090" s="2018"/>
      <c r="E3090" s="2018"/>
      <c r="F3090" s="2018"/>
      <c r="G3090" s="2018"/>
      <c r="H3090" s="2018"/>
      <c r="I3090" s="2018"/>
      <c r="J3090" s="2018"/>
      <c r="K3090" s="2018"/>
      <c r="L3090" s="2018"/>
      <c r="M3090" s="2018"/>
      <c r="N3090" s="2018"/>
      <c r="O3090" s="2018"/>
      <c r="P3090" s="2018"/>
      <c r="Q3090" s="2018"/>
      <c r="R3090" s="2018"/>
      <c r="S3090" s="2018"/>
      <c r="T3090" s="2018"/>
      <c r="U3090" s="2018"/>
      <c r="V3090" s="2018"/>
      <c r="W3090" s="2018"/>
      <c r="X3090" s="2018"/>
      <c r="Y3090" s="2018"/>
      <c r="Z3090" s="2021"/>
      <c r="AA3090" s="2021"/>
      <c r="AB3090" s="1050"/>
      <c r="AC3090" s="1050"/>
      <c r="AD3090" s="1050"/>
      <c r="AE3090" s="1050"/>
      <c r="AF3090" s="1052"/>
    </row>
    <row r="3091" spans="1:32" ht="15.75" x14ac:dyDescent="0.25">
      <c r="A3091" s="2017"/>
      <c r="B3091" s="2018"/>
      <c r="C3091" s="2018"/>
      <c r="D3091" s="2018"/>
      <c r="E3091" s="2018"/>
      <c r="F3091" s="2018"/>
      <c r="G3091" s="2018"/>
      <c r="H3091" s="2018"/>
      <c r="I3091" s="2018"/>
      <c r="J3091" s="2018"/>
      <c r="K3091" s="2018"/>
      <c r="L3091" s="2018"/>
      <c r="M3091" s="2018"/>
      <c r="N3091" s="2018"/>
      <c r="O3091" s="2018"/>
      <c r="P3091" s="2018"/>
      <c r="Q3091" s="2018"/>
      <c r="R3091" s="2018"/>
      <c r="S3091" s="2018"/>
      <c r="T3091" s="2018"/>
      <c r="U3091" s="2018"/>
      <c r="V3091" s="2018"/>
      <c r="W3091" s="2018"/>
      <c r="X3091" s="2018"/>
      <c r="Y3091" s="2018"/>
      <c r="Z3091" s="2021"/>
      <c r="AA3091" s="2021"/>
      <c r="AB3091" s="1050"/>
      <c r="AC3091" s="1050"/>
      <c r="AD3091" s="1050"/>
      <c r="AE3091" s="1050"/>
      <c r="AF3091" s="1052"/>
    </row>
    <row r="3092" spans="1:32" ht="15.75" x14ac:dyDescent="0.25">
      <c r="A3092" s="2017"/>
      <c r="B3092" s="2018"/>
      <c r="C3092" s="2018"/>
      <c r="D3092" s="2018"/>
      <c r="E3092" s="2018"/>
      <c r="F3092" s="2018"/>
      <c r="G3092" s="2018"/>
      <c r="H3092" s="2018"/>
      <c r="I3092" s="2018"/>
      <c r="J3092" s="2018"/>
      <c r="K3092" s="2018"/>
      <c r="L3092" s="2018"/>
      <c r="M3092" s="2018"/>
      <c r="N3092" s="2018"/>
      <c r="O3092" s="2018"/>
      <c r="P3092" s="2018"/>
      <c r="Q3092" s="2018"/>
      <c r="R3092" s="2018"/>
      <c r="S3092" s="2018"/>
      <c r="T3092" s="2018"/>
      <c r="U3092" s="2018"/>
      <c r="V3092" s="2018"/>
      <c r="W3092" s="2018"/>
      <c r="X3092" s="2018"/>
      <c r="Y3092" s="2018"/>
      <c r="Z3092" s="2021"/>
      <c r="AA3092" s="2021"/>
      <c r="AB3092" s="1050"/>
      <c r="AC3092" s="1050"/>
      <c r="AD3092" s="1050"/>
      <c r="AE3092" s="1050"/>
      <c r="AF3092" s="1052"/>
    </row>
    <row r="3093" spans="1:32" ht="15.75" x14ac:dyDescent="0.25">
      <c r="A3093" s="2017"/>
      <c r="B3093" s="2018"/>
      <c r="C3093" s="2018"/>
      <c r="D3093" s="2018"/>
      <c r="E3093" s="2018"/>
      <c r="F3093" s="2018"/>
      <c r="G3093" s="2018"/>
      <c r="H3093" s="2018"/>
      <c r="I3093" s="2018"/>
      <c r="J3093" s="2018"/>
      <c r="K3093" s="2018"/>
      <c r="L3093" s="2018"/>
      <c r="M3093" s="2018"/>
      <c r="N3093" s="2018"/>
      <c r="O3093" s="2018"/>
      <c r="P3093" s="2018"/>
      <c r="Q3093" s="2018"/>
      <c r="R3093" s="2018"/>
      <c r="S3093" s="2018"/>
      <c r="T3093" s="2018"/>
      <c r="U3093" s="2018"/>
      <c r="V3093" s="2018"/>
      <c r="W3093" s="2018"/>
      <c r="X3093" s="2018"/>
      <c r="Y3093" s="2018"/>
      <c r="Z3093" s="2022"/>
      <c r="AA3093" s="2022"/>
      <c r="AB3093" s="1050"/>
      <c r="AC3093" s="1050"/>
      <c r="AD3093" s="1050"/>
      <c r="AE3093" s="1050"/>
      <c r="AF3093" s="1052"/>
    </row>
    <row r="3094" spans="1:32" ht="15.75" x14ac:dyDescent="0.25">
      <c r="A3094" s="2017"/>
      <c r="B3094" s="2018"/>
      <c r="C3094" s="2018"/>
      <c r="D3094" s="2018"/>
      <c r="E3094" s="2018"/>
      <c r="F3094" s="2018"/>
      <c r="G3094" s="2018"/>
      <c r="H3094" s="2018"/>
      <c r="I3094" s="2018"/>
      <c r="J3094" s="2018"/>
      <c r="K3094" s="2018"/>
      <c r="L3094" s="2018"/>
      <c r="M3094" s="2018"/>
      <c r="N3094" s="2018"/>
      <c r="O3094" s="2018"/>
      <c r="P3094" s="2018"/>
      <c r="Q3094" s="2018"/>
      <c r="R3094" s="2018"/>
      <c r="S3094" s="2018"/>
      <c r="T3094" s="2018"/>
      <c r="U3094" s="2018"/>
      <c r="V3094" s="2018"/>
      <c r="W3094" s="2018"/>
      <c r="X3094" s="2018"/>
      <c r="Y3094" s="2018"/>
      <c r="Z3094" s="2022"/>
      <c r="AA3094" s="2022"/>
      <c r="AB3094" s="1050"/>
      <c r="AC3094" s="1050"/>
      <c r="AD3094" s="1050"/>
      <c r="AE3094" s="1050"/>
      <c r="AF3094" s="1052"/>
    </row>
    <row r="3095" spans="1:32" ht="15.75" x14ac:dyDescent="0.25">
      <c r="A3095" s="2017"/>
      <c r="B3095" s="2018"/>
      <c r="C3095" s="2018"/>
      <c r="D3095" s="2018"/>
      <c r="E3095" s="2018"/>
      <c r="F3095" s="2018"/>
      <c r="G3095" s="2018"/>
      <c r="H3095" s="2018"/>
      <c r="I3095" s="2018"/>
      <c r="J3095" s="2018"/>
      <c r="K3095" s="2018"/>
      <c r="L3095" s="2018"/>
      <c r="M3095" s="2018"/>
      <c r="N3095" s="2018"/>
      <c r="O3095" s="2018"/>
      <c r="P3095" s="2018"/>
      <c r="Q3095" s="2018"/>
      <c r="R3095" s="2018"/>
      <c r="S3095" s="2018"/>
      <c r="T3095" s="2018"/>
      <c r="U3095" s="2018"/>
      <c r="V3095" s="2018"/>
      <c r="W3095" s="2018"/>
      <c r="X3095" s="2018"/>
      <c r="Y3095" s="2018"/>
      <c r="Z3095" s="2022"/>
      <c r="AA3095" s="2022"/>
      <c r="AB3095" s="1050"/>
      <c r="AC3095" s="1050"/>
      <c r="AD3095" s="1050"/>
      <c r="AE3095" s="1050"/>
      <c r="AF3095" s="1052"/>
    </row>
    <row r="3096" spans="1:32" ht="15.75" x14ac:dyDescent="0.25">
      <c r="A3096" s="2017"/>
      <c r="B3096" s="2018"/>
      <c r="C3096" s="2018"/>
      <c r="D3096" s="2018"/>
      <c r="E3096" s="2018"/>
      <c r="F3096" s="2018"/>
      <c r="G3096" s="2018"/>
      <c r="H3096" s="2018"/>
      <c r="I3096" s="2018"/>
      <c r="J3096" s="2018"/>
      <c r="K3096" s="2018"/>
      <c r="L3096" s="2018"/>
      <c r="M3096" s="2018"/>
      <c r="N3096" s="2018"/>
      <c r="O3096" s="2018"/>
      <c r="P3096" s="2018"/>
      <c r="Q3096" s="2018"/>
      <c r="R3096" s="2018"/>
      <c r="S3096" s="2018"/>
      <c r="T3096" s="2018"/>
      <c r="U3096" s="2018"/>
      <c r="V3096" s="2018"/>
      <c r="W3096" s="2018"/>
      <c r="X3096" s="2018"/>
      <c r="Y3096" s="2018"/>
      <c r="Z3096" s="2023"/>
      <c r="AA3096" s="2023"/>
      <c r="AB3096" s="1050"/>
      <c r="AC3096" s="1050"/>
      <c r="AD3096" s="1050"/>
      <c r="AE3096" s="1050"/>
      <c r="AF3096" s="1052"/>
    </row>
    <row r="3097" spans="1:32" ht="15.75" x14ac:dyDescent="0.25">
      <c r="A3097" s="2017"/>
      <c r="B3097" s="2018"/>
      <c r="C3097" s="2018"/>
      <c r="D3097" s="2018"/>
      <c r="E3097" s="2018"/>
      <c r="F3097" s="2018"/>
      <c r="G3097" s="2018"/>
      <c r="H3097" s="2018"/>
      <c r="I3097" s="2018"/>
      <c r="J3097" s="2018"/>
      <c r="K3097" s="2018"/>
      <c r="L3097" s="2018"/>
      <c r="M3097" s="2018"/>
      <c r="N3097" s="2018"/>
      <c r="O3097" s="2018"/>
      <c r="P3097" s="2018"/>
      <c r="Q3097" s="2018"/>
      <c r="R3097" s="2018"/>
      <c r="S3097" s="2018"/>
      <c r="T3097" s="2018"/>
      <c r="U3097" s="2018"/>
      <c r="V3097" s="2018"/>
      <c r="W3097" s="2018"/>
      <c r="X3097" s="2018"/>
      <c r="Y3097" s="2018"/>
      <c r="Z3097" s="2023"/>
      <c r="AA3097" s="2023"/>
      <c r="AB3097" s="1050"/>
      <c r="AC3097" s="1050"/>
      <c r="AD3097" s="1050"/>
      <c r="AE3097" s="1050"/>
      <c r="AF3097" s="1052"/>
    </row>
    <row r="3098" spans="1:32" ht="15.75" x14ac:dyDescent="0.25">
      <c r="A3098" s="2017"/>
      <c r="B3098" s="2018"/>
      <c r="C3098" s="2018"/>
      <c r="D3098" s="2018"/>
      <c r="E3098" s="2018"/>
      <c r="F3098" s="2018"/>
      <c r="G3098" s="2018"/>
      <c r="H3098" s="2018"/>
      <c r="I3098" s="2018"/>
      <c r="J3098" s="2018"/>
      <c r="K3098" s="2018"/>
      <c r="L3098" s="2018"/>
      <c r="M3098" s="2018"/>
      <c r="N3098" s="2018"/>
      <c r="O3098" s="2018"/>
      <c r="P3098" s="2018"/>
      <c r="Q3098" s="2018"/>
      <c r="R3098" s="2018"/>
      <c r="S3098" s="2018"/>
      <c r="T3098" s="2018"/>
      <c r="U3098" s="2018"/>
      <c r="V3098" s="2018"/>
      <c r="W3098" s="2018"/>
      <c r="X3098" s="2018"/>
      <c r="Y3098" s="2018"/>
      <c r="Z3098" s="2023"/>
      <c r="AA3098" s="2023"/>
      <c r="AB3098" s="1050"/>
      <c r="AC3098" s="1050"/>
      <c r="AD3098" s="1050"/>
      <c r="AE3098" s="1050"/>
      <c r="AF3098" s="1052"/>
    </row>
    <row r="3099" spans="1:32" ht="15.75" x14ac:dyDescent="0.25">
      <c r="A3099" s="2017"/>
      <c r="B3099" s="2018"/>
      <c r="C3099" s="2018"/>
      <c r="D3099" s="2018"/>
      <c r="E3099" s="2018"/>
      <c r="F3099" s="2018"/>
      <c r="G3099" s="2018"/>
      <c r="H3099" s="2018"/>
      <c r="I3099" s="2018"/>
      <c r="J3099" s="2018"/>
      <c r="K3099" s="2018"/>
      <c r="L3099" s="2018"/>
      <c r="M3099" s="2018"/>
      <c r="N3099" s="2018"/>
      <c r="O3099" s="2018"/>
      <c r="P3099" s="2018"/>
      <c r="Q3099" s="2018"/>
      <c r="R3099" s="2018"/>
      <c r="S3099" s="2018"/>
      <c r="T3099" s="2018"/>
      <c r="U3099" s="2018"/>
      <c r="V3099" s="2018"/>
      <c r="W3099" s="2018"/>
      <c r="X3099" s="2018"/>
      <c r="Y3099" s="2018"/>
      <c r="Z3099" s="2023"/>
      <c r="AA3099" s="2023"/>
      <c r="AB3099" s="1050"/>
      <c r="AC3099" s="1050"/>
      <c r="AD3099" s="1050"/>
      <c r="AE3099" s="1050"/>
      <c r="AF3099" s="1052"/>
    </row>
    <row r="3100" spans="1:32" ht="15.75" x14ac:dyDescent="0.25">
      <c r="A3100" s="2017"/>
      <c r="B3100" s="2018"/>
      <c r="C3100" s="2018"/>
      <c r="D3100" s="2018"/>
      <c r="E3100" s="2018"/>
      <c r="F3100" s="2018"/>
      <c r="G3100" s="2018"/>
      <c r="H3100" s="2018"/>
      <c r="I3100" s="2018"/>
      <c r="J3100" s="2018"/>
      <c r="K3100" s="2018"/>
      <c r="L3100" s="2018"/>
      <c r="M3100" s="2018"/>
      <c r="N3100" s="2018"/>
      <c r="O3100" s="2018"/>
      <c r="P3100" s="2018"/>
      <c r="Q3100" s="2018"/>
      <c r="R3100" s="2018"/>
      <c r="S3100" s="2018"/>
      <c r="T3100" s="2018"/>
      <c r="U3100" s="2018"/>
      <c r="V3100" s="2018"/>
      <c r="W3100" s="2018"/>
      <c r="X3100" s="2018"/>
      <c r="Y3100" s="2018"/>
      <c r="Z3100" s="2023"/>
      <c r="AA3100" s="2023"/>
      <c r="AB3100" s="1050"/>
      <c r="AC3100" s="1050"/>
      <c r="AD3100" s="1050"/>
      <c r="AE3100" s="1050"/>
      <c r="AF3100" s="1052"/>
    </row>
    <row r="3101" spans="1:32" ht="15.75" x14ac:dyDescent="0.25">
      <c r="A3101" s="2017"/>
      <c r="B3101" s="2018"/>
      <c r="C3101" s="2018"/>
      <c r="D3101" s="2018"/>
      <c r="E3101" s="2018"/>
      <c r="F3101" s="2018"/>
      <c r="G3101" s="2018"/>
      <c r="H3101" s="2018"/>
      <c r="I3101" s="2018"/>
      <c r="J3101" s="2018"/>
      <c r="K3101" s="2018"/>
      <c r="L3101" s="2018"/>
      <c r="M3101" s="2018"/>
      <c r="N3101" s="2018"/>
      <c r="O3101" s="2018"/>
      <c r="P3101" s="2018"/>
      <c r="Q3101" s="2018"/>
      <c r="R3101" s="2018"/>
      <c r="S3101" s="2018"/>
      <c r="T3101" s="2018"/>
      <c r="U3101" s="2018"/>
      <c r="V3101" s="2018"/>
      <c r="W3101" s="2018"/>
      <c r="X3101" s="2018"/>
      <c r="Y3101" s="2018"/>
      <c r="Z3101" s="2023"/>
      <c r="AA3101" s="2023"/>
      <c r="AB3101" s="1050"/>
      <c r="AC3101" s="1050"/>
      <c r="AD3101" s="1050"/>
      <c r="AE3101" s="1050"/>
      <c r="AF3101" s="1052"/>
    </row>
    <row r="3102" spans="1:32" ht="16.5" thickBot="1" x14ac:dyDescent="0.3">
      <c r="A3102" s="2019"/>
      <c r="B3102" s="2020"/>
      <c r="C3102" s="2020"/>
      <c r="D3102" s="2020"/>
      <c r="E3102" s="2020"/>
      <c r="F3102" s="2020"/>
      <c r="G3102" s="2020"/>
      <c r="H3102" s="2020"/>
      <c r="I3102" s="2020"/>
      <c r="J3102" s="2020"/>
      <c r="K3102" s="2020"/>
      <c r="L3102" s="2020"/>
      <c r="M3102" s="2020"/>
      <c r="N3102" s="2020"/>
      <c r="O3102" s="2020"/>
      <c r="P3102" s="2020"/>
      <c r="Q3102" s="2020"/>
      <c r="R3102" s="2020"/>
      <c r="S3102" s="2020"/>
      <c r="T3102" s="2020"/>
      <c r="U3102" s="2020"/>
      <c r="V3102" s="2020"/>
      <c r="W3102" s="2020"/>
      <c r="X3102" s="2020"/>
      <c r="Y3102" s="2020"/>
      <c r="Z3102" s="2024"/>
      <c r="AA3102" s="2024"/>
      <c r="AB3102" s="1057"/>
      <c r="AC3102" s="1057"/>
      <c r="AD3102" s="1057"/>
      <c r="AE3102" s="1057"/>
      <c r="AF3102" s="1058"/>
    </row>
    <row r="3103" spans="1:32" ht="15.75" x14ac:dyDescent="0.25">
      <c r="A3103" s="2009" t="s">
        <v>2465</v>
      </c>
      <c r="B3103" s="2010"/>
      <c r="C3103" s="2010"/>
      <c r="D3103" s="2010"/>
      <c r="E3103" s="2010"/>
      <c r="F3103" s="2010"/>
      <c r="G3103" s="2010"/>
      <c r="H3103" s="2010"/>
      <c r="I3103" s="2010"/>
      <c r="J3103" s="2010"/>
      <c r="K3103" s="2010"/>
      <c r="L3103" s="2010"/>
      <c r="M3103" s="2010"/>
      <c r="N3103" s="2010"/>
      <c r="O3103" s="2010"/>
      <c r="P3103" s="2010"/>
      <c r="Q3103" s="2010"/>
      <c r="R3103" s="2010"/>
      <c r="S3103" s="2010"/>
      <c r="T3103" s="2010"/>
      <c r="U3103" s="2010"/>
      <c r="V3103" s="2010"/>
      <c r="W3103" s="2010"/>
      <c r="X3103" s="2010"/>
      <c r="Y3103" s="2010"/>
      <c r="Z3103" s="2013" t="s">
        <v>1850</v>
      </c>
      <c r="AA3103" s="2013"/>
      <c r="AB3103" s="2013"/>
      <c r="AC3103" s="2013"/>
      <c r="AD3103" s="2013"/>
      <c r="AE3103" s="2013"/>
      <c r="AF3103" s="1059">
        <f>SUM(AF3079:AF3102)</f>
        <v>0.8</v>
      </c>
    </row>
    <row r="3104" spans="1:32" ht="15.75" x14ac:dyDescent="0.25">
      <c r="A3104" s="2011"/>
      <c r="B3104" s="2012"/>
      <c r="C3104" s="2012"/>
      <c r="D3104" s="2012"/>
      <c r="E3104" s="2012"/>
      <c r="F3104" s="2012"/>
      <c r="G3104" s="2012"/>
      <c r="H3104" s="2012"/>
      <c r="I3104" s="2012"/>
      <c r="J3104" s="2012"/>
      <c r="K3104" s="2012"/>
      <c r="L3104" s="2012"/>
      <c r="M3104" s="2012"/>
      <c r="N3104" s="2012"/>
      <c r="O3104" s="2012"/>
      <c r="P3104" s="2012"/>
      <c r="Q3104" s="2012"/>
      <c r="R3104" s="2012"/>
      <c r="S3104" s="2012"/>
      <c r="T3104" s="2012"/>
      <c r="U3104" s="2012"/>
      <c r="V3104" s="2012"/>
      <c r="W3104" s="2012"/>
      <c r="X3104" s="2012"/>
      <c r="Y3104" s="2012"/>
      <c r="Z3104" s="2014" t="s">
        <v>1851</v>
      </c>
      <c r="AA3104" s="2014"/>
      <c r="AB3104" s="2014"/>
      <c r="AC3104" s="2014"/>
      <c r="AD3104" s="2014"/>
      <c r="AE3104" s="2014"/>
      <c r="AF3104" s="1060">
        <v>0</v>
      </c>
    </row>
    <row r="3105" spans="1:32" ht="15.75" x14ac:dyDescent="0.25">
      <c r="A3105" s="2011"/>
      <c r="B3105" s="2012"/>
      <c r="C3105" s="2012"/>
      <c r="D3105" s="2012"/>
      <c r="E3105" s="2012"/>
      <c r="F3105" s="2012"/>
      <c r="G3105" s="2012"/>
      <c r="H3105" s="2012"/>
      <c r="I3105" s="2012"/>
      <c r="J3105" s="2012"/>
      <c r="K3105" s="2012"/>
      <c r="L3105" s="2012"/>
      <c r="M3105" s="2012"/>
      <c r="N3105" s="2012"/>
      <c r="O3105" s="2012"/>
      <c r="P3105" s="2012"/>
      <c r="Q3105" s="2012"/>
      <c r="R3105" s="2012"/>
      <c r="S3105" s="2012"/>
      <c r="T3105" s="2012"/>
      <c r="U3105" s="2012"/>
      <c r="V3105" s="2012"/>
      <c r="W3105" s="2012"/>
      <c r="X3105" s="2012"/>
      <c r="Y3105" s="2012"/>
      <c r="Z3105" s="2015" t="s">
        <v>1833</v>
      </c>
      <c r="AA3105" s="2015"/>
      <c r="AB3105" s="2015"/>
      <c r="AC3105" s="2015"/>
      <c r="AD3105" s="2015"/>
      <c r="AE3105" s="2015"/>
      <c r="AF3105" s="1061">
        <f>SUM(AF3103:AF3104)</f>
        <v>0.8</v>
      </c>
    </row>
    <row r="3106" spans="1:32" x14ac:dyDescent="0.2">
      <c r="A3106" s="2012" t="s">
        <v>1859</v>
      </c>
      <c r="B3106" s="2012"/>
      <c r="C3106" s="2012"/>
      <c r="D3106" s="2012"/>
      <c r="E3106" s="2012"/>
      <c r="F3106" s="2012"/>
      <c r="G3106" s="2012"/>
      <c r="H3106" s="2012"/>
      <c r="I3106" s="2012"/>
      <c r="J3106" s="2012"/>
      <c r="K3106" s="2012"/>
      <c r="L3106" s="2012"/>
      <c r="M3106" s="2012"/>
      <c r="N3106" s="2012"/>
      <c r="O3106" s="2012"/>
      <c r="P3106" s="2012"/>
      <c r="Q3106" s="2012"/>
      <c r="R3106" s="2012"/>
      <c r="S3106" s="2012"/>
      <c r="T3106" s="2016" t="s">
        <v>1840</v>
      </c>
      <c r="U3106" s="2016"/>
      <c r="V3106" s="2016"/>
      <c r="W3106" s="2016"/>
      <c r="X3106" s="2016"/>
      <c r="Y3106" s="2016"/>
      <c r="Z3106" s="2016"/>
      <c r="AA3106" s="2016"/>
      <c r="AB3106" s="2012" t="s">
        <v>1852</v>
      </c>
      <c r="AC3106" s="2012"/>
      <c r="AD3106" s="2012"/>
      <c r="AE3106" s="2012"/>
      <c r="AF3106" s="2012"/>
    </row>
    <row r="3107" spans="1:32" x14ac:dyDescent="0.2">
      <c r="A3107" s="2012"/>
      <c r="B3107" s="2012"/>
      <c r="C3107" s="2012"/>
      <c r="D3107" s="2012"/>
      <c r="E3107" s="2012"/>
      <c r="F3107" s="2012"/>
      <c r="G3107" s="2012"/>
      <c r="H3107" s="2012"/>
      <c r="I3107" s="2012"/>
      <c r="J3107" s="2012"/>
      <c r="K3107" s="2012"/>
      <c r="L3107" s="2012"/>
      <c r="M3107" s="2012"/>
      <c r="N3107" s="2012"/>
      <c r="O3107" s="2012"/>
      <c r="P3107" s="2012"/>
      <c r="Q3107" s="2012"/>
      <c r="R3107" s="2012"/>
      <c r="S3107" s="2012"/>
      <c r="T3107" s="2016"/>
      <c r="U3107" s="2016"/>
      <c r="V3107" s="2016"/>
      <c r="W3107" s="2016"/>
      <c r="X3107" s="2016"/>
      <c r="Y3107" s="2016"/>
      <c r="Z3107" s="2016"/>
      <c r="AA3107" s="2016"/>
      <c r="AB3107" s="2012"/>
      <c r="AC3107" s="2012"/>
      <c r="AD3107" s="2012"/>
      <c r="AE3107" s="2012"/>
      <c r="AF3107" s="2012"/>
    </row>
    <row r="3108" spans="1:32" ht="13.5" thickBot="1" x14ac:dyDescent="0.25"/>
    <row r="3109" spans="1:32" ht="26.45" customHeight="1" x14ac:dyDescent="0.2">
      <c r="A3109" s="2025" t="s">
        <v>1854</v>
      </c>
      <c r="B3109" s="2026"/>
      <c r="C3109" s="2026"/>
      <c r="D3109" s="2026"/>
      <c r="E3109" s="2026"/>
      <c r="F3109" s="2026"/>
      <c r="G3109" s="2026"/>
      <c r="H3109" s="2026"/>
      <c r="I3109" s="2026"/>
      <c r="J3109" s="2026"/>
      <c r="K3109" s="2026"/>
      <c r="L3109" s="2026"/>
      <c r="M3109" s="2026"/>
      <c r="N3109" s="2026"/>
      <c r="O3109" s="2026"/>
      <c r="P3109" s="2026"/>
      <c r="Q3109" s="2026"/>
      <c r="R3109" s="2026"/>
      <c r="S3109" s="2026"/>
      <c r="T3109" s="2026"/>
      <c r="U3109" s="2026"/>
      <c r="V3109" s="2026"/>
      <c r="W3109" s="2026"/>
      <c r="X3109" s="2026"/>
      <c r="Y3109" s="2026"/>
      <c r="Z3109" s="2026"/>
      <c r="AA3109" s="2026"/>
      <c r="AB3109" s="2026"/>
      <c r="AC3109" s="2026"/>
      <c r="AD3109" s="2026"/>
      <c r="AE3109" s="1041" t="s">
        <v>1834</v>
      </c>
      <c r="AF3109" s="1042" t="s">
        <v>1835</v>
      </c>
    </row>
    <row r="3110" spans="1:32" ht="21" customHeight="1" thickBot="1" x14ac:dyDescent="0.25">
      <c r="A3110" s="2027"/>
      <c r="B3110" s="2028"/>
      <c r="C3110" s="2028"/>
      <c r="D3110" s="2028"/>
      <c r="E3110" s="2028"/>
      <c r="F3110" s="2028"/>
      <c r="G3110" s="2028"/>
      <c r="H3110" s="2028"/>
      <c r="I3110" s="2028"/>
      <c r="J3110" s="2028"/>
      <c r="K3110" s="2028"/>
      <c r="L3110" s="2028"/>
      <c r="M3110" s="2028"/>
      <c r="N3110" s="2028"/>
      <c r="O3110" s="2028"/>
      <c r="P3110" s="2028"/>
      <c r="Q3110" s="2028"/>
      <c r="R3110" s="2028"/>
      <c r="S3110" s="2028"/>
      <c r="T3110" s="2028"/>
      <c r="U3110" s="2028"/>
      <c r="V3110" s="2028"/>
      <c r="W3110" s="2028"/>
      <c r="X3110" s="2028"/>
      <c r="Y3110" s="2028"/>
      <c r="Z3110" s="2028"/>
      <c r="AA3110" s="2028"/>
      <c r="AB3110" s="2028"/>
      <c r="AC3110" s="2028"/>
      <c r="AD3110" s="2028"/>
      <c r="AE3110" s="1041" t="s">
        <v>1836</v>
      </c>
      <c r="AF3110" s="1044">
        <v>1</v>
      </c>
    </row>
    <row r="3111" spans="1:32" ht="15.75" x14ac:dyDescent="0.2">
      <c r="A3111" s="2029"/>
      <c r="B3111" s="2030"/>
      <c r="C3111" s="2030"/>
      <c r="D3111" s="2031"/>
      <c r="E3111" s="2025" t="str">
        <f>'01'!$A$12</f>
        <v>"CONSTRUCCION SISTEMA DE ACUEDUCTO FASE II DEL MUNICIPIO DE TESALIA DPTO DEL HUILA"</v>
      </c>
      <c r="F3111" s="2026"/>
      <c r="G3111" s="2026"/>
      <c r="H3111" s="2026"/>
      <c r="I3111" s="2026"/>
      <c r="J3111" s="2026"/>
      <c r="K3111" s="2026"/>
      <c r="L3111" s="2026"/>
      <c r="M3111" s="2026"/>
      <c r="N3111" s="2026"/>
      <c r="O3111" s="2026"/>
      <c r="P3111" s="2026"/>
      <c r="Q3111" s="2026"/>
      <c r="R3111" s="2026"/>
      <c r="S3111" s="2026"/>
      <c r="T3111" s="2026"/>
      <c r="U3111" s="2026"/>
      <c r="V3111" s="2026"/>
      <c r="W3111" s="2026"/>
      <c r="X3111" s="2026"/>
      <c r="Y3111" s="2026"/>
      <c r="Z3111" s="2026"/>
      <c r="AA3111" s="2026"/>
      <c r="AB3111" s="2026"/>
      <c r="AC3111" s="2026"/>
      <c r="AD3111" s="2035"/>
      <c r="AE3111" s="1041" t="s">
        <v>847</v>
      </c>
      <c r="AF3111" s="1045">
        <f>'01'!$M$13</f>
        <v>0</v>
      </c>
    </row>
    <row r="3112" spans="1:32" ht="16.5" thickBot="1" x14ac:dyDescent="0.25">
      <c r="A3112" s="2032"/>
      <c r="B3112" s="2033"/>
      <c r="C3112" s="2033"/>
      <c r="D3112" s="2034"/>
      <c r="E3112" s="2027"/>
      <c r="F3112" s="2028"/>
      <c r="G3112" s="2028"/>
      <c r="H3112" s="2028"/>
      <c r="I3112" s="2028"/>
      <c r="J3112" s="2028"/>
      <c r="K3112" s="2028"/>
      <c r="L3112" s="2028"/>
      <c r="M3112" s="2028"/>
      <c r="N3112" s="2028"/>
      <c r="O3112" s="2028"/>
      <c r="P3112" s="2028"/>
      <c r="Q3112" s="2028"/>
      <c r="R3112" s="2028"/>
      <c r="S3112" s="2028"/>
      <c r="T3112" s="2028"/>
      <c r="U3112" s="2028"/>
      <c r="V3112" s="2028"/>
      <c r="W3112" s="2028"/>
      <c r="X3112" s="2028"/>
      <c r="Y3112" s="2028"/>
      <c r="Z3112" s="2028"/>
      <c r="AA3112" s="2028"/>
      <c r="AB3112" s="2028"/>
      <c r="AC3112" s="2028"/>
      <c r="AD3112" s="2036"/>
      <c r="AE3112" s="1041" t="s">
        <v>1837</v>
      </c>
      <c r="AF3112" s="1042" t="s">
        <v>1838</v>
      </c>
    </row>
    <row r="3113" spans="1:32" ht="15.75" x14ac:dyDescent="0.25">
      <c r="A3113" s="2037" t="s">
        <v>1860</v>
      </c>
      <c r="B3113" s="2038"/>
      <c r="C3113" s="2038"/>
      <c r="D3113" s="2038"/>
      <c r="E3113" s="2038"/>
      <c r="F3113" s="2038"/>
      <c r="G3113" s="2038"/>
      <c r="H3113" s="2038"/>
      <c r="I3113" s="2038"/>
      <c r="J3113" s="2038"/>
      <c r="K3113" s="2038"/>
      <c r="L3113" s="2038"/>
      <c r="M3113" s="2038"/>
      <c r="N3113" s="2038"/>
      <c r="O3113" s="2038"/>
      <c r="P3113" s="2038"/>
      <c r="Q3113" s="2038"/>
      <c r="R3113" s="2038"/>
      <c r="S3113" s="2038"/>
      <c r="T3113" s="2038"/>
      <c r="U3113" s="2038"/>
      <c r="V3113" s="2038"/>
      <c r="W3113" s="2038"/>
      <c r="X3113" s="2038"/>
      <c r="Y3113" s="2038"/>
      <c r="Z3113" s="2038"/>
      <c r="AA3113" s="2038"/>
      <c r="AB3113" s="2038"/>
      <c r="AC3113" s="2038"/>
      <c r="AD3113" s="2038"/>
      <c r="AE3113" s="2039" t="s">
        <v>1839</v>
      </c>
      <c r="AF3113" s="2040"/>
    </row>
    <row r="3114" spans="1:32" ht="15.75" x14ac:dyDescent="0.25">
      <c r="A3114" s="2041" t="s">
        <v>1840</v>
      </c>
      <c r="B3114" s="2042"/>
      <c r="C3114" s="2042"/>
      <c r="D3114" s="2042"/>
      <c r="E3114" s="2042"/>
      <c r="F3114" s="2042"/>
      <c r="G3114" s="2042"/>
      <c r="H3114" s="2042"/>
      <c r="I3114" s="2042"/>
      <c r="J3114" s="2042"/>
      <c r="K3114" s="2042"/>
      <c r="L3114" s="2042"/>
      <c r="M3114" s="2042"/>
      <c r="N3114" s="2042"/>
      <c r="O3114" s="2042"/>
      <c r="P3114" s="2042"/>
      <c r="Q3114" s="2042"/>
      <c r="R3114" s="2042"/>
      <c r="S3114" s="2042"/>
      <c r="T3114" s="2042"/>
      <c r="U3114" s="2042"/>
      <c r="V3114" s="2042"/>
      <c r="W3114" s="2042"/>
      <c r="X3114" s="2042"/>
      <c r="Y3114" s="2042"/>
      <c r="Z3114" s="2042"/>
      <c r="AA3114" s="2042"/>
      <c r="AB3114" s="2042"/>
      <c r="AC3114" s="2042"/>
      <c r="AD3114" s="2043"/>
      <c r="AE3114" s="2014" t="s">
        <v>1841</v>
      </c>
      <c r="AF3114" s="2044"/>
    </row>
    <row r="3115" spans="1:32" ht="15.75" x14ac:dyDescent="0.25">
      <c r="A3115" s="2045" t="s">
        <v>1853</v>
      </c>
      <c r="B3115" s="2046"/>
      <c r="C3115" s="2046"/>
      <c r="D3115" s="2046"/>
      <c r="E3115" s="2046"/>
      <c r="F3115" s="2046"/>
      <c r="G3115" s="2046"/>
      <c r="H3115" s="2046"/>
      <c r="I3115" s="2046"/>
      <c r="J3115" s="2046"/>
      <c r="K3115" s="2046"/>
      <c r="L3115" s="2046"/>
      <c r="M3115" s="2046"/>
      <c r="N3115" s="2046"/>
      <c r="O3115" s="2046"/>
      <c r="P3115" s="2046"/>
      <c r="Q3115" s="2046"/>
      <c r="R3115" s="2046"/>
      <c r="S3115" s="2046"/>
      <c r="T3115" s="2046"/>
      <c r="U3115" s="2046"/>
      <c r="V3115" s="2046"/>
      <c r="W3115" s="2046"/>
      <c r="X3115" s="2046"/>
      <c r="Y3115" s="2046"/>
      <c r="Z3115" s="2046"/>
      <c r="AA3115" s="2046"/>
      <c r="AB3115" s="2046"/>
      <c r="AC3115" s="2046"/>
      <c r="AD3115" s="2046"/>
      <c r="AE3115" s="2047">
        <f>'01'!$M$13</f>
        <v>0</v>
      </c>
      <c r="AF3115" s="2044"/>
    </row>
    <row r="3116" spans="1:32" x14ac:dyDescent="0.2">
      <c r="A3116" s="1046"/>
      <c r="B3116" s="1047"/>
      <c r="C3116" s="1047"/>
      <c r="D3116" s="1047"/>
      <c r="E3116" s="1047"/>
      <c r="F3116" s="1047"/>
      <c r="G3116" s="1047"/>
      <c r="H3116" s="1047"/>
      <c r="I3116" s="1047"/>
      <c r="J3116" s="1047"/>
      <c r="K3116" s="1047"/>
      <c r="L3116" s="1047"/>
      <c r="M3116" s="1047"/>
      <c r="N3116" s="1047"/>
      <c r="O3116" s="1047"/>
      <c r="P3116" s="1047"/>
      <c r="Q3116" s="1047"/>
      <c r="R3116" s="1047"/>
      <c r="S3116" s="1047"/>
      <c r="T3116" s="1047"/>
      <c r="U3116" s="1047"/>
      <c r="V3116" s="1047"/>
      <c r="W3116" s="1047"/>
      <c r="X3116" s="1047"/>
      <c r="Y3116" s="1047"/>
      <c r="Z3116" s="1047"/>
      <c r="AA3116" s="1047"/>
      <c r="AB3116" s="1047"/>
      <c r="AC3116" s="1047"/>
      <c r="AD3116" s="1047"/>
      <c r="AE3116" s="1047"/>
      <c r="AF3116" s="1048"/>
    </row>
    <row r="3117" spans="1:32" ht="30" customHeight="1" x14ac:dyDescent="0.2">
      <c r="A3117" s="2048" t="s">
        <v>1842</v>
      </c>
      <c r="B3117" s="2049"/>
      <c r="C3117" s="2049"/>
      <c r="D3117" s="2049"/>
      <c r="E3117" s="2049"/>
      <c r="F3117" s="2050" t="str">
        <f>+'01'!$H$130</f>
        <v>E - ESPESADOR GRAVIMÉTRICO</v>
      </c>
      <c r="G3117" s="2049"/>
      <c r="H3117" s="2049"/>
      <c r="I3117" s="2049"/>
      <c r="J3117" s="2049"/>
      <c r="K3117" s="2049"/>
      <c r="L3117" s="2049"/>
      <c r="M3117" s="2049"/>
      <c r="N3117" s="2049"/>
      <c r="O3117" s="2049"/>
      <c r="P3117" s="2049"/>
      <c r="Q3117" s="2049"/>
      <c r="R3117" s="2049"/>
      <c r="S3117" s="2049"/>
      <c r="T3117" s="2049"/>
      <c r="U3117" s="2049"/>
      <c r="V3117" s="2049"/>
      <c r="W3117" s="2049"/>
      <c r="X3117" s="2049"/>
      <c r="Y3117" s="2051"/>
      <c r="Z3117" s="2052" t="s">
        <v>1843</v>
      </c>
      <c r="AA3117" s="2053"/>
      <c r="AB3117" s="2058" t="s">
        <v>1844</v>
      </c>
      <c r="AC3117" s="2059"/>
      <c r="AD3117" s="2060"/>
      <c r="AE3117" s="2064" t="s">
        <v>1845</v>
      </c>
      <c r="AF3117" s="2067" t="s">
        <v>1846</v>
      </c>
    </row>
    <row r="3118" spans="1:32" ht="15" customHeight="1" x14ac:dyDescent="0.2">
      <c r="A3118" s="2070" t="str">
        <f>+'01'!A138</f>
        <v>E-03-02</v>
      </c>
      <c r="B3118" s="2071"/>
      <c r="C3118" s="2072"/>
      <c r="D3118" s="2076" t="str">
        <f>VLOOKUP(A3118,'01'!$A$12:$N$299,3,FALSE)</f>
        <v>RELLENO EN RECEBO COMUN PROVENIENTE DE MATERIAL DE PRESTAMO, COMPACTADO MECANICAMENTE.</v>
      </c>
      <c r="E3118" s="2077"/>
      <c r="F3118" s="2077"/>
      <c r="G3118" s="2077"/>
      <c r="H3118" s="2077"/>
      <c r="I3118" s="2077"/>
      <c r="J3118" s="2077"/>
      <c r="K3118" s="2077"/>
      <c r="L3118" s="2077"/>
      <c r="M3118" s="2077"/>
      <c r="N3118" s="2077"/>
      <c r="O3118" s="2077"/>
      <c r="P3118" s="2077"/>
      <c r="Q3118" s="2077"/>
      <c r="R3118" s="2077"/>
      <c r="S3118" s="2078"/>
      <c r="T3118" s="2082" t="s">
        <v>124</v>
      </c>
      <c r="U3118" s="2083"/>
      <c r="V3118" s="2083"/>
      <c r="W3118" s="2083"/>
      <c r="X3118" s="2052" t="str">
        <f>VLOOKUP(A3118,'01'!$A$12:$N$299,9,FALSE)</f>
        <v>M3</v>
      </c>
      <c r="Y3118" s="2053"/>
      <c r="Z3118" s="2054"/>
      <c r="AA3118" s="2055"/>
      <c r="AB3118" s="2061"/>
      <c r="AC3118" s="2062"/>
      <c r="AD3118" s="2063"/>
      <c r="AE3118" s="2065"/>
      <c r="AF3118" s="2068"/>
    </row>
    <row r="3119" spans="1:32" ht="15" customHeight="1" x14ac:dyDescent="0.25">
      <c r="A3119" s="2073"/>
      <c r="B3119" s="2074"/>
      <c r="C3119" s="2075"/>
      <c r="D3119" s="2079"/>
      <c r="E3119" s="2080"/>
      <c r="F3119" s="2080"/>
      <c r="G3119" s="2080"/>
      <c r="H3119" s="2080"/>
      <c r="I3119" s="2080"/>
      <c r="J3119" s="2080"/>
      <c r="K3119" s="2080"/>
      <c r="L3119" s="2080"/>
      <c r="M3119" s="2080"/>
      <c r="N3119" s="2080"/>
      <c r="O3119" s="2080"/>
      <c r="P3119" s="2080"/>
      <c r="Q3119" s="2080"/>
      <c r="R3119" s="2080"/>
      <c r="S3119" s="2081"/>
      <c r="T3119" s="2084"/>
      <c r="U3119" s="2085"/>
      <c r="V3119" s="2085"/>
      <c r="W3119" s="2085"/>
      <c r="X3119" s="2056"/>
      <c r="Y3119" s="2057"/>
      <c r="Z3119" s="2056"/>
      <c r="AA3119" s="2057"/>
      <c r="AB3119" s="1049" t="s">
        <v>1847</v>
      </c>
      <c r="AC3119" s="1049" t="s">
        <v>1848</v>
      </c>
      <c r="AD3119" s="1049" t="s">
        <v>1861</v>
      </c>
      <c r="AE3119" s="2066"/>
      <c r="AF3119" s="2069"/>
    </row>
    <row r="3120" spans="1:32" ht="15.6" customHeight="1" x14ac:dyDescent="0.25">
      <c r="A3120" s="2017"/>
      <c r="B3120" s="2018"/>
      <c r="C3120" s="2018"/>
      <c r="D3120" s="2018"/>
      <c r="E3120" s="2018"/>
      <c r="F3120" s="2018"/>
      <c r="G3120" s="2018"/>
      <c r="H3120" s="2018"/>
      <c r="I3120" s="2018"/>
      <c r="J3120" s="2018"/>
      <c r="K3120" s="2018"/>
      <c r="L3120" s="2018"/>
      <c r="M3120" s="2018"/>
      <c r="N3120" s="2018"/>
      <c r="O3120" s="2018"/>
      <c r="P3120" s="2018"/>
      <c r="Q3120" s="2018"/>
      <c r="R3120" s="2018"/>
      <c r="S3120" s="2018"/>
      <c r="T3120" s="2018"/>
      <c r="U3120" s="2018"/>
      <c r="V3120" s="2018"/>
      <c r="W3120" s="2018"/>
      <c r="X3120" s="2018"/>
      <c r="Y3120" s="2018"/>
      <c r="Z3120" s="2021" t="s">
        <v>2459</v>
      </c>
      <c r="AA3120" s="2021"/>
      <c r="AB3120" s="1050">
        <f>+AB3038-0.6</f>
        <v>4.8000000000000007</v>
      </c>
      <c r="AC3120" s="1050">
        <f>+AC3038-0.6</f>
        <v>4.8000000000000007</v>
      </c>
      <c r="AD3120" s="1050">
        <v>0.2</v>
      </c>
      <c r="AE3120" s="1050">
        <v>1</v>
      </c>
      <c r="AF3120" s="1052">
        <f>+ROUND(AB3120*AC3120*AD3120*AE3120,2)</f>
        <v>4.6100000000000003</v>
      </c>
    </row>
    <row r="3121" spans="1:32" ht="15.6" customHeight="1" x14ac:dyDescent="0.25">
      <c r="A3121" s="2017"/>
      <c r="B3121" s="2018"/>
      <c r="C3121" s="2018"/>
      <c r="D3121" s="2018"/>
      <c r="E3121" s="2018"/>
      <c r="F3121" s="2018"/>
      <c r="G3121" s="2018"/>
      <c r="H3121" s="2018"/>
      <c r="I3121" s="2018"/>
      <c r="J3121" s="2018"/>
      <c r="K3121" s="2018"/>
      <c r="L3121" s="2018"/>
      <c r="M3121" s="2018"/>
      <c r="N3121" s="2018"/>
      <c r="O3121" s="2018"/>
      <c r="P3121" s="2018"/>
      <c r="Q3121" s="2018"/>
      <c r="R3121" s="2018"/>
      <c r="S3121" s="2018"/>
      <c r="T3121" s="2018"/>
      <c r="U3121" s="2018"/>
      <c r="V3121" s="2018"/>
      <c r="W3121" s="2018"/>
      <c r="X3121" s="2018"/>
      <c r="Y3121" s="2018"/>
      <c r="Z3121" s="2021" t="s">
        <v>2460</v>
      </c>
      <c r="AA3121" s="2021"/>
      <c r="AB3121" s="1050">
        <f t="shared" ref="AB3121:AC3122" si="45">+AB3039-0.6</f>
        <v>1.2000000000000002</v>
      </c>
      <c r="AC3121" s="1050">
        <f t="shared" si="45"/>
        <v>1.4</v>
      </c>
      <c r="AD3121" s="1050">
        <v>0.1</v>
      </c>
      <c r="AE3121" s="1050">
        <v>1</v>
      </c>
      <c r="AF3121" s="1052">
        <f t="shared" ref="AF3121:AF3123" si="46">+ROUND(AB3121*AC3121*AD3121*AE3121,2)</f>
        <v>0.17</v>
      </c>
    </row>
    <row r="3122" spans="1:32" ht="15.75" x14ac:dyDescent="0.25">
      <c r="A3122" s="2017"/>
      <c r="B3122" s="2018"/>
      <c r="C3122" s="2018"/>
      <c r="D3122" s="2018"/>
      <c r="E3122" s="2018"/>
      <c r="F3122" s="2018"/>
      <c r="G3122" s="2018"/>
      <c r="H3122" s="2018"/>
      <c r="I3122" s="2018"/>
      <c r="J3122" s="2018"/>
      <c r="K3122" s="2018"/>
      <c r="L3122" s="2018"/>
      <c r="M3122" s="2018"/>
      <c r="N3122" s="2018"/>
      <c r="O3122" s="2018"/>
      <c r="P3122" s="2018"/>
      <c r="Q3122" s="2018"/>
      <c r="R3122" s="2018"/>
      <c r="S3122" s="2018"/>
      <c r="T3122" s="2018"/>
      <c r="U3122" s="2018"/>
      <c r="V3122" s="2018"/>
      <c r="W3122" s="2018"/>
      <c r="X3122" s="2018"/>
      <c r="Y3122" s="2018"/>
      <c r="Z3122" s="2021" t="s">
        <v>2461</v>
      </c>
      <c r="AA3122" s="2021"/>
      <c r="AB3122" s="1050">
        <f t="shared" si="45"/>
        <v>1.2000000000000002</v>
      </c>
      <c r="AC3122" s="1050">
        <f t="shared" si="45"/>
        <v>1.4</v>
      </c>
      <c r="AD3122" s="1050">
        <v>0.1</v>
      </c>
      <c r="AE3122" s="1050">
        <v>1</v>
      </c>
      <c r="AF3122" s="1052">
        <f t="shared" si="46"/>
        <v>0.17</v>
      </c>
    </row>
    <row r="3123" spans="1:32" ht="15.75" x14ac:dyDescent="0.25">
      <c r="A3123" s="2017"/>
      <c r="B3123" s="2018"/>
      <c r="C3123" s="2018"/>
      <c r="D3123" s="2018"/>
      <c r="E3123" s="2018"/>
      <c r="F3123" s="2018"/>
      <c r="G3123" s="2018"/>
      <c r="H3123" s="2018"/>
      <c r="I3123" s="2018"/>
      <c r="J3123" s="2018"/>
      <c r="K3123" s="2018"/>
      <c r="L3123" s="2018"/>
      <c r="M3123" s="2018"/>
      <c r="N3123" s="2018"/>
      <c r="O3123" s="2018"/>
      <c r="P3123" s="2018"/>
      <c r="Q3123" s="2018"/>
      <c r="R3123" s="2018"/>
      <c r="S3123" s="2018"/>
      <c r="T3123" s="2018"/>
      <c r="U3123" s="2018"/>
      <c r="V3123" s="2018"/>
      <c r="W3123" s="2018"/>
      <c r="X3123" s="2018"/>
      <c r="Y3123" s="2018"/>
      <c r="Z3123" s="2021" t="s">
        <v>2450</v>
      </c>
      <c r="AA3123" s="2021"/>
      <c r="AB3123" s="1050">
        <v>0</v>
      </c>
      <c r="AC3123" s="1050">
        <v>0</v>
      </c>
      <c r="AD3123" s="1050">
        <v>0</v>
      </c>
      <c r="AE3123" s="1050">
        <v>1</v>
      </c>
      <c r="AF3123" s="1052">
        <f t="shared" si="46"/>
        <v>0</v>
      </c>
    </row>
    <row r="3124" spans="1:32" ht="15.75" x14ac:dyDescent="0.25">
      <c r="A3124" s="2017"/>
      <c r="B3124" s="2018"/>
      <c r="C3124" s="2018"/>
      <c r="D3124" s="2018"/>
      <c r="E3124" s="2018"/>
      <c r="F3124" s="2018"/>
      <c r="G3124" s="2018"/>
      <c r="H3124" s="2018"/>
      <c r="I3124" s="2018"/>
      <c r="J3124" s="2018"/>
      <c r="K3124" s="2018"/>
      <c r="L3124" s="2018"/>
      <c r="M3124" s="2018"/>
      <c r="N3124" s="2018"/>
      <c r="O3124" s="2018"/>
      <c r="P3124" s="2018"/>
      <c r="Q3124" s="2018"/>
      <c r="R3124" s="2018"/>
      <c r="S3124" s="2018"/>
      <c r="T3124" s="2018"/>
      <c r="U3124" s="2018"/>
      <c r="V3124" s="2018"/>
      <c r="W3124" s="2018"/>
      <c r="X3124" s="2018"/>
      <c r="Y3124" s="2018"/>
      <c r="Z3124" s="2021"/>
      <c r="AA3124" s="2021"/>
      <c r="AB3124" s="1050"/>
      <c r="AC3124" s="1050"/>
      <c r="AD3124" s="1050"/>
      <c r="AE3124" s="1050"/>
      <c r="AF3124" s="1052"/>
    </row>
    <row r="3125" spans="1:32" ht="15.75" x14ac:dyDescent="0.25">
      <c r="A3125" s="2017"/>
      <c r="B3125" s="2018"/>
      <c r="C3125" s="2018"/>
      <c r="D3125" s="2018"/>
      <c r="E3125" s="2018"/>
      <c r="F3125" s="2018"/>
      <c r="G3125" s="2018"/>
      <c r="H3125" s="2018"/>
      <c r="I3125" s="2018"/>
      <c r="J3125" s="2018"/>
      <c r="K3125" s="2018"/>
      <c r="L3125" s="2018"/>
      <c r="M3125" s="2018"/>
      <c r="N3125" s="2018"/>
      <c r="O3125" s="2018"/>
      <c r="P3125" s="2018"/>
      <c r="Q3125" s="2018"/>
      <c r="R3125" s="2018"/>
      <c r="S3125" s="2018"/>
      <c r="T3125" s="2018"/>
      <c r="U3125" s="2018"/>
      <c r="V3125" s="2018"/>
      <c r="W3125" s="2018"/>
      <c r="X3125" s="2018"/>
      <c r="Y3125" s="2018"/>
      <c r="Z3125" s="2021"/>
      <c r="AA3125" s="2021"/>
      <c r="AB3125" s="1050"/>
      <c r="AC3125" s="1050"/>
      <c r="AD3125" s="1050"/>
      <c r="AE3125" s="1050"/>
      <c r="AF3125" s="1052"/>
    </row>
    <row r="3126" spans="1:32" ht="15.75" x14ac:dyDescent="0.25">
      <c r="A3126" s="2017"/>
      <c r="B3126" s="2018"/>
      <c r="C3126" s="2018"/>
      <c r="D3126" s="2018"/>
      <c r="E3126" s="2018"/>
      <c r="F3126" s="2018"/>
      <c r="G3126" s="2018"/>
      <c r="H3126" s="2018"/>
      <c r="I3126" s="2018"/>
      <c r="J3126" s="2018"/>
      <c r="K3126" s="2018"/>
      <c r="L3126" s="2018"/>
      <c r="M3126" s="2018"/>
      <c r="N3126" s="2018"/>
      <c r="O3126" s="2018"/>
      <c r="P3126" s="2018"/>
      <c r="Q3126" s="2018"/>
      <c r="R3126" s="2018"/>
      <c r="S3126" s="2018"/>
      <c r="T3126" s="2018"/>
      <c r="U3126" s="2018"/>
      <c r="V3126" s="2018"/>
      <c r="W3126" s="2018"/>
      <c r="X3126" s="2018"/>
      <c r="Y3126" s="2018"/>
      <c r="Z3126" s="2021"/>
      <c r="AA3126" s="2021"/>
      <c r="AB3126" s="1050"/>
      <c r="AC3126" s="1050"/>
      <c r="AD3126" s="1050"/>
      <c r="AE3126" s="1050"/>
      <c r="AF3126" s="1052"/>
    </row>
    <row r="3127" spans="1:32" ht="15.75" x14ac:dyDescent="0.25">
      <c r="A3127" s="2017"/>
      <c r="B3127" s="2018"/>
      <c r="C3127" s="2018"/>
      <c r="D3127" s="2018"/>
      <c r="E3127" s="2018"/>
      <c r="F3127" s="2018"/>
      <c r="G3127" s="2018"/>
      <c r="H3127" s="2018"/>
      <c r="I3127" s="2018"/>
      <c r="J3127" s="2018"/>
      <c r="K3127" s="2018"/>
      <c r="L3127" s="2018"/>
      <c r="M3127" s="2018"/>
      <c r="N3127" s="2018"/>
      <c r="O3127" s="2018"/>
      <c r="P3127" s="2018"/>
      <c r="Q3127" s="2018"/>
      <c r="R3127" s="2018"/>
      <c r="S3127" s="2018"/>
      <c r="T3127" s="2018"/>
      <c r="U3127" s="2018"/>
      <c r="V3127" s="2018"/>
      <c r="W3127" s="2018"/>
      <c r="X3127" s="2018"/>
      <c r="Y3127" s="2018"/>
      <c r="Z3127" s="2021"/>
      <c r="AA3127" s="2021"/>
      <c r="AB3127" s="1050"/>
      <c r="AC3127" s="1050"/>
      <c r="AD3127" s="1050"/>
      <c r="AE3127" s="1050"/>
      <c r="AF3127" s="1052"/>
    </row>
    <row r="3128" spans="1:32" ht="15.75" x14ac:dyDescent="0.25">
      <c r="A3128" s="2017"/>
      <c r="B3128" s="2018"/>
      <c r="C3128" s="2018"/>
      <c r="D3128" s="2018"/>
      <c r="E3128" s="2018"/>
      <c r="F3128" s="2018"/>
      <c r="G3128" s="2018"/>
      <c r="H3128" s="2018"/>
      <c r="I3128" s="2018"/>
      <c r="J3128" s="2018"/>
      <c r="K3128" s="2018"/>
      <c r="L3128" s="2018"/>
      <c r="M3128" s="2018"/>
      <c r="N3128" s="2018"/>
      <c r="O3128" s="2018"/>
      <c r="P3128" s="2018"/>
      <c r="Q3128" s="2018"/>
      <c r="R3128" s="2018"/>
      <c r="S3128" s="2018"/>
      <c r="T3128" s="2018"/>
      <c r="U3128" s="2018"/>
      <c r="V3128" s="2018"/>
      <c r="W3128" s="2018"/>
      <c r="X3128" s="2018"/>
      <c r="Y3128" s="2018"/>
      <c r="Z3128" s="2021"/>
      <c r="AA3128" s="2021"/>
      <c r="AB3128" s="1050"/>
      <c r="AC3128" s="1050"/>
      <c r="AD3128" s="1050"/>
      <c r="AE3128" s="1050"/>
      <c r="AF3128" s="1052"/>
    </row>
    <row r="3129" spans="1:32" ht="15.75" x14ac:dyDescent="0.25">
      <c r="A3129" s="2017"/>
      <c r="B3129" s="2018"/>
      <c r="C3129" s="2018"/>
      <c r="D3129" s="2018"/>
      <c r="E3129" s="2018"/>
      <c r="F3129" s="2018"/>
      <c r="G3129" s="2018"/>
      <c r="H3129" s="2018"/>
      <c r="I3129" s="2018"/>
      <c r="J3129" s="2018"/>
      <c r="K3129" s="2018"/>
      <c r="L3129" s="2018"/>
      <c r="M3129" s="2018"/>
      <c r="N3129" s="2018"/>
      <c r="O3129" s="2018"/>
      <c r="P3129" s="2018"/>
      <c r="Q3129" s="2018"/>
      <c r="R3129" s="2018"/>
      <c r="S3129" s="2018"/>
      <c r="T3129" s="2018"/>
      <c r="U3129" s="2018"/>
      <c r="V3129" s="2018"/>
      <c r="W3129" s="2018"/>
      <c r="X3129" s="2018"/>
      <c r="Y3129" s="2018"/>
      <c r="Z3129" s="2021"/>
      <c r="AA3129" s="2021"/>
      <c r="AB3129" s="1050"/>
      <c r="AC3129" s="1050"/>
      <c r="AD3129" s="1050"/>
      <c r="AE3129" s="1050"/>
      <c r="AF3129" s="1052"/>
    </row>
    <row r="3130" spans="1:32" ht="15.75" x14ac:dyDescent="0.25">
      <c r="A3130" s="2017"/>
      <c r="B3130" s="2018"/>
      <c r="C3130" s="2018"/>
      <c r="D3130" s="2018"/>
      <c r="E3130" s="2018"/>
      <c r="F3130" s="2018"/>
      <c r="G3130" s="2018"/>
      <c r="H3130" s="2018"/>
      <c r="I3130" s="2018"/>
      <c r="J3130" s="2018"/>
      <c r="K3130" s="2018"/>
      <c r="L3130" s="2018"/>
      <c r="M3130" s="2018"/>
      <c r="N3130" s="2018"/>
      <c r="O3130" s="2018"/>
      <c r="P3130" s="2018"/>
      <c r="Q3130" s="2018"/>
      <c r="R3130" s="2018"/>
      <c r="S3130" s="2018"/>
      <c r="T3130" s="2018"/>
      <c r="U3130" s="2018"/>
      <c r="V3130" s="2018"/>
      <c r="W3130" s="2018"/>
      <c r="X3130" s="2018"/>
      <c r="Y3130" s="2018"/>
      <c r="Z3130" s="2021"/>
      <c r="AA3130" s="2021"/>
      <c r="AB3130" s="1050"/>
      <c r="AC3130" s="1050"/>
      <c r="AD3130" s="1050"/>
      <c r="AE3130" s="1050"/>
      <c r="AF3130" s="1052"/>
    </row>
    <row r="3131" spans="1:32" ht="15.75" x14ac:dyDescent="0.25">
      <c r="A3131" s="2017"/>
      <c r="B3131" s="2018"/>
      <c r="C3131" s="2018"/>
      <c r="D3131" s="2018"/>
      <c r="E3131" s="2018"/>
      <c r="F3131" s="2018"/>
      <c r="G3131" s="2018"/>
      <c r="H3131" s="2018"/>
      <c r="I3131" s="2018"/>
      <c r="J3131" s="2018"/>
      <c r="K3131" s="2018"/>
      <c r="L3131" s="2018"/>
      <c r="M3131" s="2018"/>
      <c r="N3131" s="2018"/>
      <c r="O3131" s="2018"/>
      <c r="P3131" s="2018"/>
      <c r="Q3131" s="2018"/>
      <c r="R3131" s="2018"/>
      <c r="S3131" s="2018"/>
      <c r="T3131" s="2018"/>
      <c r="U3131" s="2018"/>
      <c r="V3131" s="2018"/>
      <c r="W3131" s="2018"/>
      <c r="X3131" s="2018"/>
      <c r="Y3131" s="2018"/>
      <c r="Z3131" s="2021"/>
      <c r="AA3131" s="2021"/>
      <c r="AB3131" s="1050"/>
      <c r="AC3131" s="1050"/>
      <c r="AD3131" s="1050"/>
      <c r="AE3131" s="1050"/>
      <c r="AF3131" s="1052"/>
    </row>
    <row r="3132" spans="1:32" ht="15.75" x14ac:dyDescent="0.25">
      <c r="A3132" s="2017"/>
      <c r="B3132" s="2018"/>
      <c r="C3132" s="2018"/>
      <c r="D3132" s="2018"/>
      <c r="E3132" s="2018"/>
      <c r="F3132" s="2018"/>
      <c r="G3132" s="2018"/>
      <c r="H3132" s="2018"/>
      <c r="I3132" s="2018"/>
      <c r="J3132" s="2018"/>
      <c r="K3132" s="2018"/>
      <c r="L3132" s="2018"/>
      <c r="M3132" s="2018"/>
      <c r="N3132" s="2018"/>
      <c r="O3132" s="2018"/>
      <c r="P3132" s="2018"/>
      <c r="Q3132" s="2018"/>
      <c r="R3132" s="2018"/>
      <c r="S3132" s="2018"/>
      <c r="T3132" s="2018"/>
      <c r="U3132" s="2018"/>
      <c r="V3132" s="2018"/>
      <c r="W3132" s="2018"/>
      <c r="X3132" s="2018"/>
      <c r="Y3132" s="2018"/>
      <c r="Z3132" s="2021"/>
      <c r="AA3132" s="2021"/>
      <c r="AB3132" s="1050"/>
      <c r="AC3132" s="1050"/>
      <c r="AD3132" s="1050"/>
      <c r="AE3132" s="1050"/>
      <c r="AF3132" s="1052"/>
    </row>
    <row r="3133" spans="1:32" ht="15.75" x14ac:dyDescent="0.25">
      <c r="A3133" s="2017"/>
      <c r="B3133" s="2018"/>
      <c r="C3133" s="2018"/>
      <c r="D3133" s="2018"/>
      <c r="E3133" s="2018"/>
      <c r="F3133" s="2018"/>
      <c r="G3133" s="2018"/>
      <c r="H3133" s="2018"/>
      <c r="I3133" s="2018"/>
      <c r="J3133" s="2018"/>
      <c r="K3133" s="2018"/>
      <c r="L3133" s="2018"/>
      <c r="M3133" s="2018"/>
      <c r="N3133" s="2018"/>
      <c r="O3133" s="2018"/>
      <c r="P3133" s="2018"/>
      <c r="Q3133" s="2018"/>
      <c r="R3133" s="2018"/>
      <c r="S3133" s="2018"/>
      <c r="T3133" s="2018"/>
      <c r="U3133" s="2018"/>
      <c r="V3133" s="2018"/>
      <c r="W3133" s="2018"/>
      <c r="X3133" s="2018"/>
      <c r="Y3133" s="2018"/>
      <c r="Z3133" s="2021"/>
      <c r="AA3133" s="2021"/>
      <c r="AB3133" s="1050"/>
      <c r="AC3133" s="1050"/>
      <c r="AD3133" s="1050"/>
      <c r="AE3133" s="1050"/>
      <c r="AF3133" s="1052"/>
    </row>
    <row r="3134" spans="1:32" ht="15.75" x14ac:dyDescent="0.25">
      <c r="A3134" s="2017"/>
      <c r="B3134" s="2018"/>
      <c r="C3134" s="2018"/>
      <c r="D3134" s="2018"/>
      <c r="E3134" s="2018"/>
      <c r="F3134" s="2018"/>
      <c r="G3134" s="2018"/>
      <c r="H3134" s="2018"/>
      <c r="I3134" s="2018"/>
      <c r="J3134" s="2018"/>
      <c r="K3134" s="2018"/>
      <c r="L3134" s="2018"/>
      <c r="M3134" s="2018"/>
      <c r="N3134" s="2018"/>
      <c r="O3134" s="2018"/>
      <c r="P3134" s="2018"/>
      <c r="Q3134" s="2018"/>
      <c r="R3134" s="2018"/>
      <c r="S3134" s="2018"/>
      <c r="T3134" s="2018"/>
      <c r="U3134" s="2018"/>
      <c r="V3134" s="2018"/>
      <c r="W3134" s="2018"/>
      <c r="X3134" s="2018"/>
      <c r="Y3134" s="2018"/>
      <c r="Z3134" s="2022"/>
      <c r="AA3134" s="2022"/>
      <c r="AB3134" s="1050"/>
      <c r="AC3134" s="1050"/>
      <c r="AD3134" s="1050"/>
      <c r="AE3134" s="1050"/>
      <c r="AF3134" s="1052"/>
    </row>
    <row r="3135" spans="1:32" ht="15.75" x14ac:dyDescent="0.25">
      <c r="A3135" s="2017"/>
      <c r="B3135" s="2018"/>
      <c r="C3135" s="2018"/>
      <c r="D3135" s="2018"/>
      <c r="E3135" s="2018"/>
      <c r="F3135" s="2018"/>
      <c r="G3135" s="2018"/>
      <c r="H3135" s="2018"/>
      <c r="I3135" s="2018"/>
      <c r="J3135" s="2018"/>
      <c r="K3135" s="2018"/>
      <c r="L3135" s="2018"/>
      <c r="M3135" s="2018"/>
      <c r="N3135" s="2018"/>
      <c r="O3135" s="2018"/>
      <c r="P3135" s="2018"/>
      <c r="Q3135" s="2018"/>
      <c r="R3135" s="2018"/>
      <c r="S3135" s="2018"/>
      <c r="T3135" s="2018"/>
      <c r="U3135" s="2018"/>
      <c r="V3135" s="2018"/>
      <c r="W3135" s="2018"/>
      <c r="X3135" s="2018"/>
      <c r="Y3135" s="2018"/>
      <c r="Z3135" s="2022"/>
      <c r="AA3135" s="2022"/>
      <c r="AB3135" s="1050"/>
      <c r="AC3135" s="1050"/>
      <c r="AD3135" s="1050"/>
      <c r="AE3135" s="1050"/>
      <c r="AF3135" s="1052"/>
    </row>
    <row r="3136" spans="1:32" ht="15.75" x14ac:dyDescent="0.25">
      <c r="A3136" s="2017"/>
      <c r="B3136" s="2018"/>
      <c r="C3136" s="2018"/>
      <c r="D3136" s="2018"/>
      <c r="E3136" s="2018"/>
      <c r="F3136" s="2018"/>
      <c r="G3136" s="2018"/>
      <c r="H3136" s="2018"/>
      <c r="I3136" s="2018"/>
      <c r="J3136" s="2018"/>
      <c r="K3136" s="2018"/>
      <c r="L3136" s="2018"/>
      <c r="M3136" s="2018"/>
      <c r="N3136" s="2018"/>
      <c r="O3136" s="2018"/>
      <c r="P3136" s="2018"/>
      <c r="Q3136" s="2018"/>
      <c r="R3136" s="2018"/>
      <c r="S3136" s="2018"/>
      <c r="T3136" s="2018"/>
      <c r="U3136" s="2018"/>
      <c r="V3136" s="2018"/>
      <c r="W3136" s="2018"/>
      <c r="X3136" s="2018"/>
      <c r="Y3136" s="2018"/>
      <c r="Z3136" s="2022"/>
      <c r="AA3136" s="2022"/>
      <c r="AB3136" s="1050"/>
      <c r="AC3136" s="1050"/>
      <c r="AD3136" s="1050"/>
      <c r="AE3136" s="1050"/>
      <c r="AF3136" s="1052"/>
    </row>
    <row r="3137" spans="1:32" ht="15.75" x14ac:dyDescent="0.25">
      <c r="A3137" s="2017"/>
      <c r="B3137" s="2018"/>
      <c r="C3137" s="2018"/>
      <c r="D3137" s="2018"/>
      <c r="E3137" s="2018"/>
      <c r="F3137" s="2018"/>
      <c r="G3137" s="2018"/>
      <c r="H3137" s="2018"/>
      <c r="I3137" s="2018"/>
      <c r="J3137" s="2018"/>
      <c r="K3137" s="2018"/>
      <c r="L3137" s="2018"/>
      <c r="M3137" s="2018"/>
      <c r="N3137" s="2018"/>
      <c r="O3137" s="2018"/>
      <c r="P3137" s="2018"/>
      <c r="Q3137" s="2018"/>
      <c r="R3137" s="2018"/>
      <c r="S3137" s="2018"/>
      <c r="T3137" s="2018"/>
      <c r="U3137" s="2018"/>
      <c r="V3137" s="2018"/>
      <c r="W3137" s="2018"/>
      <c r="X3137" s="2018"/>
      <c r="Y3137" s="2018"/>
      <c r="Z3137" s="2023"/>
      <c r="AA3137" s="2023"/>
      <c r="AB3137" s="1050"/>
      <c r="AC3137" s="1050"/>
      <c r="AD3137" s="1050"/>
      <c r="AE3137" s="1050"/>
      <c r="AF3137" s="1052"/>
    </row>
    <row r="3138" spans="1:32" ht="15.75" x14ac:dyDescent="0.25">
      <c r="A3138" s="2017"/>
      <c r="B3138" s="2018"/>
      <c r="C3138" s="2018"/>
      <c r="D3138" s="2018"/>
      <c r="E3138" s="2018"/>
      <c r="F3138" s="2018"/>
      <c r="G3138" s="2018"/>
      <c r="H3138" s="2018"/>
      <c r="I3138" s="2018"/>
      <c r="J3138" s="2018"/>
      <c r="K3138" s="2018"/>
      <c r="L3138" s="2018"/>
      <c r="M3138" s="2018"/>
      <c r="N3138" s="2018"/>
      <c r="O3138" s="2018"/>
      <c r="P3138" s="2018"/>
      <c r="Q3138" s="2018"/>
      <c r="R3138" s="2018"/>
      <c r="S3138" s="2018"/>
      <c r="T3138" s="2018"/>
      <c r="U3138" s="2018"/>
      <c r="V3138" s="2018"/>
      <c r="W3138" s="2018"/>
      <c r="X3138" s="2018"/>
      <c r="Y3138" s="2018"/>
      <c r="Z3138" s="2023"/>
      <c r="AA3138" s="2023"/>
      <c r="AB3138" s="1050"/>
      <c r="AC3138" s="1050"/>
      <c r="AD3138" s="1050"/>
      <c r="AE3138" s="1050"/>
      <c r="AF3138" s="1052"/>
    </row>
    <row r="3139" spans="1:32" ht="15.75" x14ac:dyDescent="0.25">
      <c r="A3139" s="2017"/>
      <c r="B3139" s="2018"/>
      <c r="C3139" s="2018"/>
      <c r="D3139" s="2018"/>
      <c r="E3139" s="2018"/>
      <c r="F3139" s="2018"/>
      <c r="G3139" s="2018"/>
      <c r="H3139" s="2018"/>
      <c r="I3139" s="2018"/>
      <c r="J3139" s="2018"/>
      <c r="K3139" s="2018"/>
      <c r="L3139" s="2018"/>
      <c r="M3139" s="2018"/>
      <c r="N3139" s="2018"/>
      <c r="O3139" s="2018"/>
      <c r="P3139" s="2018"/>
      <c r="Q3139" s="2018"/>
      <c r="R3139" s="2018"/>
      <c r="S3139" s="2018"/>
      <c r="T3139" s="2018"/>
      <c r="U3139" s="2018"/>
      <c r="V3139" s="2018"/>
      <c r="W3139" s="2018"/>
      <c r="X3139" s="2018"/>
      <c r="Y3139" s="2018"/>
      <c r="Z3139" s="2023"/>
      <c r="AA3139" s="2023"/>
      <c r="AB3139" s="1050"/>
      <c r="AC3139" s="1050"/>
      <c r="AD3139" s="1050"/>
      <c r="AE3139" s="1050"/>
      <c r="AF3139" s="1052"/>
    </row>
    <row r="3140" spans="1:32" ht="15.75" x14ac:dyDescent="0.25">
      <c r="A3140" s="2017"/>
      <c r="B3140" s="2018"/>
      <c r="C3140" s="2018"/>
      <c r="D3140" s="2018"/>
      <c r="E3140" s="2018"/>
      <c r="F3140" s="2018"/>
      <c r="G3140" s="2018"/>
      <c r="H3140" s="2018"/>
      <c r="I3140" s="2018"/>
      <c r="J3140" s="2018"/>
      <c r="K3140" s="2018"/>
      <c r="L3140" s="2018"/>
      <c r="M3140" s="2018"/>
      <c r="N3140" s="2018"/>
      <c r="O3140" s="2018"/>
      <c r="P3140" s="2018"/>
      <c r="Q3140" s="2018"/>
      <c r="R3140" s="2018"/>
      <c r="S3140" s="2018"/>
      <c r="T3140" s="2018"/>
      <c r="U3140" s="2018"/>
      <c r="V3140" s="2018"/>
      <c r="W3140" s="2018"/>
      <c r="X3140" s="2018"/>
      <c r="Y3140" s="2018"/>
      <c r="Z3140" s="2023"/>
      <c r="AA3140" s="2023"/>
      <c r="AB3140" s="1050"/>
      <c r="AC3140" s="1050"/>
      <c r="AD3140" s="1050"/>
      <c r="AE3140" s="1050"/>
      <c r="AF3140" s="1052"/>
    </row>
    <row r="3141" spans="1:32" ht="15.75" x14ac:dyDescent="0.25">
      <c r="A3141" s="2017"/>
      <c r="B3141" s="2018"/>
      <c r="C3141" s="2018"/>
      <c r="D3141" s="2018"/>
      <c r="E3141" s="2018"/>
      <c r="F3141" s="2018"/>
      <c r="G3141" s="2018"/>
      <c r="H3141" s="2018"/>
      <c r="I3141" s="2018"/>
      <c r="J3141" s="2018"/>
      <c r="K3141" s="2018"/>
      <c r="L3141" s="2018"/>
      <c r="M3141" s="2018"/>
      <c r="N3141" s="2018"/>
      <c r="O3141" s="2018"/>
      <c r="P3141" s="2018"/>
      <c r="Q3141" s="2018"/>
      <c r="R3141" s="2018"/>
      <c r="S3141" s="2018"/>
      <c r="T3141" s="2018"/>
      <c r="U3141" s="2018"/>
      <c r="V3141" s="2018"/>
      <c r="W3141" s="2018"/>
      <c r="X3141" s="2018"/>
      <c r="Y3141" s="2018"/>
      <c r="Z3141" s="2023"/>
      <c r="AA3141" s="2023"/>
      <c r="AB3141" s="1050"/>
      <c r="AC3141" s="1050"/>
      <c r="AD3141" s="1050"/>
      <c r="AE3141" s="1050"/>
      <c r="AF3141" s="1052"/>
    </row>
    <row r="3142" spans="1:32" ht="15.75" x14ac:dyDescent="0.25">
      <c r="A3142" s="2017"/>
      <c r="B3142" s="2018"/>
      <c r="C3142" s="2018"/>
      <c r="D3142" s="2018"/>
      <c r="E3142" s="2018"/>
      <c r="F3142" s="2018"/>
      <c r="G3142" s="2018"/>
      <c r="H3142" s="2018"/>
      <c r="I3142" s="2018"/>
      <c r="J3142" s="2018"/>
      <c r="K3142" s="2018"/>
      <c r="L3142" s="2018"/>
      <c r="M3142" s="2018"/>
      <c r="N3142" s="2018"/>
      <c r="O3142" s="2018"/>
      <c r="P3142" s="2018"/>
      <c r="Q3142" s="2018"/>
      <c r="R3142" s="2018"/>
      <c r="S3142" s="2018"/>
      <c r="T3142" s="2018"/>
      <c r="U3142" s="2018"/>
      <c r="V3142" s="2018"/>
      <c r="W3142" s="2018"/>
      <c r="X3142" s="2018"/>
      <c r="Y3142" s="2018"/>
      <c r="Z3142" s="2023"/>
      <c r="AA3142" s="2023"/>
      <c r="AB3142" s="1050"/>
      <c r="AC3142" s="1050"/>
      <c r="AD3142" s="1050"/>
      <c r="AE3142" s="1050"/>
      <c r="AF3142" s="1052"/>
    </row>
    <row r="3143" spans="1:32" ht="16.5" thickBot="1" x14ac:dyDescent="0.3">
      <c r="A3143" s="2019"/>
      <c r="B3143" s="2020"/>
      <c r="C3143" s="2020"/>
      <c r="D3143" s="2020"/>
      <c r="E3143" s="2020"/>
      <c r="F3143" s="2020"/>
      <c r="G3143" s="2020"/>
      <c r="H3143" s="2020"/>
      <c r="I3143" s="2020"/>
      <c r="J3143" s="2020"/>
      <c r="K3143" s="2020"/>
      <c r="L3143" s="2020"/>
      <c r="M3143" s="2020"/>
      <c r="N3143" s="2020"/>
      <c r="O3143" s="2020"/>
      <c r="P3143" s="2020"/>
      <c r="Q3143" s="2020"/>
      <c r="R3143" s="2020"/>
      <c r="S3143" s="2020"/>
      <c r="T3143" s="2020"/>
      <c r="U3143" s="2020"/>
      <c r="V3143" s="2020"/>
      <c r="W3143" s="2020"/>
      <c r="X3143" s="2020"/>
      <c r="Y3143" s="2020"/>
      <c r="Z3143" s="2024"/>
      <c r="AA3143" s="2024"/>
      <c r="AB3143" s="1057"/>
      <c r="AC3143" s="1057"/>
      <c r="AD3143" s="1057"/>
      <c r="AE3143" s="1057"/>
      <c r="AF3143" s="1058"/>
    </row>
    <row r="3144" spans="1:32" ht="15.75" x14ac:dyDescent="0.25">
      <c r="A3144" s="2100" t="s">
        <v>2467</v>
      </c>
      <c r="B3144" s="2101"/>
      <c r="C3144" s="2101"/>
      <c r="D3144" s="2101"/>
      <c r="E3144" s="2101"/>
      <c r="F3144" s="2101"/>
      <c r="G3144" s="2101"/>
      <c r="H3144" s="2101"/>
      <c r="I3144" s="2101"/>
      <c r="J3144" s="2101"/>
      <c r="K3144" s="2101"/>
      <c r="L3144" s="2101"/>
      <c r="M3144" s="2101"/>
      <c r="N3144" s="2101"/>
      <c r="O3144" s="2101"/>
      <c r="P3144" s="2101"/>
      <c r="Q3144" s="2101"/>
      <c r="R3144" s="2101"/>
      <c r="S3144" s="2101"/>
      <c r="T3144" s="2101"/>
      <c r="U3144" s="2101"/>
      <c r="V3144" s="2101"/>
      <c r="W3144" s="2101"/>
      <c r="X3144" s="2101"/>
      <c r="Y3144" s="2101"/>
      <c r="Z3144" s="2013" t="s">
        <v>1850</v>
      </c>
      <c r="AA3144" s="2013"/>
      <c r="AB3144" s="2013"/>
      <c r="AC3144" s="2013"/>
      <c r="AD3144" s="2013"/>
      <c r="AE3144" s="2013"/>
      <c r="AF3144" s="1059">
        <f>SUM(AF3120:AF3143)</f>
        <v>4.95</v>
      </c>
    </row>
    <row r="3145" spans="1:32" ht="15.75" x14ac:dyDescent="0.25">
      <c r="A3145" s="2102"/>
      <c r="B3145" s="2103"/>
      <c r="C3145" s="2103"/>
      <c r="D3145" s="2103"/>
      <c r="E3145" s="2103"/>
      <c r="F3145" s="2103"/>
      <c r="G3145" s="2103"/>
      <c r="H3145" s="2103"/>
      <c r="I3145" s="2103"/>
      <c r="J3145" s="2103"/>
      <c r="K3145" s="2103"/>
      <c r="L3145" s="2103"/>
      <c r="M3145" s="2103"/>
      <c r="N3145" s="2103"/>
      <c r="O3145" s="2103"/>
      <c r="P3145" s="2103"/>
      <c r="Q3145" s="2103"/>
      <c r="R3145" s="2103"/>
      <c r="S3145" s="2103"/>
      <c r="T3145" s="2103"/>
      <c r="U3145" s="2103"/>
      <c r="V3145" s="2103"/>
      <c r="W3145" s="2103"/>
      <c r="X3145" s="2103"/>
      <c r="Y3145" s="2103"/>
      <c r="Z3145" s="2014" t="s">
        <v>1851</v>
      </c>
      <c r="AA3145" s="2014"/>
      <c r="AB3145" s="2014"/>
      <c r="AC3145" s="2014"/>
      <c r="AD3145" s="2014"/>
      <c r="AE3145" s="2014"/>
      <c r="AF3145" s="1060">
        <v>0</v>
      </c>
    </row>
    <row r="3146" spans="1:32" ht="15.75" x14ac:dyDescent="0.25">
      <c r="A3146" s="2102"/>
      <c r="B3146" s="2103"/>
      <c r="C3146" s="2103"/>
      <c r="D3146" s="2103"/>
      <c r="E3146" s="2103"/>
      <c r="F3146" s="2103"/>
      <c r="G3146" s="2103"/>
      <c r="H3146" s="2103"/>
      <c r="I3146" s="2103"/>
      <c r="J3146" s="2103"/>
      <c r="K3146" s="2103"/>
      <c r="L3146" s="2103"/>
      <c r="M3146" s="2103"/>
      <c r="N3146" s="2103"/>
      <c r="O3146" s="2103"/>
      <c r="P3146" s="2103"/>
      <c r="Q3146" s="2103"/>
      <c r="R3146" s="2103"/>
      <c r="S3146" s="2103"/>
      <c r="T3146" s="2103"/>
      <c r="U3146" s="2103"/>
      <c r="V3146" s="2103"/>
      <c r="W3146" s="2103"/>
      <c r="X3146" s="2103"/>
      <c r="Y3146" s="2103"/>
      <c r="Z3146" s="2015" t="s">
        <v>1833</v>
      </c>
      <c r="AA3146" s="2015"/>
      <c r="AB3146" s="2015"/>
      <c r="AC3146" s="2015"/>
      <c r="AD3146" s="2015"/>
      <c r="AE3146" s="2015"/>
      <c r="AF3146" s="1061">
        <f>SUM(AF3144:AF3145)</f>
        <v>4.95</v>
      </c>
    </row>
    <row r="3147" spans="1:32" x14ac:dyDescent="0.2">
      <c r="A3147" s="2012" t="s">
        <v>1859</v>
      </c>
      <c r="B3147" s="2012"/>
      <c r="C3147" s="2012"/>
      <c r="D3147" s="2012"/>
      <c r="E3147" s="2012"/>
      <c r="F3147" s="2012"/>
      <c r="G3147" s="2012"/>
      <c r="H3147" s="2012"/>
      <c r="I3147" s="2012"/>
      <c r="J3147" s="2012"/>
      <c r="K3147" s="2012"/>
      <c r="L3147" s="2012"/>
      <c r="M3147" s="2012"/>
      <c r="N3147" s="2012"/>
      <c r="O3147" s="2012"/>
      <c r="P3147" s="2012"/>
      <c r="Q3147" s="2012"/>
      <c r="R3147" s="2012"/>
      <c r="S3147" s="2012"/>
      <c r="T3147" s="2016" t="s">
        <v>1840</v>
      </c>
      <c r="U3147" s="2016"/>
      <c r="V3147" s="2016"/>
      <c r="W3147" s="2016"/>
      <c r="X3147" s="2016"/>
      <c r="Y3147" s="2016"/>
      <c r="Z3147" s="2016"/>
      <c r="AA3147" s="2016"/>
      <c r="AB3147" s="2012" t="s">
        <v>1852</v>
      </c>
      <c r="AC3147" s="2012"/>
      <c r="AD3147" s="2012"/>
      <c r="AE3147" s="2012"/>
      <c r="AF3147" s="2012"/>
    </row>
    <row r="3148" spans="1:32" x14ac:dyDescent="0.2">
      <c r="A3148" s="2012"/>
      <c r="B3148" s="2012"/>
      <c r="C3148" s="2012"/>
      <c r="D3148" s="2012"/>
      <c r="E3148" s="2012"/>
      <c r="F3148" s="2012"/>
      <c r="G3148" s="2012"/>
      <c r="H3148" s="2012"/>
      <c r="I3148" s="2012"/>
      <c r="J3148" s="2012"/>
      <c r="K3148" s="2012"/>
      <c r="L3148" s="2012"/>
      <c r="M3148" s="2012"/>
      <c r="N3148" s="2012"/>
      <c r="O3148" s="2012"/>
      <c r="P3148" s="2012"/>
      <c r="Q3148" s="2012"/>
      <c r="R3148" s="2012"/>
      <c r="S3148" s="2012"/>
      <c r="T3148" s="2016"/>
      <c r="U3148" s="2016"/>
      <c r="V3148" s="2016"/>
      <c r="W3148" s="2016"/>
      <c r="X3148" s="2016"/>
      <c r="Y3148" s="2016"/>
      <c r="Z3148" s="2016"/>
      <c r="AA3148" s="2016"/>
      <c r="AB3148" s="2012"/>
      <c r="AC3148" s="2012"/>
      <c r="AD3148" s="2012"/>
      <c r="AE3148" s="2012"/>
      <c r="AF3148" s="2012"/>
    </row>
    <row r="3149" spans="1:32" ht="13.5" thickBot="1" x14ac:dyDescent="0.25"/>
    <row r="3150" spans="1:32" ht="22.9" customHeight="1" x14ac:dyDescent="0.2">
      <c r="A3150" s="2025" t="s">
        <v>1854</v>
      </c>
      <c r="B3150" s="2026"/>
      <c r="C3150" s="2026"/>
      <c r="D3150" s="2026"/>
      <c r="E3150" s="2026"/>
      <c r="F3150" s="2026"/>
      <c r="G3150" s="2026"/>
      <c r="H3150" s="2026"/>
      <c r="I3150" s="2026"/>
      <c r="J3150" s="2026"/>
      <c r="K3150" s="2026"/>
      <c r="L3150" s="2026"/>
      <c r="M3150" s="2026"/>
      <c r="N3150" s="2026"/>
      <c r="O3150" s="2026"/>
      <c r="P3150" s="2026"/>
      <c r="Q3150" s="2026"/>
      <c r="R3150" s="2026"/>
      <c r="S3150" s="2026"/>
      <c r="T3150" s="2026"/>
      <c r="U3150" s="2026"/>
      <c r="V3150" s="2026"/>
      <c r="W3150" s="2026"/>
      <c r="X3150" s="2026"/>
      <c r="Y3150" s="2026"/>
      <c r="Z3150" s="2026"/>
      <c r="AA3150" s="2026"/>
      <c r="AB3150" s="2026"/>
      <c r="AC3150" s="2026"/>
      <c r="AD3150" s="2026"/>
      <c r="AE3150" s="1041" t="s">
        <v>1834</v>
      </c>
      <c r="AF3150" s="1042" t="s">
        <v>1835</v>
      </c>
    </row>
    <row r="3151" spans="1:32" ht="25.15" customHeight="1" thickBot="1" x14ac:dyDescent="0.25">
      <c r="A3151" s="2027"/>
      <c r="B3151" s="2028"/>
      <c r="C3151" s="2028"/>
      <c r="D3151" s="2028"/>
      <c r="E3151" s="2028"/>
      <c r="F3151" s="2028"/>
      <c r="G3151" s="2028"/>
      <c r="H3151" s="2028"/>
      <c r="I3151" s="2028"/>
      <c r="J3151" s="2028"/>
      <c r="K3151" s="2028"/>
      <c r="L3151" s="2028"/>
      <c r="M3151" s="2028"/>
      <c r="N3151" s="2028"/>
      <c r="O3151" s="2028"/>
      <c r="P3151" s="2028"/>
      <c r="Q3151" s="2028"/>
      <c r="R3151" s="2028"/>
      <c r="S3151" s="2028"/>
      <c r="T3151" s="2028"/>
      <c r="U3151" s="2028"/>
      <c r="V3151" s="2028"/>
      <c r="W3151" s="2028"/>
      <c r="X3151" s="2028"/>
      <c r="Y3151" s="2028"/>
      <c r="Z3151" s="2028"/>
      <c r="AA3151" s="2028"/>
      <c r="AB3151" s="2028"/>
      <c r="AC3151" s="2028"/>
      <c r="AD3151" s="2028"/>
      <c r="AE3151" s="1041" t="s">
        <v>1836</v>
      </c>
      <c r="AF3151" s="1044">
        <v>1</v>
      </c>
    </row>
    <row r="3152" spans="1:32" ht="15.75" x14ac:dyDescent="0.2">
      <c r="A3152" s="2029"/>
      <c r="B3152" s="2030"/>
      <c r="C3152" s="2030"/>
      <c r="D3152" s="2031"/>
      <c r="E3152" s="2025" t="str">
        <f>'01'!$A$12</f>
        <v>"CONSTRUCCION SISTEMA DE ACUEDUCTO FASE II DEL MUNICIPIO DE TESALIA DPTO DEL HUILA"</v>
      </c>
      <c r="F3152" s="2026"/>
      <c r="G3152" s="2026"/>
      <c r="H3152" s="2026"/>
      <c r="I3152" s="2026"/>
      <c r="J3152" s="2026"/>
      <c r="K3152" s="2026"/>
      <c r="L3152" s="2026"/>
      <c r="M3152" s="2026"/>
      <c r="N3152" s="2026"/>
      <c r="O3152" s="2026"/>
      <c r="P3152" s="2026"/>
      <c r="Q3152" s="2026"/>
      <c r="R3152" s="2026"/>
      <c r="S3152" s="2026"/>
      <c r="T3152" s="2026"/>
      <c r="U3152" s="2026"/>
      <c r="V3152" s="2026"/>
      <c r="W3152" s="2026"/>
      <c r="X3152" s="2026"/>
      <c r="Y3152" s="2026"/>
      <c r="Z3152" s="2026"/>
      <c r="AA3152" s="2026"/>
      <c r="AB3152" s="2026"/>
      <c r="AC3152" s="2026"/>
      <c r="AD3152" s="2035"/>
      <c r="AE3152" s="1041" t="s">
        <v>847</v>
      </c>
      <c r="AF3152" s="1045">
        <f>'01'!$M$13</f>
        <v>0</v>
      </c>
    </row>
    <row r="3153" spans="1:34" ht="16.5" thickBot="1" x14ac:dyDescent="0.25">
      <c r="A3153" s="2032"/>
      <c r="B3153" s="2033"/>
      <c r="C3153" s="2033"/>
      <c r="D3153" s="2034"/>
      <c r="E3153" s="2027"/>
      <c r="F3153" s="2028"/>
      <c r="G3153" s="2028"/>
      <c r="H3153" s="2028"/>
      <c r="I3153" s="2028"/>
      <c r="J3153" s="2028"/>
      <c r="K3153" s="2028"/>
      <c r="L3153" s="2028"/>
      <c r="M3153" s="2028"/>
      <c r="N3153" s="2028"/>
      <c r="O3153" s="2028"/>
      <c r="P3153" s="2028"/>
      <c r="Q3153" s="2028"/>
      <c r="R3153" s="2028"/>
      <c r="S3153" s="2028"/>
      <c r="T3153" s="2028"/>
      <c r="U3153" s="2028"/>
      <c r="V3153" s="2028"/>
      <c r="W3153" s="2028"/>
      <c r="X3153" s="2028"/>
      <c r="Y3153" s="2028"/>
      <c r="Z3153" s="2028"/>
      <c r="AA3153" s="2028"/>
      <c r="AB3153" s="2028"/>
      <c r="AC3153" s="2028"/>
      <c r="AD3153" s="2036"/>
      <c r="AE3153" s="1041" t="s">
        <v>1837</v>
      </c>
      <c r="AF3153" s="1042" t="s">
        <v>1838</v>
      </c>
    </row>
    <row r="3154" spans="1:34" ht="15.75" x14ac:dyDescent="0.25">
      <c r="A3154" s="2037" t="s">
        <v>1860</v>
      </c>
      <c r="B3154" s="2038"/>
      <c r="C3154" s="2038"/>
      <c r="D3154" s="2038"/>
      <c r="E3154" s="2038"/>
      <c r="F3154" s="2038"/>
      <c r="G3154" s="2038"/>
      <c r="H3154" s="2038"/>
      <c r="I3154" s="2038"/>
      <c r="J3154" s="2038"/>
      <c r="K3154" s="2038"/>
      <c r="L3154" s="2038"/>
      <c r="M3154" s="2038"/>
      <c r="N3154" s="2038"/>
      <c r="O3154" s="2038"/>
      <c r="P3154" s="2038"/>
      <c r="Q3154" s="2038"/>
      <c r="R3154" s="2038"/>
      <c r="S3154" s="2038"/>
      <c r="T3154" s="2038"/>
      <c r="U3154" s="2038"/>
      <c r="V3154" s="2038"/>
      <c r="W3154" s="2038"/>
      <c r="X3154" s="2038"/>
      <c r="Y3154" s="2038"/>
      <c r="Z3154" s="2038"/>
      <c r="AA3154" s="2038"/>
      <c r="AB3154" s="2038"/>
      <c r="AC3154" s="2038"/>
      <c r="AD3154" s="2038"/>
      <c r="AE3154" s="2039" t="s">
        <v>1839</v>
      </c>
      <c r="AF3154" s="2040"/>
    </row>
    <row r="3155" spans="1:34" ht="15.75" x14ac:dyDescent="0.25">
      <c r="A3155" s="2041" t="s">
        <v>1840</v>
      </c>
      <c r="B3155" s="2042"/>
      <c r="C3155" s="2042"/>
      <c r="D3155" s="2042"/>
      <c r="E3155" s="2042"/>
      <c r="F3155" s="2042"/>
      <c r="G3155" s="2042"/>
      <c r="H3155" s="2042"/>
      <c r="I3155" s="2042"/>
      <c r="J3155" s="2042"/>
      <c r="K3155" s="2042"/>
      <c r="L3155" s="2042"/>
      <c r="M3155" s="2042"/>
      <c r="N3155" s="2042"/>
      <c r="O3155" s="2042"/>
      <c r="P3155" s="2042"/>
      <c r="Q3155" s="2042"/>
      <c r="R3155" s="2042"/>
      <c r="S3155" s="2042"/>
      <c r="T3155" s="2042"/>
      <c r="U3155" s="2042"/>
      <c r="V3155" s="2042"/>
      <c r="W3155" s="2042"/>
      <c r="X3155" s="2042"/>
      <c r="Y3155" s="2042"/>
      <c r="Z3155" s="2042"/>
      <c r="AA3155" s="2042"/>
      <c r="AB3155" s="2042"/>
      <c r="AC3155" s="2042"/>
      <c r="AD3155" s="2043"/>
      <c r="AE3155" s="2014" t="s">
        <v>1841</v>
      </c>
      <c r="AF3155" s="2044"/>
    </row>
    <row r="3156" spans="1:34" ht="15.75" x14ac:dyDescent="0.25">
      <c r="A3156" s="2045" t="s">
        <v>1853</v>
      </c>
      <c r="B3156" s="2046"/>
      <c r="C3156" s="2046"/>
      <c r="D3156" s="2046"/>
      <c r="E3156" s="2046"/>
      <c r="F3156" s="2046"/>
      <c r="G3156" s="2046"/>
      <c r="H3156" s="2046"/>
      <c r="I3156" s="2046"/>
      <c r="J3156" s="2046"/>
      <c r="K3156" s="2046"/>
      <c r="L3156" s="2046"/>
      <c r="M3156" s="2046"/>
      <c r="N3156" s="2046"/>
      <c r="O3156" s="2046"/>
      <c r="P3156" s="2046"/>
      <c r="Q3156" s="2046"/>
      <c r="R3156" s="2046"/>
      <c r="S3156" s="2046"/>
      <c r="T3156" s="2046"/>
      <c r="U3156" s="2046"/>
      <c r="V3156" s="2046"/>
      <c r="W3156" s="2046"/>
      <c r="X3156" s="2046"/>
      <c r="Y3156" s="2046"/>
      <c r="Z3156" s="2046"/>
      <c r="AA3156" s="2046"/>
      <c r="AB3156" s="2046"/>
      <c r="AC3156" s="2046"/>
      <c r="AD3156" s="2046"/>
      <c r="AE3156" s="2047">
        <f>'01'!$M$13</f>
        <v>0</v>
      </c>
      <c r="AF3156" s="2044"/>
    </row>
    <row r="3158" spans="1:34" ht="30" customHeight="1" x14ac:dyDescent="0.2">
      <c r="A3158" s="2048" t="s">
        <v>1842</v>
      </c>
      <c r="B3158" s="2049"/>
      <c r="C3158" s="2049"/>
      <c r="D3158" s="2049"/>
      <c r="E3158" s="2049"/>
      <c r="F3158" s="2050" t="str">
        <f>+'01'!$H$130</f>
        <v>E - ESPESADOR GRAVIMÉTRICO</v>
      </c>
      <c r="G3158" s="2049"/>
      <c r="H3158" s="2049"/>
      <c r="I3158" s="2049"/>
      <c r="J3158" s="2049"/>
      <c r="K3158" s="2049"/>
      <c r="L3158" s="2049"/>
      <c r="M3158" s="2049"/>
      <c r="N3158" s="2049"/>
      <c r="O3158" s="2049"/>
      <c r="P3158" s="2049"/>
      <c r="Q3158" s="2049"/>
      <c r="R3158" s="2049"/>
      <c r="S3158" s="2049"/>
      <c r="T3158" s="2049"/>
      <c r="U3158" s="2049"/>
      <c r="V3158" s="2049"/>
      <c r="W3158" s="2049"/>
      <c r="X3158" s="2049"/>
      <c r="Y3158" s="2051"/>
      <c r="Z3158" s="2052" t="s">
        <v>1843</v>
      </c>
      <c r="AA3158" s="2053"/>
      <c r="AB3158" s="2058" t="s">
        <v>1844</v>
      </c>
      <c r="AC3158" s="2059"/>
      <c r="AD3158" s="2060"/>
      <c r="AE3158" s="2064" t="s">
        <v>1845</v>
      </c>
      <c r="AF3158" s="2067" t="s">
        <v>1846</v>
      </c>
    </row>
    <row r="3159" spans="1:34" x14ac:dyDescent="0.2">
      <c r="A3159" s="2070" t="str">
        <f>+'01'!A139</f>
        <v>E-03-03</v>
      </c>
      <c r="B3159" s="2071"/>
      <c r="C3159" s="2072"/>
      <c r="D3159" s="2076" t="str">
        <f>VLOOKUP(A3159,'01'!$A$12:$N$299,3,FALSE)</f>
        <v>RELLENO CON MATERIAL SELECCIONADO DE LA EXCAVACIÓN, COMPACTADO CON EQUIPO MECÁNICO EN CAPAS DE 0,20 m</v>
      </c>
      <c r="E3159" s="2077"/>
      <c r="F3159" s="2077"/>
      <c r="G3159" s="2077"/>
      <c r="H3159" s="2077"/>
      <c r="I3159" s="2077"/>
      <c r="J3159" s="2077"/>
      <c r="K3159" s="2077"/>
      <c r="L3159" s="2077"/>
      <c r="M3159" s="2077"/>
      <c r="N3159" s="2077"/>
      <c r="O3159" s="2077"/>
      <c r="P3159" s="2077"/>
      <c r="Q3159" s="2077"/>
      <c r="R3159" s="2077"/>
      <c r="S3159" s="2078"/>
      <c r="T3159" s="2082" t="s">
        <v>124</v>
      </c>
      <c r="U3159" s="2083"/>
      <c r="V3159" s="2083"/>
      <c r="W3159" s="2083"/>
      <c r="X3159" s="2052" t="str">
        <f>VLOOKUP(A3159,'01'!$A$12:$N$299,9,FALSE)</f>
        <v>M3</v>
      </c>
      <c r="Y3159" s="2053"/>
      <c r="Z3159" s="2054"/>
      <c r="AA3159" s="2055"/>
      <c r="AB3159" s="2061"/>
      <c r="AC3159" s="2062"/>
      <c r="AD3159" s="2063"/>
      <c r="AE3159" s="2065"/>
      <c r="AF3159" s="2068"/>
    </row>
    <row r="3160" spans="1:34" ht="15.75" x14ac:dyDescent="0.25">
      <c r="A3160" s="2073"/>
      <c r="B3160" s="2074"/>
      <c r="C3160" s="2075"/>
      <c r="D3160" s="2079"/>
      <c r="E3160" s="2080"/>
      <c r="F3160" s="2080"/>
      <c r="G3160" s="2080"/>
      <c r="H3160" s="2080"/>
      <c r="I3160" s="2080"/>
      <c r="J3160" s="2080"/>
      <c r="K3160" s="2080"/>
      <c r="L3160" s="2080"/>
      <c r="M3160" s="2080"/>
      <c r="N3160" s="2080"/>
      <c r="O3160" s="2080"/>
      <c r="P3160" s="2080"/>
      <c r="Q3160" s="2080"/>
      <c r="R3160" s="2080"/>
      <c r="S3160" s="2081"/>
      <c r="T3160" s="2084"/>
      <c r="U3160" s="2085"/>
      <c r="V3160" s="2085"/>
      <c r="W3160" s="2085"/>
      <c r="X3160" s="2056"/>
      <c r="Y3160" s="2057"/>
      <c r="Z3160" s="2056"/>
      <c r="AA3160" s="2057"/>
      <c r="AB3160" s="1049" t="s">
        <v>2417</v>
      </c>
      <c r="AC3160" s="1049" t="s">
        <v>2418</v>
      </c>
      <c r="AD3160" s="1049" t="s">
        <v>2419</v>
      </c>
      <c r="AE3160" s="2066"/>
      <c r="AF3160" s="2069"/>
    </row>
    <row r="3161" spans="1:34" ht="15.6" customHeight="1" x14ac:dyDescent="0.25">
      <c r="A3161" s="2017"/>
      <c r="B3161" s="2018"/>
      <c r="C3161" s="2018"/>
      <c r="D3161" s="2018"/>
      <c r="E3161" s="2018"/>
      <c r="F3161" s="2018"/>
      <c r="G3161" s="2018"/>
      <c r="H3161" s="2018"/>
      <c r="I3161" s="2018"/>
      <c r="J3161" s="2018"/>
      <c r="K3161" s="2018"/>
      <c r="L3161" s="2018"/>
      <c r="M3161" s="2018"/>
      <c r="N3161" s="2018"/>
      <c r="O3161" s="2018"/>
      <c r="P3161" s="2018"/>
      <c r="Q3161" s="2018"/>
      <c r="R3161" s="2018"/>
      <c r="S3161" s="2018"/>
      <c r="T3161" s="2018"/>
      <c r="U3161" s="2018"/>
      <c r="V3161" s="2018"/>
      <c r="W3161" s="2018"/>
      <c r="X3161" s="2018"/>
      <c r="Y3161" s="2094"/>
      <c r="Z3161" s="2021" t="s">
        <v>2459</v>
      </c>
      <c r="AA3161" s="2021"/>
      <c r="AB3161" s="1050">
        <f>+AF3038</f>
        <v>102.06</v>
      </c>
      <c r="AC3161" s="1050">
        <f>+AF3120+AF3274</f>
        <v>5.76</v>
      </c>
      <c r="AD3161" s="1050">
        <f>+AB3120*AC3120*3.8</f>
        <v>87.552000000000021</v>
      </c>
      <c r="AE3161" s="1051">
        <v>1</v>
      </c>
      <c r="AF3161" s="1052">
        <f>+ROUND(AB3161-AC3161-AD3161,2)</f>
        <v>8.75</v>
      </c>
      <c r="AH3161" s="1174"/>
    </row>
    <row r="3162" spans="1:34" ht="15.6" customHeight="1" x14ac:dyDescent="0.25">
      <c r="A3162" s="2017"/>
      <c r="B3162" s="2018"/>
      <c r="C3162" s="2018"/>
      <c r="D3162" s="2018"/>
      <c r="E3162" s="2018"/>
      <c r="F3162" s="2018"/>
      <c r="G3162" s="2018"/>
      <c r="H3162" s="2018"/>
      <c r="I3162" s="2018"/>
      <c r="J3162" s="2018"/>
      <c r="K3162" s="2018"/>
      <c r="L3162" s="2018"/>
      <c r="M3162" s="2018"/>
      <c r="N3162" s="2018"/>
      <c r="O3162" s="2018"/>
      <c r="P3162" s="2018"/>
      <c r="Q3162" s="2018"/>
      <c r="R3162" s="2018"/>
      <c r="S3162" s="2018"/>
      <c r="T3162" s="2018"/>
      <c r="U3162" s="2018"/>
      <c r="V3162" s="2018"/>
      <c r="W3162" s="2018"/>
      <c r="X3162" s="2018"/>
      <c r="Y3162" s="2094"/>
      <c r="Z3162" s="2021" t="s">
        <v>2460</v>
      </c>
      <c r="AA3162" s="2021"/>
      <c r="AB3162" s="1050">
        <f t="shared" ref="AB3162:AB3164" si="47">+AF3039</f>
        <v>5.4</v>
      </c>
      <c r="AC3162" s="1050">
        <f>+AF3121+AF3275</f>
        <v>0.25</v>
      </c>
      <c r="AD3162" s="1050">
        <f>+AB3121*AC3121*1.45</f>
        <v>2.4359999999999999</v>
      </c>
      <c r="AE3162" s="1051">
        <v>1</v>
      </c>
      <c r="AF3162" s="1052">
        <f t="shared" ref="AF3162:AF3164" si="48">+ROUND(AB3162-AC3162-AD3162,2)</f>
        <v>2.71</v>
      </c>
    </row>
    <row r="3163" spans="1:34" ht="15.6" customHeight="1" x14ac:dyDescent="0.25">
      <c r="A3163" s="2017"/>
      <c r="B3163" s="2018"/>
      <c r="C3163" s="2018"/>
      <c r="D3163" s="2018"/>
      <c r="E3163" s="2018"/>
      <c r="F3163" s="2018"/>
      <c r="G3163" s="2018"/>
      <c r="H3163" s="2018"/>
      <c r="I3163" s="2018"/>
      <c r="J3163" s="2018"/>
      <c r="K3163" s="2018"/>
      <c r="L3163" s="2018"/>
      <c r="M3163" s="2018"/>
      <c r="N3163" s="2018"/>
      <c r="O3163" s="2018"/>
      <c r="P3163" s="2018"/>
      <c r="Q3163" s="2018"/>
      <c r="R3163" s="2018"/>
      <c r="S3163" s="2018"/>
      <c r="T3163" s="2018"/>
      <c r="U3163" s="2018"/>
      <c r="V3163" s="2018"/>
      <c r="W3163" s="2018"/>
      <c r="X3163" s="2018"/>
      <c r="Y3163" s="2094"/>
      <c r="Z3163" s="2021" t="s">
        <v>2461</v>
      </c>
      <c r="AA3163" s="2021"/>
      <c r="AB3163" s="1050">
        <f t="shared" si="47"/>
        <v>10.8</v>
      </c>
      <c r="AC3163" s="1050">
        <f>+AF3122+AF3276</f>
        <v>0.25</v>
      </c>
      <c r="AD3163" s="1050">
        <f>+AB3122*AC3122*3.45</f>
        <v>5.7960000000000012</v>
      </c>
      <c r="AE3163" s="1051">
        <v>1</v>
      </c>
      <c r="AF3163" s="1052">
        <f t="shared" si="48"/>
        <v>4.75</v>
      </c>
    </row>
    <row r="3164" spans="1:34" ht="15.75" x14ac:dyDescent="0.25">
      <c r="A3164" s="2017"/>
      <c r="B3164" s="2018"/>
      <c r="C3164" s="2018"/>
      <c r="D3164" s="2018"/>
      <c r="E3164" s="2018"/>
      <c r="F3164" s="2018"/>
      <c r="G3164" s="2018"/>
      <c r="H3164" s="2018"/>
      <c r="I3164" s="2018"/>
      <c r="J3164" s="2018"/>
      <c r="K3164" s="2018"/>
      <c r="L3164" s="2018"/>
      <c r="M3164" s="2018"/>
      <c r="N3164" s="2018"/>
      <c r="O3164" s="2018"/>
      <c r="P3164" s="2018"/>
      <c r="Q3164" s="2018"/>
      <c r="R3164" s="2018"/>
      <c r="S3164" s="2018"/>
      <c r="T3164" s="2018"/>
      <c r="U3164" s="2018"/>
      <c r="V3164" s="2018"/>
      <c r="W3164" s="2018"/>
      <c r="X3164" s="2018"/>
      <c r="Y3164" s="2094"/>
      <c r="Z3164" s="2021" t="s">
        <v>2466</v>
      </c>
      <c r="AA3164" s="2021"/>
      <c r="AB3164" s="1050">
        <f t="shared" si="47"/>
        <v>8</v>
      </c>
      <c r="AC3164" s="1050">
        <f>+AF3082</f>
        <v>0.8</v>
      </c>
      <c r="AD3164" s="1050">
        <f>+ROUND(PI()*(0.15^2)/4*AB3164,2)</f>
        <v>0.14000000000000001</v>
      </c>
      <c r="AE3164" s="1051">
        <v>1</v>
      </c>
      <c r="AF3164" s="1052">
        <f t="shared" si="48"/>
        <v>7.06</v>
      </c>
    </row>
    <row r="3165" spans="1:34" ht="15.75" x14ac:dyDescent="0.25">
      <c r="A3165" s="2017"/>
      <c r="B3165" s="2018"/>
      <c r="C3165" s="2018"/>
      <c r="D3165" s="2018"/>
      <c r="E3165" s="2018"/>
      <c r="F3165" s="2018"/>
      <c r="G3165" s="2018"/>
      <c r="H3165" s="2018"/>
      <c r="I3165" s="2018"/>
      <c r="J3165" s="2018"/>
      <c r="K3165" s="2018"/>
      <c r="L3165" s="2018"/>
      <c r="M3165" s="2018"/>
      <c r="N3165" s="2018"/>
      <c r="O3165" s="2018"/>
      <c r="P3165" s="2018"/>
      <c r="Q3165" s="2018"/>
      <c r="R3165" s="2018"/>
      <c r="S3165" s="2018"/>
      <c r="T3165" s="2018"/>
      <c r="U3165" s="2018"/>
      <c r="V3165" s="2018"/>
      <c r="W3165" s="2018"/>
      <c r="X3165" s="2018"/>
      <c r="Y3165" s="2094"/>
      <c r="Z3165" s="2096"/>
      <c r="AA3165" s="2097"/>
      <c r="AB3165" s="1053"/>
      <c r="AC3165" s="1053"/>
      <c r="AD3165" s="1050"/>
      <c r="AE3165" s="1051"/>
      <c r="AF3165" s="1052"/>
    </row>
    <row r="3166" spans="1:34" ht="15.75" x14ac:dyDescent="0.25">
      <c r="A3166" s="2017"/>
      <c r="B3166" s="2018"/>
      <c r="C3166" s="2018"/>
      <c r="D3166" s="2018"/>
      <c r="E3166" s="2018"/>
      <c r="F3166" s="2018"/>
      <c r="G3166" s="2018"/>
      <c r="H3166" s="2018"/>
      <c r="I3166" s="2018"/>
      <c r="J3166" s="2018"/>
      <c r="K3166" s="2018"/>
      <c r="L3166" s="2018"/>
      <c r="M3166" s="2018"/>
      <c r="N3166" s="2018"/>
      <c r="O3166" s="2018"/>
      <c r="P3166" s="2018"/>
      <c r="Q3166" s="2018"/>
      <c r="R3166" s="2018"/>
      <c r="S3166" s="2018"/>
      <c r="T3166" s="2018"/>
      <c r="U3166" s="2018"/>
      <c r="V3166" s="2018"/>
      <c r="W3166" s="2018"/>
      <c r="X3166" s="2018"/>
      <c r="Y3166" s="2094"/>
      <c r="Z3166" s="2096"/>
      <c r="AA3166" s="2097"/>
      <c r="AB3166" s="1053"/>
      <c r="AC3166" s="1053"/>
      <c r="AD3166" s="1053"/>
      <c r="AE3166" s="1051"/>
      <c r="AF3166" s="1052"/>
    </row>
    <row r="3167" spans="1:34" ht="15.75" x14ac:dyDescent="0.25">
      <c r="A3167" s="2017"/>
      <c r="B3167" s="2018"/>
      <c r="C3167" s="2018"/>
      <c r="D3167" s="2018"/>
      <c r="E3167" s="2018"/>
      <c r="F3167" s="2018"/>
      <c r="G3167" s="2018"/>
      <c r="H3167" s="2018"/>
      <c r="I3167" s="2018"/>
      <c r="J3167" s="2018"/>
      <c r="K3167" s="2018"/>
      <c r="L3167" s="2018"/>
      <c r="M3167" s="2018"/>
      <c r="N3167" s="2018"/>
      <c r="O3167" s="2018"/>
      <c r="P3167" s="2018"/>
      <c r="Q3167" s="2018"/>
      <c r="R3167" s="2018"/>
      <c r="S3167" s="2018"/>
      <c r="T3167" s="2018"/>
      <c r="U3167" s="2018"/>
      <c r="V3167" s="2018"/>
      <c r="W3167" s="2018"/>
      <c r="X3167" s="2018"/>
      <c r="Y3167" s="2094"/>
      <c r="Z3167" s="2096"/>
      <c r="AA3167" s="2097"/>
      <c r="AB3167" s="1053"/>
      <c r="AC3167" s="1053"/>
      <c r="AD3167" s="1053"/>
      <c r="AE3167" s="1051"/>
      <c r="AF3167" s="1052"/>
    </row>
    <row r="3168" spans="1:34" ht="15.75" x14ac:dyDescent="0.25">
      <c r="A3168" s="2017"/>
      <c r="B3168" s="2018"/>
      <c r="C3168" s="2018"/>
      <c r="D3168" s="2018"/>
      <c r="E3168" s="2018"/>
      <c r="F3168" s="2018"/>
      <c r="G3168" s="2018"/>
      <c r="H3168" s="2018"/>
      <c r="I3168" s="2018"/>
      <c r="J3168" s="2018"/>
      <c r="K3168" s="2018"/>
      <c r="L3168" s="2018"/>
      <c r="M3168" s="2018"/>
      <c r="N3168" s="2018"/>
      <c r="O3168" s="2018"/>
      <c r="P3168" s="2018"/>
      <c r="Q3168" s="2018"/>
      <c r="R3168" s="2018"/>
      <c r="S3168" s="2018"/>
      <c r="T3168" s="2018"/>
      <c r="U3168" s="2018"/>
      <c r="V3168" s="2018"/>
      <c r="W3168" s="2018"/>
      <c r="X3168" s="2018"/>
      <c r="Y3168" s="2094"/>
      <c r="Z3168" s="2096"/>
      <c r="AA3168" s="2097"/>
      <c r="AB3168" s="1053"/>
      <c r="AC3168" s="1053"/>
      <c r="AD3168" s="1053"/>
      <c r="AE3168" s="1051"/>
      <c r="AF3168" s="1052"/>
    </row>
    <row r="3169" spans="1:32" ht="15.75" x14ac:dyDescent="0.25">
      <c r="A3169" s="2017"/>
      <c r="B3169" s="2018"/>
      <c r="C3169" s="2018"/>
      <c r="D3169" s="2018"/>
      <c r="E3169" s="2018"/>
      <c r="F3169" s="2018"/>
      <c r="G3169" s="2018"/>
      <c r="H3169" s="2018"/>
      <c r="I3169" s="2018"/>
      <c r="J3169" s="2018"/>
      <c r="K3169" s="2018"/>
      <c r="L3169" s="2018"/>
      <c r="M3169" s="2018"/>
      <c r="N3169" s="2018"/>
      <c r="O3169" s="2018"/>
      <c r="P3169" s="2018"/>
      <c r="Q3169" s="2018"/>
      <c r="R3169" s="2018"/>
      <c r="S3169" s="2018"/>
      <c r="T3169" s="2018"/>
      <c r="U3169" s="2018"/>
      <c r="V3169" s="2018"/>
      <c r="W3169" s="2018"/>
      <c r="X3169" s="2018"/>
      <c r="Y3169" s="2094"/>
      <c r="Z3169" s="2096"/>
      <c r="AA3169" s="2097"/>
      <c r="AB3169" s="1053"/>
      <c r="AC3169" s="1053"/>
      <c r="AD3169" s="1053"/>
      <c r="AE3169" s="1050"/>
      <c r="AF3169" s="1054"/>
    </row>
    <row r="3170" spans="1:32" ht="15.75" x14ac:dyDescent="0.25">
      <c r="A3170" s="2017"/>
      <c r="B3170" s="2018"/>
      <c r="C3170" s="2018"/>
      <c r="D3170" s="2018"/>
      <c r="E3170" s="2018"/>
      <c r="F3170" s="2018"/>
      <c r="G3170" s="2018"/>
      <c r="H3170" s="2018"/>
      <c r="I3170" s="2018"/>
      <c r="J3170" s="2018"/>
      <c r="K3170" s="2018"/>
      <c r="L3170" s="2018"/>
      <c r="M3170" s="2018"/>
      <c r="N3170" s="2018"/>
      <c r="O3170" s="2018"/>
      <c r="P3170" s="2018"/>
      <c r="Q3170" s="2018"/>
      <c r="R3170" s="2018"/>
      <c r="S3170" s="2018"/>
      <c r="T3170" s="2018"/>
      <c r="U3170" s="2018"/>
      <c r="V3170" s="2018"/>
      <c r="W3170" s="2018"/>
      <c r="X3170" s="2018"/>
      <c r="Y3170" s="2094"/>
      <c r="Z3170" s="2096"/>
      <c r="AA3170" s="2097"/>
      <c r="AB3170" s="1053"/>
      <c r="AC3170" s="1053"/>
      <c r="AD3170" s="1053"/>
      <c r="AE3170" s="1051"/>
      <c r="AF3170" s="1054"/>
    </row>
    <row r="3171" spans="1:32" ht="15.75" x14ac:dyDescent="0.25">
      <c r="A3171" s="2017"/>
      <c r="B3171" s="2018"/>
      <c r="C3171" s="2018"/>
      <c r="D3171" s="2018"/>
      <c r="E3171" s="2018"/>
      <c r="F3171" s="2018"/>
      <c r="G3171" s="2018"/>
      <c r="H3171" s="2018"/>
      <c r="I3171" s="2018"/>
      <c r="J3171" s="2018"/>
      <c r="K3171" s="2018"/>
      <c r="L3171" s="2018"/>
      <c r="M3171" s="2018"/>
      <c r="N3171" s="2018"/>
      <c r="O3171" s="2018"/>
      <c r="P3171" s="2018"/>
      <c r="Q3171" s="2018"/>
      <c r="R3171" s="2018"/>
      <c r="S3171" s="2018"/>
      <c r="T3171" s="2018"/>
      <c r="U3171" s="2018"/>
      <c r="V3171" s="2018"/>
      <c r="W3171" s="2018"/>
      <c r="X3171" s="2018"/>
      <c r="Y3171" s="2094"/>
      <c r="Z3171" s="2096"/>
      <c r="AA3171" s="2097"/>
      <c r="AB3171" s="1053"/>
      <c r="AC3171" s="1053"/>
      <c r="AD3171" s="1053"/>
      <c r="AE3171" s="1051"/>
      <c r="AF3171" s="1054"/>
    </row>
    <row r="3172" spans="1:32" ht="15.75" x14ac:dyDescent="0.25">
      <c r="A3172" s="2017"/>
      <c r="B3172" s="2018"/>
      <c r="C3172" s="2018"/>
      <c r="D3172" s="2018"/>
      <c r="E3172" s="2018"/>
      <c r="F3172" s="2018"/>
      <c r="G3172" s="2018"/>
      <c r="H3172" s="2018"/>
      <c r="I3172" s="2018"/>
      <c r="J3172" s="2018"/>
      <c r="K3172" s="2018"/>
      <c r="L3172" s="2018"/>
      <c r="M3172" s="2018"/>
      <c r="N3172" s="2018"/>
      <c r="O3172" s="2018"/>
      <c r="P3172" s="2018"/>
      <c r="Q3172" s="2018"/>
      <c r="R3172" s="2018"/>
      <c r="S3172" s="2018"/>
      <c r="T3172" s="2018"/>
      <c r="U3172" s="2018"/>
      <c r="V3172" s="2018"/>
      <c r="W3172" s="2018"/>
      <c r="X3172" s="2018"/>
      <c r="Y3172" s="2094"/>
      <c r="Z3172" s="2096"/>
      <c r="AA3172" s="2097"/>
      <c r="AB3172" s="1053"/>
      <c r="AC3172" s="1053"/>
      <c r="AD3172" s="1053"/>
      <c r="AE3172" s="1051"/>
      <c r="AF3172" s="1054"/>
    </row>
    <row r="3173" spans="1:32" ht="15.75" x14ac:dyDescent="0.25">
      <c r="A3173" s="2017"/>
      <c r="B3173" s="2018"/>
      <c r="C3173" s="2018"/>
      <c r="D3173" s="2018"/>
      <c r="E3173" s="2018"/>
      <c r="F3173" s="2018"/>
      <c r="G3173" s="2018"/>
      <c r="H3173" s="2018"/>
      <c r="I3173" s="2018"/>
      <c r="J3173" s="2018"/>
      <c r="K3173" s="2018"/>
      <c r="L3173" s="2018"/>
      <c r="M3173" s="2018"/>
      <c r="N3173" s="2018"/>
      <c r="O3173" s="2018"/>
      <c r="P3173" s="2018"/>
      <c r="Q3173" s="2018"/>
      <c r="R3173" s="2018"/>
      <c r="S3173" s="2018"/>
      <c r="T3173" s="2018"/>
      <c r="U3173" s="2018"/>
      <c r="V3173" s="2018"/>
      <c r="W3173" s="2018"/>
      <c r="X3173" s="2018"/>
      <c r="Y3173" s="2094"/>
      <c r="Z3173" s="2096"/>
      <c r="AA3173" s="2097"/>
      <c r="AB3173" s="1053"/>
      <c r="AC3173" s="1053"/>
      <c r="AD3173" s="1053"/>
      <c r="AE3173" s="1051"/>
      <c r="AF3173" s="1054"/>
    </row>
    <row r="3174" spans="1:32" ht="15.75" x14ac:dyDescent="0.25">
      <c r="A3174" s="2017"/>
      <c r="B3174" s="2018"/>
      <c r="C3174" s="2018"/>
      <c r="D3174" s="2018"/>
      <c r="E3174" s="2018"/>
      <c r="F3174" s="2018"/>
      <c r="G3174" s="2018"/>
      <c r="H3174" s="2018"/>
      <c r="I3174" s="2018"/>
      <c r="J3174" s="2018"/>
      <c r="K3174" s="2018"/>
      <c r="L3174" s="2018"/>
      <c r="M3174" s="2018"/>
      <c r="N3174" s="2018"/>
      <c r="O3174" s="2018"/>
      <c r="P3174" s="2018"/>
      <c r="Q3174" s="2018"/>
      <c r="R3174" s="2018"/>
      <c r="S3174" s="2018"/>
      <c r="T3174" s="2018"/>
      <c r="U3174" s="2018"/>
      <c r="V3174" s="2018"/>
      <c r="W3174" s="2018"/>
      <c r="X3174" s="2018"/>
      <c r="Y3174" s="2094"/>
      <c r="Z3174" s="2096"/>
      <c r="AA3174" s="2097"/>
      <c r="AB3174" s="1053"/>
      <c r="AC3174" s="1053"/>
      <c r="AD3174" s="1053"/>
      <c r="AE3174" s="1051"/>
      <c r="AF3174" s="1054"/>
    </row>
    <row r="3175" spans="1:32" ht="15.75" x14ac:dyDescent="0.25">
      <c r="A3175" s="2017"/>
      <c r="B3175" s="2018"/>
      <c r="C3175" s="2018"/>
      <c r="D3175" s="2018"/>
      <c r="E3175" s="2018"/>
      <c r="F3175" s="2018"/>
      <c r="G3175" s="2018"/>
      <c r="H3175" s="2018"/>
      <c r="I3175" s="2018"/>
      <c r="J3175" s="2018"/>
      <c r="K3175" s="2018"/>
      <c r="L3175" s="2018"/>
      <c r="M3175" s="2018"/>
      <c r="N3175" s="2018"/>
      <c r="O3175" s="2018"/>
      <c r="P3175" s="2018"/>
      <c r="Q3175" s="2018"/>
      <c r="R3175" s="2018"/>
      <c r="S3175" s="2018"/>
      <c r="T3175" s="2018"/>
      <c r="U3175" s="2018"/>
      <c r="V3175" s="2018"/>
      <c r="W3175" s="2018"/>
      <c r="X3175" s="2018"/>
      <c r="Y3175" s="2094"/>
      <c r="Z3175" s="2096"/>
      <c r="AA3175" s="2097"/>
      <c r="AB3175" s="1055"/>
      <c r="AC3175" s="1055"/>
      <c r="AD3175" s="1055"/>
      <c r="AE3175" s="1051"/>
      <c r="AF3175" s="1056"/>
    </row>
    <row r="3176" spans="1:32" ht="15.75" x14ac:dyDescent="0.25">
      <c r="A3176" s="2017"/>
      <c r="B3176" s="2018"/>
      <c r="C3176" s="2018"/>
      <c r="D3176" s="2018"/>
      <c r="E3176" s="2018"/>
      <c r="F3176" s="2018"/>
      <c r="G3176" s="2018"/>
      <c r="H3176" s="2018"/>
      <c r="I3176" s="2018"/>
      <c r="J3176" s="2018"/>
      <c r="K3176" s="2018"/>
      <c r="L3176" s="2018"/>
      <c r="M3176" s="2018"/>
      <c r="N3176" s="2018"/>
      <c r="O3176" s="2018"/>
      <c r="P3176" s="2018"/>
      <c r="Q3176" s="2018"/>
      <c r="R3176" s="2018"/>
      <c r="S3176" s="2018"/>
      <c r="T3176" s="2018"/>
      <c r="U3176" s="2018"/>
      <c r="V3176" s="2018"/>
      <c r="W3176" s="2018"/>
      <c r="X3176" s="2018"/>
      <c r="Y3176" s="2094"/>
      <c r="Z3176" s="2096"/>
      <c r="AA3176" s="2097"/>
      <c r="AB3176" s="1055"/>
      <c r="AC3176" s="1055"/>
      <c r="AD3176" s="1055"/>
      <c r="AE3176" s="1055"/>
      <c r="AF3176" s="1056"/>
    </row>
    <row r="3177" spans="1:32" ht="15.75" x14ac:dyDescent="0.25">
      <c r="A3177" s="2017"/>
      <c r="B3177" s="2018"/>
      <c r="C3177" s="2018"/>
      <c r="D3177" s="2018"/>
      <c r="E3177" s="2018"/>
      <c r="F3177" s="2018"/>
      <c r="G3177" s="2018"/>
      <c r="H3177" s="2018"/>
      <c r="I3177" s="2018"/>
      <c r="J3177" s="2018"/>
      <c r="K3177" s="2018"/>
      <c r="L3177" s="2018"/>
      <c r="M3177" s="2018"/>
      <c r="N3177" s="2018"/>
      <c r="O3177" s="2018"/>
      <c r="P3177" s="2018"/>
      <c r="Q3177" s="2018"/>
      <c r="R3177" s="2018"/>
      <c r="S3177" s="2018"/>
      <c r="T3177" s="2018"/>
      <c r="U3177" s="2018"/>
      <c r="V3177" s="2018"/>
      <c r="W3177" s="2018"/>
      <c r="X3177" s="2018"/>
      <c r="Y3177" s="2094"/>
      <c r="Z3177" s="2096"/>
      <c r="AA3177" s="2097"/>
      <c r="AB3177" s="1055"/>
      <c r="AC3177" s="1055"/>
      <c r="AD3177" s="1055"/>
      <c r="AE3177" s="1055"/>
      <c r="AF3177" s="1056"/>
    </row>
    <row r="3178" spans="1:32" ht="15.75" x14ac:dyDescent="0.25">
      <c r="A3178" s="2017"/>
      <c r="B3178" s="2018"/>
      <c r="C3178" s="2018"/>
      <c r="D3178" s="2018"/>
      <c r="E3178" s="2018"/>
      <c r="F3178" s="2018"/>
      <c r="G3178" s="2018"/>
      <c r="H3178" s="2018"/>
      <c r="I3178" s="2018"/>
      <c r="J3178" s="2018"/>
      <c r="K3178" s="2018"/>
      <c r="L3178" s="2018"/>
      <c r="M3178" s="2018"/>
      <c r="N3178" s="2018"/>
      <c r="O3178" s="2018"/>
      <c r="P3178" s="2018"/>
      <c r="Q3178" s="2018"/>
      <c r="R3178" s="2018"/>
      <c r="S3178" s="2018"/>
      <c r="T3178" s="2018"/>
      <c r="U3178" s="2018"/>
      <c r="V3178" s="2018"/>
      <c r="W3178" s="2018"/>
      <c r="X3178" s="2018"/>
      <c r="Y3178" s="2094"/>
      <c r="Z3178" s="2096"/>
      <c r="AA3178" s="2097"/>
      <c r="AB3178" s="1055"/>
      <c r="AC3178" s="1055"/>
      <c r="AD3178" s="1055"/>
      <c r="AE3178" s="1055"/>
      <c r="AF3178" s="1056"/>
    </row>
    <row r="3179" spans="1:32" ht="15.75" x14ac:dyDescent="0.25">
      <c r="A3179" s="2017"/>
      <c r="B3179" s="2018"/>
      <c r="C3179" s="2018"/>
      <c r="D3179" s="2018"/>
      <c r="E3179" s="2018"/>
      <c r="F3179" s="2018"/>
      <c r="G3179" s="2018"/>
      <c r="H3179" s="2018"/>
      <c r="I3179" s="2018"/>
      <c r="J3179" s="2018"/>
      <c r="K3179" s="2018"/>
      <c r="L3179" s="2018"/>
      <c r="M3179" s="2018"/>
      <c r="N3179" s="2018"/>
      <c r="O3179" s="2018"/>
      <c r="P3179" s="2018"/>
      <c r="Q3179" s="2018"/>
      <c r="R3179" s="2018"/>
      <c r="S3179" s="2018"/>
      <c r="T3179" s="2018"/>
      <c r="U3179" s="2018"/>
      <c r="V3179" s="2018"/>
      <c r="W3179" s="2018"/>
      <c r="X3179" s="2018"/>
      <c r="Y3179" s="2094"/>
      <c r="Z3179" s="2096"/>
      <c r="AA3179" s="2097"/>
      <c r="AB3179" s="1055"/>
      <c r="AC3179" s="1055"/>
      <c r="AD3179" s="1055"/>
      <c r="AE3179" s="1055"/>
      <c r="AF3179" s="1056"/>
    </row>
    <row r="3180" spans="1:32" ht="16.5" thickBot="1" x14ac:dyDescent="0.3">
      <c r="A3180" s="2019"/>
      <c r="B3180" s="2020"/>
      <c r="C3180" s="2020"/>
      <c r="D3180" s="2020"/>
      <c r="E3180" s="2020"/>
      <c r="F3180" s="2020"/>
      <c r="G3180" s="2020"/>
      <c r="H3180" s="2020"/>
      <c r="I3180" s="2020"/>
      <c r="J3180" s="2020"/>
      <c r="K3180" s="2020"/>
      <c r="L3180" s="2020"/>
      <c r="M3180" s="2020"/>
      <c r="N3180" s="2020"/>
      <c r="O3180" s="2020"/>
      <c r="P3180" s="2020"/>
      <c r="Q3180" s="2020"/>
      <c r="R3180" s="2020"/>
      <c r="S3180" s="2020"/>
      <c r="T3180" s="2020"/>
      <c r="U3180" s="2020"/>
      <c r="V3180" s="2020"/>
      <c r="W3180" s="2020"/>
      <c r="X3180" s="2020"/>
      <c r="Y3180" s="2095"/>
      <c r="Z3180" s="2098"/>
      <c r="AA3180" s="2099"/>
      <c r="AB3180" s="1057"/>
      <c r="AC3180" s="1057"/>
      <c r="AD3180" s="1057"/>
      <c r="AE3180" s="1057"/>
      <c r="AF3180" s="1058"/>
    </row>
    <row r="3181" spans="1:32" ht="15.75" x14ac:dyDescent="0.25">
      <c r="A3181" s="2100" t="s">
        <v>1855</v>
      </c>
      <c r="B3181" s="2101"/>
      <c r="C3181" s="2101"/>
      <c r="D3181" s="2101"/>
      <c r="E3181" s="2101"/>
      <c r="F3181" s="2101"/>
      <c r="G3181" s="2101"/>
      <c r="H3181" s="2101"/>
      <c r="I3181" s="2101"/>
      <c r="J3181" s="2101"/>
      <c r="K3181" s="2101"/>
      <c r="L3181" s="2101"/>
      <c r="M3181" s="2101"/>
      <c r="N3181" s="2101"/>
      <c r="O3181" s="2101"/>
      <c r="P3181" s="2101"/>
      <c r="Q3181" s="2101"/>
      <c r="R3181" s="2101"/>
      <c r="S3181" s="2101"/>
      <c r="T3181" s="2101"/>
      <c r="U3181" s="2101"/>
      <c r="V3181" s="2101"/>
      <c r="W3181" s="2101"/>
      <c r="X3181" s="2101"/>
      <c r="Y3181" s="2101"/>
      <c r="Z3181" s="2013" t="s">
        <v>1850</v>
      </c>
      <c r="AA3181" s="2013"/>
      <c r="AB3181" s="2013"/>
      <c r="AC3181" s="2013"/>
      <c r="AD3181" s="2013"/>
      <c r="AE3181" s="2013"/>
      <c r="AF3181" s="1059">
        <f>SUM(AF3161:AF3180)</f>
        <v>23.27</v>
      </c>
    </row>
    <row r="3182" spans="1:32" ht="15.75" x14ac:dyDescent="0.25">
      <c r="A3182" s="2102"/>
      <c r="B3182" s="2103"/>
      <c r="C3182" s="2103"/>
      <c r="D3182" s="2103"/>
      <c r="E3182" s="2103"/>
      <c r="F3182" s="2103"/>
      <c r="G3182" s="2103"/>
      <c r="H3182" s="2103"/>
      <c r="I3182" s="2103"/>
      <c r="J3182" s="2103"/>
      <c r="K3182" s="2103"/>
      <c r="L3182" s="2103"/>
      <c r="M3182" s="2103"/>
      <c r="N3182" s="2103"/>
      <c r="O3182" s="2103"/>
      <c r="P3182" s="2103"/>
      <c r="Q3182" s="2103"/>
      <c r="R3182" s="2103"/>
      <c r="S3182" s="2103"/>
      <c r="T3182" s="2103"/>
      <c r="U3182" s="2103"/>
      <c r="V3182" s="2103"/>
      <c r="W3182" s="2103"/>
      <c r="X3182" s="2103"/>
      <c r="Y3182" s="2103"/>
      <c r="Z3182" s="2014" t="s">
        <v>1851</v>
      </c>
      <c r="AA3182" s="2014"/>
      <c r="AB3182" s="2014"/>
      <c r="AC3182" s="2014"/>
      <c r="AD3182" s="2014"/>
      <c r="AE3182" s="2014"/>
      <c r="AF3182" s="1060">
        <v>0</v>
      </c>
    </row>
    <row r="3183" spans="1:32" ht="15.75" x14ac:dyDescent="0.25">
      <c r="A3183" s="2102"/>
      <c r="B3183" s="2103"/>
      <c r="C3183" s="2103"/>
      <c r="D3183" s="2103"/>
      <c r="E3183" s="2103"/>
      <c r="F3183" s="2103"/>
      <c r="G3183" s="2103"/>
      <c r="H3183" s="2103"/>
      <c r="I3183" s="2103"/>
      <c r="J3183" s="2103"/>
      <c r="K3183" s="2103"/>
      <c r="L3183" s="2103"/>
      <c r="M3183" s="2103"/>
      <c r="N3183" s="2103"/>
      <c r="O3183" s="2103"/>
      <c r="P3183" s="2103"/>
      <c r="Q3183" s="2103"/>
      <c r="R3183" s="2103"/>
      <c r="S3183" s="2103"/>
      <c r="T3183" s="2103"/>
      <c r="U3183" s="2103"/>
      <c r="V3183" s="2103"/>
      <c r="W3183" s="2103"/>
      <c r="X3183" s="2103"/>
      <c r="Y3183" s="2103"/>
      <c r="Z3183" s="2015" t="s">
        <v>1833</v>
      </c>
      <c r="AA3183" s="2015"/>
      <c r="AB3183" s="2015"/>
      <c r="AC3183" s="2015"/>
      <c r="AD3183" s="2015"/>
      <c r="AE3183" s="2015"/>
      <c r="AF3183" s="1061">
        <f>SUM(AF3181:AF3182)</f>
        <v>23.27</v>
      </c>
    </row>
    <row r="3184" spans="1:32" x14ac:dyDescent="0.2">
      <c r="A3184" s="2012" t="s">
        <v>1859</v>
      </c>
      <c r="B3184" s="2012"/>
      <c r="C3184" s="2012"/>
      <c r="D3184" s="2012"/>
      <c r="E3184" s="2012"/>
      <c r="F3184" s="2012"/>
      <c r="G3184" s="2012"/>
      <c r="H3184" s="2012"/>
      <c r="I3184" s="2012"/>
      <c r="J3184" s="2012"/>
      <c r="K3184" s="2012"/>
      <c r="L3184" s="2012"/>
      <c r="M3184" s="2012"/>
      <c r="N3184" s="2012"/>
      <c r="O3184" s="2012"/>
      <c r="P3184" s="2012"/>
      <c r="Q3184" s="2012"/>
      <c r="R3184" s="2012"/>
      <c r="S3184" s="2012"/>
      <c r="T3184" s="2016" t="s">
        <v>1840</v>
      </c>
      <c r="U3184" s="2016"/>
      <c r="V3184" s="2016"/>
      <c r="W3184" s="2016"/>
      <c r="X3184" s="2016"/>
      <c r="Y3184" s="2016"/>
      <c r="Z3184" s="2016"/>
      <c r="AA3184" s="2016"/>
      <c r="AB3184" s="2012" t="s">
        <v>1852</v>
      </c>
      <c r="AC3184" s="2012"/>
      <c r="AD3184" s="2012"/>
      <c r="AE3184" s="2012"/>
      <c r="AF3184" s="2012"/>
    </row>
    <row r="3185" spans="1:32" x14ac:dyDescent="0.2">
      <c r="A3185" s="2012"/>
      <c r="B3185" s="2012"/>
      <c r="C3185" s="2012"/>
      <c r="D3185" s="2012"/>
      <c r="E3185" s="2012"/>
      <c r="F3185" s="2012"/>
      <c r="G3185" s="2012"/>
      <c r="H3185" s="2012"/>
      <c r="I3185" s="2012"/>
      <c r="J3185" s="2012"/>
      <c r="K3185" s="2012"/>
      <c r="L3185" s="2012"/>
      <c r="M3185" s="2012"/>
      <c r="N3185" s="2012"/>
      <c r="O3185" s="2012"/>
      <c r="P3185" s="2012"/>
      <c r="Q3185" s="2012"/>
      <c r="R3185" s="2012"/>
      <c r="S3185" s="2012"/>
      <c r="T3185" s="2016"/>
      <c r="U3185" s="2016"/>
      <c r="V3185" s="2016"/>
      <c r="W3185" s="2016"/>
      <c r="X3185" s="2016"/>
      <c r="Y3185" s="2016"/>
      <c r="Z3185" s="2016"/>
      <c r="AA3185" s="2016"/>
      <c r="AB3185" s="2012"/>
      <c r="AC3185" s="2012"/>
      <c r="AD3185" s="2012"/>
      <c r="AE3185" s="2012"/>
      <c r="AF3185" s="2012"/>
    </row>
    <row r="3186" spans="1:32" ht="13.5" thickBot="1" x14ac:dyDescent="0.25"/>
    <row r="3187" spans="1:32" ht="21.6" customHeight="1" x14ac:dyDescent="0.2">
      <c r="A3187" s="2025" t="s">
        <v>1854</v>
      </c>
      <c r="B3187" s="2026"/>
      <c r="C3187" s="2026"/>
      <c r="D3187" s="2026"/>
      <c r="E3187" s="2026"/>
      <c r="F3187" s="2026"/>
      <c r="G3187" s="2026"/>
      <c r="H3187" s="2026"/>
      <c r="I3187" s="2026"/>
      <c r="J3187" s="2026"/>
      <c r="K3187" s="2026"/>
      <c r="L3187" s="2026"/>
      <c r="M3187" s="2026"/>
      <c r="N3187" s="2026"/>
      <c r="O3187" s="2026"/>
      <c r="P3187" s="2026"/>
      <c r="Q3187" s="2026"/>
      <c r="R3187" s="2026"/>
      <c r="S3187" s="2026"/>
      <c r="T3187" s="2026"/>
      <c r="U3187" s="2026"/>
      <c r="V3187" s="2026"/>
      <c r="W3187" s="2026"/>
      <c r="X3187" s="2026"/>
      <c r="Y3187" s="2026"/>
      <c r="Z3187" s="2026"/>
      <c r="AA3187" s="2026"/>
      <c r="AB3187" s="2026"/>
      <c r="AC3187" s="2026"/>
      <c r="AD3187" s="2026"/>
      <c r="AE3187" s="1041" t="s">
        <v>1834</v>
      </c>
      <c r="AF3187" s="1042" t="s">
        <v>1835</v>
      </c>
    </row>
    <row r="3188" spans="1:32" ht="22.15" customHeight="1" thickBot="1" x14ac:dyDescent="0.25">
      <c r="A3188" s="2027"/>
      <c r="B3188" s="2028"/>
      <c r="C3188" s="2028"/>
      <c r="D3188" s="2028"/>
      <c r="E3188" s="2028"/>
      <c r="F3188" s="2028"/>
      <c r="G3188" s="2028"/>
      <c r="H3188" s="2028"/>
      <c r="I3188" s="2028"/>
      <c r="J3188" s="2028"/>
      <c r="K3188" s="2028"/>
      <c r="L3188" s="2028"/>
      <c r="M3188" s="2028"/>
      <c r="N3188" s="2028"/>
      <c r="O3188" s="2028"/>
      <c r="P3188" s="2028"/>
      <c r="Q3188" s="2028"/>
      <c r="R3188" s="2028"/>
      <c r="S3188" s="2028"/>
      <c r="T3188" s="2028"/>
      <c r="U3188" s="2028"/>
      <c r="V3188" s="2028"/>
      <c r="W3188" s="2028"/>
      <c r="X3188" s="2028"/>
      <c r="Y3188" s="2028"/>
      <c r="Z3188" s="2028"/>
      <c r="AA3188" s="2028"/>
      <c r="AB3188" s="2028"/>
      <c r="AC3188" s="2028"/>
      <c r="AD3188" s="2028"/>
      <c r="AE3188" s="1041" t="s">
        <v>1836</v>
      </c>
      <c r="AF3188" s="1044">
        <v>1</v>
      </c>
    </row>
    <row r="3189" spans="1:32" ht="15.75" x14ac:dyDescent="0.2">
      <c r="A3189" s="2029"/>
      <c r="B3189" s="2030"/>
      <c r="C3189" s="2030"/>
      <c r="D3189" s="2031"/>
      <c r="E3189" s="2025" t="str">
        <f>'01'!$A$12</f>
        <v>"CONSTRUCCION SISTEMA DE ACUEDUCTO FASE II DEL MUNICIPIO DE TESALIA DPTO DEL HUILA"</v>
      </c>
      <c r="F3189" s="2026"/>
      <c r="G3189" s="2026"/>
      <c r="H3189" s="2026"/>
      <c r="I3189" s="2026"/>
      <c r="J3189" s="2026"/>
      <c r="K3189" s="2026"/>
      <c r="L3189" s="2026"/>
      <c r="M3189" s="2026"/>
      <c r="N3189" s="2026"/>
      <c r="O3189" s="2026"/>
      <c r="P3189" s="2026"/>
      <c r="Q3189" s="2026"/>
      <c r="R3189" s="2026"/>
      <c r="S3189" s="2026"/>
      <c r="T3189" s="2026"/>
      <c r="U3189" s="2026"/>
      <c r="V3189" s="2026"/>
      <c r="W3189" s="2026"/>
      <c r="X3189" s="2026"/>
      <c r="Y3189" s="2026"/>
      <c r="Z3189" s="2026"/>
      <c r="AA3189" s="2026"/>
      <c r="AB3189" s="2026"/>
      <c r="AC3189" s="2026"/>
      <c r="AD3189" s="2035"/>
      <c r="AE3189" s="1041" t="s">
        <v>847</v>
      </c>
      <c r="AF3189" s="1045">
        <f>'01'!$M$13</f>
        <v>0</v>
      </c>
    </row>
    <row r="3190" spans="1:32" ht="16.5" thickBot="1" x14ac:dyDescent="0.25">
      <c r="A3190" s="2032"/>
      <c r="B3190" s="2033"/>
      <c r="C3190" s="2033"/>
      <c r="D3190" s="2034"/>
      <c r="E3190" s="2027"/>
      <c r="F3190" s="2028"/>
      <c r="G3190" s="2028"/>
      <c r="H3190" s="2028"/>
      <c r="I3190" s="2028"/>
      <c r="J3190" s="2028"/>
      <c r="K3190" s="2028"/>
      <c r="L3190" s="2028"/>
      <c r="M3190" s="2028"/>
      <c r="N3190" s="2028"/>
      <c r="O3190" s="2028"/>
      <c r="P3190" s="2028"/>
      <c r="Q3190" s="2028"/>
      <c r="R3190" s="2028"/>
      <c r="S3190" s="2028"/>
      <c r="T3190" s="2028"/>
      <c r="U3190" s="2028"/>
      <c r="V3190" s="2028"/>
      <c r="W3190" s="2028"/>
      <c r="X3190" s="2028"/>
      <c r="Y3190" s="2028"/>
      <c r="Z3190" s="2028"/>
      <c r="AA3190" s="2028"/>
      <c r="AB3190" s="2028"/>
      <c r="AC3190" s="2028"/>
      <c r="AD3190" s="2036"/>
      <c r="AE3190" s="1041" t="s">
        <v>1837</v>
      </c>
      <c r="AF3190" s="1042" t="s">
        <v>1838</v>
      </c>
    </row>
    <row r="3191" spans="1:32" ht="15.75" x14ac:dyDescent="0.25">
      <c r="A3191" s="2037" t="s">
        <v>1860</v>
      </c>
      <c r="B3191" s="2038"/>
      <c r="C3191" s="2038"/>
      <c r="D3191" s="2038"/>
      <c r="E3191" s="2038"/>
      <c r="F3191" s="2038"/>
      <c r="G3191" s="2038"/>
      <c r="H3191" s="2038"/>
      <c r="I3191" s="2038"/>
      <c r="J3191" s="2038"/>
      <c r="K3191" s="2038"/>
      <c r="L3191" s="2038"/>
      <c r="M3191" s="2038"/>
      <c r="N3191" s="2038"/>
      <c r="O3191" s="2038"/>
      <c r="P3191" s="2038"/>
      <c r="Q3191" s="2038"/>
      <c r="R3191" s="2038"/>
      <c r="S3191" s="2038"/>
      <c r="T3191" s="2038"/>
      <c r="U3191" s="2038"/>
      <c r="V3191" s="2038"/>
      <c r="W3191" s="2038"/>
      <c r="X3191" s="2038"/>
      <c r="Y3191" s="2038"/>
      <c r="Z3191" s="2038"/>
      <c r="AA3191" s="2038"/>
      <c r="AB3191" s="2038"/>
      <c r="AC3191" s="2038"/>
      <c r="AD3191" s="2038"/>
      <c r="AE3191" s="2039" t="s">
        <v>1839</v>
      </c>
      <c r="AF3191" s="2040"/>
    </row>
    <row r="3192" spans="1:32" ht="15.75" x14ac:dyDescent="0.25">
      <c r="A3192" s="2041" t="s">
        <v>1840</v>
      </c>
      <c r="B3192" s="2042"/>
      <c r="C3192" s="2042"/>
      <c r="D3192" s="2042"/>
      <c r="E3192" s="2042"/>
      <c r="F3192" s="2042"/>
      <c r="G3192" s="2042"/>
      <c r="H3192" s="2042"/>
      <c r="I3192" s="2042"/>
      <c r="J3192" s="2042"/>
      <c r="K3192" s="2042"/>
      <c r="L3192" s="2042"/>
      <c r="M3192" s="2042"/>
      <c r="N3192" s="2042"/>
      <c r="O3192" s="2042"/>
      <c r="P3192" s="2042"/>
      <c r="Q3192" s="2042"/>
      <c r="R3192" s="2042"/>
      <c r="S3192" s="2042"/>
      <c r="T3192" s="2042"/>
      <c r="U3192" s="2042"/>
      <c r="V3192" s="2042"/>
      <c r="W3192" s="2042"/>
      <c r="X3192" s="2042"/>
      <c r="Y3192" s="2042"/>
      <c r="Z3192" s="2042"/>
      <c r="AA3192" s="2042"/>
      <c r="AB3192" s="2042"/>
      <c r="AC3192" s="2042"/>
      <c r="AD3192" s="2043"/>
      <c r="AE3192" s="2014" t="s">
        <v>1841</v>
      </c>
      <c r="AF3192" s="2044"/>
    </row>
    <row r="3193" spans="1:32" ht="15.75" x14ac:dyDescent="0.25">
      <c r="A3193" s="2045" t="s">
        <v>1853</v>
      </c>
      <c r="B3193" s="2046"/>
      <c r="C3193" s="2046"/>
      <c r="D3193" s="2046"/>
      <c r="E3193" s="2046"/>
      <c r="F3193" s="2046"/>
      <c r="G3193" s="2046"/>
      <c r="H3193" s="2046"/>
      <c r="I3193" s="2046"/>
      <c r="J3193" s="2046"/>
      <c r="K3193" s="2046"/>
      <c r="L3193" s="2046"/>
      <c r="M3193" s="2046"/>
      <c r="N3193" s="2046"/>
      <c r="O3193" s="2046"/>
      <c r="P3193" s="2046"/>
      <c r="Q3193" s="2046"/>
      <c r="R3193" s="2046"/>
      <c r="S3193" s="2046"/>
      <c r="T3193" s="2046"/>
      <c r="U3193" s="2046"/>
      <c r="V3193" s="2046"/>
      <c r="W3193" s="2046"/>
      <c r="X3193" s="2046"/>
      <c r="Y3193" s="2046"/>
      <c r="Z3193" s="2046"/>
      <c r="AA3193" s="2046"/>
      <c r="AB3193" s="2046"/>
      <c r="AC3193" s="2046"/>
      <c r="AD3193" s="2046"/>
      <c r="AE3193" s="2047">
        <f>'01'!$M$13</f>
        <v>0</v>
      </c>
      <c r="AF3193" s="2044"/>
    </row>
    <row r="3194" spans="1:32" x14ac:dyDescent="0.2">
      <c r="A3194" s="1046"/>
      <c r="B3194" s="1047"/>
      <c r="C3194" s="1047"/>
      <c r="D3194" s="1047"/>
      <c r="E3194" s="1047"/>
      <c r="F3194" s="1047"/>
      <c r="G3194" s="1047"/>
      <c r="H3194" s="1047"/>
      <c r="I3194" s="1047"/>
      <c r="J3194" s="1047"/>
      <c r="K3194" s="1047"/>
      <c r="L3194" s="1047"/>
      <c r="M3194" s="1047"/>
      <c r="N3194" s="1047"/>
      <c r="O3194" s="1047"/>
      <c r="P3194" s="1047"/>
      <c r="Q3194" s="1047"/>
      <c r="R3194" s="1047"/>
      <c r="S3194" s="1047"/>
      <c r="T3194" s="1047"/>
      <c r="U3194" s="1047"/>
      <c r="V3194" s="1047"/>
      <c r="W3194" s="1047"/>
      <c r="X3194" s="1047"/>
      <c r="Y3194" s="1047"/>
      <c r="Z3194" s="1047"/>
      <c r="AA3194" s="1047"/>
      <c r="AB3194" s="1047"/>
      <c r="AC3194" s="1047"/>
      <c r="AD3194" s="1047"/>
      <c r="AE3194" s="1047"/>
      <c r="AF3194" s="1048"/>
    </row>
    <row r="3195" spans="1:32" ht="15.75" x14ac:dyDescent="0.2">
      <c r="A3195" s="2048" t="s">
        <v>1842</v>
      </c>
      <c r="B3195" s="2049"/>
      <c r="C3195" s="2049"/>
      <c r="D3195" s="2049"/>
      <c r="E3195" s="2049"/>
      <c r="F3195" s="2050" t="str">
        <f>+'01'!$H$105</f>
        <v>D - CANAL DE DESINFECCIÓN</v>
      </c>
      <c r="G3195" s="2049"/>
      <c r="H3195" s="2049"/>
      <c r="I3195" s="2049"/>
      <c r="J3195" s="2049"/>
      <c r="K3195" s="2049"/>
      <c r="L3195" s="2049"/>
      <c r="M3195" s="2049"/>
      <c r="N3195" s="2049"/>
      <c r="O3195" s="2049"/>
      <c r="P3195" s="2049"/>
      <c r="Q3195" s="2049"/>
      <c r="R3195" s="2049"/>
      <c r="S3195" s="2049"/>
      <c r="T3195" s="2049"/>
      <c r="U3195" s="2049"/>
      <c r="V3195" s="2049"/>
      <c r="W3195" s="2049"/>
      <c r="X3195" s="2049"/>
      <c r="Y3195" s="2051"/>
      <c r="Z3195" s="2052" t="s">
        <v>1843</v>
      </c>
      <c r="AA3195" s="2053"/>
      <c r="AB3195" s="2058" t="s">
        <v>1844</v>
      </c>
      <c r="AC3195" s="2059"/>
      <c r="AD3195" s="2060"/>
      <c r="AE3195" s="2064" t="s">
        <v>2184</v>
      </c>
      <c r="AF3195" s="2067" t="s">
        <v>1846</v>
      </c>
    </row>
    <row r="3196" spans="1:32" x14ac:dyDescent="0.2">
      <c r="A3196" s="2070" t="str">
        <f>+'01'!A141</f>
        <v>E-04-01</v>
      </c>
      <c r="B3196" s="2071"/>
      <c r="C3196" s="2072"/>
      <c r="D3196" s="2076" t="str">
        <f>VLOOKUP(A3196,'01'!$A$12:$N$299,3,FALSE)</f>
        <v>RETIRO DE MATERIAL SOBRANTE HASTA BOTADERO AUTORIZADO (INCLUYE FACTOR DE EXPANSIÓN)</v>
      </c>
      <c r="E3196" s="2077"/>
      <c r="F3196" s="2077"/>
      <c r="G3196" s="2077"/>
      <c r="H3196" s="2077"/>
      <c r="I3196" s="2077"/>
      <c r="J3196" s="2077"/>
      <c r="K3196" s="2077"/>
      <c r="L3196" s="2077"/>
      <c r="M3196" s="2077"/>
      <c r="N3196" s="2077"/>
      <c r="O3196" s="2077"/>
      <c r="P3196" s="2077"/>
      <c r="Q3196" s="2077"/>
      <c r="R3196" s="2077"/>
      <c r="S3196" s="2078"/>
      <c r="T3196" s="2082" t="s">
        <v>124</v>
      </c>
      <c r="U3196" s="2083"/>
      <c r="V3196" s="2083"/>
      <c r="W3196" s="2083"/>
      <c r="X3196" s="2052" t="str">
        <f>VLOOKUP(A3196,'01'!$A$12:$N$299,9,FALSE)</f>
        <v>M3-KM</v>
      </c>
      <c r="Y3196" s="2053"/>
      <c r="Z3196" s="2054"/>
      <c r="AA3196" s="2055"/>
      <c r="AB3196" s="2061"/>
      <c r="AC3196" s="2062"/>
      <c r="AD3196" s="2063"/>
      <c r="AE3196" s="2065"/>
      <c r="AF3196" s="2068"/>
    </row>
    <row r="3197" spans="1:32" ht="31.5" x14ac:dyDescent="0.25">
      <c r="A3197" s="2073"/>
      <c r="B3197" s="2074"/>
      <c r="C3197" s="2075"/>
      <c r="D3197" s="2079"/>
      <c r="E3197" s="2080"/>
      <c r="F3197" s="2080"/>
      <c r="G3197" s="2080"/>
      <c r="H3197" s="2080"/>
      <c r="I3197" s="2080"/>
      <c r="J3197" s="2080"/>
      <c r="K3197" s="2080"/>
      <c r="L3197" s="2080"/>
      <c r="M3197" s="2080"/>
      <c r="N3197" s="2080"/>
      <c r="O3197" s="2080"/>
      <c r="P3197" s="2080"/>
      <c r="Q3197" s="2080"/>
      <c r="R3197" s="2080"/>
      <c r="S3197" s="2081"/>
      <c r="T3197" s="2084"/>
      <c r="U3197" s="2085"/>
      <c r="V3197" s="2085"/>
      <c r="W3197" s="2085"/>
      <c r="X3197" s="2056"/>
      <c r="Y3197" s="2057"/>
      <c r="Z3197" s="2056"/>
      <c r="AA3197" s="2057"/>
      <c r="AB3197" s="1122" t="s">
        <v>2180</v>
      </c>
      <c r="AC3197" s="1122" t="s">
        <v>2181</v>
      </c>
      <c r="AD3197" s="1122" t="s">
        <v>1869</v>
      </c>
      <c r="AE3197" s="2066"/>
      <c r="AF3197" s="2069"/>
    </row>
    <row r="3198" spans="1:32" ht="15.75" x14ac:dyDescent="0.25">
      <c r="A3198" s="2017"/>
      <c r="B3198" s="2018"/>
      <c r="C3198" s="2018"/>
      <c r="D3198" s="2018"/>
      <c r="E3198" s="2018"/>
      <c r="F3198" s="2018"/>
      <c r="G3198" s="2018"/>
      <c r="H3198" s="2018"/>
      <c r="I3198" s="2018"/>
      <c r="J3198" s="2018"/>
      <c r="K3198" s="2018"/>
      <c r="L3198" s="2018"/>
      <c r="M3198" s="2018"/>
      <c r="N3198" s="2018"/>
      <c r="O3198" s="2018"/>
      <c r="P3198" s="2018"/>
      <c r="Q3198" s="2018"/>
      <c r="R3198" s="2018"/>
      <c r="S3198" s="2018"/>
      <c r="T3198" s="2018"/>
      <c r="U3198" s="2018"/>
      <c r="V3198" s="2018"/>
      <c r="W3198" s="2018"/>
      <c r="X3198" s="2018"/>
      <c r="Y3198" s="2094"/>
      <c r="Z3198" s="2096"/>
      <c r="AA3198" s="2097"/>
      <c r="AB3198" s="1050">
        <f>+AF3064</f>
        <v>126.26</v>
      </c>
      <c r="AC3198" s="1050">
        <f>+AF3183</f>
        <v>23.27</v>
      </c>
      <c r="AD3198" s="1050">
        <v>1.25</v>
      </c>
      <c r="AE3198" s="1051">
        <f>+'01'!E15</f>
        <v>5</v>
      </c>
      <c r="AF3198" s="1052">
        <f>ROUND((AB3198-AC3198)*AD3198*AE3198,2)</f>
        <v>643.69000000000005</v>
      </c>
    </row>
    <row r="3199" spans="1:32" ht="15.75" x14ac:dyDescent="0.25">
      <c r="A3199" s="2017"/>
      <c r="B3199" s="2018"/>
      <c r="C3199" s="2018"/>
      <c r="D3199" s="2018"/>
      <c r="E3199" s="2018"/>
      <c r="F3199" s="2018"/>
      <c r="G3199" s="2018"/>
      <c r="H3199" s="2018"/>
      <c r="I3199" s="2018"/>
      <c r="J3199" s="2018"/>
      <c r="K3199" s="2018"/>
      <c r="L3199" s="2018"/>
      <c r="M3199" s="2018"/>
      <c r="N3199" s="2018"/>
      <c r="O3199" s="2018"/>
      <c r="P3199" s="2018"/>
      <c r="Q3199" s="2018"/>
      <c r="R3199" s="2018"/>
      <c r="S3199" s="2018"/>
      <c r="T3199" s="2018"/>
      <c r="U3199" s="2018"/>
      <c r="V3199" s="2018"/>
      <c r="W3199" s="2018"/>
      <c r="X3199" s="2018"/>
      <c r="Y3199" s="2094"/>
      <c r="Z3199" s="2096"/>
      <c r="AA3199" s="2097"/>
      <c r="AB3199" s="1050"/>
      <c r="AC3199" s="1050"/>
      <c r="AD3199" s="1050"/>
      <c r="AE3199" s="1051"/>
      <c r="AF3199" s="1052"/>
    </row>
    <row r="3200" spans="1:32" ht="15.75" x14ac:dyDescent="0.25">
      <c r="A3200" s="2017"/>
      <c r="B3200" s="2018"/>
      <c r="C3200" s="2018"/>
      <c r="D3200" s="2018"/>
      <c r="E3200" s="2018"/>
      <c r="F3200" s="2018"/>
      <c r="G3200" s="2018"/>
      <c r="H3200" s="2018"/>
      <c r="I3200" s="2018"/>
      <c r="J3200" s="2018"/>
      <c r="K3200" s="2018"/>
      <c r="L3200" s="2018"/>
      <c r="M3200" s="2018"/>
      <c r="N3200" s="2018"/>
      <c r="O3200" s="2018"/>
      <c r="P3200" s="2018"/>
      <c r="Q3200" s="2018"/>
      <c r="R3200" s="2018"/>
      <c r="S3200" s="2018"/>
      <c r="T3200" s="2018"/>
      <c r="U3200" s="2018"/>
      <c r="V3200" s="2018"/>
      <c r="W3200" s="2018"/>
      <c r="X3200" s="2018"/>
      <c r="Y3200" s="2094"/>
      <c r="Z3200" s="2096"/>
      <c r="AA3200" s="2097"/>
      <c r="AB3200" s="1050"/>
      <c r="AC3200" s="1050"/>
      <c r="AD3200" s="1050"/>
      <c r="AE3200" s="1051"/>
      <c r="AF3200" s="1052"/>
    </row>
    <row r="3201" spans="1:32" ht="15.75" x14ac:dyDescent="0.25">
      <c r="A3201" s="2017"/>
      <c r="B3201" s="2018"/>
      <c r="C3201" s="2018"/>
      <c r="D3201" s="2018"/>
      <c r="E3201" s="2018"/>
      <c r="F3201" s="2018"/>
      <c r="G3201" s="2018"/>
      <c r="H3201" s="2018"/>
      <c r="I3201" s="2018"/>
      <c r="J3201" s="2018"/>
      <c r="K3201" s="2018"/>
      <c r="L3201" s="2018"/>
      <c r="M3201" s="2018"/>
      <c r="N3201" s="2018"/>
      <c r="O3201" s="2018"/>
      <c r="P3201" s="2018"/>
      <c r="Q3201" s="2018"/>
      <c r="R3201" s="2018"/>
      <c r="S3201" s="2018"/>
      <c r="T3201" s="2018"/>
      <c r="U3201" s="2018"/>
      <c r="V3201" s="2018"/>
      <c r="W3201" s="2018"/>
      <c r="X3201" s="2018"/>
      <c r="Y3201" s="2094"/>
      <c r="Z3201" s="2096"/>
      <c r="AA3201" s="2097"/>
      <c r="AB3201" s="1050"/>
      <c r="AC3201" s="1050"/>
      <c r="AD3201" s="1050"/>
      <c r="AE3201" s="1051"/>
      <c r="AF3201" s="1052"/>
    </row>
    <row r="3202" spans="1:32" ht="15.75" x14ac:dyDescent="0.25">
      <c r="A3202" s="2017"/>
      <c r="B3202" s="2018"/>
      <c r="C3202" s="2018"/>
      <c r="D3202" s="2018"/>
      <c r="E3202" s="2018"/>
      <c r="F3202" s="2018"/>
      <c r="G3202" s="2018"/>
      <c r="H3202" s="2018"/>
      <c r="I3202" s="2018"/>
      <c r="J3202" s="2018"/>
      <c r="K3202" s="2018"/>
      <c r="L3202" s="2018"/>
      <c r="M3202" s="2018"/>
      <c r="N3202" s="2018"/>
      <c r="O3202" s="2018"/>
      <c r="P3202" s="2018"/>
      <c r="Q3202" s="2018"/>
      <c r="R3202" s="2018"/>
      <c r="S3202" s="2018"/>
      <c r="T3202" s="2018"/>
      <c r="U3202" s="2018"/>
      <c r="V3202" s="2018"/>
      <c r="W3202" s="2018"/>
      <c r="X3202" s="2018"/>
      <c r="Y3202" s="2094"/>
      <c r="Z3202" s="2096"/>
      <c r="AA3202" s="2097"/>
      <c r="AB3202" s="1050"/>
      <c r="AC3202" s="1050"/>
      <c r="AD3202" s="1050"/>
      <c r="AE3202" s="1051"/>
      <c r="AF3202" s="1052"/>
    </row>
    <row r="3203" spans="1:32" ht="15.75" x14ac:dyDescent="0.25">
      <c r="A3203" s="2017"/>
      <c r="B3203" s="2018"/>
      <c r="C3203" s="2018"/>
      <c r="D3203" s="2018"/>
      <c r="E3203" s="2018"/>
      <c r="F3203" s="2018"/>
      <c r="G3203" s="2018"/>
      <c r="H3203" s="2018"/>
      <c r="I3203" s="2018"/>
      <c r="J3203" s="2018"/>
      <c r="K3203" s="2018"/>
      <c r="L3203" s="2018"/>
      <c r="M3203" s="2018"/>
      <c r="N3203" s="2018"/>
      <c r="O3203" s="2018"/>
      <c r="P3203" s="2018"/>
      <c r="Q3203" s="2018"/>
      <c r="R3203" s="2018"/>
      <c r="S3203" s="2018"/>
      <c r="T3203" s="2018"/>
      <c r="U3203" s="2018"/>
      <c r="V3203" s="2018"/>
      <c r="W3203" s="2018"/>
      <c r="X3203" s="2018"/>
      <c r="Y3203" s="2094"/>
      <c r="Z3203" s="2096"/>
      <c r="AA3203" s="2097"/>
      <c r="AB3203" s="1050"/>
      <c r="AC3203" s="1050"/>
      <c r="AD3203" s="1050"/>
      <c r="AE3203" s="1051"/>
      <c r="AF3203" s="1052"/>
    </row>
    <row r="3204" spans="1:32" ht="15.75" x14ac:dyDescent="0.25">
      <c r="A3204" s="2017"/>
      <c r="B3204" s="2018"/>
      <c r="C3204" s="2018"/>
      <c r="D3204" s="2018"/>
      <c r="E3204" s="2018"/>
      <c r="F3204" s="2018"/>
      <c r="G3204" s="2018"/>
      <c r="H3204" s="2018"/>
      <c r="I3204" s="2018"/>
      <c r="J3204" s="2018"/>
      <c r="K3204" s="2018"/>
      <c r="L3204" s="2018"/>
      <c r="M3204" s="2018"/>
      <c r="N3204" s="2018"/>
      <c r="O3204" s="2018"/>
      <c r="P3204" s="2018"/>
      <c r="Q3204" s="2018"/>
      <c r="R3204" s="2018"/>
      <c r="S3204" s="2018"/>
      <c r="T3204" s="2018"/>
      <c r="U3204" s="2018"/>
      <c r="V3204" s="2018"/>
      <c r="W3204" s="2018"/>
      <c r="X3204" s="2018"/>
      <c r="Y3204" s="2094"/>
      <c r="Z3204" s="2096"/>
      <c r="AA3204" s="2097"/>
      <c r="AB3204" s="1050"/>
      <c r="AC3204" s="1050"/>
      <c r="AD3204" s="1050"/>
      <c r="AE3204" s="1051"/>
      <c r="AF3204" s="1052"/>
    </row>
    <row r="3205" spans="1:32" ht="15.75" x14ac:dyDescent="0.25">
      <c r="A3205" s="2017"/>
      <c r="B3205" s="2018"/>
      <c r="C3205" s="2018"/>
      <c r="D3205" s="2018"/>
      <c r="E3205" s="2018"/>
      <c r="F3205" s="2018"/>
      <c r="G3205" s="2018"/>
      <c r="H3205" s="2018"/>
      <c r="I3205" s="2018"/>
      <c r="J3205" s="2018"/>
      <c r="K3205" s="2018"/>
      <c r="L3205" s="2018"/>
      <c r="M3205" s="2018"/>
      <c r="N3205" s="2018"/>
      <c r="O3205" s="2018"/>
      <c r="P3205" s="2018"/>
      <c r="Q3205" s="2018"/>
      <c r="R3205" s="2018"/>
      <c r="S3205" s="2018"/>
      <c r="T3205" s="2018"/>
      <c r="U3205" s="2018"/>
      <c r="V3205" s="2018"/>
      <c r="W3205" s="2018"/>
      <c r="X3205" s="2018"/>
      <c r="Y3205" s="2094"/>
      <c r="Z3205" s="2096"/>
      <c r="AA3205" s="2097"/>
      <c r="AB3205" s="1053"/>
      <c r="AC3205" s="1053"/>
      <c r="AD3205" s="1053"/>
      <c r="AE3205" s="1051"/>
      <c r="AF3205" s="1052"/>
    </row>
    <row r="3206" spans="1:32" ht="15.75" x14ac:dyDescent="0.25">
      <c r="A3206" s="2017"/>
      <c r="B3206" s="2018"/>
      <c r="C3206" s="2018"/>
      <c r="D3206" s="2018"/>
      <c r="E3206" s="2018"/>
      <c r="F3206" s="2018"/>
      <c r="G3206" s="2018"/>
      <c r="H3206" s="2018"/>
      <c r="I3206" s="2018"/>
      <c r="J3206" s="2018"/>
      <c r="K3206" s="2018"/>
      <c r="L3206" s="2018"/>
      <c r="M3206" s="2018"/>
      <c r="N3206" s="2018"/>
      <c r="O3206" s="2018"/>
      <c r="P3206" s="2018"/>
      <c r="Q3206" s="2018"/>
      <c r="R3206" s="2018"/>
      <c r="S3206" s="2018"/>
      <c r="T3206" s="2018"/>
      <c r="U3206" s="2018"/>
      <c r="V3206" s="2018"/>
      <c r="W3206" s="2018"/>
      <c r="X3206" s="2018"/>
      <c r="Y3206" s="2094"/>
      <c r="Z3206" s="2096"/>
      <c r="AA3206" s="2097"/>
      <c r="AB3206" s="1053"/>
      <c r="AC3206" s="1053"/>
      <c r="AD3206" s="1053"/>
      <c r="AE3206" s="1050"/>
      <c r="AF3206" s="1054"/>
    </row>
    <row r="3207" spans="1:32" ht="15.75" x14ac:dyDescent="0.25">
      <c r="A3207" s="2017"/>
      <c r="B3207" s="2018"/>
      <c r="C3207" s="2018"/>
      <c r="D3207" s="2018"/>
      <c r="E3207" s="2018"/>
      <c r="F3207" s="2018"/>
      <c r="G3207" s="2018"/>
      <c r="H3207" s="2018"/>
      <c r="I3207" s="2018"/>
      <c r="J3207" s="2018"/>
      <c r="K3207" s="2018"/>
      <c r="L3207" s="2018"/>
      <c r="M3207" s="2018"/>
      <c r="N3207" s="2018"/>
      <c r="O3207" s="2018"/>
      <c r="P3207" s="2018"/>
      <c r="Q3207" s="2018"/>
      <c r="R3207" s="2018"/>
      <c r="S3207" s="2018"/>
      <c r="T3207" s="2018"/>
      <c r="U3207" s="2018"/>
      <c r="V3207" s="2018"/>
      <c r="W3207" s="2018"/>
      <c r="X3207" s="2018"/>
      <c r="Y3207" s="2094"/>
      <c r="Z3207" s="2096"/>
      <c r="AA3207" s="2097"/>
      <c r="AB3207" s="1053"/>
      <c r="AC3207" s="1053"/>
      <c r="AD3207" s="1053"/>
      <c r="AE3207" s="1051"/>
      <c r="AF3207" s="1054"/>
    </row>
    <row r="3208" spans="1:32" ht="15.75" x14ac:dyDescent="0.25">
      <c r="A3208" s="2017"/>
      <c r="B3208" s="2018"/>
      <c r="C3208" s="2018"/>
      <c r="D3208" s="2018"/>
      <c r="E3208" s="2018"/>
      <c r="F3208" s="2018"/>
      <c r="G3208" s="2018"/>
      <c r="H3208" s="2018"/>
      <c r="I3208" s="2018"/>
      <c r="J3208" s="2018"/>
      <c r="K3208" s="2018"/>
      <c r="L3208" s="2018"/>
      <c r="M3208" s="2018"/>
      <c r="N3208" s="2018"/>
      <c r="O3208" s="2018"/>
      <c r="P3208" s="2018"/>
      <c r="Q3208" s="2018"/>
      <c r="R3208" s="2018"/>
      <c r="S3208" s="2018"/>
      <c r="T3208" s="2018"/>
      <c r="U3208" s="2018"/>
      <c r="V3208" s="2018"/>
      <c r="W3208" s="2018"/>
      <c r="X3208" s="2018"/>
      <c r="Y3208" s="2094"/>
      <c r="Z3208" s="2096"/>
      <c r="AA3208" s="2097"/>
      <c r="AB3208" s="1053"/>
      <c r="AC3208" s="1053"/>
      <c r="AD3208" s="1053"/>
      <c r="AE3208" s="1051"/>
      <c r="AF3208" s="1054"/>
    </row>
    <row r="3209" spans="1:32" ht="15.75" x14ac:dyDescent="0.25">
      <c r="A3209" s="2017"/>
      <c r="B3209" s="2018"/>
      <c r="C3209" s="2018"/>
      <c r="D3209" s="2018"/>
      <c r="E3209" s="2018"/>
      <c r="F3209" s="2018"/>
      <c r="G3209" s="2018"/>
      <c r="H3209" s="2018"/>
      <c r="I3209" s="2018"/>
      <c r="J3209" s="2018"/>
      <c r="K3209" s="2018"/>
      <c r="L3209" s="2018"/>
      <c r="M3209" s="2018"/>
      <c r="N3209" s="2018"/>
      <c r="O3209" s="2018"/>
      <c r="P3209" s="2018"/>
      <c r="Q3209" s="2018"/>
      <c r="R3209" s="2018"/>
      <c r="S3209" s="2018"/>
      <c r="T3209" s="2018"/>
      <c r="U3209" s="2018"/>
      <c r="V3209" s="2018"/>
      <c r="W3209" s="2018"/>
      <c r="X3209" s="2018"/>
      <c r="Y3209" s="2094"/>
      <c r="Z3209" s="2096"/>
      <c r="AA3209" s="2097"/>
      <c r="AB3209" s="1053"/>
      <c r="AC3209" s="1053"/>
      <c r="AD3209" s="1053"/>
      <c r="AE3209" s="1051"/>
      <c r="AF3209" s="1054"/>
    </row>
    <row r="3210" spans="1:32" ht="15.75" x14ac:dyDescent="0.25">
      <c r="A3210" s="2017"/>
      <c r="B3210" s="2018"/>
      <c r="C3210" s="2018"/>
      <c r="D3210" s="2018"/>
      <c r="E3210" s="2018"/>
      <c r="F3210" s="2018"/>
      <c r="G3210" s="2018"/>
      <c r="H3210" s="2018"/>
      <c r="I3210" s="2018"/>
      <c r="J3210" s="2018"/>
      <c r="K3210" s="2018"/>
      <c r="L3210" s="2018"/>
      <c r="M3210" s="2018"/>
      <c r="N3210" s="2018"/>
      <c r="O3210" s="2018"/>
      <c r="P3210" s="2018"/>
      <c r="Q3210" s="2018"/>
      <c r="R3210" s="2018"/>
      <c r="S3210" s="2018"/>
      <c r="T3210" s="2018"/>
      <c r="U3210" s="2018"/>
      <c r="V3210" s="2018"/>
      <c r="W3210" s="2018"/>
      <c r="X3210" s="2018"/>
      <c r="Y3210" s="2094"/>
      <c r="Z3210" s="2096"/>
      <c r="AA3210" s="2097"/>
      <c r="AB3210" s="1053"/>
      <c r="AC3210" s="1053"/>
      <c r="AD3210" s="1053"/>
      <c r="AE3210" s="1051"/>
      <c r="AF3210" s="1054"/>
    </row>
    <row r="3211" spans="1:32" ht="15.75" x14ac:dyDescent="0.25">
      <c r="A3211" s="2017"/>
      <c r="B3211" s="2018"/>
      <c r="C3211" s="2018"/>
      <c r="D3211" s="2018"/>
      <c r="E3211" s="2018"/>
      <c r="F3211" s="2018"/>
      <c r="G3211" s="2018"/>
      <c r="H3211" s="2018"/>
      <c r="I3211" s="2018"/>
      <c r="J3211" s="2018"/>
      <c r="K3211" s="2018"/>
      <c r="L3211" s="2018"/>
      <c r="M3211" s="2018"/>
      <c r="N3211" s="2018"/>
      <c r="O3211" s="2018"/>
      <c r="P3211" s="2018"/>
      <c r="Q3211" s="2018"/>
      <c r="R3211" s="2018"/>
      <c r="S3211" s="2018"/>
      <c r="T3211" s="2018"/>
      <c r="U3211" s="2018"/>
      <c r="V3211" s="2018"/>
      <c r="W3211" s="2018"/>
      <c r="X3211" s="2018"/>
      <c r="Y3211" s="2094"/>
      <c r="Z3211" s="2096"/>
      <c r="AA3211" s="2097"/>
      <c r="AB3211" s="1053"/>
      <c r="AC3211" s="1053"/>
      <c r="AD3211" s="1053"/>
      <c r="AE3211" s="1051"/>
      <c r="AF3211" s="1054"/>
    </row>
    <row r="3212" spans="1:32" ht="15.75" x14ac:dyDescent="0.25">
      <c r="A3212" s="2017"/>
      <c r="B3212" s="2018"/>
      <c r="C3212" s="2018"/>
      <c r="D3212" s="2018"/>
      <c r="E3212" s="2018"/>
      <c r="F3212" s="2018"/>
      <c r="G3212" s="2018"/>
      <c r="H3212" s="2018"/>
      <c r="I3212" s="2018"/>
      <c r="J3212" s="2018"/>
      <c r="K3212" s="2018"/>
      <c r="L3212" s="2018"/>
      <c r="M3212" s="2018"/>
      <c r="N3212" s="2018"/>
      <c r="O3212" s="2018"/>
      <c r="P3212" s="2018"/>
      <c r="Q3212" s="2018"/>
      <c r="R3212" s="2018"/>
      <c r="S3212" s="2018"/>
      <c r="T3212" s="2018"/>
      <c r="U3212" s="2018"/>
      <c r="V3212" s="2018"/>
      <c r="W3212" s="2018"/>
      <c r="X3212" s="2018"/>
      <c r="Y3212" s="2094"/>
      <c r="Z3212" s="2096"/>
      <c r="AA3212" s="2097"/>
      <c r="AB3212" s="1055"/>
      <c r="AC3212" s="1055"/>
      <c r="AD3212" s="1055"/>
      <c r="AE3212" s="1051"/>
      <c r="AF3212" s="1056"/>
    </row>
    <row r="3213" spans="1:32" ht="15.75" x14ac:dyDescent="0.25">
      <c r="A3213" s="2017"/>
      <c r="B3213" s="2018"/>
      <c r="C3213" s="2018"/>
      <c r="D3213" s="2018"/>
      <c r="E3213" s="2018"/>
      <c r="F3213" s="2018"/>
      <c r="G3213" s="2018"/>
      <c r="H3213" s="2018"/>
      <c r="I3213" s="2018"/>
      <c r="J3213" s="2018"/>
      <c r="K3213" s="2018"/>
      <c r="L3213" s="2018"/>
      <c r="M3213" s="2018"/>
      <c r="N3213" s="2018"/>
      <c r="O3213" s="2018"/>
      <c r="P3213" s="2018"/>
      <c r="Q3213" s="2018"/>
      <c r="R3213" s="2018"/>
      <c r="S3213" s="2018"/>
      <c r="T3213" s="2018"/>
      <c r="U3213" s="2018"/>
      <c r="V3213" s="2018"/>
      <c r="W3213" s="2018"/>
      <c r="X3213" s="2018"/>
      <c r="Y3213" s="2094"/>
      <c r="Z3213" s="2096"/>
      <c r="AA3213" s="2097"/>
      <c r="AB3213" s="1055"/>
      <c r="AC3213" s="1055"/>
      <c r="AD3213" s="1055"/>
      <c r="AE3213" s="1055"/>
      <c r="AF3213" s="1056"/>
    </row>
    <row r="3214" spans="1:32" ht="15.75" x14ac:dyDescent="0.25">
      <c r="A3214" s="2017"/>
      <c r="B3214" s="2018"/>
      <c r="C3214" s="2018"/>
      <c r="D3214" s="2018"/>
      <c r="E3214" s="2018"/>
      <c r="F3214" s="2018"/>
      <c r="G3214" s="2018"/>
      <c r="H3214" s="2018"/>
      <c r="I3214" s="2018"/>
      <c r="J3214" s="2018"/>
      <c r="K3214" s="2018"/>
      <c r="L3214" s="2018"/>
      <c r="M3214" s="2018"/>
      <c r="N3214" s="2018"/>
      <c r="O3214" s="2018"/>
      <c r="P3214" s="2018"/>
      <c r="Q3214" s="2018"/>
      <c r="R3214" s="2018"/>
      <c r="S3214" s="2018"/>
      <c r="T3214" s="2018"/>
      <c r="U3214" s="2018"/>
      <c r="V3214" s="2018"/>
      <c r="W3214" s="2018"/>
      <c r="X3214" s="2018"/>
      <c r="Y3214" s="2094"/>
      <c r="Z3214" s="2096"/>
      <c r="AA3214" s="2097"/>
      <c r="AB3214" s="1055"/>
      <c r="AC3214" s="1055"/>
      <c r="AD3214" s="1055"/>
      <c r="AE3214" s="1055"/>
      <c r="AF3214" s="1056"/>
    </row>
    <row r="3215" spans="1:32" ht="15.75" x14ac:dyDescent="0.25">
      <c r="A3215" s="2017"/>
      <c r="B3215" s="2018"/>
      <c r="C3215" s="2018"/>
      <c r="D3215" s="2018"/>
      <c r="E3215" s="2018"/>
      <c r="F3215" s="2018"/>
      <c r="G3215" s="2018"/>
      <c r="H3215" s="2018"/>
      <c r="I3215" s="2018"/>
      <c r="J3215" s="2018"/>
      <c r="K3215" s="2018"/>
      <c r="L3215" s="2018"/>
      <c r="M3215" s="2018"/>
      <c r="N3215" s="2018"/>
      <c r="O3215" s="2018"/>
      <c r="P3215" s="2018"/>
      <c r="Q3215" s="2018"/>
      <c r="R3215" s="2018"/>
      <c r="S3215" s="2018"/>
      <c r="T3215" s="2018"/>
      <c r="U3215" s="2018"/>
      <c r="V3215" s="2018"/>
      <c r="W3215" s="2018"/>
      <c r="X3215" s="2018"/>
      <c r="Y3215" s="2094"/>
      <c r="Z3215" s="2096"/>
      <c r="AA3215" s="2097"/>
      <c r="AB3215" s="1055"/>
      <c r="AC3215" s="1055"/>
      <c r="AD3215" s="1055"/>
      <c r="AE3215" s="1055"/>
      <c r="AF3215" s="1056"/>
    </row>
    <row r="3216" spans="1:32" ht="15.75" x14ac:dyDescent="0.25">
      <c r="A3216" s="2017"/>
      <c r="B3216" s="2018"/>
      <c r="C3216" s="2018"/>
      <c r="D3216" s="2018"/>
      <c r="E3216" s="2018"/>
      <c r="F3216" s="2018"/>
      <c r="G3216" s="2018"/>
      <c r="H3216" s="2018"/>
      <c r="I3216" s="2018"/>
      <c r="J3216" s="2018"/>
      <c r="K3216" s="2018"/>
      <c r="L3216" s="2018"/>
      <c r="M3216" s="2018"/>
      <c r="N3216" s="2018"/>
      <c r="O3216" s="2018"/>
      <c r="P3216" s="2018"/>
      <c r="Q3216" s="2018"/>
      <c r="R3216" s="2018"/>
      <c r="S3216" s="2018"/>
      <c r="T3216" s="2018"/>
      <c r="U3216" s="2018"/>
      <c r="V3216" s="2018"/>
      <c r="W3216" s="2018"/>
      <c r="X3216" s="2018"/>
      <c r="Y3216" s="2094"/>
      <c r="Z3216" s="2096"/>
      <c r="AA3216" s="2097"/>
      <c r="AB3216" s="1055"/>
      <c r="AC3216" s="1055"/>
      <c r="AD3216" s="1055"/>
      <c r="AE3216" s="1055"/>
      <c r="AF3216" s="1056"/>
    </row>
    <row r="3217" spans="1:32" ht="15.75" x14ac:dyDescent="0.25">
      <c r="A3217" s="2017"/>
      <c r="B3217" s="2018"/>
      <c r="C3217" s="2018"/>
      <c r="D3217" s="2018"/>
      <c r="E3217" s="2018"/>
      <c r="F3217" s="2018"/>
      <c r="G3217" s="2018"/>
      <c r="H3217" s="2018"/>
      <c r="I3217" s="2018"/>
      <c r="J3217" s="2018"/>
      <c r="K3217" s="2018"/>
      <c r="L3217" s="2018"/>
      <c r="M3217" s="2018"/>
      <c r="N3217" s="2018"/>
      <c r="O3217" s="2018"/>
      <c r="P3217" s="2018"/>
      <c r="Q3217" s="2018"/>
      <c r="R3217" s="2018"/>
      <c r="S3217" s="2018"/>
      <c r="T3217" s="2018"/>
      <c r="U3217" s="2018"/>
      <c r="V3217" s="2018"/>
      <c r="W3217" s="2018"/>
      <c r="X3217" s="2018"/>
      <c r="Y3217" s="2094"/>
      <c r="Z3217" s="2096"/>
      <c r="AA3217" s="2097"/>
      <c r="AB3217" s="1055"/>
      <c r="AC3217" s="1055"/>
      <c r="AD3217" s="1055"/>
      <c r="AE3217" s="1055"/>
      <c r="AF3217" s="1056"/>
    </row>
    <row r="3218" spans="1:32" ht="16.5" thickBot="1" x14ac:dyDescent="0.3">
      <c r="A3218" s="2019"/>
      <c r="B3218" s="2020"/>
      <c r="C3218" s="2020"/>
      <c r="D3218" s="2020"/>
      <c r="E3218" s="2020"/>
      <c r="F3218" s="2020"/>
      <c r="G3218" s="2020"/>
      <c r="H3218" s="2020"/>
      <c r="I3218" s="2020"/>
      <c r="J3218" s="2020"/>
      <c r="K3218" s="2020"/>
      <c r="L3218" s="2020"/>
      <c r="M3218" s="2020"/>
      <c r="N3218" s="2020"/>
      <c r="O3218" s="2020"/>
      <c r="P3218" s="2020"/>
      <c r="Q3218" s="2020"/>
      <c r="R3218" s="2020"/>
      <c r="S3218" s="2020"/>
      <c r="T3218" s="2020"/>
      <c r="U3218" s="2020"/>
      <c r="V3218" s="2020"/>
      <c r="W3218" s="2020"/>
      <c r="X3218" s="2020"/>
      <c r="Y3218" s="2095"/>
      <c r="Z3218" s="2098"/>
      <c r="AA3218" s="2099"/>
      <c r="AB3218" s="1057"/>
      <c r="AC3218" s="1057"/>
      <c r="AD3218" s="1057"/>
      <c r="AE3218" s="1057"/>
      <c r="AF3218" s="1058"/>
    </row>
    <row r="3219" spans="1:32" ht="15.75" x14ac:dyDescent="0.25">
      <c r="A3219" s="2009" t="s">
        <v>2411</v>
      </c>
      <c r="B3219" s="2010"/>
      <c r="C3219" s="2010"/>
      <c r="D3219" s="2010"/>
      <c r="E3219" s="2010"/>
      <c r="F3219" s="2010"/>
      <c r="G3219" s="2010"/>
      <c r="H3219" s="2010"/>
      <c r="I3219" s="2010"/>
      <c r="J3219" s="2010"/>
      <c r="K3219" s="2010"/>
      <c r="L3219" s="2010"/>
      <c r="M3219" s="2010"/>
      <c r="N3219" s="2010"/>
      <c r="O3219" s="2010"/>
      <c r="P3219" s="2010"/>
      <c r="Q3219" s="2010"/>
      <c r="R3219" s="2010"/>
      <c r="S3219" s="2010"/>
      <c r="T3219" s="2010"/>
      <c r="U3219" s="2010"/>
      <c r="V3219" s="2010"/>
      <c r="W3219" s="2010"/>
      <c r="X3219" s="2010"/>
      <c r="Y3219" s="2010"/>
      <c r="Z3219" s="2013" t="s">
        <v>1850</v>
      </c>
      <c r="AA3219" s="2013"/>
      <c r="AB3219" s="2013"/>
      <c r="AC3219" s="2013"/>
      <c r="AD3219" s="2013"/>
      <c r="AE3219" s="2013"/>
      <c r="AF3219" s="1059">
        <f>SUM(AF3198:AF3218)</f>
        <v>643.69000000000005</v>
      </c>
    </row>
    <row r="3220" spans="1:32" ht="15.75" x14ac:dyDescent="0.25">
      <c r="A3220" s="2011"/>
      <c r="B3220" s="2012"/>
      <c r="C3220" s="2012"/>
      <c r="D3220" s="2012"/>
      <c r="E3220" s="2012"/>
      <c r="F3220" s="2012"/>
      <c r="G3220" s="2012"/>
      <c r="H3220" s="2012"/>
      <c r="I3220" s="2012"/>
      <c r="J3220" s="2012"/>
      <c r="K3220" s="2012"/>
      <c r="L3220" s="2012"/>
      <c r="M3220" s="2012"/>
      <c r="N3220" s="2012"/>
      <c r="O3220" s="2012"/>
      <c r="P3220" s="2012"/>
      <c r="Q3220" s="2012"/>
      <c r="R3220" s="2012"/>
      <c r="S3220" s="2012"/>
      <c r="T3220" s="2012"/>
      <c r="U3220" s="2012"/>
      <c r="V3220" s="2012"/>
      <c r="W3220" s="2012"/>
      <c r="X3220" s="2012"/>
      <c r="Y3220" s="2012"/>
      <c r="Z3220" s="2014" t="s">
        <v>1851</v>
      </c>
      <c r="AA3220" s="2014"/>
      <c r="AB3220" s="2014"/>
      <c r="AC3220" s="2014"/>
      <c r="AD3220" s="2014"/>
      <c r="AE3220" s="2014"/>
      <c r="AF3220" s="1060">
        <v>0</v>
      </c>
    </row>
    <row r="3221" spans="1:32" ht="15.75" x14ac:dyDescent="0.25">
      <c r="A3221" s="2011"/>
      <c r="B3221" s="2012"/>
      <c r="C3221" s="2012"/>
      <c r="D3221" s="2012"/>
      <c r="E3221" s="2012"/>
      <c r="F3221" s="2012"/>
      <c r="G3221" s="2012"/>
      <c r="H3221" s="2012"/>
      <c r="I3221" s="2012"/>
      <c r="J3221" s="2012"/>
      <c r="K3221" s="2012"/>
      <c r="L3221" s="2012"/>
      <c r="M3221" s="2012"/>
      <c r="N3221" s="2012"/>
      <c r="O3221" s="2012"/>
      <c r="P3221" s="2012"/>
      <c r="Q3221" s="2012"/>
      <c r="R3221" s="2012"/>
      <c r="S3221" s="2012"/>
      <c r="T3221" s="2012"/>
      <c r="U3221" s="2012"/>
      <c r="V3221" s="2012"/>
      <c r="W3221" s="2012"/>
      <c r="X3221" s="2012"/>
      <c r="Y3221" s="2012"/>
      <c r="Z3221" s="2015" t="s">
        <v>1833</v>
      </c>
      <c r="AA3221" s="2015"/>
      <c r="AB3221" s="2015"/>
      <c r="AC3221" s="2015"/>
      <c r="AD3221" s="2015"/>
      <c r="AE3221" s="2015"/>
      <c r="AF3221" s="1061">
        <f>SUM(AF3219:AF3220)</f>
        <v>643.69000000000005</v>
      </c>
    </row>
    <row r="3222" spans="1:32" x14ac:dyDescent="0.2">
      <c r="A3222" s="2012" t="s">
        <v>1859</v>
      </c>
      <c r="B3222" s="2012"/>
      <c r="C3222" s="2012"/>
      <c r="D3222" s="2012"/>
      <c r="E3222" s="2012"/>
      <c r="F3222" s="2012"/>
      <c r="G3222" s="2012"/>
      <c r="H3222" s="2012"/>
      <c r="I3222" s="2012"/>
      <c r="J3222" s="2012"/>
      <c r="K3222" s="2012"/>
      <c r="L3222" s="2012"/>
      <c r="M3222" s="2012"/>
      <c r="N3222" s="2012"/>
      <c r="O3222" s="2012"/>
      <c r="P3222" s="2012"/>
      <c r="Q3222" s="2012"/>
      <c r="R3222" s="2012"/>
      <c r="S3222" s="2012"/>
      <c r="T3222" s="2016" t="s">
        <v>1840</v>
      </c>
      <c r="U3222" s="2016"/>
      <c r="V3222" s="2016"/>
      <c r="W3222" s="2016"/>
      <c r="X3222" s="2016"/>
      <c r="Y3222" s="2016"/>
      <c r="Z3222" s="2016"/>
      <c r="AA3222" s="2016"/>
      <c r="AB3222" s="2012" t="s">
        <v>1852</v>
      </c>
      <c r="AC3222" s="2012"/>
      <c r="AD3222" s="2012"/>
      <c r="AE3222" s="2012"/>
      <c r="AF3222" s="2012"/>
    </row>
    <row r="3223" spans="1:32" x14ac:dyDescent="0.2">
      <c r="A3223" s="2012"/>
      <c r="B3223" s="2012"/>
      <c r="C3223" s="2012"/>
      <c r="D3223" s="2012"/>
      <c r="E3223" s="2012"/>
      <c r="F3223" s="2012"/>
      <c r="G3223" s="2012"/>
      <c r="H3223" s="2012"/>
      <c r="I3223" s="2012"/>
      <c r="J3223" s="2012"/>
      <c r="K3223" s="2012"/>
      <c r="L3223" s="2012"/>
      <c r="M3223" s="2012"/>
      <c r="N3223" s="2012"/>
      <c r="O3223" s="2012"/>
      <c r="P3223" s="2012"/>
      <c r="Q3223" s="2012"/>
      <c r="R3223" s="2012"/>
      <c r="S3223" s="2012"/>
      <c r="T3223" s="2016"/>
      <c r="U3223" s="2016"/>
      <c r="V3223" s="2016"/>
      <c r="W3223" s="2016"/>
      <c r="X3223" s="2016"/>
      <c r="Y3223" s="2016"/>
      <c r="Z3223" s="2016"/>
      <c r="AA3223" s="2016"/>
      <c r="AB3223" s="2012"/>
      <c r="AC3223" s="2012"/>
      <c r="AD3223" s="2012"/>
      <c r="AE3223" s="2012"/>
      <c r="AF3223" s="2012"/>
    </row>
    <row r="3224" spans="1:32" ht="16.5" thickBot="1" x14ac:dyDescent="0.25">
      <c r="A3224" s="1062"/>
      <c r="B3224" s="1062"/>
      <c r="C3224" s="1062"/>
      <c r="D3224" s="1062"/>
      <c r="E3224" s="1062"/>
      <c r="F3224" s="1062"/>
      <c r="G3224" s="1062"/>
      <c r="H3224" s="1062"/>
      <c r="I3224" s="1062"/>
      <c r="J3224" s="1062"/>
      <c r="K3224" s="1062"/>
      <c r="L3224" s="1062"/>
      <c r="M3224" s="1062"/>
      <c r="N3224" s="1062"/>
      <c r="O3224" s="1062"/>
      <c r="P3224" s="1062"/>
      <c r="Q3224" s="1062"/>
      <c r="R3224" s="1062"/>
      <c r="S3224" s="1062"/>
      <c r="T3224" s="1063"/>
      <c r="U3224" s="1063"/>
      <c r="V3224" s="1063"/>
      <c r="W3224" s="1063"/>
      <c r="X3224" s="1063"/>
      <c r="Y3224" s="1063"/>
      <c r="Z3224" s="1063"/>
      <c r="AA3224" s="1063"/>
      <c r="AB3224" s="1062"/>
      <c r="AC3224" s="1062"/>
      <c r="AD3224" s="1062"/>
      <c r="AE3224" s="1064"/>
      <c r="AF3224" s="1065"/>
    </row>
    <row r="3225" spans="1:32" ht="22.15" customHeight="1" x14ac:dyDescent="0.2">
      <c r="A3225" s="2025" t="s">
        <v>1854</v>
      </c>
      <c r="B3225" s="2026"/>
      <c r="C3225" s="2026"/>
      <c r="D3225" s="2026"/>
      <c r="E3225" s="2026"/>
      <c r="F3225" s="2026"/>
      <c r="G3225" s="2026"/>
      <c r="H3225" s="2026"/>
      <c r="I3225" s="2026"/>
      <c r="J3225" s="2026"/>
      <c r="K3225" s="2026"/>
      <c r="L3225" s="2026"/>
      <c r="M3225" s="2026"/>
      <c r="N3225" s="2026"/>
      <c r="O3225" s="2026"/>
      <c r="P3225" s="2026"/>
      <c r="Q3225" s="2026"/>
      <c r="R3225" s="2026"/>
      <c r="S3225" s="2026"/>
      <c r="T3225" s="2026"/>
      <c r="U3225" s="2026"/>
      <c r="V3225" s="2026"/>
      <c r="W3225" s="2026"/>
      <c r="X3225" s="2026"/>
      <c r="Y3225" s="2026"/>
      <c r="Z3225" s="2026"/>
      <c r="AA3225" s="2026"/>
      <c r="AB3225" s="2026"/>
      <c r="AC3225" s="2026"/>
      <c r="AD3225" s="2026"/>
      <c r="AE3225" s="1041" t="s">
        <v>1834</v>
      </c>
      <c r="AF3225" s="1042" t="s">
        <v>1835</v>
      </c>
    </row>
    <row r="3226" spans="1:32" ht="24" customHeight="1" thickBot="1" x14ac:dyDescent="0.25">
      <c r="A3226" s="2027"/>
      <c r="B3226" s="2028"/>
      <c r="C3226" s="2028"/>
      <c r="D3226" s="2028"/>
      <c r="E3226" s="2028"/>
      <c r="F3226" s="2028"/>
      <c r="G3226" s="2028"/>
      <c r="H3226" s="2028"/>
      <c r="I3226" s="2028"/>
      <c r="J3226" s="2028"/>
      <c r="K3226" s="2028"/>
      <c r="L3226" s="2028"/>
      <c r="M3226" s="2028"/>
      <c r="N3226" s="2028"/>
      <c r="O3226" s="2028"/>
      <c r="P3226" s="2028"/>
      <c r="Q3226" s="2028"/>
      <c r="R3226" s="2028"/>
      <c r="S3226" s="2028"/>
      <c r="T3226" s="2028"/>
      <c r="U3226" s="2028"/>
      <c r="V3226" s="2028"/>
      <c r="W3226" s="2028"/>
      <c r="X3226" s="2028"/>
      <c r="Y3226" s="2028"/>
      <c r="Z3226" s="2028"/>
      <c r="AA3226" s="2028"/>
      <c r="AB3226" s="2028"/>
      <c r="AC3226" s="2028"/>
      <c r="AD3226" s="2028"/>
      <c r="AE3226" s="1041" t="s">
        <v>1836</v>
      </c>
      <c r="AF3226" s="1044">
        <v>1</v>
      </c>
    </row>
    <row r="3227" spans="1:32" ht="15.75" x14ac:dyDescent="0.2">
      <c r="A3227" s="2029"/>
      <c r="B3227" s="2030"/>
      <c r="C3227" s="2030"/>
      <c r="D3227" s="2031"/>
      <c r="E3227" s="2025" t="str">
        <f>'01'!$A$12</f>
        <v>"CONSTRUCCION SISTEMA DE ACUEDUCTO FASE II DEL MUNICIPIO DE TESALIA DPTO DEL HUILA"</v>
      </c>
      <c r="F3227" s="2026"/>
      <c r="G3227" s="2026"/>
      <c r="H3227" s="2026"/>
      <c r="I3227" s="2026"/>
      <c r="J3227" s="2026"/>
      <c r="K3227" s="2026"/>
      <c r="L3227" s="2026"/>
      <c r="M3227" s="2026"/>
      <c r="N3227" s="2026"/>
      <c r="O3227" s="2026"/>
      <c r="P3227" s="2026"/>
      <c r="Q3227" s="2026"/>
      <c r="R3227" s="2026"/>
      <c r="S3227" s="2026"/>
      <c r="T3227" s="2026"/>
      <c r="U3227" s="2026"/>
      <c r="V3227" s="2026"/>
      <c r="W3227" s="2026"/>
      <c r="X3227" s="2026"/>
      <c r="Y3227" s="2026"/>
      <c r="Z3227" s="2026"/>
      <c r="AA3227" s="2026"/>
      <c r="AB3227" s="2026"/>
      <c r="AC3227" s="2026"/>
      <c r="AD3227" s="2035"/>
      <c r="AE3227" s="1041" t="s">
        <v>847</v>
      </c>
      <c r="AF3227" s="1045">
        <f>'01'!$M$13</f>
        <v>0</v>
      </c>
    </row>
    <row r="3228" spans="1:32" ht="16.5" thickBot="1" x14ac:dyDescent="0.25">
      <c r="A3228" s="2032"/>
      <c r="B3228" s="2033"/>
      <c r="C3228" s="2033"/>
      <c r="D3228" s="2034"/>
      <c r="E3228" s="2027"/>
      <c r="F3228" s="2028"/>
      <c r="G3228" s="2028"/>
      <c r="H3228" s="2028"/>
      <c r="I3228" s="2028"/>
      <c r="J3228" s="2028"/>
      <c r="K3228" s="2028"/>
      <c r="L3228" s="2028"/>
      <c r="M3228" s="2028"/>
      <c r="N3228" s="2028"/>
      <c r="O3228" s="2028"/>
      <c r="P3228" s="2028"/>
      <c r="Q3228" s="2028"/>
      <c r="R3228" s="2028"/>
      <c r="S3228" s="2028"/>
      <c r="T3228" s="2028"/>
      <c r="U3228" s="2028"/>
      <c r="V3228" s="2028"/>
      <c r="W3228" s="2028"/>
      <c r="X3228" s="2028"/>
      <c r="Y3228" s="2028"/>
      <c r="Z3228" s="2028"/>
      <c r="AA3228" s="2028"/>
      <c r="AB3228" s="2028"/>
      <c r="AC3228" s="2028"/>
      <c r="AD3228" s="2036"/>
      <c r="AE3228" s="1041" t="s">
        <v>1837</v>
      </c>
      <c r="AF3228" s="1042" t="s">
        <v>1838</v>
      </c>
    </row>
    <row r="3229" spans="1:32" ht="15.75" x14ac:dyDescent="0.25">
      <c r="A3229" s="2037" t="s">
        <v>1860</v>
      </c>
      <c r="B3229" s="2038"/>
      <c r="C3229" s="2038"/>
      <c r="D3229" s="2038"/>
      <c r="E3229" s="2038"/>
      <c r="F3229" s="2038"/>
      <c r="G3229" s="2038"/>
      <c r="H3229" s="2038"/>
      <c r="I3229" s="2038"/>
      <c r="J3229" s="2038"/>
      <c r="K3229" s="2038"/>
      <c r="L3229" s="2038"/>
      <c r="M3229" s="2038"/>
      <c r="N3229" s="2038"/>
      <c r="O3229" s="2038"/>
      <c r="P3229" s="2038"/>
      <c r="Q3229" s="2038"/>
      <c r="R3229" s="2038"/>
      <c r="S3229" s="2038"/>
      <c r="T3229" s="2038"/>
      <c r="U3229" s="2038"/>
      <c r="V3229" s="2038"/>
      <c r="W3229" s="2038"/>
      <c r="X3229" s="2038"/>
      <c r="Y3229" s="2038"/>
      <c r="Z3229" s="2038"/>
      <c r="AA3229" s="2038"/>
      <c r="AB3229" s="2038"/>
      <c r="AC3229" s="2038"/>
      <c r="AD3229" s="2038"/>
      <c r="AE3229" s="2039" t="s">
        <v>1839</v>
      </c>
      <c r="AF3229" s="2040"/>
    </row>
    <row r="3230" spans="1:32" ht="15.75" x14ac:dyDescent="0.25">
      <c r="A3230" s="2041" t="s">
        <v>1840</v>
      </c>
      <c r="B3230" s="2042"/>
      <c r="C3230" s="2042"/>
      <c r="D3230" s="2042"/>
      <c r="E3230" s="2042"/>
      <c r="F3230" s="2042"/>
      <c r="G3230" s="2042"/>
      <c r="H3230" s="2042"/>
      <c r="I3230" s="2042"/>
      <c r="J3230" s="2042"/>
      <c r="K3230" s="2042"/>
      <c r="L3230" s="2042"/>
      <c r="M3230" s="2042"/>
      <c r="N3230" s="2042"/>
      <c r="O3230" s="2042"/>
      <c r="P3230" s="2042"/>
      <c r="Q3230" s="2042"/>
      <c r="R3230" s="2042"/>
      <c r="S3230" s="2042"/>
      <c r="T3230" s="2042"/>
      <c r="U3230" s="2042"/>
      <c r="V3230" s="2042"/>
      <c r="W3230" s="2042"/>
      <c r="X3230" s="2042"/>
      <c r="Y3230" s="2042"/>
      <c r="Z3230" s="2042"/>
      <c r="AA3230" s="2042"/>
      <c r="AB3230" s="2042"/>
      <c r="AC3230" s="2042"/>
      <c r="AD3230" s="2043"/>
      <c r="AE3230" s="2014" t="s">
        <v>1841</v>
      </c>
      <c r="AF3230" s="2044"/>
    </row>
    <row r="3231" spans="1:32" ht="15.75" x14ac:dyDescent="0.25">
      <c r="A3231" s="2045" t="s">
        <v>1853</v>
      </c>
      <c r="B3231" s="2046"/>
      <c r="C3231" s="2046"/>
      <c r="D3231" s="2046"/>
      <c r="E3231" s="2046"/>
      <c r="F3231" s="2046"/>
      <c r="G3231" s="2046"/>
      <c r="H3231" s="2046"/>
      <c r="I3231" s="2046"/>
      <c r="J3231" s="2046"/>
      <c r="K3231" s="2046"/>
      <c r="L3231" s="2046"/>
      <c r="M3231" s="2046"/>
      <c r="N3231" s="2046"/>
      <c r="O3231" s="2046"/>
      <c r="P3231" s="2046"/>
      <c r="Q3231" s="2046"/>
      <c r="R3231" s="2046"/>
      <c r="S3231" s="2046"/>
      <c r="T3231" s="2046"/>
      <c r="U3231" s="2046"/>
      <c r="V3231" s="2046"/>
      <c r="W3231" s="2046"/>
      <c r="X3231" s="2046"/>
      <c r="Y3231" s="2046"/>
      <c r="Z3231" s="2046"/>
      <c r="AA3231" s="2046"/>
      <c r="AB3231" s="2046"/>
      <c r="AC3231" s="2046"/>
      <c r="AD3231" s="2046"/>
      <c r="AE3231" s="2047">
        <f>'01'!$M$13</f>
        <v>0</v>
      </c>
      <c r="AF3231" s="2044"/>
    </row>
    <row r="3232" spans="1:32" x14ac:dyDescent="0.2">
      <c r="A3232" s="1046"/>
      <c r="B3232" s="1047"/>
      <c r="C3232" s="1047"/>
      <c r="D3232" s="1047"/>
      <c r="E3232" s="1047"/>
      <c r="F3232" s="1047"/>
      <c r="G3232" s="1047"/>
      <c r="H3232" s="1047"/>
      <c r="I3232" s="1047"/>
      <c r="J3232" s="1047"/>
      <c r="K3232" s="1047"/>
      <c r="L3232" s="1047"/>
      <c r="M3232" s="1047"/>
      <c r="N3232" s="1047"/>
      <c r="O3232" s="1047"/>
      <c r="P3232" s="1047"/>
      <c r="Q3232" s="1047"/>
      <c r="R3232" s="1047"/>
      <c r="S3232" s="1047"/>
      <c r="T3232" s="1047"/>
      <c r="U3232" s="1047"/>
      <c r="V3232" s="1047"/>
      <c r="W3232" s="1047"/>
      <c r="X3232" s="1047"/>
      <c r="Y3232" s="1047"/>
      <c r="Z3232" s="1047"/>
      <c r="AA3232" s="1047"/>
      <c r="AB3232" s="1047"/>
      <c r="AC3232" s="1047"/>
      <c r="AD3232" s="1047"/>
      <c r="AE3232" s="1047"/>
      <c r="AF3232" s="1048"/>
    </row>
    <row r="3233" spans="1:32" ht="15.75" x14ac:dyDescent="0.2">
      <c r="A3233" s="2048" t="s">
        <v>1842</v>
      </c>
      <c r="B3233" s="2049"/>
      <c r="C3233" s="2049"/>
      <c r="D3233" s="2049"/>
      <c r="E3233" s="2049"/>
      <c r="F3233" s="2050" t="str">
        <f>+'01'!$H$130</f>
        <v>E - ESPESADOR GRAVIMÉTRICO</v>
      </c>
      <c r="G3233" s="2049"/>
      <c r="H3233" s="2049"/>
      <c r="I3233" s="2049"/>
      <c r="J3233" s="2049"/>
      <c r="K3233" s="2049"/>
      <c r="L3233" s="2049"/>
      <c r="M3233" s="2049"/>
      <c r="N3233" s="2049"/>
      <c r="O3233" s="2049"/>
      <c r="P3233" s="2049"/>
      <c r="Q3233" s="2049"/>
      <c r="R3233" s="2049"/>
      <c r="S3233" s="2049"/>
      <c r="T3233" s="2049"/>
      <c r="U3233" s="2049"/>
      <c r="V3233" s="2049"/>
      <c r="W3233" s="2049"/>
      <c r="X3233" s="2049"/>
      <c r="Y3233" s="2051"/>
      <c r="Z3233" s="2052" t="s">
        <v>1843</v>
      </c>
      <c r="AA3233" s="2053"/>
      <c r="AB3233" s="2058" t="s">
        <v>1844</v>
      </c>
      <c r="AC3233" s="2059"/>
      <c r="AD3233" s="2060"/>
      <c r="AE3233" s="2064" t="s">
        <v>2184</v>
      </c>
      <c r="AF3233" s="2067" t="s">
        <v>1846</v>
      </c>
    </row>
    <row r="3234" spans="1:32" x14ac:dyDescent="0.2">
      <c r="A3234" s="2070" t="str">
        <f>+'01'!A142</f>
        <v>E-04-02</v>
      </c>
      <c r="B3234" s="2071"/>
      <c r="C3234" s="2072"/>
      <c r="D3234" s="2076" t="str">
        <f>VLOOKUP(A3234,'01'!$A$12:$N$299,3,FALSE)</f>
        <v>DISPOSICIÓN DE MATERIAL PROVENIENTE DE EXCAVACIÓN (NO INCLUYE TRANSPORTE)</v>
      </c>
      <c r="E3234" s="2077"/>
      <c r="F3234" s="2077"/>
      <c r="G3234" s="2077"/>
      <c r="H3234" s="2077"/>
      <c r="I3234" s="2077"/>
      <c r="J3234" s="2077"/>
      <c r="K3234" s="2077"/>
      <c r="L3234" s="2077"/>
      <c r="M3234" s="2077"/>
      <c r="N3234" s="2077"/>
      <c r="O3234" s="2077"/>
      <c r="P3234" s="2077"/>
      <c r="Q3234" s="2077"/>
      <c r="R3234" s="2077"/>
      <c r="S3234" s="2078"/>
      <c r="T3234" s="2082" t="s">
        <v>124</v>
      </c>
      <c r="U3234" s="2083"/>
      <c r="V3234" s="2083"/>
      <c r="W3234" s="2083"/>
      <c r="X3234" s="2052" t="str">
        <f>VLOOKUP(A3234,'01'!$A$12:$N$299,9,FALSE)</f>
        <v>M3</v>
      </c>
      <c r="Y3234" s="2053"/>
      <c r="Z3234" s="2054"/>
      <c r="AA3234" s="2055"/>
      <c r="AB3234" s="2061"/>
      <c r="AC3234" s="2062"/>
      <c r="AD3234" s="2063"/>
      <c r="AE3234" s="2065"/>
      <c r="AF3234" s="2068"/>
    </row>
    <row r="3235" spans="1:32" ht="31.5" x14ac:dyDescent="0.25">
      <c r="A3235" s="2073"/>
      <c r="B3235" s="2074"/>
      <c r="C3235" s="2075"/>
      <c r="D3235" s="2079"/>
      <c r="E3235" s="2080"/>
      <c r="F3235" s="2080"/>
      <c r="G3235" s="2080"/>
      <c r="H3235" s="2080"/>
      <c r="I3235" s="2080"/>
      <c r="J3235" s="2080"/>
      <c r="K3235" s="2080"/>
      <c r="L3235" s="2080"/>
      <c r="M3235" s="2080"/>
      <c r="N3235" s="2080"/>
      <c r="O3235" s="2080"/>
      <c r="P3235" s="2080"/>
      <c r="Q3235" s="2080"/>
      <c r="R3235" s="2080"/>
      <c r="S3235" s="2081"/>
      <c r="T3235" s="2084"/>
      <c r="U3235" s="2085"/>
      <c r="V3235" s="2085"/>
      <c r="W3235" s="2085"/>
      <c r="X3235" s="2056"/>
      <c r="Y3235" s="2057"/>
      <c r="Z3235" s="2056"/>
      <c r="AA3235" s="2057"/>
      <c r="AB3235" s="1122" t="s">
        <v>2180</v>
      </c>
      <c r="AC3235" s="1122" t="s">
        <v>2181</v>
      </c>
      <c r="AD3235" s="1122" t="s">
        <v>1869</v>
      </c>
      <c r="AE3235" s="2066"/>
      <c r="AF3235" s="2069"/>
    </row>
    <row r="3236" spans="1:32" ht="15.75" x14ac:dyDescent="0.25">
      <c r="A3236" s="2017"/>
      <c r="B3236" s="2018"/>
      <c r="C3236" s="2018"/>
      <c r="D3236" s="2018"/>
      <c r="E3236" s="2018"/>
      <c r="F3236" s="2018"/>
      <c r="G3236" s="2018"/>
      <c r="H3236" s="2018"/>
      <c r="I3236" s="2018"/>
      <c r="J3236" s="2018"/>
      <c r="K3236" s="2018"/>
      <c r="L3236" s="2018"/>
      <c r="M3236" s="2018"/>
      <c r="N3236" s="2018"/>
      <c r="O3236" s="2018"/>
      <c r="P3236" s="2018"/>
      <c r="Q3236" s="2018"/>
      <c r="R3236" s="2018"/>
      <c r="S3236" s="2018"/>
      <c r="T3236" s="2018"/>
      <c r="U3236" s="2018"/>
      <c r="V3236" s="2018"/>
      <c r="W3236" s="2018"/>
      <c r="X3236" s="2018"/>
      <c r="Y3236" s="2094"/>
      <c r="Z3236" s="2096"/>
      <c r="AA3236" s="2097"/>
      <c r="AB3236" s="1050">
        <f>+AF3064</f>
        <v>126.26</v>
      </c>
      <c r="AC3236" s="1050">
        <f>+AF3183</f>
        <v>23.27</v>
      </c>
      <c r="AD3236" s="1050">
        <f>+AD3198</f>
        <v>1.25</v>
      </c>
      <c r="AE3236" s="1051">
        <f>+'01'!E15</f>
        <v>5</v>
      </c>
      <c r="AF3236" s="1052">
        <f>ROUND((AB3236-AC3236)*AD3236,2)</f>
        <v>128.74</v>
      </c>
    </row>
    <row r="3237" spans="1:32" ht="15.75" x14ac:dyDescent="0.25">
      <c r="A3237" s="2017"/>
      <c r="B3237" s="2018"/>
      <c r="C3237" s="2018"/>
      <c r="D3237" s="2018"/>
      <c r="E3237" s="2018"/>
      <c r="F3237" s="2018"/>
      <c r="G3237" s="2018"/>
      <c r="H3237" s="2018"/>
      <c r="I3237" s="2018"/>
      <c r="J3237" s="2018"/>
      <c r="K3237" s="2018"/>
      <c r="L3237" s="2018"/>
      <c r="M3237" s="2018"/>
      <c r="N3237" s="2018"/>
      <c r="O3237" s="2018"/>
      <c r="P3237" s="2018"/>
      <c r="Q3237" s="2018"/>
      <c r="R3237" s="2018"/>
      <c r="S3237" s="2018"/>
      <c r="T3237" s="2018"/>
      <c r="U3237" s="2018"/>
      <c r="V3237" s="2018"/>
      <c r="W3237" s="2018"/>
      <c r="X3237" s="2018"/>
      <c r="Y3237" s="2094"/>
      <c r="Z3237" s="2096"/>
      <c r="AA3237" s="2097"/>
      <c r="AB3237" s="1050"/>
      <c r="AC3237" s="1050"/>
      <c r="AD3237" s="1050"/>
      <c r="AE3237" s="1051"/>
      <c r="AF3237" s="1052"/>
    </row>
    <row r="3238" spans="1:32" ht="15.75" x14ac:dyDescent="0.25">
      <c r="A3238" s="2017"/>
      <c r="B3238" s="2018"/>
      <c r="C3238" s="2018"/>
      <c r="D3238" s="2018"/>
      <c r="E3238" s="2018"/>
      <c r="F3238" s="2018"/>
      <c r="G3238" s="2018"/>
      <c r="H3238" s="2018"/>
      <c r="I3238" s="2018"/>
      <c r="J3238" s="2018"/>
      <c r="K3238" s="2018"/>
      <c r="L3238" s="2018"/>
      <c r="M3238" s="2018"/>
      <c r="N3238" s="2018"/>
      <c r="O3238" s="2018"/>
      <c r="P3238" s="2018"/>
      <c r="Q3238" s="2018"/>
      <c r="R3238" s="2018"/>
      <c r="S3238" s="2018"/>
      <c r="T3238" s="2018"/>
      <c r="U3238" s="2018"/>
      <c r="V3238" s="2018"/>
      <c r="W3238" s="2018"/>
      <c r="X3238" s="2018"/>
      <c r="Y3238" s="2094"/>
      <c r="Z3238" s="2096"/>
      <c r="AA3238" s="2097"/>
      <c r="AB3238" s="1050"/>
      <c r="AC3238" s="1050"/>
      <c r="AD3238" s="1050"/>
      <c r="AE3238" s="1051"/>
      <c r="AF3238" s="1052"/>
    </row>
    <row r="3239" spans="1:32" ht="15.75" x14ac:dyDescent="0.25">
      <c r="A3239" s="2017"/>
      <c r="B3239" s="2018"/>
      <c r="C3239" s="2018"/>
      <c r="D3239" s="2018"/>
      <c r="E3239" s="2018"/>
      <c r="F3239" s="2018"/>
      <c r="G3239" s="2018"/>
      <c r="H3239" s="2018"/>
      <c r="I3239" s="2018"/>
      <c r="J3239" s="2018"/>
      <c r="K3239" s="2018"/>
      <c r="L3239" s="2018"/>
      <c r="M3239" s="2018"/>
      <c r="N3239" s="2018"/>
      <c r="O3239" s="2018"/>
      <c r="P3239" s="2018"/>
      <c r="Q3239" s="2018"/>
      <c r="R3239" s="2018"/>
      <c r="S3239" s="2018"/>
      <c r="T3239" s="2018"/>
      <c r="U3239" s="2018"/>
      <c r="V3239" s="2018"/>
      <c r="W3239" s="2018"/>
      <c r="X3239" s="2018"/>
      <c r="Y3239" s="2094"/>
      <c r="Z3239" s="2096"/>
      <c r="AA3239" s="2097"/>
      <c r="AB3239" s="1050"/>
      <c r="AC3239" s="1050"/>
      <c r="AD3239" s="1050"/>
      <c r="AE3239" s="1051"/>
      <c r="AF3239" s="1052"/>
    </row>
    <row r="3240" spans="1:32" ht="15.75" x14ac:dyDescent="0.25">
      <c r="A3240" s="2017"/>
      <c r="B3240" s="2018"/>
      <c r="C3240" s="2018"/>
      <c r="D3240" s="2018"/>
      <c r="E3240" s="2018"/>
      <c r="F3240" s="2018"/>
      <c r="G3240" s="2018"/>
      <c r="H3240" s="2018"/>
      <c r="I3240" s="2018"/>
      <c r="J3240" s="2018"/>
      <c r="K3240" s="2018"/>
      <c r="L3240" s="2018"/>
      <c r="M3240" s="2018"/>
      <c r="N3240" s="2018"/>
      <c r="O3240" s="2018"/>
      <c r="P3240" s="2018"/>
      <c r="Q3240" s="2018"/>
      <c r="R3240" s="2018"/>
      <c r="S3240" s="2018"/>
      <c r="T3240" s="2018"/>
      <c r="U3240" s="2018"/>
      <c r="V3240" s="2018"/>
      <c r="W3240" s="2018"/>
      <c r="X3240" s="2018"/>
      <c r="Y3240" s="2094"/>
      <c r="Z3240" s="2096"/>
      <c r="AA3240" s="2097"/>
      <c r="AB3240" s="1050"/>
      <c r="AC3240" s="1050"/>
      <c r="AD3240" s="1050"/>
      <c r="AE3240" s="1051"/>
      <c r="AF3240" s="1052"/>
    </row>
    <row r="3241" spans="1:32" ht="15.75" x14ac:dyDescent="0.25">
      <c r="A3241" s="2017"/>
      <c r="B3241" s="2018"/>
      <c r="C3241" s="2018"/>
      <c r="D3241" s="2018"/>
      <c r="E3241" s="2018"/>
      <c r="F3241" s="2018"/>
      <c r="G3241" s="2018"/>
      <c r="H3241" s="2018"/>
      <c r="I3241" s="2018"/>
      <c r="J3241" s="2018"/>
      <c r="K3241" s="2018"/>
      <c r="L3241" s="2018"/>
      <c r="M3241" s="2018"/>
      <c r="N3241" s="2018"/>
      <c r="O3241" s="2018"/>
      <c r="P3241" s="2018"/>
      <c r="Q3241" s="2018"/>
      <c r="R3241" s="2018"/>
      <c r="S3241" s="2018"/>
      <c r="T3241" s="2018"/>
      <c r="U3241" s="2018"/>
      <c r="V3241" s="2018"/>
      <c r="W3241" s="2018"/>
      <c r="X3241" s="2018"/>
      <c r="Y3241" s="2094"/>
      <c r="Z3241" s="2096"/>
      <c r="AA3241" s="2097"/>
      <c r="AB3241" s="1050"/>
      <c r="AC3241" s="1050"/>
      <c r="AD3241" s="1050"/>
      <c r="AE3241" s="1051"/>
      <c r="AF3241" s="1052"/>
    </row>
    <row r="3242" spans="1:32" ht="15.75" x14ac:dyDescent="0.25">
      <c r="A3242" s="2017"/>
      <c r="B3242" s="2018"/>
      <c r="C3242" s="2018"/>
      <c r="D3242" s="2018"/>
      <c r="E3242" s="2018"/>
      <c r="F3242" s="2018"/>
      <c r="G3242" s="2018"/>
      <c r="H3242" s="2018"/>
      <c r="I3242" s="2018"/>
      <c r="J3242" s="2018"/>
      <c r="K3242" s="2018"/>
      <c r="L3242" s="2018"/>
      <c r="M3242" s="2018"/>
      <c r="N3242" s="2018"/>
      <c r="O3242" s="2018"/>
      <c r="P3242" s="2018"/>
      <c r="Q3242" s="2018"/>
      <c r="R3242" s="2018"/>
      <c r="S3242" s="2018"/>
      <c r="T3242" s="2018"/>
      <c r="U3242" s="2018"/>
      <c r="V3242" s="2018"/>
      <c r="W3242" s="2018"/>
      <c r="X3242" s="2018"/>
      <c r="Y3242" s="2094"/>
      <c r="Z3242" s="2096"/>
      <c r="AA3242" s="2097"/>
      <c r="AB3242" s="1050"/>
      <c r="AC3242" s="1050"/>
      <c r="AD3242" s="1050"/>
      <c r="AE3242" s="1051"/>
      <c r="AF3242" s="1052"/>
    </row>
    <row r="3243" spans="1:32" ht="15.75" x14ac:dyDescent="0.25">
      <c r="A3243" s="2017"/>
      <c r="B3243" s="2018"/>
      <c r="C3243" s="2018"/>
      <c r="D3243" s="2018"/>
      <c r="E3243" s="2018"/>
      <c r="F3243" s="2018"/>
      <c r="G3243" s="2018"/>
      <c r="H3243" s="2018"/>
      <c r="I3243" s="2018"/>
      <c r="J3243" s="2018"/>
      <c r="K3243" s="2018"/>
      <c r="L3243" s="2018"/>
      <c r="M3243" s="2018"/>
      <c r="N3243" s="2018"/>
      <c r="O3243" s="2018"/>
      <c r="P3243" s="2018"/>
      <c r="Q3243" s="2018"/>
      <c r="R3243" s="2018"/>
      <c r="S3243" s="2018"/>
      <c r="T3243" s="2018"/>
      <c r="U3243" s="2018"/>
      <c r="V3243" s="2018"/>
      <c r="W3243" s="2018"/>
      <c r="X3243" s="2018"/>
      <c r="Y3243" s="2094"/>
      <c r="Z3243" s="2096"/>
      <c r="AA3243" s="2097"/>
      <c r="AB3243" s="1053"/>
      <c r="AC3243" s="1053"/>
      <c r="AD3243" s="1053"/>
      <c r="AE3243" s="1051"/>
      <c r="AF3243" s="1052"/>
    </row>
    <row r="3244" spans="1:32" ht="15.75" x14ac:dyDescent="0.25">
      <c r="A3244" s="2017"/>
      <c r="B3244" s="2018"/>
      <c r="C3244" s="2018"/>
      <c r="D3244" s="2018"/>
      <c r="E3244" s="2018"/>
      <c r="F3244" s="2018"/>
      <c r="G3244" s="2018"/>
      <c r="H3244" s="2018"/>
      <c r="I3244" s="2018"/>
      <c r="J3244" s="2018"/>
      <c r="K3244" s="2018"/>
      <c r="L3244" s="2018"/>
      <c r="M3244" s="2018"/>
      <c r="N3244" s="2018"/>
      <c r="O3244" s="2018"/>
      <c r="P3244" s="2018"/>
      <c r="Q3244" s="2018"/>
      <c r="R3244" s="2018"/>
      <c r="S3244" s="2018"/>
      <c r="T3244" s="2018"/>
      <c r="U3244" s="2018"/>
      <c r="V3244" s="2018"/>
      <c r="W3244" s="2018"/>
      <c r="X3244" s="2018"/>
      <c r="Y3244" s="2094"/>
      <c r="Z3244" s="2096"/>
      <c r="AA3244" s="2097"/>
      <c r="AB3244" s="1053"/>
      <c r="AC3244" s="1053"/>
      <c r="AD3244" s="1053"/>
      <c r="AE3244" s="1050"/>
      <c r="AF3244" s="1054"/>
    </row>
    <row r="3245" spans="1:32" ht="15.75" x14ac:dyDescent="0.25">
      <c r="A3245" s="2017"/>
      <c r="B3245" s="2018"/>
      <c r="C3245" s="2018"/>
      <c r="D3245" s="2018"/>
      <c r="E3245" s="2018"/>
      <c r="F3245" s="2018"/>
      <c r="G3245" s="2018"/>
      <c r="H3245" s="2018"/>
      <c r="I3245" s="2018"/>
      <c r="J3245" s="2018"/>
      <c r="K3245" s="2018"/>
      <c r="L3245" s="2018"/>
      <c r="M3245" s="2018"/>
      <c r="N3245" s="2018"/>
      <c r="O3245" s="2018"/>
      <c r="P3245" s="2018"/>
      <c r="Q3245" s="2018"/>
      <c r="R3245" s="2018"/>
      <c r="S3245" s="2018"/>
      <c r="T3245" s="2018"/>
      <c r="U3245" s="2018"/>
      <c r="V3245" s="2018"/>
      <c r="W3245" s="2018"/>
      <c r="X3245" s="2018"/>
      <c r="Y3245" s="2094"/>
      <c r="Z3245" s="2096"/>
      <c r="AA3245" s="2097"/>
      <c r="AB3245" s="1053"/>
      <c r="AC3245" s="1053"/>
      <c r="AD3245" s="1053"/>
      <c r="AE3245" s="1051"/>
      <c r="AF3245" s="1054"/>
    </row>
    <row r="3246" spans="1:32" ht="15.75" x14ac:dyDescent="0.25">
      <c r="A3246" s="2017"/>
      <c r="B3246" s="2018"/>
      <c r="C3246" s="2018"/>
      <c r="D3246" s="2018"/>
      <c r="E3246" s="2018"/>
      <c r="F3246" s="2018"/>
      <c r="G3246" s="2018"/>
      <c r="H3246" s="2018"/>
      <c r="I3246" s="2018"/>
      <c r="J3246" s="2018"/>
      <c r="K3246" s="2018"/>
      <c r="L3246" s="2018"/>
      <c r="M3246" s="2018"/>
      <c r="N3246" s="2018"/>
      <c r="O3246" s="2018"/>
      <c r="P3246" s="2018"/>
      <c r="Q3246" s="2018"/>
      <c r="R3246" s="2018"/>
      <c r="S3246" s="2018"/>
      <c r="T3246" s="2018"/>
      <c r="U3246" s="2018"/>
      <c r="V3246" s="2018"/>
      <c r="W3246" s="2018"/>
      <c r="X3246" s="2018"/>
      <c r="Y3246" s="2094"/>
      <c r="Z3246" s="2096"/>
      <c r="AA3246" s="2097"/>
      <c r="AB3246" s="1053"/>
      <c r="AC3246" s="1053"/>
      <c r="AD3246" s="1053"/>
      <c r="AE3246" s="1051"/>
      <c r="AF3246" s="1054"/>
    </row>
    <row r="3247" spans="1:32" ht="15.75" x14ac:dyDescent="0.25">
      <c r="A3247" s="2017"/>
      <c r="B3247" s="2018"/>
      <c r="C3247" s="2018"/>
      <c r="D3247" s="2018"/>
      <c r="E3247" s="2018"/>
      <c r="F3247" s="2018"/>
      <c r="G3247" s="2018"/>
      <c r="H3247" s="2018"/>
      <c r="I3247" s="2018"/>
      <c r="J3247" s="2018"/>
      <c r="K3247" s="2018"/>
      <c r="L3247" s="2018"/>
      <c r="M3247" s="2018"/>
      <c r="N3247" s="2018"/>
      <c r="O3247" s="2018"/>
      <c r="P3247" s="2018"/>
      <c r="Q3247" s="2018"/>
      <c r="R3247" s="2018"/>
      <c r="S3247" s="2018"/>
      <c r="T3247" s="2018"/>
      <c r="U3247" s="2018"/>
      <c r="V3247" s="2018"/>
      <c r="W3247" s="2018"/>
      <c r="X3247" s="2018"/>
      <c r="Y3247" s="2094"/>
      <c r="Z3247" s="2096"/>
      <c r="AA3247" s="2097"/>
      <c r="AB3247" s="1053"/>
      <c r="AC3247" s="1053"/>
      <c r="AD3247" s="1053"/>
      <c r="AE3247" s="1051"/>
      <c r="AF3247" s="1054"/>
    </row>
    <row r="3248" spans="1:32" ht="15.75" x14ac:dyDescent="0.25">
      <c r="A3248" s="2017"/>
      <c r="B3248" s="2018"/>
      <c r="C3248" s="2018"/>
      <c r="D3248" s="2018"/>
      <c r="E3248" s="2018"/>
      <c r="F3248" s="2018"/>
      <c r="G3248" s="2018"/>
      <c r="H3248" s="2018"/>
      <c r="I3248" s="2018"/>
      <c r="J3248" s="2018"/>
      <c r="K3248" s="2018"/>
      <c r="L3248" s="2018"/>
      <c r="M3248" s="2018"/>
      <c r="N3248" s="2018"/>
      <c r="O3248" s="2018"/>
      <c r="P3248" s="2018"/>
      <c r="Q3248" s="2018"/>
      <c r="R3248" s="2018"/>
      <c r="S3248" s="2018"/>
      <c r="T3248" s="2018"/>
      <c r="U3248" s="2018"/>
      <c r="V3248" s="2018"/>
      <c r="W3248" s="2018"/>
      <c r="X3248" s="2018"/>
      <c r="Y3248" s="2094"/>
      <c r="Z3248" s="2096"/>
      <c r="AA3248" s="2097"/>
      <c r="AB3248" s="1053"/>
      <c r="AC3248" s="1053"/>
      <c r="AD3248" s="1053"/>
      <c r="AE3248" s="1051"/>
      <c r="AF3248" s="1054"/>
    </row>
    <row r="3249" spans="1:32" ht="15.75" x14ac:dyDescent="0.25">
      <c r="A3249" s="2017"/>
      <c r="B3249" s="2018"/>
      <c r="C3249" s="2018"/>
      <c r="D3249" s="2018"/>
      <c r="E3249" s="2018"/>
      <c r="F3249" s="2018"/>
      <c r="G3249" s="2018"/>
      <c r="H3249" s="2018"/>
      <c r="I3249" s="2018"/>
      <c r="J3249" s="2018"/>
      <c r="K3249" s="2018"/>
      <c r="L3249" s="2018"/>
      <c r="M3249" s="2018"/>
      <c r="N3249" s="2018"/>
      <c r="O3249" s="2018"/>
      <c r="P3249" s="2018"/>
      <c r="Q3249" s="2018"/>
      <c r="R3249" s="2018"/>
      <c r="S3249" s="2018"/>
      <c r="T3249" s="2018"/>
      <c r="U3249" s="2018"/>
      <c r="V3249" s="2018"/>
      <c r="W3249" s="2018"/>
      <c r="X3249" s="2018"/>
      <c r="Y3249" s="2094"/>
      <c r="Z3249" s="2096"/>
      <c r="AA3249" s="2097"/>
      <c r="AB3249" s="1053"/>
      <c r="AC3249" s="1053"/>
      <c r="AD3249" s="1053"/>
      <c r="AE3249" s="1051"/>
      <c r="AF3249" s="1054"/>
    </row>
    <row r="3250" spans="1:32" ht="15.75" x14ac:dyDescent="0.25">
      <c r="A3250" s="2017"/>
      <c r="B3250" s="2018"/>
      <c r="C3250" s="2018"/>
      <c r="D3250" s="2018"/>
      <c r="E3250" s="2018"/>
      <c r="F3250" s="2018"/>
      <c r="G3250" s="2018"/>
      <c r="H3250" s="2018"/>
      <c r="I3250" s="2018"/>
      <c r="J3250" s="2018"/>
      <c r="K3250" s="2018"/>
      <c r="L3250" s="2018"/>
      <c r="M3250" s="2018"/>
      <c r="N3250" s="2018"/>
      <c r="O3250" s="2018"/>
      <c r="P3250" s="2018"/>
      <c r="Q3250" s="2018"/>
      <c r="R3250" s="2018"/>
      <c r="S3250" s="2018"/>
      <c r="T3250" s="2018"/>
      <c r="U3250" s="2018"/>
      <c r="V3250" s="2018"/>
      <c r="W3250" s="2018"/>
      <c r="X3250" s="2018"/>
      <c r="Y3250" s="2094"/>
      <c r="Z3250" s="2096"/>
      <c r="AA3250" s="2097"/>
      <c r="AB3250" s="1055"/>
      <c r="AC3250" s="1055"/>
      <c r="AD3250" s="1055"/>
      <c r="AE3250" s="1051"/>
      <c r="AF3250" s="1056"/>
    </row>
    <row r="3251" spans="1:32" ht="15.75" x14ac:dyDescent="0.25">
      <c r="A3251" s="2017"/>
      <c r="B3251" s="2018"/>
      <c r="C3251" s="2018"/>
      <c r="D3251" s="2018"/>
      <c r="E3251" s="2018"/>
      <c r="F3251" s="2018"/>
      <c r="G3251" s="2018"/>
      <c r="H3251" s="2018"/>
      <c r="I3251" s="2018"/>
      <c r="J3251" s="2018"/>
      <c r="K3251" s="2018"/>
      <c r="L3251" s="2018"/>
      <c r="M3251" s="2018"/>
      <c r="N3251" s="2018"/>
      <c r="O3251" s="2018"/>
      <c r="P3251" s="2018"/>
      <c r="Q3251" s="2018"/>
      <c r="R3251" s="2018"/>
      <c r="S3251" s="2018"/>
      <c r="T3251" s="2018"/>
      <c r="U3251" s="2018"/>
      <c r="V3251" s="2018"/>
      <c r="W3251" s="2018"/>
      <c r="X3251" s="2018"/>
      <c r="Y3251" s="2094"/>
      <c r="Z3251" s="2096"/>
      <c r="AA3251" s="2097"/>
      <c r="AB3251" s="1055"/>
      <c r="AC3251" s="1055"/>
      <c r="AD3251" s="1055"/>
      <c r="AE3251" s="1055"/>
      <c r="AF3251" s="1056"/>
    </row>
    <row r="3252" spans="1:32" ht="15.75" x14ac:dyDescent="0.25">
      <c r="A3252" s="2017"/>
      <c r="B3252" s="2018"/>
      <c r="C3252" s="2018"/>
      <c r="D3252" s="2018"/>
      <c r="E3252" s="2018"/>
      <c r="F3252" s="2018"/>
      <c r="G3252" s="2018"/>
      <c r="H3252" s="2018"/>
      <c r="I3252" s="2018"/>
      <c r="J3252" s="2018"/>
      <c r="K3252" s="2018"/>
      <c r="L3252" s="2018"/>
      <c r="M3252" s="2018"/>
      <c r="N3252" s="2018"/>
      <c r="O3252" s="2018"/>
      <c r="P3252" s="2018"/>
      <c r="Q3252" s="2018"/>
      <c r="R3252" s="2018"/>
      <c r="S3252" s="2018"/>
      <c r="T3252" s="2018"/>
      <c r="U3252" s="2018"/>
      <c r="V3252" s="2018"/>
      <c r="W3252" s="2018"/>
      <c r="X3252" s="2018"/>
      <c r="Y3252" s="2094"/>
      <c r="Z3252" s="2096"/>
      <c r="AA3252" s="2097"/>
      <c r="AB3252" s="1055"/>
      <c r="AC3252" s="1055"/>
      <c r="AD3252" s="1055"/>
      <c r="AE3252" s="1055"/>
      <c r="AF3252" s="1056"/>
    </row>
    <row r="3253" spans="1:32" ht="15.75" x14ac:dyDescent="0.25">
      <c r="A3253" s="2017"/>
      <c r="B3253" s="2018"/>
      <c r="C3253" s="2018"/>
      <c r="D3253" s="2018"/>
      <c r="E3253" s="2018"/>
      <c r="F3253" s="2018"/>
      <c r="G3253" s="2018"/>
      <c r="H3253" s="2018"/>
      <c r="I3253" s="2018"/>
      <c r="J3253" s="2018"/>
      <c r="K3253" s="2018"/>
      <c r="L3253" s="2018"/>
      <c r="M3253" s="2018"/>
      <c r="N3253" s="2018"/>
      <c r="O3253" s="2018"/>
      <c r="P3253" s="2018"/>
      <c r="Q3253" s="2018"/>
      <c r="R3253" s="2018"/>
      <c r="S3253" s="2018"/>
      <c r="T3253" s="2018"/>
      <c r="U3253" s="2018"/>
      <c r="V3253" s="2018"/>
      <c r="W3253" s="2018"/>
      <c r="X3253" s="2018"/>
      <c r="Y3253" s="2094"/>
      <c r="Z3253" s="2096"/>
      <c r="AA3253" s="2097"/>
      <c r="AB3253" s="1055"/>
      <c r="AC3253" s="1055"/>
      <c r="AD3253" s="1055"/>
      <c r="AE3253" s="1055"/>
      <c r="AF3253" s="1056"/>
    </row>
    <row r="3254" spans="1:32" ht="15.75" x14ac:dyDescent="0.25">
      <c r="A3254" s="2017"/>
      <c r="B3254" s="2018"/>
      <c r="C3254" s="2018"/>
      <c r="D3254" s="2018"/>
      <c r="E3254" s="2018"/>
      <c r="F3254" s="2018"/>
      <c r="G3254" s="2018"/>
      <c r="H3254" s="2018"/>
      <c r="I3254" s="2018"/>
      <c r="J3254" s="2018"/>
      <c r="K3254" s="2018"/>
      <c r="L3254" s="2018"/>
      <c r="M3254" s="2018"/>
      <c r="N3254" s="2018"/>
      <c r="O3254" s="2018"/>
      <c r="P3254" s="2018"/>
      <c r="Q3254" s="2018"/>
      <c r="R3254" s="2018"/>
      <c r="S3254" s="2018"/>
      <c r="T3254" s="2018"/>
      <c r="U3254" s="2018"/>
      <c r="V3254" s="2018"/>
      <c r="W3254" s="2018"/>
      <c r="X3254" s="2018"/>
      <c r="Y3254" s="2094"/>
      <c r="Z3254" s="2096"/>
      <c r="AA3254" s="2097"/>
      <c r="AB3254" s="1055"/>
      <c r="AC3254" s="1055"/>
      <c r="AD3254" s="1055"/>
      <c r="AE3254" s="1055"/>
      <c r="AF3254" s="1056"/>
    </row>
    <row r="3255" spans="1:32" ht="15.75" x14ac:dyDescent="0.25">
      <c r="A3255" s="2017"/>
      <c r="B3255" s="2018"/>
      <c r="C3255" s="2018"/>
      <c r="D3255" s="2018"/>
      <c r="E3255" s="2018"/>
      <c r="F3255" s="2018"/>
      <c r="G3255" s="2018"/>
      <c r="H3255" s="2018"/>
      <c r="I3255" s="2018"/>
      <c r="J3255" s="2018"/>
      <c r="K3255" s="2018"/>
      <c r="L3255" s="2018"/>
      <c r="M3255" s="2018"/>
      <c r="N3255" s="2018"/>
      <c r="O3255" s="2018"/>
      <c r="P3255" s="2018"/>
      <c r="Q3255" s="2018"/>
      <c r="R3255" s="2018"/>
      <c r="S3255" s="2018"/>
      <c r="T3255" s="2018"/>
      <c r="U3255" s="2018"/>
      <c r="V3255" s="2018"/>
      <c r="W3255" s="2018"/>
      <c r="X3255" s="2018"/>
      <c r="Y3255" s="2094"/>
      <c r="Z3255" s="2096"/>
      <c r="AA3255" s="2097"/>
      <c r="AB3255" s="1055"/>
      <c r="AC3255" s="1055"/>
      <c r="AD3255" s="1055"/>
      <c r="AE3255" s="1055"/>
      <c r="AF3255" s="1056"/>
    </row>
    <row r="3256" spans="1:32" ht="16.5" thickBot="1" x14ac:dyDescent="0.3">
      <c r="A3256" s="2019"/>
      <c r="B3256" s="2020"/>
      <c r="C3256" s="2020"/>
      <c r="D3256" s="2020"/>
      <c r="E3256" s="2020"/>
      <c r="F3256" s="2020"/>
      <c r="G3256" s="2020"/>
      <c r="H3256" s="2020"/>
      <c r="I3256" s="2020"/>
      <c r="J3256" s="2020"/>
      <c r="K3256" s="2020"/>
      <c r="L3256" s="2020"/>
      <c r="M3256" s="2020"/>
      <c r="N3256" s="2020"/>
      <c r="O3256" s="2020"/>
      <c r="P3256" s="2020"/>
      <c r="Q3256" s="2020"/>
      <c r="R3256" s="2020"/>
      <c r="S3256" s="2020"/>
      <c r="T3256" s="2020"/>
      <c r="U3256" s="2020"/>
      <c r="V3256" s="2020"/>
      <c r="W3256" s="2020"/>
      <c r="X3256" s="2020"/>
      <c r="Y3256" s="2095"/>
      <c r="Z3256" s="2098"/>
      <c r="AA3256" s="2099"/>
      <c r="AB3256" s="1057"/>
      <c r="AC3256" s="1057"/>
      <c r="AD3256" s="1057"/>
      <c r="AE3256" s="1057"/>
      <c r="AF3256" s="1058"/>
    </row>
    <row r="3257" spans="1:32" ht="15.75" x14ac:dyDescent="0.25">
      <c r="A3257" s="2009" t="s">
        <v>2411</v>
      </c>
      <c r="B3257" s="2010"/>
      <c r="C3257" s="2010"/>
      <c r="D3257" s="2010"/>
      <c r="E3257" s="2010"/>
      <c r="F3257" s="2010"/>
      <c r="G3257" s="2010"/>
      <c r="H3257" s="2010"/>
      <c r="I3257" s="2010"/>
      <c r="J3257" s="2010"/>
      <c r="K3257" s="2010"/>
      <c r="L3257" s="2010"/>
      <c r="M3257" s="2010"/>
      <c r="N3257" s="2010"/>
      <c r="O3257" s="2010"/>
      <c r="P3257" s="2010"/>
      <c r="Q3257" s="2010"/>
      <c r="R3257" s="2010"/>
      <c r="S3257" s="2010"/>
      <c r="T3257" s="2010"/>
      <c r="U3257" s="2010"/>
      <c r="V3257" s="2010"/>
      <c r="W3257" s="2010"/>
      <c r="X3257" s="2010"/>
      <c r="Y3257" s="2010"/>
      <c r="Z3257" s="2013" t="s">
        <v>1850</v>
      </c>
      <c r="AA3257" s="2013"/>
      <c r="AB3257" s="2013"/>
      <c r="AC3257" s="2013"/>
      <c r="AD3257" s="2013"/>
      <c r="AE3257" s="2013"/>
      <c r="AF3257" s="1059">
        <f>SUM(AF3236:AF3256)</f>
        <v>128.74</v>
      </c>
    </row>
    <row r="3258" spans="1:32" ht="15.75" x14ac:dyDescent="0.25">
      <c r="A3258" s="2011"/>
      <c r="B3258" s="2012"/>
      <c r="C3258" s="2012"/>
      <c r="D3258" s="2012"/>
      <c r="E3258" s="2012"/>
      <c r="F3258" s="2012"/>
      <c r="G3258" s="2012"/>
      <c r="H3258" s="2012"/>
      <c r="I3258" s="2012"/>
      <c r="J3258" s="2012"/>
      <c r="K3258" s="2012"/>
      <c r="L3258" s="2012"/>
      <c r="M3258" s="2012"/>
      <c r="N3258" s="2012"/>
      <c r="O3258" s="2012"/>
      <c r="P3258" s="2012"/>
      <c r="Q3258" s="2012"/>
      <c r="R3258" s="2012"/>
      <c r="S3258" s="2012"/>
      <c r="T3258" s="2012"/>
      <c r="U3258" s="2012"/>
      <c r="V3258" s="2012"/>
      <c r="W3258" s="2012"/>
      <c r="X3258" s="2012"/>
      <c r="Y3258" s="2012"/>
      <c r="Z3258" s="2014" t="s">
        <v>1851</v>
      </c>
      <c r="AA3258" s="2014"/>
      <c r="AB3258" s="2014"/>
      <c r="AC3258" s="2014"/>
      <c r="AD3258" s="2014"/>
      <c r="AE3258" s="2014"/>
      <c r="AF3258" s="1060">
        <v>0</v>
      </c>
    </row>
    <row r="3259" spans="1:32" ht="15.75" x14ac:dyDescent="0.25">
      <c r="A3259" s="2011"/>
      <c r="B3259" s="2012"/>
      <c r="C3259" s="2012"/>
      <c r="D3259" s="2012"/>
      <c r="E3259" s="2012"/>
      <c r="F3259" s="2012"/>
      <c r="G3259" s="2012"/>
      <c r="H3259" s="2012"/>
      <c r="I3259" s="2012"/>
      <c r="J3259" s="2012"/>
      <c r="K3259" s="2012"/>
      <c r="L3259" s="2012"/>
      <c r="M3259" s="2012"/>
      <c r="N3259" s="2012"/>
      <c r="O3259" s="2012"/>
      <c r="P3259" s="2012"/>
      <c r="Q3259" s="2012"/>
      <c r="R3259" s="2012"/>
      <c r="S3259" s="2012"/>
      <c r="T3259" s="2012"/>
      <c r="U3259" s="2012"/>
      <c r="V3259" s="2012"/>
      <c r="W3259" s="2012"/>
      <c r="X3259" s="2012"/>
      <c r="Y3259" s="2012"/>
      <c r="Z3259" s="2015" t="s">
        <v>1833</v>
      </c>
      <c r="AA3259" s="2015"/>
      <c r="AB3259" s="2015"/>
      <c r="AC3259" s="2015"/>
      <c r="AD3259" s="2015"/>
      <c r="AE3259" s="2015"/>
      <c r="AF3259" s="1061">
        <f>SUM(AF3257:AF3258)</f>
        <v>128.74</v>
      </c>
    </row>
    <row r="3260" spans="1:32" x14ac:dyDescent="0.2">
      <c r="A3260" s="2012" t="s">
        <v>1859</v>
      </c>
      <c r="B3260" s="2012"/>
      <c r="C3260" s="2012"/>
      <c r="D3260" s="2012"/>
      <c r="E3260" s="2012"/>
      <c r="F3260" s="2012"/>
      <c r="G3260" s="2012"/>
      <c r="H3260" s="2012"/>
      <c r="I3260" s="2012"/>
      <c r="J3260" s="2012"/>
      <c r="K3260" s="2012"/>
      <c r="L3260" s="2012"/>
      <c r="M3260" s="2012"/>
      <c r="N3260" s="2012"/>
      <c r="O3260" s="2012"/>
      <c r="P3260" s="2012"/>
      <c r="Q3260" s="2012"/>
      <c r="R3260" s="2012"/>
      <c r="S3260" s="2012"/>
      <c r="T3260" s="2016" t="s">
        <v>1840</v>
      </c>
      <c r="U3260" s="2016"/>
      <c r="V3260" s="2016"/>
      <c r="W3260" s="2016"/>
      <c r="X3260" s="2016"/>
      <c r="Y3260" s="2016"/>
      <c r="Z3260" s="2016"/>
      <c r="AA3260" s="2016"/>
      <c r="AB3260" s="2012" t="s">
        <v>1852</v>
      </c>
      <c r="AC3260" s="2012"/>
      <c r="AD3260" s="2012"/>
      <c r="AE3260" s="2012"/>
      <c r="AF3260" s="2012"/>
    </row>
    <row r="3261" spans="1:32" x14ac:dyDescent="0.2">
      <c r="A3261" s="2012"/>
      <c r="B3261" s="2012"/>
      <c r="C3261" s="2012"/>
      <c r="D3261" s="2012"/>
      <c r="E3261" s="2012"/>
      <c r="F3261" s="2012"/>
      <c r="G3261" s="2012"/>
      <c r="H3261" s="2012"/>
      <c r="I3261" s="2012"/>
      <c r="J3261" s="2012"/>
      <c r="K3261" s="2012"/>
      <c r="L3261" s="2012"/>
      <c r="M3261" s="2012"/>
      <c r="N3261" s="2012"/>
      <c r="O3261" s="2012"/>
      <c r="P3261" s="2012"/>
      <c r="Q3261" s="2012"/>
      <c r="R3261" s="2012"/>
      <c r="S3261" s="2012"/>
      <c r="T3261" s="2016"/>
      <c r="U3261" s="2016"/>
      <c r="V3261" s="2016"/>
      <c r="W3261" s="2016"/>
      <c r="X3261" s="2016"/>
      <c r="Y3261" s="2016"/>
      <c r="Z3261" s="2016"/>
      <c r="AA3261" s="2016"/>
      <c r="AB3261" s="2012"/>
      <c r="AC3261" s="2012"/>
      <c r="AD3261" s="2012"/>
      <c r="AE3261" s="2012"/>
      <c r="AF3261" s="2012"/>
    </row>
    <row r="3262" spans="1:32" ht="13.5" thickBot="1" x14ac:dyDescent="0.25"/>
    <row r="3263" spans="1:32" ht="26.45" customHeight="1" x14ac:dyDescent="0.2">
      <c r="A3263" s="2025" t="s">
        <v>1854</v>
      </c>
      <c r="B3263" s="2026"/>
      <c r="C3263" s="2026"/>
      <c r="D3263" s="2026"/>
      <c r="E3263" s="2026"/>
      <c r="F3263" s="2026"/>
      <c r="G3263" s="2026"/>
      <c r="H3263" s="2026"/>
      <c r="I3263" s="2026"/>
      <c r="J3263" s="2026"/>
      <c r="K3263" s="2026"/>
      <c r="L3263" s="2026"/>
      <c r="M3263" s="2026"/>
      <c r="N3263" s="2026"/>
      <c r="O3263" s="2026"/>
      <c r="P3263" s="2026"/>
      <c r="Q3263" s="2026"/>
      <c r="R3263" s="2026"/>
      <c r="S3263" s="2026"/>
      <c r="T3263" s="2026"/>
      <c r="U3263" s="2026"/>
      <c r="V3263" s="2026"/>
      <c r="W3263" s="2026"/>
      <c r="X3263" s="2026"/>
      <c r="Y3263" s="2026"/>
      <c r="Z3263" s="2026"/>
      <c r="AA3263" s="2026"/>
      <c r="AB3263" s="2026"/>
      <c r="AC3263" s="2026"/>
      <c r="AD3263" s="2026"/>
      <c r="AE3263" s="1041" t="s">
        <v>1834</v>
      </c>
      <c r="AF3263" s="1042" t="s">
        <v>1835</v>
      </c>
    </row>
    <row r="3264" spans="1:32" ht="21" customHeight="1" thickBot="1" x14ac:dyDescent="0.25">
      <c r="A3264" s="2027"/>
      <c r="B3264" s="2028"/>
      <c r="C3264" s="2028"/>
      <c r="D3264" s="2028"/>
      <c r="E3264" s="2028"/>
      <c r="F3264" s="2028"/>
      <c r="G3264" s="2028"/>
      <c r="H3264" s="2028"/>
      <c r="I3264" s="2028"/>
      <c r="J3264" s="2028"/>
      <c r="K3264" s="2028"/>
      <c r="L3264" s="2028"/>
      <c r="M3264" s="2028"/>
      <c r="N3264" s="2028"/>
      <c r="O3264" s="2028"/>
      <c r="P3264" s="2028"/>
      <c r="Q3264" s="2028"/>
      <c r="R3264" s="2028"/>
      <c r="S3264" s="2028"/>
      <c r="T3264" s="2028"/>
      <c r="U3264" s="2028"/>
      <c r="V3264" s="2028"/>
      <c r="W3264" s="2028"/>
      <c r="X3264" s="2028"/>
      <c r="Y3264" s="2028"/>
      <c r="Z3264" s="2028"/>
      <c r="AA3264" s="2028"/>
      <c r="AB3264" s="2028"/>
      <c r="AC3264" s="2028"/>
      <c r="AD3264" s="2028"/>
      <c r="AE3264" s="1041" t="s">
        <v>1836</v>
      </c>
      <c r="AF3264" s="1044">
        <v>1</v>
      </c>
    </row>
    <row r="3265" spans="1:32" ht="15.75" x14ac:dyDescent="0.2">
      <c r="A3265" s="2029"/>
      <c r="B3265" s="2030"/>
      <c r="C3265" s="2030"/>
      <c r="D3265" s="2031"/>
      <c r="E3265" s="2025" t="str">
        <f>'01'!$A$12</f>
        <v>"CONSTRUCCION SISTEMA DE ACUEDUCTO FASE II DEL MUNICIPIO DE TESALIA DPTO DEL HUILA"</v>
      </c>
      <c r="F3265" s="2026"/>
      <c r="G3265" s="2026"/>
      <c r="H3265" s="2026"/>
      <c r="I3265" s="2026"/>
      <c r="J3265" s="2026"/>
      <c r="K3265" s="2026"/>
      <c r="L3265" s="2026"/>
      <c r="M3265" s="2026"/>
      <c r="N3265" s="2026"/>
      <c r="O3265" s="2026"/>
      <c r="P3265" s="2026"/>
      <c r="Q3265" s="2026"/>
      <c r="R3265" s="2026"/>
      <c r="S3265" s="2026"/>
      <c r="T3265" s="2026"/>
      <c r="U3265" s="2026"/>
      <c r="V3265" s="2026"/>
      <c r="W3265" s="2026"/>
      <c r="X3265" s="2026"/>
      <c r="Y3265" s="2026"/>
      <c r="Z3265" s="2026"/>
      <c r="AA3265" s="2026"/>
      <c r="AB3265" s="2026"/>
      <c r="AC3265" s="2026"/>
      <c r="AD3265" s="2035"/>
      <c r="AE3265" s="1041" t="s">
        <v>847</v>
      </c>
      <c r="AF3265" s="1045">
        <f>'01'!$M$13</f>
        <v>0</v>
      </c>
    </row>
    <row r="3266" spans="1:32" ht="16.5" thickBot="1" x14ac:dyDescent="0.25">
      <c r="A3266" s="2032"/>
      <c r="B3266" s="2033"/>
      <c r="C3266" s="2033"/>
      <c r="D3266" s="2034"/>
      <c r="E3266" s="2027"/>
      <c r="F3266" s="2028"/>
      <c r="G3266" s="2028"/>
      <c r="H3266" s="2028"/>
      <c r="I3266" s="2028"/>
      <c r="J3266" s="2028"/>
      <c r="K3266" s="2028"/>
      <c r="L3266" s="2028"/>
      <c r="M3266" s="2028"/>
      <c r="N3266" s="2028"/>
      <c r="O3266" s="2028"/>
      <c r="P3266" s="2028"/>
      <c r="Q3266" s="2028"/>
      <c r="R3266" s="2028"/>
      <c r="S3266" s="2028"/>
      <c r="T3266" s="2028"/>
      <c r="U3266" s="2028"/>
      <c r="V3266" s="2028"/>
      <c r="W3266" s="2028"/>
      <c r="X3266" s="2028"/>
      <c r="Y3266" s="2028"/>
      <c r="Z3266" s="2028"/>
      <c r="AA3266" s="2028"/>
      <c r="AB3266" s="2028"/>
      <c r="AC3266" s="2028"/>
      <c r="AD3266" s="2036"/>
      <c r="AE3266" s="1041" t="s">
        <v>1837</v>
      </c>
      <c r="AF3266" s="1042" t="s">
        <v>1838</v>
      </c>
    </row>
    <row r="3267" spans="1:32" ht="15.75" x14ac:dyDescent="0.25">
      <c r="A3267" s="2037" t="s">
        <v>1860</v>
      </c>
      <c r="B3267" s="2038"/>
      <c r="C3267" s="2038"/>
      <c r="D3267" s="2038"/>
      <c r="E3267" s="2038"/>
      <c r="F3267" s="2038"/>
      <c r="G3267" s="2038"/>
      <c r="H3267" s="2038"/>
      <c r="I3267" s="2038"/>
      <c r="J3267" s="2038"/>
      <c r="K3267" s="2038"/>
      <c r="L3267" s="2038"/>
      <c r="M3267" s="2038"/>
      <c r="N3267" s="2038"/>
      <c r="O3267" s="2038"/>
      <c r="P3267" s="2038"/>
      <c r="Q3267" s="2038"/>
      <c r="R3267" s="2038"/>
      <c r="S3267" s="2038"/>
      <c r="T3267" s="2038"/>
      <c r="U3267" s="2038"/>
      <c r="V3267" s="2038"/>
      <c r="W3267" s="2038"/>
      <c r="X3267" s="2038"/>
      <c r="Y3267" s="2038"/>
      <c r="Z3267" s="2038"/>
      <c r="AA3267" s="2038"/>
      <c r="AB3267" s="2038"/>
      <c r="AC3267" s="2038"/>
      <c r="AD3267" s="2038"/>
      <c r="AE3267" s="2039" t="s">
        <v>1839</v>
      </c>
      <c r="AF3267" s="2040"/>
    </row>
    <row r="3268" spans="1:32" ht="15.75" x14ac:dyDescent="0.25">
      <c r="A3268" s="2041" t="s">
        <v>1840</v>
      </c>
      <c r="B3268" s="2042"/>
      <c r="C3268" s="2042"/>
      <c r="D3268" s="2042"/>
      <c r="E3268" s="2042"/>
      <c r="F3268" s="2042"/>
      <c r="G3268" s="2042"/>
      <c r="H3268" s="2042"/>
      <c r="I3268" s="2042"/>
      <c r="J3268" s="2042"/>
      <c r="K3268" s="2042"/>
      <c r="L3268" s="2042"/>
      <c r="M3268" s="2042"/>
      <c r="N3268" s="2042"/>
      <c r="O3268" s="2042"/>
      <c r="P3268" s="2042"/>
      <c r="Q3268" s="2042"/>
      <c r="R3268" s="2042"/>
      <c r="S3268" s="2042"/>
      <c r="T3268" s="2042"/>
      <c r="U3268" s="2042"/>
      <c r="V3268" s="2042"/>
      <c r="W3268" s="2042"/>
      <c r="X3268" s="2042"/>
      <c r="Y3268" s="2042"/>
      <c r="Z3268" s="2042"/>
      <c r="AA3268" s="2042"/>
      <c r="AB3268" s="2042"/>
      <c r="AC3268" s="2042"/>
      <c r="AD3268" s="2043"/>
      <c r="AE3268" s="2014" t="s">
        <v>1841</v>
      </c>
      <c r="AF3268" s="2044"/>
    </row>
    <row r="3269" spans="1:32" ht="15.75" x14ac:dyDescent="0.25">
      <c r="A3269" s="2045" t="s">
        <v>1853</v>
      </c>
      <c r="B3269" s="2046"/>
      <c r="C3269" s="2046"/>
      <c r="D3269" s="2046"/>
      <c r="E3269" s="2046"/>
      <c r="F3269" s="2046"/>
      <c r="G3269" s="2046"/>
      <c r="H3269" s="2046"/>
      <c r="I3269" s="2046"/>
      <c r="J3269" s="2046"/>
      <c r="K3269" s="2046"/>
      <c r="L3269" s="2046"/>
      <c r="M3269" s="2046"/>
      <c r="N3269" s="2046"/>
      <c r="O3269" s="2046"/>
      <c r="P3269" s="2046"/>
      <c r="Q3269" s="2046"/>
      <c r="R3269" s="2046"/>
      <c r="S3269" s="2046"/>
      <c r="T3269" s="2046"/>
      <c r="U3269" s="2046"/>
      <c r="V3269" s="2046"/>
      <c r="W3269" s="2046"/>
      <c r="X3269" s="2046"/>
      <c r="Y3269" s="2046"/>
      <c r="Z3269" s="2046"/>
      <c r="AA3269" s="2046"/>
      <c r="AB3269" s="2046"/>
      <c r="AC3269" s="2046"/>
      <c r="AD3269" s="2046"/>
      <c r="AE3269" s="2047">
        <f>'01'!$M$13</f>
        <v>0</v>
      </c>
      <c r="AF3269" s="2044"/>
    </row>
    <row r="3270" spans="1:32" x14ac:dyDescent="0.2">
      <c r="A3270" s="1046"/>
      <c r="B3270" s="1047"/>
      <c r="C3270" s="1047"/>
      <c r="D3270" s="1047"/>
      <c r="E3270" s="1047"/>
      <c r="F3270" s="1047"/>
      <c r="G3270" s="1047"/>
      <c r="H3270" s="1047"/>
      <c r="I3270" s="1047"/>
      <c r="J3270" s="1047"/>
      <c r="K3270" s="1047"/>
      <c r="L3270" s="1047"/>
      <c r="M3270" s="1047"/>
      <c r="N3270" s="1047"/>
      <c r="O3270" s="1047"/>
      <c r="P3270" s="1047"/>
      <c r="Q3270" s="1047"/>
      <c r="R3270" s="1047"/>
      <c r="S3270" s="1047"/>
      <c r="T3270" s="1047"/>
      <c r="U3270" s="1047"/>
      <c r="V3270" s="1047"/>
      <c r="W3270" s="1047"/>
      <c r="X3270" s="1047"/>
      <c r="Y3270" s="1047"/>
      <c r="Z3270" s="1047"/>
      <c r="AA3270" s="1047"/>
      <c r="AB3270" s="1047"/>
      <c r="AC3270" s="1047"/>
      <c r="AD3270" s="1047"/>
      <c r="AE3270" s="1047"/>
      <c r="AF3270" s="1048"/>
    </row>
    <row r="3271" spans="1:32" ht="30" customHeight="1" x14ac:dyDescent="0.2">
      <c r="A3271" s="2048" t="s">
        <v>1842</v>
      </c>
      <c r="B3271" s="2049"/>
      <c r="C3271" s="2049"/>
      <c r="D3271" s="2049"/>
      <c r="E3271" s="2049"/>
      <c r="F3271" s="2050" t="str">
        <f>+'01'!$H$130</f>
        <v>E - ESPESADOR GRAVIMÉTRICO</v>
      </c>
      <c r="G3271" s="2049"/>
      <c r="H3271" s="2049"/>
      <c r="I3271" s="2049"/>
      <c r="J3271" s="2049"/>
      <c r="K3271" s="2049"/>
      <c r="L3271" s="2049"/>
      <c r="M3271" s="2049"/>
      <c r="N3271" s="2049"/>
      <c r="O3271" s="2049"/>
      <c r="P3271" s="2049"/>
      <c r="Q3271" s="2049"/>
      <c r="R3271" s="2049"/>
      <c r="S3271" s="2049"/>
      <c r="T3271" s="2049"/>
      <c r="U3271" s="2049"/>
      <c r="V3271" s="2049"/>
      <c r="W3271" s="2049"/>
      <c r="X3271" s="2049"/>
      <c r="Y3271" s="2051"/>
      <c r="Z3271" s="2052" t="s">
        <v>1843</v>
      </c>
      <c r="AA3271" s="2053"/>
      <c r="AB3271" s="2058" t="s">
        <v>1844</v>
      </c>
      <c r="AC3271" s="2059"/>
      <c r="AD3271" s="2060"/>
      <c r="AE3271" s="2064" t="s">
        <v>1845</v>
      </c>
      <c r="AF3271" s="2067" t="s">
        <v>1846</v>
      </c>
    </row>
    <row r="3272" spans="1:32" ht="15" customHeight="1" x14ac:dyDescent="0.2">
      <c r="A3272" s="2070" t="str">
        <f>+'01'!A144</f>
        <v>E-05-01</v>
      </c>
      <c r="B3272" s="2071"/>
      <c r="C3272" s="2072"/>
      <c r="D3272" s="2076" t="str">
        <f>VLOOKUP(A3272,'01'!$A$12:$N$299,3,FALSE)</f>
        <v>CONCRETO PARA SOLADO, LIMPIEZA Y/O RELLENOS FLUIDOS (140KG/CM2) - ESPESOR=0.05 METROS.</v>
      </c>
      <c r="E3272" s="2077"/>
      <c r="F3272" s="2077"/>
      <c r="G3272" s="2077"/>
      <c r="H3272" s="2077"/>
      <c r="I3272" s="2077"/>
      <c r="J3272" s="2077"/>
      <c r="K3272" s="2077"/>
      <c r="L3272" s="2077"/>
      <c r="M3272" s="2077"/>
      <c r="N3272" s="2077"/>
      <c r="O3272" s="2077"/>
      <c r="P3272" s="2077"/>
      <c r="Q3272" s="2077"/>
      <c r="R3272" s="2077"/>
      <c r="S3272" s="2078"/>
      <c r="T3272" s="2082" t="s">
        <v>124</v>
      </c>
      <c r="U3272" s="2083"/>
      <c r="V3272" s="2083"/>
      <c r="W3272" s="2083"/>
      <c r="X3272" s="2052" t="str">
        <f>VLOOKUP(A3272,'01'!$A$12:$N$299,9,FALSE)</f>
        <v>M3</v>
      </c>
      <c r="Y3272" s="2053"/>
      <c r="Z3272" s="2054"/>
      <c r="AA3272" s="2055"/>
      <c r="AB3272" s="2061"/>
      <c r="AC3272" s="2062"/>
      <c r="AD3272" s="2063"/>
      <c r="AE3272" s="2065"/>
      <c r="AF3272" s="2068"/>
    </row>
    <row r="3273" spans="1:32" ht="15" customHeight="1" x14ac:dyDescent="0.25">
      <c r="A3273" s="2073"/>
      <c r="B3273" s="2074"/>
      <c r="C3273" s="2075"/>
      <c r="D3273" s="2079"/>
      <c r="E3273" s="2080"/>
      <c r="F3273" s="2080"/>
      <c r="G3273" s="2080"/>
      <c r="H3273" s="2080"/>
      <c r="I3273" s="2080"/>
      <c r="J3273" s="2080"/>
      <c r="K3273" s="2080"/>
      <c r="L3273" s="2080"/>
      <c r="M3273" s="2080"/>
      <c r="N3273" s="2080"/>
      <c r="O3273" s="2080"/>
      <c r="P3273" s="2080"/>
      <c r="Q3273" s="2080"/>
      <c r="R3273" s="2080"/>
      <c r="S3273" s="2081"/>
      <c r="T3273" s="2084"/>
      <c r="U3273" s="2085"/>
      <c r="V3273" s="2085"/>
      <c r="W3273" s="2085"/>
      <c r="X3273" s="2056"/>
      <c r="Y3273" s="2057"/>
      <c r="Z3273" s="2056"/>
      <c r="AA3273" s="2057"/>
      <c r="AB3273" s="1049" t="s">
        <v>1847</v>
      </c>
      <c r="AC3273" s="1049" t="s">
        <v>1848</v>
      </c>
      <c r="AD3273" s="1049" t="s">
        <v>1861</v>
      </c>
      <c r="AE3273" s="2066"/>
      <c r="AF3273" s="2069"/>
    </row>
    <row r="3274" spans="1:32" ht="15.6" customHeight="1" x14ac:dyDescent="0.25">
      <c r="A3274" s="2017"/>
      <c r="B3274" s="2018"/>
      <c r="C3274" s="2018"/>
      <c r="D3274" s="2018"/>
      <c r="E3274" s="2018"/>
      <c r="F3274" s="2018"/>
      <c r="G3274" s="2018"/>
      <c r="H3274" s="2018"/>
      <c r="I3274" s="2018"/>
      <c r="J3274" s="2018"/>
      <c r="K3274" s="2018"/>
      <c r="L3274" s="2018"/>
      <c r="M3274" s="2018"/>
      <c r="N3274" s="2018"/>
      <c r="O3274" s="2018"/>
      <c r="P3274" s="2018"/>
      <c r="Q3274" s="2018"/>
      <c r="R3274" s="2018"/>
      <c r="S3274" s="2018"/>
      <c r="T3274" s="2018"/>
      <c r="U3274" s="2018"/>
      <c r="V3274" s="2018"/>
      <c r="W3274" s="2018"/>
      <c r="X3274" s="2018"/>
      <c r="Y3274" s="2018"/>
      <c r="Z3274" s="2021" t="s">
        <v>2459</v>
      </c>
      <c r="AA3274" s="2021"/>
      <c r="AB3274" s="1050">
        <f>+AB3120</f>
        <v>4.8000000000000007</v>
      </c>
      <c r="AC3274" s="1050">
        <f t="shared" ref="AC3274" si="49">+AC3120</f>
        <v>4.8000000000000007</v>
      </c>
      <c r="AD3274" s="1050">
        <v>0.05</v>
      </c>
      <c r="AE3274" s="1050">
        <v>1</v>
      </c>
      <c r="AF3274" s="1052">
        <f>+ROUND(AB3274*AC3274*AD3274*AE3274,2)</f>
        <v>1.1499999999999999</v>
      </c>
    </row>
    <row r="3275" spans="1:32" ht="15.6" customHeight="1" x14ac:dyDescent="0.25">
      <c r="A3275" s="2017"/>
      <c r="B3275" s="2018"/>
      <c r="C3275" s="2018"/>
      <c r="D3275" s="2018"/>
      <c r="E3275" s="2018"/>
      <c r="F3275" s="2018"/>
      <c r="G3275" s="2018"/>
      <c r="H3275" s="2018"/>
      <c r="I3275" s="2018"/>
      <c r="J3275" s="2018"/>
      <c r="K3275" s="2018"/>
      <c r="L3275" s="2018"/>
      <c r="M3275" s="2018"/>
      <c r="N3275" s="2018"/>
      <c r="O3275" s="2018"/>
      <c r="P3275" s="2018"/>
      <c r="Q3275" s="2018"/>
      <c r="R3275" s="2018"/>
      <c r="S3275" s="2018"/>
      <c r="T3275" s="2018"/>
      <c r="U3275" s="2018"/>
      <c r="V3275" s="2018"/>
      <c r="W3275" s="2018"/>
      <c r="X3275" s="2018"/>
      <c r="Y3275" s="2018"/>
      <c r="Z3275" s="2021" t="s">
        <v>2460</v>
      </c>
      <c r="AA3275" s="2021"/>
      <c r="AB3275" s="1050">
        <f t="shared" ref="AB3275:AC3276" si="50">+AB3121</f>
        <v>1.2000000000000002</v>
      </c>
      <c r="AC3275" s="1050">
        <f t="shared" si="50"/>
        <v>1.4</v>
      </c>
      <c r="AD3275" s="1050">
        <v>0.05</v>
      </c>
      <c r="AE3275" s="1050">
        <v>1</v>
      </c>
      <c r="AF3275" s="1052">
        <f t="shared" ref="AF3275:AF3277" si="51">+ROUND(AB3275*AC3275*AD3275*AE3275,2)</f>
        <v>0.08</v>
      </c>
    </row>
    <row r="3276" spans="1:32" ht="15.75" x14ac:dyDescent="0.25">
      <c r="A3276" s="2017"/>
      <c r="B3276" s="2018"/>
      <c r="C3276" s="2018"/>
      <c r="D3276" s="2018"/>
      <c r="E3276" s="2018"/>
      <c r="F3276" s="2018"/>
      <c r="G3276" s="2018"/>
      <c r="H3276" s="2018"/>
      <c r="I3276" s="2018"/>
      <c r="J3276" s="2018"/>
      <c r="K3276" s="2018"/>
      <c r="L3276" s="2018"/>
      <c r="M3276" s="2018"/>
      <c r="N3276" s="2018"/>
      <c r="O3276" s="2018"/>
      <c r="P3276" s="2018"/>
      <c r="Q3276" s="2018"/>
      <c r="R3276" s="2018"/>
      <c r="S3276" s="2018"/>
      <c r="T3276" s="2018"/>
      <c r="U3276" s="2018"/>
      <c r="V3276" s="2018"/>
      <c r="W3276" s="2018"/>
      <c r="X3276" s="2018"/>
      <c r="Y3276" s="2018"/>
      <c r="Z3276" s="2021" t="s">
        <v>2461</v>
      </c>
      <c r="AA3276" s="2021"/>
      <c r="AB3276" s="1050">
        <f t="shared" si="50"/>
        <v>1.2000000000000002</v>
      </c>
      <c r="AC3276" s="1050">
        <f t="shared" si="50"/>
        <v>1.4</v>
      </c>
      <c r="AD3276" s="1050">
        <v>0.05</v>
      </c>
      <c r="AE3276" s="1050">
        <v>1</v>
      </c>
      <c r="AF3276" s="1052">
        <f t="shared" si="51"/>
        <v>0.08</v>
      </c>
    </row>
    <row r="3277" spans="1:32" ht="15.75" x14ac:dyDescent="0.25">
      <c r="A3277" s="2017"/>
      <c r="B3277" s="2018"/>
      <c r="C3277" s="2018"/>
      <c r="D3277" s="2018"/>
      <c r="E3277" s="2018"/>
      <c r="F3277" s="2018"/>
      <c r="G3277" s="2018"/>
      <c r="H3277" s="2018"/>
      <c r="I3277" s="2018"/>
      <c r="J3277" s="2018"/>
      <c r="K3277" s="2018"/>
      <c r="L3277" s="2018"/>
      <c r="M3277" s="2018"/>
      <c r="N3277" s="2018"/>
      <c r="O3277" s="2018"/>
      <c r="P3277" s="2018"/>
      <c r="Q3277" s="2018"/>
      <c r="R3277" s="2018"/>
      <c r="S3277" s="2018"/>
      <c r="T3277" s="2018"/>
      <c r="U3277" s="2018"/>
      <c r="V3277" s="2018"/>
      <c r="W3277" s="2018"/>
      <c r="X3277" s="2018"/>
      <c r="Y3277" s="2018"/>
      <c r="Z3277" s="2021" t="s">
        <v>2450</v>
      </c>
      <c r="AA3277" s="2021"/>
      <c r="AB3277" s="1050">
        <v>0</v>
      </c>
      <c r="AC3277" s="1050">
        <v>0</v>
      </c>
      <c r="AD3277" s="1050">
        <v>0</v>
      </c>
      <c r="AE3277" s="1050">
        <v>1</v>
      </c>
      <c r="AF3277" s="1052">
        <f t="shared" si="51"/>
        <v>0</v>
      </c>
    </row>
    <row r="3278" spans="1:32" ht="15.75" x14ac:dyDescent="0.25">
      <c r="A3278" s="2017"/>
      <c r="B3278" s="2018"/>
      <c r="C3278" s="2018"/>
      <c r="D3278" s="2018"/>
      <c r="E3278" s="2018"/>
      <c r="F3278" s="2018"/>
      <c r="G3278" s="2018"/>
      <c r="H3278" s="2018"/>
      <c r="I3278" s="2018"/>
      <c r="J3278" s="2018"/>
      <c r="K3278" s="2018"/>
      <c r="L3278" s="2018"/>
      <c r="M3278" s="2018"/>
      <c r="N3278" s="2018"/>
      <c r="O3278" s="2018"/>
      <c r="P3278" s="2018"/>
      <c r="Q3278" s="2018"/>
      <c r="R3278" s="2018"/>
      <c r="S3278" s="2018"/>
      <c r="T3278" s="2018"/>
      <c r="U3278" s="2018"/>
      <c r="V3278" s="2018"/>
      <c r="W3278" s="2018"/>
      <c r="X3278" s="2018"/>
      <c r="Y3278" s="2018"/>
      <c r="Z3278" s="2021"/>
      <c r="AA3278" s="2021"/>
      <c r="AB3278" s="1050"/>
      <c r="AC3278" s="1050"/>
      <c r="AD3278" s="1050"/>
      <c r="AE3278" s="1050"/>
      <c r="AF3278" s="1052"/>
    </row>
    <row r="3279" spans="1:32" ht="15.75" x14ac:dyDescent="0.25">
      <c r="A3279" s="2017"/>
      <c r="B3279" s="2018"/>
      <c r="C3279" s="2018"/>
      <c r="D3279" s="2018"/>
      <c r="E3279" s="2018"/>
      <c r="F3279" s="2018"/>
      <c r="G3279" s="2018"/>
      <c r="H3279" s="2018"/>
      <c r="I3279" s="2018"/>
      <c r="J3279" s="2018"/>
      <c r="K3279" s="2018"/>
      <c r="L3279" s="2018"/>
      <c r="M3279" s="2018"/>
      <c r="N3279" s="2018"/>
      <c r="O3279" s="2018"/>
      <c r="P3279" s="2018"/>
      <c r="Q3279" s="2018"/>
      <c r="R3279" s="2018"/>
      <c r="S3279" s="2018"/>
      <c r="T3279" s="2018"/>
      <c r="U3279" s="2018"/>
      <c r="V3279" s="2018"/>
      <c r="W3279" s="2018"/>
      <c r="X3279" s="2018"/>
      <c r="Y3279" s="2018"/>
      <c r="Z3279" s="2021"/>
      <c r="AA3279" s="2021"/>
      <c r="AB3279" s="1050"/>
      <c r="AC3279" s="1050"/>
      <c r="AD3279" s="1050"/>
      <c r="AE3279" s="1050"/>
      <c r="AF3279" s="1052"/>
    </row>
    <row r="3280" spans="1:32" ht="15.75" x14ac:dyDescent="0.25">
      <c r="A3280" s="2017"/>
      <c r="B3280" s="2018"/>
      <c r="C3280" s="2018"/>
      <c r="D3280" s="2018"/>
      <c r="E3280" s="2018"/>
      <c r="F3280" s="2018"/>
      <c r="G3280" s="2018"/>
      <c r="H3280" s="2018"/>
      <c r="I3280" s="2018"/>
      <c r="J3280" s="2018"/>
      <c r="K3280" s="2018"/>
      <c r="L3280" s="2018"/>
      <c r="M3280" s="2018"/>
      <c r="N3280" s="2018"/>
      <c r="O3280" s="2018"/>
      <c r="P3280" s="2018"/>
      <c r="Q3280" s="2018"/>
      <c r="R3280" s="2018"/>
      <c r="S3280" s="2018"/>
      <c r="T3280" s="2018"/>
      <c r="U3280" s="2018"/>
      <c r="V3280" s="2018"/>
      <c r="W3280" s="2018"/>
      <c r="X3280" s="2018"/>
      <c r="Y3280" s="2018"/>
      <c r="Z3280" s="2021"/>
      <c r="AA3280" s="2021"/>
      <c r="AB3280" s="1050"/>
      <c r="AC3280" s="1050"/>
      <c r="AD3280" s="1050"/>
      <c r="AE3280" s="1050"/>
      <c r="AF3280" s="1052"/>
    </row>
    <row r="3281" spans="1:32" ht="15.75" x14ac:dyDescent="0.25">
      <c r="A3281" s="2017"/>
      <c r="B3281" s="2018"/>
      <c r="C3281" s="2018"/>
      <c r="D3281" s="2018"/>
      <c r="E3281" s="2018"/>
      <c r="F3281" s="2018"/>
      <c r="G3281" s="2018"/>
      <c r="H3281" s="2018"/>
      <c r="I3281" s="2018"/>
      <c r="J3281" s="2018"/>
      <c r="K3281" s="2018"/>
      <c r="L3281" s="2018"/>
      <c r="M3281" s="2018"/>
      <c r="N3281" s="2018"/>
      <c r="O3281" s="2018"/>
      <c r="P3281" s="2018"/>
      <c r="Q3281" s="2018"/>
      <c r="R3281" s="2018"/>
      <c r="S3281" s="2018"/>
      <c r="T3281" s="2018"/>
      <c r="U3281" s="2018"/>
      <c r="V3281" s="2018"/>
      <c r="W3281" s="2018"/>
      <c r="X3281" s="2018"/>
      <c r="Y3281" s="2018"/>
      <c r="Z3281" s="2021"/>
      <c r="AA3281" s="2021"/>
      <c r="AB3281" s="1050"/>
      <c r="AC3281" s="1050"/>
      <c r="AD3281" s="1050"/>
      <c r="AE3281" s="1050"/>
      <c r="AF3281" s="1052"/>
    </row>
    <row r="3282" spans="1:32" ht="15.75" x14ac:dyDescent="0.25">
      <c r="A3282" s="2017"/>
      <c r="B3282" s="2018"/>
      <c r="C3282" s="2018"/>
      <c r="D3282" s="2018"/>
      <c r="E3282" s="2018"/>
      <c r="F3282" s="2018"/>
      <c r="G3282" s="2018"/>
      <c r="H3282" s="2018"/>
      <c r="I3282" s="2018"/>
      <c r="J3282" s="2018"/>
      <c r="K3282" s="2018"/>
      <c r="L3282" s="2018"/>
      <c r="M3282" s="2018"/>
      <c r="N3282" s="2018"/>
      <c r="O3282" s="2018"/>
      <c r="P3282" s="2018"/>
      <c r="Q3282" s="2018"/>
      <c r="R3282" s="2018"/>
      <c r="S3282" s="2018"/>
      <c r="T3282" s="2018"/>
      <c r="U3282" s="2018"/>
      <c r="V3282" s="2018"/>
      <c r="W3282" s="2018"/>
      <c r="X3282" s="2018"/>
      <c r="Y3282" s="2018"/>
      <c r="Z3282" s="2021"/>
      <c r="AA3282" s="2021"/>
      <c r="AB3282" s="1050"/>
      <c r="AC3282" s="1050"/>
      <c r="AD3282" s="1050"/>
      <c r="AE3282" s="1050"/>
      <c r="AF3282" s="1052"/>
    </row>
    <row r="3283" spans="1:32" ht="15.75" x14ac:dyDescent="0.25">
      <c r="A3283" s="2017"/>
      <c r="B3283" s="2018"/>
      <c r="C3283" s="2018"/>
      <c r="D3283" s="2018"/>
      <c r="E3283" s="2018"/>
      <c r="F3283" s="2018"/>
      <c r="G3283" s="2018"/>
      <c r="H3283" s="2018"/>
      <c r="I3283" s="2018"/>
      <c r="J3283" s="2018"/>
      <c r="K3283" s="2018"/>
      <c r="L3283" s="2018"/>
      <c r="M3283" s="2018"/>
      <c r="N3283" s="2018"/>
      <c r="O3283" s="2018"/>
      <c r="P3283" s="2018"/>
      <c r="Q3283" s="2018"/>
      <c r="R3283" s="2018"/>
      <c r="S3283" s="2018"/>
      <c r="T3283" s="2018"/>
      <c r="U3283" s="2018"/>
      <c r="V3283" s="2018"/>
      <c r="W3283" s="2018"/>
      <c r="X3283" s="2018"/>
      <c r="Y3283" s="2018"/>
      <c r="Z3283" s="2021"/>
      <c r="AA3283" s="2021"/>
      <c r="AB3283" s="1050"/>
      <c r="AC3283" s="1050"/>
      <c r="AD3283" s="1050"/>
      <c r="AE3283" s="1050"/>
      <c r="AF3283" s="1052"/>
    </row>
    <row r="3284" spans="1:32" ht="15.75" x14ac:dyDescent="0.25">
      <c r="A3284" s="2017"/>
      <c r="B3284" s="2018"/>
      <c r="C3284" s="2018"/>
      <c r="D3284" s="2018"/>
      <c r="E3284" s="2018"/>
      <c r="F3284" s="2018"/>
      <c r="G3284" s="2018"/>
      <c r="H3284" s="2018"/>
      <c r="I3284" s="2018"/>
      <c r="J3284" s="2018"/>
      <c r="K3284" s="2018"/>
      <c r="L3284" s="2018"/>
      <c r="M3284" s="2018"/>
      <c r="N3284" s="2018"/>
      <c r="O3284" s="2018"/>
      <c r="P3284" s="2018"/>
      <c r="Q3284" s="2018"/>
      <c r="R3284" s="2018"/>
      <c r="S3284" s="2018"/>
      <c r="T3284" s="2018"/>
      <c r="U3284" s="2018"/>
      <c r="V3284" s="2018"/>
      <c r="W3284" s="2018"/>
      <c r="X3284" s="2018"/>
      <c r="Y3284" s="2018"/>
      <c r="Z3284" s="2021"/>
      <c r="AA3284" s="2021"/>
      <c r="AB3284" s="1050"/>
      <c r="AC3284" s="1050"/>
      <c r="AD3284" s="1050"/>
      <c r="AE3284" s="1050"/>
      <c r="AF3284" s="1052"/>
    </row>
    <row r="3285" spans="1:32" ht="15.75" x14ac:dyDescent="0.25">
      <c r="A3285" s="2017"/>
      <c r="B3285" s="2018"/>
      <c r="C3285" s="2018"/>
      <c r="D3285" s="2018"/>
      <c r="E3285" s="2018"/>
      <c r="F3285" s="2018"/>
      <c r="G3285" s="2018"/>
      <c r="H3285" s="2018"/>
      <c r="I3285" s="2018"/>
      <c r="J3285" s="2018"/>
      <c r="K3285" s="2018"/>
      <c r="L3285" s="2018"/>
      <c r="M3285" s="2018"/>
      <c r="N3285" s="2018"/>
      <c r="O3285" s="2018"/>
      <c r="P3285" s="2018"/>
      <c r="Q3285" s="2018"/>
      <c r="R3285" s="2018"/>
      <c r="S3285" s="2018"/>
      <c r="T3285" s="2018"/>
      <c r="U3285" s="2018"/>
      <c r="V3285" s="2018"/>
      <c r="W3285" s="2018"/>
      <c r="X3285" s="2018"/>
      <c r="Y3285" s="2018"/>
      <c r="Z3285" s="2021"/>
      <c r="AA3285" s="2021"/>
      <c r="AB3285" s="1050"/>
      <c r="AC3285" s="1050"/>
      <c r="AD3285" s="1050"/>
      <c r="AE3285" s="1050"/>
      <c r="AF3285" s="1052"/>
    </row>
    <row r="3286" spans="1:32" ht="15.75" x14ac:dyDescent="0.25">
      <c r="A3286" s="2017"/>
      <c r="B3286" s="2018"/>
      <c r="C3286" s="2018"/>
      <c r="D3286" s="2018"/>
      <c r="E3286" s="2018"/>
      <c r="F3286" s="2018"/>
      <c r="G3286" s="2018"/>
      <c r="H3286" s="2018"/>
      <c r="I3286" s="2018"/>
      <c r="J3286" s="2018"/>
      <c r="K3286" s="2018"/>
      <c r="L3286" s="2018"/>
      <c r="M3286" s="2018"/>
      <c r="N3286" s="2018"/>
      <c r="O3286" s="2018"/>
      <c r="P3286" s="2018"/>
      <c r="Q3286" s="2018"/>
      <c r="R3286" s="2018"/>
      <c r="S3286" s="2018"/>
      <c r="T3286" s="2018"/>
      <c r="U3286" s="2018"/>
      <c r="V3286" s="2018"/>
      <c r="W3286" s="2018"/>
      <c r="X3286" s="2018"/>
      <c r="Y3286" s="2018"/>
      <c r="Z3286" s="2021"/>
      <c r="AA3286" s="2021"/>
      <c r="AB3286" s="1050"/>
      <c r="AC3286" s="1050"/>
      <c r="AD3286" s="1050"/>
      <c r="AE3286" s="1050"/>
      <c r="AF3286" s="1052"/>
    </row>
    <row r="3287" spans="1:32" ht="15.75" x14ac:dyDescent="0.25">
      <c r="A3287" s="2017"/>
      <c r="B3287" s="2018"/>
      <c r="C3287" s="2018"/>
      <c r="D3287" s="2018"/>
      <c r="E3287" s="2018"/>
      <c r="F3287" s="2018"/>
      <c r="G3287" s="2018"/>
      <c r="H3287" s="2018"/>
      <c r="I3287" s="2018"/>
      <c r="J3287" s="2018"/>
      <c r="K3287" s="2018"/>
      <c r="L3287" s="2018"/>
      <c r="M3287" s="2018"/>
      <c r="N3287" s="2018"/>
      <c r="O3287" s="2018"/>
      <c r="P3287" s="2018"/>
      <c r="Q3287" s="2018"/>
      <c r="R3287" s="2018"/>
      <c r="S3287" s="2018"/>
      <c r="T3287" s="2018"/>
      <c r="U3287" s="2018"/>
      <c r="V3287" s="2018"/>
      <c r="W3287" s="2018"/>
      <c r="X3287" s="2018"/>
      <c r="Y3287" s="2018"/>
      <c r="Z3287" s="2021"/>
      <c r="AA3287" s="2021"/>
      <c r="AB3287" s="1050"/>
      <c r="AC3287" s="1050"/>
      <c r="AD3287" s="1050"/>
      <c r="AE3287" s="1050"/>
      <c r="AF3287" s="1052"/>
    </row>
    <row r="3288" spans="1:32" ht="15.75" x14ac:dyDescent="0.25">
      <c r="A3288" s="2017"/>
      <c r="B3288" s="2018"/>
      <c r="C3288" s="2018"/>
      <c r="D3288" s="2018"/>
      <c r="E3288" s="2018"/>
      <c r="F3288" s="2018"/>
      <c r="G3288" s="2018"/>
      <c r="H3288" s="2018"/>
      <c r="I3288" s="2018"/>
      <c r="J3288" s="2018"/>
      <c r="K3288" s="2018"/>
      <c r="L3288" s="2018"/>
      <c r="M3288" s="2018"/>
      <c r="N3288" s="2018"/>
      <c r="O3288" s="2018"/>
      <c r="P3288" s="2018"/>
      <c r="Q3288" s="2018"/>
      <c r="R3288" s="2018"/>
      <c r="S3288" s="2018"/>
      <c r="T3288" s="2018"/>
      <c r="U3288" s="2018"/>
      <c r="V3288" s="2018"/>
      <c r="W3288" s="2018"/>
      <c r="X3288" s="2018"/>
      <c r="Y3288" s="2018"/>
      <c r="Z3288" s="2022"/>
      <c r="AA3288" s="2022"/>
      <c r="AB3288" s="1050"/>
      <c r="AC3288" s="1050"/>
      <c r="AD3288" s="1050"/>
      <c r="AE3288" s="1050"/>
      <c r="AF3288" s="1052"/>
    </row>
    <row r="3289" spans="1:32" ht="15.75" x14ac:dyDescent="0.25">
      <c r="A3289" s="2017"/>
      <c r="B3289" s="2018"/>
      <c r="C3289" s="2018"/>
      <c r="D3289" s="2018"/>
      <c r="E3289" s="2018"/>
      <c r="F3289" s="2018"/>
      <c r="G3289" s="2018"/>
      <c r="H3289" s="2018"/>
      <c r="I3289" s="2018"/>
      <c r="J3289" s="2018"/>
      <c r="K3289" s="2018"/>
      <c r="L3289" s="2018"/>
      <c r="M3289" s="2018"/>
      <c r="N3289" s="2018"/>
      <c r="O3289" s="2018"/>
      <c r="P3289" s="2018"/>
      <c r="Q3289" s="2018"/>
      <c r="R3289" s="2018"/>
      <c r="S3289" s="2018"/>
      <c r="T3289" s="2018"/>
      <c r="U3289" s="2018"/>
      <c r="V3289" s="2018"/>
      <c r="W3289" s="2018"/>
      <c r="X3289" s="2018"/>
      <c r="Y3289" s="2018"/>
      <c r="Z3289" s="2022"/>
      <c r="AA3289" s="2022"/>
      <c r="AB3289" s="1050"/>
      <c r="AC3289" s="1050"/>
      <c r="AD3289" s="1050"/>
      <c r="AE3289" s="1050"/>
      <c r="AF3289" s="1052"/>
    </row>
    <row r="3290" spans="1:32" ht="15.75" x14ac:dyDescent="0.25">
      <c r="A3290" s="2017"/>
      <c r="B3290" s="2018"/>
      <c r="C3290" s="2018"/>
      <c r="D3290" s="2018"/>
      <c r="E3290" s="2018"/>
      <c r="F3290" s="2018"/>
      <c r="G3290" s="2018"/>
      <c r="H3290" s="2018"/>
      <c r="I3290" s="2018"/>
      <c r="J3290" s="2018"/>
      <c r="K3290" s="2018"/>
      <c r="L3290" s="2018"/>
      <c r="M3290" s="2018"/>
      <c r="N3290" s="2018"/>
      <c r="O3290" s="2018"/>
      <c r="P3290" s="2018"/>
      <c r="Q3290" s="2018"/>
      <c r="R3290" s="2018"/>
      <c r="S3290" s="2018"/>
      <c r="T3290" s="2018"/>
      <c r="U3290" s="2018"/>
      <c r="V3290" s="2018"/>
      <c r="W3290" s="2018"/>
      <c r="X3290" s="2018"/>
      <c r="Y3290" s="2018"/>
      <c r="Z3290" s="2022"/>
      <c r="AA3290" s="2022"/>
      <c r="AB3290" s="1050"/>
      <c r="AC3290" s="1050"/>
      <c r="AD3290" s="1050"/>
      <c r="AE3290" s="1050"/>
      <c r="AF3290" s="1052"/>
    </row>
    <row r="3291" spans="1:32" ht="15.75" x14ac:dyDescent="0.25">
      <c r="A3291" s="2017"/>
      <c r="B3291" s="2018"/>
      <c r="C3291" s="2018"/>
      <c r="D3291" s="2018"/>
      <c r="E3291" s="2018"/>
      <c r="F3291" s="2018"/>
      <c r="G3291" s="2018"/>
      <c r="H3291" s="2018"/>
      <c r="I3291" s="2018"/>
      <c r="J3291" s="2018"/>
      <c r="K3291" s="2018"/>
      <c r="L3291" s="2018"/>
      <c r="M3291" s="2018"/>
      <c r="N3291" s="2018"/>
      <c r="O3291" s="2018"/>
      <c r="P3291" s="2018"/>
      <c r="Q3291" s="2018"/>
      <c r="R3291" s="2018"/>
      <c r="S3291" s="2018"/>
      <c r="T3291" s="2018"/>
      <c r="U3291" s="2018"/>
      <c r="V3291" s="2018"/>
      <c r="W3291" s="2018"/>
      <c r="X3291" s="2018"/>
      <c r="Y3291" s="2018"/>
      <c r="Z3291" s="2023"/>
      <c r="AA3291" s="2023"/>
      <c r="AB3291" s="1050"/>
      <c r="AC3291" s="1050"/>
      <c r="AD3291" s="1050"/>
      <c r="AE3291" s="1050"/>
      <c r="AF3291" s="1052"/>
    </row>
    <row r="3292" spans="1:32" ht="15.75" x14ac:dyDescent="0.25">
      <c r="A3292" s="2017"/>
      <c r="B3292" s="2018"/>
      <c r="C3292" s="2018"/>
      <c r="D3292" s="2018"/>
      <c r="E3292" s="2018"/>
      <c r="F3292" s="2018"/>
      <c r="G3292" s="2018"/>
      <c r="H3292" s="2018"/>
      <c r="I3292" s="2018"/>
      <c r="J3292" s="2018"/>
      <c r="K3292" s="2018"/>
      <c r="L3292" s="2018"/>
      <c r="M3292" s="2018"/>
      <c r="N3292" s="2018"/>
      <c r="O3292" s="2018"/>
      <c r="P3292" s="2018"/>
      <c r="Q3292" s="2018"/>
      <c r="R3292" s="2018"/>
      <c r="S3292" s="2018"/>
      <c r="T3292" s="2018"/>
      <c r="U3292" s="2018"/>
      <c r="V3292" s="2018"/>
      <c r="W3292" s="2018"/>
      <c r="X3292" s="2018"/>
      <c r="Y3292" s="2018"/>
      <c r="Z3292" s="2023"/>
      <c r="AA3292" s="2023"/>
      <c r="AB3292" s="1050"/>
      <c r="AC3292" s="1050"/>
      <c r="AD3292" s="1050"/>
      <c r="AE3292" s="1050"/>
      <c r="AF3292" s="1052"/>
    </row>
    <row r="3293" spans="1:32" ht="15.75" x14ac:dyDescent="0.25">
      <c r="A3293" s="2017"/>
      <c r="B3293" s="2018"/>
      <c r="C3293" s="2018"/>
      <c r="D3293" s="2018"/>
      <c r="E3293" s="2018"/>
      <c r="F3293" s="2018"/>
      <c r="G3293" s="2018"/>
      <c r="H3293" s="2018"/>
      <c r="I3293" s="2018"/>
      <c r="J3293" s="2018"/>
      <c r="K3293" s="2018"/>
      <c r="L3293" s="2018"/>
      <c r="M3293" s="2018"/>
      <c r="N3293" s="2018"/>
      <c r="O3293" s="2018"/>
      <c r="P3293" s="2018"/>
      <c r="Q3293" s="2018"/>
      <c r="R3293" s="2018"/>
      <c r="S3293" s="2018"/>
      <c r="T3293" s="2018"/>
      <c r="U3293" s="2018"/>
      <c r="V3293" s="2018"/>
      <c r="W3293" s="2018"/>
      <c r="X3293" s="2018"/>
      <c r="Y3293" s="2018"/>
      <c r="Z3293" s="2023"/>
      <c r="AA3293" s="2023"/>
      <c r="AB3293" s="1050"/>
      <c r="AC3293" s="1050"/>
      <c r="AD3293" s="1050"/>
      <c r="AE3293" s="1050"/>
      <c r="AF3293" s="1052"/>
    </row>
    <row r="3294" spans="1:32" ht="15.75" x14ac:dyDescent="0.25">
      <c r="A3294" s="2017"/>
      <c r="B3294" s="2018"/>
      <c r="C3294" s="2018"/>
      <c r="D3294" s="2018"/>
      <c r="E3294" s="2018"/>
      <c r="F3294" s="2018"/>
      <c r="G3294" s="2018"/>
      <c r="H3294" s="2018"/>
      <c r="I3294" s="2018"/>
      <c r="J3294" s="2018"/>
      <c r="K3294" s="2018"/>
      <c r="L3294" s="2018"/>
      <c r="M3294" s="2018"/>
      <c r="N3294" s="2018"/>
      <c r="O3294" s="2018"/>
      <c r="P3294" s="2018"/>
      <c r="Q3294" s="2018"/>
      <c r="R3294" s="2018"/>
      <c r="S3294" s="2018"/>
      <c r="T3294" s="2018"/>
      <c r="U3294" s="2018"/>
      <c r="V3294" s="2018"/>
      <c r="W3294" s="2018"/>
      <c r="X3294" s="2018"/>
      <c r="Y3294" s="2018"/>
      <c r="Z3294" s="2023"/>
      <c r="AA3294" s="2023"/>
      <c r="AB3294" s="1050"/>
      <c r="AC3294" s="1050"/>
      <c r="AD3294" s="1050"/>
      <c r="AE3294" s="1050"/>
      <c r="AF3294" s="1052"/>
    </row>
    <row r="3295" spans="1:32" ht="15.75" x14ac:dyDescent="0.25">
      <c r="A3295" s="2017"/>
      <c r="B3295" s="2018"/>
      <c r="C3295" s="2018"/>
      <c r="D3295" s="2018"/>
      <c r="E3295" s="2018"/>
      <c r="F3295" s="2018"/>
      <c r="G3295" s="2018"/>
      <c r="H3295" s="2018"/>
      <c r="I3295" s="2018"/>
      <c r="J3295" s="2018"/>
      <c r="K3295" s="2018"/>
      <c r="L3295" s="2018"/>
      <c r="M3295" s="2018"/>
      <c r="N3295" s="2018"/>
      <c r="O3295" s="2018"/>
      <c r="P3295" s="2018"/>
      <c r="Q3295" s="2018"/>
      <c r="R3295" s="2018"/>
      <c r="S3295" s="2018"/>
      <c r="T3295" s="2018"/>
      <c r="U3295" s="2018"/>
      <c r="V3295" s="2018"/>
      <c r="W3295" s="2018"/>
      <c r="X3295" s="2018"/>
      <c r="Y3295" s="2018"/>
      <c r="Z3295" s="2023"/>
      <c r="AA3295" s="2023"/>
      <c r="AB3295" s="1050"/>
      <c r="AC3295" s="1050"/>
      <c r="AD3295" s="1050"/>
      <c r="AE3295" s="1050"/>
      <c r="AF3295" s="1052"/>
    </row>
    <row r="3296" spans="1:32" ht="15.75" x14ac:dyDescent="0.25">
      <c r="A3296" s="2017"/>
      <c r="B3296" s="2018"/>
      <c r="C3296" s="2018"/>
      <c r="D3296" s="2018"/>
      <c r="E3296" s="2018"/>
      <c r="F3296" s="2018"/>
      <c r="G3296" s="2018"/>
      <c r="H3296" s="2018"/>
      <c r="I3296" s="2018"/>
      <c r="J3296" s="2018"/>
      <c r="K3296" s="2018"/>
      <c r="L3296" s="2018"/>
      <c r="M3296" s="2018"/>
      <c r="N3296" s="2018"/>
      <c r="O3296" s="2018"/>
      <c r="P3296" s="2018"/>
      <c r="Q3296" s="2018"/>
      <c r="R3296" s="2018"/>
      <c r="S3296" s="2018"/>
      <c r="T3296" s="2018"/>
      <c r="U3296" s="2018"/>
      <c r="V3296" s="2018"/>
      <c r="W3296" s="2018"/>
      <c r="X3296" s="2018"/>
      <c r="Y3296" s="2018"/>
      <c r="Z3296" s="2023"/>
      <c r="AA3296" s="2023"/>
      <c r="AB3296" s="1050"/>
      <c r="AC3296" s="1050"/>
      <c r="AD3296" s="1050"/>
      <c r="AE3296" s="1050"/>
      <c r="AF3296" s="1052"/>
    </row>
    <row r="3297" spans="1:32" ht="16.5" thickBot="1" x14ac:dyDescent="0.3">
      <c r="A3297" s="2019"/>
      <c r="B3297" s="2020"/>
      <c r="C3297" s="2020"/>
      <c r="D3297" s="2020"/>
      <c r="E3297" s="2020"/>
      <c r="F3297" s="2020"/>
      <c r="G3297" s="2020"/>
      <c r="H3297" s="2020"/>
      <c r="I3297" s="2020"/>
      <c r="J3297" s="2020"/>
      <c r="K3297" s="2020"/>
      <c r="L3297" s="2020"/>
      <c r="M3297" s="2020"/>
      <c r="N3297" s="2020"/>
      <c r="O3297" s="2020"/>
      <c r="P3297" s="2020"/>
      <c r="Q3297" s="2020"/>
      <c r="R3297" s="2020"/>
      <c r="S3297" s="2020"/>
      <c r="T3297" s="2020"/>
      <c r="U3297" s="2020"/>
      <c r="V3297" s="2020"/>
      <c r="W3297" s="2020"/>
      <c r="X3297" s="2020"/>
      <c r="Y3297" s="2020"/>
      <c r="Z3297" s="2024"/>
      <c r="AA3297" s="2024"/>
      <c r="AB3297" s="1057"/>
      <c r="AC3297" s="1057"/>
      <c r="AD3297" s="1057"/>
      <c r="AE3297" s="1057"/>
      <c r="AF3297" s="1058"/>
    </row>
    <row r="3298" spans="1:32" ht="15.75" x14ac:dyDescent="0.25">
      <c r="A3298" s="2009" t="s">
        <v>2468</v>
      </c>
      <c r="B3298" s="2010"/>
      <c r="C3298" s="2010"/>
      <c r="D3298" s="2010"/>
      <c r="E3298" s="2010"/>
      <c r="F3298" s="2010"/>
      <c r="G3298" s="2010"/>
      <c r="H3298" s="2010"/>
      <c r="I3298" s="2010"/>
      <c r="J3298" s="2010"/>
      <c r="K3298" s="2010"/>
      <c r="L3298" s="2010"/>
      <c r="M3298" s="2010"/>
      <c r="N3298" s="2010"/>
      <c r="O3298" s="2010"/>
      <c r="P3298" s="2010"/>
      <c r="Q3298" s="2010"/>
      <c r="R3298" s="2010"/>
      <c r="S3298" s="2010"/>
      <c r="T3298" s="2010"/>
      <c r="U3298" s="2010"/>
      <c r="V3298" s="2010"/>
      <c r="W3298" s="2010"/>
      <c r="X3298" s="2010"/>
      <c r="Y3298" s="2010"/>
      <c r="Z3298" s="2013" t="s">
        <v>1850</v>
      </c>
      <c r="AA3298" s="2013"/>
      <c r="AB3298" s="2013"/>
      <c r="AC3298" s="2013"/>
      <c r="AD3298" s="2013"/>
      <c r="AE3298" s="2013"/>
      <c r="AF3298" s="1059">
        <f>SUM(AF3274:AF3297)</f>
        <v>1.31</v>
      </c>
    </row>
    <row r="3299" spans="1:32" ht="15.75" x14ac:dyDescent="0.25">
      <c r="A3299" s="2011"/>
      <c r="B3299" s="2012"/>
      <c r="C3299" s="2012"/>
      <c r="D3299" s="2012"/>
      <c r="E3299" s="2012"/>
      <c r="F3299" s="2012"/>
      <c r="G3299" s="2012"/>
      <c r="H3299" s="2012"/>
      <c r="I3299" s="2012"/>
      <c r="J3299" s="2012"/>
      <c r="K3299" s="2012"/>
      <c r="L3299" s="2012"/>
      <c r="M3299" s="2012"/>
      <c r="N3299" s="2012"/>
      <c r="O3299" s="2012"/>
      <c r="P3299" s="2012"/>
      <c r="Q3299" s="2012"/>
      <c r="R3299" s="2012"/>
      <c r="S3299" s="2012"/>
      <c r="T3299" s="2012"/>
      <c r="U3299" s="2012"/>
      <c r="V3299" s="2012"/>
      <c r="W3299" s="2012"/>
      <c r="X3299" s="2012"/>
      <c r="Y3299" s="2012"/>
      <c r="Z3299" s="2014" t="s">
        <v>1851</v>
      </c>
      <c r="AA3299" s="2014"/>
      <c r="AB3299" s="2014"/>
      <c r="AC3299" s="2014"/>
      <c r="AD3299" s="2014"/>
      <c r="AE3299" s="2014"/>
      <c r="AF3299" s="1060">
        <v>0</v>
      </c>
    </row>
    <row r="3300" spans="1:32" ht="15.75" x14ac:dyDescent="0.25">
      <c r="A3300" s="2011"/>
      <c r="B3300" s="2012"/>
      <c r="C3300" s="2012"/>
      <c r="D3300" s="2012"/>
      <c r="E3300" s="2012"/>
      <c r="F3300" s="2012"/>
      <c r="G3300" s="2012"/>
      <c r="H3300" s="2012"/>
      <c r="I3300" s="2012"/>
      <c r="J3300" s="2012"/>
      <c r="K3300" s="2012"/>
      <c r="L3300" s="2012"/>
      <c r="M3300" s="2012"/>
      <c r="N3300" s="2012"/>
      <c r="O3300" s="2012"/>
      <c r="P3300" s="2012"/>
      <c r="Q3300" s="2012"/>
      <c r="R3300" s="2012"/>
      <c r="S3300" s="2012"/>
      <c r="T3300" s="2012"/>
      <c r="U3300" s="2012"/>
      <c r="V3300" s="2012"/>
      <c r="W3300" s="2012"/>
      <c r="X3300" s="2012"/>
      <c r="Y3300" s="2012"/>
      <c r="Z3300" s="2015" t="s">
        <v>1833</v>
      </c>
      <c r="AA3300" s="2015"/>
      <c r="AB3300" s="2015"/>
      <c r="AC3300" s="2015"/>
      <c r="AD3300" s="2015"/>
      <c r="AE3300" s="2015"/>
      <c r="AF3300" s="1061">
        <f>SUM(AF3298:AF3299)</f>
        <v>1.31</v>
      </c>
    </row>
    <row r="3301" spans="1:32" x14ac:dyDescent="0.2">
      <c r="A3301" s="2012" t="s">
        <v>1859</v>
      </c>
      <c r="B3301" s="2012"/>
      <c r="C3301" s="2012"/>
      <c r="D3301" s="2012"/>
      <c r="E3301" s="2012"/>
      <c r="F3301" s="2012"/>
      <c r="G3301" s="2012"/>
      <c r="H3301" s="2012"/>
      <c r="I3301" s="2012"/>
      <c r="J3301" s="2012"/>
      <c r="K3301" s="2012"/>
      <c r="L3301" s="2012"/>
      <c r="M3301" s="2012"/>
      <c r="N3301" s="2012"/>
      <c r="O3301" s="2012"/>
      <c r="P3301" s="2012"/>
      <c r="Q3301" s="2012"/>
      <c r="R3301" s="2012"/>
      <c r="S3301" s="2012"/>
      <c r="T3301" s="2016" t="s">
        <v>1840</v>
      </c>
      <c r="U3301" s="2016"/>
      <c r="V3301" s="2016"/>
      <c r="W3301" s="2016"/>
      <c r="X3301" s="2016"/>
      <c r="Y3301" s="2016"/>
      <c r="Z3301" s="2016"/>
      <c r="AA3301" s="2016"/>
      <c r="AB3301" s="2012" t="s">
        <v>1852</v>
      </c>
      <c r="AC3301" s="2012"/>
      <c r="AD3301" s="2012"/>
      <c r="AE3301" s="2012"/>
      <c r="AF3301" s="2012"/>
    </row>
    <row r="3302" spans="1:32" x14ac:dyDescent="0.2">
      <c r="A3302" s="2012"/>
      <c r="B3302" s="2012"/>
      <c r="C3302" s="2012"/>
      <c r="D3302" s="2012"/>
      <c r="E3302" s="2012"/>
      <c r="F3302" s="2012"/>
      <c r="G3302" s="2012"/>
      <c r="H3302" s="2012"/>
      <c r="I3302" s="2012"/>
      <c r="J3302" s="2012"/>
      <c r="K3302" s="2012"/>
      <c r="L3302" s="2012"/>
      <c r="M3302" s="2012"/>
      <c r="N3302" s="2012"/>
      <c r="O3302" s="2012"/>
      <c r="P3302" s="2012"/>
      <c r="Q3302" s="2012"/>
      <c r="R3302" s="2012"/>
      <c r="S3302" s="2012"/>
      <c r="T3302" s="2016"/>
      <c r="U3302" s="2016"/>
      <c r="V3302" s="2016"/>
      <c r="W3302" s="2016"/>
      <c r="X3302" s="2016"/>
      <c r="Y3302" s="2016"/>
      <c r="Z3302" s="2016"/>
      <c r="AA3302" s="2016"/>
      <c r="AB3302" s="2012"/>
      <c r="AC3302" s="2012"/>
      <c r="AD3302" s="2012"/>
      <c r="AE3302" s="2012"/>
      <c r="AF3302" s="2012"/>
    </row>
    <row r="3303" spans="1:32" ht="13.5" thickBot="1" x14ac:dyDescent="0.25"/>
    <row r="3304" spans="1:32" ht="26.45" customHeight="1" x14ac:dyDescent="0.2">
      <c r="A3304" s="2025" t="s">
        <v>1854</v>
      </c>
      <c r="B3304" s="2026"/>
      <c r="C3304" s="2026"/>
      <c r="D3304" s="2026"/>
      <c r="E3304" s="2026"/>
      <c r="F3304" s="2026"/>
      <c r="G3304" s="2026"/>
      <c r="H3304" s="2026"/>
      <c r="I3304" s="2026"/>
      <c r="J3304" s="2026"/>
      <c r="K3304" s="2026"/>
      <c r="L3304" s="2026"/>
      <c r="M3304" s="2026"/>
      <c r="N3304" s="2026"/>
      <c r="O3304" s="2026"/>
      <c r="P3304" s="2026"/>
      <c r="Q3304" s="2026"/>
      <c r="R3304" s="2026"/>
      <c r="S3304" s="2026"/>
      <c r="T3304" s="2026"/>
      <c r="U3304" s="2026"/>
      <c r="V3304" s="2026"/>
      <c r="W3304" s="2026"/>
      <c r="X3304" s="2026"/>
      <c r="Y3304" s="2026"/>
      <c r="Z3304" s="2026"/>
      <c r="AA3304" s="2026"/>
      <c r="AB3304" s="2026"/>
      <c r="AC3304" s="2026"/>
      <c r="AD3304" s="2026"/>
      <c r="AE3304" s="1041" t="s">
        <v>1834</v>
      </c>
      <c r="AF3304" s="1042" t="s">
        <v>1835</v>
      </c>
    </row>
    <row r="3305" spans="1:32" ht="21" customHeight="1" thickBot="1" x14ac:dyDescent="0.25">
      <c r="A3305" s="2027"/>
      <c r="B3305" s="2028"/>
      <c r="C3305" s="2028"/>
      <c r="D3305" s="2028"/>
      <c r="E3305" s="2028"/>
      <c r="F3305" s="2028"/>
      <c r="G3305" s="2028"/>
      <c r="H3305" s="2028"/>
      <c r="I3305" s="2028"/>
      <c r="J3305" s="2028"/>
      <c r="K3305" s="2028"/>
      <c r="L3305" s="2028"/>
      <c r="M3305" s="2028"/>
      <c r="N3305" s="2028"/>
      <c r="O3305" s="2028"/>
      <c r="P3305" s="2028"/>
      <c r="Q3305" s="2028"/>
      <c r="R3305" s="2028"/>
      <c r="S3305" s="2028"/>
      <c r="T3305" s="2028"/>
      <c r="U3305" s="2028"/>
      <c r="V3305" s="2028"/>
      <c r="W3305" s="2028"/>
      <c r="X3305" s="2028"/>
      <c r="Y3305" s="2028"/>
      <c r="Z3305" s="2028"/>
      <c r="AA3305" s="2028"/>
      <c r="AB3305" s="2028"/>
      <c r="AC3305" s="2028"/>
      <c r="AD3305" s="2028"/>
      <c r="AE3305" s="1041" t="s">
        <v>1836</v>
      </c>
      <c r="AF3305" s="1044">
        <v>1</v>
      </c>
    </row>
    <row r="3306" spans="1:32" ht="15.75" x14ac:dyDescent="0.2">
      <c r="A3306" s="2029"/>
      <c r="B3306" s="2030"/>
      <c r="C3306" s="2030"/>
      <c r="D3306" s="2031"/>
      <c r="E3306" s="2025" t="str">
        <f>'01'!$A$12</f>
        <v>"CONSTRUCCION SISTEMA DE ACUEDUCTO FASE II DEL MUNICIPIO DE TESALIA DPTO DEL HUILA"</v>
      </c>
      <c r="F3306" s="2026"/>
      <c r="G3306" s="2026"/>
      <c r="H3306" s="2026"/>
      <c r="I3306" s="2026"/>
      <c r="J3306" s="2026"/>
      <c r="K3306" s="2026"/>
      <c r="L3306" s="2026"/>
      <c r="M3306" s="2026"/>
      <c r="N3306" s="2026"/>
      <c r="O3306" s="2026"/>
      <c r="P3306" s="2026"/>
      <c r="Q3306" s="2026"/>
      <c r="R3306" s="2026"/>
      <c r="S3306" s="2026"/>
      <c r="T3306" s="2026"/>
      <c r="U3306" s="2026"/>
      <c r="V3306" s="2026"/>
      <c r="W3306" s="2026"/>
      <c r="X3306" s="2026"/>
      <c r="Y3306" s="2026"/>
      <c r="Z3306" s="2026"/>
      <c r="AA3306" s="2026"/>
      <c r="AB3306" s="2026"/>
      <c r="AC3306" s="2026"/>
      <c r="AD3306" s="2035"/>
      <c r="AE3306" s="1041" t="s">
        <v>847</v>
      </c>
      <c r="AF3306" s="1045">
        <f>'01'!$M$13</f>
        <v>0</v>
      </c>
    </row>
    <row r="3307" spans="1:32" ht="16.5" thickBot="1" x14ac:dyDescent="0.25">
      <c r="A3307" s="2032"/>
      <c r="B3307" s="2033"/>
      <c r="C3307" s="2033"/>
      <c r="D3307" s="2034"/>
      <c r="E3307" s="2027"/>
      <c r="F3307" s="2028"/>
      <c r="G3307" s="2028"/>
      <c r="H3307" s="2028"/>
      <c r="I3307" s="2028"/>
      <c r="J3307" s="2028"/>
      <c r="K3307" s="2028"/>
      <c r="L3307" s="2028"/>
      <c r="M3307" s="2028"/>
      <c r="N3307" s="2028"/>
      <c r="O3307" s="2028"/>
      <c r="P3307" s="2028"/>
      <c r="Q3307" s="2028"/>
      <c r="R3307" s="2028"/>
      <c r="S3307" s="2028"/>
      <c r="T3307" s="2028"/>
      <c r="U3307" s="2028"/>
      <c r="V3307" s="2028"/>
      <c r="W3307" s="2028"/>
      <c r="X3307" s="2028"/>
      <c r="Y3307" s="2028"/>
      <c r="Z3307" s="2028"/>
      <c r="AA3307" s="2028"/>
      <c r="AB3307" s="2028"/>
      <c r="AC3307" s="2028"/>
      <c r="AD3307" s="2036"/>
      <c r="AE3307" s="1041" t="s">
        <v>1837</v>
      </c>
      <c r="AF3307" s="1042" t="s">
        <v>1838</v>
      </c>
    </row>
    <row r="3308" spans="1:32" ht="15.75" x14ac:dyDescent="0.25">
      <c r="A3308" s="2037" t="s">
        <v>1860</v>
      </c>
      <c r="B3308" s="2038"/>
      <c r="C3308" s="2038"/>
      <c r="D3308" s="2038"/>
      <c r="E3308" s="2038"/>
      <c r="F3308" s="2038"/>
      <c r="G3308" s="2038"/>
      <c r="H3308" s="2038"/>
      <c r="I3308" s="2038"/>
      <c r="J3308" s="2038"/>
      <c r="K3308" s="2038"/>
      <c r="L3308" s="2038"/>
      <c r="M3308" s="2038"/>
      <c r="N3308" s="2038"/>
      <c r="O3308" s="2038"/>
      <c r="P3308" s="2038"/>
      <c r="Q3308" s="2038"/>
      <c r="R3308" s="2038"/>
      <c r="S3308" s="2038"/>
      <c r="T3308" s="2038"/>
      <c r="U3308" s="2038"/>
      <c r="V3308" s="2038"/>
      <c r="W3308" s="2038"/>
      <c r="X3308" s="2038"/>
      <c r="Y3308" s="2038"/>
      <c r="Z3308" s="2038"/>
      <c r="AA3308" s="2038"/>
      <c r="AB3308" s="2038"/>
      <c r="AC3308" s="2038"/>
      <c r="AD3308" s="2038"/>
      <c r="AE3308" s="2039" t="s">
        <v>1839</v>
      </c>
      <c r="AF3308" s="2040"/>
    </row>
    <row r="3309" spans="1:32" ht="15.75" x14ac:dyDescent="0.25">
      <c r="A3309" s="2041" t="s">
        <v>1840</v>
      </c>
      <c r="B3309" s="2042"/>
      <c r="C3309" s="2042"/>
      <c r="D3309" s="2042"/>
      <c r="E3309" s="2042"/>
      <c r="F3309" s="2042"/>
      <c r="G3309" s="2042"/>
      <c r="H3309" s="2042"/>
      <c r="I3309" s="2042"/>
      <c r="J3309" s="2042"/>
      <c r="K3309" s="2042"/>
      <c r="L3309" s="2042"/>
      <c r="M3309" s="2042"/>
      <c r="N3309" s="2042"/>
      <c r="O3309" s="2042"/>
      <c r="P3309" s="2042"/>
      <c r="Q3309" s="2042"/>
      <c r="R3309" s="2042"/>
      <c r="S3309" s="2042"/>
      <c r="T3309" s="2042"/>
      <c r="U3309" s="2042"/>
      <c r="V3309" s="2042"/>
      <c r="W3309" s="2042"/>
      <c r="X3309" s="2042"/>
      <c r="Y3309" s="2042"/>
      <c r="Z3309" s="2042"/>
      <c r="AA3309" s="2042"/>
      <c r="AB3309" s="2042"/>
      <c r="AC3309" s="2042"/>
      <c r="AD3309" s="2043"/>
      <c r="AE3309" s="2014" t="s">
        <v>1841</v>
      </c>
      <c r="AF3309" s="2044"/>
    </row>
    <row r="3310" spans="1:32" ht="15.75" x14ac:dyDescent="0.25">
      <c r="A3310" s="2045" t="s">
        <v>1853</v>
      </c>
      <c r="B3310" s="2046"/>
      <c r="C3310" s="2046"/>
      <c r="D3310" s="2046"/>
      <c r="E3310" s="2046"/>
      <c r="F3310" s="2046"/>
      <c r="G3310" s="2046"/>
      <c r="H3310" s="2046"/>
      <c r="I3310" s="2046"/>
      <c r="J3310" s="2046"/>
      <c r="K3310" s="2046"/>
      <c r="L3310" s="2046"/>
      <c r="M3310" s="2046"/>
      <c r="N3310" s="2046"/>
      <c r="O3310" s="2046"/>
      <c r="P3310" s="2046"/>
      <c r="Q3310" s="2046"/>
      <c r="R3310" s="2046"/>
      <c r="S3310" s="2046"/>
      <c r="T3310" s="2046"/>
      <c r="U3310" s="2046"/>
      <c r="V3310" s="2046"/>
      <c r="W3310" s="2046"/>
      <c r="X3310" s="2046"/>
      <c r="Y3310" s="2046"/>
      <c r="Z3310" s="2046"/>
      <c r="AA3310" s="2046"/>
      <c r="AB3310" s="2046"/>
      <c r="AC3310" s="2046"/>
      <c r="AD3310" s="2046"/>
      <c r="AE3310" s="2047">
        <f>'01'!$M$13</f>
        <v>0</v>
      </c>
      <c r="AF3310" s="2044"/>
    </row>
    <row r="3311" spans="1:32" x14ac:dyDescent="0.2">
      <c r="A3311" s="1046"/>
      <c r="B3311" s="1047"/>
      <c r="C3311" s="1047"/>
      <c r="D3311" s="1047"/>
      <c r="E3311" s="1047"/>
      <c r="F3311" s="1047"/>
      <c r="G3311" s="1047"/>
      <c r="H3311" s="1047"/>
      <c r="I3311" s="1047"/>
      <c r="J3311" s="1047"/>
      <c r="K3311" s="1047"/>
      <c r="L3311" s="1047"/>
      <c r="M3311" s="1047"/>
      <c r="N3311" s="1047"/>
      <c r="O3311" s="1047"/>
      <c r="P3311" s="1047"/>
      <c r="Q3311" s="1047"/>
      <c r="R3311" s="1047"/>
      <c r="S3311" s="1047"/>
      <c r="T3311" s="1047"/>
      <c r="U3311" s="1047"/>
      <c r="V3311" s="1047"/>
      <c r="W3311" s="1047"/>
      <c r="X3311" s="1047"/>
      <c r="Y3311" s="1047"/>
      <c r="Z3311" s="1047"/>
      <c r="AA3311" s="1047"/>
      <c r="AB3311" s="1047"/>
      <c r="AC3311" s="1047"/>
      <c r="AD3311" s="1047"/>
      <c r="AE3311" s="1047"/>
      <c r="AF3311" s="1048"/>
    </row>
    <row r="3312" spans="1:32" ht="30" customHeight="1" x14ac:dyDescent="0.2">
      <c r="A3312" s="2048" t="s">
        <v>1842</v>
      </c>
      <c r="B3312" s="2049"/>
      <c r="C3312" s="2049"/>
      <c r="D3312" s="2049"/>
      <c r="E3312" s="2049"/>
      <c r="F3312" s="2050" t="str">
        <f>+'01'!$H$130</f>
        <v>E - ESPESADOR GRAVIMÉTRICO</v>
      </c>
      <c r="G3312" s="2049"/>
      <c r="H3312" s="2049"/>
      <c r="I3312" s="2049"/>
      <c r="J3312" s="2049"/>
      <c r="K3312" s="2049"/>
      <c r="L3312" s="2049"/>
      <c r="M3312" s="2049"/>
      <c r="N3312" s="2049"/>
      <c r="O3312" s="2049"/>
      <c r="P3312" s="2049"/>
      <c r="Q3312" s="2049"/>
      <c r="R3312" s="2049"/>
      <c r="S3312" s="2049"/>
      <c r="T3312" s="2049"/>
      <c r="U3312" s="2049"/>
      <c r="V3312" s="2049"/>
      <c r="W3312" s="2049"/>
      <c r="X3312" s="2049"/>
      <c r="Y3312" s="2051"/>
      <c r="Z3312" s="2052" t="s">
        <v>1843</v>
      </c>
      <c r="AA3312" s="2053"/>
      <c r="AB3312" s="2058" t="s">
        <v>1844</v>
      </c>
      <c r="AC3312" s="2059"/>
      <c r="AD3312" s="2060"/>
      <c r="AE3312" s="2064" t="s">
        <v>1845</v>
      </c>
      <c r="AF3312" s="2067" t="s">
        <v>1846</v>
      </c>
    </row>
    <row r="3313" spans="1:32" ht="15" customHeight="1" x14ac:dyDescent="0.2">
      <c r="A3313" s="2070" t="str">
        <f>+'01'!A145</f>
        <v>E-05-02</v>
      </c>
      <c r="B3313" s="2071"/>
      <c r="C3313" s="2072"/>
      <c r="D3313" s="2076" t="str">
        <f>VLOOKUP(A3313,'01'!$A$12:$N$299,3,FALSE)</f>
        <v>CONCRETO DE FC=280 KG/CM2, IMPERMEABILIZADO PARA ESTRUCTURAS ENTERRADAS Y SEMIENTERRADAS.</v>
      </c>
      <c r="E3313" s="2077"/>
      <c r="F3313" s="2077"/>
      <c r="G3313" s="2077"/>
      <c r="H3313" s="2077"/>
      <c r="I3313" s="2077"/>
      <c r="J3313" s="2077"/>
      <c r="K3313" s="2077"/>
      <c r="L3313" s="2077"/>
      <c r="M3313" s="2077"/>
      <c r="N3313" s="2077"/>
      <c r="O3313" s="2077"/>
      <c r="P3313" s="2077"/>
      <c r="Q3313" s="2077"/>
      <c r="R3313" s="2077"/>
      <c r="S3313" s="2078"/>
      <c r="T3313" s="2082" t="s">
        <v>124</v>
      </c>
      <c r="U3313" s="2083"/>
      <c r="V3313" s="2083"/>
      <c r="W3313" s="2083"/>
      <c r="X3313" s="2052" t="str">
        <f>VLOOKUP(A3313,'01'!$A$12:$N$299,9,FALSE)</f>
        <v>M3</v>
      </c>
      <c r="Y3313" s="2053"/>
      <c r="Z3313" s="2054"/>
      <c r="AA3313" s="2055"/>
      <c r="AB3313" s="2061"/>
      <c r="AC3313" s="2062"/>
      <c r="AD3313" s="2063"/>
      <c r="AE3313" s="2065"/>
      <c r="AF3313" s="2068"/>
    </row>
    <row r="3314" spans="1:32" ht="15" customHeight="1" x14ac:dyDescent="0.25">
      <c r="A3314" s="2073"/>
      <c r="B3314" s="2074"/>
      <c r="C3314" s="2075"/>
      <c r="D3314" s="2079"/>
      <c r="E3314" s="2080"/>
      <c r="F3314" s="2080"/>
      <c r="G3314" s="2080"/>
      <c r="H3314" s="2080"/>
      <c r="I3314" s="2080"/>
      <c r="J3314" s="2080"/>
      <c r="K3314" s="2080"/>
      <c r="L3314" s="2080"/>
      <c r="M3314" s="2080"/>
      <c r="N3314" s="2080"/>
      <c r="O3314" s="2080"/>
      <c r="P3314" s="2080"/>
      <c r="Q3314" s="2080"/>
      <c r="R3314" s="2080"/>
      <c r="S3314" s="2081"/>
      <c r="T3314" s="2084"/>
      <c r="U3314" s="2085"/>
      <c r="V3314" s="2085"/>
      <c r="W3314" s="2085"/>
      <c r="X3314" s="2056"/>
      <c r="Y3314" s="2057"/>
      <c r="Z3314" s="2056"/>
      <c r="AA3314" s="2057"/>
      <c r="AB3314" s="1049" t="s">
        <v>1847</v>
      </c>
      <c r="AC3314" s="1049" t="s">
        <v>1848</v>
      </c>
      <c r="AD3314" s="1049" t="s">
        <v>1861</v>
      </c>
      <c r="AE3314" s="2066"/>
      <c r="AF3314" s="2069"/>
    </row>
    <row r="3315" spans="1:32" ht="15.6" customHeight="1" x14ac:dyDescent="0.25">
      <c r="A3315" s="2017"/>
      <c r="B3315" s="2018"/>
      <c r="C3315" s="2018"/>
      <c r="D3315" s="2018"/>
      <c r="E3315" s="2018"/>
      <c r="F3315" s="2018"/>
      <c r="G3315" s="2018"/>
      <c r="H3315" s="2018"/>
      <c r="I3315" s="2018"/>
      <c r="J3315" s="2018"/>
      <c r="K3315" s="2018"/>
      <c r="L3315" s="2018"/>
      <c r="M3315" s="2018"/>
      <c r="N3315" s="2018"/>
      <c r="O3315" s="2018"/>
      <c r="P3315" s="2018"/>
      <c r="Q3315" s="2018"/>
      <c r="R3315" s="2018"/>
      <c r="S3315" s="2018"/>
      <c r="T3315" s="2018"/>
      <c r="U3315" s="2018"/>
      <c r="V3315" s="2018"/>
      <c r="W3315" s="2018"/>
      <c r="X3315" s="2018"/>
      <c r="Y3315" s="2018"/>
      <c r="Z3315" s="2086" t="s">
        <v>2459</v>
      </c>
      <c r="AA3315" s="2087"/>
      <c r="AB3315" s="1050">
        <f>+AB3274</f>
        <v>4.8000000000000007</v>
      </c>
      <c r="AC3315" s="1050">
        <f>+AC3274</f>
        <v>4.8000000000000007</v>
      </c>
      <c r="AD3315" s="1050">
        <v>0.4</v>
      </c>
      <c r="AE3315" s="1050">
        <v>1</v>
      </c>
      <c r="AF3315" s="1052">
        <f>+ROUND(AB3315*AC3315*AD3315*AE3315,2)</f>
        <v>9.2200000000000006</v>
      </c>
    </row>
    <row r="3316" spans="1:32" ht="15.6" customHeight="1" x14ac:dyDescent="0.25">
      <c r="A3316" s="2017"/>
      <c r="B3316" s="2018"/>
      <c r="C3316" s="2018"/>
      <c r="D3316" s="2018"/>
      <c r="E3316" s="2018"/>
      <c r="F3316" s="2018"/>
      <c r="G3316" s="2018"/>
      <c r="H3316" s="2018"/>
      <c r="I3316" s="2018"/>
      <c r="J3316" s="2018"/>
      <c r="K3316" s="2018"/>
      <c r="L3316" s="2018"/>
      <c r="M3316" s="2018"/>
      <c r="N3316" s="2018"/>
      <c r="O3316" s="2018"/>
      <c r="P3316" s="2018"/>
      <c r="Q3316" s="2018"/>
      <c r="R3316" s="2018"/>
      <c r="S3316" s="2018"/>
      <c r="T3316" s="2018"/>
      <c r="U3316" s="2018"/>
      <c r="V3316" s="2018"/>
      <c r="W3316" s="2018"/>
      <c r="X3316" s="2018"/>
      <c r="Y3316" s="2018"/>
      <c r="Z3316" s="2090"/>
      <c r="AA3316" s="2091"/>
      <c r="AB3316" s="1050">
        <f>+AB3315-0.4</f>
        <v>4.4000000000000004</v>
      </c>
      <c r="AC3316" s="1050">
        <v>0.4</v>
      </c>
      <c r="AD3316" s="1050">
        <v>3.4</v>
      </c>
      <c r="AE3316" s="1050">
        <v>4</v>
      </c>
      <c r="AF3316" s="1052">
        <f t="shared" ref="AF3316:AF3324" si="52">+ROUND(AB3316*AC3316*AD3316*AE3316,2)</f>
        <v>23.94</v>
      </c>
    </row>
    <row r="3317" spans="1:32" ht="15.6" customHeight="1" x14ac:dyDescent="0.25">
      <c r="A3317" s="2017"/>
      <c r="B3317" s="2018"/>
      <c r="C3317" s="2018"/>
      <c r="D3317" s="2018"/>
      <c r="E3317" s="2018"/>
      <c r="F3317" s="2018"/>
      <c r="G3317" s="2018"/>
      <c r="H3317" s="2018"/>
      <c r="I3317" s="2018"/>
      <c r="J3317" s="2018"/>
      <c r="K3317" s="2018"/>
      <c r="L3317" s="2018"/>
      <c r="M3317" s="2018"/>
      <c r="N3317" s="2018"/>
      <c r="O3317" s="2018"/>
      <c r="P3317" s="2018"/>
      <c r="Q3317" s="2018"/>
      <c r="R3317" s="2018"/>
      <c r="S3317" s="2018"/>
      <c r="T3317" s="2018"/>
      <c r="U3317" s="2018"/>
      <c r="V3317" s="2018"/>
      <c r="W3317" s="2018"/>
      <c r="X3317" s="2018"/>
      <c r="Y3317" s="2018"/>
      <c r="Z3317" s="2086" t="s">
        <v>2460</v>
      </c>
      <c r="AA3317" s="2087"/>
      <c r="AB3317" s="1050">
        <f>+AB3275</f>
        <v>1.2000000000000002</v>
      </c>
      <c r="AC3317" s="1050">
        <f>+AC3275</f>
        <v>1.4</v>
      </c>
      <c r="AD3317" s="1050">
        <v>0.2</v>
      </c>
      <c r="AE3317" s="1050">
        <v>1</v>
      </c>
      <c r="AF3317" s="1052">
        <f t="shared" si="52"/>
        <v>0.34</v>
      </c>
    </row>
    <row r="3318" spans="1:32" ht="15.75" x14ac:dyDescent="0.25">
      <c r="A3318" s="2017"/>
      <c r="B3318" s="2018"/>
      <c r="C3318" s="2018"/>
      <c r="D3318" s="2018"/>
      <c r="E3318" s="2018"/>
      <c r="F3318" s="2018"/>
      <c r="G3318" s="2018"/>
      <c r="H3318" s="2018"/>
      <c r="I3318" s="2018"/>
      <c r="J3318" s="2018"/>
      <c r="K3318" s="2018"/>
      <c r="L3318" s="2018"/>
      <c r="M3318" s="2018"/>
      <c r="N3318" s="2018"/>
      <c r="O3318" s="2018"/>
      <c r="P3318" s="2018"/>
      <c r="Q3318" s="2018"/>
      <c r="R3318" s="2018"/>
      <c r="S3318" s="2018"/>
      <c r="T3318" s="2018"/>
      <c r="U3318" s="2018"/>
      <c r="V3318" s="2018"/>
      <c r="W3318" s="2018"/>
      <c r="X3318" s="2018"/>
      <c r="Y3318" s="2018"/>
      <c r="Z3318" s="2088"/>
      <c r="AA3318" s="2089"/>
      <c r="AB3318" s="1050">
        <f>+AB3317</f>
        <v>1.2000000000000002</v>
      </c>
      <c r="AC3318" s="1050">
        <v>0.2</v>
      </c>
      <c r="AD3318" s="1050">
        <v>1.1499999999999999</v>
      </c>
      <c r="AE3318" s="1050">
        <v>2</v>
      </c>
      <c r="AF3318" s="1052">
        <f t="shared" si="52"/>
        <v>0.55000000000000004</v>
      </c>
    </row>
    <row r="3319" spans="1:32" ht="15.75" x14ac:dyDescent="0.25">
      <c r="A3319" s="2017"/>
      <c r="B3319" s="2018"/>
      <c r="C3319" s="2018"/>
      <c r="D3319" s="2018"/>
      <c r="E3319" s="2018"/>
      <c r="F3319" s="2018"/>
      <c r="G3319" s="2018"/>
      <c r="H3319" s="2018"/>
      <c r="I3319" s="2018"/>
      <c r="J3319" s="2018"/>
      <c r="K3319" s="2018"/>
      <c r="L3319" s="2018"/>
      <c r="M3319" s="2018"/>
      <c r="N3319" s="2018"/>
      <c r="O3319" s="2018"/>
      <c r="P3319" s="2018"/>
      <c r="Q3319" s="2018"/>
      <c r="R3319" s="2018"/>
      <c r="S3319" s="2018"/>
      <c r="T3319" s="2018"/>
      <c r="U3319" s="2018"/>
      <c r="V3319" s="2018"/>
      <c r="W3319" s="2018"/>
      <c r="X3319" s="2018"/>
      <c r="Y3319" s="2018"/>
      <c r="Z3319" s="2088"/>
      <c r="AA3319" s="2089"/>
      <c r="AB3319" s="1050">
        <f>+AC3317-0.4</f>
        <v>0.99999999999999989</v>
      </c>
      <c r="AC3319" s="1050">
        <v>0.2</v>
      </c>
      <c r="AD3319" s="1050">
        <v>1.1499999999999999</v>
      </c>
      <c r="AE3319" s="1050">
        <v>1</v>
      </c>
      <c r="AF3319" s="1052">
        <f t="shared" si="52"/>
        <v>0.23</v>
      </c>
    </row>
    <row r="3320" spans="1:32" ht="15.75" x14ac:dyDescent="0.25">
      <c r="A3320" s="2017"/>
      <c r="B3320" s="2018"/>
      <c r="C3320" s="2018"/>
      <c r="D3320" s="2018"/>
      <c r="E3320" s="2018"/>
      <c r="F3320" s="2018"/>
      <c r="G3320" s="2018"/>
      <c r="H3320" s="2018"/>
      <c r="I3320" s="2018"/>
      <c r="J3320" s="2018"/>
      <c r="K3320" s="2018"/>
      <c r="L3320" s="2018"/>
      <c r="M3320" s="2018"/>
      <c r="N3320" s="2018"/>
      <c r="O3320" s="2018"/>
      <c r="P3320" s="2018"/>
      <c r="Q3320" s="2018"/>
      <c r="R3320" s="2018"/>
      <c r="S3320" s="2018"/>
      <c r="T3320" s="2018"/>
      <c r="U3320" s="2018"/>
      <c r="V3320" s="2018"/>
      <c r="W3320" s="2018"/>
      <c r="X3320" s="2018"/>
      <c r="Y3320" s="2018"/>
      <c r="Z3320" s="2090"/>
      <c r="AA3320" s="2091"/>
      <c r="AB3320" s="1050">
        <f>+AB3315</f>
        <v>4.8000000000000007</v>
      </c>
      <c r="AC3320" s="1050">
        <f>+AC3315</f>
        <v>4.8000000000000007</v>
      </c>
      <c r="AD3320" s="1050">
        <v>0.1</v>
      </c>
      <c r="AE3320" s="1050">
        <v>1</v>
      </c>
      <c r="AF3320" s="1052">
        <f t="shared" si="52"/>
        <v>2.2999999999999998</v>
      </c>
    </row>
    <row r="3321" spans="1:32" ht="15.6" customHeight="1" x14ac:dyDescent="0.25">
      <c r="A3321" s="2017"/>
      <c r="B3321" s="2018"/>
      <c r="C3321" s="2018"/>
      <c r="D3321" s="2018"/>
      <c r="E3321" s="2018"/>
      <c r="F3321" s="2018"/>
      <c r="G3321" s="2018"/>
      <c r="H3321" s="2018"/>
      <c r="I3321" s="2018"/>
      <c r="J3321" s="2018"/>
      <c r="K3321" s="2018"/>
      <c r="L3321" s="2018"/>
      <c r="M3321" s="2018"/>
      <c r="N3321" s="2018"/>
      <c r="O3321" s="2018"/>
      <c r="P3321" s="2018"/>
      <c r="Q3321" s="2018"/>
      <c r="R3321" s="2018"/>
      <c r="S3321" s="2018"/>
      <c r="T3321" s="2018"/>
      <c r="U3321" s="2018"/>
      <c r="V3321" s="2018"/>
      <c r="W3321" s="2018"/>
      <c r="X3321" s="2018"/>
      <c r="Y3321" s="2018"/>
      <c r="Z3321" s="2086" t="s">
        <v>2461</v>
      </c>
      <c r="AA3321" s="2087"/>
      <c r="AB3321" s="1050">
        <f>+AB3276</f>
        <v>1.2000000000000002</v>
      </c>
      <c r="AC3321" s="1050">
        <f>+AC3276</f>
        <v>1.4</v>
      </c>
      <c r="AD3321" s="1050">
        <v>0.2</v>
      </c>
      <c r="AE3321" s="1050">
        <v>1</v>
      </c>
      <c r="AF3321" s="1052">
        <f t="shared" si="52"/>
        <v>0.34</v>
      </c>
    </row>
    <row r="3322" spans="1:32" ht="15.75" x14ac:dyDescent="0.25">
      <c r="A3322" s="2017"/>
      <c r="B3322" s="2018"/>
      <c r="C3322" s="2018"/>
      <c r="D3322" s="2018"/>
      <c r="E3322" s="2018"/>
      <c r="F3322" s="2018"/>
      <c r="G3322" s="2018"/>
      <c r="H3322" s="2018"/>
      <c r="I3322" s="2018"/>
      <c r="J3322" s="2018"/>
      <c r="K3322" s="2018"/>
      <c r="L3322" s="2018"/>
      <c r="M3322" s="2018"/>
      <c r="N3322" s="2018"/>
      <c r="O3322" s="2018"/>
      <c r="P3322" s="2018"/>
      <c r="Q3322" s="2018"/>
      <c r="R3322" s="2018"/>
      <c r="S3322" s="2018"/>
      <c r="T3322" s="2018"/>
      <c r="U3322" s="2018"/>
      <c r="V3322" s="2018"/>
      <c r="W3322" s="2018"/>
      <c r="X3322" s="2018"/>
      <c r="Y3322" s="2018"/>
      <c r="Z3322" s="2088"/>
      <c r="AA3322" s="2089"/>
      <c r="AB3322" s="1050">
        <f>+AB3321</f>
        <v>1.2000000000000002</v>
      </c>
      <c r="AC3322" s="1050">
        <v>0.2</v>
      </c>
      <c r="AD3322" s="1050">
        <v>3.15</v>
      </c>
      <c r="AE3322" s="1050">
        <v>2</v>
      </c>
      <c r="AF3322" s="1052">
        <f t="shared" si="52"/>
        <v>1.51</v>
      </c>
    </row>
    <row r="3323" spans="1:32" ht="15.75" x14ac:dyDescent="0.25">
      <c r="A3323" s="2017"/>
      <c r="B3323" s="2018"/>
      <c r="C3323" s="2018"/>
      <c r="D3323" s="2018"/>
      <c r="E3323" s="2018"/>
      <c r="F3323" s="2018"/>
      <c r="G3323" s="2018"/>
      <c r="H3323" s="2018"/>
      <c r="I3323" s="2018"/>
      <c r="J3323" s="2018"/>
      <c r="K3323" s="2018"/>
      <c r="L3323" s="2018"/>
      <c r="M3323" s="2018"/>
      <c r="N3323" s="2018"/>
      <c r="O3323" s="2018"/>
      <c r="P3323" s="2018"/>
      <c r="Q3323" s="2018"/>
      <c r="R3323" s="2018"/>
      <c r="S3323" s="2018"/>
      <c r="T3323" s="2018"/>
      <c r="U3323" s="2018"/>
      <c r="V3323" s="2018"/>
      <c r="W3323" s="2018"/>
      <c r="X3323" s="2018"/>
      <c r="Y3323" s="2018"/>
      <c r="Z3323" s="2088"/>
      <c r="AA3323" s="2089"/>
      <c r="AB3323" s="1050">
        <f>+AC3321-0.4</f>
        <v>0.99999999999999989</v>
      </c>
      <c r="AC3323" s="1050">
        <v>0.2</v>
      </c>
      <c r="AD3323" s="1050">
        <v>3.15</v>
      </c>
      <c r="AE3323" s="1050">
        <v>1</v>
      </c>
      <c r="AF3323" s="1052">
        <f t="shared" si="52"/>
        <v>0.63</v>
      </c>
    </row>
    <row r="3324" spans="1:32" ht="15.75" x14ac:dyDescent="0.25">
      <c r="A3324" s="2017"/>
      <c r="B3324" s="2018"/>
      <c r="C3324" s="2018"/>
      <c r="D3324" s="2018"/>
      <c r="E3324" s="2018"/>
      <c r="F3324" s="2018"/>
      <c r="G3324" s="2018"/>
      <c r="H3324" s="2018"/>
      <c r="I3324" s="2018"/>
      <c r="J3324" s="2018"/>
      <c r="K3324" s="2018"/>
      <c r="L3324" s="2018"/>
      <c r="M3324" s="2018"/>
      <c r="N3324" s="2018"/>
      <c r="O3324" s="2018"/>
      <c r="P3324" s="2018"/>
      <c r="Q3324" s="2018"/>
      <c r="R3324" s="2018"/>
      <c r="S3324" s="2018"/>
      <c r="T3324" s="2018"/>
      <c r="U3324" s="2018"/>
      <c r="V3324" s="2018"/>
      <c r="W3324" s="2018"/>
      <c r="X3324" s="2018"/>
      <c r="Y3324" s="2018"/>
      <c r="Z3324" s="2090"/>
      <c r="AA3324" s="2091"/>
      <c r="AB3324" s="1050">
        <f>+AB3321</f>
        <v>1.2000000000000002</v>
      </c>
      <c r="AC3324" s="1050">
        <f>+AC3321</f>
        <v>1.4</v>
      </c>
      <c r="AD3324" s="1050">
        <v>0.1</v>
      </c>
      <c r="AE3324" s="1050">
        <v>1</v>
      </c>
      <c r="AF3324" s="1052">
        <f t="shared" si="52"/>
        <v>0.17</v>
      </c>
    </row>
    <row r="3325" spans="1:32" ht="15.75" x14ac:dyDescent="0.25">
      <c r="A3325" s="2017"/>
      <c r="B3325" s="2018"/>
      <c r="C3325" s="2018"/>
      <c r="D3325" s="2018"/>
      <c r="E3325" s="2018"/>
      <c r="F3325" s="2018"/>
      <c r="G3325" s="2018"/>
      <c r="H3325" s="2018"/>
      <c r="I3325" s="2018"/>
      <c r="J3325" s="2018"/>
      <c r="K3325" s="2018"/>
      <c r="L3325" s="2018"/>
      <c r="M3325" s="2018"/>
      <c r="N3325" s="2018"/>
      <c r="O3325" s="2018"/>
      <c r="P3325" s="2018"/>
      <c r="Q3325" s="2018"/>
      <c r="R3325" s="2018"/>
      <c r="S3325" s="2018"/>
      <c r="T3325" s="2018"/>
      <c r="U3325" s="2018"/>
      <c r="V3325" s="2018"/>
      <c r="W3325" s="2018"/>
      <c r="X3325" s="2018"/>
      <c r="Y3325" s="2018"/>
      <c r="Z3325" s="2104" t="s">
        <v>2469</v>
      </c>
      <c r="AA3325" s="2104"/>
      <c r="AB3325" s="1050">
        <f>+AB3315</f>
        <v>4.8000000000000007</v>
      </c>
      <c r="AC3325" s="1050">
        <v>1.6</v>
      </c>
      <c r="AD3325" s="1050">
        <v>2</v>
      </c>
      <c r="AE3325" s="1050">
        <v>2</v>
      </c>
      <c r="AF3325" s="1052">
        <f>+ROUND((AC3325*AD3325/2)*AB3325*AE3325,2)</f>
        <v>15.36</v>
      </c>
    </row>
    <row r="3326" spans="1:32" ht="15.75" x14ac:dyDescent="0.25">
      <c r="A3326" s="2017"/>
      <c r="B3326" s="2018"/>
      <c r="C3326" s="2018"/>
      <c r="D3326" s="2018"/>
      <c r="E3326" s="2018"/>
      <c r="F3326" s="2018"/>
      <c r="G3326" s="2018"/>
      <c r="H3326" s="2018"/>
      <c r="I3326" s="2018"/>
      <c r="J3326" s="2018"/>
      <c r="K3326" s="2018"/>
      <c r="L3326" s="2018"/>
      <c r="M3326" s="2018"/>
      <c r="N3326" s="2018"/>
      <c r="O3326" s="2018"/>
      <c r="P3326" s="2018"/>
      <c r="Q3326" s="2018"/>
      <c r="R3326" s="2018"/>
      <c r="S3326" s="2018"/>
      <c r="T3326" s="2018"/>
      <c r="U3326" s="2018"/>
      <c r="V3326" s="2018"/>
      <c r="W3326" s="2018"/>
      <c r="X3326" s="2018"/>
      <c r="Y3326" s="2018"/>
      <c r="Z3326" s="2021"/>
      <c r="AA3326" s="2021"/>
      <c r="AB3326" s="1050"/>
      <c r="AC3326" s="1050"/>
      <c r="AD3326" s="1050"/>
      <c r="AE3326" s="1050"/>
      <c r="AF3326" s="1052"/>
    </row>
    <row r="3327" spans="1:32" ht="15.75" x14ac:dyDescent="0.25">
      <c r="A3327" s="2017"/>
      <c r="B3327" s="2018"/>
      <c r="C3327" s="2018"/>
      <c r="D3327" s="2018"/>
      <c r="E3327" s="2018"/>
      <c r="F3327" s="2018"/>
      <c r="G3327" s="2018"/>
      <c r="H3327" s="2018"/>
      <c r="I3327" s="2018"/>
      <c r="J3327" s="2018"/>
      <c r="K3327" s="2018"/>
      <c r="L3327" s="2018"/>
      <c r="M3327" s="2018"/>
      <c r="N3327" s="2018"/>
      <c r="O3327" s="2018"/>
      <c r="P3327" s="2018"/>
      <c r="Q3327" s="2018"/>
      <c r="R3327" s="2018"/>
      <c r="S3327" s="2018"/>
      <c r="T3327" s="2018"/>
      <c r="U3327" s="2018"/>
      <c r="V3327" s="2018"/>
      <c r="W3327" s="2018"/>
      <c r="X3327" s="2018"/>
      <c r="Y3327" s="2018"/>
      <c r="Z3327" s="2021"/>
      <c r="AA3327" s="2021"/>
      <c r="AB3327" s="1050"/>
      <c r="AC3327" s="1050"/>
      <c r="AD3327" s="1050"/>
      <c r="AE3327" s="1050"/>
      <c r="AF3327" s="1052"/>
    </row>
    <row r="3328" spans="1:32" ht="15.75" x14ac:dyDescent="0.25">
      <c r="A3328" s="2017"/>
      <c r="B3328" s="2018"/>
      <c r="C3328" s="2018"/>
      <c r="D3328" s="2018"/>
      <c r="E3328" s="2018"/>
      <c r="F3328" s="2018"/>
      <c r="G3328" s="2018"/>
      <c r="H3328" s="2018"/>
      <c r="I3328" s="2018"/>
      <c r="J3328" s="2018"/>
      <c r="K3328" s="2018"/>
      <c r="L3328" s="2018"/>
      <c r="M3328" s="2018"/>
      <c r="N3328" s="2018"/>
      <c r="O3328" s="2018"/>
      <c r="P3328" s="2018"/>
      <c r="Q3328" s="2018"/>
      <c r="R3328" s="2018"/>
      <c r="S3328" s="2018"/>
      <c r="T3328" s="2018"/>
      <c r="U3328" s="2018"/>
      <c r="V3328" s="2018"/>
      <c r="W3328" s="2018"/>
      <c r="X3328" s="2018"/>
      <c r="Y3328" s="2018"/>
      <c r="Z3328" s="2021"/>
      <c r="AA3328" s="2021"/>
      <c r="AB3328" s="1050"/>
      <c r="AC3328" s="1050"/>
      <c r="AD3328" s="1050"/>
      <c r="AE3328" s="1050"/>
      <c r="AF3328" s="1052"/>
    </row>
    <row r="3329" spans="1:32" ht="15.75" x14ac:dyDescent="0.25">
      <c r="A3329" s="2017"/>
      <c r="B3329" s="2018"/>
      <c r="C3329" s="2018"/>
      <c r="D3329" s="2018"/>
      <c r="E3329" s="2018"/>
      <c r="F3329" s="2018"/>
      <c r="G3329" s="2018"/>
      <c r="H3329" s="2018"/>
      <c r="I3329" s="2018"/>
      <c r="J3329" s="2018"/>
      <c r="K3329" s="2018"/>
      <c r="L3329" s="2018"/>
      <c r="M3329" s="2018"/>
      <c r="N3329" s="2018"/>
      <c r="O3329" s="2018"/>
      <c r="P3329" s="2018"/>
      <c r="Q3329" s="2018"/>
      <c r="R3329" s="2018"/>
      <c r="S3329" s="2018"/>
      <c r="T3329" s="2018"/>
      <c r="U3329" s="2018"/>
      <c r="V3329" s="2018"/>
      <c r="W3329" s="2018"/>
      <c r="X3329" s="2018"/>
      <c r="Y3329" s="2018"/>
      <c r="Z3329" s="2022"/>
      <c r="AA3329" s="2022"/>
      <c r="AB3329" s="1050"/>
      <c r="AC3329" s="1050"/>
      <c r="AD3329" s="1050"/>
      <c r="AE3329" s="1050"/>
      <c r="AF3329" s="1052"/>
    </row>
    <row r="3330" spans="1:32" ht="15.75" x14ac:dyDescent="0.25">
      <c r="A3330" s="2017"/>
      <c r="B3330" s="2018"/>
      <c r="C3330" s="2018"/>
      <c r="D3330" s="2018"/>
      <c r="E3330" s="2018"/>
      <c r="F3330" s="2018"/>
      <c r="G3330" s="2018"/>
      <c r="H3330" s="2018"/>
      <c r="I3330" s="2018"/>
      <c r="J3330" s="2018"/>
      <c r="K3330" s="2018"/>
      <c r="L3330" s="2018"/>
      <c r="M3330" s="2018"/>
      <c r="N3330" s="2018"/>
      <c r="O3330" s="2018"/>
      <c r="P3330" s="2018"/>
      <c r="Q3330" s="2018"/>
      <c r="R3330" s="2018"/>
      <c r="S3330" s="2018"/>
      <c r="T3330" s="2018"/>
      <c r="U3330" s="2018"/>
      <c r="V3330" s="2018"/>
      <c r="W3330" s="2018"/>
      <c r="X3330" s="2018"/>
      <c r="Y3330" s="2018"/>
      <c r="Z3330" s="2022"/>
      <c r="AA3330" s="2022"/>
      <c r="AB3330" s="1050"/>
      <c r="AC3330" s="1050"/>
      <c r="AD3330" s="1050"/>
      <c r="AE3330" s="1050"/>
      <c r="AF3330" s="1052"/>
    </row>
    <row r="3331" spans="1:32" ht="15.75" x14ac:dyDescent="0.25">
      <c r="A3331" s="2017"/>
      <c r="B3331" s="2018"/>
      <c r="C3331" s="2018"/>
      <c r="D3331" s="2018"/>
      <c r="E3331" s="2018"/>
      <c r="F3331" s="2018"/>
      <c r="G3331" s="2018"/>
      <c r="H3331" s="2018"/>
      <c r="I3331" s="2018"/>
      <c r="J3331" s="2018"/>
      <c r="K3331" s="2018"/>
      <c r="L3331" s="2018"/>
      <c r="M3331" s="2018"/>
      <c r="N3331" s="2018"/>
      <c r="O3331" s="2018"/>
      <c r="P3331" s="2018"/>
      <c r="Q3331" s="2018"/>
      <c r="R3331" s="2018"/>
      <c r="S3331" s="2018"/>
      <c r="T3331" s="2018"/>
      <c r="U3331" s="2018"/>
      <c r="V3331" s="2018"/>
      <c r="W3331" s="2018"/>
      <c r="X3331" s="2018"/>
      <c r="Y3331" s="2018"/>
      <c r="Z3331" s="2022"/>
      <c r="AA3331" s="2022"/>
      <c r="AB3331" s="1050"/>
      <c r="AC3331" s="1050"/>
      <c r="AD3331" s="1050"/>
      <c r="AE3331" s="1050"/>
      <c r="AF3331" s="1052"/>
    </row>
    <row r="3332" spans="1:32" ht="15.75" x14ac:dyDescent="0.25">
      <c r="A3332" s="2017"/>
      <c r="B3332" s="2018"/>
      <c r="C3332" s="2018"/>
      <c r="D3332" s="2018"/>
      <c r="E3332" s="2018"/>
      <c r="F3332" s="2018"/>
      <c r="G3332" s="2018"/>
      <c r="H3332" s="2018"/>
      <c r="I3332" s="2018"/>
      <c r="J3332" s="2018"/>
      <c r="K3332" s="2018"/>
      <c r="L3332" s="2018"/>
      <c r="M3332" s="2018"/>
      <c r="N3332" s="2018"/>
      <c r="O3332" s="2018"/>
      <c r="P3332" s="2018"/>
      <c r="Q3332" s="2018"/>
      <c r="R3332" s="2018"/>
      <c r="S3332" s="2018"/>
      <c r="T3332" s="2018"/>
      <c r="U3332" s="2018"/>
      <c r="V3332" s="2018"/>
      <c r="W3332" s="2018"/>
      <c r="X3332" s="2018"/>
      <c r="Y3332" s="2018"/>
      <c r="Z3332" s="2023"/>
      <c r="AA3332" s="2023"/>
      <c r="AB3332" s="1050"/>
      <c r="AC3332" s="1050"/>
      <c r="AD3332" s="1050"/>
      <c r="AE3332" s="1050"/>
      <c r="AF3332" s="1052"/>
    </row>
    <row r="3333" spans="1:32" ht="15.75" x14ac:dyDescent="0.25">
      <c r="A3333" s="2017"/>
      <c r="B3333" s="2018"/>
      <c r="C3333" s="2018"/>
      <c r="D3333" s="2018"/>
      <c r="E3333" s="2018"/>
      <c r="F3333" s="2018"/>
      <c r="G3333" s="2018"/>
      <c r="H3333" s="2018"/>
      <c r="I3333" s="2018"/>
      <c r="J3333" s="2018"/>
      <c r="K3333" s="2018"/>
      <c r="L3333" s="2018"/>
      <c r="M3333" s="2018"/>
      <c r="N3333" s="2018"/>
      <c r="O3333" s="2018"/>
      <c r="P3333" s="2018"/>
      <c r="Q3333" s="2018"/>
      <c r="R3333" s="2018"/>
      <c r="S3333" s="2018"/>
      <c r="T3333" s="2018"/>
      <c r="U3333" s="2018"/>
      <c r="V3333" s="2018"/>
      <c r="W3333" s="2018"/>
      <c r="X3333" s="2018"/>
      <c r="Y3333" s="2018"/>
      <c r="Z3333" s="2023"/>
      <c r="AA3333" s="2023"/>
      <c r="AB3333" s="1050"/>
      <c r="AC3333" s="1050"/>
      <c r="AD3333" s="1050"/>
      <c r="AE3333" s="1050"/>
      <c r="AF3333" s="1052"/>
    </row>
    <row r="3334" spans="1:32" ht="15.75" x14ac:dyDescent="0.25">
      <c r="A3334" s="2017"/>
      <c r="B3334" s="2018"/>
      <c r="C3334" s="2018"/>
      <c r="D3334" s="2018"/>
      <c r="E3334" s="2018"/>
      <c r="F3334" s="2018"/>
      <c r="G3334" s="2018"/>
      <c r="H3334" s="2018"/>
      <c r="I3334" s="2018"/>
      <c r="J3334" s="2018"/>
      <c r="K3334" s="2018"/>
      <c r="L3334" s="2018"/>
      <c r="M3334" s="2018"/>
      <c r="N3334" s="2018"/>
      <c r="O3334" s="2018"/>
      <c r="P3334" s="2018"/>
      <c r="Q3334" s="2018"/>
      <c r="R3334" s="2018"/>
      <c r="S3334" s="2018"/>
      <c r="T3334" s="2018"/>
      <c r="U3334" s="2018"/>
      <c r="V3334" s="2018"/>
      <c r="W3334" s="2018"/>
      <c r="X3334" s="2018"/>
      <c r="Y3334" s="2018"/>
      <c r="Z3334" s="2023"/>
      <c r="AA3334" s="2023"/>
      <c r="AB3334" s="1050"/>
      <c r="AC3334" s="1050"/>
      <c r="AD3334" s="1050"/>
      <c r="AE3334" s="1050"/>
      <c r="AF3334" s="1052"/>
    </row>
    <row r="3335" spans="1:32" ht="15.75" x14ac:dyDescent="0.25">
      <c r="A3335" s="2017"/>
      <c r="B3335" s="2018"/>
      <c r="C3335" s="2018"/>
      <c r="D3335" s="2018"/>
      <c r="E3335" s="2018"/>
      <c r="F3335" s="2018"/>
      <c r="G3335" s="2018"/>
      <c r="H3335" s="2018"/>
      <c r="I3335" s="2018"/>
      <c r="J3335" s="2018"/>
      <c r="K3335" s="2018"/>
      <c r="L3335" s="2018"/>
      <c r="M3335" s="2018"/>
      <c r="N3335" s="2018"/>
      <c r="O3335" s="2018"/>
      <c r="P3335" s="2018"/>
      <c r="Q3335" s="2018"/>
      <c r="R3335" s="2018"/>
      <c r="S3335" s="2018"/>
      <c r="T3335" s="2018"/>
      <c r="U3335" s="2018"/>
      <c r="V3335" s="2018"/>
      <c r="W3335" s="2018"/>
      <c r="X3335" s="2018"/>
      <c r="Y3335" s="2018"/>
      <c r="Z3335" s="2023"/>
      <c r="AA3335" s="2023"/>
      <c r="AB3335" s="1050"/>
      <c r="AC3335" s="1050"/>
      <c r="AD3335" s="1050"/>
      <c r="AE3335" s="1050"/>
      <c r="AF3335" s="1052"/>
    </row>
    <row r="3336" spans="1:32" ht="15.75" x14ac:dyDescent="0.25">
      <c r="A3336" s="2017"/>
      <c r="B3336" s="2018"/>
      <c r="C3336" s="2018"/>
      <c r="D3336" s="2018"/>
      <c r="E3336" s="2018"/>
      <c r="F3336" s="2018"/>
      <c r="G3336" s="2018"/>
      <c r="H3336" s="2018"/>
      <c r="I3336" s="2018"/>
      <c r="J3336" s="2018"/>
      <c r="K3336" s="2018"/>
      <c r="L3336" s="2018"/>
      <c r="M3336" s="2018"/>
      <c r="N3336" s="2018"/>
      <c r="O3336" s="2018"/>
      <c r="P3336" s="2018"/>
      <c r="Q3336" s="2018"/>
      <c r="R3336" s="2018"/>
      <c r="S3336" s="2018"/>
      <c r="T3336" s="2018"/>
      <c r="U3336" s="2018"/>
      <c r="V3336" s="2018"/>
      <c r="W3336" s="2018"/>
      <c r="X3336" s="2018"/>
      <c r="Y3336" s="2018"/>
      <c r="Z3336" s="2023"/>
      <c r="AA3336" s="2023"/>
      <c r="AB3336" s="1050"/>
      <c r="AC3336" s="1050"/>
      <c r="AD3336" s="1050"/>
      <c r="AE3336" s="1050"/>
      <c r="AF3336" s="1052"/>
    </row>
    <row r="3337" spans="1:32" ht="15.75" x14ac:dyDescent="0.25">
      <c r="A3337" s="2017"/>
      <c r="B3337" s="2018"/>
      <c r="C3337" s="2018"/>
      <c r="D3337" s="2018"/>
      <c r="E3337" s="2018"/>
      <c r="F3337" s="2018"/>
      <c r="G3337" s="2018"/>
      <c r="H3337" s="2018"/>
      <c r="I3337" s="2018"/>
      <c r="J3337" s="2018"/>
      <c r="K3337" s="2018"/>
      <c r="L3337" s="2018"/>
      <c r="M3337" s="2018"/>
      <c r="N3337" s="2018"/>
      <c r="O3337" s="2018"/>
      <c r="P3337" s="2018"/>
      <c r="Q3337" s="2018"/>
      <c r="R3337" s="2018"/>
      <c r="S3337" s="2018"/>
      <c r="T3337" s="2018"/>
      <c r="U3337" s="2018"/>
      <c r="V3337" s="2018"/>
      <c r="W3337" s="2018"/>
      <c r="X3337" s="2018"/>
      <c r="Y3337" s="2018"/>
      <c r="Z3337" s="2023"/>
      <c r="AA3337" s="2023"/>
      <c r="AB3337" s="1050"/>
      <c r="AC3337" s="1050"/>
      <c r="AD3337" s="1050"/>
      <c r="AE3337" s="1050"/>
      <c r="AF3337" s="1052"/>
    </row>
    <row r="3338" spans="1:32" ht="16.5" thickBot="1" x14ac:dyDescent="0.3">
      <c r="A3338" s="2019"/>
      <c r="B3338" s="2020"/>
      <c r="C3338" s="2020"/>
      <c r="D3338" s="2020"/>
      <c r="E3338" s="2020"/>
      <c r="F3338" s="2020"/>
      <c r="G3338" s="2020"/>
      <c r="H3338" s="2020"/>
      <c r="I3338" s="2020"/>
      <c r="J3338" s="2020"/>
      <c r="K3338" s="2020"/>
      <c r="L3338" s="2020"/>
      <c r="M3338" s="2020"/>
      <c r="N3338" s="2020"/>
      <c r="O3338" s="2020"/>
      <c r="P3338" s="2020"/>
      <c r="Q3338" s="2020"/>
      <c r="R3338" s="2020"/>
      <c r="S3338" s="2020"/>
      <c r="T3338" s="2020"/>
      <c r="U3338" s="2020"/>
      <c r="V3338" s="2020"/>
      <c r="W3338" s="2020"/>
      <c r="X3338" s="2020"/>
      <c r="Y3338" s="2020"/>
      <c r="Z3338" s="2024"/>
      <c r="AA3338" s="2024"/>
      <c r="AB3338" s="1057"/>
      <c r="AC3338" s="1057"/>
      <c r="AD3338" s="1057"/>
      <c r="AE3338" s="1057"/>
      <c r="AF3338" s="1058"/>
    </row>
    <row r="3339" spans="1:32" ht="15.75" x14ac:dyDescent="0.25">
      <c r="A3339" s="2009" t="s">
        <v>1855</v>
      </c>
      <c r="B3339" s="2010"/>
      <c r="C3339" s="2010"/>
      <c r="D3339" s="2010"/>
      <c r="E3339" s="2010"/>
      <c r="F3339" s="2010"/>
      <c r="G3339" s="2010"/>
      <c r="H3339" s="2010"/>
      <c r="I3339" s="2010"/>
      <c r="J3339" s="2010"/>
      <c r="K3339" s="2010"/>
      <c r="L3339" s="2010"/>
      <c r="M3339" s="2010"/>
      <c r="N3339" s="2010"/>
      <c r="O3339" s="2010"/>
      <c r="P3339" s="2010"/>
      <c r="Q3339" s="2010"/>
      <c r="R3339" s="2010"/>
      <c r="S3339" s="2010"/>
      <c r="T3339" s="2010"/>
      <c r="U3339" s="2010"/>
      <c r="V3339" s="2010"/>
      <c r="W3339" s="2010"/>
      <c r="X3339" s="2010"/>
      <c r="Y3339" s="2010"/>
      <c r="Z3339" s="2013" t="s">
        <v>1850</v>
      </c>
      <c r="AA3339" s="2013"/>
      <c r="AB3339" s="2013"/>
      <c r="AC3339" s="2013"/>
      <c r="AD3339" s="2013"/>
      <c r="AE3339" s="2013"/>
      <c r="AF3339" s="1059">
        <f>SUM(AF3315:AF3338)</f>
        <v>54.59</v>
      </c>
    </row>
    <row r="3340" spans="1:32" ht="15.75" x14ac:dyDescent="0.25">
      <c r="A3340" s="2011"/>
      <c r="B3340" s="2012"/>
      <c r="C3340" s="2012"/>
      <c r="D3340" s="2012"/>
      <c r="E3340" s="2012"/>
      <c r="F3340" s="2012"/>
      <c r="G3340" s="2012"/>
      <c r="H3340" s="2012"/>
      <c r="I3340" s="2012"/>
      <c r="J3340" s="2012"/>
      <c r="K3340" s="2012"/>
      <c r="L3340" s="2012"/>
      <c r="M3340" s="2012"/>
      <c r="N3340" s="2012"/>
      <c r="O3340" s="2012"/>
      <c r="P3340" s="2012"/>
      <c r="Q3340" s="2012"/>
      <c r="R3340" s="2012"/>
      <c r="S3340" s="2012"/>
      <c r="T3340" s="2012"/>
      <c r="U3340" s="2012"/>
      <c r="V3340" s="2012"/>
      <c r="W3340" s="2012"/>
      <c r="X3340" s="2012"/>
      <c r="Y3340" s="2012"/>
      <c r="Z3340" s="2014" t="s">
        <v>1851</v>
      </c>
      <c r="AA3340" s="2014"/>
      <c r="AB3340" s="2014"/>
      <c r="AC3340" s="2014"/>
      <c r="AD3340" s="2014"/>
      <c r="AE3340" s="2014"/>
      <c r="AF3340" s="1060">
        <v>0</v>
      </c>
    </row>
    <row r="3341" spans="1:32" ht="15.75" x14ac:dyDescent="0.25">
      <c r="A3341" s="2011"/>
      <c r="B3341" s="2012"/>
      <c r="C3341" s="2012"/>
      <c r="D3341" s="2012"/>
      <c r="E3341" s="2012"/>
      <c r="F3341" s="2012"/>
      <c r="G3341" s="2012"/>
      <c r="H3341" s="2012"/>
      <c r="I3341" s="2012"/>
      <c r="J3341" s="2012"/>
      <c r="K3341" s="2012"/>
      <c r="L3341" s="2012"/>
      <c r="M3341" s="2012"/>
      <c r="N3341" s="2012"/>
      <c r="O3341" s="2012"/>
      <c r="P3341" s="2012"/>
      <c r="Q3341" s="2012"/>
      <c r="R3341" s="2012"/>
      <c r="S3341" s="2012"/>
      <c r="T3341" s="2012"/>
      <c r="U3341" s="2012"/>
      <c r="V3341" s="2012"/>
      <c r="W3341" s="2012"/>
      <c r="X3341" s="2012"/>
      <c r="Y3341" s="2012"/>
      <c r="Z3341" s="2015" t="s">
        <v>1833</v>
      </c>
      <c r="AA3341" s="2015"/>
      <c r="AB3341" s="2015"/>
      <c r="AC3341" s="2015"/>
      <c r="AD3341" s="2015"/>
      <c r="AE3341" s="2015"/>
      <c r="AF3341" s="1061">
        <f>SUM(AF3339:AF3340)</f>
        <v>54.59</v>
      </c>
    </row>
    <row r="3342" spans="1:32" x14ac:dyDescent="0.2">
      <c r="A3342" s="2012" t="s">
        <v>1859</v>
      </c>
      <c r="B3342" s="2012"/>
      <c r="C3342" s="2012"/>
      <c r="D3342" s="2012"/>
      <c r="E3342" s="2012"/>
      <c r="F3342" s="2012"/>
      <c r="G3342" s="2012"/>
      <c r="H3342" s="2012"/>
      <c r="I3342" s="2012"/>
      <c r="J3342" s="2012"/>
      <c r="K3342" s="2012"/>
      <c r="L3342" s="2012"/>
      <c r="M3342" s="2012"/>
      <c r="N3342" s="2012"/>
      <c r="O3342" s="2012"/>
      <c r="P3342" s="2012"/>
      <c r="Q3342" s="2012"/>
      <c r="R3342" s="2012"/>
      <c r="S3342" s="2012"/>
      <c r="T3342" s="2016" t="s">
        <v>1840</v>
      </c>
      <c r="U3342" s="2016"/>
      <c r="V3342" s="2016"/>
      <c r="W3342" s="2016"/>
      <c r="X3342" s="2016"/>
      <c r="Y3342" s="2016"/>
      <c r="Z3342" s="2016"/>
      <c r="AA3342" s="2016"/>
      <c r="AB3342" s="2012" t="s">
        <v>1852</v>
      </c>
      <c r="AC3342" s="2012"/>
      <c r="AD3342" s="2012"/>
      <c r="AE3342" s="2012"/>
      <c r="AF3342" s="2012"/>
    </row>
    <row r="3343" spans="1:32" x14ac:dyDescent="0.2">
      <c r="A3343" s="2012"/>
      <c r="B3343" s="2012"/>
      <c r="C3343" s="2012"/>
      <c r="D3343" s="2012"/>
      <c r="E3343" s="2012"/>
      <c r="F3343" s="2012"/>
      <c r="G3343" s="2012"/>
      <c r="H3343" s="2012"/>
      <c r="I3343" s="2012"/>
      <c r="J3343" s="2012"/>
      <c r="K3343" s="2012"/>
      <c r="L3343" s="2012"/>
      <c r="M3343" s="2012"/>
      <c r="N3343" s="2012"/>
      <c r="O3343" s="2012"/>
      <c r="P3343" s="2012"/>
      <c r="Q3343" s="2012"/>
      <c r="R3343" s="2012"/>
      <c r="S3343" s="2012"/>
      <c r="T3343" s="2016"/>
      <c r="U3343" s="2016"/>
      <c r="V3343" s="2016"/>
      <c r="W3343" s="2016"/>
      <c r="X3343" s="2016"/>
      <c r="Y3343" s="2016"/>
      <c r="Z3343" s="2016"/>
      <c r="AA3343" s="2016"/>
      <c r="AB3343" s="2012"/>
      <c r="AC3343" s="2012"/>
      <c r="AD3343" s="2012"/>
      <c r="AE3343" s="2012"/>
      <c r="AF3343" s="2012"/>
    </row>
    <row r="3344" spans="1:32" ht="13.5" thickBot="1" x14ac:dyDescent="0.25"/>
    <row r="3345" spans="1:32" ht="26.45" customHeight="1" x14ac:dyDescent="0.2">
      <c r="A3345" s="2025" t="s">
        <v>1854</v>
      </c>
      <c r="B3345" s="2026"/>
      <c r="C3345" s="2026"/>
      <c r="D3345" s="2026"/>
      <c r="E3345" s="2026"/>
      <c r="F3345" s="2026"/>
      <c r="G3345" s="2026"/>
      <c r="H3345" s="2026"/>
      <c r="I3345" s="2026"/>
      <c r="J3345" s="2026"/>
      <c r="K3345" s="2026"/>
      <c r="L3345" s="2026"/>
      <c r="M3345" s="2026"/>
      <c r="N3345" s="2026"/>
      <c r="O3345" s="2026"/>
      <c r="P3345" s="2026"/>
      <c r="Q3345" s="2026"/>
      <c r="R3345" s="2026"/>
      <c r="S3345" s="2026"/>
      <c r="T3345" s="2026"/>
      <c r="U3345" s="2026"/>
      <c r="V3345" s="2026"/>
      <c r="W3345" s="2026"/>
      <c r="X3345" s="2026"/>
      <c r="Y3345" s="2026"/>
      <c r="Z3345" s="2026"/>
      <c r="AA3345" s="2026"/>
      <c r="AB3345" s="2026"/>
      <c r="AC3345" s="2026"/>
      <c r="AD3345" s="2026"/>
      <c r="AE3345" s="1041" t="s">
        <v>1834</v>
      </c>
      <c r="AF3345" s="1042" t="s">
        <v>1835</v>
      </c>
    </row>
    <row r="3346" spans="1:32" ht="21" customHeight="1" thickBot="1" x14ac:dyDescent="0.25">
      <c r="A3346" s="2027"/>
      <c r="B3346" s="2028"/>
      <c r="C3346" s="2028"/>
      <c r="D3346" s="2028"/>
      <c r="E3346" s="2028"/>
      <c r="F3346" s="2028"/>
      <c r="G3346" s="2028"/>
      <c r="H3346" s="2028"/>
      <c r="I3346" s="2028"/>
      <c r="J3346" s="2028"/>
      <c r="K3346" s="2028"/>
      <c r="L3346" s="2028"/>
      <c r="M3346" s="2028"/>
      <c r="N3346" s="2028"/>
      <c r="O3346" s="2028"/>
      <c r="P3346" s="2028"/>
      <c r="Q3346" s="2028"/>
      <c r="R3346" s="2028"/>
      <c r="S3346" s="2028"/>
      <c r="T3346" s="2028"/>
      <c r="U3346" s="2028"/>
      <c r="V3346" s="2028"/>
      <c r="W3346" s="2028"/>
      <c r="X3346" s="2028"/>
      <c r="Y3346" s="2028"/>
      <c r="Z3346" s="2028"/>
      <c r="AA3346" s="2028"/>
      <c r="AB3346" s="2028"/>
      <c r="AC3346" s="2028"/>
      <c r="AD3346" s="2028"/>
      <c r="AE3346" s="1041" t="s">
        <v>1836</v>
      </c>
      <c r="AF3346" s="1044">
        <v>1</v>
      </c>
    </row>
    <row r="3347" spans="1:32" ht="15.75" x14ac:dyDescent="0.2">
      <c r="A3347" s="2029"/>
      <c r="B3347" s="2030"/>
      <c r="C3347" s="2030"/>
      <c r="D3347" s="2031"/>
      <c r="E3347" s="2025" t="str">
        <f>'01'!$A$12</f>
        <v>"CONSTRUCCION SISTEMA DE ACUEDUCTO FASE II DEL MUNICIPIO DE TESALIA DPTO DEL HUILA"</v>
      </c>
      <c r="F3347" s="2026"/>
      <c r="G3347" s="2026"/>
      <c r="H3347" s="2026"/>
      <c r="I3347" s="2026"/>
      <c r="J3347" s="2026"/>
      <c r="K3347" s="2026"/>
      <c r="L3347" s="2026"/>
      <c r="M3347" s="2026"/>
      <c r="N3347" s="2026"/>
      <c r="O3347" s="2026"/>
      <c r="P3347" s="2026"/>
      <c r="Q3347" s="2026"/>
      <c r="R3347" s="2026"/>
      <c r="S3347" s="2026"/>
      <c r="T3347" s="2026"/>
      <c r="U3347" s="2026"/>
      <c r="V3347" s="2026"/>
      <c r="W3347" s="2026"/>
      <c r="X3347" s="2026"/>
      <c r="Y3347" s="2026"/>
      <c r="Z3347" s="2026"/>
      <c r="AA3347" s="2026"/>
      <c r="AB3347" s="2026"/>
      <c r="AC3347" s="2026"/>
      <c r="AD3347" s="2035"/>
      <c r="AE3347" s="1041" t="s">
        <v>847</v>
      </c>
      <c r="AF3347" s="1045">
        <f>'01'!$M$13</f>
        <v>0</v>
      </c>
    </row>
    <row r="3348" spans="1:32" ht="16.5" thickBot="1" x14ac:dyDescent="0.25">
      <c r="A3348" s="2032"/>
      <c r="B3348" s="2033"/>
      <c r="C3348" s="2033"/>
      <c r="D3348" s="2034"/>
      <c r="E3348" s="2027"/>
      <c r="F3348" s="2028"/>
      <c r="G3348" s="2028"/>
      <c r="H3348" s="2028"/>
      <c r="I3348" s="2028"/>
      <c r="J3348" s="2028"/>
      <c r="K3348" s="2028"/>
      <c r="L3348" s="2028"/>
      <c r="M3348" s="2028"/>
      <c r="N3348" s="2028"/>
      <c r="O3348" s="2028"/>
      <c r="P3348" s="2028"/>
      <c r="Q3348" s="2028"/>
      <c r="R3348" s="2028"/>
      <c r="S3348" s="2028"/>
      <c r="T3348" s="2028"/>
      <c r="U3348" s="2028"/>
      <c r="V3348" s="2028"/>
      <c r="W3348" s="2028"/>
      <c r="X3348" s="2028"/>
      <c r="Y3348" s="2028"/>
      <c r="Z3348" s="2028"/>
      <c r="AA3348" s="2028"/>
      <c r="AB3348" s="2028"/>
      <c r="AC3348" s="2028"/>
      <c r="AD3348" s="2036"/>
      <c r="AE3348" s="1041" t="s">
        <v>1837</v>
      </c>
      <c r="AF3348" s="1042" t="s">
        <v>1838</v>
      </c>
    </row>
    <row r="3349" spans="1:32" ht="15.75" x14ac:dyDescent="0.25">
      <c r="A3349" s="2037" t="s">
        <v>1860</v>
      </c>
      <c r="B3349" s="2038"/>
      <c r="C3349" s="2038"/>
      <c r="D3349" s="2038"/>
      <c r="E3349" s="2038"/>
      <c r="F3349" s="2038"/>
      <c r="G3349" s="2038"/>
      <c r="H3349" s="2038"/>
      <c r="I3349" s="2038"/>
      <c r="J3349" s="2038"/>
      <c r="K3349" s="2038"/>
      <c r="L3349" s="2038"/>
      <c r="M3349" s="2038"/>
      <c r="N3349" s="2038"/>
      <c r="O3349" s="2038"/>
      <c r="P3349" s="2038"/>
      <c r="Q3349" s="2038"/>
      <c r="R3349" s="2038"/>
      <c r="S3349" s="2038"/>
      <c r="T3349" s="2038"/>
      <c r="U3349" s="2038"/>
      <c r="V3349" s="2038"/>
      <c r="W3349" s="2038"/>
      <c r="X3349" s="2038"/>
      <c r="Y3349" s="2038"/>
      <c r="Z3349" s="2038"/>
      <c r="AA3349" s="2038"/>
      <c r="AB3349" s="2038"/>
      <c r="AC3349" s="2038"/>
      <c r="AD3349" s="2038"/>
      <c r="AE3349" s="2039" t="s">
        <v>1839</v>
      </c>
      <c r="AF3349" s="2040"/>
    </row>
    <row r="3350" spans="1:32" ht="15.75" x14ac:dyDescent="0.25">
      <c r="A3350" s="2041" t="s">
        <v>1840</v>
      </c>
      <c r="B3350" s="2042"/>
      <c r="C3350" s="2042"/>
      <c r="D3350" s="2042"/>
      <c r="E3350" s="2042"/>
      <c r="F3350" s="2042"/>
      <c r="G3350" s="2042"/>
      <c r="H3350" s="2042"/>
      <c r="I3350" s="2042"/>
      <c r="J3350" s="2042"/>
      <c r="K3350" s="2042"/>
      <c r="L3350" s="2042"/>
      <c r="M3350" s="2042"/>
      <c r="N3350" s="2042"/>
      <c r="O3350" s="2042"/>
      <c r="P3350" s="2042"/>
      <c r="Q3350" s="2042"/>
      <c r="R3350" s="2042"/>
      <c r="S3350" s="2042"/>
      <c r="T3350" s="2042"/>
      <c r="U3350" s="2042"/>
      <c r="V3350" s="2042"/>
      <c r="W3350" s="2042"/>
      <c r="X3350" s="2042"/>
      <c r="Y3350" s="2042"/>
      <c r="Z3350" s="2042"/>
      <c r="AA3350" s="2042"/>
      <c r="AB3350" s="2042"/>
      <c r="AC3350" s="2042"/>
      <c r="AD3350" s="2043"/>
      <c r="AE3350" s="2014" t="s">
        <v>1841</v>
      </c>
      <c r="AF3350" s="2044"/>
    </row>
    <row r="3351" spans="1:32" ht="15.75" x14ac:dyDescent="0.25">
      <c r="A3351" s="2045" t="s">
        <v>1853</v>
      </c>
      <c r="B3351" s="2046"/>
      <c r="C3351" s="2046"/>
      <c r="D3351" s="2046"/>
      <c r="E3351" s="2046"/>
      <c r="F3351" s="2046"/>
      <c r="G3351" s="2046"/>
      <c r="H3351" s="2046"/>
      <c r="I3351" s="2046"/>
      <c r="J3351" s="2046"/>
      <c r="K3351" s="2046"/>
      <c r="L3351" s="2046"/>
      <c r="M3351" s="2046"/>
      <c r="N3351" s="2046"/>
      <c r="O3351" s="2046"/>
      <c r="P3351" s="2046"/>
      <c r="Q3351" s="2046"/>
      <c r="R3351" s="2046"/>
      <c r="S3351" s="2046"/>
      <c r="T3351" s="2046"/>
      <c r="U3351" s="2046"/>
      <c r="V3351" s="2046"/>
      <c r="W3351" s="2046"/>
      <c r="X3351" s="2046"/>
      <c r="Y3351" s="2046"/>
      <c r="Z3351" s="2046"/>
      <c r="AA3351" s="2046"/>
      <c r="AB3351" s="2046"/>
      <c r="AC3351" s="2046"/>
      <c r="AD3351" s="2046"/>
      <c r="AE3351" s="2047">
        <f>'01'!$M$13</f>
        <v>0</v>
      </c>
      <c r="AF3351" s="2044"/>
    </row>
    <row r="3352" spans="1:32" x14ac:dyDescent="0.2">
      <c r="A3352" s="1046"/>
      <c r="B3352" s="1047"/>
      <c r="C3352" s="1047"/>
      <c r="D3352" s="1047"/>
      <c r="E3352" s="1047"/>
      <c r="F3352" s="1047"/>
      <c r="G3352" s="1047"/>
      <c r="H3352" s="1047"/>
      <c r="I3352" s="1047"/>
      <c r="J3352" s="1047"/>
      <c r="K3352" s="1047"/>
      <c r="L3352" s="1047"/>
      <c r="M3352" s="1047"/>
      <c r="N3352" s="1047"/>
      <c r="O3352" s="1047"/>
      <c r="P3352" s="1047"/>
      <c r="Q3352" s="1047"/>
      <c r="R3352" s="1047"/>
      <c r="S3352" s="1047"/>
      <c r="T3352" s="1047"/>
      <c r="U3352" s="1047"/>
      <c r="V3352" s="1047"/>
      <c r="W3352" s="1047"/>
      <c r="X3352" s="1047"/>
      <c r="Y3352" s="1047"/>
      <c r="Z3352" s="1047"/>
      <c r="AA3352" s="1047"/>
      <c r="AB3352" s="1047"/>
      <c r="AC3352" s="1047"/>
      <c r="AD3352" s="1047"/>
      <c r="AE3352" s="1047"/>
      <c r="AF3352" s="1048"/>
    </row>
    <row r="3353" spans="1:32" ht="30" customHeight="1" x14ac:dyDescent="0.2">
      <c r="A3353" s="2048" t="s">
        <v>1842</v>
      </c>
      <c r="B3353" s="2049"/>
      <c r="C3353" s="2049"/>
      <c r="D3353" s="2049"/>
      <c r="E3353" s="2049"/>
      <c r="F3353" s="2050" t="str">
        <f>+'01'!$H$130</f>
        <v>E - ESPESADOR GRAVIMÉTRICO</v>
      </c>
      <c r="G3353" s="2049"/>
      <c r="H3353" s="2049"/>
      <c r="I3353" s="2049"/>
      <c r="J3353" s="2049"/>
      <c r="K3353" s="2049"/>
      <c r="L3353" s="2049"/>
      <c r="M3353" s="2049"/>
      <c r="N3353" s="2049"/>
      <c r="O3353" s="2049"/>
      <c r="P3353" s="2049"/>
      <c r="Q3353" s="2049"/>
      <c r="R3353" s="2049"/>
      <c r="S3353" s="2049"/>
      <c r="T3353" s="2049"/>
      <c r="U3353" s="2049"/>
      <c r="V3353" s="2049"/>
      <c r="W3353" s="2049"/>
      <c r="X3353" s="2049"/>
      <c r="Y3353" s="2051"/>
      <c r="Z3353" s="2052" t="s">
        <v>1843</v>
      </c>
      <c r="AA3353" s="2053"/>
      <c r="AB3353" s="2058" t="s">
        <v>1844</v>
      </c>
      <c r="AC3353" s="2059"/>
      <c r="AD3353" s="2060"/>
      <c r="AE3353" s="2064" t="s">
        <v>1845</v>
      </c>
      <c r="AF3353" s="2067" t="s">
        <v>1846</v>
      </c>
    </row>
    <row r="3354" spans="1:32" ht="15" customHeight="1" x14ac:dyDescent="0.2">
      <c r="A3354" s="2070" t="str">
        <f>+'01'!A147</f>
        <v>E-06-01</v>
      </c>
      <c r="B3354" s="2071"/>
      <c r="C3354" s="2072"/>
      <c r="D3354" s="2076" t="str">
        <f>VLOOKUP(A3354,'01'!$A$12:$N$299,3,FALSE)</f>
        <v>ACERO DE REFUERZO FIGURADO FY= 420 MPA-60000 PSI, CORRUGADO. INCLUYE TRANSPORTE CON DESCARGA, TRANSPORTE INTERNO, ALAMBRE DE AMARRE, CERTIFICADOS Y TODOS LOS ELEMENTOS NECESARIOS PARA SU CORRECTA INSTALACIÓN, SEGÚN DISEÑO Y RECOMENDACIONES.</v>
      </c>
      <c r="E3354" s="2077"/>
      <c r="F3354" s="2077"/>
      <c r="G3354" s="2077"/>
      <c r="H3354" s="2077"/>
      <c r="I3354" s="2077"/>
      <c r="J3354" s="2077"/>
      <c r="K3354" s="2077"/>
      <c r="L3354" s="2077"/>
      <c r="M3354" s="2077"/>
      <c r="N3354" s="2077"/>
      <c r="O3354" s="2077"/>
      <c r="P3354" s="2077"/>
      <c r="Q3354" s="2077"/>
      <c r="R3354" s="2077"/>
      <c r="S3354" s="2078"/>
      <c r="T3354" s="2082" t="s">
        <v>124</v>
      </c>
      <c r="U3354" s="2083"/>
      <c r="V3354" s="2083"/>
      <c r="W3354" s="2083"/>
      <c r="X3354" s="2052" t="str">
        <f>VLOOKUP(A3354,'01'!$A$12:$N$299,9,FALSE)</f>
        <v>KG</v>
      </c>
      <c r="Y3354" s="2053"/>
      <c r="Z3354" s="2054"/>
      <c r="AA3354" s="2055"/>
      <c r="AB3354" s="2061"/>
      <c r="AC3354" s="2062"/>
      <c r="AD3354" s="2063"/>
      <c r="AE3354" s="2065"/>
      <c r="AF3354" s="2068"/>
    </row>
    <row r="3355" spans="1:32" ht="15" customHeight="1" x14ac:dyDescent="0.25">
      <c r="A3355" s="2073"/>
      <c r="B3355" s="2074"/>
      <c r="C3355" s="2075"/>
      <c r="D3355" s="2079"/>
      <c r="E3355" s="2080"/>
      <c r="F3355" s="2080"/>
      <c r="G3355" s="2080"/>
      <c r="H3355" s="2080"/>
      <c r="I3355" s="2080"/>
      <c r="J3355" s="2080"/>
      <c r="K3355" s="2080"/>
      <c r="L3355" s="2080"/>
      <c r="M3355" s="2080"/>
      <c r="N3355" s="2080"/>
      <c r="O3355" s="2080"/>
      <c r="P3355" s="2080"/>
      <c r="Q3355" s="2080"/>
      <c r="R3355" s="2080"/>
      <c r="S3355" s="2081"/>
      <c r="T3355" s="2084"/>
      <c r="U3355" s="2085"/>
      <c r="V3355" s="2085"/>
      <c r="W3355" s="2085"/>
      <c r="X3355" s="2056"/>
      <c r="Y3355" s="2057"/>
      <c r="Z3355" s="2056"/>
      <c r="AA3355" s="2057"/>
      <c r="AB3355" s="1049" t="s">
        <v>1847</v>
      </c>
      <c r="AC3355" s="1049" t="s">
        <v>1848</v>
      </c>
      <c r="AD3355" s="1049" t="s">
        <v>1861</v>
      </c>
      <c r="AE3355" s="2066"/>
      <c r="AF3355" s="2069"/>
    </row>
    <row r="3356" spans="1:32" ht="15.6" customHeight="1" x14ac:dyDescent="0.25">
      <c r="A3356" s="2017"/>
      <c r="B3356" s="2018"/>
      <c r="C3356" s="2018"/>
      <c r="D3356" s="2018"/>
      <c r="E3356" s="2018"/>
      <c r="F3356" s="2018"/>
      <c r="G3356" s="2018"/>
      <c r="H3356" s="2018"/>
      <c r="I3356" s="2018"/>
      <c r="J3356" s="2018"/>
      <c r="K3356" s="2018"/>
      <c r="L3356" s="2018"/>
      <c r="M3356" s="2018"/>
      <c r="N3356" s="2018"/>
      <c r="O3356" s="2018"/>
      <c r="P3356" s="2018"/>
      <c r="Q3356" s="2018"/>
      <c r="R3356" s="2018"/>
      <c r="S3356" s="2018"/>
      <c r="T3356" s="2018"/>
      <c r="U3356" s="2018"/>
      <c r="V3356" s="2018"/>
      <c r="W3356" s="2018"/>
      <c r="X3356" s="2018"/>
      <c r="Y3356" s="2018"/>
      <c r="Z3356" s="2021"/>
      <c r="AA3356" s="2021"/>
      <c r="AB3356" s="1050"/>
      <c r="AC3356" s="1050"/>
      <c r="AD3356" s="1050"/>
      <c r="AE3356" s="1050"/>
      <c r="AF3356" s="1052">
        <v>7814.67</v>
      </c>
    </row>
    <row r="3357" spans="1:32" ht="15.6" customHeight="1" x14ac:dyDescent="0.25">
      <c r="A3357" s="2017"/>
      <c r="B3357" s="2018"/>
      <c r="C3357" s="2018"/>
      <c r="D3357" s="2018"/>
      <c r="E3357" s="2018"/>
      <c r="F3357" s="2018"/>
      <c r="G3357" s="2018"/>
      <c r="H3357" s="2018"/>
      <c r="I3357" s="2018"/>
      <c r="J3357" s="2018"/>
      <c r="K3357" s="2018"/>
      <c r="L3357" s="2018"/>
      <c r="M3357" s="2018"/>
      <c r="N3357" s="2018"/>
      <c r="O3357" s="2018"/>
      <c r="P3357" s="2018"/>
      <c r="Q3357" s="2018"/>
      <c r="R3357" s="2018"/>
      <c r="S3357" s="2018"/>
      <c r="T3357" s="2018"/>
      <c r="U3357" s="2018"/>
      <c r="V3357" s="2018"/>
      <c r="W3357" s="2018"/>
      <c r="X3357" s="2018"/>
      <c r="Y3357" s="2018"/>
      <c r="Z3357" s="2021"/>
      <c r="AA3357" s="2021"/>
      <c r="AB3357" s="1050"/>
      <c r="AC3357" s="1050"/>
      <c r="AD3357" s="1050"/>
      <c r="AE3357" s="1050"/>
      <c r="AF3357" s="1052"/>
    </row>
    <row r="3358" spans="1:32" ht="15.75" x14ac:dyDescent="0.25">
      <c r="A3358" s="2017"/>
      <c r="B3358" s="2018"/>
      <c r="C3358" s="2018"/>
      <c r="D3358" s="2018"/>
      <c r="E3358" s="2018"/>
      <c r="F3358" s="2018"/>
      <c r="G3358" s="2018"/>
      <c r="H3358" s="2018"/>
      <c r="I3358" s="2018"/>
      <c r="J3358" s="2018"/>
      <c r="K3358" s="2018"/>
      <c r="L3358" s="2018"/>
      <c r="M3358" s="2018"/>
      <c r="N3358" s="2018"/>
      <c r="O3358" s="2018"/>
      <c r="P3358" s="2018"/>
      <c r="Q3358" s="2018"/>
      <c r="R3358" s="2018"/>
      <c r="S3358" s="2018"/>
      <c r="T3358" s="2018"/>
      <c r="U3358" s="2018"/>
      <c r="V3358" s="2018"/>
      <c r="W3358" s="2018"/>
      <c r="X3358" s="2018"/>
      <c r="Y3358" s="2018"/>
      <c r="Z3358" s="2021"/>
      <c r="AA3358" s="2021"/>
      <c r="AB3358" s="1050"/>
      <c r="AC3358" s="1050"/>
      <c r="AD3358" s="1050"/>
      <c r="AE3358" s="1050"/>
      <c r="AF3358" s="1052"/>
    </row>
    <row r="3359" spans="1:32" ht="15.75" x14ac:dyDescent="0.25">
      <c r="A3359" s="2017"/>
      <c r="B3359" s="2018"/>
      <c r="C3359" s="2018"/>
      <c r="D3359" s="2018"/>
      <c r="E3359" s="2018"/>
      <c r="F3359" s="2018"/>
      <c r="G3359" s="2018"/>
      <c r="H3359" s="2018"/>
      <c r="I3359" s="2018"/>
      <c r="J3359" s="2018"/>
      <c r="K3359" s="2018"/>
      <c r="L3359" s="2018"/>
      <c r="M3359" s="2018"/>
      <c r="N3359" s="2018"/>
      <c r="O3359" s="2018"/>
      <c r="P3359" s="2018"/>
      <c r="Q3359" s="2018"/>
      <c r="R3359" s="2018"/>
      <c r="S3359" s="2018"/>
      <c r="T3359" s="2018"/>
      <c r="U3359" s="2018"/>
      <c r="V3359" s="2018"/>
      <c r="W3359" s="2018"/>
      <c r="X3359" s="2018"/>
      <c r="Y3359" s="2018"/>
      <c r="Z3359" s="2021"/>
      <c r="AA3359" s="2021"/>
      <c r="AB3359" s="1050"/>
      <c r="AC3359" s="1050"/>
      <c r="AD3359" s="1050"/>
      <c r="AE3359" s="1050"/>
      <c r="AF3359" s="1052"/>
    </row>
    <row r="3360" spans="1:32" ht="15.75" x14ac:dyDescent="0.25">
      <c r="A3360" s="2017"/>
      <c r="B3360" s="2018"/>
      <c r="C3360" s="2018"/>
      <c r="D3360" s="2018"/>
      <c r="E3360" s="2018"/>
      <c r="F3360" s="2018"/>
      <c r="G3360" s="2018"/>
      <c r="H3360" s="2018"/>
      <c r="I3360" s="2018"/>
      <c r="J3360" s="2018"/>
      <c r="K3360" s="2018"/>
      <c r="L3360" s="2018"/>
      <c r="M3360" s="2018"/>
      <c r="N3360" s="2018"/>
      <c r="O3360" s="2018"/>
      <c r="P3360" s="2018"/>
      <c r="Q3360" s="2018"/>
      <c r="R3360" s="2018"/>
      <c r="S3360" s="2018"/>
      <c r="T3360" s="2018"/>
      <c r="U3360" s="2018"/>
      <c r="V3360" s="2018"/>
      <c r="W3360" s="2018"/>
      <c r="X3360" s="2018"/>
      <c r="Y3360" s="2018"/>
      <c r="Z3360" s="2021"/>
      <c r="AA3360" s="2021"/>
      <c r="AB3360" s="1050"/>
      <c r="AC3360" s="1050"/>
      <c r="AD3360" s="1050"/>
      <c r="AE3360" s="1050"/>
      <c r="AF3360" s="1052"/>
    </row>
    <row r="3361" spans="1:32" ht="15.75" x14ac:dyDescent="0.25">
      <c r="A3361" s="2017"/>
      <c r="B3361" s="2018"/>
      <c r="C3361" s="2018"/>
      <c r="D3361" s="2018"/>
      <c r="E3361" s="2018"/>
      <c r="F3361" s="2018"/>
      <c r="G3361" s="2018"/>
      <c r="H3361" s="2018"/>
      <c r="I3361" s="2018"/>
      <c r="J3361" s="2018"/>
      <c r="K3361" s="2018"/>
      <c r="L3361" s="2018"/>
      <c r="M3361" s="2018"/>
      <c r="N3361" s="2018"/>
      <c r="O3361" s="2018"/>
      <c r="P3361" s="2018"/>
      <c r="Q3361" s="2018"/>
      <c r="R3361" s="2018"/>
      <c r="S3361" s="2018"/>
      <c r="T3361" s="2018"/>
      <c r="U3361" s="2018"/>
      <c r="V3361" s="2018"/>
      <c r="W3361" s="2018"/>
      <c r="X3361" s="2018"/>
      <c r="Y3361" s="2018"/>
      <c r="Z3361" s="2021"/>
      <c r="AA3361" s="2021"/>
      <c r="AB3361" s="1050"/>
      <c r="AC3361" s="1050"/>
      <c r="AD3361" s="1050"/>
      <c r="AE3361" s="1050"/>
      <c r="AF3361" s="1052"/>
    </row>
    <row r="3362" spans="1:32" ht="15.75" x14ac:dyDescent="0.25">
      <c r="A3362" s="2017"/>
      <c r="B3362" s="2018"/>
      <c r="C3362" s="2018"/>
      <c r="D3362" s="2018"/>
      <c r="E3362" s="2018"/>
      <c r="F3362" s="2018"/>
      <c r="G3362" s="2018"/>
      <c r="H3362" s="2018"/>
      <c r="I3362" s="2018"/>
      <c r="J3362" s="2018"/>
      <c r="K3362" s="2018"/>
      <c r="L3362" s="2018"/>
      <c r="M3362" s="2018"/>
      <c r="N3362" s="2018"/>
      <c r="O3362" s="2018"/>
      <c r="P3362" s="2018"/>
      <c r="Q3362" s="2018"/>
      <c r="R3362" s="2018"/>
      <c r="S3362" s="2018"/>
      <c r="T3362" s="2018"/>
      <c r="U3362" s="2018"/>
      <c r="V3362" s="2018"/>
      <c r="W3362" s="2018"/>
      <c r="X3362" s="2018"/>
      <c r="Y3362" s="2018"/>
      <c r="Z3362" s="2021"/>
      <c r="AA3362" s="2021"/>
      <c r="AB3362" s="1050"/>
      <c r="AC3362" s="1050"/>
      <c r="AD3362" s="1050"/>
      <c r="AE3362" s="1050"/>
      <c r="AF3362" s="1052"/>
    </row>
    <row r="3363" spans="1:32" ht="15.75" x14ac:dyDescent="0.25">
      <c r="A3363" s="2017"/>
      <c r="B3363" s="2018"/>
      <c r="C3363" s="2018"/>
      <c r="D3363" s="2018"/>
      <c r="E3363" s="2018"/>
      <c r="F3363" s="2018"/>
      <c r="G3363" s="2018"/>
      <c r="H3363" s="2018"/>
      <c r="I3363" s="2018"/>
      <c r="J3363" s="2018"/>
      <c r="K3363" s="2018"/>
      <c r="L3363" s="2018"/>
      <c r="M3363" s="2018"/>
      <c r="N3363" s="2018"/>
      <c r="O3363" s="2018"/>
      <c r="P3363" s="2018"/>
      <c r="Q3363" s="2018"/>
      <c r="R3363" s="2018"/>
      <c r="S3363" s="2018"/>
      <c r="T3363" s="2018"/>
      <c r="U3363" s="2018"/>
      <c r="V3363" s="2018"/>
      <c r="W3363" s="2018"/>
      <c r="X3363" s="2018"/>
      <c r="Y3363" s="2018"/>
      <c r="Z3363" s="2021"/>
      <c r="AA3363" s="2021"/>
      <c r="AB3363" s="1050"/>
      <c r="AC3363" s="1050"/>
      <c r="AD3363" s="1050"/>
      <c r="AE3363" s="1050"/>
      <c r="AF3363" s="1052"/>
    </row>
    <row r="3364" spans="1:32" ht="15.75" x14ac:dyDescent="0.25">
      <c r="A3364" s="2017"/>
      <c r="B3364" s="2018"/>
      <c r="C3364" s="2018"/>
      <c r="D3364" s="2018"/>
      <c r="E3364" s="2018"/>
      <c r="F3364" s="2018"/>
      <c r="G3364" s="2018"/>
      <c r="H3364" s="2018"/>
      <c r="I3364" s="2018"/>
      <c r="J3364" s="2018"/>
      <c r="K3364" s="2018"/>
      <c r="L3364" s="2018"/>
      <c r="M3364" s="2018"/>
      <c r="N3364" s="2018"/>
      <c r="O3364" s="2018"/>
      <c r="P3364" s="2018"/>
      <c r="Q3364" s="2018"/>
      <c r="R3364" s="2018"/>
      <c r="S3364" s="2018"/>
      <c r="T3364" s="2018"/>
      <c r="U3364" s="2018"/>
      <c r="V3364" s="2018"/>
      <c r="W3364" s="2018"/>
      <c r="X3364" s="2018"/>
      <c r="Y3364" s="2018"/>
      <c r="Z3364" s="2021"/>
      <c r="AA3364" s="2021"/>
      <c r="AB3364" s="1050"/>
      <c r="AC3364" s="1050"/>
      <c r="AD3364" s="1050"/>
      <c r="AE3364" s="1050"/>
      <c r="AF3364" s="1052"/>
    </row>
    <row r="3365" spans="1:32" ht="15.75" x14ac:dyDescent="0.25">
      <c r="A3365" s="2017"/>
      <c r="B3365" s="2018"/>
      <c r="C3365" s="2018"/>
      <c r="D3365" s="2018"/>
      <c r="E3365" s="2018"/>
      <c r="F3365" s="2018"/>
      <c r="G3365" s="2018"/>
      <c r="H3365" s="2018"/>
      <c r="I3365" s="2018"/>
      <c r="J3365" s="2018"/>
      <c r="K3365" s="2018"/>
      <c r="L3365" s="2018"/>
      <c r="M3365" s="2018"/>
      <c r="N3365" s="2018"/>
      <c r="O3365" s="2018"/>
      <c r="P3365" s="2018"/>
      <c r="Q3365" s="2018"/>
      <c r="R3365" s="2018"/>
      <c r="S3365" s="2018"/>
      <c r="T3365" s="2018"/>
      <c r="U3365" s="2018"/>
      <c r="V3365" s="2018"/>
      <c r="W3365" s="2018"/>
      <c r="X3365" s="2018"/>
      <c r="Y3365" s="2018"/>
      <c r="Z3365" s="2021"/>
      <c r="AA3365" s="2021"/>
      <c r="AB3365" s="1050"/>
      <c r="AC3365" s="1050"/>
      <c r="AD3365" s="1050"/>
      <c r="AE3365" s="1050"/>
      <c r="AF3365" s="1052"/>
    </row>
    <row r="3366" spans="1:32" ht="15.75" x14ac:dyDescent="0.25">
      <c r="A3366" s="2017"/>
      <c r="B3366" s="2018"/>
      <c r="C3366" s="2018"/>
      <c r="D3366" s="2018"/>
      <c r="E3366" s="2018"/>
      <c r="F3366" s="2018"/>
      <c r="G3366" s="2018"/>
      <c r="H3366" s="2018"/>
      <c r="I3366" s="2018"/>
      <c r="J3366" s="2018"/>
      <c r="K3366" s="2018"/>
      <c r="L3366" s="2018"/>
      <c r="M3366" s="2018"/>
      <c r="N3366" s="2018"/>
      <c r="O3366" s="2018"/>
      <c r="P3366" s="2018"/>
      <c r="Q3366" s="2018"/>
      <c r="R3366" s="2018"/>
      <c r="S3366" s="2018"/>
      <c r="T3366" s="2018"/>
      <c r="U3366" s="2018"/>
      <c r="V3366" s="2018"/>
      <c r="W3366" s="2018"/>
      <c r="X3366" s="2018"/>
      <c r="Y3366" s="2018"/>
      <c r="Z3366" s="2021"/>
      <c r="AA3366" s="2021"/>
      <c r="AB3366" s="1050"/>
      <c r="AC3366" s="1050"/>
      <c r="AD3366" s="1050"/>
      <c r="AE3366" s="1050"/>
      <c r="AF3366" s="1052"/>
    </row>
    <row r="3367" spans="1:32" ht="15.75" x14ac:dyDescent="0.25">
      <c r="A3367" s="2017"/>
      <c r="B3367" s="2018"/>
      <c r="C3367" s="2018"/>
      <c r="D3367" s="2018"/>
      <c r="E3367" s="2018"/>
      <c r="F3367" s="2018"/>
      <c r="G3367" s="2018"/>
      <c r="H3367" s="2018"/>
      <c r="I3367" s="2018"/>
      <c r="J3367" s="2018"/>
      <c r="K3367" s="2018"/>
      <c r="L3367" s="2018"/>
      <c r="M3367" s="2018"/>
      <c r="N3367" s="2018"/>
      <c r="O3367" s="2018"/>
      <c r="P3367" s="2018"/>
      <c r="Q3367" s="2018"/>
      <c r="R3367" s="2018"/>
      <c r="S3367" s="2018"/>
      <c r="T3367" s="2018"/>
      <c r="U3367" s="2018"/>
      <c r="V3367" s="2018"/>
      <c r="W3367" s="2018"/>
      <c r="X3367" s="2018"/>
      <c r="Y3367" s="2018"/>
      <c r="Z3367" s="2021"/>
      <c r="AA3367" s="2021"/>
      <c r="AB3367" s="1050"/>
      <c r="AC3367" s="1050"/>
      <c r="AD3367" s="1050"/>
      <c r="AE3367" s="1050"/>
      <c r="AF3367" s="1052"/>
    </row>
    <row r="3368" spans="1:32" ht="15.75" x14ac:dyDescent="0.25">
      <c r="A3368" s="2017"/>
      <c r="B3368" s="2018"/>
      <c r="C3368" s="2018"/>
      <c r="D3368" s="2018"/>
      <c r="E3368" s="2018"/>
      <c r="F3368" s="2018"/>
      <c r="G3368" s="2018"/>
      <c r="H3368" s="2018"/>
      <c r="I3368" s="2018"/>
      <c r="J3368" s="2018"/>
      <c r="K3368" s="2018"/>
      <c r="L3368" s="2018"/>
      <c r="M3368" s="2018"/>
      <c r="N3368" s="2018"/>
      <c r="O3368" s="2018"/>
      <c r="P3368" s="2018"/>
      <c r="Q3368" s="2018"/>
      <c r="R3368" s="2018"/>
      <c r="S3368" s="2018"/>
      <c r="T3368" s="2018"/>
      <c r="U3368" s="2018"/>
      <c r="V3368" s="2018"/>
      <c r="W3368" s="2018"/>
      <c r="X3368" s="2018"/>
      <c r="Y3368" s="2018"/>
      <c r="Z3368" s="2021"/>
      <c r="AA3368" s="2021"/>
      <c r="AB3368" s="1050"/>
      <c r="AC3368" s="1050"/>
      <c r="AD3368" s="1050"/>
      <c r="AE3368" s="1050"/>
      <c r="AF3368" s="1052"/>
    </row>
    <row r="3369" spans="1:32" ht="15.75" x14ac:dyDescent="0.25">
      <c r="A3369" s="2017"/>
      <c r="B3369" s="2018"/>
      <c r="C3369" s="2018"/>
      <c r="D3369" s="2018"/>
      <c r="E3369" s="2018"/>
      <c r="F3369" s="2018"/>
      <c r="G3369" s="2018"/>
      <c r="H3369" s="2018"/>
      <c r="I3369" s="2018"/>
      <c r="J3369" s="2018"/>
      <c r="K3369" s="2018"/>
      <c r="L3369" s="2018"/>
      <c r="M3369" s="2018"/>
      <c r="N3369" s="2018"/>
      <c r="O3369" s="2018"/>
      <c r="P3369" s="2018"/>
      <c r="Q3369" s="2018"/>
      <c r="R3369" s="2018"/>
      <c r="S3369" s="2018"/>
      <c r="T3369" s="2018"/>
      <c r="U3369" s="2018"/>
      <c r="V3369" s="2018"/>
      <c r="W3369" s="2018"/>
      <c r="X3369" s="2018"/>
      <c r="Y3369" s="2018"/>
      <c r="Z3369" s="2021"/>
      <c r="AA3369" s="2021"/>
      <c r="AB3369" s="1050"/>
      <c r="AC3369" s="1050"/>
      <c r="AD3369" s="1050"/>
      <c r="AE3369" s="1050"/>
      <c r="AF3369" s="1052"/>
    </row>
    <row r="3370" spans="1:32" ht="15.75" x14ac:dyDescent="0.25">
      <c r="A3370" s="2017"/>
      <c r="B3370" s="2018"/>
      <c r="C3370" s="2018"/>
      <c r="D3370" s="2018"/>
      <c r="E3370" s="2018"/>
      <c r="F3370" s="2018"/>
      <c r="G3370" s="2018"/>
      <c r="H3370" s="2018"/>
      <c r="I3370" s="2018"/>
      <c r="J3370" s="2018"/>
      <c r="K3370" s="2018"/>
      <c r="L3370" s="2018"/>
      <c r="M3370" s="2018"/>
      <c r="N3370" s="2018"/>
      <c r="O3370" s="2018"/>
      <c r="P3370" s="2018"/>
      <c r="Q3370" s="2018"/>
      <c r="R3370" s="2018"/>
      <c r="S3370" s="2018"/>
      <c r="T3370" s="2018"/>
      <c r="U3370" s="2018"/>
      <c r="V3370" s="2018"/>
      <c r="W3370" s="2018"/>
      <c r="X3370" s="2018"/>
      <c r="Y3370" s="2018"/>
      <c r="Z3370" s="2022"/>
      <c r="AA3370" s="2022"/>
      <c r="AB3370" s="1050"/>
      <c r="AC3370" s="1050"/>
      <c r="AD3370" s="1050"/>
      <c r="AE3370" s="1050"/>
      <c r="AF3370" s="1052"/>
    </row>
    <row r="3371" spans="1:32" ht="15.75" x14ac:dyDescent="0.25">
      <c r="A3371" s="2017"/>
      <c r="B3371" s="2018"/>
      <c r="C3371" s="2018"/>
      <c r="D3371" s="2018"/>
      <c r="E3371" s="2018"/>
      <c r="F3371" s="2018"/>
      <c r="G3371" s="2018"/>
      <c r="H3371" s="2018"/>
      <c r="I3371" s="2018"/>
      <c r="J3371" s="2018"/>
      <c r="K3371" s="2018"/>
      <c r="L3371" s="2018"/>
      <c r="M3371" s="2018"/>
      <c r="N3371" s="2018"/>
      <c r="O3371" s="2018"/>
      <c r="P3371" s="2018"/>
      <c r="Q3371" s="2018"/>
      <c r="R3371" s="2018"/>
      <c r="S3371" s="2018"/>
      <c r="T3371" s="2018"/>
      <c r="U3371" s="2018"/>
      <c r="V3371" s="2018"/>
      <c r="W3371" s="2018"/>
      <c r="X3371" s="2018"/>
      <c r="Y3371" s="2018"/>
      <c r="Z3371" s="2022"/>
      <c r="AA3371" s="2022"/>
      <c r="AB3371" s="1050"/>
      <c r="AC3371" s="1050"/>
      <c r="AD3371" s="1050"/>
      <c r="AE3371" s="1050"/>
      <c r="AF3371" s="1052"/>
    </row>
    <row r="3372" spans="1:32" ht="15.75" x14ac:dyDescent="0.25">
      <c r="A3372" s="2017"/>
      <c r="B3372" s="2018"/>
      <c r="C3372" s="2018"/>
      <c r="D3372" s="2018"/>
      <c r="E3372" s="2018"/>
      <c r="F3372" s="2018"/>
      <c r="G3372" s="2018"/>
      <c r="H3372" s="2018"/>
      <c r="I3372" s="2018"/>
      <c r="J3372" s="2018"/>
      <c r="K3372" s="2018"/>
      <c r="L3372" s="2018"/>
      <c r="M3372" s="2018"/>
      <c r="N3372" s="2018"/>
      <c r="O3372" s="2018"/>
      <c r="P3372" s="2018"/>
      <c r="Q3372" s="2018"/>
      <c r="R3372" s="2018"/>
      <c r="S3372" s="2018"/>
      <c r="T3372" s="2018"/>
      <c r="U3372" s="2018"/>
      <c r="V3372" s="2018"/>
      <c r="W3372" s="2018"/>
      <c r="X3372" s="2018"/>
      <c r="Y3372" s="2018"/>
      <c r="Z3372" s="2022"/>
      <c r="AA3372" s="2022"/>
      <c r="AB3372" s="1050"/>
      <c r="AC3372" s="1050"/>
      <c r="AD3372" s="1050"/>
      <c r="AE3372" s="1050"/>
      <c r="AF3372" s="1052"/>
    </row>
    <row r="3373" spans="1:32" ht="15.75" x14ac:dyDescent="0.25">
      <c r="A3373" s="2017"/>
      <c r="B3373" s="2018"/>
      <c r="C3373" s="2018"/>
      <c r="D3373" s="2018"/>
      <c r="E3373" s="2018"/>
      <c r="F3373" s="2018"/>
      <c r="G3373" s="2018"/>
      <c r="H3373" s="2018"/>
      <c r="I3373" s="2018"/>
      <c r="J3373" s="2018"/>
      <c r="K3373" s="2018"/>
      <c r="L3373" s="2018"/>
      <c r="M3373" s="2018"/>
      <c r="N3373" s="2018"/>
      <c r="O3373" s="2018"/>
      <c r="P3373" s="2018"/>
      <c r="Q3373" s="2018"/>
      <c r="R3373" s="2018"/>
      <c r="S3373" s="2018"/>
      <c r="T3373" s="2018"/>
      <c r="U3373" s="2018"/>
      <c r="V3373" s="2018"/>
      <c r="W3373" s="2018"/>
      <c r="X3373" s="2018"/>
      <c r="Y3373" s="2018"/>
      <c r="Z3373" s="2023"/>
      <c r="AA3373" s="2023"/>
      <c r="AB3373" s="1050"/>
      <c r="AC3373" s="1050"/>
      <c r="AD3373" s="1050"/>
      <c r="AE3373" s="1050"/>
      <c r="AF3373" s="1052"/>
    </row>
    <row r="3374" spans="1:32" ht="15.75" x14ac:dyDescent="0.25">
      <c r="A3374" s="2017"/>
      <c r="B3374" s="2018"/>
      <c r="C3374" s="2018"/>
      <c r="D3374" s="2018"/>
      <c r="E3374" s="2018"/>
      <c r="F3374" s="2018"/>
      <c r="G3374" s="2018"/>
      <c r="H3374" s="2018"/>
      <c r="I3374" s="2018"/>
      <c r="J3374" s="2018"/>
      <c r="K3374" s="2018"/>
      <c r="L3374" s="2018"/>
      <c r="M3374" s="2018"/>
      <c r="N3374" s="2018"/>
      <c r="O3374" s="2018"/>
      <c r="P3374" s="2018"/>
      <c r="Q3374" s="2018"/>
      <c r="R3374" s="2018"/>
      <c r="S3374" s="2018"/>
      <c r="T3374" s="2018"/>
      <c r="U3374" s="2018"/>
      <c r="V3374" s="2018"/>
      <c r="W3374" s="2018"/>
      <c r="X3374" s="2018"/>
      <c r="Y3374" s="2018"/>
      <c r="Z3374" s="2023"/>
      <c r="AA3374" s="2023"/>
      <c r="AB3374" s="1050"/>
      <c r="AC3374" s="1050"/>
      <c r="AD3374" s="1050"/>
      <c r="AE3374" s="1050"/>
      <c r="AF3374" s="1052"/>
    </row>
    <row r="3375" spans="1:32" ht="15.75" x14ac:dyDescent="0.25">
      <c r="A3375" s="2017"/>
      <c r="B3375" s="2018"/>
      <c r="C3375" s="2018"/>
      <c r="D3375" s="2018"/>
      <c r="E3375" s="2018"/>
      <c r="F3375" s="2018"/>
      <c r="G3375" s="2018"/>
      <c r="H3375" s="2018"/>
      <c r="I3375" s="2018"/>
      <c r="J3375" s="2018"/>
      <c r="K3375" s="2018"/>
      <c r="L3375" s="2018"/>
      <c r="M3375" s="2018"/>
      <c r="N3375" s="2018"/>
      <c r="O3375" s="2018"/>
      <c r="P3375" s="2018"/>
      <c r="Q3375" s="2018"/>
      <c r="R3375" s="2018"/>
      <c r="S3375" s="2018"/>
      <c r="T3375" s="2018"/>
      <c r="U3375" s="2018"/>
      <c r="V3375" s="2018"/>
      <c r="W3375" s="2018"/>
      <c r="X3375" s="2018"/>
      <c r="Y3375" s="2018"/>
      <c r="Z3375" s="2023"/>
      <c r="AA3375" s="2023"/>
      <c r="AB3375" s="1050"/>
      <c r="AC3375" s="1050"/>
      <c r="AD3375" s="1050"/>
      <c r="AE3375" s="1050"/>
      <c r="AF3375" s="1052"/>
    </row>
    <row r="3376" spans="1:32" ht="15.75" x14ac:dyDescent="0.25">
      <c r="A3376" s="2017"/>
      <c r="B3376" s="2018"/>
      <c r="C3376" s="2018"/>
      <c r="D3376" s="2018"/>
      <c r="E3376" s="2018"/>
      <c r="F3376" s="2018"/>
      <c r="G3376" s="2018"/>
      <c r="H3376" s="2018"/>
      <c r="I3376" s="2018"/>
      <c r="J3376" s="2018"/>
      <c r="K3376" s="2018"/>
      <c r="L3376" s="2018"/>
      <c r="M3376" s="2018"/>
      <c r="N3376" s="2018"/>
      <c r="O3376" s="2018"/>
      <c r="P3376" s="2018"/>
      <c r="Q3376" s="2018"/>
      <c r="R3376" s="2018"/>
      <c r="S3376" s="2018"/>
      <c r="T3376" s="2018"/>
      <c r="U3376" s="2018"/>
      <c r="V3376" s="2018"/>
      <c r="W3376" s="2018"/>
      <c r="X3376" s="2018"/>
      <c r="Y3376" s="2018"/>
      <c r="Z3376" s="2023"/>
      <c r="AA3376" s="2023"/>
      <c r="AB3376" s="1050"/>
      <c r="AC3376" s="1050"/>
      <c r="AD3376" s="1050"/>
      <c r="AE3376" s="1050"/>
      <c r="AF3376" s="1052"/>
    </row>
    <row r="3377" spans="1:32" ht="15.75" x14ac:dyDescent="0.25">
      <c r="A3377" s="2017"/>
      <c r="B3377" s="2018"/>
      <c r="C3377" s="2018"/>
      <c r="D3377" s="2018"/>
      <c r="E3377" s="2018"/>
      <c r="F3377" s="2018"/>
      <c r="G3377" s="2018"/>
      <c r="H3377" s="2018"/>
      <c r="I3377" s="2018"/>
      <c r="J3377" s="2018"/>
      <c r="K3377" s="2018"/>
      <c r="L3377" s="2018"/>
      <c r="M3377" s="2018"/>
      <c r="N3377" s="2018"/>
      <c r="O3377" s="2018"/>
      <c r="P3377" s="2018"/>
      <c r="Q3377" s="2018"/>
      <c r="R3377" s="2018"/>
      <c r="S3377" s="2018"/>
      <c r="T3377" s="2018"/>
      <c r="U3377" s="2018"/>
      <c r="V3377" s="2018"/>
      <c r="W3377" s="2018"/>
      <c r="X3377" s="2018"/>
      <c r="Y3377" s="2018"/>
      <c r="Z3377" s="2023"/>
      <c r="AA3377" s="2023"/>
      <c r="AB3377" s="1050"/>
      <c r="AC3377" s="1050"/>
      <c r="AD3377" s="1050"/>
      <c r="AE3377" s="1050"/>
      <c r="AF3377" s="1052"/>
    </row>
    <row r="3378" spans="1:32" ht="15.75" x14ac:dyDescent="0.25">
      <c r="A3378" s="2017"/>
      <c r="B3378" s="2018"/>
      <c r="C3378" s="2018"/>
      <c r="D3378" s="2018"/>
      <c r="E3378" s="2018"/>
      <c r="F3378" s="2018"/>
      <c r="G3378" s="2018"/>
      <c r="H3378" s="2018"/>
      <c r="I3378" s="2018"/>
      <c r="J3378" s="2018"/>
      <c r="K3378" s="2018"/>
      <c r="L3378" s="2018"/>
      <c r="M3378" s="2018"/>
      <c r="N3378" s="2018"/>
      <c r="O3378" s="2018"/>
      <c r="P3378" s="2018"/>
      <c r="Q3378" s="2018"/>
      <c r="R3378" s="2018"/>
      <c r="S3378" s="2018"/>
      <c r="T3378" s="2018"/>
      <c r="U3378" s="2018"/>
      <c r="V3378" s="2018"/>
      <c r="W3378" s="2018"/>
      <c r="X3378" s="2018"/>
      <c r="Y3378" s="2018"/>
      <c r="Z3378" s="2023"/>
      <c r="AA3378" s="2023"/>
      <c r="AB3378" s="1050"/>
      <c r="AC3378" s="1050"/>
      <c r="AD3378" s="1050"/>
      <c r="AE3378" s="1050"/>
      <c r="AF3378" s="1052"/>
    </row>
    <row r="3379" spans="1:32" ht="16.5" thickBot="1" x14ac:dyDescent="0.3">
      <c r="A3379" s="2019"/>
      <c r="B3379" s="2020"/>
      <c r="C3379" s="2020"/>
      <c r="D3379" s="2020"/>
      <c r="E3379" s="2020"/>
      <c r="F3379" s="2020"/>
      <c r="G3379" s="2020"/>
      <c r="H3379" s="2020"/>
      <c r="I3379" s="2020"/>
      <c r="J3379" s="2020"/>
      <c r="K3379" s="2020"/>
      <c r="L3379" s="2020"/>
      <c r="M3379" s="2020"/>
      <c r="N3379" s="2020"/>
      <c r="O3379" s="2020"/>
      <c r="P3379" s="2020"/>
      <c r="Q3379" s="2020"/>
      <c r="R3379" s="2020"/>
      <c r="S3379" s="2020"/>
      <c r="T3379" s="2020"/>
      <c r="U3379" s="2020"/>
      <c r="V3379" s="2020"/>
      <c r="W3379" s="2020"/>
      <c r="X3379" s="2020"/>
      <c r="Y3379" s="2020"/>
      <c r="Z3379" s="2024"/>
      <c r="AA3379" s="2024"/>
      <c r="AB3379" s="1057"/>
      <c r="AC3379" s="1057"/>
      <c r="AD3379" s="1057"/>
      <c r="AE3379" s="1057"/>
      <c r="AF3379" s="1058"/>
    </row>
    <row r="3380" spans="1:32" ht="15.75" x14ac:dyDescent="0.25">
      <c r="A3380" s="2009" t="s">
        <v>2158</v>
      </c>
      <c r="B3380" s="2010"/>
      <c r="C3380" s="2010"/>
      <c r="D3380" s="2010"/>
      <c r="E3380" s="2010"/>
      <c r="F3380" s="2010"/>
      <c r="G3380" s="2010"/>
      <c r="H3380" s="2010"/>
      <c r="I3380" s="2010"/>
      <c r="J3380" s="2010"/>
      <c r="K3380" s="2010"/>
      <c r="L3380" s="2010"/>
      <c r="M3380" s="2010"/>
      <c r="N3380" s="2010"/>
      <c r="O3380" s="2010"/>
      <c r="P3380" s="2010"/>
      <c r="Q3380" s="2010"/>
      <c r="R3380" s="2010"/>
      <c r="S3380" s="2010"/>
      <c r="T3380" s="2010"/>
      <c r="U3380" s="2010"/>
      <c r="V3380" s="2010"/>
      <c r="W3380" s="2010"/>
      <c r="X3380" s="2010"/>
      <c r="Y3380" s="2010"/>
      <c r="Z3380" s="2013" t="s">
        <v>1850</v>
      </c>
      <c r="AA3380" s="2013"/>
      <c r="AB3380" s="2013"/>
      <c r="AC3380" s="2013"/>
      <c r="AD3380" s="2013"/>
      <c r="AE3380" s="2013"/>
      <c r="AF3380" s="1059">
        <f>SUM(AF3356:AF3379)</f>
        <v>7814.67</v>
      </c>
    </row>
    <row r="3381" spans="1:32" ht="15.75" x14ac:dyDescent="0.25">
      <c r="A3381" s="2011"/>
      <c r="B3381" s="2012"/>
      <c r="C3381" s="2012"/>
      <c r="D3381" s="2012"/>
      <c r="E3381" s="2012"/>
      <c r="F3381" s="2012"/>
      <c r="G3381" s="2012"/>
      <c r="H3381" s="2012"/>
      <c r="I3381" s="2012"/>
      <c r="J3381" s="2012"/>
      <c r="K3381" s="2012"/>
      <c r="L3381" s="2012"/>
      <c r="M3381" s="2012"/>
      <c r="N3381" s="2012"/>
      <c r="O3381" s="2012"/>
      <c r="P3381" s="2012"/>
      <c r="Q3381" s="2012"/>
      <c r="R3381" s="2012"/>
      <c r="S3381" s="2012"/>
      <c r="T3381" s="2012"/>
      <c r="U3381" s="2012"/>
      <c r="V3381" s="2012"/>
      <c r="W3381" s="2012"/>
      <c r="X3381" s="2012"/>
      <c r="Y3381" s="2012"/>
      <c r="Z3381" s="2014" t="s">
        <v>1851</v>
      </c>
      <c r="AA3381" s="2014"/>
      <c r="AB3381" s="2014"/>
      <c r="AC3381" s="2014"/>
      <c r="AD3381" s="2014"/>
      <c r="AE3381" s="2014"/>
      <c r="AF3381" s="1060">
        <v>0</v>
      </c>
    </row>
    <row r="3382" spans="1:32" ht="15.75" x14ac:dyDescent="0.25">
      <c r="A3382" s="2011"/>
      <c r="B3382" s="2012"/>
      <c r="C3382" s="2012"/>
      <c r="D3382" s="2012"/>
      <c r="E3382" s="2012"/>
      <c r="F3382" s="2012"/>
      <c r="G3382" s="2012"/>
      <c r="H3382" s="2012"/>
      <c r="I3382" s="2012"/>
      <c r="J3382" s="2012"/>
      <c r="K3382" s="2012"/>
      <c r="L3382" s="2012"/>
      <c r="M3382" s="2012"/>
      <c r="N3382" s="2012"/>
      <c r="O3382" s="2012"/>
      <c r="P3382" s="2012"/>
      <c r="Q3382" s="2012"/>
      <c r="R3382" s="2012"/>
      <c r="S3382" s="2012"/>
      <c r="T3382" s="2012"/>
      <c r="U3382" s="2012"/>
      <c r="V3382" s="2012"/>
      <c r="W3382" s="2012"/>
      <c r="X3382" s="2012"/>
      <c r="Y3382" s="2012"/>
      <c r="Z3382" s="2015" t="s">
        <v>1833</v>
      </c>
      <c r="AA3382" s="2015"/>
      <c r="AB3382" s="2015"/>
      <c r="AC3382" s="2015"/>
      <c r="AD3382" s="2015"/>
      <c r="AE3382" s="2015"/>
      <c r="AF3382" s="1061">
        <f>SUM(AF3380:AF3381)</f>
        <v>7814.67</v>
      </c>
    </row>
    <row r="3383" spans="1:32" x14ac:dyDescent="0.2">
      <c r="A3383" s="2012" t="s">
        <v>1859</v>
      </c>
      <c r="B3383" s="2012"/>
      <c r="C3383" s="2012"/>
      <c r="D3383" s="2012"/>
      <c r="E3383" s="2012"/>
      <c r="F3383" s="2012"/>
      <c r="G3383" s="2012"/>
      <c r="H3383" s="2012"/>
      <c r="I3383" s="2012"/>
      <c r="J3383" s="2012"/>
      <c r="K3383" s="2012"/>
      <c r="L3383" s="2012"/>
      <c r="M3383" s="2012"/>
      <c r="N3383" s="2012"/>
      <c r="O3383" s="2012"/>
      <c r="P3383" s="2012"/>
      <c r="Q3383" s="2012"/>
      <c r="R3383" s="2012"/>
      <c r="S3383" s="2012"/>
      <c r="T3383" s="2016" t="s">
        <v>1840</v>
      </c>
      <c r="U3383" s="2016"/>
      <c r="V3383" s="2016"/>
      <c r="W3383" s="2016"/>
      <c r="X3383" s="2016"/>
      <c r="Y3383" s="2016"/>
      <c r="Z3383" s="2016"/>
      <c r="AA3383" s="2016"/>
      <c r="AB3383" s="2012" t="s">
        <v>1852</v>
      </c>
      <c r="AC3383" s="2012"/>
      <c r="AD3383" s="2012"/>
      <c r="AE3383" s="2012"/>
      <c r="AF3383" s="2012"/>
    </row>
    <row r="3384" spans="1:32" x14ac:dyDescent="0.2">
      <c r="A3384" s="2012"/>
      <c r="B3384" s="2012"/>
      <c r="C3384" s="2012"/>
      <c r="D3384" s="2012"/>
      <c r="E3384" s="2012"/>
      <c r="F3384" s="2012"/>
      <c r="G3384" s="2012"/>
      <c r="H3384" s="2012"/>
      <c r="I3384" s="2012"/>
      <c r="J3384" s="2012"/>
      <c r="K3384" s="2012"/>
      <c r="L3384" s="2012"/>
      <c r="M3384" s="2012"/>
      <c r="N3384" s="2012"/>
      <c r="O3384" s="2012"/>
      <c r="P3384" s="2012"/>
      <c r="Q3384" s="2012"/>
      <c r="R3384" s="2012"/>
      <c r="S3384" s="2012"/>
      <c r="T3384" s="2016"/>
      <c r="U3384" s="2016"/>
      <c r="V3384" s="2016"/>
      <c r="W3384" s="2016"/>
      <c r="X3384" s="2016"/>
      <c r="Y3384" s="2016"/>
      <c r="Z3384" s="2016"/>
      <c r="AA3384" s="2016"/>
      <c r="AB3384" s="2012"/>
      <c r="AC3384" s="2012"/>
      <c r="AD3384" s="2012"/>
      <c r="AE3384" s="2012"/>
      <c r="AF3384" s="2012"/>
    </row>
    <row r="3385" spans="1:32" ht="13.5" thickBot="1" x14ac:dyDescent="0.25"/>
    <row r="3386" spans="1:32" ht="26.45" customHeight="1" x14ac:dyDescent="0.2">
      <c r="A3386" s="2025" t="s">
        <v>1854</v>
      </c>
      <c r="B3386" s="2026"/>
      <c r="C3386" s="2026"/>
      <c r="D3386" s="2026"/>
      <c r="E3386" s="2026"/>
      <c r="F3386" s="2026"/>
      <c r="G3386" s="2026"/>
      <c r="H3386" s="2026"/>
      <c r="I3386" s="2026"/>
      <c r="J3386" s="2026"/>
      <c r="K3386" s="2026"/>
      <c r="L3386" s="2026"/>
      <c r="M3386" s="2026"/>
      <c r="N3386" s="2026"/>
      <c r="O3386" s="2026"/>
      <c r="P3386" s="2026"/>
      <c r="Q3386" s="2026"/>
      <c r="R3386" s="2026"/>
      <c r="S3386" s="2026"/>
      <c r="T3386" s="2026"/>
      <c r="U3386" s="2026"/>
      <c r="V3386" s="2026"/>
      <c r="W3386" s="2026"/>
      <c r="X3386" s="2026"/>
      <c r="Y3386" s="2026"/>
      <c r="Z3386" s="2026"/>
      <c r="AA3386" s="2026"/>
      <c r="AB3386" s="2026"/>
      <c r="AC3386" s="2026"/>
      <c r="AD3386" s="2026"/>
      <c r="AE3386" s="1041" t="s">
        <v>1834</v>
      </c>
      <c r="AF3386" s="1042" t="s">
        <v>1835</v>
      </c>
    </row>
    <row r="3387" spans="1:32" ht="21" customHeight="1" thickBot="1" x14ac:dyDescent="0.25">
      <c r="A3387" s="2027"/>
      <c r="B3387" s="2028"/>
      <c r="C3387" s="2028"/>
      <c r="D3387" s="2028"/>
      <c r="E3387" s="2028"/>
      <c r="F3387" s="2028"/>
      <c r="G3387" s="2028"/>
      <c r="H3387" s="2028"/>
      <c r="I3387" s="2028"/>
      <c r="J3387" s="2028"/>
      <c r="K3387" s="2028"/>
      <c r="L3387" s="2028"/>
      <c r="M3387" s="2028"/>
      <c r="N3387" s="2028"/>
      <c r="O3387" s="2028"/>
      <c r="P3387" s="2028"/>
      <c r="Q3387" s="2028"/>
      <c r="R3387" s="2028"/>
      <c r="S3387" s="2028"/>
      <c r="T3387" s="2028"/>
      <c r="U3387" s="2028"/>
      <c r="V3387" s="2028"/>
      <c r="W3387" s="2028"/>
      <c r="X3387" s="2028"/>
      <c r="Y3387" s="2028"/>
      <c r="Z3387" s="2028"/>
      <c r="AA3387" s="2028"/>
      <c r="AB3387" s="2028"/>
      <c r="AC3387" s="2028"/>
      <c r="AD3387" s="2028"/>
      <c r="AE3387" s="1041" t="s">
        <v>1836</v>
      </c>
      <c r="AF3387" s="1044">
        <v>1</v>
      </c>
    </row>
    <row r="3388" spans="1:32" ht="15.75" x14ac:dyDescent="0.2">
      <c r="A3388" s="2029"/>
      <c r="B3388" s="2030"/>
      <c r="C3388" s="2030"/>
      <c r="D3388" s="2031"/>
      <c r="E3388" s="2025" t="str">
        <f>'01'!$A$12</f>
        <v>"CONSTRUCCION SISTEMA DE ACUEDUCTO FASE II DEL MUNICIPIO DE TESALIA DPTO DEL HUILA"</v>
      </c>
      <c r="F3388" s="2026"/>
      <c r="G3388" s="2026"/>
      <c r="H3388" s="2026"/>
      <c r="I3388" s="2026"/>
      <c r="J3388" s="2026"/>
      <c r="K3388" s="2026"/>
      <c r="L3388" s="2026"/>
      <c r="M3388" s="2026"/>
      <c r="N3388" s="2026"/>
      <c r="O3388" s="2026"/>
      <c r="P3388" s="2026"/>
      <c r="Q3388" s="2026"/>
      <c r="R3388" s="2026"/>
      <c r="S3388" s="2026"/>
      <c r="T3388" s="2026"/>
      <c r="U3388" s="2026"/>
      <c r="V3388" s="2026"/>
      <c r="W3388" s="2026"/>
      <c r="X3388" s="2026"/>
      <c r="Y3388" s="2026"/>
      <c r="Z3388" s="2026"/>
      <c r="AA3388" s="2026"/>
      <c r="AB3388" s="2026"/>
      <c r="AC3388" s="2026"/>
      <c r="AD3388" s="2035"/>
      <c r="AE3388" s="1041" t="s">
        <v>847</v>
      </c>
      <c r="AF3388" s="1045">
        <f>'01'!$M$13</f>
        <v>0</v>
      </c>
    </row>
    <row r="3389" spans="1:32" ht="16.5" thickBot="1" x14ac:dyDescent="0.25">
      <c r="A3389" s="2032"/>
      <c r="B3389" s="2033"/>
      <c r="C3389" s="2033"/>
      <c r="D3389" s="2034"/>
      <c r="E3389" s="2027"/>
      <c r="F3389" s="2028"/>
      <c r="G3389" s="2028"/>
      <c r="H3389" s="2028"/>
      <c r="I3389" s="2028"/>
      <c r="J3389" s="2028"/>
      <c r="K3389" s="2028"/>
      <c r="L3389" s="2028"/>
      <c r="M3389" s="2028"/>
      <c r="N3389" s="2028"/>
      <c r="O3389" s="2028"/>
      <c r="P3389" s="2028"/>
      <c r="Q3389" s="2028"/>
      <c r="R3389" s="2028"/>
      <c r="S3389" s="2028"/>
      <c r="T3389" s="2028"/>
      <c r="U3389" s="2028"/>
      <c r="V3389" s="2028"/>
      <c r="W3389" s="2028"/>
      <c r="X3389" s="2028"/>
      <c r="Y3389" s="2028"/>
      <c r="Z3389" s="2028"/>
      <c r="AA3389" s="2028"/>
      <c r="AB3389" s="2028"/>
      <c r="AC3389" s="2028"/>
      <c r="AD3389" s="2036"/>
      <c r="AE3389" s="1041" t="s">
        <v>1837</v>
      </c>
      <c r="AF3389" s="1042" t="s">
        <v>1838</v>
      </c>
    </row>
    <row r="3390" spans="1:32" ht="15.75" x14ac:dyDescent="0.25">
      <c r="A3390" s="2037" t="s">
        <v>1860</v>
      </c>
      <c r="B3390" s="2038"/>
      <c r="C3390" s="2038"/>
      <c r="D3390" s="2038"/>
      <c r="E3390" s="2038"/>
      <c r="F3390" s="2038"/>
      <c r="G3390" s="2038"/>
      <c r="H3390" s="2038"/>
      <c r="I3390" s="2038"/>
      <c r="J3390" s="2038"/>
      <c r="K3390" s="2038"/>
      <c r="L3390" s="2038"/>
      <c r="M3390" s="2038"/>
      <c r="N3390" s="2038"/>
      <c r="O3390" s="2038"/>
      <c r="P3390" s="2038"/>
      <c r="Q3390" s="2038"/>
      <c r="R3390" s="2038"/>
      <c r="S3390" s="2038"/>
      <c r="T3390" s="2038"/>
      <c r="U3390" s="2038"/>
      <c r="V3390" s="2038"/>
      <c r="W3390" s="2038"/>
      <c r="X3390" s="2038"/>
      <c r="Y3390" s="2038"/>
      <c r="Z3390" s="2038"/>
      <c r="AA3390" s="2038"/>
      <c r="AB3390" s="2038"/>
      <c r="AC3390" s="2038"/>
      <c r="AD3390" s="2038"/>
      <c r="AE3390" s="2039" t="s">
        <v>1839</v>
      </c>
      <c r="AF3390" s="2040"/>
    </row>
    <row r="3391" spans="1:32" ht="15.75" x14ac:dyDescent="0.25">
      <c r="A3391" s="2041" t="s">
        <v>1840</v>
      </c>
      <c r="B3391" s="2042"/>
      <c r="C3391" s="2042"/>
      <c r="D3391" s="2042"/>
      <c r="E3391" s="2042"/>
      <c r="F3391" s="2042"/>
      <c r="G3391" s="2042"/>
      <c r="H3391" s="2042"/>
      <c r="I3391" s="2042"/>
      <c r="J3391" s="2042"/>
      <c r="K3391" s="2042"/>
      <c r="L3391" s="2042"/>
      <c r="M3391" s="2042"/>
      <c r="N3391" s="2042"/>
      <c r="O3391" s="2042"/>
      <c r="P3391" s="2042"/>
      <c r="Q3391" s="2042"/>
      <c r="R3391" s="2042"/>
      <c r="S3391" s="2042"/>
      <c r="T3391" s="2042"/>
      <c r="U3391" s="2042"/>
      <c r="V3391" s="2042"/>
      <c r="W3391" s="2042"/>
      <c r="X3391" s="2042"/>
      <c r="Y3391" s="2042"/>
      <c r="Z3391" s="2042"/>
      <c r="AA3391" s="2042"/>
      <c r="AB3391" s="2042"/>
      <c r="AC3391" s="2042"/>
      <c r="AD3391" s="2043"/>
      <c r="AE3391" s="2014" t="s">
        <v>1841</v>
      </c>
      <c r="AF3391" s="2044"/>
    </row>
    <row r="3392" spans="1:32" ht="15.75" x14ac:dyDescent="0.25">
      <c r="A3392" s="2045" t="s">
        <v>1853</v>
      </c>
      <c r="B3392" s="2046"/>
      <c r="C3392" s="2046"/>
      <c r="D3392" s="2046"/>
      <c r="E3392" s="2046"/>
      <c r="F3392" s="2046"/>
      <c r="G3392" s="2046"/>
      <c r="H3392" s="2046"/>
      <c r="I3392" s="2046"/>
      <c r="J3392" s="2046"/>
      <c r="K3392" s="2046"/>
      <c r="L3392" s="2046"/>
      <c r="M3392" s="2046"/>
      <c r="N3392" s="2046"/>
      <c r="O3392" s="2046"/>
      <c r="P3392" s="2046"/>
      <c r="Q3392" s="2046"/>
      <c r="R3392" s="2046"/>
      <c r="S3392" s="2046"/>
      <c r="T3392" s="2046"/>
      <c r="U3392" s="2046"/>
      <c r="V3392" s="2046"/>
      <c r="W3392" s="2046"/>
      <c r="X3392" s="2046"/>
      <c r="Y3392" s="2046"/>
      <c r="Z3392" s="2046"/>
      <c r="AA3392" s="2046"/>
      <c r="AB3392" s="2046"/>
      <c r="AC3392" s="2046"/>
      <c r="AD3392" s="2046"/>
      <c r="AE3392" s="2047">
        <f>'01'!$M$13</f>
        <v>0</v>
      </c>
      <c r="AF3392" s="2044"/>
    </row>
    <row r="3393" spans="1:32" x14ac:dyDescent="0.2">
      <c r="A3393" s="1046"/>
      <c r="B3393" s="1047"/>
      <c r="C3393" s="1047"/>
      <c r="D3393" s="1047"/>
      <c r="E3393" s="1047"/>
      <c r="F3393" s="1047"/>
      <c r="G3393" s="1047"/>
      <c r="H3393" s="1047"/>
      <c r="I3393" s="1047"/>
      <c r="J3393" s="1047"/>
      <c r="K3393" s="1047"/>
      <c r="L3393" s="1047"/>
      <c r="M3393" s="1047"/>
      <c r="N3393" s="1047"/>
      <c r="O3393" s="1047"/>
      <c r="P3393" s="1047"/>
      <c r="Q3393" s="1047"/>
      <c r="R3393" s="1047"/>
      <c r="S3393" s="1047"/>
      <c r="T3393" s="1047"/>
      <c r="U3393" s="1047"/>
      <c r="V3393" s="1047"/>
      <c r="W3393" s="1047"/>
      <c r="X3393" s="1047"/>
      <c r="Y3393" s="1047"/>
      <c r="Z3393" s="1047"/>
      <c r="AA3393" s="1047"/>
      <c r="AB3393" s="1047"/>
      <c r="AC3393" s="1047"/>
      <c r="AD3393" s="1047"/>
      <c r="AE3393" s="1047"/>
      <c r="AF3393" s="1048"/>
    </row>
    <row r="3394" spans="1:32" ht="30" customHeight="1" x14ac:dyDescent="0.2">
      <c r="A3394" s="2048" t="s">
        <v>1842</v>
      </c>
      <c r="B3394" s="2049"/>
      <c r="C3394" s="2049"/>
      <c r="D3394" s="2049"/>
      <c r="E3394" s="2049"/>
      <c r="F3394" s="2050" t="str">
        <f>+'01'!$H$130</f>
        <v>E - ESPESADOR GRAVIMÉTRICO</v>
      </c>
      <c r="G3394" s="2049"/>
      <c r="H3394" s="2049"/>
      <c r="I3394" s="2049"/>
      <c r="J3394" s="2049"/>
      <c r="K3394" s="2049"/>
      <c r="L3394" s="2049"/>
      <c r="M3394" s="2049"/>
      <c r="N3394" s="2049"/>
      <c r="O3394" s="2049"/>
      <c r="P3394" s="2049"/>
      <c r="Q3394" s="2049"/>
      <c r="R3394" s="2049"/>
      <c r="S3394" s="2049"/>
      <c r="T3394" s="2049"/>
      <c r="U3394" s="2049"/>
      <c r="V3394" s="2049"/>
      <c r="W3394" s="2049"/>
      <c r="X3394" s="2049"/>
      <c r="Y3394" s="2051"/>
      <c r="Z3394" s="2052" t="s">
        <v>1843</v>
      </c>
      <c r="AA3394" s="2053"/>
      <c r="AB3394" s="2058" t="s">
        <v>1844</v>
      </c>
      <c r="AC3394" s="2059"/>
      <c r="AD3394" s="2060"/>
      <c r="AE3394" s="2064" t="s">
        <v>1845</v>
      </c>
      <c r="AF3394" s="2067" t="s">
        <v>1846</v>
      </c>
    </row>
    <row r="3395" spans="1:32" ht="15" customHeight="1" x14ac:dyDescent="0.2">
      <c r="A3395" s="2070" t="str">
        <f>+'01'!A149</f>
        <v>E-07-01</v>
      </c>
      <c r="B3395" s="2071"/>
      <c r="C3395" s="2072"/>
      <c r="D3395" s="2076" t="str">
        <f>VLOOKUP(A3395,'01'!$A$12:$N$299,3,FALSE)</f>
        <v xml:space="preserve">SUMINISTRO E INSTALACIÓN DE TUBERIA PVC UNION MECANICA DE 4". PRESIÓN DE TRABAJO 200 PSI.  </v>
      </c>
      <c r="E3395" s="2077"/>
      <c r="F3395" s="2077"/>
      <c r="G3395" s="2077"/>
      <c r="H3395" s="2077"/>
      <c r="I3395" s="2077"/>
      <c r="J3395" s="2077"/>
      <c r="K3395" s="2077"/>
      <c r="L3395" s="2077"/>
      <c r="M3395" s="2077"/>
      <c r="N3395" s="2077"/>
      <c r="O3395" s="2077"/>
      <c r="P3395" s="2077"/>
      <c r="Q3395" s="2077"/>
      <c r="R3395" s="2077"/>
      <c r="S3395" s="2078"/>
      <c r="T3395" s="2082" t="s">
        <v>124</v>
      </c>
      <c r="U3395" s="2083"/>
      <c r="V3395" s="2083"/>
      <c r="W3395" s="2083"/>
      <c r="X3395" s="2052" t="str">
        <f>VLOOKUP(A3395,'01'!$A$12:$N$299,9,FALSE)</f>
        <v>ML</v>
      </c>
      <c r="Y3395" s="2053"/>
      <c r="Z3395" s="2054"/>
      <c r="AA3395" s="2055"/>
      <c r="AB3395" s="2061"/>
      <c r="AC3395" s="2062"/>
      <c r="AD3395" s="2063"/>
      <c r="AE3395" s="2065"/>
      <c r="AF3395" s="2068"/>
    </row>
    <row r="3396" spans="1:32" ht="15" customHeight="1" x14ac:dyDescent="0.25">
      <c r="A3396" s="2073"/>
      <c r="B3396" s="2074"/>
      <c r="C3396" s="2075"/>
      <c r="D3396" s="2079"/>
      <c r="E3396" s="2080"/>
      <c r="F3396" s="2080"/>
      <c r="G3396" s="2080"/>
      <c r="H3396" s="2080"/>
      <c r="I3396" s="2080"/>
      <c r="J3396" s="2080"/>
      <c r="K3396" s="2080"/>
      <c r="L3396" s="2080"/>
      <c r="M3396" s="2080"/>
      <c r="N3396" s="2080"/>
      <c r="O3396" s="2080"/>
      <c r="P3396" s="2080"/>
      <c r="Q3396" s="2080"/>
      <c r="R3396" s="2080"/>
      <c r="S3396" s="2081"/>
      <c r="T3396" s="2084"/>
      <c r="U3396" s="2085"/>
      <c r="V3396" s="2085"/>
      <c r="W3396" s="2085"/>
      <c r="X3396" s="2056"/>
      <c r="Y3396" s="2057"/>
      <c r="Z3396" s="2056"/>
      <c r="AA3396" s="2057"/>
      <c r="AB3396" s="1049" t="s">
        <v>1847</v>
      </c>
      <c r="AC3396" s="1049" t="s">
        <v>1848</v>
      </c>
      <c r="AD3396" s="1049" t="s">
        <v>1861</v>
      </c>
      <c r="AE3396" s="2066"/>
      <c r="AF3396" s="2069"/>
    </row>
    <row r="3397" spans="1:32" ht="15.6" customHeight="1" x14ac:dyDescent="0.25">
      <c r="A3397" s="2017"/>
      <c r="B3397" s="2018"/>
      <c r="C3397" s="2018"/>
      <c r="D3397" s="2018"/>
      <c r="E3397" s="2018"/>
      <c r="F3397" s="2018"/>
      <c r="G3397" s="2018"/>
      <c r="H3397" s="2018"/>
      <c r="I3397" s="2018"/>
      <c r="J3397" s="2018"/>
      <c r="K3397" s="2018"/>
      <c r="L3397" s="2018"/>
      <c r="M3397" s="2018"/>
      <c r="N3397" s="2018"/>
      <c r="O3397" s="2018"/>
      <c r="P3397" s="2018"/>
      <c r="Q3397" s="2018"/>
      <c r="R3397" s="2018"/>
      <c r="S3397" s="2018"/>
      <c r="T3397" s="2018"/>
      <c r="U3397" s="2018"/>
      <c r="V3397" s="2018"/>
      <c r="W3397" s="2018"/>
      <c r="X3397" s="2018"/>
      <c r="Y3397" s="2018"/>
      <c r="Z3397" s="2021" t="s">
        <v>2472</v>
      </c>
      <c r="AA3397" s="2021"/>
      <c r="AB3397" s="1050">
        <v>12</v>
      </c>
      <c r="AC3397" s="1050"/>
      <c r="AD3397" s="1050"/>
      <c r="AE3397" s="1050">
        <v>1</v>
      </c>
      <c r="AF3397" s="1052">
        <f>+ROUND(AB3397*AE3397,2)</f>
        <v>12</v>
      </c>
    </row>
    <row r="3398" spans="1:32" ht="15.6" customHeight="1" x14ac:dyDescent="0.25">
      <c r="A3398" s="2017"/>
      <c r="B3398" s="2018"/>
      <c r="C3398" s="2018"/>
      <c r="D3398" s="2018"/>
      <c r="E3398" s="2018"/>
      <c r="F3398" s="2018"/>
      <c r="G3398" s="2018"/>
      <c r="H3398" s="2018"/>
      <c r="I3398" s="2018"/>
      <c r="J3398" s="2018"/>
      <c r="K3398" s="2018"/>
      <c r="L3398" s="2018"/>
      <c r="M3398" s="2018"/>
      <c r="N3398" s="2018"/>
      <c r="O3398" s="2018"/>
      <c r="P3398" s="2018"/>
      <c r="Q3398" s="2018"/>
      <c r="R3398" s="2018"/>
      <c r="S3398" s="2018"/>
      <c r="T3398" s="2018"/>
      <c r="U3398" s="2018"/>
      <c r="V3398" s="2018"/>
      <c r="W3398" s="2018"/>
      <c r="X3398" s="2018"/>
      <c r="Y3398" s="2018"/>
      <c r="Z3398" s="2021" t="s">
        <v>2471</v>
      </c>
      <c r="AA3398" s="2021"/>
      <c r="AB3398" s="1050">
        <v>4</v>
      </c>
      <c r="AC3398" s="1050"/>
      <c r="AD3398" s="1050"/>
      <c r="AE3398" s="1050">
        <v>1</v>
      </c>
      <c r="AF3398" s="1052">
        <f>+ROUND(AB3398*AE3398,2)</f>
        <v>4</v>
      </c>
    </row>
    <row r="3399" spans="1:32" ht="15.75" x14ac:dyDescent="0.25">
      <c r="A3399" s="2017"/>
      <c r="B3399" s="2018"/>
      <c r="C3399" s="2018"/>
      <c r="D3399" s="2018"/>
      <c r="E3399" s="2018"/>
      <c r="F3399" s="2018"/>
      <c r="G3399" s="2018"/>
      <c r="H3399" s="2018"/>
      <c r="I3399" s="2018"/>
      <c r="J3399" s="2018"/>
      <c r="K3399" s="2018"/>
      <c r="L3399" s="2018"/>
      <c r="M3399" s="2018"/>
      <c r="N3399" s="2018"/>
      <c r="O3399" s="2018"/>
      <c r="P3399" s="2018"/>
      <c r="Q3399" s="2018"/>
      <c r="R3399" s="2018"/>
      <c r="S3399" s="2018"/>
      <c r="T3399" s="2018"/>
      <c r="U3399" s="2018"/>
      <c r="V3399" s="2018"/>
      <c r="W3399" s="2018"/>
      <c r="X3399" s="2018"/>
      <c r="Y3399" s="2018"/>
      <c r="Z3399" s="2021"/>
      <c r="AA3399" s="2021"/>
      <c r="AB3399" s="1050"/>
      <c r="AC3399" s="1050"/>
      <c r="AD3399" s="1050"/>
      <c r="AE3399" s="1050"/>
      <c r="AF3399" s="1052"/>
    </row>
    <row r="3400" spans="1:32" ht="15.75" x14ac:dyDescent="0.25">
      <c r="A3400" s="2017"/>
      <c r="B3400" s="2018"/>
      <c r="C3400" s="2018"/>
      <c r="D3400" s="2018"/>
      <c r="E3400" s="2018"/>
      <c r="F3400" s="2018"/>
      <c r="G3400" s="2018"/>
      <c r="H3400" s="2018"/>
      <c r="I3400" s="2018"/>
      <c r="J3400" s="2018"/>
      <c r="K3400" s="2018"/>
      <c r="L3400" s="2018"/>
      <c r="M3400" s="2018"/>
      <c r="N3400" s="2018"/>
      <c r="O3400" s="2018"/>
      <c r="P3400" s="2018"/>
      <c r="Q3400" s="2018"/>
      <c r="R3400" s="2018"/>
      <c r="S3400" s="2018"/>
      <c r="T3400" s="2018"/>
      <c r="U3400" s="2018"/>
      <c r="V3400" s="2018"/>
      <c r="W3400" s="2018"/>
      <c r="X3400" s="2018"/>
      <c r="Y3400" s="2018"/>
      <c r="Z3400" s="2021"/>
      <c r="AA3400" s="2021"/>
      <c r="AB3400" s="1050"/>
      <c r="AC3400" s="1050"/>
      <c r="AD3400" s="1050"/>
      <c r="AE3400" s="1050"/>
      <c r="AF3400" s="1052"/>
    </row>
    <row r="3401" spans="1:32" ht="15.75" x14ac:dyDescent="0.25">
      <c r="A3401" s="2017"/>
      <c r="B3401" s="2018"/>
      <c r="C3401" s="2018"/>
      <c r="D3401" s="2018"/>
      <c r="E3401" s="2018"/>
      <c r="F3401" s="2018"/>
      <c r="G3401" s="2018"/>
      <c r="H3401" s="2018"/>
      <c r="I3401" s="2018"/>
      <c r="J3401" s="2018"/>
      <c r="K3401" s="2018"/>
      <c r="L3401" s="2018"/>
      <c r="M3401" s="2018"/>
      <c r="N3401" s="2018"/>
      <c r="O3401" s="2018"/>
      <c r="P3401" s="2018"/>
      <c r="Q3401" s="2018"/>
      <c r="R3401" s="2018"/>
      <c r="S3401" s="2018"/>
      <c r="T3401" s="2018"/>
      <c r="U3401" s="2018"/>
      <c r="V3401" s="2018"/>
      <c r="W3401" s="2018"/>
      <c r="X3401" s="2018"/>
      <c r="Y3401" s="2018"/>
      <c r="Z3401" s="2021"/>
      <c r="AA3401" s="2021"/>
      <c r="AB3401" s="1050"/>
      <c r="AC3401" s="1050"/>
      <c r="AD3401" s="1050"/>
      <c r="AE3401" s="1050"/>
      <c r="AF3401" s="1052"/>
    </row>
    <row r="3402" spans="1:32" ht="15.75" x14ac:dyDescent="0.25">
      <c r="A3402" s="2017"/>
      <c r="B3402" s="2018"/>
      <c r="C3402" s="2018"/>
      <c r="D3402" s="2018"/>
      <c r="E3402" s="2018"/>
      <c r="F3402" s="2018"/>
      <c r="G3402" s="2018"/>
      <c r="H3402" s="2018"/>
      <c r="I3402" s="2018"/>
      <c r="J3402" s="2018"/>
      <c r="K3402" s="2018"/>
      <c r="L3402" s="2018"/>
      <c r="M3402" s="2018"/>
      <c r="N3402" s="2018"/>
      <c r="O3402" s="2018"/>
      <c r="P3402" s="2018"/>
      <c r="Q3402" s="2018"/>
      <c r="R3402" s="2018"/>
      <c r="S3402" s="2018"/>
      <c r="T3402" s="2018"/>
      <c r="U3402" s="2018"/>
      <c r="V3402" s="2018"/>
      <c r="W3402" s="2018"/>
      <c r="X3402" s="2018"/>
      <c r="Y3402" s="2018"/>
      <c r="Z3402" s="2021"/>
      <c r="AA3402" s="2021"/>
      <c r="AB3402" s="1050"/>
      <c r="AC3402" s="1050"/>
      <c r="AD3402" s="1050"/>
      <c r="AE3402" s="1050"/>
      <c r="AF3402" s="1052"/>
    </row>
    <row r="3403" spans="1:32" ht="15.75" x14ac:dyDescent="0.25">
      <c r="A3403" s="2017"/>
      <c r="B3403" s="2018"/>
      <c r="C3403" s="2018"/>
      <c r="D3403" s="2018"/>
      <c r="E3403" s="2018"/>
      <c r="F3403" s="2018"/>
      <c r="G3403" s="2018"/>
      <c r="H3403" s="2018"/>
      <c r="I3403" s="2018"/>
      <c r="J3403" s="2018"/>
      <c r="K3403" s="2018"/>
      <c r="L3403" s="2018"/>
      <c r="M3403" s="2018"/>
      <c r="N3403" s="2018"/>
      <c r="O3403" s="2018"/>
      <c r="P3403" s="2018"/>
      <c r="Q3403" s="2018"/>
      <c r="R3403" s="2018"/>
      <c r="S3403" s="2018"/>
      <c r="T3403" s="2018"/>
      <c r="U3403" s="2018"/>
      <c r="V3403" s="2018"/>
      <c r="W3403" s="2018"/>
      <c r="X3403" s="2018"/>
      <c r="Y3403" s="2018"/>
      <c r="Z3403" s="2021"/>
      <c r="AA3403" s="2021"/>
      <c r="AB3403" s="1050"/>
      <c r="AC3403" s="1050"/>
      <c r="AD3403" s="1050"/>
      <c r="AE3403" s="1050"/>
      <c r="AF3403" s="1052"/>
    </row>
    <row r="3404" spans="1:32" ht="15.75" x14ac:dyDescent="0.25">
      <c r="A3404" s="2017"/>
      <c r="B3404" s="2018"/>
      <c r="C3404" s="2018"/>
      <c r="D3404" s="2018"/>
      <c r="E3404" s="2018"/>
      <c r="F3404" s="2018"/>
      <c r="G3404" s="2018"/>
      <c r="H3404" s="2018"/>
      <c r="I3404" s="2018"/>
      <c r="J3404" s="2018"/>
      <c r="K3404" s="2018"/>
      <c r="L3404" s="2018"/>
      <c r="M3404" s="2018"/>
      <c r="N3404" s="2018"/>
      <c r="O3404" s="2018"/>
      <c r="P3404" s="2018"/>
      <c r="Q3404" s="2018"/>
      <c r="R3404" s="2018"/>
      <c r="S3404" s="2018"/>
      <c r="T3404" s="2018"/>
      <c r="U3404" s="2018"/>
      <c r="V3404" s="2018"/>
      <c r="W3404" s="2018"/>
      <c r="X3404" s="2018"/>
      <c r="Y3404" s="2018"/>
      <c r="Z3404" s="2021"/>
      <c r="AA3404" s="2021"/>
      <c r="AB3404" s="1050"/>
      <c r="AC3404" s="1050"/>
      <c r="AD3404" s="1050"/>
      <c r="AE3404" s="1050"/>
      <c r="AF3404" s="1052"/>
    </row>
    <row r="3405" spans="1:32" ht="15.75" x14ac:dyDescent="0.25">
      <c r="A3405" s="2017"/>
      <c r="B3405" s="2018"/>
      <c r="C3405" s="2018"/>
      <c r="D3405" s="2018"/>
      <c r="E3405" s="2018"/>
      <c r="F3405" s="2018"/>
      <c r="G3405" s="2018"/>
      <c r="H3405" s="2018"/>
      <c r="I3405" s="2018"/>
      <c r="J3405" s="2018"/>
      <c r="K3405" s="2018"/>
      <c r="L3405" s="2018"/>
      <c r="M3405" s="2018"/>
      <c r="N3405" s="2018"/>
      <c r="O3405" s="2018"/>
      <c r="P3405" s="2018"/>
      <c r="Q3405" s="2018"/>
      <c r="R3405" s="2018"/>
      <c r="S3405" s="2018"/>
      <c r="T3405" s="2018"/>
      <c r="U3405" s="2018"/>
      <c r="V3405" s="2018"/>
      <c r="W3405" s="2018"/>
      <c r="X3405" s="2018"/>
      <c r="Y3405" s="2018"/>
      <c r="Z3405" s="2021"/>
      <c r="AA3405" s="2021"/>
      <c r="AB3405" s="1050"/>
      <c r="AC3405" s="1050"/>
      <c r="AD3405" s="1050"/>
      <c r="AE3405" s="1050"/>
      <c r="AF3405" s="1052"/>
    </row>
    <row r="3406" spans="1:32" ht="15.75" x14ac:dyDescent="0.25">
      <c r="A3406" s="2017"/>
      <c r="B3406" s="2018"/>
      <c r="C3406" s="2018"/>
      <c r="D3406" s="2018"/>
      <c r="E3406" s="2018"/>
      <c r="F3406" s="2018"/>
      <c r="G3406" s="2018"/>
      <c r="H3406" s="2018"/>
      <c r="I3406" s="2018"/>
      <c r="J3406" s="2018"/>
      <c r="K3406" s="2018"/>
      <c r="L3406" s="2018"/>
      <c r="M3406" s="2018"/>
      <c r="N3406" s="2018"/>
      <c r="O3406" s="2018"/>
      <c r="P3406" s="2018"/>
      <c r="Q3406" s="2018"/>
      <c r="R3406" s="2018"/>
      <c r="S3406" s="2018"/>
      <c r="T3406" s="2018"/>
      <c r="U3406" s="2018"/>
      <c r="V3406" s="2018"/>
      <c r="W3406" s="2018"/>
      <c r="X3406" s="2018"/>
      <c r="Y3406" s="2018"/>
      <c r="Z3406" s="2021"/>
      <c r="AA3406" s="2021"/>
      <c r="AB3406" s="1050"/>
      <c r="AC3406" s="1050"/>
      <c r="AD3406" s="1050"/>
      <c r="AE3406" s="1050"/>
      <c r="AF3406" s="1052"/>
    </row>
    <row r="3407" spans="1:32" ht="15.75" x14ac:dyDescent="0.25">
      <c r="A3407" s="2017"/>
      <c r="B3407" s="2018"/>
      <c r="C3407" s="2018"/>
      <c r="D3407" s="2018"/>
      <c r="E3407" s="2018"/>
      <c r="F3407" s="2018"/>
      <c r="G3407" s="2018"/>
      <c r="H3407" s="2018"/>
      <c r="I3407" s="2018"/>
      <c r="J3407" s="2018"/>
      <c r="K3407" s="2018"/>
      <c r="L3407" s="2018"/>
      <c r="M3407" s="2018"/>
      <c r="N3407" s="2018"/>
      <c r="O3407" s="2018"/>
      <c r="P3407" s="2018"/>
      <c r="Q3407" s="2018"/>
      <c r="R3407" s="2018"/>
      <c r="S3407" s="2018"/>
      <c r="T3407" s="2018"/>
      <c r="U3407" s="2018"/>
      <c r="V3407" s="2018"/>
      <c r="W3407" s="2018"/>
      <c r="X3407" s="2018"/>
      <c r="Y3407" s="2018"/>
      <c r="Z3407" s="2021"/>
      <c r="AA3407" s="2021"/>
      <c r="AB3407" s="1050"/>
      <c r="AC3407" s="1050"/>
      <c r="AD3407" s="1050"/>
      <c r="AE3407" s="1050"/>
      <c r="AF3407" s="1052"/>
    </row>
    <row r="3408" spans="1:32" ht="15.75" x14ac:dyDescent="0.25">
      <c r="A3408" s="2017"/>
      <c r="B3408" s="2018"/>
      <c r="C3408" s="2018"/>
      <c r="D3408" s="2018"/>
      <c r="E3408" s="2018"/>
      <c r="F3408" s="2018"/>
      <c r="G3408" s="2018"/>
      <c r="H3408" s="2018"/>
      <c r="I3408" s="2018"/>
      <c r="J3408" s="2018"/>
      <c r="K3408" s="2018"/>
      <c r="L3408" s="2018"/>
      <c r="M3408" s="2018"/>
      <c r="N3408" s="2018"/>
      <c r="O3408" s="2018"/>
      <c r="P3408" s="2018"/>
      <c r="Q3408" s="2018"/>
      <c r="R3408" s="2018"/>
      <c r="S3408" s="2018"/>
      <c r="T3408" s="2018"/>
      <c r="U3408" s="2018"/>
      <c r="V3408" s="2018"/>
      <c r="W3408" s="2018"/>
      <c r="X3408" s="2018"/>
      <c r="Y3408" s="2018"/>
      <c r="Z3408" s="2021"/>
      <c r="AA3408" s="2021"/>
      <c r="AB3408" s="1050"/>
      <c r="AC3408" s="1050"/>
      <c r="AD3408" s="1050"/>
      <c r="AE3408" s="1050"/>
      <c r="AF3408" s="1052"/>
    </row>
    <row r="3409" spans="1:32" ht="15.75" x14ac:dyDescent="0.25">
      <c r="A3409" s="2017"/>
      <c r="B3409" s="2018"/>
      <c r="C3409" s="2018"/>
      <c r="D3409" s="2018"/>
      <c r="E3409" s="2018"/>
      <c r="F3409" s="2018"/>
      <c r="G3409" s="2018"/>
      <c r="H3409" s="2018"/>
      <c r="I3409" s="2018"/>
      <c r="J3409" s="2018"/>
      <c r="K3409" s="2018"/>
      <c r="L3409" s="2018"/>
      <c r="M3409" s="2018"/>
      <c r="N3409" s="2018"/>
      <c r="O3409" s="2018"/>
      <c r="P3409" s="2018"/>
      <c r="Q3409" s="2018"/>
      <c r="R3409" s="2018"/>
      <c r="S3409" s="2018"/>
      <c r="T3409" s="2018"/>
      <c r="U3409" s="2018"/>
      <c r="V3409" s="2018"/>
      <c r="W3409" s="2018"/>
      <c r="X3409" s="2018"/>
      <c r="Y3409" s="2018"/>
      <c r="Z3409" s="2021"/>
      <c r="AA3409" s="2021"/>
      <c r="AB3409" s="1050"/>
      <c r="AC3409" s="1050"/>
      <c r="AD3409" s="1050"/>
      <c r="AE3409" s="1050"/>
      <c r="AF3409" s="1052"/>
    </row>
    <row r="3410" spans="1:32" ht="15.75" x14ac:dyDescent="0.25">
      <c r="A3410" s="2017"/>
      <c r="B3410" s="2018"/>
      <c r="C3410" s="2018"/>
      <c r="D3410" s="2018"/>
      <c r="E3410" s="2018"/>
      <c r="F3410" s="2018"/>
      <c r="G3410" s="2018"/>
      <c r="H3410" s="2018"/>
      <c r="I3410" s="2018"/>
      <c r="J3410" s="2018"/>
      <c r="K3410" s="2018"/>
      <c r="L3410" s="2018"/>
      <c r="M3410" s="2018"/>
      <c r="N3410" s="2018"/>
      <c r="O3410" s="2018"/>
      <c r="P3410" s="2018"/>
      <c r="Q3410" s="2018"/>
      <c r="R3410" s="2018"/>
      <c r="S3410" s="2018"/>
      <c r="T3410" s="2018"/>
      <c r="U3410" s="2018"/>
      <c r="V3410" s="2018"/>
      <c r="W3410" s="2018"/>
      <c r="X3410" s="2018"/>
      <c r="Y3410" s="2018"/>
      <c r="Z3410" s="2021"/>
      <c r="AA3410" s="2021"/>
      <c r="AB3410" s="1050"/>
      <c r="AC3410" s="1050"/>
      <c r="AD3410" s="1050"/>
      <c r="AE3410" s="1050"/>
      <c r="AF3410" s="1052"/>
    </row>
    <row r="3411" spans="1:32" ht="15.75" x14ac:dyDescent="0.25">
      <c r="A3411" s="2017"/>
      <c r="B3411" s="2018"/>
      <c r="C3411" s="2018"/>
      <c r="D3411" s="2018"/>
      <c r="E3411" s="2018"/>
      <c r="F3411" s="2018"/>
      <c r="G3411" s="2018"/>
      <c r="H3411" s="2018"/>
      <c r="I3411" s="2018"/>
      <c r="J3411" s="2018"/>
      <c r="K3411" s="2018"/>
      <c r="L3411" s="2018"/>
      <c r="M3411" s="2018"/>
      <c r="N3411" s="2018"/>
      <c r="O3411" s="2018"/>
      <c r="P3411" s="2018"/>
      <c r="Q3411" s="2018"/>
      <c r="R3411" s="2018"/>
      <c r="S3411" s="2018"/>
      <c r="T3411" s="2018"/>
      <c r="U3411" s="2018"/>
      <c r="V3411" s="2018"/>
      <c r="W3411" s="2018"/>
      <c r="X3411" s="2018"/>
      <c r="Y3411" s="2018"/>
      <c r="Z3411" s="2022"/>
      <c r="AA3411" s="2022"/>
      <c r="AB3411" s="1050"/>
      <c r="AC3411" s="1050"/>
      <c r="AD3411" s="1050"/>
      <c r="AE3411" s="1050"/>
      <c r="AF3411" s="1052"/>
    </row>
    <row r="3412" spans="1:32" ht="15.75" x14ac:dyDescent="0.25">
      <c r="A3412" s="2017"/>
      <c r="B3412" s="2018"/>
      <c r="C3412" s="2018"/>
      <c r="D3412" s="2018"/>
      <c r="E3412" s="2018"/>
      <c r="F3412" s="2018"/>
      <c r="G3412" s="2018"/>
      <c r="H3412" s="2018"/>
      <c r="I3412" s="2018"/>
      <c r="J3412" s="2018"/>
      <c r="K3412" s="2018"/>
      <c r="L3412" s="2018"/>
      <c r="M3412" s="2018"/>
      <c r="N3412" s="2018"/>
      <c r="O3412" s="2018"/>
      <c r="P3412" s="2018"/>
      <c r="Q3412" s="2018"/>
      <c r="R3412" s="2018"/>
      <c r="S3412" s="2018"/>
      <c r="T3412" s="2018"/>
      <c r="U3412" s="2018"/>
      <c r="V3412" s="2018"/>
      <c r="W3412" s="2018"/>
      <c r="X3412" s="2018"/>
      <c r="Y3412" s="2018"/>
      <c r="Z3412" s="2022"/>
      <c r="AA3412" s="2022"/>
      <c r="AB3412" s="1050"/>
      <c r="AC3412" s="1050"/>
      <c r="AD3412" s="1050"/>
      <c r="AE3412" s="1050"/>
      <c r="AF3412" s="1052"/>
    </row>
    <row r="3413" spans="1:32" ht="15.75" x14ac:dyDescent="0.25">
      <c r="A3413" s="2017"/>
      <c r="B3413" s="2018"/>
      <c r="C3413" s="2018"/>
      <c r="D3413" s="2018"/>
      <c r="E3413" s="2018"/>
      <c r="F3413" s="2018"/>
      <c r="G3413" s="2018"/>
      <c r="H3413" s="2018"/>
      <c r="I3413" s="2018"/>
      <c r="J3413" s="2018"/>
      <c r="K3413" s="2018"/>
      <c r="L3413" s="2018"/>
      <c r="M3413" s="2018"/>
      <c r="N3413" s="2018"/>
      <c r="O3413" s="2018"/>
      <c r="P3413" s="2018"/>
      <c r="Q3413" s="2018"/>
      <c r="R3413" s="2018"/>
      <c r="S3413" s="2018"/>
      <c r="T3413" s="2018"/>
      <c r="U3413" s="2018"/>
      <c r="V3413" s="2018"/>
      <c r="W3413" s="2018"/>
      <c r="X3413" s="2018"/>
      <c r="Y3413" s="2018"/>
      <c r="Z3413" s="2022"/>
      <c r="AA3413" s="2022"/>
      <c r="AB3413" s="1050"/>
      <c r="AC3413" s="1050"/>
      <c r="AD3413" s="1050"/>
      <c r="AE3413" s="1050"/>
      <c r="AF3413" s="1052"/>
    </row>
    <row r="3414" spans="1:32" ht="15.75" x14ac:dyDescent="0.25">
      <c r="A3414" s="2017"/>
      <c r="B3414" s="2018"/>
      <c r="C3414" s="2018"/>
      <c r="D3414" s="2018"/>
      <c r="E3414" s="2018"/>
      <c r="F3414" s="2018"/>
      <c r="G3414" s="2018"/>
      <c r="H3414" s="2018"/>
      <c r="I3414" s="2018"/>
      <c r="J3414" s="2018"/>
      <c r="K3414" s="2018"/>
      <c r="L3414" s="2018"/>
      <c r="M3414" s="2018"/>
      <c r="N3414" s="2018"/>
      <c r="O3414" s="2018"/>
      <c r="P3414" s="2018"/>
      <c r="Q3414" s="2018"/>
      <c r="R3414" s="2018"/>
      <c r="S3414" s="2018"/>
      <c r="T3414" s="2018"/>
      <c r="U3414" s="2018"/>
      <c r="V3414" s="2018"/>
      <c r="W3414" s="2018"/>
      <c r="X3414" s="2018"/>
      <c r="Y3414" s="2018"/>
      <c r="Z3414" s="2023"/>
      <c r="AA3414" s="2023"/>
      <c r="AB3414" s="1050"/>
      <c r="AC3414" s="1050"/>
      <c r="AD3414" s="1050"/>
      <c r="AE3414" s="1050"/>
      <c r="AF3414" s="1052"/>
    </row>
    <row r="3415" spans="1:32" ht="15.75" x14ac:dyDescent="0.25">
      <c r="A3415" s="2017"/>
      <c r="B3415" s="2018"/>
      <c r="C3415" s="2018"/>
      <c r="D3415" s="2018"/>
      <c r="E3415" s="2018"/>
      <c r="F3415" s="2018"/>
      <c r="G3415" s="2018"/>
      <c r="H3415" s="2018"/>
      <c r="I3415" s="2018"/>
      <c r="J3415" s="2018"/>
      <c r="K3415" s="2018"/>
      <c r="L3415" s="2018"/>
      <c r="M3415" s="2018"/>
      <c r="N3415" s="2018"/>
      <c r="O3415" s="2018"/>
      <c r="P3415" s="2018"/>
      <c r="Q3415" s="2018"/>
      <c r="R3415" s="2018"/>
      <c r="S3415" s="2018"/>
      <c r="T3415" s="2018"/>
      <c r="U3415" s="2018"/>
      <c r="V3415" s="2018"/>
      <c r="W3415" s="2018"/>
      <c r="X3415" s="2018"/>
      <c r="Y3415" s="2018"/>
      <c r="Z3415" s="2023"/>
      <c r="AA3415" s="2023"/>
      <c r="AB3415" s="1050"/>
      <c r="AC3415" s="1050"/>
      <c r="AD3415" s="1050"/>
      <c r="AE3415" s="1050"/>
      <c r="AF3415" s="1052"/>
    </row>
    <row r="3416" spans="1:32" ht="15.75" x14ac:dyDescent="0.25">
      <c r="A3416" s="2017"/>
      <c r="B3416" s="2018"/>
      <c r="C3416" s="2018"/>
      <c r="D3416" s="2018"/>
      <c r="E3416" s="2018"/>
      <c r="F3416" s="2018"/>
      <c r="G3416" s="2018"/>
      <c r="H3416" s="2018"/>
      <c r="I3416" s="2018"/>
      <c r="J3416" s="2018"/>
      <c r="K3416" s="2018"/>
      <c r="L3416" s="2018"/>
      <c r="M3416" s="2018"/>
      <c r="N3416" s="2018"/>
      <c r="O3416" s="2018"/>
      <c r="P3416" s="2018"/>
      <c r="Q3416" s="2018"/>
      <c r="R3416" s="2018"/>
      <c r="S3416" s="2018"/>
      <c r="T3416" s="2018"/>
      <c r="U3416" s="2018"/>
      <c r="V3416" s="2018"/>
      <c r="W3416" s="2018"/>
      <c r="X3416" s="2018"/>
      <c r="Y3416" s="2018"/>
      <c r="Z3416" s="2023"/>
      <c r="AA3416" s="2023"/>
      <c r="AB3416" s="1050"/>
      <c r="AC3416" s="1050"/>
      <c r="AD3416" s="1050"/>
      <c r="AE3416" s="1050"/>
      <c r="AF3416" s="1052"/>
    </row>
    <row r="3417" spans="1:32" ht="15.75" x14ac:dyDescent="0.25">
      <c r="A3417" s="2017"/>
      <c r="B3417" s="2018"/>
      <c r="C3417" s="2018"/>
      <c r="D3417" s="2018"/>
      <c r="E3417" s="2018"/>
      <c r="F3417" s="2018"/>
      <c r="G3417" s="2018"/>
      <c r="H3417" s="2018"/>
      <c r="I3417" s="2018"/>
      <c r="J3417" s="2018"/>
      <c r="K3417" s="2018"/>
      <c r="L3417" s="2018"/>
      <c r="M3417" s="2018"/>
      <c r="N3417" s="2018"/>
      <c r="O3417" s="2018"/>
      <c r="P3417" s="2018"/>
      <c r="Q3417" s="2018"/>
      <c r="R3417" s="2018"/>
      <c r="S3417" s="2018"/>
      <c r="T3417" s="2018"/>
      <c r="U3417" s="2018"/>
      <c r="V3417" s="2018"/>
      <c r="W3417" s="2018"/>
      <c r="X3417" s="2018"/>
      <c r="Y3417" s="2018"/>
      <c r="Z3417" s="2023"/>
      <c r="AA3417" s="2023"/>
      <c r="AB3417" s="1050"/>
      <c r="AC3417" s="1050"/>
      <c r="AD3417" s="1050"/>
      <c r="AE3417" s="1050"/>
      <c r="AF3417" s="1052"/>
    </row>
    <row r="3418" spans="1:32" ht="15.75" x14ac:dyDescent="0.25">
      <c r="A3418" s="2017"/>
      <c r="B3418" s="2018"/>
      <c r="C3418" s="2018"/>
      <c r="D3418" s="2018"/>
      <c r="E3418" s="2018"/>
      <c r="F3418" s="2018"/>
      <c r="G3418" s="2018"/>
      <c r="H3418" s="2018"/>
      <c r="I3418" s="2018"/>
      <c r="J3418" s="2018"/>
      <c r="K3418" s="2018"/>
      <c r="L3418" s="2018"/>
      <c r="M3418" s="2018"/>
      <c r="N3418" s="2018"/>
      <c r="O3418" s="2018"/>
      <c r="P3418" s="2018"/>
      <c r="Q3418" s="2018"/>
      <c r="R3418" s="2018"/>
      <c r="S3418" s="2018"/>
      <c r="T3418" s="2018"/>
      <c r="U3418" s="2018"/>
      <c r="V3418" s="2018"/>
      <c r="W3418" s="2018"/>
      <c r="X3418" s="2018"/>
      <c r="Y3418" s="2018"/>
      <c r="Z3418" s="2023"/>
      <c r="AA3418" s="2023"/>
      <c r="AB3418" s="1050"/>
      <c r="AC3418" s="1050"/>
      <c r="AD3418" s="1050"/>
      <c r="AE3418" s="1050"/>
      <c r="AF3418" s="1052"/>
    </row>
    <row r="3419" spans="1:32" ht="15.75" x14ac:dyDescent="0.25">
      <c r="A3419" s="2017"/>
      <c r="B3419" s="2018"/>
      <c r="C3419" s="2018"/>
      <c r="D3419" s="2018"/>
      <c r="E3419" s="2018"/>
      <c r="F3419" s="2018"/>
      <c r="G3419" s="2018"/>
      <c r="H3419" s="2018"/>
      <c r="I3419" s="2018"/>
      <c r="J3419" s="2018"/>
      <c r="K3419" s="2018"/>
      <c r="L3419" s="2018"/>
      <c r="M3419" s="2018"/>
      <c r="N3419" s="2018"/>
      <c r="O3419" s="2018"/>
      <c r="P3419" s="2018"/>
      <c r="Q3419" s="2018"/>
      <c r="R3419" s="2018"/>
      <c r="S3419" s="2018"/>
      <c r="T3419" s="2018"/>
      <c r="U3419" s="2018"/>
      <c r="V3419" s="2018"/>
      <c r="W3419" s="2018"/>
      <c r="X3419" s="2018"/>
      <c r="Y3419" s="2018"/>
      <c r="Z3419" s="2023"/>
      <c r="AA3419" s="2023"/>
      <c r="AB3419" s="1050"/>
      <c r="AC3419" s="1050"/>
      <c r="AD3419" s="1050"/>
      <c r="AE3419" s="1050"/>
      <c r="AF3419" s="1052"/>
    </row>
    <row r="3420" spans="1:32" ht="16.5" thickBot="1" x14ac:dyDescent="0.3">
      <c r="A3420" s="2019"/>
      <c r="B3420" s="2020"/>
      <c r="C3420" s="2020"/>
      <c r="D3420" s="2020"/>
      <c r="E3420" s="2020"/>
      <c r="F3420" s="2020"/>
      <c r="G3420" s="2020"/>
      <c r="H3420" s="2020"/>
      <c r="I3420" s="2020"/>
      <c r="J3420" s="2020"/>
      <c r="K3420" s="2020"/>
      <c r="L3420" s="2020"/>
      <c r="M3420" s="2020"/>
      <c r="N3420" s="2020"/>
      <c r="O3420" s="2020"/>
      <c r="P3420" s="2020"/>
      <c r="Q3420" s="2020"/>
      <c r="R3420" s="2020"/>
      <c r="S3420" s="2020"/>
      <c r="T3420" s="2020"/>
      <c r="U3420" s="2020"/>
      <c r="V3420" s="2020"/>
      <c r="W3420" s="2020"/>
      <c r="X3420" s="2020"/>
      <c r="Y3420" s="2020"/>
      <c r="Z3420" s="2024"/>
      <c r="AA3420" s="2024"/>
      <c r="AB3420" s="1057"/>
      <c r="AC3420" s="1057"/>
      <c r="AD3420" s="1057"/>
      <c r="AE3420" s="1057"/>
      <c r="AF3420" s="1058"/>
    </row>
    <row r="3421" spans="1:32" ht="15.75" x14ac:dyDescent="0.25">
      <c r="A3421" s="2009" t="s">
        <v>2158</v>
      </c>
      <c r="B3421" s="2010"/>
      <c r="C3421" s="2010"/>
      <c r="D3421" s="2010"/>
      <c r="E3421" s="2010"/>
      <c r="F3421" s="2010"/>
      <c r="G3421" s="2010"/>
      <c r="H3421" s="2010"/>
      <c r="I3421" s="2010"/>
      <c r="J3421" s="2010"/>
      <c r="K3421" s="2010"/>
      <c r="L3421" s="2010"/>
      <c r="M3421" s="2010"/>
      <c r="N3421" s="2010"/>
      <c r="O3421" s="2010"/>
      <c r="P3421" s="2010"/>
      <c r="Q3421" s="2010"/>
      <c r="R3421" s="2010"/>
      <c r="S3421" s="2010"/>
      <c r="T3421" s="2010"/>
      <c r="U3421" s="2010"/>
      <c r="V3421" s="2010"/>
      <c r="W3421" s="2010"/>
      <c r="X3421" s="2010"/>
      <c r="Y3421" s="2010"/>
      <c r="Z3421" s="2013" t="s">
        <v>1850</v>
      </c>
      <c r="AA3421" s="2013"/>
      <c r="AB3421" s="2013"/>
      <c r="AC3421" s="2013"/>
      <c r="AD3421" s="2013"/>
      <c r="AE3421" s="2013"/>
      <c r="AF3421" s="1059">
        <f>SUM(AF3397:AF3420)</f>
        <v>16</v>
      </c>
    </row>
    <row r="3422" spans="1:32" ht="15.75" x14ac:dyDescent="0.25">
      <c r="A3422" s="2011"/>
      <c r="B3422" s="2012"/>
      <c r="C3422" s="2012"/>
      <c r="D3422" s="2012"/>
      <c r="E3422" s="2012"/>
      <c r="F3422" s="2012"/>
      <c r="G3422" s="2012"/>
      <c r="H3422" s="2012"/>
      <c r="I3422" s="2012"/>
      <c r="J3422" s="2012"/>
      <c r="K3422" s="2012"/>
      <c r="L3422" s="2012"/>
      <c r="M3422" s="2012"/>
      <c r="N3422" s="2012"/>
      <c r="O3422" s="2012"/>
      <c r="P3422" s="2012"/>
      <c r="Q3422" s="2012"/>
      <c r="R3422" s="2012"/>
      <c r="S3422" s="2012"/>
      <c r="T3422" s="2012"/>
      <c r="U3422" s="2012"/>
      <c r="V3422" s="2012"/>
      <c r="W3422" s="2012"/>
      <c r="X3422" s="2012"/>
      <c r="Y3422" s="2012"/>
      <c r="Z3422" s="2014" t="s">
        <v>1851</v>
      </c>
      <c r="AA3422" s="2014"/>
      <c r="AB3422" s="2014"/>
      <c r="AC3422" s="2014"/>
      <c r="AD3422" s="2014"/>
      <c r="AE3422" s="2014"/>
      <c r="AF3422" s="1060">
        <v>0</v>
      </c>
    </row>
    <row r="3423" spans="1:32" ht="15.75" x14ac:dyDescent="0.25">
      <c r="A3423" s="2011"/>
      <c r="B3423" s="2012"/>
      <c r="C3423" s="2012"/>
      <c r="D3423" s="2012"/>
      <c r="E3423" s="2012"/>
      <c r="F3423" s="2012"/>
      <c r="G3423" s="2012"/>
      <c r="H3423" s="2012"/>
      <c r="I3423" s="2012"/>
      <c r="J3423" s="2012"/>
      <c r="K3423" s="2012"/>
      <c r="L3423" s="2012"/>
      <c r="M3423" s="2012"/>
      <c r="N3423" s="2012"/>
      <c r="O3423" s="2012"/>
      <c r="P3423" s="2012"/>
      <c r="Q3423" s="2012"/>
      <c r="R3423" s="2012"/>
      <c r="S3423" s="2012"/>
      <c r="T3423" s="2012"/>
      <c r="U3423" s="2012"/>
      <c r="V3423" s="2012"/>
      <c r="W3423" s="2012"/>
      <c r="X3423" s="2012"/>
      <c r="Y3423" s="2012"/>
      <c r="Z3423" s="2015" t="s">
        <v>1833</v>
      </c>
      <c r="AA3423" s="2015"/>
      <c r="AB3423" s="2015"/>
      <c r="AC3423" s="2015"/>
      <c r="AD3423" s="2015"/>
      <c r="AE3423" s="2015"/>
      <c r="AF3423" s="1061">
        <f>SUM(AF3421:AF3422)</f>
        <v>16</v>
      </c>
    </row>
    <row r="3424" spans="1:32" x14ac:dyDescent="0.2">
      <c r="A3424" s="2012" t="s">
        <v>1859</v>
      </c>
      <c r="B3424" s="2012"/>
      <c r="C3424" s="2012"/>
      <c r="D3424" s="2012"/>
      <c r="E3424" s="2012"/>
      <c r="F3424" s="2012"/>
      <c r="G3424" s="2012"/>
      <c r="H3424" s="2012"/>
      <c r="I3424" s="2012"/>
      <c r="J3424" s="2012"/>
      <c r="K3424" s="2012"/>
      <c r="L3424" s="2012"/>
      <c r="M3424" s="2012"/>
      <c r="N3424" s="2012"/>
      <c r="O3424" s="2012"/>
      <c r="P3424" s="2012"/>
      <c r="Q3424" s="2012"/>
      <c r="R3424" s="2012"/>
      <c r="S3424" s="2012"/>
      <c r="T3424" s="2016" t="s">
        <v>1840</v>
      </c>
      <c r="U3424" s="2016"/>
      <c r="V3424" s="2016"/>
      <c r="W3424" s="2016"/>
      <c r="X3424" s="2016"/>
      <c r="Y3424" s="2016"/>
      <c r="Z3424" s="2016"/>
      <c r="AA3424" s="2016"/>
      <c r="AB3424" s="2012" t="s">
        <v>1852</v>
      </c>
      <c r="AC3424" s="2012"/>
      <c r="AD3424" s="2012"/>
      <c r="AE3424" s="2012"/>
      <c r="AF3424" s="2012"/>
    </row>
    <row r="3425" spans="1:32" x14ac:dyDescent="0.2">
      <c r="A3425" s="2012"/>
      <c r="B3425" s="2012"/>
      <c r="C3425" s="2012"/>
      <c r="D3425" s="2012"/>
      <c r="E3425" s="2012"/>
      <c r="F3425" s="2012"/>
      <c r="G3425" s="2012"/>
      <c r="H3425" s="2012"/>
      <c r="I3425" s="2012"/>
      <c r="J3425" s="2012"/>
      <c r="K3425" s="2012"/>
      <c r="L3425" s="2012"/>
      <c r="M3425" s="2012"/>
      <c r="N3425" s="2012"/>
      <c r="O3425" s="2012"/>
      <c r="P3425" s="2012"/>
      <c r="Q3425" s="2012"/>
      <c r="R3425" s="2012"/>
      <c r="S3425" s="2012"/>
      <c r="T3425" s="2016"/>
      <c r="U3425" s="2016"/>
      <c r="V3425" s="2016"/>
      <c r="W3425" s="2016"/>
      <c r="X3425" s="2016"/>
      <c r="Y3425" s="2016"/>
      <c r="Z3425" s="2016"/>
      <c r="AA3425" s="2016"/>
      <c r="AB3425" s="2012"/>
      <c r="AC3425" s="2012"/>
      <c r="AD3425" s="2012"/>
      <c r="AE3425" s="2012"/>
      <c r="AF3425" s="2012"/>
    </row>
    <row r="3426" spans="1:32" ht="13.5" thickBot="1" x14ac:dyDescent="0.25"/>
    <row r="3427" spans="1:32" ht="26.45" customHeight="1" x14ac:dyDescent="0.2">
      <c r="A3427" s="2025" t="s">
        <v>1854</v>
      </c>
      <c r="B3427" s="2026"/>
      <c r="C3427" s="2026"/>
      <c r="D3427" s="2026"/>
      <c r="E3427" s="2026"/>
      <c r="F3427" s="2026"/>
      <c r="G3427" s="2026"/>
      <c r="H3427" s="2026"/>
      <c r="I3427" s="2026"/>
      <c r="J3427" s="2026"/>
      <c r="K3427" s="2026"/>
      <c r="L3427" s="2026"/>
      <c r="M3427" s="2026"/>
      <c r="N3427" s="2026"/>
      <c r="O3427" s="2026"/>
      <c r="P3427" s="2026"/>
      <c r="Q3427" s="2026"/>
      <c r="R3427" s="2026"/>
      <c r="S3427" s="2026"/>
      <c r="T3427" s="2026"/>
      <c r="U3427" s="2026"/>
      <c r="V3427" s="2026"/>
      <c r="W3427" s="2026"/>
      <c r="X3427" s="2026"/>
      <c r="Y3427" s="2026"/>
      <c r="Z3427" s="2026"/>
      <c r="AA3427" s="2026"/>
      <c r="AB3427" s="2026"/>
      <c r="AC3427" s="2026"/>
      <c r="AD3427" s="2026"/>
      <c r="AE3427" s="1041" t="s">
        <v>1834</v>
      </c>
      <c r="AF3427" s="1042" t="s">
        <v>1835</v>
      </c>
    </row>
    <row r="3428" spans="1:32" ht="21" customHeight="1" thickBot="1" x14ac:dyDescent="0.25">
      <c r="A3428" s="2027"/>
      <c r="B3428" s="2028"/>
      <c r="C3428" s="2028"/>
      <c r="D3428" s="2028"/>
      <c r="E3428" s="2028"/>
      <c r="F3428" s="2028"/>
      <c r="G3428" s="2028"/>
      <c r="H3428" s="2028"/>
      <c r="I3428" s="2028"/>
      <c r="J3428" s="2028"/>
      <c r="K3428" s="2028"/>
      <c r="L3428" s="2028"/>
      <c r="M3428" s="2028"/>
      <c r="N3428" s="2028"/>
      <c r="O3428" s="2028"/>
      <c r="P3428" s="2028"/>
      <c r="Q3428" s="2028"/>
      <c r="R3428" s="2028"/>
      <c r="S3428" s="2028"/>
      <c r="T3428" s="2028"/>
      <c r="U3428" s="2028"/>
      <c r="V3428" s="2028"/>
      <c r="W3428" s="2028"/>
      <c r="X3428" s="2028"/>
      <c r="Y3428" s="2028"/>
      <c r="Z3428" s="2028"/>
      <c r="AA3428" s="2028"/>
      <c r="AB3428" s="2028"/>
      <c r="AC3428" s="2028"/>
      <c r="AD3428" s="2028"/>
      <c r="AE3428" s="1041" t="s">
        <v>1836</v>
      </c>
      <c r="AF3428" s="1044">
        <v>1</v>
      </c>
    </row>
    <row r="3429" spans="1:32" ht="15.75" x14ac:dyDescent="0.2">
      <c r="A3429" s="2029"/>
      <c r="B3429" s="2030"/>
      <c r="C3429" s="2030"/>
      <c r="D3429" s="2031"/>
      <c r="E3429" s="2025" t="str">
        <f>'01'!$A$12</f>
        <v>"CONSTRUCCION SISTEMA DE ACUEDUCTO FASE II DEL MUNICIPIO DE TESALIA DPTO DEL HUILA"</v>
      </c>
      <c r="F3429" s="2026"/>
      <c r="G3429" s="2026"/>
      <c r="H3429" s="2026"/>
      <c r="I3429" s="2026"/>
      <c r="J3429" s="2026"/>
      <c r="K3429" s="2026"/>
      <c r="L3429" s="2026"/>
      <c r="M3429" s="2026"/>
      <c r="N3429" s="2026"/>
      <c r="O3429" s="2026"/>
      <c r="P3429" s="2026"/>
      <c r="Q3429" s="2026"/>
      <c r="R3429" s="2026"/>
      <c r="S3429" s="2026"/>
      <c r="T3429" s="2026"/>
      <c r="U3429" s="2026"/>
      <c r="V3429" s="2026"/>
      <c r="W3429" s="2026"/>
      <c r="X3429" s="2026"/>
      <c r="Y3429" s="2026"/>
      <c r="Z3429" s="2026"/>
      <c r="AA3429" s="2026"/>
      <c r="AB3429" s="2026"/>
      <c r="AC3429" s="2026"/>
      <c r="AD3429" s="2035"/>
      <c r="AE3429" s="1041" t="s">
        <v>847</v>
      </c>
      <c r="AF3429" s="1045">
        <f>'01'!$M$13</f>
        <v>0</v>
      </c>
    </row>
    <row r="3430" spans="1:32" ht="16.5" thickBot="1" x14ac:dyDescent="0.25">
      <c r="A3430" s="2032"/>
      <c r="B3430" s="2033"/>
      <c r="C3430" s="2033"/>
      <c r="D3430" s="2034"/>
      <c r="E3430" s="2027"/>
      <c r="F3430" s="2028"/>
      <c r="G3430" s="2028"/>
      <c r="H3430" s="2028"/>
      <c r="I3430" s="2028"/>
      <c r="J3430" s="2028"/>
      <c r="K3430" s="2028"/>
      <c r="L3430" s="2028"/>
      <c r="M3430" s="2028"/>
      <c r="N3430" s="2028"/>
      <c r="O3430" s="2028"/>
      <c r="P3430" s="2028"/>
      <c r="Q3430" s="2028"/>
      <c r="R3430" s="2028"/>
      <c r="S3430" s="2028"/>
      <c r="T3430" s="2028"/>
      <c r="U3430" s="2028"/>
      <c r="V3430" s="2028"/>
      <c r="W3430" s="2028"/>
      <c r="X3430" s="2028"/>
      <c r="Y3430" s="2028"/>
      <c r="Z3430" s="2028"/>
      <c r="AA3430" s="2028"/>
      <c r="AB3430" s="2028"/>
      <c r="AC3430" s="2028"/>
      <c r="AD3430" s="2036"/>
      <c r="AE3430" s="1041" t="s">
        <v>1837</v>
      </c>
      <c r="AF3430" s="1042" t="s">
        <v>1838</v>
      </c>
    </row>
    <row r="3431" spans="1:32" ht="15.75" x14ac:dyDescent="0.25">
      <c r="A3431" s="2037" t="s">
        <v>1860</v>
      </c>
      <c r="B3431" s="2038"/>
      <c r="C3431" s="2038"/>
      <c r="D3431" s="2038"/>
      <c r="E3431" s="2038"/>
      <c r="F3431" s="2038"/>
      <c r="G3431" s="2038"/>
      <c r="H3431" s="2038"/>
      <c r="I3431" s="2038"/>
      <c r="J3431" s="2038"/>
      <c r="K3431" s="2038"/>
      <c r="L3431" s="2038"/>
      <c r="M3431" s="2038"/>
      <c r="N3431" s="2038"/>
      <c r="O3431" s="2038"/>
      <c r="P3431" s="2038"/>
      <c r="Q3431" s="2038"/>
      <c r="R3431" s="2038"/>
      <c r="S3431" s="2038"/>
      <c r="T3431" s="2038"/>
      <c r="U3431" s="2038"/>
      <c r="V3431" s="2038"/>
      <c r="W3431" s="2038"/>
      <c r="X3431" s="2038"/>
      <c r="Y3431" s="2038"/>
      <c r="Z3431" s="2038"/>
      <c r="AA3431" s="2038"/>
      <c r="AB3431" s="2038"/>
      <c r="AC3431" s="2038"/>
      <c r="AD3431" s="2038"/>
      <c r="AE3431" s="2039" t="s">
        <v>1839</v>
      </c>
      <c r="AF3431" s="2040"/>
    </row>
    <row r="3432" spans="1:32" ht="15.75" x14ac:dyDescent="0.25">
      <c r="A3432" s="2041" t="s">
        <v>1840</v>
      </c>
      <c r="B3432" s="2042"/>
      <c r="C3432" s="2042"/>
      <c r="D3432" s="2042"/>
      <c r="E3432" s="2042"/>
      <c r="F3432" s="2042"/>
      <c r="G3432" s="2042"/>
      <c r="H3432" s="2042"/>
      <c r="I3432" s="2042"/>
      <c r="J3432" s="2042"/>
      <c r="K3432" s="2042"/>
      <c r="L3432" s="2042"/>
      <c r="M3432" s="2042"/>
      <c r="N3432" s="2042"/>
      <c r="O3432" s="2042"/>
      <c r="P3432" s="2042"/>
      <c r="Q3432" s="2042"/>
      <c r="R3432" s="2042"/>
      <c r="S3432" s="2042"/>
      <c r="T3432" s="2042"/>
      <c r="U3432" s="2042"/>
      <c r="V3432" s="2042"/>
      <c r="W3432" s="2042"/>
      <c r="X3432" s="2042"/>
      <c r="Y3432" s="2042"/>
      <c r="Z3432" s="2042"/>
      <c r="AA3432" s="2042"/>
      <c r="AB3432" s="2042"/>
      <c r="AC3432" s="2042"/>
      <c r="AD3432" s="2043"/>
      <c r="AE3432" s="2014" t="s">
        <v>1841</v>
      </c>
      <c r="AF3432" s="2044"/>
    </row>
    <row r="3433" spans="1:32" ht="15.75" x14ac:dyDescent="0.25">
      <c r="A3433" s="2045" t="s">
        <v>1853</v>
      </c>
      <c r="B3433" s="2046"/>
      <c r="C3433" s="2046"/>
      <c r="D3433" s="2046"/>
      <c r="E3433" s="2046"/>
      <c r="F3433" s="2046"/>
      <c r="G3433" s="2046"/>
      <c r="H3433" s="2046"/>
      <c r="I3433" s="2046"/>
      <c r="J3433" s="2046"/>
      <c r="K3433" s="2046"/>
      <c r="L3433" s="2046"/>
      <c r="M3433" s="2046"/>
      <c r="N3433" s="2046"/>
      <c r="O3433" s="2046"/>
      <c r="P3433" s="2046"/>
      <c r="Q3433" s="2046"/>
      <c r="R3433" s="2046"/>
      <c r="S3433" s="2046"/>
      <c r="T3433" s="2046"/>
      <c r="U3433" s="2046"/>
      <c r="V3433" s="2046"/>
      <c r="W3433" s="2046"/>
      <c r="X3433" s="2046"/>
      <c r="Y3433" s="2046"/>
      <c r="Z3433" s="2046"/>
      <c r="AA3433" s="2046"/>
      <c r="AB3433" s="2046"/>
      <c r="AC3433" s="2046"/>
      <c r="AD3433" s="2046"/>
      <c r="AE3433" s="2047">
        <f>'01'!$M$13</f>
        <v>0</v>
      </c>
      <c r="AF3433" s="2044"/>
    </row>
    <row r="3434" spans="1:32" x14ac:dyDescent="0.2">
      <c r="A3434" s="1046"/>
      <c r="B3434" s="1047"/>
      <c r="C3434" s="1047"/>
      <c r="D3434" s="1047"/>
      <c r="E3434" s="1047"/>
      <c r="F3434" s="1047"/>
      <c r="G3434" s="1047"/>
      <c r="H3434" s="1047"/>
      <c r="I3434" s="1047"/>
      <c r="J3434" s="1047"/>
      <c r="K3434" s="1047"/>
      <c r="L3434" s="1047"/>
      <c r="M3434" s="1047"/>
      <c r="N3434" s="1047"/>
      <c r="O3434" s="1047"/>
      <c r="P3434" s="1047"/>
      <c r="Q3434" s="1047"/>
      <c r="R3434" s="1047"/>
      <c r="S3434" s="1047"/>
      <c r="T3434" s="1047"/>
      <c r="U3434" s="1047"/>
      <c r="V3434" s="1047"/>
      <c r="W3434" s="1047"/>
      <c r="X3434" s="1047"/>
      <c r="Y3434" s="1047"/>
      <c r="Z3434" s="1047"/>
      <c r="AA3434" s="1047"/>
      <c r="AB3434" s="1047"/>
      <c r="AC3434" s="1047"/>
      <c r="AD3434" s="1047"/>
      <c r="AE3434" s="1047"/>
      <c r="AF3434" s="1048"/>
    </row>
    <row r="3435" spans="1:32" ht="30" customHeight="1" x14ac:dyDescent="0.2">
      <c r="A3435" s="2048" t="s">
        <v>1842</v>
      </c>
      <c r="B3435" s="2049"/>
      <c r="C3435" s="2049"/>
      <c r="D3435" s="2049"/>
      <c r="E3435" s="2049"/>
      <c r="F3435" s="2050" t="str">
        <f>+'01'!$H$130</f>
        <v>E - ESPESADOR GRAVIMÉTRICO</v>
      </c>
      <c r="G3435" s="2049"/>
      <c r="H3435" s="2049"/>
      <c r="I3435" s="2049"/>
      <c r="J3435" s="2049"/>
      <c r="K3435" s="2049"/>
      <c r="L3435" s="2049"/>
      <c r="M3435" s="2049"/>
      <c r="N3435" s="2049"/>
      <c r="O3435" s="2049"/>
      <c r="P3435" s="2049"/>
      <c r="Q3435" s="2049"/>
      <c r="R3435" s="2049"/>
      <c r="S3435" s="2049"/>
      <c r="T3435" s="2049"/>
      <c r="U3435" s="2049"/>
      <c r="V3435" s="2049"/>
      <c r="W3435" s="2049"/>
      <c r="X3435" s="2049"/>
      <c r="Y3435" s="2051"/>
      <c r="Z3435" s="2052" t="s">
        <v>1843</v>
      </c>
      <c r="AA3435" s="2053"/>
      <c r="AB3435" s="2058" t="s">
        <v>1844</v>
      </c>
      <c r="AC3435" s="2059"/>
      <c r="AD3435" s="2060"/>
      <c r="AE3435" s="2064" t="s">
        <v>1845</v>
      </c>
      <c r="AF3435" s="2067" t="s">
        <v>1846</v>
      </c>
    </row>
    <row r="3436" spans="1:32" ht="15" customHeight="1" x14ac:dyDescent="0.2">
      <c r="A3436" s="2070" t="str">
        <f>+'01'!A150</f>
        <v>E-07-02</v>
      </c>
      <c r="B3436" s="2071"/>
      <c r="C3436" s="2072"/>
      <c r="D3436" s="2076" t="str">
        <f>VLOOKUP(A3436,'01'!$A$12:$N$299,3,FALSE)</f>
        <v>SUMINISTRO E INSTALACIÓN DE TUBERIA PVC UNION MECANICA DE 6". PRESIÓN DE TRABAJO 200 PSI.</v>
      </c>
      <c r="E3436" s="2077"/>
      <c r="F3436" s="2077"/>
      <c r="G3436" s="2077"/>
      <c r="H3436" s="2077"/>
      <c r="I3436" s="2077"/>
      <c r="J3436" s="2077"/>
      <c r="K3436" s="2077"/>
      <c r="L3436" s="2077"/>
      <c r="M3436" s="2077"/>
      <c r="N3436" s="2077"/>
      <c r="O3436" s="2077"/>
      <c r="P3436" s="2077"/>
      <c r="Q3436" s="2077"/>
      <c r="R3436" s="2077"/>
      <c r="S3436" s="2078"/>
      <c r="T3436" s="2082" t="s">
        <v>124</v>
      </c>
      <c r="U3436" s="2083"/>
      <c r="V3436" s="2083"/>
      <c r="W3436" s="2083"/>
      <c r="X3436" s="2052" t="str">
        <f>VLOOKUP(A3436,'01'!$A$12:$N$299,9,FALSE)</f>
        <v>ML</v>
      </c>
      <c r="Y3436" s="2053"/>
      <c r="Z3436" s="2054"/>
      <c r="AA3436" s="2055"/>
      <c r="AB3436" s="2061"/>
      <c r="AC3436" s="2062"/>
      <c r="AD3436" s="2063"/>
      <c r="AE3436" s="2065"/>
      <c r="AF3436" s="2068"/>
    </row>
    <row r="3437" spans="1:32" ht="15" customHeight="1" x14ac:dyDescent="0.25">
      <c r="A3437" s="2073"/>
      <c r="B3437" s="2074"/>
      <c r="C3437" s="2075"/>
      <c r="D3437" s="2079"/>
      <c r="E3437" s="2080"/>
      <c r="F3437" s="2080"/>
      <c r="G3437" s="2080"/>
      <c r="H3437" s="2080"/>
      <c r="I3437" s="2080"/>
      <c r="J3437" s="2080"/>
      <c r="K3437" s="2080"/>
      <c r="L3437" s="2080"/>
      <c r="M3437" s="2080"/>
      <c r="N3437" s="2080"/>
      <c r="O3437" s="2080"/>
      <c r="P3437" s="2080"/>
      <c r="Q3437" s="2080"/>
      <c r="R3437" s="2080"/>
      <c r="S3437" s="2081"/>
      <c r="T3437" s="2084"/>
      <c r="U3437" s="2085"/>
      <c r="V3437" s="2085"/>
      <c r="W3437" s="2085"/>
      <c r="X3437" s="2056"/>
      <c r="Y3437" s="2057"/>
      <c r="Z3437" s="2056"/>
      <c r="AA3437" s="2057"/>
      <c r="AB3437" s="1049" t="s">
        <v>1847</v>
      </c>
      <c r="AC3437" s="1049" t="s">
        <v>1848</v>
      </c>
      <c r="AD3437" s="1049" t="s">
        <v>1861</v>
      </c>
      <c r="AE3437" s="2066"/>
      <c r="AF3437" s="2069"/>
    </row>
    <row r="3438" spans="1:32" ht="15.6" customHeight="1" x14ac:dyDescent="0.25">
      <c r="A3438" s="2017"/>
      <c r="B3438" s="2018"/>
      <c r="C3438" s="2018"/>
      <c r="D3438" s="2018"/>
      <c r="E3438" s="2018"/>
      <c r="F3438" s="2018"/>
      <c r="G3438" s="2018"/>
      <c r="H3438" s="2018"/>
      <c r="I3438" s="2018"/>
      <c r="J3438" s="2018"/>
      <c r="K3438" s="2018"/>
      <c r="L3438" s="2018"/>
      <c r="M3438" s="2018"/>
      <c r="N3438" s="2018"/>
      <c r="O3438" s="2018"/>
      <c r="P3438" s="2018"/>
      <c r="Q3438" s="2018"/>
      <c r="R3438" s="2018"/>
      <c r="S3438" s="2018"/>
      <c r="T3438" s="2018"/>
      <c r="U3438" s="2018"/>
      <c r="V3438" s="2018"/>
      <c r="W3438" s="2018"/>
      <c r="X3438" s="2018"/>
      <c r="Y3438" s="2018"/>
      <c r="Z3438" s="2021" t="s">
        <v>2472</v>
      </c>
      <c r="AA3438" s="2021"/>
      <c r="AB3438" s="1050">
        <v>66</v>
      </c>
      <c r="AC3438" s="1050"/>
      <c r="AD3438" s="1050"/>
      <c r="AE3438" s="1050">
        <v>1</v>
      </c>
      <c r="AF3438" s="1052">
        <f>+ROUND(AB3438*AE3438,2)</f>
        <v>66</v>
      </c>
    </row>
    <row r="3439" spans="1:32" ht="15.6" customHeight="1" x14ac:dyDescent="0.25">
      <c r="A3439" s="2017"/>
      <c r="B3439" s="2018"/>
      <c r="C3439" s="2018"/>
      <c r="D3439" s="2018"/>
      <c r="E3439" s="2018"/>
      <c r="F3439" s="2018"/>
      <c r="G3439" s="2018"/>
      <c r="H3439" s="2018"/>
      <c r="I3439" s="2018"/>
      <c r="J3439" s="2018"/>
      <c r="K3439" s="2018"/>
      <c r="L3439" s="2018"/>
      <c r="M3439" s="2018"/>
      <c r="N3439" s="2018"/>
      <c r="O3439" s="2018"/>
      <c r="P3439" s="2018"/>
      <c r="Q3439" s="2018"/>
      <c r="R3439" s="2018"/>
      <c r="S3439" s="2018"/>
      <c r="T3439" s="2018"/>
      <c r="U3439" s="2018"/>
      <c r="V3439" s="2018"/>
      <c r="W3439" s="2018"/>
      <c r="X3439" s="2018"/>
      <c r="Y3439" s="2018"/>
      <c r="Z3439" s="2021" t="s">
        <v>2470</v>
      </c>
      <c r="AA3439" s="2021"/>
      <c r="AB3439" s="1050">
        <v>9.5</v>
      </c>
      <c r="AC3439" s="1050"/>
      <c r="AD3439" s="1050"/>
      <c r="AE3439" s="1050">
        <v>1</v>
      </c>
      <c r="AF3439" s="1052">
        <f>+ROUND(AB3439*AE3439,2)</f>
        <v>9.5</v>
      </c>
    </row>
    <row r="3440" spans="1:32" ht="15.75" x14ac:dyDescent="0.25">
      <c r="A3440" s="2017"/>
      <c r="B3440" s="2018"/>
      <c r="C3440" s="2018"/>
      <c r="D3440" s="2018"/>
      <c r="E3440" s="2018"/>
      <c r="F3440" s="2018"/>
      <c r="G3440" s="2018"/>
      <c r="H3440" s="2018"/>
      <c r="I3440" s="2018"/>
      <c r="J3440" s="2018"/>
      <c r="K3440" s="2018"/>
      <c r="L3440" s="2018"/>
      <c r="M3440" s="2018"/>
      <c r="N3440" s="2018"/>
      <c r="O3440" s="2018"/>
      <c r="P3440" s="2018"/>
      <c r="Q3440" s="2018"/>
      <c r="R3440" s="2018"/>
      <c r="S3440" s="2018"/>
      <c r="T3440" s="2018"/>
      <c r="U3440" s="2018"/>
      <c r="V3440" s="2018"/>
      <c r="W3440" s="2018"/>
      <c r="X3440" s="2018"/>
      <c r="Y3440" s="2018"/>
      <c r="Z3440" s="2021"/>
      <c r="AA3440" s="2021"/>
      <c r="AB3440" s="1050"/>
      <c r="AC3440" s="1050"/>
      <c r="AD3440" s="1050"/>
      <c r="AE3440" s="1050"/>
      <c r="AF3440" s="1052"/>
    </row>
    <row r="3441" spans="1:32" ht="15.75" x14ac:dyDescent="0.25">
      <c r="A3441" s="2017"/>
      <c r="B3441" s="2018"/>
      <c r="C3441" s="2018"/>
      <c r="D3441" s="2018"/>
      <c r="E3441" s="2018"/>
      <c r="F3441" s="2018"/>
      <c r="G3441" s="2018"/>
      <c r="H3441" s="2018"/>
      <c r="I3441" s="2018"/>
      <c r="J3441" s="2018"/>
      <c r="K3441" s="2018"/>
      <c r="L3441" s="2018"/>
      <c r="M3441" s="2018"/>
      <c r="N3441" s="2018"/>
      <c r="O3441" s="2018"/>
      <c r="P3441" s="2018"/>
      <c r="Q3441" s="2018"/>
      <c r="R3441" s="2018"/>
      <c r="S3441" s="2018"/>
      <c r="T3441" s="2018"/>
      <c r="U3441" s="2018"/>
      <c r="V3441" s="2018"/>
      <c r="W3441" s="2018"/>
      <c r="X3441" s="2018"/>
      <c r="Y3441" s="2018"/>
      <c r="Z3441" s="2021"/>
      <c r="AA3441" s="2021"/>
      <c r="AB3441" s="1050"/>
      <c r="AC3441" s="1050"/>
      <c r="AD3441" s="1050"/>
      <c r="AE3441" s="1050"/>
      <c r="AF3441" s="1052"/>
    </row>
    <row r="3442" spans="1:32" ht="15.75" x14ac:dyDescent="0.25">
      <c r="A3442" s="2017"/>
      <c r="B3442" s="2018"/>
      <c r="C3442" s="2018"/>
      <c r="D3442" s="2018"/>
      <c r="E3442" s="2018"/>
      <c r="F3442" s="2018"/>
      <c r="G3442" s="2018"/>
      <c r="H3442" s="2018"/>
      <c r="I3442" s="2018"/>
      <c r="J3442" s="2018"/>
      <c r="K3442" s="2018"/>
      <c r="L3442" s="2018"/>
      <c r="M3442" s="2018"/>
      <c r="N3442" s="2018"/>
      <c r="O3442" s="2018"/>
      <c r="P3442" s="2018"/>
      <c r="Q3442" s="2018"/>
      <c r="R3442" s="2018"/>
      <c r="S3442" s="2018"/>
      <c r="T3442" s="2018"/>
      <c r="U3442" s="2018"/>
      <c r="V3442" s="2018"/>
      <c r="W3442" s="2018"/>
      <c r="X3442" s="2018"/>
      <c r="Y3442" s="2018"/>
      <c r="Z3442" s="2021"/>
      <c r="AA3442" s="2021"/>
      <c r="AB3442" s="1050"/>
      <c r="AC3442" s="1050"/>
      <c r="AD3442" s="1050"/>
      <c r="AE3442" s="1050"/>
      <c r="AF3442" s="1052"/>
    </row>
    <row r="3443" spans="1:32" ht="15.75" x14ac:dyDescent="0.25">
      <c r="A3443" s="2017"/>
      <c r="B3443" s="2018"/>
      <c r="C3443" s="2018"/>
      <c r="D3443" s="2018"/>
      <c r="E3443" s="2018"/>
      <c r="F3443" s="2018"/>
      <c r="G3443" s="2018"/>
      <c r="H3443" s="2018"/>
      <c r="I3443" s="2018"/>
      <c r="J3443" s="2018"/>
      <c r="K3443" s="2018"/>
      <c r="L3443" s="2018"/>
      <c r="M3443" s="2018"/>
      <c r="N3443" s="2018"/>
      <c r="O3443" s="2018"/>
      <c r="P3443" s="2018"/>
      <c r="Q3443" s="2018"/>
      <c r="R3443" s="2018"/>
      <c r="S3443" s="2018"/>
      <c r="T3443" s="2018"/>
      <c r="U3443" s="2018"/>
      <c r="V3443" s="2018"/>
      <c r="W3443" s="2018"/>
      <c r="X3443" s="2018"/>
      <c r="Y3443" s="2018"/>
      <c r="Z3443" s="2021"/>
      <c r="AA3443" s="2021"/>
      <c r="AB3443" s="1050"/>
      <c r="AC3443" s="1050"/>
      <c r="AD3443" s="1050"/>
      <c r="AE3443" s="1050"/>
      <c r="AF3443" s="1052"/>
    </row>
    <row r="3444" spans="1:32" ht="15.75" x14ac:dyDescent="0.25">
      <c r="A3444" s="2017"/>
      <c r="B3444" s="2018"/>
      <c r="C3444" s="2018"/>
      <c r="D3444" s="2018"/>
      <c r="E3444" s="2018"/>
      <c r="F3444" s="2018"/>
      <c r="G3444" s="2018"/>
      <c r="H3444" s="2018"/>
      <c r="I3444" s="2018"/>
      <c r="J3444" s="2018"/>
      <c r="K3444" s="2018"/>
      <c r="L3444" s="2018"/>
      <c r="M3444" s="2018"/>
      <c r="N3444" s="2018"/>
      <c r="O3444" s="2018"/>
      <c r="P3444" s="2018"/>
      <c r="Q3444" s="2018"/>
      <c r="R3444" s="2018"/>
      <c r="S3444" s="2018"/>
      <c r="T3444" s="2018"/>
      <c r="U3444" s="2018"/>
      <c r="V3444" s="2018"/>
      <c r="W3444" s="2018"/>
      <c r="X3444" s="2018"/>
      <c r="Y3444" s="2018"/>
      <c r="Z3444" s="2021"/>
      <c r="AA3444" s="2021"/>
      <c r="AB3444" s="1050"/>
      <c r="AC3444" s="1050"/>
      <c r="AD3444" s="1050"/>
      <c r="AE3444" s="1050"/>
      <c r="AF3444" s="1052"/>
    </row>
    <row r="3445" spans="1:32" ht="15.75" x14ac:dyDescent="0.25">
      <c r="A3445" s="2017"/>
      <c r="B3445" s="2018"/>
      <c r="C3445" s="2018"/>
      <c r="D3445" s="2018"/>
      <c r="E3445" s="2018"/>
      <c r="F3445" s="2018"/>
      <c r="G3445" s="2018"/>
      <c r="H3445" s="2018"/>
      <c r="I3445" s="2018"/>
      <c r="J3445" s="2018"/>
      <c r="K3445" s="2018"/>
      <c r="L3445" s="2018"/>
      <c r="M3445" s="2018"/>
      <c r="N3445" s="2018"/>
      <c r="O3445" s="2018"/>
      <c r="P3445" s="2018"/>
      <c r="Q3445" s="2018"/>
      <c r="R3445" s="2018"/>
      <c r="S3445" s="2018"/>
      <c r="T3445" s="2018"/>
      <c r="U3445" s="2018"/>
      <c r="V3445" s="2018"/>
      <c r="W3445" s="2018"/>
      <c r="X3445" s="2018"/>
      <c r="Y3445" s="2018"/>
      <c r="Z3445" s="2021"/>
      <c r="AA3445" s="2021"/>
      <c r="AB3445" s="1050"/>
      <c r="AC3445" s="1050"/>
      <c r="AD3445" s="1050"/>
      <c r="AE3445" s="1050"/>
      <c r="AF3445" s="1052"/>
    </row>
    <row r="3446" spans="1:32" ht="15.75" x14ac:dyDescent="0.25">
      <c r="A3446" s="2017"/>
      <c r="B3446" s="2018"/>
      <c r="C3446" s="2018"/>
      <c r="D3446" s="2018"/>
      <c r="E3446" s="2018"/>
      <c r="F3446" s="2018"/>
      <c r="G3446" s="2018"/>
      <c r="H3446" s="2018"/>
      <c r="I3446" s="2018"/>
      <c r="J3446" s="2018"/>
      <c r="K3446" s="2018"/>
      <c r="L3446" s="2018"/>
      <c r="M3446" s="2018"/>
      <c r="N3446" s="2018"/>
      <c r="O3446" s="2018"/>
      <c r="P3446" s="2018"/>
      <c r="Q3446" s="2018"/>
      <c r="R3446" s="2018"/>
      <c r="S3446" s="2018"/>
      <c r="T3446" s="2018"/>
      <c r="U3446" s="2018"/>
      <c r="V3446" s="2018"/>
      <c r="W3446" s="2018"/>
      <c r="X3446" s="2018"/>
      <c r="Y3446" s="2018"/>
      <c r="Z3446" s="2021"/>
      <c r="AA3446" s="2021"/>
      <c r="AB3446" s="1050"/>
      <c r="AC3446" s="1050"/>
      <c r="AD3446" s="1050"/>
      <c r="AE3446" s="1050"/>
      <c r="AF3446" s="1052"/>
    </row>
    <row r="3447" spans="1:32" ht="15.75" x14ac:dyDescent="0.25">
      <c r="A3447" s="2017"/>
      <c r="B3447" s="2018"/>
      <c r="C3447" s="2018"/>
      <c r="D3447" s="2018"/>
      <c r="E3447" s="2018"/>
      <c r="F3447" s="2018"/>
      <c r="G3447" s="2018"/>
      <c r="H3447" s="2018"/>
      <c r="I3447" s="2018"/>
      <c r="J3447" s="2018"/>
      <c r="K3447" s="2018"/>
      <c r="L3447" s="2018"/>
      <c r="M3447" s="2018"/>
      <c r="N3447" s="2018"/>
      <c r="O3447" s="2018"/>
      <c r="P3447" s="2018"/>
      <c r="Q3447" s="2018"/>
      <c r="R3447" s="2018"/>
      <c r="S3447" s="2018"/>
      <c r="T3447" s="2018"/>
      <c r="U3447" s="2018"/>
      <c r="V3447" s="2018"/>
      <c r="W3447" s="2018"/>
      <c r="X3447" s="2018"/>
      <c r="Y3447" s="2018"/>
      <c r="Z3447" s="2021"/>
      <c r="AA3447" s="2021"/>
      <c r="AB3447" s="1050"/>
      <c r="AC3447" s="1050"/>
      <c r="AD3447" s="1050"/>
      <c r="AE3447" s="1050"/>
      <c r="AF3447" s="1052"/>
    </row>
    <row r="3448" spans="1:32" ht="15.75" x14ac:dyDescent="0.25">
      <c r="A3448" s="2017"/>
      <c r="B3448" s="2018"/>
      <c r="C3448" s="2018"/>
      <c r="D3448" s="2018"/>
      <c r="E3448" s="2018"/>
      <c r="F3448" s="2018"/>
      <c r="G3448" s="2018"/>
      <c r="H3448" s="2018"/>
      <c r="I3448" s="2018"/>
      <c r="J3448" s="2018"/>
      <c r="K3448" s="2018"/>
      <c r="L3448" s="2018"/>
      <c r="M3448" s="2018"/>
      <c r="N3448" s="2018"/>
      <c r="O3448" s="2018"/>
      <c r="P3448" s="2018"/>
      <c r="Q3448" s="2018"/>
      <c r="R3448" s="2018"/>
      <c r="S3448" s="2018"/>
      <c r="T3448" s="2018"/>
      <c r="U3448" s="2018"/>
      <c r="V3448" s="2018"/>
      <c r="W3448" s="2018"/>
      <c r="X3448" s="2018"/>
      <c r="Y3448" s="2018"/>
      <c r="Z3448" s="2021"/>
      <c r="AA3448" s="2021"/>
      <c r="AB3448" s="1050"/>
      <c r="AC3448" s="1050"/>
      <c r="AD3448" s="1050"/>
      <c r="AE3448" s="1050"/>
      <c r="AF3448" s="1052"/>
    </row>
    <row r="3449" spans="1:32" ht="15.75" x14ac:dyDescent="0.25">
      <c r="A3449" s="2017"/>
      <c r="B3449" s="2018"/>
      <c r="C3449" s="2018"/>
      <c r="D3449" s="2018"/>
      <c r="E3449" s="2018"/>
      <c r="F3449" s="2018"/>
      <c r="G3449" s="2018"/>
      <c r="H3449" s="2018"/>
      <c r="I3449" s="2018"/>
      <c r="J3449" s="2018"/>
      <c r="K3449" s="2018"/>
      <c r="L3449" s="2018"/>
      <c r="M3449" s="2018"/>
      <c r="N3449" s="2018"/>
      <c r="O3449" s="2018"/>
      <c r="P3449" s="2018"/>
      <c r="Q3449" s="2018"/>
      <c r="R3449" s="2018"/>
      <c r="S3449" s="2018"/>
      <c r="T3449" s="2018"/>
      <c r="U3449" s="2018"/>
      <c r="V3449" s="2018"/>
      <c r="W3449" s="2018"/>
      <c r="X3449" s="2018"/>
      <c r="Y3449" s="2018"/>
      <c r="Z3449" s="2021"/>
      <c r="AA3449" s="2021"/>
      <c r="AB3449" s="1050"/>
      <c r="AC3449" s="1050"/>
      <c r="AD3449" s="1050"/>
      <c r="AE3449" s="1050"/>
      <c r="AF3449" s="1052"/>
    </row>
    <row r="3450" spans="1:32" ht="15.75" x14ac:dyDescent="0.25">
      <c r="A3450" s="2017"/>
      <c r="B3450" s="2018"/>
      <c r="C3450" s="2018"/>
      <c r="D3450" s="2018"/>
      <c r="E3450" s="2018"/>
      <c r="F3450" s="2018"/>
      <c r="G3450" s="2018"/>
      <c r="H3450" s="2018"/>
      <c r="I3450" s="2018"/>
      <c r="J3450" s="2018"/>
      <c r="K3450" s="2018"/>
      <c r="L3450" s="2018"/>
      <c r="M3450" s="2018"/>
      <c r="N3450" s="2018"/>
      <c r="O3450" s="2018"/>
      <c r="P3450" s="2018"/>
      <c r="Q3450" s="2018"/>
      <c r="R3450" s="2018"/>
      <c r="S3450" s="2018"/>
      <c r="T3450" s="2018"/>
      <c r="U3450" s="2018"/>
      <c r="V3450" s="2018"/>
      <c r="W3450" s="2018"/>
      <c r="X3450" s="2018"/>
      <c r="Y3450" s="2018"/>
      <c r="Z3450" s="2021"/>
      <c r="AA3450" s="2021"/>
      <c r="AB3450" s="1050"/>
      <c r="AC3450" s="1050"/>
      <c r="AD3450" s="1050"/>
      <c r="AE3450" s="1050"/>
      <c r="AF3450" s="1052"/>
    </row>
    <row r="3451" spans="1:32" ht="15.75" x14ac:dyDescent="0.25">
      <c r="A3451" s="2017"/>
      <c r="B3451" s="2018"/>
      <c r="C3451" s="2018"/>
      <c r="D3451" s="2018"/>
      <c r="E3451" s="2018"/>
      <c r="F3451" s="2018"/>
      <c r="G3451" s="2018"/>
      <c r="H3451" s="2018"/>
      <c r="I3451" s="2018"/>
      <c r="J3451" s="2018"/>
      <c r="K3451" s="2018"/>
      <c r="L3451" s="2018"/>
      <c r="M3451" s="2018"/>
      <c r="N3451" s="2018"/>
      <c r="O3451" s="2018"/>
      <c r="P3451" s="2018"/>
      <c r="Q3451" s="2018"/>
      <c r="R3451" s="2018"/>
      <c r="S3451" s="2018"/>
      <c r="T3451" s="2018"/>
      <c r="U3451" s="2018"/>
      <c r="V3451" s="2018"/>
      <c r="W3451" s="2018"/>
      <c r="X3451" s="2018"/>
      <c r="Y3451" s="2018"/>
      <c r="Z3451" s="2021"/>
      <c r="AA3451" s="2021"/>
      <c r="AB3451" s="1050"/>
      <c r="AC3451" s="1050"/>
      <c r="AD3451" s="1050"/>
      <c r="AE3451" s="1050"/>
      <c r="AF3451" s="1052"/>
    </row>
    <row r="3452" spans="1:32" ht="15.75" x14ac:dyDescent="0.25">
      <c r="A3452" s="2017"/>
      <c r="B3452" s="2018"/>
      <c r="C3452" s="2018"/>
      <c r="D3452" s="2018"/>
      <c r="E3452" s="2018"/>
      <c r="F3452" s="2018"/>
      <c r="G3452" s="2018"/>
      <c r="H3452" s="2018"/>
      <c r="I3452" s="2018"/>
      <c r="J3452" s="2018"/>
      <c r="K3452" s="2018"/>
      <c r="L3452" s="2018"/>
      <c r="M3452" s="2018"/>
      <c r="N3452" s="2018"/>
      <c r="O3452" s="2018"/>
      <c r="P3452" s="2018"/>
      <c r="Q3452" s="2018"/>
      <c r="R3452" s="2018"/>
      <c r="S3452" s="2018"/>
      <c r="T3452" s="2018"/>
      <c r="U3452" s="2018"/>
      <c r="V3452" s="2018"/>
      <c r="W3452" s="2018"/>
      <c r="X3452" s="2018"/>
      <c r="Y3452" s="2018"/>
      <c r="Z3452" s="2022"/>
      <c r="AA3452" s="2022"/>
      <c r="AB3452" s="1050"/>
      <c r="AC3452" s="1050"/>
      <c r="AD3452" s="1050"/>
      <c r="AE3452" s="1050"/>
      <c r="AF3452" s="1052"/>
    </row>
    <row r="3453" spans="1:32" ht="15.75" x14ac:dyDescent="0.25">
      <c r="A3453" s="2017"/>
      <c r="B3453" s="2018"/>
      <c r="C3453" s="2018"/>
      <c r="D3453" s="2018"/>
      <c r="E3453" s="2018"/>
      <c r="F3453" s="2018"/>
      <c r="G3453" s="2018"/>
      <c r="H3453" s="2018"/>
      <c r="I3453" s="2018"/>
      <c r="J3453" s="2018"/>
      <c r="K3453" s="2018"/>
      <c r="L3453" s="2018"/>
      <c r="M3453" s="2018"/>
      <c r="N3453" s="2018"/>
      <c r="O3453" s="2018"/>
      <c r="P3453" s="2018"/>
      <c r="Q3453" s="2018"/>
      <c r="R3453" s="2018"/>
      <c r="S3453" s="2018"/>
      <c r="T3453" s="2018"/>
      <c r="U3453" s="2018"/>
      <c r="V3453" s="2018"/>
      <c r="W3453" s="2018"/>
      <c r="X3453" s="2018"/>
      <c r="Y3453" s="2018"/>
      <c r="Z3453" s="2022"/>
      <c r="AA3453" s="2022"/>
      <c r="AB3453" s="1050"/>
      <c r="AC3453" s="1050"/>
      <c r="AD3453" s="1050"/>
      <c r="AE3453" s="1050"/>
      <c r="AF3453" s="1052"/>
    </row>
    <row r="3454" spans="1:32" ht="15.75" x14ac:dyDescent="0.25">
      <c r="A3454" s="2017"/>
      <c r="B3454" s="2018"/>
      <c r="C3454" s="2018"/>
      <c r="D3454" s="2018"/>
      <c r="E3454" s="2018"/>
      <c r="F3454" s="2018"/>
      <c r="G3454" s="2018"/>
      <c r="H3454" s="2018"/>
      <c r="I3454" s="2018"/>
      <c r="J3454" s="2018"/>
      <c r="K3454" s="2018"/>
      <c r="L3454" s="2018"/>
      <c r="M3454" s="2018"/>
      <c r="N3454" s="2018"/>
      <c r="O3454" s="2018"/>
      <c r="P3454" s="2018"/>
      <c r="Q3454" s="2018"/>
      <c r="R3454" s="2018"/>
      <c r="S3454" s="2018"/>
      <c r="T3454" s="2018"/>
      <c r="U3454" s="2018"/>
      <c r="V3454" s="2018"/>
      <c r="W3454" s="2018"/>
      <c r="X3454" s="2018"/>
      <c r="Y3454" s="2018"/>
      <c r="Z3454" s="2022"/>
      <c r="AA3454" s="2022"/>
      <c r="AB3454" s="1050"/>
      <c r="AC3454" s="1050"/>
      <c r="AD3454" s="1050"/>
      <c r="AE3454" s="1050"/>
      <c r="AF3454" s="1052"/>
    </row>
    <row r="3455" spans="1:32" ht="15.75" x14ac:dyDescent="0.25">
      <c r="A3455" s="2017"/>
      <c r="B3455" s="2018"/>
      <c r="C3455" s="2018"/>
      <c r="D3455" s="2018"/>
      <c r="E3455" s="2018"/>
      <c r="F3455" s="2018"/>
      <c r="G3455" s="2018"/>
      <c r="H3455" s="2018"/>
      <c r="I3455" s="2018"/>
      <c r="J3455" s="2018"/>
      <c r="K3455" s="2018"/>
      <c r="L3455" s="2018"/>
      <c r="M3455" s="2018"/>
      <c r="N3455" s="2018"/>
      <c r="O3455" s="2018"/>
      <c r="P3455" s="2018"/>
      <c r="Q3455" s="2018"/>
      <c r="R3455" s="2018"/>
      <c r="S3455" s="2018"/>
      <c r="T3455" s="2018"/>
      <c r="U3455" s="2018"/>
      <c r="V3455" s="2018"/>
      <c r="W3455" s="2018"/>
      <c r="X3455" s="2018"/>
      <c r="Y3455" s="2018"/>
      <c r="Z3455" s="2023"/>
      <c r="AA3455" s="2023"/>
      <c r="AB3455" s="1050"/>
      <c r="AC3455" s="1050"/>
      <c r="AD3455" s="1050"/>
      <c r="AE3455" s="1050"/>
      <c r="AF3455" s="1052"/>
    </row>
    <row r="3456" spans="1:32" ht="15.75" x14ac:dyDescent="0.25">
      <c r="A3456" s="2017"/>
      <c r="B3456" s="2018"/>
      <c r="C3456" s="2018"/>
      <c r="D3456" s="2018"/>
      <c r="E3456" s="2018"/>
      <c r="F3456" s="2018"/>
      <c r="G3456" s="2018"/>
      <c r="H3456" s="2018"/>
      <c r="I3456" s="2018"/>
      <c r="J3456" s="2018"/>
      <c r="K3456" s="2018"/>
      <c r="L3456" s="2018"/>
      <c r="M3456" s="2018"/>
      <c r="N3456" s="2018"/>
      <c r="O3456" s="2018"/>
      <c r="P3456" s="2018"/>
      <c r="Q3456" s="2018"/>
      <c r="R3456" s="2018"/>
      <c r="S3456" s="2018"/>
      <c r="T3456" s="2018"/>
      <c r="U3456" s="2018"/>
      <c r="V3456" s="2018"/>
      <c r="W3456" s="2018"/>
      <c r="X3456" s="2018"/>
      <c r="Y3456" s="2018"/>
      <c r="Z3456" s="2023"/>
      <c r="AA3456" s="2023"/>
      <c r="AB3456" s="1050"/>
      <c r="AC3456" s="1050"/>
      <c r="AD3456" s="1050"/>
      <c r="AE3456" s="1050"/>
      <c r="AF3456" s="1052"/>
    </row>
    <row r="3457" spans="1:32" ht="15.75" x14ac:dyDescent="0.25">
      <c r="A3457" s="2017"/>
      <c r="B3457" s="2018"/>
      <c r="C3457" s="2018"/>
      <c r="D3457" s="2018"/>
      <c r="E3457" s="2018"/>
      <c r="F3457" s="2018"/>
      <c r="G3457" s="2018"/>
      <c r="H3457" s="2018"/>
      <c r="I3457" s="2018"/>
      <c r="J3457" s="2018"/>
      <c r="K3457" s="2018"/>
      <c r="L3457" s="2018"/>
      <c r="M3457" s="2018"/>
      <c r="N3457" s="2018"/>
      <c r="O3457" s="2018"/>
      <c r="P3457" s="2018"/>
      <c r="Q3457" s="2018"/>
      <c r="R3457" s="2018"/>
      <c r="S3457" s="2018"/>
      <c r="T3457" s="2018"/>
      <c r="U3457" s="2018"/>
      <c r="V3457" s="2018"/>
      <c r="W3457" s="2018"/>
      <c r="X3457" s="2018"/>
      <c r="Y3457" s="2018"/>
      <c r="Z3457" s="2023"/>
      <c r="AA3457" s="2023"/>
      <c r="AB3457" s="1050"/>
      <c r="AC3457" s="1050"/>
      <c r="AD3457" s="1050"/>
      <c r="AE3457" s="1050"/>
      <c r="AF3457" s="1052"/>
    </row>
    <row r="3458" spans="1:32" ht="15.75" x14ac:dyDescent="0.25">
      <c r="A3458" s="2017"/>
      <c r="B3458" s="2018"/>
      <c r="C3458" s="2018"/>
      <c r="D3458" s="2018"/>
      <c r="E3458" s="2018"/>
      <c r="F3458" s="2018"/>
      <c r="G3458" s="2018"/>
      <c r="H3458" s="2018"/>
      <c r="I3458" s="2018"/>
      <c r="J3458" s="2018"/>
      <c r="K3458" s="2018"/>
      <c r="L3458" s="2018"/>
      <c r="M3458" s="2018"/>
      <c r="N3458" s="2018"/>
      <c r="O3458" s="2018"/>
      <c r="P3458" s="2018"/>
      <c r="Q3458" s="2018"/>
      <c r="R3458" s="2018"/>
      <c r="S3458" s="2018"/>
      <c r="T3458" s="2018"/>
      <c r="U3458" s="2018"/>
      <c r="V3458" s="2018"/>
      <c r="W3458" s="2018"/>
      <c r="X3458" s="2018"/>
      <c r="Y3458" s="2018"/>
      <c r="Z3458" s="2023"/>
      <c r="AA3458" s="2023"/>
      <c r="AB3458" s="1050"/>
      <c r="AC3458" s="1050"/>
      <c r="AD3458" s="1050"/>
      <c r="AE3458" s="1050"/>
      <c r="AF3458" s="1052"/>
    </row>
    <row r="3459" spans="1:32" ht="15.75" x14ac:dyDescent="0.25">
      <c r="A3459" s="2017"/>
      <c r="B3459" s="2018"/>
      <c r="C3459" s="2018"/>
      <c r="D3459" s="2018"/>
      <c r="E3459" s="2018"/>
      <c r="F3459" s="2018"/>
      <c r="G3459" s="2018"/>
      <c r="H3459" s="2018"/>
      <c r="I3459" s="2018"/>
      <c r="J3459" s="2018"/>
      <c r="K3459" s="2018"/>
      <c r="L3459" s="2018"/>
      <c r="M3459" s="2018"/>
      <c r="N3459" s="2018"/>
      <c r="O3459" s="2018"/>
      <c r="P3459" s="2018"/>
      <c r="Q3459" s="2018"/>
      <c r="R3459" s="2018"/>
      <c r="S3459" s="2018"/>
      <c r="T3459" s="2018"/>
      <c r="U3459" s="2018"/>
      <c r="V3459" s="2018"/>
      <c r="W3459" s="2018"/>
      <c r="X3459" s="2018"/>
      <c r="Y3459" s="2018"/>
      <c r="Z3459" s="2023"/>
      <c r="AA3459" s="2023"/>
      <c r="AB3459" s="1050"/>
      <c r="AC3459" s="1050"/>
      <c r="AD3459" s="1050"/>
      <c r="AE3459" s="1050"/>
      <c r="AF3459" s="1052"/>
    </row>
    <row r="3460" spans="1:32" ht="15.75" x14ac:dyDescent="0.25">
      <c r="A3460" s="2017"/>
      <c r="B3460" s="2018"/>
      <c r="C3460" s="2018"/>
      <c r="D3460" s="2018"/>
      <c r="E3460" s="2018"/>
      <c r="F3460" s="2018"/>
      <c r="G3460" s="2018"/>
      <c r="H3460" s="2018"/>
      <c r="I3460" s="2018"/>
      <c r="J3460" s="2018"/>
      <c r="K3460" s="2018"/>
      <c r="L3460" s="2018"/>
      <c r="M3460" s="2018"/>
      <c r="N3460" s="2018"/>
      <c r="O3460" s="2018"/>
      <c r="P3460" s="2018"/>
      <c r="Q3460" s="2018"/>
      <c r="R3460" s="2018"/>
      <c r="S3460" s="2018"/>
      <c r="T3460" s="2018"/>
      <c r="U3460" s="2018"/>
      <c r="V3460" s="2018"/>
      <c r="W3460" s="2018"/>
      <c r="X3460" s="2018"/>
      <c r="Y3460" s="2018"/>
      <c r="Z3460" s="2023"/>
      <c r="AA3460" s="2023"/>
      <c r="AB3460" s="1050"/>
      <c r="AC3460" s="1050"/>
      <c r="AD3460" s="1050"/>
      <c r="AE3460" s="1050"/>
      <c r="AF3460" s="1052"/>
    </row>
    <row r="3461" spans="1:32" ht="16.5" thickBot="1" x14ac:dyDescent="0.3">
      <c r="A3461" s="2019"/>
      <c r="B3461" s="2020"/>
      <c r="C3461" s="2020"/>
      <c r="D3461" s="2020"/>
      <c r="E3461" s="2020"/>
      <c r="F3461" s="2020"/>
      <c r="G3461" s="2020"/>
      <c r="H3461" s="2020"/>
      <c r="I3461" s="2020"/>
      <c r="J3461" s="2020"/>
      <c r="K3461" s="2020"/>
      <c r="L3461" s="2020"/>
      <c r="M3461" s="2020"/>
      <c r="N3461" s="2020"/>
      <c r="O3461" s="2020"/>
      <c r="P3461" s="2020"/>
      <c r="Q3461" s="2020"/>
      <c r="R3461" s="2020"/>
      <c r="S3461" s="2020"/>
      <c r="T3461" s="2020"/>
      <c r="U3461" s="2020"/>
      <c r="V3461" s="2020"/>
      <c r="W3461" s="2020"/>
      <c r="X3461" s="2020"/>
      <c r="Y3461" s="2020"/>
      <c r="Z3461" s="2024"/>
      <c r="AA3461" s="2024"/>
      <c r="AB3461" s="1057"/>
      <c r="AC3461" s="1057"/>
      <c r="AD3461" s="1057"/>
      <c r="AE3461" s="1057"/>
      <c r="AF3461" s="1058"/>
    </row>
    <row r="3462" spans="1:32" ht="15.75" x14ac:dyDescent="0.25">
      <c r="A3462" s="2009" t="s">
        <v>2158</v>
      </c>
      <c r="B3462" s="2010"/>
      <c r="C3462" s="2010"/>
      <c r="D3462" s="2010"/>
      <c r="E3462" s="2010"/>
      <c r="F3462" s="2010"/>
      <c r="G3462" s="2010"/>
      <c r="H3462" s="2010"/>
      <c r="I3462" s="2010"/>
      <c r="J3462" s="2010"/>
      <c r="K3462" s="2010"/>
      <c r="L3462" s="2010"/>
      <c r="M3462" s="2010"/>
      <c r="N3462" s="2010"/>
      <c r="O3462" s="2010"/>
      <c r="P3462" s="2010"/>
      <c r="Q3462" s="2010"/>
      <c r="R3462" s="2010"/>
      <c r="S3462" s="2010"/>
      <c r="T3462" s="2010"/>
      <c r="U3462" s="2010"/>
      <c r="V3462" s="2010"/>
      <c r="W3462" s="2010"/>
      <c r="X3462" s="2010"/>
      <c r="Y3462" s="2010"/>
      <c r="Z3462" s="2013" t="s">
        <v>1850</v>
      </c>
      <c r="AA3462" s="2013"/>
      <c r="AB3462" s="2013"/>
      <c r="AC3462" s="2013"/>
      <c r="AD3462" s="2013"/>
      <c r="AE3462" s="2013"/>
      <c r="AF3462" s="1059">
        <f>SUM(AF3438:AF3461)</f>
        <v>75.5</v>
      </c>
    </row>
    <row r="3463" spans="1:32" ht="15.75" x14ac:dyDescent="0.25">
      <c r="A3463" s="2011"/>
      <c r="B3463" s="2012"/>
      <c r="C3463" s="2012"/>
      <c r="D3463" s="2012"/>
      <c r="E3463" s="2012"/>
      <c r="F3463" s="2012"/>
      <c r="G3463" s="2012"/>
      <c r="H3463" s="2012"/>
      <c r="I3463" s="2012"/>
      <c r="J3463" s="2012"/>
      <c r="K3463" s="2012"/>
      <c r="L3463" s="2012"/>
      <c r="M3463" s="2012"/>
      <c r="N3463" s="2012"/>
      <c r="O3463" s="2012"/>
      <c r="P3463" s="2012"/>
      <c r="Q3463" s="2012"/>
      <c r="R3463" s="2012"/>
      <c r="S3463" s="2012"/>
      <c r="T3463" s="2012"/>
      <c r="U3463" s="2012"/>
      <c r="V3463" s="2012"/>
      <c r="W3463" s="2012"/>
      <c r="X3463" s="2012"/>
      <c r="Y3463" s="2012"/>
      <c r="Z3463" s="2014" t="s">
        <v>1851</v>
      </c>
      <c r="AA3463" s="2014"/>
      <c r="AB3463" s="2014"/>
      <c r="AC3463" s="2014"/>
      <c r="AD3463" s="2014"/>
      <c r="AE3463" s="2014"/>
      <c r="AF3463" s="1060">
        <v>0</v>
      </c>
    </row>
    <row r="3464" spans="1:32" ht="15.75" x14ac:dyDescent="0.25">
      <c r="A3464" s="2011"/>
      <c r="B3464" s="2012"/>
      <c r="C3464" s="2012"/>
      <c r="D3464" s="2012"/>
      <c r="E3464" s="2012"/>
      <c r="F3464" s="2012"/>
      <c r="G3464" s="2012"/>
      <c r="H3464" s="2012"/>
      <c r="I3464" s="2012"/>
      <c r="J3464" s="2012"/>
      <c r="K3464" s="2012"/>
      <c r="L3464" s="2012"/>
      <c r="M3464" s="2012"/>
      <c r="N3464" s="2012"/>
      <c r="O3464" s="2012"/>
      <c r="P3464" s="2012"/>
      <c r="Q3464" s="2012"/>
      <c r="R3464" s="2012"/>
      <c r="S3464" s="2012"/>
      <c r="T3464" s="2012"/>
      <c r="U3464" s="2012"/>
      <c r="V3464" s="2012"/>
      <c r="W3464" s="2012"/>
      <c r="X3464" s="2012"/>
      <c r="Y3464" s="2012"/>
      <c r="Z3464" s="2015" t="s">
        <v>1833</v>
      </c>
      <c r="AA3464" s="2015"/>
      <c r="AB3464" s="2015"/>
      <c r="AC3464" s="2015"/>
      <c r="AD3464" s="2015"/>
      <c r="AE3464" s="2015"/>
      <c r="AF3464" s="1061">
        <f>SUM(AF3462:AF3463)</f>
        <v>75.5</v>
      </c>
    </row>
    <row r="3465" spans="1:32" x14ac:dyDescent="0.2">
      <c r="A3465" s="2012" t="s">
        <v>1859</v>
      </c>
      <c r="B3465" s="2012"/>
      <c r="C3465" s="2012"/>
      <c r="D3465" s="2012"/>
      <c r="E3465" s="2012"/>
      <c r="F3465" s="2012"/>
      <c r="G3465" s="2012"/>
      <c r="H3465" s="2012"/>
      <c r="I3465" s="2012"/>
      <c r="J3465" s="2012"/>
      <c r="K3465" s="2012"/>
      <c r="L3465" s="2012"/>
      <c r="M3465" s="2012"/>
      <c r="N3465" s="2012"/>
      <c r="O3465" s="2012"/>
      <c r="P3465" s="2012"/>
      <c r="Q3465" s="2012"/>
      <c r="R3465" s="2012"/>
      <c r="S3465" s="2012"/>
      <c r="T3465" s="2016" t="s">
        <v>1840</v>
      </c>
      <c r="U3465" s="2016"/>
      <c r="V3465" s="2016"/>
      <c r="W3465" s="2016"/>
      <c r="X3465" s="2016"/>
      <c r="Y3465" s="2016"/>
      <c r="Z3465" s="2016"/>
      <c r="AA3465" s="2016"/>
      <c r="AB3465" s="2012" t="s">
        <v>1852</v>
      </c>
      <c r="AC3465" s="2012"/>
      <c r="AD3465" s="2012"/>
      <c r="AE3465" s="2012"/>
      <c r="AF3465" s="2012"/>
    </row>
    <row r="3466" spans="1:32" x14ac:dyDescent="0.2">
      <c r="A3466" s="2012"/>
      <c r="B3466" s="2012"/>
      <c r="C3466" s="2012"/>
      <c r="D3466" s="2012"/>
      <c r="E3466" s="2012"/>
      <c r="F3466" s="2012"/>
      <c r="G3466" s="2012"/>
      <c r="H3466" s="2012"/>
      <c r="I3466" s="2012"/>
      <c r="J3466" s="2012"/>
      <c r="K3466" s="2012"/>
      <c r="L3466" s="2012"/>
      <c r="M3466" s="2012"/>
      <c r="N3466" s="2012"/>
      <c r="O3466" s="2012"/>
      <c r="P3466" s="2012"/>
      <c r="Q3466" s="2012"/>
      <c r="R3466" s="2012"/>
      <c r="S3466" s="2012"/>
      <c r="T3466" s="2016"/>
      <c r="U3466" s="2016"/>
      <c r="V3466" s="2016"/>
      <c r="W3466" s="2016"/>
      <c r="X3466" s="2016"/>
      <c r="Y3466" s="2016"/>
      <c r="Z3466" s="2016"/>
      <c r="AA3466" s="2016"/>
      <c r="AB3466" s="2012"/>
      <c r="AC3466" s="2012"/>
      <c r="AD3466" s="2012"/>
      <c r="AE3466" s="2012"/>
      <c r="AF3466" s="2012"/>
    </row>
    <row r="3467" spans="1:32" ht="13.5" thickBot="1" x14ac:dyDescent="0.25"/>
    <row r="3468" spans="1:32" ht="26.45" customHeight="1" x14ac:dyDescent="0.2">
      <c r="A3468" s="2025" t="s">
        <v>1854</v>
      </c>
      <c r="B3468" s="2026"/>
      <c r="C3468" s="2026"/>
      <c r="D3468" s="2026"/>
      <c r="E3468" s="2026"/>
      <c r="F3468" s="2026"/>
      <c r="G3468" s="2026"/>
      <c r="H3468" s="2026"/>
      <c r="I3468" s="2026"/>
      <c r="J3468" s="2026"/>
      <c r="K3468" s="2026"/>
      <c r="L3468" s="2026"/>
      <c r="M3468" s="2026"/>
      <c r="N3468" s="2026"/>
      <c r="O3468" s="2026"/>
      <c r="P3468" s="2026"/>
      <c r="Q3468" s="2026"/>
      <c r="R3468" s="2026"/>
      <c r="S3468" s="2026"/>
      <c r="T3468" s="2026"/>
      <c r="U3468" s="2026"/>
      <c r="V3468" s="2026"/>
      <c r="W3468" s="2026"/>
      <c r="X3468" s="2026"/>
      <c r="Y3468" s="2026"/>
      <c r="Z3468" s="2026"/>
      <c r="AA3468" s="2026"/>
      <c r="AB3468" s="2026"/>
      <c r="AC3468" s="2026"/>
      <c r="AD3468" s="2026"/>
      <c r="AE3468" s="1041" t="s">
        <v>1834</v>
      </c>
      <c r="AF3468" s="1042" t="s">
        <v>1835</v>
      </c>
    </row>
    <row r="3469" spans="1:32" ht="21" customHeight="1" thickBot="1" x14ac:dyDescent="0.25">
      <c r="A3469" s="2027"/>
      <c r="B3469" s="2028"/>
      <c r="C3469" s="2028"/>
      <c r="D3469" s="2028"/>
      <c r="E3469" s="2028"/>
      <c r="F3469" s="2028"/>
      <c r="G3469" s="2028"/>
      <c r="H3469" s="2028"/>
      <c r="I3469" s="2028"/>
      <c r="J3469" s="2028"/>
      <c r="K3469" s="2028"/>
      <c r="L3469" s="2028"/>
      <c r="M3469" s="2028"/>
      <c r="N3469" s="2028"/>
      <c r="O3469" s="2028"/>
      <c r="P3469" s="2028"/>
      <c r="Q3469" s="2028"/>
      <c r="R3469" s="2028"/>
      <c r="S3469" s="2028"/>
      <c r="T3469" s="2028"/>
      <c r="U3469" s="2028"/>
      <c r="V3469" s="2028"/>
      <c r="W3469" s="2028"/>
      <c r="X3469" s="2028"/>
      <c r="Y3469" s="2028"/>
      <c r="Z3469" s="2028"/>
      <c r="AA3469" s="2028"/>
      <c r="AB3469" s="2028"/>
      <c r="AC3469" s="2028"/>
      <c r="AD3469" s="2028"/>
      <c r="AE3469" s="1041" t="s">
        <v>1836</v>
      </c>
      <c r="AF3469" s="1044">
        <v>1</v>
      </c>
    </row>
    <row r="3470" spans="1:32" ht="15.75" x14ac:dyDescent="0.2">
      <c r="A3470" s="2029"/>
      <c r="B3470" s="2030"/>
      <c r="C3470" s="2030"/>
      <c r="D3470" s="2031"/>
      <c r="E3470" s="2025" t="str">
        <f>'01'!$A$12</f>
        <v>"CONSTRUCCION SISTEMA DE ACUEDUCTO FASE II DEL MUNICIPIO DE TESALIA DPTO DEL HUILA"</v>
      </c>
      <c r="F3470" s="2026"/>
      <c r="G3470" s="2026"/>
      <c r="H3470" s="2026"/>
      <c r="I3470" s="2026"/>
      <c r="J3470" s="2026"/>
      <c r="K3470" s="2026"/>
      <c r="L3470" s="2026"/>
      <c r="M3470" s="2026"/>
      <c r="N3470" s="2026"/>
      <c r="O3470" s="2026"/>
      <c r="P3470" s="2026"/>
      <c r="Q3470" s="2026"/>
      <c r="R3470" s="2026"/>
      <c r="S3470" s="2026"/>
      <c r="T3470" s="2026"/>
      <c r="U3470" s="2026"/>
      <c r="V3470" s="2026"/>
      <c r="W3470" s="2026"/>
      <c r="X3470" s="2026"/>
      <c r="Y3470" s="2026"/>
      <c r="Z3470" s="2026"/>
      <c r="AA3470" s="2026"/>
      <c r="AB3470" s="2026"/>
      <c r="AC3470" s="2026"/>
      <c r="AD3470" s="2035"/>
      <c r="AE3470" s="1041" t="s">
        <v>847</v>
      </c>
      <c r="AF3470" s="1045">
        <f>'01'!$M$13</f>
        <v>0</v>
      </c>
    </row>
    <row r="3471" spans="1:32" ht="16.5" thickBot="1" x14ac:dyDescent="0.25">
      <c r="A3471" s="2032"/>
      <c r="B3471" s="2033"/>
      <c r="C3471" s="2033"/>
      <c r="D3471" s="2034"/>
      <c r="E3471" s="2027"/>
      <c r="F3471" s="2028"/>
      <c r="G3471" s="2028"/>
      <c r="H3471" s="2028"/>
      <c r="I3471" s="2028"/>
      <c r="J3471" s="2028"/>
      <c r="K3471" s="2028"/>
      <c r="L3471" s="2028"/>
      <c r="M3471" s="2028"/>
      <c r="N3471" s="2028"/>
      <c r="O3471" s="2028"/>
      <c r="P3471" s="2028"/>
      <c r="Q3471" s="2028"/>
      <c r="R3471" s="2028"/>
      <c r="S3471" s="2028"/>
      <c r="T3471" s="2028"/>
      <c r="U3471" s="2028"/>
      <c r="V3471" s="2028"/>
      <c r="W3471" s="2028"/>
      <c r="X3471" s="2028"/>
      <c r="Y3471" s="2028"/>
      <c r="Z3471" s="2028"/>
      <c r="AA3471" s="2028"/>
      <c r="AB3471" s="2028"/>
      <c r="AC3471" s="2028"/>
      <c r="AD3471" s="2036"/>
      <c r="AE3471" s="1041" t="s">
        <v>1837</v>
      </c>
      <c r="AF3471" s="1042" t="s">
        <v>1838</v>
      </c>
    </row>
    <row r="3472" spans="1:32" ht="15.75" x14ac:dyDescent="0.25">
      <c r="A3472" s="2037" t="s">
        <v>1860</v>
      </c>
      <c r="B3472" s="2038"/>
      <c r="C3472" s="2038"/>
      <c r="D3472" s="2038"/>
      <c r="E3472" s="2038"/>
      <c r="F3472" s="2038"/>
      <c r="G3472" s="2038"/>
      <c r="H3472" s="2038"/>
      <c r="I3472" s="2038"/>
      <c r="J3472" s="2038"/>
      <c r="K3472" s="2038"/>
      <c r="L3472" s="2038"/>
      <c r="M3472" s="2038"/>
      <c r="N3472" s="2038"/>
      <c r="O3472" s="2038"/>
      <c r="P3472" s="2038"/>
      <c r="Q3472" s="2038"/>
      <c r="R3472" s="2038"/>
      <c r="S3472" s="2038"/>
      <c r="T3472" s="2038"/>
      <c r="U3472" s="2038"/>
      <c r="V3472" s="2038"/>
      <c r="W3472" s="2038"/>
      <c r="X3472" s="2038"/>
      <c r="Y3472" s="2038"/>
      <c r="Z3472" s="2038"/>
      <c r="AA3472" s="2038"/>
      <c r="AB3472" s="2038"/>
      <c r="AC3472" s="2038"/>
      <c r="AD3472" s="2038"/>
      <c r="AE3472" s="2039" t="s">
        <v>1839</v>
      </c>
      <c r="AF3472" s="2040"/>
    </row>
    <row r="3473" spans="1:32" ht="15.75" x14ac:dyDescent="0.25">
      <c r="A3473" s="2041" t="s">
        <v>1840</v>
      </c>
      <c r="B3473" s="2042"/>
      <c r="C3473" s="2042"/>
      <c r="D3473" s="2042"/>
      <c r="E3473" s="2042"/>
      <c r="F3473" s="2042"/>
      <c r="G3473" s="2042"/>
      <c r="H3473" s="2042"/>
      <c r="I3473" s="2042"/>
      <c r="J3473" s="2042"/>
      <c r="K3473" s="2042"/>
      <c r="L3473" s="2042"/>
      <c r="M3473" s="2042"/>
      <c r="N3473" s="2042"/>
      <c r="O3473" s="2042"/>
      <c r="P3473" s="2042"/>
      <c r="Q3473" s="2042"/>
      <c r="R3473" s="2042"/>
      <c r="S3473" s="2042"/>
      <c r="T3473" s="2042"/>
      <c r="U3473" s="2042"/>
      <c r="V3473" s="2042"/>
      <c r="W3473" s="2042"/>
      <c r="X3473" s="2042"/>
      <c r="Y3473" s="2042"/>
      <c r="Z3473" s="2042"/>
      <c r="AA3473" s="2042"/>
      <c r="AB3473" s="2042"/>
      <c r="AC3473" s="2042"/>
      <c r="AD3473" s="2043"/>
      <c r="AE3473" s="2014" t="s">
        <v>1841</v>
      </c>
      <c r="AF3473" s="2044"/>
    </row>
    <row r="3474" spans="1:32" ht="15.75" x14ac:dyDescent="0.25">
      <c r="A3474" s="2045" t="s">
        <v>1853</v>
      </c>
      <c r="B3474" s="2046"/>
      <c r="C3474" s="2046"/>
      <c r="D3474" s="2046"/>
      <c r="E3474" s="2046"/>
      <c r="F3474" s="2046"/>
      <c r="G3474" s="2046"/>
      <c r="H3474" s="2046"/>
      <c r="I3474" s="2046"/>
      <c r="J3474" s="2046"/>
      <c r="K3474" s="2046"/>
      <c r="L3474" s="2046"/>
      <c r="M3474" s="2046"/>
      <c r="N3474" s="2046"/>
      <c r="O3474" s="2046"/>
      <c r="P3474" s="2046"/>
      <c r="Q3474" s="2046"/>
      <c r="R3474" s="2046"/>
      <c r="S3474" s="2046"/>
      <c r="T3474" s="2046"/>
      <c r="U3474" s="2046"/>
      <c r="V3474" s="2046"/>
      <c r="W3474" s="2046"/>
      <c r="X3474" s="2046"/>
      <c r="Y3474" s="2046"/>
      <c r="Z3474" s="2046"/>
      <c r="AA3474" s="2046"/>
      <c r="AB3474" s="2046"/>
      <c r="AC3474" s="2046"/>
      <c r="AD3474" s="2046"/>
      <c r="AE3474" s="2047">
        <f>'01'!$M$13</f>
        <v>0</v>
      </c>
      <c r="AF3474" s="2044"/>
    </row>
    <row r="3475" spans="1:32" x14ac:dyDescent="0.2">
      <c r="A3475" s="1046"/>
      <c r="B3475" s="1047"/>
      <c r="C3475" s="1047"/>
      <c r="D3475" s="1047"/>
      <c r="E3475" s="1047"/>
      <c r="F3475" s="1047"/>
      <c r="G3475" s="1047"/>
      <c r="H3475" s="1047"/>
      <c r="I3475" s="1047"/>
      <c r="J3475" s="1047"/>
      <c r="K3475" s="1047"/>
      <c r="L3475" s="1047"/>
      <c r="M3475" s="1047"/>
      <c r="N3475" s="1047"/>
      <c r="O3475" s="1047"/>
      <c r="P3475" s="1047"/>
      <c r="Q3475" s="1047"/>
      <c r="R3475" s="1047"/>
      <c r="S3475" s="1047"/>
      <c r="T3475" s="1047"/>
      <c r="U3475" s="1047"/>
      <c r="V3475" s="1047"/>
      <c r="W3475" s="1047"/>
      <c r="X3475" s="1047"/>
      <c r="Y3475" s="1047"/>
      <c r="Z3475" s="1047"/>
      <c r="AA3475" s="1047"/>
      <c r="AB3475" s="1047"/>
      <c r="AC3475" s="1047"/>
      <c r="AD3475" s="1047"/>
      <c r="AE3475" s="1047"/>
      <c r="AF3475" s="1048"/>
    </row>
    <row r="3476" spans="1:32" ht="30" customHeight="1" x14ac:dyDescent="0.2">
      <c r="A3476" s="2048" t="s">
        <v>1842</v>
      </c>
      <c r="B3476" s="2049"/>
      <c r="C3476" s="2049"/>
      <c r="D3476" s="2049"/>
      <c r="E3476" s="2049"/>
      <c r="F3476" s="2050" t="str">
        <f>+'01'!$H$130</f>
        <v>E - ESPESADOR GRAVIMÉTRICO</v>
      </c>
      <c r="G3476" s="2049"/>
      <c r="H3476" s="2049"/>
      <c r="I3476" s="2049"/>
      <c r="J3476" s="2049"/>
      <c r="K3476" s="2049"/>
      <c r="L3476" s="2049"/>
      <c r="M3476" s="2049"/>
      <c r="N3476" s="2049"/>
      <c r="O3476" s="2049"/>
      <c r="P3476" s="2049"/>
      <c r="Q3476" s="2049"/>
      <c r="R3476" s="2049"/>
      <c r="S3476" s="2049"/>
      <c r="T3476" s="2049"/>
      <c r="U3476" s="2049"/>
      <c r="V3476" s="2049"/>
      <c r="W3476" s="2049"/>
      <c r="X3476" s="2049"/>
      <c r="Y3476" s="2051"/>
      <c r="Z3476" s="2052" t="s">
        <v>1843</v>
      </c>
      <c r="AA3476" s="2053"/>
      <c r="AB3476" s="2058" t="s">
        <v>1844</v>
      </c>
      <c r="AC3476" s="2059"/>
      <c r="AD3476" s="2060"/>
      <c r="AE3476" s="2064" t="s">
        <v>1845</v>
      </c>
      <c r="AF3476" s="2067" t="s">
        <v>1846</v>
      </c>
    </row>
    <row r="3477" spans="1:32" ht="15" customHeight="1" x14ac:dyDescent="0.2">
      <c r="A3477" s="2070" t="str">
        <f>+'01'!A151</f>
        <v>E-07-03</v>
      </c>
      <c r="B3477" s="2071"/>
      <c r="C3477" s="2072"/>
      <c r="D3477" s="2076" t="str">
        <f>VLOOKUP(A3477,'01'!$A$12:$N$299,3,FALSE)</f>
        <v>SUMINISTRO E INSTALACIÓN DE TUBERIA PVC UNION MECANICA DE 8". PRESIÓN DE TRABAJO 200 PSI.</v>
      </c>
      <c r="E3477" s="2077"/>
      <c r="F3477" s="2077"/>
      <c r="G3477" s="2077"/>
      <c r="H3477" s="2077"/>
      <c r="I3477" s="2077"/>
      <c r="J3477" s="2077"/>
      <c r="K3477" s="2077"/>
      <c r="L3477" s="2077"/>
      <c r="M3477" s="2077"/>
      <c r="N3477" s="2077"/>
      <c r="O3477" s="2077"/>
      <c r="P3477" s="2077"/>
      <c r="Q3477" s="2077"/>
      <c r="R3477" s="2077"/>
      <c r="S3477" s="2078"/>
      <c r="T3477" s="2082" t="s">
        <v>124</v>
      </c>
      <c r="U3477" s="2083"/>
      <c r="V3477" s="2083"/>
      <c r="W3477" s="2083"/>
      <c r="X3477" s="2052" t="str">
        <f>VLOOKUP(A3477,'01'!$A$12:$N$299,9,FALSE)</f>
        <v>ML</v>
      </c>
      <c r="Y3477" s="2053"/>
      <c r="Z3477" s="2054"/>
      <c r="AA3477" s="2055"/>
      <c r="AB3477" s="2061"/>
      <c r="AC3477" s="2062"/>
      <c r="AD3477" s="2063"/>
      <c r="AE3477" s="2065"/>
      <c r="AF3477" s="2068"/>
    </row>
    <row r="3478" spans="1:32" ht="15" customHeight="1" x14ac:dyDescent="0.25">
      <c r="A3478" s="2073"/>
      <c r="B3478" s="2074"/>
      <c r="C3478" s="2075"/>
      <c r="D3478" s="2079"/>
      <c r="E3478" s="2080"/>
      <c r="F3478" s="2080"/>
      <c r="G3478" s="2080"/>
      <c r="H3478" s="2080"/>
      <c r="I3478" s="2080"/>
      <c r="J3478" s="2080"/>
      <c r="K3478" s="2080"/>
      <c r="L3478" s="2080"/>
      <c r="M3478" s="2080"/>
      <c r="N3478" s="2080"/>
      <c r="O3478" s="2080"/>
      <c r="P3478" s="2080"/>
      <c r="Q3478" s="2080"/>
      <c r="R3478" s="2080"/>
      <c r="S3478" s="2081"/>
      <c r="T3478" s="2084"/>
      <c r="U3478" s="2085"/>
      <c r="V3478" s="2085"/>
      <c r="W3478" s="2085"/>
      <c r="X3478" s="2056"/>
      <c r="Y3478" s="2057"/>
      <c r="Z3478" s="2056"/>
      <c r="AA3478" s="2057"/>
      <c r="AB3478" s="1049" t="s">
        <v>1847</v>
      </c>
      <c r="AC3478" s="1049" t="s">
        <v>1848</v>
      </c>
      <c r="AD3478" s="1049" t="s">
        <v>1861</v>
      </c>
      <c r="AE3478" s="2066"/>
      <c r="AF3478" s="2069"/>
    </row>
    <row r="3479" spans="1:32" ht="15.6" customHeight="1" x14ac:dyDescent="0.25">
      <c r="A3479" s="2017"/>
      <c r="B3479" s="2018"/>
      <c r="C3479" s="2018"/>
      <c r="D3479" s="2018"/>
      <c r="E3479" s="2018"/>
      <c r="F3479" s="2018"/>
      <c r="G3479" s="2018"/>
      <c r="H3479" s="2018"/>
      <c r="I3479" s="2018"/>
      <c r="J3479" s="2018"/>
      <c r="K3479" s="2018"/>
      <c r="L3479" s="2018"/>
      <c r="M3479" s="2018"/>
      <c r="N3479" s="2018"/>
      <c r="O3479" s="2018"/>
      <c r="P3479" s="2018"/>
      <c r="Q3479" s="2018"/>
      <c r="R3479" s="2018"/>
      <c r="S3479" s="2018"/>
      <c r="T3479" s="2018"/>
      <c r="U3479" s="2018"/>
      <c r="V3479" s="2018"/>
      <c r="W3479" s="2018"/>
      <c r="X3479" s="2018"/>
      <c r="Y3479" s="2018"/>
      <c r="Z3479" s="2021" t="s">
        <v>2472</v>
      </c>
      <c r="AA3479" s="2021"/>
      <c r="AB3479" s="1050">
        <v>36</v>
      </c>
      <c r="AC3479" s="1050"/>
      <c r="AD3479" s="1050"/>
      <c r="AE3479" s="1050">
        <v>1</v>
      </c>
      <c r="AF3479" s="1052">
        <f>+ROUND(AB3479*AE3479,2)</f>
        <v>36</v>
      </c>
    </row>
    <row r="3480" spans="1:32" ht="15.6" customHeight="1" x14ac:dyDescent="0.25">
      <c r="A3480" s="2017"/>
      <c r="B3480" s="2018"/>
      <c r="C3480" s="2018"/>
      <c r="D3480" s="2018"/>
      <c r="E3480" s="2018"/>
      <c r="F3480" s="2018"/>
      <c r="G3480" s="2018"/>
      <c r="H3480" s="2018"/>
      <c r="I3480" s="2018"/>
      <c r="J3480" s="2018"/>
      <c r="K3480" s="2018"/>
      <c r="L3480" s="2018"/>
      <c r="M3480" s="2018"/>
      <c r="N3480" s="2018"/>
      <c r="O3480" s="2018"/>
      <c r="P3480" s="2018"/>
      <c r="Q3480" s="2018"/>
      <c r="R3480" s="2018"/>
      <c r="S3480" s="2018"/>
      <c r="T3480" s="2018"/>
      <c r="U3480" s="2018"/>
      <c r="V3480" s="2018"/>
      <c r="W3480" s="2018"/>
      <c r="X3480" s="2018"/>
      <c r="Y3480" s="2018"/>
      <c r="Z3480" s="2021"/>
      <c r="AA3480" s="2021"/>
      <c r="AB3480" s="1050"/>
      <c r="AC3480" s="1050"/>
      <c r="AD3480" s="1050"/>
      <c r="AE3480" s="1050"/>
      <c r="AF3480" s="1052"/>
    </row>
    <row r="3481" spans="1:32" ht="15.75" x14ac:dyDescent="0.25">
      <c r="A3481" s="2017"/>
      <c r="B3481" s="2018"/>
      <c r="C3481" s="2018"/>
      <c r="D3481" s="2018"/>
      <c r="E3481" s="2018"/>
      <c r="F3481" s="2018"/>
      <c r="G3481" s="2018"/>
      <c r="H3481" s="2018"/>
      <c r="I3481" s="2018"/>
      <c r="J3481" s="2018"/>
      <c r="K3481" s="2018"/>
      <c r="L3481" s="2018"/>
      <c r="M3481" s="2018"/>
      <c r="N3481" s="2018"/>
      <c r="O3481" s="2018"/>
      <c r="P3481" s="2018"/>
      <c r="Q3481" s="2018"/>
      <c r="R3481" s="2018"/>
      <c r="S3481" s="2018"/>
      <c r="T3481" s="2018"/>
      <c r="U3481" s="2018"/>
      <c r="V3481" s="2018"/>
      <c r="W3481" s="2018"/>
      <c r="X3481" s="2018"/>
      <c r="Y3481" s="2018"/>
      <c r="Z3481" s="2021"/>
      <c r="AA3481" s="2021"/>
      <c r="AB3481" s="1050"/>
      <c r="AC3481" s="1050"/>
      <c r="AD3481" s="1050"/>
      <c r="AE3481" s="1050"/>
      <c r="AF3481" s="1052"/>
    </row>
    <row r="3482" spans="1:32" ht="15.75" x14ac:dyDescent="0.25">
      <c r="A3482" s="2017"/>
      <c r="B3482" s="2018"/>
      <c r="C3482" s="2018"/>
      <c r="D3482" s="2018"/>
      <c r="E3482" s="2018"/>
      <c r="F3482" s="2018"/>
      <c r="G3482" s="2018"/>
      <c r="H3482" s="2018"/>
      <c r="I3482" s="2018"/>
      <c r="J3482" s="2018"/>
      <c r="K3482" s="2018"/>
      <c r="L3482" s="2018"/>
      <c r="M3482" s="2018"/>
      <c r="N3482" s="2018"/>
      <c r="O3482" s="2018"/>
      <c r="P3482" s="2018"/>
      <c r="Q3482" s="2018"/>
      <c r="R3482" s="2018"/>
      <c r="S3482" s="2018"/>
      <c r="T3482" s="2018"/>
      <c r="U3482" s="2018"/>
      <c r="V3482" s="2018"/>
      <c r="W3482" s="2018"/>
      <c r="X3482" s="2018"/>
      <c r="Y3482" s="2018"/>
      <c r="Z3482" s="2021"/>
      <c r="AA3482" s="2021"/>
      <c r="AB3482" s="1050"/>
      <c r="AC3482" s="1050"/>
      <c r="AD3482" s="1050"/>
      <c r="AE3482" s="1050"/>
      <c r="AF3482" s="1052"/>
    </row>
    <row r="3483" spans="1:32" ht="15.75" x14ac:dyDescent="0.25">
      <c r="A3483" s="2017"/>
      <c r="B3483" s="2018"/>
      <c r="C3483" s="2018"/>
      <c r="D3483" s="2018"/>
      <c r="E3483" s="2018"/>
      <c r="F3483" s="2018"/>
      <c r="G3483" s="2018"/>
      <c r="H3483" s="2018"/>
      <c r="I3483" s="2018"/>
      <c r="J3483" s="2018"/>
      <c r="K3483" s="2018"/>
      <c r="L3483" s="2018"/>
      <c r="M3483" s="2018"/>
      <c r="N3483" s="2018"/>
      <c r="O3483" s="2018"/>
      <c r="P3483" s="2018"/>
      <c r="Q3483" s="2018"/>
      <c r="R3483" s="2018"/>
      <c r="S3483" s="2018"/>
      <c r="T3483" s="2018"/>
      <c r="U3483" s="2018"/>
      <c r="V3483" s="2018"/>
      <c r="W3483" s="2018"/>
      <c r="X3483" s="2018"/>
      <c r="Y3483" s="2018"/>
      <c r="Z3483" s="2021"/>
      <c r="AA3483" s="2021"/>
      <c r="AB3483" s="1050"/>
      <c r="AC3483" s="1050"/>
      <c r="AD3483" s="1050"/>
      <c r="AE3483" s="1050"/>
      <c r="AF3483" s="1052"/>
    </row>
    <row r="3484" spans="1:32" ht="15.75" x14ac:dyDescent="0.25">
      <c r="A3484" s="2017"/>
      <c r="B3484" s="2018"/>
      <c r="C3484" s="2018"/>
      <c r="D3484" s="2018"/>
      <c r="E3484" s="2018"/>
      <c r="F3484" s="2018"/>
      <c r="G3484" s="2018"/>
      <c r="H3484" s="2018"/>
      <c r="I3484" s="2018"/>
      <c r="J3484" s="2018"/>
      <c r="K3484" s="2018"/>
      <c r="L3484" s="2018"/>
      <c r="M3484" s="2018"/>
      <c r="N3484" s="2018"/>
      <c r="O3484" s="2018"/>
      <c r="P3484" s="2018"/>
      <c r="Q3484" s="2018"/>
      <c r="R3484" s="2018"/>
      <c r="S3484" s="2018"/>
      <c r="T3484" s="2018"/>
      <c r="U3484" s="2018"/>
      <c r="V3484" s="2018"/>
      <c r="W3484" s="2018"/>
      <c r="X3484" s="2018"/>
      <c r="Y3484" s="2018"/>
      <c r="Z3484" s="2021"/>
      <c r="AA3484" s="2021"/>
      <c r="AB3484" s="1050"/>
      <c r="AC3484" s="1050"/>
      <c r="AD3484" s="1050"/>
      <c r="AE3484" s="1050"/>
      <c r="AF3484" s="1052"/>
    </row>
    <row r="3485" spans="1:32" ht="15.75" x14ac:dyDescent="0.25">
      <c r="A3485" s="2017"/>
      <c r="B3485" s="2018"/>
      <c r="C3485" s="2018"/>
      <c r="D3485" s="2018"/>
      <c r="E3485" s="2018"/>
      <c r="F3485" s="2018"/>
      <c r="G3485" s="2018"/>
      <c r="H3485" s="2018"/>
      <c r="I3485" s="2018"/>
      <c r="J3485" s="2018"/>
      <c r="K3485" s="2018"/>
      <c r="L3485" s="2018"/>
      <c r="M3485" s="2018"/>
      <c r="N3485" s="2018"/>
      <c r="O3485" s="2018"/>
      <c r="P3485" s="2018"/>
      <c r="Q3485" s="2018"/>
      <c r="R3485" s="2018"/>
      <c r="S3485" s="2018"/>
      <c r="T3485" s="2018"/>
      <c r="U3485" s="2018"/>
      <c r="V3485" s="2018"/>
      <c r="W3485" s="2018"/>
      <c r="X3485" s="2018"/>
      <c r="Y3485" s="2018"/>
      <c r="Z3485" s="2021"/>
      <c r="AA3485" s="2021"/>
      <c r="AB3485" s="1050"/>
      <c r="AC3485" s="1050"/>
      <c r="AD3485" s="1050"/>
      <c r="AE3485" s="1050"/>
      <c r="AF3485" s="1052"/>
    </row>
    <row r="3486" spans="1:32" ht="15.75" x14ac:dyDescent="0.25">
      <c r="A3486" s="2017"/>
      <c r="B3486" s="2018"/>
      <c r="C3486" s="2018"/>
      <c r="D3486" s="2018"/>
      <c r="E3486" s="2018"/>
      <c r="F3486" s="2018"/>
      <c r="G3486" s="2018"/>
      <c r="H3486" s="2018"/>
      <c r="I3486" s="2018"/>
      <c r="J3486" s="2018"/>
      <c r="K3486" s="2018"/>
      <c r="L3486" s="2018"/>
      <c r="M3486" s="2018"/>
      <c r="N3486" s="2018"/>
      <c r="O3486" s="2018"/>
      <c r="P3486" s="2018"/>
      <c r="Q3486" s="2018"/>
      <c r="R3486" s="2018"/>
      <c r="S3486" s="2018"/>
      <c r="T3486" s="2018"/>
      <c r="U3486" s="2018"/>
      <c r="V3486" s="2018"/>
      <c r="W3486" s="2018"/>
      <c r="X3486" s="2018"/>
      <c r="Y3486" s="2018"/>
      <c r="Z3486" s="2021"/>
      <c r="AA3486" s="2021"/>
      <c r="AB3486" s="1050"/>
      <c r="AC3486" s="1050"/>
      <c r="AD3486" s="1050"/>
      <c r="AE3486" s="1050"/>
      <c r="AF3486" s="1052"/>
    </row>
    <row r="3487" spans="1:32" ht="15.75" x14ac:dyDescent="0.25">
      <c r="A3487" s="2017"/>
      <c r="B3487" s="2018"/>
      <c r="C3487" s="2018"/>
      <c r="D3487" s="2018"/>
      <c r="E3487" s="2018"/>
      <c r="F3487" s="2018"/>
      <c r="G3487" s="2018"/>
      <c r="H3487" s="2018"/>
      <c r="I3487" s="2018"/>
      <c r="J3487" s="2018"/>
      <c r="K3487" s="2018"/>
      <c r="L3487" s="2018"/>
      <c r="M3487" s="2018"/>
      <c r="N3487" s="2018"/>
      <c r="O3487" s="2018"/>
      <c r="P3487" s="2018"/>
      <c r="Q3487" s="2018"/>
      <c r="R3487" s="2018"/>
      <c r="S3487" s="2018"/>
      <c r="T3487" s="2018"/>
      <c r="U3487" s="2018"/>
      <c r="V3487" s="2018"/>
      <c r="W3487" s="2018"/>
      <c r="X3487" s="2018"/>
      <c r="Y3487" s="2018"/>
      <c r="Z3487" s="2021"/>
      <c r="AA3487" s="2021"/>
      <c r="AB3487" s="1050"/>
      <c r="AC3487" s="1050"/>
      <c r="AD3487" s="1050"/>
      <c r="AE3487" s="1050"/>
      <c r="AF3487" s="1052"/>
    </row>
    <row r="3488" spans="1:32" ht="15.75" x14ac:dyDescent="0.25">
      <c r="A3488" s="2017"/>
      <c r="B3488" s="2018"/>
      <c r="C3488" s="2018"/>
      <c r="D3488" s="2018"/>
      <c r="E3488" s="2018"/>
      <c r="F3488" s="2018"/>
      <c r="G3488" s="2018"/>
      <c r="H3488" s="2018"/>
      <c r="I3488" s="2018"/>
      <c r="J3488" s="2018"/>
      <c r="K3488" s="2018"/>
      <c r="L3488" s="2018"/>
      <c r="M3488" s="2018"/>
      <c r="N3488" s="2018"/>
      <c r="O3488" s="2018"/>
      <c r="P3488" s="2018"/>
      <c r="Q3488" s="2018"/>
      <c r="R3488" s="2018"/>
      <c r="S3488" s="2018"/>
      <c r="T3488" s="2018"/>
      <c r="U3488" s="2018"/>
      <c r="V3488" s="2018"/>
      <c r="W3488" s="2018"/>
      <c r="X3488" s="2018"/>
      <c r="Y3488" s="2018"/>
      <c r="Z3488" s="2021"/>
      <c r="AA3488" s="2021"/>
      <c r="AB3488" s="1050"/>
      <c r="AC3488" s="1050"/>
      <c r="AD3488" s="1050"/>
      <c r="AE3488" s="1050"/>
      <c r="AF3488" s="1052"/>
    </row>
    <row r="3489" spans="1:32" ht="15.75" x14ac:dyDescent="0.25">
      <c r="A3489" s="2017"/>
      <c r="B3489" s="2018"/>
      <c r="C3489" s="2018"/>
      <c r="D3489" s="2018"/>
      <c r="E3489" s="2018"/>
      <c r="F3489" s="2018"/>
      <c r="G3489" s="2018"/>
      <c r="H3489" s="2018"/>
      <c r="I3489" s="2018"/>
      <c r="J3489" s="2018"/>
      <c r="K3489" s="2018"/>
      <c r="L3489" s="2018"/>
      <c r="M3489" s="2018"/>
      <c r="N3489" s="2018"/>
      <c r="O3489" s="2018"/>
      <c r="P3489" s="2018"/>
      <c r="Q3489" s="2018"/>
      <c r="R3489" s="2018"/>
      <c r="S3489" s="2018"/>
      <c r="T3489" s="2018"/>
      <c r="U3489" s="2018"/>
      <c r="V3489" s="2018"/>
      <c r="W3489" s="2018"/>
      <c r="X3489" s="2018"/>
      <c r="Y3489" s="2018"/>
      <c r="Z3489" s="2021"/>
      <c r="AA3489" s="2021"/>
      <c r="AB3489" s="1050"/>
      <c r="AC3489" s="1050"/>
      <c r="AD3489" s="1050"/>
      <c r="AE3489" s="1050"/>
      <c r="AF3489" s="1052"/>
    </row>
    <row r="3490" spans="1:32" ht="15.75" x14ac:dyDescent="0.25">
      <c r="A3490" s="2017"/>
      <c r="B3490" s="2018"/>
      <c r="C3490" s="2018"/>
      <c r="D3490" s="2018"/>
      <c r="E3490" s="2018"/>
      <c r="F3490" s="2018"/>
      <c r="G3490" s="2018"/>
      <c r="H3490" s="2018"/>
      <c r="I3490" s="2018"/>
      <c r="J3490" s="2018"/>
      <c r="K3490" s="2018"/>
      <c r="L3490" s="2018"/>
      <c r="M3490" s="2018"/>
      <c r="N3490" s="2018"/>
      <c r="O3490" s="2018"/>
      <c r="P3490" s="2018"/>
      <c r="Q3490" s="2018"/>
      <c r="R3490" s="2018"/>
      <c r="S3490" s="2018"/>
      <c r="T3490" s="2018"/>
      <c r="U3490" s="2018"/>
      <c r="V3490" s="2018"/>
      <c r="W3490" s="2018"/>
      <c r="X3490" s="2018"/>
      <c r="Y3490" s="2018"/>
      <c r="Z3490" s="2021"/>
      <c r="AA3490" s="2021"/>
      <c r="AB3490" s="1050"/>
      <c r="AC3490" s="1050"/>
      <c r="AD3490" s="1050"/>
      <c r="AE3490" s="1050"/>
      <c r="AF3490" s="1052"/>
    </row>
    <row r="3491" spans="1:32" ht="15.75" x14ac:dyDescent="0.25">
      <c r="A3491" s="2017"/>
      <c r="B3491" s="2018"/>
      <c r="C3491" s="2018"/>
      <c r="D3491" s="2018"/>
      <c r="E3491" s="2018"/>
      <c r="F3491" s="2018"/>
      <c r="G3491" s="2018"/>
      <c r="H3491" s="2018"/>
      <c r="I3491" s="2018"/>
      <c r="J3491" s="2018"/>
      <c r="K3491" s="2018"/>
      <c r="L3491" s="2018"/>
      <c r="M3491" s="2018"/>
      <c r="N3491" s="2018"/>
      <c r="O3491" s="2018"/>
      <c r="P3491" s="2018"/>
      <c r="Q3491" s="2018"/>
      <c r="R3491" s="2018"/>
      <c r="S3491" s="2018"/>
      <c r="T3491" s="2018"/>
      <c r="U3491" s="2018"/>
      <c r="V3491" s="2018"/>
      <c r="W3491" s="2018"/>
      <c r="X3491" s="2018"/>
      <c r="Y3491" s="2018"/>
      <c r="Z3491" s="2021"/>
      <c r="AA3491" s="2021"/>
      <c r="AB3491" s="1050"/>
      <c r="AC3491" s="1050"/>
      <c r="AD3491" s="1050"/>
      <c r="AE3491" s="1050"/>
      <c r="AF3491" s="1052"/>
    </row>
    <row r="3492" spans="1:32" ht="15.75" x14ac:dyDescent="0.25">
      <c r="A3492" s="2017"/>
      <c r="B3492" s="2018"/>
      <c r="C3492" s="2018"/>
      <c r="D3492" s="2018"/>
      <c r="E3492" s="2018"/>
      <c r="F3492" s="2018"/>
      <c r="G3492" s="2018"/>
      <c r="H3492" s="2018"/>
      <c r="I3492" s="2018"/>
      <c r="J3492" s="2018"/>
      <c r="K3492" s="2018"/>
      <c r="L3492" s="2018"/>
      <c r="M3492" s="2018"/>
      <c r="N3492" s="2018"/>
      <c r="O3492" s="2018"/>
      <c r="P3492" s="2018"/>
      <c r="Q3492" s="2018"/>
      <c r="R3492" s="2018"/>
      <c r="S3492" s="2018"/>
      <c r="T3492" s="2018"/>
      <c r="U3492" s="2018"/>
      <c r="V3492" s="2018"/>
      <c r="W3492" s="2018"/>
      <c r="X3492" s="2018"/>
      <c r="Y3492" s="2018"/>
      <c r="Z3492" s="2021"/>
      <c r="AA3492" s="2021"/>
      <c r="AB3492" s="1050"/>
      <c r="AC3492" s="1050"/>
      <c r="AD3492" s="1050"/>
      <c r="AE3492" s="1050"/>
      <c r="AF3492" s="1052"/>
    </row>
    <row r="3493" spans="1:32" ht="15.75" x14ac:dyDescent="0.25">
      <c r="A3493" s="2017"/>
      <c r="B3493" s="2018"/>
      <c r="C3493" s="2018"/>
      <c r="D3493" s="2018"/>
      <c r="E3493" s="2018"/>
      <c r="F3493" s="2018"/>
      <c r="G3493" s="2018"/>
      <c r="H3493" s="2018"/>
      <c r="I3493" s="2018"/>
      <c r="J3493" s="2018"/>
      <c r="K3493" s="2018"/>
      <c r="L3493" s="2018"/>
      <c r="M3493" s="2018"/>
      <c r="N3493" s="2018"/>
      <c r="O3493" s="2018"/>
      <c r="P3493" s="2018"/>
      <c r="Q3493" s="2018"/>
      <c r="R3493" s="2018"/>
      <c r="S3493" s="2018"/>
      <c r="T3493" s="2018"/>
      <c r="U3493" s="2018"/>
      <c r="V3493" s="2018"/>
      <c r="W3493" s="2018"/>
      <c r="X3493" s="2018"/>
      <c r="Y3493" s="2018"/>
      <c r="Z3493" s="2022"/>
      <c r="AA3493" s="2022"/>
      <c r="AB3493" s="1050"/>
      <c r="AC3493" s="1050"/>
      <c r="AD3493" s="1050"/>
      <c r="AE3493" s="1050"/>
      <c r="AF3493" s="1052"/>
    </row>
    <row r="3494" spans="1:32" ht="15.75" x14ac:dyDescent="0.25">
      <c r="A3494" s="2017"/>
      <c r="B3494" s="2018"/>
      <c r="C3494" s="2018"/>
      <c r="D3494" s="2018"/>
      <c r="E3494" s="2018"/>
      <c r="F3494" s="2018"/>
      <c r="G3494" s="2018"/>
      <c r="H3494" s="2018"/>
      <c r="I3494" s="2018"/>
      <c r="J3494" s="2018"/>
      <c r="K3494" s="2018"/>
      <c r="L3494" s="2018"/>
      <c r="M3494" s="2018"/>
      <c r="N3494" s="2018"/>
      <c r="O3494" s="2018"/>
      <c r="P3494" s="2018"/>
      <c r="Q3494" s="2018"/>
      <c r="R3494" s="2018"/>
      <c r="S3494" s="2018"/>
      <c r="T3494" s="2018"/>
      <c r="U3494" s="2018"/>
      <c r="V3494" s="2018"/>
      <c r="W3494" s="2018"/>
      <c r="X3494" s="2018"/>
      <c r="Y3494" s="2018"/>
      <c r="Z3494" s="2022"/>
      <c r="AA3494" s="2022"/>
      <c r="AB3494" s="1050"/>
      <c r="AC3494" s="1050"/>
      <c r="AD3494" s="1050"/>
      <c r="AE3494" s="1050"/>
      <c r="AF3494" s="1052"/>
    </row>
    <row r="3495" spans="1:32" ht="15.75" x14ac:dyDescent="0.25">
      <c r="A3495" s="2017"/>
      <c r="B3495" s="2018"/>
      <c r="C3495" s="2018"/>
      <c r="D3495" s="2018"/>
      <c r="E3495" s="2018"/>
      <c r="F3495" s="2018"/>
      <c r="G3495" s="2018"/>
      <c r="H3495" s="2018"/>
      <c r="I3495" s="2018"/>
      <c r="J3495" s="2018"/>
      <c r="K3495" s="2018"/>
      <c r="L3495" s="2018"/>
      <c r="M3495" s="2018"/>
      <c r="N3495" s="2018"/>
      <c r="O3495" s="2018"/>
      <c r="P3495" s="2018"/>
      <c r="Q3495" s="2018"/>
      <c r="R3495" s="2018"/>
      <c r="S3495" s="2018"/>
      <c r="T3495" s="2018"/>
      <c r="U3495" s="2018"/>
      <c r="V3495" s="2018"/>
      <c r="W3495" s="2018"/>
      <c r="X3495" s="2018"/>
      <c r="Y3495" s="2018"/>
      <c r="Z3495" s="2022"/>
      <c r="AA3495" s="2022"/>
      <c r="AB3495" s="1050"/>
      <c r="AC3495" s="1050"/>
      <c r="AD3495" s="1050"/>
      <c r="AE3495" s="1050"/>
      <c r="AF3495" s="1052"/>
    </row>
    <row r="3496" spans="1:32" ht="15.75" x14ac:dyDescent="0.25">
      <c r="A3496" s="2017"/>
      <c r="B3496" s="2018"/>
      <c r="C3496" s="2018"/>
      <c r="D3496" s="2018"/>
      <c r="E3496" s="2018"/>
      <c r="F3496" s="2018"/>
      <c r="G3496" s="2018"/>
      <c r="H3496" s="2018"/>
      <c r="I3496" s="2018"/>
      <c r="J3496" s="2018"/>
      <c r="K3496" s="2018"/>
      <c r="L3496" s="2018"/>
      <c r="M3496" s="2018"/>
      <c r="N3496" s="2018"/>
      <c r="O3496" s="2018"/>
      <c r="P3496" s="2018"/>
      <c r="Q3496" s="2018"/>
      <c r="R3496" s="2018"/>
      <c r="S3496" s="2018"/>
      <c r="T3496" s="2018"/>
      <c r="U3496" s="2018"/>
      <c r="V3496" s="2018"/>
      <c r="W3496" s="2018"/>
      <c r="X3496" s="2018"/>
      <c r="Y3496" s="2018"/>
      <c r="Z3496" s="2023"/>
      <c r="AA3496" s="2023"/>
      <c r="AB3496" s="1050"/>
      <c r="AC3496" s="1050"/>
      <c r="AD3496" s="1050"/>
      <c r="AE3496" s="1050"/>
      <c r="AF3496" s="1052"/>
    </row>
    <row r="3497" spans="1:32" ht="15.75" x14ac:dyDescent="0.25">
      <c r="A3497" s="2017"/>
      <c r="B3497" s="2018"/>
      <c r="C3497" s="2018"/>
      <c r="D3497" s="2018"/>
      <c r="E3497" s="2018"/>
      <c r="F3497" s="2018"/>
      <c r="G3497" s="2018"/>
      <c r="H3497" s="2018"/>
      <c r="I3497" s="2018"/>
      <c r="J3497" s="2018"/>
      <c r="K3497" s="2018"/>
      <c r="L3497" s="2018"/>
      <c r="M3497" s="2018"/>
      <c r="N3497" s="2018"/>
      <c r="O3497" s="2018"/>
      <c r="P3497" s="2018"/>
      <c r="Q3497" s="2018"/>
      <c r="R3497" s="2018"/>
      <c r="S3497" s="2018"/>
      <c r="T3497" s="2018"/>
      <c r="U3497" s="2018"/>
      <c r="V3497" s="2018"/>
      <c r="W3497" s="2018"/>
      <c r="X3497" s="2018"/>
      <c r="Y3497" s="2018"/>
      <c r="Z3497" s="2023"/>
      <c r="AA3497" s="2023"/>
      <c r="AB3497" s="1050"/>
      <c r="AC3497" s="1050"/>
      <c r="AD3497" s="1050"/>
      <c r="AE3497" s="1050"/>
      <c r="AF3497" s="1052"/>
    </row>
    <row r="3498" spans="1:32" ht="15.75" x14ac:dyDescent="0.25">
      <c r="A3498" s="2017"/>
      <c r="B3498" s="2018"/>
      <c r="C3498" s="2018"/>
      <c r="D3498" s="2018"/>
      <c r="E3498" s="2018"/>
      <c r="F3498" s="2018"/>
      <c r="G3498" s="2018"/>
      <c r="H3498" s="2018"/>
      <c r="I3498" s="2018"/>
      <c r="J3498" s="2018"/>
      <c r="K3498" s="2018"/>
      <c r="L3498" s="2018"/>
      <c r="M3498" s="2018"/>
      <c r="N3498" s="2018"/>
      <c r="O3498" s="2018"/>
      <c r="P3498" s="2018"/>
      <c r="Q3498" s="2018"/>
      <c r="R3498" s="2018"/>
      <c r="S3498" s="2018"/>
      <c r="T3498" s="2018"/>
      <c r="U3498" s="2018"/>
      <c r="V3498" s="2018"/>
      <c r="W3498" s="2018"/>
      <c r="X3498" s="2018"/>
      <c r="Y3498" s="2018"/>
      <c r="Z3498" s="2023"/>
      <c r="AA3498" s="2023"/>
      <c r="AB3498" s="1050"/>
      <c r="AC3498" s="1050"/>
      <c r="AD3498" s="1050"/>
      <c r="AE3498" s="1050"/>
      <c r="AF3498" s="1052"/>
    </row>
    <row r="3499" spans="1:32" ht="15.75" x14ac:dyDescent="0.25">
      <c r="A3499" s="2017"/>
      <c r="B3499" s="2018"/>
      <c r="C3499" s="2018"/>
      <c r="D3499" s="2018"/>
      <c r="E3499" s="2018"/>
      <c r="F3499" s="2018"/>
      <c r="G3499" s="2018"/>
      <c r="H3499" s="2018"/>
      <c r="I3499" s="2018"/>
      <c r="J3499" s="2018"/>
      <c r="K3499" s="2018"/>
      <c r="L3499" s="2018"/>
      <c r="M3499" s="2018"/>
      <c r="N3499" s="2018"/>
      <c r="O3499" s="2018"/>
      <c r="P3499" s="2018"/>
      <c r="Q3499" s="2018"/>
      <c r="R3499" s="2018"/>
      <c r="S3499" s="2018"/>
      <c r="T3499" s="2018"/>
      <c r="U3499" s="2018"/>
      <c r="V3499" s="2018"/>
      <c r="W3499" s="2018"/>
      <c r="X3499" s="2018"/>
      <c r="Y3499" s="2018"/>
      <c r="Z3499" s="2023"/>
      <c r="AA3499" s="2023"/>
      <c r="AB3499" s="1050"/>
      <c r="AC3499" s="1050"/>
      <c r="AD3499" s="1050"/>
      <c r="AE3499" s="1050"/>
      <c r="AF3499" s="1052"/>
    </row>
    <row r="3500" spans="1:32" ht="15.75" x14ac:dyDescent="0.25">
      <c r="A3500" s="2017"/>
      <c r="B3500" s="2018"/>
      <c r="C3500" s="2018"/>
      <c r="D3500" s="2018"/>
      <c r="E3500" s="2018"/>
      <c r="F3500" s="2018"/>
      <c r="G3500" s="2018"/>
      <c r="H3500" s="2018"/>
      <c r="I3500" s="2018"/>
      <c r="J3500" s="2018"/>
      <c r="K3500" s="2018"/>
      <c r="L3500" s="2018"/>
      <c r="M3500" s="2018"/>
      <c r="N3500" s="2018"/>
      <c r="O3500" s="2018"/>
      <c r="P3500" s="2018"/>
      <c r="Q3500" s="2018"/>
      <c r="R3500" s="2018"/>
      <c r="S3500" s="2018"/>
      <c r="T3500" s="2018"/>
      <c r="U3500" s="2018"/>
      <c r="V3500" s="2018"/>
      <c r="W3500" s="2018"/>
      <c r="X3500" s="2018"/>
      <c r="Y3500" s="2018"/>
      <c r="Z3500" s="2023"/>
      <c r="AA3500" s="2023"/>
      <c r="AB3500" s="1050"/>
      <c r="AC3500" s="1050"/>
      <c r="AD3500" s="1050"/>
      <c r="AE3500" s="1050"/>
      <c r="AF3500" s="1052"/>
    </row>
    <row r="3501" spans="1:32" ht="15.75" x14ac:dyDescent="0.25">
      <c r="A3501" s="2017"/>
      <c r="B3501" s="2018"/>
      <c r="C3501" s="2018"/>
      <c r="D3501" s="2018"/>
      <c r="E3501" s="2018"/>
      <c r="F3501" s="2018"/>
      <c r="G3501" s="2018"/>
      <c r="H3501" s="2018"/>
      <c r="I3501" s="2018"/>
      <c r="J3501" s="2018"/>
      <c r="K3501" s="2018"/>
      <c r="L3501" s="2018"/>
      <c r="M3501" s="2018"/>
      <c r="N3501" s="2018"/>
      <c r="O3501" s="2018"/>
      <c r="P3501" s="2018"/>
      <c r="Q3501" s="2018"/>
      <c r="R3501" s="2018"/>
      <c r="S3501" s="2018"/>
      <c r="T3501" s="2018"/>
      <c r="U3501" s="2018"/>
      <c r="V3501" s="2018"/>
      <c r="W3501" s="2018"/>
      <c r="X3501" s="2018"/>
      <c r="Y3501" s="2018"/>
      <c r="Z3501" s="2023"/>
      <c r="AA3501" s="2023"/>
      <c r="AB3501" s="1050"/>
      <c r="AC3501" s="1050"/>
      <c r="AD3501" s="1050"/>
      <c r="AE3501" s="1050"/>
      <c r="AF3501" s="1052"/>
    </row>
    <row r="3502" spans="1:32" ht="16.5" thickBot="1" x14ac:dyDescent="0.3">
      <c r="A3502" s="2019"/>
      <c r="B3502" s="2020"/>
      <c r="C3502" s="2020"/>
      <c r="D3502" s="2020"/>
      <c r="E3502" s="2020"/>
      <c r="F3502" s="2020"/>
      <c r="G3502" s="2020"/>
      <c r="H3502" s="2020"/>
      <c r="I3502" s="2020"/>
      <c r="J3502" s="2020"/>
      <c r="K3502" s="2020"/>
      <c r="L3502" s="2020"/>
      <c r="M3502" s="2020"/>
      <c r="N3502" s="2020"/>
      <c r="O3502" s="2020"/>
      <c r="P3502" s="2020"/>
      <c r="Q3502" s="2020"/>
      <c r="R3502" s="2020"/>
      <c r="S3502" s="2020"/>
      <c r="T3502" s="2020"/>
      <c r="U3502" s="2020"/>
      <c r="V3502" s="2020"/>
      <c r="W3502" s="2020"/>
      <c r="X3502" s="2020"/>
      <c r="Y3502" s="2020"/>
      <c r="Z3502" s="2024"/>
      <c r="AA3502" s="2024"/>
      <c r="AB3502" s="1057"/>
      <c r="AC3502" s="1057"/>
      <c r="AD3502" s="1057"/>
      <c r="AE3502" s="1057"/>
      <c r="AF3502" s="1058"/>
    </row>
    <row r="3503" spans="1:32" ht="15.75" x14ac:dyDescent="0.25">
      <c r="A3503" s="2009" t="s">
        <v>2158</v>
      </c>
      <c r="B3503" s="2010"/>
      <c r="C3503" s="2010"/>
      <c r="D3503" s="2010"/>
      <c r="E3503" s="2010"/>
      <c r="F3503" s="2010"/>
      <c r="G3503" s="2010"/>
      <c r="H3503" s="2010"/>
      <c r="I3503" s="2010"/>
      <c r="J3503" s="2010"/>
      <c r="K3503" s="2010"/>
      <c r="L3503" s="2010"/>
      <c r="M3503" s="2010"/>
      <c r="N3503" s="2010"/>
      <c r="O3503" s="2010"/>
      <c r="P3503" s="2010"/>
      <c r="Q3503" s="2010"/>
      <c r="R3503" s="2010"/>
      <c r="S3503" s="2010"/>
      <c r="T3503" s="2010"/>
      <c r="U3503" s="2010"/>
      <c r="V3503" s="2010"/>
      <c r="W3503" s="2010"/>
      <c r="X3503" s="2010"/>
      <c r="Y3503" s="2010"/>
      <c r="Z3503" s="2013" t="s">
        <v>1850</v>
      </c>
      <c r="AA3503" s="2013"/>
      <c r="AB3503" s="2013"/>
      <c r="AC3503" s="2013"/>
      <c r="AD3503" s="2013"/>
      <c r="AE3503" s="2013"/>
      <c r="AF3503" s="1059">
        <f>SUM(AF3479:AF3502)</f>
        <v>36</v>
      </c>
    </row>
    <row r="3504" spans="1:32" ht="15.75" x14ac:dyDescent="0.25">
      <c r="A3504" s="2011"/>
      <c r="B3504" s="2012"/>
      <c r="C3504" s="2012"/>
      <c r="D3504" s="2012"/>
      <c r="E3504" s="2012"/>
      <c r="F3504" s="2012"/>
      <c r="G3504" s="2012"/>
      <c r="H3504" s="2012"/>
      <c r="I3504" s="2012"/>
      <c r="J3504" s="2012"/>
      <c r="K3504" s="2012"/>
      <c r="L3504" s="2012"/>
      <c r="M3504" s="2012"/>
      <c r="N3504" s="2012"/>
      <c r="O3504" s="2012"/>
      <c r="P3504" s="2012"/>
      <c r="Q3504" s="2012"/>
      <c r="R3504" s="2012"/>
      <c r="S3504" s="2012"/>
      <c r="T3504" s="2012"/>
      <c r="U3504" s="2012"/>
      <c r="V3504" s="2012"/>
      <c r="W3504" s="2012"/>
      <c r="X3504" s="2012"/>
      <c r="Y3504" s="2012"/>
      <c r="Z3504" s="2014" t="s">
        <v>1851</v>
      </c>
      <c r="AA3504" s="2014"/>
      <c r="AB3504" s="2014"/>
      <c r="AC3504" s="2014"/>
      <c r="AD3504" s="2014"/>
      <c r="AE3504" s="2014"/>
      <c r="AF3504" s="1060">
        <v>0</v>
      </c>
    </row>
    <row r="3505" spans="1:32" ht="15.75" x14ac:dyDescent="0.25">
      <c r="A3505" s="2011"/>
      <c r="B3505" s="2012"/>
      <c r="C3505" s="2012"/>
      <c r="D3505" s="2012"/>
      <c r="E3505" s="2012"/>
      <c r="F3505" s="2012"/>
      <c r="G3505" s="2012"/>
      <c r="H3505" s="2012"/>
      <c r="I3505" s="2012"/>
      <c r="J3505" s="2012"/>
      <c r="K3505" s="2012"/>
      <c r="L3505" s="2012"/>
      <c r="M3505" s="2012"/>
      <c r="N3505" s="2012"/>
      <c r="O3505" s="2012"/>
      <c r="P3505" s="2012"/>
      <c r="Q3505" s="2012"/>
      <c r="R3505" s="2012"/>
      <c r="S3505" s="2012"/>
      <c r="T3505" s="2012"/>
      <c r="U3505" s="2012"/>
      <c r="V3505" s="2012"/>
      <c r="W3505" s="2012"/>
      <c r="X3505" s="2012"/>
      <c r="Y3505" s="2012"/>
      <c r="Z3505" s="2015" t="s">
        <v>1833</v>
      </c>
      <c r="AA3505" s="2015"/>
      <c r="AB3505" s="2015"/>
      <c r="AC3505" s="2015"/>
      <c r="AD3505" s="2015"/>
      <c r="AE3505" s="2015"/>
      <c r="AF3505" s="1061">
        <f>SUM(AF3503:AF3504)</f>
        <v>36</v>
      </c>
    </row>
    <row r="3506" spans="1:32" x14ac:dyDescent="0.2">
      <c r="A3506" s="2012" t="s">
        <v>1859</v>
      </c>
      <c r="B3506" s="2012"/>
      <c r="C3506" s="2012"/>
      <c r="D3506" s="2012"/>
      <c r="E3506" s="2012"/>
      <c r="F3506" s="2012"/>
      <c r="G3506" s="2012"/>
      <c r="H3506" s="2012"/>
      <c r="I3506" s="2012"/>
      <c r="J3506" s="2012"/>
      <c r="K3506" s="2012"/>
      <c r="L3506" s="2012"/>
      <c r="M3506" s="2012"/>
      <c r="N3506" s="2012"/>
      <c r="O3506" s="2012"/>
      <c r="P3506" s="2012"/>
      <c r="Q3506" s="2012"/>
      <c r="R3506" s="2012"/>
      <c r="S3506" s="2012"/>
      <c r="T3506" s="2016" t="s">
        <v>1840</v>
      </c>
      <c r="U3506" s="2016"/>
      <c r="V3506" s="2016"/>
      <c r="W3506" s="2016"/>
      <c r="X3506" s="2016"/>
      <c r="Y3506" s="2016"/>
      <c r="Z3506" s="2016"/>
      <c r="AA3506" s="2016"/>
      <c r="AB3506" s="2012" t="s">
        <v>1852</v>
      </c>
      <c r="AC3506" s="2012"/>
      <c r="AD3506" s="2012"/>
      <c r="AE3506" s="2012"/>
      <c r="AF3506" s="2012"/>
    </row>
    <row r="3507" spans="1:32" x14ac:dyDescent="0.2">
      <c r="A3507" s="2012"/>
      <c r="B3507" s="2012"/>
      <c r="C3507" s="2012"/>
      <c r="D3507" s="2012"/>
      <c r="E3507" s="2012"/>
      <c r="F3507" s="2012"/>
      <c r="G3507" s="2012"/>
      <c r="H3507" s="2012"/>
      <c r="I3507" s="2012"/>
      <c r="J3507" s="2012"/>
      <c r="K3507" s="2012"/>
      <c r="L3507" s="2012"/>
      <c r="M3507" s="2012"/>
      <c r="N3507" s="2012"/>
      <c r="O3507" s="2012"/>
      <c r="P3507" s="2012"/>
      <c r="Q3507" s="2012"/>
      <c r="R3507" s="2012"/>
      <c r="S3507" s="2012"/>
      <c r="T3507" s="2016"/>
      <c r="U3507" s="2016"/>
      <c r="V3507" s="2016"/>
      <c r="W3507" s="2016"/>
      <c r="X3507" s="2016"/>
      <c r="Y3507" s="2016"/>
      <c r="Z3507" s="2016"/>
      <c r="AA3507" s="2016"/>
      <c r="AB3507" s="2012"/>
      <c r="AC3507" s="2012"/>
      <c r="AD3507" s="2012"/>
      <c r="AE3507" s="2012"/>
      <c r="AF3507" s="2012"/>
    </row>
    <row r="3508" spans="1:32" ht="13.5" thickBot="1" x14ac:dyDescent="0.25"/>
    <row r="3509" spans="1:32" ht="26.45" customHeight="1" x14ac:dyDescent="0.2">
      <c r="A3509" s="2025" t="s">
        <v>1854</v>
      </c>
      <c r="B3509" s="2026"/>
      <c r="C3509" s="2026"/>
      <c r="D3509" s="2026"/>
      <c r="E3509" s="2026"/>
      <c r="F3509" s="2026"/>
      <c r="G3509" s="2026"/>
      <c r="H3509" s="2026"/>
      <c r="I3509" s="2026"/>
      <c r="J3509" s="2026"/>
      <c r="K3509" s="2026"/>
      <c r="L3509" s="2026"/>
      <c r="M3509" s="2026"/>
      <c r="N3509" s="2026"/>
      <c r="O3509" s="2026"/>
      <c r="P3509" s="2026"/>
      <c r="Q3509" s="2026"/>
      <c r="R3509" s="2026"/>
      <c r="S3509" s="2026"/>
      <c r="T3509" s="2026"/>
      <c r="U3509" s="2026"/>
      <c r="V3509" s="2026"/>
      <c r="W3509" s="2026"/>
      <c r="X3509" s="2026"/>
      <c r="Y3509" s="2026"/>
      <c r="Z3509" s="2026"/>
      <c r="AA3509" s="2026"/>
      <c r="AB3509" s="2026"/>
      <c r="AC3509" s="2026"/>
      <c r="AD3509" s="2026"/>
      <c r="AE3509" s="1041" t="s">
        <v>1834</v>
      </c>
      <c r="AF3509" s="1042" t="s">
        <v>1835</v>
      </c>
    </row>
    <row r="3510" spans="1:32" ht="21" customHeight="1" thickBot="1" x14ac:dyDescent="0.25">
      <c r="A3510" s="2027"/>
      <c r="B3510" s="2028"/>
      <c r="C3510" s="2028"/>
      <c r="D3510" s="2028"/>
      <c r="E3510" s="2028"/>
      <c r="F3510" s="2028"/>
      <c r="G3510" s="2028"/>
      <c r="H3510" s="2028"/>
      <c r="I3510" s="2028"/>
      <c r="J3510" s="2028"/>
      <c r="K3510" s="2028"/>
      <c r="L3510" s="2028"/>
      <c r="M3510" s="2028"/>
      <c r="N3510" s="2028"/>
      <c r="O3510" s="2028"/>
      <c r="P3510" s="2028"/>
      <c r="Q3510" s="2028"/>
      <c r="R3510" s="2028"/>
      <c r="S3510" s="2028"/>
      <c r="T3510" s="2028"/>
      <c r="U3510" s="2028"/>
      <c r="V3510" s="2028"/>
      <c r="W3510" s="2028"/>
      <c r="X3510" s="2028"/>
      <c r="Y3510" s="2028"/>
      <c r="Z3510" s="2028"/>
      <c r="AA3510" s="2028"/>
      <c r="AB3510" s="2028"/>
      <c r="AC3510" s="2028"/>
      <c r="AD3510" s="2028"/>
      <c r="AE3510" s="1041" t="s">
        <v>1836</v>
      </c>
      <c r="AF3510" s="1044">
        <v>1</v>
      </c>
    </row>
    <row r="3511" spans="1:32" ht="15.75" x14ac:dyDescent="0.2">
      <c r="A3511" s="2029"/>
      <c r="B3511" s="2030"/>
      <c r="C3511" s="2030"/>
      <c r="D3511" s="2031"/>
      <c r="E3511" s="2025" t="str">
        <f>'01'!$A$12</f>
        <v>"CONSTRUCCION SISTEMA DE ACUEDUCTO FASE II DEL MUNICIPIO DE TESALIA DPTO DEL HUILA"</v>
      </c>
      <c r="F3511" s="2026"/>
      <c r="G3511" s="2026"/>
      <c r="H3511" s="2026"/>
      <c r="I3511" s="2026"/>
      <c r="J3511" s="2026"/>
      <c r="K3511" s="2026"/>
      <c r="L3511" s="2026"/>
      <c r="M3511" s="2026"/>
      <c r="N3511" s="2026"/>
      <c r="O3511" s="2026"/>
      <c r="P3511" s="2026"/>
      <c r="Q3511" s="2026"/>
      <c r="R3511" s="2026"/>
      <c r="S3511" s="2026"/>
      <c r="T3511" s="2026"/>
      <c r="U3511" s="2026"/>
      <c r="V3511" s="2026"/>
      <c r="W3511" s="2026"/>
      <c r="X3511" s="2026"/>
      <c r="Y3511" s="2026"/>
      <c r="Z3511" s="2026"/>
      <c r="AA3511" s="2026"/>
      <c r="AB3511" s="2026"/>
      <c r="AC3511" s="2026"/>
      <c r="AD3511" s="2035"/>
      <c r="AE3511" s="1041" t="s">
        <v>847</v>
      </c>
      <c r="AF3511" s="1045">
        <f>'01'!$M$13</f>
        <v>0</v>
      </c>
    </row>
    <row r="3512" spans="1:32" ht="16.5" thickBot="1" x14ac:dyDescent="0.25">
      <c r="A3512" s="2032"/>
      <c r="B3512" s="2033"/>
      <c r="C3512" s="2033"/>
      <c r="D3512" s="2034"/>
      <c r="E3512" s="2027"/>
      <c r="F3512" s="2028"/>
      <c r="G3512" s="2028"/>
      <c r="H3512" s="2028"/>
      <c r="I3512" s="2028"/>
      <c r="J3512" s="2028"/>
      <c r="K3512" s="2028"/>
      <c r="L3512" s="2028"/>
      <c r="M3512" s="2028"/>
      <c r="N3512" s="2028"/>
      <c r="O3512" s="2028"/>
      <c r="P3512" s="2028"/>
      <c r="Q3512" s="2028"/>
      <c r="R3512" s="2028"/>
      <c r="S3512" s="2028"/>
      <c r="T3512" s="2028"/>
      <c r="U3512" s="2028"/>
      <c r="V3512" s="2028"/>
      <c r="W3512" s="2028"/>
      <c r="X3512" s="2028"/>
      <c r="Y3512" s="2028"/>
      <c r="Z3512" s="2028"/>
      <c r="AA3512" s="2028"/>
      <c r="AB3512" s="2028"/>
      <c r="AC3512" s="2028"/>
      <c r="AD3512" s="2036"/>
      <c r="AE3512" s="1041" t="s">
        <v>1837</v>
      </c>
      <c r="AF3512" s="1042" t="s">
        <v>1838</v>
      </c>
    </row>
    <row r="3513" spans="1:32" ht="15.75" x14ac:dyDescent="0.25">
      <c r="A3513" s="2037" t="s">
        <v>1860</v>
      </c>
      <c r="B3513" s="2038"/>
      <c r="C3513" s="2038"/>
      <c r="D3513" s="2038"/>
      <c r="E3513" s="2038"/>
      <c r="F3513" s="2038"/>
      <c r="G3513" s="2038"/>
      <c r="H3513" s="2038"/>
      <c r="I3513" s="2038"/>
      <c r="J3513" s="2038"/>
      <c r="K3513" s="2038"/>
      <c r="L3513" s="2038"/>
      <c r="M3513" s="2038"/>
      <c r="N3513" s="2038"/>
      <c r="O3513" s="2038"/>
      <c r="P3513" s="2038"/>
      <c r="Q3513" s="2038"/>
      <c r="R3513" s="2038"/>
      <c r="S3513" s="2038"/>
      <c r="T3513" s="2038"/>
      <c r="U3513" s="2038"/>
      <c r="V3513" s="2038"/>
      <c r="W3513" s="2038"/>
      <c r="X3513" s="2038"/>
      <c r="Y3513" s="2038"/>
      <c r="Z3513" s="2038"/>
      <c r="AA3513" s="2038"/>
      <c r="AB3513" s="2038"/>
      <c r="AC3513" s="2038"/>
      <c r="AD3513" s="2038"/>
      <c r="AE3513" s="2039" t="s">
        <v>1839</v>
      </c>
      <c r="AF3513" s="2040"/>
    </row>
    <row r="3514" spans="1:32" ht="15.75" x14ac:dyDescent="0.25">
      <c r="A3514" s="2041" t="s">
        <v>1840</v>
      </c>
      <c r="B3514" s="2042"/>
      <c r="C3514" s="2042"/>
      <c r="D3514" s="2042"/>
      <c r="E3514" s="2042"/>
      <c r="F3514" s="2042"/>
      <c r="G3514" s="2042"/>
      <c r="H3514" s="2042"/>
      <c r="I3514" s="2042"/>
      <c r="J3514" s="2042"/>
      <c r="K3514" s="2042"/>
      <c r="L3514" s="2042"/>
      <c r="M3514" s="2042"/>
      <c r="N3514" s="2042"/>
      <c r="O3514" s="2042"/>
      <c r="P3514" s="2042"/>
      <c r="Q3514" s="2042"/>
      <c r="R3514" s="2042"/>
      <c r="S3514" s="2042"/>
      <c r="T3514" s="2042"/>
      <c r="U3514" s="2042"/>
      <c r="V3514" s="2042"/>
      <c r="W3514" s="2042"/>
      <c r="X3514" s="2042"/>
      <c r="Y3514" s="2042"/>
      <c r="Z3514" s="2042"/>
      <c r="AA3514" s="2042"/>
      <c r="AB3514" s="2042"/>
      <c r="AC3514" s="2042"/>
      <c r="AD3514" s="2043"/>
      <c r="AE3514" s="2014" t="s">
        <v>1841</v>
      </c>
      <c r="AF3514" s="2044"/>
    </row>
    <row r="3515" spans="1:32" ht="15.75" x14ac:dyDescent="0.25">
      <c r="A3515" s="2045" t="s">
        <v>1853</v>
      </c>
      <c r="B3515" s="2046"/>
      <c r="C3515" s="2046"/>
      <c r="D3515" s="2046"/>
      <c r="E3515" s="2046"/>
      <c r="F3515" s="2046"/>
      <c r="G3515" s="2046"/>
      <c r="H3515" s="2046"/>
      <c r="I3515" s="2046"/>
      <c r="J3515" s="2046"/>
      <c r="K3515" s="2046"/>
      <c r="L3515" s="2046"/>
      <c r="M3515" s="2046"/>
      <c r="N3515" s="2046"/>
      <c r="O3515" s="2046"/>
      <c r="P3515" s="2046"/>
      <c r="Q3515" s="2046"/>
      <c r="R3515" s="2046"/>
      <c r="S3515" s="2046"/>
      <c r="T3515" s="2046"/>
      <c r="U3515" s="2046"/>
      <c r="V3515" s="2046"/>
      <c r="W3515" s="2046"/>
      <c r="X3515" s="2046"/>
      <c r="Y3515" s="2046"/>
      <c r="Z3515" s="2046"/>
      <c r="AA3515" s="2046"/>
      <c r="AB3515" s="2046"/>
      <c r="AC3515" s="2046"/>
      <c r="AD3515" s="2046"/>
      <c r="AE3515" s="2047">
        <f>'01'!$M$13</f>
        <v>0</v>
      </c>
      <c r="AF3515" s="2044"/>
    </row>
    <row r="3516" spans="1:32" x14ac:dyDescent="0.2">
      <c r="A3516" s="1046"/>
      <c r="B3516" s="1047"/>
      <c r="C3516" s="1047"/>
      <c r="D3516" s="1047"/>
      <c r="E3516" s="1047"/>
      <c r="F3516" s="1047"/>
      <c r="G3516" s="1047"/>
      <c r="H3516" s="1047"/>
      <c r="I3516" s="1047"/>
      <c r="J3516" s="1047"/>
      <c r="K3516" s="1047"/>
      <c r="L3516" s="1047"/>
      <c r="M3516" s="1047"/>
      <c r="N3516" s="1047"/>
      <c r="O3516" s="1047"/>
      <c r="P3516" s="1047"/>
      <c r="Q3516" s="1047"/>
      <c r="R3516" s="1047"/>
      <c r="S3516" s="1047"/>
      <c r="T3516" s="1047"/>
      <c r="U3516" s="1047"/>
      <c r="V3516" s="1047"/>
      <c r="W3516" s="1047"/>
      <c r="X3516" s="1047"/>
      <c r="Y3516" s="1047"/>
      <c r="Z3516" s="1047"/>
      <c r="AA3516" s="1047"/>
      <c r="AB3516" s="1047"/>
      <c r="AC3516" s="1047"/>
      <c r="AD3516" s="1047"/>
      <c r="AE3516" s="1047"/>
      <c r="AF3516" s="1048"/>
    </row>
    <row r="3517" spans="1:32" ht="30" customHeight="1" x14ac:dyDescent="0.2">
      <c r="A3517" s="2048" t="s">
        <v>1842</v>
      </c>
      <c r="B3517" s="2049"/>
      <c r="C3517" s="2049"/>
      <c r="D3517" s="2049"/>
      <c r="E3517" s="2049"/>
      <c r="F3517" s="2050" t="str">
        <f>+'01'!$H$130</f>
        <v>E - ESPESADOR GRAVIMÉTRICO</v>
      </c>
      <c r="G3517" s="2049"/>
      <c r="H3517" s="2049"/>
      <c r="I3517" s="2049"/>
      <c r="J3517" s="2049"/>
      <c r="K3517" s="2049"/>
      <c r="L3517" s="2049"/>
      <c r="M3517" s="2049"/>
      <c r="N3517" s="2049"/>
      <c r="O3517" s="2049"/>
      <c r="P3517" s="2049"/>
      <c r="Q3517" s="2049"/>
      <c r="R3517" s="2049"/>
      <c r="S3517" s="2049"/>
      <c r="T3517" s="2049"/>
      <c r="U3517" s="2049"/>
      <c r="V3517" s="2049"/>
      <c r="W3517" s="2049"/>
      <c r="X3517" s="2049"/>
      <c r="Y3517" s="2051"/>
      <c r="Z3517" s="2052" t="s">
        <v>1843</v>
      </c>
      <c r="AA3517" s="2053"/>
      <c r="AB3517" s="2058" t="s">
        <v>1844</v>
      </c>
      <c r="AC3517" s="2059"/>
      <c r="AD3517" s="2060"/>
      <c r="AE3517" s="2064" t="s">
        <v>1845</v>
      </c>
      <c r="AF3517" s="2067" t="s">
        <v>1846</v>
      </c>
    </row>
    <row r="3518" spans="1:32" ht="15" customHeight="1" x14ac:dyDescent="0.2">
      <c r="A3518" s="2070" t="str">
        <f>+'01'!A153</f>
        <v>E-08-01</v>
      </c>
      <c r="B3518" s="2071"/>
      <c r="C3518" s="2072"/>
      <c r="D3518" s="2076" t="str">
        <f>VLOOKUP(A3518,'01'!$A$12:$N$299,3,FALSE)</f>
        <v>SUMINISTRO E INSTALACIÓN DE CINTA PVC DE 0.15 METROS PARA JUNTA DE CONSTRUCCION EN TANQUES.</v>
      </c>
      <c r="E3518" s="2077"/>
      <c r="F3518" s="2077"/>
      <c r="G3518" s="2077"/>
      <c r="H3518" s="2077"/>
      <c r="I3518" s="2077"/>
      <c r="J3518" s="2077"/>
      <c r="K3518" s="2077"/>
      <c r="L3518" s="2077"/>
      <c r="M3518" s="2077"/>
      <c r="N3518" s="2077"/>
      <c r="O3518" s="2077"/>
      <c r="P3518" s="2077"/>
      <c r="Q3518" s="2077"/>
      <c r="R3518" s="2077"/>
      <c r="S3518" s="2078"/>
      <c r="T3518" s="2082" t="s">
        <v>124</v>
      </c>
      <c r="U3518" s="2083"/>
      <c r="V3518" s="2083"/>
      <c r="W3518" s="2083"/>
      <c r="X3518" s="2052" t="str">
        <f>VLOOKUP(A3518,'01'!$A$12:$N$299,9,FALSE)</f>
        <v>ML</v>
      </c>
      <c r="Y3518" s="2053"/>
      <c r="Z3518" s="2054"/>
      <c r="AA3518" s="2055"/>
      <c r="AB3518" s="2061"/>
      <c r="AC3518" s="2062"/>
      <c r="AD3518" s="2063"/>
      <c r="AE3518" s="2065"/>
      <c r="AF3518" s="2068"/>
    </row>
    <row r="3519" spans="1:32" ht="15" customHeight="1" x14ac:dyDescent="0.25">
      <c r="A3519" s="2073"/>
      <c r="B3519" s="2074"/>
      <c r="C3519" s="2075"/>
      <c r="D3519" s="2079"/>
      <c r="E3519" s="2080"/>
      <c r="F3519" s="2080"/>
      <c r="G3519" s="2080"/>
      <c r="H3519" s="2080"/>
      <c r="I3519" s="2080"/>
      <c r="J3519" s="2080"/>
      <c r="K3519" s="2080"/>
      <c r="L3519" s="2080"/>
      <c r="M3519" s="2080"/>
      <c r="N3519" s="2080"/>
      <c r="O3519" s="2080"/>
      <c r="P3519" s="2080"/>
      <c r="Q3519" s="2080"/>
      <c r="R3519" s="2080"/>
      <c r="S3519" s="2081"/>
      <c r="T3519" s="2084"/>
      <c r="U3519" s="2085"/>
      <c r="V3519" s="2085"/>
      <c r="W3519" s="2085"/>
      <c r="X3519" s="2056"/>
      <c r="Y3519" s="2057"/>
      <c r="Z3519" s="2056"/>
      <c r="AA3519" s="2057"/>
      <c r="AB3519" s="1049" t="s">
        <v>1847</v>
      </c>
      <c r="AC3519" s="1049" t="s">
        <v>1848</v>
      </c>
      <c r="AD3519" s="1049" t="s">
        <v>1861</v>
      </c>
      <c r="AE3519" s="2066"/>
      <c r="AF3519" s="2069"/>
    </row>
    <row r="3520" spans="1:32" ht="15.6" customHeight="1" x14ac:dyDescent="0.25">
      <c r="A3520" s="2017"/>
      <c r="B3520" s="2018"/>
      <c r="C3520" s="2018"/>
      <c r="D3520" s="2018"/>
      <c r="E3520" s="2018"/>
      <c r="F3520" s="2018"/>
      <c r="G3520" s="2018"/>
      <c r="H3520" s="2018"/>
      <c r="I3520" s="2018"/>
      <c r="J3520" s="2018"/>
      <c r="K3520" s="2018"/>
      <c r="L3520" s="2018"/>
      <c r="M3520" s="2018"/>
      <c r="N3520" s="2018"/>
      <c r="O3520" s="2018"/>
      <c r="P3520" s="2018"/>
      <c r="Q3520" s="2018"/>
      <c r="R3520" s="2018"/>
      <c r="S3520" s="2018"/>
      <c r="T3520" s="2018"/>
      <c r="U3520" s="2018"/>
      <c r="V3520" s="2018"/>
      <c r="W3520" s="2018"/>
      <c r="X3520" s="2018"/>
      <c r="Y3520" s="2018"/>
      <c r="Z3520" s="2021" t="s">
        <v>2459</v>
      </c>
      <c r="AA3520" s="2021"/>
      <c r="AB3520" s="1050">
        <v>4.8</v>
      </c>
      <c r="AC3520" s="1050"/>
      <c r="AD3520" s="1050"/>
      <c r="AE3520" s="1050">
        <v>4</v>
      </c>
      <c r="AF3520" s="1052">
        <f>+ROUND(AB3520*AE3520,2)</f>
        <v>19.2</v>
      </c>
    </row>
    <row r="3521" spans="1:32" ht="15.6" customHeight="1" x14ac:dyDescent="0.25">
      <c r="A3521" s="2017"/>
      <c r="B3521" s="2018"/>
      <c r="C3521" s="2018"/>
      <c r="D3521" s="2018"/>
      <c r="E3521" s="2018"/>
      <c r="F3521" s="2018"/>
      <c r="G3521" s="2018"/>
      <c r="H3521" s="2018"/>
      <c r="I3521" s="2018"/>
      <c r="J3521" s="2018"/>
      <c r="K3521" s="2018"/>
      <c r="L3521" s="2018"/>
      <c r="M3521" s="2018"/>
      <c r="N3521" s="2018"/>
      <c r="O3521" s="2018"/>
      <c r="P3521" s="2018"/>
      <c r="Q3521" s="2018"/>
      <c r="R3521" s="2018"/>
      <c r="S3521" s="2018"/>
      <c r="T3521" s="2018"/>
      <c r="U3521" s="2018"/>
      <c r="V3521" s="2018"/>
      <c r="W3521" s="2018"/>
      <c r="X3521" s="2018"/>
      <c r="Y3521" s="2018"/>
      <c r="Z3521" s="2021" t="s">
        <v>2460</v>
      </c>
      <c r="AA3521" s="2021"/>
      <c r="AB3521" s="1050">
        <f>1.2+1.4+1.2</f>
        <v>3.8</v>
      </c>
      <c r="AC3521" s="1050"/>
      <c r="AD3521" s="1050"/>
      <c r="AE3521" s="1050">
        <v>1</v>
      </c>
      <c r="AF3521" s="1052">
        <f t="shared" ref="AF3521:AF3522" si="53">+ROUND(AB3521*AE3521,2)</f>
        <v>3.8</v>
      </c>
    </row>
    <row r="3522" spans="1:32" ht="15.75" x14ac:dyDescent="0.25">
      <c r="A3522" s="2017"/>
      <c r="B3522" s="2018"/>
      <c r="C3522" s="2018"/>
      <c r="D3522" s="2018"/>
      <c r="E3522" s="2018"/>
      <c r="F3522" s="2018"/>
      <c r="G3522" s="2018"/>
      <c r="H3522" s="2018"/>
      <c r="I3522" s="2018"/>
      <c r="J3522" s="2018"/>
      <c r="K3522" s="2018"/>
      <c r="L3522" s="2018"/>
      <c r="M3522" s="2018"/>
      <c r="N3522" s="2018"/>
      <c r="O3522" s="2018"/>
      <c r="P3522" s="2018"/>
      <c r="Q3522" s="2018"/>
      <c r="R3522" s="2018"/>
      <c r="S3522" s="2018"/>
      <c r="T3522" s="2018"/>
      <c r="U3522" s="2018"/>
      <c r="V3522" s="2018"/>
      <c r="W3522" s="2018"/>
      <c r="X3522" s="2018"/>
      <c r="Y3522" s="2018"/>
      <c r="Z3522" s="2021" t="s">
        <v>2461</v>
      </c>
      <c r="AA3522" s="2021"/>
      <c r="AB3522" s="1050">
        <f>1.2+1.4+1.2</f>
        <v>3.8</v>
      </c>
      <c r="AC3522" s="1050"/>
      <c r="AD3522" s="1050"/>
      <c r="AE3522" s="1050">
        <v>1</v>
      </c>
      <c r="AF3522" s="1052">
        <f t="shared" si="53"/>
        <v>3.8</v>
      </c>
    </row>
    <row r="3523" spans="1:32" ht="15.75" x14ac:dyDescent="0.25">
      <c r="A3523" s="2017"/>
      <c r="B3523" s="2018"/>
      <c r="C3523" s="2018"/>
      <c r="D3523" s="2018"/>
      <c r="E3523" s="2018"/>
      <c r="F3523" s="2018"/>
      <c r="G3523" s="2018"/>
      <c r="H3523" s="2018"/>
      <c r="I3523" s="2018"/>
      <c r="J3523" s="2018"/>
      <c r="K3523" s="2018"/>
      <c r="L3523" s="2018"/>
      <c r="M3523" s="2018"/>
      <c r="N3523" s="2018"/>
      <c r="O3523" s="2018"/>
      <c r="P3523" s="2018"/>
      <c r="Q3523" s="2018"/>
      <c r="R3523" s="2018"/>
      <c r="S3523" s="2018"/>
      <c r="T3523" s="2018"/>
      <c r="U3523" s="2018"/>
      <c r="V3523" s="2018"/>
      <c r="W3523" s="2018"/>
      <c r="X3523" s="2018"/>
      <c r="Y3523" s="2018"/>
      <c r="Z3523" s="2021"/>
      <c r="AA3523" s="2021"/>
      <c r="AB3523" s="1050"/>
      <c r="AC3523" s="1050"/>
      <c r="AD3523" s="1050"/>
      <c r="AE3523" s="1050"/>
      <c r="AF3523" s="1052"/>
    </row>
    <row r="3524" spans="1:32" ht="15.75" x14ac:dyDescent="0.25">
      <c r="A3524" s="2017"/>
      <c r="B3524" s="2018"/>
      <c r="C3524" s="2018"/>
      <c r="D3524" s="2018"/>
      <c r="E3524" s="2018"/>
      <c r="F3524" s="2018"/>
      <c r="G3524" s="2018"/>
      <c r="H3524" s="2018"/>
      <c r="I3524" s="2018"/>
      <c r="J3524" s="2018"/>
      <c r="K3524" s="2018"/>
      <c r="L3524" s="2018"/>
      <c r="M3524" s="2018"/>
      <c r="N3524" s="2018"/>
      <c r="O3524" s="2018"/>
      <c r="P3524" s="2018"/>
      <c r="Q3524" s="2018"/>
      <c r="R3524" s="2018"/>
      <c r="S3524" s="2018"/>
      <c r="T3524" s="2018"/>
      <c r="U3524" s="2018"/>
      <c r="V3524" s="2018"/>
      <c r="W3524" s="2018"/>
      <c r="X3524" s="2018"/>
      <c r="Y3524" s="2018"/>
      <c r="Z3524" s="2021"/>
      <c r="AA3524" s="2021"/>
      <c r="AB3524" s="1050"/>
      <c r="AC3524" s="1050"/>
      <c r="AD3524" s="1050"/>
      <c r="AE3524" s="1050"/>
      <c r="AF3524" s="1052"/>
    </row>
    <row r="3525" spans="1:32" ht="15.75" x14ac:dyDescent="0.25">
      <c r="A3525" s="2017"/>
      <c r="B3525" s="2018"/>
      <c r="C3525" s="2018"/>
      <c r="D3525" s="2018"/>
      <c r="E3525" s="2018"/>
      <c r="F3525" s="2018"/>
      <c r="G3525" s="2018"/>
      <c r="H3525" s="2018"/>
      <c r="I3525" s="2018"/>
      <c r="J3525" s="2018"/>
      <c r="K3525" s="2018"/>
      <c r="L3525" s="2018"/>
      <c r="M3525" s="2018"/>
      <c r="N3525" s="2018"/>
      <c r="O3525" s="2018"/>
      <c r="P3525" s="2018"/>
      <c r="Q3525" s="2018"/>
      <c r="R3525" s="2018"/>
      <c r="S3525" s="2018"/>
      <c r="T3525" s="2018"/>
      <c r="U3525" s="2018"/>
      <c r="V3525" s="2018"/>
      <c r="W3525" s="2018"/>
      <c r="X3525" s="2018"/>
      <c r="Y3525" s="2018"/>
      <c r="Z3525" s="2021"/>
      <c r="AA3525" s="2021"/>
      <c r="AB3525" s="1050"/>
      <c r="AC3525" s="1050"/>
      <c r="AD3525" s="1050"/>
      <c r="AE3525" s="1050"/>
      <c r="AF3525" s="1052"/>
    </row>
    <row r="3526" spans="1:32" ht="15.75" x14ac:dyDescent="0.25">
      <c r="A3526" s="2017"/>
      <c r="B3526" s="2018"/>
      <c r="C3526" s="2018"/>
      <c r="D3526" s="2018"/>
      <c r="E3526" s="2018"/>
      <c r="F3526" s="2018"/>
      <c r="G3526" s="2018"/>
      <c r="H3526" s="2018"/>
      <c r="I3526" s="2018"/>
      <c r="J3526" s="2018"/>
      <c r="K3526" s="2018"/>
      <c r="L3526" s="2018"/>
      <c r="M3526" s="2018"/>
      <c r="N3526" s="2018"/>
      <c r="O3526" s="2018"/>
      <c r="P3526" s="2018"/>
      <c r="Q3526" s="2018"/>
      <c r="R3526" s="2018"/>
      <c r="S3526" s="2018"/>
      <c r="T3526" s="2018"/>
      <c r="U3526" s="2018"/>
      <c r="V3526" s="2018"/>
      <c r="W3526" s="2018"/>
      <c r="X3526" s="2018"/>
      <c r="Y3526" s="2018"/>
      <c r="Z3526" s="2021"/>
      <c r="AA3526" s="2021"/>
      <c r="AB3526" s="1050"/>
      <c r="AC3526" s="1050"/>
      <c r="AD3526" s="1050"/>
      <c r="AE3526" s="1050"/>
      <c r="AF3526" s="1052"/>
    </row>
    <row r="3527" spans="1:32" ht="15.75" x14ac:dyDescent="0.25">
      <c r="A3527" s="2017"/>
      <c r="B3527" s="2018"/>
      <c r="C3527" s="2018"/>
      <c r="D3527" s="2018"/>
      <c r="E3527" s="2018"/>
      <c r="F3527" s="2018"/>
      <c r="G3527" s="2018"/>
      <c r="H3527" s="2018"/>
      <c r="I3527" s="2018"/>
      <c r="J3527" s="2018"/>
      <c r="K3527" s="2018"/>
      <c r="L3527" s="2018"/>
      <c r="M3527" s="2018"/>
      <c r="N3527" s="2018"/>
      <c r="O3527" s="2018"/>
      <c r="P3527" s="2018"/>
      <c r="Q3527" s="2018"/>
      <c r="R3527" s="2018"/>
      <c r="S3527" s="2018"/>
      <c r="T3527" s="2018"/>
      <c r="U3527" s="2018"/>
      <c r="V3527" s="2018"/>
      <c r="W3527" s="2018"/>
      <c r="X3527" s="2018"/>
      <c r="Y3527" s="2018"/>
      <c r="Z3527" s="2021"/>
      <c r="AA3527" s="2021"/>
      <c r="AB3527" s="1050"/>
      <c r="AC3527" s="1050"/>
      <c r="AD3527" s="1050"/>
      <c r="AE3527" s="1050"/>
      <c r="AF3527" s="1052"/>
    </row>
    <row r="3528" spans="1:32" ht="15.75" x14ac:dyDescent="0.25">
      <c r="A3528" s="2017"/>
      <c r="B3528" s="2018"/>
      <c r="C3528" s="2018"/>
      <c r="D3528" s="2018"/>
      <c r="E3528" s="2018"/>
      <c r="F3528" s="2018"/>
      <c r="G3528" s="2018"/>
      <c r="H3528" s="2018"/>
      <c r="I3528" s="2018"/>
      <c r="J3528" s="2018"/>
      <c r="K3528" s="2018"/>
      <c r="L3528" s="2018"/>
      <c r="M3528" s="2018"/>
      <c r="N3528" s="2018"/>
      <c r="O3528" s="2018"/>
      <c r="P3528" s="2018"/>
      <c r="Q3528" s="2018"/>
      <c r="R3528" s="2018"/>
      <c r="S3528" s="2018"/>
      <c r="T3528" s="2018"/>
      <c r="U3528" s="2018"/>
      <c r="V3528" s="2018"/>
      <c r="W3528" s="2018"/>
      <c r="X3528" s="2018"/>
      <c r="Y3528" s="2018"/>
      <c r="Z3528" s="2021"/>
      <c r="AA3528" s="2021"/>
      <c r="AB3528" s="1050"/>
      <c r="AC3528" s="1050"/>
      <c r="AD3528" s="1050"/>
      <c r="AE3528" s="1050"/>
      <c r="AF3528" s="1052"/>
    </row>
    <row r="3529" spans="1:32" ht="15.75" x14ac:dyDescent="0.25">
      <c r="A3529" s="2017"/>
      <c r="B3529" s="2018"/>
      <c r="C3529" s="2018"/>
      <c r="D3529" s="2018"/>
      <c r="E3529" s="2018"/>
      <c r="F3529" s="2018"/>
      <c r="G3529" s="2018"/>
      <c r="H3529" s="2018"/>
      <c r="I3529" s="2018"/>
      <c r="J3529" s="2018"/>
      <c r="K3529" s="2018"/>
      <c r="L3529" s="2018"/>
      <c r="M3529" s="2018"/>
      <c r="N3529" s="2018"/>
      <c r="O3529" s="2018"/>
      <c r="P3529" s="2018"/>
      <c r="Q3529" s="2018"/>
      <c r="R3529" s="2018"/>
      <c r="S3529" s="2018"/>
      <c r="T3529" s="2018"/>
      <c r="U3529" s="2018"/>
      <c r="V3529" s="2018"/>
      <c r="W3529" s="2018"/>
      <c r="X3529" s="2018"/>
      <c r="Y3529" s="2018"/>
      <c r="Z3529" s="2021"/>
      <c r="AA3529" s="2021"/>
      <c r="AB3529" s="1050"/>
      <c r="AC3529" s="1050"/>
      <c r="AD3529" s="1050"/>
      <c r="AE3529" s="1050"/>
      <c r="AF3529" s="1052"/>
    </row>
    <row r="3530" spans="1:32" ht="15.75" x14ac:dyDescent="0.25">
      <c r="A3530" s="2017"/>
      <c r="B3530" s="2018"/>
      <c r="C3530" s="2018"/>
      <c r="D3530" s="2018"/>
      <c r="E3530" s="2018"/>
      <c r="F3530" s="2018"/>
      <c r="G3530" s="2018"/>
      <c r="H3530" s="2018"/>
      <c r="I3530" s="2018"/>
      <c r="J3530" s="2018"/>
      <c r="K3530" s="2018"/>
      <c r="L3530" s="2018"/>
      <c r="M3530" s="2018"/>
      <c r="N3530" s="2018"/>
      <c r="O3530" s="2018"/>
      <c r="P3530" s="2018"/>
      <c r="Q3530" s="2018"/>
      <c r="R3530" s="2018"/>
      <c r="S3530" s="2018"/>
      <c r="T3530" s="2018"/>
      <c r="U3530" s="2018"/>
      <c r="V3530" s="2018"/>
      <c r="W3530" s="2018"/>
      <c r="X3530" s="2018"/>
      <c r="Y3530" s="2018"/>
      <c r="Z3530" s="2021"/>
      <c r="AA3530" s="2021"/>
      <c r="AB3530" s="1050"/>
      <c r="AC3530" s="1050"/>
      <c r="AD3530" s="1050"/>
      <c r="AE3530" s="1050"/>
      <c r="AF3530" s="1052"/>
    </row>
    <row r="3531" spans="1:32" ht="15.75" x14ac:dyDescent="0.25">
      <c r="A3531" s="2017"/>
      <c r="B3531" s="2018"/>
      <c r="C3531" s="2018"/>
      <c r="D3531" s="2018"/>
      <c r="E3531" s="2018"/>
      <c r="F3531" s="2018"/>
      <c r="G3531" s="2018"/>
      <c r="H3531" s="2018"/>
      <c r="I3531" s="2018"/>
      <c r="J3531" s="2018"/>
      <c r="K3531" s="2018"/>
      <c r="L3531" s="2018"/>
      <c r="M3531" s="2018"/>
      <c r="N3531" s="2018"/>
      <c r="O3531" s="2018"/>
      <c r="P3531" s="2018"/>
      <c r="Q3531" s="2018"/>
      <c r="R3531" s="2018"/>
      <c r="S3531" s="2018"/>
      <c r="T3531" s="2018"/>
      <c r="U3531" s="2018"/>
      <c r="V3531" s="2018"/>
      <c r="W3531" s="2018"/>
      <c r="X3531" s="2018"/>
      <c r="Y3531" s="2018"/>
      <c r="Z3531" s="2021"/>
      <c r="AA3531" s="2021"/>
      <c r="AB3531" s="1050"/>
      <c r="AC3531" s="1050"/>
      <c r="AD3531" s="1050"/>
      <c r="AE3531" s="1050"/>
      <c r="AF3531" s="1052"/>
    </row>
    <row r="3532" spans="1:32" ht="15.75" x14ac:dyDescent="0.25">
      <c r="A3532" s="2017"/>
      <c r="B3532" s="2018"/>
      <c r="C3532" s="2018"/>
      <c r="D3532" s="2018"/>
      <c r="E3532" s="2018"/>
      <c r="F3532" s="2018"/>
      <c r="G3532" s="2018"/>
      <c r="H3532" s="2018"/>
      <c r="I3532" s="2018"/>
      <c r="J3532" s="2018"/>
      <c r="K3532" s="2018"/>
      <c r="L3532" s="2018"/>
      <c r="M3532" s="2018"/>
      <c r="N3532" s="2018"/>
      <c r="O3532" s="2018"/>
      <c r="P3532" s="2018"/>
      <c r="Q3532" s="2018"/>
      <c r="R3532" s="2018"/>
      <c r="S3532" s="2018"/>
      <c r="T3532" s="2018"/>
      <c r="U3532" s="2018"/>
      <c r="V3532" s="2018"/>
      <c r="W3532" s="2018"/>
      <c r="X3532" s="2018"/>
      <c r="Y3532" s="2018"/>
      <c r="Z3532" s="2021"/>
      <c r="AA3532" s="2021"/>
      <c r="AB3532" s="1050"/>
      <c r="AC3532" s="1050"/>
      <c r="AD3532" s="1050"/>
      <c r="AE3532" s="1050"/>
      <c r="AF3532" s="1052"/>
    </row>
    <row r="3533" spans="1:32" ht="15.75" x14ac:dyDescent="0.25">
      <c r="A3533" s="2017"/>
      <c r="B3533" s="2018"/>
      <c r="C3533" s="2018"/>
      <c r="D3533" s="2018"/>
      <c r="E3533" s="2018"/>
      <c r="F3533" s="2018"/>
      <c r="G3533" s="2018"/>
      <c r="H3533" s="2018"/>
      <c r="I3533" s="2018"/>
      <c r="J3533" s="2018"/>
      <c r="K3533" s="2018"/>
      <c r="L3533" s="2018"/>
      <c r="M3533" s="2018"/>
      <c r="N3533" s="2018"/>
      <c r="O3533" s="2018"/>
      <c r="P3533" s="2018"/>
      <c r="Q3533" s="2018"/>
      <c r="R3533" s="2018"/>
      <c r="S3533" s="2018"/>
      <c r="T3533" s="2018"/>
      <c r="U3533" s="2018"/>
      <c r="V3533" s="2018"/>
      <c r="W3533" s="2018"/>
      <c r="X3533" s="2018"/>
      <c r="Y3533" s="2018"/>
      <c r="Z3533" s="2021"/>
      <c r="AA3533" s="2021"/>
      <c r="AB3533" s="1050"/>
      <c r="AC3533" s="1050"/>
      <c r="AD3533" s="1050"/>
      <c r="AE3533" s="1050"/>
      <c r="AF3533" s="1052"/>
    </row>
    <row r="3534" spans="1:32" ht="15.75" x14ac:dyDescent="0.25">
      <c r="A3534" s="2017"/>
      <c r="B3534" s="2018"/>
      <c r="C3534" s="2018"/>
      <c r="D3534" s="2018"/>
      <c r="E3534" s="2018"/>
      <c r="F3534" s="2018"/>
      <c r="G3534" s="2018"/>
      <c r="H3534" s="2018"/>
      <c r="I3534" s="2018"/>
      <c r="J3534" s="2018"/>
      <c r="K3534" s="2018"/>
      <c r="L3534" s="2018"/>
      <c r="M3534" s="2018"/>
      <c r="N3534" s="2018"/>
      <c r="O3534" s="2018"/>
      <c r="P3534" s="2018"/>
      <c r="Q3534" s="2018"/>
      <c r="R3534" s="2018"/>
      <c r="S3534" s="2018"/>
      <c r="T3534" s="2018"/>
      <c r="U3534" s="2018"/>
      <c r="V3534" s="2018"/>
      <c r="W3534" s="2018"/>
      <c r="X3534" s="2018"/>
      <c r="Y3534" s="2018"/>
      <c r="Z3534" s="2022"/>
      <c r="AA3534" s="2022"/>
      <c r="AB3534" s="1050"/>
      <c r="AC3534" s="1050"/>
      <c r="AD3534" s="1050"/>
      <c r="AE3534" s="1050"/>
      <c r="AF3534" s="1052"/>
    </row>
    <row r="3535" spans="1:32" ht="15.75" x14ac:dyDescent="0.25">
      <c r="A3535" s="2017"/>
      <c r="B3535" s="2018"/>
      <c r="C3535" s="2018"/>
      <c r="D3535" s="2018"/>
      <c r="E3535" s="2018"/>
      <c r="F3535" s="2018"/>
      <c r="G3535" s="2018"/>
      <c r="H3535" s="2018"/>
      <c r="I3535" s="2018"/>
      <c r="J3535" s="2018"/>
      <c r="K3535" s="2018"/>
      <c r="L3535" s="2018"/>
      <c r="M3535" s="2018"/>
      <c r="N3535" s="2018"/>
      <c r="O3535" s="2018"/>
      <c r="P3535" s="2018"/>
      <c r="Q3535" s="2018"/>
      <c r="R3535" s="2018"/>
      <c r="S3535" s="2018"/>
      <c r="T3535" s="2018"/>
      <c r="U3535" s="2018"/>
      <c r="V3535" s="2018"/>
      <c r="W3535" s="2018"/>
      <c r="X3535" s="2018"/>
      <c r="Y3535" s="2018"/>
      <c r="Z3535" s="2022"/>
      <c r="AA3535" s="2022"/>
      <c r="AB3535" s="1050"/>
      <c r="AC3535" s="1050"/>
      <c r="AD3535" s="1050"/>
      <c r="AE3535" s="1050"/>
      <c r="AF3535" s="1052"/>
    </row>
    <row r="3536" spans="1:32" ht="15.75" x14ac:dyDescent="0.25">
      <c r="A3536" s="2017"/>
      <c r="B3536" s="2018"/>
      <c r="C3536" s="2018"/>
      <c r="D3536" s="2018"/>
      <c r="E3536" s="2018"/>
      <c r="F3536" s="2018"/>
      <c r="G3536" s="2018"/>
      <c r="H3536" s="2018"/>
      <c r="I3536" s="2018"/>
      <c r="J3536" s="2018"/>
      <c r="K3536" s="2018"/>
      <c r="L3536" s="2018"/>
      <c r="M3536" s="2018"/>
      <c r="N3536" s="2018"/>
      <c r="O3536" s="2018"/>
      <c r="P3536" s="2018"/>
      <c r="Q3536" s="2018"/>
      <c r="R3536" s="2018"/>
      <c r="S3536" s="2018"/>
      <c r="T3536" s="2018"/>
      <c r="U3536" s="2018"/>
      <c r="V3536" s="2018"/>
      <c r="W3536" s="2018"/>
      <c r="X3536" s="2018"/>
      <c r="Y3536" s="2018"/>
      <c r="Z3536" s="2022"/>
      <c r="AA3536" s="2022"/>
      <c r="AB3536" s="1050"/>
      <c r="AC3536" s="1050"/>
      <c r="AD3536" s="1050"/>
      <c r="AE3536" s="1050"/>
      <c r="AF3536" s="1052"/>
    </row>
    <row r="3537" spans="1:32" ht="15.75" x14ac:dyDescent="0.25">
      <c r="A3537" s="2017"/>
      <c r="B3537" s="2018"/>
      <c r="C3537" s="2018"/>
      <c r="D3537" s="2018"/>
      <c r="E3537" s="2018"/>
      <c r="F3537" s="2018"/>
      <c r="G3537" s="2018"/>
      <c r="H3537" s="2018"/>
      <c r="I3537" s="2018"/>
      <c r="J3537" s="2018"/>
      <c r="K3537" s="2018"/>
      <c r="L3537" s="2018"/>
      <c r="M3537" s="2018"/>
      <c r="N3537" s="2018"/>
      <c r="O3537" s="2018"/>
      <c r="P3537" s="2018"/>
      <c r="Q3537" s="2018"/>
      <c r="R3537" s="2018"/>
      <c r="S3537" s="2018"/>
      <c r="T3537" s="2018"/>
      <c r="U3537" s="2018"/>
      <c r="V3537" s="2018"/>
      <c r="W3537" s="2018"/>
      <c r="X3537" s="2018"/>
      <c r="Y3537" s="2018"/>
      <c r="Z3537" s="2023"/>
      <c r="AA3537" s="2023"/>
      <c r="AB3537" s="1050"/>
      <c r="AC3537" s="1050"/>
      <c r="AD3537" s="1050"/>
      <c r="AE3537" s="1050"/>
      <c r="AF3537" s="1052"/>
    </row>
    <row r="3538" spans="1:32" ht="15.75" x14ac:dyDescent="0.25">
      <c r="A3538" s="2017"/>
      <c r="B3538" s="2018"/>
      <c r="C3538" s="2018"/>
      <c r="D3538" s="2018"/>
      <c r="E3538" s="2018"/>
      <c r="F3538" s="2018"/>
      <c r="G3538" s="2018"/>
      <c r="H3538" s="2018"/>
      <c r="I3538" s="2018"/>
      <c r="J3538" s="2018"/>
      <c r="K3538" s="2018"/>
      <c r="L3538" s="2018"/>
      <c r="M3538" s="2018"/>
      <c r="N3538" s="2018"/>
      <c r="O3538" s="2018"/>
      <c r="P3538" s="2018"/>
      <c r="Q3538" s="2018"/>
      <c r="R3538" s="2018"/>
      <c r="S3538" s="2018"/>
      <c r="T3538" s="2018"/>
      <c r="U3538" s="2018"/>
      <c r="V3538" s="2018"/>
      <c r="W3538" s="2018"/>
      <c r="X3538" s="2018"/>
      <c r="Y3538" s="2018"/>
      <c r="Z3538" s="2023"/>
      <c r="AA3538" s="2023"/>
      <c r="AB3538" s="1050"/>
      <c r="AC3538" s="1050"/>
      <c r="AD3538" s="1050"/>
      <c r="AE3538" s="1050"/>
      <c r="AF3538" s="1052"/>
    </row>
    <row r="3539" spans="1:32" ht="15.75" x14ac:dyDescent="0.25">
      <c r="A3539" s="2017"/>
      <c r="B3539" s="2018"/>
      <c r="C3539" s="2018"/>
      <c r="D3539" s="2018"/>
      <c r="E3539" s="2018"/>
      <c r="F3539" s="2018"/>
      <c r="G3539" s="2018"/>
      <c r="H3539" s="2018"/>
      <c r="I3539" s="2018"/>
      <c r="J3539" s="2018"/>
      <c r="K3539" s="2018"/>
      <c r="L3539" s="2018"/>
      <c r="M3539" s="2018"/>
      <c r="N3539" s="2018"/>
      <c r="O3539" s="2018"/>
      <c r="P3539" s="2018"/>
      <c r="Q3539" s="2018"/>
      <c r="R3539" s="2018"/>
      <c r="S3539" s="2018"/>
      <c r="T3539" s="2018"/>
      <c r="U3539" s="2018"/>
      <c r="V3539" s="2018"/>
      <c r="W3539" s="2018"/>
      <c r="X3539" s="2018"/>
      <c r="Y3539" s="2018"/>
      <c r="Z3539" s="2023"/>
      <c r="AA3539" s="2023"/>
      <c r="AB3539" s="1050"/>
      <c r="AC3539" s="1050"/>
      <c r="AD3539" s="1050"/>
      <c r="AE3539" s="1050"/>
      <c r="AF3539" s="1052"/>
    </row>
    <row r="3540" spans="1:32" ht="15.75" x14ac:dyDescent="0.25">
      <c r="A3540" s="2017"/>
      <c r="B3540" s="2018"/>
      <c r="C3540" s="2018"/>
      <c r="D3540" s="2018"/>
      <c r="E3540" s="2018"/>
      <c r="F3540" s="2018"/>
      <c r="G3540" s="2018"/>
      <c r="H3540" s="2018"/>
      <c r="I3540" s="2018"/>
      <c r="J3540" s="2018"/>
      <c r="K3540" s="2018"/>
      <c r="L3540" s="2018"/>
      <c r="M3540" s="2018"/>
      <c r="N3540" s="2018"/>
      <c r="O3540" s="2018"/>
      <c r="P3540" s="2018"/>
      <c r="Q3540" s="2018"/>
      <c r="R3540" s="2018"/>
      <c r="S3540" s="2018"/>
      <c r="T3540" s="2018"/>
      <c r="U3540" s="2018"/>
      <c r="V3540" s="2018"/>
      <c r="W3540" s="2018"/>
      <c r="X3540" s="2018"/>
      <c r="Y3540" s="2018"/>
      <c r="Z3540" s="2023"/>
      <c r="AA3540" s="2023"/>
      <c r="AB3540" s="1050"/>
      <c r="AC3540" s="1050"/>
      <c r="AD3540" s="1050"/>
      <c r="AE3540" s="1050"/>
      <c r="AF3540" s="1052"/>
    </row>
    <row r="3541" spans="1:32" ht="15.75" x14ac:dyDescent="0.25">
      <c r="A3541" s="2017"/>
      <c r="B3541" s="2018"/>
      <c r="C3541" s="2018"/>
      <c r="D3541" s="2018"/>
      <c r="E3541" s="2018"/>
      <c r="F3541" s="2018"/>
      <c r="G3541" s="2018"/>
      <c r="H3541" s="2018"/>
      <c r="I3541" s="2018"/>
      <c r="J3541" s="2018"/>
      <c r="K3541" s="2018"/>
      <c r="L3541" s="2018"/>
      <c r="M3541" s="2018"/>
      <c r="N3541" s="2018"/>
      <c r="O3541" s="2018"/>
      <c r="P3541" s="2018"/>
      <c r="Q3541" s="2018"/>
      <c r="R3541" s="2018"/>
      <c r="S3541" s="2018"/>
      <c r="T3541" s="2018"/>
      <c r="U3541" s="2018"/>
      <c r="V3541" s="2018"/>
      <c r="W3541" s="2018"/>
      <c r="X3541" s="2018"/>
      <c r="Y3541" s="2018"/>
      <c r="Z3541" s="2023"/>
      <c r="AA3541" s="2023"/>
      <c r="AB3541" s="1050"/>
      <c r="AC3541" s="1050"/>
      <c r="AD3541" s="1050"/>
      <c r="AE3541" s="1050"/>
      <c r="AF3541" s="1052"/>
    </row>
    <row r="3542" spans="1:32" ht="15.75" x14ac:dyDescent="0.25">
      <c r="A3542" s="2017"/>
      <c r="B3542" s="2018"/>
      <c r="C3542" s="2018"/>
      <c r="D3542" s="2018"/>
      <c r="E3542" s="2018"/>
      <c r="F3542" s="2018"/>
      <c r="G3542" s="2018"/>
      <c r="H3542" s="2018"/>
      <c r="I3542" s="2018"/>
      <c r="J3542" s="2018"/>
      <c r="K3542" s="2018"/>
      <c r="L3542" s="2018"/>
      <c r="M3542" s="2018"/>
      <c r="N3542" s="2018"/>
      <c r="O3542" s="2018"/>
      <c r="P3542" s="2018"/>
      <c r="Q3542" s="2018"/>
      <c r="R3542" s="2018"/>
      <c r="S3542" s="2018"/>
      <c r="T3542" s="2018"/>
      <c r="U3542" s="2018"/>
      <c r="V3542" s="2018"/>
      <c r="W3542" s="2018"/>
      <c r="X3542" s="2018"/>
      <c r="Y3542" s="2018"/>
      <c r="Z3542" s="2023"/>
      <c r="AA3542" s="2023"/>
      <c r="AB3542" s="1050"/>
      <c r="AC3542" s="1050"/>
      <c r="AD3542" s="1050"/>
      <c r="AE3542" s="1050"/>
      <c r="AF3542" s="1052"/>
    </row>
    <row r="3543" spans="1:32" ht="16.5" thickBot="1" x14ac:dyDescent="0.3">
      <c r="A3543" s="2019"/>
      <c r="B3543" s="2020"/>
      <c r="C3543" s="2020"/>
      <c r="D3543" s="2020"/>
      <c r="E3543" s="2020"/>
      <c r="F3543" s="2020"/>
      <c r="G3543" s="2020"/>
      <c r="H3543" s="2020"/>
      <c r="I3543" s="2020"/>
      <c r="J3543" s="2020"/>
      <c r="K3543" s="2020"/>
      <c r="L3543" s="2020"/>
      <c r="M3543" s="2020"/>
      <c r="N3543" s="2020"/>
      <c r="O3543" s="2020"/>
      <c r="P3543" s="2020"/>
      <c r="Q3543" s="2020"/>
      <c r="R3543" s="2020"/>
      <c r="S3543" s="2020"/>
      <c r="T3543" s="2020"/>
      <c r="U3543" s="2020"/>
      <c r="V3543" s="2020"/>
      <c r="W3543" s="2020"/>
      <c r="X3543" s="2020"/>
      <c r="Y3543" s="2020"/>
      <c r="Z3543" s="2024"/>
      <c r="AA3543" s="2024"/>
      <c r="AB3543" s="1057"/>
      <c r="AC3543" s="1057"/>
      <c r="AD3543" s="1057"/>
      <c r="AE3543" s="1057"/>
      <c r="AF3543" s="1058"/>
    </row>
    <row r="3544" spans="1:32" ht="15.75" x14ac:dyDescent="0.25">
      <c r="A3544" s="2009" t="s">
        <v>2158</v>
      </c>
      <c r="B3544" s="2010"/>
      <c r="C3544" s="2010"/>
      <c r="D3544" s="2010"/>
      <c r="E3544" s="2010"/>
      <c r="F3544" s="2010"/>
      <c r="G3544" s="2010"/>
      <c r="H3544" s="2010"/>
      <c r="I3544" s="2010"/>
      <c r="J3544" s="2010"/>
      <c r="K3544" s="2010"/>
      <c r="L3544" s="2010"/>
      <c r="M3544" s="2010"/>
      <c r="N3544" s="2010"/>
      <c r="O3544" s="2010"/>
      <c r="P3544" s="2010"/>
      <c r="Q3544" s="2010"/>
      <c r="R3544" s="2010"/>
      <c r="S3544" s="2010"/>
      <c r="T3544" s="2010"/>
      <c r="U3544" s="2010"/>
      <c r="V3544" s="2010"/>
      <c r="W3544" s="2010"/>
      <c r="X3544" s="2010"/>
      <c r="Y3544" s="2010"/>
      <c r="Z3544" s="2013" t="s">
        <v>1850</v>
      </c>
      <c r="AA3544" s="2013"/>
      <c r="AB3544" s="2013"/>
      <c r="AC3544" s="2013"/>
      <c r="AD3544" s="2013"/>
      <c r="AE3544" s="2013"/>
      <c r="AF3544" s="1059">
        <f>SUM(AF3520:AF3543)</f>
        <v>26.8</v>
      </c>
    </row>
    <row r="3545" spans="1:32" ht="15.75" x14ac:dyDescent="0.25">
      <c r="A3545" s="2011"/>
      <c r="B3545" s="2012"/>
      <c r="C3545" s="2012"/>
      <c r="D3545" s="2012"/>
      <c r="E3545" s="2012"/>
      <c r="F3545" s="2012"/>
      <c r="G3545" s="2012"/>
      <c r="H3545" s="2012"/>
      <c r="I3545" s="2012"/>
      <c r="J3545" s="2012"/>
      <c r="K3545" s="2012"/>
      <c r="L3545" s="2012"/>
      <c r="M3545" s="2012"/>
      <c r="N3545" s="2012"/>
      <c r="O3545" s="2012"/>
      <c r="P3545" s="2012"/>
      <c r="Q3545" s="2012"/>
      <c r="R3545" s="2012"/>
      <c r="S3545" s="2012"/>
      <c r="T3545" s="2012"/>
      <c r="U3545" s="2012"/>
      <c r="V3545" s="2012"/>
      <c r="W3545" s="2012"/>
      <c r="X3545" s="2012"/>
      <c r="Y3545" s="2012"/>
      <c r="Z3545" s="2014" t="s">
        <v>1851</v>
      </c>
      <c r="AA3545" s="2014"/>
      <c r="AB3545" s="2014"/>
      <c r="AC3545" s="2014"/>
      <c r="AD3545" s="2014"/>
      <c r="AE3545" s="2014"/>
      <c r="AF3545" s="1060">
        <v>0</v>
      </c>
    </row>
    <row r="3546" spans="1:32" ht="15.75" x14ac:dyDescent="0.25">
      <c r="A3546" s="2011"/>
      <c r="B3546" s="2012"/>
      <c r="C3546" s="2012"/>
      <c r="D3546" s="2012"/>
      <c r="E3546" s="2012"/>
      <c r="F3546" s="2012"/>
      <c r="G3546" s="2012"/>
      <c r="H3546" s="2012"/>
      <c r="I3546" s="2012"/>
      <c r="J3546" s="2012"/>
      <c r="K3546" s="2012"/>
      <c r="L3546" s="2012"/>
      <c r="M3546" s="2012"/>
      <c r="N3546" s="2012"/>
      <c r="O3546" s="2012"/>
      <c r="P3546" s="2012"/>
      <c r="Q3546" s="2012"/>
      <c r="R3546" s="2012"/>
      <c r="S3546" s="2012"/>
      <c r="T3546" s="2012"/>
      <c r="U3546" s="2012"/>
      <c r="V3546" s="2012"/>
      <c r="W3546" s="2012"/>
      <c r="X3546" s="2012"/>
      <c r="Y3546" s="2012"/>
      <c r="Z3546" s="2015" t="s">
        <v>1833</v>
      </c>
      <c r="AA3546" s="2015"/>
      <c r="AB3546" s="2015"/>
      <c r="AC3546" s="2015"/>
      <c r="AD3546" s="2015"/>
      <c r="AE3546" s="2015"/>
      <c r="AF3546" s="1061">
        <f>SUM(AF3544:AF3545)</f>
        <v>26.8</v>
      </c>
    </row>
    <row r="3547" spans="1:32" x14ac:dyDescent="0.2">
      <c r="A3547" s="2012" t="s">
        <v>1859</v>
      </c>
      <c r="B3547" s="2012"/>
      <c r="C3547" s="2012"/>
      <c r="D3547" s="2012"/>
      <c r="E3547" s="2012"/>
      <c r="F3547" s="2012"/>
      <c r="G3547" s="2012"/>
      <c r="H3547" s="2012"/>
      <c r="I3547" s="2012"/>
      <c r="J3547" s="2012"/>
      <c r="K3547" s="2012"/>
      <c r="L3547" s="2012"/>
      <c r="M3547" s="2012"/>
      <c r="N3547" s="2012"/>
      <c r="O3547" s="2012"/>
      <c r="P3547" s="2012"/>
      <c r="Q3547" s="2012"/>
      <c r="R3547" s="2012"/>
      <c r="S3547" s="2012"/>
      <c r="T3547" s="2016" t="s">
        <v>1840</v>
      </c>
      <c r="U3547" s="2016"/>
      <c r="V3547" s="2016"/>
      <c r="W3547" s="2016"/>
      <c r="X3547" s="2016"/>
      <c r="Y3547" s="2016"/>
      <c r="Z3547" s="2016"/>
      <c r="AA3547" s="2016"/>
      <c r="AB3547" s="2012" t="s">
        <v>1852</v>
      </c>
      <c r="AC3547" s="2012"/>
      <c r="AD3547" s="2012"/>
      <c r="AE3547" s="2012"/>
      <c r="AF3547" s="2012"/>
    </row>
    <row r="3548" spans="1:32" x14ac:dyDescent="0.2">
      <c r="A3548" s="2012"/>
      <c r="B3548" s="2012"/>
      <c r="C3548" s="2012"/>
      <c r="D3548" s="2012"/>
      <c r="E3548" s="2012"/>
      <c r="F3548" s="2012"/>
      <c r="G3548" s="2012"/>
      <c r="H3548" s="2012"/>
      <c r="I3548" s="2012"/>
      <c r="J3548" s="2012"/>
      <c r="K3548" s="2012"/>
      <c r="L3548" s="2012"/>
      <c r="M3548" s="2012"/>
      <c r="N3548" s="2012"/>
      <c r="O3548" s="2012"/>
      <c r="P3548" s="2012"/>
      <c r="Q3548" s="2012"/>
      <c r="R3548" s="2012"/>
      <c r="S3548" s="2012"/>
      <c r="T3548" s="2016"/>
      <c r="U3548" s="2016"/>
      <c r="V3548" s="2016"/>
      <c r="W3548" s="2016"/>
      <c r="X3548" s="2016"/>
      <c r="Y3548" s="2016"/>
      <c r="Z3548" s="2016"/>
      <c r="AA3548" s="2016"/>
      <c r="AB3548" s="2012"/>
      <c r="AC3548" s="2012"/>
      <c r="AD3548" s="2012"/>
      <c r="AE3548" s="2012"/>
      <c r="AF3548" s="2012"/>
    </row>
    <row r="3549" spans="1:32" ht="13.5" thickBot="1" x14ac:dyDescent="0.25"/>
    <row r="3550" spans="1:32" ht="26.45" customHeight="1" x14ac:dyDescent="0.2">
      <c r="A3550" s="2025" t="s">
        <v>1854</v>
      </c>
      <c r="B3550" s="2026"/>
      <c r="C3550" s="2026"/>
      <c r="D3550" s="2026"/>
      <c r="E3550" s="2026"/>
      <c r="F3550" s="2026"/>
      <c r="G3550" s="2026"/>
      <c r="H3550" s="2026"/>
      <c r="I3550" s="2026"/>
      <c r="J3550" s="2026"/>
      <c r="K3550" s="2026"/>
      <c r="L3550" s="2026"/>
      <c r="M3550" s="2026"/>
      <c r="N3550" s="2026"/>
      <c r="O3550" s="2026"/>
      <c r="P3550" s="2026"/>
      <c r="Q3550" s="2026"/>
      <c r="R3550" s="2026"/>
      <c r="S3550" s="2026"/>
      <c r="T3550" s="2026"/>
      <c r="U3550" s="2026"/>
      <c r="V3550" s="2026"/>
      <c r="W3550" s="2026"/>
      <c r="X3550" s="2026"/>
      <c r="Y3550" s="2026"/>
      <c r="Z3550" s="2026"/>
      <c r="AA3550" s="2026"/>
      <c r="AB3550" s="2026"/>
      <c r="AC3550" s="2026"/>
      <c r="AD3550" s="2026"/>
      <c r="AE3550" s="1041" t="s">
        <v>1834</v>
      </c>
      <c r="AF3550" s="1042" t="s">
        <v>1835</v>
      </c>
    </row>
    <row r="3551" spans="1:32" ht="21" customHeight="1" thickBot="1" x14ac:dyDescent="0.25">
      <c r="A3551" s="2027"/>
      <c r="B3551" s="2028"/>
      <c r="C3551" s="2028"/>
      <c r="D3551" s="2028"/>
      <c r="E3551" s="2028"/>
      <c r="F3551" s="2028"/>
      <c r="G3551" s="2028"/>
      <c r="H3551" s="2028"/>
      <c r="I3551" s="2028"/>
      <c r="J3551" s="2028"/>
      <c r="K3551" s="2028"/>
      <c r="L3551" s="2028"/>
      <c r="M3551" s="2028"/>
      <c r="N3551" s="2028"/>
      <c r="O3551" s="2028"/>
      <c r="P3551" s="2028"/>
      <c r="Q3551" s="2028"/>
      <c r="R3551" s="2028"/>
      <c r="S3551" s="2028"/>
      <c r="T3551" s="2028"/>
      <c r="U3551" s="2028"/>
      <c r="V3551" s="2028"/>
      <c r="W3551" s="2028"/>
      <c r="X3551" s="2028"/>
      <c r="Y3551" s="2028"/>
      <c r="Z3551" s="2028"/>
      <c r="AA3551" s="2028"/>
      <c r="AB3551" s="2028"/>
      <c r="AC3551" s="2028"/>
      <c r="AD3551" s="2028"/>
      <c r="AE3551" s="1041" t="s">
        <v>1836</v>
      </c>
      <c r="AF3551" s="1044">
        <v>1</v>
      </c>
    </row>
    <row r="3552" spans="1:32" ht="15.75" x14ac:dyDescent="0.2">
      <c r="A3552" s="2029"/>
      <c r="B3552" s="2030"/>
      <c r="C3552" s="2030"/>
      <c r="D3552" s="2031"/>
      <c r="E3552" s="2025" t="str">
        <f>'01'!$A$12</f>
        <v>"CONSTRUCCION SISTEMA DE ACUEDUCTO FASE II DEL MUNICIPIO DE TESALIA DPTO DEL HUILA"</v>
      </c>
      <c r="F3552" s="2026"/>
      <c r="G3552" s="2026"/>
      <c r="H3552" s="2026"/>
      <c r="I3552" s="2026"/>
      <c r="J3552" s="2026"/>
      <c r="K3552" s="2026"/>
      <c r="L3552" s="2026"/>
      <c r="M3552" s="2026"/>
      <c r="N3552" s="2026"/>
      <c r="O3552" s="2026"/>
      <c r="P3552" s="2026"/>
      <c r="Q3552" s="2026"/>
      <c r="R3552" s="2026"/>
      <c r="S3552" s="2026"/>
      <c r="T3552" s="2026"/>
      <c r="U3552" s="2026"/>
      <c r="V3552" s="2026"/>
      <c r="W3552" s="2026"/>
      <c r="X3552" s="2026"/>
      <c r="Y3552" s="2026"/>
      <c r="Z3552" s="2026"/>
      <c r="AA3552" s="2026"/>
      <c r="AB3552" s="2026"/>
      <c r="AC3552" s="2026"/>
      <c r="AD3552" s="2035"/>
      <c r="AE3552" s="1041" t="s">
        <v>847</v>
      </c>
      <c r="AF3552" s="1045">
        <f>'01'!$M$13</f>
        <v>0</v>
      </c>
    </row>
    <row r="3553" spans="1:32" ht="16.5" thickBot="1" x14ac:dyDescent="0.25">
      <c r="A3553" s="2032"/>
      <c r="B3553" s="2033"/>
      <c r="C3553" s="2033"/>
      <c r="D3553" s="2034"/>
      <c r="E3553" s="2027"/>
      <c r="F3553" s="2028"/>
      <c r="G3553" s="2028"/>
      <c r="H3553" s="2028"/>
      <c r="I3553" s="2028"/>
      <c r="J3553" s="2028"/>
      <c r="K3553" s="2028"/>
      <c r="L3553" s="2028"/>
      <c r="M3553" s="2028"/>
      <c r="N3553" s="2028"/>
      <c r="O3553" s="2028"/>
      <c r="P3553" s="2028"/>
      <c r="Q3553" s="2028"/>
      <c r="R3553" s="2028"/>
      <c r="S3553" s="2028"/>
      <c r="T3553" s="2028"/>
      <c r="U3553" s="2028"/>
      <c r="V3553" s="2028"/>
      <c r="W3553" s="2028"/>
      <c r="X3553" s="2028"/>
      <c r="Y3553" s="2028"/>
      <c r="Z3553" s="2028"/>
      <c r="AA3553" s="2028"/>
      <c r="AB3553" s="2028"/>
      <c r="AC3553" s="2028"/>
      <c r="AD3553" s="2036"/>
      <c r="AE3553" s="1041" t="s">
        <v>1837</v>
      </c>
      <c r="AF3553" s="1042" t="s">
        <v>1838</v>
      </c>
    </row>
    <row r="3554" spans="1:32" ht="15.75" x14ac:dyDescent="0.25">
      <c r="A3554" s="2037" t="s">
        <v>1860</v>
      </c>
      <c r="B3554" s="2038"/>
      <c r="C3554" s="2038"/>
      <c r="D3554" s="2038"/>
      <c r="E3554" s="2038"/>
      <c r="F3554" s="2038"/>
      <c r="G3554" s="2038"/>
      <c r="H3554" s="2038"/>
      <c r="I3554" s="2038"/>
      <c r="J3554" s="2038"/>
      <c r="K3554" s="2038"/>
      <c r="L3554" s="2038"/>
      <c r="M3554" s="2038"/>
      <c r="N3554" s="2038"/>
      <c r="O3554" s="2038"/>
      <c r="P3554" s="2038"/>
      <c r="Q3554" s="2038"/>
      <c r="R3554" s="2038"/>
      <c r="S3554" s="2038"/>
      <c r="T3554" s="2038"/>
      <c r="U3554" s="2038"/>
      <c r="V3554" s="2038"/>
      <c r="W3554" s="2038"/>
      <c r="X3554" s="2038"/>
      <c r="Y3554" s="2038"/>
      <c r="Z3554" s="2038"/>
      <c r="AA3554" s="2038"/>
      <c r="AB3554" s="2038"/>
      <c r="AC3554" s="2038"/>
      <c r="AD3554" s="2038"/>
      <c r="AE3554" s="2039" t="s">
        <v>1839</v>
      </c>
      <c r="AF3554" s="2040"/>
    </row>
    <row r="3555" spans="1:32" ht="15.75" x14ac:dyDescent="0.25">
      <c r="A3555" s="2041" t="s">
        <v>1840</v>
      </c>
      <c r="B3555" s="2042"/>
      <c r="C3555" s="2042"/>
      <c r="D3555" s="2042"/>
      <c r="E3555" s="2042"/>
      <c r="F3555" s="2042"/>
      <c r="G3555" s="2042"/>
      <c r="H3555" s="2042"/>
      <c r="I3555" s="2042"/>
      <c r="J3555" s="2042"/>
      <c r="K3555" s="2042"/>
      <c r="L3555" s="2042"/>
      <c r="M3555" s="2042"/>
      <c r="N3555" s="2042"/>
      <c r="O3555" s="2042"/>
      <c r="P3555" s="2042"/>
      <c r="Q3555" s="2042"/>
      <c r="R3555" s="2042"/>
      <c r="S3555" s="2042"/>
      <c r="T3555" s="2042"/>
      <c r="U3555" s="2042"/>
      <c r="V3555" s="2042"/>
      <c r="W3555" s="2042"/>
      <c r="X3555" s="2042"/>
      <c r="Y3555" s="2042"/>
      <c r="Z3555" s="2042"/>
      <c r="AA3555" s="2042"/>
      <c r="AB3555" s="2042"/>
      <c r="AC3555" s="2042"/>
      <c r="AD3555" s="2043"/>
      <c r="AE3555" s="2014" t="s">
        <v>1841</v>
      </c>
      <c r="AF3555" s="2044"/>
    </row>
    <row r="3556" spans="1:32" ht="15.75" x14ac:dyDescent="0.25">
      <c r="A3556" s="2045" t="s">
        <v>1853</v>
      </c>
      <c r="B3556" s="2046"/>
      <c r="C3556" s="2046"/>
      <c r="D3556" s="2046"/>
      <c r="E3556" s="2046"/>
      <c r="F3556" s="2046"/>
      <c r="G3556" s="2046"/>
      <c r="H3556" s="2046"/>
      <c r="I3556" s="2046"/>
      <c r="J3556" s="2046"/>
      <c r="K3556" s="2046"/>
      <c r="L3556" s="2046"/>
      <c r="M3556" s="2046"/>
      <c r="N3556" s="2046"/>
      <c r="O3556" s="2046"/>
      <c r="P3556" s="2046"/>
      <c r="Q3556" s="2046"/>
      <c r="R3556" s="2046"/>
      <c r="S3556" s="2046"/>
      <c r="T3556" s="2046"/>
      <c r="U3556" s="2046"/>
      <c r="V3556" s="2046"/>
      <c r="W3556" s="2046"/>
      <c r="X3556" s="2046"/>
      <c r="Y3556" s="2046"/>
      <c r="Z3556" s="2046"/>
      <c r="AA3556" s="2046"/>
      <c r="AB3556" s="2046"/>
      <c r="AC3556" s="2046"/>
      <c r="AD3556" s="2046"/>
      <c r="AE3556" s="2047">
        <f>'01'!$M$13</f>
        <v>0</v>
      </c>
      <c r="AF3556" s="2044"/>
    </row>
    <row r="3557" spans="1:32" x14ac:dyDescent="0.2">
      <c r="A3557" s="1046"/>
      <c r="B3557" s="1047"/>
      <c r="C3557" s="1047"/>
      <c r="D3557" s="1047"/>
      <c r="E3557" s="1047"/>
      <c r="F3557" s="1047"/>
      <c r="G3557" s="1047"/>
      <c r="H3557" s="1047"/>
      <c r="I3557" s="1047"/>
      <c r="J3557" s="1047"/>
      <c r="K3557" s="1047"/>
      <c r="L3557" s="1047"/>
      <c r="M3557" s="1047"/>
      <c r="N3557" s="1047"/>
      <c r="O3557" s="1047"/>
      <c r="P3557" s="1047"/>
      <c r="Q3557" s="1047"/>
      <c r="R3557" s="1047"/>
      <c r="S3557" s="1047"/>
      <c r="T3557" s="1047"/>
      <c r="U3557" s="1047"/>
      <c r="V3557" s="1047"/>
      <c r="W3557" s="1047"/>
      <c r="X3557" s="1047"/>
      <c r="Y3557" s="1047"/>
      <c r="Z3557" s="1047"/>
      <c r="AA3557" s="1047"/>
      <c r="AB3557" s="1047"/>
      <c r="AC3557" s="1047"/>
      <c r="AD3557" s="1047"/>
      <c r="AE3557" s="1047"/>
      <c r="AF3557" s="1048"/>
    </row>
    <row r="3558" spans="1:32" ht="30" customHeight="1" x14ac:dyDescent="0.2">
      <c r="A3558" s="2048" t="s">
        <v>1842</v>
      </c>
      <c r="B3558" s="2049"/>
      <c r="C3558" s="2049"/>
      <c r="D3558" s="2049"/>
      <c r="E3558" s="2049"/>
      <c r="F3558" s="2050" t="str">
        <f>+'01'!$H$130</f>
        <v>E - ESPESADOR GRAVIMÉTRICO</v>
      </c>
      <c r="G3558" s="2049"/>
      <c r="H3558" s="2049"/>
      <c r="I3558" s="2049"/>
      <c r="J3558" s="2049"/>
      <c r="K3558" s="2049"/>
      <c r="L3558" s="2049"/>
      <c r="M3558" s="2049"/>
      <c r="N3558" s="2049"/>
      <c r="O3558" s="2049"/>
      <c r="P3558" s="2049"/>
      <c r="Q3558" s="2049"/>
      <c r="R3558" s="2049"/>
      <c r="S3558" s="2049"/>
      <c r="T3558" s="2049"/>
      <c r="U3558" s="2049"/>
      <c r="V3558" s="2049"/>
      <c r="W3558" s="2049"/>
      <c r="X3558" s="2049"/>
      <c r="Y3558" s="2051"/>
      <c r="Z3558" s="2052" t="s">
        <v>1843</v>
      </c>
      <c r="AA3558" s="2053"/>
      <c r="AB3558" s="2058" t="s">
        <v>1844</v>
      </c>
      <c r="AC3558" s="2059"/>
      <c r="AD3558" s="2060"/>
      <c r="AE3558" s="2064" t="s">
        <v>1845</v>
      </c>
      <c r="AF3558" s="2067" t="s">
        <v>1846</v>
      </c>
    </row>
    <row r="3559" spans="1:32" ht="15" customHeight="1" x14ac:dyDescent="0.2">
      <c r="A3559" s="2070" t="str">
        <f>+'01'!A154</f>
        <v>E-08-02</v>
      </c>
      <c r="B3559" s="2071"/>
      <c r="C3559" s="2072"/>
      <c r="D3559" s="2076" t="str">
        <f>VLOOKUP(A3559,'01'!$A$12:$N$299,3,FALSE)</f>
        <v>SUMINISTRO E INSTALACIÓN PASAMURO HD 4" BXB=0,75M Z=0.375 M.</v>
      </c>
      <c r="E3559" s="2077"/>
      <c r="F3559" s="2077"/>
      <c r="G3559" s="2077"/>
      <c r="H3559" s="2077"/>
      <c r="I3559" s="2077"/>
      <c r="J3559" s="2077"/>
      <c r="K3559" s="2077"/>
      <c r="L3559" s="2077"/>
      <c r="M3559" s="2077"/>
      <c r="N3559" s="2077"/>
      <c r="O3559" s="2077"/>
      <c r="P3559" s="2077"/>
      <c r="Q3559" s="2077"/>
      <c r="R3559" s="2077"/>
      <c r="S3559" s="2078"/>
      <c r="T3559" s="2082" t="s">
        <v>124</v>
      </c>
      <c r="U3559" s="2083"/>
      <c r="V3559" s="2083"/>
      <c r="W3559" s="2083"/>
      <c r="X3559" s="2052" t="str">
        <f>VLOOKUP(A3559,'01'!$A$12:$N$299,9,FALSE)</f>
        <v>UND</v>
      </c>
      <c r="Y3559" s="2053"/>
      <c r="Z3559" s="2054"/>
      <c r="AA3559" s="2055"/>
      <c r="AB3559" s="2061"/>
      <c r="AC3559" s="2062"/>
      <c r="AD3559" s="2063"/>
      <c r="AE3559" s="2065"/>
      <c r="AF3559" s="2068"/>
    </row>
    <row r="3560" spans="1:32" ht="15" customHeight="1" x14ac:dyDescent="0.25">
      <c r="A3560" s="2073"/>
      <c r="B3560" s="2074"/>
      <c r="C3560" s="2075"/>
      <c r="D3560" s="2079"/>
      <c r="E3560" s="2080"/>
      <c r="F3560" s="2080"/>
      <c r="G3560" s="2080"/>
      <c r="H3560" s="2080"/>
      <c r="I3560" s="2080"/>
      <c r="J3560" s="2080"/>
      <c r="K3560" s="2080"/>
      <c r="L3560" s="2080"/>
      <c r="M3560" s="2080"/>
      <c r="N3560" s="2080"/>
      <c r="O3560" s="2080"/>
      <c r="P3560" s="2080"/>
      <c r="Q3560" s="2080"/>
      <c r="R3560" s="2080"/>
      <c r="S3560" s="2081"/>
      <c r="T3560" s="2084"/>
      <c r="U3560" s="2085"/>
      <c r="V3560" s="2085"/>
      <c r="W3560" s="2085"/>
      <c r="X3560" s="2056"/>
      <c r="Y3560" s="2057"/>
      <c r="Z3560" s="2056"/>
      <c r="AA3560" s="2057"/>
      <c r="AB3560" s="1049" t="s">
        <v>1847</v>
      </c>
      <c r="AC3560" s="1049" t="s">
        <v>1848</v>
      </c>
      <c r="AD3560" s="1049" t="s">
        <v>1861</v>
      </c>
      <c r="AE3560" s="2066"/>
      <c r="AF3560" s="2069"/>
    </row>
    <row r="3561" spans="1:32" ht="15.6" customHeight="1" x14ac:dyDescent="0.25">
      <c r="A3561" s="2017"/>
      <c r="B3561" s="2018"/>
      <c r="C3561" s="2018"/>
      <c r="D3561" s="2018"/>
      <c r="E3561" s="2018"/>
      <c r="F3561" s="2018"/>
      <c r="G3561" s="2018"/>
      <c r="H3561" s="2018"/>
      <c r="I3561" s="2018"/>
      <c r="J3561" s="2018"/>
      <c r="K3561" s="2018"/>
      <c r="L3561" s="2018"/>
      <c r="M3561" s="2018"/>
      <c r="N3561" s="2018"/>
      <c r="O3561" s="2018"/>
      <c r="P3561" s="2018"/>
      <c r="Q3561" s="2018"/>
      <c r="R3561" s="2018"/>
      <c r="S3561" s="2018"/>
      <c r="T3561" s="2018"/>
      <c r="U3561" s="2018"/>
      <c r="V3561" s="2018"/>
      <c r="W3561" s="2018"/>
      <c r="X3561" s="2018"/>
      <c r="Y3561" s="2018"/>
      <c r="Z3561" s="2021" t="s">
        <v>2459</v>
      </c>
      <c r="AA3561" s="2021"/>
      <c r="AB3561" s="1050"/>
      <c r="AC3561" s="1050"/>
      <c r="AD3561" s="1050"/>
      <c r="AE3561" s="1050">
        <v>1</v>
      </c>
      <c r="AF3561" s="1052">
        <f>+ROUND(AE3561,2)</f>
        <v>1</v>
      </c>
    </row>
    <row r="3562" spans="1:32" ht="15.6" customHeight="1" x14ac:dyDescent="0.25">
      <c r="A3562" s="2017"/>
      <c r="B3562" s="2018"/>
      <c r="C3562" s="2018"/>
      <c r="D3562" s="2018"/>
      <c r="E3562" s="2018"/>
      <c r="F3562" s="2018"/>
      <c r="G3562" s="2018"/>
      <c r="H3562" s="2018"/>
      <c r="I3562" s="2018"/>
      <c r="J3562" s="2018"/>
      <c r="K3562" s="2018"/>
      <c r="L3562" s="2018"/>
      <c r="M3562" s="2018"/>
      <c r="N3562" s="2018"/>
      <c r="O3562" s="2018"/>
      <c r="P3562" s="2018"/>
      <c r="Q3562" s="2018"/>
      <c r="R3562" s="2018"/>
      <c r="S3562" s="2018"/>
      <c r="T3562" s="2018"/>
      <c r="U3562" s="2018"/>
      <c r="V3562" s="2018"/>
      <c r="W3562" s="2018"/>
      <c r="X3562" s="2018"/>
      <c r="Y3562" s="2018"/>
      <c r="Z3562" s="2021" t="s">
        <v>2460</v>
      </c>
      <c r="AA3562" s="2021"/>
      <c r="AB3562" s="1050"/>
      <c r="AC3562" s="1050"/>
      <c r="AD3562" s="1050"/>
      <c r="AE3562" s="1050"/>
      <c r="AF3562" s="1052">
        <f t="shared" ref="AF3562:AF3563" si="54">+ROUND(AE3562,2)</f>
        <v>0</v>
      </c>
    </row>
    <row r="3563" spans="1:32" ht="15.75" x14ac:dyDescent="0.25">
      <c r="A3563" s="2017"/>
      <c r="B3563" s="2018"/>
      <c r="C3563" s="2018"/>
      <c r="D3563" s="2018"/>
      <c r="E3563" s="2018"/>
      <c r="F3563" s="2018"/>
      <c r="G3563" s="2018"/>
      <c r="H3563" s="2018"/>
      <c r="I3563" s="2018"/>
      <c r="J3563" s="2018"/>
      <c r="K3563" s="2018"/>
      <c r="L3563" s="2018"/>
      <c r="M3563" s="2018"/>
      <c r="N3563" s="2018"/>
      <c r="O3563" s="2018"/>
      <c r="P3563" s="2018"/>
      <c r="Q3563" s="2018"/>
      <c r="R3563" s="2018"/>
      <c r="S3563" s="2018"/>
      <c r="T3563" s="2018"/>
      <c r="U3563" s="2018"/>
      <c r="V3563" s="2018"/>
      <c r="W3563" s="2018"/>
      <c r="X3563" s="2018"/>
      <c r="Y3563" s="2018"/>
      <c r="Z3563" s="2021" t="s">
        <v>2461</v>
      </c>
      <c r="AA3563" s="2021"/>
      <c r="AB3563" s="1050"/>
      <c r="AC3563" s="1050"/>
      <c r="AD3563" s="1050"/>
      <c r="AE3563" s="1050">
        <v>1</v>
      </c>
      <c r="AF3563" s="1052">
        <f t="shared" si="54"/>
        <v>1</v>
      </c>
    </row>
    <row r="3564" spans="1:32" ht="15.75" x14ac:dyDescent="0.25">
      <c r="A3564" s="2017"/>
      <c r="B3564" s="2018"/>
      <c r="C3564" s="2018"/>
      <c r="D3564" s="2018"/>
      <c r="E3564" s="2018"/>
      <c r="F3564" s="2018"/>
      <c r="G3564" s="2018"/>
      <c r="H3564" s="2018"/>
      <c r="I3564" s="2018"/>
      <c r="J3564" s="2018"/>
      <c r="K3564" s="2018"/>
      <c r="L3564" s="2018"/>
      <c r="M3564" s="2018"/>
      <c r="N3564" s="2018"/>
      <c r="O3564" s="2018"/>
      <c r="P3564" s="2018"/>
      <c r="Q3564" s="2018"/>
      <c r="R3564" s="2018"/>
      <c r="S3564" s="2018"/>
      <c r="T3564" s="2018"/>
      <c r="U3564" s="2018"/>
      <c r="V3564" s="2018"/>
      <c r="W3564" s="2018"/>
      <c r="X3564" s="2018"/>
      <c r="Y3564" s="2018"/>
      <c r="Z3564" s="2021"/>
      <c r="AA3564" s="2021"/>
      <c r="AB3564" s="1050"/>
      <c r="AC3564" s="1050"/>
      <c r="AD3564" s="1050"/>
      <c r="AE3564" s="1050"/>
      <c r="AF3564" s="1052"/>
    </row>
    <row r="3565" spans="1:32" ht="15.75" x14ac:dyDescent="0.25">
      <c r="A3565" s="2017"/>
      <c r="B3565" s="2018"/>
      <c r="C3565" s="2018"/>
      <c r="D3565" s="2018"/>
      <c r="E3565" s="2018"/>
      <c r="F3565" s="2018"/>
      <c r="G3565" s="2018"/>
      <c r="H3565" s="2018"/>
      <c r="I3565" s="2018"/>
      <c r="J3565" s="2018"/>
      <c r="K3565" s="2018"/>
      <c r="L3565" s="2018"/>
      <c r="M3565" s="2018"/>
      <c r="N3565" s="2018"/>
      <c r="O3565" s="2018"/>
      <c r="P3565" s="2018"/>
      <c r="Q3565" s="2018"/>
      <c r="R3565" s="2018"/>
      <c r="S3565" s="2018"/>
      <c r="T3565" s="2018"/>
      <c r="U3565" s="2018"/>
      <c r="V3565" s="2018"/>
      <c r="W3565" s="2018"/>
      <c r="X3565" s="2018"/>
      <c r="Y3565" s="2018"/>
      <c r="Z3565" s="2021"/>
      <c r="AA3565" s="2021"/>
      <c r="AB3565" s="1050"/>
      <c r="AC3565" s="1050"/>
      <c r="AD3565" s="1050"/>
      <c r="AE3565" s="1050"/>
      <c r="AF3565" s="1052"/>
    </row>
    <row r="3566" spans="1:32" ht="15.75" x14ac:dyDescent="0.25">
      <c r="A3566" s="2017"/>
      <c r="B3566" s="2018"/>
      <c r="C3566" s="2018"/>
      <c r="D3566" s="2018"/>
      <c r="E3566" s="2018"/>
      <c r="F3566" s="2018"/>
      <c r="G3566" s="2018"/>
      <c r="H3566" s="2018"/>
      <c r="I3566" s="2018"/>
      <c r="J3566" s="2018"/>
      <c r="K3566" s="2018"/>
      <c r="L3566" s="2018"/>
      <c r="M3566" s="2018"/>
      <c r="N3566" s="2018"/>
      <c r="O3566" s="2018"/>
      <c r="P3566" s="2018"/>
      <c r="Q3566" s="2018"/>
      <c r="R3566" s="2018"/>
      <c r="S3566" s="2018"/>
      <c r="T3566" s="2018"/>
      <c r="U3566" s="2018"/>
      <c r="V3566" s="2018"/>
      <c r="W3566" s="2018"/>
      <c r="X3566" s="2018"/>
      <c r="Y3566" s="2018"/>
      <c r="Z3566" s="2021"/>
      <c r="AA3566" s="2021"/>
      <c r="AB3566" s="1050"/>
      <c r="AC3566" s="1050"/>
      <c r="AD3566" s="1050"/>
      <c r="AE3566" s="1050"/>
      <c r="AF3566" s="1052"/>
    </row>
    <row r="3567" spans="1:32" ht="15.75" x14ac:dyDescent="0.25">
      <c r="A3567" s="2017"/>
      <c r="B3567" s="2018"/>
      <c r="C3567" s="2018"/>
      <c r="D3567" s="2018"/>
      <c r="E3567" s="2018"/>
      <c r="F3567" s="2018"/>
      <c r="G3567" s="2018"/>
      <c r="H3567" s="2018"/>
      <c r="I3567" s="2018"/>
      <c r="J3567" s="2018"/>
      <c r="K3567" s="2018"/>
      <c r="L3567" s="2018"/>
      <c r="M3567" s="2018"/>
      <c r="N3567" s="2018"/>
      <c r="O3567" s="2018"/>
      <c r="P3567" s="2018"/>
      <c r="Q3567" s="2018"/>
      <c r="R3567" s="2018"/>
      <c r="S3567" s="2018"/>
      <c r="T3567" s="2018"/>
      <c r="U3567" s="2018"/>
      <c r="V3567" s="2018"/>
      <c r="W3567" s="2018"/>
      <c r="X3567" s="2018"/>
      <c r="Y3567" s="2018"/>
      <c r="Z3567" s="2021"/>
      <c r="AA3567" s="2021"/>
      <c r="AB3567" s="1050"/>
      <c r="AC3567" s="1050"/>
      <c r="AD3567" s="1050"/>
      <c r="AE3567" s="1050"/>
      <c r="AF3567" s="1052"/>
    </row>
    <row r="3568" spans="1:32" ht="15.75" x14ac:dyDescent="0.25">
      <c r="A3568" s="2017"/>
      <c r="B3568" s="2018"/>
      <c r="C3568" s="2018"/>
      <c r="D3568" s="2018"/>
      <c r="E3568" s="2018"/>
      <c r="F3568" s="2018"/>
      <c r="G3568" s="2018"/>
      <c r="H3568" s="2018"/>
      <c r="I3568" s="2018"/>
      <c r="J3568" s="2018"/>
      <c r="K3568" s="2018"/>
      <c r="L3568" s="2018"/>
      <c r="M3568" s="2018"/>
      <c r="N3568" s="2018"/>
      <c r="O3568" s="2018"/>
      <c r="P3568" s="2018"/>
      <c r="Q3568" s="2018"/>
      <c r="R3568" s="2018"/>
      <c r="S3568" s="2018"/>
      <c r="T3568" s="2018"/>
      <c r="U3568" s="2018"/>
      <c r="V3568" s="2018"/>
      <c r="W3568" s="2018"/>
      <c r="X3568" s="2018"/>
      <c r="Y3568" s="2018"/>
      <c r="Z3568" s="2021"/>
      <c r="AA3568" s="2021"/>
      <c r="AB3568" s="1050"/>
      <c r="AC3568" s="1050"/>
      <c r="AD3568" s="1050"/>
      <c r="AE3568" s="1050"/>
      <c r="AF3568" s="1052"/>
    </row>
    <row r="3569" spans="1:32" ht="15.75" x14ac:dyDescent="0.25">
      <c r="A3569" s="2017"/>
      <c r="B3569" s="2018"/>
      <c r="C3569" s="2018"/>
      <c r="D3569" s="2018"/>
      <c r="E3569" s="2018"/>
      <c r="F3569" s="2018"/>
      <c r="G3569" s="2018"/>
      <c r="H3569" s="2018"/>
      <c r="I3569" s="2018"/>
      <c r="J3569" s="2018"/>
      <c r="K3569" s="2018"/>
      <c r="L3569" s="2018"/>
      <c r="M3569" s="2018"/>
      <c r="N3569" s="2018"/>
      <c r="O3569" s="2018"/>
      <c r="P3569" s="2018"/>
      <c r="Q3569" s="2018"/>
      <c r="R3569" s="2018"/>
      <c r="S3569" s="2018"/>
      <c r="T3569" s="2018"/>
      <c r="U3569" s="2018"/>
      <c r="V3569" s="2018"/>
      <c r="W3569" s="2018"/>
      <c r="X3569" s="2018"/>
      <c r="Y3569" s="2018"/>
      <c r="Z3569" s="2021"/>
      <c r="AA3569" s="2021"/>
      <c r="AB3569" s="1050"/>
      <c r="AC3569" s="1050"/>
      <c r="AD3569" s="1050"/>
      <c r="AE3569" s="1050"/>
      <c r="AF3569" s="1052"/>
    </row>
    <row r="3570" spans="1:32" ht="15.75" x14ac:dyDescent="0.25">
      <c r="A3570" s="2017"/>
      <c r="B3570" s="2018"/>
      <c r="C3570" s="2018"/>
      <c r="D3570" s="2018"/>
      <c r="E3570" s="2018"/>
      <c r="F3570" s="2018"/>
      <c r="G3570" s="2018"/>
      <c r="H3570" s="2018"/>
      <c r="I3570" s="2018"/>
      <c r="J3570" s="2018"/>
      <c r="K3570" s="2018"/>
      <c r="L3570" s="2018"/>
      <c r="M3570" s="2018"/>
      <c r="N3570" s="2018"/>
      <c r="O3570" s="2018"/>
      <c r="P3570" s="2018"/>
      <c r="Q3570" s="2018"/>
      <c r="R3570" s="2018"/>
      <c r="S3570" s="2018"/>
      <c r="T3570" s="2018"/>
      <c r="U3570" s="2018"/>
      <c r="V3570" s="2018"/>
      <c r="W3570" s="2018"/>
      <c r="X3570" s="2018"/>
      <c r="Y3570" s="2018"/>
      <c r="Z3570" s="2021"/>
      <c r="AA3570" s="2021"/>
      <c r="AB3570" s="1050"/>
      <c r="AC3570" s="1050"/>
      <c r="AD3570" s="1050"/>
      <c r="AE3570" s="1050"/>
      <c r="AF3570" s="1052"/>
    </row>
    <row r="3571" spans="1:32" ht="15.75" x14ac:dyDescent="0.25">
      <c r="A3571" s="2017"/>
      <c r="B3571" s="2018"/>
      <c r="C3571" s="2018"/>
      <c r="D3571" s="2018"/>
      <c r="E3571" s="2018"/>
      <c r="F3571" s="2018"/>
      <c r="G3571" s="2018"/>
      <c r="H3571" s="2018"/>
      <c r="I3571" s="2018"/>
      <c r="J3571" s="2018"/>
      <c r="K3571" s="2018"/>
      <c r="L3571" s="2018"/>
      <c r="M3571" s="2018"/>
      <c r="N3571" s="2018"/>
      <c r="O3571" s="2018"/>
      <c r="P3571" s="2018"/>
      <c r="Q3571" s="2018"/>
      <c r="R3571" s="2018"/>
      <c r="S3571" s="2018"/>
      <c r="T3571" s="2018"/>
      <c r="U3571" s="2018"/>
      <c r="V3571" s="2018"/>
      <c r="W3571" s="2018"/>
      <c r="X3571" s="2018"/>
      <c r="Y3571" s="2018"/>
      <c r="Z3571" s="2021"/>
      <c r="AA3571" s="2021"/>
      <c r="AB3571" s="1050"/>
      <c r="AC3571" s="1050"/>
      <c r="AD3571" s="1050"/>
      <c r="AE3571" s="1050"/>
      <c r="AF3571" s="1052"/>
    </row>
    <row r="3572" spans="1:32" ht="15.75" x14ac:dyDescent="0.25">
      <c r="A3572" s="2017"/>
      <c r="B3572" s="2018"/>
      <c r="C3572" s="2018"/>
      <c r="D3572" s="2018"/>
      <c r="E3572" s="2018"/>
      <c r="F3572" s="2018"/>
      <c r="G3572" s="2018"/>
      <c r="H3572" s="2018"/>
      <c r="I3572" s="2018"/>
      <c r="J3572" s="2018"/>
      <c r="K3572" s="2018"/>
      <c r="L3572" s="2018"/>
      <c r="M3572" s="2018"/>
      <c r="N3572" s="2018"/>
      <c r="O3572" s="2018"/>
      <c r="P3572" s="2018"/>
      <c r="Q3572" s="2018"/>
      <c r="R3572" s="2018"/>
      <c r="S3572" s="2018"/>
      <c r="T3572" s="2018"/>
      <c r="U3572" s="2018"/>
      <c r="V3572" s="2018"/>
      <c r="W3572" s="2018"/>
      <c r="X3572" s="2018"/>
      <c r="Y3572" s="2018"/>
      <c r="Z3572" s="2021"/>
      <c r="AA3572" s="2021"/>
      <c r="AB3572" s="1050"/>
      <c r="AC3572" s="1050"/>
      <c r="AD3572" s="1050"/>
      <c r="AE3572" s="1050"/>
      <c r="AF3572" s="1052"/>
    </row>
    <row r="3573" spans="1:32" ht="15.75" x14ac:dyDescent="0.25">
      <c r="A3573" s="2017"/>
      <c r="B3573" s="2018"/>
      <c r="C3573" s="2018"/>
      <c r="D3573" s="2018"/>
      <c r="E3573" s="2018"/>
      <c r="F3573" s="2018"/>
      <c r="G3573" s="2018"/>
      <c r="H3573" s="2018"/>
      <c r="I3573" s="2018"/>
      <c r="J3573" s="2018"/>
      <c r="K3573" s="2018"/>
      <c r="L3573" s="2018"/>
      <c r="M3573" s="2018"/>
      <c r="N3573" s="2018"/>
      <c r="O3573" s="2018"/>
      <c r="P3573" s="2018"/>
      <c r="Q3573" s="2018"/>
      <c r="R3573" s="2018"/>
      <c r="S3573" s="2018"/>
      <c r="T3573" s="2018"/>
      <c r="U3573" s="2018"/>
      <c r="V3573" s="2018"/>
      <c r="W3573" s="2018"/>
      <c r="X3573" s="2018"/>
      <c r="Y3573" s="2018"/>
      <c r="Z3573" s="2021"/>
      <c r="AA3573" s="2021"/>
      <c r="AB3573" s="1050"/>
      <c r="AC3573" s="1050"/>
      <c r="AD3573" s="1050"/>
      <c r="AE3573" s="1050"/>
      <c r="AF3573" s="1052"/>
    </row>
    <row r="3574" spans="1:32" ht="15.75" x14ac:dyDescent="0.25">
      <c r="A3574" s="2017"/>
      <c r="B3574" s="2018"/>
      <c r="C3574" s="2018"/>
      <c r="D3574" s="2018"/>
      <c r="E3574" s="2018"/>
      <c r="F3574" s="2018"/>
      <c r="G3574" s="2018"/>
      <c r="H3574" s="2018"/>
      <c r="I3574" s="2018"/>
      <c r="J3574" s="2018"/>
      <c r="K3574" s="2018"/>
      <c r="L3574" s="2018"/>
      <c r="M3574" s="2018"/>
      <c r="N3574" s="2018"/>
      <c r="O3574" s="2018"/>
      <c r="P3574" s="2018"/>
      <c r="Q3574" s="2018"/>
      <c r="R3574" s="2018"/>
      <c r="S3574" s="2018"/>
      <c r="T3574" s="2018"/>
      <c r="U3574" s="2018"/>
      <c r="V3574" s="2018"/>
      <c r="W3574" s="2018"/>
      <c r="X3574" s="2018"/>
      <c r="Y3574" s="2018"/>
      <c r="Z3574" s="2021"/>
      <c r="AA3574" s="2021"/>
      <c r="AB3574" s="1050"/>
      <c r="AC3574" s="1050"/>
      <c r="AD3574" s="1050"/>
      <c r="AE3574" s="1050"/>
      <c r="AF3574" s="1052"/>
    </row>
    <row r="3575" spans="1:32" ht="15.75" x14ac:dyDescent="0.25">
      <c r="A3575" s="2017"/>
      <c r="B3575" s="2018"/>
      <c r="C3575" s="2018"/>
      <c r="D3575" s="2018"/>
      <c r="E3575" s="2018"/>
      <c r="F3575" s="2018"/>
      <c r="G3575" s="2018"/>
      <c r="H3575" s="2018"/>
      <c r="I3575" s="2018"/>
      <c r="J3575" s="2018"/>
      <c r="K3575" s="2018"/>
      <c r="L3575" s="2018"/>
      <c r="M3575" s="2018"/>
      <c r="N3575" s="2018"/>
      <c r="O3575" s="2018"/>
      <c r="P3575" s="2018"/>
      <c r="Q3575" s="2018"/>
      <c r="R3575" s="2018"/>
      <c r="S3575" s="2018"/>
      <c r="T3575" s="2018"/>
      <c r="U3575" s="2018"/>
      <c r="V3575" s="2018"/>
      <c r="W3575" s="2018"/>
      <c r="X3575" s="2018"/>
      <c r="Y3575" s="2018"/>
      <c r="Z3575" s="2022"/>
      <c r="AA3575" s="2022"/>
      <c r="AB3575" s="1050"/>
      <c r="AC3575" s="1050"/>
      <c r="AD3575" s="1050"/>
      <c r="AE3575" s="1050"/>
      <c r="AF3575" s="1052"/>
    </row>
    <row r="3576" spans="1:32" ht="15.75" x14ac:dyDescent="0.25">
      <c r="A3576" s="2017"/>
      <c r="B3576" s="2018"/>
      <c r="C3576" s="2018"/>
      <c r="D3576" s="2018"/>
      <c r="E3576" s="2018"/>
      <c r="F3576" s="2018"/>
      <c r="G3576" s="2018"/>
      <c r="H3576" s="2018"/>
      <c r="I3576" s="2018"/>
      <c r="J3576" s="2018"/>
      <c r="K3576" s="2018"/>
      <c r="L3576" s="2018"/>
      <c r="M3576" s="2018"/>
      <c r="N3576" s="2018"/>
      <c r="O3576" s="2018"/>
      <c r="P3576" s="2018"/>
      <c r="Q3576" s="2018"/>
      <c r="R3576" s="2018"/>
      <c r="S3576" s="2018"/>
      <c r="T3576" s="2018"/>
      <c r="U3576" s="2018"/>
      <c r="V3576" s="2018"/>
      <c r="W3576" s="2018"/>
      <c r="X3576" s="2018"/>
      <c r="Y3576" s="2018"/>
      <c r="Z3576" s="2022"/>
      <c r="AA3576" s="2022"/>
      <c r="AB3576" s="1050"/>
      <c r="AC3576" s="1050"/>
      <c r="AD3576" s="1050"/>
      <c r="AE3576" s="1050"/>
      <c r="AF3576" s="1052"/>
    </row>
    <row r="3577" spans="1:32" ht="15.75" x14ac:dyDescent="0.25">
      <c r="A3577" s="2017"/>
      <c r="B3577" s="2018"/>
      <c r="C3577" s="2018"/>
      <c r="D3577" s="2018"/>
      <c r="E3577" s="2018"/>
      <c r="F3577" s="2018"/>
      <c r="G3577" s="2018"/>
      <c r="H3577" s="2018"/>
      <c r="I3577" s="2018"/>
      <c r="J3577" s="2018"/>
      <c r="K3577" s="2018"/>
      <c r="L3577" s="2018"/>
      <c r="M3577" s="2018"/>
      <c r="N3577" s="2018"/>
      <c r="O3577" s="2018"/>
      <c r="P3577" s="2018"/>
      <c r="Q3577" s="2018"/>
      <c r="R3577" s="2018"/>
      <c r="S3577" s="2018"/>
      <c r="T3577" s="2018"/>
      <c r="U3577" s="2018"/>
      <c r="V3577" s="2018"/>
      <c r="W3577" s="2018"/>
      <c r="X3577" s="2018"/>
      <c r="Y3577" s="2018"/>
      <c r="Z3577" s="2022"/>
      <c r="AA3577" s="2022"/>
      <c r="AB3577" s="1050"/>
      <c r="AC3577" s="1050"/>
      <c r="AD3577" s="1050"/>
      <c r="AE3577" s="1050"/>
      <c r="AF3577" s="1052"/>
    </row>
    <row r="3578" spans="1:32" ht="15.75" x14ac:dyDescent="0.25">
      <c r="A3578" s="2017"/>
      <c r="B3578" s="2018"/>
      <c r="C3578" s="2018"/>
      <c r="D3578" s="2018"/>
      <c r="E3578" s="2018"/>
      <c r="F3578" s="2018"/>
      <c r="G3578" s="2018"/>
      <c r="H3578" s="2018"/>
      <c r="I3578" s="2018"/>
      <c r="J3578" s="2018"/>
      <c r="K3578" s="2018"/>
      <c r="L3578" s="2018"/>
      <c r="M3578" s="2018"/>
      <c r="N3578" s="2018"/>
      <c r="O3578" s="2018"/>
      <c r="P3578" s="2018"/>
      <c r="Q3578" s="2018"/>
      <c r="R3578" s="2018"/>
      <c r="S3578" s="2018"/>
      <c r="T3578" s="2018"/>
      <c r="U3578" s="2018"/>
      <c r="V3578" s="2018"/>
      <c r="W3578" s="2018"/>
      <c r="X3578" s="2018"/>
      <c r="Y3578" s="2018"/>
      <c r="Z3578" s="2023"/>
      <c r="AA3578" s="2023"/>
      <c r="AB3578" s="1050"/>
      <c r="AC3578" s="1050"/>
      <c r="AD3578" s="1050"/>
      <c r="AE3578" s="1050"/>
      <c r="AF3578" s="1052"/>
    </row>
    <row r="3579" spans="1:32" ht="15.75" x14ac:dyDescent="0.25">
      <c r="A3579" s="2017"/>
      <c r="B3579" s="2018"/>
      <c r="C3579" s="2018"/>
      <c r="D3579" s="2018"/>
      <c r="E3579" s="2018"/>
      <c r="F3579" s="2018"/>
      <c r="G3579" s="2018"/>
      <c r="H3579" s="2018"/>
      <c r="I3579" s="2018"/>
      <c r="J3579" s="2018"/>
      <c r="K3579" s="2018"/>
      <c r="L3579" s="2018"/>
      <c r="M3579" s="2018"/>
      <c r="N3579" s="2018"/>
      <c r="O3579" s="2018"/>
      <c r="P3579" s="2018"/>
      <c r="Q3579" s="2018"/>
      <c r="R3579" s="2018"/>
      <c r="S3579" s="2018"/>
      <c r="T3579" s="2018"/>
      <c r="U3579" s="2018"/>
      <c r="V3579" s="2018"/>
      <c r="W3579" s="2018"/>
      <c r="X3579" s="2018"/>
      <c r="Y3579" s="2018"/>
      <c r="Z3579" s="2023"/>
      <c r="AA3579" s="2023"/>
      <c r="AB3579" s="1050"/>
      <c r="AC3579" s="1050"/>
      <c r="AD3579" s="1050"/>
      <c r="AE3579" s="1050"/>
      <c r="AF3579" s="1052"/>
    </row>
    <row r="3580" spans="1:32" ht="15.75" x14ac:dyDescent="0.25">
      <c r="A3580" s="2017"/>
      <c r="B3580" s="2018"/>
      <c r="C3580" s="2018"/>
      <c r="D3580" s="2018"/>
      <c r="E3580" s="2018"/>
      <c r="F3580" s="2018"/>
      <c r="G3580" s="2018"/>
      <c r="H3580" s="2018"/>
      <c r="I3580" s="2018"/>
      <c r="J3580" s="2018"/>
      <c r="K3580" s="2018"/>
      <c r="L3580" s="2018"/>
      <c r="M3580" s="2018"/>
      <c r="N3580" s="2018"/>
      <c r="O3580" s="2018"/>
      <c r="P3580" s="2018"/>
      <c r="Q3580" s="2018"/>
      <c r="R3580" s="2018"/>
      <c r="S3580" s="2018"/>
      <c r="T3580" s="2018"/>
      <c r="U3580" s="2018"/>
      <c r="V3580" s="2018"/>
      <c r="W3580" s="2018"/>
      <c r="X3580" s="2018"/>
      <c r="Y3580" s="2018"/>
      <c r="Z3580" s="2023"/>
      <c r="AA3580" s="2023"/>
      <c r="AB3580" s="1050"/>
      <c r="AC3580" s="1050"/>
      <c r="AD3580" s="1050"/>
      <c r="AE3580" s="1050"/>
      <c r="AF3580" s="1052"/>
    </row>
    <row r="3581" spans="1:32" ht="15.75" x14ac:dyDescent="0.25">
      <c r="A3581" s="2017"/>
      <c r="B3581" s="2018"/>
      <c r="C3581" s="2018"/>
      <c r="D3581" s="2018"/>
      <c r="E3581" s="2018"/>
      <c r="F3581" s="2018"/>
      <c r="G3581" s="2018"/>
      <c r="H3581" s="2018"/>
      <c r="I3581" s="2018"/>
      <c r="J3581" s="2018"/>
      <c r="K3581" s="2018"/>
      <c r="L3581" s="2018"/>
      <c r="M3581" s="2018"/>
      <c r="N3581" s="2018"/>
      <c r="O3581" s="2018"/>
      <c r="P3581" s="2018"/>
      <c r="Q3581" s="2018"/>
      <c r="R3581" s="2018"/>
      <c r="S3581" s="2018"/>
      <c r="T3581" s="2018"/>
      <c r="U3581" s="2018"/>
      <c r="V3581" s="2018"/>
      <c r="W3581" s="2018"/>
      <c r="X3581" s="2018"/>
      <c r="Y3581" s="2018"/>
      <c r="Z3581" s="2023"/>
      <c r="AA3581" s="2023"/>
      <c r="AB3581" s="1050"/>
      <c r="AC3581" s="1050"/>
      <c r="AD3581" s="1050"/>
      <c r="AE3581" s="1050"/>
      <c r="AF3581" s="1052"/>
    </row>
    <row r="3582" spans="1:32" ht="15.75" x14ac:dyDescent="0.25">
      <c r="A3582" s="2017"/>
      <c r="B3582" s="2018"/>
      <c r="C3582" s="2018"/>
      <c r="D3582" s="2018"/>
      <c r="E3582" s="2018"/>
      <c r="F3582" s="2018"/>
      <c r="G3582" s="2018"/>
      <c r="H3582" s="2018"/>
      <c r="I3582" s="2018"/>
      <c r="J3582" s="2018"/>
      <c r="K3582" s="2018"/>
      <c r="L3582" s="2018"/>
      <c r="M3582" s="2018"/>
      <c r="N3582" s="2018"/>
      <c r="O3582" s="2018"/>
      <c r="P3582" s="2018"/>
      <c r="Q3582" s="2018"/>
      <c r="R3582" s="2018"/>
      <c r="S3582" s="2018"/>
      <c r="T3582" s="2018"/>
      <c r="U3582" s="2018"/>
      <c r="V3582" s="2018"/>
      <c r="W3582" s="2018"/>
      <c r="X3582" s="2018"/>
      <c r="Y3582" s="2018"/>
      <c r="Z3582" s="2023"/>
      <c r="AA3582" s="2023"/>
      <c r="AB3582" s="1050"/>
      <c r="AC3582" s="1050"/>
      <c r="AD3582" s="1050"/>
      <c r="AE3582" s="1050"/>
      <c r="AF3582" s="1052"/>
    </row>
    <row r="3583" spans="1:32" ht="15.75" x14ac:dyDescent="0.25">
      <c r="A3583" s="2017"/>
      <c r="B3583" s="2018"/>
      <c r="C3583" s="2018"/>
      <c r="D3583" s="2018"/>
      <c r="E3583" s="2018"/>
      <c r="F3583" s="2018"/>
      <c r="G3583" s="2018"/>
      <c r="H3583" s="2018"/>
      <c r="I3583" s="2018"/>
      <c r="J3583" s="2018"/>
      <c r="K3583" s="2018"/>
      <c r="L3583" s="2018"/>
      <c r="M3583" s="2018"/>
      <c r="N3583" s="2018"/>
      <c r="O3583" s="2018"/>
      <c r="P3583" s="2018"/>
      <c r="Q3583" s="2018"/>
      <c r="R3583" s="2018"/>
      <c r="S3583" s="2018"/>
      <c r="T3583" s="2018"/>
      <c r="U3583" s="2018"/>
      <c r="V3583" s="2018"/>
      <c r="W3583" s="2018"/>
      <c r="X3583" s="2018"/>
      <c r="Y3583" s="2018"/>
      <c r="Z3583" s="2023"/>
      <c r="AA3583" s="2023"/>
      <c r="AB3583" s="1050"/>
      <c r="AC3583" s="1050"/>
      <c r="AD3583" s="1050"/>
      <c r="AE3583" s="1050"/>
      <c r="AF3583" s="1052"/>
    </row>
    <row r="3584" spans="1:32" ht="16.5" thickBot="1" x14ac:dyDescent="0.3">
      <c r="A3584" s="2019"/>
      <c r="B3584" s="2020"/>
      <c r="C3584" s="2020"/>
      <c r="D3584" s="2020"/>
      <c r="E3584" s="2020"/>
      <c r="F3584" s="2020"/>
      <c r="G3584" s="2020"/>
      <c r="H3584" s="2020"/>
      <c r="I3584" s="2020"/>
      <c r="J3584" s="2020"/>
      <c r="K3584" s="2020"/>
      <c r="L3584" s="2020"/>
      <c r="M3584" s="2020"/>
      <c r="N3584" s="2020"/>
      <c r="O3584" s="2020"/>
      <c r="P3584" s="2020"/>
      <c r="Q3584" s="2020"/>
      <c r="R3584" s="2020"/>
      <c r="S3584" s="2020"/>
      <c r="T3584" s="2020"/>
      <c r="U3584" s="2020"/>
      <c r="V3584" s="2020"/>
      <c r="W3584" s="2020"/>
      <c r="X3584" s="2020"/>
      <c r="Y3584" s="2020"/>
      <c r="Z3584" s="2024"/>
      <c r="AA3584" s="2024"/>
      <c r="AB3584" s="1057"/>
      <c r="AC3584" s="1057"/>
      <c r="AD3584" s="1057"/>
      <c r="AE3584" s="1057"/>
      <c r="AF3584" s="1058"/>
    </row>
    <row r="3585" spans="1:32" ht="15.75" x14ac:dyDescent="0.25">
      <c r="A3585" s="2009" t="s">
        <v>2158</v>
      </c>
      <c r="B3585" s="2010"/>
      <c r="C3585" s="2010"/>
      <c r="D3585" s="2010"/>
      <c r="E3585" s="2010"/>
      <c r="F3585" s="2010"/>
      <c r="G3585" s="2010"/>
      <c r="H3585" s="2010"/>
      <c r="I3585" s="2010"/>
      <c r="J3585" s="2010"/>
      <c r="K3585" s="2010"/>
      <c r="L3585" s="2010"/>
      <c r="M3585" s="2010"/>
      <c r="N3585" s="2010"/>
      <c r="O3585" s="2010"/>
      <c r="P3585" s="2010"/>
      <c r="Q3585" s="2010"/>
      <c r="R3585" s="2010"/>
      <c r="S3585" s="2010"/>
      <c r="T3585" s="2010"/>
      <c r="U3585" s="2010"/>
      <c r="V3585" s="2010"/>
      <c r="W3585" s="2010"/>
      <c r="X3585" s="2010"/>
      <c r="Y3585" s="2010"/>
      <c r="Z3585" s="2013" t="s">
        <v>1850</v>
      </c>
      <c r="AA3585" s="2013"/>
      <c r="AB3585" s="2013"/>
      <c r="AC3585" s="2013"/>
      <c r="AD3585" s="2013"/>
      <c r="AE3585" s="2013"/>
      <c r="AF3585" s="1059">
        <f>SUM(AF3561:AF3584)</f>
        <v>2</v>
      </c>
    </row>
    <row r="3586" spans="1:32" ht="15.75" x14ac:dyDescent="0.25">
      <c r="A3586" s="2011"/>
      <c r="B3586" s="2012"/>
      <c r="C3586" s="2012"/>
      <c r="D3586" s="2012"/>
      <c r="E3586" s="2012"/>
      <c r="F3586" s="2012"/>
      <c r="G3586" s="2012"/>
      <c r="H3586" s="2012"/>
      <c r="I3586" s="2012"/>
      <c r="J3586" s="2012"/>
      <c r="K3586" s="2012"/>
      <c r="L3586" s="2012"/>
      <c r="M3586" s="2012"/>
      <c r="N3586" s="2012"/>
      <c r="O3586" s="2012"/>
      <c r="P3586" s="2012"/>
      <c r="Q3586" s="2012"/>
      <c r="R3586" s="2012"/>
      <c r="S3586" s="2012"/>
      <c r="T3586" s="2012"/>
      <c r="U3586" s="2012"/>
      <c r="V3586" s="2012"/>
      <c r="W3586" s="2012"/>
      <c r="X3586" s="2012"/>
      <c r="Y3586" s="2012"/>
      <c r="Z3586" s="2014" t="s">
        <v>1851</v>
      </c>
      <c r="AA3586" s="2014"/>
      <c r="AB3586" s="2014"/>
      <c r="AC3586" s="2014"/>
      <c r="AD3586" s="2014"/>
      <c r="AE3586" s="2014"/>
      <c r="AF3586" s="1060">
        <v>0</v>
      </c>
    </row>
    <row r="3587" spans="1:32" ht="15.75" x14ac:dyDescent="0.25">
      <c r="A3587" s="2011"/>
      <c r="B3587" s="2012"/>
      <c r="C3587" s="2012"/>
      <c r="D3587" s="2012"/>
      <c r="E3587" s="2012"/>
      <c r="F3587" s="2012"/>
      <c r="G3587" s="2012"/>
      <c r="H3587" s="2012"/>
      <c r="I3587" s="2012"/>
      <c r="J3587" s="2012"/>
      <c r="K3587" s="2012"/>
      <c r="L3587" s="2012"/>
      <c r="M3587" s="2012"/>
      <c r="N3587" s="2012"/>
      <c r="O3587" s="2012"/>
      <c r="P3587" s="2012"/>
      <c r="Q3587" s="2012"/>
      <c r="R3587" s="2012"/>
      <c r="S3587" s="2012"/>
      <c r="T3587" s="2012"/>
      <c r="U3587" s="2012"/>
      <c r="V3587" s="2012"/>
      <c r="W3587" s="2012"/>
      <c r="X3587" s="2012"/>
      <c r="Y3587" s="2012"/>
      <c r="Z3587" s="2015" t="s">
        <v>1833</v>
      </c>
      <c r="AA3587" s="2015"/>
      <c r="AB3587" s="2015"/>
      <c r="AC3587" s="2015"/>
      <c r="AD3587" s="2015"/>
      <c r="AE3587" s="2015"/>
      <c r="AF3587" s="1061">
        <f>SUM(AF3585:AF3586)</f>
        <v>2</v>
      </c>
    </row>
    <row r="3588" spans="1:32" x14ac:dyDescent="0.2">
      <c r="A3588" s="2012" t="s">
        <v>1859</v>
      </c>
      <c r="B3588" s="2012"/>
      <c r="C3588" s="2012"/>
      <c r="D3588" s="2012"/>
      <c r="E3588" s="2012"/>
      <c r="F3588" s="2012"/>
      <c r="G3588" s="2012"/>
      <c r="H3588" s="2012"/>
      <c r="I3588" s="2012"/>
      <c r="J3588" s="2012"/>
      <c r="K3588" s="2012"/>
      <c r="L3588" s="2012"/>
      <c r="M3588" s="2012"/>
      <c r="N3588" s="2012"/>
      <c r="O3588" s="2012"/>
      <c r="P3588" s="2012"/>
      <c r="Q3588" s="2012"/>
      <c r="R3588" s="2012"/>
      <c r="S3588" s="2012"/>
      <c r="T3588" s="2016" t="s">
        <v>1840</v>
      </c>
      <c r="U3588" s="2016"/>
      <c r="V3588" s="2016"/>
      <c r="W3588" s="2016"/>
      <c r="X3588" s="2016"/>
      <c r="Y3588" s="2016"/>
      <c r="Z3588" s="2016"/>
      <c r="AA3588" s="2016"/>
      <c r="AB3588" s="2012" t="s">
        <v>1852</v>
      </c>
      <c r="AC3588" s="2012"/>
      <c r="AD3588" s="2012"/>
      <c r="AE3588" s="2012"/>
      <c r="AF3588" s="2012"/>
    </row>
    <row r="3589" spans="1:32" x14ac:dyDescent="0.2">
      <c r="A3589" s="2012"/>
      <c r="B3589" s="2012"/>
      <c r="C3589" s="2012"/>
      <c r="D3589" s="2012"/>
      <c r="E3589" s="2012"/>
      <c r="F3589" s="2012"/>
      <c r="G3589" s="2012"/>
      <c r="H3589" s="2012"/>
      <c r="I3589" s="2012"/>
      <c r="J3589" s="2012"/>
      <c r="K3589" s="2012"/>
      <c r="L3589" s="2012"/>
      <c r="M3589" s="2012"/>
      <c r="N3589" s="2012"/>
      <c r="O3589" s="2012"/>
      <c r="P3589" s="2012"/>
      <c r="Q3589" s="2012"/>
      <c r="R3589" s="2012"/>
      <c r="S3589" s="2012"/>
      <c r="T3589" s="2016"/>
      <c r="U3589" s="2016"/>
      <c r="V3589" s="2016"/>
      <c r="W3589" s="2016"/>
      <c r="X3589" s="2016"/>
      <c r="Y3589" s="2016"/>
      <c r="Z3589" s="2016"/>
      <c r="AA3589" s="2016"/>
      <c r="AB3589" s="2012"/>
      <c r="AC3589" s="2012"/>
      <c r="AD3589" s="2012"/>
      <c r="AE3589" s="2012"/>
      <c r="AF3589" s="2012"/>
    </row>
    <row r="3590" spans="1:32" ht="13.5" thickBot="1" x14ac:dyDescent="0.25"/>
    <row r="3591" spans="1:32" ht="26.45" customHeight="1" x14ac:dyDescent="0.2">
      <c r="A3591" s="2025" t="s">
        <v>1854</v>
      </c>
      <c r="B3591" s="2026"/>
      <c r="C3591" s="2026"/>
      <c r="D3591" s="2026"/>
      <c r="E3591" s="2026"/>
      <c r="F3591" s="2026"/>
      <c r="G3591" s="2026"/>
      <c r="H3591" s="2026"/>
      <c r="I3591" s="2026"/>
      <c r="J3591" s="2026"/>
      <c r="K3591" s="2026"/>
      <c r="L3591" s="2026"/>
      <c r="M3591" s="2026"/>
      <c r="N3591" s="2026"/>
      <c r="O3591" s="2026"/>
      <c r="P3591" s="2026"/>
      <c r="Q3591" s="2026"/>
      <c r="R3591" s="2026"/>
      <c r="S3591" s="2026"/>
      <c r="T3591" s="2026"/>
      <c r="U3591" s="2026"/>
      <c r="V3591" s="2026"/>
      <c r="W3591" s="2026"/>
      <c r="X3591" s="2026"/>
      <c r="Y3591" s="2026"/>
      <c r="Z3591" s="2026"/>
      <c r="AA3591" s="2026"/>
      <c r="AB3591" s="2026"/>
      <c r="AC3591" s="2026"/>
      <c r="AD3591" s="2026"/>
      <c r="AE3591" s="1041" t="s">
        <v>1834</v>
      </c>
      <c r="AF3591" s="1042" t="s">
        <v>1835</v>
      </c>
    </row>
    <row r="3592" spans="1:32" ht="21" customHeight="1" thickBot="1" x14ac:dyDescent="0.25">
      <c r="A3592" s="2027"/>
      <c r="B3592" s="2028"/>
      <c r="C3592" s="2028"/>
      <c r="D3592" s="2028"/>
      <c r="E3592" s="2028"/>
      <c r="F3592" s="2028"/>
      <c r="G3592" s="2028"/>
      <c r="H3592" s="2028"/>
      <c r="I3592" s="2028"/>
      <c r="J3592" s="2028"/>
      <c r="K3592" s="2028"/>
      <c r="L3592" s="2028"/>
      <c r="M3592" s="2028"/>
      <c r="N3592" s="2028"/>
      <c r="O3592" s="2028"/>
      <c r="P3592" s="2028"/>
      <c r="Q3592" s="2028"/>
      <c r="R3592" s="2028"/>
      <c r="S3592" s="2028"/>
      <c r="T3592" s="2028"/>
      <c r="U3592" s="2028"/>
      <c r="V3592" s="2028"/>
      <c r="W3592" s="2028"/>
      <c r="X3592" s="2028"/>
      <c r="Y3592" s="2028"/>
      <c r="Z3592" s="2028"/>
      <c r="AA3592" s="2028"/>
      <c r="AB3592" s="2028"/>
      <c r="AC3592" s="2028"/>
      <c r="AD3592" s="2028"/>
      <c r="AE3592" s="1041" t="s">
        <v>1836</v>
      </c>
      <c r="AF3592" s="1044">
        <v>1</v>
      </c>
    </row>
    <row r="3593" spans="1:32" ht="15.75" x14ac:dyDescent="0.2">
      <c r="A3593" s="2029"/>
      <c r="B3593" s="2030"/>
      <c r="C3593" s="2030"/>
      <c r="D3593" s="2031"/>
      <c r="E3593" s="2025" t="str">
        <f>'01'!$A$12</f>
        <v>"CONSTRUCCION SISTEMA DE ACUEDUCTO FASE II DEL MUNICIPIO DE TESALIA DPTO DEL HUILA"</v>
      </c>
      <c r="F3593" s="2026"/>
      <c r="G3593" s="2026"/>
      <c r="H3593" s="2026"/>
      <c r="I3593" s="2026"/>
      <c r="J3593" s="2026"/>
      <c r="K3593" s="2026"/>
      <c r="L3593" s="2026"/>
      <c r="M3593" s="2026"/>
      <c r="N3593" s="2026"/>
      <c r="O3593" s="2026"/>
      <c r="P3593" s="2026"/>
      <c r="Q3593" s="2026"/>
      <c r="R3593" s="2026"/>
      <c r="S3593" s="2026"/>
      <c r="T3593" s="2026"/>
      <c r="U3593" s="2026"/>
      <c r="V3593" s="2026"/>
      <c r="W3593" s="2026"/>
      <c r="X3593" s="2026"/>
      <c r="Y3593" s="2026"/>
      <c r="Z3593" s="2026"/>
      <c r="AA3593" s="2026"/>
      <c r="AB3593" s="2026"/>
      <c r="AC3593" s="2026"/>
      <c r="AD3593" s="2035"/>
      <c r="AE3593" s="1041" t="s">
        <v>847</v>
      </c>
      <c r="AF3593" s="1045">
        <f>'01'!$M$13</f>
        <v>0</v>
      </c>
    </row>
    <row r="3594" spans="1:32" ht="16.5" thickBot="1" x14ac:dyDescent="0.25">
      <c r="A3594" s="2032"/>
      <c r="B3594" s="2033"/>
      <c r="C3594" s="2033"/>
      <c r="D3594" s="2034"/>
      <c r="E3594" s="2027"/>
      <c r="F3594" s="2028"/>
      <c r="G3594" s="2028"/>
      <c r="H3594" s="2028"/>
      <c r="I3594" s="2028"/>
      <c r="J3594" s="2028"/>
      <c r="K3594" s="2028"/>
      <c r="L3594" s="2028"/>
      <c r="M3594" s="2028"/>
      <c r="N3594" s="2028"/>
      <c r="O3594" s="2028"/>
      <c r="P3594" s="2028"/>
      <c r="Q3594" s="2028"/>
      <c r="R3594" s="2028"/>
      <c r="S3594" s="2028"/>
      <c r="T3594" s="2028"/>
      <c r="U3594" s="2028"/>
      <c r="V3594" s="2028"/>
      <c r="W3594" s="2028"/>
      <c r="X3594" s="2028"/>
      <c r="Y3594" s="2028"/>
      <c r="Z3594" s="2028"/>
      <c r="AA3594" s="2028"/>
      <c r="AB3594" s="2028"/>
      <c r="AC3594" s="2028"/>
      <c r="AD3594" s="2036"/>
      <c r="AE3594" s="1041" t="s">
        <v>1837</v>
      </c>
      <c r="AF3594" s="1042" t="s">
        <v>1838</v>
      </c>
    </row>
    <row r="3595" spans="1:32" ht="15.75" x14ac:dyDescent="0.25">
      <c r="A3595" s="2037" t="s">
        <v>1860</v>
      </c>
      <c r="B3595" s="2038"/>
      <c r="C3595" s="2038"/>
      <c r="D3595" s="2038"/>
      <c r="E3595" s="2038"/>
      <c r="F3595" s="2038"/>
      <c r="G3595" s="2038"/>
      <c r="H3595" s="2038"/>
      <c r="I3595" s="2038"/>
      <c r="J3595" s="2038"/>
      <c r="K3595" s="2038"/>
      <c r="L3595" s="2038"/>
      <c r="M3595" s="2038"/>
      <c r="N3595" s="2038"/>
      <c r="O3595" s="2038"/>
      <c r="P3595" s="2038"/>
      <c r="Q3595" s="2038"/>
      <c r="R3595" s="2038"/>
      <c r="S3595" s="2038"/>
      <c r="T3595" s="2038"/>
      <c r="U3595" s="2038"/>
      <c r="V3595" s="2038"/>
      <c r="W3595" s="2038"/>
      <c r="X3595" s="2038"/>
      <c r="Y3595" s="2038"/>
      <c r="Z3595" s="2038"/>
      <c r="AA3595" s="2038"/>
      <c r="AB3595" s="2038"/>
      <c r="AC3595" s="2038"/>
      <c r="AD3595" s="2038"/>
      <c r="AE3595" s="2039" t="s">
        <v>1839</v>
      </c>
      <c r="AF3595" s="2040"/>
    </row>
    <row r="3596" spans="1:32" ht="15.75" x14ac:dyDescent="0.25">
      <c r="A3596" s="2041" t="s">
        <v>1840</v>
      </c>
      <c r="B3596" s="2042"/>
      <c r="C3596" s="2042"/>
      <c r="D3596" s="2042"/>
      <c r="E3596" s="2042"/>
      <c r="F3596" s="2042"/>
      <c r="G3596" s="2042"/>
      <c r="H3596" s="2042"/>
      <c r="I3596" s="2042"/>
      <c r="J3596" s="2042"/>
      <c r="K3596" s="2042"/>
      <c r="L3596" s="2042"/>
      <c r="M3596" s="2042"/>
      <c r="N3596" s="2042"/>
      <c r="O3596" s="2042"/>
      <c r="P3596" s="2042"/>
      <c r="Q3596" s="2042"/>
      <c r="R3596" s="2042"/>
      <c r="S3596" s="2042"/>
      <c r="T3596" s="2042"/>
      <c r="U3596" s="2042"/>
      <c r="V3596" s="2042"/>
      <c r="W3596" s="2042"/>
      <c r="X3596" s="2042"/>
      <c r="Y3596" s="2042"/>
      <c r="Z3596" s="2042"/>
      <c r="AA3596" s="2042"/>
      <c r="AB3596" s="2042"/>
      <c r="AC3596" s="2042"/>
      <c r="AD3596" s="2043"/>
      <c r="AE3596" s="2014" t="s">
        <v>1841</v>
      </c>
      <c r="AF3596" s="2044"/>
    </row>
    <row r="3597" spans="1:32" ht="15.75" x14ac:dyDescent="0.25">
      <c r="A3597" s="2045" t="s">
        <v>1853</v>
      </c>
      <c r="B3597" s="2046"/>
      <c r="C3597" s="2046"/>
      <c r="D3597" s="2046"/>
      <c r="E3597" s="2046"/>
      <c r="F3597" s="2046"/>
      <c r="G3597" s="2046"/>
      <c r="H3597" s="2046"/>
      <c r="I3597" s="2046"/>
      <c r="J3597" s="2046"/>
      <c r="K3597" s="2046"/>
      <c r="L3597" s="2046"/>
      <c r="M3597" s="2046"/>
      <c r="N3597" s="2046"/>
      <c r="O3597" s="2046"/>
      <c r="P3597" s="2046"/>
      <c r="Q3597" s="2046"/>
      <c r="R3597" s="2046"/>
      <c r="S3597" s="2046"/>
      <c r="T3597" s="2046"/>
      <c r="U3597" s="2046"/>
      <c r="V3597" s="2046"/>
      <c r="W3597" s="2046"/>
      <c r="X3597" s="2046"/>
      <c r="Y3597" s="2046"/>
      <c r="Z3597" s="2046"/>
      <c r="AA3597" s="2046"/>
      <c r="AB3597" s="2046"/>
      <c r="AC3597" s="2046"/>
      <c r="AD3597" s="2046"/>
      <c r="AE3597" s="2047">
        <f>'01'!$M$13</f>
        <v>0</v>
      </c>
      <c r="AF3597" s="2044"/>
    </row>
    <row r="3598" spans="1:32" x14ac:dyDescent="0.2">
      <c r="A3598" s="1046"/>
      <c r="B3598" s="1047"/>
      <c r="C3598" s="1047"/>
      <c r="D3598" s="1047"/>
      <c r="E3598" s="1047"/>
      <c r="F3598" s="1047"/>
      <c r="G3598" s="1047"/>
      <c r="H3598" s="1047"/>
      <c r="I3598" s="1047"/>
      <c r="J3598" s="1047"/>
      <c r="K3598" s="1047"/>
      <c r="L3598" s="1047"/>
      <c r="M3598" s="1047"/>
      <c r="N3598" s="1047"/>
      <c r="O3598" s="1047"/>
      <c r="P3598" s="1047"/>
      <c r="Q3598" s="1047"/>
      <c r="R3598" s="1047"/>
      <c r="S3598" s="1047"/>
      <c r="T3598" s="1047"/>
      <c r="U3598" s="1047"/>
      <c r="V3598" s="1047"/>
      <c r="W3598" s="1047"/>
      <c r="X3598" s="1047"/>
      <c r="Y3598" s="1047"/>
      <c r="Z3598" s="1047"/>
      <c r="AA3598" s="1047"/>
      <c r="AB3598" s="1047"/>
      <c r="AC3598" s="1047"/>
      <c r="AD3598" s="1047"/>
      <c r="AE3598" s="1047"/>
      <c r="AF3598" s="1048"/>
    </row>
    <row r="3599" spans="1:32" ht="30" customHeight="1" x14ac:dyDescent="0.2">
      <c r="A3599" s="2048" t="s">
        <v>1842</v>
      </c>
      <c r="B3599" s="2049"/>
      <c r="C3599" s="2049"/>
      <c r="D3599" s="2049"/>
      <c r="E3599" s="2049"/>
      <c r="F3599" s="2050" t="str">
        <f>+'01'!$H$130</f>
        <v>E - ESPESADOR GRAVIMÉTRICO</v>
      </c>
      <c r="G3599" s="2049"/>
      <c r="H3599" s="2049"/>
      <c r="I3599" s="2049"/>
      <c r="J3599" s="2049"/>
      <c r="K3599" s="2049"/>
      <c r="L3599" s="2049"/>
      <c r="M3599" s="2049"/>
      <c r="N3599" s="2049"/>
      <c r="O3599" s="2049"/>
      <c r="P3599" s="2049"/>
      <c r="Q3599" s="2049"/>
      <c r="R3599" s="2049"/>
      <c r="S3599" s="2049"/>
      <c r="T3599" s="2049"/>
      <c r="U3599" s="2049"/>
      <c r="V3599" s="2049"/>
      <c r="W3599" s="2049"/>
      <c r="X3599" s="2049"/>
      <c r="Y3599" s="2051"/>
      <c r="Z3599" s="2052" t="s">
        <v>1843</v>
      </c>
      <c r="AA3599" s="2053"/>
      <c r="AB3599" s="2058" t="s">
        <v>1844</v>
      </c>
      <c r="AC3599" s="2059"/>
      <c r="AD3599" s="2060"/>
      <c r="AE3599" s="2064" t="s">
        <v>1845</v>
      </c>
      <c r="AF3599" s="2067" t="s">
        <v>1846</v>
      </c>
    </row>
    <row r="3600" spans="1:32" ht="15" customHeight="1" x14ac:dyDescent="0.2">
      <c r="A3600" s="2070" t="str">
        <f>+'01'!A155</f>
        <v>E-08-03</v>
      </c>
      <c r="B3600" s="2071"/>
      <c r="C3600" s="2072"/>
      <c r="D3600" s="2076" t="str">
        <f>VLOOKUP(A3600,'01'!$A$12:$N$299,3,FALSE)</f>
        <v>SUMINISTRO E INSTALACIÓN PASAMURO HD 6" BXB=0,75M Z=0.375 M.</v>
      </c>
      <c r="E3600" s="2077"/>
      <c r="F3600" s="2077"/>
      <c r="G3600" s="2077"/>
      <c r="H3600" s="2077"/>
      <c r="I3600" s="2077"/>
      <c r="J3600" s="2077"/>
      <c r="K3600" s="2077"/>
      <c r="L3600" s="2077"/>
      <c r="M3600" s="2077"/>
      <c r="N3600" s="2077"/>
      <c r="O3600" s="2077"/>
      <c r="P3600" s="2077"/>
      <c r="Q3600" s="2077"/>
      <c r="R3600" s="2077"/>
      <c r="S3600" s="2078"/>
      <c r="T3600" s="2082" t="s">
        <v>124</v>
      </c>
      <c r="U3600" s="2083"/>
      <c r="V3600" s="2083"/>
      <c r="W3600" s="2083"/>
      <c r="X3600" s="2052" t="str">
        <f>VLOOKUP(A3600,'01'!$A$12:$N$299,9,FALSE)</f>
        <v>UND</v>
      </c>
      <c r="Y3600" s="2053"/>
      <c r="Z3600" s="2054"/>
      <c r="AA3600" s="2055"/>
      <c r="AB3600" s="2061"/>
      <c r="AC3600" s="2062"/>
      <c r="AD3600" s="2063"/>
      <c r="AE3600" s="2065"/>
      <c r="AF3600" s="2068"/>
    </row>
    <row r="3601" spans="1:32" ht="15" customHeight="1" x14ac:dyDescent="0.25">
      <c r="A3601" s="2073"/>
      <c r="B3601" s="2074"/>
      <c r="C3601" s="2075"/>
      <c r="D3601" s="2079"/>
      <c r="E3601" s="2080"/>
      <c r="F3601" s="2080"/>
      <c r="G3601" s="2080"/>
      <c r="H3601" s="2080"/>
      <c r="I3601" s="2080"/>
      <c r="J3601" s="2080"/>
      <c r="K3601" s="2080"/>
      <c r="L3601" s="2080"/>
      <c r="M3601" s="2080"/>
      <c r="N3601" s="2080"/>
      <c r="O3601" s="2080"/>
      <c r="P3601" s="2080"/>
      <c r="Q3601" s="2080"/>
      <c r="R3601" s="2080"/>
      <c r="S3601" s="2081"/>
      <c r="T3601" s="2084"/>
      <c r="U3601" s="2085"/>
      <c r="V3601" s="2085"/>
      <c r="W3601" s="2085"/>
      <c r="X3601" s="2056"/>
      <c r="Y3601" s="2057"/>
      <c r="Z3601" s="2056"/>
      <c r="AA3601" s="2057"/>
      <c r="AB3601" s="1049" t="s">
        <v>1847</v>
      </c>
      <c r="AC3601" s="1049" t="s">
        <v>1848</v>
      </c>
      <c r="AD3601" s="1049" t="s">
        <v>1861</v>
      </c>
      <c r="AE3601" s="2066"/>
      <c r="AF3601" s="2069"/>
    </row>
    <row r="3602" spans="1:32" ht="15.6" customHeight="1" x14ac:dyDescent="0.25">
      <c r="A3602" s="2017"/>
      <c r="B3602" s="2018"/>
      <c r="C3602" s="2018"/>
      <c r="D3602" s="2018"/>
      <c r="E3602" s="2018"/>
      <c r="F3602" s="2018"/>
      <c r="G3602" s="2018"/>
      <c r="H3602" s="2018"/>
      <c r="I3602" s="2018"/>
      <c r="J3602" s="2018"/>
      <c r="K3602" s="2018"/>
      <c r="L3602" s="2018"/>
      <c r="M3602" s="2018"/>
      <c r="N3602" s="2018"/>
      <c r="O3602" s="2018"/>
      <c r="P3602" s="2018"/>
      <c r="Q3602" s="2018"/>
      <c r="R3602" s="2018"/>
      <c r="S3602" s="2018"/>
      <c r="T3602" s="2018"/>
      <c r="U3602" s="2018"/>
      <c r="V3602" s="2018"/>
      <c r="W3602" s="2018"/>
      <c r="X3602" s="2018"/>
      <c r="Y3602" s="2018"/>
      <c r="Z3602" s="2021" t="s">
        <v>2459</v>
      </c>
      <c r="AA3602" s="2021"/>
      <c r="AB3602" s="1050"/>
      <c r="AC3602" s="1050"/>
      <c r="AD3602" s="1050"/>
      <c r="AE3602" s="1050">
        <v>2</v>
      </c>
      <c r="AF3602" s="1052">
        <f>+ROUND(AE3602,2)</f>
        <v>2</v>
      </c>
    </row>
    <row r="3603" spans="1:32" ht="15.6" customHeight="1" x14ac:dyDescent="0.25">
      <c r="A3603" s="2017"/>
      <c r="B3603" s="2018"/>
      <c r="C3603" s="2018"/>
      <c r="D3603" s="2018"/>
      <c r="E3603" s="2018"/>
      <c r="F3603" s="2018"/>
      <c r="G3603" s="2018"/>
      <c r="H3603" s="2018"/>
      <c r="I3603" s="2018"/>
      <c r="J3603" s="2018"/>
      <c r="K3603" s="2018"/>
      <c r="L3603" s="2018"/>
      <c r="M3603" s="2018"/>
      <c r="N3603" s="2018"/>
      <c r="O3603" s="2018"/>
      <c r="P3603" s="2018"/>
      <c r="Q3603" s="2018"/>
      <c r="R3603" s="2018"/>
      <c r="S3603" s="2018"/>
      <c r="T3603" s="2018"/>
      <c r="U3603" s="2018"/>
      <c r="V3603" s="2018"/>
      <c r="W3603" s="2018"/>
      <c r="X3603" s="2018"/>
      <c r="Y3603" s="2018"/>
      <c r="Z3603" s="2021" t="s">
        <v>2460</v>
      </c>
      <c r="AA3603" s="2021"/>
      <c r="AB3603" s="1050"/>
      <c r="AC3603" s="1050"/>
      <c r="AD3603" s="1050"/>
      <c r="AE3603" s="1050">
        <v>1</v>
      </c>
      <c r="AF3603" s="1052">
        <f t="shared" ref="AF3603:AF3604" si="55">+ROUND(AE3603,2)</f>
        <v>1</v>
      </c>
    </row>
    <row r="3604" spans="1:32" ht="15.75" x14ac:dyDescent="0.25">
      <c r="A3604" s="2017"/>
      <c r="B3604" s="2018"/>
      <c r="C3604" s="2018"/>
      <c r="D3604" s="2018"/>
      <c r="E3604" s="2018"/>
      <c r="F3604" s="2018"/>
      <c r="G3604" s="2018"/>
      <c r="H3604" s="2018"/>
      <c r="I3604" s="2018"/>
      <c r="J3604" s="2018"/>
      <c r="K3604" s="2018"/>
      <c r="L3604" s="2018"/>
      <c r="M3604" s="2018"/>
      <c r="N3604" s="2018"/>
      <c r="O3604" s="2018"/>
      <c r="P3604" s="2018"/>
      <c r="Q3604" s="2018"/>
      <c r="R3604" s="2018"/>
      <c r="S3604" s="2018"/>
      <c r="T3604" s="2018"/>
      <c r="U3604" s="2018"/>
      <c r="V3604" s="2018"/>
      <c r="W3604" s="2018"/>
      <c r="X3604" s="2018"/>
      <c r="Y3604" s="2018"/>
      <c r="Z3604" s="2021" t="s">
        <v>2461</v>
      </c>
      <c r="AA3604" s="2021"/>
      <c r="AB3604" s="1050"/>
      <c r="AC3604" s="1050"/>
      <c r="AD3604" s="1050"/>
      <c r="AE3604" s="1050"/>
      <c r="AF3604" s="1052">
        <f t="shared" si="55"/>
        <v>0</v>
      </c>
    </row>
    <row r="3605" spans="1:32" ht="15.75" x14ac:dyDescent="0.25">
      <c r="A3605" s="2017"/>
      <c r="B3605" s="2018"/>
      <c r="C3605" s="2018"/>
      <c r="D3605" s="2018"/>
      <c r="E3605" s="2018"/>
      <c r="F3605" s="2018"/>
      <c r="G3605" s="2018"/>
      <c r="H3605" s="2018"/>
      <c r="I3605" s="2018"/>
      <c r="J3605" s="2018"/>
      <c r="K3605" s="2018"/>
      <c r="L3605" s="2018"/>
      <c r="M3605" s="2018"/>
      <c r="N3605" s="2018"/>
      <c r="O3605" s="2018"/>
      <c r="P3605" s="2018"/>
      <c r="Q3605" s="2018"/>
      <c r="R3605" s="2018"/>
      <c r="S3605" s="2018"/>
      <c r="T3605" s="2018"/>
      <c r="U3605" s="2018"/>
      <c r="V3605" s="2018"/>
      <c r="W3605" s="2018"/>
      <c r="X3605" s="2018"/>
      <c r="Y3605" s="2018"/>
      <c r="Z3605" s="2021"/>
      <c r="AA3605" s="2021"/>
      <c r="AB3605" s="1050"/>
      <c r="AC3605" s="1050"/>
      <c r="AD3605" s="1050"/>
      <c r="AE3605" s="1050"/>
      <c r="AF3605" s="1052"/>
    </row>
    <row r="3606" spans="1:32" ht="15.75" x14ac:dyDescent="0.25">
      <c r="A3606" s="2017"/>
      <c r="B3606" s="2018"/>
      <c r="C3606" s="2018"/>
      <c r="D3606" s="2018"/>
      <c r="E3606" s="2018"/>
      <c r="F3606" s="2018"/>
      <c r="G3606" s="2018"/>
      <c r="H3606" s="2018"/>
      <c r="I3606" s="2018"/>
      <c r="J3606" s="2018"/>
      <c r="K3606" s="2018"/>
      <c r="L3606" s="2018"/>
      <c r="M3606" s="2018"/>
      <c r="N3606" s="2018"/>
      <c r="O3606" s="2018"/>
      <c r="P3606" s="2018"/>
      <c r="Q3606" s="2018"/>
      <c r="R3606" s="2018"/>
      <c r="S3606" s="2018"/>
      <c r="T3606" s="2018"/>
      <c r="U3606" s="2018"/>
      <c r="V3606" s="2018"/>
      <c r="W3606" s="2018"/>
      <c r="X3606" s="2018"/>
      <c r="Y3606" s="2018"/>
      <c r="Z3606" s="2021"/>
      <c r="AA3606" s="2021"/>
      <c r="AB3606" s="1050"/>
      <c r="AC3606" s="1050"/>
      <c r="AD3606" s="1050"/>
      <c r="AE3606" s="1050"/>
      <c r="AF3606" s="1052"/>
    </row>
    <row r="3607" spans="1:32" ht="15.75" x14ac:dyDescent="0.25">
      <c r="A3607" s="2017"/>
      <c r="B3607" s="2018"/>
      <c r="C3607" s="2018"/>
      <c r="D3607" s="2018"/>
      <c r="E3607" s="2018"/>
      <c r="F3607" s="2018"/>
      <c r="G3607" s="2018"/>
      <c r="H3607" s="2018"/>
      <c r="I3607" s="2018"/>
      <c r="J3607" s="2018"/>
      <c r="K3607" s="2018"/>
      <c r="L3607" s="2018"/>
      <c r="M3607" s="2018"/>
      <c r="N3607" s="2018"/>
      <c r="O3607" s="2018"/>
      <c r="P3607" s="2018"/>
      <c r="Q3607" s="2018"/>
      <c r="R3607" s="2018"/>
      <c r="S3607" s="2018"/>
      <c r="T3607" s="2018"/>
      <c r="U3607" s="2018"/>
      <c r="V3607" s="2018"/>
      <c r="W3607" s="2018"/>
      <c r="X3607" s="2018"/>
      <c r="Y3607" s="2018"/>
      <c r="Z3607" s="2021"/>
      <c r="AA3607" s="2021"/>
      <c r="AB3607" s="1050"/>
      <c r="AC3607" s="1050"/>
      <c r="AD3607" s="1050"/>
      <c r="AE3607" s="1050"/>
      <c r="AF3607" s="1052"/>
    </row>
    <row r="3608" spans="1:32" ht="15.75" x14ac:dyDescent="0.25">
      <c r="A3608" s="2017"/>
      <c r="B3608" s="2018"/>
      <c r="C3608" s="2018"/>
      <c r="D3608" s="2018"/>
      <c r="E3608" s="2018"/>
      <c r="F3608" s="2018"/>
      <c r="G3608" s="2018"/>
      <c r="H3608" s="2018"/>
      <c r="I3608" s="2018"/>
      <c r="J3608" s="2018"/>
      <c r="K3608" s="2018"/>
      <c r="L3608" s="2018"/>
      <c r="M3608" s="2018"/>
      <c r="N3608" s="2018"/>
      <c r="O3608" s="2018"/>
      <c r="P3608" s="2018"/>
      <c r="Q3608" s="2018"/>
      <c r="R3608" s="2018"/>
      <c r="S3608" s="2018"/>
      <c r="T3608" s="2018"/>
      <c r="U3608" s="2018"/>
      <c r="V3608" s="2018"/>
      <c r="W3608" s="2018"/>
      <c r="X3608" s="2018"/>
      <c r="Y3608" s="2018"/>
      <c r="Z3608" s="2021"/>
      <c r="AA3608" s="2021"/>
      <c r="AB3608" s="1050"/>
      <c r="AC3608" s="1050"/>
      <c r="AD3608" s="1050"/>
      <c r="AE3608" s="1050"/>
      <c r="AF3608" s="1052"/>
    </row>
    <row r="3609" spans="1:32" ht="15.75" x14ac:dyDescent="0.25">
      <c r="A3609" s="2017"/>
      <c r="B3609" s="2018"/>
      <c r="C3609" s="2018"/>
      <c r="D3609" s="2018"/>
      <c r="E3609" s="2018"/>
      <c r="F3609" s="2018"/>
      <c r="G3609" s="2018"/>
      <c r="H3609" s="2018"/>
      <c r="I3609" s="2018"/>
      <c r="J3609" s="2018"/>
      <c r="K3609" s="2018"/>
      <c r="L3609" s="2018"/>
      <c r="M3609" s="2018"/>
      <c r="N3609" s="2018"/>
      <c r="O3609" s="2018"/>
      <c r="P3609" s="2018"/>
      <c r="Q3609" s="2018"/>
      <c r="R3609" s="2018"/>
      <c r="S3609" s="2018"/>
      <c r="T3609" s="2018"/>
      <c r="U3609" s="2018"/>
      <c r="V3609" s="2018"/>
      <c r="W3609" s="2018"/>
      <c r="X3609" s="2018"/>
      <c r="Y3609" s="2018"/>
      <c r="Z3609" s="2021"/>
      <c r="AA3609" s="2021"/>
      <c r="AB3609" s="1050"/>
      <c r="AC3609" s="1050"/>
      <c r="AD3609" s="1050"/>
      <c r="AE3609" s="1050"/>
      <c r="AF3609" s="1052"/>
    </row>
    <row r="3610" spans="1:32" ht="15.75" x14ac:dyDescent="0.25">
      <c r="A3610" s="2017"/>
      <c r="B3610" s="2018"/>
      <c r="C3610" s="2018"/>
      <c r="D3610" s="2018"/>
      <c r="E3610" s="2018"/>
      <c r="F3610" s="2018"/>
      <c r="G3610" s="2018"/>
      <c r="H3610" s="2018"/>
      <c r="I3610" s="2018"/>
      <c r="J3610" s="2018"/>
      <c r="K3610" s="2018"/>
      <c r="L3610" s="2018"/>
      <c r="M3610" s="2018"/>
      <c r="N3610" s="2018"/>
      <c r="O3610" s="2018"/>
      <c r="P3610" s="2018"/>
      <c r="Q3610" s="2018"/>
      <c r="R3610" s="2018"/>
      <c r="S3610" s="2018"/>
      <c r="T3610" s="2018"/>
      <c r="U3610" s="2018"/>
      <c r="V3610" s="2018"/>
      <c r="W3610" s="2018"/>
      <c r="X3610" s="2018"/>
      <c r="Y3610" s="2018"/>
      <c r="Z3610" s="2021"/>
      <c r="AA3610" s="2021"/>
      <c r="AB3610" s="1050"/>
      <c r="AC3610" s="1050"/>
      <c r="AD3610" s="1050"/>
      <c r="AE3610" s="1050"/>
      <c r="AF3610" s="1052"/>
    </row>
    <row r="3611" spans="1:32" ht="15.75" x14ac:dyDescent="0.25">
      <c r="A3611" s="2017"/>
      <c r="B3611" s="2018"/>
      <c r="C3611" s="2018"/>
      <c r="D3611" s="2018"/>
      <c r="E3611" s="2018"/>
      <c r="F3611" s="2018"/>
      <c r="G3611" s="2018"/>
      <c r="H3611" s="2018"/>
      <c r="I3611" s="2018"/>
      <c r="J3611" s="2018"/>
      <c r="K3611" s="2018"/>
      <c r="L3611" s="2018"/>
      <c r="M3611" s="2018"/>
      <c r="N3611" s="2018"/>
      <c r="O3611" s="2018"/>
      <c r="P3611" s="2018"/>
      <c r="Q3611" s="2018"/>
      <c r="R3611" s="2018"/>
      <c r="S3611" s="2018"/>
      <c r="T3611" s="2018"/>
      <c r="U3611" s="2018"/>
      <c r="V3611" s="2018"/>
      <c r="W3611" s="2018"/>
      <c r="X3611" s="2018"/>
      <c r="Y3611" s="2018"/>
      <c r="Z3611" s="2021"/>
      <c r="AA3611" s="2021"/>
      <c r="AB3611" s="1050"/>
      <c r="AC3611" s="1050"/>
      <c r="AD3611" s="1050"/>
      <c r="AE3611" s="1050"/>
      <c r="AF3611" s="1052"/>
    </row>
    <row r="3612" spans="1:32" ht="15.75" x14ac:dyDescent="0.25">
      <c r="A3612" s="2017"/>
      <c r="B3612" s="2018"/>
      <c r="C3612" s="2018"/>
      <c r="D3612" s="2018"/>
      <c r="E3612" s="2018"/>
      <c r="F3612" s="2018"/>
      <c r="G3612" s="2018"/>
      <c r="H3612" s="2018"/>
      <c r="I3612" s="2018"/>
      <c r="J3612" s="2018"/>
      <c r="K3612" s="2018"/>
      <c r="L3612" s="2018"/>
      <c r="M3612" s="2018"/>
      <c r="N3612" s="2018"/>
      <c r="O3612" s="2018"/>
      <c r="P3612" s="2018"/>
      <c r="Q3612" s="2018"/>
      <c r="R3612" s="2018"/>
      <c r="S3612" s="2018"/>
      <c r="T3612" s="2018"/>
      <c r="U3612" s="2018"/>
      <c r="V3612" s="2018"/>
      <c r="W3612" s="2018"/>
      <c r="X3612" s="2018"/>
      <c r="Y3612" s="2018"/>
      <c r="Z3612" s="2021"/>
      <c r="AA3612" s="2021"/>
      <c r="AB3612" s="1050"/>
      <c r="AC3612" s="1050"/>
      <c r="AD3612" s="1050"/>
      <c r="AE3612" s="1050"/>
      <c r="AF3612" s="1052"/>
    </row>
    <row r="3613" spans="1:32" ht="15.75" x14ac:dyDescent="0.25">
      <c r="A3613" s="2017"/>
      <c r="B3613" s="2018"/>
      <c r="C3613" s="2018"/>
      <c r="D3613" s="2018"/>
      <c r="E3613" s="2018"/>
      <c r="F3613" s="2018"/>
      <c r="G3613" s="2018"/>
      <c r="H3613" s="2018"/>
      <c r="I3613" s="2018"/>
      <c r="J3613" s="2018"/>
      <c r="K3613" s="2018"/>
      <c r="L3613" s="2018"/>
      <c r="M3613" s="2018"/>
      <c r="N3613" s="2018"/>
      <c r="O3613" s="2018"/>
      <c r="P3613" s="2018"/>
      <c r="Q3613" s="2018"/>
      <c r="R3613" s="2018"/>
      <c r="S3613" s="2018"/>
      <c r="T3613" s="2018"/>
      <c r="U3613" s="2018"/>
      <c r="V3613" s="2018"/>
      <c r="W3613" s="2018"/>
      <c r="X3613" s="2018"/>
      <c r="Y3613" s="2018"/>
      <c r="Z3613" s="2021"/>
      <c r="AA3613" s="2021"/>
      <c r="AB3613" s="1050"/>
      <c r="AC3613" s="1050"/>
      <c r="AD3613" s="1050"/>
      <c r="AE3613" s="1050"/>
      <c r="AF3613" s="1052"/>
    </row>
    <row r="3614" spans="1:32" ht="15.75" x14ac:dyDescent="0.25">
      <c r="A3614" s="2017"/>
      <c r="B3614" s="2018"/>
      <c r="C3614" s="2018"/>
      <c r="D3614" s="2018"/>
      <c r="E3614" s="2018"/>
      <c r="F3614" s="2018"/>
      <c r="G3614" s="2018"/>
      <c r="H3614" s="2018"/>
      <c r="I3614" s="2018"/>
      <c r="J3614" s="2018"/>
      <c r="K3614" s="2018"/>
      <c r="L3614" s="2018"/>
      <c r="M3614" s="2018"/>
      <c r="N3614" s="2018"/>
      <c r="O3614" s="2018"/>
      <c r="P3614" s="2018"/>
      <c r="Q3614" s="2018"/>
      <c r="R3614" s="2018"/>
      <c r="S3614" s="2018"/>
      <c r="T3614" s="2018"/>
      <c r="U3614" s="2018"/>
      <c r="V3614" s="2018"/>
      <c r="W3614" s="2018"/>
      <c r="X3614" s="2018"/>
      <c r="Y3614" s="2018"/>
      <c r="Z3614" s="2021"/>
      <c r="AA3614" s="2021"/>
      <c r="AB3614" s="1050"/>
      <c r="AC3614" s="1050"/>
      <c r="AD3614" s="1050"/>
      <c r="AE3614" s="1050"/>
      <c r="AF3614" s="1052"/>
    </row>
    <row r="3615" spans="1:32" ht="15.75" x14ac:dyDescent="0.25">
      <c r="A3615" s="2017"/>
      <c r="B3615" s="2018"/>
      <c r="C3615" s="2018"/>
      <c r="D3615" s="2018"/>
      <c r="E3615" s="2018"/>
      <c r="F3615" s="2018"/>
      <c r="G3615" s="2018"/>
      <c r="H3615" s="2018"/>
      <c r="I3615" s="2018"/>
      <c r="J3615" s="2018"/>
      <c r="K3615" s="2018"/>
      <c r="L3615" s="2018"/>
      <c r="M3615" s="2018"/>
      <c r="N3615" s="2018"/>
      <c r="O3615" s="2018"/>
      <c r="P3615" s="2018"/>
      <c r="Q3615" s="2018"/>
      <c r="R3615" s="2018"/>
      <c r="S3615" s="2018"/>
      <c r="T3615" s="2018"/>
      <c r="U3615" s="2018"/>
      <c r="V3615" s="2018"/>
      <c r="W3615" s="2018"/>
      <c r="X3615" s="2018"/>
      <c r="Y3615" s="2018"/>
      <c r="Z3615" s="2021"/>
      <c r="AA3615" s="2021"/>
      <c r="AB3615" s="1050"/>
      <c r="AC3615" s="1050"/>
      <c r="AD3615" s="1050"/>
      <c r="AE3615" s="1050"/>
      <c r="AF3615" s="1052"/>
    </row>
    <row r="3616" spans="1:32" ht="15.75" x14ac:dyDescent="0.25">
      <c r="A3616" s="2017"/>
      <c r="B3616" s="2018"/>
      <c r="C3616" s="2018"/>
      <c r="D3616" s="2018"/>
      <c r="E3616" s="2018"/>
      <c r="F3616" s="2018"/>
      <c r="G3616" s="2018"/>
      <c r="H3616" s="2018"/>
      <c r="I3616" s="2018"/>
      <c r="J3616" s="2018"/>
      <c r="K3616" s="2018"/>
      <c r="L3616" s="2018"/>
      <c r="M3616" s="2018"/>
      <c r="N3616" s="2018"/>
      <c r="O3616" s="2018"/>
      <c r="P3616" s="2018"/>
      <c r="Q3616" s="2018"/>
      <c r="R3616" s="2018"/>
      <c r="S3616" s="2018"/>
      <c r="T3616" s="2018"/>
      <c r="U3616" s="2018"/>
      <c r="V3616" s="2018"/>
      <c r="W3616" s="2018"/>
      <c r="X3616" s="2018"/>
      <c r="Y3616" s="2018"/>
      <c r="Z3616" s="2022"/>
      <c r="AA3616" s="2022"/>
      <c r="AB3616" s="1050"/>
      <c r="AC3616" s="1050"/>
      <c r="AD3616" s="1050"/>
      <c r="AE3616" s="1050"/>
      <c r="AF3616" s="1052"/>
    </row>
    <row r="3617" spans="1:32" ht="15.75" x14ac:dyDescent="0.25">
      <c r="A3617" s="2017"/>
      <c r="B3617" s="2018"/>
      <c r="C3617" s="2018"/>
      <c r="D3617" s="2018"/>
      <c r="E3617" s="2018"/>
      <c r="F3617" s="2018"/>
      <c r="G3617" s="2018"/>
      <c r="H3617" s="2018"/>
      <c r="I3617" s="2018"/>
      <c r="J3617" s="2018"/>
      <c r="K3617" s="2018"/>
      <c r="L3617" s="2018"/>
      <c r="M3617" s="2018"/>
      <c r="N3617" s="2018"/>
      <c r="O3617" s="2018"/>
      <c r="P3617" s="2018"/>
      <c r="Q3617" s="2018"/>
      <c r="R3617" s="2018"/>
      <c r="S3617" s="2018"/>
      <c r="T3617" s="2018"/>
      <c r="U3617" s="2018"/>
      <c r="V3617" s="2018"/>
      <c r="W3617" s="2018"/>
      <c r="X3617" s="2018"/>
      <c r="Y3617" s="2018"/>
      <c r="Z3617" s="2022"/>
      <c r="AA3617" s="2022"/>
      <c r="AB3617" s="1050"/>
      <c r="AC3617" s="1050"/>
      <c r="AD3617" s="1050"/>
      <c r="AE3617" s="1050"/>
      <c r="AF3617" s="1052"/>
    </row>
    <row r="3618" spans="1:32" ht="15.75" x14ac:dyDescent="0.25">
      <c r="A3618" s="2017"/>
      <c r="B3618" s="2018"/>
      <c r="C3618" s="2018"/>
      <c r="D3618" s="2018"/>
      <c r="E3618" s="2018"/>
      <c r="F3618" s="2018"/>
      <c r="G3618" s="2018"/>
      <c r="H3618" s="2018"/>
      <c r="I3618" s="2018"/>
      <c r="J3618" s="2018"/>
      <c r="K3618" s="2018"/>
      <c r="L3618" s="2018"/>
      <c r="M3618" s="2018"/>
      <c r="N3618" s="2018"/>
      <c r="O3618" s="2018"/>
      <c r="P3618" s="2018"/>
      <c r="Q3618" s="2018"/>
      <c r="R3618" s="2018"/>
      <c r="S3618" s="2018"/>
      <c r="T3618" s="2018"/>
      <c r="U3618" s="2018"/>
      <c r="V3618" s="2018"/>
      <c r="W3618" s="2018"/>
      <c r="X3618" s="2018"/>
      <c r="Y3618" s="2018"/>
      <c r="Z3618" s="2022"/>
      <c r="AA3618" s="2022"/>
      <c r="AB3618" s="1050"/>
      <c r="AC3618" s="1050"/>
      <c r="AD3618" s="1050"/>
      <c r="AE3618" s="1050"/>
      <c r="AF3618" s="1052"/>
    </row>
    <row r="3619" spans="1:32" ht="15.75" x14ac:dyDescent="0.25">
      <c r="A3619" s="2017"/>
      <c r="B3619" s="2018"/>
      <c r="C3619" s="2018"/>
      <c r="D3619" s="2018"/>
      <c r="E3619" s="2018"/>
      <c r="F3619" s="2018"/>
      <c r="G3619" s="2018"/>
      <c r="H3619" s="2018"/>
      <c r="I3619" s="2018"/>
      <c r="J3619" s="2018"/>
      <c r="K3619" s="2018"/>
      <c r="L3619" s="2018"/>
      <c r="M3619" s="2018"/>
      <c r="N3619" s="2018"/>
      <c r="O3619" s="2018"/>
      <c r="P3619" s="2018"/>
      <c r="Q3619" s="2018"/>
      <c r="R3619" s="2018"/>
      <c r="S3619" s="2018"/>
      <c r="T3619" s="2018"/>
      <c r="U3619" s="2018"/>
      <c r="V3619" s="2018"/>
      <c r="W3619" s="2018"/>
      <c r="X3619" s="2018"/>
      <c r="Y3619" s="2018"/>
      <c r="Z3619" s="2023"/>
      <c r="AA3619" s="2023"/>
      <c r="AB3619" s="1050"/>
      <c r="AC3619" s="1050"/>
      <c r="AD3619" s="1050"/>
      <c r="AE3619" s="1050"/>
      <c r="AF3619" s="1052"/>
    </row>
    <row r="3620" spans="1:32" ht="15.75" x14ac:dyDescent="0.25">
      <c r="A3620" s="2017"/>
      <c r="B3620" s="2018"/>
      <c r="C3620" s="2018"/>
      <c r="D3620" s="2018"/>
      <c r="E3620" s="2018"/>
      <c r="F3620" s="2018"/>
      <c r="G3620" s="2018"/>
      <c r="H3620" s="2018"/>
      <c r="I3620" s="2018"/>
      <c r="J3620" s="2018"/>
      <c r="K3620" s="2018"/>
      <c r="L3620" s="2018"/>
      <c r="M3620" s="2018"/>
      <c r="N3620" s="2018"/>
      <c r="O3620" s="2018"/>
      <c r="P3620" s="2018"/>
      <c r="Q3620" s="2018"/>
      <c r="R3620" s="2018"/>
      <c r="S3620" s="2018"/>
      <c r="T3620" s="2018"/>
      <c r="U3620" s="2018"/>
      <c r="V3620" s="2018"/>
      <c r="W3620" s="2018"/>
      <c r="X3620" s="2018"/>
      <c r="Y3620" s="2018"/>
      <c r="Z3620" s="2023"/>
      <c r="AA3620" s="2023"/>
      <c r="AB3620" s="1050"/>
      <c r="AC3620" s="1050"/>
      <c r="AD3620" s="1050"/>
      <c r="AE3620" s="1050"/>
      <c r="AF3620" s="1052"/>
    </row>
    <row r="3621" spans="1:32" ht="15.75" x14ac:dyDescent="0.25">
      <c r="A3621" s="2017"/>
      <c r="B3621" s="2018"/>
      <c r="C3621" s="2018"/>
      <c r="D3621" s="2018"/>
      <c r="E3621" s="2018"/>
      <c r="F3621" s="2018"/>
      <c r="G3621" s="2018"/>
      <c r="H3621" s="2018"/>
      <c r="I3621" s="2018"/>
      <c r="J3621" s="2018"/>
      <c r="K3621" s="2018"/>
      <c r="L3621" s="2018"/>
      <c r="M3621" s="2018"/>
      <c r="N3621" s="2018"/>
      <c r="O3621" s="2018"/>
      <c r="P3621" s="2018"/>
      <c r="Q3621" s="2018"/>
      <c r="R3621" s="2018"/>
      <c r="S3621" s="2018"/>
      <c r="T3621" s="2018"/>
      <c r="U3621" s="2018"/>
      <c r="V3621" s="2018"/>
      <c r="W3621" s="2018"/>
      <c r="X3621" s="2018"/>
      <c r="Y3621" s="2018"/>
      <c r="Z3621" s="2023"/>
      <c r="AA3621" s="2023"/>
      <c r="AB3621" s="1050"/>
      <c r="AC3621" s="1050"/>
      <c r="AD3621" s="1050"/>
      <c r="AE3621" s="1050"/>
      <c r="AF3621" s="1052"/>
    </row>
    <row r="3622" spans="1:32" ht="15.75" x14ac:dyDescent="0.25">
      <c r="A3622" s="2017"/>
      <c r="B3622" s="2018"/>
      <c r="C3622" s="2018"/>
      <c r="D3622" s="2018"/>
      <c r="E3622" s="2018"/>
      <c r="F3622" s="2018"/>
      <c r="G3622" s="2018"/>
      <c r="H3622" s="2018"/>
      <c r="I3622" s="2018"/>
      <c r="J3622" s="2018"/>
      <c r="K3622" s="2018"/>
      <c r="L3622" s="2018"/>
      <c r="M3622" s="2018"/>
      <c r="N3622" s="2018"/>
      <c r="O3622" s="2018"/>
      <c r="P3622" s="2018"/>
      <c r="Q3622" s="2018"/>
      <c r="R3622" s="2018"/>
      <c r="S3622" s="2018"/>
      <c r="T3622" s="2018"/>
      <c r="U3622" s="2018"/>
      <c r="V3622" s="2018"/>
      <c r="W3622" s="2018"/>
      <c r="X3622" s="2018"/>
      <c r="Y3622" s="2018"/>
      <c r="Z3622" s="2023"/>
      <c r="AA3622" s="2023"/>
      <c r="AB3622" s="1050"/>
      <c r="AC3622" s="1050"/>
      <c r="AD3622" s="1050"/>
      <c r="AE3622" s="1050"/>
      <c r="AF3622" s="1052"/>
    </row>
    <row r="3623" spans="1:32" ht="15.75" x14ac:dyDescent="0.25">
      <c r="A3623" s="2017"/>
      <c r="B3623" s="2018"/>
      <c r="C3623" s="2018"/>
      <c r="D3623" s="2018"/>
      <c r="E3623" s="2018"/>
      <c r="F3623" s="2018"/>
      <c r="G3623" s="2018"/>
      <c r="H3623" s="2018"/>
      <c r="I3623" s="2018"/>
      <c r="J3623" s="2018"/>
      <c r="K3623" s="2018"/>
      <c r="L3623" s="2018"/>
      <c r="M3623" s="2018"/>
      <c r="N3623" s="2018"/>
      <c r="O3623" s="2018"/>
      <c r="P3623" s="2018"/>
      <c r="Q3623" s="2018"/>
      <c r="R3623" s="2018"/>
      <c r="S3623" s="2018"/>
      <c r="T3623" s="2018"/>
      <c r="U3623" s="2018"/>
      <c r="V3623" s="2018"/>
      <c r="W3623" s="2018"/>
      <c r="X3623" s="2018"/>
      <c r="Y3623" s="2018"/>
      <c r="Z3623" s="2023"/>
      <c r="AA3623" s="2023"/>
      <c r="AB3623" s="1050"/>
      <c r="AC3623" s="1050"/>
      <c r="AD3623" s="1050"/>
      <c r="AE3623" s="1050"/>
      <c r="AF3623" s="1052"/>
    </row>
    <row r="3624" spans="1:32" ht="15.75" x14ac:dyDescent="0.25">
      <c r="A3624" s="2017"/>
      <c r="B3624" s="2018"/>
      <c r="C3624" s="2018"/>
      <c r="D3624" s="2018"/>
      <c r="E3624" s="2018"/>
      <c r="F3624" s="2018"/>
      <c r="G3624" s="2018"/>
      <c r="H3624" s="2018"/>
      <c r="I3624" s="2018"/>
      <c r="J3624" s="2018"/>
      <c r="K3624" s="2018"/>
      <c r="L3624" s="2018"/>
      <c r="M3624" s="2018"/>
      <c r="N3624" s="2018"/>
      <c r="O3624" s="2018"/>
      <c r="P3624" s="2018"/>
      <c r="Q3624" s="2018"/>
      <c r="R3624" s="2018"/>
      <c r="S3624" s="2018"/>
      <c r="T3624" s="2018"/>
      <c r="U3624" s="2018"/>
      <c r="V3624" s="2018"/>
      <c r="W3624" s="2018"/>
      <c r="X3624" s="2018"/>
      <c r="Y3624" s="2018"/>
      <c r="Z3624" s="2023"/>
      <c r="AA3624" s="2023"/>
      <c r="AB3624" s="1050"/>
      <c r="AC3624" s="1050"/>
      <c r="AD3624" s="1050"/>
      <c r="AE3624" s="1050"/>
      <c r="AF3624" s="1052"/>
    </row>
    <row r="3625" spans="1:32" ht="16.5" thickBot="1" x14ac:dyDescent="0.3">
      <c r="A3625" s="2019"/>
      <c r="B3625" s="2020"/>
      <c r="C3625" s="2020"/>
      <c r="D3625" s="2020"/>
      <c r="E3625" s="2020"/>
      <c r="F3625" s="2020"/>
      <c r="G3625" s="2020"/>
      <c r="H3625" s="2020"/>
      <c r="I3625" s="2020"/>
      <c r="J3625" s="2020"/>
      <c r="K3625" s="2020"/>
      <c r="L3625" s="2020"/>
      <c r="M3625" s="2020"/>
      <c r="N3625" s="2020"/>
      <c r="O3625" s="2020"/>
      <c r="P3625" s="2020"/>
      <c r="Q3625" s="2020"/>
      <c r="R3625" s="2020"/>
      <c r="S3625" s="2020"/>
      <c r="T3625" s="2020"/>
      <c r="U3625" s="2020"/>
      <c r="V3625" s="2020"/>
      <c r="W3625" s="2020"/>
      <c r="X3625" s="2020"/>
      <c r="Y3625" s="2020"/>
      <c r="Z3625" s="2024"/>
      <c r="AA3625" s="2024"/>
      <c r="AB3625" s="1057"/>
      <c r="AC3625" s="1057"/>
      <c r="AD3625" s="1057"/>
      <c r="AE3625" s="1057"/>
      <c r="AF3625" s="1058"/>
    </row>
    <row r="3626" spans="1:32" ht="15.75" x14ac:dyDescent="0.25">
      <c r="A3626" s="2009" t="s">
        <v>2158</v>
      </c>
      <c r="B3626" s="2010"/>
      <c r="C3626" s="2010"/>
      <c r="D3626" s="2010"/>
      <c r="E3626" s="2010"/>
      <c r="F3626" s="2010"/>
      <c r="G3626" s="2010"/>
      <c r="H3626" s="2010"/>
      <c r="I3626" s="2010"/>
      <c r="J3626" s="2010"/>
      <c r="K3626" s="2010"/>
      <c r="L3626" s="2010"/>
      <c r="M3626" s="2010"/>
      <c r="N3626" s="2010"/>
      <c r="O3626" s="2010"/>
      <c r="P3626" s="2010"/>
      <c r="Q3626" s="2010"/>
      <c r="R3626" s="2010"/>
      <c r="S3626" s="2010"/>
      <c r="T3626" s="2010"/>
      <c r="U3626" s="2010"/>
      <c r="V3626" s="2010"/>
      <c r="W3626" s="2010"/>
      <c r="X3626" s="2010"/>
      <c r="Y3626" s="2010"/>
      <c r="Z3626" s="2013" t="s">
        <v>1850</v>
      </c>
      <c r="AA3626" s="2013"/>
      <c r="AB3626" s="2013"/>
      <c r="AC3626" s="2013"/>
      <c r="AD3626" s="2013"/>
      <c r="AE3626" s="2013"/>
      <c r="AF3626" s="1059">
        <f>SUM(AF3602:AF3625)</f>
        <v>3</v>
      </c>
    </row>
    <row r="3627" spans="1:32" ht="15.75" x14ac:dyDescent="0.25">
      <c r="A3627" s="2011"/>
      <c r="B3627" s="2012"/>
      <c r="C3627" s="2012"/>
      <c r="D3627" s="2012"/>
      <c r="E3627" s="2012"/>
      <c r="F3627" s="2012"/>
      <c r="G3627" s="2012"/>
      <c r="H3627" s="2012"/>
      <c r="I3627" s="2012"/>
      <c r="J3627" s="2012"/>
      <c r="K3627" s="2012"/>
      <c r="L3627" s="2012"/>
      <c r="M3627" s="2012"/>
      <c r="N3627" s="2012"/>
      <c r="O3627" s="2012"/>
      <c r="P3627" s="2012"/>
      <c r="Q3627" s="2012"/>
      <c r="R3627" s="2012"/>
      <c r="S3627" s="2012"/>
      <c r="T3627" s="2012"/>
      <c r="U3627" s="2012"/>
      <c r="V3627" s="2012"/>
      <c r="W3627" s="2012"/>
      <c r="X3627" s="2012"/>
      <c r="Y3627" s="2012"/>
      <c r="Z3627" s="2014" t="s">
        <v>1851</v>
      </c>
      <c r="AA3627" s="2014"/>
      <c r="AB3627" s="2014"/>
      <c r="AC3627" s="2014"/>
      <c r="AD3627" s="2014"/>
      <c r="AE3627" s="2014"/>
      <c r="AF3627" s="1060">
        <v>0</v>
      </c>
    </row>
    <row r="3628" spans="1:32" ht="15.75" x14ac:dyDescent="0.25">
      <c r="A3628" s="2011"/>
      <c r="B3628" s="2012"/>
      <c r="C3628" s="2012"/>
      <c r="D3628" s="2012"/>
      <c r="E3628" s="2012"/>
      <c r="F3628" s="2012"/>
      <c r="G3628" s="2012"/>
      <c r="H3628" s="2012"/>
      <c r="I3628" s="2012"/>
      <c r="J3628" s="2012"/>
      <c r="K3628" s="2012"/>
      <c r="L3628" s="2012"/>
      <c r="M3628" s="2012"/>
      <c r="N3628" s="2012"/>
      <c r="O3628" s="2012"/>
      <c r="P3628" s="2012"/>
      <c r="Q3628" s="2012"/>
      <c r="R3628" s="2012"/>
      <c r="S3628" s="2012"/>
      <c r="T3628" s="2012"/>
      <c r="U3628" s="2012"/>
      <c r="V3628" s="2012"/>
      <c r="W3628" s="2012"/>
      <c r="X3628" s="2012"/>
      <c r="Y3628" s="2012"/>
      <c r="Z3628" s="2015" t="s">
        <v>1833</v>
      </c>
      <c r="AA3628" s="2015"/>
      <c r="AB3628" s="2015"/>
      <c r="AC3628" s="2015"/>
      <c r="AD3628" s="2015"/>
      <c r="AE3628" s="2015"/>
      <c r="AF3628" s="1061">
        <f>SUM(AF3626:AF3627)</f>
        <v>3</v>
      </c>
    </row>
    <row r="3629" spans="1:32" x14ac:dyDescent="0.2">
      <c r="A3629" s="2012" t="s">
        <v>1859</v>
      </c>
      <c r="B3629" s="2012"/>
      <c r="C3629" s="2012"/>
      <c r="D3629" s="2012"/>
      <c r="E3629" s="2012"/>
      <c r="F3629" s="2012"/>
      <c r="G3629" s="2012"/>
      <c r="H3629" s="2012"/>
      <c r="I3629" s="2012"/>
      <c r="J3629" s="2012"/>
      <c r="K3629" s="2012"/>
      <c r="L3629" s="2012"/>
      <c r="M3629" s="2012"/>
      <c r="N3629" s="2012"/>
      <c r="O3629" s="2012"/>
      <c r="P3629" s="2012"/>
      <c r="Q3629" s="2012"/>
      <c r="R3629" s="2012"/>
      <c r="S3629" s="2012"/>
      <c r="T3629" s="2016" t="s">
        <v>1840</v>
      </c>
      <c r="U3629" s="2016"/>
      <c r="V3629" s="2016"/>
      <c r="W3629" s="2016"/>
      <c r="X3629" s="2016"/>
      <c r="Y3629" s="2016"/>
      <c r="Z3629" s="2016"/>
      <c r="AA3629" s="2016"/>
      <c r="AB3629" s="2012" t="s">
        <v>1852</v>
      </c>
      <c r="AC3629" s="2012"/>
      <c r="AD3629" s="2012"/>
      <c r="AE3629" s="2012"/>
      <c r="AF3629" s="2012"/>
    </row>
    <row r="3630" spans="1:32" x14ac:dyDescent="0.2">
      <c r="A3630" s="2012"/>
      <c r="B3630" s="2012"/>
      <c r="C3630" s="2012"/>
      <c r="D3630" s="2012"/>
      <c r="E3630" s="2012"/>
      <c r="F3630" s="2012"/>
      <c r="G3630" s="2012"/>
      <c r="H3630" s="2012"/>
      <c r="I3630" s="2012"/>
      <c r="J3630" s="2012"/>
      <c r="K3630" s="2012"/>
      <c r="L3630" s="2012"/>
      <c r="M3630" s="2012"/>
      <c r="N3630" s="2012"/>
      <c r="O3630" s="2012"/>
      <c r="P3630" s="2012"/>
      <c r="Q3630" s="2012"/>
      <c r="R3630" s="2012"/>
      <c r="S3630" s="2012"/>
      <c r="T3630" s="2016"/>
      <c r="U3630" s="2016"/>
      <c r="V3630" s="2016"/>
      <c r="W3630" s="2016"/>
      <c r="X3630" s="2016"/>
      <c r="Y3630" s="2016"/>
      <c r="Z3630" s="2016"/>
      <c r="AA3630" s="2016"/>
      <c r="AB3630" s="2012"/>
      <c r="AC3630" s="2012"/>
      <c r="AD3630" s="2012"/>
      <c r="AE3630" s="2012"/>
      <c r="AF3630" s="2012"/>
    </row>
    <row r="3631" spans="1:32" ht="13.5" thickBot="1" x14ac:dyDescent="0.25"/>
    <row r="3632" spans="1:32" ht="26.45" customHeight="1" x14ac:dyDescent="0.2">
      <c r="A3632" s="2025" t="s">
        <v>1854</v>
      </c>
      <c r="B3632" s="2026"/>
      <c r="C3632" s="2026"/>
      <c r="D3632" s="2026"/>
      <c r="E3632" s="2026"/>
      <c r="F3632" s="2026"/>
      <c r="G3632" s="2026"/>
      <c r="H3632" s="2026"/>
      <c r="I3632" s="2026"/>
      <c r="J3632" s="2026"/>
      <c r="K3632" s="2026"/>
      <c r="L3632" s="2026"/>
      <c r="M3632" s="2026"/>
      <c r="N3632" s="2026"/>
      <c r="O3632" s="2026"/>
      <c r="P3632" s="2026"/>
      <c r="Q3632" s="2026"/>
      <c r="R3632" s="2026"/>
      <c r="S3632" s="2026"/>
      <c r="T3632" s="2026"/>
      <c r="U3632" s="2026"/>
      <c r="V3632" s="2026"/>
      <c r="W3632" s="2026"/>
      <c r="X3632" s="2026"/>
      <c r="Y3632" s="2026"/>
      <c r="Z3632" s="2026"/>
      <c r="AA3632" s="2026"/>
      <c r="AB3632" s="2026"/>
      <c r="AC3632" s="2026"/>
      <c r="AD3632" s="2026"/>
      <c r="AE3632" s="1041" t="s">
        <v>1834</v>
      </c>
      <c r="AF3632" s="1042" t="s">
        <v>1835</v>
      </c>
    </row>
    <row r="3633" spans="1:32" ht="21" customHeight="1" thickBot="1" x14ac:dyDescent="0.25">
      <c r="A3633" s="2027"/>
      <c r="B3633" s="2028"/>
      <c r="C3633" s="2028"/>
      <c r="D3633" s="2028"/>
      <c r="E3633" s="2028"/>
      <c r="F3633" s="2028"/>
      <c r="G3633" s="2028"/>
      <c r="H3633" s="2028"/>
      <c r="I3633" s="2028"/>
      <c r="J3633" s="2028"/>
      <c r="K3633" s="2028"/>
      <c r="L3633" s="2028"/>
      <c r="M3633" s="2028"/>
      <c r="N3633" s="2028"/>
      <c r="O3633" s="2028"/>
      <c r="P3633" s="2028"/>
      <c r="Q3633" s="2028"/>
      <c r="R3633" s="2028"/>
      <c r="S3633" s="2028"/>
      <c r="T3633" s="2028"/>
      <c r="U3633" s="2028"/>
      <c r="V3633" s="2028"/>
      <c r="W3633" s="2028"/>
      <c r="X3633" s="2028"/>
      <c r="Y3633" s="2028"/>
      <c r="Z3633" s="2028"/>
      <c r="AA3633" s="2028"/>
      <c r="AB3633" s="2028"/>
      <c r="AC3633" s="2028"/>
      <c r="AD3633" s="2028"/>
      <c r="AE3633" s="1041" t="s">
        <v>1836</v>
      </c>
      <c r="AF3633" s="1044">
        <v>1</v>
      </c>
    </row>
    <row r="3634" spans="1:32" ht="15.75" x14ac:dyDescent="0.2">
      <c r="A3634" s="2029"/>
      <c r="B3634" s="2030"/>
      <c r="C3634" s="2030"/>
      <c r="D3634" s="2031"/>
      <c r="E3634" s="2025" t="str">
        <f>'01'!$A$12</f>
        <v>"CONSTRUCCION SISTEMA DE ACUEDUCTO FASE II DEL MUNICIPIO DE TESALIA DPTO DEL HUILA"</v>
      </c>
      <c r="F3634" s="2026"/>
      <c r="G3634" s="2026"/>
      <c r="H3634" s="2026"/>
      <c r="I3634" s="2026"/>
      <c r="J3634" s="2026"/>
      <c r="K3634" s="2026"/>
      <c r="L3634" s="2026"/>
      <c r="M3634" s="2026"/>
      <c r="N3634" s="2026"/>
      <c r="O3634" s="2026"/>
      <c r="P3634" s="2026"/>
      <c r="Q3634" s="2026"/>
      <c r="R3634" s="2026"/>
      <c r="S3634" s="2026"/>
      <c r="T3634" s="2026"/>
      <c r="U3634" s="2026"/>
      <c r="V3634" s="2026"/>
      <c r="W3634" s="2026"/>
      <c r="X3634" s="2026"/>
      <c r="Y3634" s="2026"/>
      <c r="Z3634" s="2026"/>
      <c r="AA3634" s="2026"/>
      <c r="AB3634" s="2026"/>
      <c r="AC3634" s="2026"/>
      <c r="AD3634" s="2035"/>
      <c r="AE3634" s="1041" t="s">
        <v>847</v>
      </c>
      <c r="AF3634" s="1045">
        <f>'01'!$M$13</f>
        <v>0</v>
      </c>
    </row>
    <row r="3635" spans="1:32" ht="16.5" thickBot="1" x14ac:dyDescent="0.25">
      <c r="A3635" s="2032"/>
      <c r="B3635" s="2033"/>
      <c r="C3635" s="2033"/>
      <c r="D3635" s="2034"/>
      <c r="E3635" s="2027"/>
      <c r="F3635" s="2028"/>
      <c r="G3635" s="2028"/>
      <c r="H3635" s="2028"/>
      <c r="I3635" s="2028"/>
      <c r="J3635" s="2028"/>
      <c r="K3635" s="2028"/>
      <c r="L3635" s="2028"/>
      <c r="M3635" s="2028"/>
      <c r="N3635" s="2028"/>
      <c r="O3635" s="2028"/>
      <c r="P3635" s="2028"/>
      <c r="Q3635" s="2028"/>
      <c r="R3635" s="2028"/>
      <c r="S3635" s="2028"/>
      <c r="T3635" s="2028"/>
      <c r="U3635" s="2028"/>
      <c r="V3635" s="2028"/>
      <c r="W3635" s="2028"/>
      <c r="X3635" s="2028"/>
      <c r="Y3635" s="2028"/>
      <c r="Z3635" s="2028"/>
      <c r="AA3635" s="2028"/>
      <c r="AB3635" s="2028"/>
      <c r="AC3635" s="2028"/>
      <c r="AD3635" s="2036"/>
      <c r="AE3635" s="1041" t="s">
        <v>1837</v>
      </c>
      <c r="AF3635" s="1042" t="s">
        <v>1838</v>
      </c>
    </row>
    <row r="3636" spans="1:32" ht="15.75" x14ac:dyDescent="0.25">
      <c r="A3636" s="2037" t="s">
        <v>1860</v>
      </c>
      <c r="B3636" s="2038"/>
      <c r="C3636" s="2038"/>
      <c r="D3636" s="2038"/>
      <c r="E3636" s="2038"/>
      <c r="F3636" s="2038"/>
      <c r="G3636" s="2038"/>
      <c r="H3636" s="2038"/>
      <c r="I3636" s="2038"/>
      <c r="J3636" s="2038"/>
      <c r="K3636" s="2038"/>
      <c r="L3636" s="2038"/>
      <c r="M3636" s="2038"/>
      <c r="N3636" s="2038"/>
      <c r="O3636" s="2038"/>
      <c r="P3636" s="2038"/>
      <c r="Q3636" s="2038"/>
      <c r="R3636" s="2038"/>
      <c r="S3636" s="2038"/>
      <c r="T3636" s="2038"/>
      <c r="U3636" s="2038"/>
      <c r="V3636" s="2038"/>
      <c r="W3636" s="2038"/>
      <c r="X3636" s="2038"/>
      <c r="Y3636" s="2038"/>
      <c r="Z3636" s="2038"/>
      <c r="AA3636" s="2038"/>
      <c r="AB3636" s="2038"/>
      <c r="AC3636" s="2038"/>
      <c r="AD3636" s="2038"/>
      <c r="AE3636" s="2039" t="s">
        <v>1839</v>
      </c>
      <c r="AF3636" s="2040"/>
    </row>
    <row r="3637" spans="1:32" ht="15.75" x14ac:dyDescent="0.25">
      <c r="A3637" s="2041" t="s">
        <v>1840</v>
      </c>
      <c r="B3637" s="2042"/>
      <c r="C3637" s="2042"/>
      <c r="D3637" s="2042"/>
      <c r="E3637" s="2042"/>
      <c r="F3637" s="2042"/>
      <c r="G3637" s="2042"/>
      <c r="H3637" s="2042"/>
      <c r="I3637" s="2042"/>
      <c r="J3637" s="2042"/>
      <c r="K3637" s="2042"/>
      <c r="L3637" s="2042"/>
      <c r="M3637" s="2042"/>
      <c r="N3637" s="2042"/>
      <c r="O3637" s="2042"/>
      <c r="P3637" s="2042"/>
      <c r="Q3637" s="2042"/>
      <c r="R3637" s="2042"/>
      <c r="S3637" s="2042"/>
      <c r="T3637" s="2042"/>
      <c r="U3637" s="2042"/>
      <c r="V3637" s="2042"/>
      <c r="W3637" s="2042"/>
      <c r="X3637" s="2042"/>
      <c r="Y3637" s="2042"/>
      <c r="Z3637" s="2042"/>
      <c r="AA3637" s="2042"/>
      <c r="AB3637" s="2042"/>
      <c r="AC3637" s="2042"/>
      <c r="AD3637" s="2043"/>
      <c r="AE3637" s="2014" t="s">
        <v>1841</v>
      </c>
      <c r="AF3637" s="2044"/>
    </row>
    <row r="3638" spans="1:32" ht="15.75" x14ac:dyDescent="0.25">
      <c r="A3638" s="2045" t="s">
        <v>1853</v>
      </c>
      <c r="B3638" s="2046"/>
      <c r="C3638" s="2046"/>
      <c r="D3638" s="2046"/>
      <c r="E3638" s="2046"/>
      <c r="F3638" s="2046"/>
      <c r="G3638" s="2046"/>
      <c r="H3638" s="2046"/>
      <c r="I3638" s="2046"/>
      <c r="J3638" s="2046"/>
      <c r="K3638" s="2046"/>
      <c r="L3638" s="2046"/>
      <c r="M3638" s="2046"/>
      <c r="N3638" s="2046"/>
      <c r="O3638" s="2046"/>
      <c r="P3638" s="2046"/>
      <c r="Q3638" s="2046"/>
      <c r="R3638" s="2046"/>
      <c r="S3638" s="2046"/>
      <c r="T3638" s="2046"/>
      <c r="U3638" s="2046"/>
      <c r="V3638" s="2046"/>
      <c r="W3638" s="2046"/>
      <c r="X3638" s="2046"/>
      <c r="Y3638" s="2046"/>
      <c r="Z3638" s="2046"/>
      <c r="AA3638" s="2046"/>
      <c r="AB3638" s="2046"/>
      <c r="AC3638" s="2046"/>
      <c r="AD3638" s="2046"/>
      <c r="AE3638" s="2047">
        <f>'01'!$M$13</f>
        <v>0</v>
      </c>
      <c r="AF3638" s="2044"/>
    </row>
    <row r="3639" spans="1:32" x14ac:dyDescent="0.2">
      <c r="A3639" s="1046"/>
      <c r="B3639" s="1047"/>
      <c r="C3639" s="1047"/>
      <c r="D3639" s="1047"/>
      <c r="E3639" s="1047"/>
      <c r="F3639" s="1047"/>
      <c r="G3639" s="1047"/>
      <c r="H3639" s="1047"/>
      <c r="I3639" s="1047"/>
      <c r="J3639" s="1047"/>
      <c r="K3639" s="1047"/>
      <c r="L3639" s="1047"/>
      <c r="M3639" s="1047"/>
      <c r="N3639" s="1047"/>
      <c r="O3639" s="1047"/>
      <c r="P3639" s="1047"/>
      <c r="Q3639" s="1047"/>
      <c r="R3639" s="1047"/>
      <c r="S3639" s="1047"/>
      <c r="T3639" s="1047"/>
      <c r="U3639" s="1047"/>
      <c r="V3639" s="1047"/>
      <c r="W3639" s="1047"/>
      <c r="X3639" s="1047"/>
      <c r="Y3639" s="1047"/>
      <c r="Z3639" s="1047"/>
      <c r="AA3639" s="1047"/>
      <c r="AB3639" s="1047"/>
      <c r="AC3639" s="1047"/>
      <c r="AD3639" s="1047"/>
      <c r="AE3639" s="1047"/>
      <c r="AF3639" s="1048"/>
    </row>
    <row r="3640" spans="1:32" ht="30" customHeight="1" x14ac:dyDescent="0.2">
      <c r="A3640" s="2048" t="s">
        <v>1842</v>
      </c>
      <c r="B3640" s="2049"/>
      <c r="C3640" s="2049"/>
      <c r="D3640" s="2049"/>
      <c r="E3640" s="2049"/>
      <c r="F3640" s="2050" t="str">
        <f>+'01'!$H$130</f>
        <v>E - ESPESADOR GRAVIMÉTRICO</v>
      </c>
      <c r="G3640" s="2049"/>
      <c r="H3640" s="2049"/>
      <c r="I3640" s="2049"/>
      <c r="J3640" s="2049"/>
      <c r="K3640" s="2049"/>
      <c r="L3640" s="2049"/>
      <c r="M3640" s="2049"/>
      <c r="N3640" s="2049"/>
      <c r="O3640" s="2049"/>
      <c r="P3640" s="2049"/>
      <c r="Q3640" s="2049"/>
      <c r="R3640" s="2049"/>
      <c r="S3640" s="2049"/>
      <c r="T3640" s="2049"/>
      <c r="U3640" s="2049"/>
      <c r="V3640" s="2049"/>
      <c r="W3640" s="2049"/>
      <c r="X3640" s="2049"/>
      <c r="Y3640" s="2051"/>
      <c r="Z3640" s="2052" t="s">
        <v>1843</v>
      </c>
      <c r="AA3640" s="2053"/>
      <c r="AB3640" s="2058" t="s">
        <v>1844</v>
      </c>
      <c r="AC3640" s="2059"/>
      <c r="AD3640" s="2060"/>
      <c r="AE3640" s="2064" t="s">
        <v>1845</v>
      </c>
      <c r="AF3640" s="2067" t="s">
        <v>1846</v>
      </c>
    </row>
    <row r="3641" spans="1:32" ht="15" customHeight="1" x14ac:dyDescent="0.2">
      <c r="A3641" s="2070" t="str">
        <f>+'01'!A156</f>
        <v>E-08-04</v>
      </c>
      <c r="B3641" s="2071"/>
      <c r="C3641" s="2072"/>
      <c r="D3641" s="2076" t="str">
        <f>VLOOKUP(A3641,'01'!$A$12:$N$299,3,FALSE)</f>
        <v>SUMINISTRO E INSTALACIÓN PASAMURO HD 8" BXB=0,75M Z=0.375 M.</v>
      </c>
      <c r="E3641" s="2077"/>
      <c r="F3641" s="2077"/>
      <c r="G3641" s="2077"/>
      <c r="H3641" s="2077"/>
      <c r="I3641" s="2077"/>
      <c r="J3641" s="2077"/>
      <c r="K3641" s="2077"/>
      <c r="L3641" s="2077"/>
      <c r="M3641" s="2077"/>
      <c r="N3641" s="2077"/>
      <c r="O3641" s="2077"/>
      <c r="P3641" s="2077"/>
      <c r="Q3641" s="2077"/>
      <c r="R3641" s="2077"/>
      <c r="S3641" s="2078"/>
      <c r="T3641" s="2082" t="s">
        <v>124</v>
      </c>
      <c r="U3641" s="2083"/>
      <c r="V3641" s="2083"/>
      <c r="W3641" s="2083"/>
      <c r="X3641" s="2052" t="str">
        <f>VLOOKUP(A3641,'01'!$A$12:$N$299,9,FALSE)</f>
        <v>UND</v>
      </c>
      <c r="Y3641" s="2053"/>
      <c r="Z3641" s="2054"/>
      <c r="AA3641" s="2055"/>
      <c r="AB3641" s="2061"/>
      <c r="AC3641" s="2062"/>
      <c r="AD3641" s="2063"/>
      <c r="AE3641" s="2065"/>
      <c r="AF3641" s="2068"/>
    </row>
    <row r="3642" spans="1:32" ht="15" customHeight="1" x14ac:dyDescent="0.25">
      <c r="A3642" s="2073"/>
      <c r="B3642" s="2074"/>
      <c r="C3642" s="2075"/>
      <c r="D3642" s="2079"/>
      <c r="E3642" s="2080"/>
      <c r="F3642" s="2080"/>
      <c r="G3642" s="2080"/>
      <c r="H3642" s="2080"/>
      <c r="I3642" s="2080"/>
      <c r="J3642" s="2080"/>
      <c r="K3642" s="2080"/>
      <c r="L3642" s="2080"/>
      <c r="M3642" s="2080"/>
      <c r="N3642" s="2080"/>
      <c r="O3642" s="2080"/>
      <c r="P3642" s="2080"/>
      <c r="Q3642" s="2080"/>
      <c r="R3642" s="2080"/>
      <c r="S3642" s="2081"/>
      <c r="T3642" s="2084"/>
      <c r="U3642" s="2085"/>
      <c r="V3642" s="2085"/>
      <c r="W3642" s="2085"/>
      <c r="X3642" s="2056"/>
      <c r="Y3642" s="2057"/>
      <c r="Z3642" s="2056"/>
      <c r="AA3642" s="2057"/>
      <c r="AB3642" s="1049" t="s">
        <v>1847</v>
      </c>
      <c r="AC3642" s="1049" t="s">
        <v>1848</v>
      </c>
      <c r="AD3642" s="1049" t="s">
        <v>1861</v>
      </c>
      <c r="AE3642" s="2066"/>
      <c r="AF3642" s="2069"/>
    </row>
    <row r="3643" spans="1:32" ht="15.6" customHeight="1" x14ac:dyDescent="0.25">
      <c r="A3643" s="2017"/>
      <c r="B3643" s="2018"/>
      <c r="C3643" s="2018"/>
      <c r="D3643" s="2018"/>
      <c r="E3643" s="2018"/>
      <c r="F3643" s="2018"/>
      <c r="G3643" s="2018"/>
      <c r="H3643" s="2018"/>
      <c r="I3643" s="2018"/>
      <c r="J3643" s="2018"/>
      <c r="K3643" s="2018"/>
      <c r="L3643" s="2018"/>
      <c r="M3643" s="2018"/>
      <c r="N3643" s="2018"/>
      <c r="O3643" s="2018"/>
      <c r="P3643" s="2018"/>
      <c r="Q3643" s="2018"/>
      <c r="R3643" s="2018"/>
      <c r="S3643" s="2018"/>
      <c r="T3643" s="2018"/>
      <c r="U3643" s="2018"/>
      <c r="V3643" s="2018"/>
      <c r="W3643" s="2018"/>
      <c r="X3643" s="2018"/>
      <c r="Y3643" s="2018"/>
      <c r="Z3643" s="2021" t="s">
        <v>2473</v>
      </c>
      <c r="AA3643" s="2021"/>
      <c r="AB3643" s="1050"/>
      <c r="AC3643" s="1050"/>
      <c r="AD3643" s="1050"/>
      <c r="AE3643" s="1050">
        <v>1</v>
      </c>
      <c r="AF3643" s="1052">
        <f>+ROUND(AE3643,2)</f>
        <v>1</v>
      </c>
    </row>
    <row r="3644" spans="1:32" ht="15.6" customHeight="1" x14ac:dyDescent="0.25">
      <c r="A3644" s="2017"/>
      <c r="B3644" s="2018"/>
      <c r="C3644" s="2018"/>
      <c r="D3644" s="2018"/>
      <c r="E3644" s="2018"/>
      <c r="F3644" s="2018"/>
      <c r="G3644" s="2018"/>
      <c r="H3644" s="2018"/>
      <c r="I3644" s="2018"/>
      <c r="J3644" s="2018"/>
      <c r="K3644" s="2018"/>
      <c r="L3644" s="2018"/>
      <c r="M3644" s="2018"/>
      <c r="N3644" s="2018"/>
      <c r="O3644" s="2018"/>
      <c r="P3644" s="2018"/>
      <c r="Q3644" s="2018"/>
      <c r="R3644" s="2018"/>
      <c r="S3644" s="2018"/>
      <c r="T3644" s="2018"/>
      <c r="U3644" s="2018"/>
      <c r="V3644" s="2018"/>
      <c r="W3644" s="2018"/>
      <c r="X3644" s="2018"/>
      <c r="Y3644" s="2018"/>
      <c r="Z3644" s="2021"/>
      <c r="AA3644" s="2021"/>
      <c r="AB3644" s="1050"/>
      <c r="AC3644" s="1050"/>
      <c r="AD3644" s="1050"/>
      <c r="AE3644" s="1050"/>
      <c r="AF3644" s="1052"/>
    </row>
    <row r="3645" spans="1:32" ht="15.75" x14ac:dyDescent="0.25">
      <c r="A3645" s="2017"/>
      <c r="B3645" s="2018"/>
      <c r="C3645" s="2018"/>
      <c r="D3645" s="2018"/>
      <c r="E3645" s="2018"/>
      <c r="F3645" s="2018"/>
      <c r="G3645" s="2018"/>
      <c r="H3645" s="2018"/>
      <c r="I3645" s="2018"/>
      <c r="J3645" s="2018"/>
      <c r="K3645" s="2018"/>
      <c r="L3645" s="2018"/>
      <c r="M3645" s="2018"/>
      <c r="N3645" s="2018"/>
      <c r="O3645" s="2018"/>
      <c r="P3645" s="2018"/>
      <c r="Q3645" s="2018"/>
      <c r="R3645" s="2018"/>
      <c r="S3645" s="2018"/>
      <c r="T3645" s="2018"/>
      <c r="U3645" s="2018"/>
      <c r="V3645" s="2018"/>
      <c r="W3645" s="2018"/>
      <c r="X3645" s="2018"/>
      <c r="Y3645" s="2018"/>
      <c r="Z3645" s="2021"/>
      <c r="AA3645" s="2021"/>
      <c r="AB3645" s="1050"/>
      <c r="AC3645" s="1050"/>
      <c r="AD3645" s="1050"/>
      <c r="AE3645" s="1050"/>
      <c r="AF3645" s="1052"/>
    </row>
    <row r="3646" spans="1:32" ht="15.75" x14ac:dyDescent="0.25">
      <c r="A3646" s="2017"/>
      <c r="B3646" s="2018"/>
      <c r="C3646" s="2018"/>
      <c r="D3646" s="2018"/>
      <c r="E3646" s="2018"/>
      <c r="F3646" s="2018"/>
      <c r="G3646" s="2018"/>
      <c r="H3646" s="2018"/>
      <c r="I3646" s="2018"/>
      <c r="J3646" s="2018"/>
      <c r="K3646" s="2018"/>
      <c r="L3646" s="2018"/>
      <c r="M3646" s="2018"/>
      <c r="N3646" s="2018"/>
      <c r="O3646" s="2018"/>
      <c r="P3646" s="2018"/>
      <c r="Q3646" s="2018"/>
      <c r="R3646" s="2018"/>
      <c r="S3646" s="2018"/>
      <c r="T3646" s="2018"/>
      <c r="U3646" s="2018"/>
      <c r="V3646" s="2018"/>
      <c r="W3646" s="2018"/>
      <c r="X3646" s="2018"/>
      <c r="Y3646" s="2018"/>
      <c r="Z3646" s="2021"/>
      <c r="AA3646" s="2021"/>
      <c r="AB3646" s="1050"/>
      <c r="AC3646" s="1050"/>
      <c r="AD3646" s="1050"/>
      <c r="AE3646" s="1050"/>
      <c r="AF3646" s="1052"/>
    </row>
    <row r="3647" spans="1:32" ht="15.75" x14ac:dyDescent="0.25">
      <c r="A3647" s="2017"/>
      <c r="B3647" s="2018"/>
      <c r="C3647" s="2018"/>
      <c r="D3647" s="2018"/>
      <c r="E3647" s="2018"/>
      <c r="F3647" s="2018"/>
      <c r="G3647" s="2018"/>
      <c r="H3647" s="2018"/>
      <c r="I3647" s="2018"/>
      <c r="J3647" s="2018"/>
      <c r="K3647" s="2018"/>
      <c r="L3647" s="2018"/>
      <c r="M3647" s="2018"/>
      <c r="N3647" s="2018"/>
      <c r="O3647" s="2018"/>
      <c r="P3647" s="2018"/>
      <c r="Q3647" s="2018"/>
      <c r="R3647" s="2018"/>
      <c r="S3647" s="2018"/>
      <c r="T3647" s="2018"/>
      <c r="U3647" s="2018"/>
      <c r="V3647" s="2018"/>
      <c r="W3647" s="2018"/>
      <c r="X3647" s="2018"/>
      <c r="Y3647" s="2018"/>
      <c r="Z3647" s="2021"/>
      <c r="AA3647" s="2021"/>
      <c r="AB3647" s="1050"/>
      <c r="AC3647" s="1050"/>
      <c r="AD3647" s="1050"/>
      <c r="AE3647" s="1050"/>
      <c r="AF3647" s="1052"/>
    </row>
    <row r="3648" spans="1:32" ht="15.75" x14ac:dyDescent="0.25">
      <c r="A3648" s="2017"/>
      <c r="B3648" s="2018"/>
      <c r="C3648" s="2018"/>
      <c r="D3648" s="2018"/>
      <c r="E3648" s="2018"/>
      <c r="F3648" s="2018"/>
      <c r="G3648" s="2018"/>
      <c r="H3648" s="2018"/>
      <c r="I3648" s="2018"/>
      <c r="J3648" s="2018"/>
      <c r="K3648" s="2018"/>
      <c r="L3648" s="2018"/>
      <c r="M3648" s="2018"/>
      <c r="N3648" s="2018"/>
      <c r="O3648" s="2018"/>
      <c r="P3648" s="2018"/>
      <c r="Q3648" s="2018"/>
      <c r="R3648" s="2018"/>
      <c r="S3648" s="2018"/>
      <c r="T3648" s="2018"/>
      <c r="U3648" s="2018"/>
      <c r="V3648" s="2018"/>
      <c r="W3648" s="2018"/>
      <c r="X3648" s="2018"/>
      <c r="Y3648" s="2018"/>
      <c r="Z3648" s="2021"/>
      <c r="AA3648" s="2021"/>
      <c r="AB3648" s="1050"/>
      <c r="AC3648" s="1050"/>
      <c r="AD3648" s="1050"/>
      <c r="AE3648" s="1050"/>
      <c r="AF3648" s="1052"/>
    </row>
    <row r="3649" spans="1:32" ht="15.75" x14ac:dyDescent="0.25">
      <c r="A3649" s="2017"/>
      <c r="B3649" s="2018"/>
      <c r="C3649" s="2018"/>
      <c r="D3649" s="2018"/>
      <c r="E3649" s="2018"/>
      <c r="F3649" s="2018"/>
      <c r="G3649" s="2018"/>
      <c r="H3649" s="2018"/>
      <c r="I3649" s="2018"/>
      <c r="J3649" s="2018"/>
      <c r="K3649" s="2018"/>
      <c r="L3649" s="2018"/>
      <c r="M3649" s="2018"/>
      <c r="N3649" s="2018"/>
      <c r="O3649" s="2018"/>
      <c r="P3649" s="2018"/>
      <c r="Q3649" s="2018"/>
      <c r="R3649" s="2018"/>
      <c r="S3649" s="2018"/>
      <c r="T3649" s="2018"/>
      <c r="U3649" s="2018"/>
      <c r="V3649" s="2018"/>
      <c r="W3649" s="2018"/>
      <c r="X3649" s="2018"/>
      <c r="Y3649" s="2018"/>
      <c r="Z3649" s="2021"/>
      <c r="AA3649" s="2021"/>
      <c r="AB3649" s="1050"/>
      <c r="AC3649" s="1050"/>
      <c r="AD3649" s="1050"/>
      <c r="AE3649" s="1050"/>
      <c r="AF3649" s="1052"/>
    </row>
    <row r="3650" spans="1:32" ht="15.75" x14ac:dyDescent="0.25">
      <c r="A3650" s="2017"/>
      <c r="B3650" s="2018"/>
      <c r="C3650" s="2018"/>
      <c r="D3650" s="2018"/>
      <c r="E3650" s="2018"/>
      <c r="F3650" s="2018"/>
      <c r="G3650" s="2018"/>
      <c r="H3650" s="2018"/>
      <c r="I3650" s="2018"/>
      <c r="J3650" s="2018"/>
      <c r="K3650" s="2018"/>
      <c r="L3650" s="2018"/>
      <c r="M3650" s="2018"/>
      <c r="N3650" s="2018"/>
      <c r="O3650" s="2018"/>
      <c r="P3650" s="2018"/>
      <c r="Q3650" s="2018"/>
      <c r="R3650" s="2018"/>
      <c r="S3650" s="2018"/>
      <c r="T3650" s="2018"/>
      <c r="U3650" s="2018"/>
      <c r="V3650" s="2018"/>
      <c r="W3650" s="2018"/>
      <c r="X3650" s="2018"/>
      <c r="Y3650" s="2018"/>
      <c r="Z3650" s="2021"/>
      <c r="AA3650" s="2021"/>
      <c r="AB3650" s="1050"/>
      <c r="AC3650" s="1050"/>
      <c r="AD3650" s="1050"/>
      <c r="AE3650" s="1050"/>
      <c r="AF3650" s="1052"/>
    </row>
    <row r="3651" spans="1:32" ht="15.75" x14ac:dyDescent="0.25">
      <c r="A3651" s="2017"/>
      <c r="B3651" s="2018"/>
      <c r="C3651" s="2018"/>
      <c r="D3651" s="2018"/>
      <c r="E3651" s="2018"/>
      <c r="F3651" s="2018"/>
      <c r="G3651" s="2018"/>
      <c r="H3651" s="2018"/>
      <c r="I3651" s="2018"/>
      <c r="J3651" s="2018"/>
      <c r="K3651" s="2018"/>
      <c r="L3651" s="2018"/>
      <c r="M3651" s="2018"/>
      <c r="N3651" s="2018"/>
      <c r="O3651" s="2018"/>
      <c r="P3651" s="2018"/>
      <c r="Q3651" s="2018"/>
      <c r="R3651" s="2018"/>
      <c r="S3651" s="2018"/>
      <c r="T3651" s="2018"/>
      <c r="U3651" s="2018"/>
      <c r="V3651" s="2018"/>
      <c r="W3651" s="2018"/>
      <c r="X3651" s="2018"/>
      <c r="Y3651" s="2018"/>
      <c r="Z3651" s="2021"/>
      <c r="AA3651" s="2021"/>
      <c r="AB3651" s="1050"/>
      <c r="AC3651" s="1050"/>
      <c r="AD3651" s="1050"/>
      <c r="AE3651" s="1050"/>
      <c r="AF3651" s="1052"/>
    </row>
    <row r="3652" spans="1:32" ht="15.75" x14ac:dyDescent="0.25">
      <c r="A3652" s="2017"/>
      <c r="B3652" s="2018"/>
      <c r="C3652" s="2018"/>
      <c r="D3652" s="2018"/>
      <c r="E3652" s="2018"/>
      <c r="F3652" s="2018"/>
      <c r="G3652" s="2018"/>
      <c r="H3652" s="2018"/>
      <c r="I3652" s="2018"/>
      <c r="J3652" s="2018"/>
      <c r="K3652" s="2018"/>
      <c r="L3652" s="2018"/>
      <c r="M3652" s="2018"/>
      <c r="N3652" s="2018"/>
      <c r="O3652" s="2018"/>
      <c r="P3652" s="2018"/>
      <c r="Q3652" s="2018"/>
      <c r="R3652" s="2018"/>
      <c r="S3652" s="2018"/>
      <c r="T3652" s="2018"/>
      <c r="U3652" s="2018"/>
      <c r="V3652" s="2018"/>
      <c r="W3652" s="2018"/>
      <c r="X3652" s="2018"/>
      <c r="Y3652" s="2018"/>
      <c r="Z3652" s="2021"/>
      <c r="AA3652" s="2021"/>
      <c r="AB3652" s="1050"/>
      <c r="AC3652" s="1050"/>
      <c r="AD3652" s="1050"/>
      <c r="AE3652" s="1050"/>
      <c r="AF3652" s="1052"/>
    </row>
    <row r="3653" spans="1:32" ht="15.75" x14ac:dyDescent="0.25">
      <c r="A3653" s="2017"/>
      <c r="B3653" s="2018"/>
      <c r="C3653" s="2018"/>
      <c r="D3653" s="2018"/>
      <c r="E3653" s="2018"/>
      <c r="F3653" s="2018"/>
      <c r="G3653" s="2018"/>
      <c r="H3653" s="2018"/>
      <c r="I3653" s="2018"/>
      <c r="J3653" s="2018"/>
      <c r="K3653" s="2018"/>
      <c r="L3653" s="2018"/>
      <c r="M3653" s="2018"/>
      <c r="N3653" s="2018"/>
      <c r="O3653" s="2018"/>
      <c r="P3653" s="2018"/>
      <c r="Q3653" s="2018"/>
      <c r="R3653" s="2018"/>
      <c r="S3653" s="2018"/>
      <c r="T3653" s="2018"/>
      <c r="U3653" s="2018"/>
      <c r="V3653" s="2018"/>
      <c r="W3653" s="2018"/>
      <c r="X3653" s="2018"/>
      <c r="Y3653" s="2018"/>
      <c r="Z3653" s="2021"/>
      <c r="AA3653" s="2021"/>
      <c r="AB3653" s="1050"/>
      <c r="AC3653" s="1050"/>
      <c r="AD3653" s="1050"/>
      <c r="AE3653" s="1050"/>
      <c r="AF3653" s="1052"/>
    </row>
    <row r="3654" spans="1:32" ht="15.75" x14ac:dyDescent="0.25">
      <c r="A3654" s="2017"/>
      <c r="B3654" s="2018"/>
      <c r="C3654" s="2018"/>
      <c r="D3654" s="2018"/>
      <c r="E3654" s="2018"/>
      <c r="F3654" s="2018"/>
      <c r="G3654" s="2018"/>
      <c r="H3654" s="2018"/>
      <c r="I3654" s="2018"/>
      <c r="J3654" s="2018"/>
      <c r="K3654" s="2018"/>
      <c r="L3654" s="2018"/>
      <c r="M3654" s="2018"/>
      <c r="N3654" s="2018"/>
      <c r="O3654" s="2018"/>
      <c r="P3654" s="2018"/>
      <c r="Q3654" s="2018"/>
      <c r="R3654" s="2018"/>
      <c r="S3654" s="2018"/>
      <c r="T3654" s="2018"/>
      <c r="U3654" s="2018"/>
      <c r="V3654" s="2018"/>
      <c r="W3654" s="2018"/>
      <c r="X3654" s="2018"/>
      <c r="Y3654" s="2018"/>
      <c r="Z3654" s="2021"/>
      <c r="AA3654" s="2021"/>
      <c r="AB3654" s="1050"/>
      <c r="AC3654" s="1050"/>
      <c r="AD3654" s="1050"/>
      <c r="AE3654" s="1050"/>
      <c r="AF3654" s="1052"/>
    </row>
    <row r="3655" spans="1:32" ht="15.75" x14ac:dyDescent="0.25">
      <c r="A3655" s="2017"/>
      <c r="B3655" s="2018"/>
      <c r="C3655" s="2018"/>
      <c r="D3655" s="2018"/>
      <c r="E3655" s="2018"/>
      <c r="F3655" s="2018"/>
      <c r="G3655" s="2018"/>
      <c r="H3655" s="2018"/>
      <c r="I3655" s="2018"/>
      <c r="J3655" s="2018"/>
      <c r="K3655" s="2018"/>
      <c r="L3655" s="2018"/>
      <c r="M3655" s="2018"/>
      <c r="N3655" s="2018"/>
      <c r="O3655" s="2018"/>
      <c r="P3655" s="2018"/>
      <c r="Q3655" s="2018"/>
      <c r="R3655" s="2018"/>
      <c r="S3655" s="2018"/>
      <c r="T3655" s="2018"/>
      <c r="U3655" s="2018"/>
      <c r="V3655" s="2018"/>
      <c r="W3655" s="2018"/>
      <c r="X3655" s="2018"/>
      <c r="Y3655" s="2018"/>
      <c r="Z3655" s="2021"/>
      <c r="AA3655" s="2021"/>
      <c r="AB3655" s="1050"/>
      <c r="AC3655" s="1050"/>
      <c r="AD3655" s="1050"/>
      <c r="AE3655" s="1050"/>
      <c r="AF3655" s="1052"/>
    </row>
    <row r="3656" spans="1:32" ht="15.75" x14ac:dyDescent="0.25">
      <c r="A3656" s="2017"/>
      <c r="B3656" s="2018"/>
      <c r="C3656" s="2018"/>
      <c r="D3656" s="2018"/>
      <c r="E3656" s="2018"/>
      <c r="F3656" s="2018"/>
      <c r="G3656" s="2018"/>
      <c r="H3656" s="2018"/>
      <c r="I3656" s="2018"/>
      <c r="J3656" s="2018"/>
      <c r="K3656" s="2018"/>
      <c r="L3656" s="2018"/>
      <c r="M3656" s="2018"/>
      <c r="N3656" s="2018"/>
      <c r="O3656" s="2018"/>
      <c r="P3656" s="2018"/>
      <c r="Q3656" s="2018"/>
      <c r="R3656" s="2018"/>
      <c r="S3656" s="2018"/>
      <c r="T3656" s="2018"/>
      <c r="U3656" s="2018"/>
      <c r="V3656" s="2018"/>
      <c r="W3656" s="2018"/>
      <c r="X3656" s="2018"/>
      <c r="Y3656" s="2018"/>
      <c r="Z3656" s="2021"/>
      <c r="AA3656" s="2021"/>
      <c r="AB3656" s="1050"/>
      <c r="AC3656" s="1050"/>
      <c r="AD3656" s="1050"/>
      <c r="AE3656" s="1050"/>
      <c r="AF3656" s="1052"/>
    </row>
    <row r="3657" spans="1:32" ht="15.75" x14ac:dyDescent="0.25">
      <c r="A3657" s="2017"/>
      <c r="B3657" s="2018"/>
      <c r="C3657" s="2018"/>
      <c r="D3657" s="2018"/>
      <c r="E3657" s="2018"/>
      <c r="F3657" s="2018"/>
      <c r="G3657" s="2018"/>
      <c r="H3657" s="2018"/>
      <c r="I3657" s="2018"/>
      <c r="J3657" s="2018"/>
      <c r="K3657" s="2018"/>
      <c r="L3657" s="2018"/>
      <c r="M3657" s="2018"/>
      <c r="N3657" s="2018"/>
      <c r="O3657" s="2018"/>
      <c r="P3657" s="2018"/>
      <c r="Q3657" s="2018"/>
      <c r="R3657" s="2018"/>
      <c r="S3657" s="2018"/>
      <c r="T3657" s="2018"/>
      <c r="U3657" s="2018"/>
      <c r="V3657" s="2018"/>
      <c r="W3657" s="2018"/>
      <c r="X3657" s="2018"/>
      <c r="Y3657" s="2018"/>
      <c r="Z3657" s="2022"/>
      <c r="AA3657" s="2022"/>
      <c r="AB3657" s="1050"/>
      <c r="AC3657" s="1050"/>
      <c r="AD3657" s="1050"/>
      <c r="AE3657" s="1050"/>
      <c r="AF3657" s="1052"/>
    </row>
    <row r="3658" spans="1:32" ht="15.75" x14ac:dyDescent="0.25">
      <c r="A3658" s="2017"/>
      <c r="B3658" s="2018"/>
      <c r="C3658" s="2018"/>
      <c r="D3658" s="2018"/>
      <c r="E3658" s="2018"/>
      <c r="F3658" s="2018"/>
      <c r="G3658" s="2018"/>
      <c r="H3658" s="2018"/>
      <c r="I3658" s="2018"/>
      <c r="J3658" s="2018"/>
      <c r="K3658" s="2018"/>
      <c r="L3658" s="2018"/>
      <c r="M3658" s="2018"/>
      <c r="N3658" s="2018"/>
      <c r="O3658" s="2018"/>
      <c r="P3658" s="2018"/>
      <c r="Q3658" s="2018"/>
      <c r="R3658" s="2018"/>
      <c r="S3658" s="2018"/>
      <c r="T3658" s="2018"/>
      <c r="U3658" s="2018"/>
      <c r="V3658" s="2018"/>
      <c r="W3658" s="2018"/>
      <c r="X3658" s="2018"/>
      <c r="Y3658" s="2018"/>
      <c r="Z3658" s="2022"/>
      <c r="AA3658" s="2022"/>
      <c r="AB3658" s="1050"/>
      <c r="AC3658" s="1050"/>
      <c r="AD3658" s="1050"/>
      <c r="AE3658" s="1050"/>
      <c r="AF3658" s="1052"/>
    </row>
    <row r="3659" spans="1:32" ht="15.75" x14ac:dyDescent="0.25">
      <c r="A3659" s="2017"/>
      <c r="B3659" s="2018"/>
      <c r="C3659" s="2018"/>
      <c r="D3659" s="2018"/>
      <c r="E3659" s="2018"/>
      <c r="F3659" s="2018"/>
      <c r="G3659" s="2018"/>
      <c r="H3659" s="2018"/>
      <c r="I3659" s="2018"/>
      <c r="J3659" s="2018"/>
      <c r="K3659" s="2018"/>
      <c r="L3659" s="2018"/>
      <c r="M3659" s="2018"/>
      <c r="N3659" s="2018"/>
      <c r="O3659" s="2018"/>
      <c r="P3659" s="2018"/>
      <c r="Q3659" s="2018"/>
      <c r="R3659" s="2018"/>
      <c r="S3659" s="2018"/>
      <c r="T3659" s="2018"/>
      <c r="U3659" s="2018"/>
      <c r="V3659" s="2018"/>
      <c r="W3659" s="2018"/>
      <c r="X3659" s="2018"/>
      <c r="Y3659" s="2018"/>
      <c r="Z3659" s="2022"/>
      <c r="AA3659" s="2022"/>
      <c r="AB3659" s="1050"/>
      <c r="AC3659" s="1050"/>
      <c r="AD3659" s="1050"/>
      <c r="AE3659" s="1050"/>
      <c r="AF3659" s="1052"/>
    </row>
    <row r="3660" spans="1:32" ht="15.75" x14ac:dyDescent="0.25">
      <c r="A3660" s="2017"/>
      <c r="B3660" s="2018"/>
      <c r="C3660" s="2018"/>
      <c r="D3660" s="2018"/>
      <c r="E3660" s="2018"/>
      <c r="F3660" s="2018"/>
      <c r="G3660" s="2018"/>
      <c r="H3660" s="2018"/>
      <c r="I3660" s="2018"/>
      <c r="J3660" s="2018"/>
      <c r="K3660" s="2018"/>
      <c r="L3660" s="2018"/>
      <c r="M3660" s="2018"/>
      <c r="N3660" s="2018"/>
      <c r="O3660" s="2018"/>
      <c r="P3660" s="2018"/>
      <c r="Q3660" s="2018"/>
      <c r="R3660" s="2018"/>
      <c r="S3660" s="2018"/>
      <c r="T3660" s="2018"/>
      <c r="U3660" s="2018"/>
      <c r="V3660" s="2018"/>
      <c r="W3660" s="2018"/>
      <c r="X3660" s="2018"/>
      <c r="Y3660" s="2018"/>
      <c r="Z3660" s="2023"/>
      <c r="AA3660" s="2023"/>
      <c r="AB3660" s="1050"/>
      <c r="AC3660" s="1050"/>
      <c r="AD3660" s="1050"/>
      <c r="AE3660" s="1050"/>
      <c r="AF3660" s="1052"/>
    </row>
    <row r="3661" spans="1:32" ht="15.75" x14ac:dyDescent="0.25">
      <c r="A3661" s="2017"/>
      <c r="B3661" s="2018"/>
      <c r="C3661" s="2018"/>
      <c r="D3661" s="2018"/>
      <c r="E3661" s="2018"/>
      <c r="F3661" s="2018"/>
      <c r="G3661" s="2018"/>
      <c r="H3661" s="2018"/>
      <c r="I3661" s="2018"/>
      <c r="J3661" s="2018"/>
      <c r="K3661" s="2018"/>
      <c r="L3661" s="2018"/>
      <c r="M3661" s="2018"/>
      <c r="N3661" s="2018"/>
      <c r="O3661" s="2018"/>
      <c r="P3661" s="2018"/>
      <c r="Q3661" s="2018"/>
      <c r="R3661" s="2018"/>
      <c r="S3661" s="2018"/>
      <c r="T3661" s="2018"/>
      <c r="U3661" s="2018"/>
      <c r="V3661" s="2018"/>
      <c r="W3661" s="2018"/>
      <c r="X3661" s="2018"/>
      <c r="Y3661" s="2018"/>
      <c r="Z3661" s="2023"/>
      <c r="AA3661" s="2023"/>
      <c r="AB3661" s="1050"/>
      <c r="AC3661" s="1050"/>
      <c r="AD3661" s="1050"/>
      <c r="AE3661" s="1050"/>
      <c r="AF3661" s="1052"/>
    </row>
    <row r="3662" spans="1:32" ht="15.75" x14ac:dyDescent="0.25">
      <c r="A3662" s="2017"/>
      <c r="B3662" s="2018"/>
      <c r="C3662" s="2018"/>
      <c r="D3662" s="2018"/>
      <c r="E3662" s="2018"/>
      <c r="F3662" s="2018"/>
      <c r="G3662" s="2018"/>
      <c r="H3662" s="2018"/>
      <c r="I3662" s="2018"/>
      <c r="J3662" s="2018"/>
      <c r="K3662" s="2018"/>
      <c r="L3662" s="2018"/>
      <c r="M3662" s="2018"/>
      <c r="N3662" s="2018"/>
      <c r="O3662" s="2018"/>
      <c r="P3662" s="2018"/>
      <c r="Q3662" s="2018"/>
      <c r="R3662" s="2018"/>
      <c r="S3662" s="2018"/>
      <c r="T3662" s="2018"/>
      <c r="U3662" s="2018"/>
      <c r="V3662" s="2018"/>
      <c r="W3662" s="2018"/>
      <c r="X3662" s="2018"/>
      <c r="Y3662" s="2018"/>
      <c r="Z3662" s="2023"/>
      <c r="AA3662" s="2023"/>
      <c r="AB3662" s="1050"/>
      <c r="AC3662" s="1050"/>
      <c r="AD3662" s="1050"/>
      <c r="AE3662" s="1050"/>
      <c r="AF3662" s="1052"/>
    </row>
    <row r="3663" spans="1:32" ht="15.75" x14ac:dyDescent="0.25">
      <c r="A3663" s="2017"/>
      <c r="B3663" s="2018"/>
      <c r="C3663" s="2018"/>
      <c r="D3663" s="2018"/>
      <c r="E3663" s="2018"/>
      <c r="F3663" s="2018"/>
      <c r="G3663" s="2018"/>
      <c r="H3663" s="2018"/>
      <c r="I3663" s="2018"/>
      <c r="J3663" s="2018"/>
      <c r="K3663" s="2018"/>
      <c r="L3663" s="2018"/>
      <c r="M3663" s="2018"/>
      <c r="N3663" s="2018"/>
      <c r="O3663" s="2018"/>
      <c r="P3663" s="2018"/>
      <c r="Q3663" s="2018"/>
      <c r="R3663" s="2018"/>
      <c r="S3663" s="2018"/>
      <c r="T3663" s="2018"/>
      <c r="U3663" s="2018"/>
      <c r="V3663" s="2018"/>
      <c r="W3663" s="2018"/>
      <c r="X3663" s="2018"/>
      <c r="Y3663" s="2018"/>
      <c r="Z3663" s="2023"/>
      <c r="AA3663" s="2023"/>
      <c r="AB3663" s="1050"/>
      <c r="AC3663" s="1050"/>
      <c r="AD3663" s="1050"/>
      <c r="AE3663" s="1050"/>
      <c r="AF3663" s="1052"/>
    </row>
    <row r="3664" spans="1:32" ht="15.75" x14ac:dyDescent="0.25">
      <c r="A3664" s="2017"/>
      <c r="B3664" s="2018"/>
      <c r="C3664" s="2018"/>
      <c r="D3664" s="2018"/>
      <c r="E3664" s="2018"/>
      <c r="F3664" s="2018"/>
      <c r="G3664" s="2018"/>
      <c r="H3664" s="2018"/>
      <c r="I3664" s="2018"/>
      <c r="J3664" s="2018"/>
      <c r="K3664" s="2018"/>
      <c r="L3664" s="2018"/>
      <c r="M3664" s="2018"/>
      <c r="N3664" s="2018"/>
      <c r="O3664" s="2018"/>
      <c r="P3664" s="2018"/>
      <c r="Q3664" s="2018"/>
      <c r="R3664" s="2018"/>
      <c r="S3664" s="2018"/>
      <c r="T3664" s="2018"/>
      <c r="U3664" s="2018"/>
      <c r="V3664" s="2018"/>
      <c r="W3664" s="2018"/>
      <c r="X3664" s="2018"/>
      <c r="Y3664" s="2018"/>
      <c r="Z3664" s="2023"/>
      <c r="AA3664" s="2023"/>
      <c r="AB3664" s="1050"/>
      <c r="AC3664" s="1050"/>
      <c r="AD3664" s="1050"/>
      <c r="AE3664" s="1050"/>
      <c r="AF3664" s="1052"/>
    </row>
    <row r="3665" spans="1:32" ht="15.75" x14ac:dyDescent="0.25">
      <c r="A3665" s="2017"/>
      <c r="B3665" s="2018"/>
      <c r="C3665" s="2018"/>
      <c r="D3665" s="2018"/>
      <c r="E3665" s="2018"/>
      <c r="F3665" s="2018"/>
      <c r="G3665" s="2018"/>
      <c r="H3665" s="2018"/>
      <c r="I3665" s="2018"/>
      <c r="J3665" s="2018"/>
      <c r="K3665" s="2018"/>
      <c r="L3665" s="2018"/>
      <c r="M3665" s="2018"/>
      <c r="N3665" s="2018"/>
      <c r="O3665" s="2018"/>
      <c r="P3665" s="2018"/>
      <c r="Q3665" s="2018"/>
      <c r="R3665" s="2018"/>
      <c r="S3665" s="2018"/>
      <c r="T3665" s="2018"/>
      <c r="U3665" s="2018"/>
      <c r="V3665" s="2018"/>
      <c r="W3665" s="2018"/>
      <c r="X3665" s="2018"/>
      <c r="Y3665" s="2018"/>
      <c r="Z3665" s="2023"/>
      <c r="AA3665" s="2023"/>
      <c r="AB3665" s="1050"/>
      <c r="AC3665" s="1050"/>
      <c r="AD3665" s="1050"/>
      <c r="AE3665" s="1050"/>
      <c r="AF3665" s="1052"/>
    </row>
    <row r="3666" spans="1:32" ht="16.5" thickBot="1" x14ac:dyDescent="0.3">
      <c r="A3666" s="2019"/>
      <c r="B3666" s="2020"/>
      <c r="C3666" s="2020"/>
      <c r="D3666" s="2020"/>
      <c r="E3666" s="2020"/>
      <c r="F3666" s="2020"/>
      <c r="G3666" s="2020"/>
      <c r="H3666" s="2020"/>
      <c r="I3666" s="2020"/>
      <c r="J3666" s="2020"/>
      <c r="K3666" s="2020"/>
      <c r="L3666" s="2020"/>
      <c r="M3666" s="2020"/>
      <c r="N3666" s="2020"/>
      <c r="O3666" s="2020"/>
      <c r="P3666" s="2020"/>
      <c r="Q3666" s="2020"/>
      <c r="R3666" s="2020"/>
      <c r="S3666" s="2020"/>
      <c r="T3666" s="2020"/>
      <c r="U3666" s="2020"/>
      <c r="V3666" s="2020"/>
      <c r="W3666" s="2020"/>
      <c r="X3666" s="2020"/>
      <c r="Y3666" s="2020"/>
      <c r="Z3666" s="2024"/>
      <c r="AA3666" s="2024"/>
      <c r="AB3666" s="1057"/>
      <c r="AC3666" s="1057"/>
      <c r="AD3666" s="1057"/>
      <c r="AE3666" s="1057"/>
      <c r="AF3666" s="1058"/>
    </row>
    <row r="3667" spans="1:32" ht="15.75" x14ac:dyDescent="0.25">
      <c r="A3667" s="2009" t="s">
        <v>2158</v>
      </c>
      <c r="B3667" s="2010"/>
      <c r="C3667" s="2010"/>
      <c r="D3667" s="2010"/>
      <c r="E3667" s="2010"/>
      <c r="F3667" s="2010"/>
      <c r="G3667" s="2010"/>
      <c r="H3667" s="2010"/>
      <c r="I3667" s="2010"/>
      <c r="J3667" s="2010"/>
      <c r="K3667" s="2010"/>
      <c r="L3667" s="2010"/>
      <c r="M3667" s="2010"/>
      <c r="N3667" s="2010"/>
      <c r="O3667" s="2010"/>
      <c r="P3667" s="2010"/>
      <c r="Q3667" s="2010"/>
      <c r="R3667" s="2010"/>
      <c r="S3667" s="2010"/>
      <c r="T3667" s="2010"/>
      <c r="U3667" s="2010"/>
      <c r="V3667" s="2010"/>
      <c r="W3667" s="2010"/>
      <c r="X3667" s="2010"/>
      <c r="Y3667" s="2010"/>
      <c r="Z3667" s="2013" t="s">
        <v>1850</v>
      </c>
      <c r="AA3667" s="2013"/>
      <c r="AB3667" s="2013"/>
      <c r="AC3667" s="2013"/>
      <c r="AD3667" s="2013"/>
      <c r="AE3667" s="2013"/>
      <c r="AF3667" s="1059">
        <f>SUM(AF3643:AF3666)</f>
        <v>1</v>
      </c>
    </row>
    <row r="3668" spans="1:32" ht="15.75" x14ac:dyDescent="0.25">
      <c r="A3668" s="2011"/>
      <c r="B3668" s="2012"/>
      <c r="C3668" s="2012"/>
      <c r="D3668" s="2012"/>
      <c r="E3668" s="2012"/>
      <c r="F3668" s="2012"/>
      <c r="G3668" s="2012"/>
      <c r="H3668" s="2012"/>
      <c r="I3668" s="2012"/>
      <c r="J3668" s="2012"/>
      <c r="K3668" s="2012"/>
      <c r="L3668" s="2012"/>
      <c r="M3668" s="2012"/>
      <c r="N3668" s="2012"/>
      <c r="O3668" s="2012"/>
      <c r="P3668" s="2012"/>
      <c r="Q3668" s="2012"/>
      <c r="R3668" s="2012"/>
      <c r="S3668" s="2012"/>
      <c r="T3668" s="2012"/>
      <c r="U3668" s="2012"/>
      <c r="V3668" s="2012"/>
      <c r="W3668" s="2012"/>
      <c r="X3668" s="2012"/>
      <c r="Y3668" s="2012"/>
      <c r="Z3668" s="2014" t="s">
        <v>1851</v>
      </c>
      <c r="AA3668" s="2014"/>
      <c r="AB3668" s="2014"/>
      <c r="AC3668" s="2014"/>
      <c r="AD3668" s="2014"/>
      <c r="AE3668" s="2014"/>
      <c r="AF3668" s="1060">
        <v>0</v>
      </c>
    </row>
    <row r="3669" spans="1:32" ht="15.75" x14ac:dyDescent="0.25">
      <c r="A3669" s="2011"/>
      <c r="B3669" s="2012"/>
      <c r="C3669" s="2012"/>
      <c r="D3669" s="2012"/>
      <c r="E3669" s="2012"/>
      <c r="F3669" s="2012"/>
      <c r="G3669" s="2012"/>
      <c r="H3669" s="2012"/>
      <c r="I3669" s="2012"/>
      <c r="J3669" s="2012"/>
      <c r="K3669" s="2012"/>
      <c r="L3669" s="2012"/>
      <c r="M3669" s="2012"/>
      <c r="N3669" s="2012"/>
      <c r="O3669" s="2012"/>
      <c r="P3669" s="2012"/>
      <c r="Q3669" s="2012"/>
      <c r="R3669" s="2012"/>
      <c r="S3669" s="2012"/>
      <c r="T3669" s="2012"/>
      <c r="U3669" s="2012"/>
      <c r="V3669" s="2012"/>
      <c r="W3669" s="2012"/>
      <c r="X3669" s="2012"/>
      <c r="Y3669" s="2012"/>
      <c r="Z3669" s="2015" t="s">
        <v>1833</v>
      </c>
      <c r="AA3669" s="2015"/>
      <c r="AB3669" s="2015"/>
      <c r="AC3669" s="2015"/>
      <c r="AD3669" s="2015"/>
      <c r="AE3669" s="2015"/>
      <c r="AF3669" s="1061">
        <f>SUM(AF3667:AF3668)</f>
        <v>1</v>
      </c>
    </row>
    <row r="3670" spans="1:32" x14ac:dyDescent="0.2">
      <c r="A3670" s="2012" t="s">
        <v>1859</v>
      </c>
      <c r="B3670" s="2012"/>
      <c r="C3670" s="2012"/>
      <c r="D3670" s="2012"/>
      <c r="E3670" s="2012"/>
      <c r="F3670" s="2012"/>
      <c r="G3670" s="2012"/>
      <c r="H3670" s="2012"/>
      <c r="I3670" s="2012"/>
      <c r="J3670" s="2012"/>
      <c r="K3670" s="2012"/>
      <c r="L3670" s="2012"/>
      <c r="M3670" s="2012"/>
      <c r="N3670" s="2012"/>
      <c r="O3670" s="2012"/>
      <c r="P3670" s="2012"/>
      <c r="Q3670" s="2012"/>
      <c r="R3670" s="2012"/>
      <c r="S3670" s="2012"/>
      <c r="T3670" s="2016" t="s">
        <v>1840</v>
      </c>
      <c r="U3670" s="2016"/>
      <c r="V3670" s="2016"/>
      <c r="W3670" s="2016"/>
      <c r="X3670" s="2016"/>
      <c r="Y3670" s="2016"/>
      <c r="Z3670" s="2016"/>
      <c r="AA3670" s="2016"/>
      <c r="AB3670" s="2012" t="s">
        <v>1852</v>
      </c>
      <c r="AC3670" s="2012"/>
      <c r="AD3670" s="2012"/>
      <c r="AE3670" s="2012"/>
      <c r="AF3670" s="2012"/>
    </row>
    <row r="3671" spans="1:32" x14ac:dyDescent="0.2">
      <c r="A3671" s="2012"/>
      <c r="B3671" s="2012"/>
      <c r="C3671" s="2012"/>
      <c r="D3671" s="2012"/>
      <c r="E3671" s="2012"/>
      <c r="F3671" s="2012"/>
      <c r="G3671" s="2012"/>
      <c r="H3671" s="2012"/>
      <c r="I3671" s="2012"/>
      <c r="J3671" s="2012"/>
      <c r="K3671" s="2012"/>
      <c r="L3671" s="2012"/>
      <c r="M3671" s="2012"/>
      <c r="N3671" s="2012"/>
      <c r="O3671" s="2012"/>
      <c r="P3671" s="2012"/>
      <c r="Q3671" s="2012"/>
      <c r="R3671" s="2012"/>
      <c r="S3671" s="2012"/>
      <c r="T3671" s="2016"/>
      <c r="U3671" s="2016"/>
      <c r="V3671" s="2016"/>
      <c r="W3671" s="2016"/>
      <c r="X3671" s="2016"/>
      <c r="Y3671" s="2016"/>
      <c r="Z3671" s="2016"/>
      <c r="AA3671" s="2016"/>
      <c r="AB3671" s="2012"/>
      <c r="AC3671" s="2012"/>
      <c r="AD3671" s="2012"/>
      <c r="AE3671" s="2012"/>
      <c r="AF3671" s="2012"/>
    </row>
    <row r="3672" spans="1:32" ht="13.5" thickBot="1" x14ac:dyDescent="0.25"/>
    <row r="3673" spans="1:32" ht="26.45" customHeight="1" x14ac:dyDescent="0.2">
      <c r="A3673" s="2025" t="s">
        <v>1854</v>
      </c>
      <c r="B3673" s="2026"/>
      <c r="C3673" s="2026"/>
      <c r="D3673" s="2026"/>
      <c r="E3673" s="2026"/>
      <c r="F3673" s="2026"/>
      <c r="G3673" s="2026"/>
      <c r="H3673" s="2026"/>
      <c r="I3673" s="2026"/>
      <c r="J3673" s="2026"/>
      <c r="K3673" s="2026"/>
      <c r="L3673" s="2026"/>
      <c r="M3673" s="2026"/>
      <c r="N3673" s="2026"/>
      <c r="O3673" s="2026"/>
      <c r="P3673" s="2026"/>
      <c r="Q3673" s="2026"/>
      <c r="R3673" s="2026"/>
      <c r="S3673" s="2026"/>
      <c r="T3673" s="2026"/>
      <c r="U3673" s="2026"/>
      <c r="V3673" s="2026"/>
      <c r="W3673" s="2026"/>
      <c r="X3673" s="2026"/>
      <c r="Y3673" s="2026"/>
      <c r="Z3673" s="2026"/>
      <c r="AA3673" s="2026"/>
      <c r="AB3673" s="2026"/>
      <c r="AC3673" s="2026"/>
      <c r="AD3673" s="2026"/>
      <c r="AE3673" s="1041" t="s">
        <v>1834</v>
      </c>
      <c r="AF3673" s="1042" t="s">
        <v>1835</v>
      </c>
    </row>
    <row r="3674" spans="1:32" ht="21" customHeight="1" thickBot="1" x14ac:dyDescent="0.25">
      <c r="A3674" s="2027"/>
      <c r="B3674" s="2028"/>
      <c r="C3674" s="2028"/>
      <c r="D3674" s="2028"/>
      <c r="E3674" s="2028"/>
      <c r="F3674" s="2028"/>
      <c r="G3674" s="2028"/>
      <c r="H3674" s="2028"/>
      <c r="I3674" s="2028"/>
      <c r="J3674" s="2028"/>
      <c r="K3674" s="2028"/>
      <c r="L3674" s="2028"/>
      <c r="M3674" s="2028"/>
      <c r="N3674" s="2028"/>
      <c r="O3674" s="2028"/>
      <c r="P3674" s="2028"/>
      <c r="Q3674" s="2028"/>
      <c r="R3674" s="2028"/>
      <c r="S3674" s="2028"/>
      <c r="T3674" s="2028"/>
      <c r="U3674" s="2028"/>
      <c r="V3674" s="2028"/>
      <c r="W3674" s="2028"/>
      <c r="X3674" s="2028"/>
      <c r="Y3674" s="2028"/>
      <c r="Z3674" s="2028"/>
      <c r="AA3674" s="2028"/>
      <c r="AB3674" s="2028"/>
      <c r="AC3674" s="2028"/>
      <c r="AD3674" s="2028"/>
      <c r="AE3674" s="1041" t="s">
        <v>1836</v>
      </c>
      <c r="AF3674" s="1044">
        <v>1</v>
      </c>
    </row>
    <row r="3675" spans="1:32" ht="15.75" x14ac:dyDescent="0.2">
      <c r="A3675" s="2029"/>
      <c r="B3675" s="2030"/>
      <c r="C3675" s="2030"/>
      <c r="D3675" s="2031"/>
      <c r="E3675" s="2025" t="str">
        <f>'01'!$A$12</f>
        <v>"CONSTRUCCION SISTEMA DE ACUEDUCTO FASE II DEL MUNICIPIO DE TESALIA DPTO DEL HUILA"</v>
      </c>
      <c r="F3675" s="2026"/>
      <c r="G3675" s="2026"/>
      <c r="H3675" s="2026"/>
      <c r="I3675" s="2026"/>
      <c r="J3675" s="2026"/>
      <c r="K3675" s="2026"/>
      <c r="L3675" s="2026"/>
      <c r="M3675" s="2026"/>
      <c r="N3675" s="2026"/>
      <c r="O3675" s="2026"/>
      <c r="P3675" s="2026"/>
      <c r="Q3675" s="2026"/>
      <c r="R3675" s="2026"/>
      <c r="S3675" s="2026"/>
      <c r="T3675" s="2026"/>
      <c r="U3675" s="2026"/>
      <c r="V3675" s="2026"/>
      <c r="W3675" s="2026"/>
      <c r="X3675" s="2026"/>
      <c r="Y3675" s="2026"/>
      <c r="Z3675" s="2026"/>
      <c r="AA3675" s="2026"/>
      <c r="AB3675" s="2026"/>
      <c r="AC3675" s="2026"/>
      <c r="AD3675" s="2035"/>
      <c r="AE3675" s="1041" t="s">
        <v>847</v>
      </c>
      <c r="AF3675" s="1045">
        <f>'01'!$M$13</f>
        <v>0</v>
      </c>
    </row>
    <row r="3676" spans="1:32" ht="16.5" thickBot="1" x14ac:dyDescent="0.25">
      <c r="A3676" s="2032"/>
      <c r="B3676" s="2033"/>
      <c r="C3676" s="2033"/>
      <c r="D3676" s="2034"/>
      <c r="E3676" s="2027"/>
      <c r="F3676" s="2028"/>
      <c r="G3676" s="2028"/>
      <c r="H3676" s="2028"/>
      <c r="I3676" s="2028"/>
      <c r="J3676" s="2028"/>
      <c r="K3676" s="2028"/>
      <c r="L3676" s="2028"/>
      <c r="M3676" s="2028"/>
      <c r="N3676" s="2028"/>
      <c r="O3676" s="2028"/>
      <c r="P3676" s="2028"/>
      <c r="Q3676" s="2028"/>
      <c r="R3676" s="2028"/>
      <c r="S3676" s="2028"/>
      <c r="T3676" s="2028"/>
      <c r="U3676" s="2028"/>
      <c r="V3676" s="2028"/>
      <c r="W3676" s="2028"/>
      <c r="X3676" s="2028"/>
      <c r="Y3676" s="2028"/>
      <c r="Z3676" s="2028"/>
      <c r="AA3676" s="2028"/>
      <c r="AB3676" s="2028"/>
      <c r="AC3676" s="2028"/>
      <c r="AD3676" s="2036"/>
      <c r="AE3676" s="1041" t="s">
        <v>1837</v>
      </c>
      <c r="AF3676" s="1042" t="s">
        <v>1838</v>
      </c>
    </row>
    <row r="3677" spans="1:32" ht="15.75" x14ac:dyDescent="0.25">
      <c r="A3677" s="2037" t="s">
        <v>1860</v>
      </c>
      <c r="B3677" s="2038"/>
      <c r="C3677" s="2038"/>
      <c r="D3677" s="2038"/>
      <c r="E3677" s="2038"/>
      <c r="F3677" s="2038"/>
      <c r="G3677" s="2038"/>
      <c r="H3677" s="2038"/>
      <c r="I3677" s="2038"/>
      <c r="J3677" s="2038"/>
      <c r="K3677" s="2038"/>
      <c r="L3677" s="2038"/>
      <c r="M3677" s="2038"/>
      <c r="N3677" s="2038"/>
      <c r="O3677" s="2038"/>
      <c r="P3677" s="2038"/>
      <c r="Q3677" s="2038"/>
      <c r="R3677" s="2038"/>
      <c r="S3677" s="2038"/>
      <c r="T3677" s="2038"/>
      <c r="U3677" s="2038"/>
      <c r="V3677" s="2038"/>
      <c r="W3677" s="2038"/>
      <c r="X3677" s="2038"/>
      <c r="Y3677" s="2038"/>
      <c r="Z3677" s="2038"/>
      <c r="AA3677" s="2038"/>
      <c r="AB3677" s="2038"/>
      <c r="AC3677" s="2038"/>
      <c r="AD3677" s="2038"/>
      <c r="AE3677" s="2039" t="s">
        <v>1839</v>
      </c>
      <c r="AF3677" s="2040"/>
    </row>
    <row r="3678" spans="1:32" ht="15.75" x14ac:dyDescent="0.25">
      <c r="A3678" s="2041" t="s">
        <v>1840</v>
      </c>
      <c r="B3678" s="2042"/>
      <c r="C3678" s="2042"/>
      <c r="D3678" s="2042"/>
      <c r="E3678" s="2042"/>
      <c r="F3678" s="2042"/>
      <c r="G3678" s="2042"/>
      <c r="H3678" s="2042"/>
      <c r="I3678" s="2042"/>
      <c r="J3678" s="2042"/>
      <c r="K3678" s="2042"/>
      <c r="L3678" s="2042"/>
      <c r="M3678" s="2042"/>
      <c r="N3678" s="2042"/>
      <c r="O3678" s="2042"/>
      <c r="P3678" s="2042"/>
      <c r="Q3678" s="2042"/>
      <c r="R3678" s="2042"/>
      <c r="S3678" s="2042"/>
      <c r="T3678" s="2042"/>
      <c r="U3678" s="2042"/>
      <c r="V3678" s="2042"/>
      <c r="W3678" s="2042"/>
      <c r="X3678" s="2042"/>
      <c r="Y3678" s="2042"/>
      <c r="Z3678" s="2042"/>
      <c r="AA3678" s="2042"/>
      <c r="AB3678" s="2042"/>
      <c r="AC3678" s="2042"/>
      <c r="AD3678" s="2043"/>
      <c r="AE3678" s="2014" t="s">
        <v>1841</v>
      </c>
      <c r="AF3678" s="2044"/>
    </row>
    <row r="3679" spans="1:32" ht="15.75" x14ac:dyDescent="0.25">
      <c r="A3679" s="2045" t="s">
        <v>1853</v>
      </c>
      <c r="B3679" s="2046"/>
      <c r="C3679" s="2046"/>
      <c r="D3679" s="2046"/>
      <c r="E3679" s="2046"/>
      <c r="F3679" s="2046"/>
      <c r="G3679" s="2046"/>
      <c r="H3679" s="2046"/>
      <c r="I3679" s="2046"/>
      <c r="J3679" s="2046"/>
      <c r="K3679" s="2046"/>
      <c r="L3679" s="2046"/>
      <c r="M3679" s="2046"/>
      <c r="N3679" s="2046"/>
      <c r="O3679" s="2046"/>
      <c r="P3679" s="2046"/>
      <c r="Q3679" s="2046"/>
      <c r="R3679" s="2046"/>
      <c r="S3679" s="2046"/>
      <c r="T3679" s="2046"/>
      <c r="U3679" s="2046"/>
      <c r="V3679" s="2046"/>
      <c r="W3679" s="2046"/>
      <c r="X3679" s="2046"/>
      <c r="Y3679" s="2046"/>
      <c r="Z3679" s="2046"/>
      <c r="AA3679" s="2046"/>
      <c r="AB3679" s="2046"/>
      <c r="AC3679" s="2046"/>
      <c r="AD3679" s="2046"/>
      <c r="AE3679" s="2047">
        <f>'01'!$M$13</f>
        <v>0</v>
      </c>
      <c r="AF3679" s="2044"/>
    </row>
    <row r="3680" spans="1:32" x14ac:dyDescent="0.2">
      <c r="A3680" s="1046"/>
      <c r="B3680" s="1047"/>
      <c r="C3680" s="1047"/>
      <c r="D3680" s="1047"/>
      <c r="E3680" s="1047"/>
      <c r="F3680" s="1047"/>
      <c r="G3680" s="1047"/>
      <c r="H3680" s="1047"/>
      <c r="I3680" s="1047"/>
      <c r="J3680" s="1047"/>
      <c r="K3680" s="1047"/>
      <c r="L3680" s="1047"/>
      <c r="M3680" s="1047"/>
      <c r="N3680" s="1047"/>
      <c r="O3680" s="1047"/>
      <c r="P3680" s="1047"/>
      <c r="Q3680" s="1047"/>
      <c r="R3680" s="1047"/>
      <c r="S3680" s="1047"/>
      <c r="T3680" s="1047"/>
      <c r="U3680" s="1047"/>
      <c r="V3680" s="1047"/>
      <c r="W3680" s="1047"/>
      <c r="X3680" s="1047"/>
      <c r="Y3680" s="1047"/>
      <c r="Z3680" s="1047"/>
      <c r="AA3680" s="1047"/>
      <c r="AB3680" s="1047"/>
      <c r="AC3680" s="1047"/>
      <c r="AD3680" s="1047"/>
      <c r="AE3680" s="1047"/>
      <c r="AF3680" s="1048"/>
    </row>
    <row r="3681" spans="1:32" ht="30" customHeight="1" x14ac:dyDescent="0.2">
      <c r="A3681" s="2048" t="s">
        <v>1842</v>
      </c>
      <c r="B3681" s="2049"/>
      <c r="C3681" s="2049"/>
      <c r="D3681" s="2049"/>
      <c r="E3681" s="2049"/>
      <c r="F3681" s="2050" t="str">
        <f>+'01'!$H$130</f>
        <v>E - ESPESADOR GRAVIMÉTRICO</v>
      </c>
      <c r="G3681" s="2049"/>
      <c r="H3681" s="2049"/>
      <c r="I3681" s="2049"/>
      <c r="J3681" s="2049"/>
      <c r="K3681" s="2049"/>
      <c r="L3681" s="2049"/>
      <c r="M3681" s="2049"/>
      <c r="N3681" s="2049"/>
      <c r="O3681" s="2049"/>
      <c r="P3681" s="2049"/>
      <c r="Q3681" s="2049"/>
      <c r="R3681" s="2049"/>
      <c r="S3681" s="2049"/>
      <c r="T3681" s="2049"/>
      <c r="U3681" s="2049"/>
      <c r="V3681" s="2049"/>
      <c r="W3681" s="2049"/>
      <c r="X3681" s="2049"/>
      <c r="Y3681" s="2051"/>
      <c r="Z3681" s="2052" t="s">
        <v>1843</v>
      </c>
      <c r="AA3681" s="2053"/>
      <c r="AB3681" s="2058" t="s">
        <v>1844</v>
      </c>
      <c r="AC3681" s="2059"/>
      <c r="AD3681" s="2060"/>
      <c r="AE3681" s="2064" t="s">
        <v>1845</v>
      </c>
      <c r="AF3681" s="2067" t="s">
        <v>1846</v>
      </c>
    </row>
    <row r="3682" spans="1:32" ht="15" customHeight="1" x14ac:dyDescent="0.2">
      <c r="A3682" s="2070" t="str">
        <f>+'01'!A157</f>
        <v>E-08-05</v>
      </c>
      <c r="B3682" s="2071"/>
      <c r="C3682" s="2072"/>
      <c r="D3682" s="2076" t="str">
        <f>VLOOKUP(A3682,'01'!$A$12:$N$299,3,FALSE)</f>
        <v xml:space="preserve"> SUMINISTRO E INSTALACION VALVULA DE COMPUERTA ELASTICA VASTAGO NO ASCENDENTE EXTREMO BRIDADO PARA PVC DIAMETRO 4".</v>
      </c>
      <c r="E3682" s="2077"/>
      <c r="F3682" s="2077"/>
      <c r="G3682" s="2077"/>
      <c r="H3682" s="2077"/>
      <c r="I3682" s="2077"/>
      <c r="J3682" s="2077"/>
      <c r="K3682" s="2077"/>
      <c r="L3682" s="2077"/>
      <c r="M3682" s="2077"/>
      <c r="N3682" s="2077"/>
      <c r="O3682" s="2077"/>
      <c r="P3682" s="2077"/>
      <c r="Q3682" s="2077"/>
      <c r="R3682" s="2077"/>
      <c r="S3682" s="2078"/>
      <c r="T3682" s="2082" t="s">
        <v>124</v>
      </c>
      <c r="U3682" s="2083"/>
      <c r="V3682" s="2083"/>
      <c r="W3682" s="2083"/>
      <c r="X3682" s="2052" t="str">
        <f>VLOOKUP(A3682,'01'!$A$12:$N$299,9,FALSE)</f>
        <v>UND</v>
      </c>
      <c r="Y3682" s="2053"/>
      <c r="Z3682" s="2054"/>
      <c r="AA3682" s="2055"/>
      <c r="AB3682" s="2061"/>
      <c r="AC3682" s="2062"/>
      <c r="AD3682" s="2063"/>
      <c r="AE3682" s="2065"/>
      <c r="AF3682" s="2068"/>
    </row>
    <row r="3683" spans="1:32" ht="30" customHeight="1" x14ac:dyDescent="0.25">
      <c r="A3683" s="2073"/>
      <c r="B3683" s="2074"/>
      <c r="C3683" s="2075"/>
      <c r="D3683" s="2079"/>
      <c r="E3683" s="2080"/>
      <c r="F3683" s="2080"/>
      <c r="G3683" s="2080"/>
      <c r="H3683" s="2080"/>
      <c r="I3683" s="2080"/>
      <c r="J3683" s="2080"/>
      <c r="K3683" s="2080"/>
      <c r="L3683" s="2080"/>
      <c r="M3683" s="2080"/>
      <c r="N3683" s="2080"/>
      <c r="O3683" s="2080"/>
      <c r="P3683" s="2080"/>
      <c r="Q3683" s="2080"/>
      <c r="R3683" s="2080"/>
      <c r="S3683" s="2081"/>
      <c r="T3683" s="2084"/>
      <c r="U3683" s="2085"/>
      <c r="V3683" s="2085"/>
      <c r="W3683" s="2085"/>
      <c r="X3683" s="2056"/>
      <c r="Y3683" s="2057"/>
      <c r="Z3683" s="2056"/>
      <c r="AA3683" s="2057"/>
      <c r="AB3683" s="1049" t="s">
        <v>1847</v>
      </c>
      <c r="AC3683" s="1049" t="s">
        <v>1848</v>
      </c>
      <c r="AD3683" s="1049" t="s">
        <v>1861</v>
      </c>
      <c r="AE3683" s="2066"/>
      <c r="AF3683" s="2069"/>
    </row>
    <row r="3684" spans="1:32" ht="15.6" customHeight="1" x14ac:dyDescent="0.25">
      <c r="A3684" s="2017"/>
      <c r="B3684" s="2018"/>
      <c r="C3684" s="2018"/>
      <c r="D3684" s="2018"/>
      <c r="E3684" s="2018"/>
      <c r="F3684" s="2018"/>
      <c r="G3684" s="2018"/>
      <c r="H3684" s="2018"/>
      <c r="I3684" s="2018"/>
      <c r="J3684" s="2018"/>
      <c r="K3684" s="2018"/>
      <c r="L3684" s="2018"/>
      <c r="M3684" s="2018"/>
      <c r="N3684" s="2018"/>
      <c r="O3684" s="2018"/>
      <c r="P3684" s="2018"/>
      <c r="Q3684" s="2018"/>
      <c r="R3684" s="2018"/>
      <c r="S3684" s="2018"/>
      <c r="T3684" s="2018"/>
      <c r="U3684" s="2018"/>
      <c r="V3684" s="2018"/>
      <c r="W3684" s="2018"/>
      <c r="X3684" s="2018"/>
      <c r="Y3684" s="2018"/>
      <c r="Z3684" s="2021" t="s">
        <v>2461</v>
      </c>
      <c r="AA3684" s="2021"/>
      <c r="AB3684" s="1050"/>
      <c r="AC3684" s="1050"/>
      <c r="AD3684" s="1050"/>
      <c r="AE3684" s="1050">
        <v>1</v>
      </c>
      <c r="AF3684" s="1052">
        <f>+ROUND(AE3684,2)</f>
        <v>1</v>
      </c>
    </row>
    <row r="3685" spans="1:32" ht="15.6" customHeight="1" x14ac:dyDescent="0.25">
      <c r="A3685" s="2017"/>
      <c r="B3685" s="2018"/>
      <c r="C3685" s="2018"/>
      <c r="D3685" s="2018"/>
      <c r="E3685" s="2018"/>
      <c r="F3685" s="2018"/>
      <c r="G3685" s="2018"/>
      <c r="H3685" s="2018"/>
      <c r="I3685" s="2018"/>
      <c r="J3685" s="2018"/>
      <c r="K3685" s="2018"/>
      <c r="L3685" s="2018"/>
      <c r="M3685" s="2018"/>
      <c r="N3685" s="2018"/>
      <c r="O3685" s="2018"/>
      <c r="P3685" s="2018"/>
      <c r="Q3685" s="2018"/>
      <c r="R3685" s="2018"/>
      <c r="S3685" s="2018"/>
      <c r="T3685" s="2018"/>
      <c r="U3685" s="2018"/>
      <c r="V3685" s="2018"/>
      <c r="W3685" s="2018"/>
      <c r="X3685" s="2018"/>
      <c r="Y3685" s="2018"/>
      <c r="Z3685" s="2021"/>
      <c r="AA3685" s="2021"/>
      <c r="AB3685" s="1050"/>
      <c r="AC3685" s="1050"/>
      <c r="AD3685" s="1050"/>
      <c r="AE3685" s="1050"/>
      <c r="AF3685" s="1052"/>
    </row>
    <row r="3686" spans="1:32" ht="15.75" x14ac:dyDescent="0.25">
      <c r="A3686" s="2017"/>
      <c r="B3686" s="2018"/>
      <c r="C3686" s="2018"/>
      <c r="D3686" s="2018"/>
      <c r="E3686" s="2018"/>
      <c r="F3686" s="2018"/>
      <c r="G3686" s="2018"/>
      <c r="H3686" s="2018"/>
      <c r="I3686" s="2018"/>
      <c r="J3686" s="2018"/>
      <c r="K3686" s="2018"/>
      <c r="L3686" s="2018"/>
      <c r="M3686" s="2018"/>
      <c r="N3686" s="2018"/>
      <c r="O3686" s="2018"/>
      <c r="P3686" s="2018"/>
      <c r="Q3686" s="2018"/>
      <c r="R3686" s="2018"/>
      <c r="S3686" s="2018"/>
      <c r="T3686" s="2018"/>
      <c r="U3686" s="2018"/>
      <c r="V3686" s="2018"/>
      <c r="W3686" s="2018"/>
      <c r="X3686" s="2018"/>
      <c r="Y3686" s="2018"/>
      <c r="Z3686" s="2021"/>
      <c r="AA3686" s="2021"/>
      <c r="AB3686" s="1050"/>
      <c r="AC3686" s="1050"/>
      <c r="AD3686" s="1050"/>
      <c r="AE3686" s="1050"/>
      <c r="AF3686" s="1052"/>
    </row>
    <row r="3687" spans="1:32" ht="15.75" x14ac:dyDescent="0.25">
      <c r="A3687" s="2017"/>
      <c r="B3687" s="2018"/>
      <c r="C3687" s="2018"/>
      <c r="D3687" s="2018"/>
      <c r="E3687" s="2018"/>
      <c r="F3687" s="2018"/>
      <c r="G3687" s="2018"/>
      <c r="H3687" s="2018"/>
      <c r="I3687" s="2018"/>
      <c r="J3687" s="2018"/>
      <c r="K3687" s="2018"/>
      <c r="L3687" s="2018"/>
      <c r="M3687" s="2018"/>
      <c r="N3687" s="2018"/>
      <c r="O3687" s="2018"/>
      <c r="P3687" s="2018"/>
      <c r="Q3687" s="2018"/>
      <c r="R3687" s="2018"/>
      <c r="S3687" s="2018"/>
      <c r="T3687" s="2018"/>
      <c r="U3687" s="2018"/>
      <c r="V3687" s="2018"/>
      <c r="W3687" s="2018"/>
      <c r="X3687" s="2018"/>
      <c r="Y3687" s="2018"/>
      <c r="Z3687" s="2021"/>
      <c r="AA3687" s="2021"/>
      <c r="AB3687" s="1050"/>
      <c r="AC3687" s="1050"/>
      <c r="AD3687" s="1050"/>
      <c r="AE3687" s="1050"/>
      <c r="AF3687" s="1052"/>
    </row>
    <row r="3688" spans="1:32" ht="15.75" x14ac:dyDescent="0.25">
      <c r="A3688" s="2017"/>
      <c r="B3688" s="2018"/>
      <c r="C3688" s="2018"/>
      <c r="D3688" s="2018"/>
      <c r="E3688" s="2018"/>
      <c r="F3688" s="2018"/>
      <c r="G3688" s="2018"/>
      <c r="H3688" s="2018"/>
      <c r="I3688" s="2018"/>
      <c r="J3688" s="2018"/>
      <c r="K3688" s="2018"/>
      <c r="L3688" s="2018"/>
      <c r="M3688" s="2018"/>
      <c r="N3688" s="2018"/>
      <c r="O3688" s="2018"/>
      <c r="P3688" s="2018"/>
      <c r="Q3688" s="2018"/>
      <c r="R3688" s="2018"/>
      <c r="S3688" s="2018"/>
      <c r="T3688" s="2018"/>
      <c r="U3688" s="2018"/>
      <c r="V3688" s="2018"/>
      <c r="W3688" s="2018"/>
      <c r="X3688" s="2018"/>
      <c r="Y3688" s="2018"/>
      <c r="Z3688" s="2021"/>
      <c r="AA3688" s="2021"/>
      <c r="AB3688" s="1050"/>
      <c r="AC3688" s="1050"/>
      <c r="AD3688" s="1050"/>
      <c r="AE3688" s="1050"/>
      <c r="AF3688" s="1052"/>
    </row>
    <row r="3689" spans="1:32" ht="15.75" x14ac:dyDescent="0.25">
      <c r="A3689" s="2017"/>
      <c r="B3689" s="2018"/>
      <c r="C3689" s="2018"/>
      <c r="D3689" s="2018"/>
      <c r="E3689" s="2018"/>
      <c r="F3689" s="2018"/>
      <c r="G3689" s="2018"/>
      <c r="H3689" s="2018"/>
      <c r="I3689" s="2018"/>
      <c r="J3689" s="2018"/>
      <c r="K3689" s="2018"/>
      <c r="L3689" s="2018"/>
      <c r="M3689" s="2018"/>
      <c r="N3689" s="2018"/>
      <c r="O3689" s="2018"/>
      <c r="P3689" s="2018"/>
      <c r="Q3689" s="2018"/>
      <c r="R3689" s="2018"/>
      <c r="S3689" s="2018"/>
      <c r="T3689" s="2018"/>
      <c r="U3689" s="2018"/>
      <c r="V3689" s="2018"/>
      <c r="W3689" s="2018"/>
      <c r="X3689" s="2018"/>
      <c r="Y3689" s="2018"/>
      <c r="Z3689" s="2021"/>
      <c r="AA3689" s="2021"/>
      <c r="AB3689" s="1050"/>
      <c r="AC3689" s="1050"/>
      <c r="AD3689" s="1050"/>
      <c r="AE3689" s="1050"/>
      <c r="AF3689" s="1052"/>
    </row>
    <row r="3690" spans="1:32" ht="15.75" x14ac:dyDescent="0.25">
      <c r="A3690" s="2017"/>
      <c r="B3690" s="2018"/>
      <c r="C3690" s="2018"/>
      <c r="D3690" s="2018"/>
      <c r="E3690" s="2018"/>
      <c r="F3690" s="2018"/>
      <c r="G3690" s="2018"/>
      <c r="H3690" s="2018"/>
      <c r="I3690" s="2018"/>
      <c r="J3690" s="2018"/>
      <c r="K3690" s="2018"/>
      <c r="L3690" s="2018"/>
      <c r="M3690" s="2018"/>
      <c r="N3690" s="2018"/>
      <c r="O3690" s="2018"/>
      <c r="P3690" s="2018"/>
      <c r="Q3690" s="2018"/>
      <c r="R3690" s="2018"/>
      <c r="S3690" s="2018"/>
      <c r="T3690" s="2018"/>
      <c r="U3690" s="2018"/>
      <c r="V3690" s="2018"/>
      <c r="W3690" s="2018"/>
      <c r="X3690" s="2018"/>
      <c r="Y3690" s="2018"/>
      <c r="Z3690" s="2021"/>
      <c r="AA3690" s="2021"/>
      <c r="AB3690" s="1050"/>
      <c r="AC3690" s="1050"/>
      <c r="AD3690" s="1050"/>
      <c r="AE3690" s="1050"/>
      <c r="AF3690" s="1052"/>
    </row>
    <row r="3691" spans="1:32" ht="15.75" x14ac:dyDescent="0.25">
      <c r="A3691" s="2017"/>
      <c r="B3691" s="2018"/>
      <c r="C3691" s="2018"/>
      <c r="D3691" s="2018"/>
      <c r="E3691" s="2018"/>
      <c r="F3691" s="2018"/>
      <c r="G3691" s="2018"/>
      <c r="H3691" s="2018"/>
      <c r="I3691" s="2018"/>
      <c r="J3691" s="2018"/>
      <c r="K3691" s="2018"/>
      <c r="L3691" s="2018"/>
      <c r="M3691" s="2018"/>
      <c r="N3691" s="2018"/>
      <c r="O3691" s="2018"/>
      <c r="P3691" s="2018"/>
      <c r="Q3691" s="2018"/>
      <c r="R3691" s="2018"/>
      <c r="S3691" s="2018"/>
      <c r="T3691" s="2018"/>
      <c r="U3691" s="2018"/>
      <c r="V3691" s="2018"/>
      <c r="W3691" s="2018"/>
      <c r="X3691" s="2018"/>
      <c r="Y3691" s="2018"/>
      <c r="Z3691" s="2021"/>
      <c r="AA3691" s="2021"/>
      <c r="AB3691" s="1050"/>
      <c r="AC3691" s="1050"/>
      <c r="AD3691" s="1050"/>
      <c r="AE3691" s="1050"/>
      <c r="AF3691" s="1052"/>
    </row>
    <row r="3692" spans="1:32" ht="15.75" x14ac:dyDescent="0.25">
      <c r="A3692" s="2017"/>
      <c r="B3692" s="2018"/>
      <c r="C3692" s="2018"/>
      <c r="D3692" s="2018"/>
      <c r="E3692" s="2018"/>
      <c r="F3692" s="2018"/>
      <c r="G3692" s="2018"/>
      <c r="H3692" s="2018"/>
      <c r="I3692" s="2018"/>
      <c r="J3692" s="2018"/>
      <c r="K3692" s="2018"/>
      <c r="L3692" s="2018"/>
      <c r="M3692" s="2018"/>
      <c r="N3692" s="2018"/>
      <c r="O3692" s="2018"/>
      <c r="P3692" s="2018"/>
      <c r="Q3692" s="2018"/>
      <c r="R3692" s="2018"/>
      <c r="S3692" s="2018"/>
      <c r="T3692" s="2018"/>
      <c r="U3692" s="2018"/>
      <c r="V3692" s="2018"/>
      <c r="W3692" s="2018"/>
      <c r="X3692" s="2018"/>
      <c r="Y3692" s="2018"/>
      <c r="Z3692" s="2021"/>
      <c r="AA3692" s="2021"/>
      <c r="AB3692" s="1050"/>
      <c r="AC3692" s="1050"/>
      <c r="AD3692" s="1050"/>
      <c r="AE3692" s="1050"/>
      <c r="AF3692" s="1052"/>
    </row>
    <row r="3693" spans="1:32" ht="15.75" x14ac:dyDescent="0.25">
      <c r="A3693" s="2017"/>
      <c r="B3693" s="2018"/>
      <c r="C3693" s="2018"/>
      <c r="D3693" s="2018"/>
      <c r="E3693" s="2018"/>
      <c r="F3693" s="2018"/>
      <c r="G3693" s="2018"/>
      <c r="H3693" s="2018"/>
      <c r="I3693" s="2018"/>
      <c r="J3693" s="2018"/>
      <c r="K3693" s="2018"/>
      <c r="L3693" s="2018"/>
      <c r="M3693" s="2018"/>
      <c r="N3693" s="2018"/>
      <c r="O3693" s="2018"/>
      <c r="P3693" s="2018"/>
      <c r="Q3693" s="2018"/>
      <c r="R3693" s="2018"/>
      <c r="S3693" s="2018"/>
      <c r="T3693" s="2018"/>
      <c r="U3693" s="2018"/>
      <c r="V3693" s="2018"/>
      <c r="W3693" s="2018"/>
      <c r="X3693" s="2018"/>
      <c r="Y3693" s="2018"/>
      <c r="Z3693" s="2021"/>
      <c r="AA3693" s="2021"/>
      <c r="AB3693" s="1050"/>
      <c r="AC3693" s="1050"/>
      <c r="AD3693" s="1050"/>
      <c r="AE3693" s="1050"/>
      <c r="AF3693" s="1052"/>
    </row>
    <row r="3694" spans="1:32" ht="15.75" x14ac:dyDescent="0.25">
      <c r="A3694" s="2017"/>
      <c r="B3694" s="2018"/>
      <c r="C3694" s="2018"/>
      <c r="D3694" s="2018"/>
      <c r="E3694" s="2018"/>
      <c r="F3694" s="2018"/>
      <c r="G3694" s="2018"/>
      <c r="H3694" s="2018"/>
      <c r="I3694" s="2018"/>
      <c r="J3694" s="2018"/>
      <c r="K3694" s="2018"/>
      <c r="L3694" s="2018"/>
      <c r="M3694" s="2018"/>
      <c r="N3694" s="2018"/>
      <c r="O3694" s="2018"/>
      <c r="P3694" s="2018"/>
      <c r="Q3694" s="2018"/>
      <c r="R3694" s="2018"/>
      <c r="S3694" s="2018"/>
      <c r="T3694" s="2018"/>
      <c r="U3694" s="2018"/>
      <c r="V3694" s="2018"/>
      <c r="W3694" s="2018"/>
      <c r="X3694" s="2018"/>
      <c r="Y3694" s="2018"/>
      <c r="Z3694" s="2021"/>
      <c r="AA3694" s="2021"/>
      <c r="AB3694" s="1050"/>
      <c r="AC3694" s="1050"/>
      <c r="AD3694" s="1050"/>
      <c r="AE3694" s="1050"/>
      <c r="AF3694" s="1052"/>
    </row>
    <row r="3695" spans="1:32" ht="15.75" x14ac:dyDescent="0.25">
      <c r="A3695" s="2017"/>
      <c r="B3695" s="2018"/>
      <c r="C3695" s="2018"/>
      <c r="D3695" s="2018"/>
      <c r="E3695" s="2018"/>
      <c r="F3695" s="2018"/>
      <c r="G3695" s="2018"/>
      <c r="H3695" s="2018"/>
      <c r="I3695" s="2018"/>
      <c r="J3695" s="2018"/>
      <c r="K3695" s="2018"/>
      <c r="L3695" s="2018"/>
      <c r="M3695" s="2018"/>
      <c r="N3695" s="2018"/>
      <c r="O3695" s="2018"/>
      <c r="P3695" s="2018"/>
      <c r="Q3695" s="2018"/>
      <c r="R3695" s="2018"/>
      <c r="S3695" s="2018"/>
      <c r="T3695" s="2018"/>
      <c r="U3695" s="2018"/>
      <c r="V3695" s="2018"/>
      <c r="W3695" s="2018"/>
      <c r="X3695" s="2018"/>
      <c r="Y3695" s="2018"/>
      <c r="Z3695" s="2021"/>
      <c r="AA3695" s="2021"/>
      <c r="AB3695" s="1050"/>
      <c r="AC3695" s="1050"/>
      <c r="AD3695" s="1050"/>
      <c r="AE3695" s="1050"/>
      <c r="AF3695" s="1052"/>
    </row>
    <row r="3696" spans="1:32" ht="15.75" x14ac:dyDescent="0.25">
      <c r="A3696" s="2017"/>
      <c r="B3696" s="2018"/>
      <c r="C3696" s="2018"/>
      <c r="D3696" s="2018"/>
      <c r="E3696" s="2018"/>
      <c r="F3696" s="2018"/>
      <c r="G3696" s="2018"/>
      <c r="H3696" s="2018"/>
      <c r="I3696" s="2018"/>
      <c r="J3696" s="2018"/>
      <c r="K3696" s="2018"/>
      <c r="L3696" s="2018"/>
      <c r="M3696" s="2018"/>
      <c r="N3696" s="2018"/>
      <c r="O3696" s="2018"/>
      <c r="P3696" s="2018"/>
      <c r="Q3696" s="2018"/>
      <c r="R3696" s="2018"/>
      <c r="S3696" s="2018"/>
      <c r="T3696" s="2018"/>
      <c r="U3696" s="2018"/>
      <c r="V3696" s="2018"/>
      <c r="W3696" s="2018"/>
      <c r="X3696" s="2018"/>
      <c r="Y3696" s="2018"/>
      <c r="Z3696" s="2021"/>
      <c r="AA3696" s="2021"/>
      <c r="AB3696" s="1050"/>
      <c r="AC3696" s="1050"/>
      <c r="AD3696" s="1050"/>
      <c r="AE3696" s="1050"/>
      <c r="AF3696" s="1052"/>
    </row>
    <row r="3697" spans="1:32" ht="15.75" x14ac:dyDescent="0.25">
      <c r="A3697" s="2017"/>
      <c r="B3697" s="2018"/>
      <c r="C3697" s="2018"/>
      <c r="D3697" s="2018"/>
      <c r="E3697" s="2018"/>
      <c r="F3697" s="2018"/>
      <c r="G3697" s="2018"/>
      <c r="H3697" s="2018"/>
      <c r="I3697" s="2018"/>
      <c r="J3697" s="2018"/>
      <c r="K3697" s="2018"/>
      <c r="L3697" s="2018"/>
      <c r="M3697" s="2018"/>
      <c r="N3697" s="2018"/>
      <c r="O3697" s="2018"/>
      <c r="P3697" s="2018"/>
      <c r="Q3697" s="2018"/>
      <c r="R3697" s="2018"/>
      <c r="S3697" s="2018"/>
      <c r="T3697" s="2018"/>
      <c r="U3697" s="2018"/>
      <c r="V3697" s="2018"/>
      <c r="W3697" s="2018"/>
      <c r="X3697" s="2018"/>
      <c r="Y3697" s="2018"/>
      <c r="Z3697" s="2021"/>
      <c r="AA3697" s="2021"/>
      <c r="AB3697" s="1050"/>
      <c r="AC3697" s="1050"/>
      <c r="AD3697" s="1050"/>
      <c r="AE3697" s="1050"/>
      <c r="AF3697" s="1052"/>
    </row>
    <row r="3698" spans="1:32" ht="15.75" x14ac:dyDescent="0.25">
      <c r="A3698" s="2017"/>
      <c r="B3698" s="2018"/>
      <c r="C3698" s="2018"/>
      <c r="D3698" s="2018"/>
      <c r="E3698" s="2018"/>
      <c r="F3698" s="2018"/>
      <c r="G3698" s="2018"/>
      <c r="H3698" s="2018"/>
      <c r="I3698" s="2018"/>
      <c r="J3698" s="2018"/>
      <c r="K3698" s="2018"/>
      <c r="L3698" s="2018"/>
      <c r="M3698" s="2018"/>
      <c r="N3698" s="2018"/>
      <c r="O3698" s="2018"/>
      <c r="P3698" s="2018"/>
      <c r="Q3698" s="2018"/>
      <c r="R3698" s="2018"/>
      <c r="S3698" s="2018"/>
      <c r="T3698" s="2018"/>
      <c r="U3698" s="2018"/>
      <c r="V3698" s="2018"/>
      <c r="W3698" s="2018"/>
      <c r="X3698" s="2018"/>
      <c r="Y3698" s="2018"/>
      <c r="Z3698" s="2022"/>
      <c r="AA3698" s="2022"/>
      <c r="AB3698" s="1050"/>
      <c r="AC3698" s="1050"/>
      <c r="AD3698" s="1050"/>
      <c r="AE3698" s="1050"/>
      <c r="AF3698" s="1052"/>
    </row>
    <row r="3699" spans="1:32" ht="15.75" x14ac:dyDescent="0.25">
      <c r="A3699" s="2017"/>
      <c r="B3699" s="2018"/>
      <c r="C3699" s="2018"/>
      <c r="D3699" s="2018"/>
      <c r="E3699" s="2018"/>
      <c r="F3699" s="2018"/>
      <c r="G3699" s="2018"/>
      <c r="H3699" s="2018"/>
      <c r="I3699" s="2018"/>
      <c r="J3699" s="2018"/>
      <c r="K3699" s="2018"/>
      <c r="L3699" s="2018"/>
      <c r="M3699" s="2018"/>
      <c r="N3699" s="2018"/>
      <c r="O3699" s="2018"/>
      <c r="P3699" s="2018"/>
      <c r="Q3699" s="2018"/>
      <c r="R3699" s="2018"/>
      <c r="S3699" s="2018"/>
      <c r="T3699" s="2018"/>
      <c r="U3699" s="2018"/>
      <c r="V3699" s="2018"/>
      <c r="W3699" s="2018"/>
      <c r="X3699" s="2018"/>
      <c r="Y3699" s="2018"/>
      <c r="Z3699" s="2022"/>
      <c r="AA3699" s="2022"/>
      <c r="AB3699" s="1050"/>
      <c r="AC3699" s="1050"/>
      <c r="AD3699" s="1050"/>
      <c r="AE3699" s="1050"/>
      <c r="AF3699" s="1052"/>
    </row>
    <row r="3700" spans="1:32" ht="15.75" x14ac:dyDescent="0.25">
      <c r="A3700" s="2017"/>
      <c r="B3700" s="2018"/>
      <c r="C3700" s="2018"/>
      <c r="D3700" s="2018"/>
      <c r="E3700" s="2018"/>
      <c r="F3700" s="2018"/>
      <c r="G3700" s="2018"/>
      <c r="H3700" s="2018"/>
      <c r="I3700" s="2018"/>
      <c r="J3700" s="2018"/>
      <c r="K3700" s="2018"/>
      <c r="L3700" s="2018"/>
      <c r="M3700" s="2018"/>
      <c r="N3700" s="2018"/>
      <c r="O3700" s="2018"/>
      <c r="P3700" s="2018"/>
      <c r="Q3700" s="2018"/>
      <c r="R3700" s="2018"/>
      <c r="S3700" s="2018"/>
      <c r="T3700" s="2018"/>
      <c r="U3700" s="2018"/>
      <c r="V3700" s="2018"/>
      <c r="W3700" s="2018"/>
      <c r="X3700" s="2018"/>
      <c r="Y3700" s="2018"/>
      <c r="Z3700" s="2022"/>
      <c r="AA3700" s="2022"/>
      <c r="AB3700" s="1050"/>
      <c r="AC3700" s="1050"/>
      <c r="AD3700" s="1050"/>
      <c r="AE3700" s="1050"/>
      <c r="AF3700" s="1052"/>
    </row>
    <row r="3701" spans="1:32" ht="15.75" x14ac:dyDescent="0.25">
      <c r="A3701" s="2017"/>
      <c r="B3701" s="2018"/>
      <c r="C3701" s="2018"/>
      <c r="D3701" s="2018"/>
      <c r="E3701" s="2018"/>
      <c r="F3701" s="2018"/>
      <c r="G3701" s="2018"/>
      <c r="H3701" s="2018"/>
      <c r="I3701" s="2018"/>
      <c r="J3701" s="2018"/>
      <c r="K3701" s="2018"/>
      <c r="L3701" s="2018"/>
      <c r="M3701" s="2018"/>
      <c r="N3701" s="2018"/>
      <c r="O3701" s="2018"/>
      <c r="P3701" s="2018"/>
      <c r="Q3701" s="2018"/>
      <c r="R3701" s="2018"/>
      <c r="S3701" s="2018"/>
      <c r="T3701" s="2018"/>
      <c r="U3701" s="2018"/>
      <c r="V3701" s="2018"/>
      <c r="W3701" s="2018"/>
      <c r="X3701" s="2018"/>
      <c r="Y3701" s="2018"/>
      <c r="Z3701" s="2023"/>
      <c r="AA3701" s="2023"/>
      <c r="AB3701" s="1050"/>
      <c r="AC3701" s="1050"/>
      <c r="AD3701" s="1050"/>
      <c r="AE3701" s="1050"/>
      <c r="AF3701" s="1052"/>
    </row>
    <row r="3702" spans="1:32" ht="15.75" x14ac:dyDescent="0.25">
      <c r="A3702" s="2017"/>
      <c r="B3702" s="2018"/>
      <c r="C3702" s="2018"/>
      <c r="D3702" s="2018"/>
      <c r="E3702" s="2018"/>
      <c r="F3702" s="2018"/>
      <c r="G3702" s="2018"/>
      <c r="H3702" s="2018"/>
      <c r="I3702" s="2018"/>
      <c r="J3702" s="2018"/>
      <c r="K3702" s="2018"/>
      <c r="L3702" s="2018"/>
      <c r="M3702" s="2018"/>
      <c r="N3702" s="2018"/>
      <c r="O3702" s="2018"/>
      <c r="P3702" s="2018"/>
      <c r="Q3702" s="2018"/>
      <c r="R3702" s="2018"/>
      <c r="S3702" s="2018"/>
      <c r="T3702" s="2018"/>
      <c r="U3702" s="2018"/>
      <c r="V3702" s="2018"/>
      <c r="W3702" s="2018"/>
      <c r="X3702" s="2018"/>
      <c r="Y3702" s="2018"/>
      <c r="Z3702" s="2023"/>
      <c r="AA3702" s="2023"/>
      <c r="AB3702" s="1050"/>
      <c r="AC3702" s="1050"/>
      <c r="AD3702" s="1050"/>
      <c r="AE3702" s="1050"/>
      <c r="AF3702" s="1052"/>
    </row>
    <row r="3703" spans="1:32" ht="15.75" x14ac:dyDescent="0.25">
      <c r="A3703" s="2017"/>
      <c r="B3703" s="2018"/>
      <c r="C3703" s="2018"/>
      <c r="D3703" s="2018"/>
      <c r="E3703" s="2018"/>
      <c r="F3703" s="2018"/>
      <c r="G3703" s="2018"/>
      <c r="H3703" s="2018"/>
      <c r="I3703" s="2018"/>
      <c r="J3703" s="2018"/>
      <c r="K3703" s="2018"/>
      <c r="L3703" s="2018"/>
      <c r="M3703" s="2018"/>
      <c r="N3703" s="2018"/>
      <c r="O3703" s="2018"/>
      <c r="P3703" s="2018"/>
      <c r="Q3703" s="2018"/>
      <c r="R3703" s="2018"/>
      <c r="S3703" s="2018"/>
      <c r="T3703" s="2018"/>
      <c r="U3703" s="2018"/>
      <c r="V3703" s="2018"/>
      <c r="W3703" s="2018"/>
      <c r="X3703" s="2018"/>
      <c r="Y3703" s="2018"/>
      <c r="Z3703" s="2023"/>
      <c r="AA3703" s="2023"/>
      <c r="AB3703" s="1050"/>
      <c r="AC3703" s="1050"/>
      <c r="AD3703" s="1050"/>
      <c r="AE3703" s="1050"/>
      <c r="AF3703" s="1052"/>
    </row>
    <row r="3704" spans="1:32" ht="15.75" x14ac:dyDescent="0.25">
      <c r="A3704" s="2017"/>
      <c r="B3704" s="2018"/>
      <c r="C3704" s="2018"/>
      <c r="D3704" s="2018"/>
      <c r="E3704" s="2018"/>
      <c r="F3704" s="2018"/>
      <c r="G3704" s="2018"/>
      <c r="H3704" s="2018"/>
      <c r="I3704" s="2018"/>
      <c r="J3704" s="2018"/>
      <c r="K3704" s="2018"/>
      <c r="L3704" s="2018"/>
      <c r="M3704" s="2018"/>
      <c r="N3704" s="2018"/>
      <c r="O3704" s="2018"/>
      <c r="P3704" s="2018"/>
      <c r="Q3704" s="2018"/>
      <c r="R3704" s="2018"/>
      <c r="S3704" s="2018"/>
      <c r="T3704" s="2018"/>
      <c r="U3704" s="2018"/>
      <c r="V3704" s="2018"/>
      <c r="W3704" s="2018"/>
      <c r="X3704" s="2018"/>
      <c r="Y3704" s="2018"/>
      <c r="Z3704" s="2023"/>
      <c r="AA3704" s="2023"/>
      <c r="AB3704" s="1050"/>
      <c r="AC3704" s="1050"/>
      <c r="AD3704" s="1050"/>
      <c r="AE3704" s="1050"/>
      <c r="AF3704" s="1052"/>
    </row>
    <row r="3705" spans="1:32" ht="15.75" x14ac:dyDescent="0.25">
      <c r="A3705" s="2017"/>
      <c r="B3705" s="2018"/>
      <c r="C3705" s="2018"/>
      <c r="D3705" s="2018"/>
      <c r="E3705" s="2018"/>
      <c r="F3705" s="2018"/>
      <c r="G3705" s="2018"/>
      <c r="H3705" s="2018"/>
      <c r="I3705" s="2018"/>
      <c r="J3705" s="2018"/>
      <c r="K3705" s="2018"/>
      <c r="L3705" s="2018"/>
      <c r="M3705" s="2018"/>
      <c r="N3705" s="2018"/>
      <c r="O3705" s="2018"/>
      <c r="P3705" s="2018"/>
      <c r="Q3705" s="2018"/>
      <c r="R3705" s="2018"/>
      <c r="S3705" s="2018"/>
      <c r="T3705" s="2018"/>
      <c r="U3705" s="2018"/>
      <c r="V3705" s="2018"/>
      <c r="W3705" s="2018"/>
      <c r="X3705" s="2018"/>
      <c r="Y3705" s="2018"/>
      <c r="Z3705" s="2023"/>
      <c r="AA3705" s="2023"/>
      <c r="AB3705" s="1050"/>
      <c r="AC3705" s="1050"/>
      <c r="AD3705" s="1050"/>
      <c r="AE3705" s="1050"/>
      <c r="AF3705" s="1052"/>
    </row>
    <row r="3706" spans="1:32" ht="15.75" x14ac:dyDescent="0.25">
      <c r="A3706" s="2017"/>
      <c r="B3706" s="2018"/>
      <c r="C3706" s="2018"/>
      <c r="D3706" s="2018"/>
      <c r="E3706" s="2018"/>
      <c r="F3706" s="2018"/>
      <c r="G3706" s="2018"/>
      <c r="H3706" s="2018"/>
      <c r="I3706" s="2018"/>
      <c r="J3706" s="2018"/>
      <c r="K3706" s="2018"/>
      <c r="L3706" s="2018"/>
      <c r="M3706" s="2018"/>
      <c r="N3706" s="2018"/>
      <c r="O3706" s="2018"/>
      <c r="P3706" s="2018"/>
      <c r="Q3706" s="2018"/>
      <c r="R3706" s="2018"/>
      <c r="S3706" s="2018"/>
      <c r="T3706" s="2018"/>
      <c r="U3706" s="2018"/>
      <c r="V3706" s="2018"/>
      <c r="W3706" s="2018"/>
      <c r="X3706" s="2018"/>
      <c r="Y3706" s="2018"/>
      <c r="Z3706" s="2023"/>
      <c r="AA3706" s="2023"/>
      <c r="AB3706" s="1050"/>
      <c r="AC3706" s="1050"/>
      <c r="AD3706" s="1050"/>
      <c r="AE3706" s="1050"/>
      <c r="AF3706" s="1052"/>
    </row>
    <row r="3707" spans="1:32" ht="16.5" thickBot="1" x14ac:dyDescent="0.3">
      <c r="A3707" s="2019"/>
      <c r="B3707" s="2020"/>
      <c r="C3707" s="2020"/>
      <c r="D3707" s="2020"/>
      <c r="E3707" s="2020"/>
      <c r="F3707" s="2020"/>
      <c r="G3707" s="2020"/>
      <c r="H3707" s="2020"/>
      <c r="I3707" s="2020"/>
      <c r="J3707" s="2020"/>
      <c r="K3707" s="2020"/>
      <c r="L3707" s="2020"/>
      <c r="M3707" s="2020"/>
      <c r="N3707" s="2020"/>
      <c r="O3707" s="2020"/>
      <c r="P3707" s="2020"/>
      <c r="Q3707" s="2020"/>
      <c r="R3707" s="2020"/>
      <c r="S3707" s="2020"/>
      <c r="T3707" s="2020"/>
      <c r="U3707" s="2020"/>
      <c r="V3707" s="2020"/>
      <c r="W3707" s="2020"/>
      <c r="X3707" s="2020"/>
      <c r="Y3707" s="2020"/>
      <c r="Z3707" s="2024"/>
      <c r="AA3707" s="2024"/>
      <c r="AB3707" s="1057"/>
      <c r="AC3707" s="1057"/>
      <c r="AD3707" s="1057"/>
      <c r="AE3707" s="1057"/>
      <c r="AF3707" s="1058"/>
    </row>
    <row r="3708" spans="1:32" ht="15.75" x14ac:dyDescent="0.25">
      <c r="A3708" s="2009" t="s">
        <v>2158</v>
      </c>
      <c r="B3708" s="2010"/>
      <c r="C3708" s="2010"/>
      <c r="D3708" s="2010"/>
      <c r="E3708" s="2010"/>
      <c r="F3708" s="2010"/>
      <c r="G3708" s="2010"/>
      <c r="H3708" s="2010"/>
      <c r="I3708" s="2010"/>
      <c r="J3708" s="2010"/>
      <c r="K3708" s="2010"/>
      <c r="L3708" s="2010"/>
      <c r="M3708" s="2010"/>
      <c r="N3708" s="2010"/>
      <c r="O3708" s="2010"/>
      <c r="P3708" s="2010"/>
      <c r="Q3708" s="2010"/>
      <c r="R3708" s="2010"/>
      <c r="S3708" s="2010"/>
      <c r="T3708" s="2010"/>
      <c r="U3708" s="2010"/>
      <c r="V3708" s="2010"/>
      <c r="W3708" s="2010"/>
      <c r="X3708" s="2010"/>
      <c r="Y3708" s="2010"/>
      <c r="Z3708" s="2013" t="s">
        <v>1850</v>
      </c>
      <c r="AA3708" s="2013"/>
      <c r="AB3708" s="2013"/>
      <c r="AC3708" s="2013"/>
      <c r="AD3708" s="2013"/>
      <c r="AE3708" s="2013"/>
      <c r="AF3708" s="1059">
        <f>SUM(AF3684:AF3707)</f>
        <v>1</v>
      </c>
    </row>
    <row r="3709" spans="1:32" ht="15.75" x14ac:dyDescent="0.25">
      <c r="A3709" s="2011"/>
      <c r="B3709" s="2012"/>
      <c r="C3709" s="2012"/>
      <c r="D3709" s="2012"/>
      <c r="E3709" s="2012"/>
      <c r="F3709" s="2012"/>
      <c r="G3709" s="2012"/>
      <c r="H3709" s="2012"/>
      <c r="I3709" s="2012"/>
      <c r="J3709" s="2012"/>
      <c r="K3709" s="2012"/>
      <c r="L3709" s="2012"/>
      <c r="M3709" s="2012"/>
      <c r="N3709" s="2012"/>
      <c r="O3709" s="2012"/>
      <c r="P3709" s="2012"/>
      <c r="Q3709" s="2012"/>
      <c r="R3709" s="2012"/>
      <c r="S3709" s="2012"/>
      <c r="T3709" s="2012"/>
      <c r="U3709" s="2012"/>
      <c r="V3709" s="2012"/>
      <c r="W3709" s="2012"/>
      <c r="X3709" s="2012"/>
      <c r="Y3709" s="2012"/>
      <c r="Z3709" s="2014" t="s">
        <v>1851</v>
      </c>
      <c r="AA3709" s="2014"/>
      <c r="AB3709" s="2014"/>
      <c r="AC3709" s="2014"/>
      <c r="AD3709" s="2014"/>
      <c r="AE3709" s="2014"/>
      <c r="AF3709" s="1060">
        <v>0</v>
      </c>
    </row>
    <row r="3710" spans="1:32" ht="15.75" x14ac:dyDescent="0.25">
      <c r="A3710" s="2011"/>
      <c r="B3710" s="2012"/>
      <c r="C3710" s="2012"/>
      <c r="D3710" s="2012"/>
      <c r="E3710" s="2012"/>
      <c r="F3710" s="2012"/>
      <c r="G3710" s="2012"/>
      <c r="H3710" s="2012"/>
      <c r="I3710" s="2012"/>
      <c r="J3710" s="2012"/>
      <c r="K3710" s="2012"/>
      <c r="L3710" s="2012"/>
      <c r="M3710" s="2012"/>
      <c r="N3710" s="2012"/>
      <c r="O3710" s="2012"/>
      <c r="P3710" s="2012"/>
      <c r="Q3710" s="2012"/>
      <c r="R3710" s="2012"/>
      <c r="S3710" s="2012"/>
      <c r="T3710" s="2012"/>
      <c r="U3710" s="2012"/>
      <c r="V3710" s="2012"/>
      <c r="W3710" s="2012"/>
      <c r="X3710" s="2012"/>
      <c r="Y3710" s="2012"/>
      <c r="Z3710" s="2015" t="s">
        <v>1833</v>
      </c>
      <c r="AA3710" s="2015"/>
      <c r="AB3710" s="2015"/>
      <c r="AC3710" s="2015"/>
      <c r="AD3710" s="2015"/>
      <c r="AE3710" s="2015"/>
      <c r="AF3710" s="1061">
        <f>SUM(AF3708:AF3709)</f>
        <v>1</v>
      </c>
    </row>
    <row r="3711" spans="1:32" x14ac:dyDescent="0.2">
      <c r="A3711" s="2012" t="s">
        <v>1859</v>
      </c>
      <c r="B3711" s="2012"/>
      <c r="C3711" s="2012"/>
      <c r="D3711" s="2012"/>
      <c r="E3711" s="2012"/>
      <c r="F3711" s="2012"/>
      <c r="G3711" s="2012"/>
      <c r="H3711" s="2012"/>
      <c r="I3711" s="2012"/>
      <c r="J3711" s="2012"/>
      <c r="K3711" s="2012"/>
      <c r="L3711" s="2012"/>
      <c r="M3711" s="2012"/>
      <c r="N3711" s="2012"/>
      <c r="O3711" s="2012"/>
      <c r="P3711" s="2012"/>
      <c r="Q3711" s="2012"/>
      <c r="R3711" s="2012"/>
      <c r="S3711" s="2012"/>
      <c r="T3711" s="2016" t="s">
        <v>1840</v>
      </c>
      <c r="U3711" s="2016"/>
      <c r="V3711" s="2016"/>
      <c r="W3711" s="2016"/>
      <c r="X3711" s="2016"/>
      <c r="Y3711" s="2016"/>
      <c r="Z3711" s="2016"/>
      <c r="AA3711" s="2016"/>
      <c r="AB3711" s="2012" t="s">
        <v>1852</v>
      </c>
      <c r="AC3711" s="2012"/>
      <c r="AD3711" s="2012"/>
      <c r="AE3711" s="2012"/>
      <c r="AF3711" s="2012"/>
    </row>
    <row r="3712" spans="1:32" x14ac:dyDescent="0.2">
      <c r="A3712" s="2012"/>
      <c r="B3712" s="2012"/>
      <c r="C3712" s="2012"/>
      <c r="D3712" s="2012"/>
      <c r="E3712" s="2012"/>
      <c r="F3712" s="2012"/>
      <c r="G3712" s="2012"/>
      <c r="H3712" s="2012"/>
      <c r="I3712" s="2012"/>
      <c r="J3712" s="2012"/>
      <c r="K3712" s="2012"/>
      <c r="L3712" s="2012"/>
      <c r="M3712" s="2012"/>
      <c r="N3712" s="2012"/>
      <c r="O3712" s="2012"/>
      <c r="P3712" s="2012"/>
      <c r="Q3712" s="2012"/>
      <c r="R3712" s="2012"/>
      <c r="S3712" s="2012"/>
      <c r="T3712" s="2016"/>
      <c r="U3712" s="2016"/>
      <c r="V3712" s="2016"/>
      <c r="W3712" s="2016"/>
      <c r="X3712" s="2016"/>
      <c r="Y3712" s="2016"/>
      <c r="Z3712" s="2016"/>
      <c r="AA3712" s="2016"/>
      <c r="AB3712" s="2012"/>
      <c r="AC3712" s="2012"/>
      <c r="AD3712" s="2012"/>
      <c r="AE3712" s="2012"/>
      <c r="AF3712" s="2012"/>
    </row>
    <row r="3713" spans="1:32" ht="13.5" thickBot="1" x14ac:dyDescent="0.25"/>
    <row r="3714" spans="1:32" ht="26.45" customHeight="1" x14ac:dyDescent="0.2">
      <c r="A3714" s="2025" t="s">
        <v>1854</v>
      </c>
      <c r="B3714" s="2026"/>
      <c r="C3714" s="2026"/>
      <c r="D3714" s="2026"/>
      <c r="E3714" s="2026"/>
      <c r="F3714" s="2026"/>
      <c r="G3714" s="2026"/>
      <c r="H3714" s="2026"/>
      <c r="I3714" s="2026"/>
      <c r="J3714" s="2026"/>
      <c r="K3714" s="2026"/>
      <c r="L3714" s="2026"/>
      <c r="M3714" s="2026"/>
      <c r="N3714" s="2026"/>
      <c r="O3714" s="2026"/>
      <c r="P3714" s="2026"/>
      <c r="Q3714" s="2026"/>
      <c r="R3714" s="2026"/>
      <c r="S3714" s="2026"/>
      <c r="T3714" s="2026"/>
      <c r="U3714" s="2026"/>
      <c r="V3714" s="2026"/>
      <c r="W3714" s="2026"/>
      <c r="X3714" s="2026"/>
      <c r="Y3714" s="2026"/>
      <c r="Z3714" s="2026"/>
      <c r="AA3714" s="2026"/>
      <c r="AB3714" s="2026"/>
      <c r="AC3714" s="2026"/>
      <c r="AD3714" s="2026"/>
      <c r="AE3714" s="1041" t="s">
        <v>1834</v>
      </c>
      <c r="AF3714" s="1042" t="s">
        <v>1835</v>
      </c>
    </row>
    <row r="3715" spans="1:32" ht="21" customHeight="1" thickBot="1" x14ac:dyDescent="0.25">
      <c r="A3715" s="2027"/>
      <c r="B3715" s="2028"/>
      <c r="C3715" s="2028"/>
      <c r="D3715" s="2028"/>
      <c r="E3715" s="2028"/>
      <c r="F3715" s="2028"/>
      <c r="G3715" s="2028"/>
      <c r="H3715" s="2028"/>
      <c r="I3715" s="2028"/>
      <c r="J3715" s="2028"/>
      <c r="K3715" s="2028"/>
      <c r="L3715" s="2028"/>
      <c r="M3715" s="2028"/>
      <c r="N3715" s="2028"/>
      <c r="O3715" s="2028"/>
      <c r="P3715" s="2028"/>
      <c r="Q3715" s="2028"/>
      <c r="R3715" s="2028"/>
      <c r="S3715" s="2028"/>
      <c r="T3715" s="2028"/>
      <c r="U3715" s="2028"/>
      <c r="V3715" s="2028"/>
      <c r="W3715" s="2028"/>
      <c r="X3715" s="2028"/>
      <c r="Y3715" s="2028"/>
      <c r="Z3715" s="2028"/>
      <c r="AA3715" s="2028"/>
      <c r="AB3715" s="2028"/>
      <c r="AC3715" s="2028"/>
      <c r="AD3715" s="2028"/>
      <c r="AE3715" s="1041" t="s">
        <v>1836</v>
      </c>
      <c r="AF3715" s="1044">
        <v>1</v>
      </c>
    </row>
    <row r="3716" spans="1:32" ht="15.75" x14ac:dyDescent="0.2">
      <c r="A3716" s="2029"/>
      <c r="B3716" s="2030"/>
      <c r="C3716" s="2030"/>
      <c r="D3716" s="2031"/>
      <c r="E3716" s="2025" t="str">
        <f>'01'!$A$12</f>
        <v>"CONSTRUCCION SISTEMA DE ACUEDUCTO FASE II DEL MUNICIPIO DE TESALIA DPTO DEL HUILA"</v>
      </c>
      <c r="F3716" s="2026"/>
      <c r="G3716" s="2026"/>
      <c r="H3716" s="2026"/>
      <c r="I3716" s="2026"/>
      <c r="J3716" s="2026"/>
      <c r="K3716" s="2026"/>
      <c r="L3716" s="2026"/>
      <c r="M3716" s="2026"/>
      <c r="N3716" s="2026"/>
      <c r="O3716" s="2026"/>
      <c r="P3716" s="2026"/>
      <c r="Q3716" s="2026"/>
      <c r="R3716" s="2026"/>
      <c r="S3716" s="2026"/>
      <c r="T3716" s="2026"/>
      <c r="U3716" s="2026"/>
      <c r="V3716" s="2026"/>
      <c r="W3716" s="2026"/>
      <c r="X3716" s="2026"/>
      <c r="Y3716" s="2026"/>
      <c r="Z3716" s="2026"/>
      <c r="AA3716" s="2026"/>
      <c r="AB3716" s="2026"/>
      <c r="AC3716" s="2026"/>
      <c r="AD3716" s="2035"/>
      <c r="AE3716" s="1041" t="s">
        <v>847</v>
      </c>
      <c r="AF3716" s="1045">
        <f>'01'!$M$13</f>
        <v>0</v>
      </c>
    </row>
    <row r="3717" spans="1:32" ht="16.5" thickBot="1" x14ac:dyDescent="0.25">
      <c r="A3717" s="2032"/>
      <c r="B3717" s="2033"/>
      <c r="C3717" s="2033"/>
      <c r="D3717" s="2034"/>
      <c r="E3717" s="2027"/>
      <c r="F3717" s="2028"/>
      <c r="G3717" s="2028"/>
      <c r="H3717" s="2028"/>
      <c r="I3717" s="2028"/>
      <c r="J3717" s="2028"/>
      <c r="K3717" s="2028"/>
      <c r="L3717" s="2028"/>
      <c r="M3717" s="2028"/>
      <c r="N3717" s="2028"/>
      <c r="O3717" s="2028"/>
      <c r="P3717" s="2028"/>
      <c r="Q3717" s="2028"/>
      <c r="R3717" s="2028"/>
      <c r="S3717" s="2028"/>
      <c r="T3717" s="2028"/>
      <c r="U3717" s="2028"/>
      <c r="V3717" s="2028"/>
      <c r="W3717" s="2028"/>
      <c r="X3717" s="2028"/>
      <c r="Y3717" s="2028"/>
      <c r="Z3717" s="2028"/>
      <c r="AA3717" s="2028"/>
      <c r="AB3717" s="2028"/>
      <c r="AC3717" s="2028"/>
      <c r="AD3717" s="2036"/>
      <c r="AE3717" s="1041" t="s">
        <v>1837</v>
      </c>
      <c r="AF3717" s="1042" t="s">
        <v>1838</v>
      </c>
    </row>
    <row r="3718" spans="1:32" ht="15.75" x14ac:dyDescent="0.25">
      <c r="A3718" s="2037" t="s">
        <v>1860</v>
      </c>
      <c r="B3718" s="2038"/>
      <c r="C3718" s="2038"/>
      <c r="D3718" s="2038"/>
      <c r="E3718" s="2038"/>
      <c r="F3718" s="2038"/>
      <c r="G3718" s="2038"/>
      <c r="H3718" s="2038"/>
      <c r="I3718" s="2038"/>
      <c r="J3718" s="2038"/>
      <c r="K3718" s="2038"/>
      <c r="L3718" s="2038"/>
      <c r="M3718" s="2038"/>
      <c r="N3718" s="2038"/>
      <c r="O3718" s="2038"/>
      <c r="P3718" s="2038"/>
      <c r="Q3718" s="2038"/>
      <c r="R3718" s="2038"/>
      <c r="S3718" s="2038"/>
      <c r="T3718" s="2038"/>
      <c r="U3718" s="2038"/>
      <c r="V3718" s="2038"/>
      <c r="W3718" s="2038"/>
      <c r="X3718" s="2038"/>
      <c r="Y3718" s="2038"/>
      <c r="Z3718" s="2038"/>
      <c r="AA3718" s="2038"/>
      <c r="AB3718" s="2038"/>
      <c r="AC3718" s="2038"/>
      <c r="AD3718" s="2038"/>
      <c r="AE3718" s="2039" t="s">
        <v>1839</v>
      </c>
      <c r="AF3718" s="2040"/>
    </row>
    <row r="3719" spans="1:32" ht="15.75" x14ac:dyDescent="0.25">
      <c r="A3719" s="2041" t="s">
        <v>1840</v>
      </c>
      <c r="B3719" s="2042"/>
      <c r="C3719" s="2042"/>
      <c r="D3719" s="2042"/>
      <c r="E3719" s="2042"/>
      <c r="F3719" s="2042"/>
      <c r="G3719" s="2042"/>
      <c r="H3719" s="2042"/>
      <c r="I3719" s="2042"/>
      <c r="J3719" s="2042"/>
      <c r="K3719" s="2042"/>
      <c r="L3719" s="2042"/>
      <c r="M3719" s="2042"/>
      <c r="N3719" s="2042"/>
      <c r="O3719" s="2042"/>
      <c r="P3719" s="2042"/>
      <c r="Q3719" s="2042"/>
      <c r="R3719" s="2042"/>
      <c r="S3719" s="2042"/>
      <c r="T3719" s="2042"/>
      <c r="U3719" s="2042"/>
      <c r="V3719" s="2042"/>
      <c r="W3719" s="2042"/>
      <c r="X3719" s="2042"/>
      <c r="Y3719" s="2042"/>
      <c r="Z3719" s="2042"/>
      <c r="AA3719" s="2042"/>
      <c r="AB3719" s="2042"/>
      <c r="AC3719" s="2042"/>
      <c r="AD3719" s="2043"/>
      <c r="AE3719" s="2014" t="s">
        <v>1841</v>
      </c>
      <c r="AF3719" s="2044"/>
    </row>
    <row r="3720" spans="1:32" ht="15.75" x14ac:dyDescent="0.25">
      <c r="A3720" s="2045" t="s">
        <v>1853</v>
      </c>
      <c r="B3720" s="2046"/>
      <c r="C3720" s="2046"/>
      <c r="D3720" s="2046"/>
      <c r="E3720" s="2046"/>
      <c r="F3720" s="2046"/>
      <c r="G3720" s="2046"/>
      <c r="H3720" s="2046"/>
      <c r="I3720" s="2046"/>
      <c r="J3720" s="2046"/>
      <c r="K3720" s="2046"/>
      <c r="L3720" s="2046"/>
      <c r="M3720" s="2046"/>
      <c r="N3720" s="2046"/>
      <c r="O3720" s="2046"/>
      <c r="P3720" s="2046"/>
      <c r="Q3720" s="2046"/>
      <c r="R3720" s="2046"/>
      <c r="S3720" s="2046"/>
      <c r="T3720" s="2046"/>
      <c r="U3720" s="2046"/>
      <c r="V3720" s="2046"/>
      <c r="W3720" s="2046"/>
      <c r="X3720" s="2046"/>
      <c r="Y3720" s="2046"/>
      <c r="Z3720" s="2046"/>
      <c r="AA3720" s="2046"/>
      <c r="AB3720" s="2046"/>
      <c r="AC3720" s="2046"/>
      <c r="AD3720" s="2046"/>
      <c r="AE3720" s="2047">
        <f>'01'!$M$13</f>
        <v>0</v>
      </c>
      <c r="AF3720" s="2044"/>
    </row>
    <row r="3721" spans="1:32" x14ac:dyDescent="0.2">
      <c r="A3721" s="1046"/>
      <c r="B3721" s="1047"/>
      <c r="C3721" s="1047"/>
      <c r="D3721" s="1047"/>
      <c r="E3721" s="1047"/>
      <c r="F3721" s="1047"/>
      <c r="G3721" s="1047"/>
      <c r="H3721" s="1047"/>
      <c r="I3721" s="1047"/>
      <c r="J3721" s="1047"/>
      <c r="K3721" s="1047"/>
      <c r="L3721" s="1047"/>
      <c r="M3721" s="1047"/>
      <c r="N3721" s="1047"/>
      <c r="O3721" s="1047"/>
      <c r="P3721" s="1047"/>
      <c r="Q3721" s="1047"/>
      <c r="R3721" s="1047"/>
      <c r="S3721" s="1047"/>
      <c r="T3721" s="1047"/>
      <c r="U3721" s="1047"/>
      <c r="V3721" s="1047"/>
      <c r="W3721" s="1047"/>
      <c r="X3721" s="1047"/>
      <c r="Y3721" s="1047"/>
      <c r="Z3721" s="1047"/>
      <c r="AA3721" s="1047"/>
      <c r="AB3721" s="1047"/>
      <c r="AC3721" s="1047"/>
      <c r="AD3721" s="1047"/>
      <c r="AE3721" s="1047"/>
      <c r="AF3721" s="1048"/>
    </row>
    <row r="3722" spans="1:32" ht="30" customHeight="1" x14ac:dyDescent="0.2">
      <c r="A3722" s="2048" t="s">
        <v>1842</v>
      </c>
      <c r="B3722" s="2049"/>
      <c r="C3722" s="2049"/>
      <c r="D3722" s="2049"/>
      <c r="E3722" s="2049"/>
      <c r="F3722" s="2050" t="str">
        <f>+'01'!$H$130</f>
        <v>E - ESPESADOR GRAVIMÉTRICO</v>
      </c>
      <c r="G3722" s="2049"/>
      <c r="H3722" s="2049"/>
      <c r="I3722" s="2049"/>
      <c r="J3722" s="2049"/>
      <c r="K3722" s="2049"/>
      <c r="L3722" s="2049"/>
      <c r="M3722" s="2049"/>
      <c r="N3722" s="2049"/>
      <c r="O3722" s="2049"/>
      <c r="P3722" s="2049"/>
      <c r="Q3722" s="2049"/>
      <c r="R3722" s="2049"/>
      <c r="S3722" s="2049"/>
      <c r="T3722" s="2049"/>
      <c r="U3722" s="2049"/>
      <c r="V3722" s="2049"/>
      <c r="W3722" s="2049"/>
      <c r="X3722" s="2049"/>
      <c r="Y3722" s="2051"/>
      <c r="Z3722" s="2052" t="s">
        <v>1843</v>
      </c>
      <c r="AA3722" s="2053"/>
      <c r="AB3722" s="2058" t="s">
        <v>1844</v>
      </c>
      <c r="AC3722" s="2059"/>
      <c r="AD3722" s="2060"/>
      <c r="AE3722" s="2064" t="s">
        <v>1845</v>
      </c>
      <c r="AF3722" s="2067" t="s">
        <v>1846</v>
      </c>
    </row>
    <row r="3723" spans="1:32" ht="15" customHeight="1" x14ac:dyDescent="0.2">
      <c r="A3723" s="2070" t="str">
        <f>+'01'!A158</f>
        <v>E-08-06</v>
      </c>
      <c r="B3723" s="2071"/>
      <c r="C3723" s="2072"/>
      <c r="D3723" s="2076" t="str">
        <f>VLOOKUP(A3723,'01'!$A$12:$N$299,3,FALSE)</f>
        <v>SUMINISTRO E INSTALACIÓN VÁLVULA DE COMPUERTA ELASTICA VASTAGO NO ASCENDENTE EXTREMO BRIDADO PARA PVC DIAMETRO 6".</v>
      </c>
      <c r="E3723" s="2077"/>
      <c r="F3723" s="2077"/>
      <c r="G3723" s="2077"/>
      <c r="H3723" s="2077"/>
      <c r="I3723" s="2077"/>
      <c r="J3723" s="2077"/>
      <c r="K3723" s="2077"/>
      <c r="L3723" s="2077"/>
      <c r="M3723" s="2077"/>
      <c r="N3723" s="2077"/>
      <c r="O3723" s="2077"/>
      <c r="P3723" s="2077"/>
      <c r="Q3723" s="2077"/>
      <c r="R3723" s="2077"/>
      <c r="S3723" s="2078"/>
      <c r="T3723" s="2082" t="s">
        <v>124</v>
      </c>
      <c r="U3723" s="2083"/>
      <c r="V3723" s="2083"/>
      <c r="W3723" s="2083"/>
      <c r="X3723" s="2052" t="str">
        <f>VLOOKUP(A3723,'01'!$A$12:$N$299,9,FALSE)</f>
        <v>UND</v>
      </c>
      <c r="Y3723" s="2053"/>
      <c r="Z3723" s="2054"/>
      <c r="AA3723" s="2055"/>
      <c r="AB3723" s="2061"/>
      <c r="AC3723" s="2062"/>
      <c r="AD3723" s="2063"/>
      <c r="AE3723" s="2065"/>
      <c r="AF3723" s="2068"/>
    </row>
    <row r="3724" spans="1:32" ht="30" customHeight="1" x14ac:dyDescent="0.25">
      <c r="A3724" s="2073"/>
      <c r="B3724" s="2074"/>
      <c r="C3724" s="2075"/>
      <c r="D3724" s="2079"/>
      <c r="E3724" s="2080"/>
      <c r="F3724" s="2080"/>
      <c r="G3724" s="2080"/>
      <c r="H3724" s="2080"/>
      <c r="I3724" s="2080"/>
      <c r="J3724" s="2080"/>
      <c r="K3724" s="2080"/>
      <c r="L3724" s="2080"/>
      <c r="M3724" s="2080"/>
      <c r="N3724" s="2080"/>
      <c r="O3724" s="2080"/>
      <c r="P3724" s="2080"/>
      <c r="Q3724" s="2080"/>
      <c r="R3724" s="2080"/>
      <c r="S3724" s="2081"/>
      <c r="T3724" s="2084"/>
      <c r="U3724" s="2085"/>
      <c r="V3724" s="2085"/>
      <c r="W3724" s="2085"/>
      <c r="X3724" s="2056"/>
      <c r="Y3724" s="2057"/>
      <c r="Z3724" s="2056"/>
      <c r="AA3724" s="2057"/>
      <c r="AB3724" s="1049" t="s">
        <v>1847</v>
      </c>
      <c r="AC3724" s="1049" t="s">
        <v>1848</v>
      </c>
      <c r="AD3724" s="1049" t="s">
        <v>1861</v>
      </c>
      <c r="AE3724" s="2066"/>
      <c r="AF3724" s="2069"/>
    </row>
    <row r="3725" spans="1:32" ht="15.6" customHeight="1" x14ac:dyDescent="0.25">
      <c r="A3725" s="2017"/>
      <c r="B3725" s="2018"/>
      <c r="C3725" s="2018"/>
      <c r="D3725" s="2018"/>
      <c r="E3725" s="2018"/>
      <c r="F3725" s="2018"/>
      <c r="G3725" s="2018"/>
      <c r="H3725" s="2018"/>
      <c r="I3725" s="2018"/>
      <c r="J3725" s="2018"/>
      <c r="K3725" s="2018"/>
      <c r="L3725" s="2018"/>
      <c r="M3725" s="2018"/>
      <c r="N3725" s="2018"/>
      <c r="O3725" s="2018"/>
      <c r="P3725" s="2018"/>
      <c r="Q3725" s="2018"/>
      <c r="R3725" s="2018"/>
      <c r="S3725" s="2018"/>
      <c r="T3725" s="2018"/>
      <c r="U3725" s="2018"/>
      <c r="V3725" s="2018"/>
      <c r="W3725" s="2018"/>
      <c r="X3725" s="2018"/>
      <c r="Y3725" s="2018"/>
      <c r="Z3725" s="2021" t="s">
        <v>2460</v>
      </c>
      <c r="AA3725" s="2021"/>
      <c r="AB3725" s="1050"/>
      <c r="AC3725" s="1050"/>
      <c r="AD3725" s="1050"/>
      <c r="AE3725" s="1050">
        <v>1</v>
      </c>
      <c r="AF3725" s="1052">
        <f>+ROUND(AE3725,2)</f>
        <v>1</v>
      </c>
    </row>
    <row r="3726" spans="1:32" ht="15.6" customHeight="1" x14ac:dyDescent="0.25">
      <c r="A3726" s="2017"/>
      <c r="B3726" s="2018"/>
      <c r="C3726" s="2018"/>
      <c r="D3726" s="2018"/>
      <c r="E3726" s="2018"/>
      <c r="F3726" s="2018"/>
      <c r="G3726" s="2018"/>
      <c r="H3726" s="2018"/>
      <c r="I3726" s="2018"/>
      <c r="J3726" s="2018"/>
      <c r="K3726" s="2018"/>
      <c r="L3726" s="2018"/>
      <c r="M3726" s="2018"/>
      <c r="N3726" s="2018"/>
      <c r="O3726" s="2018"/>
      <c r="P3726" s="2018"/>
      <c r="Q3726" s="2018"/>
      <c r="R3726" s="2018"/>
      <c r="S3726" s="2018"/>
      <c r="T3726" s="2018"/>
      <c r="U3726" s="2018"/>
      <c r="V3726" s="2018"/>
      <c r="W3726" s="2018"/>
      <c r="X3726" s="2018"/>
      <c r="Y3726" s="2018"/>
      <c r="Z3726" s="2021"/>
      <c r="AA3726" s="2021"/>
      <c r="AB3726" s="1050"/>
      <c r="AC3726" s="1050"/>
      <c r="AD3726" s="1050"/>
      <c r="AE3726" s="1050"/>
      <c r="AF3726" s="1052"/>
    </row>
    <row r="3727" spans="1:32" ht="15.75" x14ac:dyDescent="0.25">
      <c r="A3727" s="2017"/>
      <c r="B3727" s="2018"/>
      <c r="C3727" s="2018"/>
      <c r="D3727" s="2018"/>
      <c r="E3727" s="2018"/>
      <c r="F3727" s="2018"/>
      <c r="G3727" s="2018"/>
      <c r="H3727" s="2018"/>
      <c r="I3727" s="2018"/>
      <c r="J3727" s="2018"/>
      <c r="K3727" s="2018"/>
      <c r="L3727" s="2018"/>
      <c r="M3727" s="2018"/>
      <c r="N3727" s="2018"/>
      <c r="O3727" s="2018"/>
      <c r="P3727" s="2018"/>
      <c r="Q3727" s="2018"/>
      <c r="R3727" s="2018"/>
      <c r="S3727" s="2018"/>
      <c r="T3727" s="2018"/>
      <c r="U3727" s="2018"/>
      <c r="V3727" s="2018"/>
      <c r="W3727" s="2018"/>
      <c r="X3727" s="2018"/>
      <c r="Y3727" s="2018"/>
      <c r="Z3727" s="2021"/>
      <c r="AA3727" s="2021"/>
      <c r="AB3727" s="1050"/>
      <c r="AC3727" s="1050"/>
      <c r="AD3727" s="1050"/>
      <c r="AE3727" s="1050"/>
      <c r="AF3727" s="1052"/>
    </row>
    <row r="3728" spans="1:32" ht="15.75" x14ac:dyDescent="0.25">
      <c r="A3728" s="2017"/>
      <c r="B3728" s="2018"/>
      <c r="C3728" s="2018"/>
      <c r="D3728" s="2018"/>
      <c r="E3728" s="2018"/>
      <c r="F3728" s="2018"/>
      <c r="G3728" s="2018"/>
      <c r="H3728" s="2018"/>
      <c r="I3728" s="2018"/>
      <c r="J3728" s="2018"/>
      <c r="K3728" s="2018"/>
      <c r="L3728" s="2018"/>
      <c r="M3728" s="2018"/>
      <c r="N3728" s="2018"/>
      <c r="O3728" s="2018"/>
      <c r="P3728" s="2018"/>
      <c r="Q3728" s="2018"/>
      <c r="R3728" s="2018"/>
      <c r="S3728" s="2018"/>
      <c r="T3728" s="2018"/>
      <c r="U3728" s="2018"/>
      <c r="V3728" s="2018"/>
      <c r="W3728" s="2018"/>
      <c r="X3728" s="2018"/>
      <c r="Y3728" s="2018"/>
      <c r="Z3728" s="2021"/>
      <c r="AA3728" s="2021"/>
      <c r="AB3728" s="1050"/>
      <c r="AC3728" s="1050"/>
      <c r="AD3728" s="1050"/>
      <c r="AE3728" s="1050"/>
      <c r="AF3728" s="1052"/>
    </row>
    <row r="3729" spans="1:32" ht="15.75" x14ac:dyDescent="0.25">
      <c r="A3729" s="2017"/>
      <c r="B3729" s="2018"/>
      <c r="C3729" s="2018"/>
      <c r="D3729" s="2018"/>
      <c r="E3729" s="2018"/>
      <c r="F3729" s="2018"/>
      <c r="G3729" s="2018"/>
      <c r="H3729" s="2018"/>
      <c r="I3729" s="2018"/>
      <c r="J3729" s="2018"/>
      <c r="K3729" s="2018"/>
      <c r="L3729" s="2018"/>
      <c r="M3729" s="2018"/>
      <c r="N3729" s="2018"/>
      <c r="O3729" s="2018"/>
      <c r="P3729" s="2018"/>
      <c r="Q3729" s="2018"/>
      <c r="R3729" s="2018"/>
      <c r="S3729" s="2018"/>
      <c r="T3729" s="2018"/>
      <c r="U3729" s="2018"/>
      <c r="V3729" s="2018"/>
      <c r="W3729" s="2018"/>
      <c r="X3729" s="2018"/>
      <c r="Y3729" s="2018"/>
      <c r="Z3729" s="2021"/>
      <c r="AA3729" s="2021"/>
      <c r="AB3729" s="1050"/>
      <c r="AC3729" s="1050"/>
      <c r="AD3729" s="1050"/>
      <c r="AE3729" s="1050"/>
      <c r="AF3729" s="1052"/>
    </row>
    <row r="3730" spans="1:32" ht="15.75" x14ac:dyDescent="0.25">
      <c r="A3730" s="2017"/>
      <c r="B3730" s="2018"/>
      <c r="C3730" s="2018"/>
      <c r="D3730" s="2018"/>
      <c r="E3730" s="2018"/>
      <c r="F3730" s="2018"/>
      <c r="G3730" s="2018"/>
      <c r="H3730" s="2018"/>
      <c r="I3730" s="2018"/>
      <c r="J3730" s="2018"/>
      <c r="K3730" s="2018"/>
      <c r="L3730" s="2018"/>
      <c r="M3730" s="2018"/>
      <c r="N3730" s="2018"/>
      <c r="O3730" s="2018"/>
      <c r="P3730" s="2018"/>
      <c r="Q3730" s="2018"/>
      <c r="R3730" s="2018"/>
      <c r="S3730" s="2018"/>
      <c r="T3730" s="2018"/>
      <c r="U3730" s="2018"/>
      <c r="V3730" s="2018"/>
      <c r="W3730" s="2018"/>
      <c r="X3730" s="2018"/>
      <c r="Y3730" s="2018"/>
      <c r="Z3730" s="2021"/>
      <c r="AA3730" s="2021"/>
      <c r="AB3730" s="1050"/>
      <c r="AC3730" s="1050"/>
      <c r="AD3730" s="1050"/>
      <c r="AE3730" s="1050"/>
      <c r="AF3730" s="1052"/>
    </row>
    <row r="3731" spans="1:32" ht="15.75" x14ac:dyDescent="0.25">
      <c r="A3731" s="2017"/>
      <c r="B3731" s="2018"/>
      <c r="C3731" s="2018"/>
      <c r="D3731" s="2018"/>
      <c r="E3731" s="2018"/>
      <c r="F3731" s="2018"/>
      <c r="G3731" s="2018"/>
      <c r="H3731" s="2018"/>
      <c r="I3731" s="2018"/>
      <c r="J3731" s="2018"/>
      <c r="K3731" s="2018"/>
      <c r="L3731" s="2018"/>
      <c r="M3731" s="2018"/>
      <c r="N3731" s="2018"/>
      <c r="O3731" s="2018"/>
      <c r="P3731" s="2018"/>
      <c r="Q3731" s="2018"/>
      <c r="R3731" s="2018"/>
      <c r="S3731" s="2018"/>
      <c r="T3731" s="2018"/>
      <c r="U3731" s="2018"/>
      <c r="V3731" s="2018"/>
      <c r="W3731" s="2018"/>
      <c r="X3731" s="2018"/>
      <c r="Y3731" s="2018"/>
      <c r="Z3731" s="2021"/>
      <c r="AA3731" s="2021"/>
      <c r="AB3731" s="1050"/>
      <c r="AC3731" s="1050"/>
      <c r="AD3731" s="1050"/>
      <c r="AE3731" s="1050"/>
      <c r="AF3731" s="1052"/>
    </row>
    <row r="3732" spans="1:32" ht="15.75" x14ac:dyDescent="0.25">
      <c r="A3732" s="2017"/>
      <c r="B3732" s="2018"/>
      <c r="C3732" s="2018"/>
      <c r="D3732" s="2018"/>
      <c r="E3732" s="2018"/>
      <c r="F3732" s="2018"/>
      <c r="G3732" s="2018"/>
      <c r="H3732" s="2018"/>
      <c r="I3732" s="2018"/>
      <c r="J3732" s="2018"/>
      <c r="K3732" s="2018"/>
      <c r="L3732" s="2018"/>
      <c r="M3732" s="2018"/>
      <c r="N3732" s="2018"/>
      <c r="O3732" s="2018"/>
      <c r="P3732" s="2018"/>
      <c r="Q3732" s="2018"/>
      <c r="R3732" s="2018"/>
      <c r="S3732" s="2018"/>
      <c r="T3732" s="2018"/>
      <c r="U3732" s="2018"/>
      <c r="V3732" s="2018"/>
      <c r="W3732" s="2018"/>
      <c r="X3732" s="2018"/>
      <c r="Y3732" s="2018"/>
      <c r="Z3732" s="2021"/>
      <c r="AA3732" s="2021"/>
      <c r="AB3732" s="1050"/>
      <c r="AC3732" s="1050"/>
      <c r="AD3732" s="1050"/>
      <c r="AE3732" s="1050"/>
      <c r="AF3732" s="1052"/>
    </row>
    <row r="3733" spans="1:32" ht="15.75" x14ac:dyDescent="0.25">
      <c r="A3733" s="2017"/>
      <c r="B3733" s="2018"/>
      <c r="C3733" s="2018"/>
      <c r="D3733" s="2018"/>
      <c r="E3733" s="2018"/>
      <c r="F3733" s="2018"/>
      <c r="G3733" s="2018"/>
      <c r="H3733" s="2018"/>
      <c r="I3733" s="2018"/>
      <c r="J3733" s="2018"/>
      <c r="K3733" s="2018"/>
      <c r="L3733" s="2018"/>
      <c r="M3733" s="2018"/>
      <c r="N3733" s="2018"/>
      <c r="O3733" s="2018"/>
      <c r="P3733" s="2018"/>
      <c r="Q3733" s="2018"/>
      <c r="R3733" s="2018"/>
      <c r="S3733" s="2018"/>
      <c r="T3733" s="2018"/>
      <c r="U3733" s="2018"/>
      <c r="V3733" s="2018"/>
      <c r="W3733" s="2018"/>
      <c r="X3733" s="2018"/>
      <c r="Y3733" s="2018"/>
      <c r="Z3733" s="2021"/>
      <c r="AA3733" s="2021"/>
      <c r="AB3733" s="1050"/>
      <c r="AC3733" s="1050"/>
      <c r="AD3733" s="1050"/>
      <c r="AE3733" s="1050"/>
      <c r="AF3733" s="1052"/>
    </row>
    <row r="3734" spans="1:32" ht="15.75" x14ac:dyDescent="0.25">
      <c r="A3734" s="2017"/>
      <c r="B3734" s="2018"/>
      <c r="C3734" s="2018"/>
      <c r="D3734" s="2018"/>
      <c r="E3734" s="2018"/>
      <c r="F3734" s="2018"/>
      <c r="G3734" s="2018"/>
      <c r="H3734" s="2018"/>
      <c r="I3734" s="2018"/>
      <c r="J3734" s="2018"/>
      <c r="K3734" s="2018"/>
      <c r="L3734" s="2018"/>
      <c r="M3734" s="2018"/>
      <c r="N3734" s="2018"/>
      <c r="O3734" s="2018"/>
      <c r="P3734" s="2018"/>
      <c r="Q3734" s="2018"/>
      <c r="R3734" s="2018"/>
      <c r="S3734" s="2018"/>
      <c r="T3734" s="2018"/>
      <c r="U3734" s="2018"/>
      <c r="V3734" s="2018"/>
      <c r="W3734" s="2018"/>
      <c r="X3734" s="2018"/>
      <c r="Y3734" s="2018"/>
      <c r="Z3734" s="2021"/>
      <c r="AA3734" s="2021"/>
      <c r="AB3734" s="1050"/>
      <c r="AC3734" s="1050"/>
      <c r="AD3734" s="1050"/>
      <c r="AE3734" s="1050"/>
      <c r="AF3734" s="1052"/>
    </row>
    <row r="3735" spans="1:32" ht="15.75" x14ac:dyDescent="0.25">
      <c r="A3735" s="2017"/>
      <c r="B3735" s="2018"/>
      <c r="C3735" s="2018"/>
      <c r="D3735" s="2018"/>
      <c r="E3735" s="2018"/>
      <c r="F3735" s="2018"/>
      <c r="G3735" s="2018"/>
      <c r="H3735" s="2018"/>
      <c r="I3735" s="2018"/>
      <c r="J3735" s="2018"/>
      <c r="K3735" s="2018"/>
      <c r="L3735" s="2018"/>
      <c r="M3735" s="2018"/>
      <c r="N3735" s="2018"/>
      <c r="O3735" s="2018"/>
      <c r="P3735" s="2018"/>
      <c r="Q3735" s="2018"/>
      <c r="R3735" s="2018"/>
      <c r="S3735" s="2018"/>
      <c r="T3735" s="2018"/>
      <c r="U3735" s="2018"/>
      <c r="V3735" s="2018"/>
      <c r="W3735" s="2018"/>
      <c r="X3735" s="2018"/>
      <c r="Y3735" s="2018"/>
      <c r="Z3735" s="2021"/>
      <c r="AA3735" s="2021"/>
      <c r="AB3735" s="1050"/>
      <c r="AC3735" s="1050"/>
      <c r="AD3735" s="1050"/>
      <c r="AE3735" s="1050"/>
      <c r="AF3735" s="1052"/>
    </row>
    <row r="3736" spans="1:32" ht="15.75" x14ac:dyDescent="0.25">
      <c r="A3736" s="2017"/>
      <c r="B3736" s="2018"/>
      <c r="C3736" s="2018"/>
      <c r="D3736" s="2018"/>
      <c r="E3736" s="2018"/>
      <c r="F3736" s="2018"/>
      <c r="G3736" s="2018"/>
      <c r="H3736" s="2018"/>
      <c r="I3736" s="2018"/>
      <c r="J3736" s="2018"/>
      <c r="K3736" s="2018"/>
      <c r="L3736" s="2018"/>
      <c r="M3736" s="2018"/>
      <c r="N3736" s="2018"/>
      <c r="O3736" s="2018"/>
      <c r="P3736" s="2018"/>
      <c r="Q3736" s="2018"/>
      <c r="R3736" s="2018"/>
      <c r="S3736" s="2018"/>
      <c r="T3736" s="2018"/>
      <c r="U3736" s="2018"/>
      <c r="V3736" s="2018"/>
      <c r="W3736" s="2018"/>
      <c r="X3736" s="2018"/>
      <c r="Y3736" s="2018"/>
      <c r="Z3736" s="2021"/>
      <c r="AA3736" s="2021"/>
      <c r="AB3736" s="1050"/>
      <c r="AC3736" s="1050"/>
      <c r="AD3736" s="1050"/>
      <c r="AE3736" s="1050"/>
      <c r="AF3736" s="1052"/>
    </row>
    <row r="3737" spans="1:32" ht="15.75" x14ac:dyDescent="0.25">
      <c r="A3737" s="2017"/>
      <c r="B3737" s="2018"/>
      <c r="C3737" s="2018"/>
      <c r="D3737" s="2018"/>
      <c r="E3737" s="2018"/>
      <c r="F3737" s="2018"/>
      <c r="G3737" s="2018"/>
      <c r="H3737" s="2018"/>
      <c r="I3737" s="2018"/>
      <c r="J3737" s="2018"/>
      <c r="K3737" s="2018"/>
      <c r="L3737" s="2018"/>
      <c r="M3737" s="2018"/>
      <c r="N3737" s="2018"/>
      <c r="O3737" s="2018"/>
      <c r="P3737" s="2018"/>
      <c r="Q3737" s="2018"/>
      <c r="R3737" s="2018"/>
      <c r="S3737" s="2018"/>
      <c r="T3737" s="2018"/>
      <c r="U3737" s="2018"/>
      <c r="V3737" s="2018"/>
      <c r="W3737" s="2018"/>
      <c r="X3737" s="2018"/>
      <c r="Y3737" s="2018"/>
      <c r="Z3737" s="2021"/>
      <c r="AA3737" s="2021"/>
      <c r="AB3737" s="1050"/>
      <c r="AC3737" s="1050"/>
      <c r="AD3737" s="1050"/>
      <c r="AE3737" s="1050"/>
      <c r="AF3737" s="1052"/>
    </row>
    <row r="3738" spans="1:32" ht="15.75" x14ac:dyDescent="0.25">
      <c r="A3738" s="2017"/>
      <c r="B3738" s="2018"/>
      <c r="C3738" s="2018"/>
      <c r="D3738" s="2018"/>
      <c r="E3738" s="2018"/>
      <c r="F3738" s="2018"/>
      <c r="G3738" s="2018"/>
      <c r="H3738" s="2018"/>
      <c r="I3738" s="2018"/>
      <c r="J3738" s="2018"/>
      <c r="K3738" s="2018"/>
      <c r="L3738" s="2018"/>
      <c r="M3738" s="2018"/>
      <c r="N3738" s="2018"/>
      <c r="O3738" s="2018"/>
      <c r="P3738" s="2018"/>
      <c r="Q3738" s="2018"/>
      <c r="R3738" s="2018"/>
      <c r="S3738" s="2018"/>
      <c r="T3738" s="2018"/>
      <c r="U3738" s="2018"/>
      <c r="V3738" s="2018"/>
      <c r="W3738" s="2018"/>
      <c r="X3738" s="2018"/>
      <c r="Y3738" s="2018"/>
      <c r="Z3738" s="2021"/>
      <c r="AA3738" s="2021"/>
      <c r="AB3738" s="1050"/>
      <c r="AC3738" s="1050"/>
      <c r="AD3738" s="1050"/>
      <c r="AE3738" s="1050"/>
      <c r="AF3738" s="1052"/>
    </row>
    <row r="3739" spans="1:32" ht="15.75" x14ac:dyDescent="0.25">
      <c r="A3739" s="2017"/>
      <c r="B3739" s="2018"/>
      <c r="C3739" s="2018"/>
      <c r="D3739" s="2018"/>
      <c r="E3739" s="2018"/>
      <c r="F3739" s="2018"/>
      <c r="G3739" s="2018"/>
      <c r="H3739" s="2018"/>
      <c r="I3739" s="2018"/>
      <c r="J3739" s="2018"/>
      <c r="K3739" s="2018"/>
      <c r="L3739" s="2018"/>
      <c r="M3739" s="2018"/>
      <c r="N3739" s="2018"/>
      <c r="O3739" s="2018"/>
      <c r="P3739" s="2018"/>
      <c r="Q3739" s="2018"/>
      <c r="R3739" s="2018"/>
      <c r="S3739" s="2018"/>
      <c r="T3739" s="2018"/>
      <c r="U3739" s="2018"/>
      <c r="V3739" s="2018"/>
      <c r="W3739" s="2018"/>
      <c r="X3739" s="2018"/>
      <c r="Y3739" s="2018"/>
      <c r="Z3739" s="2022"/>
      <c r="AA3739" s="2022"/>
      <c r="AB3739" s="1050"/>
      <c r="AC3739" s="1050"/>
      <c r="AD3739" s="1050"/>
      <c r="AE3739" s="1050"/>
      <c r="AF3739" s="1052"/>
    </row>
    <row r="3740" spans="1:32" ht="15.75" x14ac:dyDescent="0.25">
      <c r="A3740" s="2017"/>
      <c r="B3740" s="2018"/>
      <c r="C3740" s="2018"/>
      <c r="D3740" s="2018"/>
      <c r="E3740" s="2018"/>
      <c r="F3740" s="2018"/>
      <c r="G3740" s="2018"/>
      <c r="H3740" s="2018"/>
      <c r="I3740" s="2018"/>
      <c r="J3740" s="2018"/>
      <c r="K3740" s="2018"/>
      <c r="L3740" s="2018"/>
      <c r="M3740" s="2018"/>
      <c r="N3740" s="2018"/>
      <c r="O3740" s="2018"/>
      <c r="P3740" s="2018"/>
      <c r="Q3740" s="2018"/>
      <c r="R3740" s="2018"/>
      <c r="S3740" s="2018"/>
      <c r="T3740" s="2018"/>
      <c r="U3740" s="2018"/>
      <c r="V3740" s="2018"/>
      <c r="W3740" s="2018"/>
      <c r="X3740" s="2018"/>
      <c r="Y3740" s="2018"/>
      <c r="Z3740" s="2022"/>
      <c r="AA3740" s="2022"/>
      <c r="AB3740" s="1050"/>
      <c r="AC3740" s="1050"/>
      <c r="AD3740" s="1050"/>
      <c r="AE3740" s="1050"/>
      <c r="AF3740" s="1052"/>
    </row>
    <row r="3741" spans="1:32" ht="15.75" x14ac:dyDescent="0.25">
      <c r="A3741" s="2017"/>
      <c r="B3741" s="2018"/>
      <c r="C3741" s="2018"/>
      <c r="D3741" s="2018"/>
      <c r="E3741" s="2018"/>
      <c r="F3741" s="2018"/>
      <c r="G3741" s="2018"/>
      <c r="H3741" s="2018"/>
      <c r="I3741" s="2018"/>
      <c r="J3741" s="2018"/>
      <c r="K3741" s="2018"/>
      <c r="L3741" s="2018"/>
      <c r="M3741" s="2018"/>
      <c r="N3741" s="2018"/>
      <c r="O3741" s="2018"/>
      <c r="P3741" s="2018"/>
      <c r="Q3741" s="2018"/>
      <c r="R3741" s="2018"/>
      <c r="S3741" s="2018"/>
      <c r="T3741" s="2018"/>
      <c r="U3741" s="2018"/>
      <c r="V3741" s="2018"/>
      <c r="W3741" s="2018"/>
      <c r="X3741" s="2018"/>
      <c r="Y3741" s="2018"/>
      <c r="Z3741" s="2022"/>
      <c r="AA3741" s="2022"/>
      <c r="AB3741" s="1050"/>
      <c r="AC3741" s="1050"/>
      <c r="AD3741" s="1050"/>
      <c r="AE3741" s="1050"/>
      <c r="AF3741" s="1052"/>
    </row>
    <row r="3742" spans="1:32" ht="15.75" x14ac:dyDescent="0.25">
      <c r="A3742" s="2017"/>
      <c r="B3742" s="2018"/>
      <c r="C3742" s="2018"/>
      <c r="D3742" s="2018"/>
      <c r="E3742" s="2018"/>
      <c r="F3742" s="2018"/>
      <c r="G3742" s="2018"/>
      <c r="H3742" s="2018"/>
      <c r="I3742" s="2018"/>
      <c r="J3742" s="2018"/>
      <c r="K3742" s="2018"/>
      <c r="L3742" s="2018"/>
      <c r="M3742" s="2018"/>
      <c r="N3742" s="2018"/>
      <c r="O3742" s="2018"/>
      <c r="P3742" s="2018"/>
      <c r="Q3742" s="2018"/>
      <c r="R3742" s="2018"/>
      <c r="S3742" s="2018"/>
      <c r="T3742" s="2018"/>
      <c r="U3742" s="2018"/>
      <c r="V3742" s="2018"/>
      <c r="W3742" s="2018"/>
      <c r="X3742" s="2018"/>
      <c r="Y3742" s="2018"/>
      <c r="Z3742" s="2023"/>
      <c r="AA3742" s="2023"/>
      <c r="AB3742" s="1050"/>
      <c r="AC3742" s="1050"/>
      <c r="AD3742" s="1050"/>
      <c r="AE3742" s="1050"/>
      <c r="AF3742" s="1052"/>
    </row>
    <row r="3743" spans="1:32" ht="15.75" x14ac:dyDescent="0.25">
      <c r="A3743" s="2017"/>
      <c r="B3743" s="2018"/>
      <c r="C3743" s="2018"/>
      <c r="D3743" s="2018"/>
      <c r="E3743" s="2018"/>
      <c r="F3743" s="2018"/>
      <c r="G3743" s="2018"/>
      <c r="H3743" s="2018"/>
      <c r="I3743" s="2018"/>
      <c r="J3743" s="2018"/>
      <c r="K3743" s="2018"/>
      <c r="L3743" s="2018"/>
      <c r="M3743" s="2018"/>
      <c r="N3743" s="2018"/>
      <c r="O3743" s="2018"/>
      <c r="P3743" s="2018"/>
      <c r="Q3743" s="2018"/>
      <c r="R3743" s="2018"/>
      <c r="S3743" s="2018"/>
      <c r="T3743" s="2018"/>
      <c r="U3743" s="2018"/>
      <c r="V3743" s="2018"/>
      <c r="W3743" s="2018"/>
      <c r="X3743" s="2018"/>
      <c r="Y3743" s="2018"/>
      <c r="Z3743" s="2023"/>
      <c r="AA3743" s="2023"/>
      <c r="AB3743" s="1050"/>
      <c r="AC3743" s="1050"/>
      <c r="AD3743" s="1050"/>
      <c r="AE3743" s="1050"/>
      <c r="AF3743" s="1052"/>
    </row>
    <row r="3744" spans="1:32" ht="15.75" x14ac:dyDescent="0.25">
      <c r="A3744" s="2017"/>
      <c r="B3744" s="2018"/>
      <c r="C3744" s="2018"/>
      <c r="D3744" s="2018"/>
      <c r="E3744" s="2018"/>
      <c r="F3744" s="2018"/>
      <c r="G3744" s="2018"/>
      <c r="H3744" s="2018"/>
      <c r="I3744" s="2018"/>
      <c r="J3744" s="2018"/>
      <c r="K3744" s="2018"/>
      <c r="L3744" s="2018"/>
      <c r="M3744" s="2018"/>
      <c r="N3744" s="2018"/>
      <c r="O3744" s="2018"/>
      <c r="P3744" s="2018"/>
      <c r="Q3744" s="2018"/>
      <c r="R3744" s="2018"/>
      <c r="S3744" s="2018"/>
      <c r="T3744" s="2018"/>
      <c r="U3744" s="2018"/>
      <c r="V3744" s="2018"/>
      <c r="W3744" s="2018"/>
      <c r="X3744" s="2018"/>
      <c r="Y3744" s="2018"/>
      <c r="Z3744" s="2023"/>
      <c r="AA3744" s="2023"/>
      <c r="AB3744" s="1050"/>
      <c r="AC3744" s="1050"/>
      <c r="AD3744" s="1050"/>
      <c r="AE3744" s="1050"/>
      <c r="AF3744" s="1052"/>
    </row>
    <row r="3745" spans="1:32" ht="15.75" x14ac:dyDescent="0.25">
      <c r="A3745" s="2017"/>
      <c r="B3745" s="2018"/>
      <c r="C3745" s="2018"/>
      <c r="D3745" s="2018"/>
      <c r="E3745" s="2018"/>
      <c r="F3745" s="2018"/>
      <c r="G3745" s="2018"/>
      <c r="H3745" s="2018"/>
      <c r="I3745" s="2018"/>
      <c r="J3745" s="2018"/>
      <c r="K3745" s="2018"/>
      <c r="L3745" s="2018"/>
      <c r="M3745" s="2018"/>
      <c r="N3745" s="2018"/>
      <c r="O3745" s="2018"/>
      <c r="P3745" s="2018"/>
      <c r="Q3745" s="2018"/>
      <c r="R3745" s="2018"/>
      <c r="S3745" s="2018"/>
      <c r="T3745" s="2018"/>
      <c r="U3745" s="2018"/>
      <c r="V3745" s="2018"/>
      <c r="W3745" s="2018"/>
      <c r="X3745" s="2018"/>
      <c r="Y3745" s="2018"/>
      <c r="Z3745" s="2023"/>
      <c r="AA3745" s="2023"/>
      <c r="AB3745" s="1050"/>
      <c r="AC3745" s="1050"/>
      <c r="AD3745" s="1050"/>
      <c r="AE3745" s="1050"/>
      <c r="AF3745" s="1052"/>
    </row>
    <row r="3746" spans="1:32" ht="15.75" x14ac:dyDescent="0.25">
      <c r="A3746" s="2017"/>
      <c r="B3746" s="2018"/>
      <c r="C3746" s="2018"/>
      <c r="D3746" s="2018"/>
      <c r="E3746" s="2018"/>
      <c r="F3746" s="2018"/>
      <c r="G3746" s="2018"/>
      <c r="H3746" s="2018"/>
      <c r="I3746" s="2018"/>
      <c r="J3746" s="2018"/>
      <c r="K3746" s="2018"/>
      <c r="L3746" s="2018"/>
      <c r="M3746" s="2018"/>
      <c r="N3746" s="2018"/>
      <c r="O3746" s="2018"/>
      <c r="P3746" s="2018"/>
      <c r="Q3746" s="2018"/>
      <c r="R3746" s="2018"/>
      <c r="S3746" s="2018"/>
      <c r="T3746" s="2018"/>
      <c r="U3746" s="2018"/>
      <c r="V3746" s="2018"/>
      <c r="W3746" s="2018"/>
      <c r="X3746" s="2018"/>
      <c r="Y3746" s="2018"/>
      <c r="Z3746" s="2023"/>
      <c r="AA3746" s="2023"/>
      <c r="AB3746" s="1050"/>
      <c r="AC3746" s="1050"/>
      <c r="AD3746" s="1050"/>
      <c r="AE3746" s="1050"/>
      <c r="AF3746" s="1052"/>
    </row>
    <row r="3747" spans="1:32" ht="15.75" x14ac:dyDescent="0.25">
      <c r="A3747" s="2017"/>
      <c r="B3747" s="2018"/>
      <c r="C3747" s="2018"/>
      <c r="D3747" s="2018"/>
      <c r="E3747" s="2018"/>
      <c r="F3747" s="2018"/>
      <c r="G3747" s="2018"/>
      <c r="H3747" s="2018"/>
      <c r="I3747" s="2018"/>
      <c r="J3747" s="2018"/>
      <c r="K3747" s="2018"/>
      <c r="L3747" s="2018"/>
      <c r="M3747" s="2018"/>
      <c r="N3747" s="2018"/>
      <c r="O3747" s="2018"/>
      <c r="P3747" s="2018"/>
      <c r="Q3747" s="2018"/>
      <c r="R3747" s="2018"/>
      <c r="S3747" s="2018"/>
      <c r="T3747" s="2018"/>
      <c r="U3747" s="2018"/>
      <c r="V3747" s="2018"/>
      <c r="W3747" s="2018"/>
      <c r="X3747" s="2018"/>
      <c r="Y3747" s="2018"/>
      <c r="Z3747" s="2023"/>
      <c r="AA3747" s="2023"/>
      <c r="AB3747" s="1050"/>
      <c r="AC3747" s="1050"/>
      <c r="AD3747" s="1050"/>
      <c r="AE3747" s="1050"/>
      <c r="AF3747" s="1052"/>
    </row>
    <row r="3748" spans="1:32" ht="16.5" thickBot="1" x14ac:dyDescent="0.3">
      <c r="A3748" s="2019"/>
      <c r="B3748" s="2020"/>
      <c r="C3748" s="2020"/>
      <c r="D3748" s="2020"/>
      <c r="E3748" s="2020"/>
      <c r="F3748" s="2020"/>
      <c r="G3748" s="2020"/>
      <c r="H3748" s="2020"/>
      <c r="I3748" s="2020"/>
      <c r="J3748" s="2020"/>
      <c r="K3748" s="2020"/>
      <c r="L3748" s="2020"/>
      <c r="M3748" s="2020"/>
      <c r="N3748" s="2020"/>
      <c r="O3748" s="2020"/>
      <c r="P3748" s="2020"/>
      <c r="Q3748" s="2020"/>
      <c r="R3748" s="2020"/>
      <c r="S3748" s="2020"/>
      <c r="T3748" s="2020"/>
      <c r="U3748" s="2020"/>
      <c r="V3748" s="2020"/>
      <c r="W3748" s="2020"/>
      <c r="X3748" s="2020"/>
      <c r="Y3748" s="2020"/>
      <c r="Z3748" s="2024"/>
      <c r="AA3748" s="2024"/>
      <c r="AB3748" s="1057"/>
      <c r="AC3748" s="1057"/>
      <c r="AD3748" s="1057"/>
      <c r="AE3748" s="1057"/>
      <c r="AF3748" s="1058"/>
    </row>
    <row r="3749" spans="1:32" ht="15.75" x14ac:dyDescent="0.25">
      <c r="A3749" s="2009" t="s">
        <v>2158</v>
      </c>
      <c r="B3749" s="2010"/>
      <c r="C3749" s="2010"/>
      <c r="D3749" s="2010"/>
      <c r="E3749" s="2010"/>
      <c r="F3749" s="2010"/>
      <c r="G3749" s="2010"/>
      <c r="H3749" s="2010"/>
      <c r="I3749" s="2010"/>
      <c r="J3749" s="2010"/>
      <c r="K3749" s="2010"/>
      <c r="L3749" s="2010"/>
      <c r="M3749" s="2010"/>
      <c r="N3749" s="2010"/>
      <c r="O3749" s="2010"/>
      <c r="P3749" s="2010"/>
      <c r="Q3749" s="2010"/>
      <c r="R3749" s="2010"/>
      <c r="S3749" s="2010"/>
      <c r="T3749" s="2010"/>
      <c r="U3749" s="2010"/>
      <c r="V3749" s="2010"/>
      <c r="W3749" s="2010"/>
      <c r="X3749" s="2010"/>
      <c r="Y3749" s="2010"/>
      <c r="Z3749" s="2013" t="s">
        <v>1850</v>
      </c>
      <c r="AA3749" s="2013"/>
      <c r="AB3749" s="2013"/>
      <c r="AC3749" s="2013"/>
      <c r="AD3749" s="2013"/>
      <c r="AE3749" s="2013"/>
      <c r="AF3749" s="1059">
        <f>SUM(AF3725:AF3748)</f>
        <v>1</v>
      </c>
    </row>
    <row r="3750" spans="1:32" ht="15.75" x14ac:dyDescent="0.25">
      <c r="A3750" s="2011"/>
      <c r="B3750" s="2012"/>
      <c r="C3750" s="2012"/>
      <c r="D3750" s="2012"/>
      <c r="E3750" s="2012"/>
      <c r="F3750" s="2012"/>
      <c r="G3750" s="2012"/>
      <c r="H3750" s="2012"/>
      <c r="I3750" s="2012"/>
      <c r="J3750" s="2012"/>
      <c r="K3750" s="2012"/>
      <c r="L3750" s="2012"/>
      <c r="M3750" s="2012"/>
      <c r="N3750" s="2012"/>
      <c r="O3750" s="2012"/>
      <c r="P3750" s="2012"/>
      <c r="Q3750" s="2012"/>
      <c r="R3750" s="2012"/>
      <c r="S3750" s="2012"/>
      <c r="T3750" s="2012"/>
      <c r="U3750" s="2012"/>
      <c r="V3750" s="2012"/>
      <c r="W3750" s="2012"/>
      <c r="X3750" s="2012"/>
      <c r="Y3750" s="2012"/>
      <c r="Z3750" s="2014" t="s">
        <v>1851</v>
      </c>
      <c r="AA3750" s="2014"/>
      <c r="AB3750" s="2014"/>
      <c r="AC3750" s="2014"/>
      <c r="AD3750" s="2014"/>
      <c r="AE3750" s="2014"/>
      <c r="AF3750" s="1060">
        <v>0</v>
      </c>
    </row>
    <row r="3751" spans="1:32" ht="15.75" x14ac:dyDescent="0.25">
      <c r="A3751" s="2011"/>
      <c r="B3751" s="2012"/>
      <c r="C3751" s="2012"/>
      <c r="D3751" s="2012"/>
      <c r="E3751" s="2012"/>
      <c r="F3751" s="2012"/>
      <c r="G3751" s="2012"/>
      <c r="H3751" s="2012"/>
      <c r="I3751" s="2012"/>
      <c r="J3751" s="2012"/>
      <c r="K3751" s="2012"/>
      <c r="L3751" s="2012"/>
      <c r="M3751" s="2012"/>
      <c r="N3751" s="2012"/>
      <c r="O3751" s="2012"/>
      <c r="P3751" s="2012"/>
      <c r="Q3751" s="2012"/>
      <c r="R3751" s="2012"/>
      <c r="S3751" s="2012"/>
      <c r="T3751" s="2012"/>
      <c r="U3751" s="2012"/>
      <c r="V3751" s="2012"/>
      <c r="W3751" s="2012"/>
      <c r="X3751" s="2012"/>
      <c r="Y3751" s="2012"/>
      <c r="Z3751" s="2015" t="s">
        <v>1833</v>
      </c>
      <c r="AA3751" s="2015"/>
      <c r="AB3751" s="2015"/>
      <c r="AC3751" s="2015"/>
      <c r="AD3751" s="2015"/>
      <c r="AE3751" s="2015"/>
      <c r="AF3751" s="1061">
        <f>SUM(AF3749:AF3750)</f>
        <v>1</v>
      </c>
    </row>
    <row r="3752" spans="1:32" x14ac:dyDescent="0.2">
      <c r="A3752" s="2012" t="s">
        <v>1859</v>
      </c>
      <c r="B3752" s="2012"/>
      <c r="C3752" s="2012"/>
      <c r="D3752" s="2012"/>
      <c r="E3752" s="2012"/>
      <c r="F3752" s="2012"/>
      <c r="G3752" s="2012"/>
      <c r="H3752" s="2012"/>
      <c r="I3752" s="2012"/>
      <c r="J3752" s="2012"/>
      <c r="K3752" s="2012"/>
      <c r="L3752" s="2012"/>
      <c r="M3752" s="2012"/>
      <c r="N3752" s="2012"/>
      <c r="O3752" s="2012"/>
      <c r="P3752" s="2012"/>
      <c r="Q3752" s="2012"/>
      <c r="R3752" s="2012"/>
      <c r="S3752" s="2012"/>
      <c r="T3752" s="2016" t="s">
        <v>1840</v>
      </c>
      <c r="U3752" s="2016"/>
      <c r="V3752" s="2016"/>
      <c r="W3752" s="2016"/>
      <c r="X3752" s="2016"/>
      <c r="Y3752" s="2016"/>
      <c r="Z3752" s="2016"/>
      <c r="AA3752" s="2016"/>
      <c r="AB3752" s="2012" t="s">
        <v>1852</v>
      </c>
      <c r="AC3752" s="2012"/>
      <c r="AD3752" s="2012"/>
      <c r="AE3752" s="2012"/>
      <c r="AF3752" s="2012"/>
    </row>
    <row r="3753" spans="1:32" x14ac:dyDescent="0.2">
      <c r="A3753" s="2012"/>
      <c r="B3753" s="2012"/>
      <c r="C3753" s="2012"/>
      <c r="D3753" s="2012"/>
      <c r="E3753" s="2012"/>
      <c r="F3753" s="2012"/>
      <c r="G3753" s="2012"/>
      <c r="H3753" s="2012"/>
      <c r="I3753" s="2012"/>
      <c r="J3753" s="2012"/>
      <c r="K3753" s="2012"/>
      <c r="L3753" s="2012"/>
      <c r="M3753" s="2012"/>
      <c r="N3753" s="2012"/>
      <c r="O3753" s="2012"/>
      <c r="P3753" s="2012"/>
      <c r="Q3753" s="2012"/>
      <c r="R3753" s="2012"/>
      <c r="S3753" s="2012"/>
      <c r="T3753" s="2016"/>
      <c r="U3753" s="2016"/>
      <c r="V3753" s="2016"/>
      <c r="W3753" s="2016"/>
      <c r="X3753" s="2016"/>
      <c r="Y3753" s="2016"/>
      <c r="Z3753" s="2016"/>
      <c r="AA3753" s="2016"/>
      <c r="AB3753" s="2012"/>
      <c r="AC3753" s="2012"/>
      <c r="AD3753" s="2012"/>
      <c r="AE3753" s="2012"/>
      <c r="AF3753" s="2012"/>
    </row>
    <row r="3754" spans="1:32" ht="13.5" thickBot="1" x14ac:dyDescent="0.25"/>
    <row r="3755" spans="1:32" ht="26.45" customHeight="1" x14ac:dyDescent="0.2">
      <c r="A3755" s="2025" t="s">
        <v>1854</v>
      </c>
      <c r="B3755" s="2026"/>
      <c r="C3755" s="2026"/>
      <c r="D3755" s="2026"/>
      <c r="E3755" s="2026"/>
      <c r="F3755" s="2026"/>
      <c r="G3755" s="2026"/>
      <c r="H3755" s="2026"/>
      <c r="I3755" s="2026"/>
      <c r="J3755" s="2026"/>
      <c r="K3755" s="2026"/>
      <c r="L3755" s="2026"/>
      <c r="M3755" s="2026"/>
      <c r="N3755" s="2026"/>
      <c r="O3755" s="2026"/>
      <c r="P3755" s="2026"/>
      <c r="Q3755" s="2026"/>
      <c r="R3755" s="2026"/>
      <c r="S3755" s="2026"/>
      <c r="T3755" s="2026"/>
      <c r="U3755" s="2026"/>
      <c r="V3755" s="2026"/>
      <c r="W3755" s="2026"/>
      <c r="X3755" s="2026"/>
      <c r="Y3755" s="2026"/>
      <c r="Z3755" s="2026"/>
      <c r="AA3755" s="2026"/>
      <c r="AB3755" s="2026"/>
      <c r="AC3755" s="2026"/>
      <c r="AD3755" s="2026"/>
      <c r="AE3755" s="1041" t="s">
        <v>1834</v>
      </c>
      <c r="AF3755" s="1042" t="s">
        <v>1835</v>
      </c>
    </row>
    <row r="3756" spans="1:32" ht="21" customHeight="1" thickBot="1" x14ac:dyDescent="0.25">
      <c r="A3756" s="2027"/>
      <c r="B3756" s="2028"/>
      <c r="C3756" s="2028"/>
      <c r="D3756" s="2028"/>
      <c r="E3756" s="2028"/>
      <c r="F3756" s="2028"/>
      <c r="G3756" s="2028"/>
      <c r="H3756" s="2028"/>
      <c r="I3756" s="2028"/>
      <c r="J3756" s="2028"/>
      <c r="K3756" s="2028"/>
      <c r="L3756" s="2028"/>
      <c r="M3756" s="2028"/>
      <c r="N3756" s="2028"/>
      <c r="O3756" s="2028"/>
      <c r="P3756" s="2028"/>
      <c r="Q3756" s="2028"/>
      <c r="R3756" s="2028"/>
      <c r="S3756" s="2028"/>
      <c r="T3756" s="2028"/>
      <c r="U3756" s="2028"/>
      <c r="V3756" s="2028"/>
      <c r="W3756" s="2028"/>
      <c r="X3756" s="2028"/>
      <c r="Y3756" s="2028"/>
      <c r="Z3756" s="2028"/>
      <c r="AA3756" s="2028"/>
      <c r="AB3756" s="2028"/>
      <c r="AC3756" s="2028"/>
      <c r="AD3756" s="2028"/>
      <c r="AE3756" s="1041" t="s">
        <v>1836</v>
      </c>
      <c r="AF3756" s="1044">
        <v>1</v>
      </c>
    </row>
    <row r="3757" spans="1:32" ht="15.75" x14ac:dyDescent="0.2">
      <c r="A3757" s="2029"/>
      <c r="B3757" s="2030"/>
      <c r="C3757" s="2030"/>
      <c r="D3757" s="2031"/>
      <c r="E3757" s="2025" t="str">
        <f>'01'!$A$12</f>
        <v>"CONSTRUCCION SISTEMA DE ACUEDUCTO FASE II DEL MUNICIPIO DE TESALIA DPTO DEL HUILA"</v>
      </c>
      <c r="F3757" s="2026"/>
      <c r="G3757" s="2026"/>
      <c r="H3757" s="2026"/>
      <c r="I3757" s="2026"/>
      <c r="J3757" s="2026"/>
      <c r="K3757" s="2026"/>
      <c r="L3757" s="2026"/>
      <c r="M3757" s="2026"/>
      <c r="N3757" s="2026"/>
      <c r="O3757" s="2026"/>
      <c r="P3757" s="2026"/>
      <c r="Q3757" s="2026"/>
      <c r="R3757" s="2026"/>
      <c r="S3757" s="2026"/>
      <c r="T3757" s="2026"/>
      <c r="U3757" s="2026"/>
      <c r="V3757" s="2026"/>
      <c r="W3757" s="2026"/>
      <c r="X3757" s="2026"/>
      <c r="Y3757" s="2026"/>
      <c r="Z3757" s="2026"/>
      <c r="AA3757" s="2026"/>
      <c r="AB3757" s="2026"/>
      <c r="AC3757" s="2026"/>
      <c r="AD3757" s="2035"/>
      <c r="AE3757" s="1041" t="s">
        <v>847</v>
      </c>
      <c r="AF3757" s="1045">
        <f>'01'!$M$13</f>
        <v>0</v>
      </c>
    </row>
    <row r="3758" spans="1:32" ht="16.5" thickBot="1" x14ac:dyDescent="0.25">
      <c r="A3758" s="2032"/>
      <c r="B3758" s="2033"/>
      <c r="C3758" s="2033"/>
      <c r="D3758" s="2034"/>
      <c r="E3758" s="2027"/>
      <c r="F3758" s="2028"/>
      <c r="G3758" s="2028"/>
      <c r="H3758" s="2028"/>
      <c r="I3758" s="2028"/>
      <c r="J3758" s="2028"/>
      <c r="K3758" s="2028"/>
      <c r="L3758" s="2028"/>
      <c r="M3758" s="2028"/>
      <c r="N3758" s="2028"/>
      <c r="O3758" s="2028"/>
      <c r="P3758" s="2028"/>
      <c r="Q3758" s="2028"/>
      <c r="R3758" s="2028"/>
      <c r="S3758" s="2028"/>
      <c r="T3758" s="2028"/>
      <c r="U3758" s="2028"/>
      <c r="V3758" s="2028"/>
      <c r="W3758" s="2028"/>
      <c r="X3758" s="2028"/>
      <c r="Y3758" s="2028"/>
      <c r="Z3758" s="2028"/>
      <c r="AA3758" s="2028"/>
      <c r="AB3758" s="2028"/>
      <c r="AC3758" s="2028"/>
      <c r="AD3758" s="2036"/>
      <c r="AE3758" s="1041" t="s">
        <v>1837</v>
      </c>
      <c r="AF3758" s="1042" t="s">
        <v>1838</v>
      </c>
    </row>
    <row r="3759" spans="1:32" ht="15.75" x14ac:dyDescent="0.25">
      <c r="A3759" s="2037" t="s">
        <v>1860</v>
      </c>
      <c r="B3759" s="2038"/>
      <c r="C3759" s="2038"/>
      <c r="D3759" s="2038"/>
      <c r="E3759" s="2038"/>
      <c r="F3759" s="2038"/>
      <c r="G3759" s="2038"/>
      <c r="H3759" s="2038"/>
      <c r="I3759" s="2038"/>
      <c r="J3759" s="2038"/>
      <c r="K3759" s="2038"/>
      <c r="L3759" s="2038"/>
      <c r="M3759" s="2038"/>
      <c r="N3759" s="2038"/>
      <c r="O3759" s="2038"/>
      <c r="P3759" s="2038"/>
      <c r="Q3759" s="2038"/>
      <c r="R3759" s="2038"/>
      <c r="S3759" s="2038"/>
      <c r="T3759" s="2038"/>
      <c r="U3759" s="2038"/>
      <c r="V3759" s="2038"/>
      <c r="W3759" s="2038"/>
      <c r="X3759" s="2038"/>
      <c r="Y3759" s="2038"/>
      <c r="Z3759" s="2038"/>
      <c r="AA3759" s="2038"/>
      <c r="AB3759" s="2038"/>
      <c r="AC3759" s="2038"/>
      <c r="AD3759" s="2038"/>
      <c r="AE3759" s="2039" t="s">
        <v>1839</v>
      </c>
      <c r="AF3759" s="2040"/>
    </row>
    <row r="3760" spans="1:32" ht="15.75" x14ac:dyDescent="0.25">
      <c r="A3760" s="2041" t="s">
        <v>1840</v>
      </c>
      <c r="B3760" s="2042"/>
      <c r="C3760" s="2042"/>
      <c r="D3760" s="2042"/>
      <c r="E3760" s="2042"/>
      <c r="F3760" s="2042"/>
      <c r="G3760" s="2042"/>
      <c r="H3760" s="2042"/>
      <c r="I3760" s="2042"/>
      <c r="J3760" s="2042"/>
      <c r="K3760" s="2042"/>
      <c r="L3760" s="2042"/>
      <c r="M3760" s="2042"/>
      <c r="N3760" s="2042"/>
      <c r="O3760" s="2042"/>
      <c r="P3760" s="2042"/>
      <c r="Q3760" s="2042"/>
      <c r="R3760" s="2042"/>
      <c r="S3760" s="2042"/>
      <c r="T3760" s="2042"/>
      <c r="U3760" s="2042"/>
      <c r="V3760" s="2042"/>
      <c r="W3760" s="2042"/>
      <c r="X3760" s="2042"/>
      <c r="Y3760" s="2042"/>
      <c r="Z3760" s="2042"/>
      <c r="AA3760" s="2042"/>
      <c r="AB3760" s="2042"/>
      <c r="AC3760" s="2042"/>
      <c r="AD3760" s="2043"/>
      <c r="AE3760" s="2014" t="s">
        <v>1841</v>
      </c>
      <c r="AF3760" s="2044"/>
    </row>
    <row r="3761" spans="1:32" ht="15.75" x14ac:dyDescent="0.25">
      <c r="A3761" s="2045" t="s">
        <v>1853</v>
      </c>
      <c r="B3761" s="2046"/>
      <c r="C3761" s="2046"/>
      <c r="D3761" s="2046"/>
      <c r="E3761" s="2046"/>
      <c r="F3761" s="2046"/>
      <c r="G3761" s="2046"/>
      <c r="H3761" s="2046"/>
      <c r="I3761" s="2046"/>
      <c r="J3761" s="2046"/>
      <c r="K3761" s="2046"/>
      <c r="L3761" s="2046"/>
      <c r="M3761" s="2046"/>
      <c r="N3761" s="2046"/>
      <c r="O3761" s="2046"/>
      <c r="P3761" s="2046"/>
      <c r="Q3761" s="2046"/>
      <c r="R3761" s="2046"/>
      <c r="S3761" s="2046"/>
      <c r="T3761" s="2046"/>
      <c r="U3761" s="2046"/>
      <c r="V3761" s="2046"/>
      <c r="W3761" s="2046"/>
      <c r="X3761" s="2046"/>
      <c r="Y3761" s="2046"/>
      <c r="Z3761" s="2046"/>
      <c r="AA3761" s="2046"/>
      <c r="AB3761" s="2046"/>
      <c r="AC3761" s="2046"/>
      <c r="AD3761" s="2046"/>
      <c r="AE3761" s="2047">
        <f>'01'!$M$13</f>
        <v>0</v>
      </c>
      <c r="AF3761" s="2044"/>
    </row>
    <row r="3762" spans="1:32" x14ac:dyDescent="0.2">
      <c r="A3762" s="1046"/>
      <c r="B3762" s="1047"/>
      <c r="C3762" s="1047"/>
      <c r="D3762" s="1047"/>
      <c r="E3762" s="1047"/>
      <c r="F3762" s="1047"/>
      <c r="G3762" s="1047"/>
      <c r="H3762" s="1047"/>
      <c r="I3762" s="1047"/>
      <c r="J3762" s="1047"/>
      <c r="K3762" s="1047"/>
      <c r="L3762" s="1047"/>
      <c r="M3762" s="1047"/>
      <c r="N3762" s="1047"/>
      <c r="O3762" s="1047"/>
      <c r="P3762" s="1047"/>
      <c r="Q3762" s="1047"/>
      <c r="R3762" s="1047"/>
      <c r="S3762" s="1047"/>
      <c r="T3762" s="1047"/>
      <c r="U3762" s="1047"/>
      <c r="V3762" s="1047"/>
      <c r="W3762" s="1047"/>
      <c r="X3762" s="1047"/>
      <c r="Y3762" s="1047"/>
      <c r="Z3762" s="1047"/>
      <c r="AA3762" s="1047"/>
      <c r="AB3762" s="1047"/>
      <c r="AC3762" s="1047"/>
      <c r="AD3762" s="1047"/>
      <c r="AE3762" s="1047"/>
      <c r="AF3762" s="1048"/>
    </row>
    <row r="3763" spans="1:32" ht="30" customHeight="1" x14ac:dyDescent="0.2">
      <c r="A3763" s="2048" t="s">
        <v>1842</v>
      </c>
      <c r="B3763" s="2049"/>
      <c r="C3763" s="2049"/>
      <c r="D3763" s="2049"/>
      <c r="E3763" s="2049"/>
      <c r="F3763" s="2050" t="str">
        <f>+'01'!$H$130</f>
        <v>E - ESPESADOR GRAVIMÉTRICO</v>
      </c>
      <c r="G3763" s="2049"/>
      <c r="H3763" s="2049"/>
      <c r="I3763" s="2049"/>
      <c r="J3763" s="2049"/>
      <c r="K3763" s="2049"/>
      <c r="L3763" s="2049"/>
      <c r="M3763" s="2049"/>
      <c r="N3763" s="2049"/>
      <c r="O3763" s="2049"/>
      <c r="P3763" s="2049"/>
      <c r="Q3763" s="2049"/>
      <c r="R3763" s="2049"/>
      <c r="S3763" s="2049"/>
      <c r="T3763" s="2049"/>
      <c r="U3763" s="2049"/>
      <c r="V3763" s="2049"/>
      <c r="W3763" s="2049"/>
      <c r="X3763" s="2049"/>
      <c r="Y3763" s="2051"/>
      <c r="Z3763" s="2052" t="s">
        <v>1843</v>
      </c>
      <c r="AA3763" s="2053"/>
      <c r="AB3763" s="2058" t="s">
        <v>1844</v>
      </c>
      <c r="AC3763" s="2059"/>
      <c r="AD3763" s="2060"/>
      <c r="AE3763" s="2064" t="s">
        <v>1845</v>
      </c>
      <c r="AF3763" s="2067" t="s">
        <v>1846</v>
      </c>
    </row>
    <row r="3764" spans="1:32" ht="15" customHeight="1" x14ac:dyDescent="0.2">
      <c r="A3764" s="2070" t="str">
        <f>+'01'!A159</f>
        <v>E-08-07</v>
      </c>
      <c r="B3764" s="2071"/>
      <c r="C3764" s="2072"/>
      <c r="D3764" s="2076" t="str">
        <f>VLOOKUP(A3764,'01'!$A$12:$N$299,3,FALSE)</f>
        <v xml:space="preserve">SUMINISTRO E INSTALACIÓN CODO PVC DE 90 GRADOS PRESIÓN DE 6". INCLUYE UNIÓN DE REPARACIÓN. </v>
      </c>
      <c r="E3764" s="2077"/>
      <c r="F3764" s="2077"/>
      <c r="G3764" s="2077"/>
      <c r="H3764" s="2077"/>
      <c r="I3764" s="2077"/>
      <c r="J3764" s="2077"/>
      <c r="K3764" s="2077"/>
      <c r="L3764" s="2077"/>
      <c r="M3764" s="2077"/>
      <c r="N3764" s="2077"/>
      <c r="O3764" s="2077"/>
      <c r="P3764" s="2077"/>
      <c r="Q3764" s="2077"/>
      <c r="R3764" s="2077"/>
      <c r="S3764" s="2078"/>
      <c r="T3764" s="2082" t="s">
        <v>124</v>
      </c>
      <c r="U3764" s="2083"/>
      <c r="V3764" s="2083"/>
      <c r="W3764" s="2083"/>
      <c r="X3764" s="2052" t="str">
        <f>VLOOKUP(A3764,'01'!$A$12:$N$299,9,FALSE)</f>
        <v>UND</v>
      </c>
      <c r="Y3764" s="2053"/>
      <c r="Z3764" s="2054"/>
      <c r="AA3764" s="2055"/>
      <c r="AB3764" s="2061"/>
      <c r="AC3764" s="2062"/>
      <c r="AD3764" s="2063"/>
      <c r="AE3764" s="2065"/>
      <c r="AF3764" s="2068"/>
    </row>
    <row r="3765" spans="1:32" ht="15" customHeight="1" x14ac:dyDescent="0.25">
      <c r="A3765" s="2073"/>
      <c r="B3765" s="2074"/>
      <c r="C3765" s="2075"/>
      <c r="D3765" s="2079"/>
      <c r="E3765" s="2080"/>
      <c r="F3765" s="2080"/>
      <c r="G3765" s="2080"/>
      <c r="H3765" s="2080"/>
      <c r="I3765" s="2080"/>
      <c r="J3765" s="2080"/>
      <c r="K3765" s="2080"/>
      <c r="L3765" s="2080"/>
      <c r="M3765" s="2080"/>
      <c r="N3765" s="2080"/>
      <c r="O3765" s="2080"/>
      <c r="P3765" s="2080"/>
      <c r="Q3765" s="2080"/>
      <c r="R3765" s="2080"/>
      <c r="S3765" s="2081"/>
      <c r="T3765" s="2084"/>
      <c r="U3765" s="2085"/>
      <c r="V3765" s="2085"/>
      <c r="W3765" s="2085"/>
      <c r="X3765" s="2056"/>
      <c r="Y3765" s="2057"/>
      <c r="Z3765" s="2056"/>
      <c r="AA3765" s="2057"/>
      <c r="AB3765" s="1049" t="s">
        <v>1847</v>
      </c>
      <c r="AC3765" s="1049" t="s">
        <v>1848</v>
      </c>
      <c r="AD3765" s="1049" t="s">
        <v>1861</v>
      </c>
      <c r="AE3765" s="2066"/>
      <c r="AF3765" s="2069"/>
    </row>
    <row r="3766" spans="1:32" ht="15.6" customHeight="1" x14ac:dyDescent="0.25">
      <c r="A3766" s="2017"/>
      <c r="B3766" s="2018"/>
      <c r="C3766" s="2018"/>
      <c r="D3766" s="2018"/>
      <c r="E3766" s="2018"/>
      <c r="F3766" s="2018"/>
      <c r="G3766" s="2018"/>
      <c r="H3766" s="2018"/>
      <c r="I3766" s="2018"/>
      <c r="J3766" s="2018"/>
      <c r="K3766" s="2018"/>
      <c r="L3766" s="2018"/>
      <c r="M3766" s="2018"/>
      <c r="N3766" s="2018"/>
      <c r="O3766" s="2018"/>
      <c r="P3766" s="2018"/>
      <c r="Q3766" s="2018"/>
      <c r="R3766" s="2018"/>
      <c r="S3766" s="2018"/>
      <c r="T3766" s="2018"/>
      <c r="U3766" s="2018"/>
      <c r="V3766" s="2018"/>
      <c r="W3766" s="2018"/>
      <c r="X3766" s="2018"/>
      <c r="Y3766" s="2018"/>
      <c r="Z3766" s="2021" t="s">
        <v>2478</v>
      </c>
      <c r="AA3766" s="2021"/>
      <c r="AB3766" s="1050"/>
      <c r="AC3766" s="1050"/>
      <c r="AD3766" s="1050"/>
      <c r="AE3766" s="1050">
        <v>2</v>
      </c>
      <c r="AF3766" s="1052">
        <f>+ROUND(AE3766,2)</f>
        <v>2</v>
      </c>
    </row>
    <row r="3767" spans="1:32" ht="15.6" customHeight="1" x14ac:dyDescent="0.25">
      <c r="A3767" s="2017"/>
      <c r="B3767" s="2018"/>
      <c r="C3767" s="2018"/>
      <c r="D3767" s="2018"/>
      <c r="E3767" s="2018"/>
      <c r="F3767" s="2018"/>
      <c r="G3767" s="2018"/>
      <c r="H3767" s="2018"/>
      <c r="I3767" s="2018"/>
      <c r="J3767" s="2018"/>
      <c r="K3767" s="2018"/>
      <c r="L3767" s="2018"/>
      <c r="M3767" s="2018"/>
      <c r="N3767" s="2018"/>
      <c r="O3767" s="2018"/>
      <c r="P3767" s="2018"/>
      <c r="Q3767" s="2018"/>
      <c r="R3767" s="2018"/>
      <c r="S3767" s="2018"/>
      <c r="T3767" s="2018"/>
      <c r="U3767" s="2018"/>
      <c r="V3767" s="2018"/>
      <c r="W3767" s="2018"/>
      <c r="X3767" s="2018"/>
      <c r="Y3767" s="2018"/>
      <c r="Z3767" s="2021"/>
      <c r="AA3767" s="2021"/>
      <c r="AB3767" s="1050"/>
      <c r="AC3767" s="1050"/>
      <c r="AD3767" s="1050"/>
      <c r="AE3767" s="1050"/>
      <c r="AF3767" s="1052"/>
    </row>
    <row r="3768" spans="1:32" ht="15.75" x14ac:dyDescent="0.25">
      <c r="A3768" s="2017"/>
      <c r="B3768" s="2018"/>
      <c r="C3768" s="2018"/>
      <c r="D3768" s="2018"/>
      <c r="E3768" s="2018"/>
      <c r="F3768" s="2018"/>
      <c r="G3768" s="2018"/>
      <c r="H3768" s="2018"/>
      <c r="I3768" s="2018"/>
      <c r="J3768" s="2018"/>
      <c r="K3768" s="2018"/>
      <c r="L3768" s="2018"/>
      <c r="M3768" s="2018"/>
      <c r="N3768" s="2018"/>
      <c r="O3768" s="2018"/>
      <c r="P3768" s="2018"/>
      <c r="Q3768" s="2018"/>
      <c r="R3768" s="2018"/>
      <c r="S3768" s="2018"/>
      <c r="T3768" s="2018"/>
      <c r="U3768" s="2018"/>
      <c r="V3768" s="2018"/>
      <c r="W3768" s="2018"/>
      <c r="X3768" s="2018"/>
      <c r="Y3768" s="2018"/>
      <c r="Z3768" s="2021"/>
      <c r="AA3768" s="2021"/>
      <c r="AB3768" s="1050"/>
      <c r="AC3768" s="1050"/>
      <c r="AD3768" s="1050"/>
      <c r="AE3768" s="1050"/>
      <c r="AF3768" s="1052"/>
    </row>
    <row r="3769" spans="1:32" ht="15.75" x14ac:dyDescent="0.25">
      <c r="A3769" s="2017"/>
      <c r="B3769" s="2018"/>
      <c r="C3769" s="2018"/>
      <c r="D3769" s="2018"/>
      <c r="E3769" s="2018"/>
      <c r="F3769" s="2018"/>
      <c r="G3769" s="2018"/>
      <c r="H3769" s="2018"/>
      <c r="I3769" s="2018"/>
      <c r="J3769" s="2018"/>
      <c r="K3769" s="2018"/>
      <c r="L3769" s="2018"/>
      <c r="M3769" s="2018"/>
      <c r="N3769" s="2018"/>
      <c r="O3769" s="2018"/>
      <c r="P3769" s="2018"/>
      <c r="Q3769" s="2018"/>
      <c r="R3769" s="2018"/>
      <c r="S3769" s="2018"/>
      <c r="T3769" s="2018"/>
      <c r="U3769" s="2018"/>
      <c r="V3769" s="2018"/>
      <c r="W3769" s="2018"/>
      <c r="X3769" s="2018"/>
      <c r="Y3769" s="2018"/>
      <c r="Z3769" s="2021"/>
      <c r="AA3769" s="2021"/>
      <c r="AB3769" s="1050"/>
      <c r="AC3769" s="1050"/>
      <c r="AD3769" s="1050"/>
      <c r="AE3769" s="1050"/>
      <c r="AF3769" s="1052"/>
    </row>
    <row r="3770" spans="1:32" ht="15.75" x14ac:dyDescent="0.25">
      <c r="A3770" s="2017"/>
      <c r="B3770" s="2018"/>
      <c r="C3770" s="2018"/>
      <c r="D3770" s="2018"/>
      <c r="E3770" s="2018"/>
      <c r="F3770" s="2018"/>
      <c r="G3770" s="2018"/>
      <c r="H3770" s="2018"/>
      <c r="I3770" s="2018"/>
      <c r="J3770" s="2018"/>
      <c r="K3770" s="2018"/>
      <c r="L3770" s="2018"/>
      <c r="M3770" s="2018"/>
      <c r="N3770" s="2018"/>
      <c r="O3770" s="2018"/>
      <c r="P3770" s="2018"/>
      <c r="Q3770" s="2018"/>
      <c r="R3770" s="2018"/>
      <c r="S3770" s="2018"/>
      <c r="T3770" s="2018"/>
      <c r="U3770" s="2018"/>
      <c r="V3770" s="2018"/>
      <c r="W3770" s="2018"/>
      <c r="X3770" s="2018"/>
      <c r="Y3770" s="2018"/>
      <c r="Z3770" s="2021"/>
      <c r="AA3770" s="2021"/>
      <c r="AB3770" s="1050"/>
      <c r="AC3770" s="1050"/>
      <c r="AD3770" s="1050"/>
      <c r="AE3770" s="1050"/>
      <c r="AF3770" s="1052"/>
    </row>
    <row r="3771" spans="1:32" ht="15.75" x14ac:dyDescent="0.25">
      <c r="A3771" s="2017"/>
      <c r="B3771" s="2018"/>
      <c r="C3771" s="2018"/>
      <c r="D3771" s="2018"/>
      <c r="E3771" s="2018"/>
      <c r="F3771" s="2018"/>
      <c r="G3771" s="2018"/>
      <c r="H3771" s="2018"/>
      <c r="I3771" s="2018"/>
      <c r="J3771" s="2018"/>
      <c r="K3771" s="2018"/>
      <c r="L3771" s="2018"/>
      <c r="M3771" s="2018"/>
      <c r="N3771" s="2018"/>
      <c r="O3771" s="2018"/>
      <c r="P3771" s="2018"/>
      <c r="Q3771" s="2018"/>
      <c r="R3771" s="2018"/>
      <c r="S3771" s="2018"/>
      <c r="T3771" s="2018"/>
      <c r="U3771" s="2018"/>
      <c r="V3771" s="2018"/>
      <c r="W3771" s="2018"/>
      <c r="X3771" s="2018"/>
      <c r="Y3771" s="2018"/>
      <c r="Z3771" s="2021"/>
      <c r="AA3771" s="2021"/>
      <c r="AB3771" s="1050"/>
      <c r="AC3771" s="1050"/>
      <c r="AD3771" s="1050"/>
      <c r="AE3771" s="1050"/>
      <c r="AF3771" s="1052"/>
    </row>
    <row r="3772" spans="1:32" ht="15.75" x14ac:dyDescent="0.25">
      <c r="A3772" s="2017"/>
      <c r="B3772" s="2018"/>
      <c r="C3772" s="2018"/>
      <c r="D3772" s="2018"/>
      <c r="E3772" s="2018"/>
      <c r="F3772" s="2018"/>
      <c r="G3772" s="2018"/>
      <c r="H3772" s="2018"/>
      <c r="I3772" s="2018"/>
      <c r="J3772" s="2018"/>
      <c r="K3772" s="2018"/>
      <c r="L3772" s="2018"/>
      <c r="M3772" s="2018"/>
      <c r="N3772" s="2018"/>
      <c r="O3772" s="2018"/>
      <c r="P3772" s="2018"/>
      <c r="Q3772" s="2018"/>
      <c r="R3772" s="2018"/>
      <c r="S3772" s="2018"/>
      <c r="T3772" s="2018"/>
      <c r="U3772" s="2018"/>
      <c r="V3772" s="2018"/>
      <c r="W3772" s="2018"/>
      <c r="X3772" s="2018"/>
      <c r="Y3772" s="2018"/>
      <c r="Z3772" s="2021"/>
      <c r="AA3772" s="2021"/>
      <c r="AB3772" s="1050"/>
      <c r="AC3772" s="1050"/>
      <c r="AD3772" s="1050"/>
      <c r="AE3772" s="1050"/>
      <c r="AF3772" s="1052"/>
    </row>
    <row r="3773" spans="1:32" ht="15.75" x14ac:dyDescent="0.25">
      <c r="A3773" s="2017"/>
      <c r="B3773" s="2018"/>
      <c r="C3773" s="2018"/>
      <c r="D3773" s="2018"/>
      <c r="E3773" s="2018"/>
      <c r="F3773" s="2018"/>
      <c r="G3773" s="2018"/>
      <c r="H3773" s="2018"/>
      <c r="I3773" s="2018"/>
      <c r="J3773" s="2018"/>
      <c r="K3773" s="2018"/>
      <c r="L3773" s="2018"/>
      <c r="M3773" s="2018"/>
      <c r="N3773" s="2018"/>
      <c r="O3773" s="2018"/>
      <c r="P3773" s="2018"/>
      <c r="Q3773" s="2018"/>
      <c r="R3773" s="2018"/>
      <c r="S3773" s="2018"/>
      <c r="T3773" s="2018"/>
      <c r="U3773" s="2018"/>
      <c r="V3773" s="2018"/>
      <c r="W3773" s="2018"/>
      <c r="X3773" s="2018"/>
      <c r="Y3773" s="2018"/>
      <c r="Z3773" s="2021"/>
      <c r="AA3773" s="2021"/>
      <c r="AB3773" s="1050"/>
      <c r="AC3773" s="1050"/>
      <c r="AD3773" s="1050"/>
      <c r="AE3773" s="1050"/>
      <c r="AF3773" s="1052"/>
    </row>
    <row r="3774" spans="1:32" ht="15.75" x14ac:dyDescent="0.25">
      <c r="A3774" s="2017"/>
      <c r="B3774" s="2018"/>
      <c r="C3774" s="2018"/>
      <c r="D3774" s="2018"/>
      <c r="E3774" s="2018"/>
      <c r="F3774" s="2018"/>
      <c r="G3774" s="2018"/>
      <c r="H3774" s="2018"/>
      <c r="I3774" s="2018"/>
      <c r="J3774" s="2018"/>
      <c r="K3774" s="2018"/>
      <c r="L3774" s="2018"/>
      <c r="M3774" s="2018"/>
      <c r="N3774" s="2018"/>
      <c r="O3774" s="2018"/>
      <c r="P3774" s="2018"/>
      <c r="Q3774" s="2018"/>
      <c r="R3774" s="2018"/>
      <c r="S3774" s="2018"/>
      <c r="T3774" s="2018"/>
      <c r="U3774" s="2018"/>
      <c r="V3774" s="2018"/>
      <c r="W3774" s="2018"/>
      <c r="X3774" s="2018"/>
      <c r="Y3774" s="2018"/>
      <c r="Z3774" s="2021"/>
      <c r="AA3774" s="2021"/>
      <c r="AB3774" s="1050"/>
      <c r="AC3774" s="1050"/>
      <c r="AD3774" s="1050"/>
      <c r="AE3774" s="1050"/>
      <c r="AF3774" s="1052"/>
    </row>
    <row r="3775" spans="1:32" ht="15.75" x14ac:dyDescent="0.25">
      <c r="A3775" s="2017"/>
      <c r="B3775" s="2018"/>
      <c r="C3775" s="2018"/>
      <c r="D3775" s="2018"/>
      <c r="E3775" s="2018"/>
      <c r="F3775" s="2018"/>
      <c r="G3775" s="2018"/>
      <c r="H3775" s="2018"/>
      <c r="I3775" s="2018"/>
      <c r="J3775" s="2018"/>
      <c r="K3775" s="2018"/>
      <c r="L3775" s="2018"/>
      <c r="M3775" s="2018"/>
      <c r="N3775" s="2018"/>
      <c r="O3775" s="2018"/>
      <c r="P3775" s="2018"/>
      <c r="Q3775" s="2018"/>
      <c r="R3775" s="2018"/>
      <c r="S3775" s="2018"/>
      <c r="T3775" s="2018"/>
      <c r="U3775" s="2018"/>
      <c r="V3775" s="2018"/>
      <c r="W3775" s="2018"/>
      <c r="X3775" s="2018"/>
      <c r="Y3775" s="2018"/>
      <c r="Z3775" s="2021"/>
      <c r="AA3775" s="2021"/>
      <c r="AB3775" s="1050"/>
      <c r="AC3775" s="1050"/>
      <c r="AD3775" s="1050"/>
      <c r="AE3775" s="1050"/>
      <c r="AF3775" s="1052"/>
    </row>
    <row r="3776" spans="1:32" ht="15.75" x14ac:dyDescent="0.25">
      <c r="A3776" s="2017"/>
      <c r="B3776" s="2018"/>
      <c r="C3776" s="2018"/>
      <c r="D3776" s="2018"/>
      <c r="E3776" s="2018"/>
      <c r="F3776" s="2018"/>
      <c r="G3776" s="2018"/>
      <c r="H3776" s="2018"/>
      <c r="I3776" s="2018"/>
      <c r="J3776" s="2018"/>
      <c r="K3776" s="2018"/>
      <c r="L3776" s="2018"/>
      <c r="M3776" s="2018"/>
      <c r="N3776" s="2018"/>
      <c r="O3776" s="2018"/>
      <c r="P3776" s="2018"/>
      <c r="Q3776" s="2018"/>
      <c r="R3776" s="2018"/>
      <c r="S3776" s="2018"/>
      <c r="T3776" s="2018"/>
      <c r="U3776" s="2018"/>
      <c r="V3776" s="2018"/>
      <c r="W3776" s="2018"/>
      <c r="X3776" s="2018"/>
      <c r="Y3776" s="2018"/>
      <c r="Z3776" s="2021"/>
      <c r="AA3776" s="2021"/>
      <c r="AB3776" s="1050"/>
      <c r="AC3776" s="1050"/>
      <c r="AD3776" s="1050"/>
      <c r="AE3776" s="1050"/>
      <c r="AF3776" s="1052"/>
    </row>
    <row r="3777" spans="1:32" ht="15.75" x14ac:dyDescent="0.25">
      <c r="A3777" s="2017"/>
      <c r="B3777" s="2018"/>
      <c r="C3777" s="2018"/>
      <c r="D3777" s="2018"/>
      <c r="E3777" s="2018"/>
      <c r="F3777" s="2018"/>
      <c r="G3777" s="2018"/>
      <c r="H3777" s="2018"/>
      <c r="I3777" s="2018"/>
      <c r="J3777" s="2018"/>
      <c r="K3777" s="2018"/>
      <c r="L3777" s="2018"/>
      <c r="M3777" s="2018"/>
      <c r="N3777" s="2018"/>
      <c r="O3777" s="2018"/>
      <c r="P3777" s="2018"/>
      <c r="Q3777" s="2018"/>
      <c r="R3777" s="2018"/>
      <c r="S3777" s="2018"/>
      <c r="T3777" s="2018"/>
      <c r="U3777" s="2018"/>
      <c r="V3777" s="2018"/>
      <c r="W3777" s="2018"/>
      <c r="X3777" s="2018"/>
      <c r="Y3777" s="2018"/>
      <c r="Z3777" s="2021"/>
      <c r="AA3777" s="2021"/>
      <c r="AB3777" s="1050"/>
      <c r="AC3777" s="1050"/>
      <c r="AD3777" s="1050"/>
      <c r="AE3777" s="1050"/>
      <c r="AF3777" s="1052"/>
    </row>
    <row r="3778" spans="1:32" ht="15.75" x14ac:dyDescent="0.25">
      <c r="A3778" s="2017"/>
      <c r="B3778" s="2018"/>
      <c r="C3778" s="2018"/>
      <c r="D3778" s="2018"/>
      <c r="E3778" s="2018"/>
      <c r="F3778" s="2018"/>
      <c r="G3778" s="2018"/>
      <c r="H3778" s="2018"/>
      <c r="I3778" s="2018"/>
      <c r="J3778" s="2018"/>
      <c r="K3778" s="2018"/>
      <c r="L3778" s="2018"/>
      <c r="M3778" s="2018"/>
      <c r="N3778" s="2018"/>
      <c r="O3778" s="2018"/>
      <c r="P3778" s="2018"/>
      <c r="Q3778" s="2018"/>
      <c r="R3778" s="2018"/>
      <c r="S3778" s="2018"/>
      <c r="T3778" s="2018"/>
      <c r="U3778" s="2018"/>
      <c r="V3778" s="2018"/>
      <c r="W3778" s="2018"/>
      <c r="X3778" s="2018"/>
      <c r="Y3778" s="2018"/>
      <c r="Z3778" s="2021"/>
      <c r="AA3778" s="2021"/>
      <c r="AB3778" s="1050"/>
      <c r="AC3778" s="1050"/>
      <c r="AD3778" s="1050"/>
      <c r="AE3778" s="1050"/>
      <c r="AF3778" s="1052"/>
    </row>
    <row r="3779" spans="1:32" ht="15.75" x14ac:dyDescent="0.25">
      <c r="A3779" s="2017"/>
      <c r="B3779" s="2018"/>
      <c r="C3779" s="2018"/>
      <c r="D3779" s="2018"/>
      <c r="E3779" s="2018"/>
      <c r="F3779" s="2018"/>
      <c r="G3779" s="2018"/>
      <c r="H3779" s="2018"/>
      <c r="I3779" s="2018"/>
      <c r="J3779" s="2018"/>
      <c r="K3779" s="2018"/>
      <c r="L3779" s="2018"/>
      <c r="M3779" s="2018"/>
      <c r="N3779" s="2018"/>
      <c r="O3779" s="2018"/>
      <c r="P3779" s="2018"/>
      <c r="Q3779" s="2018"/>
      <c r="R3779" s="2018"/>
      <c r="S3779" s="2018"/>
      <c r="T3779" s="2018"/>
      <c r="U3779" s="2018"/>
      <c r="V3779" s="2018"/>
      <c r="W3779" s="2018"/>
      <c r="X3779" s="2018"/>
      <c r="Y3779" s="2018"/>
      <c r="Z3779" s="2021"/>
      <c r="AA3779" s="2021"/>
      <c r="AB3779" s="1050"/>
      <c r="AC3779" s="1050"/>
      <c r="AD3779" s="1050"/>
      <c r="AE3779" s="1050"/>
      <c r="AF3779" s="1052"/>
    </row>
    <row r="3780" spans="1:32" ht="15.75" x14ac:dyDescent="0.25">
      <c r="A3780" s="2017"/>
      <c r="B3780" s="2018"/>
      <c r="C3780" s="2018"/>
      <c r="D3780" s="2018"/>
      <c r="E3780" s="2018"/>
      <c r="F3780" s="2018"/>
      <c r="G3780" s="2018"/>
      <c r="H3780" s="2018"/>
      <c r="I3780" s="2018"/>
      <c r="J3780" s="2018"/>
      <c r="K3780" s="2018"/>
      <c r="L3780" s="2018"/>
      <c r="M3780" s="2018"/>
      <c r="N3780" s="2018"/>
      <c r="O3780" s="2018"/>
      <c r="P3780" s="2018"/>
      <c r="Q3780" s="2018"/>
      <c r="R3780" s="2018"/>
      <c r="S3780" s="2018"/>
      <c r="T3780" s="2018"/>
      <c r="U3780" s="2018"/>
      <c r="V3780" s="2018"/>
      <c r="W3780" s="2018"/>
      <c r="X3780" s="2018"/>
      <c r="Y3780" s="2018"/>
      <c r="Z3780" s="2022"/>
      <c r="AA3780" s="2022"/>
      <c r="AB3780" s="1050"/>
      <c r="AC3780" s="1050"/>
      <c r="AD3780" s="1050"/>
      <c r="AE3780" s="1050"/>
      <c r="AF3780" s="1052"/>
    </row>
    <row r="3781" spans="1:32" ht="15.75" x14ac:dyDescent="0.25">
      <c r="A3781" s="2017"/>
      <c r="B3781" s="2018"/>
      <c r="C3781" s="2018"/>
      <c r="D3781" s="2018"/>
      <c r="E3781" s="2018"/>
      <c r="F3781" s="2018"/>
      <c r="G3781" s="2018"/>
      <c r="H3781" s="2018"/>
      <c r="I3781" s="2018"/>
      <c r="J3781" s="2018"/>
      <c r="K3781" s="2018"/>
      <c r="L3781" s="2018"/>
      <c r="M3781" s="2018"/>
      <c r="N3781" s="2018"/>
      <c r="O3781" s="2018"/>
      <c r="P3781" s="2018"/>
      <c r="Q3781" s="2018"/>
      <c r="R3781" s="2018"/>
      <c r="S3781" s="2018"/>
      <c r="T3781" s="2018"/>
      <c r="U3781" s="2018"/>
      <c r="V3781" s="2018"/>
      <c r="W3781" s="2018"/>
      <c r="X3781" s="2018"/>
      <c r="Y3781" s="2018"/>
      <c r="Z3781" s="2022"/>
      <c r="AA3781" s="2022"/>
      <c r="AB3781" s="1050"/>
      <c r="AC3781" s="1050"/>
      <c r="AD3781" s="1050"/>
      <c r="AE3781" s="1050"/>
      <c r="AF3781" s="1052"/>
    </row>
    <row r="3782" spans="1:32" ht="15.75" x14ac:dyDescent="0.25">
      <c r="A3782" s="2017"/>
      <c r="B3782" s="2018"/>
      <c r="C3782" s="2018"/>
      <c r="D3782" s="2018"/>
      <c r="E3782" s="2018"/>
      <c r="F3782" s="2018"/>
      <c r="G3782" s="2018"/>
      <c r="H3782" s="2018"/>
      <c r="I3782" s="2018"/>
      <c r="J3782" s="2018"/>
      <c r="K3782" s="2018"/>
      <c r="L3782" s="2018"/>
      <c r="M3782" s="2018"/>
      <c r="N3782" s="2018"/>
      <c r="O3782" s="2018"/>
      <c r="P3782" s="2018"/>
      <c r="Q3782" s="2018"/>
      <c r="R3782" s="2018"/>
      <c r="S3782" s="2018"/>
      <c r="T3782" s="2018"/>
      <c r="U3782" s="2018"/>
      <c r="V3782" s="2018"/>
      <c r="W3782" s="2018"/>
      <c r="X3782" s="2018"/>
      <c r="Y3782" s="2018"/>
      <c r="Z3782" s="2022"/>
      <c r="AA3782" s="2022"/>
      <c r="AB3782" s="1050"/>
      <c r="AC3782" s="1050"/>
      <c r="AD3782" s="1050"/>
      <c r="AE3782" s="1050"/>
      <c r="AF3782" s="1052"/>
    </row>
    <row r="3783" spans="1:32" ht="15.75" x14ac:dyDescent="0.25">
      <c r="A3783" s="2017"/>
      <c r="B3783" s="2018"/>
      <c r="C3783" s="2018"/>
      <c r="D3783" s="2018"/>
      <c r="E3783" s="2018"/>
      <c r="F3783" s="2018"/>
      <c r="G3783" s="2018"/>
      <c r="H3783" s="2018"/>
      <c r="I3783" s="2018"/>
      <c r="J3783" s="2018"/>
      <c r="K3783" s="2018"/>
      <c r="L3783" s="2018"/>
      <c r="M3783" s="2018"/>
      <c r="N3783" s="2018"/>
      <c r="O3783" s="2018"/>
      <c r="P3783" s="2018"/>
      <c r="Q3783" s="2018"/>
      <c r="R3783" s="2018"/>
      <c r="S3783" s="2018"/>
      <c r="T3783" s="2018"/>
      <c r="U3783" s="2018"/>
      <c r="V3783" s="2018"/>
      <c r="W3783" s="2018"/>
      <c r="X3783" s="2018"/>
      <c r="Y3783" s="2018"/>
      <c r="Z3783" s="2023"/>
      <c r="AA3783" s="2023"/>
      <c r="AB3783" s="1050"/>
      <c r="AC3783" s="1050"/>
      <c r="AD3783" s="1050"/>
      <c r="AE3783" s="1050"/>
      <c r="AF3783" s="1052"/>
    </row>
    <row r="3784" spans="1:32" ht="15.75" x14ac:dyDescent="0.25">
      <c r="A3784" s="2017"/>
      <c r="B3784" s="2018"/>
      <c r="C3784" s="2018"/>
      <c r="D3784" s="2018"/>
      <c r="E3784" s="2018"/>
      <c r="F3784" s="2018"/>
      <c r="G3784" s="2018"/>
      <c r="H3784" s="2018"/>
      <c r="I3784" s="2018"/>
      <c r="J3784" s="2018"/>
      <c r="K3784" s="2018"/>
      <c r="L3784" s="2018"/>
      <c r="M3784" s="2018"/>
      <c r="N3784" s="2018"/>
      <c r="O3784" s="2018"/>
      <c r="P3784" s="2018"/>
      <c r="Q3784" s="2018"/>
      <c r="R3784" s="2018"/>
      <c r="S3784" s="2018"/>
      <c r="T3784" s="2018"/>
      <c r="U3784" s="2018"/>
      <c r="V3784" s="2018"/>
      <c r="W3784" s="2018"/>
      <c r="X3784" s="2018"/>
      <c r="Y3784" s="2018"/>
      <c r="Z3784" s="2023"/>
      <c r="AA3784" s="2023"/>
      <c r="AB3784" s="1050"/>
      <c r="AC3784" s="1050"/>
      <c r="AD3784" s="1050"/>
      <c r="AE3784" s="1050"/>
      <c r="AF3784" s="1052"/>
    </row>
    <row r="3785" spans="1:32" ht="15.75" x14ac:dyDescent="0.25">
      <c r="A3785" s="2017"/>
      <c r="B3785" s="2018"/>
      <c r="C3785" s="2018"/>
      <c r="D3785" s="2018"/>
      <c r="E3785" s="2018"/>
      <c r="F3785" s="2018"/>
      <c r="G3785" s="2018"/>
      <c r="H3785" s="2018"/>
      <c r="I3785" s="2018"/>
      <c r="J3785" s="2018"/>
      <c r="K3785" s="2018"/>
      <c r="L3785" s="2018"/>
      <c r="M3785" s="2018"/>
      <c r="N3785" s="2018"/>
      <c r="O3785" s="2018"/>
      <c r="P3785" s="2018"/>
      <c r="Q3785" s="2018"/>
      <c r="R3785" s="2018"/>
      <c r="S3785" s="2018"/>
      <c r="T3785" s="2018"/>
      <c r="U3785" s="2018"/>
      <c r="V3785" s="2018"/>
      <c r="W3785" s="2018"/>
      <c r="X3785" s="2018"/>
      <c r="Y3785" s="2018"/>
      <c r="Z3785" s="2023"/>
      <c r="AA3785" s="2023"/>
      <c r="AB3785" s="1050"/>
      <c r="AC3785" s="1050"/>
      <c r="AD3785" s="1050"/>
      <c r="AE3785" s="1050"/>
      <c r="AF3785" s="1052"/>
    </row>
    <row r="3786" spans="1:32" ht="15.75" x14ac:dyDescent="0.25">
      <c r="A3786" s="2017"/>
      <c r="B3786" s="2018"/>
      <c r="C3786" s="2018"/>
      <c r="D3786" s="2018"/>
      <c r="E3786" s="2018"/>
      <c r="F3786" s="2018"/>
      <c r="G3786" s="2018"/>
      <c r="H3786" s="2018"/>
      <c r="I3786" s="2018"/>
      <c r="J3786" s="2018"/>
      <c r="K3786" s="2018"/>
      <c r="L3786" s="2018"/>
      <c r="M3786" s="2018"/>
      <c r="N3786" s="2018"/>
      <c r="O3786" s="2018"/>
      <c r="P3786" s="2018"/>
      <c r="Q3786" s="2018"/>
      <c r="R3786" s="2018"/>
      <c r="S3786" s="2018"/>
      <c r="T3786" s="2018"/>
      <c r="U3786" s="2018"/>
      <c r="V3786" s="2018"/>
      <c r="W3786" s="2018"/>
      <c r="X3786" s="2018"/>
      <c r="Y3786" s="2018"/>
      <c r="Z3786" s="2023"/>
      <c r="AA3786" s="2023"/>
      <c r="AB3786" s="1050"/>
      <c r="AC3786" s="1050"/>
      <c r="AD3786" s="1050"/>
      <c r="AE3786" s="1050"/>
      <c r="AF3786" s="1052"/>
    </row>
    <row r="3787" spans="1:32" ht="15.75" x14ac:dyDescent="0.25">
      <c r="A3787" s="2017"/>
      <c r="B3787" s="2018"/>
      <c r="C3787" s="2018"/>
      <c r="D3787" s="2018"/>
      <c r="E3787" s="2018"/>
      <c r="F3787" s="2018"/>
      <c r="G3787" s="2018"/>
      <c r="H3787" s="2018"/>
      <c r="I3787" s="2018"/>
      <c r="J3787" s="2018"/>
      <c r="K3787" s="2018"/>
      <c r="L3787" s="2018"/>
      <c r="M3787" s="2018"/>
      <c r="N3787" s="2018"/>
      <c r="O3787" s="2018"/>
      <c r="P3787" s="2018"/>
      <c r="Q3787" s="2018"/>
      <c r="R3787" s="2018"/>
      <c r="S3787" s="2018"/>
      <c r="T3787" s="2018"/>
      <c r="U3787" s="2018"/>
      <c r="V3787" s="2018"/>
      <c r="W3787" s="2018"/>
      <c r="X3787" s="2018"/>
      <c r="Y3787" s="2018"/>
      <c r="Z3787" s="2023"/>
      <c r="AA3787" s="2023"/>
      <c r="AB3787" s="1050"/>
      <c r="AC3787" s="1050"/>
      <c r="AD3787" s="1050"/>
      <c r="AE3787" s="1050"/>
      <c r="AF3787" s="1052"/>
    </row>
    <row r="3788" spans="1:32" ht="15.75" x14ac:dyDescent="0.25">
      <c r="A3788" s="2017"/>
      <c r="B3788" s="2018"/>
      <c r="C3788" s="2018"/>
      <c r="D3788" s="2018"/>
      <c r="E3788" s="2018"/>
      <c r="F3788" s="2018"/>
      <c r="G3788" s="2018"/>
      <c r="H3788" s="2018"/>
      <c r="I3788" s="2018"/>
      <c r="J3788" s="2018"/>
      <c r="K3788" s="2018"/>
      <c r="L3788" s="2018"/>
      <c r="M3788" s="2018"/>
      <c r="N3788" s="2018"/>
      <c r="O3788" s="2018"/>
      <c r="P3788" s="2018"/>
      <c r="Q3788" s="2018"/>
      <c r="R3788" s="2018"/>
      <c r="S3788" s="2018"/>
      <c r="T3788" s="2018"/>
      <c r="U3788" s="2018"/>
      <c r="V3788" s="2018"/>
      <c r="W3788" s="2018"/>
      <c r="X3788" s="2018"/>
      <c r="Y3788" s="2018"/>
      <c r="Z3788" s="2023"/>
      <c r="AA3788" s="2023"/>
      <c r="AB3788" s="1050"/>
      <c r="AC3788" s="1050"/>
      <c r="AD3788" s="1050"/>
      <c r="AE3788" s="1050"/>
      <c r="AF3788" s="1052"/>
    </row>
    <row r="3789" spans="1:32" ht="16.5" thickBot="1" x14ac:dyDescent="0.3">
      <c r="A3789" s="2019"/>
      <c r="B3789" s="2020"/>
      <c r="C3789" s="2020"/>
      <c r="D3789" s="2020"/>
      <c r="E3789" s="2020"/>
      <c r="F3789" s="2020"/>
      <c r="G3789" s="2020"/>
      <c r="H3789" s="2020"/>
      <c r="I3789" s="2020"/>
      <c r="J3789" s="2020"/>
      <c r="K3789" s="2020"/>
      <c r="L3789" s="2020"/>
      <c r="M3789" s="2020"/>
      <c r="N3789" s="2020"/>
      <c r="O3789" s="2020"/>
      <c r="P3789" s="2020"/>
      <c r="Q3789" s="2020"/>
      <c r="R3789" s="2020"/>
      <c r="S3789" s="2020"/>
      <c r="T3789" s="2020"/>
      <c r="U3789" s="2020"/>
      <c r="V3789" s="2020"/>
      <c r="W3789" s="2020"/>
      <c r="X3789" s="2020"/>
      <c r="Y3789" s="2020"/>
      <c r="Z3789" s="2024"/>
      <c r="AA3789" s="2024"/>
      <c r="AB3789" s="1057"/>
      <c r="AC3789" s="1057"/>
      <c r="AD3789" s="1057"/>
      <c r="AE3789" s="1057"/>
      <c r="AF3789" s="1058"/>
    </row>
    <row r="3790" spans="1:32" ht="15.75" x14ac:dyDescent="0.25">
      <c r="A3790" s="2009" t="s">
        <v>2158</v>
      </c>
      <c r="B3790" s="2010"/>
      <c r="C3790" s="2010"/>
      <c r="D3790" s="2010"/>
      <c r="E3790" s="2010"/>
      <c r="F3790" s="2010"/>
      <c r="G3790" s="2010"/>
      <c r="H3790" s="2010"/>
      <c r="I3790" s="2010"/>
      <c r="J3790" s="2010"/>
      <c r="K3790" s="2010"/>
      <c r="L3790" s="2010"/>
      <c r="M3790" s="2010"/>
      <c r="N3790" s="2010"/>
      <c r="O3790" s="2010"/>
      <c r="P3790" s="2010"/>
      <c r="Q3790" s="2010"/>
      <c r="R3790" s="2010"/>
      <c r="S3790" s="2010"/>
      <c r="T3790" s="2010"/>
      <c r="U3790" s="2010"/>
      <c r="V3790" s="2010"/>
      <c r="W3790" s="2010"/>
      <c r="X3790" s="2010"/>
      <c r="Y3790" s="2010"/>
      <c r="Z3790" s="2013" t="s">
        <v>1850</v>
      </c>
      <c r="AA3790" s="2013"/>
      <c r="AB3790" s="2013"/>
      <c r="AC3790" s="2013"/>
      <c r="AD3790" s="2013"/>
      <c r="AE3790" s="2013"/>
      <c r="AF3790" s="1059">
        <f>SUM(AF3766:AF3789)</f>
        <v>2</v>
      </c>
    </row>
    <row r="3791" spans="1:32" ht="15.75" x14ac:dyDescent="0.25">
      <c r="A3791" s="2011"/>
      <c r="B3791" s="2012"/>
      <c r="C3791" s="2012"/>
      <c r="D3791" s="2012"/>
      <c r="E3791" s="2012"/>
      <c r="F3791" s="2012"/>
      <c r="G3791" s="2012"/>
      <c r="H3791" s="2012"/>
      <c r="I3791" s="2012"/>
      <c r="J3791" s="2012"/>
      <c r="K3791" s="2012"/>
      <c r="L3791" s="2012"/>
      <c r="M3791" s="2012"/>
      <c r="N3791" s="2012"/>
      <c r="O3791" s="2012"/>
      <c r="P3791" s="2012"/>
      <c r="Q3791" s="2012"/>
      <c r="R3791" s="2012"/>
      <c r="S3791" s="2012"/>
      <c r="T3791" s="2012"/>
      <c r="U3791" s="2012"/>
      <c r="V3791" s="2012"/>
      <c r="W3791" s="2012"/>
      <c r="X3791" s="2012"/>
      <c r="Y3791" s="2012"/>
      <c r="Z3791" s="2014" t="s">
        <v>1851</v>
      </c>
      <c r="AA3791" s="2014"/>
      <c r="AB3791" s="2014"/>
      <c r="AC3791" s="2014"/>
      <c r="AD3791" s="2014"/>
      <c r="AE3791" s="2014"/>
      <c r="AF3791" s="1060">
        <v>0</v>
      </c>
    </row>
    <row r="3792" spans="1:32" ht="15.75" x14ac:dyDescent="0.25">
      <c r="A3792" s="2011"/>
      <c r="B3792" s="2012"/>
      <c r="C3792" s="2012"/>
      <c r="D3792" s="2012"/>
      <c r="E3792" s="2012"/>
      <c r="F3792" s="2012"/>
      <c r="G3792" s="2012"/>
      <c r="H3792" s="2012"/>
      <c r="I3792" s="2012"/>
      <c r="J3792" s="2012"/>
      <c r="K3792" s="2012"/>
      <c r="L3792" s="2012"/>
      <c r="M3792" s="2012"/>
      <c r="N3792" s="2012"/>
      <c r="O3792" s="2012"/>
      <c r="P3792" s="2012"/>
      <c r="Q3792" s="2012"/>
      <c r="R3792" s="2012"/>
      <c r="S3792" s="2012"/>
      <c r="T3792" s="2012"/>
      <c r="U3792" s="2012"/>
      <c r="V3792" s="2012"/>
      <c r="W3792" s="2012"/>
      <c r="X3792" s="2012"/>
      <c r="Y3792" s="2012"/>
      <c r="Z3792" s="2015" t="s">
        <v>1833</v>
      </c>
      <c r="AA3792" s="2015"/>
      <c r="AB3792" s="2015"/>
      <c r="AC3792" s="2015"/>
      <c r="AD3792" s="2015"/>
      <c r="AE3792" s="2015"/>
      <c r="AF3792" s="1061">
        <f>SUM(AF3790:AF3791)</f>
        <v>2</v>
      </c>
    </row>
    <row r="3793" spans="1:32" x14ac:dyDescent="0.2">
      <c r="A3793" s="2012" t="s">
        <v>1859</v>
      </c>
      <c r="B3793" s="2012"/>
      <c r="C3793" s="2012"/>
      <c r="D3793" s="2012"/>
      <c r="E3793" s="2012"/>
      <c r="F3793" s="2012"/>
      <c r="G3793" s="2012"/>
      <c r="H3793" s="2012"/>
      <c r="I3793" s="2012"/>
      <c r="J3793" s="2012"/>
      <c r="K3793" s="2012"/>
      <c r="L3793" s="2012"/>
      <c r="M3793" s="2012"/>
      <c r="N3793" s="2012"/>
      <c r="O3793" s="2012"/>
      <c r="P3793" s="2012"/>
      <c r="Q3793" s="2012"/>
      <c r="R3793" s="2012"/>
      <c r="S3793" s="2012"/>
      <c r="T3793" s="2016" t="s">
        <v>1840</v>
      </c>
      <c r="U3793" s="2016"/>
      <c r="V3793" s="2016"/>
      <c r="W3793" s="2016"/>
      <c r="X3793" s="2016"/>
      <c r="Y3793" s="2016"/>
      <c r="Z3793" s="2016"/>
      <c r="AA3793" s="2016"/>
      <c r="AB3793" s="2012" t="s">
        <v>1852</v>
      </c>
      <c r="AC3793" s="2012"/>
      <c r="AD3793" s="2012"/>
      <c r="AE3793" s="2012"/>
      <c r="AF3793" s="2012"/>
    </row>
    <row r="3794" spans="1:32" x14ac:dyDescent="0.2">
      <c r="A3794" s="2012"/>
      <c r="B3794" s="2012"/>
      <c r="C3794" s="2012"/>
      <c r="D3794" s="2012"/>
      <c r="E3794" s="2012"/>
      <c r="F3794" s="2012"/>
      <c r="G3794" s="2012"/>
      <c r="H3794" s="2012"/>
      <c r="I3794" s="2012"/>
      <c r="J3794" s="2012"/>
      <c r="K3794" s="2012"/>
      <c r="L3794" s="2012"/>
      <c r="M3794" s="2012"/>
      <c r="N3794" s="2012"/>
      <c r="O3794" s="2012"/>
      <c r="P3794" s="2012"/>
      <c r="Q3794" s="2012"/>
      <c r="R3794" s="2012"/>
      <c r="S3794" s="2012"/>
      <c r="T3794" s="2016"/>
      <c r="U3794" s="2016"/>
      <c r="V3794" s="2016"/>
      <c r="W3794" s="2016"/>
      <c r="X3794" s="2016"/>
      <c r="Y3794" s="2016"/>
      <c r="Z3794" s="2016"/>
      <c r="AA3794" s="2016"/>
      <c r="AB3794" s="2012"/>
      <c r="AC3794" s="2012"/>
      <c r="AD3794" s="2012"/>
      <c r="AE3794" s="2012"/>
      <c r="AF3794" s="2012"/>
    </row>
    <row r="3795" spans="1:32" ht="13.5" thickBot="1" x14ac:dyDescent="0.25"/>
    <row r="3796" spans="1:32" ht="26.45" customHeight="1" x14ac:dyDescent="0.2">
      <c r="A3796" s="2025" t="s">
        <v>1854</v>
      </c>
      <c r="B3796" s="2026"/>
      <c r="C3796" s="2026"/>
      <c r="D3796" s="2026"/>
      <c r="E3796" s="2026"/>
      <c r="F3796" s="2026"/>
      <c r="G3796" s="2026"/>
      <c r="H3796" s="2026"/>
      <c r="I3796" s="2026"/>
      <c r="J3796" s="2026"/>
      <c r="K3796" s="2026"/>
      <c r="L3796" s="2026"/>
      <c r="M3796" s="2026"/>
      <c r="N3796" s="2026"/>
      <c r="O3796" s="2026"/>
      <c r="P3796" s="2026"/>
      <c r="Q3796" s="2026"/>
      <c r="R3796" s="2026"/>
      <c r="S3796" s="2026"/>
      <c r="T3796" s="2026"/>
      <c r="U3796" s="2026"/>
      <c r="V3796" s="2026"/>
      <c r="W3796" s="2026"/>
      <c r="X3796" s="2026"/>
      <c r="Y3796" s="2026"/>
      <c r="Z3796" s="2026"/>
      <c r="AA3796" s="2026"/>
      <c r="AB3796" s="2026"/>
      <c r="AC3796" s="2026"/>
      <c r="AD3796" s="2026"/>
      <c r="AE3796" s="1041" t="s">
        <v>1834</v>
      </c>
      <c r="AF3796" s="1042" t="s">
        <v>1835</v>
      </c>
    </row>
    <row r="3797" spans="1:32" ht="21" customHeight="1" thickBot="1" x14ac:dyDescent="0.25">
      <c r="A3797" s="2027"/>
      <c r="B3797" s="2028"/>
      <c r="C3797" s="2028"/>
      <c r="D3797" s="2028"/>
      <c r="E3797" s="2028"/>
      <c r="F3797" s="2028"/>
      <c r="G3797" s="2028"/>
      <c r="H3797" s="2028"/>
      <c r="I3797" s="2028"/>
      <c r="J3797" s="2028"/>
      <c r="K3797" s="2028"/>
      <c r="L3797" s="2028"/>
      <c r="M3797" s="2028"/>
      <c r="N3797" s="2028"/>
      <c r="O3797" s="2028"/>
      <c r="P3797" s="2028"/>
      <c r="Q3797" s="2028"/>
      <c r="R3797" s="2028"/>
      <c r="S3797" s="2028"/>
      <c r="T3797" s="2028"/>
      <c r="U3797" s="2028"/>
      <c r="V3797" s="2028"/>
      <c r="W3797" s="2028"/>
      <c r="X3797" s="2028"/>
      <c r="Y3797" s="2028"/>
      <c r="Z3797" s="2028"/>
      <c r="AA3797" s="2028"/>
      <c r="AB3797" s="2028"/>
      <c r="AC3797" s="2028"/>
      <c r="AD3797" s="2028"/>
      <c r="AE3797" s="1041" t="s">
        <v>1836</v>
      </c>
      <c r="AF3797" s="1044">
        <v>1</v>
      </c>
    </row>
    <row r="3798" spans="1:32" ht="15.75" x14ac:dyDescent="0.2">
      <c r="A3798" s="2029"/>
      <c r="B3798" s="2030"/>
      <c r="C3798" s="2030"/>
      <c r="D3798" s="2031"/>
      <c r="E3798" s="2025" t="str">
        <f>'01'!$A$12</f>
        <v>"CONSTRUCCION SISTEMA DE ACUEDUCTO FASE II DEL MUNICIPIO DE TESALIA DPTO DEL HUILA"</v>
      </c>
      <c r="F3798" s="2026"/>
      <c r="G3798" s="2026"/>
      <c r="H3798" s="2026"/>
      <c r="I3798" s="2026"/>
      <c r="J3798" s="2026"/>
      <c r="K3798" s="2026"/>
      <c r="L3798" s="2026"/>
      <c r="M3798" s="2026"/>
      <c r="N3798" s="2026"/>
      <c r="O3798" s="2026"/>
      <c r="P3798" s="2026"/>
      <c r="Q3798" s="2026"/>
      <c r="R3798" s="2026"/>
      <c r="S3798" s="2026"/>
      <c r="T3798" s="2026"/>
      <c r="U3798" s="2026"/>
      <c r="V3798" s="2026"/>
      <c r="W3798" s="2026"/>
      <c r="X3798" s="2026"/>
      <c r="Y3798" s="2026"/>
      <c r="Z3798" s="2026"/>
      <c r="AA3798" s="2026"/>
      <c r="AB3798" s="2026"/>
      <c r="AC3798" s="2026"/>
      <c r="AD3798" s="2035"/>
      <c r="AE3798" s="1041" t="s">
        <v>847</v>
      </c>
      <c r="AF3798" s="1045">
        <f>'01'!$M$13</f>
        <v>0</v>
      </c>
    </row>
    <row r="3799" spans="1:32" ht="16.5" thickBot="1" x14ac:dyDescent="0.25">
      <c r="A3799" s="2032"/>
      <c r="B3799" s="2033"/>
      <c r="C3799" s="2033"/>
      <c r="D3799" s="2034"/>
      <c r="E3799" s="2027"/>
      <c r="F3799" s="2028"/>
      <c r="G3799" s="2028"/>
      <c r="H3799" s="2028"/>
      <c r="I3799" s="2028"/>
      <c r="J3799" s="2028"/>
      <c r="K3799" s="2028"/>
      <c r="L3799" s="2028"/>
      <c r="M3799" s="2028"/>
      <c r="N3799" s="2028"/>
      <c r="O3799" s="2028"/>
      <c r="P3799" s="2028"/>
      <c r="Q3799" s="2028"/>
      <c r="R3799" s="2028"/>
      <c r="S3799" s="2028"/>
      <c r="T3799" s="2028"/>
      <c r="U3799" s="2028"/>
      <c r="V3799" s="2028"/>
      <c r="W3799" s="2028"/>
      <c r="X3799" s="2028"/>
      <c r="Y3799" s="2028"/>
      <c r="Z3799" s="2028"/>
      <c r="AA3799" s="2028"/>
      <c r="AB3799" s="2028"/>
      <c r="AC3799" s="2028"/>
      <c r="AD3799" s="2036"/>
      <c r="AE3799" s="1041" t="s">
        <v>1837</v>
      </c>
      <c r="AF3799" s="1042" t="s">
        <v>1838</v>
      </c>
    </row>
    <row r="3800" spans="1:32" ht="15.75" x14ac:dyDescent="0.25">
      <c r="A3800" s="2037" t="s">
        <v>1860</v>
      </c>
      <c r="B3800" s="2038"/>
      <c r="C3800" s="2038"/>
      <c r="D3800" s="2038"/>
      <c r="E3800" s="2038"/>
      <c r="F3800" s="2038"/>
      <c r="G3800" s="2038"/>
      <c r="H3800" s="2038"/>
      <c r="I3800" s="2038"/>
      <c r="J3800" s="2038"/>
      <c r="K3800" s="2038"/>
      <c r="L3800" s="2038"/>
      <c r="M3800" s="2038"/>
      <c r="N3800" s="2038"/>
      <c r="O3800" s="2038"/>
      <c r="P3800" s="2038"/>
      <c r="Q3800" s="2038"/>
      <c r="R3800" s="2038"/>
      <c r="S3800" s="2038"/>
      <c r="T3800" s="2038"/>
      <c r="U3800" s="2038"/>
      <c r="V3800" s="2038"/>
      <c r="W3800" s="2038"/>
      <c r="X3800" s="2038"/>
      <c r="Y3800" s="2038"/>
      <c r="Z3800" s="2038"/>
      <c r="AA3800" s="2038"/>
      <c r="AB3800" s="2038"/>
      <c r="AC3800" s="2038"/>
      <c r="AD3800" s="2038"/>
      <c r="AE3800" s="2039" t="s">
        <v>1839</v>
      </c>
      <c r="AF3800" s="2040"/>
    </row>
    <row r="3801" spans="1:32" ht="15.75" x14ac:dyDescent="0.25">
      <c r="A3801" s="2041" t="s">
        <v>1840</v>
      </c>
      <c r="B3801" s="2042"/>
      <c r="C3801" s="2042"/>
      <c r="D3801" s="2042"/>
      <c r="E3801" s="2042"/>
      <c r="F3801" s="2042"/>
      <c r="G3801" s="2042"/>
      <c r="H3801" s="2042"/>
      <c r="I3801" s="2042"/>
      <c r="J3801" s="2042"/>
      <c r="K3801" s="2042"/>
      <c r="L3801" s="2042"/>
      <c r="M3801" s="2042"/>
      <c r="N3801" s="2042"/>
      <c r="O3801" s="2042"/>
      <c r="P3801" s="2042"/>
      <c r="Q3801" s="2042"/>
      <c r="R3801" s="2042"/>
      <c r="S3801" s="2042"/>
      <c r="T3801" s="2042"/>
      <c r="U3801" s="2042"/>
      <c r="V3801" s="2042"/>
      <c r="W3801" s="2042"/>
      <c r="X3801" s="2042"/>
      <c r="Y3801" s="2042"/>
      <c r="Z3801" s="2042"/>
      <c r="AA3801" s="2042"/>
      <c r="AB3801" s="2042"/>
      <c r="AC3801" s="2042"/>
      <c r="AD3801" s="2043"/>
      <c r="AE3801" s="2014" t="s">
        <v>1841</v>
      </c>
      <c r="AF3801" s="2044"/>
    </row>
    <row r="3802" spans="1:32" ht="15.75" x14ac:dyDescent="0.25">
      <c r="A3802" s="2045" t="s">
        <v>1853</v>
      </c>
      <c r="B3802" s="2046"/>
      <c r="C3802" s="2046"/>
      <c r="D3802" s="2046"/>
      <c r="E3802" s="2046"/>
      <c r="F3802" s="2046"/>
      <c r="G3802" s="2046"/>
      <c r="H3802" s="2046"/>
      <c r="I3802" s="2046"/>
      <c r="J3802" s="2046"/>
      <c r="K3802" s="2046"/>
      <c r="L3802" s="2046"/>
      <c r="M3802" s="2046"/>
      <c r="N3802" s="2046"/>
      <c r="O3802" s="2046"/>
      <c r="P3802" s="2046"/>
      <c r="Q3802" s="2046"/>
      <c r="R3802" s="2046"/>
      <c r="S3802" s="2046"/>
      <c r="T3802" s="2046"/>
      <c r="U3802" s="2046"/>
      <c r="V3802" s="2046"/>
      <c r="W3802" s="2046"/>
      <c r="X3802" s="2046"/>
      <c r="Y3802" s="2046"/>
      <c r="Z3802" s="2046"/>
      <c r="AA3802" s="2046"/>
      <c r="AB3802" s="2046"/>
      <c r="AC3802" s="2046"/>
      <c r="AD3802" s="2046"/>
      <c r="AE3802" s="2047">
        <f>'01'!$M$13</f>
        <v>0</v>
      </c>
      <c r="AF3802" s="2044"/>
    </row>
    <row r="3803" spans="1:32" x14ac:dyDescent="0.2">
      <c r="A3803" s="1046"/>
      <c r="B3803" s="1047"/>
      <c r="C3803" s="1047"/>
      <c r="D3803" s="1047"/>
      <c r="E3803" s="1047"/>
      <c r="F3803" s="1047"/>
      <c r="G3803" s="1047"/>
      <c r="H3803" s="1047"/>
      <c r="I3803" s="1047"/>
      <c r="J3803" s="1047"/>
      <c r="K3803" s="1047"/>
      <c r="L3803" s="1047"/>
      <c r="M3803" s="1047"/>
      <c r="N3803" s="1047"/>
      <c r="O3803" s="1047"/>
      <c r="P3803" s="1047"/>
      <c r="Q3803" s="1047"/>
      <c r="R3803" s="1047"/>
      <c r="S3803" s="1047"/>
      <c r="T3803" s="1047"/>
      <c r="U3803" s="1047"/>
      <c r="V3803" s="1047"/>
      <c r="W3803" s="1047"/>
      <c r="X3803" s="1047"/>
      <c r="Y3803" s="1047"/>
      <c r="Z3803" s="1047"/>
      <c r="AA3803" s="1047"/>
      <c r="AB3803" s="1047"/>
      <c r="AC3803" s="1047"/>
      <c r="AD3803" s="1047"/>
      <c r="AE3803" s="1047"/>
      <c r="AF3803" s="1048"/>
    </row>
    <row r="3804" spans="1:32" ht="30" customHeight="1" x14ac:dyDescent="0.2">
      <c r="A3804" s="2048" t="s">
        <v>1842</v>
      </c>
      <c r="B3804" s="2049"/>
      <c r="C3804" s="2049"/>
      <c r="D3804" s="2049"/>
      <c r="E3804" s="2049"/>
      <c r="F3804" s="2050" t="str">
        <f>+'01'!$H$130</f>
        <v>E - ESPESADOR GRAVIMÉTRICO</v>
      </c>
      <c r="G3804" s="2049"/>
      <c r="H3804" s="2049"/>
      <c r="I3804" s="2049"/>
      <c r="J3804" s="2049"/>
      <c r="K3804" s="2049"/>
      <c r="L3804" s="2049"/>
      <c r="M3804" s="2049"/>
      <c r="N3804" s="2049"/>
      <c r="O3804" s="2049"/>
      <c r="P3804" s="2049"/>
      <c r="Q3804" s="2049"/>
      <c r="R3804" s="2049"/>
      <c r="S3804" s="2049"/>
      <c r="T3804" s="2049"/>
      <c r="U3804" s="2049"/>
      <c r="V3804" s="2049"/>
      <c r="W3804" s="2049"/>
      <c r="X3804" s="2049"/>
      <c r="Y3804" s="2051"/>
      <c r="Z3804" s="2052" t="s">
        <v>1843</v>
      </c>
      <c r="AA3804" s="2053"/>
      <c r="AB3804" s="2058" t="s">
        <v>1844</v>
      </c>
      <c r="AC3804" s="2059"/>
      <c r="AD3804" s="2060"/>
      <c r="AE3804" s="2064" t="s">
        <v>1845</v>
      </c>
      <c r="AF3804" s="2067" t="s">
        <v>1846</v>
      </c>
    </row>
    <row r="3805" spans="1:32" ht="15" customHeight="1" x14ac:dyDescent="0.2">
      <c r="A3805" s="2070" t="str">
        <f>+'01'!A160</f>
        <v>E-08-08</v>
      </c>
      <c r="B3805" s="2071"/>
      <c r="C3805" s="2072"/>
      <c r="D3805" s="2076" t="str">
        <f>VLOOKUP(A3805,'01'!$A$12:$N$299,3,FALSE)</f>
        <v xml:space="preserve"> SUMINISTRO E INSTALACIÓN DE TEE HF DE 6"X6" EXTREMO BRIDAS PARA CONEXIÓN DE TUBERÍA PVC.</v>
      </c>
      <c r="E3805" s="2077"/>
      <c r="F3805" s="2077"/>
      <c r="G3805" s="2077"/>
      <c r="H3805" s="2077"/>
      <c r="I3805" s="2077"/>
      <c r="J3805" s="2077"/>
      <c r="K3805" s="2077"/>
      <c r="L3805" s="2077"/>
      <c r="M3805" s="2077"/>
      <c r="N3805" s="2077"/>
      <c r="O3805" s="2077"/>
      <c r="P3805" s="2077"/>
      <c r="Q3805" s="2077"/>
      <c r="R3805" s="2077"/>
      <c r="S3805" s="2078"/>
      <c r="T3805" s="2082" t="s">
        <v>124</v>
      </c>
      <c r="U3805" s="2083"/>
      <c r="V3805" s="2083"/>
      <c r="W3805" s="2083"/>
      <c r="X3805" s="2052" t="str">
        <f>VLOOKUP(A3805,'01'!$A$12:$N$299,9,FALSE)</f>
        <v>UND</v>
      </c>
      <c r="Y3805" s="2053"/>
      <c r="Z3805" s="2054"/>
      <c r="AA3805" s="2055"/>
      <c r="AB3805" s="2061"/>
      <c r="AC3805" s="2062"/>
      <c r="AD3805" s="2063"/>
      <c r="AE3805" s="2065"/>
      <c r="AF3805" s="2068"/>
    </row>
    <row r="3806" spans="1:32" ht="15" customHeight="1" x14ac:dyDescent="0.25">
      <c r="A3806" s="2073"/>
      <c r="B3806" s="2074"/>
      <c r="C3806" s="2075"/>
      <c r="D3806" s="2079"/>
      <c r="E3806" s="2080"/>
      <c r="F3806" s="2080"/>
      <c r="G3806" s="2080"/>
      <c r="H3806" s="2080"/>
      <c r="I3806" s="2080"/>
      <c r="J3806" s="2080"/>
      <c r="K3806" s="2080"/>
      <c r="L3806" s="2080"/>
      <c r="M3806" s="2080"/>
      <c r="N3806" s="2080"/>
      <c r="O3806" s="2080"/>
      <c r="P3806" s="2080"/>
      <c r="Q3806" s="2080"/>
      <c r="R3806" s="2080"/>
      <c r="S3806" s="2081"/>
      <c r="T3806" s="2084"/>
      <c r="U3806" s="2085"/>
      <c r="V3806" s="2085"/>
      <c r="W3806" s="2085"/>
      <c r="X3806" s="2056"/>
      <c r="Y3806" s="2057"/>
      <c r="Z3806" s="2056"/>
      <c r="AA3806" s="2057"/>
      <c r="AB3806" s="1049" t="s">
        <v>1847</v>
      </c>
      <c r="AC3806" s="1049" t="s">
        <v>1848</v>
      </c>
      <c r="AD3806" s="1049" t="s">
        <v>1861</v>
      </c>
      <c r="AE3806" s="2066"/>
      <c r="AF3806" s="2069"/>
    </row>
    <row r="3807" spans="1:32" ht="15.6" customHeight="1" x14ac:dyDescent="0.25">
      <c r="A3807" s="2017"/>
      <c r="B3807" s="2018"/>
      <c r="C3807" s="2018"/>
      <c r="D3807" s="2018"/>
      <c r="E3807" s="2018"/>
      <c r="F3807" s="2018"/>
      <c r="G3807" s="2018"/>
      <c r="H3807" s="2018"/>
      <c r="I3807" s="2018"/>
      <c r="J3807" s="2018"/>
      <c r="K3807" s="2018"/>
      <c r="L3807" s="2018"/>
      <c r="M3807" s="2018"/>
      <c r="N3807" s="2018"/>
      <c r="O3807" s="2018"/>
      <c r="P3807" s="2018"/>
      <c r="Q3807" s="2018"/>
      <c r="R3807" s="2018"/>
      <c r="S3807" s="2018"/>
      <c r="T3807" s="2018"/>
      <c r="U3807" s="2018"/>
      <c r="V3807" s="2018"/>
      <c r="W3807" s="2018"/>
      <c r="X3807" s="2018"/>
      <c r="Y3807" s="2018"/>
      <c r="Z3807" s="2021" t="s">
        <v>2478</v>
      </c>
      <c r="AA3807" s="2021"/>
      <c r="AB3807" s="1050"/>
      <c r="AC3807" s="1050"/>
      <c r="AD3807" s="1050"/>
      <c r="AE3807" s="1050">
        <v>1</v>
      </c>
      <c r="AF3807" s="1052">
        <f>+ROUND(AE3807,2)</f>
        <v>1</v>
      </c>
    </row>
    <row r="3808" spans="1:32" ht="15.6" customHeight="1" x14ac:dyDescent="0.25">
      <c r="A3808" s="2017"/>
      <c r="B3808" s="2018"/>
      <c r="C3808" s="2018"/>
      <c r="D3808" s="2018"/>
      <c r="E3808" s="2018"/>
      <c r="F3808" s="2018"/>
      <c r="G3808" s="2018"/>
      <c r="H3808" s="2018"/>
      <c r="I3808" s="2018"/>
      <c r="J3808" s="2018"/>
      <c r="K3808" s="2018"/>
      <c r="L3808" s="2018"/>
      <c r="M3808" s="2018"/>
      <c r="N3808" s="2018"/>
      <c r="O3808" s="2018"/>
      <c r="P3808" s="2018"/>
      <c r="Q3808" s="2018"/>
      <c r="R3808" s="2018"/>
      <c r="S3808" s="2018"/>
      <c r="T3808" s="2018"/>
      <c r="U3808" s="2018"/>
      <c r="V3808" s="2018"/>
      <c r="W3808" s="2018"/>
      <c r="X3808" s="2018"/>
      <c r="Y3808" s="2018"/>
      <c r="Z3808" s="2021"/>
      <c r="AA3808" s="2021"/>
      <c r="AB3808" s="1050"/>
      <c r="AC3808" s="1050"/>
      <c r="AD3808" s="1050"/>
      <c r="AE3808" s="1050"/>
      <c r="AF3808" s="1052"/>
    </row>
    <row r="3809" spans="1:32" ht="15.75" x14ac:dyDescent="0.25">
      <c r="A3809" s="2017"/>
      <c r="B3809" s="2018"/>
      <c r="C3809" s="2018"/>
      <c r="D3809" s="2018"/>
      <c r="E3809" s="2018"/>
      <c r="F3809" s="2018"/>
      <c r="G3809" s="2018"/>
      <c r="H3809" s="2018"/>
      <c r="I3809" s="2018"/>
      <c r="J3809" s="2018"/>
      <c r="K3809" s="2018"/>
      <c r="L3809" s="2018"/>
      <c r="M3809" s="2018"/>
      <c r="N3809" s="2018"/>
      <c r="O3809" s="2018"/>
      <c r="P3809" s="2018"/>
      <c r="Q3809" s="2018"/>
      <c r="R3809" s="2018"/>
      <c r="S3809" s="2018"/>
      <c r="T3809" s="2018"/>
      <c r="U3809" s="2018"/>
      <c r="V3809" s="2018"/>
      <c r="W3809" s="2018"/>
      <c r="X3809" s="2018"/>
      <c r="Y3809" s="2018"/>
      <c r="Z3809" s="2021"/>
      <c r="AA3809" s="2021"/>
      <c r="AB3809" s="1050"/>
      <c r="AC3809" s="1050"/>
      <c r="AD3809" s="1050"/>
      <c r="AE3809" s="1050"/>
      <c r="AF3809" s="1052"/>
    </row>
    <row r="3810" spans="1:32" ht="15.75" x14ac:dyDescent="0.25">
      <c r="A3810" s="2017"/>
      <c r="B3810" s="2018"/>
      <c r="C3810" s="2018"/>
      <c r="D3810" s="2018"/>
      <c r="E3810" s="2018"/>
      <c r="F3810" s="2018"/>
      <c r="G3810" s="2018"/>
      <c r="H3810" s="2018"/>
      <c r="I3810" s="2018"/>
      <c r="J3810" s="2018"/>
      <c r="K3810" s="2018"/>
      <c r="L3810" s="2018"/>
      <c r="M3810" s="2018"/>
      <c r="N3810" s="2018"/>
      <c r="O3810" s="2018"/>
      <c r="P3810" s="2018"/>
      <c r="Q3810" s="2018"/>
      <c r="R3810" s="2018"/>
      <c r="S3810" s="2018"/>
      <c r="T3810" s="2018"/>
      <c r="U3810" s="2018"/>
      <c r="V3810" s="2018"/>
      <c r="W3810" s="2018"/>
      <c r="X3810" s="2018"/>
      <c r="Y3810" s="2018"/>
      <c r="Z3810" s="2021"/>
      <c r="AA3810" s="2021"/>
      <c r="AB3810" s="1050"/>
      <c r="AC3810" s="1050"/>
      <c r="AD3810" s="1050"/>
      <c r="AE3810" s="1050"/>
      <c r="AF3810" s="1052"/>
    </row>
    <row r="3811" spans="1:32" ht="15.75" x14ac:dyDescent="0.25">
      <c r="A3811" s="2017"/>
      <c r="B3811" s="2018"/>
      <c r="C3811" s="2018"/>
      <c r="D3811" s="2018"/>
      <c r="E3811" s="2018"/>
      <c r="F3811" s="2018"/>
      <c r="G3811" s="2018"/>
      <c r="H3811" s="2018"/>
      <c r="I3811" s="2018"/>
      <c r="J3811" s="2018"/>
      <c r="K3811" s="2018"/>
      <c r="L3811" s="2018"/>
      <c r="M3811" s="2018"/>
      <c r="N3811" s="2018"/>
      <c r="O3811" s="2018"/>
      <c r="P3811" s="2018"/>
      <c r="Q3811" s="2018"/>
      <c r="R3811" s="2018"/>
      <c r="S3811" s="2018"/>
      <c r="T3811" s="2018"/>
      <c r="U3811" s="2018"/>
      <c r="V3811" s="2018"/>
      <c r="W3811" s="2018"/>
      <c r="X3811" s="2018"/>
      <c r="Y3811" s="2018"/>
      <c r="Z3811" s="2021"/>
      <c r="AA3811" s="2021"/>
      <c r="AB3811" s="1050"/>
      <c r="AC3811" s="1050"/>
      <c r="AD3811" s="1050"/>
      <c r="AE3811" s="1050"/>
      <c r="AF3811" s="1052"/>
    </row>
    <row r="3812" spans="1:32" ht="15.75" x14ac:dyDescent="0.25">
      <c r="A3812" s="2017"/>
      <c r="B3812" s="2018"/>
      <c r="C3812" s="2018"/>
      <c r="D3812" s="2018"/>
      <c r="E3812" s="2018"/>
      <c r="F3812" s="2018"/>
      <c r="G3812" s="2018"/>
      <c r="H3812" s="2018"/>
      <c r="I3812" s="2018"/>
      <c r="J3812" s="2018"/>
      <c r="K3812" s="2018"/>
      <c r="L3812" s="2018"/>
      <c r="M3812" s="2018"/>
      <c r="N3812" s="2018"/>
      <c r="O3812" s="2018"/>
      <c r="P3812" s="2018"/>
      <c r="Q3812" s="2018"/>
      <c r="R3812" s="2018"/>
      <c r="S3812" s="2018"/>
      <c r="T3812" s="2018"/>
      <c r="U3812" s="2018"/>
      <c r="V3812" s="2018"/>
      <c r="W3812" s="2018"/>
      <c r="X3812" s="2018"/>
      <c r="Y3812" s="2018"/>
      <c r="Z3812" s="2021"/>
      <c r="AA3812" s="2021"/>
      <c r="AB3812" s="1050"/>
      <c r="AC3812" s="1050"/>
      <c r="AD3812" s="1050"/>
      <c r="AE3812" s="1050"/>
      <c r="AF3812" s="1052"/>
    </row>
    <row r="3813" spans="1:32" ht="15.75" x14ac:dyDescent="0.25">
      <c r="A3813" s="2017"/>
      <c r="B3813" s="2018"/>
      <c r="C3813" s="2018"/>
      <c r="D3813" s="2018"/>
      <c r="E3813" s="2018"/>
      <c r="F3813" s="2018"/>
      <c r="G3813" s="2018"/>
      <c r="H3813" s="2018"/>
      <c r="I3813" s="2018"/>
      <c r="J3813" s="2018"/>
      <c r="K3813" s="2018"/>
      <c r="L3813" s="2018"/>
      <c r="M3813" s="2018"/>
      <c r="N3813" s="2018"/>
      <c r="O3813" s="2018"/>
      <c r="P3813" s="2018"/>
      <c r="Q3813" s="2018"/>
      <c r="R3813" s="2018"/>
      <c r="S3813" s="2018"/>
      <c r="T3813" s="2018"/>
      <c r="U3813" s="2018"/>
      <c r="V3813" s="2018"/>
      <c r="W3813" s="2018"/>
      <c r="X3813" s="2018"/>
      <c r="Y3813" s="2018"/>
      <c r="Z3813" s="2021"/>
      <c r="AA3813" s="2021"/>
      <c r="AB3813" s="1050"/>
      <c r="AC3813" s="1050"/>
      <c r="AD3813" s="1050"/>
      <c r="AE3813" s="1050"/>
      <c r="AF3813" s="1052"/>
    </row>
    <row r="3814" spans="1:32" ht="15.75" x14ac:dyDescent="0.25">
      <c r="A3814" s="2017"/>
      <c r="B3814" s="2018"/>
      <c r="C3814" s="2018"/>
      <c r="D3814" s="2018"/>
      <c r="E3814" s="2018"/>
      <c r="F3814" s="2018"/>
      <c r="G3814" s="2018"/>
      <c r="H3814" s="2018"/>
      <c r="I3814" s="2018"/>
      <c r="J3814" s="2018"/>
      <c r="K3814" s="2018"/>
      <c r="L3814" s="2018"/>
      <c r="M3814" s="2018"/>
      <c r="N3814" s="2018"/>
      <c r="O3814" s="2018"/>
      <c r="P3814" s="2018"/>
      <c r="Q3814" s="2018"/>
      <c r="R3814" s="2018"/>
      <c r="S3814" s="2018"/>
      <c r="T3814" s="2018"/>
      <c r="U3814" s="2018"/>
      <c r="V3814" s="2018"/>
      <c r="W3814" s="2018"/>
      <c r="X3814" s="2018"/>
      <c r="Y3814" s="2018"/>
      <c r="Z3814" s="2021"/>
      <c r="AA3814" s="2021"/>
      <c r="AB3814" s="1050"/>
      <c r="AC3814" s="1050"/>
      <c r="AD3814" s="1050"/>
      <c r="AE3814" s="1050"/>
      <c r="AF3814" s="1052"/>
    </row>
    <row r="3815" spans="1:32" ht="15.75" x14ac:dyDescent="0.25">
      <c r="A3815" s="2017"/>
      <c r="B3815" s="2018"/>
      <c r="C3815" s="2018"/>
      <c r="D3815" s="2018"/>
      <c r="E3815" s="2018"/>
      <c r="F3815" s="2018"/>
      <c r="G3815" s="2018"/>
      <c r="H3815" s="2018"/>
      <c r="I3815" s="2018"/>
      <c r="J3815" s="2018"/>
      <c r="K3815" s="2018"/>
      <c r="L3815" s="2018"/>
      <c r="M3815" s="2018"/>
      <c r="N3815" s="2018"/>
      <c r="O3815" s="2018"/>
      <c r="P3815" s="2018"/>
      <c r="Q3815" s="2018"/>
      <c r="R3815" s="2018"/>
      <c r="S3815" s="2018"/>
      <c r="T3815" s="2018"/>
      <c r="U3815" s="2018"/>
      <c r="V3815" s="2018"/>
      <c r="W3815" s="2018"/>
      <c r="X3815" s="2018"/>
      <c r="Y3815" s="2018"/>
      <c r="Z3815" s="2021"/>
      <c r="AA3815" s="2021"/>
      <c r="AB3815" s="1050"/>
      <c r="AC3815" s="1050"/>
      <c r="AD3815" s="1050"/>
      <c r="AE3815" s="1050"/>
      <c r="AF3815" s="1052"/>
    </row>
    <row r="3816" spans="1:32" ht="15.75" x14ac:dyDescent="0.25">
      <c r="A3816" s="2017"/>
      <c r="B3816" s="2018"/>
      <c r="C3816" s="2018"/>
      <c r="D3816" s="2018"/>
      <c r="E3816" s="2018"/>
      <c r="F3816" s="2018"/>
      <c r="G3816" s="2018"/>
      <c r="H3816" s="2018"/>
      <c r="I3816" s="2018"/>
      <c r="J3816" s="2018"/>
      <c r="K3816" s="2018"/>
      <c r="L3816" s="2018"/>
      <c r="M3816" s="2018"/>
      <c r="N3816" s="2018"/>
      <c r="O3816" s="2018"/>
      <c r="P3816" s="2018"/>
      <c r="Q3816" s="2018"/>
      <c r="R3816" s="2018"/>
      <c r="S3816" s="2018"/>
      <c r="T3816" s="2018"/>
      <c r="U3816" s="2018"/>
      <c r="V3816" s="2018"/>
      <c r="W3816" s="2018"/>
      <c r="X3816" s="2018"/>
      <c r="Y3816" s="2018"/>
      <c r="Z3816" s="2021"/>
      <c r="AA3816" s="2021"/>
      <c r="AB3816" s="1050"/>
      <c r="AC3816" s="1050"/>
      <c r="AD3816" s="1050"/>
      <c r="AE3816" s="1050"/>
      <c r="AF3816" s="1052"/>
    </row>
    <row r="3817" spans="1:32" ht="15.75" x14ac:dyDescent="0.25">
      <c r="A3817" s="2017"/>
      <c r="B3817" s="2018"/>
      <c r="C3817" s="2018"/>
      <c r="D3817" s="2018"/>
      <c r="E3817" s="2018"/>
      <c r="F3817" s="2018"/>
      <c r="G3817" s="2018"/>
      <c r="H3817" s="2018"/>
      <c r="I3817" s="2018"/>
      <c r="J3817" s="2018"/>
      <c r="K3817" s="2018"/>
      <c r="L3817" s="2018"/>
      <c r="M3817" s="2018"/>
      <c r="N3817" s="2018"/>
      <c r="O3817" s="2018"/>
      <c r="P3817" s="2018"/>
      <c r="Q3817" s="2018"/>
      <c r="R3817" s="2018"/>
      <c r="S3817" s="2018"/>
      <c r="T3817" s="2018"/>
      <c r="U3817" s="2018"/>
      <c r="V3817" s="2018"/>
      <c r="W3817" s="2018"/>
      <c r="X3817" s="2018"/>
      <c r="Y3817" s="2018"/>
      <c r="Z3817" s="2021"/>
      <c r="AA3817" s="2021"/>
      <c r="AB3817" s="1050"/>
      <c r="AC3817" s="1050"/>
      <c r="AD3817" s="1050"/>
      <c r="AE3817" s="1050"/>
      <c r="AF3817" s="1052"/>
    </row>
    <row r="3818" spans="1:32" ht="15.75" x14ac:dyDescent="0.25">
      <c r="A3818" s="2017"/>
      <c r="B3818" s="2018"/>
      <c r="C3818" s="2018"/>
      <c r="D3818" s="2018"/>
      <c r="E3818" s="2018"/>
      <c r="F3818" s="2018"/>
      <c r="G3818" s="2018"/>
      <c r="H3818" s="2018"/>
      <c r="I3818" s="2018"/>
      <c r="J3818" s="2018"/>
      <c r="K3818" s="2018"/>
      <c r="L3818" s="2018"/>
      <c r="M3818" s="2018"/>
      <c r="N3818" s="2018"/>
      <c r="O3818" s="2018"/>
      <c r="P3818" s="2018"/>
      <c r="Q3818" s="2018"/>
      <c r="R3818" s="2018"/>
      <c r="S3818" s="2018"/>
      <c r="T3818" s="2018"/>
      <c r="U3818" s="2018"/>
      <c r="V3818" s="2018"/>
      <c r="W3818" s="2018"/>
      <c r="X3818" s="2018"/>
      <c r="Y3818" s="2018"/>
      <c r="Z3818" s="2021"/>
      <c r="AA3818" s="2021"/>
      <c r="AB3818" s="1050"/>
      <c r="AC3818" s="1050"/>
      <c r="AD3818" s="1050"/>
      <c r="AE3818" s="1050"/>
      <c r="AF3818" s="1052"/>
    </row>
    <row r="3819" spans="1:32" ht="15.75" x14ac:dyDescent="0.25">
      <c r="A3819" s="2017"/>
      <c r="B3819" s="2018"/>
      <c r="C3819" s="2018"/>
      <c r="D3819" s="2018"/>
      <c r="E3819" s="2018"/>
      <c r="F3819" s="2018"/>
      <c r="G3819" s="2018"/>
      <c r="H3819" s="2018"/>
      <c r="I3819" s="2018"/>
      <c r="J3819" s="2018"/>
      <c r="K3819" s="2018"/>
      <c r="L3819" s="2018"/>
      <c r="M3819" s="2018"/>
      <c r="N3819" s="2018"/>
      <c r="O3819" s="2018"/>
      <c r="P3819" s="2018"/>
      <c r="Q3819" s="2018"/>
      <c r="R3819" s="2018"/>
      <c r="S3819" s="2018"/>
      <c r="T3819" s="2018"/>
      <c r="U3819" s="2018"/>
      <c r="V3819" s="2018"/>
      <c r="W3819" s="2018"/>
      <c r="X3819" s="2018"/>
      <c r="Y3819" s="2018"/>
      <c r="Z3819" s="2021"/>
      <c r="AA3819" s="2021"/>
      <c r="AB3819" s="1050"/>
      <c r="AC3819" s="1050"/>
      <c r="AD3819" s="1050"/>
      <c r="AE3819" s="1050"/>
      <c r="AF3819" s="1052"/>
    </row>
    <row r="3820" spans="1:32" ht="15.75" x14ac:dyDescent="0.25">
      <c r="A3820" s="2017"/>
      <c r="B3820" s="2018"/>
      <c r="C3820" s="2018"/>
      <c r="D3820" s="2018"/>
      <c r="E3820" s="2018"/>
      <c r="F3820" s="2018"/>
      <c r="G3820" s="2018"/>
      <c r="H3820" s="2018"/>
      <c r="I3820" s="2018"/>
      <c r="J3820" s="2018"/>
      <c r="K3820" s="2018"/>
      <c r="L3820" s="2018"/>
      <c r="M3820" s="2018"/>
      <c r="N3820" s="2018"/>
      <c r="O3820" s="2018"/>
      <c r="P3820" s="2018"/>
      <c r="Q3820" s="2018"/>
      <c r="R3820" s="2018"/>
      <c r="S3820" s="2018"/>
      <c r="T3820" s="2018"/>
      <c r="U3820" s="2018"/>
      <c r="V3820" s="2018"/>
      <c r="W3820" s="2018"/>
      <c r="X3820" s="2018"/>
      <c r="Y3820" s="2018"/>
      <c r="Z3820" s="2021"/>
      <c r="AA3820" s="2021"/>
      <c r="AB3820" s="1050"/>
      <c r="AC3820" s="1050"/>
      <c r="AD3820" s="1050"/>
      <c r="AE3820" s="1050"/>
      <c r="AF3820" s="1052"/>
    </row>
    <row r="3821" spans="1:32" ht="15.75" x14ac:dyDescent="0.25">
      <c r="A3821" s="2017"/>
      <c r="B3821" s="2018"/>
      <c r="C3821" s="2018"/>
      <c r="D3821" s="2018"/>
      <c r="E3821" s="2018"/>
      <c r="F3821" s="2018"/>
      <c r="G3821" s="2018"/>
      <c r="H3821" s="2018"/>
      <c r="I3821" s="2018"/>
      <c r="J3821" s="2018"/>
      <c r="K3821" s="2018"/>
      <c r="L3821" s="2018"/>
      <c r="M3821" s="2018"/>
      <c r="N3821" s="2018"/>
      <c r="O3821" s="2018"/>
      <c r="P3821" s="2018"/>
      <c r="Q3821" s="2018"/>
      <c r="R3821" s="2018"/>
      <c r="S3821" s="2018"/>
      <c r="T3821" s="2018"/>
      <c r="U3821" s="2018"/>
      <c r="V3821" s="2018"/>
      <c r="W3821" s="2018"/>
      <c r="X3821" s="2018"/>
      <c r="Y3821" s="2018"/>
      <c r="Z3821" s="2022"/>
      <c r="AA3821" s="2022"/>
      <c r="AB3821" s="1050"/>
      <c r="AC3821" s="1050"/>
      <c r="AD3821" s="1050"/>
      <c r="AE3821" s="1050"/>
      <c r="AF3821" s="1052"/>
    </row>
    <row r="3822" spans="1:32" ht="15.75" x14ac:dyDescent="0.25">
      <c r="A3822" s="2017"/>
      <c r="B3822" s="2018"/>
      <c r="C3822" s="2018"/>
      <c r="D3822" s="2018"/>
      <c r="E3822" s="2018"/>
      <c r="F3822" s="2018"/>
      <c r="G3822" s="2018"/>
      <c r="H3822" s="2018"/>
      <c r="I3822" s="2018"/>
      <c r="J3822" s="2018"/>
      <c r="K3822" s="2018"/>
      <c r="L3822" s="2018"/>
      <c r="M3822" s="2018"/>
      <c r="N3822" s="2018"/>
      <c r="O3822" s="2018"/>
      <c r="P3822" s="2018"/>
      <c r="Q3822" s="2018"/>
      <c r="R3822" s="2018"/>
      <c r="S3822" s="2018"/>
      <c r="T3822" s="2018"/>
      <c r="U3822" s="2018"/>
      <c r="V3822" s="2018"/>
      <c r="W3822" s="2018"/>
      <c r="X3822" s="2018"/>
      <c r="Y3822" s="2018"/>
      <c r="Z3822" s="2022"/>
      <c r="AA3822" s="2022"/>
      <c r="AB3822" s="1050"/>
      <c r="AC3822" s="1050"/>
      <c r="AD3822" s="1050"/>
      <c r="AE3822" s="1050"/>
      <c r="AF3822" s="1052"/>
    </row>
    <row r="3823" spans="1:32" ht="15.75" x14ac:dyDescent="0.25">
      <c r="A3823" s="2017"/>
      <c r="B3823" s="2018"/>
      <c r="C3823" s="2018"/>
      <c r="D3823" s="2018"/>
      <c r="E3823" s="2018"/>
      <c r="F3823" s="2018"/>
      <c r="G3823" s="2018"/>
      <c r="H3823" s="2018"/>
      <c r="I3823" s="2018"/>
      <c r="J3823" s="2018"/>
      <c r="K3823" s="2018"/>
      <c r="L3823" s="2018"/>
      <c r="M3823" s="2018"/>
      <c r="N3823" s="2018"/>
      <c r="O3823" s="2018"/>
      <c r="P3823" s="2018"/>
      <c r="Q3823" s="2018"/>
      <c r="R3823" s="2018"/>
      <c r="S3823" s="2018"/>
      <c r="T3823" s="2018"/>
      <c r="U3823" s="2018"/>
      <c r="V3823" s="2018"/>
      <c r="W3823" s="2018"/>
      <c r="X3823" s="2018"/>
      <c r="Y3823" s="2018"/>
      <c r="Z3823" s="2022"/>
      <c r="AA3823" s="2022"/>
      <c r="AB3823" s="1050"/>
      <c r="AC3823" s="1050"/>
      <c r="AD3823" s="1050"/>
      <c r="AE3823" s="1050"/>
      <c r="AF3823" s="1052"/>
    </row>
    <row r="3824" spans="1:32" ht="15.75" x14ac:dyDescent="0.25">
      <c r="A3824" s="2017"/>
      <c r="B3824" s="2018"/>
      <c r="C3824" s="2018"/>
      <c r="D3824" s="2018"/>
      <c r="E3824" s="2018"/>
      <c r="F3824" s="2018"/>
      <c r="G3824" s="2018"/>
      <c r="H3824" s="2018"/>
      <c r="I3824" s="2018"/>
      <c r="J3824" s="2018"/>
      <c r="K3824" s="2018"/>
      <c r="L3824" s="2018"/>
      <c r="M3824" s="2018"/>
      <c r="N3824" s="2018"/>
      <c r="O3824" s="2018"/>
      <c r="P3824" s="2018"/>
      <c r="Q3824" s="2018"/>
      <c r="R3824" s="2018"/>
      <c r="S3824" s="2018"/>
      <c r="T3824" s="2018"/>
      <c r="U3824" s="2018"/>
      <c r="V3824" s="2018"/>
      <c r="W3824" s="2018"/>
      <c r="X3824" s="2018"/>
      <c r="Y3824" s="2018"/>
      <c r="Z3824" s="2023"/>
      <c r="AA3824" s="2023"/>
      <c r="AB3824" s="1050"/>
      <c r="AC3824" s="1050"/>
      <c r="AD3824" s="1050"/>
      <c r="AE3824" s="1050"/>
      <c r="AF3824" s="1052"/>
    </row>
    <row r="3825" spans="1:32" ht="15.75" x14ac:dyDescent="0.25">
      <c r="A3825" s="2017"/>
      <c r="B3825" s="2018"/>
      <c r="C3825" s="2018"/>
      <c r="D3825" s="2018"/>
      <c r="E3825" s="2018"/>
      <c r="F3825" s="2018"/>
      <c r="G3825" s="2018"/>
      <c r="H3825" s="2018"/>
      <c r="I3825" s="2018"/>
      <c r="J3825" s="2018"/>
      <c r="K3825" s="2018"/>
      <c r="L3825" s="2018"/>
      <c r="M3825" s="2018"/>
      <c r="N3825" s="2018"/>
      <c r="O3825" s="2018"/>
      <c r="P3825" s="2018"/>
      <c r="Q3825" s="2018"/>
      <c r="R3825" s="2018"/>
      <c r="S3825" s="2018"/>
      <c r="T3825" s="2018"/>
      <c r="U3825" s="2018"/>
      <c r="V3825" s="2018"/>
      <c r="W3825" s="2018"/>
      <c r="X3825" s="2018"/>
      <c r="Y3825" s="2018"/>
      <c r="Z3825" s="2023"/>
      <c r="AA3825" s="2023"/>
      <c r="AB3825" s="1050"/>
      <c r="AC3825" s="1050"/>
      <c r="AD3825" s="1050"/>
      <c r="AE3825" s="1050"/>
      <c r="AF3825" s="1052"/>
    </row>
    <row r="3826" spans="1:32" ht="15.75" x14ac:dyDescent="0.25">
      <c r="A3826" s="2017"/>
      <c r="B3826" s="2018"/>
      <c r="C3826" s="2018"/>
      <c r="D3826" s="2018"/>
      <c r="E3826" s="2018"/>
      <c r="F3826" s="2018"/>
      <c r="G3826" s="2018"/>
      <c r="H3826" s="2018"/>
      <c r="I3826" s="2018"/>
      <c r="J3826" s="2018"/>
      <c r="K3826" s="2018"/>
      <c r="L3826" s="2018"/>
      <c r="M3826" s="2018"/>
      <c r="N3826" s="2018"/>
      <c r="O3826" s="2018"/>
      <c r="P3826" s="2018"/>
      <c r="Q3826" s="2018"/>
      <c r="R3826" s="2018"/>
      <c r="S3826" s="2018"/>
      <c r="T3826" s="2018"/>
      <c r="U3826" s="2018"/>
      <c r="V3826" s="2018"/>
      <c r="W3826" s="2018"/>
      <c r="X3826" s="2018"/>
      <c r="Y3826" s="2018"/>
      <c r="Z3826" s="2023"/>
      <c r="AA3826" s="2023"/>
      <c r="AB3826" s="1050"/>
      <c r="AC3826" s="1050"/>
      <c r="AD3826" s="1050"/>
      <c r="AE3826" s="1050"/>
      <c r="AF3826" s="1052"/>
    </row>
    <row r="3827" spans="1:32" ht="15.75" x14ac:dyDescent="0.25">
      <c r="A3827" s="2017"/>
      <c r="B3827" s="2018"/>
      <c r="C3827" s="2018"/>
      <c r="D3827" s="2018"/>
      <c r="E3827" s="2018"/>
      <c r="F3827" s="2018"/>
      <c r="G3827" s="2018"/>
      <c r="H3827" s="2018"/>
      <c r="I3827" s="2018"/>
      <c r="J3827" s="2018"/>
      <c r="K3827" s="2018"/>
      <c r="L3827" s="2018"/>
      <c r="M3827" s="2018"/>
      <c r="N3827" s="2018"/>
      <c r="O3827" s="2018"/>
      <c r="P3827" s="2018"/>
      <c r="Q3827" s="2018"/>
      <c r="R3827" s="2018"/>
      <c r="S3827" s="2018"/>
      <c r="T3827" s="2018"/>
      <c r="U3827" s="2018"/>
      <c r="V3827" s="2018"/>
      <c r="W3827" s="2018"/>
      <c r="X3827" s="2018"/>
      <c r="Y3827" s="2018"/>
      <c r="Z3827" s="2023"/>
      <c r="AA3827" s="2023"/>
      <c r="AB3827" s="1050"/>
      <c r="AC3827" s="1050"/>
      <c r="AD3827" s="1050"/>
      <c r="AE3827" s="1050"/>
      <c r="AF3827" s="1052"/>
    </row>
    <row r="3828" spans="1:32" ht="15.75" x14ac:dyDescent="0.25">
      <c r="A3828" s="2017"/>
      <c r="B3828" s="2018"/>
      <c r="C3828" s="2018"/>
      <c r="D3828" s="2018"/>
      <c r="E3828" s="2018"/>
      <c r="F3828" s="2018"/>
      <c r="G3828" s="2018"/>
      <c r="H3828" s="2018"/>
      <c r="I3828" s="2018"/>
      <c r="J3828" s="2018"/>
      <c r="K3828" s="2018"/>
      <c r="L3828" s="2018"/>
      <c r="M3828" s="2018"/>
      <c r="N3828" s="2018"/>
      <c r="O3828" s="2018"/>
      <c r="P3828" s="2018"/>
      <c r="Q3828" s="2018"/>
      <c r="R3828" s="2018"/>
      <c r="S3828" s="2018"/>
      <c r="T3828" s="2018"/>
      <c r="U3828" s="2018"/>
      <c r="V3828" s="2018"/>
      <c r="W3828" s="2018"/>
      <c r="X3828" s="2018"/>
      <c r="Y3828" s="2018"/>
      <c r="Z3828" s="2023"/>
      <c r="AA3828" s="2023"/>
      <c r="AB3828" s="1050"/>
      <c r="AC3828" s="1050"/>
      <c r="AD3828" s="1050"/>
      <c r="AE3828" s="1050"/>
      <c r="AF3828" s="1052"/>
    </row>
    <row r="3829" spans="1:32" ht="15.75" x14ac:dyDescent="0.25">
      <c r="A3829" s="2017"/>
      <c r="B3829" s="2018"/>
      <c r="C3829" s="2018"/>
      <c r="D3829" s="2018"/>
      <c r="E3829" s="2018"/>
      <c r="F3829" s="2018"/>
      <c r="G3829" s="2018"/>
      <c r="H3829" s="2018"/>
      <c r="I3829" s="2018"/>
      <c r="J3829" s="2018"/>
      <c r="K3829" s="2018"/>
      <c r="L3829" s="2018"/>
      <c r="M3829" s="2018"/>
      <c r="N3829" s="2018"/>
      <c r="O3829" s="2018"/>
      <c r="P3829" s="2018"/>
      <c r="Q3829" s="2018"/>
      <c r="R3829" s="2018"/>
      <c r="S3829" s="2018"/>
      <c r="T3829" s="2018"/>
      <c r="U3829" s="2018"/>
      <c r="V3829" s="2018"/>
      <c r="W3829" s="2018"/>
      <c r="X3829" s="2018"/>
      <c r="Y3829" s="2018"/>
      <c r="Z3829" s="2023"/>
      <c r="AA3829" s="2023"/>
      <c r="AB3829" s="1050"/>
      <c r="AC3829" s="1050"/>
      <c r="AD3829" s="1050"/>
      <c r="AE3829" s="1050"/>
      <c r="AF3829" s="1052"/>
    </row>
    <row r="3830" spans="1:32" ht="16.5" thickBot="1" x14ac:dyDescent="0.3">
      <c r="A3830" s="2019"/>
      <c r="B3830" s="2020"/>
      <c r="C3830" s="2020"/>
      <c r="D3830" s="2020"/>
      <c r="E3830" s="2020"/>
      <c r="F3830" s="2020"/>
      <c r="G3830" s="2020"/>
      <c r="H3830" s="2020"/>
      <c r="I3830" s="2020"/>
      <c r="J3830" s="2020"/>
      <c r="K3830" s="2020"/>
      <c r="L3830" s="2020"/>
      <c r="M3830" s="2020"/>
      <c r="N3830" s="2020"/>
      <c r="O3830" s="2020"/>
      <c r="P3830" s="2020"/>
      <c r="Q3830" s="2020"/>
      <c r="R3830" s="2020"/>
      <c r="S3830" s="2020"/>
      <c r="T3830" s="2020"/>
      <c r="U3830" s="2020"/>
      <c r="V3830" s="2020"/>
      <c r="W3830" s="2020"/>
      <c r="X3830" s="2020"/>
      <c r="Y3830" s="2020"/>
      <c r="Z3830" s="2024"/>
      <c r="AA3830" s="2024"/>
      <c r="AB3830" s="1057"/>
      <c r="AC3830" s="1057"/>
      <c r="AD3830" s="1057"/>
      <c r="AE3830" s="1057"/>
      <c r="AF3830" s="1058"/>
    </row>
    <row r="3831" spans="1:32" ht="15.75" x14ac:dyDescent="0.25">
      <c r="A3831" s="2009" t="s">
        <v>2158</v>
      </c>
      <c r="B3831" s="2010"/>
      <c r="C3831" s="2010"/>
      <c r="D3831" s="2010"/>
      <c r="E3831" s="2010"/>
      <c r="F3831" s="2010"/>
      <c r="G3831" s="2010"/>
      <c r="H3831" s="2010"/>
      <c r="I3831" s="2010"/>
      <c r="J3831" s="2010"/>
      <c r="K3831" s="2010"/>
      <c r="L3831" s="2010"/>
      <c r="M3831" s="2010"/>
      <c r="N3831" s="2010"/>
      <c r="O3831" s="2010"/>
      <c r="P3831" s="2010"/>
      <c r="Q3831" s="2010"/>
      <c r="R3831" s="2010"/>
      <c r="S3831" s="2010"/>
      <c r="T3831" s="2010"/>
      <c r="U3831" s="2010"/>
      <c r="V3831" s="2010"/>
      <c r="W3831" s="2010"/>
      <c r="X3831" s="2010"/>
      <c r="Y3831" s="2010"/>
      <c r="Z3831" s="2013" t="s">
        <v>1850</v>
      </c>
      <c r="AA3831" s="2013"/>
      <c r="AB3831" s="2013"/>
      <c r="AC3831" s="2013"/>
      <c r="AD3831" s="2013"/>
      <c r="AE3831" s="2013"/>
      <c r="AF3831" s="1059">
        <f>SUM(AF3807:AF3830)</f>
        <v>1</v>
      </c>
    </row>
    <row r="3832" spans="1:32" ht="15.75" x14ac:dyDescent="0.25">
      <c r="A3832" s="2011"/>
      <c r="B3832" s="2012"/>
      <c r="C3832" s="2012"/>
      <c r="D3832" s="2012"/>
      <c r="E3832" s="2012"/>
      <c r="F3832" s="2012"/>
      <c r="G3832" s="2012"/>
      <c r="H3832" s="2012"/>
      <c r="I3832" s="2012"/>
      <c r="J3832" s="2012"/>
      <c r="K3832" s="2012"/>
      <c r="L3832" s="2012"/>
      <c r="M3832" s="2012"/>
      <c r="N3832" s="2012"/>
      <c r="O3832" s="2012"/>
      <c r="P3832" s="2012"/>
      <c r="Q3832" s="2012"/>
      <c r="R3832" s="2012"/>
      <c r="S3832" s="2012"/>
      <c r="T3832" s="2012"/>
      <c r="U3832" s="2012"/>
      <c r="V3832" s="2012"/>
      <c r="W3832" s="2012"/>
      <c r="X3832" s="2012"/>
      <c r="Y3832" s="2012"/>
      <c r="Z3832" s="2014" t="s">
        <v>1851</v>
      </c>
      <c r="AA3832" s="2014"/>
      <c r="AB3832" s="2014"/>
      <c r="AC3832" s="2014"/>
      <c r="AD3832" s="2014"/>
      <c r="AE3832" s="2014"/>
      <c r="AF3832" s="1060">
        <v>0</v>
      </c>
    </row>
    <row r="3833" spans="1:32" ht="15.75" x14ac:dyDescent="0.25">
      <c r="A3833" s="2011"/>
      <c r="B3833" s="2012"/>
      <c r="C3833" s="2012"/>
      <c r="D3833" s="2012"/>
      <c r="E3833" s="2012"/>
      <c r="F3833" s="2012"/>
      <c r="G3833" s="2012"/>
      <c r="H3833" s="2012"/>
      <c r="I3833" s="2012"/>
      <c r="J3833" s="2012"/>
      <c r="K3833" s="2012"/>
      <c r="L3833" s="2012"/>
      <c r="M3833" s="2012"/>
      <c r="N3833" s="2012"/>
      <c r="O3833" s="2012"/>
      <c r="P3833" s="2012"/>
      <c r="Q3833" s="2012"/>
      <c r="R3833" s="2012"/>
      <c r="S3833" s="2012"/>
      <c r="T3833" s="2012"/>
      <c r="U3833" s="2012"/>
      <c r="V3833" s="2012"/>
      <c r="W3833" s="2012"/>
      <c r="X3833" s="2012"/>
      <c r="Y3833" s="2012"/>
      <c r="Z3833" s="2015" t="s">
        <v>1833</v>
      </c>
      <c r="AA3833" s="2015"/>
      <c r="AB3833" s="2015"/>
      <c r="AC3833" s="2015"/>
      <c r="AD3833" s="2015"/>
      <c r="AE3833" s="2015"/>
      <c r="AF3833" s="1061">
        <f>SUM(AF3831:AF3832)</f>
        <v>1</v>
      </c>
    </row>
    <row r="3834" spans="1:32" x14ac:dyDescent="0.2">
      <c r="A3834" s="2012" t="s">
        <v>1859</v>
      </c>
      <c r="B3834" s="2012"/>
      <c r="C3834" s="2012"/>
      <c r="D3834" s="2012"/>
      <c r="E3834" s="2012"/>
      <c r="F3834" s="2012"/>
      <c r="G3834" s="2012"/>
      <c r="H3834" s="2012"/>
      <c r="I3834" s="2012"/>
      <c r="J3834" s="2012"/>
      <c r="K3834" s="2012"/>
      <c r="L3834" s="2012"/>
      <c r="M3834" s="2012"/>
      <c r="N3834" s="2012"/>
      <c r="O3834" s="2012"/>
      <c r="P3834" s="2012"/>
      <c r="Q3834" s="2012"/>
      <c r="R3834" s="2012"/>
      <c r="S3834" s="2012"/>
      <c r="T3834" s="2016" t="s">
        <v>1840</v>
      </c>
      <c r="U3834" s="2016"/>
      <c r="V3834" s="2016"/>
      <c r="W3834" s="2016"/>
      <c r="X3834" s="2016"/>
      <c r="Y3834" s="2016"/>
      <c r="Z3834" s="2016"/>
      <c r="AA3834" s="2016"/>
      <c r="AB3834" s="2012" t="s">
        <v>1852</v>
      </c>
      <c r="AC3834" s="2012"/>
      <c r="AD3834" s="2012"/>
      <c r="AE3834" s="2012"/>
      <c r="AF3834" s="2012"/>
    </row>
    <row r="3835" spans="1:32" x14ac:dyDescent="0.2">
      <c r="A3835" s="2012"/>
      <c r="B3835" s="2012"/>
      <c r="C3835" s="2012"/>
      <c r="D3835" s="2012"/>
      <c r="E3835" s="2012"/>
      <c r="F3835" s="2012"/>
      <c r="G3835" s="2012"/>
      <c r="H3835" s="2012"/>
      <c r="I3835" s="2012"/>
      <c r="J3835" s="2012"/>
      <c r="K3835" s="2012"/>
      <c r="L3835" s="2012"/>
      <c r="M3835" s="2012"/>
      <c r="N3835" s="2012"/>
      <c r="O3835" s="2012"/>
      <c r="P3835" s="2012"/>
      <c r="Q3835" s="2012"/>
      <c r="R3835" s="2012"/>
      <c r="S3835" s="2012"/>
      <c r="T3835" s="2016"/>
      <c r="U3835" s="2016"/>
      <c r="V3835" s="2016"/>
      <c r="W3835" s="2016"/>
      <c r="X3835" s="2016"/>
      <c r="Y3835" s="2016"/>
      <c r="Z3835" s="2016"/>
      <c r="AA3835" s="2016"/>
      <c r="AB3835" s="2012"/>
      <c r="AC3835" s="2012"/>
      <c r="AD3835" s="2012"/>
      <c r="AE3835" s="2012"/>
      <c r="AF3835" s="2012"/>
    </row>
    <row r="3836" spans="1:32" ht="13.5" thickBot="1" x14ac:dyDescent="0.25"/>
    <row r="3837" spans="1:32" ht="26.45" customHeight="1" x14ac:dyDescent="0.2">
      <c r="A3837" s="2025" t="s">
        <v>1854</v>
      </c>
      <c r="B3837" s="2026"/>
      <c r="C3837" s="2026"/>
      <c r="D3837" s="2026"/>
      <c r="E3837" s="2026"/>
      <c r="F3837" s="2026"/>
      <c r="G3837" s="2026"/>
      <c r="H3837" s="2026"/>
      <c r="I3837" s="2026"/>
      <c r="J3837" s="2026"/>
      <c r="K3837" s="2026"/>
      <c r="L3837" s="2026"/>
      <c r="M3837" s="2026"/>
      <c r="N3837" s="2026"/>
      <c r="O3837" s="2026"/>
      <c r="P3837" s="2026"/>
      <c r="Q3837" s="2026"/>
      <c r="R3837" s="2026"/>
      <c r="S3837" s="2026"/>
      <c r="T3837" s="2026"/>
      <c r="U3837" s="2026"/>
      <c r="V3837" s="2026"/>
      <c r="W3837" s="2026"/>
      <c r="X3837" s="2026"/>
      <c r="Y3837" s="2026"/>
      <c r="Z3837" s="2026"/>
      <c r="AA3837" s="2026"/>
      <c r="AB3837" s="2026"/>
      <c r="AC3837" s="2026"/>
      <c r="AD3837" s="2026"/>
      <c r="AE3837" s="1041" t="s">
        <v>1834</v>
      </c>
      <c r="AF3837" s="1042" t="s">
        <v>1835</v>
      </c>
    </row>
    <row r="3838" spans="1:32" ht="21" customHeight="1" thickBot="1" x14ac:dyDescent="0.25">
      <c r="A3838" s="2027"/>
      <c r="B3838" s="2028"/>
      <c r="C3838" s="2028"/>
      <c r="D3838" s="2028"/>
      <c r="E3838" s="2028"/>
      <c r="F3838" s="2028"/>
      <c r="G3838" s="2028"/>
      <c r="H3838" s="2028"/>
      <c r="I3838" s="2028"/>
      <c r="J3838" s="2028"/>
      <c r="K3838" s="2028"/>
      <c r="L3838" s="2028"/>
      <c r="M3838" s="2028"/>
      <c r="N3838" s="2028"/>
      <c r="O3838" s="2028"/>
      <c r="P3838" s="2028"/>
      <c r="Q3838" s="2028"/>
      <c r="R3838" s="2028"/>
      <c r="S3838" s="2028"/>
      <c r="T3838" s="2028"/>
      <c r="U3838" s="2028"/>
      <c r="V3838" s="2028"/>
      <c r="W3838" s="2028"/>
      <c r="X3838" s="2028"/>
      <c r="Y3838" s="2028"/>
      <c r="Z3838" s="2028"/>
      <c r="AA3838" s="2028"/>
      <c r="AB3838" s="2028"/>
      <c r="AC3838" s="2028"/>
      <c r="AD3838" s="2028"/>
      <c r="AE3838" s="1041" t="s">
        <v>1836</v>
      </c>
      <c r="AF3838" s="1044">
        <v>1</v>
      </c>
    </row>
    <row r="3839" spans="1:32" ht="15.75" x14ac:dyDescent="0.2">
      <c r="A3839" s="2029"/>
      <c r="B3839" s="2030"/>
      <c r="C3839" s="2030"/>
      <c r="D3839" s="2031"/>
      <c r="E3839" s="2025" t="str">
        <f>'01'!$A$12</f>
        <v>"CONSTRUCCION SISTEMA DE ACUEDUCTO FASE II DEL MUNICIPIO DE TESALIA DPTO DEL HUILA"</v>
      </c>
      <c r="F3839" s="2026"/>
      <c r="G3839" s="2026"/>
      <c r="H3839" s="2026"/>
      <c r="I3839" s="2026"/>
      <c r="J3839" s="2026"/>
      <c r="K3839" s="2026"/>
      <c r="L3839" s="2026"/>
      <c r="M3839" s="2026"/>
      <c r="N3839" s="2026"/>
      <c r="O3839" s="2026"/>
      <c r="P3839" s="2026"/>
      <c r="Q3839" s="2026"/>
      <c r="R3839" s="2026"/>
      <c r="S3839" s="2026"/>
      <c r="T3839" s="2026"/>
      <c r="U3839" s="2026"/>
      <c r="V3839" s="2026"/>
      <c r="W3839" s="2026"/>
      <c r="X3839" s="2026"/>
      <c r="Y3839" s="2026"/>
      <c r="Z3839" s="2026"/>
      <c r="AA3839" s="2026"/>
      <c r="AB3839" s="2026"/>
      <c r="AC3839" s="2026"/>
      <c r="AD3839" s="2035"/>
      <c r="AE3839" s="1041" t="s">
        <v>847</v>
      </c>
      <c r="AF3839" s="1045">
        <f>'01'!$M$13</f>
        <v>0</v>
      </c>
    </row>
    <row r="3840" spans="1:32" ht="16.5" thickBot="1" x14ac:dyDescent="0.25">
      <c r="A3840" s="2032"/>
      <c r="B3840" s="2033"/>
      <c r="C3840" s="2033"/>
      <c r="D3840" s="2034"/>
      <c r="E3840" s="2027"/>
      <c r="F3840" s="2028"/>
      <c r="G3840" s="2028"/>
      <c r="H3840" s="2028"/>
      <c r="I3840" s="2028"/>
      <c r="J3840" s="2028"/>
      <c r="K3840" s="2028"/>
      <c r="L3840" s="2028"/>
      <c r="M3840" s="2028"/>
      <c r="N3840" s="2028"/>
      <c r="O3840" s="2028"/>
      <c r="P3840" s="2028"/>
      <c r="Q3840" s="2028"/>
      <c r="R3840" s="2028"/>
      <c r="S3840" s="2028"/>
      <c r="T3840" s="2028"/>
      <c r="U3840" s="2028"/>
      <c r="V3840" s="2028"/>
      <c r="W3840" s="2028"/>
      <c r="X3840" s="2028"/>
      <c r="Y3840" s="2028"/>
      <c r="Z3840" s="2028"/>
      <c r="AA3840" s="2028"/>
      <c r="AB3840" s="2028"/>
      <c r="AC3840" s="2028"/>
      <c r="AD3840" s="2036"/>
      <c r="AE3840" s="1041" t="s">
        <v>1837</v>
      </c>
      <c r="AF3840" s="1042" t="s">
        <v>1838</v>
      </c>
    </row>
    <row r="3841" spans="1:32" ht="15.75" x14ac:dyDescent="0.25">
      <c r="A3841" s="2037" t="s">
        <v>1860</v>
      </c>
      <c r="B3841" s="2038"/>
      <c r="C3841" s="2038"/>
      <c r="D3841" s="2038"/>
      <c r="E3841" s="2038"/>
      <c r="F3841" s="2038"/>
      <c r="G3841" s="2038"/>
      <c r="H3841" s="2038"/>
      <c r="I3841" s="2038"/>
      <c r="J3841" s="2038"/>
      <c r="K3841" s="2038"/>
      <c r="L3841" s="2038"/>
      <c r="M3841" s="2038"/>
      <c r="N3841" s="2038"/>
      <c r="O3841" s="2038"/>
      <c r="P3841" s="2038"/>
      <c r="Q3841" s="2038"/>
      <c r="R3841" s="2038"/>
      <c r="S3841" s="2038"/>
      <c r="T3841" s="2038"/>
      <c r="U3841" s="2038"/>
      <c r="V3841" s="2038"/>
      <c r="W3841" s="2038"/>
      <c r="X3841" s="2038"/>
      <c r="Y3841" s="2038"/>
      <c r="Z3841" s="2038"/>
      <c r="AA3841" s="2038"/>
      <c r="AB3841" s="2038"/>
      <c r="AC3841" s="2038"/>
      <c r="AD3841" s="2038"/>
      <c r="AE3841" s="2039" t="s">
        <v>1839</v>
      </c>
      <c r="AF3841" s="2040"/>
    </row>
    <row r="3842" spans="1:32" ht="15.75" x14ac:dyDescent="0.25">
      <c r="A3842" s="2041" t="s">
        <v>1840</v>
      </c>
      <c r="B3842" s="2042"/>
      <c r="C3842" s="2042"/>
      <c r="D3842" s="2042"/>
      <c r="E3842" s="2042"/>
      <c r="F3842" s="2042"/>
      <c r="G3842" s="2042"/>
      <c r="H3842" s="2042"/>
      <c r="I3842" s="2042"/>
      <c r="J3842" s="2042"/>
      <c r="K3842" s="2042"/>
      <c r="L3842" s="2042"/>
      <c r="M3842" s="2042"/>
      <c r="N3842" s="2042"/>
      <c r="O3842" s="2042"/>
      <c r="P3842" s="2042"/>
      <c r="Q3842" s="2042"/>
      <c r="R3842" s="2042"/>
      <c r="S3842" s="2042"/>
      <c r="T3842" s="2042"/>
      <c r="U3842" s="2042"/>
      <c r="V3842" s="2042"/>
      <c r="W3842" s="2042"/>
      <c r="X3842" s="2042"/>
      <c r="Y3842" s="2042"/>
      <c r="Z3842" s="2042"/>
      <c r="AA3842" s="2042"/>
      <c r="AB3842" s="2042"/>
      <c r="AC3842" s="2042"/>
      <c r="AD3842" s="2043"/>
      <c r="AE3842" s="2014" t="s">
        <v>1841</v>
      </c>
      <c r="AF3842" s="2044"/>
    </row>
    <row r="3843" spans="1:32" ht="15.75" x14ac:dyDescent="0.25">
      <c r="A3843" s="2045" t="s">
        <v>1853</v>
      </c>
      <c r="B3843" s="2046"/>
      <c r="C3843" s="2046"/>
      <c r="D3843" s="2046"/>
      <c r="E3843" s="2046"/>
      <c r="F3843" s="2046"/>
      <c r="G3843" s="2046"/>
      <c r="H3843" s="2046"/>
      <c r="I3843" s="2046"/>
      <c r="J3843" s="2046"/>
      <c r="K3843" s="2046"/>
      <c r="L3843" s="2046"/>
      <c r="M3843" s="2046"/>
      <c r="N3843" s="2046"/>
      <c r="O3843" s="2046"/>
      <c r="P3843" s="2046"/>
      <c r="Q3843" s="2046"/>
      <c r="R3843" s="2046"/>
      <c r="S3843" s="2046"/>
      <c r="T3843" s="2046"/>
      <c r="U3843" s="2046"/>
      <c r="V3843" s="2046"/>
      <c r="W3843" s="2046"/>
      <c r="X3843" s="2046"/>
      <c r="Y3843" s="2046"/>
      <c r="Z3843" s="2046"/>
      <c r="AA3843" s="2046"/>
      <c r="AB3843" s="2046"/>
      <c r="AC3843" s="2046"/>
      <c r="AD3843" s="2046"/>
      <c r="AE3843" s="2047">
        <f>'01'!$M$13</f>
        <v>0</v>
      </c>
      <c r="AF3843" s="2044"/>
    </row>
    <row r="3844" spans="1:32" x14ac:dyDescent="0.2">
      <c r="A3844" s="1046"/>
      <c r="B3844" s="1047"/>
      <c r="C3844" s="1047"/>
      <c r="D3844" s="1047"/>
      <c r="E3844" s="1047"/>
      <c r="F3844" s="1047"/>
      <c r="G3844" s="1047"/>
      <c r="H3844" s="1047"/>
      <c r="I3844" s="1047"/>
      <c r="J3844" s="1047"/>
      <c r="K3844" s="1047"/>
      <c r="L3844" s="1047"/>
      <c r="M3844" s="1047"/>
      <c r="N3844" s="1047"/>
      <c r="O3844" s="1047"/>
      <c r="P3844" s="1047"/>
      <c r="Q3844" s="1047"/>
      <c r="R3844" s="1047"/>
      <c r="S3844" s="1047"/>
      <c r="T3844" s="1047"/>
      <c r="U3844" s="1047"/>
      <c r="V3844" s="1047"/>
      <c r="W3844" s="1047"/>
      <c r="X3844" s="1047"/>
      <c r="Y3844" s="1047"/>
      <c r="Z3844" s="1047"/>
      <c r="AA3844" s="1047"/>
      <c r="AB3844" s="1047"/>
      <c r="AC3844" s="1047"/>
      <c r="AD3844" s="1047"/>
      <c r="AE3844" s="1047"/>
      <c r="AF3844" s="1048"/>
    </row>
    <row r="3845" spans="1:32" ht="30" customHeight="1" x14ac:dyDescent="0.2">
      <c r="A3845" s="2048" t="s">
        <v>1842</v>
      </c>
      <c r="B3845" s="2049"/>
      <c r="C3845" s="2049"/>
      <c r="D3845" s="2049"/>
      <c r="E3845" s="2049"/>
      <c r="F3845" s="2050" t="str">
        <f>+'01'!$H$130</f>
        <v>E - ESPESADOR GRAVIMÉTRICO</v>
      </c>
      <c r="G3845" s="2049"/>
      <c r="H3845" s="2049"/>
      <c r="I3845" s="2049"/>
      <c r="J3845" s="2049"/>
      <c r="K3845" s="2049"/>
      <c r="L3845" s="2049"/>
      <c r="M3845" s="2049"/>
      <c r="N3845" s="2049"/>
      <c r="O3845" s="2049"/>
      <c r="P3845" s="2049"/>
      <c r="Q3845" s="2049"/>
      <c r="R3845" s="2049"/>
      <c r="S3845" s="2049"/>
      <c r="T3845" s="2049"/>
      <c r="U3845" s="2049"/>
      <c r="V3845" s="2049"/>
      <c r="W3845" s="2049"/>
      <c r="X3845" s="2049"/>
      <c r="Y3845" s="2051"/>
      <c r="Z3845" s="2052" t="s">
        <v>1843</v>
      </c>
      <c r="AA3845" s="2053"/>
      <c r="AB3845" s="2058" t="s">
        <v>1844</v>
      </c>
      <c r="AC3845" s="2059"/>
      <c r="AD3845" s="2060"/>
      <c r="AE3845" s="2064" t="s">
        <v>1845</v>
      </c>
      <c r="AF3845" s="2067" t="s">
        <v>1846</v>
      </c>
    </row>
    <row r="3846" spans="1:32" ht="15" customHeight="1" x14ac:dyDescent="0.2">
      <c r="A3846" s="2070" t="str">
        <f>+'01'!A161</f>
        <v>E-08-09</v>
      </c>
      <c r="B3846" s="2071"/>
      <c r="C3846" s="2072"/>
      <c r="D3846" s="2076" t="str">
        <f>VLOOKUP(A3846,'01'!$A$12:$N$299,3,FALSE)</f>
        <v xml:space="preserve"> SUMINISTRO E INSTALACIÓN DE BRIDA AJUSTABLE DE 8" SCH80 150 PSI PARA CONEXIÓN DE TUBERÍA PVC.</v>
      </c>
      <c r="E3846" s="2077"/>
      <c r="F3846" s="2077"/>
      <c r="G3846" s="2077"/>
      <c r="H3846" s="2077"/>
      <c r="I3846" s="2077"/>
      <c r="J3846" s="2077"/>
      <c r="K3846" s="2077"/>
      <c r="L3846" s="2077"/>
      <c r="M3846" s="2077"/>
      <c r="N3846" s="2077"/>
      <c r="O3846" s="2077"/>
      <c r="P3846" s="2077"/>
      <c r="Q3846" s="2077"/>
      <c r="R3846" s="2077"/>
      <c r="S3846" s="2078"/>
      <c r="T3846" s="2082" t="s">
        <v>124</v>
      </c>
      <c r="U3846" s="2083"/>
      <c r="V3846" s="2083"/>
      <c r="W3846" s="2083"/>
      <c r="X3846" s="2052" t="str">
        <f>VLOOKUP(A3846,'01'!$A$12:$N$299,9,FALSE)</f>
        <v>UND</v>
      </c>
      <c r="Y3846" s="2053"/>
      <c r="Z3846" s="2054"/>
      <c r="AA3846" s="2055"/>
      <c r="AB3846" s="2061"/>
      <c r="AC3846" s="2062"/>
      <c r="AD3846" s="2063"/>
      <c r="AE3846" s="2065"/>
      <c r="AF3846" s="2068"/>
    </row>
    <row r="3847" spans="1:32" ht="15" customHeight="1" x14ac:dyDescent="0.25">
      <c r="A3847" s="2073"/>
      <c r="B3847" s="2074"/>
      <c r="C3847" s="2075"/>
      <c r="D3847" s="2079"/>
      <c r="E3847" s="2080"/>
      <c r="F3847" s="2080"/>
      <c r="G3847" s="2080"/>
      <c r="H3847" s="2080"/>
      <c r="I3847" s="2080"/>
      <c r="J3847" s="2080"/>
      <c r="K3847" s="2080"/>
      <c r="L3847" s="2080"/>
      <c r="M3847" s="2080"/>
      <c r="N3847" s="2080"/>
      <c r="O3847" s="2080"/>
      <c r="P3847" s="2080"/>
      <c r="Q3847" s="2080"/>
      <c r="R3847" s="2080"/>
      <c r="S3847" s="2081"/>
      <c r="T3847" s="2084"/>
      <c r="U3847" s="2085"/>
      <c r="V3847" s="2085"/>
      <c r="W3847" s="2085"/>
      <c r="X3847" s="2056"/>
      <c r="Y3847" s="2057"/>
      <c r="Z3847" s="2056"/>
      <c r="AA3847" s="2057"/>
      <c r="AB3847" s="1049" t="s">
        <v>1847</v>
      </c>
      <c r="AC3847" s="1049" t="s">
        <v>1848</v>
      </c>
      <c r="AD3847" s="1049" t="s">
        <v>1861</v>
      </c>
      <c r="AE3847" s="2066"/>
      <c r="AF3847" s="2069"/>
    </row>
    <row r="3848" spans="1:32" ht="15.6" customHeight="1" x14ac:dyDescent="0.25">
      <c r="A3848" s="2017"/>
      <c r="B3848" s="2018"/>
      <c r="C3848" s="2018"/>
      <c r="D3848" s="2018"/>
      <c r="E3848" s="2018"/>
      <c r="F3848" s="2018"/>
      <c r="G3848" s="2018"/>
      <c r="H3848" s="2018"/>
      <c r="I3848" s="2018"/>
      <c r="J3848" s="2018"/>
      <c r="K3848" s="2018"/>
      <c r="L3848" s="2018"/>
      <c r="M3848" s="2018"/>
      <c r="N3848" s="2018"/>
      <c r="O3848" s="2018"/>
      <c r="P3848" s="2018"/>
      <c r="Q3848" s="2018"/>
      <c r="R3848" s="2018"/>
      <c r="S3848" s="2018"/>
      <c r="T3848" s="2018"/>
      <c r="U3848" s="2018"/>
      <c r="V3848" s="2018"/>
      <c r="W3848" s="2018"/>
      <c r="X3848" s="2018"/>
      <c r="Y3848" s="2018"/>
      <c r="Z3848" s="2021" t="s">
        <v>2473</v>
      </c>
      <c r="AA3848" s="2021"/>
      <c r="AB3848" s="1050"/>
      <c r="AC3848" s="1050"/>
      <c r="AD3848" s="1050"/>
      <c r="AE3848" s="1050">
        <v>1</v>
      </c>
      <c r="AF3848" s="1052">
        <f>+ROUND(AE3848,2)</f>
        <v>1</v>
      </c>
    </row>
    <row r="3849" spans="1:32" ht="15.6" customHeight="1" x14ac:dyDescent="0.25">
      <c r="A3849" s="2017"/>
      <c r="B3849" s="2018"/>
      <c r="C3849" s="2018"/>
      <c r="D3849" s="2018"/>
      <c r="E3849" s="2018"/>
      <c r="F3849" s="2018"/>
      <c r="G3849" s="2018"/>
      <c r="H3849" s="2018"/>
      <c r="I3849" s="2018"/>
      <c r="J3849" s="2018"/>
      <c r="K3849" s="2018"/>
      <c r="L3849" s="2018"/>
      <c r="M3849" s="2018"/>
      <c r="N3849" s="2018"/>
      <c r="O3849" s="2018"/>
      <c r="P3849" s="2018"/>
      <c r="Q3849" s="2018"/>
      <c r="R3849" s="2018"/>
      <c r="S3849" s="2018"/>
      <c r="T3849" s="2018"/>
      <c r="U3849" s="2018"/>
      <c r="V3849" s="2018"/>
      <c r="W3849" s="2018"/>
      <c r="X3849" s="2018"/>
      <c r="Y3849" s="2018"/>
      <c r="Z3849" s="2021"/>
      <c r="AA3849" s="2021"/>
      <c r="AB3849" s="1050"/>
      <c r="AC3849" s="1050"/>
      <c r="AD3849" s="1050"/>
      <c r="AE3849" s="1050"/>
      <c r="AF3849" s="1052"/>
    </row>
    <row r="3850" spans="1:32" ht="15.75" x14ac:dyDescent="0.25">
      <c r="A3850" s="2017"/>
      <c r="B3850" s="2018"/>
      <c r="C3850" s="2018"/>
      <c r="D3850" s="2018"/>
      <c r="E3850" s="2018"/>
      <c r="F3850" s="2018"/>
      <c r="G3850" s="2018"/>
      <c r="H3850" s="2018"/>
      <c r="I3850" s="2018"/>
      <c r="J3850" s="2018"/>
      <c r="K3850" s="2018"/>
      <c r="L3850" s="2018"/>
      <c r="M3850" s="2018"/>
      <c r="N3850" s="2018"/>
      <c r="O3850" s="2018"/>
      <c r="P3850" s="2018"/>
      <c r="Q3850" s="2018"/>
      <c r="R3850" s="2018"/>
      <c r="S3850" s="2018"/>
      <c r="T3850" s="2018"/>
      <c r="U3850" s="2018"/>
      <c r="V3850" s="2018"/>
      <c r="W3850" s="2018"/>
      <c r="X3850" s="2018"/>
      <c r="Y3850" s="2018"/>
      <c r="Z3850" s="2021"/>
      <c r="AA3850" s="2021"/>
      <c r="AB3850" s="1050"/>
      <c r="AC3850" s="1050"/>
      <c r="AD3850" s="1050"/>
      <c r="AE3850" s="1050"/>
      <c r="AF3850" s="1052"/>
    </row>
    <row r="3851" spans="1:32" ht="15.75" x14ac:dyDescent="0.25">
      <c r="A3851" s="2017"/>
      <c r="B3851" s="2018"/>
      <c r="C3851" s="2018"/>
      <c r="D3851" s="2018"/>
      <c r="E3851" s="2018"/>
      <c r="F3851" s="2018"/>
      <c r="G3851" s="2018"/>
      <c r="H3851" s="2018"/>
      <c r="I3851" s="2018"/>
      <c r="J3851" s="2018"/>
      <c r="K3851" s="2018"/>
      <c r="L3851" s="2018"/>
      <c r="M3851" s="2018"/>
      <c r="N3851" s="2018"/>
      <c r="O3851" s="2018"/>
      <c r="P3851" s="2018"/>
      <c r="Q3851" s="2018"/>
      <c r="R3851" s="2018"/>
      <c r="S3851" s="2018"/>
      <c r="T3851" s="2018"/>
      <c r="U3851" s="2018"/>
      <c r="V3851" s="2018"/>
      <c r="W3851" s="2018"/>
      <c r="X3851" s="2018"/>
      <c r="Y3851" s="2018"/>
      <c r="Z3851" s="2021"/>
      <c r="AA3851" s="2021"/>
      <c r="AB3851" s="1050"/>
      <c r="AC3851" s="1050"/>
      <c r="AD3851" s="1050"/>
      <c r="AE3851" s="1050"/>
      <c r="AF3851" s="1052"/>
    </row>
    <row r="3852" spans="1:32" ht="15.75" x14ac:dyDescent="0.25">
      <c r="A3852" s="2017"/>
      <c r="B3852" s="2018"/>
      <c r="C3852" s="2018"/>
      <c r="D3852" s="2018"/>
      <c r="E3852" s="2018"/>
      <c r="F3852" s="2018"/>
      <c r="G3852" s="2018"/>
      <c r="H3852" s="2018"/>
      <c r="I3852" s="2018"/>
      <c r="J3852" s="2018"/>
      <c r="K3852" s="2018"/>
      <c r="L3852" s="2018"/>
      <c r="M3852" s="2018"/>
      <c r="N3852" s="2018"/>
      <c r="O3852" s="2018"/>
      <c r="P3852" s="2018"/>
      <c r="Q3852" s="2018"/>
      <c r="R3852" s="2018"/>
      <c r="S3852" s="2018"/>
      <c r="T3852" s="2018"/>
      <c r="U3852" s="2018"/>
      <c r="V3852" s="2018"/>
      <c r="W3852" s="2018"/>
      <c r="X3852" s="2018"/>
      <c r="Y3852" s="2018"/>
      <c r="Z3852" s="2021"/>
      <c r="AA3852" s="2021"/>
      <c r="AB3852" s="1050"/>
      <c r="AC3852" s="1050"/>
      <c r="AD3852" s="1050"/>
      <c r="AE3852" s="1050"/>
      <c r="AF3852" s="1052"/>
    </row>
    <row r="3853" spans="1:32" ht="15.75" x14ac:dyDescent="0.25">
      <c r="A3853" s="2017"/>
      <c r="B3853" s="2018"/>
      <c r="C3853" s="2018"/>
      <c r="D3853" s="2018"/>
      <c r="E3853" s="2018"/>
      <c r="F3853" s="2018"/>
      <c r="G3853" s="2018"/>
      <c r="H3853" s="2018"/>
      <c r="I3853" s="2018"/>
      <c r="J3853" s="2018"/>
      <c r="K3853" s="2018"/>
      <c r="L3853" s="2018"/>
      <c r="M3853" s="2018"/>
      <c r="N3853" s="2018"/>
      <c r="O3853" s="2018"/>
      <c r="P3853" s="2018"/>
      <c r="Q3853" s="2018"/>
      <c r="R3853" s="2018"/>
      <c r="S3853" s="2018"/>
      <c r="T3853" s="2018"/>
      <c r="U3853" s="2018"/>
      <c r="V3853" s="2018"/>
      <c r="W3853" s="2018"/>
      <c r="X3853" s="2018"/>
      <c r="Y3853" s="2018"/>
      <c r="Z3853" s="2021"/>
      <c r="AA3853" s="2021"/>
      <c r="AB3853" s="1050"/>
      <c r="AC3853" s="1050"/>
      <c r="AD3853" s="1050"/>
      <c r="AE3853" s="1050"/>
      <c r="AF3853" s="1052"/>
    </row>
    <row r="3854" spans="1:32" ht="15.75" x14ac:dyDescent="0.25">
      <c r="A3854" s="2017"/>
      <c r="B3854" s="2018"/>
      <c r="C3854" s="2018"/>
      <c r="D3854" s="2018"/>
      <c r="E3854" s="2018"/>
      <c r="F3854" s="2018"/>
      <c r="G3854" s="2018"/>
      <c r="H3854" s="2018"/>
      <c r="I3854" s="2018"/>
      <c r="J3854" s="2018"/>
      <c r="K3854" s="2018"/>
      <c r="L3854" s="2018"/>
      <c r="M3854" s="2018"/>
      <c r="N3854" s="2018"/>
      <c r="O3854" s="2018"/>
      <c r="P3854" s="2018"/>
      <c r="Q3854" s="2018"/>
      <c r="R3854" s="2018"/>
      <c r="S3854" s="2018"/>
      <c r="T3854" s="2018"/>
      <c r="U3854" s="2018"/>
      <c r="V3854" s="2018"/>
      <c r="W3854" s="2018"/>
      <c r="X3854" s="2018"/>
      <c r="Y3854" s="2018"/>
      <c r="Z3854" s="2021"/>
      <c r="AA3854" s="2021"/>
      <c r="AB3854" s="1050"/>
      <c r="AC3854" s="1050"/>
      <c r="AD3854" s="1050"/>
      <c r="AE3854" s="1050"/>
      <c r="AF3854" s="1052"/>
    </row>
    <row r="3855" spans="1:32" ht="15.75" x14ac:dyDescent="0.25">
      <c r="A3855" s="2017"/>
      <c r="B3855" s="2018"/>
      <c r="C3855" s="2018"/>
      <c r="D3855" s="2018"/>
      <c r="E3855" s="2018"/>
      <c r="F3855" s="2018"/>
      <c r="G3855" s="2018"/>
      <c r="H3855" s="2018"/>
      <c r="I3855" s="2018"/>
      <c r="J3855" s="2018"/>
      <c r="K3855" s="2018"/>
      <c r="L3855" s="2018"/>
      <c r="M3855" s="2018"/>
      <c r="N3855" s="2018"/>
      <c r="O3855" s="2018"/>
      <c r="P3855" s="2018"/>
      <c r="Q3855" s="2018"/>
      <c r="R3855" s="2018"/>
      <c r="S3855" s="2018"/>
      <c r="T3855" s="2018"/>
      <c r="U3855" s="2018"/>
      <c r="V3855" s="2018"/>
      <c r="W3855" s="2018"/>
      <c r="X3855" s="2018"/>
      <c r="Y3855" s="2018"/>
      <c r="Z3855" s="2021"/>
      <c r="AA3855" s="2021"/>
      <c r="AB3855" s="1050"/>
      <c r="AC3855" s="1050"/>
      <c r="AD3855" s="1050"/>
      <c r="AE3855" s="1050"/>
      <c r="AF3855" s="1052"/>
    </row>
    <row r="3856" spans="1:32" ht="15.75" x14ac:dyDescent="0.25">
      <c r="A3856" s="2017"/>
      <c r="B3856" s="2018"/>
      <c r="C3856" s="2018"/>
      <c r="D3856" s="2018"/>
      <c r="E3856" s="2018"/>
      <c r="F3856" s="2018"/>
      <c r="G3856" s="2018"/>
      <c r="H3856" s="2018"/>
      <c r="I3856" s="2018"/>
      <c r="J3856" s="2018"/>
      <c r="K3856" s="2018"/>
      <c r="L3856" s="2018"/>
      <c r="M3856" s="2018"/>
      <c r="N3856" s="2018"/>
      <c r="O3856" s="2018"/>
      <c r="P3856" s="2018"/>
      <c r="Q3856" s="2018"/>
      <c r="R3856" s="2018"/>
      <c r="S3856" s="2018"/>
      <c r="T3856" s="2018"/>
      <c r="U3856" s="2018"/>
      <c r="V3856" s="2018"/>
      <c r="W3856" s="2018"/>
      <c r="X3856" s="2018"/>
      <c r="Y3856" s="2018"/>
      <c r="Z3856" s="2021"/>
      <c r="AA3856" s="2021"/>
      <c r="AB3856" s="1050"/>
      <c r="AC3856" s="1050"/>
      <c r="AD3856" s="1050"/>
      <c r="AE3856" s="1050"/>
      <c r="AF3856" s="1052"/>
    </row>
    <row r="3857" spans="1:32" ht="15.75" x14ac:dyDescent="0.25">
      <c r="A3857" s="2017"/>
      <c r="B3857" s="2018"/>
      <c r="C3857" s="2018"/>
      <c r="D3857" s="2018"/>
      <c r="E3857" s="2018"/>
      <c r="F3857" s="2018"/>
      <c r="G3857" s="2018"/>
      <c r="H3857" s="2018"/>
      <c r="I3857" s="2018"/>
      <c r="J3857" s="2018"/>
      <c r="K3857" s="2018"/>
      <c r="L3857" s="2018"/>
      <c r="M3857" s="2018"/>
      <c r="N3857" s="2018"/>
      <c r="O3857" s="2018"/>
      <c r="P3857" s="2018"/>
      <c r="Q3857" s="2018"/>
      <c r="R3857" s="2018"/>
      <c r="S3857" s="2018"/>
      <c r="T3857" s="2018"/>
      <c r="U3857" s="2018"/>
      <c r="V3857" s="2018"/>
      <c r="W3857" s="2018"/>
      <c r="X3857" s="2018"/>
      <c r="Y3857" s="2018"/>
      <c r="Z3857" s="2021"/>
      <c r="AA3857" s="2021"/>
      <c r="AB3857" s="1050"/>
      <c r="AC3857" s="1050"/>
      <c r="AD3857" s="1050"/>
      <c r="AE3857" s="1050"/>
      <c r="AF3857" s="1052"/>
    </row>
    <row r="3858" spans="1:32" ht="15.75" x14ac:dyDescent="0.25">
      <c r="A3858" s="2017"/>
      <c r="B3858" s="2018"/>
      <c r="C3858" s="2018"/>
      <c r="D3858" s="2018"/>
      <c r="E3858" s="2018"/>
      <c r="F3858" s="2018"/>
      <c r="G3858" s="2018"/>
      <c r="H3858" s="2018"/>
      <c r="I3858" s="2018"/>
      <c r="J3858" s="2018"/>
      <c r="K3858" s="2018"/>
      <c r="L3858" s="2018"/>
      <c r="M3858" s="2018"/>
      <c r="N3858" s="2018"/>
      <c r="O3858" s="2018"/>
      <c r="P3858" s="2018"/>
      <c r="Q3858" s="2018"/>
      <c r="R3858" s="2018"/>
      <c r="S3858" s="2018"/>
      <c r="T3858" s="2018"/>
      <c r="U3858" s="2018"/>
      <c r="V3858" s="2018"/>
      <c r="W3858" s="2018"/>
      <c r="X3858" s="2018"/>
      <c r="Y3858" s="2018"/>
      <c r="Z3858" s="2021"/>
      <c r="AA3858" s="2021"/>
      <c r="AB3858" s="1050"/>
      <c r="AC3858" s="1050"/>
      <c r="AD3858" s="1050"/>
      <c r="AE3858" s="1050"/>
      <c r="AF3858" s="1052"/>
    </row>
    <row r="3859" spans="1:32" ht="15.75" x14ac:dyDescent="0.25">
      <c r="A3859" s="2017"/>
      <c r="B3859" s="2018"/>
      <c r="C3859" s="2018"/>
      <c r="D3859" s="2018"/>
      <c r="E3859" s="2018"/>
      <c r="F3859" s="2018"/>
      <c r="G3859" s="2018"/>
      <c r="H3859" s="2018"/>
      <c r="I3859" s="2018"/>
      <c r="J3859" s="2018"/>
      <c r="K3859" s="2018"/>
      <c r="L3859" s="2018"/>
      <c r="M3859" s="2018"/>
      <c r="N3859" s="2018"/>
      <c r="O3859" s="2018"/>
      <c r="P3859" s="2018"/>
      <c r="Q3859" s="2018"/>
      <c r="R3859" s="2018"/>
      <c r="S3859" s="2018"/>
      <c r="T3859" s="2018"/>
      <c r="U3859" s="2018"/>
      <c r="V3859" s="2018"/>
      <c r="W3859" s="2018"/>
      <c r="X3859" s="2018"/>
      <c r="Y3859" s="2018"/>
      <c r="Z3859" s="2021"/>
      <c r="AA3859" s="2021"/>
      <c r="AB3859" s="1050"/>
      <c r="AC3859" s="1050"/>
      <c r="AD3859" s="1050"/>
      <c r="AE3859" s="1050"/>
      <c r="AF3859" s="1052"/>
    </row>
    <row r="3860" spans="1:32" ht="15.75" x14ac:dyDescent="0.25">
      <c r="A3860" s="2017"/>
      <c r="B3860" s="2018"/>
      <c r="C3860" s="2018"/>
      <c r="D3860" s="2018"/>
      <c r="E3860" s="2018"/>
      <c r="F3860" s="2018"/>
      <c r="G3860" s="2018"/>
      <c r="H3860" s="2018"/>
      <c r="I3860" s="2018"/>
      <c r="J3860" s="2018"/>
      <c r="K3860" s="2018"/>
      <c r="L3860" s="2018"/>
      <c r="M3860" s="2018"/>
      <c r="N3860" s="2018"/>
      <c r="O3860" s="2018"/>
      <c r="P3860" s="2018"/>
      <c r="Q3860" s="2018"/>
      <c r="R3860" s="2018"/>
      <c r="S3860" s="2018"/>
      <c r="T3860" s="2018"/>
      <c r="U3860" s="2018"/>
      <c r="V3860" s="2018"/>
      <c r="W3860" s="2018"/>
      <c r="X3860" s="2018"/>
      <c r="Y3860" s="2018"/>
      <c r="Z3860" s="2021"/>
      <c r="AA3860" s="2021"/>
      <c r="AB3860" s="1050"/>
      <c r="AC3860" s="1050"/>
      <c r="AD3860" s="1050"/>
      <c r="AE3860" s="1050"/>
      <c r="AF3860" s="1052"/>
    </row>
    <row r="3861" spans="1:32" ht="15.75" x14ac:dyDescent="0.25">
      <c r="A3861" s="2017"/>
      <c r="B3861" s="2018"/>
      <c r="C3861" s="2018"/>
      <c r="D3861" s="2018"/>
      <c r="E3861" s="2018"/>
      <c r="F3861" s="2018"/>
      <c r="G3861" s="2018"/>
      <c r="H3861" s="2018"/>
      <c r="I3861" s="2018"/>
      <c r="J3861" s="2018"/>
      <c r="K3861" s="2018"/>
      <c r="L3861" s="2018"/>
      <c r="M3861" s="2018"/>
      <c r="N3861" s="2018"/>
      <c r="O3861" s="2018"/>
      <c r="P3861" s="2018"/>
      <c r="Q3861" s="2018"/>
      <c r="R3861" s="2018"/>
      <c r="S3861" s="2018"/>
      <c r="T3861" s="2018"/>
      <c r="U3861" s="2018"/>
      <c r="V3861" s="2018"/>
      <c r="W3861" s="2018"/>
      <c r="X3861" s="2018"/>
      <c r="Y3861" s="2018"/>
      <c r="Z3861" s="2021"/>
      <c r="AA3861" s="2021"/>
      <c r="AB3861" s="1050"/>
      <c r="AC3861" s="1050"/>
      <c r="AD3861" s="1050"/>
      <c r="AE3861" s="1050"/>
      <c r="AF3861" s="1052"/>
    </row>
    <row r="3862" spans="1:32" ht="15.75" x14ac:dyDescent="0.25">
      <c r="A3862" s="2017"/>
      <c r="B3862" s="2018"/>
      <c r="C3862" s="2018"/>
      <c r="D3862" s="2018"/>
      <c r="E3862" s="2018"/>
      <c r="F3862" s="2018"/>
      <c r="G3862" s="2018"/>
      <c r="H3862" s="2018"/>
      <c r="I3862" s="2018"/>
      <c r="J3862" s="2018"/>
      <c r="K3862" s="2018"/>
      <c r="L3862" s="2018"/>
      <c r="M3862" s="2018"/>
      <c r="N3862" s="2018"/>
      <c r="O3862" s="2018"/>
      <c r="P3862" s="2018"/>
      <c r="Q3862" s="2018"/>
      <c r="R3862" s="2018"/>
      <c r="S3862" s="2018"/>
      <c r="T3862" s="2018"/>
      <c r="U3862" s="2018"/>
      <c r="V3862" s="2018"/>
      <c r="W3862" s="2018"/>
      <c r="X3862" s="2018"/>
      <c r="Y3862" s="2018"/>
      <c r="Z3862" s="2022"/>
      <c r="AA3862" s="2022"/>
      <c r="AB3862" s="1050"/>
      <c r="AC3862" s="1050"/>
      <c r="AD3862" s="1050"/>
      <c r="AE3862" s="1050"/>
      <c r="AF3862" s="1052"/>
    </row>
    <row r="3863" spans="1:32" ht="15.75" x14ac:dyDescent="0.25">
      <c r="A3863" s="2017"/>
      <c r="B3863" s="2018"/>
      <c r="C3863" s="2018"/>
      <c r="D3863" s="2018"/>
      <c r="E3863" s="2018"/>
      <c r="F3863" s="2018"/>
      <c r="G3863" s="2018"/>
      <c r="H3863" s="2018"/>
      <c r="I3863" s="2018"/>
      <c r="J3863" s="2018"/>
      <c r="K3863" s="2018"/>
      <c r="L3863" s="2018"/>
      <c r="M3863" s="2018"/>
      <c r="N3863" s="2018"/>
      <c r="O3863" s="2018"/>
      <c r="P3863" s="2018"/>
      <c r="Q3863" s="2018"/>
      <c r="R3863" s="2018"/>
      <c r="S3863" s="2018"/>
      <c r="T3863" s="2018"/>
      <c r="U3863" s="2018"/>
      <c r="V3863" s="2018"/>
      <c r="W3863" s="2018"/>
      <c r="X3863" s="2018"/>
      <c r="Y3863" s="2018"/>
      <c r="Z3863" s="2022"/>
      <c r="AA3863" s="2022"/>
      <c r="AB3863" s="1050"/>
      <c r="AC3863" s="1050"/>
      <c r="AD3863" s="1050"/>
      <c r="AE3863" s="1050"/>
      <c r="AF3863" s="1052"/>
    </row>
    <row r="3864" spans="1:32" ht="15.75" x14ac:dyDescent="0.25">
      <c r="A3864" s="2017"/>
      <c r="B3864" s="2018"/>
      <c r="C3864" s="2018"/>
      <c r="D3864" s="2018"/>
      <c r="E3864" s="2018"/>
      <c r="F3864" s="2018"/>
      <c r="G3864" s="2018"/>
      <c r="H3864" s="2018"/>
      <c r="I3864" s="2018"/>
      <c r="J3864" s="2018"/>
      <c r="K3864" s="2018"/>
      <c r="L3864" s="2018"/>
      <c r="M3864" s="2018"/>
      <c r="N3864" s="2018"/>
      <c r="O3864" s="2018"/>
      <c r="P3864" s="2018"/>
      <c r="Q3864" s="2018"/>
      <c r="R3864" s="2018"/>
      <c r="S3864" s="2018"/>
      <c r="T3864" s="2018"/>
      <c r="U3864" s="2018"/>
      <c r="V3864" s="2018"/>
      <c r="W3864" s="2018"/>
      <c r="X3864" s="2018"/>
      <c r="Y3864" s="2018"/>
      <c r="Z3864" s="2022"/>
      <c r="AA3864" s="2022"/>
      <c r="AB3864" s="1050"/>
      <c r="AC3864" s="1050"/>
      <c r="AD3864" s="1050"/>
      <c r="AE3864" s="1050"/>
      <c r="AF3864" s="1052"/>
    </row>
    <row r="3865" spans="1:32" ht="15.75" x14ac:dyDescent="0.25">
      <c r="A3865" s="2017"/>
      <c r="B3865" s="2018"/>
      <c r="C3865" s="2018"/>
      <c r="D3865" s="2018"/>
      <c r="E3865" s="2018"/>
      <c r="F3865" s="2018"/>
      <c r="G3865" s="2018"/>
      <c r="H3865" s="2018"/>
      <c r="I3865" s="2018"/>
      <c r="J3865" s="2018"/>
      <c r="K3865" s="2018"/>
      <c r="L3865" s="2018"/>
      <c r="M3865" s="2018"/>
      <c r="N3865" s="2018"/>
      <c r="O3865" s="2018"/>
      <c r="P3865" s="2018"/>
      <c r="Q3865" s="2018"/>
      <c r="R3865" s="2018"/>
      <c r="S3865" s="2018"/>
      <c r="T3865" s="2018"/>
      <c r="U3865" s="2018"/>
      <c r="V3865" s="2018"/>
      <c r="W3865" s="2018"/>
      <c r="X3865" s="2018"/>
      <c r="Y3865" s="2018"/>
      <c r="Z3865" s="2023"/>
      <c r="AA3865" s="2023"/>
      <c r="AB3865" s="1050"/>
      <c r="AC3865" s="1050"/>
      <c r="AD3865" s="1050"/>
      <c r="AE3865" s="1050"/>
      <c r="AF3865" s="1052"/>
    </row>
    <row r="3866" spans="1:32" ht="15.75" x14ac:dyDescent="0.25">
      <c r="A3866" s="2017"/>
      <c r="B3866" s="2018"/>
      <c r="C3866" s="2018"/>
      <c r="D3866" s="2018"/>
      <c r="E3866" s="2018"/>
      <c r="F3866" s="2018"/>
      <c r="G3866" s="2018"/>
      <c r="H3866" s="2018"/>
      <c r="I3866" s="2018"/>
      <c r="J3866" s="2018"/>
      <c r="K3866" s="2018"/>
      <c r="L3866" s="2018"/>
      <c r="M3866" s="2018"/>
      <c r="N3866" s="2018"/>
      <c r="O3866" s="2018"/>
      <c r="P3866" s="2018"/>
      <c r="Q3866" s="2018"/>
      <c r="R3866" s="2018"/>
      <c r="S3866" s="2018"/>
      <c r="T3866" s="2018"/>
      <c r="U3866" s="2018"/>
      <c r="V3866" s="2018"/>
      <c r="W3866" s="2018"/>
      <c r="X3866" s="2018"/>
      <c r="Y3866" s="2018"/>
      <c r="Z3866" s="2023"/>
      <c r="AA3866" s="2023"/>
      <c r="AB3866" s="1050"/>
      <c r="AC3866" s="1050"/>
      <c r="AD3866" s="1050"/>
      <c r="AE3866" s="1050"/>
      <c r="AF3866" s="1052"/>
    </row>
    <row r="3867" spans="1:32" ht="15.75" x14ac:dyDescent="0.25">
      <c r="A3867" s="2017"/>
      <c r="B3867" s="2018"/>
      <c r="C3867" s="2018"/>
      <c r="D3867" s="2018"/>
      <c r="E3867" s="2018"/>
      <c r="F3867" s="2018"/>
      <c r="G3867" s="2018"/>
      <c r="H3867" s="2018"/>
      <c r="I3867" s="2018"/>
      <c r="J3867" s="2018"/>
      <c r="K3867" s="2018"/>
      <c r="L3867" s="2018"/>
      <c r="M3867" s="2018"/>
      <c r="N3867" s="2018"/>
      <c r="O3867" s="2018"/>
      <c r="P3867" s="2018"/>
      <c r="Q3867" s="2018"/>
      <c r="R3867" s="2018"/>
      <c r="S3867" s="2018"/>
      <c r="T3867" s="2018"/>
      <c r="U3867" s="2018"/>
      <c r="V3867" s="2018"/>
      <c r="W3867" s="2018"/>
      <c r="X3867" s="2018"/>
      <c r="Y3867" s="2018"/>
      <c r="Z3867" s="2023"/>
      <c r="AA3867" s="2023"/>
      <c r="AB3867" s="1050"/>
      <c r="AC3867" s="1050"/>
      <c r="AD3867" s="1050"/>
      <c r="AE3867" s="1050"/>
      <c r="AF3867" s="1052"/>
    </row>
    <row r="3868" spans="1:32" ht="15.75" x14ac:dyDescent="0.25">
      <c r="A3868" s="2017"/>
      <c r="B3868" s="2018"/>
      <c r="C3868" s="2018"/>
      <c r="D3868" s="2018"/>
      <c r="E3868" s="2018"/>
      <c r="F3868" s="2018"/>
      <c r="G3868" s="2018"/>
      <c r="H3868" s="2018"/>
      <c r="I3868" s="2018"/>
      <c r="J3868" s="2018"/>
      <c r="K3868" s="2018"/>
      <c r="L3868" s="2018"/>
      <c r="M3868" s="2018"/>
      <c r="N3868" s="2018"/>
      <c r="O3868" s="2018"/>
      <c r="P3868" s="2018"/>
      <c r="Q3868" s="2018"/>
      <c r="R3868" s="2018"/>
      <c r="S3868" s="2018"/>
      <c r="T3868" s="2018"/>
      <c r="U3868" s="2018"/>
      <c r="V3868" s="2018"/>
      <c r="W3868" s="2018"/>
      <c r="X3868" s="2018"/>
      <c r="Y3868" s="2018"/>
      <c r="Z3868" s="2023"/>
      <c r="AA3868" s="2023"/>
      <c r="AB3868" s="1050"/>
      <c r="AC3868" s="1050"/>
      <c r="AD3868" s="1050"/>
      <c r="AE3868" s="1050"/>
      <c r="AF3868" s="1052"/>
    </row>
    <row r="3869" spans="1:32" ht="15.75" x14ac:dyDescent="0.25">
      <c r="A3869" s="2017"/>
      <c r="B3869" s="2018"/>
      <c r="C3869" s="2018"/>
      <c r="D3869" s="2018"/>
      <c r="E3869" s="2018"/>
      <c r="F3869" s="2018"/>
      <c r="G3869" s="2018"/>
      <c r="H3869" s="2018"/>
      <c r="I3869" s="2018"/>
      <c r="J3869" s="2018"/>
      <c r="K3869" s="2018"/>
      <c r="L3869" s="2018"/>
      <c r="M3869" s="2018"/>
      <c r="N3869" s="2018"/>
      <c r="O3869" s="2018"/>
      <c r="P3869" s="2018"/>
      <c r="Q3869" s="2018"/>
      <c r="R3869" s="2018"/>
      <c r="S3869" s="2018"/>
      <c r="T3869" s="2018"/>
      <c r="U3869" s="2018"/>
      <c r="V3869" s="2018"/>
      <c r="W3869" s="2018"/>
      <c r="X3869" s="2018"/>
      <c r="Y3869" s="2018"/>
      <c r="Z3869" s="2023"/>
      <c r="AA3869" s="2023"/>
      <c r="AB3869" s="1050"/>
      <c r="AC3869" s="1050"/>
      <c r="AD3869" s="1050"/>
      <c r="AE3869" s="1050"/>
      <c r="AF3869" s="1052"/>
    </row>
    <row r="3870" spans="1:32" ht="15.75" x14ac:dyDescent="0.25">
      <c r="A3870" s="2017"/>
      <c r="B3870" s="2018"/>
      <c r="C3870" s="2018"/>
      <c r="D3870" s="2018"/>
      <c r="E3870" s="2018"/>
      <c r="F3870" s="2018"/>
      <c r="G3870" s="2018"/>
      <c r="H3870" s="2018"/>
      <c r="I3870" s="2018"/>
      <c r="J3870" s="2018"/>
      <c r="K3870" s="2018"/>
      <c r="L3870" s="2018"/>
      <c r="M3870" s="2018"/>
      <c r="N3870" s="2018"/>
      <c r="O3870" s="2018"/>
      <c r="P3870" s="2018"/>
      <c r="Q3870" s="2018"/>
      <c r="R3870" s="2018"/>
      <c r="S3870" s="2018"/>
      <c r="T3870" s="2018"/>
      <c r="U3870" s="2018"/>
      <c r="V3870" s="2018"/>
      <c r="W3870" s="2018"/>
      <c r="X3870" s="2018"/>
      <c r="Y3870" s="2018"/>
      <c r="Z3870" s="2023"/>
      <c r="AA3870" s="2023"/>
      <c r="AB3870" s="1050"/>
      <c r="AC3870" s="1050"/>
      <c r="AD3870" s="1050"/>
      <c r="AE3870" s="1050"/>
      <c r="AF3870" s="1052"/>
    </row>
    <row r="3871" spans="1:32" ht="16.5" thickBot="1" x14ac:dyDescent="0.3">
      <c r="A3871" s="2019"/>
      <c r="B3871" s="2020"/>
      <c r="C3871" s="2020"/>
      <c r="D3871" s="2020"/>
      <c r="E3871" s="2020"/>
      <c r="F3871" s="2020"/>
      <c r="G3871" s="2020"/>
      <c r="H3871" s="2020"/>
      <c r="I3871" s="2020"/>
      <c r="J3871" s="2020"/>
      <c r="K3871" s="2020"/>
      <c r="L3871" s="2020"/>
      <c r="M3871" s="2020"/>
      <c r="N3871" s="2020"/>
      <c r="O3871" s="2020"/>
      <c r="P3871" s="2020"/>
      <c r="Q3871" s="2020"/>
      <c r="R3871" s="2020"/>
      <c r="S3871" s="2020"/>
      <c r="T3871" s="2020"/>
      <c r="U3871" s="2020"/>
      <c r="V3871" s="2020"/>
      <c r="W3871" s="2020"/>
      <c r="X3871" s="2020"/>
      <c r="Y3871" s="2020"/>
      <c r="Z3871" s="2024"/>
      <c r="AA3871" s="2024"/>
      <c r="AB3871" s="1057"/>
      <c r="AC3871" s="1057"/>
      <c r="AD3871" s="1057"/>
      <c r="AE3871" s="1057"/>
      <c r="AF3871" s="1058"/>
    </row>
    <row r="3872" spans="1:32" ht="15.75" x14ac:dyDescent="0.25">
      <c r="A3872" s="2009" t="s">
        <v>2158</v>
      </c>
      <c r="B3872" s="2010"/>
      <c r="C3872" s="2010"/>
      <c r="D3872" s="2010"/>
      <c r="E3872" s="2010"/>
      <c r="F3872" s="2010"/>
      <c r="G3872" s="2010"/>
      <c r="H3872" s="2010"/>
      <c r="I3872" s="2010"/>
      <c r="J3872" s="2010"/>
      <c r="K3872" s="2010"/>
      <c r="L3872" s="2010"/>
      <c r="M3872" s="2010"/>
      <c r="N3872" s="2010"/>
      <c r="O3872" s="2010"/>
      <c r="P3872" s="2010"/>
      <c r="Q3872" s="2010"/>
      <c r="R3872" s="2010"/>
      <c r="S3872" s="2010"/>
      <c r="T3872" s="2010"/>
      <c r="U3872" s="2010"/>
      <c r="V3872" s="2010"/>
      <c r="W3872" s="2010"/>
      <c r="X3872" s="2010"/>
      <c r="Y3872" s="2010"/>
      <c r="Z3872" s="2013" t="s">
        <v>1850</v>
      </c>
      <c r="AA3872" s="2013"/>
      <c r="AB3872" s="2013"/>
      <c r="AC3872" s="2013"/>
      <c r="AD3872" s="2013"/>
      <c r="AE3872" s="2013"/>
      <c r="AF3872" s="1059">
        <f>SUM(AF3848:AF3871)</f>
        <v>1</v>
      </c>
    </row>
    <row r="3873" spans="1:32" ht="15.75" x14ac:dyDescent="0.25">
      <c r="A3873" s="2011"/>
      <c r="B3873" s="2012"/>
      <c r="C3873" s="2012"/>
      <c r="D3873" s="2012"/>
      <c r="E3873" s="2012"/>
      <c r="F3873" s="2012"/>
      <c r="G3873" s="2012"/>
      <c r="H3873" s="2012"/>
      <c r="I3873" s="2012"/>
      <c r="J3873" s="2012"/>
      <c r="K3873" s="2012"/>
      <c r="L3873" s="2012"/>
      <c r="M3873" s="2012"/>
      <c r="N3873" s="2012"/>
      <c r="O3873" s="2012"/>
      <c r="P3873" s="2012"/>
      <c r="Q3873" s="2012"/>
      <c r="R3873" s="2012"/>
      <c r="S3873" s="2012"/>
      <c r="T3873" s="2012"/>
      <c r="U3873" s="2012"/>
      <c r="V3873" s="2012"/>
      <c r="W3873" s="2012"/>
      <c r="X3873" s="2012"/>
      <c r="Y3873" s="2012"/>
      <c r="Z3873" s="2014" t="s">
        <v>1851</v>
      </c>
      <c r="AA3873" s="2014"/>
      <c r="AB3873" s="2014"/>
      <c r="AC3873" s="2014"/>
      <c r="AD3873" s="2014"/>
      <c r="AE3873" s="2014"/>
      <c r="AF3873" s="1060">
        <v>0</v>
      </c>
    </row>
    <row r="3874" spans="1:32" ht="15.75" x14ac:dyDescent="0.25">
      <c r="A3874" s="2011"/>
      <c r="B3874" s="2012"/>
      <c r="C3874" s="2012"/>
      <c r="D3874" s="2012"/>
      <c r="E3874" s="2012"/>
      <c r="F3874" s="2012"/>
      <c r="G3874" s="2012"/>
      <c r="H3874" s="2012"/>
      <c r="I3874" s="2012"/>
      <c r="J3874" s="2012"/>
      <c r="K3874" s="2012"/>
      <c r="L3874" s="2012"/>
      <c r="M3874" s="2012"/>
      <c r="N3874" s="2012"/>
      <c r="O3874" s="2012"/>
      <c r="P3874" s="2012"/>
      <c r="Q3874" s="2012"/>
      <c r="R3874" s="2012"/>
      <c r="S3874" s="2012"/>
      <c r="T3874" s="2012"/>
      <c r="U3874" s="2012"/>
      <c r="V3874" s="2012"/>
      <c r="W3874" s="2012"/>
      <c r="X3874" s="2012"/>
      <c r="Y3874" s="2012"/>
      <c r="Z3874" s="2015" t="s">
        <v>1833</v>
      </c>
      <c r="AA3874" s="2015"/>
      <c r="AB3874" s="2015"/>
      <c r="AC3874" s="2015"/>
      <c r="AD3874" s="2015"/>
      <c r="AE3874" s="2015"/>
      <c r="AF3874" s="1061">
        <f>SUM(AF3872:AF3873)</f>
        <v>1</v>
      </c>
    </row>
    <row r="3875" spans="1:32" x14ac:dyDescent="0.2">
      <c r="A3875" s="2012" t="s">
        <v>1859</v>
      </c>
      <c r="B3875" s="2012"/>
      <c r="C3875" s="2012"/>
      <c r="D3875" s="2012"/>
      <c r="E3875" s="2012"/>
      <c r="F3875" s="2012"/>
      <c r="G3875" s="2012"/>
      <c r="H3875" s="2012"/>
      <c r="I3875" s="2012"/>
      <c r="J3875" s="2012"/>
      <c r="K3875" s="2012"/>
      <c r="L3875" s="2012"/>
      <c r="M3875" s="2012"/>
      <c r="N3875" s="2012"/>
      <c r="O3875" s="2012"/>
      <c r="P3875" s="2012"/>
      <c r="Q3875" s="2012"/>
      <c r="R3875" s="2012"/>
      <c r="S3875" s="2012"/>
      <c r="T3875" s="2016" t="s">
        <v>1840</v>
      </c>
      <c r="U3875" s="2016"/>
      <c r="V3875" s="2016"/>
      <c r="W3875" s="2016"/>
      <c r="X3875" s="2016"/>
      <c r="Y3875" s="2016"/>
      <c r="Z3875" s="2016"/>
      <c r="AA3875" s="2016"/>
      <c r="AB3875" s="2012" t="s">
        <v>1852</v>
      </c>
      <c r="AC3875" s="2012"/>
      <c r="AD3875" s="2012"/>
      <c r="AE3875" s="2012"/>
      <c r="AF3875" s="2012"/>
    </row>
    <row r="3876" spans="1:32" x14ac:dyDescent="0.2">
      <c r="A3876" s="2012"/>
      <c r="B3876" s="2012"/>
      <c r="C3876" s="2012"/>
      <c r="D3876" s="2012"/>
      <c r="E3876" s="2012"/>
      <c r="F3876" s="2012"/>
      <c r="G3876" s="2012"/>
      <c r="H3876" s="2012"/>
      <c r="I3876" s="2012"/>
      <c r="J3876" s="2012"/>
      <c r="K3876" s="2012"/>
      <c r="L3876" s="2012"/>
      <c r="M3876" s="2012"/>
      <c r="N3876" s="2012"/>
      <c r="O3876" s="2012"/>
      <c r="P3876" s="2012"/>
      <c r="Q3876" s="2012"/>
      <c r="R3876" s="2012"/>
      <c r="S3876" s="2012"/>
      <c r="T3876" s="2016"/>
      <c r="U3876" s="2016"/>
      <c r="V3876" s="2016"/>
      <c r="W3876" s="2016"/>
      <c r="X3876" s="2016"/>
      <c r="Y3876" s="2016"/>
      <c r="Z3876" s="2016"/>
      <c r="AA3876" s="2016"/>
      <c r="AB3876" s="2012"/>
      <c r="AC3876" s="2012"/>
      <c r="AD3876" s="2012"/>
      <c r="AE3876" s="2012"/>
      <c r="AF3876" s="2012"/>
    </row>
    <row r="3877" spans="1:32" ht="13.5" thickBot="1" x14ac:dyDescent="0.25"/>
    <row r="3878" spans="1:32" ht="26.45" customHeight="1" x14ac:dyDescent="0.2">
      <c r="A3878" s="2025" t="s">
        <v>1854</v>
      </c>
      <c r="B3878" s="2026"/>
      <c r="C3878" s="2026"/>
      <c r="D3878" s="2026"/>
      <c r="E3878" s="2026"/>
      <c r="F3878" s="2026"/>
      <c r="G3878" s="2026"/>
      <c r="H3878" s="2026"/>
      <c r="I3878" s="2026"/>
      <c r="J3878" s="2026"/>
      <c r="K3878" s="2026"/>
      <c r="L3878" s="2026"/>
      <c r="M3878" s="2026"/>
      <c r="N3878" s="2026"/>
      <c r="O3878" s="2026"/>
      <c r="P3878" s="2026"/>
      <c r="Q3878" s="2026"/>
      <c r="R3878" s="2026"/>
      <c r="S3878" s="2026"/>
      <c r="T3878" s="2026"/>
      <c r="U3878" s="2026"/>
      <c r="V3878" s="2026"/>
      <c r="W3878" s="2026"/>
      <c r="X3878" s="2026"/>
      <c r="Y3878" s="2026"/>
      <c r="Z3878" s="2026"/>
      <c r="AA3878" s="2026"/>
      <c r="AB3878" s="2026"/>
      <c r="AC3878" s="2026"/>
      <c r="AD3878" s="2026"/>
      <c r="AE3878" s="1041" t="s">
        <v>1834</v>
      </c>
      <c r="AF3878" s="1042" t="s">
        <v>1835</v>
      </c>
    </row>
    <row r="3879" spans="1:32" ht="21" customHeight="1" thickBot="1" x14ac:dyDescent="0.25">
      <c r="A3879" s="2027"/>
      <c r="B3879" s="2028"/>
      <c r="C3879" s="2028"/>
      <c r="D3879" s="2028"/>
      <c r="E3879" s="2028"/>
      <c r="F3879" s="2028"/>
      <c r="G3879" s="2028"/>
      <c r="H3879" s="2028"/>
      <c r="I3879" s="2028"/>
      <c r="J3879" s="2028"/>
      <c r="K3879" s="2028"/>
      <c r="L3879" s="2028"/>
      <c r="M3879" s="2028"/>
      <c r="N3879" s="2028"/>
      <c r="O3879" s="2028"/>
      <c r="P3879" s="2028"/>
      <c r="Q3879" s="2028"/>
      <c r="R3879" s="2028"/>
      <c r="S3879" s="2028"/>
      <c r="T3879" s="2028"/>
      <c r="U3879" s="2028"/>
      <c r="V3879" s="2028"/>
      <c r="W3879" s="2028"/>
      <c r="X3879" s="2028"/>
      <c r="Y3879" s="2028"/>
      <c r="Z3879" s="2028"/>
      <c r="AA3879" s="2028"/>
      <c r="AB3879" s="2028"/>
      <c r="AC3879" s="2028"/>
      <c r="AD3879" s="2028"/>
      <c r="AE3879" s="1041" t="s">
        <v>1836</v>
      </c>
      <c r="AF3879" s="1044">
        <v>1</v>
      </c>
    </row>
    <row r="3880" spans="1:32" ht="15.75" x14ac:dyDescent="0.2">
      <c r="A3880" s="2029"/>
      <c r="B3880" s="2030"/>
      <c r="C3880" s="2030"/>
      <c r="D3880" s="2031"/>
      <c r="E3880" s="2025" t="str">
        <f>'01'!$A$12</f>
        <v>"CONSTRUCCION SISTEMA DE ACUEDUCTO FASE II DEL MUNICIPIO DE TESALIA DPTO DEL HUILA"</v>
      </c>
      <c r="F3880" s="2026"/>
      <c r="G3880" s="2026"/>
      <c r="H3880" s="2026"/>
      <c r="I3880" s="2026"/>
      <c r="J3880" s="2026"/>
      <c r="K3880" s="2026"/>
      <c r="L3880" s="2026"/>
      <c r="M3880" s="2026"/>
      <c r="N3880" s="2026"/>
      <c r="O3880" s="2026"/>
      <c r="P3880" s="2026"/>
      <c r="Q3880" s="2026"/>
      <c r="R3880" s="2026"/>
      <c r="S3880" s="2026"/>
      <c r="T3880" s="2026"/>
      <c r="U3880" s="2026"/>
      <c r="V3880" s="2026"/>
      <c r="W3880" s="2026"/>
      <c r="X3880" s="2026"/>
      <c r="Y3880" s="2026"/>
      <c r="Z3880" s="2026"/>
      <c r="AA3880" s="2026"/>
      <c r="AB3880" s="2026"/>
      <c r="AC3880" s="2026"/>
      <c r="AD3880" s="2035"/>
      <c r="AE3880" s="1041" t="s">
        <v>847</v>
      </c>
      <c r="AF3880" s="1045">
        <f>'01'!$M$13</f>
        <v>0</v>
      </c>
    </row>
    <row r="3881" spans="1:32" ht="16.5" thickBot="1" x14ac:dyDescent="0.25">
      <c r="A3881" s="2032"/>
      <c r="B3881" s="2033"/>
      <c r="C3881" s="2033"/>
      <c r="D3881" s="2034"/>
      <c r="E3881" s="2027"/>
      <c r="F3881" s="2028"/>
      <c r="G3881" s="2028"/>
      <c r="H3881" s="2028"/>
      <c r="I3881" s="2028"/>
      <c r="J3881" s="2028"/>
      <c r="K3881" s="2028"/>
      <c r="L3881" s="2028"/>
      <c r="M3881" s="2028"/>
      <c r="N3881" s="2028"/>
      <c r="O3881" s="2028"/>
      <c r="P3881" s="2028"/>
      <c r="Q3881" s="2028"/>
      <c r="R3881" s="2028"/>
      <c r="S3881" s="2028"/>
      <c r="T3881" s="2028"/>
      <c r="U3881" s="2028"/>
      <c r="V3881" s="2028"/>
      <c r="W3881" s="2028"/>
      <c r="X3881" s="2028"/>
      <c r="Y3881" s="2028"/>
      <c r="Z3881" s="2028"/>
      <c r="AA3881" s="2028"/>
      <c r="AB3881" s="2028"/>
      <c r="AC3881" s="2028"/>
      <c r="AD3881" s="2036"/>
      <c r="AE3881" s="1041" t="s">
        <v>1837</v>
      </c>
      <c r="AF3881" s="1042" t="s">
        <v>1838</v>
      </c>
    </row>
    <row r="3882" spans="1:32" ht="15.75" x14ac:dyDescent="0.25">
      <c r="A3882" s="2037" t="s">
        <v>1860</v>
      </c>
      <c r="B3882" s="2038"/>
      <c r="C3882" s="2038"/>
      <c r="D3882" s="2038"/>
      <c r="E3882" s="2038"/>
      <c r="F3882" s="2038"/>
      <c r="G3882" s="2038"/>
      <c r="H3882" s="2038"/>
      <c r="I3882" s="2038"/>
      <c r="J3882" s="2038"/>
      <c r="K3882" s="2038"/>
      <c r="L3882" s="2038"/>
      <c r="M3882" s="2038"/>
      <c r="N3882" s="2038"/>
      <c r="O3882" s="2038"/>
      <c r="P3882" s="2038"/>
      <c r="Q3882" s="2038"/>
      <c r="R3882" s="2038"/>
      <c r="S3882" s="2038"/>
      <c r="T3882" s="2038"/>
      <c r="U3882" s="2038"/>
      <c r="V3882" s="2038"/>
      <c r="W3882" s="2038"/>
      <c r="X3882" s="2038"/>
      <c r="Y3882" s="2038"/>
      <c r="Z3882" s="2038"/>
      <c r="AA3882" s="2038"/>
      <c r="AB3882" s="2038"/>
      <c r="AC3882" s="2038"/>
      <c r="AD3882" s="2038"/>
      <c r="AE3882" s="2039" t="s">
        <v>1839</v>
      </c>
      <c r="AF3882" s="2040"/>
    </row>
    <row r="3883" spans="1:32" ht="15.75" x14ac:dyDescent="0.25">
      <c r="A3883" s="2041" t="s">
        <v>1840</v>
      </c>
      <c r="B3883" s="2042"/>
      <c r="C3883" s="2042"/>
      <c r="D3883" s="2042"/>
      <c r="E3883" s="2042"/>
      <c r="F3883" s="2042"/>
      <c r="G3883" s="2042"/>
      <c r="H3883" s="2042"/>
      <c r="I3883" s="2042"/>
      <c r="J3883" s="2042"/>
      <c r="K3883" s="2042"/>
      <c r="L3883" s="2042"/>
      <c r="M3883" s="2042"/>
      <c r="N3883" s="2042"/>
      <c r="O3883" s="2042"/>
      <c r="P3883" s="2042"/>
      <c r="Q3883" s="2042"/>
      <c r="R3883" s="2042"/>
      <c r="S3883" s="2042"/>
      <c r="T3883" s="2042"/>
      <c r="U3883" s="2042"/>
      <c r="V3883" s="2042"/>
      <c r="W3883" s="2042"/>
      <c r="X3883" s="2042"/>
      <c r="Y3883" s="2042"/>
      <c r="Z3883" s="2042"/>
      <c r="AA3883" s="2042"/>
      <c r="AB3883" s="2042"/>
      <c r="AC3883" s="2042"/>
      <c r="AD3883" s="2043"/>
      <c r="AE3883" s="2014" t="s">
        <v>1841</v>
      </c>
      <c r="AF3883" s="2044"/>
    </row>
    <row r="3884" spans="1:32" ht="15.75" x14ac:dyDescent="0.25">
      <c r="A3884" s="2045" t="s">
        <v>1853</v>
      </c>
      <c r="B3884" s="2046"/>
      <c r="C3884" s="2046"/>
      <c r="D3884" s="2046"/>
      <c r="E3884" s="2046"/>
      <c r="F3884" s="2046"/>
      <c r="G3884" s="2046"/>
      <c r="H3884" s="2046"/>
      <c r="I3884" s="2046"/>
      <c r="J3884" s="2046"/>
      <c r="K3884" s="2046"/>
      <c r="L3884" s="2046"/>
      <c r="M3884" s="2046"/>
      <c r="N3884" s="2046"/>
      <c r="O3884" s="2046"/>
      <c r="P3884" s="2046"/>
      <c r="Q3884" s="2046"/>
      <c r="R3884" s="2046"/>
      <c r="S3884" s="2046"/>
      <c r="T3884" s="2046"/>
      <c r="U3884" s="2046"/>
      <c r="V3884" s="2046"/>
      <c r="W3884" s="2046"/>
      <c r="X3884" s="2046"/>
      <c r="Y3884" s="2046"/>
      <c r="Z3884" s="2046"/>
      <c r="AA3884" s="2046"/>
      <c r="AB3884" s="2046"/>
      <c r="AC3884" s="2046"/>
      <c r="AD3884" s="2046"/>
      <c r="AE3884" s="2047">
        <f>'01'!$M$13</f>
        <v>0</v>
      </c>
      <c r="AF3884" s="2044"/>
    </row>
    <row r="3885" spans="1:32" x14ac:dyDescent="0.2">
      <c r="A3885" s="1046"/>
      <c r="B3885" s="1047"/>
      <c r="C3885" s="1047"/>
      <c r="D3885" s="1047"/>
      <c r="E3885" s="1047"/>
      <c r="F3885" s="1047"/>
      <c r="G3885" s="1047"/>
      <c r="H3885" s="1047"/>
      <c r="I3885" s="1047"/>
      <c r="J3885" s="1047"/>
      <c r="K3885" s="1047"/>
      <c r="L3885" s="1047"/>
      <c r="M3885" s="1047"/>
      <c r="N3885" s="1047"/>
      <c r="O3885" s="1047"/>
      <c r="P3885" s="1047"/>
      <c r="Q3885" s="1047"/>
      <c r="R3885" s="1047"/>
      <c r="S3885" s="1047"/>
      <c r="T3885" s="1047"/>
      <c r="U3885" s="1047"/>
      <c r="V3885" s="1047"/>
      <c r="W3885" s="1047"/>
      <c r="X3885" s="1047"/>
      <c r="Y3885" s="1047"/>
      <c r="Z3885" s="1047"/>
      <c r="AA3885" s="1047"/>
      <c r="AB3885" s="1047"/>
      <c r="AC3885" s="1047"/>
      <c r="AD3885" s="1047"/>
      <c r="AE3885" s="1047"/>
      <c r="AF3885" s="1048"/>
    </row>
    <row r="3886" spans="1:32" ht="30" customHeight="1" x14ac:dyDescent="0.2">
      <c r="A3886" s="2048" t="s">
        <v>1842</v>
      </c>
      <c r="B3886" s="2049"/>
      <c r="C3886" s="2049"/>
      <c r="D3886" s="2049"/>
      <c r="E3886" s="2049"/>
      <c r="F3886" s="2050" t="str">
        <f>+'01'!$H$163</f>
        <v>F - LECHOS DE SECADO</v>
      </c>
      <c r="G3886" s="2049"/>
      <c r="H3886" s="2049"/>
      <c r="I3886" s="2049"/>
      <c r="J3886" s="2049"/>
      <c r="K3886" s="2049"/>
      <c r="L3886" s="2049"/>
      <c r="M3886" s="2049"/>
      <c r="N3886" s="2049"/>
      <c r="O3886" s="2049"/>
      <c r="P3886" s="2049"/>
      <c r="Q3886" s="2049"/>
      <c r="R3886" s="2049"/>
      <c r="S3886" s="2049"/>
      <c r="T3886" s="2049"/>
      <c r="U3886" s="2049"/>
      <c r="V3886" s="2049"/>
      <c r="W3886" s="2049"/>
      <c r="X3886" s="2049"/>
      <c r="Y3886" s="2051"/>
      <c r="Z3886" s="2052" t="s">
        <v>1843</v>
      </c>
      <c r="AA3886" s="2053"/>
      <c r="AB3886" s="2058" t="s">
        <v>1844</v>
      </c>
      <c r="AC3886" s="2059"/>
      <c r="AD3886" s="2060"/>
      <c r="AE3886" s="2064" t="s">
        <v>1845</v>
      </c>
      <c r="AF3886" s="2067" t="s">
        <v>1846</v>
      </c>
    </row>
    <row r="3887" spans="1:32" ht="15" customHeight="1" x14ac:dyDescent="0.2">
      <c r="A3887" s="2070" t="str">
        <f>+'01'!A166</f>
        <v>F-01-01</v>
      </c>
      <c r="B3887" s="2071"/>
      <c r="C3887" s="2072"/>
      <c r="D3887" s="2076" t="str">
        <f>VLOOKUP(A3887,'01'!$A$12:$N$299,3,FALSE)</f>
        <v>LOCALIZACIÓN Y REPLANTEO. INCLUYE: MATERIALES, EQUIPOS, COMISIÓN TOPOGRÁFICA PARA CONTROL DE NIVELES PERMANENTES Y PLANOS RECORD.</v>
      </c>
      <c r="E3887" s="2077"/>
      <c r="F3887" s="2077"/>
      <c r="G3887" s="2077"/>
      <c r="H3887" s="2077"/>
      <c r="I3887" s="2077"/>
      <c r="J3887" s="2077"/>
      <c r="K3887" s="2077"/>
      <c r="L3887" s="2077"/>
      <c r="M3887" s="2077"/>
      <c r="N3887" s="2077"/>
      <c r="O3887" s="2077"/>
      <c r="P3887" s="2077"/>
      <c r="Q3887" s="2077"/>
      <c r="R3887" s="2077"/>
      <c r="S3887" s="2078"/>
      <c r="T3887" s="2082" t="s">
        <v>124</v>
      </c>
      <c r="U3887" s="2083"/>
      <c r="V3887" s="2083"/>
      <c r="W3887" s="2083"/>
      <c r="X3887" s="2052" t="str">
        <f>VLOOKUP(A3887,'01'!$A$12:$N$299,9,FALSE)</f>
        <v>M2</v>
      </c>
      <c r="Y3887" s="2053"/>
      <c r="Z3887" s="2054"/>
      <c r="AA3887" s="2055"/>
      <c r="AB3887" s="2061"/>
      <c r="AC3887" s="2062"/>
      <c r="AD3887" s="2063"/>
      <c r="AE3887" s="2065"/>
      <c r="AF3887" s="2068"/>
    </row>
    <row r="3888" spans="1:32" ht="15" customHeight="1" x14ac:dyDescent="0.25">
      <c r="A3888" s="2073"/>
      <c r="B3888" s="2074"/>
      <c r="C3888" s="2075"/>
      <c r="D3888" s="2079"/>
      <c r="E3888" s="2080"/>
      <c r="F3888" s="2080"/>
      <c r="G3888" s="2080"/>
      <c r="H3888" s="2080"/>
      <c r="I3888" s="2080"/>
      <c r="J3888" s="2080"/>
      <c r="K3888" s="2080"/>
      <c r="L3888" s="2080"/>
      <c r="M3888" s="2080"/>
      <c r="N3888" s="2080"/>
      <c r="O3888" s="2080"/>
      <c r="P3888" s="2080"/>
      <c r="Q3888" s="2080"/>
      <c r="R3888" s="2080"/>
      <c r="S3888" s="2081"/>
      <c r="T3888" s="2084"/>
      <c r="U3888" s="2085"/>
      <c r="V3888" s="2085"/>
      <c r="W3888" s="2085"/>
      <c r="X3888" s="2056"/>
      <c r="Y3888" s="2057"/>
      <c r="Z3888" s="2056"/>
      <c r="AA3888" s="2057"/>
      <c r="AB3888" s="1049" t="s">
        <v>1847</v>
      </c>
      <c r="AC3888" s="1049" t="s">
        <v>1848</v>
      </c>
      <c r="AD3888" s="1049" t="s">
        <v>1861</v>
      </c>
      <c r="AE3888" s="2066"/>
      <c r="AF3888" s="2069"/>
    </row>
    <row r="3889" spans="1:32" ht="15.6" customHeight="1" x14ac:dyDescent="0.25">
      <c r="A3889" s="2017"/>
      <c r="B3889" s="2018"/>
      <c r="C3889" s="2018"/>
      <c r="D3889" s="2018"/>
      <c r="E3889" s="2018"/>
      <c r="F3889" s="2018"/>
      <c r="G3889" s="2018"/>
      <c r="H3889" s="2018"/>
      <c r="I3889" s="2018"/>
      <c r="J3889" s="2018"/>
      <c r="K3889" s="2018"/>
      <c r="L3889" s="2018"/>
      <c r="M3889" s="2018"/>
      <c r="N3889" s="2018"/>
      <c r="O3889" s="2018"/>
      <c r="P3889" s="2018"/>
      <c r="Q3889" s="2018"/>
      <c r="R3889" s="2018"/>
      <c r="S3889" s="2018"/>
      <c r="T3889" s="2018"/>
      <c r="U3889" s="2018"/>
      <c r="V3889" s="2018"/>
      <c r="W3889" s="2018"/>
      <c r="X3889" s="2018"/>
      <c r="Y3889" s="2018"/>
      <c r="Z3889" s="2021" t="s">
        <v>2484</v>
      </c>
      <c r="AA3889" s="2021"/>
      <c r="AB3889" s="1050">
        <v>13.85</v>
      </c>
      <c r="AC3889" s="1050">
        <v>4.0999999999999996</v>
      </c>
      <c r="AD3889" s="1050"/>
      <c r="AE3889" s="1050">
        <v>1</v>
      </c>
      <c r="AF3889" s="1052">
        <f>+ROUND(AB3889*AC3889*AE3889,2)</f>
        <v>56.79</v>
      </c>
    </row>
    <row r="3890" spans="1:32" ht="15.6" customHeight="1" x14ac:dyDescent="0.25">
      <c r="A3890" s="2017"/>
      <c r="B3890" s="2018"/>
      <c r="C3890" s="2018"/>
      <c r="D3890" s="2018"/>
      <c r="E3890" s="2018"/>
      <c r="F3890" s="2018"/>
      <c r="G3890" s="2018"/>
      <c r="H3890" s="2018"/>
      <c r="I3890" s="2018"/>
      <c r="J3890" s="2018"/>
      <c r="K3890" s="2018"/>
      <c r="L3890" s="2018"/>
      <c r="M3890" s="2018"/>
      <c r="N3890" s="2018"/>
      <c r="O3890" s="2018"/>
      <c r="P3890" s="2018"/>
      <c r="Q3890" s="2018"/>
      <c r="R3890" s="2018"/>
      <c r="S3890" s="2018"/>
      <c r="T3890" s="2018"/>
      <c r="U3890" s="2018"/>
      <c r="V3890" s="2018"/>
      <c r="W3890" s="2018"/>
      <c r="X3890" s="2018"/>
      <c r="Y3890" s="2018"/>
      <c r="Z3890" s="2021" t="s">
        <v>2485</v>
      </c>
      <c r="AA3890" s="2021"/>
      <c r="AB3890" s="1050">
        <v>1.6</v>
      </c>
      <c r="AC3890" s="1050">
        <v>1.5</v>
      </c>
      <c r="AD3890" s="1050"/>
      <c r="AE3890" s="1050">
        <v>4</v>
      </c>
      <c r="AF3890" s="1052">
        <f>+ROUND(AB3890*AC3890*AE3890,2)</f>
        <v>9.6</v>
      </c>
    </row>
    <row r="3891" spans="1:32" ht="15.75" x14ac:dyDescent="0.25">
      <c r="A3891" s="2017"/>
      <c r="B3891" s="2018"/>
      <c r="C3891" s="2018"/>
      <c r="D3891" s="2018"/>
      <c r="E3891" s="2018"/>
      <c r="F3891" s="2018"/>
      <c r="G3891" s="2018"/>
      <c r="H3891" s="2018"/>
      <c r="I3891" s="2018"/>
      <c r="J3891" s="2018"/>
      <c r="K3891" s="2018"/>
      <c r="L3891" s="2018"/>
      <c r="M3891" s="2018"/>
      <c r="N3891" s="2018"/>
      <c r="O3891" s="2018"/>
      <c r="P3891" s="2018"/>
      <c r="Q3891" s="2018"/>
      <c r="R3891" s="2018"/>
      <c r="S3891" s="2018"/>
      <c r="T3891" s="2018"/>
      <c r="U3891" s="2018"/>
      <c r="V3891" s="2018"/>
      <c r="W3891" s="2018"/>
      <c r="X3891" s="2018"/>
      <c r="Y3891" s="2018"/>
      <c r="Z3891" s="2021"/>
      <c r="AA3891" s="2021"/>
      <c r="AB3891" s="1050"/>
      <c r="AC3891" s="1050"/>
      <c r="AD3891" s="1050"/>
      <c r="AE3891" s="1050"/>
      <c r="AF3891" s="1052"/>
    </row>
    <row r="3892" spans="1:32" ht="15.75" x14ac:dyDescent="0.25">
      <c r="A3892" s="2017"/>
      <c r="B3892" s="2018"/>
      <c r="C3892" s="2018"/>
      <c r="D3892" s="2018"/>
      <c r="E3892" s="2018"/>
      <c r="F3892" s="2018"/>
      <c r="G3892" s="2018"/>
      <c r="H3892" s="2018"/>
      <c r="I3892" s="2018"/>
      <c r="J3892" s="2018"/>
      <c r="K3892" s="2018"/>
      <c r="L3892" s="2018"/>
      <c r="M3892" s="2018"/>
      <c r="N3892" s="2018"/>
      <c r="O3892" s="2018"/>
      <c r="P3892" s="2018"/>
      <c r="Q3892" s="2018"/>
      <c r="R3892" s="2018"/>
      <c r="S3892" s="2018"/>
      <c r="T3892" s="2018"/>
      <c r="U3892" s="2018"/>
      <c r="V3892" s="2018"/>
      <c r="W3892" s="2018"/>
      <c r="X3892" s="2018"/>
      <c r="Y3892" s="2018"/>
      <c r="Z3892" s="2021"/>
      <c r="AA3892" s="2021"/>
      <c r="AB3892" s="1050"/>
      <c r="AC3892" s="1050"/>
      <c r="AD3892" s="1050"/>
      <c r="AE3892" s="1050"/>
      <c r="AF3892" s="1052"/>
    </row>
    <row r="3893" spans="1:32" ht="15.75" x14ac:dyDescent="0.25">
      <c r="A3893" s="2017"/>
      <c r="B3893" s="2018"/>
      <c r="C3893" s="2018"/>
      <c r="D3893" s="2018"/>
      <c r="E3893" s="2018"/>
      <c r="F3893" s="2018"/>
      <c r="G3893" s="2018"/>
      <c r="H3893" s="2018"/>
      <c r="I3893" s="2018"/>
      <c r="J3893" s="2018"/>
      <c r="K3893" s="2018"/>
      <c r="L3893" s="2018"/>
      <c r="M3893" s="2018"/>
      <c r="N3893" s="2018"/>
      <c r="O3893" s="2018"/>
      <c r="P3893" s="2018"/>
      <c r="Q3893" s="2018"/>
      <c r="R3893" s="2018"/>
      <c r="S3893" s="2018"/>
      <c r="T3893" s="2018"/>
      <c r="U3893" s="2018"/>
      <c r="V3893" s="2018"/>
      <c r="W3893" s="2018"/>
      <c r="X3893" s="2018"/>
      <c r="Y3893" s="2018"/>
      <c r="Z3893" s="2021"/>
      <c r="AA3893" s="2021"/>
      <c r="AB3893" s="1050"/>
      <c r="AC3893" s="1050"/>
      <c r="AD3893" s="1050"/>
      <c r="AE3893" s="1050"/>
      <c r="AF3893" s="1052"/>
    </row>
    <row r="3894" spans="1:32" ht="15.75" x14ac:dyDescent="0.25">
      <c r="A3894" s="2017"/>
      <c r="B3894" s="2018"/>
      <c r="C3894" s="2018"/>
      <c r="D3894" s="2018"/>
      <c r="E3894" s="2018"/>
      <c r="F3894" s="2018"/>
      <c r="G3894" s="2018"/>
      <c r="H3894" s="2018"/>
      <c r="I3894" s="2018"/>
      <c r="J3894" s="2018"/>
      <c r="K3894" s="2018"/>
      <c r="L3894" s="2018"/>
      <c r="M3894" s="2018"/>
      <c r="N3894" s="2018"/>
      <c r="O3894" s="2018"/>
      <c r="P3894" s="2018"/>
      <c r="Q3894" s="2018"/>
      <c r="R3894" s="2018"/>
      <c r="S3894" s="2018"/>
      <c r="T3894" s="2018"/>
      <c r="U3894" s="2018"/>
      <c r="V3894" s="2018"/>
      <c r="W3894" s="2018"/>
      <c r="X3894" s="2018"/>
      <c r="Y3894" s="2018"/>
      <c r="Z3894" s="2021"/>
      <c r="AA3894" s="2021"/>
      <c r="AB3894" s="1050"/>
      <c r="AC3894" s="1050"/>
      <c r="AD3894" s="1050"/>
      <c r="AE3894" s="1050"/>
      <c r="AF3894" s="1052"/>
    </row>
    <row r="3895" spans="1:32" ht="15.75" x14ac:dyDescent="0.25">
      <c r="A3895" s="2017"/>
      <c r="B3895" s="2018"/>
      <c r="C3895" s="2018"/>
      <c r="D3895" s="2018"/>
      <c r="E3895" s="2018"/>
      <c r="F3895" s="2018"/>
      <c r="G3895" s="2018"/>
      <c r="H3895" s="2018"/>
      <c r="I3895" s="2018"/>
      <c r="J3895" s="2018"/>
      <c r="K3895" s="2018"/>
      <c r="L3895" s="2018"/>
      <c r="M3895" s="2018"/>
      <c r="N3895" s="2018"/>
      <c r="O3895" s="2018"/>
      <c r="P3895" s="2018"/>
      <c r="Q3895" s="2018"/>
      <c r="R3895" s="2018"/>
      <c r="S3895" s="2018"/>
      <c r="T3895" s="2018"/>
      <c r="U3895" s="2018"/>
      <c r="V3895" s="2018"/>
      <c r="W3895" s="2018"/>
      <c r="X3895" s="2018"/>
      <c r="Y3895" s="2018"/>
      <c r="Z3895" s="2021"/>
      <c r="AA3895" s="2021"/>
      <c r="AB3895" s="1050"/>
      <c r="AC3895" s="1050"/>
      <c r="AD3895" s="1050"/>
      <c r="AE3895" s="1050"/>
      <c r="AF3895" s="1052"/>
    </row>
    <row r="3896" spans="1:32" ht="15.75" x14ac:dyDescent="0.25">
      <c r="A3896" s="2017"/>
      <c r="B3896" s="2018"/>
      <c r="C3896" s="2018"/>
      <c r="D3896" s="2018"/>
      <c r="E3896" s="2018"/>
      <c r="F3896" s="2018"/>
      <c r="G3896" s="2018"/>
      <c r="H3896" s="2018"/>
      <c r="I3896" s="2018"/>
      <c r="J3896" s="2018"/>
      <c r="K3896" s="2018"/>
      <c r="L3896" s="2018"/>
      <c r="M3896" s="2018"/>
      <c r="N3896" s="2018"/>
      <c r="O3896" s="2018"/>
      <c r="P3896" s="2018"/>
      <c r="Q3896" s="2018"/>
      <c r="R3896" s="2018"/>
      <c r="S3896" s="2018"/>
      <c r="T3896" s="2018"/>
      <c r="U3896" s="2018"/>
      <c r="V3896" s="2018"/>
      <c r="W3896" s="2018"/>
      <c r="X3896" s="2018"/>
      <c r="Y3896" s="2018"/>
      <c r="Z3896" s="2021"/>
      <c r="AA3896" s="2021"/>
      <c r="AB3896" s="1050"/>
      <c r="AC3896" s="1050"/>
      <c r="AD3896" s="1050"/>
      <c r="AE3896" s="1050"/>
      <c r="AF3896" s="1052"/>
    </row>
    <row r="3897" spans="1:32" ht="15.75" x14ac:dyDescent="0.25">
      <c r="A3897" s="2017"/>
      <c r="B3897" s="2018"/>
      <c r="C3897" s="2018"/>
      <c r="D3897" s="2018"/>
      <c r="E3897" s="2018"/>
      <c r="F3897" s="2018"/>
      <c r="G3897" s="2018"/>
      <c r="H3897" s="2018"/>
      <c r="I3897" s="2018"/>
      <c r="J3897" s="2018"/>
      <c r="K3897" s="2018"/>
      <c r="L3897" s="2018"/>
      <c r="M3897" s="2018"/>
      <c r="N3897" s="2018"/>
      <c r="O3897" s="2018"/>
      <c r="P3897" s="2018"/>
      <c r="Q3897" s="2018"/>
      <c r="R3897" s="2018"/>
      <c r="S3897" s="2018"/>
      <c r="T3897" s="2018"/>
      <c r="U3897" s="2018"/>
      <c r="V3897" s="2018"/>
      <c r="W3897" s="2018"/>
      <c r="X3897" s="2018"/>
      <c r="Y3897" s="2018"/>
      <c r="Z3897" s="2021"/>
      <c r="AA3897" s="2021"/>
      <c r="AB3897" s="1050"/>
      <c r="AC3897" s="1050"/>
      <c r="AD3897" s="1050"/>
      <c r="AE3897" s="1050"/>
      <c r="AF3897" s="1052"/>
    </row>
    <row r="3898" spans="1:32" ht="15.75" x14ac:dyDescent="0.25">
      <c r="A3898" s="2017"/>
      <c r="B3898" s="2018"/>
      <c r="C3898" s="2018"/>
      <c r="D3898" s="2018"/>
      <c r="E3898" s="2018"/>
      <c r="F3898" s="2018"/>
      <c r="G3898" s="2018"/>
      <c r="H3898" s="2018"/>
      <c r="I3898" s="2018"/>
      <c r="J3898" s="2018"/>
      <c r="K3898" s="2018"/>
      <c r="L3898" s="2018"/>
      <c r="M3898" s="2018"/>
      <c r="N3898" s="2018"/>
      <c r="O3898" s="2018"/>
      <c r="P3898" s="2018"/>
      <c r="Q3898" s="2018"/>
      <c r="R3898" s="2018"/>
      <c r="S3898" s="2018"/>
      <c r="T3898" s="2018"/>
      <c r="U3898" s="2018"/>
      <c r="V3898" s="2018"/>
      <c r="W3898" s="2018"/>
      <c r="X3898" s="2018"/>
      <c r="Y3898" s="2018"/>
      <c r="Z3898" s="2021"/>
      <c r="AA3898" s="2021"/>
      <c r="AB3898" s="1050"/>
      <c r="AC3898" s="1050"/>
      <c r="AD3898" s="1050"/>
      <c r="AE3898" s="1050"/>
      <c r="AF3898" s="1052"/>
    </row>
    <row r="3899" spans="1:32" ht="15.75" x14ac:dyDescent="0.25">
      <c r="A3899" s="2017"/>
      <c r="B3899" s="2018"/>
      <c r="C3899" s="2018"/>
      <c r="D3899" s="2018"/>
      <c r="E3899" s="2018"/>
      <c r="F3899" s="2018"/>
      <c r="G3899" s="2018"/>
      <c r="H3899" s="2018"/>
      <c r="I3899" s="2018"/>
      <c r="J3899" s="2018"/>
      <c r="K3899" s="2018"/>
      <c r="L3899" s="2018"/>
      <c r="M3899" s="2018"/>
      <c r="N3899" s="2018"/>
      <c r="O3899" s="2018"/>
      <c r="P3899" s="2018"/>
      <c r="Q3899" s="2018"/>
      <c r="R3899" s="2018"/>
      <c r="S3899" s="2018"/>
      <c r="T3899" s="2018"/>
      <c r="U3899" s="2018"/>
      <c r="V3899" s="2018"/>
      <c r="W3899" s="2018"/>
      <c r="X3899" s="2018"/>
      <c r="Y3899" s="2018"/>
      <c r="Z3899" s="2021"/>
      <c r="AA3899" s="2021"/>
      <c r="AB3899" s="1050"/>
      <c r="AC3899" s="1050"/>
      <c r="AD3899" s="1050"/>
      <c r="AE3899" s="1050"/>
      <c r="AF3899" s="1052"/>
    </row>
    <row r="3900" spans="1:32" ht="15.75" x14ac:dyDescent="0.25">
      <c r="A3900" s="2017"/>
      <c r="B3900" s="2018"/>
      <c r="C3900" s="2018"/>
      <c r="D3900" s="2018"/>
      <c r="E3900" s="2018"/>
      <c r="F3900" s="2018"/>
      <c r="G3900" s="2018"/>
      <c r="H3900" s="2018"/>
      <c r="I3900" s="2018"/>
      <c r="J3900" s="2018"/>
      <c r="K3900" s="2018"/>
      <c r="L3900" s="2018"/>
      <c r="M3900" s="2018"/>
      <c r="N3900" s="2018"/>
      <c r="O3900" s="2018"/>
      <c r="P3900" s="2018"/>
      <c r="Q3900" s="2018"/>
      <c r="R3900" s="2018"/>
      <c r="S3900" s="2018"/>
      <c r="T3900" s="2018"/>
      <c r="U3900" s="2018"/>
      <c r="V3900" s="2018"/>
      <c r="W3900" s="2018"/>
      <c r="X3900" s="2018"/>
      <c r="Y3900" s="2018"/>
      <c r="Z3900" s="2021"/>
      <c r="AA3900" s="2021"/>
      <c r="AB3900" s="1050"/>
      <c r="AC3900" s="1050"/>
      <c r="AD3900" s="1050"/>
      <c r="AE3900" s="1050"/>
      <c r="AF3900" s="1052"/>
    </row>
    <row r="3901" spans="1:32" ht="15.75" x14ac:dyDescent="0.25">
      <c r="A3901" s="2017"/>
      <c r="B3901" s="2018"/>
      <c r="C3901" s="2018"/>
      <c r="D3901" s="2018"/>
      <c r="E3901" s="2018"/>
      <c r="F3901" s="2018"/>
      <c r="G3901" s="2018"/>
      <c r="H3901" s="2018"/>
      <c r="I3901" s="2018"/>
      <c r="J3901" s="2018"/>
      <c r="K3901" s="2018"/>
      <c r="L3901" s="2018"/>
      <c r="M3901" s="2018"/>
      <c r="N3901" s="2018"/>
      <c r="O3901" s="2018"/>
      <c r="P3901" s="2018"/>
      <c r="Q3901" s="2018"/>
      <c r="R3901" s="2018"/>
      <c r="S3901" s="2018"/>
      <c r="T3901" s="2018"/>
      <c r="U3901" s="2018"/>
      <c r="V3901" s="2018"/>
      <c r="W3901" s="2018"/>
      <c r="X3901" s="2018"/>
      <c r="Y3901" s="2018"/>
      <c r="Z3901" s="2021"/>
      <c r="AA3901" s="2021"/>
      <c r="AB3901" s="1050"/>
      <c r="AC3901" s="1050"/>
      <c r="AD3901" s="1050"/>
      <c r="AE3901" s="1050"/>
      <c r="AF3901" s="1052"/>
    </row>
    <row r="3902" spans="1:32" ht="15.75" x14ac:dyDescent="0.25">
      <c r="A3902" s="2017"/>
      <c r="B3902" s="2018"/>
      <c r="C3902" s="2018"/>
      <c r="D3902" s="2018"/>
      <c r="E3902" s="2018"/>
      <c r="F3902" s="2018"/>
      <c r="G3902" s="2018"/>
      <c r="H3902" s="2018"/>
      <c r="I3902" s="2018"/>
      <c r="J3902" s="2018"/>
      <c r="K3902" s="2018"/>
      <c r="L3902" s="2018"/>
      <c r="M3902" s="2018"/>
      <c r="N3902" s="2018"/>
      <c r="O3902" s="2018"/>
      <c r="P3902" s="2018"/>
      <c r="Q3902" s="2018"/>
      <c r="R3902" s="2018"/>
      <c r="S3902" s="2018"/>
      <c r="T3902" s="2018"/>
      <c r="U3902" s="2018"/>
      <c r="V3902" s="2018"/>
      <c r="W3902" s="2018"/>
      <c r="X3902" s="2018"/>
      <c r="Y3902" s="2018"/>
      <c r="Z3902" s="2021"/>
      <c r="AA3902" s="2021"/>
      <c r="AB3902" s="1050"/>
      <c r="AC3902" s="1050"/>
      <c r="AD3902" s="1050"/>
      <c r="AE3902" s="1050"/>
      <c r="AF3902" s="1052"/>
    </row>
    <row r="3903" spans="1:32" ht="15.75" x14ac:dyDescent="0.25">
      <c r="A3903" s="2017"/>
      <c r="B3903" s="2018"/>
      <c r="C3903" s="2018"/>
      <c r="D3903" s="2018"/>
      <c r="E3903" s="2018"/>
      <c r="F3903" s="2018"/>
      <c r="G3903" s="2018"/>
      <c r="H3903" s="2018"/>
      <c r="I3903" s="2018"/>
      <c r="J3903" s="2018"/>
      <c r="K3903" s="2018"/>
      <c r="L3903" s="2018"/>
      <c r="M3903" s="2018"/>
      <c r="N3903" s="2018"/>
      <c r="O3903" s="2018"/>
      <c r="P3903" s="2018"/>
      <c r="Q3903" s="2018"/>
      <c r="R3903" s="2018"/>
      <c r="S3903" s="2018"/>
      <c r="T3903" s="2018"/>
      <c r="U3903" s="2018"/>
      <c r="V3903" s="2018"/>
      <c r="W3903" s="2018"/>
      <c r="X3903" s="2018"/>
      <c r="Y3903" s="2018"/>
      <c r="Z3903" s="2022"/>
      <c r="AA3903" s="2022"/>
      <c r="AB3903" s="1050"/>
      <c r="AC3903" s="1050"/>
      <c r="AD3903" s="1050"/>
      <c r="AE3903" s="1050"/>
      <c r="AF3903" s="1052"/>
    </row>
    <row r="3904" spans="1:32" ht="15.75" x14ac:dyDescent="0.25">
      <c r="A3904" s="2017"/>
      <c r="B3904" s="2018"/>
      <c r="C3904" s="2018"/>
      <c r="D3904" s="2018"/>
      <c r="E3904" s="2018"/>
      <c r="F3904" s="2018"/>
      <c r="G3904" s="2018"/>
      <c r="H3904" s="2018"/>
      <c r="I3904" s="2018"/>
      <c r="J3904" s="2018"/>
      <c r="K3904" s="2018"/>
      <c r="L3904" s="2018"/>
      <c r="M3904" s="2018"/>
      <c r="N3904" s="2018"/>
      <c r="O3904" s="2018"/>
      <c r="P3904" s="2018"/>
      <c r="Q3904" s="2018"/>
      <c r="R3904" s="2018"/>
      <c r="S3904" s="2018"/>
      <c r="T3904" s="2018"/>
      <c r="U3904" s="2018"/>
      <c r="V3904" s="2018"/>
      <c r="W3904" s="2018"/>
      <c r="X3904" s="2018"/>
      <c r="Y3904" s="2018"/>
      <c r="Z3904" s="2022"/>
      <c r="AA3904" s="2022"/>
      <c r="AB3904" s="1050"/>
      <c r="AC3904" s="1050"/>
      <c r="AD3904" s="1050"/>
      <c r="AE3904" s="1050"/>
      <c r="AF3904" s="1052"/>
    </row>
    <row r="3905" spans="1:32" ht="15.75" x14ac:dyDescent="0.25">
      <c r="A3905" s="2017"/>
      <c r="B3905" s="2018"/>
      <c r="C3905" s="2018"/>
      <c r="D3905" s="2018"/>
      <c r="E3905" s="2018"/>
      <c r="F3905" s="2018"/>
      <c r="G3905" s="2018"/>
      <c r="H3905" s="2018"/>
      <c r="I3905" s="2018"/>
      <c r="J3905" s="2018"/>
      <c r="K3905" s="2018"/>
      <c r="L3905" s="2018"/>
      <c r="M3905" s="2018"/>
      <c r="N3905" s="2018"/>
      <c r="O3905" s="2018"/>
      <c r="P3905" s="2018"/>
      <c r="Q3905" s="2018"/>
      <c r="R3905" s="2018"/>
      <c r="S3905" s="2018"/>
      <c r="T3905" s="2018"/>
      <c r="U3905" s="2018"/>
      <c r="V3905" s="2018"/>
      <c r="W3905" s="2018"/>
      <c r="X3905" s="2018"/>
      <c r="Y3905" s="2018"/>
      <c r="Z3905" s="2022"/>
      <c r="AA3905" s="2022"/>
      <c r="AB3905" s="1050"/>
      <c r="AC3905" s="1050"/>
      <c r="AD3905" s="1050"/>
      <c r="AE3905" s="1050"/>
      <c r="AF3905" s="1052"/>
    </row>
    <row r="3906" spans="1:32" ht="15.75" x14ac:dyDescent="0.25">
      <c r="A3906" s="2017"/>
      <c r="B3906" s="2018"/>
      <c r="C3906" s="2018"/>
      <c r="D3906" s="2018"/>
      <c r="E3906" s="2018"/>
      <c r="F3906" s="2018"/>
      <c r="G3906" s="2018"/>
      <c r="H3906" s="2018"/>
      <c r="I3906" s="2018"/>
      <c r="J3906" s="2018"/>
      <c r="K3906" s="2018"/>
      <c r="L3906" s="2018"/>
      <c r="M3906" s="2018"/>
      <c r="N3906" s="2018"/>
      <c r="O3906" s="2018"/>
      <c r="P3906" s="2018"/>
      <c r="Q3906" s="2018"/>
      <c r="R3906" s="2018"/>
      <c r="S3906" s="2018"/>
      <c r="T3906" s="2018"/>
      <c r="U3906" s="2018"/>
      <c r="V3906" s="2018"/>
      <c r="W3906" s="2018"/>
      <c r="X3906" s="2018"/>
      <c r="Y3906" s="2018"/>
      <c r="Z3906" s="2023"/>
      <c r="AA3906" s="2023"/>
      <c r="AB3906" s="1050"/>
      <c r="AC3906" s="1050"/>
      <c r="AD3906" s="1050"/>
      <c r="AE3906" s="1050"/>
      <c r="AF3906" s="1052"/>
    </row>
    <row r="3907" spans="1:32" ht="15.75" x14ac:dyDescent="0.25">
      <c r="A3907" s="2017"/>
      <c r="B3907" s="2018"/>
      <c r="C3907" s="2018"/>
      <c r="D3907" s="2018"/>
      <c r="E3907" s="2018"/>
      <c r="F3907" s="2018"/>
      <c r="G3907" s="2018"/>
      <c r="H3907" s="2018"/>
      <c r="I3907" s="2018"/>
      <c r="J3907" s="2018"/>
      <c r="K3907" s="2018"/>
      <c r="L3907" s="2018"/>
      <c r="M3907" s="2018"/>
      <c r="N3907" s="2018"/>
      <c r="O3907" s="2018"/>
      <c r="P3907" s="2018"/>
      <c r="Q3907" s="2018"/>
      <c r="R3907" s="2018"/>
      <c r="S3907" s="2018"/>
      <c r="T3907" s="2018"/>
      <c r="U3907" s="2018"/>
      <c r="V3907" s="2018"/>
      <c r="W3907" s="2018"/>
      <c r="X3907" s="2018"/>
      <c r="Y3907" s="2018"/>
      <c r="Z3907" s="2023"/>
      <c r="AA3907" s="2023"/>
      <c r="AB3907" s="1050"/>
      <c r="AC3907" s="1050"/>
      <c r="AD3907" s="1050"/>
      <c r="AE3907" s="1050"/>
      <c r="AF3907" s="1052"/>
    </row>
    <row r="3908" spans="1:32" ht="15.75" x14ac:dyDescent="0.25">
      <c r="A3908" s="2017"/>
      <c r="B3908" s="2018"/>
      <c r="C3908" s="2018"/>
      <c r="D3908" s="2018"/>
      <c r="E3908" s="2018"/>
      <c r="F3908" s="2018"/>
      <c r="G3908" s="2018"/>
      <c r="H3908" s="2018"/>
      <c r="I3908" s="2018"/>
      <c r="J3908" s="2018"/>
      <c r="K3908" s="2018"/>
      <c r="L3908" s="2018"/>
      <c r="M3908" s="2018"/>
      <c r="N3908" s="2018"/>
      <c r="O3908" s="2018"/>
      <c r="P3908" s="2018"/>
      <c r="Q3908" s="2018"/>
      <c r="R3908" s="2018"/>
      <c r="S3908" s="2018"/>
      <c r="T3908" s="2018"/>
      <c r="U3908" s="2018"/>
      <c r="V3908" s="2018"/>
      <c r="W3908" s="2018"/>
      <c r="X3908" s="2018"/>
      <c r="Y3908" s="2018"/>
      <c r="Z3908" s="2023"/>
      <c r="AA3908" s="2023"/>
      <c r="AB3908" s="1050"/>
      <c r="AC3908" s="1050"/>
      <c r="AD3908" s="1050"/>
      <c r="AE3908" s="1050"/>
      <c r="AF3908" s="1052"/>
    </row>
    <row r="3909" spans="1:32" ht="15.75" x14ac:dyDescent="0.25">
      <c r="A3909" s="2017"/>
      <c r="B3909" s="2018"/>
      <c r="C3909" s="2018"/>
      <c r="D3909" s="2018"/>
      <c r="E3909" s="2018"/>
      <c r="F3909" s="2018"/>
      <c r="G3909" s="2018"/>
      <c r="H3909" s="2018"/>
      <c r="I3909" s="2018"/>
      <c r="J3909" s="2018"/>
      <c r="K3909" s="2018"/>
      <c r="L3909" s="2018"/>
      <c r="M3909" s="2018"/>
      <c r="N3909" s="2018"/>
      <c r="O3909" s="2018"/>
      <c r="P3909" s="2018"/>
      <c r="Q3909" s="2018"/>
      <c r="R3909" s="2018"/>
      <c r="S3909" s="2018"/>
      <c r="T3909" s="2018"/>
      <c r="U3909" s="2018"/>
      <c r="V3909" s="2018"/>
      <c r="W3909" s="2018"/>
      <c r="X3909" s="2018"/>
      <c r="Y3909" s="2018"/>
      <c r="Z3909" s="2023"/>
      <c r="AA3909" s="2023"/>
      <c r="AB3909" s="1050"/>
      <c r="AC3909" s="1050"/>
      <c r="AD3909" s="1050"/>
      <c r="AE3909" s="1050"/>
      <c r="AF3909" s="1052"/>
    </row>
    <row r="3910" spans="1:32" ht="15.75" x14ac:dyDescent="0.25">
      <c r="A3910" s="2017"/>
      <c r="B3910" s="2018"/>
      <c r="C3910" s="2018"/>
      <c r="D3910" s="2018"/>
      <c r="E3910" s="2018"/>
      <c r="F3910" s="2018"/>
      <c r="G3910" s="2018"/>
      <c r="H3910" s="2018"/>
      <c r="I3910" s="2018"/>
      <c r="J3910" s="2018"/>
      <c r="K3910" s="2018"/>
      <c r="L3910" s="2018"/>
      <c r="M3910" s="2018"/>
      <c r="N3910" s="2018"/>
      <c r="O3910" s="2018"/>
      <c r="P3910" s="2018"/>
      <c r="Q3910" s="2018"/>
      <c r="R3910" s="2018"/>
      <c r="S3910" s="2018"/>
      <c r="T3910" s="2018"/>
      <c r="U3910" s="2018"/>
      <c r="V3910" s="2018"/>
      <c r="W3910" s="2018"/>
      <c r="X3910" s="2018"/>
      <c r="Y3910" s="2018"/>
      <c r="Z3910" s="2023"/>
      <c r="AA3910" s="2023"/>
      <c r="AB3910" s="1050"/>
      <c r="AC3910" s="1050"/>
      <c r="AD3910" s="1050"/>
      <c r="AE3910" s="1050"/>
      <c r="AF3910" s="1052"/>
    </row>
    <row r="3911" spans="1:32" ht="15.75" x14ac:dyDescent="0.25">
      <c r="A3911" s="2017"/>
      <c r="B3911" s="2018"/>
      <c r="C3911" s="2018"/>
      <c r="D3911" s="2018"/>
      <c r="E3911" s="2018"/>
      <c r="F3911" s="2018"/>
      <c r="G3911" s="2018"/>
      <c r="H3911" s="2018"/>
      <c r="I3911" s="2018"/>
      <c r="J3911" s="2018"/>
      <c r="K3911" s="2018"/>
      <c r="L3911" s="2018"/>
      <c r="M3911" s="2018"/>
      <c r="N3911" s="2018"/>
      <c r="O3911" s="2018"/>
      <c r="P3911" s="2018"/>
      <c r="Q3911" s="2018"/>
      <c r="R3911" s="2018"/>
      <c r="S3911" s="2018"/>
      <c r="T3911" s="2018"/>
      <c r="U3911" s="2018"/>
      <c r="V3911" s="2018"/>
      <c r="W3911" s="2018"/>
      <c r="X3911" s="2018"/>
      <c r="Y3911" s="2018"/>
      <c r="Z3911" s="2023"/>
      <c r="AA3911" s="2023"/>
      <c r="AB3911" s="1050"/>
      <c r="AC3911" s="1050"/>
      <c r="AD3911" s="1050"/>
      <c r="AE3911" s="1050"/>
      <c r="AF3911" s="1052"/>
    </row>
    <row r="3912" spans="1:32" ht="16.5" thickBot="1" x14ac:dyDescent="0.3">
      <c r="A3912" s="2019"/>
      <c r="B3912" s="2020"/>
      <c r="C3912" s="2020"/>
      <c r="D3912" s="2020"/>
      <c r="E3912" s="2020"/>
      <c r="F3912" s="2020"/>
      <c r="G3912" s="2020"/>
      <c r="H3912" s="2020"/>
      <c r="I3912" s="2020"/>
      <c r="J3912" s="2020"/>
      <c r="K3912" s="2020"/>
      <c r="L3912" s="2020"/>
      <c r="M3912" s="2020"/>
      <c r="N3912" s="2020"/>
      <c r="O3912" s="2020"/>
      <c r="P3912" s="2020"/>
      <c r="Q3912" s="2020"/>
      <c r="R3912" s="2020"/>
      <c r="S3912" s="2020"/>
      <c r="T3912" s="2020"/>
      <c r="U3912" s="2020"/>
      <c r="V3912" s="2020"/>
      <c r="W3912" s="2020"/>
      <c r="X3912" s="2020"/>
      <c r="Y3912" s="2020"/>
      <c r="Z3912" s="2024"/>
      <c r="AA3912" s="2024"/>
      <c r="AB3912" s="1057"/>
      <c r="AC3912" s="1057"/>
      <c r="AD3912" s="1057"/>
      <c r="AE3912" s="1057"/>
      <c r="AF3912" s="1058"/>
    </row>
    <row r="3913" spans="1:32" ht="15.75" x14ac:dyDescent="0.25">
      <c r="A3913" s="2009" t="s">
        <v>2486</v>
      </c>
      <c r="B3913" s="2010"/>
      <c r="C3913" s="2010"/>
      <c r="D3913" s="2010"/>
      <c r="E3913" s="2010"/>
      <c r="F3913" s="2010"/>
      <c r="G3913" s="2010"/>
      <c r="H3913" s="2010"/>
      <c r="I3913" s="2010"/>
      <c r="J3913" s="2010"/>
      <c r="K3913" s="2010"/>
      <c r="L3913" s="2010"/>
      <c r="M3913" s="2010"/>
      <c r="N3913" s="2010"/>
      <c r="O3913" s="2010"/>
      <c r="P3913" s="2010"/>
      <c r="Q3913" s="2010"/>
      <c r="R3913" s="2010"/>
      <c r="S3913" s="2010"/>
      <c r="T3913" s="2010"/>
      <c r="U3913" s="2010"/>
      <c r="V3913" s="2010"/>
      <c r="W3913" s="2010"/>
      <c r="X3913" s="2010"/>
      <c r="Y3913" s="2010"/>
      <c r="Z3913" s="2013" t="s">
        <v>1850</v>
      </c>
      <c r="AA3913" s="2013"/>
      <c r="AB3913" s="2013"/>
      <c r="AC3913" s="2013"/>
      <c r="AD3913" s="2013"/>
      <c r="AE3913" s="2013"/>
      <c r="AF3913" s="1059">
        <f>SUM(AF3889:AF3912)</f>
        <v>66.39</v>
      </c>
    </row>
    <row r="3914" spans="1:32" ht="15.75" x14ac:dyDescent="0.25">
      <c r="A3914" s="2011"/>
      <c r="B3914" s="2012"/>
      <c r="C3914" s="2012"/>
      <c r="D3914" s="2012"/>
      <c r="E3914" s="2012"/>
      <c r="F3914" s="2012"/>
      <c r="G3914" s="2012"/>
      <c r="H3914" s="2012"/>
      <c r="I3914" s="2012"/>
      <c r="J3914" s="2012"/>
      <c r="K3914" s="2012"/>
      <c r="L3914" s="2012"/>
      <c r="M3914" s="2012"/>
      <c r="N3914" s="2012"/>
      <c r="O3914" s="2012"/>
      <c r="P3914" s="2012"/>
      <c r="Q3914" s="2012"/>
      <c r="R3914" s="2012"/>
      <c r="S3914" s="2012"/>
      <c r="T3914" s="2012"/>
      <c r="U3914" s="2012"/>
      <c r="V3914" s="2012"/>
      <c r="W3914" s="2012"/>
      <c r="X3914" s="2012"/>
      <c r="Y3914" s="2012"/>
      <c r="Z3914" s="2014" t="s">
        <v>1851</v>
      </c>
      <c r="AA3914" s="2014"/>
      <c r="AB3914" s="2014"/>
      <c r="AC3914" s="2014"/>
      <c r="AD3914" s="2014"/>
      <c r="AE3914" s="2014"/>
      <c r="AF3914" s="1060">
        <v>0</v>
      </c>
    </row>
    <row r="3915" spans="1:32" ht="15.75" x14ac:dyDescent="0.25">
      <c r="A3915" s="2011"/>
      <c r="B3915" s="2012"/>
      <c r="C3915" s="2012"/>
      <c r="D3915" s="2012"/>
      <c r="E3915" s="2012"/>
      <c r="F3915" s="2012"/>
      <c r="G3915" s="2012"/>
      <c r="H3915" s="2012"/>
      <c r="I3915" s="2012"/>
      <c r="J3915" s="2012"/>
      <c r="K3915" s="2012"/>
      <c r="L3915" s="2012"/>
      <c r="M3915" s="2012"/>
      <c r="N3915" s="2012"/>
      <c r="O3915" s="2012"/>
      <c r="P3915" s="2012"/>
      <c r="Q3915" s="2012"/>
      <c r="R3915" s="2012"/>
      <c r="S3915" s="2012"/>
      <c r="T3915" s="2012"/>
      <c r="U3915" s="2012"/>
      <c r="V3915" s="2012"/>
      <c r="W3915" s="2012"/>
      <c r="X3915" s="2012"/>
      <c r="Y3915" s="2012"/>
      <c r="Z3915" s="2015" t="s">
        <v>1833</v>
      </c>
      <c r="AA3915" s="2015"/>
      <c r="AB3915" s="2015"/>
      <c r="AC3915" s="2015"/>
      <c r="AD3915" s="2015"/>
      <c r="AE3915" s="2015"/>
      <c r="AF3915" s="1061">
        <f>SUM(AF3913:AF3914)</f>
        <v>66.39</v>
      </c>
    </row>
    <row r="3916" spans="1:32" x14ac:dyDescent="0.2">
      <c r="A3916" s="2012" t="s">
        <v>1859</v>
      </c>
      <c r="B3916" s="2012"/>
      <c r="C3916" s="2012"/>
      <c r="D3916" s="2012"/>
      <c r="E3916" s="2012"/>
      <c r="F3916" s="2012"/>
      <c r="G3916" s="2012"/>
      <c r="H3916" s="2012"/>
      <c r="I3916" s="2012"/>
      <c r="J3916" s="2012"/>
      <c r="K3916" s="2012"/>
      <c r="L3916" s="2012"/>
      <c r="M3916" s="2012"/>
      <c r="N3916" s="2012"/>
      <c r="O3916" s="2012"/>
      <c r="P3916" s="2012"/>
      <c r="Q3916" s="2012"/>
      <c r="R3916" s="2012"/>
      <c r="S3916" s="2012"/>
      <c r="T3916" s="2016" t="s">
        <v>1840</v>
      </c>
      <c r="U3916" s="2016"/>
      <c r="V3916" s="2016"/>
      <c r="W3916" s="2016"/>
      <c r="X3916" s="2016"/>
      <c r="Y3916" s="2016"/>
      <c r="Z3916" s="2016"/>
      <c r="AA3916" s="2016"/>
      <c r="AB3916" s="2012" t="s">
        <v>1852</v>
      </c>
      <c r="AC3916" s="2012"/>
      <c r="AD3916" s="2012"/>
      <c r="AE3916" s="2012"/>
      <c r="AF3916" s="2012"/>
    </row>
    <row r="3917" spans="1:32" x14ac:dyDescent="0.2">
      <c r="A3917" s="2012"/>
      <c r="B3917" s="2012"/>
      <c r="C3917" s="2012"/>
      <c r="D3917" s="2012"/>
      <c r="E3917" s="2012"/>
      <c r="F3917" s="2012"/>
      <c r="G3917" s="2012"/>
      <c r="H3917" s="2012"/>
      <c r="I3917" s="2012"/>
      <c r="J3917" s="2012"/>
      <c r="K3917" s="2012"/>
      <c r="L3917" s="2012"/>
      <c r="M3917" s="2012"/>
      <c r="N3917" s="2012"/>
      <c r="O3917" s="2012"/>
      <c r="P3917" s="2012"/>
      <c r="Q3917" s="2012"/>
      <c r="R3917" s="2012"/>
      <c r="S3917" s="2012"/>
      <c r="T3917" s="2016"/>
      <c r="U3917" s="2016"/>
      <c r="V3917" s="2016"/>
      <c r="W3917" s="2016"/>
      <c r="X3917" s="2016"/>
      <c r="Y3917" s="2016"/>
      <c r="Z3917" s="2016"/>
      <c r="AA3917" s="2016"/>
      <c r="AB3917" s="2012"/>
      <c r="AC3917" s="2012"/>
      <c r="AD3917" s="2012"/>
      <c r="AE3917" s="2012"/>
      <c r="AF3917" s="2012"/>
    </row>
    <row r="3918" spans="1:32" ht="13.5" thickBot="1" x14ac:dyDescent="0.25"/>
    <row r="3919" spans="1:32" ht="26.45" customHeight="1" x14ac:dyDescent="0.2">
      <c r="A3919" s="2025" t="s">
        <v>1854</v>
      </c>
      <c r="B3919" s="2026"/>
      <c r="C3919" s="2026"/>
      <c r="D3919" s="2026"/>
      <c r="E3919" s="2026"/>
      <c r="F3919" s="2026"/>
      <c r="G3919" s="2026"/>
      <c r="H3919" s="2026"/>
      <c r="I3919" s="2026"/>
      <c r="J3919" s="2026"/>
      <c r="K3919" s="2026"/>
      <c r="L3919" s="2026"/>
      <c r="M3919" s="2026"/>
      <c r="N3919" s="2026"/>
      <c r="O3919" s="2026"/>
      <c r="P3919" s="2026"/>
      <c r="Q3919" s="2026"/>
      <c r="R3919" s="2026"/>
      <c r="S3919" s="2026"/>
      <c r="T3919" s="2026"/>
      <c r="U3919" s="2026"/>
      <c r="V3919" s="2026"/>
      <c r="W3919" s="2026"/>
      <c r="X3919" s="2026"/>
      <c r="Y3919" s="2026"/>
      <c r="Z3919" s="2026"/>
      <c r="AA3919" s="2026"/>
      <c r="AB3919" s="2026"/>
      <c r="AC3919" s="2026"/>
      <c r="AD3919" s="2026"/>
      <c r="AE3919" s="1041" t="s">
        <v>1834</v>
      </c>
      <c r="AF3919" s="1042" t="s">
        <v>1835</v>
      </c>
    </row>
    <row r="3920" spans="1:32" ht="21" customHeight="1" thickBot="1" x14ac:dyDescent="0.25">
      <c r="A3920" s="2027"/>
      <c r="B3920" s="2028"/>
      <c r="C3920" s="2028"/>
      <c r="D3920" s="2028"/>
      <c r="E3920" s="2028"/>
      <c r="F3920" s="2028"/>
      <c r="G3920" s="2028"/>
      <c r="H3920" s="2028"/>
      <c r="I3920" s="2028"/>
      <c r="J3920" s="2028"/>
      <c r="K3920" s="2028"/>
      <c r="L3920" s="2028"/>
      <c r="M3920" s="2028"/>
      <c r="N3920" s="2028"/>
      <c r="O3920" s="2028"/>
      <c r="P3920" s="2028"/>
      <c r="Q3920" s="2028"/>
      <c r="R3920" s="2028"/>
      <c r="S3920" s="2028"/>
      <c r="T3920" s="2028"/>
      <c r="U3920" s="2028"/>
      <c r="V3920" s="2028"/>
      <c r="W3920" s="2028"/>
      <c r="X3920" s="2028"/>
      <c r="Y3920" s="2028"/>
      <c r="Z3920" s="2028"/>
      <c r="AA3920" s="2028"/>
      <c r="AB3920" s="2028"/>
      <c r="AC3920" s="2028"/>
      <c r="AD3920" s="2028"/>
      <c r="AE3920" s="1041" t="s">
        <v>1836</v>
      </c>
      <c r="AF3920" s="1044">
        <v>1</v>
      </c>
    </row>
    <row r="3921" spans="1:32" ht="15.75" x14ac:dyDescent="0.2">
      <c r="A3921" s="2029"/>
      <c r="B3921" s="2030"/>
      <c r="C3921" s="2030"/>
      <c r="D3921" s="2031"/>
      <c r="E3921" s="2025" t="str">
        <f>'01'!$A$12</f>
        <v>"CONSTRUCCION SISTEMA DE ACUEDUCTO FASE II DEL MUNICIPIO DE TESALIA DPTO DEL HUILA"</v>
      </c>
      <c r="F3921" s="2026"/>
      <c r="G3921" s="2026"/>
      <c r="H3921" s="2026"/>
      <c r="I3921" s="2026"/>
      <c r="J3921" s="2026"/>
      <c r="K3921" s="2026"/>
      <c r="L3921" s="2026"/>
      <c r="M3921" s="2026"/>
      <c r="N3921" s="2026"/>
      <c r="O3921" s="2026"/>
      <c r="P3921" s="2026"/>
      <c r="Q3921" s="2026"/>
      <c r="R3921" s="2026"/>
      <c r="S3921" s="2026"/>
      <c r="T3921" s="2026"/>
      <c r="U3921" s="2026"/>
      <c r="V3921" s="2026"/>
      <c r="W3921" s="2026"/>
      <c r="X3921" s="2026"/>
      <c r="Y3921" s="2026"/>
      <c r="Z3921" s="2026"/>
      <c r="AA3921" s="2026"/>
      <c r="AB3921" s="2026"/>
      <c r="AC3921" s="2026"/>
      <c r="AD3921" s="2035"/>
      <c r="AE3921" s="1041" t="s">
        <v>847</v>
      </c>
      <c r="AF3921" s="1045">
        <f>'01'!$M$13</f>
        <v>0</v>
      </c>
    </row>
    <row r="3922" spans="1:32" ht="16.5" thickBot="1" x14ac:dyDescent="0.25">
      <c r="A3922" s="2032"/>
      <c r="B3922" s="2033"/>
      <c r="C3922" s="2033"/>
      <c r="D3922" s="2034"/>
      <c r="E3922" s="2027"/>
      <c r="F3922" s="2028"/>
      <c r="G3922" s="2028"/>
      <c r="H3922" s="2028"/>
      <c r="I3922" s="2028"/>
      <c r="J3922" s="2028"/>
      <c r="K3922" s="2028"/>
      <c r="L3922" s="2028"/>
      <c r="M3922" s="2028"/>
      <c r="N3922" s="2028"/>
      <c r="O3922" s="2028"/>
      <c r="P3922" s="2028"/>
      <c r="Q3922" s="2028"/>
      <c r="R3922" s="2028"/>
      <c r="S3922" s="2028"/>
      <c r="T3922" s="2028"/>
      <c r="U3922" s="2028"/>
      <c r="V3922" s="2028"/>
      <c r="W3922" s="2028"/>
      <c r="X3922" s="2028"/>
      <c r="Y3922" s="2028"/>
      <c r="Z3922" s="2028"/>
      <c r="AA3922" s="2028"/>
      <c r="AB3922" s="2028"/>
      <c r="AC3922" s="2028"/>
      <c r="AD3922" s="2036"/>
      <c r="AE3922" s="1041" t="s">
        <v>1837</v>
      </c>
      <c r="AF3922" s="1042" t="s">
        <v>1838</v>
      </c>
    </row>
    <row r="3923" spans="1:32" ht="15.75" x14ac:dyDescent="0.25">
      <c r="A3923" s="2037" t="s">
        <v>1860</v>
      </c>
      <c r="B3923" s="2038"/>
      <c r="C3923" s="2038"/>
      <c r="D3923" s="2038"/>
      <c r="E3923" s="2038"/>
      <c r="F3923" s="2038"/>
      <c r="G3923" s="2038"/>
      <c r="H3923" s="2038"/>
      <c r="I3923" s="2038"/>
      <c r="J3923" s="2038"/>
      <c r="K3923" s="2038"/>
      <c r="L3923" s="2038"/>
      <c r="M3923" s="2038"/>
      <c r="N3923" s="2038"/>
      <c r="O3923" s="2038"/>
      <c r="P3923" s="2038"/>
      <c r="Q3923" s="2038"/>
      <c r="R3923" s="2038"/>
      <c r="S3923" s="2038"/>
      <c r="T3923" s="2038"/>
      <c r="U3923" s="2038"/>
      <c r="V3923" s="2038"/>
      <c r="W3923" s="2038"/>
      <c r="X3923" s="2038"/>
      <c r="Y3923" s="2038"/>
      <c r="Z3923" s="2038"/>
      <c r="AA3923" s="2038"/>
      <c r="AB3923" s="2038"/>
      <c r="AC3923" s="2038"/>
      <c r="AD3923" s="2038"/>
      <c r="AE3923" s="2039" t="s">
        <v>1839</v>
      </c>
      <c r="AF3923" s="2040"/>
    </row>
    <row r="3924" spans="1:32" ht="15.75" x14ac:dyDescent="0.25">
      <c r="A3924" s="2041" t="s">
        <v>1840</v>
      </c>
      <c r="B3924" s="2042"/>
      <c r="C3924" s="2042"/>
      <c r="D3924" s="2042"/>
      <c r="E3924" s="2042"/>
      <c r="F3924" s="2042"/>
      <c r="G3924" s="2042"/>
      <c r="H3924" s="2042"/>
      <c r="I3924" s="2042"/>
      <c r="J3924" s="2042"/>
      <c r="K3924" s="2042"/>
      <c r="L3924" s="2042"/>
      <c r="M3924" s="2042"/>
      <c r="N3924" s="2042"/>
      <c r="O3924" s="2042"/>
      <c r="P3924" s="2042"/>
      <c r="Q3924" s="2042"/>
      <c r="R3924" s="2042"/>
      <c r="S3924" s="2042"/>
      <c r="T3924" s="2042"/>
      <c r="U3924" s="2042"/>
      <c r="V3924" s="2042"/>
      <c r="W3924" s="2042"/>
      <c r="X3924" s="2042"/>
      <c r="Y3924" s="2042"/>
      <c r="Z3924" s="2042"/>
      <c r="AA3924" s="2042"/>
      <c r="AB3924" s="2042"/>
      <c r="AC3924" s="2042"/>
      <c r="AD3924" s="2043"/>
      <c r="AE3924" s="2014" t="s">
        <v>1841</v>
      </c>
      <c r="AF3924" s="2044"/>
    </row>
    <row r="3925" spans="1:32" ht="15.75" x14ac:dyDescent="0.25">
      <c r="A3925" s="2045" t="s">
        <v>1853</v>
      </c>
      <c r="B3925" s="2046"/>
      <c r="C3925" s="2046"/>
      <c r="D3925" s="2046"/>
      <c r="E3925" s="2046"/>
      <c r="F3925" s="2046"/>
      <c r="G3925" s="2046"/>
      <c r="H3925" s="2046"/>
      <c r="I3925" s="2046"/>
      <c r="J3925" s="2046"/>
      <c r="K3925" s="2046"/>
      <c r="L3925" s="2046"/>
      <c r="M3925" s="2046"/>
      <c r="N3925" s="2046"/>
      <c r="O3925" s="2046"/>
      <c r="P3925" s="2046"/>
      <c r="Q3925" s="2046"/>
      <c r="R3925" s="2046"/>
      <c r="S3925" s="2046"/>
      <c r="T3925" s="2046"/>
      <c r="U3925" s="2046"/>
      <c r="V3925" s="2046"/>
      <c r="W3925" s="2046"/>
      <c r="X3925" s="2046"/>
      <c r="Y3925" s="2046"/>
      <c r="Z3925" s="2046"/>
      <c r="AA3925" s="2046"/>
      <c r="AB3925" s="2046"/>
      <c r="AC3925" s="2046"/>
      <c r="AD3925" s="2046"/>
      <c r="AE3925" s="2047">
        <f>'01'!$M$13</f>
        <v>0</v>
      </c>
      <c r="AF3925" s="2044"/>
    </row>
    <row r="3926" spans="1:32" x14ac:dyDescent="0.2">
      <c r="A3926" s="1046"/>
      <c r="B3926" s="1047"/>
      <c r="C3926" s="1047"/>
      <c r="D3926" s="1047"/>
      <c r="E3926" s="1047"/>
      <c r="F3926" s="1047"/>
      <c r="G3926" s="1047"/>
      <c r="H3926" s="1047"/>
      <c r="I3926" s="1047"/>
      <c r="J3926" s="1047"/>
      <c r="K3926" s="1047"/>
      <c r="L3926" s="1047"/>
      <c r="M3926" s="1047"/>
      <c r="N3926" s="1047"/>
      <c r="O3926" s="1047"/>
      <c r="P3926" s="1047"/>
      <c r="Q3926" s="1047"/>
      <c r="R3926" s="1047"/>
      <c r="S3926" s="1047"/>
      <c r="T3926" s="1047"/>
      <c r="U3926" s="1047"/>
      <c r="V3926" s="1047"/>
      <c r="W3926" s="1047"/>
      <c r="X3926" s="1047"/>
      <c r="Y3926" s="1047"/>
      <c r="Z3926" s="1047"/>
      <c r="AA3926" s="1047"/>
      <c r="AB3926" s="1047"/>
      <c r="AC3926" s="1047"/>
      <c r="AD3926" s="1047"/>
      <c r="AE3926" s="1047"/>
      <c r="AF3926" s="1048"/>
    </row>
    <row r="3927" spans="1:32" ht="30" customHeight="1" x14ac:dyDescent="0.2">
      <c r="A3927" s="2048" t="s">
        <v>1842</v>
      </c>
      <c r="B3927" s="2049"/>
      <c r="C3927" s="2049"/>
      <c r="D3927" s="2049"/>
      <c r="E3927" s="2049"/>
      <c r="F3927" s="2050" t="str">
        <f>+'01'!$H$163</f>
        <v>F - LECHOS DE SECADO</v>
      </c>
      <c r="G3927" s="2049"/>
      <c r="H3927" s="2049"/>
      <c r="I3927" s="2049"/>
      <c r="J3927" s="2049"/>
      <c r="K3927" s="2049"/>
      <c r="L3927" s="2049"/>
      <c r="M3927" s="2049"/>
      <c r="N3927" s="2049"/>
      <c r="O3927" s="2049"/>
      <c r="P3927" s="2049"/>
      <c r="Q3927" s="2049"/>
      <c r="R3927" s="2049"/>
      <c r="S3927" s="2049"/>
      <c r="T3927" s="2049"/>
      <c r="U3927" s="2049"/>
      <c r="V3927" s="2049"/>
      <c r="W3927" s="2049"/>
      <c r="X3927" s="2049"/>
      <c r="Y3927" s="2051"/>
      <c r="Z3927" s="2052" t="s">
        <v>1843</v>
      </c>
      <c r="AA3927" s="2053"/>
      <c r="AB3927" s="2058" t="s">
        <v>1844</v>
      </c>
      <c r="AC3927" s="2059"/>
      <c r="AD3927" s="2060"/>
      <c r="AE3927" s="2064" t="s">
        <v>1845</v>
      </c>
      <c r="AF3927" s="2067" t="s">
        <v>1846</v>
      </c>
    </row>
    <row r="3928" spans="1:32" ht="15" customHeight="1" x14ac:dyDescent="0.2">
      <c r="A3928" s="2070" t="str">
        <f>+'01'!A168</f>
        <v>F-02-01</v>
      </c>
      <c r="B3928" s="2071"/>
      <c r="C3928" s="2072"/>
      <c r="D3928" s="2076" t="str">
        <f>VLOOKUP(A3928,'01'!$A$12:$N$299,3,FALSE)</f>
        <v>EXCAVACIÓN MANUAL EN TIERRA</v>
      </c>
      <c r="E3928" s="2077"/>
      <c r="F3928" s="2077"/>
      <c r="G3928" s="2077"/>
      <c r="H3928" s="2077"/>
      <c r="I3928" s="2077"/>
      <c r="J3928" s="2077"/>
      <c r="K3928" s="2077"/>
      <c r="L3928" s="2077"/>
      <c r="M3928" s="2077"/>
      <c r="N3928" s="2077"/>
      <c r="O3928" s="2077"/>
      <c r="P3928" s="2077"/>
      <c r="Q3928" s="2077"/>
      <c r="R3928" s="2077"/>
      <c r="S3928" s="2078"/>
      <c r="T3928" s="2082" t="s">
        <v>124</v>
      </c>
      <c r="U3928" s="2083"/>
      <c r="V3928" s="2083"/>
      <c r="W3928" s="2083"/>
      <c r="X3928" s="2052" t="str">
        <f>VLOOKUP(A3928,'01'!$A$12:$N$299,9,FALSE)</f>
        <v>M3</v>
      </c>
      <c r="Y3928" s="2053"/>
      <c r="Z3928" s="2054"/>
      <c r="AA3928" s="2055"/>
      <c r="AB3928" s="2061"/>
      <c r="AC3928" s="2062"/>
      <c r="AD3928" s="2063"/>
      <c r="AE3928" s="2065"/>
      <c r="AF3928" s="2068"/>
    </row>
    <row r="3929" spans="1:32" ht="15" customHeight="1" x14ac:dyDescent="0.25">
      <c r="A3929" s="2073"/>
      <c r="B3929" s="2074"/>
      <c r="C3929" s="2075"/>
      <c r="D3929" s="2079"/>
      <c r="E3929" s="2080"/>
      <c r="F3929" s="2080"/>
      <c r="G3929" s="2080"/>
      <c r="H3929" s="2080"/>
      <c r="I3929" s="2080"/>
      <c r="J3929" s="2080"/>
      <c r="K3929" s="2080"/>
      <c r="L3929" s="2080"/>
      <c r="M3929" s="2080"/>
      <c r="N3929" s="2080"/>
      <c r="O3929" s="2080"/>
      <c r="P3929" s="2080"/>
      <c r="Q3929" s="2080"/>
      <c r="R3929" s="2080"/>
      <c r="S3929" s="2081"/>
      <c r="T3929" s="2084"/>
      <c r="U3929" s="2085"/>
      <c r="V3929" s="2085"/>
      <c r="W3929" s="2085"/>
      <c r="X3929" s="2056"/>
      <c r="Y3929" s="2057"/>
      <c r="Z3929" s="2056"/>
      <c r="AA3929" s="2057"/>
      <c r="AB3929" s="1049" t="s">
        <v>1847</v>
      </c>
      <c r="AC3929" s="1049" t="s">
        <v>1848</v>
      </c>
      <c r="AD3929" s="1049" t="s">
        <v>1861</v>
      </c>
      <c r="AE3929" s="2066"/>
      <c r="AF3929" s="2069"/>
    </row>
    <row r="3930" spans="1:32" ht="15.6" customHeight="1" x14ac:dyDescent="0.25">
      <c r="A3930" s="2017"/>
      <c r="B3930" s="2018"/>
      <c r="C3930" s="2018"/>
      <c r="D3930" s="2018"/>
      <c r="E3930" s="2018"/>
      <c r="F3930" s="2018"/>
      <c r="G3930" s="2018"/>
      <c r="H3930" s="2018"/>
      <c r="I3930" s="2018"/>
      <c r="J3930" s="2018"/>
      <c r="K3930" s="2018"/>
      <c r="L3930" s="2018"/>
      <c r="M3930" s="2018"/>
      <c r="N3930" s="2018"/>
      <c r="O3930" s="2018"/>
      <c r="P3930" s="2018"/>
      <c r="Q3930" s="2018"/>
      <c r="R3930" s="2018"/>
      <c r="S3930" s="2018"/>
      <c r="T3930" s="2018"/>
      <c r="U3930" s="2018"/>
      <c r="V3930" s="2018"/>
      <c r="W3930" s="2018"/>
      <c r="X3930" s="2018"/>
      <c r="Y3930" s="2018"/>
      <c r="Z3930" s="2021" t="s">
        <v>2484</v>
      </c>
      <c r="AA3930" s="2021"/>
      <c r="AB3930" s="1050">
        <f>+AB3889</f>
        <v>13.85</v>
      </c>
      <c r="AC3930" s="1050">
        <f>+AC3889</f>
        <v>4.0999999999999996</v>
      </c>
      <c r="AD3930" s="1050">
        <v>1.5</v>
      </c>
      <c r="AE3930" s="1050">
        <v>1</v>
      </c>
      <c r="AF3930" s="1052">
        <f>+ROUND(AB3930*AC3930*AD3930*AE3930,2)</f>
        <v>85.18</v>
      </c>
    </row>
    <row r="3931" spans="1:32" ht="15.6" customHeight="1" x14ac:dyDescent="0.25">
      <c r="A3931" s="2017"/>
      <c r="B3931" s="2018"/>
      <c r="C3931" s="2018"/>
      <c r="D3931" s="2018"/>
      <c r="E3931" s="2018"/>
      <c r="F3931" s="2018"/>
      <c r="G3931" s="2018"/>
      <c r="H3931" s="2018"/>
      <c r="I3931" s="2018"/>
      <c r="J3931" s="2018"/>
      <c r="K3931" s="2018"/>
      <c r="L3931" s="2018"/>
      <c r="M3931" s="2018"/>
      <c r="N3931" s="2018"/>
      <c r="O3931" s="2018"/>
      <c r="P3931" s="2018"/>
      <c r="Q3931" s="2018"/>
      <c r="R3931" s="2018"/>
      <c r="S3931" s="2018"/>
      <c r="T3931" s="2018"/>
      <c r="U3931" s="2018"/>
      <c r="V3931" s="2018"/>
      <c r="W3931" s="2018"/>
      <c r="X3931" s="2018"/>
      <c r="Y3931" s="2018"/>
      <c r="Z3931" s="2021" t="s">
        <v>2485</v>
      </c>
      <c r="AA3931" s="2021"/>
      <c r="AB3931" s="1050">
        <f>+AB3890</f>
        <v>1.6</v>
      </c>
      <c r="AC3931" s="1050">
        <f>+AC3890</f>
        <v>1.5</v>
      </c>
      <c r="AD3931" s="1050">
        <v>0.5</v>
      </c>
      <c r="AE3931" s="1050">
        <v>4</v>
      </c>
      <c r="AF3931" s="1052">
        <f>+ROUND(AB3931*AC3931*AD3931*AE3931,2)</f>
        <v>4.8</v>
      </c>
    </row>
    <row r="3932" spans="1:32" ht="15.75" x14ac:dyDescent="0.25">
      <c r="A3932" s="2017"/>
      <c r="B3932" s="2018"/>
      <c r="C3932" s="2018"/>
      <c r="D3932" s="2018"/>
      <c r="E3932" s="2018"/>
      <c r="F3932" s="2018"/>
      <c r="G3932" s="2018"/>
      <c r="H3932" s="2018"/>
      <c r="I3932" s="2018"/>
      <c r="J3932" s="2018"/>
      <c r="K3932" s="2018"/>
      <c r="L3932" s="2018"/>
      <c r="M3932" s="2018"/>
      <c r="N3932" s="2018"/>
      <c r="O3932" s="2018"/>
      <c r="P3932" s="2018"/>
      <c r="Q3932" s="2018"/>
      <c r="R3932" s="2018"/>
      <c r="S3932" s="2018"/>
      <c r="T3932" s="2018"/>
      <c r="U3932" s="2018"/>
      <c r="V3932" s="2018"/>
      <c r="W3932" s="2018"/>
      <c r="X3932" s="2018"/>
      <c r="Y3932" s="2018"/>
      <c r="Z3932" s="2021" t="s">
        <v>2487</v>
      </c>
      <c r="AA3932" s="2021"/>
      <c r="AB3932" s="1050">
        <v>15</v>
      </c>
      <c r="AC3932" s="1050">
        <v>0.5</v>
      </c>
      <c r="AD3932" s="1050">
        <v>1</v>
      </c>
      <c r="AE3932" s="1050">
        <v>1</v>
      </c>
      <c r="AF3932" s="1052">
        <f t="shared" ref="AF3932:AF3933" si="56">+ROUND(AB3932*AC3932*AD3932*AE3932,2)</f>
        <v>7.5</v>
      </c>
    </row>
    <row r="3933" spans="1:32" ht="15.75" x14ac:dyDescent="0.25">
      <c r="A3933" s="2017"/>
      <c r="B3933" s="2018"/>
      <c r="C3933" s="2018"/>
      <c r="D3933" s="2018"/>
      <c r="E3933" s="2018"/>
      <c r="F3933" s="2018"/>
      <c r="G3933" s="2018"/>
      <c r="H3933" s="2018"/>
      <c r="I3933" s="2018"/>
      <c r="J3933" s="2018"/>
      <c r="K3933" s="2018"/>
      <c r="L3933" s="2018"/>
      <c r="M3933" s="2018"/>
      <c r="N3933" s="2018"/>
      <c r="O3933" s="2018"/>
      <c r="P3933" s="2018"/>
      <c r="Q3933" s="2018"/>
      <c r="R3933" s="2018"/>
      <c r="S3933" s="2018"/>
      <c r="T3933" s="2018"/>
      <c r="U3933" s="2018"/>
      <c r="V3933" s="2018"/>
      <c r="W3933" s="2018"/>
      <c r="X3933" s="2018"/>
      <c r="Y3933" s="2018"/>
      <c r="Z3933" s="2021" t="s">
        <v>2488</v>
      </c>
      <c r="AA3933" s="2021"/>
      <c r="AB3933" s="1050">
        <v>15</v>
      </c>
      <c r="AC3933" s="1050">
        <v>0.5</v>
      </c>
      <c r="AD3933" s="1050">
        <v>1</v>
      </c>
      <c r="AE3933" s="1050">
        <v>1</v>
      </c>
      <c r="AF3933" s="1052">
        <f t="shared" si="56"/>
        <v>7.5</v>
      </c>
    </row>
    <row r="3934" spans="1:32" ht="15.75" x14ac:dyDescent="0.25">
      <c r="A3934" s="2017"/>
      <c r="B3934" s="2018"/>
      <c r="C3934" s="2018"/>
      <c r="D3934" s="2018"/>
      <c r="E3934" s="2018"/>
      <c r="F3934" s="2018"/>
      <c r="G3934" s="2018"/>
      <c r="H3934" s="2018"/>
      <c r="I3934" s="2018"/>
      <c r="J3934" s="2018"/>
      <c r="K3934" s="2018"/>
      <c r="L3934" s="2018"/>
      <c r="M3934" s="2018"/>
      <c r="N3934" s="2018"/>
      <c r="O3934" s="2018"/>
      <c r="P3934" s="2018"/>
      <c r="Q3934" s="2018"/>
      <c r="R3934" s="2018"/>
      <c r="S3934" s="2018"/>
      <c r="T3934" s="2018"/>
      <c r="U3934" s="2018"/>
      <c r="V3934" s="2018"/>
      <c r="W3934" s="2018"/>
      <c r="X3934" s="2018"/>
      <c r="Y3934" s="2018"/>
      <c r="Z3934" s="2021"/>
      <c r="AA3934" s="2021"/>
      <c r="AB3934" s="1050"/>
      <c r="AC3934" s="1050"/>
      <c r="AD3934" s="1050"/>
      <c r="AE3934" s="1050"/>
      <c r="AF3934" s="1052"/>
    </row>
    <row r="3935" spans="1:32" ht="15.75" x14ac:dyDescent="0.25">
      <c r="A3935" s="2017"/>
      <c r="B3935" s="2018"/>
      <c r="C3935" s="2018"/>
      <c r="D3935" s="2018"/>
      <c r="E3935" s="2018"/>
      <c r="F3935" s="2018"/>
      <c r="G3935" s="2018"/>
      <c r="H3935" s="2018"/>
      <c r="I3935" s="2018"/>
      <c r="J3935" s="2018"/>
      <c r="K3935" s="2018"/>
      <c r="L3935" s="2018"/>
      <c r="M3935" s="2018"/>
      <c r="N3935" s="2018"/>
      <c r="O3935" s="2018"/>
      <c r="P3935" s="2018"/>
      <c r="Q3935" s="2018"/>
      <c r="R3935" s="2018"/>
      <c r="S3935" s="2018"/>
      <c r="T3935" s="2018"/>
      <c r="U3935" s="2018"/>
      <c r="V3935" s="2018"/>
      <c r="W3935" s="2018"/>
      <c r="X3935" s="2018"/>
      <c r="Y3935" s="2018"/>
      <c r="Z3935" s="2021"/>
      <c r="AA3935" s="2021"/>
      <c r="AB3935" s="1050"/>
      <c r="AC3935" s="1050"/>
      <c r="AD3935" s="1050"/>
      <c r="AE3935" s="1050"/>
      <c r="AF3935" s="1052"/>
    </row>
    <row r="3936" spans="1:32" ht="15.75" x14ac:dyDescent="0.25">
      <c r="A3936" s="2017"/>
      <c r="B3936" s="2018"/>
      <c r="C3936" s="2018"/>
      <c r="D3936" s="2018"/>
      <c r="E3936" s="2018"/>
      <c r="F3936" s="2018"/>
      <c r="G3936" s="2018"/>
      <c r="H3936" s="2018"/>
      <c r="I3936" s="2018"/>
      <c r="J3936" s="2018"/>
      <c r="K3936" s="2018"/>
      <c r="L3936" s="2018"/>
      <c r="M3936" s="2018"/>
      <c r="N3936" s="2018"/>
      <c r="O3936" s="2018"/>
      <c r="P3936" s="2018"/>
      <c r="Q3936" s="2018"/>
      <c r="R3936" s="2018"/>
      <c r="S3936" s="2018"/>
      <c r="T3936" s="2018"/>
      <c r="U3936" s="2018"/>
      <c r="V3936" s="2018"/>
      <c r="W3936" s="2018"/>
      <c r="X3936" s="2018"/>
      <c r="Y3936" s="2018"/>
      <c r="Z3936" s="2021"/>
      <c r="AA3936" s="2021"/>
      <c r="AB3936" s="1050"/>
      <c r="AC3936" s="1050"/>
      <c r="AD3936" s="1050"/>
      <c r="AE3936" s="1050"/>
      <c r="AF3936" s="1052"/>
    </row>
    <row r="3937" spans="1:32" ht="15.75" x14ac:dyDescent="0.25">
      <c r="A3937" s="2017"/>
      <c r="B3937" s="2018"/>
      <c r="C3937" s="2018"/>
      <c r="D3937" s="2018"/>
      <c r="E3937" s="2018"/>
      <c r="F3937" s="2018"/>
      <c r="G3937" s="2018"/>
      <c r="H3937" s="2018"/>
      <c r="I3937" s="2018"/>
      <c r="J3937" s="2018"/>
      <c r="K3937" s="2018"/>
      <c r="L3937" s="2018"/>
      <c r="M3937" s="2018"/>
      <c r="N3937" s="2018"/>
      <c r="O3937" s="2018"/>
      <c r="P3937" s="2018"/>
      <c r="Q3937" s="2018"/>
      <c r="R3937" s="2018"/>
      <c r="S3937" s="2018"/>
      <c r="T3937" s="2018"/>
      <c r="U3937" s="2018"/>
      <c r="V3937" s="2018"/>
      <c r="W3937" s="2018"/>
      <c r="X3937" s="2018"/>
      <c r="Y3937" s="2018"/>
      <c r="Z3937" s="2021"/>
      <c r="AA3937" s="2021"/>
      <c r="AB3937" s="1050"/>
      <c r="AC3937" s="1050"/>
      <c r="AD3937" s="1050"/>
      <c r="AE3937" s="1050"/>
      <c r="AF3937" s="1052"/>
    </row>
    <row r="3938" spans="1:32" ht="15.75" x14ac:dyDescent="0.25">
      <c r="A3938" s="2017"/>
      <c r="B3938" s="2018"/>
      <c r="C3938" s="2018"/>
      <c r="D3938" s="2018"/>
      <c r="E3938" s="2018"/>
      <c r="F3938" s="2018"/>
      <c r="G3938" s="2018"/>
      <c r="H3938" s="2018"/>
      <c r="I3938" s="2018"/>
      <c r="J3938" s="2018"/>
      <c r="K3938" s="2018"/>
      <c r="L3938" s="2018"/>
      <c r="M3938" s="2018"/>
      <c r="N3938" s="2018"/>
      <c r="O3938" s="2018"/>
      <c r="P3938" s="2018"/>
      <c r="Q3938" s="2018"/>
      <c r="R3938" s="2018"/>
      <c r="S3938" s="2018"/>
      <c r="T3938" s="2018"/>
      <c r="U3938" s="2018"/>
      <c r="V3938" s="2018"/>
      <c r="W3938" s="2018"/>
      <c r="X3938" s="2018"/>
      <c r="Y3938" s="2018"/>
      <c r="Z3938" s="2021"/>
      <c r="AA3938" s="2021"/>
      <c r="AB3938" s="1050"/>
      <c r="AC3938" s="1050"/>
      <c r="AD3938" s="1050"/>
      <c r="AE3938" s="1050"/>
      <c r="AF3938" s="1052"/>
    </row>
    <row r="3939" spans="1:32" ht="15.75" x14ac:dyDescent="0.25">
      <c r="A3939" s="2017"/>
      <c r="B3939" s="2018"/>
      <c r="C3939" s="2018"/>
      <c r="D3939" s="2018"/>
      <c r="E3939" s="2018"/>
      <c r="F3939" s="2018"/>
      <c r="G3939" s="2018"/>
      <c r="H3939" s="2018"/>
      <c r="I3939" s="2018"/>
      <c r="J3939" s="2018"/>
      <c r="K3939" s="2018"/>
      <c r="L3939" s="2018"/>
      <c r="M3939" s="2018"/>
      <c r="N3939" s="2018"/>
      <c r="O3939" s="2018"/>
      <c r="P3939" s="2018"/>
      <c r="Q3939" s="2018"/>
      <c r="R3939" s="2018"/>
      <c r="S3939" s="2018"/>
      <c r="T3939" s="2018"/>
      <c r="U3939" s="2018"/>
      <c r="V3939" s="2018"/>
      <c r="W3939" s="2018"/>
      <c r="X3939" s="2018"/>
      <c r="Y3939" s="2018"/>
      <c r="Z3939" s="2021"/>
      <c r="AA3939" s="2021"/>
      <c r="AB3939" s="1050"/>
      <c r="AC3939" s="1050"/>
      <c r="AD3939" s="1050"/>
      <c r="AE3939" s="1050"/>
      <c r="AF3939" s="1052"/>
    </row>
    <row r="3940" spans="1:32" ht="15.75" x14ac:dyDescent="0.25">
      <c r="A3940" s="2017"/>
      <c r="B3940" s="2018"/>
      <c r="C3940" s="2018"/>
      <c r="D3940" s="2018"/>
      <c r="E3940" s="2018"/>
      <c r="F3940" s="2018"/>
      <c r="G3940" s="2018"/>
      <c r="H3940" s="2018"/>
      <c r="I3940" s="2018"/>
      <c r="J3940" s="2018"/>
      <c r="K3940" s="2018"/>
      <c r="L3940" s="2018"/>
      <c r="M3940" s="2018"/>
      <c r="N3940" s="2018"/>
      <c r="O3940" s="2018"/>
      <c r="P3940" s="2018"/>
      <c r="Q3940" s="2018"/>
      <c r="R3940" s="2018"/>
      <c r="S3940" s="2018"/>
      <c r="T3940" s="2018"/>
      <c r="U3940" s="2018"/>
      <c r="V3940" s="2018"/>
      <c r="W3940" s="2018"/>
      <c r="X3940" s="2018"/>
      <c r="Y3940" s="2018"/>
      <c r="Z3940" s="2021"/>
      <c r="AA3940" s="2021"/>
      <c r="AB3940" s="1050"/>
      <c r="AC3940" s="1050"/>
      <c r="AD3940" s="1050"/>
      <c r="AE3940" s="1050"/>
      <c r="AF3940" s="1052"/>
    </row>
    <row r="3941" spans="1:32" ht="15.75" x14ac:dyDescent="0.25">
      <c r="A3941" s="2017"/>
      <c r="B3941" s="2018"/>
      <c r="C3941" s="2018"/>
      <c r="D3941" s="2018"/>
      <c r="E3941" s="2018"/>
      <c r="F3941" s="2018"/>
      <c r="G3941" s="2018"/>
      <c r="H3941" s="2018"/>
      <c r="I3941" s="2018"/>
      <c r="J3941" s="2018"/>
      <c r="K3941" s="2018"/>
      <c r="L3941" s="2018"/>
      <c r="M3941" s="2018"/>
      <c r="N3941" s="2018"/>
      <c r="O3941" s="2018"/>
      <c r="P3941" s="2018"/>
      <c r="Q3941" s="2018"/>
      <c r="R3941" s="2018"/>
      <c r="S3941" s="2018"/>
      <c r="T3941" s="2018"/>
      <c r="U3941" s="2018"/>
      <c r="V3941" s="2018"/>
      <c r="W3941" s="2018"/>
      <c r="X3941" s="2018"/>
      <c r="Y3941" s="2018"/>
      <c r="Z3941" s="2021"/>
      <c r="AA3941" s="2021"/>
      <c r="AB3941" s="1050"/>
      <c r="AC3941" s="1050"/>
      <c r="AD3941" s="1050"/>
      <c r="AE3941" s="1050"/>
      <c r="AF3941" s="1052"/>
    </row>
    <row r="3942" spans="1:32" ht="15.75" x14ac:dyDescent="0.25">
      <c r="A3942" s="2017"/>
      <c r="B3942" s="2018"/>
      <c r="C3942" s="2018"/>
      <c r="D3942" s="2018"/>
      <c r="E3942" s="2018"/>
      <c r="F3942" s="2018"/>
      <c r="G3942" s="2018"/>
      <c r="H3942" s="2018"/>
      <c r="I3942" s="2018"/>
      <c r="J3942" s="2018"/>
      <c r="K3942" s="2018"/>
      <c r="L3942" s="2018"/>
      <c r="M3942" s="2018"/>
      <c r="N3942" s="2018"/>
      <c r="O3942" s="2018"/>
      <c r="P3942" s="2018"/>
      <c r="Q3942" s="2018"/>
      <c r="R3942" s="2018"/>
      <c r="S3942" s="2018"/>
      <c r="T3942" s="2018"/>
      <c r="U3942" s="2018"/>
      <c r="V3942" s="2018"/>
      <c r="W3942" s="2018"/>
      <c r="X3942" s="2018"/>
      <c r="Y3942" s="2018"/>
      <c r="Z3942" s="2021"/>
      <c r="AA3942" s="2021"/>
      <c r="AB3942" s="1050"/>
      <c r="AC3942" s="1050"/>
      <c r="AD3942" s="1050"/>
      <c r="AE3942" s="1050"/>
      <c r="AF3942" s="1052"/>
    </row>
    <row r="3943" spans="1:32" ht="15.75" x14ac:dyDescent="0.25">
      <c r="A3943" s="2017"/>
      <c r="B3943" s="2018"/>
      <c r="C3943" s="2018"/>
      <c r="D3943" s="2018"/>
      <c r="E3943" s="2018"/>
      <c r="F3943" s="2018"/>
      <c r="G3943" s="2018"/>
      <c r="H3943" s="2018"/>
      <c r="I3943" s="2018"/>
      <c r="J3943" s="2018"/>
      <c r="K3943" s="2018"/>
      <c r="L3943" s="2018"/>
      <c r="M3943" s="2018"/>
      <c r="N3943" s="2018"/>
      <c r="O3943" s="2018"/>
      <c r="P3943" s="2018"/>
      <c r="Q3943" s="2018"/>
      <c r="R3943" s="2018"/>
      <c r="S3943" s="2018"/>
      <c r="T3943" s="2018"/>
      <c r="U3943" s="2018"/>
      <c r="V3943" s="2018"/>
      <c r="W3943" s="2018"/>
      <c r="X3943" s="2018"/>
      <c r="Y3943" s="2018"/>
      <c r="Z3943" s="2021"/>
      <c r="AA3943" s="2021"/>
      <c r="AB3943" s="1050"/>
      <c r="AC3943" s="1050"/>
      <c r="AD3943" s="1050"/>
      <c r="AE3943" s="1050"/>
      <c r="AF3943" s="1052"/>
    </row>
    <row r="3944" spans="1:32" ht="15.75" x14ac:dyDescent="0.25">
      <c r="A3944" s="2017"/>
      <c r="B3944" s="2018"/>
      <c r="C3944" s="2018"/>
      <c r="D3944" s="2018"/>
      <c r="E3944" s="2018"/>
      <c r="F3944" s="2018"/>
      <c r="G3944" s="2018"/>
      <c r="H3944" s="2018"/>
      <c r="I3944" s="2018"/>
      <c r="J3944" s="2018"/>
      <c r="K3944" s="2018"/>
      <c r="L3944" s="2018"/>
      <c r="M3944" s="2018"/>
      <c r="N3944" s="2018"/>
      <c r="O3944" s="2018"/>
      <c r="P3944" s="2018"/>
      <c r="Q3944" s="2018"/>
      <c r="R3944" s="2018"/>
      <c r="S3944" s="2018"/>
      <c r="T3944" s="2018"/>
      <c r="U3944" s="2018"/>
      <c r="V3944" s="2018"/>
      <c r="W3944" s="2018"/>
      <c r="X3944" s="2018"/>
      <c r="Y3944" s="2018"/>
      <c r="Z3944" s="2022"/>
      <c r="AA3944" s="2022"/>
      <c r="AB3944" s="1050"/>
      <c r="AC3944" s="1050"/>
      <c r="AD3944" s="1050"/>
      <c r="AE3944" s="1050"/>
      <c r="AF3944" s="1052"/>
    </row>
    <row r="3945" spans="1:32" ht="15.75" x14ac:dyDescent="0.25">
      <c r="A3945" s="2017"/>
      <c r="B3945" s="2018"/>
      <c r="C3945" s="2018"/>
      <c r="D3945" s="2018"/>
      <c r="E3945" s="2018"/>
      <c r="F3945" s="2018"/>
      <c r="G3945" s="2018"/>
      <c r="H3945" s="2018"/>
      <c r="I3945" s="2018"/>
      <c r="J3945" s="2018"/>
      <c r="K3945" s="2018"/>
      <c r="L3945" s="2018"/>
      <c r="M3945" s="2018"/>
      <c r="N3945" s="2018"/>
      <c r="O3945" s="2018"/>
      <c r="P3945" s="2018"/>
      <c r="Q3945" s="2018"/>
      <c r="R3945" s="2018"/>
      <c r="S3945" s="2018"/>
      <c r="T3945" s="2018"/>
      <c r="U3945" s="2018"/>
      <c r="V3945" s="2018"/>
      <c r="W3945" s="2018"/>
      <c r="X3945" s="2018"/>
      <c r="Y3945" s="2018"/>
      <c r="Z3945" s="2022"/>
      <c r="AA3945" s="2022"/>
      <c r="AB3945" s="1050"/>
      <c r="AC3945" s="1050"/>
      <c r="AD3945" s="1050"/>
      <c r="AE3945" s="1050"/>
      <c r="AF3945" s="1052"/>
    </row>
    <row r="3946" spans="1:32" ht="15.75" x14ac:dyDescent="0.25">
      <c r="A3946" s="2017"/>
      <c r="B3946" s="2018"/>
      <c r="C3946" s="2018"/>
      <c r="D3946" s="2018"/>
      <c r="E3946" s="2018"/>
      <c r="F3946" s="2018"/>
      <c r="G3946" s="2018"/>
      <c r="H3946" s="2018"/>
      <c r="I3946" s="2018"/>
      <c r="J3946" s="2018"/>
      <c r="K3946" s="2018"/>
      <c r="L3946" s="2018"/>
      <c r="M3946" s="2018"/>
      <c r="N3946" s="2018"/>
      <c r="O3946" s="2018"/>
      <c r="P3946" s="2018"/>
      <c r="Q3946" s="2018"/>
      <c r="R3946" s="2018"/>
      <c r="S3946" s="2018"/>
      <c r="T3946" s="2018"/>
      <c r="U3946" s="2018"/>
      <c r="V3946" s="2018"/>
      <c r="W3946" s="2018"/>
      <c r="X3946" s="2018"/>
      <c r="Y3946" s="2018"/>
      <c r="Z3946" s="2022"/>
      <c r="AA3946" s="2022"/>
      <c r="AB3946" s="1050"/>
      <c r="AC3946" s="1050"/>
      <c r="AD3946" s="1050"/>
      <c r="AE3946" s="1050"/>
      <c r="AF3946" s="1052"/>
    </row>
    <row r="3947" spans="1:32" ht="15.75" x14ac:dyDescent="0.25">
      <c r="A3947" s="2017"/>
      <c r="B3947" s="2018"/>
      <c r="C3947" s="2018"/>
      <c r="D3947" s="2018"/>
      <c r="E3947" s="2018"/>
      <c r="F3947" s="2018"/>
      <c r="G3947" s="2018"/>
      <c r="H3947" s="2018"/>
      <c r="I3947" s="2018"/>
      <c r="J3947" s="2018"/>
      <c r="K3947" s="2018"/>
      <c r="L3947" s="2018"/>
      <c r="M3947" s="2018"/>
      <c r="N3947" s="2018"/>
      <c r="O3947" s="2018"/>
      <c r="P3947" s="2018"/>
      <c r="Q3947" s="2018"/>
      <c r="R3947" s="2018"/>
      <c r="S3947" s="2018"/>
      <c r="T3947" s="2018"/>
      <c r="U3947" s="2018"/>
      <c r="V3947" s="2018"/>
      <c r="W3947" s="2018"/>
      <c r="X3947" s="2018"/>
      <c r="Y3947" s="2018"/>
      <c r="Z3947" s="2023"/>
      <c r="AA3947" s="2023"/>
      <c r="AB3947" s="1050"/>
      <c r="AC3947" s="1050"/>
      <c r="AD3947" s="1050"/>
      <c r="AE3947" s="1050"/>
      <c r="AF3947" s="1052"/>
    </row>
    <row r="3948" spans="1:32" ht="15.75" x14ac:dyDescent="0.25">
      <c r="A3948" s="2017"/>
      <c r="B3948" s="2018"/>
      <c r="C3948" s="2018"/>
      <c r="D3948" s="2018"/>
      <c r="E3948" s="2018"/>
      <c r="F3948" s="2018"/>
      <c r="G3948" s="2018"/>
      <c r="H3948" s="2018"/>
      <c r="I3948" s="2018"/>
      <c r="J3948" s="2018"/>
      <c r="K3948" s="2018"/>
      <c r="L3948" s="2018"/>
      <c r="M3948" s="2018"/>
      <c r="N3948" s="2018"/>
      <c r="O3948" s="2018"/>
      <c r="P3948" s="2018"/>
      <c r="Q3948" s="2018"/>
      <c r="R3948" s="2018"/>
      <c r="S3948" s="2018"/>
      <c r="T3948" s="2018"/>
      <c r="U3948" s="2018"/>
      <c r="V3948" s="2018"/>
      <c r="W3948" s="2018"/>
      <c r="X3948" s="2018"/>
      <c r="Y3948" s="2018"/>
      <c r="Z3948" s="2023"/>
      <c r="AA3948" s="2023"/>
      <c r="AB3948" s="1050"/>
      <c r="AC3948" s="1050"/>
      <c r="AD3948" s="1050"/>
      <c r="AE3948" s="1050"/>
      <c r="AF3948" s="1052"/>
    </row>
    <row r="3949" spans="1:32" ht="15.75" x14ac:dyDescent="0.25">
      <c r="A3949" s="2017"/>
      <c r="B3949" s="2018"/>
      <c r="C3949" s="2018"/>
      <c r="D3949" s="2018"/>
      <c r="E3949" s="2018"/>
      <c r="F3949" s="2018"/>
      <c r="G3949" s="2018"/>
      <c r="H3949" s="2018"/>
      <c r="I3949" s="2018"/>
      <c r="J3949" s="2018"/>
      <c r="K3949" s="2018"/>
      <c r="L3949" s="2018"/>
      <c r="M3949" s="2018"/>
      <c r="N3949" s="2018"/>
      <c r="O3949" s="2018"/>
      <c r="P3949" s="2018"/>
      <c r="Q3949" s="2018"/>
      <c r="R3949" s="2018"/>
      <c r="S3949" s="2018"/>
      <c r="T3949" s="2018"/>
      <c r="U3949" s="2018"/>
      <c r="V3949" s="2018"/>
      <c r="W3949" s="2018"/>
      <c r="X3949" s="2018"/>
      <c r="Y3949" s="2018"/>
      <c r="Z3949" s="2023"/>
      <c r="AA3949" s="2023"/>
      <c r="AB3949" s="1050"/>
      <c r="AC3949" s="1050"/>
      <c r="AD3949" s="1050"/>
      <c r="AE3949" s="1050"/>
      <c r="AF3949" s="1052"/>
    </row>
    <row r="3950" spans="1:32" ht="15.75" x14ac:dyDescent="0.25">
      <c r="A3950" s="2017"/>
      <c r="B3950" s="2018"/>
      <c r="C3950" s="2018"/>
      <c r="D3950" s="2018"/>
      <c r="E3950" s="2018"/>
      <c r="F3950" s="2018"/>
      <c r="G3950" s="2018"/>
      <c r="H3950" s="2018"/>
      <c r="I3950" s="2018"/>
      <c r="J3950" s="2018"/>
      <c r="K3950" s="2018"/>
      <c r="L3950" s="2018"/>
      <c r="M3950" s="2018"/>
      <c r="N3950" s="2018"/>
      <c r="O3950" s="2018"/>
      <c r="P3950" s="2018"/>
      <c r="Q3950" s="2018"/>
      <c r="R3950" s="2018"/>
      <c r="S3950" s="2018"/>
      <c r="T3950" s="2018"/>
      <c r="U3950" s="2018"/>
      <c r="V3950" s="2018"/>
      <c r="W3950" s="2018"/>
      <c r="X3950" s="2018"/>
      <c r="Y3950" s="2018"/>
      <c r="Z3950" s="2023"/>
      <c r="AA3950" s="2023"/>
      <c r="AB3950" s="1050"/>
      <c r="AC3950" s="1050"/>
      <c r="AD3950" s="1050"/>
      <c r="AE3950" s="1050"/>
      <c r="AF3950" s="1052"/>
    </row>
    <row r="3951" spans="1:32" ht="15.75" x14ac:dyDescent="0.25">
      <c r="A3951" s="2017"/>
      <c r="B3951" s="2018"/>
      <c r="C3951" s="2018"/>
      <c r="D3951" s="2018"/>
      <c r="E3951" s="2018"/>
      <c r="F3951" s="2018"/>
      <c r="G3951" s="2018"/>
      <c r="H3951" s="2018"/>
      <c r="I3951" s="2018"/>
      <c r="J3951" s="2018"/>
      <c r="K3951" s="2018"/>
      <c r="L3951" s="2018"/>
      <c r="M3951" s="2018"/>
      <c r="N3951" s="2018"/>
      <c r="O3951" s="2018"/>
      <c r="P3951" s="2018"/>
      <c r="Q3951" s="2018"/>
      <c r="R3951" s="2018"/>
      <c r="S3951" s="2018"/>
      <c r="T3951" s="2018"/>
      <c r="U3951" s="2018"/>
      <c r="V3951" s="2018"/>
      <c r="W3951" s="2018"/>
      <c r="X3951" s="2018"/>
      <c r="Y3951" s="2018"/>
      <c r="Z3951" s="2023"/>
      <c r="AA3951" s="2023"/>
      <c r="AB3951" s="1050"/>
      <c r="AC3951" s="1050"/>
      <c r="AD3951" s="1050"/>
      <c r="AE3951" s="1050"/>
      <c r="AF3951" s="1052"/>
    </row>
    <row r="3952" spans="1:32" ht="15.75" x14ac:dyDescent="0.25">
      <c r="A3952" s="2017"/>
      <c r="B3952" s="2018"/>
      <c r="C3952" s="2018"/>
      <c r="D3952" s="2018"/>
      <c r="E3952" s="2018"/>
      <c r="F3952" s="2018"/>
      <c r="G3952" s="2018"/>
      <c r="H3952" s="2018"/>
      <c r="I3952" s="2018"/>
      <c r="J3952" s="2018"/>
      <c r="K3952" s="2018"/>
      <c r="L3952" s="2018"/>
      <c r="M3952" s="2018"/>
      <c r="N3952" s="2018"/>
      <c r="O3952" s="2018"/>
      <c r="P3952" s="2018"/>
      <c r="Q3952" s="2018"/>
      <c r="R3952" s="2018"/>
      <c r="S3952" s="2018"/>
      <c r="T3952" s="2018"/>
      <c r="U3952" s="2018"/>
      <c r="V3952" s="2018"/>
      <c r="W3952" s="2018"/>
      <c r="X3952" s="2018"/>
      <c r="Y3952" s="2018"/>
      <c r="Z3952" s="2023"/>
      <c r="AA3952" s="2023"/>
      <c r="AB3952" s="1050"/>
      <c r="AC3952" s="1050"/>
      <c r="AD3952" s="1050"/>
      <c r="AE3952" s="1050"/>
      <c r="AF3952" s="1052"/>
    </row>
    <row r="3953" spans="1:32" ht="16.5" thickBot="1" x14ac:dyDescent="0.3">
      <c r="A3953" s="2019"/>
      <c r="B3953" s="2020"/>
      <c r="C3953" s="2020"/>
      <c r="D3953" s="2020"/>
      <c r="E3953" s="2020"/>
      <c r="F3953" s="2020"/>
      <c r="G3953" s="2020"/>
      <c r="H3953" s="2020"/>
      <c r="I3953" s="2020"/>
      <c r="J3953" s="2020"/>
      <c r="K3953" s="2020"/>
      <c r="L3953" s="2020"/>
      <c r="M3953" s="2020"/>
      <c r="N3953" s="2020"/>
      <c r="O3953" s="2020"/>
      <c r="P3953" s="2020"/>
      <c r="Q3953" s="2020"/>
      <c r="R3953" s="2020"/>
      <c r="S3953" s="2020"/>
      <c r="T3953" s="2020"/>
      <c r="U3953" s="2020"/>
      <c r="V3953" s="2020"/>
      <c r="W3953" s="2020"/>
      <c r="X3953" s="2020"/>
      <c r="Y3953" s="2020"/>
      <c r="Z3953" s="2024"/>
      <c r="AA3953" s="2024"/>
      <c r="AB3953" s="1057"/>
      <c r="AC3953" s="1057"/>
      <c r="AD3953" s="1057"/>
      <c r="AE3953" s="1057"/>
      <c r="AF3953" s="1058"/>
    </row>
    <row r="3954" spans="1:32" ht="15.75" x14ac:dyDescent="0.25">
      <c r="A3954" s="2009" t="s">
        <v>1855</v>
      </c>
      <c r="B3954" s="2010"/>
      <c r="C3954" s="2010"/>
      <c r="D3954" s="2010"/>
      <c r="E3954" s="2010"/>
      <c r="F3954" s="2010"/>
      <c r="G3954" s="2010"/>
      <c r="H3954" s="2010"/>
      <c r="I3954" s="2010"/>
      <c r="J3954" s="2010"/>
      <c r="K3954" s="2010"/>
      <c r="L3954" s="2010"/>
      <c r="M3954" s="2010"/>
      <c r="N3954" s="2010"/>
      <c r="O3954" s="2010"/>
      <c r="P3954" s="2010"/>
      <c r="Q3954" s="2010"/>
      <c r="R3954" s="2010"/>
      <c r="S3954" s="2010"/>
      <c r="T3954" s="2010"/>
      <c r="U3954" s="2010"/>
      <c r="V3954" s="2010"/>
      <c r="W3954" s="2010"/>
      <c r="X3954" s="2010"/>
      <c r="Y3954" s="2010"/>
      <c r="Z3954" s="2013" t="s">
        <v>1850</v>
      </c>
      <c r="AA3954" s="2013"/>
      <c r="AB3954" s="2013"/>
      <c r="AC3954" s="2013"/>
      <c r="AD3954" s="2013"/>
      <c r="AE3954" s="2013"/>
      <c r="AF3954" s="1059">
        <f>SUM(AF3930:AF3953)</f>
        <v>104.98</v>
      </c>
    </row>
    <row r="3955" spans="1:32" ht="15.75" x14ac:dyDescent="0.25">
      <c r="A3955" s="2011"/>
      <c r="B3955" s="2012"/>
      <c r="C3955" s="2012"/>
      <c r="D3955" s="2012"/>
      <c r="E3955" s="2012"/>
      <c r="F3955" s="2012"/>
      <c r="G3955" s="2012"/>
      <c r="H3955" s="2012"/>
      <c r="I3955" s="2012"/>
      <c r="J3955" s="2012"/>
      <c r="K3955" s="2012"/>
      <c r="L3955" s="2012"/>
      <c r="M3955" s="2012"/>
      <c r="N3955" s="2012"/>
      <c r="O3955" s="2012"/>
      <c r="P3955" s="2012"/>
      <c r="Q3955" s="2012"/>
      <c r="R3955" s="2012"/>
      <c r="S3955" s="2012"/>
      <c r="T3955" s="2012"/>
      <c r="U3955" s="2012"/>
      <c r="V3955" s="2012"/>
      <c r="W3955" s="2012"/>
      <c r="X3955" s="2012"/>
      <c r="Y3955" s="2012"/>
      <c r="Z3955" s="2014" t="s">
        <v>1851</v>
      </c>
      <c r="AA3955" s="2014"/>
      <c r="AB3955" s="2014"/>
      <c r="AC3955" s="2014"/>
      <c r="AD3955" s="2014"/>
      <c r="AE3955" s="2014"/>
      <c r="AF3955" s="1060">
        <v>0</v>
      </c>
    </row>
    <row r="3956" spans="1:32" ht="15.75" x14ac:dyDescent="0.25">
      <c r="A3956" s="2011"/>
      <c r="B3956" s="2012"/>
      <c r="C3956" s="2012"/>
      <c r="D3956" s="2012"/>
      <c r="E3956" s="2012"/>
      <c r="F3956" s="2012"/>
      <c r="G3956" s="2012"/>
      <c r="H3956" s="2012"/>
      <c r="I3956" s="2012"/>
      <c r="J3956" s="2012"/>
      <c r="K3956" s="2012"/>
      <c r="L3956" s="2012"/>
      <c r="M3956" s="2012"/>
      <c r="N3956" s="2012"/>
      <c r="O3956" s="2012"/>
      <c r="P3956" s="2012"/>
      <c r="Q3956" s="2012"/>
      <c r="R3956" s="2012"/>
      <c r="S3956" s="2012"/>
      <c r="T3956" s="2012"/>
      <c r="U3956" s="2012"/>
      <c r="V3956" s="2012"/>
      <c r="W3956" s="2012"/>
      <c r="X3956" s="2012"/>
      <c r="Y3956" s="2012"/>
      <c r="Z3956" s="2015" t="s">
        <v>1833</v>
      </c>
      <c r="AA3956" s="2015"/>
      <c r="AB3956" s="2015"/>
      <c r="AC3956" s="2015"/>
      <c r="AD3956" s="2015"/>
      <c r="AE3956" s="2015"/>
      <c r="AF3956" s="1061">
        <f>SUM(AF3954:AF3955)</f>
        <v>104.98</v>
      </c>
    </row>
    <row r="3957" spans="1:32" x14ac:dyDescent="0.2">
      <c r="A3957" s="2012" t="s">
        <v>1859</v>
      </c>
      <c r="B3957" s="2012"/>
      <c r="C3957" s="2012"/>
      <c r="D3957" s="2012"/>
      <c r="E3957" s="2012"/>
      <c r="F3957" s="2012"/>
      <c r="G3957" s="2012"/>
      <c r="H3957" s="2012"/>
      <c r="I3957" s="2012"/>
      <c r="J3957" s="2012"/>
      <c r="K3957" s="2012"/>
      <c r="L3957" s="2012"/>
      <c r="M3957" s="2012"/>
      <c r="N3957" s="2012"/>
      <c r="O3957" s="2012"/>
      <c r="P3957" s="2012"/>
      <c r="Q3957" s="2012"/>
      <c r="R3957" s="2012"/>
      <c r="S3957" s="2012"/>
      <c r="T3957" s="2016" t="s">
        <v>1840</v>
      </c>
      <c r="U3957" s="2016"/>
      <c r="V3957" s="2016"/>
      <c r="W3957" s="2016"/>
      <c r="X3957" s="2016"/>
      <c r="Y3957" s="2016"/>
      <c r="Z3957" s="2016"/>
      <c r="AA3957" s="2016"/>
      <c r="AB3957" s="2012" t="s">
        <v>1852</v>
      </c>
      <c r="AC3957" s="2012"/>
      <c r="AD3957" s="2012"/>
      <c r="AE3957" s="2012"/>
      <c r="AF3957" s="2012"/>
    </row>
    <row r="3958" spans="1:32" x14ac:dyDescent="0.2">
      <c r="A3958" s="2012"/>
      <c r="B3958" s="2012"/>
      <c r="C3958" s="2012"/>
      <c r="D3958" s="2012"/>
      <c r="E3958" s="2012"/>
      <c r="F3958" s="2012"/>
      <c r="G3958" s="2012"/>
      <c r="H3958" s="2012"/>
      <c r="I3958" s="2012"/>
      <c r="J3958" s="2012"/>
      <c r="K3958" s="2012"/>
      <c r="L3958" s="2012"/>
      <c r="M3958" s="2012"/>
      <c r="N3958" s="2012"/>
      <c r="O3958" s="2012"/>
      <c r="P3958" s="2012"/>
      <c r="Q3958" s="2012"/>
      <c r="R3958" s="2012"/>
      <c r="S3958" s="2012"/>
      <c r="T3958" s="2016"/>
      <c r="U3958" s="2016"/>
      <c r="V3958" s="2016"/>
      <c r="W3958" s="2016"/>
      <c r="X3958" s="2016"/>
      <c r="Y3958" s="2016"/>
      <c r="Z3958" s="2016"/>
      <c r="AA3958" s="2016"/>
      <c r="AB3958" s="2012"/>
      <c r="AC3958" s="2012"/>
      <c r="AD3958" s="2012"/>
      <c r="AE3958" s="2012"/>
      <c r="AF3958" s="2012"/>
    </row>
    <row r="3959" spans="1:32" ht="13.5" thickBot="1" x14ac:dyDescent="0.25"/>
    <row r="3960" spans="1:32" ht="26.45" customHeight="1" x14ac:dyDescent="0.2">
      <c r="A3960" s="2025" t="s">
        <v>1854</v>
      </c>
      <c r="B3960" s="2026"/>
      <c r="C3960" s="2026"/>
      <c r="D3960" s="2026"/>
      <c r="E3960" s="2026"/>
      <c r="F3960" s="2026"/>
      <c r="G3960" s="2026"/>
      <c r="H3960" s="2026"/>
      <c r="I3960" s="2026"/>
      <c r="J3960" s="2026"/>
      <c r="K3960" s="2026"/>
      <c r="L3960" s="2026"/>
      <c r="M3960" s="2026"/>
      <c r="N3960" s="2026"/>
      <c r="O3960" s="2026"/>
      <c r="P3960" s="2026"/>
      <c r="Q3960" s="2026"/>
      <c r="R3960" s="2026"/>
      <c r="S3960" s="2026"/>
      <c r="T3960" s="2026"/>
      <c r="U3960" s="2026"/>
      <c r="V3960" s="2026"/>
      <c r="W3960" s="2026"/>
      <c r="X3960" s="2026"/>
      <c r="Y3960" s="2026"/>
      <c r="Z3960" s="2026"/>
      <c r="AA3960" s="2026"/>
      <c r="AB3960" s="2026"/>
      <c r="AC3960" s="2026"/>
      <c r="AD3960" s="2026"/>
      <c r="AE3960" s="1041" t="s">
        <v>1834</v>
      </c>
      <c r="AF3960" s="1042" t="s">
        <v>1835</v>
      </c>
    </row>
    <row r="3961" spans="1:32" ht="21" customHeight="1" thickBot="1" x14ac:dyDescent="0.25">
      <c r="A3961" s="2027"/>
      <c r="B3961" s="2028"/>
      <c r="C3961" s="2028"/>
      <c r="D3961" s="2028"/>
      <c r="E3961" s="2028"/>
      <c r="F3961" s="2028"/>
      <c r="G3961" s="2028"/>
      <c r="H3961" s="2028"/>
      <c r="I3961" s="2028"/>
      <c r="J3961" s="2028"/>
      <c r="K3961" s="2028"/>
      <c r="L3961" s="2028"/>
      <c r="M3961" s="2028"/>
      <c r="N3961" s="2028"/>
      <c r="O3961" s="2028"/>
      <c r="P3961" s="2028"/>
      <c r="Q3961" s="2028"/>
      <c r="R3961" s="2028"/>
      <c r="S3961" s="2028"/>
      <c r="T3961" s="2028"/>
      <c r="U3961" s="2028"/>
      <c r="V3961" s="2028"/>
      <c r="W3961" s="2028"/>
      <c r="X3961" s="2028"/>
      <c r="Y3961" s="2028"/>
      <c r="Z3961" s="2028"/>
      <c r="AA3961" s="2028"/>
      <c r="AB3961" s="2028"/>
      <c r="AC3961" s="2028"/>
      <c r="AD3961" s="2028"/>
      <c r="AE3961" s="1041" t="s">
        <v>1836</v>
      </c>
      <c r="AF3961" s="1044">
        <v>1</v>
      </c>
    </row>
    <row r="3962" spans="1:32" ht="15.75" x14ac:dyDescent="0.2">
      <c r="A3962" s="2029"/>
      <c r="B3962" s="2030"/>
      <c r="C3962" s="2030"/>
      <c r="D3962" s="2031"/>
      <c r="E3962" s="2025" t="str">
        <f>'01'!$A$12</f>
        <v>"CONSTRUCCION SISTEMA DE ACUEDUCTO FASE II DEL MUNICIPIO DE TESALIA DPTO DEL HUILA"</v>
      </c>
      <c r="F3962" s="2026"/>
      <c r="G3962" s="2026"/>
      <c r="H3962" s="2026"/>
      <c r="I3962" s="2026"/>
      <c r="J3962" s="2026"/>
      <c r="K3962" s="2026"/>
      <c r="L3962" s="2026"/>
      <c r="M3962" s="2026"/>
      <c r="N3962" s="2026"/>
      <c r="O3962" s="2026"/>
      <c r="P3962" s="2026"/>
      <c r="Q3962" s="2026"/>
      <c r="R3962" s="2026"/>
      <c r="S3962" s="2026"/>
      <c r="T3962" s="2026"/>
      <c r="U3962" s="2026"/>
      <c r="V3962" s="2026"/>
      <c r="W3962" s="2026"/>
      <c r="X3962" s="2026"/>
      <c r="Y3962" s="2026"/>
      <c r="Z3962" s="2026"/>
      <c r="AA3962" s="2026"/>
      <c r="AB3962" s="2026"/>
      <c r="AC3962" s="2026"/>
      <c r="AD3962" s="2035"/>
      <c r="AE3962" s="1041" t="s">
        <v>847</v>
      </c>
      <c r="AF3962" s="1045">
        <f>'01'!$M$13</f>
        <v>0</v>
      </c>
    </row>
    <row r="3963" spans="1:32" ht="16.5" thickBot="1" x14ac:dyDescent="0.25">
      <c r="A3963" s="2032"/>
      <c r="B3963" s="2033"/>
      <c r="C3963" s="2033"/>
      <c r="D3963" s="2034"/>
      <c r="E3963" s="2027"/>
      <c r="F3963" s="2028"/>
      <c r="G3963" s="2028"/>
      <c r="H3963" s="2028"/>
      <c r="I3963" s="2028"/>
      <c r="J3963" s="2028"/>
      <c r="K3963" s="2028"/>
      <c r="L3963" s="2028"/>
      <c r="M3963" s="2028"/>
      <c r="N3963" s="2028"/>
      <c r="O3963" s="2028"/>
      <c r="P3963" s="2028"/>
      <c r="Q3963" s="2028"/>
      <c r="R3963" s="2028"/>
      <c r="S3963" s="2028"/>
      <c r="T3963" s="2028"/>
      <c r="U3963" s="2028"/>
      <c r="V3963" s="2028"/>
      <c r="W3963" s="2028"/>
      <c r="X3963" s="2028"/>
      <c r="Y3963" s="2028"/>
      <c r="Z3963" s="2028"/>
      <c r="AA3963" s="2028"/>
      <c r="AB3963" s="2028"/>
      <c r="AC3963" s="2028"/>
      <c r="AD3963" s="2036"/>
      <c r="AE3963" s="1041" t="s">
        <v>1837</v>
      </c>
      <c r="AF3963" s="1042" t="s">
        <v>1838</v>
      </c>
    </row>
    <row r="3964" spans="1:32" ht="15.75" x14ac:dyDescent="0.25">
      <c r="A3964" s="2037" t="s">
        <v>1860</v>
      </c>
      <c r="B3964" s="2038"/>
      <c r="C3964" s="2038"/>
      <c r="D3964" s="2038"/>
      <c r="E3964" s="2038"/>
      <c r="F3964" s="2038"/>
      <c r="G3964" s="2038"/>
      <c r="H3964" s="2038"/>
      <c r="I3964" s="2038"/>
      <c r="J3964" s="2038"/>
      <c r="K3964" s="2038"/>
      <c r="L3964" s="2038"/>
      <c r="M3964" s="2038"/>
      <c r="N3964" s="2038"/>
      <c r="O3964" s="2038"/>
      <c r="P3964" s="2038"/>
      <c r="Q3964" s="2038"/>
      <c r="R3964" s="2038"/>
      <c r="S3964" s="2038"/>
      <c r="T3964" s="2038"/>
      <c r="U3964" s="2038"/>
      <c r="V3964" s="2038"/>
      <c r="W3964" s="2038"/>
      <c r="X3964" s="2038"/>
      <c r="Y3964" s="2038"/>
      <c r="Z3964" s="2038"/>
      <c r="AA3964" s="2038"/>
      <c r="AB3964" s="2038"/>
      <c r="AC3964" s="2038"/>
      <c r="AD3964" s="2038"/>
      <c r="AE3964" s="2039" t="s">
        <v>1839</v>
      </c>
      <c r="AF3964" s="2040"/>
    </row>
    <row r="3965" spans="1:32" ht="15.75" x14ac:dyDescent="0.25">
      <c r="A3965" s="2041" t="s">
        <v>1840</v>
      </c>
      <c r="B3965" s="2042"/>
      <c r="C3965" s="2042"/>
      <c r="D3965" s="2042"/>
      <c r="E3965" s="2042"/>
      <c r="F3965" s="2042"/>
      <c r="G3965" s="2042"/>
      <c r="H3965" s="2042"/>
      <c r="I3965" s="2042"/>
      <c r="J3965" s="2042"/>
      <c r="K3965" s="2042"/>
      <c r="L3965" s="2042"/>
      <c r="M3965" s="2042"/>
      <c r="N3965" s="2042"/>
      <c r="O3965" s="2042"/>
      <c r="P3965" s="2042"/>
      <c r="Q3965" s="2042"/>
      <c r="R3965" s="2042"/>
      <c r="S3965" s="2042"/>
      <c r="T3965" s="2042"/>
      <c r="U3965" s="2042"/>
      <c r="V3965" s="2042"/>
      <c r="W3965" s="2042"/>
      <c r="X3965" s="2042"/>
      <c r="Y3965" s="2042"/>
      <c r="Z3965" s="2042"/>
      <c r="AA3965" s="2042"/>
      <c r="AB3965" s="2042"/>
      <c r="AC3965" s="2042"/>
      <c r="AD3965" s="2043"/>
      <c r="AE3965" s="2014" t="s">
        <v>1841</v>
      </c>
      <c r="AF3965" s="2044"/>
    </row>
    <row r="3966" spans="1:32" ht="15.75" x14ac:dyDescent="0.25">
      <c r="A3966" s="2045" t="s">
        <v>1853</v>
      </c>
      <c r="B3966" s="2046"/>
      <c r="C3966" s="2046"/>
      <c r="D3966" s="2046"/>
      <c r="E3966" s="2046"/>
      <c r="F3966" s="2046"/>
      <c r="G3966" s="2046"/>
      <c r="H3966" s="2046"/>
      <c r="I3966" s="2046"/>
      <c r="J3966" s="2046"/>
      <c r="K3966" s="2046"/>
      <c r="L3966" s="2046"/>
      <c r="M3966" s="2046"/>
      <c r="N3966" s="2046"/>
      <c r="O3966" s="2046"/>
      <c r="P3966" s="2046"/>
      <c r="Q3966" s="2046"/>
      <c r="R3966" s="2046"/>
      <c r="S3966" s="2046"/>
      <c r="T3966" s="2046"/>
      <c r="U3966" s="2046"/>
      <c r="V3966" s="2046"/>
      <c r="W3966" s="2046"/>
      <c r="X3966" s="2046"/>
      <c r="Y3966" s="2046"/>
      <c r="Z3966" s="2046"/>
      <c r="AA3966" s="2046"/>
      <c r="AB3966" s="2046"/>
      <c r="AC3966" s="2046"/>
      <c r="AD3966" s="2046"/>
      <c r="AE3966" s="2047">
        <f>'01'!$M$13</f>
        <v>0</v>
      </c>
      <c r="AF3966" s="2044"/>
    </row>
    <row r="3967" spans="1:32" x14ac:dyDescent="0.2">
      <c r="A3967" s="1046"/>
      <c r="B3967" s="1047"/>
      <c r="C3967" s="1047"/>
      <c r="D3967" s="1047"/>
      <c r="E3967" s="1047"/>
      <c r="F3967" s="1047"/>
      <c r="G3967" s="1047"/>
      <c r="H3967" s="1047"/>
      <c r="I3967" s="1047"/>
      <c r="J3967" s="1047"/>
      <c r="K3967" s="1047"/>
      <c r="L3967" s="1047"/>
      <c r="M3967" s="1047"/>
      <c r="N3967" s="1047"/>
      <c r="O3967" s="1047"/>
      <c r="P3967" s="1047"/>
      <c r="Q3967" s="1047"/>
      <c r="R3967" s="1047"/>
      <c r="S3967" s="1047"/>
      <c r="T3967" s="1047"/>
      <c r="U3967" s="1047"/>
      <c r="V3967" s="1047"/>
      <c r="W3967" s="1047"/>
      <c r="X3967" s="1047"/>
      <c r="Y3967" s="1047"/>
      <c r="Z3967" s="1047"/>
      <c r="AA3967" s="1047"/>
      <c r="AB3967" s="1047"/>
      <c r="AC3967" s="1047"/>
      <c r="AD3967" s="1047"/>
      <c r="AE3967" s="1047"/>
      <c r="AF3967" s="1048"/>
    </row>
    <row r="3968" spans="1:32" ht="30" customHeight="1" x14ac:dyDescent="0.2">
      <c r="A3968" s="2048" t="s">
        <v>1842</v>
      </c>
      <c r="B3968" s="2049"/>
      <c r="C3968" s="2049"/>
      <c r="D3968" s="2049"/>
      <c r="E3968" s="2049"/>
      <c r="F3968" s="2050" t="str">
        <f>+'01'!$H$163</f>
        <v>F - LECHOS DE SECADO</v>
      </c>
      <c r="G3968" s="2049"/>
      <c r="H3968" s="2049"/>
      <c r="I3968" s="2049"/>
      <c r="J3968" s="2049"/>
      <c r="K3968" s="2049"/>
      <c r="L3968" s="2049"/>
      <c r="M3968" s="2049"/>
      <c r="N3968" s="2049"/>
      <c r="O3968" s="2049"/>
      <c r="P3968" s="2049"/>
      <c r="Q3968" s="2049"/>
      <c r="R3968" s="2049"/>
      <c r="S3968" s="2049"/>
      <c r="T3968" s="2049"/>
      <c r="U3968" s="2049"/>
      <c r="V3968" s="2049"/>
      <c r="W3968" s="2049"/>
      <c r="X3968" s="2049"/>
      <c r="Y3968" s="2051"/>
      <c r="Z3968" s="2052" t="s">
        <v>1843</v>
      </c>
      <c r="AA3968" s="2053"/>
      <c r="AB3968" s="2058" t="s">
        <v>1844</v>
      </c>
      <c r="AC3968" s="2059"/>
      <c r="AD3968" s="2060"/>
      <c r="AE3968" s="2064" t="s">
        <v>1845</v>
      </c>
      <c r="AF3968" s="2067" t="s">
        <v>1846</v>
      </c>
    </row>
    <row r="3969" spans="1:32" ht="15" customHeight="1" x14ac:dyDescent="0.2">
      <c r="A3969" s="2070" t="str">
        <f>+'01'!A170</f>
        <v>F-03-01</v>
      </c>
      <c r="B3969" s="2071"/>
      <c r="C3969" s="2072"/>
      <c r="D3969" s="2076" t="str">
        <f>VLOOKUP(A3969,'01'!$A$12:$N$299,3,FALSE)</f>
        <v>MATERIAL SOPORTE EN INSTALACION DE TUBERIA. CAMA DE ARENA DE BASE 0.10 METROS Y 0.15 METROS POR ENCIMA DE LA COTA CLAVE DE LA TUBERIA.</v>
      </c>
      <c r="E3969" s="2077"/>
      <c r="F3969" s="2077"/>
      <c r="G3969" s="2077"/>
      <c r="H3969" s="2077"/>
      <c r="I3969" s="2077"/>
      <c r="J3969" s="2077"/>
      <c r="K3969" s="2077"/>
      <c r="L3969" s="2077"/>
      <c r="M3969" s="2077"/>
      <c r="N3969" s="2077"/>
      <c r="O3969" s="2077"/>
      <c r="P3969" s="2077"/>
      <c r="Q3969" s="2077"/>
      <c r="R3969" s="2077"/>
      <c r="S3969" s="2078"/>
      <c r="T3969" s="2082" t="s">
        <v>124</v>
      </c>
      <c r="U3969" s="2083"/>
      <c r="V3969" s="2083"/>
      <c r="W3969" s="2083"/>
      <c r="X3969" s="2052" t="str">
        <f>VLOOKUP(A3969,'01'!$A$12:$N$299,9,FALSE)</f>
        <v>M3</v>
      </c>
      <c r="Y3969" s="2053"/>
      <c r="Z3969" s="2054"/>
      <c r="AA3969" s="2055"/>
      <c r="AB3969" s="2061"/>
      <c r="AC3969" s="2062"/>
      <c r="AD3969" s="2063"/>
      <c r="AE3969" s="2065"/>
      <c r="AF3969" s="2068"/>
    </row>
    <row r="3970" spans="1:32" ht="30" customHeight="1" x14ac:dyDescent="0.25">
      <c r="A3970" s="2073"/>
      <c r="B3970" s="2074"/>
      <c r="C3970" s="2075"/>
      <c r="D3970" s="2079"/>
      <c r="E3970" s="2080"/>
      <c r="F3970" s="2080"/>
      <c r="G3970" s="2080"/>
      <c r="H3970" s="2080"/>
      <c r="I3970" s="2080"/>
      <c r="J3970" s="2080"/>
      <c r="K3970" s="2080"/>
      <c r="L3970" s="2080"/>
      <c r="M3970" s="2080"/>
      <c r="N3970" s="2080"/>
      <c r="O3970" s="2080"/>
      <c r="P3970" s="2080"/>
      <c r="Q3970" s="2080"/>
      <c r="R3970" s="2080"/>
      <c r="S3970" s="2081"/>
      <c r="T3970" s="2084"/>
      <c r="U3970" s="2085"/>
      <c r="V3970" s="2085"/>
      <c r="W3970" s="2085"/>
      <c r="X3970" s="2056"/>
      <c r="Y3970" s="2057"/>
      <c r="Z3970" s="2056"/>
      <c r="AA3970" s="2057"/>
      <c r="AB3970" s="1049" t="s">
        <v>1847</v>
      </c>
      <c r="AC3970" s="1049" t="s">
        <v>1848</v>
      </c>
      <c r="AD3970" s="1049" t="s">
        <v>1861</v>
      </c>
      <c r="AE3970" s="2066"/>
      <c r="AF3970" s="2069"/>
    </row>
    <row r="3971" spans="1:32" ht="15.6" customHeight="1" x14ac:dyDescent="0.25">
      <c r="A3971" s="2017"/>
      <c r="B3971" s="2018"/>
      <c r="C3971" s="2018"/>
      <c r="D3971" s="2018"/>
      <c r="E3971" s="2018"/>
      <c r="F3971" s="2018"/>
      <c r="G3971" s="2018"/>
      <c r="H3971" s="2018"/>
      <c r="I3971" s="2018"/>
      <c r="J3971" s="2018"/>
      <c r="K3971" s="2018"/>
      <c r="L3971" s="2018"/>
      <c r="M3971" s="2018"/>
      <c r="N3971" s="2018"/>
      <c r="O3971" s="2018"/>
      <c r="P3971" s="2018"/>
      <c r="Q3971" s="2018"/>
      <c r="R3971" s="2018"/>
      <c r="S3971" s="2018"/>
      <c r="T3971" s="2018"/>
      <c r="U3971" s="2018"/>
      <c r="V3971" s="2018"/>
      <c r="W3971" s="2018"/>
      <c r="X3971" s="2018"/>
      <c r="Y3971" s="2018"/>
      <c r="Z3971" s="2021" t="s">
        <v>2484</v>
      </c>
      <c r="AA3971" s="2021"/>
      <c r="AB3971" s="1050">
        <v>0</v>
      </c>
      <c r="AC3971" s="1050">
        <v>0</v>
      </c>
      <c r="AD3971" s="1050">
        <v>0</v>
      </c>
      <c r="AE3971" s="1050">
        <v>0</v>
      </c>
      <c r="AF3971" s="1052">
        <f>+ROUND(AB3971*AC3971*AD3971*AE3971,2)</f>
        <v>0</v>
      </c>
    </row>
    <row r="3972" spans="1:32" ht="15.6" customHeight="1" x14ac:dyDescent="0.25">
      <c r="A3972" s="2017"/>
      <c r="B3972" s="2018"/>
      <c r="C3972" s="2018"/>
      <c r="D3972" s="2018"/>
      <c r="E3972" s="2018"/>
      <c r="F3972" s="2018"/>
      <c r="G3972" s="2018"/>
      <c r="H3972" s="2018"/>
      <c r="I3972" s="2018"/>
      <c r="J3972" s="2018"/>
      <c r="K3972" s="2018"/>
      <c r="L3972" s="2018"/>
      <c r="M3972" s="2018"/>
      <c r="N3972" s="2018"/>
      <c r="O3972" s="2018"/>
      <c r="P3972" s="2018"/>
      <c r="Q3972" s="2018"/>
      <c r="R3972" s="2018"/>
      <c r="S3972" s="2018"/>
      <c r="T3972" s="2018"/>
      <c r="U3972" s="2018"/>
      <c r="V3972" s="2018"/>
      <c r="W3972" s="2018"/>
      <c r="X3972" s="2018"/>
      <c r="Y3972" s="2018"/>
      <c r="Z3972" s="2021" t="s">
        <v>2485</v>
      </c>
      <c r="AA3972" s="2021"/>
      <c r="AB3972" s="1050">
        <v>0</v>
      </c>
      <c r="AC3972" s="1050">
        <v>0</v>
      </c>
      <c r="AD3972" s="1050">
        <v>0</v>
      </c>
      <c r="AE3972" s="1050">
        <v>0</v>
      </c>
      <c r="AF3972" s="1052">
        <f>+ROUND(AB3972*AC3972*AD3972*AE3972,2)</f>
        <v>0</v>
      </c>
    </row>
    <row r="3973" spans="1:32" ht="15.75" x14ac:dyDescent="0.25">
      <c r="A3973" s="2017"/>
      <c r="B3973" s="2018"/>
      <c r="C3973" s="2018"/>
      <c r="D3973" s="2018"/>
      <c r="E3973" s="2018"/>
      <c r="F3973" s="2018"/>
      <c r="G3973" s="2018"/>
      <c r="H3973" s="2018"/>
      <c r="I3973" s="2018"/>
      <c r="J3973" s="2018"/>
      <c r="K3973" s="2018"/>
      <c r="L3973" s="2018"/>
      <c r="M3973" s="2018"/>
      <c r="N3973" s="2018"/>
      <c r="O3973" s="2018"/>
      <c r="P3973" s="2018"/>
      <c r="Q3973" s="2018"/>
      <c r="R3973" s="2018"/>
      <c r="S3973" s="2018"/>
      <c r="T3973" s="2018"/>
      <c r="U3973" s="2018"/>
      <c r="V3973" s="2018"/>
      <c r="W3973" s="2018"/>
      <c r="X3973" s="2018"/>
      <c r="Y3973" s="2018"/>
      <c r="Z3973" s="2021" t="s">
        <v>2487</v>
      </c>
      <c r="AA3973" s="2021"/>
      <c r="AB3973" s="1050">
        <f>+AB3932</f>
        <v>15</v>
      </c>
      <c r="AC3973" s="1050">
        <v>0.5</v>
      </c>
      <c r="AD3973" s="1050">
        <v>0.1</v>
      </c>
      <c r="AE3973" s="1050">
        <v>1</v>
      </c>
      <c r="AF3973" s="1052">
        <f t="shared" ref="AF3973:AF3975" si="57">+ROUND(AB3973*AC3973*AD3973*AE3973,2)</f>
        <v>0.75</v>
      </c>
    </row>
    <row r="3974" spans="1:32" ht="15.75" x14ac:dyDescent="0.25">
      <c r="A3974" s="2017"/>
      <c r="B3974" s="2018"/>
      <c r="C3974" s="2018"/>
      <c r="D3974" s="2018"/>
      <c r="E3974" s="2018"/>
      <c r="F3974" s="2018"/>
      <c r="G3974" s="2018"/>
      <c r="H3974" s="2018"/>
      <c r="I3974" s="2018"/>
      <c r="J3974" s="2018"/>
      <c r="K3974" s="2018"/>
      <c r="L3974" s="2018"/>
      <c r="M3974" s="2018"/>
      <c r="N3974" s="2018"/>
      <c r="O3974" s="2018"/>
      <c r="P3974" s="2018"/>
      <c r="Q3974" s="2018"/>
      <c r="R3974" s="2018"/>
      <c r="S3974" s="2018"/>
      <c r="T3974" s="2018"/>
      <c r="U3974" s="2018"/>
      <c r="V3974" s="2018"/>
      <c r="W3974" s="2018"/>
      <c r="X3974" s="2018"/>
      <c r="Y3974" s="2018"/>
      <c r="Z3974" s="2021" t="s">
        <v>2488</v>
      </c>
      <c r="AA3974" s="2021"/>
      <c r="AB3974" s="1050">
        <f>+AB3933</f>
        <v>15</v>
      </c>
      <c r="AC3974" s="1050">
        <v>0.5</v>
      </c>
      <c r="AD3974" s="1050">
        <v>0.1</v>
      </c>
      <c r="AE3974" s="1050">
        <v>1</v>
      </c>
      <c r="AF3974" s="1052">
        <f t="shared" si="57"/>
        <v>0.75</v>
      </c>
    </row>
    <row r="3975" spans="1:32" ht="15.75" x14ac:dyDescent="0.25">
      <c r="A3975" s="2017"/>
      <c r="B3975" s="2018"/>
      <c r="C3975" s="2018"/>
      <c r="D3975" s="2018"/>
      <c r="E3975" s="2018"/>
      <c r="F3975" s="2018"/>
      <c r="G3975" s="2018"/>
      <c r="H3975" s="2018"/>
      <c r="I3975" s="2018"/>
      <c r="J3975" s="2018"/>
      <c r="K3975" s="2018"/>
      <c r="L3975" s="2018"/>
      <c r="M3975" s="2018"/>
      <c r="N3975" s="2018"/>
      <c r="O3975" s="2018"/>
      <c r="P3975" s="2018"/>
      <c r="Q3975" s="2018"/>
      <c r="R3975" s="2018"/>
      <c r="S3975" s="2018"/>
      <c r="T3975" s="2018"/>
      <c r="U3975" s="2018"/>
      <c r="V3975" s="2018"/>
      <c r="W3975" s="2018"/>
      <c r="X3975" s="2018"/>
      <c r="Y3975" s="2018"/>
      <c r="Z3975" s="2021" t="s">
        <v>2507</v>
      </c>
      <c r="AA3975" s="2021"/>
      <c r="AB3975" s="1050">
        <v>3</v>
      </c>
      <c r="AC3975" s="1050">
        <v>3</v>
      </c>
      <c r="AD3975" s="1050">
        <v>0.25</v>
      </c>
      <c r="AE3975" s="1050">
        <v>4</v>
      </c>
      <c r="AF3975" s="1052">
        <f t="shared" si="57"/>
        <v>9</v>
      </c>
    </row>
    <row r="3976" spans="1:32" ht="15.75" x14ac:dyDescent="0.25">
      <c r="A3976" s="2017"/>
      <c r="B3976" s="2018"/>
      <c r="C3976" s="2018"/>
      <c r="D3976" s="2018"/>
      <c r="E3976" s="2018"/>
      <c r="F3976" s="2018"/>
      <c r="G3976" s="2018"/>
      <c r="H3976" s="2018"/>
      <c r="I3976" s="2018"/>
      <c r="J3976" s="2018"/>
      <c r="K3976" s="2018"/>
      <c r="L3976" s="2018"/>
      <c r="M3976" s="2018"/>
      <c r="N3976" s="2018"/>
      <c r="O3976" s="2018"/>
      <c r="P3976" s="2018"/>
      <c r="Q3976" s="2018"/>
      <c r="R3976" s="2018"/>
      <c r="S3976" s="2018"/>
      <c r="T3976" s="2018"/>
      <c r="U3976" s="2018"/>
      <c r="V3976" s="2018"/>
      <c r="W3976" s="2018"/>
      <c r="X3976" s="2018"/>
      <c r="Y3976" s="2018"/>
      <c r="Z3976" s="2021"/>
      <c r="AA3976" s="2021"/>
      <c r="AB3976" s="1050"/>
      <c r="AC3976" s="1050"/>
      <c r="AD3976" s="1050"/>
      <c r="AE3976" s="1050"/>
      <c r="AF3976" s="1052"/>
    </row>
    <row r="3977" spans="1:32" ht="15.75" x14ac:dyDescent="0.25">
      <c r="A3977" s="2017"/>
      <c r="B3977" s="2018"/>
      <c r="C3977" s="2018"/>
      <c r="D3977" s="2018"/>
      <c r="E3977" s="2018"/>
      <c r="F3977" s="2018"/>
      <c r="G3977" s="2018"/>
      <c r="H3977" s="2018"/>
      <c r="I3977" s="2018"/>
      <c r="J3977" s="2018"/>
      <c r="K3977" s="2018"/>
      <c r="L3977" s="2018"/>
      <c r="M3977" s="2018"/>
      <c r="N3977" s="2018"/>
      <c r="O3977" s="2018"/>
      <c r="P3977" s="2018"/>
      <c r="Q3977" s="2018"/>
      <c r="R3977" s="2018"/>
      <c r="S3977" s="2018"/>
      <c r="T3977" s="2018"/>
      <c r="U3977" s="2018"/>
      <c r="V3977" s="2018"/>
      <c r="W3977" s="2018"/>
      <c r="X3977" s="2018"/>
      <c r="Y3977" s="2018"/>
      <c r="Z3977" s="2021"/>
      <c r="AA3977" s="2021"/>
      <c r="AB3977" s="1050"/>
      <c r="AC3977" s="1050"/>
      <c r="AD3977" s="1050"/>
      <c r="AE3977" s="1050"/>
      <c r="AF3977" s="1052"/>
    </row>
    <row r="3978" spans="1:32" ht="15.75" x14ac:dyDescent="0.25">
      <c r="A3978" s="2017"/>
      <c r="B3978" s="2018"/>
      <c r="C3978" s="2018"/>
      <c r="D3978" s="2018"/>
      <c r="E3978" s="2018"/>
      <c r="F3978" s="2018"/>
      <c r="G3978" s="2018"/>
      <c r="H3978" s="2018"/>
      <c r="I3978" s="2018"/>
      <c r="J3978" s="2018"/>
      <c r="K3978" s="2018"/>
      <c r="L3978" s="2018"/>
      <c r="M3978" s="2018"/>
      <c r="N3978" s="2018"/>
      <c r="O3978" s="2018"/>
      <c r="P3978" s="2018"/>
      <c r="Q3978" s="2018"/>
      <c r="R3978" s="2018"/>
      <c r="S3978" s="2018"/>
      <c r="T3978" s="2018"/>
      <c r="U3978" s="2018"/>
      <c r="V3978" s="2018"/>
      <c r="W3978" s="2018"/>
      <c r="X3978" s="2018"/>
      <c r="Y3978" s="2018"/>
      <c r="Z3978" s="2021"/>
      <c r="AA3978" s="2021"/>
      <c r="AB3978" s="1050"/>
      <c r="AC3978" s="1050"/>
      <c r="AD3978" s="1050"/>
      <c r="AE3978" s="1050"/>
      <c r="AF3978" s="1052"/>
    </row>
    <row r="3979" spans="1:32" ht="15.75" x14ac:dyDescent="0.25">
      <c r="A3979" s="2017"/>
      <c r="B3979" s="2018"/>
      <c r="C3979" s="2018"/>
      <c r="D3979" s="2018"/>
      <c r="E3979" s="2018"/>
      <c r="F3979" s="2018"/>
      <c r="G3979" s="2018"/>
      <c r="H3979" s="2018"/>
      <c r="I3979" s="2018"/>
      <c r="J3979" s="2018"/>
      <c r="K3979" s="2018"/>
      <c r="L3979" s="2018"/>
      <c r="M3979" s="2018"/>
      <c r="N3979" s="2018"/>
      <c r="O3979" s="2018"/>
      <c r="P3979" s="2018"/>
      <c r="Q3979" s="2018"/>
      <c r="R3979" s="2018"/>
      <c r="S3979" s="2018"/>
      <c r="T3979" s="2018"/>
      <c r="U3979" s="2018"/>
      <c r="V3979" s="2018"/>
      <c r="W3979" s="2018"/>
      <c r="X3979" s="2018"/>
      <c r="Y3979" s="2018"/>
      <c r="Z3979" s="2021"/>
      <c r="AA3979" s="2021"/>
      <c r="AB3979" s="1050"/>
      <c r="AC3979" s="1050"/>
      <c r="AD3979" s="1050"/>
      <c r="AE3979" s="1050"/>
      <c r="AF3979" s="1052"/>
    </row>
    <row r="3980" spans="1:32" ht="15.75" x14ac:dyDescent="0.25">
      <c r="A3980" s="2017"/>
      <c r="B3980" s="2018"/>
      <c r="C3980" s="2018"/>
      <c r="D3980" s="2018"/>
      <c r="E3980" s="2018"/>
      <c r="F3980" s="2018"/>
      <c r="G3980" s="2018"/>
      <c r="H3980" s="2018"/>
      <c r="I3980" s="2018"/>
      <c r="J3980" s="2018"/>
      <c r="K3980" s="2018"/>
      <c r="L3980" s="2018"/>
      <c r="M3980" s="2018"/>
      <c r="N3980" s="2018"/>
      <c r="O3980" s="2018"/>
      <c r="P3980" s="2018"/>
      <c r="Q3980" s="2018"/>
      <c r="R3980" s="2018"/>
      <c r="S3980" s="2018"/>
      <c r="T3980" s="2018"/>
      <c r="U3980" s="2018"/>
      <c r="V3980" s="2018"/>
      <c r="W3980" s="2018"/>
      <c r="X3980" s="2018"/>
      <c r="Y3980" s="2018"/>
      <c r="Z3980" s="2021"/>
      <c r="AA3980" s="2021"/>
      <c r="AB3980" s="1050"/>
      <c r="AC3980" s="1050"/>
      <c r="AD3980" s="1050"/>
      <c r="AE3980" s="1050"/>
      <c r="AF3980" s="1052"/>
    </row>
    <row r="3981" spans="1:32" ht="15.75" x14ac:dyDescent="0.25">
      <c r="A3981" s="2017"/>
      <c r="B3981" s="2018"/>
      <c r="C3981" s="2018"/>
      <c r="D3981" s="2018"/>
      <c r="E3981" s="2018"/>
      <c r="F3981" s="2018"/>
      <c r="G3981" s="2018"/>
      <c r="H3981" s="2018"/>
      <c r="I3981" s="2018"/>
      <c r="J3981" s="2018"/>
      <c r="K3981" s="2018"/>
      <c r="L3981" s="2018"/>
      <c r="M3981" s="2018"/>
      <c r="N3981" s="2018"/>
      <c r="O3981" s="2018"/>
      <c r="P3981" s="2018"/>
      <c r="Q3981" s="2018"/>
      <c r="R3981" s="2018"/>
      <c r="S3981" s="2018"/>
      <c r="T3981" s="2018"/>
      <c r="U3981" s="2018"/>
      <c r="V3981" s="2018"/>
      <c r="W3981" s="2018"/>
      <c r="X3981" s="2018"/>
      <c r="Y3981" s="2018"/>
      <c r="Z3981" s="2021"/>
      <c r="AA3981" s="2021"/>
      <c r="AB3981" s="1050"/>
      <c r="AC3981" s="1050"/>
      <c r="AD3981" s="1050"/>
      <c r="AE3981" s="1050"/>
      <c r="AF3981" s="1052"/>
    </row>
    <row r="3982" spans="1:32" ht="15.75" x14ac:dyDescent="0.25">
      <c r="A3982" s="2017"/>
      <c r="B3982" s="2018"/>
      <c r="C3982" s="2018"/>
      <c r="D3982" s="2018"/>
      <c r="E3982" s="2018"/>
      <c r="F3982" s="2018"/>
      <c r="G3982" s="2018"/>
      <c r="H3982" s="2018"/>
      <c r="I3982" s="2018"/>
      <c r="J3982" s="2018"/>
      <c r="K3982" s="2018"/>
      <c r="L3982" s="2018"/>
      <c r="M3982" s="2018"/>
      <c r="N3982" s="2018"/>
      <c r="O3982" s="2018"/>
      <c r="P3982" s="2018"/>
      <c r="Q3982" s="2018"/>
      <c r="R3982" s="2018"/>
      <c r="S3982" s="2018"/>
      <c r="T3982" s="2018"/>
      <c r="U3982" s="2018"/>
      <c r="V3982" s="2018"/>
      <c r="W3982" s="2018"/>
      <c r="X3982" s="2018"/>
      <c r="Y3982" s="2018"/>
      <c r="Z3982" s="2021"/>
      <c r="AA3982" s="2021"/>
      <c r="AB3982" s="1050"/>
      <c r="AC3982" s="1050"/>
      <c r="AD3982" s="1050"/>
      <c r="AE3982" s="1050"/>
      <c r="AF3982" s="1052"/>
    </row>
    <row r="3983" spans="1:32" ht="15.75" x14ac:dyDescent="0.25">
      <c r="A3983" s="2017"/>
      <c r="B3983" s="2018"/>
      <c r="C3983" s="2018"/>
      <c r="D3983" s="2018"/>
      <c r="E3983" s="2018"/>
      <c r="F3983" s="2018"/>
      <c r="G3983" s="2018"/>
      <c r="H3983" s="2018"/>
      <c r="I3983" s="2018"/>
      <c r="J3983" s="2018"/>
      <c r="K3983" s="2018"/>
      <c r="L3983" s="2018"/>
      <c r="M3983" s="2018"/>
      <c r="N3983" s="2018"/>
      <c r="O3983" s="2018"/>
      <c r="P3983" s="2018"/>
      <c r="Q3983" s="2018"/>
      <c r="R3983" s="2018"/>
      <c r="S3983" s="2018"/>
      <c r="T3983" s="2018"/>
      <c r="U3983" s="2018"/>
      <c r="V3983" s="2018"/>
      <c r="W3983" s="2018"/>
      <c r="X3983" s="2018"/>
      <c r="Y3983" s="2018"/>
      <c r="Z3983" s="2021"/>
      <c r="AA3983" s="2021"/>
      <c r="AB3983" s="1050"/>
      <c r="AC3983" s="1050"/>
      <c r="AD3983" s="1050"/>
      <c r="AE3983" s="1050"/>
      <c r="AF3983" s="1052"/>
    </row>
    <row r="3984" spans="1:32" ht="15.75" x14ac:dyDescent="0.25">
      <c r="A3984" s="2017"/>
      <c r="B3984" s="2018"/>
      <c r="C3984" s="2018"/>
      <c r="D3984" s="2018"/>
      <c r="E3984" s="2018"/>
      <c r="F3984" s="2018"/>
      <c r="G3984" s="2018"/>
      <c r="H3984" s="2018"/>
      <c r="I3984" s="2018"/>
      <c r="J3984" s="2018"/>
      <c r="K3984" s="2018"/>
      <c r="L3984" s="2018"/>
      <c r="M3984" s="2018"/>
      <c r="N3984" s="2018"/>
      <c r="O3984" s="2018"/>
      <c r="P3984" s="2018"/>
      <c r="Q3984" s="2018"/>
      <c r="R3984" s="2018"/>
      <c r="S3984" s="2018"/>
      <c r="T3984" s="2018"/>
      <c r="U3984" s="2018"/>
      <c r="V3984" s="2018"/>
      <c r="W3984" s="2018"/>
      <c r="X3984" s="2018"/>
      <c r="Y3984" s="2018"/>
      <c r="Z3984" s="2021"/>
      <c r="AA3984" s="2021"/>
      <c r="AB3984" s="1050"/>
      <c r="AC3984" s="1050"/>
      <c r="AD3984" s="1050"/>
      <c r="AE3984" s="1050"/>
      <c r="AF3984" s="1052"/>
    </row>
    <row r="3985" spans="1:32" ht="15.75" x14ac:dyDescent="0.25">
      <c r="A3985" s="2017"/>
      <c r="B3985" s="2018"/>
      <c r="C3985" s="2018"/>
      <c r="D3985" s="2018"/>
      <c r="E3985" s="2018"/>
      <c r="F3985" s="2018"/>
      <c r="G3985" s="2018"/>
      <c r="H3985" s="2018"/>
      <c r="I3985" s="2018"/>
      <c r="J3985" s="2018"/>
      <c r="K3985" s="2018"/>
      <c r="L3985" s="2018"/>
      <c r="M3985" s="2018"/>
      <c r="N3985" s="2018"/>
      <c r="O3985" s="2018"/>
      <c r="P3985" s="2018"/>
      <c r="Q3985" s="2018"/>
      <c r="R3985" s="2018"/>
      <c r="S3985" s="2018"/>
      <c r="T3985" s="2018"/>
      <c r="U3985" s="2018"/>
      <c r="V3985" s="2018"/>
      <c r="W3985" s="2018"/>
      <c r="X3985" s="2018"/>
      <c r="Y3985" s="2018"/>
      <c r="Z3985" s="2022"/>
      <c r="AA3985" s="2022"/>
      <c r="AB3985" s="1050"/>
      <c r="AC3985" s="1050"/>
      <c r="AD3985" s="1050"/>
      <c r="AE3985" s="1050"/>
      <c r="AF3985" s="1052"/>
    </row>
    <row r="3986" spans="1:32" ht="15.75" x14ac:dyDescent="0.25">
      <c r="A3986" s="2017"/>
      <c r="B3986" s="2018"/>
      <c r="C3986" s="2018"/>
      <c r="D3986" s="2018"/>
      <c r="E3986" s="2018"/>
      <c r="F3986" s="2018"/>
      <c r="G3986" s="2018"/>
      <c r="H3986" s="2018"/>
      <c r="I3986" s="2018"/>
      <c r="J3986" s="2018"/>
      <c r="K3986" s="2018"/>
      <c r="L3986" s="2018"/>
      <c r="M3986" s="2018"/>
      <c r="N3986" s="2018"/>
      <c r="O3986" s="2018"/>
      <c r="P3986" s="2018"/>
      <c r="Q3986" s="2018"/>
      <c r="R3986" s="2018"/>
      <c r="S3986" s="2018"/>
      <c r="T3986" s="2018"/>
      <c r="U3986" s="2018"/>
      <c r="V3986" s="2018"/>
      <c r="W3986" s="2018"/>
      <c r="X3986" s="2018"/>
      <c r="Y3986" s="2018"/>
      <c r="Z3986" s="2022"/>
      <c r="AA3986" s="2022"/>
      <c r="AB3986" s="1050"/>
      <c r="AC3986" s="1050"/>
      <c r="AD3986" s="1050"/>
      <c r="AE3986" s="1050"/>
      <c r="AF3986" s="1052"/>
    </row>
    <row r="3987" spans="1:32" ht="15.75" x14ac:dyDescent="0.25">
      <c r="A3987" s="2017"/>
      <c r="B3987" s="2018"/>
      <c r="C3987" s="2018"/>
      <c r="D3987" s="2018"/>
      <c r="E3987" s="2018"/>
      <c r="F3987" s="2018"/>
      <c r="G3987" s="2018"/>
      <c r="H3987" s="2018"/>
      <c r="I3987" s="2018"/>
      <c r="J3987" s="2018"/>
      <c r="K3987" s="2018"/>
      <c r="L3987" s="2018"/>
      <c r="M3987" s="2018"/>
      <c r="N3987" s="2018"/>
      <c r="O3987" s="2018"/>
      <c r="P3987" s="2018"/>
      <c r="Q3987" s="2018"/>
      <c r="R3987" s="2018"/>
      <c r="S3987" s="2018"/>
      <c r="T3987" s="2018"/>
      <c r="U3987" s="2018"/>
      <c r="V3987" s="2018"/>
      <c r="W3987" s="2018"/>
      <c r="X3987" s="2018"/>
      <c r="Y3987" s="2018"/>
      <c r="Z3987" s="2022"/>
      <c r="AA3987" s="2022"/>
      <c r="AB3987" s="1050"/>
      <c r="AC3987" s="1050"/>
      <c r="AD3987" s="1050"/>
      <c r="AE3987" s="1050"/>
      <c r="AF3987" s="1052"/>
    </row>
    <row r="3988" spans="1:32" ht="15.75" x14ac:dyDescent="0.25">
      <c r="A3988" s="2017"/>
      <c r="B3988" s="2018"/>
      <c r="C3988" s="2018"/>
      <c r="D3988" s="2018"/>
      <c r="E3988" s="2018"/>
      <c r="F3988" s="2018"/>
      <c r="G3988" s="2018"/>
      <c r="H3988" s="2018"/>
      <c r="I3988" s="2018"/>
      <c r="J3988" s="2018"/>
      <c r="K3988" s="2018"/>
      <c r="L3988" s="2018"/>
      <c r="M3988" s="2018"/>
      <c r="N3988" s="2018"/>
      <c r="O3988" s="2018"/>
      <c r="P3988" s="2018"/>
      <c r="Q3988" s="2018"/>
      <c r="R3988" s="2018"/>
      <c r="S3988" s="2018"/>
      <c r="T3988" s="2018"/>
      <c r="U3988" s="2018"/>
      <c r="V3988" s="2018"/>
      <c r="W3988" s="2018"/>
      <c r="X3988" s="2018"/>
      <c r="Y3988" s="2018"/>
      <c r="Z3988" s="2023"/>
      <c r="AA3988" s="2023"/>
      <c r="AB3988" s="1050"/>
      <c r="AC3988" s="1050"/>
      <c r="AD3988" s="1050"/>
      <c r="AE3988" s="1050"/>
      <c r="AF3988" s="1052"/>
    </row>
    <row r="3989" spans="1:32" ht="15.75" x14ac:dyDescent="0.25">
      <c r="A3989" s="2017"/>
      <c r="B3989" s="2018"/>
      <c r="C3989" s="2018"/>
      <c r="D3989" s="2018"/>
      <c r="E3989" s="2018"/>
      <c r="F3989" s="2018"/>
      <c r="G3989" s="2018"/>
      <c r="H3989" s="2018"/>
      <c r="I3989" s="2018"/>
      <c r="J3989" s="2018"/>
      <c r="K3989" s="2018"/>
      <c r="L3989" s="2018"/>
      <c r="M3989" s="2018"/>
      <c r="N3989" s="2018"/>
      <c r="O3989" s="2018"/>
      <c r="P3989" s="2018"/>
      <c r="Q3989" s="2018"/>
      <c r="R3989" s="2018"/>
      <c r="S3989" s="2018"/>
      <c r="T3989" s="2018"/>
      <c r="U3989" s="2018"/>
      <c r="V3989" s="2018"/>
      <c r="W3989" s="2018"/>
      <c r="X3989" s="2018"/>
      <c r="Y3989" s="2018"/>
      <c r="Z3989" s="2023"/>
      <c r="AA3989" s="2023"/>
      <c r="AB3989" s="1050"/>
      <c r="AC3989" s="1050"/>
      <c r="AD3989" s="1050"/>
      <c r="AE3989" s="1050"/>
      <c r="AF3989" s="1052"/>
    </row>
    <row r="3990" spans="1:32" ht="15.75" x14ac:dyDescent="0.25">
      <c r="A3990" s="2017"/>
      <c r="B3990" s="2018"/>
      <c r="C3990" s="2018"/>
      <c r="D3990" s="2018"/>
      <c r="E3990" s="2018"/>
      <c r="F3990" s="2018"/>
      <c r="G3990" s="2018"/>
      <c r="H3990" s="2018"/>
      <c r="I3990" s="2018"/>
      <c r="J3990" s="2018"/>
      <c r="K3990" s="2018"/>
      <c r="L3990" s="2018"/>
      <c r="M3990" s="2018"/>
      <c r="N3990" s="2018"/>
      <c r="O3990" s="2018"/>
      <c r="P3990" s="2018"/>
      <c r="Q3990" s="2018"/>
      <c r="R3990" s="2018"/>
      <c r="S3990" s="2018"/>
      <c r="T3990" s="2018"/>
      <c r="U3990" s="2018"/>
      <c r="V3990" s="2018"/>
      <c r="W3990" s="2018"/>
      <c r="X3990" s="2018"/>
      <c r="Y3990" s="2018"/>
      <c r="Z3990" s="2023"/>
      <c r="AA3990" s="2023"/>
      <c r="AB3990" s="1050"/>
      <c r="AC3990" s="1050"/>
      <c r="AD3990" s="1050"/>
      <c r="AE3990" s="1050"/>
      <c r="AF3990" s="1052"/>
    </row>
    <row r="3991" spans="1:32" ht="15.75" x14ac:dyDescent="0.25">
      <c r="A3991" s="2017"/>
      <c r="B3991" s="2018"/>
      <c r="C3991" s="2018"/>
      <c r="D3991" s="2018"/>
      <c r="E3991" s="2018"/>
      <c r="F3991" s="2018"/>
      <c r="G3991" s="2018"/>
      <c r="H3991" s="2018"/>
      <c r="I3991" s="2018"/>
      <c r="J3991" s="2018"/>
      <c r="K3991" s="2018"/>
      <c r="L3991" s="2018"/>
      <c r="M3991" s="2018"/>
      <c r="N3991" s="2018"/>
      <c r="O3991" s="2018"/>
      <c r="P3991" s="2018"/>
      <c r="Q3991" s="2018"/>
      <c r="R3991" s="2018"/>
      <c r="S3991" s="2018"/>
      <c r="T3991" s="2018"/>
      <c r="U3991" s="2018"/>
      <c r="V3991" s="2018"/>
      <c r="W3991" s="2018"/>
      <c r="X3991" s="2018"/>
      <c r="Y3991" s="2018"/>
      <c r="Z3991" s="2023"/>
      <c r="AA3991" s="2023"/>
      <c r="AB3991" s="1050"/>
      <c r="AC3991" s="1050"/>
      <c r="AD3991" s="1050"/>
      <c r="AE3991" s="1050"/>
      <c r="AF3991" s="1052"/>
    </row>
    <row r="3992" spans="1:32" ht="15.75" x14ac:dyDescent="0.25">
      <c r="A3992" s="2017"/>
      <c r="B3992" s="2018"/>
      <c r="C3992" s="2018"/>
      <c r="D3992" s="2018"/>
      <c r="E3992" s="2018"/>
      <c r="F3992" s="2018"/>
      <c r="G3992" s="2018"/>
      <c r="H3992" s="2018"/>
      <c r="I3992" s="2018"/>
      <c r="J3992" s="2018"/>
      <c r="K3992" s="2018"/>
      <c r="L3992" s="2018"/>
      <c r="M3992" s="2018"/>
      <c r="N3992" s="2018"/>
      <c r="O3992" s="2018"/>
      <c r="P3992" s="2018"/>
      <c r="Q3992" s="2018"/>
      <c r="R3992" s="2018"/>
      <c r="S3992" s="2018"/>
      <c r="T3992" s="2018"/>
      <c r="U3992" s="2018"/>
      <c r="V3992" s="2018"/>
      <c r="W3992" s="2018"/>
      <c r="X3992" s="2018"/>
      <c r="Y3992" s="2018"/>
      <c r="Z3992" s="2023"/>
      <c r="AA3992" s="2023"/>
      <c r="AB3992" s="1050"/>
      <c r="AC3992" s="1050"/>
      <c r="AD3992" s="1050"/>
      <c r="AE3992" s="1050"/>
      <c r="AF3992" s="1052"/>
    </row>
    <row r="3993" spans="1:32" ht="15.75" x14ac:dyDescent="0.25">
      <c r="A3993" s="2017"/>
      <c r="B3993" s="2018"/>
      <c r="C3993" s="2018"/>
      <c r="D3993" s="2018"/>
      <c r="E3993" s="2018"/>
      <c r="F3993" s="2018"/>
      <c r="G3993" s="2018"/>
      <c r="H3993" s="2018"/>
      <c r="I3993" s="2018"/>
      <c r="J3993" s="2018"/>
      <c r="K3993" s="2018"/>
      <c r="L3993" s="2018"/>
      <c r="M3993" s="2018"/>
      <c r="N3993" s="2018"/>
      <c r="O3993" s="2018"/>
      <c r="P3993" s="2018"/>
      <c r="Q3993" s="2018"/>
      <c r="R3993" s="2018"/>
      <c r="S3993" s="2018"/>
      <c r="T3993" s="2018"/>
      <c r="U3993" s="2018"/>
      <c r="V3993" s="2018"/>
      <c r="W3993" s="2018"/>
      <c r="X3993" s="2018"/>
      <c r="Y3993" s="2018"/>
      <c r="Z3993" s="2023"/>
      <c r="AA3993" s="2023"/>
      <c r="AB3993" s="1050"/>
      <c r="AC3993" s="1050"/>
      <c r="AD3993" s="1050"/>
      <c r="AE3993" s="1050"/>
      <c r="AF3993" s="1052"/>
    </row>
    <row r="3994" spans="1:32" ht="16.5" thickBot="1" x14ac:dyDescent="0.3">
      <c r="A3994" s="2019"/>
      <c r="B3994" s="2020"/>
      <c r="C3994" s="2020"/>
      <c r="D3994" s="2020"/>
      <c r="E3994" s="2020"/>
      <c r="F3994" s="2020"/>
      <c r="G3994" s="2020"/>
      <c r="H3994" s="2020"/>
      <c r="I3994" s="2020"/>
      <c r="J3994" s="2020"/>
      <c r="K3994" s="2020"/>
      <c r="L3994" s="2020"/>
      <c r="M3994" s="2020"/>
      <c r="N3994" s="2020"/>
      <c r="O3994" s="2020"/>
      <c r="P3994" s="2020"/>
      <c r="Q3994" s="2020"/>
      <c r="R3994" s="2020"/>
      <c r="S3994" s="2020"/>
      <c r="T3994" s="2020"/>
      <c r="U3994" s="2020"/>
      <c r="V3994" s="2020"/>
      <c r="W3994" s="2020"/>
      <c r="X3994" s="2020"/>
      <c r="Y3994" s="2020"/>
      <c r="Z3994" s="2024"/>
      <c r="AA3994" s="2024"/>
      <c r="AB3994" s="1057"/>
      <c r="AC3994" s="1057"/>
      <c r="AD3994" s="1057"/>
      <c r="AE3994" s="1057"/>
      <c r="AF3994" s="1058"/>
    </row>
    <row r="3995" spans="1:32" ht="15.75" x14ac:dyDescent="0.25">
      <c r="A3995" s="2009" t="s">
        <v>1855</v>
      </c>
      <c r="B3995" s="2010"/>
      <c r="C3995" s="2010"/>
      <c r="D3995" s="2010"/>
      <c r="E3995" s="2010"/>
      <c r="F3995" s="2010"/>
      <c r="G3995" s="2010"/>
      <c r="H3995" s="2010"/>
      <c r="I3995" s="2010"/>
      <c r="J3995" s="2010"/>
      <c r="K3995" s="2010"/>
      <c r="L3995" s="2010"/>
      <c r="M3995" s="2010"/>
      <c r="N3995" s="2010"/>
      <c r="O3995" s="2010"/>
      <c r="P3995" s="2010"/>
      <c r="Q3995" s="2010"/>
      <c r="R3995" s="2010"/>
      <c r="S3995" s="2010"/>
      <c r="T3995" s="2010"/>
      <c r="U3995" s="2010"/>
      <c r="V3995" s="2010"/>
      <c r="W3995" s="2010"/>
      <c r="X3995" s="2010"/>
      <c r="Y3995" s="2010"/>
      <c r="Z3995" s="2013" t="s">
        <v>1850</v>
      </c>
      <c r="AA3995" s="2013"/>
      <c r="AB3995" s="2013"/>
      <c r="AC3995" s="2013"/>
      <c r="AD3995" s="2013"/>
      <c r="AE3995" s="2013"/>
      <c r="AF3995" s="1059">
        <f>SUM(AF3971:AF3994)</f>
        <v>10.5</v>
      </c>
    </row>
    <row r="3996" spans="1:32" ht="15.75" x14ac:dyDescent="0.25">
      <c r="A3996" s="2011"/>
      <c r="B3996" s="2012"/>
      <c r="C3996" s="2012"/>
      <c r="D3996" s="2012"/>
      <c r="E3996" s="2012"/>
      <c r="F3996" s="2012"/>
      <c r="G3996" s="2012"/>
      <c r="H3996" s="2012"/>
      <c r="I3996" s="2012"/>
      <c r="J3996" s="2012"/>
      <c r="K3996" s="2012"/>
      <c r="L3996" s="2012"/>
      <c r="M3996" s="2012"/>
      <c r="N3996" s="2012"/>
      <c r="O3996" s="2012"/>
      <c r="P3996" s="2012"/>
      <c r="Q3996" s="2012"/>
      <c r="R3996" s="2012"/>
      <c r="S3996" s="2012"/>
      <c r="T3996" s="2012"/>
      <c r="U3996" s="2012"/>
      <c r="V3996" s="2012"/>
      <c r="W3996" s="2012"/>
      <c r="X3996" s="2012"/>
      <c r="Y3996" s="2012"/>
      <c r="Z3996" s="2014" t="s">
        <v>1851</v>
      </c>
      <c r="AA3996" s="2014"/>
      <c r="AB3996" s="2014"/>
      <c r="AC3996" s="2014"/>
      <c r="AD3996" s="2014"/>
      <c r="AE3996" s="2014"/>
      <c r="AF3996" s="1060">
        <v>0</v>
      </c>
    </row>
    <row r="3997" spans="1:32" ht="15.75" x14ac:dyDescent="0.25">
      <c r="A3997" s="2011"/>
      <c r="B3997" s="2012"/>
      <c r="C3997" s="2012"/>
      <c r="D3997" s="2012"/>
      <c r="E3997" s="2012"/>
      <c r="F3997" s="2012"/>
      <c r="G3997" s="2012"/>
      <c r="H3997" s="2012"/>
      <c r="I3997" s="2012"/>
      <c r="J3997" s="2012"/>
      <c r="K3997" s="2012"/>
      <c r="L3997" s="2012"/>
      <c r="M3997" s="2012"/>
      <c r="N3997" s="2012"/>
      <c r="O3997" s="2012"/>
      <c r="P3997" s="2012"/>
      <c r="Q3997" s="2012"/>
      <c r="R3997" s="2012"/>
      <c r="S3997" s="2012"/>
      <c r="T3997" s="2012"/>
      <c r="U3997" s="2012"/>
      <c r="V3997" s="2012"/>
      <c r="W3997" s="2012"/>
      <c r="X3997" s="2012"/>
      <c r="Y3997" s="2012"/>
      <c r="Z3997" s="2015" t="s">
        <v>1833</v>
      </c>
      <c r="AA3997" s="2015"/>
      <c r="AB3997" s="2015"/>
      <c r="AC3997" s="2015"/>
      <c r="AD3997" s="2015"/>
      <c r="AE3997" s="2015"/>
      <c r="AF3997" s="1061">
        <f>SUM(AF3995:AF3996)</f>
        <v>10.5</v>
      </c>
    </row>
    <row r="3998" spans="1:32" x14ac:dyDescent="0.2">
      <c r="A3998" s="2012" t="s">
        <v>1859</v>
      </c>
      <c r="B3998" s="2012"/>
      <c r="C3998" s="2012"/>
      <c r="D3998" s="2012"/>
      <c r="E3998" s="2012"/>
      <c r="F3998" s="2012"/>
      <c r="G3998" s="2012"/>
      <c r="H3998" s="2012"/>
      <c r="I3998" s="2012"/>
      <c r="J3998" s="2012"/>
      <c r="K3998" s="2012"/>
      <c r="L3998" s="2012"/>
      <c r="M3998" s="2012"/>
      <c r="N3998" s="2012"/>
      <c r="O3998" s="2012"/>
      <c r="P3998" s="2012"/>
      <c r="Q3998" s="2012"/>
      <c r="R3998" s="2012"/>
      <c r="S3998" s="2012"/>
      <c r="T3998" s="2016" t="s">
        <v>1840</v>
      </c>
      <c r="U3998" s="2016"/>
      <c r="V3998" s="2016"/>
      <c r="W3998" s="2016"/>
      <c r="X3998" s="2016"/>
      <c r="Y3998" s="2016"/>
      <c r="Z3998" s="2016"/>
      <c r="AA3998" s="2016"/>
      <c r="AB3998" s="2012" t="s">
        <v>1852</v>
      </c>
      <c r="AC3998" s="2012"/>
      <c r="AD3998" s="2012"/>
      <c r="AE3998" s="2012"/>
      <c r="AF3998" s="2012"/>
    </row>
    <row r="3999" spans="1:32" x14ac:dyDescent="0.2">
      <c r="A3999" s="2012"/>
      <c r="B3999" s="2012"/>
      <c r="C3999" s="2012"/>
      <c r="D3999" s="2012"/>
      <c r="E3999" s="2012"/>
      <c r="F3999" s="2012"/>
      <c r="G3999" s="2012"/>
      <c r="H3999" s="2012"/>
      <c r="I3999" s="2012"/>
      <c r="J3999" s="2012"/>
      <c r="K3999" s="2012"/>
      <c r="L3999" s="2012"/>
      <c r="M3999" s="2012"/>
      <c r="N3999" s="2012"/>
      <c r="O3999" s="2012"/>
      <c r="P3999" s="2012"/>
      <c r="Q3999" s="2012"/>
      <c r="R3999" s="2012"/>
      <c r="S3999" s="2012"/>
      <c r="T3999" s="2016"/>
      <c r="U3999" s="2016"/>
      <c r="V3999" s="2016"/>
      <c r="W3999" s="2016"/>
      <c r="X3999" s="2016"/>
      <c r="Y3999" s="2016"/>
      <c r="Z3999" s="2016"/>
      <c r="AA3999" s="2016"/>
      <c r="AB3999" s="2012"/>
      <c r="AC3999" s="2012"/>
      <c r="AD3999" s="2012"/>
      <c r="AE3999" s="2012"/>
      <c r="AF3999" s="2012"/>
    </row>
    <row r="4000" spans="1:32" ht="13.5" thickBot="1" x14ac:dyDescent="0.25"/>
    <row r="4001" spans="1:32" ht="26.45" customHeight="1" x14ac:dyDescent="0.2">
      <c r="A4001" s="2025" t="s">
        <v>1854</v>
      </c>
      <c r="B4001" s="2026"/>
      <c r="C4001" s="2026"/>
      <c r="D4001" s="2026"/>
      <c r="E4001" s="2026"/>
      <c r="F4001" s="2026"/>
      <c r="G4001" s="2026"/>
      <c r="H4001" s="2026"/>
      <c r="I4001" s="2026"/>
      <c r="J4001" s="2026"/>
      <c r="K4001" s="2026"/>
      <c r="L4001" s="2026"/>
      <c r="M4001" s="2026"/>
      <c r="N4001" s="2026"/>
      <c r="O4001" s="2026"/>
      <c r="P4001" s="2026"/>
      <c r="Q4001" s="2026"/>
      <c r="R4001" s="2026"/>
      <c r="S4001" s="2026"/>
      <c r="T4001" s="2026"/>
      <c r="U4001" s="2026"/>
      <c r="V4001" s="2026"/>
      <c r="W4001" s="2026"/>
      <c r="X4001" s="2026"/>
      <c r="Y4001" s="2026"/>
      <c r="Z4001" s="2026"/>
      <c r="AA4001" s="2026"/>
      <c r="AB4001" s="2026"/>
      <c r="AC4001" s="2026"/>
      <c r="AD4001" s="2026"/>
      <c r="AE4001" s="1041" t="s">
        <v>1834</v>
      </c>
      <c r="AF4001" s="1042" t="s">
        <v>1835</v>
      </c>
    </row>
    <row r="4002" spans="1:32" ht="21" customHeight="1" thickBot="1" x14ac:dyDescent="0.25">
      <c r="A4002" s="2027"/>
      <c r="B4002" s="2028"/>
      <c r="C4002" s="2028"/>
      <c r="D4002" s="2028"/>
      <c r="E4002" s="2028"/>
      <c r="F4002" s="2028"/>
      <c r="G4002" s="2028"/>
      <c r="H4002" s="2028"/>
      <c r="I4002" s="2028"/>
      <c r="J4002" s="2028"/>
      <c r="K4002" s="2028"/>
      <c r="L4002" s="2028"/>
      <c r="M4002" s="2028"/>
      <c r="N4002" s="2028"/>
      <c r="O4002" s="2028"/>
      <c r="P4002" s="2028"/>
      <c r="Q4002" s="2028"/>
      <c r="R4002" s="2028"/>
      <c r="S4002" s="2028"/>
      <c r="T4002" s="2028"/>
      <c r="U4002" s="2028"/>
      <c r="V4002" s="2028"/>
      <c r="W4002" s="2028"/>
      <c r="X4002" s="2028"/>
      <c r="Y4002" s="2028"/>
      <c r="Z4002" s="2028"/>
      <c r="AA4002" s="2028"/>
      <c r="AB4002" s="2028"/>
      <c r="AC4002" s="2028"/>
      <c r="AD4002" s="2028"/>
      <c r="AE4002" s="1041" t="s">
        <v>1836</v>
      </c>
      <c r="AF4002" s="1044">
        <v>1</v>
      </c>
    </row>
    <row r="4003" spans="1:32" ht="15.75" x14ac:dyDescent="0.2">
      <c r="A4003" s="2029"/>
      <c r="B4003" s="2030"/>
      <c r="C4003" s="2030"/>
      <c r="D4003" s="2031"/>
      <c r="E4003" s="2025" t="str">
        <f>'01'!$A$12</f>
        <v>"CONSTRUCCION SISTEMA DE ACUEDUCTO FASE II DEL MUNICIPIO DE TESALIA DPTO DEL HUILA"</v>
      </c>
      <c r="F4003" s="2026"/>
      <c r="G4003" s="2026"/>
      <c r="H4003" s="2026"/>
      <c r="I4003" s="2026"/>
      <c r="J4003" s="2026"/>
      <c r="K4003" s="2026"/>
      <c r="L4003" s="2026"/>
      <c r="M4003" s="2026"/>
      <c r="N4003" s="2026"/>
      <c r="O4003" s="2026"/>
      <c r="P4003" s="2026"/>
      <c r="Q4003" s="2026"/>
      <c r="R4003" s="2026"/>
      <c r="S4003" s="2026"/>
      <c r="T4003" s="2026"/>
      <c r="U4003" s="2026"/>
      <c r="V4003" s="2026"/>
      <c r="W4003" s="2026"/>
      <c r="X4003" s="2026"/>
      <c r="Y4003" s="2026"/>
      <c r="Z4003" s="2026"/>
      <c r="AA4003" s="2026"/>
      <c r="AB4003" s="2026"/>
      <c r="AC4003" s="2026"/>
      <c r="AD4003" s="2035"/>
      <c r="AE4003" s="1041" t="s">
        <v>847</v>
      </c>
      <c r="AF4003" s="1045">
        <f>'01'!$M$13</f>
        <v>0</v>
      </c>
    </row>
    <row r="4004" spans="1:32" ht="16.5" thickBot="1" x14ac:dyDescent="0.25">
      <c r="A4004" s="2032"/>
      <c r="B4004" s="2033"/>
      <c r="C4004" s="2033"/>
      <c r="D4004" s="2034"/>
      <c r="E4004" s="2027"/>
      <c r="F4004" s="2028"/>
      <c r="G4004" s="2028"/>
      <c r="H4004" s="2028"/>
      <c r="I4004" s="2028"/>
      <c r="J4004" s="2028"/>
      <c r="K4004" s="2028"/>
      <c r="L4004" s="2028"/>
      <c r="M4004" s="2028"/>
      <c r="N4004" s="2028"/>
      <c r="O4004" s="2028"/>
      <c r="P4004" s="2028"/>
      <c r="Q4004" s="2028"/>
      <c r="R4004" s="2028"/>
      <c r="S4004" s="2028"/>
      <c r="T4004" s="2028"/>
      <c r="U4004" s="2028"/>
      <c r="V4004" s="2028"/>
      <c r="W4004" s="2028"/>
      <c r="X4004" s="2028"/>
      <c r="Y4004" s="2028"/>
      <c r="Z4004" s="2028"/>
      <c r="AA4004" s="2028"/>
      <c r="AB4004" s="2028"/>
      <c r="AC4004" s="2028"/>
      <c r="AD4004" s="2036"/>
      <c r="AE4004" s="1041" t="s">
        <v>1837</v>
      </c>
      <c r="AF4004" s="1042" t="s">
        <v>1838</v>
      </c>
    </row>
    <row r="4005" spans="1:32" ht="15.75" x14ac:dyDescent="0.25">
      <c r="A4005" s="2037" t="s">
        <v>1860</v>
      </c>
      <c r="B4005" s="2038"/>
      <c r="C4005" s="2038"/>
      <c r="D4005" s="2038"/>
      <c r="E4005" s="2038"/>
      <c r="F4005" s="2038"/>
      <c r="G4005" s="2038"/>
      <c r="H4005" s="2038"/>
      <c r="I4005" s="2038"/>
      <c r="J4005" s="2038"/>
      <c r="K4005" s="2038"/>
      <c r="L4005" s="2038"/>
      <c r="M4005" s="2038"/>
      <c r="N4005" s="2038"/>
      <c r="O4005" s="2038"/>
      <c r="P4005" s="2038"/>
      <c r="Q4005" s="2038"/>
      <c r="R4005" s="2038"/>
      <c r="S4005" s="2038"/>
      <c r="T4005" s="2038"/>
      <c r="U4005" s="2038"/>
      <c r="V4005" s="2038"/>
      <c r="W4005" s="2038"/>
      <c r="X4005" s="2038"/>
      <c r="Y4005" s="2038"/>
      <c r="Z4005" s="2038"/>
      <c r="AA4005" s="2038"/>
      <c r="AB4005" s="2038"/>
      <c r="AC4005" s="2038"/>
      <c r="AD4005" s="2038"/>
      <c r="AE4005" s="2039" t="s">
        <v>1839</v>
      </c>
      <c r="AF4005" s="2040"/>
    </row>
    <row r="4006" spans="1:32" ht="15.75" x14ac:dyDescent="0.25">
      <c r="A4006" s="2041" t="s">
        <v>1840</v>
      </c>
      <c r="B4006" s="2042"/>
      <c r="C4006" s="2042"/>
      <c r="D4006" s="2042"/>
      <c r="E4006" s="2042"/>
      <c r="F4006" s="2042"/>
      <c r="G4006" s="2042"/>
      <c r="H4006" s="2042"/>
      <c r="I4006" s="2042"/>
      <c r="J4006" s="2042"/>
      <c r="K4006" s="2042"/>
      <c r="L4006" s="2042"/>
      <c r="M4006" s="2042"/>
      <c r="N4006" s="2042"/>
      <c r="O4006" s="2042"/>
      <c r="P4006" s="2042"/>
      <c r="Q4006" s="2042"/>
      <c r="R4006" s="2042"/>
      <c r="S4006" s="2042"/>
      <c r="T4006" s="2042"/>
      <c r="U4006" s="2042"/>
      <c r="V4006" s="2042"/>
      <c r="W4006" s="2042"/>
      <c r="X4006" s="2042"/>
      <c r="Y4006" s="2042"/>
      <c r="Z4006" s="2042"/>
      <c r="AA4006" s="2042"/>
      <c r="AB4006" s="2042"/>
      <c r="AC4006" s="2042"/>
      <c r="AD4006" s="2043"/>
      <c r="AE4006" s="2014" t="s">
        <v>1841</v>
      </c>
      <c r="AF4006" s="2044"/>
    </row>
    <row r="4007" spans="1:32" ht="15.75" x14ac:dyDescent="0.25">
      <c r="A4007" s="2045" t="s">
        <v>1853</v>
      </c>
      <c r="B4007" s="2046"/>
      <c r="C4007" s="2046"/>
      <c r="D4007" s="2046"/>
      <c r="E4007" s="2046"/>
      <c r="F4007" s="2046"/>
      <c r="G4007" s="2046"/>
      <c r="H4007" s="2046"/>
      <c r="I4007" s="2046"/>
      <c r="J4007" s="2046"/>
      <c r="K4007" s="2046"/>
      <c r="L4007" s="2046"/>
      <c r="M4007" s="2046"/>
      <c r="N4007" s="2046"/>
      <c r="O4007" s="2046"/>
      <c r="P4007" s="2046"/>
      <c r="Q4007" s="2046"/>
      <c r="R4007" s="2046"/>
      <c r="S4007" s="2046"/>
      <c r="T4007" s="2046"/>
      <c r="U4007" s="2046"/>
      <c r="V4007" s="2046"/>
      <c r="W4007" s="2046"/>
      <c r="X4007" s="2046"/>
      <c r="Y4007" s="2046"/>
      <c r="Z4007" s="2046"/>
      <c r="AA4007" s="2046"/>
      <c r="AB4007" s="2046"/>
      <c r="AC4007" s="2046"/>
      <c r="AD4007" s="2046"/>
      <c r="AE4007" s="2047">
        <f>'01'!$M$13</f>
        <v>0</v>
      </c>
      <c r="AF4007" s="2044"/>
    </row>
    <row r="4008" spans="1:32" x14ac:dyDescent="0.2">
      <c r="A4008" s="1046"/>
      <c r="B4008" s="1047"/>
      <c r="C4008" s="1047"/>
      <c r="D4008" s="1047"/>
      <c r="E4008" s="1047"/>
      <c r="F4008" s="1047"/>
      <c r="G4008" s="1047"/>
      <c r="H4008" s="1047"/>
      <c r="I4008" s="1047"/>
      <c r="J4008" s="1047"/>
      <c r="K4008" s="1047"/>
      <c r="L4008" s="1047"/>
      <c r="M4008" s="1047"/>
      <c r="N4008" s="1047"/>
      <c r="O4008" s="1047"/>
      <c r="P4008" s="1047"/>
      <c r="Q4008" s="1047"/>
      <c r="R4008" s="1047"/>
      <c r="S4008" s="1047"/>
      <c r="T4008" s="1047"/>
      <c r="U4008" s="1047"/>
      <c r="V4008" s="1047"/>
      <c r="W4008" s="1047"/>
      <c r="X4008" s="1047"/>
      <c r="Y4008" s="1047"/>
      <c r="Z4008" s="1047"/>
      <c r="AA4008" s="1047"/>
      <c r="AB4008" s="1047"/>
      <c r="AC4008" s="1047"/>
      <c r="AD4008" s="1047"/>
      <c r="AE4008" s="1047"/>
      <c r="AF4008" s="1048"/>
    </row>
    <row r="4009" spans="1:32" ht="30" customHeight="1" x14ac:dyDescent="0.2">
      <c r="A4009" s="2048" t="s">
        <v>1842</v>
      </c>
      <c r="B4009" s="2049"/>
      <c r="C4009" s="2049"/>
      <c r="D4009" s="2049"/>
      <c r="E4009" s="2049"/>
      <c r="F4009" s="2050" t="str">
        <f>+'01'!$H$163</f>
        <v>F - LECHOS DE SECADO</v>
      </c>
      <c r="G4009" s="2049"/>
      <c r="H4009" s="2049"/>
      <c r="I4009" s="2049"/>
      <c r="J4009" s="2049"/>
      <c r="K4009" s="2049"/>
      <c r="L4009" s="2049"/>
      <c r="M4009" s="2049"/>
      <c r="N4009" s="2049"/>
      <c r="O4009" s="2049"/>
      <c r="P4009" s="2049"/>
      <c r="Q4009" s="2049"/>
      <c r="R4009" s="2049"/>
      <c r="S4009" s="2049"/>
      <c r="T4009" s="2049"/>
      <c r="U4009" s="2049"/>
      <c r="V4009" s="2049"/>
      <c r="W4009" s="2049"/>
      <c r="X4009" s="2049"/>
      <c r="Y4009" s="2051"/>
      <c r="Z4009" s="2052" t="s">
        <v>1843</v>
      </c>
      <c r="AA4009" s="2053"/>
      <c r="AB4009" s="2058" t="s">
        <v>1844</v>
      </c>
      <c r="AC4009" s="2059"/>
      <c r="AD4009" s="2060"/>
      <c r="AE4009" s="2064" t="s">
        <v>1845</v>
      </c>
      <c r="AF4009" s="2067" t="s">
        <v>1846</v>
      </c>
    </row>
    <row r="4010" spans="1:32" ht="15" customHeight="1" x14ac:dyDescent="0.2">
      <c r="A4010" s="2070" t="str">
        <f>+'01'!A171</f>
        <v>F-03-02</v>
      </c>
      <c r="B4010" s="2071"/>
      <c r="C4010" s="2072"/>
      <c r="D4010" s="2076" t="str">
        <f>VLOOKUP(A4010,'01'!$A$12:$N$299,3,FALSE)</f>
        <v>RELLENO EN RECEBO COMUN PROVENIENTE DE MATERIAL DE PRESTAMO, COMPACTADO MECANICAMENTE.</v>
      </c>
      <c r="E4010" s="2077"/>
      <c r="F4010" s="2077"/>
      <c r="G4010" s="2077"/>
      <c r="H4010" s="2077"/>
      <c r="I4010" s="2077"/>
      <c r="J4010" s="2077"/>
      <c r="K4010" s="2077"/>
      <c r="L4010" s="2077"/>
      <c r="M4010" s="2077"/>
      <c r="N4010" s="2077"/>
      <c r="O4010" s="2077"/>
      <c r="P4010" s="2077"/>
      <c r="Q4010" s="2077"/>
      <c r="R4010" s="2077"/>
      <c r="S4010" s="2078"/>
      <c r="T4010" s="2082" t="s">
        <v>124</v>
      </c>
      <c r="U4010" s="2083"/>
      <c r="V4010" s="2083"/>
      <c r="W4010" s="2083"/>
      <c r="X4010" s="2052" t="str">
        <f>VLOOKUP(A4010,'01'!$A$12:$N$299,9,FALSE)</f>
        <v>M3</v>
      </c>
      <c r="Y4010" s="2053"/>
      <c r="Z4010" s="2054"/>
      <c r="AA4010" s="2055"/>
      <c r="AB4010" s="2061"/>
      <c r="AC4010" s="2062"/>
      <c r="AD4010" s="2063"/>
      <c r="AE4010" s="2065"/>
      <c r="AF4010" s="2068"/>
    </row>
    <row r="4011" spans="1:32" ht="15" customHeight="1" x14ac:dyDescent="0.25">
      <c r="A4011" s="2073"/>
      <c r="B4011" s="2074"/>
      <c r="C4011" s="2075"/>
      <c r="D4011" s="2079"/>
      <c r="E4011" s="2080"/>
      <c r="F4011" s="2080"/>
      <c r="G4011" s="2080"/>
      <c r="H4011" s="2080"/>
      <c r="I4011" s="2080"/>
      <c r="J4011" s="2080"/>
      <c r="K4011" s="2080"/>
      <c r="L4011" s="2080"/>
      <c r="M4011" s="2080"/>
      <c r="N4011" s="2080"/>
      <c r="O4011" s="2080"/>
      <c r="P4011" s="2080"/>
      <c r="Q4011" s="2080"/>
      <c r="R4011" s="2080"/>
      <c r="S4011" s="2081"/>
      <c r="T4011" s="2084"/>
      <c r="U4011" s="2085"/>
      <c r="V4011" s="2085"/>
      <c r="W4011" s="2085"/>
      <c r="X4011" s="2056"/>
      <c r="Y4011" s="2057"/>
      <c r="Z4011" s="2056"/>
      <c r="AA4011" s="2057"/>
      <c r="AB4011" s="1049" t="s">
        <v>1847</v>
      </c>
      <c r="AC4011" s="1049" t="s">
        <v>1848</v>
      </c>
      <c r="AD4011" s="1049" t="s">
        <v>1861</v>
      </c>
      <c r="AE4011" s="2066"/>
      <c r="AF4011" s="2069"/>
    </row>
    <row r="4012" spans="1:32" ht="15.6" customHeight="1" x14ac:dyDescent="0.25">
      <c r="A4012" s="2017"/>
      <c r="B4012" s="2018"/>
      <c r="C4012" s="2018"/>
      <c r="D4012" s="2018"/>
      <c r="E4012" s="2018"/>
      <c r="F4012" s="2018"/>
      <c r="G4012" s="2018"/>
      <c r="H4012" s="2018"/>
      <c r="I4012" s="2018"/>
      <c r="J4012" s="2018"/>
      <c r="K4012" s="2018"/>
      <c r="L4012" s="2018"/>
      <c r="M4012" s="2018"/>
      <c r="N4012" s="2018"/>
      <c r="O4012" s="2018"/>
      <c r="P4012" s="2018"/>
      <c r="Q4012" s="2018"/>
      <c r="R4012" s="2018"/>
      <c r="S4012" s="2018"/>
      <c r="T4012" s="2018"/>
      <c r="U4012" s="2018"/>
      <c r="V4012" s="2018"/>
      <c r="W4012" s="2018"/>
      <c r="X4012" s="2018"/>
      <c r="Y4012" s="2018"/>
      <c r="Z4012" s="2021" t="s">
        <v>2484</v>
      </c>
      <c r="AA4012" s="2021"/>
      <c r="AB4012" s="1050">
        <f>+AB3930-0.6</f>
        <v>13.25</v>
      </c>
      <c r="AC4012" s="1050">
        <f>+AC3930-0.6</f>
        <v>3.4999999999999996</v>
      </c>
      <c r="AD4012" s="1050">
        <v>0.2</v>
      </c>
      <c r="AE4012" s="1050">
        <f>+AE3889</f>
        <v>1</v>
      </c>
      <c r="AF4012" s="1052">
        <f>+ROUND(AB4012*AC4012*AD4012*AE4012,2)</f>
        <v>9.2799999999999994</v>
      </c>
    </row>
    <row r="4013" spans="1:32" ht="15.6" customHeight="1" x14ac:dyDescent="0.25">
      <c r="A4013" s="2017"/>
      <c r="B4013" s="2018"/>
      <c r="C4013" s="2018"/>
      <c r="D4013" s="2018"/>
      <c r="E4013" s="2018"/>
      <c r="F4013" s="2018"/>
      <c r="G4013" s="2018"/>
      <c r="H4013" s="2018"/>
      <c r="I4013" s="2018"/>
      <c r="J4013" s="2018"/>
      <c r="K4013" s="2018"/>
      <c r="L4013" s="2018"/>
      <c r="M4013" s="2018"/>
      <c r="N4013" s="2018"/>
      <c r="O4013" s="2018"/>
      <c r="P4013" s="2018"/>
      <c r="Q4013" s="2018"/>
      <c r="R4013" s="2018"/>
      <c r="S4013" s="2018"/>
      <c r="T4013" s="2018"/>
      <c r="U4013" s="2018"/>
      <c r="V4013" s="2018"/>
      <c r="W4013" s="2018"/>
      <c r="X4013" s="2018"/>
      <c r="Y4013" s="2018"/>
      <c r="Z4013" s="2021" t="s">
        <v>2485</v>
      </c>
      <c r="AA4013" s="2021"/>
      <c r="AB4013" s="1050">
        <f>+AB3931-0.6</f>
        <v>1</v>
      </c>
      <c r="AC4013" s="1050">
        <f>+AC3931-0.6</f>
        <v>0.9</v>
      </c>
      <c r="AD4013" s="1050">
        <v>0.1</v>
      </c>
      <c r="AE4013" s="1050">
        <f>+AE3890</f>
        <v>4</v>
      </c>
      <c r="AF4013" s="1052">
        <f>+ROUND(AB4013*AC4013*AD4013*AE4013,2)</f>
        <v>0.36</v>
      </c>
    </row>
    <row r="4014" spans="1:32" ht="15.75" x14ac:dyDescent="0.25">
      <c r="A4014" s="2017"/>
      <c r="B4014" s="2018"/>
      <c r="C4014" s="2018"/>
      <c r="D4014" s="2018"/>
      <c r="E4014" s="2018"/>
      <c r="F4014" s="2018"/>
      <c r="G4014" s="2018"/>
      <c r="H4014" s="2018"/>
      <c r="I4014" s="2018"/>
      <c r="J4014" s="2018"/>
      <c r="K4014" s="2018"/>
      <c r="L4014" s="2018"/>
      <c r="M4014" s="2018"/>
      <c r="N4014" s="2018"/>
      <c r="O4014" s="2018"/>
      <c r="P4014" s="2018"/>
      <c r="Q4014" s="2018"/>
      <c r="R4014" s="2018"/>
      <c r="S4014" s="2018"/>
      <c r="T4014" s="2018"/>
      <c r="U4014" s="2018"/>
      <c r="V4014" s="2018"/>
      <c r="W4014" s="2018"/>
      <c r="X4014" s="2018"/>
      <c r="Y4014" s="2018"/>
      <c r="Z4014" s="2021" t="s">
        <v>2487</v>
      </c>
      <c r="AA4014" s="2021"/>
      <c r="AB4014" s="1050">
        <v>0</v>
      </c>
      <c r="AC4014" s="1050">
        <v>0</v>
      </c>
      <c r="AD4014" s="1050">
        <v>0</v>
      </c>
      <c r="AE4014" s="1050">
        <v>0</v>
      </c>
      <c r="AF4014" s="1052">
        <f t="shared" ref="AF4014:AF4015" si="58">+ROUND(AB4014*AC4014*AD4014*AE4014,2)</f>
        <v>0</v>
      </c>
    </row>
    <row r="4015" spans="1:32" ht="15.75" x14ac:dyDescent="0.25">
      <c r="A4015" s="2017"/>
      <c r="B4015" s="2018"/>
      <c r="C4015" s="2018"/>
      <c r="D4015" s="2018"/>
      <c r="E4015" s="2018"/>
      <c r="F4015" s="2018"/>
      <c r="G4015" s="2018"/>
      <c r="H4015" s="2018"/>
      <c r="I4015" s="2018"/>
      <c r="J4015" s="2018"/>
      <c r="K4015" s="2018"/>
      <c r="L4015" s="2018"/>
      <c r="M4015" s="2018"/>
      <c r="N4015" s="2018"/>
      <c r="O4015" s="2018"/>
      <c r="P4015" s="2018"/>
      <c r="Q4015" s="2018"/>
      <c r="R4015" s="2018"/>
      <c r="S4015" s="2018"/>
      <c r="T4015" s="2018"/>
      <c r="U4015" s="2018"/>
      <c r="V4015" s="2018"/>
      <c r="W4015" s="2018"/>
      <c r="X4015" s="2018"/>
      <c r="Y4015" s="2018"/>
      <c r="Z4015" s="2021" t="s">
        <v>2488</v>
      </c>
      <c r="AA4015" s="2021"/>
      <c r="AB4015" s="1050">
        <v>0</v>
      </c>
      <c r="AC4015" s="1050">
        <v>0</v>
      </c>
      <c r="AD4015" s="1050">
        <v>0</v>
      </c>
      <c r="AE4015" s="1050">
        <v>0</v>
      </c>
      <c r="AF4015" s="1052">
        <f t="shared" si="58"/>
        <v>0</v>
      </c>
    </row>
    <row r="4016" spans="1:32" ht="15.75" x14ac:dyDescent="0.25">
      <c r="A4016" s="2017"/>
      <c r="B4016" s="2018"/>
      <c r="C4016" s="2018"/>
      <c r="D4016" s="2018"/>
      <c r="E4016" s="2018"/>
      <c r="F4016" s="2018"/>
      <c r="G4016" s="2018"/>
      <c r="H4016" s="2018"/>
      <c r="I4016" s="2018"/>
      <c r="J4016" s="2018"/>
      <c r="K4016" s="2018"/>
      <c r="L4016" s="2018"/>
      <c r="M4016" s="2018"/>
      <c r="N4016" s="2018"/>
      <c r="O4016" s="2018"/>
      <c r="P4016" s="2018"/>
      <c r="Q4016" s="2018"/>
      <c r="R4016" s="2018"/>
      <c r="S4016" s="2018"/>
      <c r="T4016" s="2018"/>
      <c r="U4016" s="2018"/>
      <c r="V4016" s="2018"/>
      <c r="W4016" s="2018"/>
      <c r="X4016" s="2018"/>
      <c r="Y4016" s="2018"/>
      <c r="Z4016" s="2021"/>
      <c r="AA4016" s="2021"/>
      <c r="AB4016" s="1050"/>
      <c r="AC4016" s="1050"/>
      <c r="AD4016" s="1050"/>
      <c r="AE4016" s="1050"/>
      <c r="AF4016" s="1052"/>
    </row>
    <row r="4017" spans="1:32" ht="15.75" x14ac:dyDescent="0.25">
      <c r="A4017" s="2017"/>
      <c r="B4017" s="2018"/>
      <c r="C4017" s="2018"/>
      <c r="D4017" s="2018"/>
      <c r="E4017" s="2018"/>
      <c r="F4017" s="2018"/>
      <c r="G4017" s="2018"/>
      <c r="H4017" s="2018"/>
      <c r="I4017" s="2018"/>
      <c r="J4017" s="2018"/>
      <c r="K4017" s="2018"/>
      <c r="L4017" s="2018"/>
      <c r="M4017" s="2018"/>
      <c r="N4017" s="2018"/>
      <c r="O4017" s="2018"/>
      <c r="P4017" s="2018"/>
      <c r="Q4017" s="2018"/>
      <c r="R4017" s="2018"/>
      <c r="S4017" s="2018"/>
      <c r="T4017" s="2018"/>
      <c r="U4017" s="2018"/>
      <c r="V4017" s="2018"/>
      <c r="W4017" s="2018"/>
      <c r="X4017" s="2018"/>
      <c r="Y4017" s="2018"/>
      <c r="Z4017" s="2021"/>
      <c r="AA4017" s="2021"/>
      <c r="AB4017" s="1050"/>
      <c r="AC4017" s="1050"/>
      <c r="AD4017" s="1050"/>
      <c r="AE4017" s="1050"/>
      <c r="AF4017" s="1052"/>
    </row>
    <row r="4018" spans="1:32" ht="15.75" x14ac:dyDescent="0.25">
      <c r="A4018" s="2017"/>
      <c r="B4018" s="2018"/>
      <c r="C4018" s="2018"/>
      <c r="D4018" s="2018"/>
      <c r="E4018" s="2018"/>
      <c r="F4018" s="2018"/>
      <c r="G4018" s="2018"/>
      <c r="H4018" s="2018"/>
      <c r="I4018" s="2018"/>
      <c r="J4018" s="2018"/>
      <c r="K4018" s="2018"/>
      <c r="L4018" s="2018"/>
      <c r="M4018" s="2018"/>
      <c r="N4018" s="2018"/>
      <c r="O4018" s="2018"/>
      <c r="P4018" s="2018"/>
      <c r="Q4018" s="2018"/>
      <c r="R4018" s="2018"/>
      <c r="S4018" s="2018"/>
      <c r="T4018" s="2018"/>
      <c r="U4018" s="2018"/>
      <c r="V4018" s="2018"/>
      <c r="W4018" s="2018"/>
      <c r="X4018" s="2018"/>
      <c r="Y4018" s="2018"/>
      <c r="Z4018" s="2021"/>
      <c r="AA4018" s="2021"/>
      <c r="AB4018" s="1050"/>
      <c r="AC4018" s="1050"/>
      <c r="AD4018" s="1050"/>
      <c r="AE4018" s="1050"/>
      <c r="AF4018" s="1052"/>
    </row>
    <row r="4019" spans="1:32" ht="15.75" x14ac:dyDescent="0.25">
      <c r="A4019" s="2017"/>
      <c r="B4019" s="2018"/>
      <c r="C4019" s="2018"/>
      <c r="D4019" s="2018"/>
      <c r="E4019" s="2018"/>
      <c r="F4019" s="2018"/>
      <c r="G4019" s="2018"/>
      <c r="H4019" s="2018"/>
      <c r="I4019" s="2018"/>
      <c r="J4019" s="2018"/>
      <c r="K4019" s="2018"/>
      <c r="L4019" s="2018"/>
      <c r="M4019" s="2018"/>
      <c r="N4019" s="2018"/>
      <c r="O4019" s="2018"/>
      <c r="P4019" s="2018"/>
      <c r="Q4019" s="2018"/>
      <c r="R4019" s="2018"/>
      <c r="S4019" s="2018"/>
      <c r="T4019" s="2018"/>
      <c r="U4019" s="2018"/>
      <c r="V4019" s="2018"/>
      <c r="W4019" s="2018"/>
      <c r="X4019" s="2018"/>
      <c r="Y4019" s="2018"/>
      <c r="Z4019" s="2021"/>
      <c r="AA4019" s="2021"/>
      <c r="AB4019" s="1050"/>
      <c r="AC4019" s="1050"/>
      <c r="AD4019" s="1050"/>
      <c r="AE4019" s="1050"/>
      <c r="AF4019" s="1052"/>
    </row>
    <row r="4020" spans="1:32" ht="15.75" x14ac:dyDescent="0.25">
      <c r="A4020" s="2017"/>
      <c r="B4020" s="2018"/>
      <c r="C4020" s="2018"/>
      <c r="D4020" s="2018"/>
      <c r="E4020" s="2018"/>
      <c r="F4020" s="2018"/>
      <c r="G4020" s="2018"/>
      <c r="H4020" s="2018"/>
      <c r="I4020" s="2018"/>
      <c r="J4020" s="2018"/>
      <c r="K4020" s="2018"/>
      <c r="L4020" s="2018"/>
      <c r="M4020" s="2018"/>
      <c r="N4020" s="2018"/>
      <c r="O4020" s="2018"/>
      <c r="P4020" s="2018"/>
      <c r="Q4020" s="2018"/>
      <c r="R4020" s="2018"/>
      <c r="S4020" s="2018"/>
      <c r="T4020" s="2018"/>
      <c r="U4020" s="2018"/>
      <c r="V4020" s="2018"/>
      <c r="W4020" s="2018"/>
      <c r="X4020" s="2018"/>
      <c r="Y4020" s="2018"/>
      <c r="Z4020" s="2021"/>
      <c r="AA4020" s="2021"/>
      <c r="AB4020" s="1050"/>
      <c r="AC4020" s="1050"/>
      <c r="AD4020" s="1050"/>
      <c r="AE4020" s="1050"/>
      <c r="AF4020" s="1052"/>
    </row>
    <row r="4021" spans="1:32" ht="15.75" x14ac:dyDescent="0.25">
      <c r="A4021" s="2017"/>
      <c r="B4021" s="2018"/>
      <c r="C4021" s="2018"/>
      <c r="D4021" s="2018"/>
      <c r="E4021" s="2018"/>
      <c r="F4021" s="2018"/>
      <c r="G4021" s="2018"/>
      <c r="H4021" s="2018"/>
      <c r="I4021" s="2018"/>
      <c r="J4021" s="2018"/>
      <c r="K4021" s="2018"/>
      <c r="L4021" s="2018"/>
      <c r="M4021" s="2018"/>
      <c r="N4021" s="2018"/>
      <c r="O4021" s="2018"/>
      <c r="P4021" s="2018"/>
      <c r="Q4021" s="2018"/>
      <c r="R4021" s="2018"/>
      <c r="S4021" s="2018"/>
      <c r="T4021" s="2018"/>
      <c r="U4021" s="2018"/>
      <c r="V4021" s="2018"/>
      <c r="W4021" s="2018"/>
      <c r="X4021" s="2018"/>
      <c r="Y4021" s="2018"/>
      <c r="Z4021" s="2021"/>
      <c r="AA4021" s="2021"/>
      <c r="AB4021" s="1050"/>
      <c r="AC4021" s="1050"/>
      <c r="AD4021" s="1050"/>
      <c r="AE4021" s="1050"/>
      <c r="AF4021" s="1052"/>
    </row>
    <row r="4022" spans="1:32" ht="15.75" x14ac:dyDescent="0.25">
      <c r="A4022" s="2017"/>
      <c r="B4022" s="2018"/>
      <c r="C4022" s="2018"/>
      <c r="D4022" s="2018"/>
      <c r="E4022" s="2018"/>
      <c r="F4022" s="2018"/>
      <c r="G4022" s="2018"/>
      <c r="H4022" s="2018"/>
      <c r="I4022" s="2018"/>
      <c r="J4022" s="2018"/>
      <c r="K4022" s="2018"/>
      <c r="L4022" s="2018"/>
      <c r="M4022" s="2018"/>
      <c r="N4022" s="2018"/>
      <c r="O4022" s="2018"/>
      <c r="P4022" s="2018"/>
      <c r="Q4022" s="2018"/>
      <c r="R4022" s="2018"/>
      <c r="S4022" s="2018"/>
      <c r="T4022" s="2018"/>
      <c r="U4022" s="2018"/>
      <c r="V4022" s="2018"/>
      <c r="W4022" s="2018"/>
      <c r="X4022" s="2018"/>
      <c r="Y4022" s="2018"/>
      <c r="Z4022" s="2021"/>
      <c r="AA4022" s="2021"/>
      <c r="AB4022" s="1050"/>
      <c r="AC4022" s="1050"/>
      <c r="AD4022" s="1050"/>
      <c r="AE4022" s="1050"/>
      <c r="AF4022" s="1052"/>
    </row>
    <row r="4023" spans="1:32" ht="15.75" x14ac:dyDescent="0.25">
      <c r="A4023" s="2017"/>
      <c r="B4023" s="2018"/>
      <c r="C4023" s="2018"/>
      <c r="D4023" s="2018"/>
      <c r="E4023" s="2018"/>
      <c r="F4023" s="2018"/>
      <c r="G4023" s="2018"/>
      <c r="H4023" s="2018"/>
      <c r="I4023" s="2018"/>
      <c r="J4023" s="2018"/>
      <c r="K4023" s="2018"/>
      <c r="L4023" s="2018"/>
      <c r="M4023" s="2018"/>
      <c r="N4023" s="2018"/>
      <c r="O4023" s="2018"/>
      <c r="P4023" s="2018"/>
      <c r="Q4023" s="2018"/>
      <c r="R4023" s="2018"/>
      <c r="S4023" s="2018"/>
      <c r="T4023" s="2018"/>
      <c r="U4023" s="2018"/>
      <c r="V4023" s="2018"/>
      <c r="W4023" s="2018"/>
      <c r="X4023" s="2018"/>
      <c r="Y4023" s="2018"/>
      <c r="Z4023" s="2021"/>
      <c r="AA4023" s="2021"/>
      <c r="AB4023" s="1050"/>
      <c r="AC4023" s="1050"/>
      <c r="AD4023" s="1050"/>
      <c r="AE4023" s="1050"/>
      <c r="AF4023" s="1052"/>
    </row>
    <row r="4024" spans="1:32" ht="15.75" x14ac:dyDescent="0.25">
      <c r="A4024" s="2017"/>
      <c r="B4024" s="2018"/>
      <c r="C4024" s="2018"/>
      <c r="D4024" s="2018"/>
      <c r="E4024" s="2018"/>
      <c r="F4024" s="2018"/>
      <c r="G4024" s="2018"/>
      <c r="H4024" s="2018"/>
      <c r="I4024" s="2018"/>
      <c r="J4024" s="2018"/>
      <c r="K4024" s="2018"/>
      <c r="L4024" s="2018"/>
      <c r="M4024" s="2018"/>
      <c r="N4024" s="2018"/>
      <c r="O4024" s="2018"/>
      <c r="P4024" s="2018"/>
      <c r="Q4024" s="2018"/>
      <c r="R4024" s="2018"/>
      <c r="S4024" s="2018"/>
      <c r="T4024" s="2018"/>
      <c r="U4024" s="2018"/>
      <c r="V4024" s="2018"/>
      <c r="W4024" s="2018"/>
      <c r="X4024" s="2018"/>
      <c r="Y4024" s="2018"/>
      <c r="Z4024" s="2021"/>
      <c r="AA4024" s="2021"/>
      <c r="AB4024" s="1050"/>
      <c r="AC4024" s="1050"/>
      <c r="AD4024" s="1050"/>
      <c r="AE4024" s="1050"/>
      <c r="AF4024" s="1052"/>
    </row>
    <row r="4025" spans="1:32" ht="15.75" x14ac:dyDescent="0.25">
      <c r="A4025" s="2017"/>
      <c r="B4025" s="2018"/>
      <c r="C4025" s="2018"/>
      <c r="D4025" s="2018"/>
      <c r="E4025" s="2018"/>
      <c r="F4025" s="2018"/>
      <c r="G4025" s="2018"/>
      <c r="H4025" s="2018"/>
      <c r="I4025" s="2018"/>
      <c r="J4025" s="2018"/>
      <c r="K4025" s="2018"/>
      <c r="L4025" s="2018"/>
      <c r="M4025" s="2018"/>
      <c r="N4025" s="2018"/>
      <c r="O4025" s="2018"/>
      <c r="P4025" s="2018"/>
      <c r="Q4025" s="2018"/>
      <c r="R4025" s="2018"/>
      <c r="S4025" s="2018"/>
      <c r="T4025" s="2018"/>
      <c r="U4025" s="2018"/>
      <c r="V4025" s="2018"/>
      <c r="W4025" s="2018"/>
      <c r="X4025" s="2018"/>
      <c r="Y4025" s="2018"/>
      <c r="Z4025" s="2021"/>
      <c r="AA4025" s="2021"/>
      <c r="AB4025" s="1050"/>
      <c r="AC4025" s="1050"/>
      <c r="AD4025" s="1050"/>
      <c r="AE4025" s="1050"/>
      <c r="AF4025" s="1052"/>
    </row>
    <row r="4026" spans="1:32" ht="15.75" x14ac:dyDescent="0.25">
      <c r="A4026" s="2017"/>
      <c r="B4026" s="2018"/>
      <c r="C4026" s="2018"/>
      <c r="D4026" s="2018"/>
      <c r="E4026" s="2018"/>
      <c r="F4026" s="2018"/>
      <c r="G4026" s="2018"/>
      <c r="H4026" s="2018"/>
      <c r="I4026" s="2018"/>
      <c r="J4026" s="2018"/>
      <c r="K4026" s="2018"/>
      <c r="L4026" s="2018"/>
      <c r="M4026" s="2018"/>
      <c r="N4026" s="2018"/>
      <c r="O4026" s="2018"/>
      <c r="P4026" s="2018"/>
      <c r="Q4026" s="2018"/>
      <c r="R4026" s="2018"/>
      <c r="S4026" s="2018"/>
      <c r="T4026" s="2018"/>
      <c r="U4026" s="2018"/>
      <c r="V4026" s="2018"/>
      <c r="W4026" s="2018"/>
      <c r="X4026" s="2018"/>
      <c r="Y4026" s="2018"/>
      <c r="Z4026" s="2022"/>
      <c r="AA4026" s="2022"/>
      <c r="AB4026" s="1050"/>
      <c r="AC4026" s="1050"/>
      <c r="AD4026" s="1050"/>
      <c r="AE4026" s="1050"/>
      <c r="AF4026" s="1052"/>
    </row>
    <row r="4027" spans="1:32" ht="15.75" x14ac:dyDescent="0.25">
      <c r="A4027" s="2017"/>
      <c r="B4027" s="2018"/>
      <c r="C4027" s="2018"/>
      <c r="D4027" s="2018"/>
      <c r="E4027" s="2018"/>
      <c r="F4027" s="2018"/>
      <c r="G4027" s="2018"/>
      <c r="H4027" s="2018"/>
      <c r="I4027" s="2018"/>
      <c r="J4027" s="2018"/>
      <c r="K4027" s="2018"/>
      <c r="L4027" s="2018"/>
      <c r="M4027" s="2018"/>
      <c r="N4027" s="2018"/>
      <c r="O4027" s="2018"/>
      <c r="P4027" s="2018"/>
      <c r="Q4027" s="2018"/>
      <c r="R4027" s="2018"/>
      <c r="S4027" s="2018"/>
      <c r="T4027" s="2018"/>
      <c r="U4027" s="2018"/>
      <c r="V4027" s="2018"/>
      <c r="W4027" s="2018"/>
      <c r="X4027" s="2018"/>
      <c r="Y4027" s="2018"/>
      <c r="Z4027" s="2022"/>
      <c r="AA4027" s="2022"/>
      <c r="AB4027" s="1050"/>
      <c r="AC4027" s="1050"/>
      <c r="AD4027" s="1050"/>
      <c r="AE4027" s="1050"/>
      <c r="AF4027" s="1052"/>
    </row>
    <row r="4028" spans="1:32" ht="15.75" x14ac:dyDescent="0.25">
      <c r="A4028" s="2017"/>
      <c r="B4028" s="2018"/>
      <c r="C4028" s="2018"/>
      <c r="D4028" s="2018"/>
      <c r="E4028" s="2018"/>
      <c r="F4028" s="2018"/>
      <c r="G4028" s="2018"/>
      <c r="H4028" s="2018"/>
      <c r="I4028" s="2018"/>
      <c r="J4028" s="2018"/>
      <c r="K4028" s="2018"/>
      <c r="L4028" s="2018"/>
      <c r="M4028" s="2018"/>
      <c r="N4028" s="2018"/>
      <c r="O4028" s="2018"/>
      <c r="P4028" s="2018"/>
      <c r="Q4028" s="2018"/>
      <c r="R4028" s="2018"/>
      <c r="S4028" s="2018"/>
      <c r="T4028" s="2018"/>
      <c r="U4028" s="2018"/>
      <c r="V4028" s="2018"/>
      <c r="W4028" s="2018"/>
      <c r="X4028" s="2018"/>
      <c r="Y4028" s="2018"/>
      <c r="Z4028" s="2022"/>
      <c r="AA4028" s="2022"/>
      <c r="AB4028" s="1050"/>
      <c r="AC4028" s="1050"/>
      <c r="AD4028" s="1050"/>
      <c r="AE4028" s="1050"/>
      <c r="AF4028" s="1052"/>
    </row>
    <row r="4029" spans="1:32" ht="15.75" x14ac:dyDescent="0.25">
      <c r="A4029" s="2017"/>
      <c r="B4029" s="2018"/>
      <c r="C4029" s="2018"/>
      <c r="D4029" s="2018"/>
      <c r="E4029" s="2018"/>
      <c r="F4029" s="2018"/>
      <c r="G4029" s="2018"/>
      <c r="H4029" s="2018"/>
      <c r="I4029" s="2018"/>
      <c r="J4029" s="2018"/>
      <c r="K4029" s="2018"/>
      <c r="L4029" s="2018"/>
      <c r="M4029" s="2018"/>
      <c r="N4029" s="2018"/>
      <c r="O4029" s="2018"/>
      <c r="P4029" s="2018"/>
      <c r="Q4029" s="2018"/>
      <c r="R4029" s="2018"/>
      <c r="S4029" s="2018"/>
      <c r="T4029" s="2018"/>
      <c r="U4029" s="2018"/>
      <c r="V4029" s="2018"/>
      <c r="W4029" s="2018"/>
      <c r="X4029" s="2018"/>
      <c r="Y4029" s="2018"/>
      <c r="Z4029" s="2023"/>
      <c r="AA4029" s="2023"/>
      <c r="AB4029" s="1050"/>
      <c r="AC4029" s="1050"/>
      <c r="AD4029" s="1050"/>
      <c r="AE4029" s="1050"/>
      <c r="AF4029" s="1052"/>
    </row>
    <row r="4030" spans="1:32" ht="15.75" x14ac:dyDescent="0.25">
      <c r="A4030" s="2017"/>
      <c r="B4030" s="2018"/>
      <c r="C4030" s="2018"/>
      <c r="D4030" s="2018"/>
      <c r="E4030" s="2018"/>
      <c r="F4030" s="2018"/>
      <c r="G4030" s="2018"/>
      <c r="H4030" s="2018"/>
      <c r="I4030" s="2018"/>
      <c r="J4030" s="2018"/>
      <c r="K4030" s="2018"/>
      <c r="L4030" s="2018"/>
      <c r="M4030" s="2018"/>
      <c r="N4030" s="2018"/>
      <c r="O4030" s="2018"/>
      <c r="P4030" s="2018"/>
      <c r="Q4030" s="2018"/>
      <c r="R4030" s="2018"/>
      <c r="S4030" s="2018"/>
      <c r="T4030" s="2018"/>
      <c r="U4030" s="2018"/>
      <c r="V4030" s="2018"/>
      <c r="W4030" s="2018"/>
      <c r="X4030" s="2018"/>
      <c r="Y4030" s="2018"/>
      <c r="Z4030" s="2023"/>
      <c r="AA4030" s="2023"/>
      <c r="AB4030" s="1050"/>
      <c r="AC4030" s="1050"/>
      <c r="AD4030" s="1050"/>
      <c r="AE4030" s="1050"/>
      <c r="AF4030" s="1052"/>
    </row>
    <row r="4031" spans="1:32" ht="15.75" x14ac:dyDescent="0.25">
      <c r="A4031" s="2017"/>
      <c r="B4031" s="2018"/>
      <c r="C4031" s="2018"/>
      <c r="D4031" s="2018"/>
      <c r="E4031" s="2018"/>
      <c r="F4031" s="2018"/>
      <c r="G4031" s="2018"/>
      <c r="H4031" s="2018"/>
      <c r="I4031" s="2018"/>
      <c r="J4031" s="2018"/>
      <c r="K4031" s="2018"/>
      <c r="L4031" s="2018"/>
      <c r="M4031" s="2018"/>
      <c r="N4031" s="2018"/>
      <c r="O4031" s="2018"/>
      <c r="P4031" s="2018"/>
      <c r="Q4031" s="2018"/>
      <c r="R4031" s="2018"/>
      <c r="S4031" s="2018"/>
      <c r="T4031" s="2018"/>
      <c r="U4031" s="2018"/>
      <c r="V4031" s="2018"/>
      <c r="W4031" s="2018"/>
      <c r="X4031" s="2018"/>
      <c r="Y4031" s="2018"/>
      <c r="Z4031" s="2023"/>
      <c r="AA4031" s="2023"/>
      <c r="AB4031" s="1050"/>
      <c r="AC4031" s="1050"/>
      <c r="AD4031" s="1050"/>
      <c r="AE4031" s="1050"/>
      <c r="AF4031" s="1052"/>
    </row>
    <row r="4032" spans="1:32" ht="15.75" x14ac:dyDescent="0.25">
      <c r="A4032" s="2017"/>
      <c r="B4032" s="2018"/>
      <c r="C4032" s="2018"/>
      <c r="D4032" s="2018"/>
      <c r="E4032" s="2018"/>
      <c r="F4032" s="2018"/>
      <c r="G4032" s="2018"/>
      <c r="H4032" s="2018"/>
      <c r="I4032" s="2018"/>
      <c r="J4032" s="2018"/>
      <c r="K4032" s="2018"/>
      <c r="L4032" s="2018"/>
      <c r="M4032" s="2018"/>
      <c r="N4032" s="2018"/>
      <c r="O4032" s="2018"/>
      <c r="P4032" s="2018"/>
      <c r="Q4032" s="2018"/>
      <c r="R4032" s="2018"/>
      <c r="S4032" s="2018"/>
      <c r="T4032" s="2018"/>
      <c r="U4032" s="2018"/>
      <c r="V4032" s="2018"/>
      <c r="W4032" s="2018"/>
      <c r="X4032" s="2018"/>
      <c r="Y4032" s="2018"/>
      <c r="Z4032" s="2023"/>
      <c r="AA4032" s="2023"/>
      <c r="AB4032" s="1050"/>
      <c r="AC4032" s="1050"/>
      <c r="AD4032" s="1050"/>
      <c r="AE4032" s="1050"/>
      <c r="AF4032" s="1052"/>
    </row>
    <row r="4033" spans="1:32" ht="15.75" x14ac:dyDescent="0.25">
      <c r="A4033" s="2017"/>
      <c r="B4033" s="2018"/>
      <c r="C4033" s="2018"/>
      <c r="D4033" s="2018"/>
      <c r="E4033" s="2018"/>
      <c r="F4033" s="2018"/>
      <c r="G4033" s="2018"/>
      <c r="H4033" s="2018"/>
      <c r="I4033" s="2018"/>
      <c r="J4033" s="2018"/>
      <c r="K4033" s="2018"/>
      <c r="L4033" s="2018"/>
      <c r="M4033" s="2018"/>
      <c r="N4033" s="2018"/>
      <c r="O4033" s="2018"/>
      <c r="P4033" s="2018"/>
      <c r="Q4033" s="2018"/>
      <c r="R4033" s="2018"/>
      <c r="S4033" s="2018"/>
      <c r="T4033" s="2018"/>
      <c r="U4033" s="2018"/>
      <c r="V4033" s="2018"/>
      <c r="W4033" s="2018"/>
      <c r="X4033" s="2018"/>
      <c r="Y4033" s="2018"/>
      <c r="Z4033" s="2023"/>
      <c r="AA4033" s="2023"/>
      <c r="AB4033" s="1050"/>
      <c r="AC4033" s="1050"/>
      <c r="AD4033" s="1050"/>
      <c r="AE4033" s="1050"/>
      <c r="AF4033" s="1052"/>
    </row>
    <row r="4034" spans="1:32" ht="15.75" x14ac:dyDescent="0.25">
      <c r="A4034" s="2017"/>
      <c r="B4034" s="2018"/>
      <c r="C4034" s="2018"/>
      <c r="D4034" s="2018"/>
      <c r="E4034" s="2018"/>
      <c r="F4034" s="2018"/>
      <c r="G4034" s="2018"/>
      <c r="H4034" s="2018"/>
      <c r="I4034" s="2018"/>
      <c r="J4034" s="2018"/>
      <c r="K4034" s="2018"/>
      <c r="L4034" s="2018"/>
      <c r="M4034" s="2018"/>
      <c r="N4034" s="2018"/>
      <c r="O4034" s="2018"/>
      <c r="P4034" s="2018"/>
      <c r="Q4034" s="2018"/>
      <c r="R4034" s="2018"/>
      <c r="S4034" s="2018"/>
      <c r="T4034" s="2018"/>
      <c r="U4034" s="2018"/>
      <c r="V4034" s="2018"/>
      <c r="W4034" s="2018"/>
      <c r="X4034" s="2018"/>
      <c r="Y4034" s="2018"/>
      <c r="Z4034" s="2023"/>
      <c r="AA4034" s="2023"/>
      <c r="AB4034" s="1050"/>
      <c r="AC4034" s="1050"/>
      <c r="AD4034" s="1050"/>
      <c r="AE4034" s="1050"/>
      <c r="AF4034" s="1052"/>
    </row>
    <row r="4035" spans="1:32" ht="16.5" thickBot="1" x14ac:dyDescent="0.3">
      <c r="A4035" s="2019"/>
      <c r="B4035" s="2020"/>
      <c r="C4035" s="2020"/>
      <c r="D4035" s="2020"/>
      <c r="E4035" s="2020"/>
      <c r="F4035" s="2020"/>
      <c r="G4035" s="2020"/>
      <c r="H4035" s="2020"/>
      <c r="I4035" s="2020"/>
      <c r="J4035" s="2020"/>
      <c r="K4035" s="2020"/>
      <c r="L4035" s="2020"/>
      <c r="M4035" s="2020"/>
      <c r="N4035" s="2020"/>
      <c r="O4035" s="2020"/>
      <c r="P4035" s="2020"/>
      <c r="Q4035" s="2020"/>
      <c r="R4035" s="2020"/>
      <c r="S4035" s="2020"/>
      <c r="T4035" s="2020"/>
      <c r="U4035" s="2020"/>
      <c r="V4035" s="2020"/>
      <c r="W4035" s="2020"/>
      <c r="X4035" s="2020"/>
      <c r="Y4035" s="2020"/>
      <c r="Z4035" s="2024"/>
      <c r="AA4035" s="2024"/>
      <c r="AB4035" s="1057"/>
      <c r="AC4035" s="1057"/>
      <c r="AD4035" s="1057"/>
      <c r="AE4035" s="1057"/>
      <c r="AF4035" s="1058"/>
    </row>
    <row r="4036" spans="1:32" ht="15.75" x14ac:dyDescent="0.25">
      <c r="A4036" s="2009" t="s">
        <v>1855</v>
      </c>
      <c r="B4036" s="2010"/>
      <c r="C4036" s="2010"/>
      <c r="D4036" s="2010"/>
      <c r="E4036" s="2010"/>
      <c r="F4036" s="2010"/>
      <c r="G4036" s="2010"/>
      <c r="H4036" s="2010"/>
      <c r="I4036" s="2010"/>
      <c r="J4036" s="2010"/>
      <c r="K4036" s="2010"/>
      <c r="L4036" s="2010"/>
      <c r="M4036" s="2010"/>
      <c r="N4036" s="2010"/>
      <c r="O4036" s="2010"/>
      <c r="P4036" s="2010"/>
      <c r="Q4036" s="2010"/>
      <c r="R4036" s="2010"/>
      <c r="S4036" s="2010"/>
      <c r="T4036" s="2010"/>
      <c r="U4036" s="2010"/>
      <c r="V4036" s="2010"/>
      <c r="W4036" s="2010"/>
      <c r="X4036" s="2010"/>
      <c r="Y4036" s="2010"/>
      <c r="Z4036" s="2013" t="s">
        <v>1850</v>
      </c>
      <c r="AA4036" s="2013"/>
      <c r="AB4036" s="2013"/>
      <c r="AC4036" s="2013"/>
      <c r="AD4036" s="2013"/>
      <c r="AE4036" s="2013"/>
      <c r="AF4036" s="1059">
        <f>SUM(AF4012:AF4035)</f>
        <v>9.6399999999999988</v>
      </c>
    </row>
    <row r="4037" spans="1:32" ht="15.75" x14ac:dyDescent="0.25">
      <c r="A4037" s="2011"/>
      <c r="B4037" s="2012"/>
      <c r="C4037" s="2012"/>
      <c r="D4037" s="2012"/>
      <c r="E4037" s="2012"/>
      <c r="F4037" s="2012"/>
      <c r="G4037" s="2012"/>
      <c r="H4037" s="2012"/>
      <c r="I4037" s="2012"/>
      <c r="J4037" s="2012"/>
      <c r="K4037" s="2012"/>
      <c r="L4037" s="2012"/>
      <c r="M4037" s="2012"/>
      <c r="N4037" s="2012"/>
      <c r="O4037" s="2012"/>
      <c r="P4037" s="2012"/>
      <c r="Q4037" s="2012"/>
      <c r="R4037" s="2012"/>
      <c r="S4037" s="2012"/>
      <c r="T4037" s="2012"/>
      <c r="U4037" s="2012"/>
      <c r="V4037" s="2012"/>
      <c r="W4037" s="2012"/>
      <c r="X4037" s="2012"/>
      <c r="Y4037" s="2012"/>
      <c r="Z4037" s="2014" t="s">
        <v>1851</v>
      </c>
      <c r="AA4037" s="2014"/>
      <c r="AB4037" s="2014"/>
      <c r="AC4037" s="2014"/>
      <c r="AD4037" s="2014"/>
      <c r="AE4037" s="2014"/>
      <c r="AF4037" s="1060">
        <v>0</v>
      </c>
    </row>
    <row r="4038" spans="1:32" ht="15.75" x14ac:dyDescent="0.25">
      <c r="A4038" s="2011"/>
      <c r="B4038" s="2012"/>
      <c r="C4038" s="2012"/>
      <c r="D4038" s="2012"/>
      <c r="E4038" s="2012"/>
      <c r="F4038" s="2012"/>
      <c r="G4038" s="2012"/>
      <c r="H4038" s="2012"/>
      <c r="I4038" s="2012"/>
      <c r="J4038" s="2012"/>
      <c r="K4038" s="2012"/>
      <c r="L4038" s="2012"/>
      <c r="M4038" s="2012"/>
      <c r="N4038" s="2012"/>
      <c r="O4038" s="2012"/>
      <c r="P4038" s="2012"/>
      <c r="Q4038" s="2012"/>
      <c r="R4038" s="2012"/>
      <c r="S4038" s="2012"/>
      <c r="T4038" s="2012"/>
      <c r="U4038" s="2012"/>
      <c r="V4038" s="2012"/>
      <c r="W4038" s="2012"/>
      <c r="X4038" s="2012"/>
      <c r="Y4038" s="2012"/>
      <c r="Z4038" s="2015" t="s">
        <v>1833</v>
      </c>
      <c r="AA4038" s="2015"/>
      <c r="AB4038" s="2015"/>
      <c r="AC4038" s="2015"/>
      <c r="AD4038" s="2015"/>
      <c r="AE4038" s="2015"/>
      <c r="AF4038" s="1061">
        <f>SUM(AF4036:AF4037)</f>
        <v>9.6399999999999988</v>
      </c>
    </row>
    <row r="4039" spans="1:32" x14ac:dyDescent="0.2">
      <c r="A4039" s="2012" t="s">
        <v>1859</v>
      </c>
      <c r="B4039" s="2012"/>
      <c r="C4039" s="2012"/>
      <c r="D4039" s="2012"/>
      <c r="E4039" s="2012"/>
      <c r="F4039" s="2012"/>
      <c r="G4039" s="2012"/>
      <c r="H4039" s="2012"/>
      <c r="I4039" s="2012"/>
      <c r="J4039" s="2012"/>
      <c r="K4039" s="2012"/>
      <c r="L4039" s="2012"/>
      <c r="M4039" s="2012"/>
      <c r="N4039" s="2012"/>
      <c r="O4039" s="2012"/>
      <c r="P4039" s="2012"/>
      <c r="Q4039" s="2012"/>
      <c r="R4039" s="2012"/>
      <c r="S4039" s="2012"/>
      <c r="T4039" s="2016" t="s">
        <v>1840</v>
      </c>
      <c r="U4039" s="2016"/>
      <c r="V4039" s="2016"/>
      <c r="W4039" s="2016"/>
      <c r="X4039" s="2016"/>
      <c r="Y4039" s="2016"/>
      <c r="Z4039" s="2016"/>
      <c r="AA4039" s="2016"/>
      <c r="AB4039" s="2012" t="s">
        <v>1852</v>
      </c>
      <c r="AC4039" s="2012"/>
      <c r="AD4039" s="2012"/>
      <c r="AE4039" s="2012"/>
      <c r="AF4039" s="2012"/>
    </row>
    <row r="4040" spans="1:32" x14ac:dyDescent="0.2">
      <c r="A4040" s="2012"/>
      <c r="B4040" s="2012"/>
      <c r="C4040" s="2012"/>
      <c r="D4040" s="2012"/>
      <c r="E4040" s="2012"/>
      <c r="F4040" s="2012"/>
      <c r="G4040" s="2012"/>
      <c r="H4040" s="2012"/>
      <c r="I4040" s="2012"/>
      <c r="J4040" s="2012"/>
      <c r="K4040" s="2012"/>
      <c r="L4040" s="2012"/>
      <c r="M4040" s="2012"/>
      <c r="N4040" s="2012"/>
      <c r="O4040" s="2012"/>
      <c r="P4040" s="2012"/>
      <c r="Q4040" s="2012"/>
      <c r="R4040" s="2012"/>
      <c r="S4040" s="2012"/>
      <c r="T4040" s="2016"/>
      <c r="U4040" s="2016"/>
      <c r="V4040" s="2016"/>
      <c r="W4040" s="2016"/>
      <c r="X4040" s="2016"/>
      <c r="Y4040" s="2016"/>
      <c r="Z4040" s="2016"/>
      <c r="AA4040" s="2016"/>
      <c r="AB4040" s="2012"/>
      <c r="AC4040" s="2012"/>
      <c r="AD4040" s="2012"/>
      <c r="AE4040" s="2012"/>
      <c r="AF4040" s="2012"/>
    </row>
    <row r="4041" spans="1:32" ht="13.5" thickBot="1" x14ac:dyDescent="0.25"/>
    <row r="4042" spans="1:32" ht="22.9" customHeight="1" x14ac:dyDescent="0.2">
      <c r="A4042" s="2025" t="s">
        <v>1854</v>
      </c>
      <c r="B4042" s="2026"/>
      <c r="C4042" s="2026"/>
      <c r="D4042" s="2026"/>
      <c r="E4042" s="2026"/>
      <c r="F4042" s="2026"/>
      <c r="G4042" s="2026"/>
      <c r="H4042" s="2026"/>
      <c r="I4042" s="2026"/>
      <c r="J4042" s="2026"/>
      <c r="K4042" s="2026"/>
      <c r="L4042" s="2026"/>
      <c r="M4042" s="2026"/>
      <c r="N4042" s="2026"/>
      <c r="O4042" s="2026"/>
      <c r="P4042" s="2026"/>
      <c r="Q4042" s="2026"/>
      <c r="R4042" s="2026"/>
      <c r="S4042" s="2026"/>
      <c r="T4042" s="2026"/>
      <c r="U4042" s="2026"/>
      <c r="V4042" s="2026"/>
      <c r="W4042" s="2026"/>
      <c r="X4042" s="2026"/>
      <c r="Y4042" s="2026"/>
      <c r="Z4042" s="2026"/>
      <c r="AA4042" s="2026"/>
      <c r="AB4042" s="2026"/>
      <c r="AC4042" s="2026"/>
      <c r="AD4042" s="2026"/>
      <c r="AE4042" s="1041" t="s">
        <v>1834</v>
      </c>
      <c r="AF4042" s="1042" t="s">
        <v>1835</v>
      </c>
    </row>
    <row r="4043" spans="1:32" ht="25.15" customHeight="1" thickBot="1" x14ac:dyDescent="0.25">
      <c r="A4043" s="2027"/>
      <c r="B4043" s="2028"/>
      <c r="C4043" s="2028"/>
      <c r="D4043" s="2028"/>
      <c r="E4043" s="2028"/>
      <c r="F4043" s="2028"/>
      <c r="G4043" s="2028"/>
      <c r="H4043" s="2028"/>
      <c r="I4043" s="2028"/>
      <c r="J4043" s="2028"/>
      <c r="K4043" s="2028"/>
      <c r="L4043" s="2028"/>
      <c r="M4043" s="2028"/>
      <c r="N4043" s="2028"/>
      <c r="O4043" s="2028"/>
      <c r="P4043" s="2028"/>
      <c r="Q4043" s="2028"/>
      <c r="R4043" s="2028"/>
      <c r="S4043" s="2028"/>
      <c r="T4043" s="2028"/>
      <c r="U4043" s="2028"/>
      <c r="V4043" s="2028"/>
      <c r="W4043" s="2028"/>
      <c r="X4043" s="2028"/>
      <c r="Y4043" s="2028"/>
      <c r="Z4043" s="2028"/>
      <c r="AA4043" s="2028"/>
      <c r="AB4043" s="2028"/>
      <c r="AC4043" s="2028"/>
      <c r="AD4043" s="2028"/>
      <c r="AE4043" s="1041" t="s">
        <v>1836</v>
      </c>
      <c r="AF4043" s="1044">
        <v>1</v>
      </c>
    </row>
    <row r="4044" spans="1:32" ht="15.75" x14ac:dyDescent="0.2">
      <c r="A4044" s="2029"/>
      <c r="B4044" s="2030"/>
      <c r="C4044" s="2030"/>
      <c r="D4044" s="2031"/>
      <c r="E4044" s="2025" t="str">
        <f>'01'!$A$12</f>
        <v>"CONSTRUCCION SISTEMA DE ACUEDUCTO FASE II DEL MUNICIPIO DE TESALIA DPTO DEL HUILA"</v>
      </c>
      <c r="F4044" s="2026"/>
      <c r="G4044" s="2026"/>
      <c r="H4044" s="2026"/>
      <c r="I4044" s="2026"/>
      <c r="J4044" s="2026"/>
      <c r="K4044" s="2026"/>
      <c r="L4044" s="2026"/>
      <c r="M4044" s="2026"/>
      <c r="N4044" s="2026"/>
      <c r="O4044" s="2026"/>
      <c r="P4044" s="2026"/>
      <c r="Q4044" s="2026"/>
      <c r="R4044" s="2026"/>
      <c r="S4044" s="2026"/>
      <c r="T4044" s="2026"/>
      <c r="U4044" s="2026"/>
      <c r="V4044" s="2026"/>
      <c r="W4044" s="2026"/>
      <c r="X4044" s="2026"/>
      <c r="Y4044" s="2026"/>
      <c r="Z4044" s="2026"/>
      <c r="AA4044" s="2026"/>
      <c r="AB4044" s="2026"/>
      <c r="AC4044" s="2026"/>
      <c r="AD4044" s="2035"/>
      <c r="AE4044" s="1041" t="s">
        <v>847</v>
      </c>
      <c r="AF4044" s="1045">
        <f>'01'!$M$13</f>
        <v>0</v>
      </c>
    </row>
    <row r="4045" spans="1:32" ht="16.5" thickBot="1" x14ac:dyDescent="0.25">
      <c r="A4045" s="2032"/>
      <c r="B4045" s="2033"/>
      <c r="C4045" s="2033"/>
      <c r="D4045" s="2034"/>
      <c r="E4045" s="2027"/>
      <c r="F4045" s="2028"/>
      <c r="G4045" s="2028"/>
      <c r="H4045" s="2028"/>
      <c r="I4045" s="2028"/>
      <c r="J4045" s="2028"/>
      <c r="K4045" s="2028"/>
      <c r="L4045" s="2028"/>
      <c r="M4045" s="2028"/>
      <c r="N4045" s="2028"/>
      <c r="O4045" s="2028"/>
      <c r="P4045" s="2028"/>
      <c r="Q4045" s="2028"/>
      <c r="R4045" s="2028"/>
      <c r="S4045" s="2028"/>
      <c r="T4045" s="2028"/>
      <c r="U4045" s="2028"/>
      <c r="V4045" s="2028"/>
      <c r="W4045" s="2028"/>
      <c r="X4045" s="2028"/>
      <c r="Y4045" s="2028"/>
      <c r="Z4045" s="2028"/>
      <c r="AA4045" s="2028"/>
      <c r="AB4045" s="2028"/>
      <c r="AC4045" s="2028"/>
      <c r="AD4045" s="2036"/>
      <c r="AE4045" s="1041" t="s">
        <v>1837</v>
      </c>
      <c r="AF4045" s="1042" t="s">
        <v>1838</v>
      </c>
    </row>
    <row r="4046" spans="1:32" ht="15.75" x14ac:dyDescent="0.25">
      <c r="A4046" s="2037" t="s">
        <v>1860</v>
      </c>
      <c r="B4046" s="2038"/>
      <c r="C4046" s="2038"/>
      <c r="D4046" s="2038"/>
      <c r="E4046" s="2038"/>
      <c r="F4046" s="2038"/>
      <c r="G4046" s="2038"/>
      <c r="H4046" s="2038"/>
      <c r="I4046" s="2038"/>
      <c r="J4046" s="2038"/>
      <c r="K4046" s="2038"/>
      <c r="L4046" s="2038"/>
      <c r="M4046" s="2038"/>
      <c r="N4046" s="2038"/>
      <c r="O4046" s="2038"/>
      <c r="P4046" s="2038"/>
      <c r="Q4046" s="2038"/>
      <c r="R4046" s="2038"/>
      <c r="S4046" s="2038"/>
      <c r="T4046" s="2038"/>
      <c r="U4046" s="2038"/>
      <c r="V4046" s="2038"/>
      <c r="W4046" s="2038"/>
      <c r="X4046" s="2038"/>
      <c r="Y4046" s="2038"/>
      <c r="Z4046" s="2038"/>
      <c r="AA4046" s="2038"/>
      <c r="AB4046" s="2038"/>
      <c r="AC4046" s="2038"/>
      <c r="AD4046" s="2038"/>
      <c r="AE4046" s="2039" t="s">
        <v>1839</v>
      </c>
      <c r="AF4046" s="2040"/>
    </row>
    <row r="4047" spans="1:32" ht="15.75" x14ac:dyDescent="0.25">
      <c r="A4047" s="2041" t="s">
        <v>1840</v>
      </c>
      <c r="B4047" s="2042"/>
      <c r="C4047" s="2042"/>
      <c r="D4047" s="2042"/>
      <c r="E4047" s="2042"/>
      <c r="F4047" s="2042"/>
      <c r="G4047" s="2042"/>
      <c r="H4047" s="2042"/>
      <c r="I4047" s="2042"/>
      <c r="J4047" s="2042"/>
      <c r="K4047" s="2042"/>
      <c r="L4047" s="2042"/>
      <c r="M4047" s="2042"/>
      <c r="N4047" s="2042"/>
      <c r="O4047" s="2042"/>
      <c r="P4047" s="2042"/>
      <c r="Q4047" s="2042"/>
      <c r="R4047" s="2042"/>
      <c r="S4047" s="2042"/>
      <c r="T4047" s="2042"/>
      <c r="U4047" s="2042"/>
      <c r="V4047" s="2042"/>
      <c r="W4047" s="2042"/>
      <c r="X4047" s="2042"/>
      <c r="Y4047" s="2042"/>
      <c r="Z4047" s="2042"/>
      <c r="AA4047" s="2042"/>
      <c r="AB4047" s="2042"/>
      <c r="AC4047" s="2042"/>
      <c r="AD4047" s="2043"/>
      <c r="AE4047" s="2014" t="s">
        <v>1841</v>
      </c>
      <c r="AF4047" s="2044"/>
    </row>
    <row r="4048" spans="1:32" ht="15.75" x14ac:dyDescent="0.25">
      <c r="A4048" s="2045" t="s">
        <v>1853</v>
      </c>
      <c r="B4048" s="2046"/>
      <c r="C4048" s="2046"/>
      <c r="D4048" s="2046"/>
      <c r="E4048" s="2046"/>
      <c r="F4048" s="2046"/>
      <c r="G4048" s="2046"/>
      <c r="H4048" s="2046"/>
      <c r="I4048" s="2046"/>
      <c r="J4048" s="2046"/>
      <c r="K4048" s="2046"/>
      <c r="L4048" s="2046"/>
      <c r="M4048" s="2046"/>
      <c r="N4048" s="2046"/>
      <c r="O4048" s="2046"/>
      <c r="P4048" s="2046"/>
      <c r="Q4048" s="2046"/>
      <c r="R4048" s="2046"/>
      <c r="S4048" s="2046"/>
      <c r="T4048" s="2046"/>
      <c r="U4048" s="2046"/>
      <c r="V4048" s="2046"/>
      <c r="W4048" s="2046"/>
      <c r="X4048" s="2046"/>
      <c r="Y4048" s="2046"/>
      <c r="Z4048" s="2046"/>
      <c r="AA4048" s="2046"/>
      <c r="AB4048" s="2046"/>
      <c r="AC4048" s="2046"/>
      <c r="AD4048" s="2046"/>
      <c r="AE4048" s="2047">
        <f>'01'!$M$13</f>
        <v>0</v>
      </c>
      <c r="AF4048" s="2044"/>
    </row>
    <row r="4050" spans="1:34" ht="30" customHeight="1" x14ac:dyDescent="0.2">
      <c r="A4050" s="2048" t="s">
        <v>1842</v>
      </c>
      <c r="B4050" s="2049"/>
      <c r="C4050" s="2049"/>
      <c r="D4050" s="2049"/>
      <c r="E4050" s="2049"/>
      <c r="F4050" s="2050" t="str">
        <f>+'01'!$H$163</f>
        <v>F - LECHOS DE SECADO</v>
      </c>
      <c r="G4050" s="2049"/>
      <c r="H4050" s="2049"/>
      <c r="I4050" s="2049"/>
      <c r="J4050" s="2049"/>
      <c r="K4050" s="2049"/>
      <c r="L4050" s="2049"/>
      <c r="M4050" s="2049"/>
      <c r="N4050" s="2049"/>
      <c r="O4050" s="2049"/>
      <c r="P4050" s="2049"/>
      <c r="Q4050" s="2049"/>
      <c r="R4050" s="2049"/>
      <c r="S4050" s="2049"/>
      <c r="T4050" s="2049"/>
      <c r="U4050" s="2049"/>
      <c r="V4050" s="2049"/>
      <c r="W4050" s="2049"/>
      <c r="X4050" s="2049"/>
      <c r="Y4050" s="2051"/>
      <c r="Z4050" s="2052" t="s">
        <v>1843</v>
      </c>
      <c r="AA4050" s="2053"/>
      <c r="AB4050" s="2058" t="s">
        <v>1844</v>
      </c>
      <c r="AC4050" s="2059"/>
      <c r="AD4050" s="2060"/>
      <c r="AE4050" s="2064" t="s">
        <v>1845</v>
      </c>
      <c r="AF4050" s="2067" t="s">
        <v>1846</v>
      </c>
    </row>
    <row r="4051" spans="1:34" x14ac:dyDescent="0.2">
      <c r="A4051" s="2070" t="str">
        <f>+'01'!A172</f>
        <v>F-03-03</v>
      </c>
      <c r="B4051" s="2071"/>
      <c r="C4051" s="2072"/>
      <c r="D4051" s="2076" t="str">
        <f>VLOOKUP(A4051,'01'!$A$12:$N$299,3,FALSE)</f>
        <v>RELLENO CON MATERIAL SELECCIONADO DE LA EXCAVACIÓN, COMPACTADO CON EQUIPO MECÁNICO EN CAPAS DE 0,20 m</v>
      </c>
      <c r="E4051" s="2077"/>
      <c r="F4051" s="2077"/>
      <c r="G4051" s="2077"/>
      <c r="H4051" s="2077"/>
      <c r="I4051" s="2077"/>
      <c r="J4051" s="2077"/>
      <c r="K4051" s="2077"/>
      <c r="L4051" s="2077"/>
      <c r="M4051" s="2077"/>
      <c r="N4051" s="2077"/>
      <c r="O4051" s="2077"/>
      <c r="P4051" s="2077"/>
      <c r="Q4051" s="2077"/>
      <c r="R4051" s="2077"/>
      <c r="S4051" s="2078"/>
      <c r="T4051" s="2082" t="s">
        <v>124</v>
      </c>
      <c r="U4051" s="2083"/>
      <c r="V4051" s="2083"/>
      <c r="W4051" s="2083"/>
      <c r="X4051" s="2052" t="str">
        <f>VLOOKUP(A4051,'01'!$A$12:$N$299,9,FALSE)</f>
        <v>M3</v>
      </c>
      <c r="Y4051" s="2053"/>
      <c r="Z4051" s="2054"/>
      <c r="AA4051" s="2055"/>
      <c r="AB4051" s="2061"/>
      <c r="AC4051" s="2062"/>
      <c r="AD4051" s="2063"/>
      <c r="AE4051" s="2065"/>
      <c r="AF4051" s="2068"/>
    </row>
    <row r="4052" spans="1:34" ht="15.75" x14ac:dyDescent="0.25">
      <c r="A4052" s="2073"/>
      <c r="B4052" s="2074"/>
      <c r="C4052" s="2075"/>
      <c r="D4052" s="2079"/>
      <c r="E4052" s="2080"/>
      <c r="F4052" s="2080"/>
      <c r="G4052" s="2080"/>
      <c r="H4052" s="2080"/>
      <c r="I4052" s="2080"/>
      <c r="J4052" s="2080"/>
      <c r="K4052" s="2080"/>
      <c r="L4052" s="2080"/>
      <c r="M4052" s="2080"/>
      <c r="N4052" s="2080"/>
      <c r="O4052" s="2080"/>
      <c r="P4052" s="2080"/>
      <c r="Q4052" s="2080"/>
      <c r="R4052" s="2080"/>
      <c r="S4052" s="2081"/>
      <c r="T4052" s="2084"/>
      <c r="U4052" s="2085"/>
      <c r="V4052" s="2085"/>
      <c r="W4052" s="2085"/>
      <c r="X4052" s="2056"/>
      <c r="Y4052" s="2057"/>
      <c r="Z4052" s="2056"/>
      <c r="AA4052" s="2057"/>
      <c r="AB4052" s="1049" t="s">
        <v>2417</v>
      </c>
      <c r="AC4052" s="1049" t="s">
        <v>2418</v>
      </c>
      <c r="AD4052" s="1049" t="s">
        <v>2419</v>
      </c>
      <c r="AE4052" s="2066"/>
      <c r="AF4052" s="2069"/>
    </row>
    <row r="4053" spans="1:34" ht="15.6" customHeight="1" x14ac:dyDescent="0.25">
      <c r="A4053" s="2017"/>
      <c r="B4053" s="2018"/>
      <c r="C4053" s="2018"/>
      <c r="D4053" s="2018"/>
      <c r="E4053" s="2018"/>
      <c r="F4053" s="2018"/>
      <c r="G4053" s="2018"/>
      <c r="H4053" s="2018"/>
      <c r="I4053" s="2018"/>
      <c r="J4053" s="2018"/>
      <c r="K4053" s="2018"/>
      <c r="L4053" s="2018"/>
      <c r="M4053" s="2018"/>
      <c r="N4053" s="2018"/>
      <c r="O4053" s="2018"/>
      <c r="P4053" s="2018"/>
      <c r="Q4053" s="2018"/>
      <c r="R4053" s="2018"/>
      <c r="S4053" s="2018"/>
      <c r="T4053" s="2018"/>
      <c r="U4053" s="2018"/>
      <c r="V4053" s="2018"/>
      <c r="W4053" s="2018"/>
      <c r="X4053" s="2018"/>
      <c r="Y4053" s="2094"/>
      <c r="Z4053" s="2021" t="s">
        <v>2484</v>
      </c>
      <c r="AA4053" s="2021"/>
      <c r="AB4053" s="1050">
        <f>+AF3930</f>
        <v>85.18</v>
      </c>
      <c r="AC4053" s="1050">
        <f>+AF4012</f>
        <v>9.2799999999999994</v>
      </c>
      <c r="AD4053" s="1050">
        <f>+AB4012*AC4012*0.9</f>
        <v>41.737499999999997</v>
      </c>
      <c r="AE4053" s="1051">
        <v>1</v>
      </c>
      <c r="AF4053" s="1052">
        <f>+ROUND(AB4053-AC4053-AD4053,2)</f>
        <v>34.159999999999997</v>
      </c>
      <c r="AH4053" s="1174"/>
    </row>
    <row r="4054" spans="1:34" ht="15.6" customHeight="1" x14ac:dyDescent="0.25">
      <c r="A4054" s="2017"/>
      <c r="B4054" s="2018"/>
      <c r="C4054" s="2018"/>
      <c r="D4054" s="2018"/>
      <c r="E4054" s="2018"/>
      <c r="F4054" s="2018"/>
      <c r="G4054" s="2018"/>
      <c r="H4054" s="2018"/>
      <c r="I4054" s="2018"/>
      <c r="J4054" s="2018"/>
      <c r="K4054" s="2018"/>
      <c r="L4054" s="2018"/>
      <c r="M4054" s="2018"/>
      <c r="N4054" s="2018"/>
      <c r="O4054" s="2018"/>
      <c r="P4054" s="2018"/>
      <c r="Q4054" s="2018"/>
      <c r="R4054" s="2018"/>
      <c r="S4054" s="2018"/>
      <c r="T4054" s="2018"/>
      <c r="U4054" s="2018"/>
      <c r="V4054" s="2018"/>
      <c r="W4054" s="2018"/>
      <c r="X4054" s="2018"/>
      <c r="Y4054" s="2094"/>
      <c r="Z4054" s="2021" t="s">
        <v>2485</v>
      </c>
      <c r="AA4054" s="2021"/>
      <c r="AB4054" s="1050">
        <f t="shared" ref="AB4054" si="59">+AF3931</f>
        <v>4.8</v>
      </c>
      <c r="AC4054" s="1050">
        <f>+AF4013</f>
        <v>0.36</v>
      </c>
      <c r="AD4054" s="1050">
        <f>+AB4013*AC4013*0.8*AE4013</f>
        <v>2.8800000000000003</v>
      </c>
      <c r="AE4054" s="1051">
        <v>1</v>
      </c>
      <c r="AF4054" s="1052">
        <f t="shared" ref="AF4054:AF4056" si="60">+ROUND(AB4054-AC4054-AD4054,2)</f>
        <v>1.56</v>
      </c>
    </row>
    <row r="4055" spans="1:34" ht="15.6" customHeight="1" x14ac:dyDescent="0.25">
      <c r="A4055" s="2017"/>
      <c r="B4055" s="2018"/>
      <c r="C4055" s="2018"/>
      <c r="D4055" s="2018"/>
      <c r="E4055" s="2018"/>
      <c r="F4055" s="2018"/>
      <c r="G4055" s="2018"/>
      <c r="H4055" s="2018"/>
      <c r="I4055" s="2018"/>
      <c r="J4055" s="2018"/>
      <c r="K4055" s="2018"/>
      <c r="L4055" s="2018"/>
      <c r="M4055" s="2018"/>
      <c r="N4055" s="2018"/>
      <c r="O4055" s="2018"/>
      <c r="P4055" s="2018"/>
      <c r="Q4055" s="2018"/>
      <c r="R4055" s="2018"/>
      <c r="S4055" s="2018"/>
      <c r="T4055" s="2018"/>
      <c r="U4055" s="2018"/>
      <c r="V4055" s="2018"/>
      <c r="W4055" s="2018"/>
      <c r="X4055" s="2018"/>
      <c r="Y4055" s="2094"/>
      <c r="Z4055" s="2021" t="s">
        <v>2487</v>
      </c>
      <c r="AA4055" s="2021"/>
      <c r="AB4055" s="1050">
        <f>+AF3932</f>
        <v>7.5</v>
      </c>
      <c r="AC4055" s="1050">
        <f>+AF3973</f>
        <v>0.75</v>
      </c>
      <c r="AD4055" s="1050">
        <f>+ROUND(PI()*(0.1^2)/4*AB3932,2)</f>
        <v>0.12</v>
      </c>
      <c r="AE4055" s="1051">
        <v>1</v>
      </c>
      <c r="AF4055" s="1052">
        <f t="shared" si="60"/>
        <v>6.63</v>
      </c>
    </row>
    <row r="4056" spans="1:34" ht="15.6" customHeight="1" x14ac:dyDescent="0.25">
      <c r="A4056" s="2017"/>
      <c r="B4056" s="2018"/>
      <c r="C4056" s="2018"/>
      <c r="D4056" s="2018"/>
      <c r="E4056" s="2018"/>
      <c r="F4056" s="2018"/>
      <c r="G4056" s="2018"/>
      <c r="H4056" s="2018"/>
      <c r="I4056" s="2018"/>
      <c r="J4056" s="2018"/>
      <c r="K4056" s="2018"/>
      <c r="L4056" s="2018"/>
      <c r="M4056" s="2018"/>
      <c r="N4056" s="2018"/>
      <c r="O4056" s="2018"/>
      <c r="P4056" s="2018"/>
      <c r="Q4056" s="2018"/>
      <c r="R4056" s="2018"/>
      <c r="S4056" s="2018"/>
      <c r="T4056" s="2018"/>
      <c r="U4056" s="2018"/>
      <c r="V4056" s="2018"/>
      <c r="W4056" s="2018"/>
      <c r="X4056" s="2018"/>
      <c r="Y4056" s="2094"/>
      <c r="Z4056" s="2021" t="s">
        <v>2488</v>
      </c>
      <c r="AA4056" s="2021"/>
      <c r="AB4056" s="1050">
        <f>+AF3933</f>
        <v>7.5</v>
      </c>
      <c r="AC4056" s="1050">
        <f>+AF3974</f>
        <v>0.75</v>
      </c>
      <c r="AD4056" s="1050">
        <f>+ROUND(PI()*(0.15^2)/4*AB3933,2)</f>
        <v>0.27</v>
      </c>
      <c r="AE4056" s="1051">
        <v>1</v>
      </c>
      <c r="AF4056" s="1052">
        <f t="shared" si="60"/>
        <v>6.48</v>
      </c>
    </row>
    <row r="4057" spans="1:34" ht="15.75" x14ac:dyDescent="0.25">
      <c r="A4057" s="2017"/>
      <c r="B4057" s="2018"/>
      <c r="C4057" s="2018"/>
      <c r="D4057" s="2018"/>
      <c r="E4057" s="2018"/>
      <c r="F4057" s="2018"/>
      <c r="G4057" s="2018"/>
      <c r="H4057" s="2018"/>
      <c r="I4057" s="2018"/>
      <c r="J4057" s="2018"/>
      <c r="K4057" s="2018"/>
      <c r="L4057" s="2018"/>
      <c r="M4057" s="2018"/>
      <c r="N4057" s="2018"/>
      <c r="O4057" s="2018"/>
      <c r="P4057" s="2018"/>
      <c r="Q4057" s="2018"/>
      <c r="R4057" s="2018"/>
      <c r="S4057" s="2018"/>
      <c r="T4057" s="2018"/>
      <c r="U4057" s="2018"/>
      <c r="V4057" s="2018"/>
      <c r="W4057" s="2018"/>
      <c r="X4057" s="2018"/>
      <c r="Y4057" s="2094"/>
      <c r="Z4057" s="2096"/>
      <c r="AA4057" s="2097"/>
      <c r="AB4057" s="1053"/>
      <c r="AC4057" s="1053"/>
      <c r="AD4057" s="1050"/>
      <c r="AE4057" s="1051"/>
      <c r="AF4057" s="1052"/>
    </row>
    <row r="4058" spans="1:34" ht="15.75" x14ac:dyDescent="0.25">
      <c r="A4058" s="2017"/>
      <c r="B4058" s="2018"/>
      <c r="C4058" s="2018"/>
      <c r="D4058" s="2018"/>
      <c r="E4058" s="2018"/>
      <c r="F4058" s="2018"/>
      <c r="G4058" s="2018"/>
      <c r="H4058" s="2018"/>
      <c r="I4058" s="2018"/>
      <c r="J4058" s="2018"/>
      <c r="K4058" s="2018"/>
      <c r="L4058" s="2018"/>
      <c r="M4058" s="2018"/>
      <c r="N4058" s="2018"/>
      <c r="O4058" s="2018"/>
      <c r="P4058" s="2018"/>
      <c r="Q4058" s="2018"/>
      <c r="R4058" s="2018"/>
      <c r="S4058" s="2018"/>
      <c r="T4058" s="2018"/>
      <c r="U4058" s="2018"/>
      <c r="V4058" s="2018"/>
      <c r="W4058" s="2018"/>
      <c r="X4058" s="2018"/>
      <c r="Y4058" s="2094"/>
      <c r="Z4058" s="2096"/>
      <c r="AA4058" s="2097"/>
      <c r="AB4058" s="1053"/>
      <c r="AC4058" s="1053"/>
      <c r="AD4058" s="1053"/>
      <c r="AE4058" s="1051"/>
      <c r="AF4058" s="1052"/>
    </row>
    <row r="4059" spans="1:34" ht="15.75" x14ac:dyDescent="0.25">
      <c r="A4059" s="2017"/>
      <c r="B4059" s="2018"/>
      <c r="C4059" s="2018"/>
      <c r="D4059" s="2018"/>
      <c r="E4059" s="2018"/>
      <c r="F4059" s="2018"/>
      <c r="G4059" s="2018"/>
      <c r="H4059" s="2018"/>
      <c r="I4059" s="2018"/>
      <c r="J4059" s="2018"/>
      <c r="K4059" s="2018"/>
      <c r="L4059" s="2018"/>
      <c r="M4059" s="2018"/>
      <c r="N4059" s="2018"/>
      <c r="O4059" s="2018"/>
      <c r="P4059" s="2018"/>
      <c r="Q4059" s="2018"/>
      <c r="R4059" s="2018"/>
      <c r="S4059" s="2018"/>
      <c r="T4059" s="2018"/>
      <c r="U4059" s="2018"/>
      <c r="V4059" s="2018"/>
      <c r="W4059" s="2018"/>
      <c r="X4059" s="2018"/>
      <c r="Y4059" s="2094"/>
      <c r="Z4059" s="2096"/>
      <c r="AA4059" s="2097"/>
      <c r="AB4059" s="1053"/>
      <c r="AC4059" s="1053"/>
      <c r="AD4059" s="1053"/>
      <c r="AE4059" s="1051"/>
      <c r="AF4059" s="1052"/>
    </row>
    <row r="4060" spans="1:34" ht="15.75" x14ac:dyDescent="0.25">
      <c r="A4060" s="2017"/>
      <c r="B4060" s="2018"/>
      <c r="C4060" s="2018"/>
      <c r="D4060" s="2018"/>
      <c r="E4060" s="2018"/>
      <c r="F4060" s="2018"/>
      <c r="G4060" s="2018"/>
      <c r="H4060" s="2018"/>
      <c r="I4060" s="2018"/>
      <c r="J4060" s="2018"/>
      <c r="K4060" s="2018"/>
      <c r="L4060" s="2018"/>
      <c r="M4060" s="2018"/>
      <c r="N4060" s="2018"/>
      <c r="O4060" s="2018"/>
      <c r="P4060" s="2018"/>
      <c r="Q4060" s="2018"/>
      <c r="R4060" s="2018"/>
      <c r="S4060" s="2018"/>
      <c r="T4060" s="2018"/>
      <c r="U4060" s="2018"/>
      <c r="V4060" s="2018"/>
      <c r="W4060" s="2018"/>
      <c r="X4060" s="2018"/>
      <c r="Y4060" s="2094"/>
      <c r="Z4060" s="2096"/>
      <c r="AA4060" s="2097"/>
      <c r="AB4060" s="1053"/>
      <c r="AC4060" s="1053"/>
      <c r="AD4060" s="1053"/>
      <c r="AE4060" s="1051"/>
      <c r="AF4060" s="1052"/>
    </row>
    <row r="4061" spans="1:34" ht="15.75" x14ac:dyDescent="0.25">
      <c r="A4061" s="2017"/>
      <c r="B4061" s="2018"/>
      <c r="C4061" s="2018"/>
      <c r="D4061" s="2018"/>
      <c r="E4061" s="2018"/>
      <c r="F4061" s="2018"/>
      <c r="G4061" s="2018"/>
      <c r="H4061" s="2018"/>
      <c r="I4061" s="2018"/>
      <c r="J4061" s="2018"/>
      <c r="K4061" s="2018"/>
      <c r="L4061" s="2018"/>
      <c r="M4061" s="2018"/>
      <c r="N4061" s="2018"/>
      <c r="O4061" s="2018"/>
      <c r="P4061" s="2018"/>
      <c r="Q4061" s="2018"/>
      <c r="R4061" s="2018"/>
      <c r="S4061" s="2018"/>
      <c r="T4061" s="2018"/>
      <c r="U4061" s="2018"/>
      <c r="V4061" s="2018"/>
      <c r="W4061" s="2018"/>
      <c r="X4061" s="2018"/>
      <c r="Y4061" s="2094"/>
      <c r="Z4061" s="2096"/>
      <c r="AA4061" s="2097"/>
      <c r="AB4061" s="1053"/>
      <c r="AC4061" s="1053"/>
      <c r="AD4061" s="1053"/>
      <c r="AE4061" s="1050"/>
      <c r="AF4061" s="1054"/>
    </row>
    <row r="4062" spans="1:34" ht="15.75" x14ac:dyDescent="0.25">
      <c r="A4062" s="2017"/>
      <c r="B4062" s="2018"/>
      <c r="C4062" s="2018"/>
      <c r="D4062" s="2018"/>
      <c r="E4062" s="2018"/>
      <c r="F4062" s="2018"/>
      <c r="G4062" s="2018"/>
      <c r="H4062" s="2018"/>
      <c r="I4062" s="2018"/>
      <c r="J4062" s="2018"/>
      <c r="K4062" s="2018"/>
      <c r="L4062" s="2018"/>
      <c r="M4062" s="2018"/>
      <c r="N4062" s="2018"/>
      <c r="O4062" s="2018"/>
      <c r="P4062" s="2018"/>
      <c r="Q4062" s="2018"/>
      <c r="R4062" s="2018"/>
      <c r="S4062" s="2018"/>
      <c r="T4062" s="2018"/>
      <c r="U4062" s="2018"/>
      <c r="V4062" s="2018"/>
      <c r="W4062" s="2018"/>
      <c r="X4062" s="2018"/>
      <c r="Y4062" s="2094"/>
      <c r="Z4062" s="2096"/>
      <c r="AA4062" s="2097"/>
      <c r="AB4062" s="1053"/>
      <c r="AC4062" s="1053"/>
      <c r="AD4062" s="1053"/>
      <c r="AE4062" s="1051"/>
      <c r="AF4062" s="1054"/>
    </row>
    <row r="4063" spans="1:34" ht="15.75" x14ac:dyDescent="0.25">
      <c r="A4063" s="2017"/>
      <c r="B4063" s="2018"/>
      <c r="C4063" s="2018"/>
      <c r="D4063" s="2018"/>
      <c r="E4063" s="2018"/>
      <c r="F4063" s="2018"/>
      <c r="G4063" s="2018"/>
      <c r="H4063" s="2018"/>
      <c r="I4063" s="2018"/>
      <c r="J4063" s="2018"/>
      <c r="K4063" s="2018"/>
      <c r="L4063" s="2018"/>
      <c r="M4063" s="2018"/>
      <c r="N4063" s="2018"/>
      <c r="O4063" s="2018"/>
      <c r="P4063" s="2018"/>
      <c r="Q4063" s="2018"/>
      <c r="R4063" s="2018"/>
      <c r="S4063" s="2018"/>
      <c r="T4063" s="2018"/>
      <c r="U4063" s="2018"/>
      <c r="V4063" s="2018"/>
      <c r="W4063" s="2018"/>
      <c r="X4063" s="2018"/>
      <c r="Y4063" s="2094"/>
      <c r="Z4063" s="2096"/>
      <c r="AA4063" s="2097"/>
      <c r="AB4063" s="1053"/>
      <c r="AC4063" s="1053"/>
      <c r="AD4063" s="1053"/>
      <c r="AE4063" s="1051"/>
      <c r="AF4063" s="1054"/>
    </row>
    <row r="4064" spans="1:34" ht="15.75" x14ac:dyDescent="0.25">
      <c r="A4064" s="2017"/>
      <c r="B4064" s="2018"/>
      <c r="C4064" s="2018"/>
      <c r="D4064" s="2018"/>
      <c r="E4064" s="2018"/>
      <c r="F4064" s="2018"/>
      <c r="G4064" s="2018"/>
      <c r="H4064" s="2018"/>
      <c r="I4064" s="2018"/>
      <c r="J4064" s="2018"/>
      <c r="K4064" s="2018"/>
      <c r="L4064" s="2018"/>
      <c r="M4064" s="2018"/>
      <c r="N4064" s="2018"/>
      <c r="O4064" s="2018"/>
      <c r="P4064" s="2018"/>
      <c r="Q4064" s="2018"/>
      <c r="R4064" s="2018"/>
      <c r="S4064" s="2018"/>
      <c r="T4064" s="2018"/>
      <c r="U4064" s="2018"/>
      <c r="V4064" s="2018"/>
      <c r="W4064" s="2018"/>
      <c r="X4064" s="2018"/>
      <c r="Y4064" s="2094"/>
      <c r="Z4064" s="2096"/>
      <c r="AA4064" s="2097"/>
      <c r="AB4064" s="1053"/>
      <c r="AC4064" s="1053"/>
      <c r="AD4064" s="1053"/>
      <c r="AE4064" s="1051"/>
      <c r="AF4064" s="1054"/>
    </row>
    <row r="4065" spans="1:32" ht="15.75" x14ac:dyDescent="0.25">
      <c r="A4065" s="2017"/>
      <c r="B4065" s="2018"/>
      <c r="C4065" s="2018"/>
      <c r="D4065" s="2018"/>
      <c r="E4065" s="2018"/>
      <c r="F4065" s="2018"/>
      <c r="G4065" s="2018"/>
      <c r="H4065" s="2018"/>
      <c r="I4065" s="2018"/>
      <c r="J4065" s="2018"/>
      <c r="K4065" s="2018"/>
      <c r="L4065" s="2018"/>
      <c r="M4065" s="2018"/>
      <c r="N4065" s="2018"/>
      <c r="O4065" s="2018"/>
      <c r="P4065" s="2018"/>
      <c r="Q4065" s="2018"/>
      <c r="R4065" s="2018"/>
      <c r="S4065" s="2018"/>
      <c r="T4065" s="2018"/>
      <c r="U4065" s="2018"/>
      <c r="V4065" s="2018"/>
      <c r="W4065" s="2018"/>
      <c r="X4065" s="2018"/>
      <c r="Y4065" s="2094"/>
      <c r="Z4065" s="2096"/>
      <c r="AA4065" s="2097"/>
      <c r="AB4065" s="1053"/>
      <c r="AC4065" s="1053"/>
      <c r="AD4065" s="1053"/>
      <c r="AE4065" s="1051"/>
      <c r="AF4065" s="1054"/>
    </row>
    <row r="4066" spans="1:32" ht="15.75" x14ac:dyDescent="0.25">
      <c r="A4066" s="2017"/>
      <c r="B4066" s="2018"/>
      <c r="C4066" s="2018"/>
      <c r="D4066" s="2018"/>
      <c r="E4066" s="2018"/>
      <c r="F4066" s="2018"/>
      <c r="G4066" s="2018"/>
      <c r="H4066" s="2018"/>
      <c r="I4066" s="2018"/>
      <c r="J4066" s="2018"/>
      <c r="K4066" s="2018"/>
      <c r="L4066" s="2018"/>
      <c r="M4066" s="2018"/>
      <c r="N4066" s="2018"/>
      <c r="O4066" s="2018"/>
      <c r="P4066" s="2018"/>
      <c r="Q4066" s="2018"/>
      <c r="R4066" s="2018"/>
      <c r="S4066" s="2018"/>
      <c r="T4066" s="2018"/>
      <c r="U4066" s="2018"/>
      <c r="V4066" s="2018"/>
      <c r="W4066" s="2018"/>
      <c r="X4066" s="2018"/>
      <c r="Y4066" s="2094"/>
      <c r="Z4066" s="2096"/>
      <c r="AA4066" s="2097"/>
      <c r="AB4066" s="1053"/>
      <c r="AC4066" s="1053"/>
      <c r="AD4066" s="1053"/>
      <c r="AE4066" s="1051"/>
      <c r="AF4066" s="1054"/>
    </row>
    <row r="4067" spans="1:32" ht="15.75" x14ac:dyDescent="0.25">
      <c r="A4067" s="2017"/>
      <c r="B4067" s="2018"/>
      <c r="C4067" s="2018"/>
      <c r="D4067" s="2018"/>
      <c r="E4067" s="2018"/>
      <c r="F4067" s="2018"/>
      <c r="G4067" s="2018"/>
      <c r="H4067" s="2018"/>
      <c r="I4067" s="2018"/>
      <c r="J4067" s="2018"/>
      <c r="K4067" s="2018"/>
      <c r="L4067" s="2018"/>
      <c r="M4067" s="2018"/>
      <c r="N4067" s="2018"/>
      <c r="O4067" s="2018"/>
      <c r="P4067" s="2018"/>
      <c r="Q4067" s="2018"/>
      <c r="R4067" s="2018"/>
      <c r="S4067" s="2018"/>
      <c r="T4067" s="2018"/>
      <c r="U4067" s="2018"/>
      <c r="V4067" s="2018"/>
      <c r="W4067" s="2018"/>
      <c r="X4067" s="2018"/>
      <c r="Y4067" s="2094"/>
      <c r="Z4067" s="2096"/>
      <c r="AA4067" s="2097"/>
      <c r="AB4067" s="1055"/>
      <c r="AC4067" s="1055"/>
      <c r="AD4067" s="1055"/>
      <c r="AE4067" s="1051"/>
      <c r="AF4067" s="1056"/>
    </row>
    <row r="4068" spans="1:32" ht="15.75" x14ac:dyDescent="0.25">
      <c r="A4068" s="2017"/>
      <c r="B4068" s="2018"/>
      <c r="C4068" s="2018"/>
      <c r="D4068" s="2018"/>
      <c r="E4068" s="2018"/>
      <c r="F4068" s="2018"/>
      <c r="G4068" s="2018"/>
      <c r="H4068" s="2018"/>
      <c r="I4068" s="2018"/>
      <c r="J4068" s="2018"/>
      <c r="K4068" s="2018"/>
      <c r="L4068" s="2018"/>
      <c r="M4068" s="2018"/>
      <c r="N4068" s="2018"/>
      <c r="O4068" s="2018"/>
      <c r="P4068" s="2018"/>
      <c r="Q4068" s="2018"/>
      <c r="R4068" s="2018"/>
      <c r="S4068" s="2018"/>
      <c r="T4068" s="2018"/>
      <c r="U4068" s="2018"/>
      <c r="V4068" s="2018"/>
      <c r="W4068" s="2018"/>
      <c r="X4068" s="2018"/>
      <c r="Y4068" s="2094"/>
      <c r="Z4068" s="2096"/>
      <c r="AA4068" s="2097"/>
      <c r="AB4068" s="1055"/>
      <c r="AC4068" s="1055"/>
      <c r="AD4068" s="1055"/>
      <c r="AE4068" s="1055"/>
      <c r="AF4068" s="1056"/>
    </row>
    <row r="4069" spans="1:32" ht="15.75" x14ac:dyDescent="0.25">
      <c r="A4069" s="2017"/>
      <c r="B4069" s="2018"/>
      <c r="C4069" s="2018"/>
      <c r="D4069" s="2018"/>
      <c r="E4069" s="2018"/>
      <c r="F4069" s="2018"/>
      <c r="G4069" s="2018"/>
      <c r="H4069" s="2018"/>
      <c r="I4069" s="2018"/>
      <c r="J4069" s="2018"/>
      <c r="K4069" s="2018"/>
      <c r="L4069" s="2018"/>
      <c r="M4069" s="2018"/>
      <c r="N4069" s="2018"/>
      <c r="O4069" s="2018"/>
      <c r="P4069" s="2018"/>
      <c r="Q4069" s="2018"/>
      <c r="R4069" s="2018"/>
      <c r="S4069" s="2018"/>
      <c r="T4069" s="2018"/>
      <c r="U4069" s="2018"/>
      <c r="V4069" s="2018"/>
      <c r="W4069" s="2018"/>
      <c r="X4069" s="2018"/>
      <c r="Y4069" s="2094"/>
      <c r="Z4069" s="2096"/>
      <c r="AA4069" s="2097"/>
      <c r="AB4069" s="1055"/>
      <c r="AC4069" s="1055"/>
      <c r="AD4069" s="1055"/>
      <c r="AE4069" s="1055"/>
      <c r="AF4069" s="1056"/>
    </row>
    <row r="4070" spans="1:32" ht="15.75" x14ac:dyDescent="0.25">
      <c r="A4070" s="2017"/>
      <c r="B4070" s="2018"/>
      <c r="C4070" s="2018"/>
      <c r="D4070" s="2018"/>
      <c r="E4070" s="2018"/>
      <c r="F4070" s="2018"/>
      <c r="G4070" s="2018"/>
      <c r="H4070" s="2018"/>
      <c r="I4070" s="2018"/>
      <c r="J4070" s="2018"/>
      <c r="K4070" s="2018"/>
      <c r="L4070" s="2018"/>
      <c r="M4070" s="2018"/>
      <c r="N4070" s="2018"/>
      <c r="O4070" s="2018"/>
      <c r="P4070" s="2018"/>
      <c r="Q4070" s="2018"/>
      <c r="R4070" s="2018"/>
      <c r="S4070" s="2018"/>
      <c r="T4070" s="2018"/>
      <c r="U4070" s="2018"/>
      <c r="V4070" s="2018"/>
      <c r="W4070" s="2018"/>
      <c r="X4070" s="2018"/>
      <c r="Y4070" s="2094"/>
      <c r="Z4070" s="2096"/>
      <c r="AA4070" s="2097"/>
      <c r="AB4070" s="1055"/>
      <c r="AC4070" s="1055"/>
      <c r="AD4070" s="1055"/>
      <c r="AE4070" s="1055"/>
      <c r="AF4070" s="1056"/>
    </row>
    <row r="4071" spans="1:32" ht="15.75" x14ac:dyDescent="0.25">
      <c r="A4071" s="2017"/>
      <c r="B4071" s="2018"/>
      <c r="C4071" s="2018"/>
      <c r="D4071" s="2018"/>
      <c r="E4071" s="2018"/>
      <c r="F4071" s="2018"/>
      <c r="G4071" s="2018"/>
      <c r="H4071" s="2018"/>
      <c r="I4071" s="2018"/>
      <c r="J4071" s="2018"/>
      <c r="K4071" s="2018"/>
      <c r="L4071" s="2018"/>
      <c r="M4071" s="2018"/>
      <c r="N4071" s="2018"/>
      <c r="O4071" s="2018"/>
      <c r="P4071" s="2018"/>
      <c r="Q4071" s="2018"/>
      <c r="R4071" s="2018"/>
      <c r="S4071" s="2018"/>
      <c r="T4071" s="2018"/>
      <c r="U4071" s="2018"/>
      <c r="V4071" s="2018"/>
      <c r="W4071" s="2018"/>
      <c r="X4071" s="2018"/>
      <c r="Y4071" s="2094"/>
      <c r="Z4071" s="2096"/>
      <c r="AA4071" s="2097"/>
      <c r="AB4071" s="1055"/>
      <c r="AC4071" s="1055"/>
      <c r="AD4071" s="1055"/>
      <c r="AE4071" s="1055"/>
      <c r="AF4071" s="1056"/>
    </row>
    <row r="4072" spans="1:32" ht="16.5" thickBot="1" x14ac:dyDescent="0.3">
      <c r="A4072" s="2019"/>
      <c r="B4072" s="2020"/>
      <c r="C4072" s="2020"/>
      <c r="D4072" s="2020"/>
      <c r="E4072" s="2020"/>
      <c r="F4072" s="2020"/>
      <c r="G4072" s="2020"/>
      <c r="H4072" s="2020"/>
      <c r="I4072" s="2020"/>
      <c r="J4072" s="2020"/>
      <c r="K4072" s="2020"/>
      <c r="L4072" s="2020"/>
      <c r="M4072" s="2020"/>
      <c r="N4072" s="2020"/>
      <c r="O4072" s="2020"/>
      <c r="P4072" s="2020"/>
      <c r="Q4072" s="2020"/>
      <c r="R4072" s="2020"/>
      <c r="S4072" s="2020"/>
      <c r="T4072" s="2020"/>
      <c r="U4072" s="2020"/>
      <c r="V4072" s="2020"/>
      <c r="W4072" s="2020"/>
      <c r="X4072" s="2020"/>
      <c r="Y4072" s="2095"/>
      <c r="Z4072" s="2098"/>
      <c r="AA4072" s="2099"/>
      <c r="AB4072" s="1057"/>
      <c r="AC4072" s="1057"/>
      <c r="AD4072" s="1057"/>
      <c r="AE4072" s="1057"/>
      <c r="AF4072" s="1058"/>
    </row>
    <row r="4073" spans="1:32" ht="15.75" x14ac:dyDescent="0.25">
      <c r="A4073" s="2100" t="s">
        <v>1855</v>
      </c>
      <c r="B4073" s="2101"/>
      <c r="C4073" s="2101"/>
      <c r="D4073" s="2101"/>
      <c r="E4073" s="2101"/>
      <c r="F4073" s="2101"/>
      <c r="G4073" s="2101"/>
      <c r="H4073" s="2101"/>
      <c r="I4073" s="2101"/>
      <c r="J4073" s="2101"/>
      <c r="K4073" s="2101"/>
      <c r="L4073" s="2101"/>
      <c r="M4073" s="2101"/>
      <c r="N4073" s="2101"/>
      <c r="O4073" s="2101"/>
      <c r="P4073" s="2101"/>
      <c r="Q4073" s="2101"/>
      <c r="R4073" s="2101"/>
      <c r="S4073" s="2101"/>
      <c r="T4073" s="2101"/>
      <c r="U4073" s="2101"/>
      <c r="V4073" s="2101"/>
      <c r="W4073" s="2101"/>
      <c r="X4073" s="2101"/>
      <c r="Y4073" s="2101"/>
      <c r="Z4073" s="2013" t="s">
        <v>1850</v>
      </c>
      <c r="AA4073" s="2013"/>
      <c r="AB4073" s="2013"/>
      <c r="AC4073" s="2013"/>
      <c r="AD4073" s="2013"/>
      <c r="AE4073" s="2013"/>
      <c r="AF4073" s="1059">
        <f>SUM(AF4053:AF4072)</f>
        <v>48.83</v>
      </c>
    </row>
    <row r="4074" spans="1:32" ht="15.75" x14ac:dyDescent="0.25">
      <c r="A4074" s="2102"/>
      <c r="B4074" s="2103"/>
      <c r="C4074" s="2103"/>
      <c r="D4074" s="2103"/>
      <c r="E4074" s="2103"/>
      <c r="F4074" s="2103"/>
      <c r="G4074" s="2103"/>
      <c r="H4074" s="2103"/>
      <c r="I4074" s="2103"/>
      <c r="J4074" s="2103"/>
      <c r="K4074" s="2103"/>
      <c r="L4074" s="2103"/>
      <c r="M4074" s="2103"/>
      <c r="N4074" s="2103"/>
      <c r="O4074" s="2103"/>
      <c r="P4074" s="2103"/>
      <c r="Q4074" s="2103"/>
      <c r="R4074" s="2103"/>
      <c r="S4074" s="2103"/>
      <c r="T4074" s="2103"/>
      <c r="U4074" s="2103"/>
      <c r="V4074" s="2103"/>
      <c r="W4074" s="2103"/>
      <c r="X4074" s="2103"/>
      <c r="Y4074" s="2103"/>
      <c r="Z4074" s="2014" t="s">
        <v>1851</v>
      </c>
      <c r="AA4074" s="2014"/>
      <c r="AB4074" s="2014"/>
      <c r="AC4074" s="2014"/>
      <c r="AD4074" s="2014"/>
      <c r="AE4074" s="2014"/>
      <c r="AF4074" s="1060">
        <v>0</v>
      </c>
    </row>
    <row r="4075" spans="1:32" ht="15.75" x14ac:dyDescent="0.25">
      <c r="A4075" s="2102"/>
      <c r="B4075" s="2103"/>
      <c r="C4075" s="2103"/>
      <c r="D4075" s="2103"/>
      <c r="E4075" s="2103"/>
      <c r="F4075" s="2103"/>
      <c r="G4075" s="2103"/>
      <c r="H4075" s="2103"/>
      <c r="I4075" s="2103"/>
      <c r="J4075" s="2103"/>
      <c r="K4075" s="2103"/>
      <c r="L4075" s="2103"/>
      <c r="M4075" s="2103"/>
      <c r="N4075" s="2103"/>
      <c r="O4075" s="2103"/>
      <c r="P4075" s="2103"/>
      <c r="Q4075" s="2103"/>
      <c r="R4075" s="2103"/>
      <c r="S4075" s="2103"/>
      <c r="T4075" s="2103"/>
      <c r="U4075" s="2103"/>
      <c r="V4075" s="2103"/>
      <c r="W4075" s="2103"/>
      <c r="X4075" s="2103"/>
      <c r="Y4075" s="2103"/>
      <c r="Z4075" s="2015" t="s">
        <v>1833</v>
      </c>
      <c r="AA4075" s="2015"/>
      <c r="AB4075" s="2015"/>
      <c r="AC4075" s="2015"/>
      <c r="AD4075" s="2015"/>
      <c r="AE4075" s="2015"/>
      <c r="AF4075" s="1061">
        <f>SUM(AF4073:AF4074)</f>
        <v>48.83</v>
      </c>
    </row>
    <row r="4076" spans="1:32" x14ac:dyDescent="0.2">
      <c r="A4076" s="2012" t="s">
        <v>1859</v>
      </c>
      <c r="B4076" s="2012"/>
      <c r="C4076" s="2012"/>
      <c r="D4076" s="2012"/>
      <c r="E4076" s="2012"/>
      <c r="F4076" s="2012"/>
      <c r="G4076" s="2012"/>
      <c r="H4076" s="2012"/>
      <c r="I4076" s="2012"/>
      <c r="J4076" s="2012"/>
      <c r="K4076" s="2012"/>
      <c r="L4076" s="2012"/>
      <c r="M4076" s="2012"/>
      <c r="N4076" s="2012"/>
      <c r="O4076" s="2012"/>
      <c r="P4076" s="2012"/>
      <c r="Q4076" s="2012"/>
      <c r="R4076" s="2012"/>
      <c r="S4076" s="2012"/>
      <c r="T4076" s="2016" t="s">
        <v>1840</v>
      </c>
      <c r="U4076" s="2016"/>
      <c r="V4076" s="2016"/>
      <c r="W4076" s="2016"/>
      <c r="X4076" s="2016"/>
      <c r="Y4076" s="2016"/>
      <c r="Z4076" s="2016"/>
      <c r="AA4076" s="2016"/>
      <c r="AB4076" s="2012" t="s">
        <v>1852</v>
      </c>
      <c r="AC4076" s="2012"/>
      <c r="AD4076" s="2012"/>
      <c r="AE4076" s="2012"/>
      <c r="AF4076" s="2012"/>
    </row>
    <row r="4077" spans="1:32" x14ac:dyDescent="0.2">
      <c r="A4077" s="2012"/>
      <c r="B4077" s="2012"/>
      <c r="C4077" s="2012"/>
      <c r="D4077" s="2012"/>
      <c r="E4077" s="2012"/>
      <c r="F4077" s="2012"/>
      <c r="G4077" s="2012"/>
      <c r="H4077" s="2012"/>
      <c r="I4077" s="2012"/>
      <c r="J4077" s="2012"/>
      <c r="K4077" s="2012"/>
      <c r="L4077" s="2012"/>
      <c r="M4077" s="2012"/>
      <c r="N4077" s="2012"/>
      <c r="O4077" s="2012"/>
      <c r="P4077" s="2012"/>
      <c r="Q4077" s="2012"/>
      <c r="R4077" s="2012"/>
      <c r="S4077" s="2012"/>
      <c r="T4077" s="2016"/>
      <c r="U4077" s="2016"/>
      <c r="V4077" s="2016"/>
      <c r="W4077" s="2016"/>
      <c r="X4077" s="2016"/>
      <c r="Y4077" s="2016"/>
      <c r="Z4077" s="2016"/>
      <c r="AA4077" s="2016"/>
      <c r="AB4077" s="2012"/>
      <c r="AC4077" s="2012"/>
      <c r="AD4077" s="2012"/>
      <c r="AE4077" s="2012"/>
      <c r="AF4077" s="2012"/>
    </row>
    <row r="4078" spans="1:32" ht="13.5" thickBot="1" x14ac:dyDescent="0.25"/>
    <row r="4079" spans="1:32" ht="26.45" customHeight="1" x14ac:dyDescent="0.2">
      <c r="A4079" s="2025" t="s">
        <v>1854</v>
      </c>
      <c r="B4079" s="2026"/>
      <c r="C4079" s="2026"/>
      <c r="D4079" s="2026"/>
      <c r="E4079" s="2026"/>
      <c r="F4079" s="2026"/>
      <c r="G4079" s="2026"/>
      <c r="H4079" s="2026"/>
      <c r="I4079" s="2026"/>
      <c r="J4079" s="2026"/>
      <c r="K4079" s="2026"/>
      <c r="L4079" s="2026"/>
      <c r="M4079" s="2026"/>
      <c r="N4079" s="2026"/>
      <c r="O4079" s="2026"/>
      <c r="P4079" s="2026"/>
      <c r="Q4079" s="2026"/>
      <c r="R4079" s="2026"/>
      <c r="S4079" s="2026"/>
      <c r="T4079" s="2026"/>
      <c r="U4079" s="2026"/>
      <c r="V4079" s="2026"/>
      <c r="W4079" s="2026"/>
      <c r="X4079" s="2026"/>
      <c r="Y4079" s="2026"/>
      <c r="Z4079" s="2026"/>
      <c r="AA4079" s="2026"/>
      <c r="AB4079" s="2026"/>
      <c r="AC4079" s="2026"/>
      <c r="AD4079" s="2026"/>
      <c r="AE4079" s="1041" t="s">
        <v>1834</v>
      </c>
      <c r="AF4079" s="1042" t="s">
        <v>1835</v>
      </c>
    </row>
    <row r="4080" spans="1:32" ht="21" customHeight="1" thickBot="1" x14ac:dyDescent="0.25">
      <c r="A4080" s="2027"/>
      <c r="B4080" s="2028"/>
      <c r="C4080" s="2028"/>
      <c r="D4080" s="2028"/>
      <c r="E4080" s="2028"/>
      <c r="F4080" s="2028"/>
      <c r="G4080" s="2028"/>
      <c r="H4080" s="2028"/>
      <c r="I4080" s="2028"/>
      <c r="J4080" s="2028"/>
      <c r="K4080" s="2028"/>
      <c r="L4080" s="2028"/>
      <c r="M4080" s="2028"/>
      <c r="N4080" s="2028"/>
      <c r="O4080" s="2028"/>
      <c r="P4080" s="2028"/>
      <c r="Q4080" s="2028"/>
      <c r="R4080" s="2028"/>
      <c r="S4080" s="2028"/>
      <c r="T4080" s="2028"/>
      <c r="U4080" s="2028"/>
      <c r="V4080" s="2028"/>
      <c r="W4080" s="2028"/>
      <c r="X4080" s="2028"/>
      <c r="Y4080" s="2028"/>
      <c r="Z4080" s="2028"/>
      <c r="AA4080" s="2028"/>
      <c r="AB4080" s="2028"/>
      <c r="AC4080" s="2028"/>
      <c r="AD4080" s="2028"/>
      <c r="AE4080" s="1041" t="s">
        <v>1836</v>
      </c>
      <c r="AF4080" s="1044">
        <v>1</v>
      </c>
    </row>
    <row r="4081" spans="1:32" ht="15.75" x14ac:dyDescent="0.2">
      <c r="A4081" s="2029"/>
      <c r="B4081" s="2030"/>
      <c r="C4081" s="2030"/>
      <c r="D4081" s="2031"/>
      <c r="E4081" s="2025" t="str">
        <f>'01'!$A$12</f>
        <v>"CONSTRUCCION SISTEMA DE ACUEDUCTO FASE II DEL MUNICIPIO DE TESALIA DPTO DEL HUILA"</v>
      </c>
      <c r="F4081" s="2026"/>
      <c r="G4081" s="2026"/>
      <c r="H4081" s="2026"/>
      <c r="I4081" s="2026"/>
      <c r="J4081" s="2026"/>
      <c r="K4081" s="2026"/>
      <c r="L4081" s="2026"/>
      <c r="M4081" s="2026"/>
      <c r="N4081" s="2026"/>
      <c r="O4081" s="2026"/>
      <c r="P4081" s="2026"/>
      <c r="Q4081" s="2026"/>
      <c r="R4081" s="2026"/>
      <c r="S4081" s="2026"/>
      <c r="T4081" s="2026"/>
      <c r="U4081" s="2026"/>
      <c r="V4081" s="2026"/>
      <c r="W4081" s="2026"/>
      <c r="X4081" s="2026"/>
      <c r="Y4081" s="2026"/>
      <c r="Z4081" s="2026"/>
      <c r="AA4081" s="2026"/>
      <c r="AB4081" s="2026"/>
      <c r="AC4081" s="2026"/>
      <c r="AD4081" s="2035"/>
      <c r="AE4081" s="1041" t="s">
        <v>847</v>
      </c>
      <c r="AF4081" s="1045">
        <f>'01'!$M$13</f>
        <v>0</v>
      </c>
    </row>
    <row r="4082" spans="1:32" ht="16.5" thickBot="1" x14ac:dyDescent="0.25">
      <c r="A4082" s="2032"/>
      <c r="B4082" s="2033"/>
      <c r="C4082" s="2033"/>
      <c r="D4082" s="2034"/>
      <c r="E4082" s="2027"/>
      <c r="F4082" s="2028"/>
      <c r="G4082" s="2028"/>
      <c r="H4082" s="2028"/>
      <c r="I4082" s="2028"/>
      <c r="J4082" s="2028"/>
      <c r="K4082" s="2028"/>
      <c r="L4082" s="2028"/>
      <c r="M4082" s="2028"/>
      <c r="N4082" s="2028"/>
      <c r="O4082" s="2028"/>
      <c r="P4082" s="2028"/>
      <c r="Q4082" s="2028"/>
      <c r="R4082" s="2028"/>
      <c r="S4082" s="2028"/>
      <c r="T4082" s="2028"/>
      <c r="U4082" s="2028"/>
      <c r="V4082" s="2028"/>
      <c r="W4082" s="2028"/>
      <c r="X4082" s="2028"/>
      <c r="Y4082" s="2028"/>
      <c r="Z4082" s="2028"/>
      <c r="AA4082" s="2028"/>
      <c r="AB4082" s="2028"/>
      <c r="AC4082" s="2028"/>
      <c r="AD4082" s="2036"/>
      <c r="AE4082" s="1041" t="s">
        <v>1837</v>
      </c>
      <c r="AF4082" s="1042" t="s">
        <v>1838</v>
      </c>
    </row>
    <row r="4083" spans="1:32" ht="15.75" x14ac:dyDescent="0.25">
      <c r="A4083" s="2037" t="s">
        <v>1860</v>
      </c>
      <c r="B4083" s="2038"/>
      <c r="C4083" s="2038"/>
      <c r="D4083" s="2038"/>
      <c r="E4083" s="2038"/>
      <c r="F4083" s="2038"/>
      <c r="G4083" s="2038"/>
      <c r="H4083" s="2038"/>
      <c r="I4083" s="2038"/>
      <c r="J4083" s="2038"/>
      <c r="K4083" s="2038"/>
      <c r="L4083" s="2038"/>
      <c r="M4083" s="2038"/>
      <c r="N4083" s="2038"/>
      <c r="O4083" s="2038"/>
      <c r="P4083" s="2038"/>
      <c r="Q4083" s="2038"/>
      <c r="R4083" s="2038"/>
      <c r="S4083" s="2038"/>
      <c r="T4083" s="2038"/>
      <c r="U4083" s="2038"/>
      <c r="V4083" s="2038"/>
      <c r="W4083" s="2038"/>
      <c r="X4083" s="2038"/>
      <c r="Y4083" s="2038"/>
      <c r="Z4083" s="2038"/>
      <c r="AA4083" s="2038"/>
      <c r="AB4083" s="2038"/>
      <c r="AC4083" s="2038"/>
      <c r="AD4083" s="2038"/>
      <c r="AE4083" s="2039" t="s">
        <v>1839</v>
      </c>
      <c r="AF4083" s="2040"/>
    </row>
    <row r="4084" spans="1:32" ht="15.75" x14ac:dyDescent="0.25">
      <c r="A4084" s="2041" t="s">
        <v>1840</v>
      </c>
      <c r="B4084" s="2042"/>
      <c r="C4084" s="2042"/>
      <c r="D4084" s="2042"/>
      <c r="E4084" s="2042"/>
      <c r="F4084" s="2042"/>
      <c r="G4084" s="2042"/>
      <c r="H4084" s="2042"/>
      <c r="I4084" s="2042"/>
      <c r="J4084" s="2042"/>
      <c r="K4084" s="2042"/>
      <c r="L4084" s="2042"/>
      <c r="M4084" s="2042"/>
      <c r="N4084" s="2042"/>
      <c r="O4084" s="2042"/>
      <c r="P4084" s="2042"/>
      <c r="Q4084" s="2042"/>
      <c r="R4084" s="2042"/>
      <c r="S4084" s="2042"/>
      <c r="T4084" s="2042"/>
      <c r="U4084" s="2042"/>
      <c r="V4084" s="2042"/>
      <c r="W4084" s="2042"/>
      <c r="X4084" s="2042"/>
      <c r="Y4084" s="2042"/>
      <c r="Z4084" s="2042"/>
      <c r="AA4084" s="2042"/>
      <c r="AB4084" s="2042"/>
      <c r="AC4084" s="2042"/>
      <c r="AD4084" s="2043"/>
      <c r="AE4084" s="2014" t="s">
        <v>1841</v>
      </c>
      <c r="AF4084" s="2044"/>
    </row>
    <row r="4085" spans="1:32" ht="15.75" x14ac:dyDescent="0.25">
      <c r="A4085" s="2045" t="s">
        <v>1853</v>
      </c>
      <c r="B4085" s="2046"/>
      <c r="C4085" s="2046"/>
      <c r="D4085" s="2046"/>
      <c r="E4085" s="2046"/>
      <c r="F4085" s="2046"/>
      <c r="G4085" s="2046"/>
      <c r="H4085" s="2046"/>
      <c r="I4085" s="2046"/>
      <c r="J4085" s="2046"/>
      <c r="K4085" s="2046"/>
      <c r="L4085" s="2046"/>
      <c r="M4085" s="2046"/>
      <c r="N4085" s="2046"/>
      <c r="O4085" s="2046"/>
      <c r="P4085" s="2046"/>
      <c r="Q4085" s="2046"/>
      <c r="R4085" s="2046"/>
      <c r="S4085" s="2046"/>
      <c r="T4085" s="2046"/>
      <c r="U4085" s="2046"/>
      <c r="V4085" s="2046"/>
      <c r="W4085" s="2046"/>
      <c r="X4085" s="2046"/>
      <c r="Y4085" s="2046"/>
      <c r="Z4085" s="2046"/>
      <c r="AA4085" s="2046"/>
      <c r="AB4085" s="2046"/>
      <c r="AC4085" s="2046"/>
      <c r="AD4085" s="2046"/>
      <c r="AE4085" s="2047">
        <f>'01'!$M$13</f>
        <v>0</v>
      </c>
      <c r="AF4085" s="2044"/>
    </row>
    <row r="4086" spans="1:32" x14ac:dyDescent="0.2">
      <c r="A4086" s="1046"/>
      <c r="B4086" s="1047"/>
      <c r="C4086" s="1047"/>
      <c r="D4086" s="1047"/>
      <c r="E4086" s="1047"/>
      <c r="F4086" s="1047"/>
      <c r="G4086" s="1047"/>
      <c r="H4086" s="1047"/>
      <c r="I4086" s="1047"/>
      <c r="J4086" s="1047"/>
      <c r="K4086" s="1047"/>
      <c r="L4086" s="1047"/>
      <c r="M4086" s="1047"/>
      <c r="N4086" s="1047"/>
      <c r="O4086" s="1047"/>
      <c r="P4086" s="1047"/>
      <c r="Q4086" s="1047"/>
      <c r="R4086" s="1047"/>
      <c r="S4086" s="1047"/>
      <c r="T4086" s="1047"/>
      <c r="U4086" s="1047"/>
      <c r="V4086" s="1047"/>
      <c r="W4086" s="1047"/>
      <c r="X4086" s="1047"/>
      <c r="Y4086" s="1047"/>
      <c r="Z4086" s="1047"/>
      <c r="AA4086" s="1047"/>
      <c r="AB4086" s="1047"/>
      <c r="AC4086" s="1047"/>
      <c r="AD4086" s="1047"/>
      <c r="AE4086" s="1047"/>
      <c r="AF4086" s="1048"/>
    </row>
    <row r="4087" spans="1:32" ht="30" customHeight="1" x14ac:dyDescent="0.2">
      <c r="A4087" s="2048" t="s">
        <v>1842</v>
      </c>
      <c r="B4087" s="2049"/>
      <c r="C4087" s="2049"/>
      <c r="D4087" s="2049"/>
      <c r="E4087" s="2049"/>
      <c r="F4087" s="2050" t="str">
        <f>+'01'!$H$163</f>
        <v>F - LECHOS DE SECADO</v>
      </c>
      <c r="G4087" s="2049"/>
      <c r="H4087" s="2049"/>
      <c r="I4087" s="2049"/>
      <c r="J4087" s="2049"/>
      <c r="K4087" s="2049"/>
      <c r="L4087" s="2049"/>
      <c r="M4087" s="2049"/>
      <c r="N4087" s="2049"/>
      <c r="O4087" s="2049"/>
      <c r="P4087" s="2049"/>
      <c r="Q4087" s="2049"/>
      <c r="R4087" s="2049"/>
      <c r="S4087" s="2049"/>
      <c r="T4087" s="2049"/>
      <c r="U4087" s="2049"/>
      <c r="V4087" s="2049"/>
      <c r="W4087" s="2049"/>
      <c r="X4087" s="2049"/>
      <c r="Y4087" s="2051"/>
      <c r="Z4087" s="2052" t="s">
        <v>1843</v>
      </c>
      <c r="AA4087" s="2053"/>
      <c r="AB4087" s="2058" t="s">
        <v>1844</v>
      </c>
      <c r="AC4087" s="2059"/>
      <c r="AD4087" s="2060"/>
      <c r="AE4087" s="2064" t="s">
        <v>1845</v>
      </c>
      <c r="AF4087" s="2067" t="s">
        <v>1846</v>
      </c>
    </row>
    <row r="4088" spans="1:32" ht="15" customHeight="1" x14ac:dyDescent="0.2">
      <c r="A4088" s="2070" t="str">
        <f>+'01'!A173</f>
        <v>F-03-04</v>
      </c>
      <c r="B4088" s="2071"/>
      <c r="C4088" s="2072"/>
      <c r="D4088" s="2076" t="str">
        <f>VLOOKUP(A4088,'01'!$A$12:$N$299,3,FALSE)</f>
        <v>RELLENO CON TRITURADO PASANTE 1", RETENIDO 1/2" PARA FILTRO EN SECADO DE LODOS.</v>
      </c>
      <c r="E4088" s="2077"/>
      <c r="F4088" s="2077"/>
      <c r="G4088" s="2077"/>
      <c r="H4088" s="2077"/>
      <c r="I4088" s="2077"/>
      <c r="J4088" s="2077"/>
      <c r="K4088" s="2077"/>
      <c r="L4088" s="2077"/>
      <c r="M4088" s="2077"/>
      <c r="N4088" s="2077"/>
      <c r="O4088" s="2077"/>
      <c r="P4088" s="2077"/>
      <c r="Q4088" s="2077"/>
      <c r="R4088" s="2077"/>
      <c r="S4088" s="2078"/>
      <c r="T4088" s="2082" t="s">
        <v>124</v>
      </c>
      <c r="U4088" s="2083"/>
      <c r="V4088" s="2083"/>
      <c r="W4088" s="2083"/>
      <c r="X4088" s="2052" t="str">
        <f>VLOOKUP(A4088,'01'!$A$12:$N$299,9,FALSE)</f>
        <v>M3</v>
      </c>
      <c r="Y4088" s="2053"/>
      <c r="Z4088" s="2054"/>
      <c r="AA4088" s="2055"/>
      <c r="AB4088" s="2061"/>
      <c r="AC4088" s="2062"/>
      <c r="AD4088" s="2063"/>
      <c r="AE4088" s="2065"/>
      <c r="AF4088" s="2068"/>
    </row>
    <row r="4089" spans="1:32" ht="30" customHeight="1" x14ac:dyDescent="0.25">
      <c r="A4089" s="2073"/>
      <c r="B4089" s="2074"/>
      <c r="C4089" s="2075"/>
      <c r="D4089" s="2079"/>
      <c r="E4089" s="2080"/>
      <c r="F4089" s="2080"/>
      <c r="G4089" s="2080"/>
      <c r="H4089" s="2080"/>
      <c r="I4089" s="2080"/>
      <c r="J4089" s="2080"/>
      <c r="K4089" s="2080"/>
      <c r="L4089" s="2080"/>
      <c r="M4089" s="2080"/>
      <c r="N4089" s="2080"/>
      <c r="O4089" s="2080"/>
      <c r="P4089" s="2080"/>
      <c r="Q4089" s="2080"/>
      <c r="R4089" s="2080"/>
      <c r="S4089" s="2081"/>
      <c r="T4089" s="2084"/>
      <c r="U4089" s="2085"/>
      <c r="V4089" s="2085"/>
      <c r="W4089" s="2085"/>
      <c r="X4089" s="2056"/>
      <c r="Y4089" s="2057"/>
      <c r="Z4089" s="2056"/>
      <c r="AA4089" s="2057"/>
      <c r="AB4089" s="1049" t="s">
        <v>1847</v>
      </c>
      <c r="AC4089" s="1049" t="s">
        <v>1848</v>
      </c>
      <c r="AD4089" s="1049" t="s">
        <v>1861</v>
      </c>
      <c r="AE4089" s="2066"/>
      <c r="AF4089" s="2069"/>
    </row>
    <row r="4090" spans="1:32" ht="15.6" customHeight="1" x14ac:dyDescent="0.25">
      <c r="A4090" s="2017"/>
      <c r="B4090" s="2018"/>
      <c r="C4090" s="2018"/>
      <c r="D4090" s="2018"/>
      <c r="E4090" s="2018"/>
      <c r="F4090" s="2018"/>
      <c r="G4090" s="2018"/>
      <c r="H4090" s="2018"/>
      <c r="I4090" s="2018"/>
      <c r="J4090" s="2018"/>
      <c r="K4090" s="2018"/>
      <c r="L4090" s="2018"/>
      <c r="M4090" s="2018"/>
      <c r="N4090" s="2018"/>
      <c r="O4090" s="2018"/>
      <c r="P4090" s="2018"/>
      <c r="Q4090" s="2018"/>
      <c r="R4090" s="2018"/>
      <c r="S4090" s="2018"/>
      <c r="T4090" s="2018"/>
      <c r="U4090" s="2018"/>
      <c r="V4090" s="2018"/>
      <c r="W4090" s="2018"/>
      <c r="X4090" s="2018"/>
      <c r="Y4090" s="2018"/>
      <c r="Z4090" s="2021" t="s">
        <v>2508</v>
      </c>
      <c r="AA4090" s="2021"/>
      <c r="AB4090" s="1050">
        <v>3</v>
      </c>
      <c r="AC4090" s="1050">
        <v>3</v>
      </c>
      <c r="AD4090" s="1050">
        <v>0.35</v>
      </c>
      <c r="AE4090" s="1050">
        <v>4</v>
      </c>
      <c r="AF4090" s="1052">
        <f>+ROUND(AB4090*AC4090*AD4090*AE4090,2)</f>
        <v>12.6</v>
      </c>
    </row>
    <row r="4091" spans="1:32" ht="15.6" customHeight="1" x14ac:dyDescent="0.25">
      <c r="A4091" s="2017"/>
      <c r="B4091" s="2018"/>
      <c r="C4091" s="2018"/>
      <c r="D4091" s="2018"/>
      <c r="E4091" s="2018"/>
      <c r="F4091" s="2018"/>
      <c r="G4091" s="2018"/>
      <c r="H4091" s="2018"/>
      <c r="I4091" s="2018"/>
      <c r="J4091" s="2018"/>
      <c r="K4091" s="2018"/>
      <c r="L4091" s="2018"/>
      <c r="M4091" s="2018"/>
      <c r="N4091" s="2018"/>
      <c r="O4091" s="2018"/>
      <c r="P4091" s="2018"/>
      <c r="Q4091" s="2018"/>
      <c r="R4091" s="2018"/>
      <c r="S4091" s="2018"/>
      <c r="T4091" s="2018"/>
      <c r="U4091" s="2018"/>
      <c r="V4091" s="2018"/>
      <c r="W4091" s="2018"/>
      <c r="X4091" s="2018"/>
      <c r="Y4091" s="2018"/>
      <c r="Z4091" s="2021"/>
      <c r="AA4091" s="2021"/>
      <c r="AB4091" s="1050"/>
      <c r="AC4091" s="1050"/>
      <c r="AD4091" s="1050"/>
      <c r="AE4091" s="1050"/>
      <c r="AF4091" s="1052"/>
    </row>
    <row r="4092" spans="1:32" ht="15.75" x14ac:dyDescent="0.25">
      <c r="A4092" s="2017"/>
      <c r="B4092" s="2018"/>
      <c r="C4092" s="2018"/>
      <c r="D4092" s="2018"/>
      <c r="E4092" s="2018"/>
      <c r="F4092" s="2018"/>
      <c r="G4092" s="2018"/>
      <c r="H4092" s="2018"/>
      <c r="I4092" s="2018"/>
      <c r="J4092" s="2018"/>
      <c r="K4092" s="2018"/>
      <c r="L4092" s="2018"/>
      <c r="M4092" s="2018"/>
      <c r="N4092" s="2018"/>
      <c r="O4092" s="2018"/>
      <c r="P4092" s="2018"/>
      <c r="Q4092" s="2018"/>
      <c r="R4092" s="2018"/>
      <c r="S4092" s="2018"/>
      <c r="T4092" s="2018"/>
      <c r="U4092" s="2018"/>
      <c r="V4092" s="2018"/>
      <c r="W4092" s="2018"/>
      <c r="X4092" s="2018"/>
      <c r="Y4092" s="2018"/>
      <c r="Z4092" s="2021"/>
      <c r="AA4092" s="2021"/>
      <c r="AB4092" s="1050"/>
      <c r="AC4092" s="1050"/>
      <c r="AD4092" s="1050"/>
      <c r="AE4092" s="1050"/>
      <c r="AF4092" s="1052"/>
    </row>
    <row r="4093" spans="1:32" ht="15.75" x14ac:dyDescent="0.25">
      <c r="A4093" s="2017"/>
      <c r="B4093" s="2018"/>
      <c r="C4093" s="2018"/>
      <c r="D4093" s="2018"/>
      <c r="E4093" s="2018"/>
      <c r="F4093" s="2018"/>
      <c r="G4093" s="2018"/>
      <c r="H4093" s="2018"/>
      <c r="I4093" s="2018"/>
      <c r="J4093" s="2018"/>
      <c r="K4093" s="2018"/>
      <c r="L4093" s="2018"/>
      <c r="M4093" s="2018"/>
      <c r="N4093" s="2018"/>
      <c r="O4093" s="2018"/>
      <c r="P4093" s="2018"/>
      <c r="Q4093" s="2018"/>
      <c r="R4093" s="2018"/>
      <c r="S4093" s="2018"/>
      <c r="T4093" s="2018"/>
      <c r="U4093" s="2018"/>
      <c r="V4093" s="2018"/>
      <c r="W4093" s="2018"/>
      <c r="X4093" s="2018"/>
      <c r="Y4093" s="2018"/>
      <c r="Z4093" s="2021"/>
      <c r="AA4093" s="2021"/>
      <c r="AB4093" s="1050"/>
      <c r="AC4093" s="1050"/>
      <c r="AD4093" s="1050"/>
      <c r="AE4093" s="1050"/>
      <c r="AF4093" s="1052"/>
    </row>
    <row r="4094" spans="1:32" ht="15.75" x14ac:dyDescent="0.25">
      <c r="A4094" s="2017"/>
      <c r="B4094" s="2018"/>
      <c r="C4094" s="2018"/>
      <c r="D4094" s="2018"/>
      <c r="E4094" s="2018"/>
      <c r="F4094" s="2018"/>
      <c r="G4094" s="2018"/>
      <c r="H4094" s="2018"/>
      <c r="I4094" s="2018"/>
      <c r="J4094" s="2018"/>
      <c r="K4094" s="2018"/>
      <c r="L4094" s="2018"/>
      <c r="M4094" s="2018"/>
      <c r="N4094" s="2018"/>
      <c r="O4094" s="2018"/>
      <c r="P4094" s="2018"/>
      <c r="Q4094" s="2018"/>
      <c r="R4094" s="2018"/>
      <c r="S4094" s="2018"/>
      <c r="T4094" s="2018"/>
      <c r="U4094" s="2018"/>
      <c r="V4094" s="2018"/>
      <c r="W4094" s="2018"/>
      <c r="X4094" s="2018"/>
      <c r="Y4094" s="2018"/>
      <c r="Z4094" s="2021"/>
      <c r="AA4094" s="2021"/>
      <c r="AB4094" s="1050"/>
      <c r="AC4094" s="1050"/>
      <c r="AD4094" s="1050"/>
      <c r="AE4094" s="1050"/>
      <c r="AF4094" s="1052"/>
    </row>
    <row r="4095" spans="1:32" ht="15.75" x14ac:dyDescent="0.25">
      <c r="A4095" s="2017"/>
      <c r="B4095" s="2018"/>
      <c r="C4095" s="2018"/>
      <c r="D4095" s="2018"/>
      <c r="E4095" s="2018"/>
      <c r="F4095" s="2018"/>
      <c r="G4095" s="2018"/>
      <c r="H4095" s="2018"/>
      <c r="I4095" s="2018"/>
      <c r="J4095" s="2018"/>
      <c r="K4095" s="2018"/>
      <c r="L4095" s="2018"/>
      <c r="M4095" s="2018"/>
      <c r="N4095" s="2018"/>
      <c r="O4095" s="2018"/>
      <c r="P4095" s="2018"/>
      <c r="Q4095" s="2018"/>
      <c r="R4095" s="2018"/>
      <c r="S4095" s="2018"/>
      <c r="T4095" s="2018"/>
      <c r="U4095" s="2018"/>
      <c r="V4095" s="2018"/>
      <c r="W4095" s="2018"/>
      <c r="X4095" s="2018"/>
      <c r="Y4095" s="2018"/>
      <c r="Z4095" s="2021"/>
      <c r="AA4095" s="2021"/>
      <c r="AB4095" s="1050"/>
      <c r="AC4095" s="1050"/>
      <c r="AD4095" s="1050"/>
      <c r="AE4095" s="1050"/>
      <c r="AF4095" s="1052"/>
    </row>
    <row r="4096" spans="1:32" ht="15.75" x14ac:dyDescent="0.25">
      <c r="A4096" s="2017"/>
      <c r="B4096" s="2018"/>
      <c r="C4096" s="2018"/>
      <c r="D4096" s="2018"/>
      <c r="E4096" s="2018"/>
      <c r="F4096" s="2018"/>
      <c r="G4096" s="2018"/>
      <c r="H4096" s="2018"/>
      <c r="I4096" s="2018"/>
      <c r="J4096" s="2018"/>
      <c r="K4096" s="2018"/>
      <c r="L4096" s="2018"/>
      <c r="M4096" s="2018"/>
      <c r="N4096" s="2018"/>
      <c r="O4096" s="2018"/>
      <c r="P4096" s="2018"/>
      <c r="Q4096" s="2018"/>
      <c r="R4096" s="2018"/>
      <c r="S4096" s="2018"/>
      <c r="T4096" s="2018"/>
      <c r="U4096" s="2018"/>
      <c r="V4096" s="2018"/>
      <c r="W4096" s="2018"/>
      <c r="X4096" s="2018"/>
      <c r="Y4096" s="2018"/>
      <c r="Z4096" s="2021"/>
      <c r="AA4096" s="2021"/>
      <c r="AB4096" s="1050"/>
      <c r="AC4096" s="1050"/>
      <c r="AD4096" s="1050"/>
      <c r="AE4096" s="1050"/>
      <c r="AF4096" s="1052"/>
    </row>
    <row r="4097" spans="1:32" ht="15.75" x14ac:dyDescent="0.25">
      <c r="A4097" s="2017"/>
      <c r="B4097" s="2018"/>
      <c r="C4097" s="2018"/>
      <c r="D4097" s="2018"/>
      <c r="E4097" s="2018"/>
      <c r="F4097" s="2018"/>
      <c r="G4097" s="2018"/>
      <c r="H4097" s="2018"/>
      <c r="I4097" s="2018"/>
      <c r="J4097" s="2018"/>
      <c r="K4097" s="2018"/>
      <c r="L4097" s="2018"/>
      <c r="M4097" s="2018"/>
      <c r="N4097" s="2018"/>
      <c r="O4097" s="2018"/>
      <c r="P4097" s="2018"/>
      <c r="Q4097" s="2018"/>
      <c r="R4097" s="2018"/>
      <c r="S4097" s="2018"/>
      <c r="T4097" s="2018"/>
      <c r="U4097" s="2018"/>
      <c r="V4097" s="2018"/>
      <c r="W4097" s="2018"/>
      <c r="X4097" s="2018"/>
      <c r="Y4097" s="2018"/>
      <c r="Z4097" s="2021"/>
      <c r="AA4097" s="2021"/>
      <c r="AB4097" s="1050"/>
      <c r="AC4097" s="1050"/>
      <c r="AD4097" s="1050"/>
      <c r="AE4097" s="1050"/>
      <c r="AF4097" s="1052"/>
    </row>
    <row r="4098" spans="1:32" ht="15.75" x14ac:dyDescent="0.25">
      <c r="A4098" s="2017"/>
      <c r="B4098" s="2018"/>
      <c r="C4098" s="2018"/>
      <c r="D4098" s="2018"/>
      <c r="E4098" s="2018"/>
      <c r="F4098" s="2018"/>
      <c r="G4098" s="2018"/>
      <c r="H4098" s="2018"/>
      <c r="I4098" s="2018"/>
      <c r="J4098" s="2018"/>
      <c r="K4098" s="2018"/>
      <c r="L4098" s="2018"/>
      <c r="M4098" s="2018"/>
      <c r="N4098" s="2018"/>
      <c r="O4098" s="2018"/>
      <c r="P4098" s="2018"/>
      <c r="Q4098" s="2018"/>
      <c r="R4098" s="2018"/>
      <c r="S4098" s="2018"/>
      <c r="T4098" s="2018"/>
      <c r="U4098" s="2018"/>
      <c r="V4098" s="2018"/>
      <c r="W4098" s="2018"/>
      <c r="X4098" s="2018"/>
      <c r="Y4098" s="2018"/>
      <c r="Z4098" s="2021"/>
      <c r="AA4098" s="2021"/>
      <c r="AB4098" s="1050"/>
      <c r="AC4098" s="1050"/>
      <c r="AD4098" s="1050"/>
      <c r="AE4098" s="1050"/>
      <c r="AF4098" s="1052"/>
    </row>
    <row r="4099" spans="1:32" ht="15.75" x14ac:dyDescent="0.25">
      <c r="A4099" s="2017"/>
      <c r="B4099" s="2018"/>
      <c r="C4099" s="2018"/>
      <c r="D4099" s="2018"/>
      <c r="E4099" s="2018"/>
      <c r="F4099" s="2018"/>
      <c r="G4099" s="2018"/>
      <c r="H4099" s="2018"/>
      <c r="I4099" s="2018"/>
      <c r="J4099" s="2018"/>
      <c r="K4099" s="2018"/>
      <c r="L4099" s="2018"/>
      <c r="M4099" s="2018"/>
      <c r="N4099" s="2018"/>
      <c r="O4099" s="2018"/>
      <c r="P4099" s="2018"/>
      <c r="Q4099" s="2018"/>
      <c r="R4099" s="2018"/>
      <c r="S4099" s="2018"/>
      <c r="T4099" s="2018"/>
      <c r="U4099" s="2018"/>
      <c r="V4099" s="2018"/>
      <c r="W4099" s="2018"/>
      <c r="X4099" s="2018"/>
      <c r="Y4099" s="2018"/>
      <c r="Z4099" s="2021"/>
      <c r="AA4099" s="2021"/>
      <c r="AB4099" s="1050"/>
      <c r="AC4099" s="1050"/>
      <c r="AD4099" s="1050"/>
      <c r="AE4099" s="1050"/>
      <c r="AF4099" s="1052"/>
    </row>
    <row r="4100" spans="1:32" ht="15.75" x14ac:dyDescent="0.25">
      <c r="A4100" s="2017"/>
      <c r="B4100" s="2018"/>
      <c r="C4100" s="2018"/>
      <c r="D4100" s="2018"/>
      <c r="E4100" s="2018"/>
      <c r="F4100" s="2018"/>
      <c r="G4100" s="2018"/>
      <c r="H4100" s="2018"/>
      <c r="I4100" s="2018"/>
      <c r="J4100" s="2018"/>
      <c r="K4100" s="2018"/>
      <c r="L4100" s="2018"/>
      <c r="M4100" s="2018"/>
      <c r="N4100" s="2018"/>
      <c r="O4100" s="2018"/>
      <c r="P4100" s="2018"/>
      <c r="Q4100" s="2018"/>
      <c r="R4100" s="2018"/>
      <c r="S4100" s="2018"/>
      <c r="T4100" s="2018"/>
      <c r="U4100" s="2018"/>
      <c r="V4100" s="2018"/>
      <c r="W4100" s="2018"/>
      <c r="X4100" s="2018"/>
      <c r="Y4100" s="2018"/>
      <c r="Z4100" s="2021"/>
      <c r="AA4100" s="2021"/>
      <c r="AB4100" s="1050"/>
      <c r="AC4100" s="1050"/>
      <c r="AD4100" s="1050"/>
      <c r="AE4100" s="1050"/>
      <c r="AF4100" s="1052"/>
    </row>
    <row r="4101" spans="1:32" ht="15.75" x14ac:dyDescent="0.25">
      <c r="A4101" s="2017"/>
      <c r="B4101" s="2018"/>
      <c r="C4101" s="2018"/>
      <c r="D4101" s="2018"/>
      <c r="E4101" s="2018"/>
      <c r="F4101" s="2018"/>
      <c r="G4101" s="2018"/>
      <c r="H4101" s="2018"/>
      <c r="I4101" s="2018"/>
      <c r="J4101" s="2018"/>
      <c r="K4101" s="2018"/>
      <c r="L4101" s="2018"/>
      <c r="M4101" s="2018"/>
      <c r="N4101" s="2018"/>
      <c r="O4101" s="2018"/>
      <c r="P4101" s="2018"/>
      <c r="Q4101" s="2018"/>
      <c r="R4101" s="2018"/>
      <c r="S4101" s="2018"/>
      <c r="T4101" s="2018"/>
      <c r="U4101" s="2018"/>
      <c r="V4101" s="2018"/>
      <c r="W4101" s="2018"/>
      <c r="X4101" s="2018"/>
      <c r="Y4101" s="2018"/>
      <c r="Z4101" s="2021"/>
      <c r="AA4101" s="2021"/>
      <c r="AB4101" s="1050"/>
      <c r="AC4101" s="1050"/>
      <c r="AD4101" s="1050"/>
      <c r="AE4101" s="1050"/>
      <c r="AF4101" s="1052"/>
    </row>
    <row r="4102" spans="1:32" ht="15.75" x14ac:dyDescent="0.25">
      <c r="A4102" s="2017"/>
      <c r="B4102" s="2018"/>
      <c r="C4102" s="2018"/>
      <c r="D4102" s="2018"/>
      <c r="E4102" s="2018"/>
      <c r="F4102" s="2018"/>
      <c r="G4102" s="2018"/>
      <c r="H4102" s="2018"/>
      <c r="I4102" s="2018"/>
      <c r="J4102" s="2018"/>
      <c r="K4102" s="2018"/>
      <c r="L4102" s="2018"/>
      <c r="M4102" s="2018"/>
      <c r="N4102" s="2018"/>
      <c r="O4102" s="2018"/>
      <c r="P4102" s="2018"/>
      <c r="Q4102" s="2018"/>
      <c r="R4102" s="2018"/>
      <c r="S4102" s="2018"/>
      <c r="T4102" s="2018"/>
      <c r="U4102" s="2018"/>
      <c r="V4102" s="2018"/>
      <c r="W4102" s="2018"/>
      <c r="X4102" s="2018"/>
      <c r="Y4102" s="2018"/>
      <c r="Z4102" s="2021"/>
      <c r="AA4102" s="2021"/>
      <c r="AB4102" s="1050"/>
      <c r="AC4102" s="1050"/>
      <c r="AD4102" s="1050"/>
      <c r="AE4102" s="1050"/>
      <c r="AF4102" s="1052"/>
    </row>
    <row r="4103" spans="1:32" ht="15.75" x14ac:dyDescent="0.25">
      <c r="A4103" s="2017"/>
      <c r="B4103" s="2018"/>
      <c r="C4103" s="2018"/>
      <c r="D4103" s="2018"/>
      <c r="E4103" s="2018"/>
      <c r="F4103" s="2018"/>
      <c r="G4103" s="2018"/>
      <c r="H4103" s="2018"/>
      <c r="I4103" s="2018"/>
      <c r="J4103" s="2018"/>
      <c r="K4103" s="2018"/>
      <c r="L4103" s="2018"/>
      <c r="M4103" s="2018"/>
      <c r="N4103" s="2018"/>
      <c r="O4103" s="2018"/>
      <c r="P4103" s="2018"/>
      <c r="Q4103" s="2018"/>
      <c r="R4103" s="2018"/>
      <c r="S4103" s="2018"/>
      <c r="T4103" s="2018"/>
      <c r="U4103" s="2018"/>
      <c r="V4103" s="2018"/>
      <c r="W4103" s="2018"/>
      <c r="X4103" s="2018"/>
      <c r="Y4103" s="2018"/>
      <c r="Z4103" s="2021"/>
      <c r="AA4103" s="2021"/>
      <c r="AB4103" s="1050"/>
      <c r="AC4103" s="1050"/>
      <c r="AD4103" s="1050"/>
      <c r="AE4103" s="1050"/>
      <c r="AF4103" s="1052"/>
    </row>
    <row r="4104" spans="1:32" ht="15.75" x14ac:dyDescent="0.25">
      <c r="A4104" s="2017"/>
      <c r="B4104" s="2018"/>
      <c r="C4104" s="2018"/>
      <c r="D4104" s="2018"/>
      <c r="E4104" s="2018"/>
      <c r="F4104" s="2018"/>
      <c r="G4104" s="2018"/>
      <c r="H4104" s="2018"/>
      <c r="I4104" s="2018"/>
      <c r="J4104" s="2018"/>
      <c r="K4104" s="2018"/>
      <c r="L4104" s="2018"/>
      <c r="M4104" s="2018"/>
      <c r="N4104" s="2018"/>
      <c r="O4104" s="2018"/>
      <c r="P4104" s="2018"/>
      <c r="Q4104" s="2018"/>
      <c r="R4104" s="2018"/>
      <c r="S4104" s="2018"/>
      <c r="T4104" s="2018"/>
      <c r="U4104" s="2018"/>
      <c r="V4104" s="2018"/>
      <c r="W4104" s="2018"/>
      <c r="X4104" s="2018"/>
      <c r="Y4104" s="2018"/>
      <c r="Z4104" s="2022"/>
      <c r="AA4104" s="2022"/>
      <c r="AB4104" s="1050"/>
      <c r="AC4104" s="1050"/>
      <c r="AD4104" s="1050"/>
      <c r="AE4104" s="1050"/>
      <c r="AF4104" s="1052"/>
    </row>
    <row r="4105" spans="1:32" ht="15.75" x14ac:dyDescent="0.25">
      <c r="A4105" s="2017"/>
      <c r="B4105" s="2018"/>
      <c r="C4105" s="2018"/>
      <c r="D4105" s="2018"/>
      <c r="E4105" s="2018"/>
      <c r="F4105" s="2018"/>
      <c r="G4105" s="2018"/>
      <c r="H4105" s="2018"/>
      <c r="I4105" s="2018"/>
      <c r="J4105" s="2018"/>
      <c r="K4105" s="2018"/>
      <c r="L4105" s="2018"/>
      <c r="M4105" s="2018"/>
      <c r="N4105" s="2018"/>
      <c r="O4105" s="2018"/>
      <c r="P4105" s="2018"/>
      <c r="Q4105" s="2018"/>
      <c r="R4105" s="2018"/>
      <c r="S4105" s="2018"/>
      <c r="T4105" s="2018"/>
      <c r="U4105" s="2018"/>
      <c r="V4105" s="2018"/>
      <c r="W4105" s="2018"/>
      <c r="X4105" s="2018"/>
      <c r="Y4105" s="2018"/>
      <c r="Z4105" s="2022"/>
      <c r="AA4105" s="2022"/>
      <c r="AB4105" s="1050"/>
      <c r="AC4105" s="1050"/>
      <c r="AD4105" s="1050"/>
      <c r="AE4105" s="1050"/>
      <c r="AF4105" s="1052"/>
    </row>
    <row r="4106" spans="1:32" ht="15.75" x14ac:dyDescent="0.25">
      <c r="A4106" s="2017"/>
      <c r="B4106" s="2018"/>
      <c r="C4106" s="2018"/>
      <c r="D4106" s="2018"/>
      <c r="E4106" s="2018"/>
      <c r="F4106" s="2018"/>
      <c r="G4106" s="2018"/>
      <c r="H4106" s="2018"/>
      <c r="I4106" s="2018"/>
      <c r="J4106" s="2018"/>
      <c r="K4106" s="2018"/>
      <c r="L4106" s="2018"/>
      <c r="M4106" s="2018"/>
      <c r="N4106" s="2018"/>
      <c r="O4106" s="2018"/>
      <c r="P4106" s="2018"/>
      <c r="Q4106" s="2018"/>
      <c r="R4106" s="2018"/>
      <c r="S4106" s="2018"/>
      <c r="T4106" s="2018"/>
      <c r="U4106" s="2018"/>
      <c r="V4106" s="2018"/>
      <c r="W4106" s="2018"/>
      <c r="X4106" s="2018"/>
      <c r="Y4106" s="2018"/>
      <c r="Z4106" s="2022"/>
      <c r="AA4106" s="2022"/>
      <c r="AB4106" s="1050"/>
      <c r="AC4106" s="1050"/>
      <c r="AD4106" s="1050"/>
      <c r="AE4106" s="1050"/>
      <c r="AF4106" s="1052"/>
    </row>
    <row r="4107" spans="1:32" ht="15.75" x14ac:dyDescent="0.25">
      <c r="A4107" s="2017"/>
      <c r="B4107" s="2018"/>
      <c r="C4107" s="2018"/>
      <c r="D4107" s="2018"/>
      <c r="E4107" s="2018"/>
      <c r="F4107" s="2018"/>
      <c r="G4107" s="2018"/>
      <c r="H4107" s="2018"/>
      <c r="I4107" s="2018"/>
      <c r="J4107" s="2018"/>
      <c r="K4107" s="2018"/>
      <c r="L4107" s="2018"/>
      <c r="M4107" s="2018"/>
      <c r="N4107" s="2018"/>
      <c r="O4107" s="2018"/>
      <c r="P4107" s="2018"/>
      <c r="Q4107" s="2018"/>
      <c r="R4107" s="2018"/>
      <c r="S4107" s="2018"/>
      <c r="T4107" s="2018"/>
      <c r="U4107" s="2018"/>
      <c r="V4107" s="2018"/>
      <c r="W4107" s="2018"/>
      <c r="X4107" s="2018"/>
      <c r="Y4107" s="2018"/>
      <c r="Z4107" s="2023"/>
      <c r="AA4107" s="2023"/>
      <c r="AB4107" s="1050"/>
      <c r="AC4107" s="1050"/>
      <c r="AD4107" s="1050"/>
      <c r="AE4107" s="1050"/>
      <c r="AF4107" s="1052"/>
    </row>
    <row r="4108" spans="1:32" ht="15.75" x14ac:dyDescent="0.25">
      <c r="A4108" s="2017"/>
      <c r="B4108" s="2018"/>
      <c r="C4108" s="2018"/>
      <c r="D4108" s="2018"/>
      <c r="E4108" s="2018"/>
      <c r="F4108" s="2018"/>
      <c r="G4108" s="2018"/>
      <c r="H4108" s="2018"/>
      <c r="I4108" s="2018"/>
      <c r="J4108" s="2018"/>
      <c r="K4108" s="2018"/>
      <c r="L4108" s="2018"/>
      <c r="M4108" s="2018"/>
      <c r="N4108" s="2018"/>
      <c r="O4108" s="2018"/>
      <c r="P4108" s="2018"/>
      <c r="Q4108" s="2018"/>
      <c r="R4108" s="2018"/>
      <c r="S4108" s="2018"/>
      <c r="T4108" s="2018"/>
      <c r="U4108" s="2018"/>
      <c r="V4108" s="2018"/>
      <c r="W4108" s="2018"/>
      <c r="X4108" s="2018"/>
      <c r="Y4108" s="2018"/>
      <c r="Z4108" s="2023"/>
      <c r="AA4108" s="2023"/>
      <c r="AB4108" s="1050"/>
      <c r="AC4108" s="1050"/>
      <c r="AD4108" s="1050"/>
      <c r="AE4108" s="1050"/>
      <c r="AF4108" s="1052"/>
    </row>
    <row r="4109" spans="1:32" ht="15.75" x14ac:dyDescent="0.25">
      <c r="A4109" s="2017"/>
      <c r="B4109" s="2018"/>
      <c r="C4109" s="2018"/>
      <c r="D4109" s="2018"/>
      <c r="E4109" s="2018"/>
      <c r="F4109" s="2018"/>
      <c r="G4109" s="2018"/>
      <c r="H4109" s="2018"/>
      <c r="I4109" s="2018"/>
      <c r="J4109" s="2018"/>
      <c r="K4109" s="2018"/>
      <c r="L4109" s="2018"/>
      <c r="M4109" s="2018"/>
      <c r="N4109" s="2018"/>
      <c r="O4109" s="2018"/>
      <c r="P4109" s="2018"/>
      <c r="Q4109" s="2018"/>
      <c r="R4109" s="2018"/>
      <c r="S4109" s="2018"/>
      <c r="T4109" s="2018"/>
      <c r="U4109" s="2018"/>
      <c r="V4109" s="2018"/>
      <c r="W4109" s="2018"/>
      <c r="X4109" s="2018"/>
      <c r="Y4109" s="2018"/>
      <c r="Z4109" s="2023"/>
      <c r="AA4109" s="2023"/>
      <c r="AB4109" s="1050"/>
      <c r="AC4109" s="1050"/>
      <c r="AD4109" s="1050"/>
      <c r="AE4109" s="1050"/>
      <c r="AF4109" s="1052"/>
    </row>
    <row r="4110" spans="1:32" ht="15.75" x14ac:dyDescent="0.25">
      <c r="A4110" s="2017"/>
      <c r="B4110" s="2018"/>
      <c r="C4110" s="2018"/>
      <c r="D4110" s="2018"/>
      <c r="E4110" s="2018"/>
      <c r="F4110" s="2018"/>
      <c r="G4110" s="2018"/>
      <c r="H4110" s="2018"/>
      <c r="I4110" s="2018"/>
      <c r="J4110" s="2018"/>
      <c r="K4110" s="2018"/>
      <c r="L4110" s="2018"/>
      <c r="M4110" s="2018"/>
      <c r="N4110" s="2018"/>
      <c r="O4110" s="2018"/>
      <c r="P4110" s="2018"/>
      <c r="Q4110" s="2018"/>
      <c r="R4110" s="2018"/>
      <c r="S4110" s="2018"/>
      <c r="T4110" s="2018"/>
      <c r="U4110" s="2018"/>
      <c r="V4110" s="2018"/>
      <c r="W4110" s="2018"/>
      <c r="X4110" s="2018"/>
      <c r="Y4110" s="2018"/>
      <c r="Z4110" s="2023"/>
      <c r="AA4110" s="2023"/>
      <c r="AB4110" s="1050"/>
      <c r="AC4110" s="1050"/>
      <c r="AD4110" s="1050"/>
      <c r="AE4110" s="1050"/>
      <c r="AF4110" s="1052"/>
    </row>
    <row r="4111" spans="1:32" ht="15.75" x14ac:dyDescent="0.25">
      <c r="A4111" s="2017"/>
      <c r="B4111" s="2018"/>
      <c r="C4111" s="2018"/>
      <c r="D4111" s="2018"/>
      <c r="E4111" s="2018"/>
      <c r="F4111" s="2018"/>
      <c r="G4111" s="2018"/>
      <c r="H4111" s="2018"/>
      <c r="I4111" s="2018"/>
      <c r="J4111" s="2018"/>
      <c r="K4111" s="2018"/>
      <c r="L4111" s="2018"/>
      <c r="M4111" s="2018"/>
      <c r="N4111" s="2018"/>
      <c r="O4111" s="2018"/>
      <c r="P4111" s="2018"/>
      <c r="Q4111" s="2018"/>
      <c r="R4111" s="2018"/>
      <c r="S4111" s="2018"/>
      <c r="T4111" s="2018"/>
      <c r="U4111" s="2018"/>
      <c r="V4111" s="2018"/>
      <c r="W4111" s="2018"/>
      <c r="X4111" s="2018"/>
      <c r="Y4111" s="2018"/>
      <c r="Z4111" s="2023"/>
      <c r="AA4111" s="2023"/>
      <c r="AB4111" s="1050"/>
      <c r="AC4111" s="1050"/>
      <c r="AD4111" s="1050"/>
      <c r="AE4111" s="1050"/>
      <c r="AF4111" s="1052"/>
    </row>
    <row r="4112" spans="1:32" ht="15.75" x14ac:dyDescent="0.25">
      <c r="A4112" s="2017"/>
      <c r="B4112" s="2018"/>
      <c r="C4112" s="2018"/>
      <c r="D4112" s="2018"/>
      <c r="E4112" s="2018"/>
      <c r="F4112" s="2018"/>
      <c r="G4112" s="2018"/>
      <c r="H4112" s="2018"/>
      <c r="I4112" s="2018"/>
      <c r="J4112" s="2018"/>
      <c r="K4112" s="2018"/>
      <c r="L4112" s="2018"/>
      <c r="M4112" s="2018"/>
      <c r="N4112" s="2018"/>
      <c r="O4112" s="2018"/>
      <c r="P4112" s="2018"/>
      <c r="Q4112" s="2018"/>
      <c r="R4112" s="2018"/>
      <c r="S4112" s="2018"/>
      <c r="T4112" s="2018"/>
      <c r="U4112" s="2018"/>
      <c r="V4112" s="2018"/>
      <c r="W4112" s="2018"/>
      <c r="X4112" s="2018"/>
      <c r="Y4112" s="2018"/>
      <c r="Z4112" s="2023"/>
      <c r="AA4112" s="2023"/>
      <c r="AB4112" s="1050"/>
      <c r="AC4112" s="1050"/>
      <c r="AD4112" s="1050"/>
      <c r="AE4112" s="1050"/>
      <c r="AF4112" s="1052"/>
    </row>
    <row r="4113" spans="1:32" ht="16.5" thickBot="1" x14ac:dyDescent="0.3">
      <c r="A4113" s="2019"/>
      <c r="B4113" s="2020"/>
      <c r="C4113" s="2020"/>
      <c r="D4113" s="2020"/>
      <c r="E4113" s="2020"/>
      <c r="F4113" s="2020"/>
      <c r="G4113" s="2020"/>
      <c r="H4113" s="2020"/>
      <c r="I4113" s="2020"/>
      <c r="J4113" s="2020"/>
      <c r="K4113" s="2020"/>
      <c r="L4113" s="2020"/>
      <c r="M4113" s="2020"/>
      <c r="N4113" s="2020"/>
      <c r="O4113" s="2020"/>
      <c r="P4113" s="2020"/>
      <c r="Q4113" s="2020"/>
      <c r="R4113" s="2020"/>
      <c r="S4113" s="2020"/>
      <c r="T4113" s="2020"/>
      <c r="U4113" s="2020"/>
      <c r="V4113" s="2020"/>
      <c r="W4113" s="2020"/>
      <c r="X4113" s="2020"/>
      <c r="Y4113" s="2020"/>
      <c r="Z4113" s="2024"/>
      <c r="AA4113" s="2024"/>
      <c r="AB4113" s="1057"/>
      <c r="AC4113" s="1057"/>
      <c r="AD4113" s="1057"/>
      <c r="AE4113" s="1057"/>
      <c r="AF4113" s="1058"/>
    </row>
    <row r="4114" spans="1:32" ht="15.75" x14ac:dyDescent="0.25">
      <c r="A4114" s="2009" t="s">
        <v>1855</v>
      </c>
      <c r="B4114" s="2010"/>
      <c r="C4114" s="2010"/>
      <c r="D4114" s="2010"/>
      <c r="E4114" s="2010"/>
      <c r="F4114" s="2010"/>
      <c r="G4114" s="2010"/>
      <c r="H4114" s="2010"/>
      <c r="I4114" s="2010"/>
      <c r="J4114" s="2010"/>
      <c r="K4114" s="2010"/>
      <c r="L4114" s="2010"/>
      <c r="M4114" s="2010"/>
      <c r="N4114" s="2010"/>
      <c r="O4114" s="2010"/>
      <c r="P4114" s="2010"/>
      <c r="Q4114" s="2010"/>
      <c r="R4114" s="2010"/>
      <c r="S4114" s="2010"/>
      <c r="T4114" s="2010"/>
      <c r="U4114" s="2010"/>
      <c r="V4114" s="2010"/>
      <c r="W4114" s="2010"/>
      <c r="X4114" s="2010"/>
      <c r="Y4114" s="2010"/>
      <c r="Z4114" s="2013" t="s">
        <v>1850</v>
      </c>
      <c r="AA4114" s="2013"/>
      <c r="AB4114" s="2013"/>
      <c r="AC4114" s="2013"/>
      <c r="AD4114" s="2013"/>
      <c r="AE4114" s="2013"/>
      <c r="AF4114" s="1059">
        <f>SUM(AF4090:AF4113)</f>
        <v>12.6</v>
      </c>
    </row>
    <row r="4115" spans="1:32" ht="15.75" x14ac:dyDescent="0.25">
      <c r="A4115" s="2011"/>
      <c r="B4115" s="2012"/>
      <c r="C4115" s="2012"/>
      <c r="D4115" s="2012"/>
      <c r="E4115" s="2012"/>
      <c r="F4115" s="2012"/>
      <c r="G4115" s="2012"/>
      <c r="H4115" s="2012"/>
      <c r="I4115" s="2012"/>
      <c r="J4115" s="2012"/>
      <c r="K4115" s="2012"/>
      <c r="L4115" s="2012"/>
      <c r="M4115" s="2012"/>
      <c r="N4115" s="2012"/>
      <c r="O4115" s="2012"/>
      <c r="P4115" s="2012"/>
      <c r="Q4115" s="2012"/>
      <c r="R4115" s="2012"/>
      <c r="S4115" s="2012"/>
      <c r="T4115" s="2012"/>
      <c r="U4115" s="2012"/>
      <c r="V4115" s="2012"/>
      <c r="W4115" s="2012"/>
      <c r="X4115" s="2012"/>
      <c r="Y4115" s="2012"/>
      <c r="Z4115" s="2014" t="s">
        <v>1851</v>
      </c>
      <c r="AA4115" s="2014"/>
      <c r="AB4115" s="2014"/>
      <c r="AC4115" s="2014"/>
      <c r="AD4115" s="2014"/>
      <c r="AE4115" s="2014"/>
      <c r="AF4115" s="1060">
        <v>0</v>
      </c>
    </row>
    <row r="4116" spans="1:32" ht="15.75" x14ac:dyDescent="0.25">
      <c r="A4116" s="2011"/>
      <c r="B4116" s="2012"/>
      <c r="C4116" s="2012"/>
      <c r="D4116" s="2012"/>
      <c r="E4116" s="2012"/>
      <c r="F4116" s="2012"/>
      <c r="G4116" s="2012"/>
      <c r="H4116" s="2012"/>
      <c r="I4116" s="2012"/>
      <c r="J4116" s="2012"/>
      <c r="K4116" s="2012"/>
      <c r="L4116" s="2012"/>
      <c r="M4116" s="2012"/>
      <c r="N4116" s="2012"/>
      <c r="O4116" s="2012"/>
      <c r="P4116" s="2012"/>
      <c r="Q4116" s="2012"/>
      <c r="R4116" s="2012"/>
      <c r="S4116" s="2012"/>
      <c r="T4116" s="2012"/>
      <c r="U4116" s="2012"/>
      <c r="V4116" s="2012"/>
      <c r="W4116" s="2012"/>
      <c r="X4116" s="2012"/>
      <c r="Y4116" s="2012"/>
      <c r="Z4116" s="2015" t="s">
        <v>1833</v>
      </c>
      <c r="AA4116" s="2015"/>
      <c r="AB4116" s="2015"/>
      <c r="AC4116" s="2015"/>
      <c r="AD4116" s="2015"/>
      <c r="AE4116" s="2015"/>
      <c r="AF4116" s="1061">
        <f>SUM(AF4114:AF4115)</f>
        <v>12.6</v>
      </c>
    </row>
    <row r="4117" spans="1:32" x14ac:dyDescent="0.2">
      <c r="A4117" s="2012" t="s">
        <v>1859</v>
      </c>
      <c r="B4117" s="2012"/>
      <c r="C4117" s="2012"/>
      <c r="D4117" s="2012"/>
      <c r="E4117" s="2012"/>
      <c r="F4117" s="2012"/>
      <c r="G4117" s="2012"/>
      <c r="H4117" s="2012"/>
      <c r="I4117" s="2012"/>
      <c r="J4117" s="2012"/>
      <c r="K4117" s="2012"/>
      <c r="L4117" s="2012"/>
      <c r="M4117" s="2012"/>
      <c r="N4117" s="2012"/>
      <c r="O4117" s="2012"/>
      <c r="P4117" s="2012"/>
      <c r="Q4117" s="2012"/>
      <c r="R4117" s="2012"/>
      <c r="S4117" s="2012"/>
      <c r="T4117" s="2016" t="s">
        <v>1840</v>
      </c>
      <c r="U4117" s="2016"/>
      <c r="V4117" s="2016"/>
      <c r="W4117" s="2016"/>
      <c r="X4117" s="2016"/>
      <c r="Y4117" s="2016"/>
      <c r="Z4117" s="2016"/>
      <c r="AA4117" s="2016"/>
      <c r="AB4117" s="2012" t="s">
        <v>1852</v>
      </c>
      <c r="AC4117" s="2012"/>
      <c r="AD4117" s="2012"/>
      <c r="AE4117" s="2012"/>
      <c r="AF4117" s="2012"/>
    </row>
    <row r="4118" spans="1:32" x14ac:dyDescent="0.2">
      <c r="A4118" s="2012"/>
      <c r="B4118" s="2012"/>
      <c r="C4118" s="2012"/>
      <c r="D4118" s="2012"/>
      <c r="E4118" s="2012"/>
      <c r="F4118" s="2012"/>
      <c r="G4118" s="2012"/>
      <c r="H4118" s="2012"/>
      <c r="I4118" s="2012"/>
      <c r="J4118" s="2012"/>
      <c r="K4118" s="2012"/>
      <c r="L4118" s="2012"/>
      <c r="M4118" s="2012"/>
      <c r="N4118" s="2012"/>
      <c r="O4118" s="2012"/>
      <c r="P4118" s="2012"/>
      <c r="Q4118" s="2012"/>
      <c r="R4118" s="2012"/>
      <c r="S4118" s="2012"/>
      <c r="T4118" s="2016"/>
      <c r="U4118" s="2016"/>
      <c r="V4118" s="2016"/>
      <c r="W4118" s="2016"/>
      <c r="X4118" s="2016"/>
      <c r="Y4118" s="2016"/>
      <c r="Z4118" s="2016"/>
      <c r="AA4118" s="2016"/>
      <c r="AB4118" s="2012"/>
      <c r="AC4118" s="2012"/>
      <c r="AD4118" s="2012"/>
      <c r="AE4118" s="2012"/>
      <c r="AF4118" s="2012"/>
    </row>
    <row r="4119" spans="1:32" ht="13.5" thickBot="1" x14ac:dyDescent="0.25"/>
    <row r="4120" spans="1:32" ht="21.6" customHeight="1" x14ac:dyDescent="0.2">
      <c r="A4120" s="2025" t="s">
        <v>1854</v>
      </c>
      <c r="B4120" s="2026"/>
      <c r="C4120" s="2026"/>
      <c r="D4120" s="2026"/>
      <c r="E4120" s="2026"/>
      <c r="F4120" s="2026"/>
      <c r="G4120" s="2026"/>
      <c r="H4120" s="2026"/>
      <c r="I4120" s="2026"/>
      <c r="J4120" s="2026"/>
      <c r="K4120" s="2026"/>
      <c r="L4120" s="2026"/>
      <c r="M4120" s="2026"/>
      <c r="N4120" s="2026"/>
      <c r="O4120" s="2026"/>
      <c r="P4120" s="2026"/>
      <c r="Q4120" s="2026"/>
      <c r="R4120" s="2026"/>
      <c r="S4120" s="2026"/>
      <c r="T4120" s="2026"/>
      <c r="U4120" s="2026"/>
      <c r="V4120" s="2026"/>
      <c r="W4120" s="2026"/>
      <c r="X4120" s="2026"/>
      <c r="Y4120" s="2026"/>
      <c r="Z4120" s="2026"/>
      <c r="AA4120" s="2026"/>
      <c r="AB4120" s="2026"/>
      <c r="AC4120" s="2026"/>
      <c r="AD4120" s="2026"/>
      <c r="AE4120" s="1041" t="s">
        <v>1834</v>
      </c>
      <c r="AF4120" s="1042" t="s">
        <v>1835</v>
      </c>
    </row>
    <row r="4121" spans="1:32" ht="22.15" customHeight="1" thickBot="1" x14ac:dyDescent="0.25">
      <c r="A4121" s="2027"/>
      <c r="B4121" s="2028"/>
      <c r="C4121" s="2028"/>
      <c r="D4121" s="2028"/>
      <c r="E4121" s="2028"/>
      <c r="F4121" s="2028"/>
      <c r="G4121" s="2028"/>
      <c r="H4121" s="2028"/>
      <c r="I4121" s="2028"/>
      <c r="J4121" s="2028"/>
      <c r="K4121" s="2028"/>
      <c r="L4121" s="2028"/>
      <c r="M4121" s="2028"/>
      <c r="N4121" s="2028"/>
      <c r="O4121" s="2028"/>
      <c r="P4121" s="2028"/>
      <c r="Q4121" s="2028"/>
      <c r="R4121" s="2028"/>
      <c r="S4121" s="2028"/>
      <c r="T4121" s="2028"/>
      <c r="U4121" s="2028"/>
      <c r="V4121" s="2028"/>
      <c r="W4121" s="2028"/>
      <c r="X4121" s="2028"/>
      <c r="Y4121" s="2028"/>
      <c r="Z4121" s="2028"/>
      <c r="AA4121" s="2028"/>
      <c r="AB4121" s="2028"/>
      <c r="AC4121" s="2028"/>
      <c r="AD4121" s="2028"/>
      <c r="AE4121" s="1041" t="s">
        <v>1836</v>
      </c>
      <c r="AF4121" s="1044">
        <v>1</v>
      </c>
    </row>
    <row r="4122" spans="1:32" ht="15.75" x14ac:dyDescent="0.2">
      <c r="A4122" s="2029"/>
      <c r="B4122" s="2030"/>
      <c r="C4122" s="2030"/>
      <c r="D4122" s="2031"/>
      <c r="E4122" s="2025" t="str">
        <f>'01'!$A$12</f>
        <v>"CONSTRUCCION SISTEMA DE ACUEDUCTO FASE II DEL MUNICIPIO DE TESALIA DPTO DEL HUILA"</v>
      </c>
      <c r="F4122" s="2026"/>
      <c r="G4122" s="2026"/>
      <c r="H4122" s="2026"/>
      <c r="I4122" s="2026"/>
      <c r="J4122" s="2026"/>
      <c r="K4122" s="2026"/>
      <c r="L4122" s="2026"/>
      <c r="M4122" s="2026"/>
      <c r="N4122" s="2026"/>
      <c r="O4122" s="2026"/>
      <c r="P4122" s="2026"/>
      <c r="Q4122" s="2026"/>
      <c r="R4122" s="2026"/>
      <c r="S4122" s="2026"/>
      <c r="T4122" s="2026"/>
      <c r="U4122" s="2026"/>
      <c r="V4122" s="2026"/>
      <c r="W4122" s="2026"/>
      <c r="X4122" s="2026"/>
      <c r="Y4122" s="2026"/>
      <c r="Z4122" s="2026"/>
      <c r="AA4122" s="2026"/>
      <c r="AB4122" s="2026"/>
      <c r="AC4122" s="2026"/>
      <c r="AD4122" s="2035"/>
      <c r="AE4122" s="1041" t="s">
        <v>847</v>
      </c>
      <c r="AF4122" s="1045">
        <f>'01'!$M$13</f>
        <v>0</v>
      </c>
    </row>
    <row r="4123" spans="1:32" ht="16.5" thickBot="1" x14ac:dyDescent="0.25">
      <c r="A4123" s="2032"/>
      <c r="B4123" s="2033"/>
      <c r="C4123" s="2033"/>
      <c r="D4123" s="2034"/>
      <c r="E4123" s="2027"/>
      <c r="F4123" s="2028"/>
      <c r="G4123" s="2028"/>
      <c r="H4123" s="2028"/>
      <c r="I4123" s="2028"/>
      <c r="J4123" s="2028"/>
      <c r="K4123" s="2028"/>
      <c r="L4123" s="2028"/>
      <c r="M4123" s="2028"/>
      <c r="N4123" s="2028"/>
      <c r="O4123" s="2028"/>
      <c r="P4123" s="2028"/>
      <c r="Q4123" s="2028"/>
      <c r="R4123" s="2028"/>
      <c r="S4123" s="2028"/>
      <c r="T4123" s="2028"/>
      <c r="U4123" s="2028"/>
      <c r="V4123" s="2028"/>
      <c r="W4123" s="2028"/>
      <c r="X4123" s="2028"/>
      <c r="Y4123" s="2028"/>
      <c r="Z4123" s="2028"/>
      <c r="AA4123" s="2028"/>
      <c r="AB4123" s="2028"/>
      <c r="AC4123" s="2028"/>
      <c r="AD4123" s="2036"/>
      <c r="AE4123" s="1041" t="s">
        <v>1837</v>
      </c>
      <c r="AF4123" s="1042" t="s">
        <v>1838</v>
      </c>
    </row>
    <row r="4124" spans="1:32" ht="15.75" x14ac:dyDescent="0.25">
      <c r="A4124" s="2037" t="s">
        <v>1860</v>
      </c>
      <c r="B4124" s="2038"/>
      <c r="C4124" s="2038"/>
      <c r="D4124" s="2038"/>
      <c r="E4124" s="2038"/>
      <c r="F4124" s="2038"/>
      <c r="G4124" s="2038"/>
      <c r="H4124" s="2038"/>
      <c r="I4124" s="2038"/>
      <c r="J4124" s="2038"/>
      <c r="K4124" s="2038"/>
      <c r="L4124" s="2038"/>
      <c r="M4124" s="2038"/>
      <c r="N4124" s="2038"/>
      <c r="O4124" s="2038"/>
      <c r="P4124" s="2038"/>
      <c r="Q4124" s="2038"/>
      <c r="R4124" s="2038"/>
      <c r="S4124" s="2038"/>
      <c r="T4124" s="2038"/>
      <c r="U4124" s="2038"/>
      <c r="V4124" s="2038"/>
      <c r="W4124" s="2038"/>
      <c r="X4124" s="2038"/>
      <c r="Y4124" s="2038"/>
      <c r="Z4124" s="2038"/>
      <c r="AA4124" s="2038"/>
      <c r="AB4124" s="2038"/>
      <c r="AC4124" s="2038"/>
      <c r="AD4124" s="2038"/>
      <c r="AE4124" s="2039" t="s">
        <v>1839</v>
      </c>
      <c r="AF4124" s="2040"/>
    </row>
    <row r="4125" spans="1:32" ht="15.75" x14ac:dyDescent="0.25">
      <c r="A4125" s="2041" t="s">
        <v>1840</v>
      </c>
      <c r="B4125" s="2042"/>
      <c r="C4125" s="2042"/>
      <c r="D4125" s="2042"/>
      <c r="E4125" s="2042"/>
      <c r="F4125" s="2042"/>
      <c r="G4125" s="2042"/>
      <c r="H4125" s="2042"/>
      <c r="I4125" s="2042"/>
      <c r="J4125" s="2042"/>
      <c r="K4125" s="2042"/>
      <c r="L4125" s="2042"/>
      <c r="M4125" s="2042"/>
      <c r="N4125" s="2042"/>
      <c r="O4125" s="2042"/>
      <c r="P4125" s="2042"/>
      <c r="Q4125" s="2042"/>
      <c r="R4125" s="2042"/>
      <c r="S4125" s="2042"/>
      <c r="T4125" s="2042"/>
      <c r="U4125" s="2042"/>
      <c r="V4125" s="2042"/>
      <c r="W4125" s="2042"/>
      <c r="X4125" s="2042"/>
      <c r="Y4125" s="2042"/>
      <c r="Z4125" s="2042"/>
      <c r="AA4125" s="2042"/>
      <c r="AB4125" s="2042"/>
      <c r="AC4125" s="2042"/>
      <c r="AD4125" s="2043"/>
      <c r="AE4125" s="2014" t="s">
        <v>1841</v>
      </c>
      <c r="AF4125" s="2044"/>
    </row>
    <row r="4126" spans="1:32" ht="15.75" x14ac:dyDescent="0.25">
      <c r="A4126" s="2045" t="s">
        <v>1853</v>
      </c>
      <c r="B4126" s="2046"/>
      <c r="C4126" s="2046"/>
      <c r="D4126" s="2046"/>
      <c r="E4126" s="2046"/>
      <c r="F4126" s="2046"/>
      <c r="G4126" s="2046"/>
      <c r="H4126" s="2046"/>
      <c r="I4126" s="2046"/>
      <c r="J4126" s="2046"/>
      <c r="K4126" s="2046"/>
      <c r="L4126" s="2046"/>
      <c r="M4126" s="2046"/>
      <c r="N4126" s="2046"/>
      <c r="O4126" s="2046"/>
      <c r="P4126" s="2046"/>
      <c r="Q4126" s="2046"/>
      <c r="R4126" s="2046"/>
      <c r="S4126" s="2046"/>
      <c r="T4126" s="2046"/>
      <c r="U4126" s="2046"/>
      <c r="V4126" s="2046"/>
      <c r="W4126" s="2046"/>
      <c r="X4126" s="2046"/>
      <c r="Y4126" s="2046"/>
      <c r="Z4126" s="2046"/>
      <c r="AA4126" s="2046"/>
      <c r="AB4126" s="2046"/>
      <c r="AC4126" s="2046"/>
      <c r="AD4126" s="2046"/>
      <c r="AE4126" s="2047">
        <f>'01'!$M$13</f>
        <v>0</v>
      </c>
      <c r="AF4126" s="2044"/>
    </row>
    <row r="4127" spans="1:32" x14ac:dyDescent="0.2">
      <c r="A4127" s="1046"/>
      <c r="B4127" s="1047"/>
      <c r="C4127" s="1047"/>
      <c r="D4127" s="1047"/>
      <c r="E4127" s="1047"/>
      <c r="F4127" s="1047"/>
      <c r="G4127" s="1047"/>
      <c r="H4127" s="1047"/>
      <c r="I4127" s="1047"/>
      <c r="J4127" s="1047"/>
      <c r="K4127" s="1047"/>
      <c r="L4127" s="1047"/>
      <c r="M4127" s="1047"/>
      <c r="N4127" s="1047"/>
      <c r="O4127" s="1047"/>
      <c r="P4127" s="1047"/>
      <c r="Q4127" s="1047"/>
      <c r="R4127" s="1047"/>
      <c r="S4127" s="1047"/>
      <c r="T4127" s="1047"/>
      <c r="U4127" s="1047"/>
      <c r="V4127" s="1047"/>
      <c r="W4127" s="1047"/>
      <c r="X4127" s="1047"/>
      <c r="Y4127" s="1047"/>
      <c r="Z4127" s="1047"/>
      <c r="AA4127" s="1047"/>
      <c r="AB4127" s="1047"/>
      <c r="AC4127" s="1047"/>
      <c r="AD4127" s="1047"/>
      <c r="AE4127" s="1047"/>
      <c r="AF4127" s="1048"/>
    </row>
    <row r="4128" spans="1:32" ht="15.75" x14ac:dyDescent="0.2">
      <c r="A4128" s="2048" t="s">
        <v>1842</v>
      </c>
      <c r="B4128" s="2049"/>
      <c r="C4128" s="2049"/>
      <c r="D4128" s="2049"/>
      <c r="E4128" s="2049"/>
      <c r="F4128" s="2050" t="str">
        <f>+'01'!$H$105</f>
        <v>D - CANAL DE DESINFECCIÓN</v>
      </c>
      <c r="G4128" s="2049"/>
      <c r="H4128" s="2049"/>
      <c r="I4128" s="2049"/>
      <c r="J4128" s="2049"/>
      <c r="K4128" s="2049"/>
      <c r="L4128" s="2049"/>
      <c r="M4128" s="2049"/>
      <c r="N4128" s="2049"/>
      <c r="O4128" s="2049"/>
      <c r="P4128" s="2049"/>
      <c r="Q4128" s="2049"/>
      <c r="R4128" s="2049"/>
      <c r="S4128" s="2049"/>
      <c r="T4128" s="2049"/>
      <c r="U4128" s="2049"/>
      <c r="V4128" s="2049"/>
      <c r="W4128" s="2049"/>
      <c r="X4128" s="2049"/>
      <c r="Y4128" s="2051"/>
      <c r="Z4128" s="2052" t="s">
        <v>1843</v>
      </c>
      <c r="AA4128" s="2053"/>
      <c r="AB4128" s="2058" t="s">
        <v>1844</v>
      </c>
      <c r="AC4128" s="2059"/>
      <c r="AD4128" s="2060"/>
      <c r="AE4128" s="2064" t="s">
        <v>2184</v>
      </c>
      <c r="AF4128" s="2067" t="s">
        <v>1846</v>
      </c>
    </row>
    <row r="4129" spans="1:32" x14ac:dyDescent="0.2">
      <c r="A4129" s="2070" t="str">
        <f>+'01'!A175</f>
        <v>F-04-01</v>
      </c>
      <c r="B4129" s="2071"/>
      <c r="C4129" s="2072"/>
      <c r="D4129" s="2076" t="str">
        <f>VLOOKUP(A4129,'01'!$A$12:$N$299,3,FALSE)</f>
        <v>RETIRO DE MATERIAL SOBRANTE HASTA BOTADERO AUTORIZADO (INCLUYE FACTOR DE EXPANSIÓN)</v>
      </c>
      <c r="E4129" s="2077"/>
      <c r="F4129" s="2077"/>
      <c r="G4129" s="2077"/>
      <c r="H4129" s="2077"/>
      <c r="I4129" s="2077"/>
      <c r="J4129" s="2077"/>
      <c r="K4129" s="2077"/>
      <c r="L4129" s="2077"/>
      <c r="M4129" s="2077"/>
      <c r="N4129" s="2077"/>
      <c r="O4129" s="2077"/>
      <c r="P4129" s="2077"/>
      <c r="Q4129" s="2077"/>
      <c r="R4129" s="2077"/>
      <c r="S4129" s="2078"/>
      <c r="T4129" s="2082" t="s">
        <v>124</v>
      </c>
      <c r="U4129" s="2083"/>
      <c r="V4129" s="2083"/>
      <c r="W4129" s="2083"/>
      <c r="X4129" s="2052" t="str">
        <f>VLOOKUP(A4129,'01'!$A$12:$N$299,9,FALSE)</f>
        <v>M3-KM</v>
      </c>
      <c r="Y4129" s="2053"/>
      <c r="Z4129" s="2054"/>
      <c r="AA4129" s="2055"/>
      <c r="AB4129" s="2061"/>
      <c r="AC4129" s="2062"/>
      <c r="AD4129" s="2063"/>
      <c r="AE4129" s="2065"/>
      <c r="AF4129" s="2068"/>
    </row>
    <row r="4130" spans="1:32" ht="31.5" x14ac:dyDescent="0.25">
      <c r="A4130" s="2073"/>
      <c r="B4130" s="2074"/>
      <c r="C4130" s="2075"/>
      <c r="D4130" s="2079"/>
      <c r="E4130" s="2080"/>
      <c r="F4130" s="2080"/>
      <c r="G4130" s="2080"/>
      <c r="H4130" s="2080"/>
      <c r="I4130" s="2080"/>
      <c r="J4130" s="2080"/>
      <c r="K4130" s="2080"/>
      <c r="L4130" s="2080"/>
      <c r="M4130" s="2080"/>
      <c r="N4130" s="2080"/>
      <c r="O4130" s="2080"/>
      <c r="P4130" s="2080"/>
      <c r="Q4130" s="2080"/>
      <c r="R4130" s="2080"/>
      <c r="S4130" s="2081"/>
      <c r="T4130" s="2084"/>
      <c r="U4130" s="2085"/>
      <c r="V4130" s="2085"/>
      <c r="W4130" s="2085"/>
      <c r="X4130" s="2056"/>
      <c r="Y4130" s="2057"/>
      <c r="Z4130" s="2056"/>
      <c r="AA4130" s="2057"/>
      <c r="AB4130" s="1122" t="s">
        <v>2180</v>
      </c>
      <c r="AC4130" s="1122" t="s">
        <v>2181</v>
      </c>
      <c r="AD4130" s="1122" t="s">
        <v>1869</v>
      </c>
      <c r="AE4130" s="2066"/>
      <c r="AF4130" s="2069"/>
    </row>
    <row r="4131" spans="1:32" ht="15.75" x14ac:dyDescent="0.25">
      <c r="A4131" s="2017"/>
      <c r="B4131" s="2018"/>
      <c r="C4131" s="2018"/>
      <c r="D4131" s="2018"/>
      <c r="E4131" s="2018"/>
      <c r="F4131" s="2018"/>
      <c r="G4131" s="2018"/>
      <c r="H4131" s="2018"/>
      <c r="I4131" s="2018"/>
      <c r="J4131" s="2018"/>
      <c r="K4131" s="2018"/>
      <c r="L4131" s="2018"/>
      <c r="M4131" s="2018"/>
      <c r="N4131" s="2018"/>
      <c r="O4131" s="2018"/>
      <c r="P4131" s="2018"/>
      <c r="Q4131" s="2018"/>
      <c r="R4131" s="2018"/>
      <c r="S4131" s="2018"/>
      <c r="T4131" s="2018"/>
      <c r="U4131" s="2018"/>
      <c r="V4131" s="2018"/>
      <c r="W4131" s="2018"/>
      <c r="X4131" s="2018"/>
      <c r="Y4131" s="2094"/>
      <c r="Z4131" s="2096"/>
      <c r="AA4131" s="2097"/>
      <c r="AB4131" s="1050">
        <f>+AF3956</f>
        <v>104.98</v>
      </c>
      <c r="AC4131" s="1050">
        <f>+AF4075</f>
        <v>48.83</v>
      </c>
      <c r="AD4131" s="1050">
        <v>1.25</v>
      </c>
      <c r="AE4131" s="1051">
        <f>+'01'!E15</f>
        <v>5</v>
      </c>
      <c r="AF4131" s="1052">
        <f>ROUND((AB4131-AC4131)*AD4131*AE4131,2)</f>
        <v>350.94</v>
      </c>
    </row>
    <row r="4132" spans="1:32" ht="15.75" x14ac:dyDescent="0.25">
      <c r="A4132" s="2017"/>
      <c r="B4132" s="2018"/>
      <c r="C4132" s="2018"/>
      <c r="D4132" s="2018"/>
      <c r="E4132" s="2018"/>
      <c r="F4132" s="2018"/>
      <c r="G4132" s="2018"/>
      <c r="H4132" s="2018"/>
      <c r="I4132" s="2018"/>
      <c r="J4132" s="2018"/>
      <c r="K4132" s="2018"/>
      <c r="L4132" s="2018"/>
      <c r="M4132" s="2018"/>
      <c r="N4132" s="2018"/>
      <c r="O4132" s="2018"/>
      <c r="P4132" s="2018"/>
      <c r="Q4132" s="2018"/>
      <c r="R4132" s="2018"/>
      <c r="S4132" s="2018"/>
      <c r="T4132" s="2018"/>
      <c r="U4132" s="2018"/>
      <c r="V4132" s="2018"/>
      <c r="W4132" s="2018"/>
      <c r="X4132" s="2018"/>
      <c r="Y4132" s="2094"/>
      <c r="Z4132" s="2096"/>
      <c r="AA4132" s="2097"/>
      <c r="AB4132" s="1050"/>
      <c r="AC4132" s="1050"/>
      <c r="AD4132" s="1050"/>
      <c r="AE4132" s="1051"/>
      <c r="AF4132" s="1052"/>
    </row>
    <row r="4133" spans="1:32" ht="15.75" x14ac:dyDescent="0.25">
      <c r="A4133" s="2017"/>
      <c r="B4133" s="2018"/>
      <c r="C4133" s="2018"/>
      <c r="D4133" s="2018"/>
      <c r="E4133" s="2018"/>
      <c r="F4133" s="2018"/>
      <c r="G4133" s="2018"/>
      <c r="H4133" s="2018"/>
      <c r="I4133" s="2018"/>
      <c r="J4133" s="2018"/>
      <c r="K4133" s="2018"/>
      <c r="L4133" s="2018"/>
      <c r="M4133" s="2018"/>
      <c r="N4133" s="2018"/>
      <c r="O4133" s="2018"/>
      <c r="P4133" s="2018"/>
      <c r="Q4133" s="2018"/>
      <c r="R4133" s="2018"/>
      <c r="S4133" s="2018"/>
      <c r="T4133" s="2018"/>
      <c r="U4133" s="2018"/>
      <c r="V4133" s="2018"/>
      <c r="W4133" s="2018"/>
      <c r="X4133" s="2018"/>
      <c r="Y4133" s="2094"/>
      <c r="Z4133" s="2096"/>
      <c r="AA4133" s="2097"/>
      <c r="AB4133" s="1050"/>
      <c r="AC4133" s="1050"/>
      <c r="AD4133" s="1050"/>
      <c r="AE4133" s="1051"/>
      <c r="AF4133" s="1052"/>
    </row>
    <row r="4134" spans="1:32" ht="15.75" x14ac:dyDescent="0.25">
      <c r="A4134" s="2017"/>
      <c r="B4134" s="2018"/>
      <c r="C4134" s="2018"/>
      <c r="D4134" s="2018"/>
      <c r="E4134" s="2018"/>
      <c r="F4134" s="2018"/>
      <c r="G4134" s="2018"/>
      <c r="H4134" s="2018"/>
      <c r="I4134" s="2018"/>
      <c r="J4134" s="2018"/>
      <c r="K4134" s="2018"/>
      <c r="L4134" s="2018"/>
      <c r="M4134" s="2018"/>
      <c r="N4134" s="2018"/>
      <c r="O4134" s="2018"/>
      <c r="P4134" s="2018"/>
      <c r="Q4134" s="2018"/>
      <c r="R4134" s="2018"/>
      <c r="S4134" s="2018"/>
      <c r="T4134" s="2018"/>
      <c r="U4134" s="2018"/>
      <c r="V4134" s="2018"/>
      <c r="W4134" s="2018"/>
      <c r="X4134" s="2018"/>
      <c r="Y4134" s="2094"/>
      <c r="Z4134" s="2096"/>
      <c r="AA4134" s="2097"/>
      <c r="AB4134" s="1050"/>
      <c r="AC4134" s="1050"/>
      <c r="AD4134" s="1050"/>
      <c r="AE4134" s="1051"/>
      <c r="AF4134" s="1052"/>
    </row>
    <row r="4135" spans="1:32" ht="15.75" x14ac:dyDescent="0.25">
      <c r="A4135" s="2017"/>
      <c r="B4135" s="2018"/>
      <c r="C4135" s="2018"/>
      <c r="D4135" s="2018"/>
      <c r="E4135" s="2018"/>
      <c r="F4135" s="2018"/>
      <c r="G4135" s="2018"/>
      <c r="H4135" s="2018"/>
      <c r="I4135" s="2018"/>
      <c r="J4135" s="2018"/>
      <c r="K4135" s="2018"/>
      <c r="L4135" s="2018"/>
      <c r="M4135" s="2018"/>
      <c r="N4135" s="2018"/>
      <c r="O4135" s="2018"/>
      <c r="P4135" s="2018"/>
      <c r="Q4135" s="2018"/>
      <c r="R4135" s="2018"/>
      <c r="S4135" s="2018"/>
      <c r="T4135" s="2018"/>
      <c r="U4135" s="2018"/>
      <c r="V4135" s="2018"/>
      <c r="W4135" s="2018"/>
      <c r="X4135" s="2018"/>
      <c r="Y4135" s="2094"/>
      <c r="Z4135" s="2096"/>
      <c r="AA4135" s="2097"/>
      <c r="AB4135" s="1050"/>
      <c r="AC4135" s="1050"/>
      <c r="AD4135" s="1050"/>
      <c r="AE4135" s="1051"/>
      <c r="AF4135" s="1052"/>
    </row>
    <row r="4136" spans="1:32" ht="15.75" x14ac:dyDescent="0.25">
      <c r="A4136" s="2017"/>
      <c r="B4136" s="2018"/>
      <c r="C4136" s="2018"/>
      <c r="D4136" s="2018"/>
      <c r="E4136" s="2018"/>
      <c r="F4136" s="2018"/>
      <c r="G4136" s="2018"/>
      <c r="H4136" s="2018"/>
      <c r="I4136" s="2018"/>
      <c r="J4136" s="2018"/>
      <c r="K4136" s="2018"/>
      <c r="L4136" s="2018"/>
      <c r="M4136" s="2018"/>
      <c r="N4136" s="2018"/>
      <c r="O4136" s="2018"/>
      <c r="P4136" s="2018"/>
      <c r="Q4136" s="2018"/>
      <c r="R4136" s="2018"/>
      <c r="S4136" s="2018"/>
      <c r="T4136" s="2018"/>
      <c r="U4136" s="2018"/>
      <c r="V4136" s="2018"/>
      <c r="W4136" s="2018"/>
      <c r="X4136" s="2018"/>
      <c r="Y4136" s="2094"/>
      <c r="Z4136" s="2096"/>
      <c r="AA4136" s="2097"/>
      <c r="AB4136" s="1050"/>
      <c r="AC4136" s="1050"/>
      <c r="AD4136" s="1050"/>
      <c r="AE4136" s="1051"/>
      <c r="AF4136" s="1052"/>
    </row>
    <row r="4137" spans="1:32" ht="15.75" x14ac:dyDescent="0.25">
      <c r="A4137" s="2017"/>
      <c r="B4137" s="2018"/>
      <c r="C4137" s="2018"/>
      <c r="D4137" s="2018"/>
      <c r="E4137" s="2018"/>
      <c r="F4137" s="2018"/>
      <c r="G4137" s="2018"/>
      <c r="H4137" s="2018"/>
      <c r="I4137" s="2018"/>
      <c r="J4137" s="2018"/>
      <c r="K4137" s="2018"/>
      <c r="L4137" s="2018"/>
      <c r="M4137" s="2018"/>
      <c r="N4137" s="2018"/>
      <c r="O4137" s="2018"/>
      <c r="P4137" s="2018"/>
      <c r="Q4137" s="2018"/>
      <c r="R4137" s="2018"/>
      <c r="S4137" s="2018"/>
      <c r="T4137" s="2018"/>
      <c r="U4137" s="2018"/>
      <c r="V4137" s="2018"/>
      <c r="W4137" s="2018"/>
      <c r="X4137" s="2018"/>
      <c r="Y4137" s="2094"/>
      <c r="Z4137" s="2096"/>
      <c r="AA4137" s="2097"/>
      <c r="AB4137" s="1050"/>
      <c r="AC4137" s="1050"/>
      <c r="AD4137" s="1050"/>
      <c r="AE4137" s="1051"/>
      <c r="AF4137" s="1052"/>
    </row>
    <row r="4138" spans="1:32" ht="15.75" x14ac:dyDescent="0.25">
      <c r="A4138" s="2017"/>
      <c r="B4138" s="2018"/>
      <c r="C4138" s="2018"/>
      <c r="D4138" s="2018"/>
      <c r="E4138" s="2018"/>
      <c r="F4138" s="2018"/>
      <c r="G4138" s="2018"/>
      <c r="H4138" s="2018"/>
      <c r="I4138" s="2018"/>
      <c r="J4138" s="2018"/>
      <c r="K4138" s="2018"/>
      <c r="L4138" s="2018"/>
      <c r="M4138" s="2018"/>
      <c r="N4138" s="2018"/>
      <c r="O4138" s="2018"/>
      <c r="P4138" s="2018"/>
      <c r="Q4138" s="2018"/>
      <c r="R4138" s="2018"/>
      <c r="S4138" s="2018"/>
      <c r="T4138" s="2018"/>
      <c r="U4138" s="2018"/>
      <c r="V4138" s="2018"/>
      <c r="W4138" s="2018"/>
      <c r="X4138" s="2018"/>
      <c r="Y4138" s="2094"/>
      <c r="Z4138" s="2096"/>
      <c r="AA4138" s="2097"/>
      <c r="AB4138" s="1053"/>
      <c r="AC4138" s="1053"/>
      <c r="AD4138" s="1053"/>
      <c r="AE4138" s="1051"/>
      <c r="AF4138" s="1052"/>
    </row>
    <row r="4139" spans="1:32" ht="15.75" x14ac:dyDescent="0.25">
      <c r="A4139" s="2017"/>
      <c r="B4139" s="2018"/>
      <c r="C4139" s="2018"/>
      <c r="D4139" s="2018"/>
      <c r="E4139" s="2018"/>
      <c r="F4139" s="2018"/>
      <c r="G4139" s="2018"/>
      <c r="H4139" s="2018"/>
      <c r="I4139" s="2018"/>
      <c r="J4139" s="2018"/>
      <c r="K4139" s="2018"/>
      <c r="L4139" s="2018"/>
      <c r="M4139" s="2018"/>
      <c r="N4139" s="2018"/>
      <c r="O4139" s="2018"/>
      <c r="P4139" s="2018"/>
      <c r="Q4139" s="2018"/>
      <c r="R4139" s="2018"/>
      <c r="S4139" s="2018"/>
      <c r="T4139" s="2018"/>
      <c r="U4139" s="2018"/>
      <c r="V4139" s="2018"/>
      <c r="W4139" s="2018"/>
      <c r="X4139" s="2018"/>
      <c r="Y4139" s="2094"/>
      <c r="Z4139" s="2096"/>
      <c r="AA4139" s="2097"/>
      <c r="AB4139" s="1053"/>
      <c r="AC4139" s="1053"/>
      <c r="AD4139" s="1053"/>
      <c r="AE4139" s="1050"/>
      <c r="AF4139" s="1054"/>
    </row>
    <row r="4140" spans="1:32" ht="15.75" x14ac:dyDescent="0.25">
      <c r="A4140" s="2017"/>
      <c r="B4140" s="2018"/>
      <c r="C4140" s="2018"/>
      <c r="D4140" s="2018"/>
      <c r="E4140" s="2018"/>
      <c r="F4140" s="2018"/>
      <c r="G4140" s="2018"/>
      <c r="H4140" s="2018"/>
      <c r="I4140" s="2018"/>
      <c r="J4140" s="2018"/>
      <c r="K4140" s="2018"/>
      <c r="L4140" s="2018"/>
      <c r="M4140" s="2018"/>
      <c r="N4140" s="2018"/>
      <c r="O4140" s="2018"/>
      <c r="P4140" s="2018"/>
      <c r="Q4140" s="2018"/>
      <c r="R4140" s="2018"/>
      <c r="S4140" s="2018"/>
      <c r="T4140" s="2018"/>
      <c r="U4140" s="2018"/>
      <c r="V4140" s="2018"/>
      <c r="W4140" s="2018"/>
      <c r="X4140" s="2018"/>
      <c r="Y4140" s="2094"/>
      <c r="Z4140" s="2096"/>
      <c r="AA4140" s="2097"/>
      <c r="AB4140" s="1053"/>
      <c r="AC4140" s="1053"/>
      <c r="AD4140" s="1053"/>
      <c r="AE4140" s="1051"/>
      <c r="AF4140" s="1054"/>
    </row>
    <row r="4141" spans="1:32" ht="15.75" x14ac:dyDescent="0.25">
      <c r="A4141" s="2017"/>
      <c r="B4141" s="2018"/>
      <c r="C4141" s="2018"/>
      <c r="D4141" s="2018"/>
      <c r="E4141" s="2018"/>
      <c r="F4141" s="2018"/>
      <c r="G4141" s="2018"/>
      <c r="H4141" s="2018"/>
      <c r="I4141" s="2018"/>
      <c r="J4141" s="2018"/>
      <c r="K4141" s="2018"/>
      <c r="L4141" s="2018"/>
      <c r="M4141" s="2018"/>
      <c r="N4141" s="2018"/>
      <c r="O4141" s="2018"/>
      <c r="P4141" s="2018"/>
      <c r="Q4141" s="2018"/>
      <c r="R4141" s="2018"/>
      <c r="S4141" s="2018"/>
      <c r="T4141" s="2018"/>
      <c r="U4141" s="2018"/>
      <c r="V4141" s="2018"/>
      <c r="W4141" s="2018"/>
      <c r="X4141" s="2018"/>
      <c r="Y4141" s="2094"/>
      <c r="Z4141" s="2096"/>
      <c r="AA4141" s="2097"/>
      <c r="AB4141" s="1053"/>
      <c r="AC4141" s="1053"/>
      <c r="AD4141" s="1053"/>
      <c r="AE4141" s="1051"/>
      <c r="AF4141" s="1054"/>
    </row>
    <row r="4142" spans="1:32" ht="15.75" x14ac:dyDescent="0.25">
      <c r="A4142" s="2017"/>
      <c r="B4142" s="2018"/>
      <c r="C4142" s="2018"/>
      <c r="D4142" s="2018"/>
      <c r="E4142" s="2018"/>
      <c r="F4142" s="2018"/>
      <c r="G4142" s="2018"/>
      <c r="H4142" s="2018"/>
      <c r="I4142" s="2018"/>
      <c r="J4142" s="2018"/>
      <c r="K4142" s="2018"/>
      <c r="L4142" s="2018"/>
      <c r="M4142" s="2018"/>
      <c r="N4142" s="2018"/>
      <c r="O4142" s="2018"/>
      <c r="P4142" s="2018"/>
      <c r="Q4142" s="2018"/>
      <c r="R4142" s="2018"/>
      <c r="S4142" s="2018"/>
      <c r="T4142" s="2018"/>
      <c r="U4142" s="2018"/>
      <c r="V4142" s="2018"/>
      <c r="W4142" s="2018"/>
      <c r="X4142" s="2018"/>
      <c r="Y4142" s="2094"/>
      <c r="Z4142" s="2096"/>
      <c r="AA4142" s="2097"/>
      <c r="AB4142" s="1053"/>
      <c r="AC4142" s="1053"/>
      <c r="AD4142" s="1053"/>
      <c r="AE4142" s="1051"/>
      <c r="AF4142" s="1054"/>
    </row>
    <row r="4143" spans="1:32" ht="15.75" x14ac:dyDescent="0.25">
      <c r="A4143" s="2017"/>
      <c r="B4143" s="2018"/>
      <c r="C4143" s="2018"/>
      <c r="D4143" s="2018"/>
      <c r="E4143" s="2018"/>
      <c r="F4143" s="2018"/>
      <c r="G4143" s="2018"/>
      <c r="H4143" s="2018"/>
      <c r="I4143" s="2018"/>
      <c r="J4143" s="2018"/>
      <c r="K4143" s="2018"/>
      <c r="L4143" s="2018"/>
      <c r="M4143" s="2018"/>
      <c r="N4143" s="2018"/>
      <c r="O4143" s="2018"/>
      <c r="P4143" s="2018"/>
      <c r="Q4143" s="2018"/>
      <c r="R4143" s="2018"/>
      <c r="S4143" s="2018"/>
      <c r="T4143" s="2018"/>
      <c r="U4143" s="2018"/>
      <c r="V4143" s="2018"/>
      <c r="W4143" s="2018"/>
      <c r="X4143" s="2018"/>
      <c r="Y4143" s="2094"/>
      <c r="Z4143" s="2096"/>
      <c r="AA4143" s="2097"/>
      <c r="AB4143" s="1053"/>
      <c r="AC4143" s="1053"/>
      <c r="AD4143" s="1053"/>
      <c r="AE4143" s="1051"/>
      <c r="AF4143" s="1054"/>
    </row>
    <row r="4144" spans="1:32" ht="15.75" x14ac:dyDescent="0.25">
      <c r="A4144" s="2017"/>
      <c r="B4144" s="2018"/>
      <c r="C4144" s="2018"/>
      <c r="D4144" s="2018"/>
      <c r="E4144" s="2018"/>
      <c r="F4144" s="2018"/>
      <c r="G4144" s="2018"/>
      <c r="H4144" s="2018"/>
      <c r="I4144" s="2018"/>
      <c r="J4144" s="2018"/>
      <c r="K4144" s="2018"/>
      <c r="L4144" s="2018"/>
      <c r="M4144" s="2018"/>
      <c r="N4144" s="2018"/>
      <c r="O4144" s="2018"/>
      <c r="P4144" s="2018"/>
      <c r="Q4144" s="2018"/>
      <c r="R4144" s="2018"/>
      <c r="S4144" s="2018"/>
      <c r="T4144" s="2018"/>
      <c r="U4144" s="2018"/>
      <c r="V4144" s="2018"/>
      <c r="W4144" s="2018"/>
      <c r="X4144" s="2018"/>
      <c r="Y4144" s="2094"/>
      <c r="Z4144" s="2096"/>
      <c r="AA4144" s="2097"/>
      <c r="AB4144" s="1053"/>
      <c r="AC4144" s="1053"/>
      <c r="AD4144" s="1053"/>
      <c r="AE4144" s="1051"/>
      <c r="AF4144" s="1054"/>
    </row>
    <row r="4145" spans="1:32" ht="15.75" x14ac:dyDescent="0.25">
      <c r="A4145" s="2017"/>
      <c r="B4145" s="2018"/>
      <c r="C4145" s="2018"/>
      <c r="D4145" s="2018"/>
      <c r="E4145" s="2018"/>
      <c r="F4145" s="2018"/>
      <c r="G4145" s="2018"/>
      <c r="H4145" s="2018"/>
      <c r="I4145" s="2018"/>
      <c r="J4145" s="2018"/>
      <c r="K4145" s="2018"/>
      <c r="L4145" s="2018"/>
      <c r="M4145" s="2018"/>
      <c r="N4145" s="2018"/>
      <c r="O4145" s="2018"/>
      <c r="P4145" s="2018"/>
      <c r="Q4145" s="2018"/>
      <c r="R4145" s="2018"/>
      <c r="S4145" s="2018"/>
      <c r="T4145" s="2018"/>
      <c r="U4145" s="2018"/>
      <c r="V4145" s="2018"/>
      <c r="W4145" s="2018"/>
      <c r="X4145" s="2018"/>
      <c r="Y4145" s="2094"/>
      <c r="Z4145" s="2096"/>
      <c r="AA4145" s="2097"/>
      <c r="AB4145" s="1055"/>
      <c r="AC4145" s="1055"/>
      <c r="AD4145" s="1055"/>
      <c r="AE4145" s="1051"/>
      <c r="AF4145" s="1056"/>
    </row>
    <row r="4146" spans="1:32" ht="15.75" x14ac:dyDescent="0.25">
      <c r="A4146" s="2017"/>
      <c r="B4146" s="2018"/>
      <c r="C4146" s="2018"/>
      <c r="D4146" s="2018"/>
      <c r="E4146" s="2018"/>
      <c r="F4146" s="2018"/>
      <c r="G4146" s="2018"/>
      <c r="H4146" s="2018"/>
      <c r="I4146" s="2018"/>
      <c r="J4146" s="2018"/>
      <c r="K4146" s="2018"/>
      <c r="L4146" s="2018"/>
      <c r="M4146" s="2018"/>
      <c r="N4146" s="2018"/>
      <c r="O4146" s="2018"/>
      <c r="P4146" s="2018"/>
      <c r="Q4146" s="2018"/>
      <c r="R4146" s="2018"/>
      <c r="S4146" s="2018"/>
      <c r="T4146" s="2018"/>
      <c r="U4146" s="2018"/>
      <c r="V4146" s="2018"/>
      <c r="W4146" s="2018"/>
      <c r="X4146" s="2018"/>
      <c r="Y4146" s="2094"/>
      <c r="Z4146" s="2096"/>
      <c r="AA4146" s="2097"/>
      <c r="AB4146" s="1055"/>
      <c r="AC4146" s="1055"/>
      <c r="AD4146" s="1055"/>
      <c r="AE4146" s="1055"/>
      <c r="AF4146" s="1056"/>
    </row>
    <row r="4147" spans="1:32" ht="15.75" x14ac:dyDescent="0.25">
      <c r="A4147" s="2017"/>
      <c r="B4147" s="2018"/>
      <c r="C4147" s="2018"/>
      <c r="D4147" s="2018"/>
      <c r="E4147" s="2018"/>
      <c r="F4147" s="2018"/>
      <c r="G4147" s="2018"/>
      <c r="H4147" s="2018"/>
      <c r="I4147" s="2018"/>
      <c r="J4147" s="2018"/>
      <c r="K4147" s="2018"/>
      <c r="L4147" s="2018"/>
      <c r="M4147" s="2018"/>
      <c r="N4147" s="2018"/>
      <c r="O4147" s="2018"/>
      <c r="P4147" s="2018"/>
      <c r="Q4147" s="2018"/>
      <c r="R4147" s="2018"/>
      <c r="S4147" s="2018"/>
      <c r="T4147" s="2018"/>
      <c r="U4147" s="2018"/>
      <c r="V4147" s="2018"/>
      <c r="W4147" s="2018"/>
      <c r="X4147" s="2018"/>
      <c r="Y4147" s="2094"/>
      <c r="Z4147" s="2096"/>
      <c r="AA4147" s="2097"/>
      <c r="AB4147" s="1055"/>
      <c r="AC4147" s="1055"/>
      <c r="AD4147" s="1055"/>
      <c r="AE4147" s="1055"/>
      <c r="AF4147" s="1056"/>
    </row>
    <row r="4148" spans="1:32" ht="15.75" x14ac:dyDescent="0.25">
      <c r="A4148" s="2017"/>
      <c r="B4148" s="2018"/>
      <c r="C4148" s="2018"/>
      <c r="D4148" s="2018"/>
      <c r="E4148" s="2018"/>
      <c r="F4148" s="2018"/>
      <c r="G4148" s="2018"/>
      <c r="H4148" s="2018"/>
      <c r="I4148" s="2018"/>
      <c r="J4148" s="2018"/>
      <c r="K4148" s="2018"/>
      <c r="L4148" s="2018"/>
      <c r="M4148" s="2018"/>
      <c r="N4148" s="2018"/>
      <c r="O4148" s="2018"/>
      <c r="P4148" s="2018"/>
      <c r="Q4148" s="2018"/>
      <c r="R4148" s="2018"/>
      <c r="S4148" s="2018"/>
      <c r="T4148" s="2018"/>
      <c r="U4148" s="2018"/>
      <c r="V4148" s="2018"/>
      <c r="W4148" s="2018"/>
      <c r="X4148" s="2018"/>
      <c r="Y4148" s="2094"/>
      <c r="Z4148" s="2096"/>
      <c r="AA4148" s="2097"/>
      <c r="AB4148" s="1055"/>
      <c r="AC4148" s="1055"/>
      <c r="AD4148" s="1055"/>
      <c r="AE4148" s="1055"/>
      <c r="AF4148" s="1056"/>
    </row>
    <row r="4149" spans="1:32" ht="15.75" x14ac:dyDescent="0.25">
      <c r="A4149" s="2017"/>
      <c r="B4149" s="2018"/>
      <c r="C4149" s="2018"/>
      <c r="D4149" s="2018"/>
      <c r="E4149" s="2018"/>
      <c r="F4149" s="2018"/>
      <c r="G4149" s="2018"/>
      <c r="H4149" s="2018"/>
      <c r="I4149" s="2018"/>
      <c r="J4149" s="2018"/>
      <c r="K4149" s="2018"/>
      <c r="L4149" s="2018"/>
      <c r="M4149" s="2018"/>
      <c r="N4149" s="2018"/>
      <c r="O4149" s="2018"/>
      <c r="P4149" s="2018"/>
      <c r="Q4149" s="2018"/>
      <c r="R4149" s="2018"/>
      <c r="S4149" s="2018"/>
      <c r="T4149" s="2018"/>
      <c r="U4149" s="2018"/>
      <c r="V4149" s="2018"/>
      <c r="W4149" s="2018"/>
      <c r="X4149" s="2018"/>
      <c r="Y4149" s="2094"/>
      <c r="Z4149" s="2096"/>
      <c r="AA4149" s="2097"/>
      <c r="AB4149" s="1055"/>
      <c r="AC4149" s="1055"/>
      <c r="AD4149" s="1055"/>
      <c r="AE4149" s="1055"/>
      <c r="AF4149" s="1056"/>
    </row>
    <row r="4150" spans="1:32" ht="15.75" x14ac:dyDescent="0.25">
      <c r="A4150" s="2017"/>
      <c r="B4150" s="2018"/>
      <c r="C4150" s="2018"/>
      <c r="D4150" s="2018"/>
      <c r="E4150" s="2018"/>
      <c r="F4150" s="2018"/>
      <c r="G4150" s="2018"/>
      <c r="H4150" s="2018"/>
      <c r="I4150" s="2018"/>
      <c r="J4150" s="2018"/>
      <c r="K4150" s="2018"/>
      <c r="L4150" s="2018"/>
      <c r="M4150" s="2018"/>
      <c r="N4150" s="2018"/>
      <c r="O4150" s="2018"/>
      <c r="P4150" s="2018"/>
      <c r="Q4150" s="2018"/>
      <c r="R4150" s="2018"/>
      <c r="S4150" s="2018"/>
      <c r="T4150" s="2018"/>
      <c r="U4150" s="2018"/>
      <c r="V4150" s="2018"/>
      <c r="W4150" s="2018"/>
      <c r="X4150" s="2018"/>
      <c r="Y4150" s="2094"/>
      <c r="Z4150" s="2096"/>
      <c r="AA4150" s="2097"/>
      <c r="AB4150" s="1055"/>
      <c r="AC4150" s="1055"/>
      <c r="AD4150" s="1055"/>
      <c r="AE4150" s="1055"/>
      <c r="AF4150" s="1056"/>
    </row>
    <row r="4151" spans="1:32" ht="16.5" thickBot="1" x14ac:dyDescent="0.3">
      <c r="A4151" s="2019"/>
      <c r="B4151" s="2020"/>
      <c r="C4151" s="2020"/>
      <c r="D4151" s="2020"/>
      <c r="E4151" s="2020"/>
      <c r="F4151" s="2020"/>
      <c r="G4151" s="2020"/>
      <c r="H4151" s="2020"/>
      <c r="I4151" s="2020"/>
      <c r="J4151" s="2020"/>
      <c r="K4151" s="2020"/>
      <c r="L4151" s="2020"/>
      <c r="M4151" s="2020"/>
      <c r="N4151" s="2020"/>
      <c r="O4151" s="2020"/>
      <c r="P4151" s="2020"/>
      <c r="Q4151" s="2020"/>
      <c r="R4151" s="2020"/>
      <c r="S4151" s="2020"/>
      <c r="T4151" s="2020"/>
      <c r="U4151" s="2020"/>
      <c r="V4151" s="2020"/>
      <c r="W4151" s="2020"/>
      <c r="X4151" s="2020"/>
      <c r="Y4151" s="2095"/>
      <c r="Z4151" s="2098"/>
      <c r="AA4151" s="2099"/>
      <c r="AB4151" s="1057"/>
      <c r="AC4151" s="1057"/>
      <c r="AD4151" s="1057"/>
      <c r="AE4151" s="1057"/>
      <c r="AF4151" s="1058"/>
    </row>
    <row r="4152" spans="1:32" ht="15.75" x14ac:dyDescent="0.25">
      <c r="A4152" s="2009" t="s">
        <v>2411</v>
      </c>
      <c r="B4152" s="2010"/>
      <c r="C4152" s="2010"/>
      <c r="D4152" s="2010"/>
      <c r="E4152" s="2010"/>
      <c r="F4152" s="2010"/>
      <c r="G4152" s="2010"/>
      <c r="H4152" s="2010"/>
      <c r="I4152" s="2010"/>
      <c r="J4152" s="2010"/>
      <c r="K4152" s="2010"/>
      <c r="L4152" s="2010"/>
      <c r="M4152" s="2010"/>
      <c r="N4152" s="2010"/>
      <c r="O4152" s="2010"/>
      <c r="P4152" s="2010"/>
      <c r="Q4152" s="2010"/>
      <c r="R4152" s="2010"/>
      <c r="S4152" s="2010"/>
      <c r="T4152" s="2010"/>
      <c r="U4152" s="2010"/>
      <c r="V4152" s="2010"/>
      <c r="W4152" s="2010"/>
      <c r="X4152" s="2010"/>
      <c r="Y4152" s="2010"/>
      <c r="Z4152" s="2013" t="s">
        <v>1850</v>
      </c>
      <c r="AA4152" s="2013"/>
      <c r="AB4152" s="2013"/>
      <c r="AC4152" s="2013"/>
      <c r="AD4152" s="2013"/>
      <c r="AE4152" s="2013"/>
      <c r="AF4152" s="1059">
        <f>SUM(AF4131:AF4151)</f>
        <v>350.94</v>
      </c>
    </row>
    <row r="4153" spans="1:32" ht="15.75" x14ac:dyDescent="0.25">
      <c r="A4153" s="2011"/>
      <c r="B4153" s="2012"/>
      <c r="C4153" s="2012"/>
      <c r="D4153" s="2012"/>
      <c r="E4153" s="2012"/>
      <c r="F4153" s="2012"/>
      <c r="G4153" s="2012"/>
      <c r="H4153" s="2012"/>
      <c r="I4153" s="2012"/>
      <c r="J4153" s="2012"/>
      <c r="K4153" s="2012"/>
      <c r="L4153" s="2012"/>
      <c r="M4153" s="2012"/>
      <c r="N4153" s="2012"/>
      <c r="O4153" s="2012"/>
      <c r="P4153" s="2012"/>
      <c r="Q4153" s="2012"/>
      <c r="R4153" s="2012"/>
      <c r="S4153" s="2012"/>
      <c r="T4153" s="2012"/>
      <c r="U4153" s="2012"/>
      <c r="V4153" s="2012"/>
      <c r="W4153" s="2012"/>
      <c r="X4153" s="2012"/>
      <c r="Y4153" s="2012"/>
      <c r="Z4153" s="2014" t="s">
        <v>1851</v>
      </c>
      <c r="AA4153" s="2014"/>
      <c r="AB4153" s="2014"/>
      <c r="AC4153" s="2014"/>
      <c r="AD4153" s="2014"/>
      <c r="AE4153" s="2014"/>
      <c r="AF4153" s="1060">
        <v>0</v>
      </c>
    </row>
    <row r="4154" spans="1:32" ht="15.75" x14ac:dyDescent="0.25">
      <c r="A4154" s="2011"/>
      <c r="B4154" s="2012"/>
      <c r="C4154" s="2012"/>
      <c r="D4154" s="2012"/>
      <c r="E4154" s="2012"/>
      <c r="F4154" s="2012"/>
      <c r="G4154" s="2012"/>
      <c r="H4154" s="2012"/>
      <c r="I4154" s="2012"/>
      <c r="J4154" s="2012"/>
      <c r="K4154" s="2012"/>
      <c r="L4154" s="2012"/>
      <c r="M4154" s="2012"/>
      <c r="N4154" s="2012"/>
      <c r="O4154" s="2012"/>
      <c r="P4154" s="2012"/>
      <c r="Q4154" s="2012"/>
      <c r="R4154" s="2012"/>
      <c r="S4154" s="2012"/>
      <c r="T4154" s="2012"/>
      <c r="U4154" s="2012"/>
      <c r="V4154" s="2012"/>
      <c r="W4154" s="2012"/>
      <c r="X4154" s="2012"/>
      <c r="Y4154" s="2012"/>
      <c r="Z4154" s="2015" t="s">
        <v>1833</v>
      </c>
      <c r="AA4154" s="2015"/>
      <c r="AB4154" s="2015"/>
      <c r="AC4154" s="2015"/>
      <c r="AD4154" s="2015"/>
      <c r="AE4154" s="2015"/>
      <c r="AF4154" s="1061">
        <f>SUM(AF4152:AF4153)</f>
        <v>350.94</v>
      </c>
    </row>
    <row r="4155" spans="1:32" x14ac:dyDescent="0.2">
      <c r="A4155" s="2012" t="s">
        <v>1859</v>
      </c>
      <c r="B4155" s="2012"/>
      <c r="C4155" s="2012"/>
      <c r="D4155" s="2012"/>
      <c r="E4155" s="2012"/>
      <c r="F4155" s="2012"/>
      <c r="G4155" s="2012"/>
      <c r="H4155" s="2012"/>
      <c r="I4155" s="2012"/>
      <c r="J4155" s="2012"/>
      <c r="K4155" s="2012"/>
      <c r="L4155" s="2012"/>
      <c r="M4155" s="2012"/>
      <c r="N4155" s="2012"/>
      <c r="O4155" s="2012"/>
      <c r="P4155" s="2012"/>
      <c r="Q4155" s="2012"/>
      <c r="R4155" s="2012"/>
      <c r="S4155" s="2012"/>
      <c r="T4155" s="2016" t="s">
        <v>1840</v>
      </c>
      <c r="U4155" s="2016"/>
      <c r="V4155" s="2016"/>
      <c r="W4155" s="2016"/>
      <c r="X4155" s="2016"/>
      <c r="Y4155" s="2016"/>
      <c r="Z4155" s="2016"/>
      <c r="AA4155" s="2016"/>
      <c r="AB4155" s="2012" t="s">
        <v>1852</v>
      </c>
      <c r="AC4155" s="2012"/>
      <c r="AD4155" s="2012"/>
      <c r="AE4155" s="2012"/>
      <c r="AF4155" s="2012"/>
    </row>
    <row r="4156" spans="1:32" x14ac:dyDescent="0.2">
      <c r="A4156" s="2012"/>
      <c r="B4156" s="2012"/>
      <c r="C4156" s="2012"/>
      <c r="D4156" s="2012"/>
      <c r="E4156" s="2012"/>
      <c r="F4156" s="2012"/>
      <c r="G4156" s="2012"/>
      <c r="H4156" s="2012"/>
      <c r="I4156" s="2012"/>
      <c r="J4156" s="2012"/>
      <c r="K4156" s="2012"/>
      <c r="L4156" s="2012"/>
      <c r="M4156" s="2012"/>
      <c r="N4156" s="2012"/>
      <c r="O4156" s="2012"/>
      <c r="P4156" s="2012"/>
      <c r="Q4156" s="2012"/>
      <c r="R4156" s="2012"/>
      <c r="S4156" s="2012"/>
      <c r="T4156" s="2016"/>
      <c r="U4156" s="2016"/>
      <c r="V4156" s="2016"/>
      <c r="W4156" s="2016"/>
      <c r="X4156" s="2016"/>
      <c r="Y4156" s="2016"/>
      <c r="Z4156" s="2016"/>
      <c r="AA4156" s="2016"/>
      <c r="AB4156" s="2012"/>
      <c r="AC4156" s="2012"/>
      <c r="AD4156" s="2012"/>
      <c r="AE4156" s="2012"/>
      <c r="AF4156" s="2012"/>
    </row>
    <row r="4157" spans="1:32" ht="16.5" thickBot="1" x14ac:dyDescent="0.25">
      <c r="A4157" s="1062"/>
      <c r="B4157" s="1062"/>
      <c r="C4157" s="1062"/>
      <c r="D4157" s="1062"/>
      <c r="E4157" s="1062"/>
      <c r="F4157" s="1062"/>
      <c r="G4157" s="1062"/>
      <c r="H4157" s="1062"/>
      <c r="I4157" s="1062"/>
      <c r="J4157" s="1062"/>
      <c r="K4157" s="1062"/>
      <c r="L4157" s="1062"/>
      <c r="M4157" s="1062"/>
      <c r="N4157" s="1062"/>
      <c r="O4157" s="1062"/>
      <c r="P4157" s="1062"/>
      <c r="Q4157" s="1062"/>
      <c r="R4157" s="1062"/>
      <c r="S4157" s="1062"/>
      <c r="T4157" s="1063"/>
      <c r="U4157" s="1063"/>
      <c r="V4157" s="1063"/>
      <c r="W4157" s="1063"/>
      <c r="X4157" s="1063"/>
      <c r="Y4157" s="1063"/>
      <c r="Z4157" s="1063"/>
      <c r="AA4157" s="1063"/>
      <c r="AB4157" s="1062"/>
      <c r="AC4157" s="1062"/>
      <c r="AD4157" s="1062"/>
      <c r="AE4157" s="1064"/>
      <c r="AF4157" s="1065"/>
    </row>
    <row r="4158" spans="1:32" ht="22.15" customHeight="1" x14ac:dyDescent="0.2">
      <c r="A4158" s="2025" t="s">
        <v>1854</v>
      </c>
      <c r="B4158" s="2026"/>
      <c r="C4158" s="2026"/>
      <c r="D4158" s="2026"/>
      <c r="E4158" s="2026"/>
      <c r="F4158" s="2026"/>
      <c r="G4158" s="2026"/>
      <c r="H4158" s="2026"/>
      <c r="I4158" s="2026"/>
      <c r="J4158" s="2026"/>
      <c r="K4158" s="2026"/>
      <c r="L4158" s="2026"/>
      <c r="M4158" s="2026"/>
      <c r="N4158" s="2026"/>
      <c r="O4158" s="2026"/>
      <c r="P4158" s="2026"/>
      <c r="Q4158" s="2026"/>
      <c r="R4158" s="2026"/>
      <c r="S4158" s="2026"/>
      <c r="T4158" s="2026"/>
      <c r="U4158" s="2026"/>
      <c r="V4158" s="2026"/>
      <c r="W4158" s="2026"/>
      <c r="X4158" s="2026"/>
      <c r="Y4158" s="2026"/>
      <c r="Z4158" s="2026"/>
      <c r="AA4158" s="2026"/>
      <c r="AB4158" s="2026"/>
      <c r="AC4158" s="2026"/>
      <c r="AD4158" s="2026"/>
      <c r="AE4158" s="1041" t="s">
        <v>1834</v>
      </c>
      <c r="AF4158" s="1042" t="s">
        <v>1835</v>
      </c>
    </row>
    <row r="4159" spans="1:32" ht="24" customHeight="1" thickBot="1" x14ac:dyDescent="0.25">
      <c r="A4159" s="2027"/>
      <c r="B4159" s="2028"/>
      <c r="C4159" s="2028"/>
      <c r="D4159" s="2028"/>
      <c r="E4159" s="2028"/>
      <c r="F4159" s="2028"/>
      <c r="G4159" s="2028"/>
      <c r="H4159" s="2028"/>
      <c r="I4159" s="2028"/>
      <c r="J4159" s="2028"/>
      <c r="K4159" s="2028"/>
      <c r="L4159" s="2028"/>
      <c r="M4159" s="2028"/>
      <c r="N4159" s="2028"/>
      <c r="O4159" s="2028"/>
      <c r="P4159" s="2028"/>
      <c r="Q4159" s="2028"/>
      <c r="R4159" s="2028"/>
      <c r="S4159" s="2028"/>
      <c r="T4159" s="2028"/>
      <c r="U4159" s="2028"/>
      <c r="V4159" s="2028"/>
      <c r="W4159" s="2028"/>
      <c r="X4159" s="2028"/>
      <c r="Y4159" s="2028"/>
      <c r="Z4159" s="2028"/>
      <c r="AA4159" s="2028"/>
      <c r="AB4159" s="2028"/>
      <c r="AC4159" s="2028"/>
      <c r="AD4159" s="2028"/>
      <c r="AE4159" s="1041" t="s">
        <v>1836</v>
      </c>
      <c r="AF4159" s="1044">
        <v>1</v>
      </c>
    </row>
    <row r="4160" spans="1:32" ht="15.75" x14ac:dyDescent="0.2">
      <c r="A4160" s="2029"/>
      <c r="B4160" s="2030"/>
      <c r="C4160" s="2030"/>
      <c r="D4160" s="2031"/>
      <c r="E4160" s="2025" t="str">
        <f>'01'!$A$12</f>
        <v>"CONSTRUCCION SISTEMA DE ACUEDUCTO FASE II DEL MUNICIPIO DE TESALIA DPTO DEL HUILA"</v>
      </c>
      <c r="F4160" s="2026"/>
      <c r="G4160" s="2026"/>
      <c r="H4160" s="2026"/>
      <c r="I4160" s="2026"/>
      <c r="J4160" s="2026"/>
      <c r="K4160" s="2026"/>
      <c r="L4160" s="2026"/>
      <c r="M4160" s="2026"/>
      <c r="N4160" s="2026"/>
      <c r="O4160" s="2026"/>
      <c r="P4160" s="2026"/>
      <c r="Q4160" s="2026"/>
      <c r="R4160" s="2026"/>
      <c r="S4160" s="2026"/>
      <c r="T4160" s="2026"/>
      <c r="U4160" s="2026"/>
      <c r="V4160" s="2026"/>
      <c r="W4160" s="2026"/>
      <c r="X4160" s="2026"/>
      <c r="Y4160" s="2026"/>
      <c r="Z4160" s="2026"/>
      <c r="AA4160" s="2026"/>
      <c r="AB4160" s="2026"/>
      <c r="AC4160" s="2026"/>
      <c r="AD4160" s="2035"/>
      <c r="AE4160" s="1041" t="s">
        <v>847</v>
      </c>
      <c r="AF4160" s="1045">
        <f>'01'!$M$13</f>
        <v>0</v>
      </c>
    </row>
    <row r="4161" spans="1:32" ht="16.5" thickBot="1" x14ac:dyDescent="0.25">
      <c r="A4161" s="2032"/>
      <c r="B4161" s="2033"/>
      <c r="C4161" s="2033"/>
      <c r="D4161" s="2034"/>
      <c r="E4161" s="2027"/>
      <c r="F4161" s="2028"/>
      <c r="G4161" s="2028"/>
      <c r="H4161" s="2028"/>
      <c r="I4161" s="2028"/>
      <c r="J4161" s="2028"/>
      <c r="K4161" s="2028"/>
      <c r="L4161" s="2028"/>
      <c r="M4161" s="2028"/>
      <c r="N4161" s="2028"/>
      <c r="O4161" s="2028"/>
      <c r="P4161" s="2028"/>
      <c r="Q4161" s="2028"/>
      <c r="R4161" s="2028"/>
      <c r="S4161" s="2028"/>
      <c r="T4161" s="2028"/>
      <c r="U4161" s="2028"/>
      <c r="V4161" s="2028"/>
      <c r="W4161" s="2028"/>
      <c r="X4161" s="2028"/>
      <c r="Y4161" s="2028"/>
      <c r="Z4161" s="2028"/>
      <c r="AA4161" s="2028"/>
      <c r="AB4161" s="2028"/>
      <c r="AC4161" s="2028"/>
      <c r="AD4161" s="2036"/>
      <c r="AE4161" s="1041" t="s">
        <v>1837</v>
      </c>
      <c r="AF4161" s="1042" t="s">
        <v>1838</v>
      </c>
    </row>
    <row r="4162" spans="1:32" ht="15.75" x14ac:dyDescent="0.25">
      <c r="A4162" s="2037" t="s">
        <v>1860</v>
      </c>
      <c r="B4162" s="2038"/>
      <c r="C4162" s="2038"/>
      <c r="D4162" s="2038"/>
      <c r="E4162" s="2038"/>
      <c r="F4162" s="2038"/>
      <c r="G4162" s="2038"/>
      <c r="H4162" s="2038"/>
      <c r="I4162" s="2038"/>
      <c r="J4162" s="2038"/>
      <c r="K4162" s="2038"/>
      <c r="L4162" s="2038"/>
      <c r="M4162" s="2038"/>
      <c r="N4162" s="2038"/>
      <c r="O4162" s="2038"/>
      <c r="P4162" s="2038"/>
      <c r="Q4162" s="2038"/>
      <c r="R4162" s="2038"/>
      <c r="S4162" s="2038"/>
      <c r="T4162" s="2038"/>
      <c r="U4162" s="2038"/>
      <c r="V4162" s="2038"/>
      <c r="W4162" s="2038"/>
      <c r="X4162" s="2038"/>
      <c r="Y4162" s="2038"/>
      <c r="Z4162" s="2038"/>
      <c r="AA4162" s="2038"/>
      <c r="AB4162" s="2038"/>
      <c r="AC4162" s="2038"/>
      <c r="AD4162" s="2038"/>
      <c r="AE4162" s="2039" t="s">
        <v>1839</v>
      </c>
      <c r="AF4162" s="2040"/>
    </row>
    <row r="4163" spans="1:32" ht="15.75" x14ac:dyDescent="0.25">
      <c r="A4163" s="2041" t="s">
        <v>1840</v>
      </c>
      <c r="B4163" s="2042"/>
      <c r="C4163" s="2042"/>
      <c r="D4163" s="2042"/>
      <c r="E4163" s="2042"/>
      <c r="F4163" s="2042"/>
      <c r="G4163" s="2042"/>
      <c r="H4163" s="2042"/>
      <c r="I4163" s="2042"/>
      <c r="J4163" s="2042"/>
      <c r="K4163" s="2042"/>
      <c r="L4163" s="2042"/>
      <c r="M4163" s="2042"/>
      <c r="N4163" s="2042"/>
      <c r="O4163" s="2042"/>
      <c r="P4163" s="2042"/>
      <c r="Q4163" s="2042"/>
      <c r="R4163" s="2042"/>
      <c r="S4163" s="2042"/>
      <c r="T4163" s="2042"/>
      <c r="U4163" s="2042"/>
      <c r="V4163" s="2042"/>
      <c r="W4163" s="2042"/>
      <c r="X4163" s="2042"/>
      <c r="Y4163" s="2042"/>
      <c r="Z4163" s="2042"/>
      <c r="AA4163" s="2042"/>
      <c r="AB4163" s="2042"/>
      <c r="AC4163" s="2042"/>
      <c r="AD4163" s="2043"/>
      <c r="AE4163" s="2014" t="s">
        <v>1841</v>
      </c>
      <c r="AF4163" s="2044"/>
    </row>
    <row r="4164" spans="1:32" ht="15.75" x14ac:dyDescent="0.25">
      <c r="A4164" s="2045" t="s">
        <v>1853</v>
      </c>
      <c r="B4164" s="2046"/>
      <c r="C4164" s="2046"/>
      <c r="D4164" s="2046"/>
      <c r="E4164" s="2046"/>
      <c r="F4164" s="2046"/>
      <c r="G4164" s="2046"/>
      <c r="H4164" s="2046"/>
      <c r="I4164" s="2046"/>
      <c r="J4164" s="2046"/>
      <c r="K4164" s="2046"/>
      <c r="L4164" s="2046"/>
      <c r="M4164" s="2046"/>
      <c r="N4164" s="2046"/>
      <c r="O4164" s="2046"/>
      <c r="P4164" s="2046"/>
      <c r="Q4164" s="2046"/>
      <c r="R4164" s="2046"/>
      <c r="S4164" s="2046"/>
      <c r="T4164" s="2046"/>
      <c r="U4164" s="2046"/>
      <c r="V4164" s="2046"/>
      <c r="W4164" s="2046"/>
      <c r="X4164" s="2046"/>
      <c r="Y4164" s="2046"/>
      <c r="Z4164" s="2046"/>
      <c r="AA4164" s="2046"/>
      <c r="AB4164" s="2046"/>
      <c r="AC4164" s="2046"/>
      <c r="AD4164" s="2046"/>
      <c r="AE4164" s="2047">
        <f>'01'!$M$13</f>
        <v>0</v>
      </c>
      <c r="AF4164" s="2044"/>
    </row>
    <row r="4165" spans="1:32" x14ac:dyDescent="0.2">
      <c r="A4165" s="1046"/>
      <c r="B4165" s="1047"/>
      <c r="C4165" s="1047"/>
      <c r="D4165" s="1047"/>
      <c r="E4165" s="1047"/>
      <c r="F4165" s="1047"/>
      <c r="G4165" s="1047"/>
      <c r="H4165" s="1047"/>
      <c r="I4165" s="1047"/>
      <c r="J4165" s="1047"/>
      <c r="K4165" s="1047"/>
      <c r="L4165" s="1047"/>
      <c r="M4165" s="1047"/>
      <c r="N4165" s="1047"/>
      <c r="O4165" s="1047"/>
      <c r="P4165" s="1047"/>
      <c r="Q4165" s="1047"/>
      <c r="R4165" s="1047"/>
      <c r="S4165" s="1047"/>
      <c r="T4165" s="1047"/>
      <c r="U4165" s="1047"/>
      <c r="V4165" s="1047"/>
      <c r="W4165" s="1047"/>
      <c r="X4165" s="1047"/>
      <c r="Y4165" s="1047"/>
      <c r="Z4165" s="1047"/>
      <c r="AA4165" s="1047"/>
      <c r="AB4165" s="1047"/>
      <c r="AC4165" s="1047"/>
      <c r="AD4165" s="1047"/>
      <c r="AE4165" s="1047"/>
      <c r="AF4165" s="1048"/>
    </row>
    <row r="4166" spans="1:32" ht="15.75" x14ac:dyDescent="0.2">
      <c r="A4166" s="2048" t="s">
        <v>1842</v>
      </c>
      <c r="B4166" s="2049"/>
      <c r="C4166" s="2049"/>
      <c r="D4166" s="2049"/>
      <c r="E4166" s="2049"/>
      <c r="F4166" s="2050" t="str">
        <f>+'01'!$H$163</f>
        <v>F - LECHOS DE SECADO</v>
      </c>
      <c r="G4166" s="2049"/>
      <c r="H4166" s="2049"/>
      <c r="I4166" s="2049"/>
      <c r="J4166" s="2049"/>
      <c r="K4166" s="2049"/>
      <c r="L4166" s="2049"/>
      <c r="M4166" s="2049"/>
      <c r="N4166" s="2049"/>
      <c r="O4166" s="2049"/>
      <c r="P4166" s="2049"/>
      <c r="Q4166" s="2049"/>
      <c r="R4166" s="2049"/>
      <c r="S4166" s="2049"/>
      <c r="T4166" s="2049"/>
      <c r="U4166" s="2049"/>
      <c r="V4166" s="2049"/>
      <c r="W4166" s="2049"/>
      <c r="X4166" s="2049"/>
      <c r="Y4166" s="2051"/>
      <c r="Z4166" s="2052" t="s">
        <v>1843</v>
      </c>
      <c r="AA4166" s="2053"/>
      <c r="AB4166" s="2058" t="s">
        <v>1844</v>
      </c>
      <c r="AC4166" s="2059"/>
      <c r="AD4166" s="2060"/>
      <c r="AE4166" s="2064" t="s">
        <v>2184</v>
      </c>
      <c r="AF4166" s="2067" t="s">
        <v>1846</v>
      </c>
    </row>
    <row r="4167" spans="1:32" x14ac:dyDescent="0.2">
      <c r="A4167" s="2070" t="str">
        <f>+'01'!A176</f>
        <v>F-04-02</v>
      </c>
      <c r="B4167" s="2071"/>
      <c r="C4167" s="2072"/>
      <c r="D4167" s="2076" t="str">
        <f>VLOOKUP(A4167,'01'!$A$12:$N$299,3,FALSE)</f>
        <v>DISPOSICIÓN DE MATERIAL PROVENIENTE DE EXCAVACIÓN (NO INCLUYE TRANSPORTE)</v>
      </c>
      <c r="E4167" s="2077"/>
      <c r="F4167" s="2077"/>
      <c r="G4167" s="2077"/>
      <c r="H4167" s="2077"/>
      <c r="I4167" s="2077"/>
      <c r="J4167" s="2077"/>
      <c r="K4167" s="2077"/>
      <c r="L4167" s="2077"/>
      <c r="M4167" s="2077"/>
      <c r="N4167" s="2077"/>
      <c r="O4167" s="2077"/>
      <c r="P4167" s="2077"/>
      <c r="Q4167" s="2077"/>
      <c r="R4167" s="2077"/>
      <c r="S4167" s="2078"/>
      <c r="T4167" s="2082" t="s">
        <v>124</v>
      </c>
      <c r="U4167" s="2083"/>
      <c r="V4167" s="2083"/>
      <c r="W4167" s="2083"/>
      <c r="X4167" s="2052" t="str">
        <f>VLOOKUP(A4167,'01'!$A$12:$N$299,9,FALSE)</f>
        <v>M3</v>
      </c>
      <c r="Y4167" s="2053"/>
      <c r="Z4167" s="2054"/>
      <c r="AA4167" s="2055"/>
      <c r="AB4167" s="2061"/>
      <c r="AC4167" s="2062"/>
      <c r="AD4167" s="2063"/>
      <c r="AE4167" s="2065"/>
      <c r="AF4167" s="2068"/>
    </row>
    <row r="4168" spans="1:32" ht="31.5" x14ac:dyDescent="0.25">
      <c r="A4168" s="2073"/>
      <c r="B4168" s="2074"/>
      <c r="C4168" s="2075"/>
      <c r="D4168" s="2079"/>
      <c r="E4168" s="2080"/>
      <c r="F4168" s="2080"/>
      <c r="G4168" s="2080"/>
      <c r="H4168" s="2080"/>
      <c r="I4168" s="2080"/>
      <c r="J4168" s="2080"/>
      <c r="K4168" s="2080"/>
      <c r="L4168" s="2080"/>
      <c r="M4168" s="2080"/>
      <c r="N4168" s="2080"/>
      <c r="O4168" s="2080"/>
      <c r="P4168" s="2080"/>
      <c r="Q4168" s="2080"/>
      <c r="R4168" s="2080"/>
      <c r="S4168" s="2081"/>
      <c r="T4168" s="2084"/>
      <c r="U4168" s="2085"/>
      <c r="V4168" s="2085"/>
      <c r="W4168" s="2085"/>
      <c r="X4168" s="2056"/>
      <c r="Y4168" s="2057"/>
      <c r="Z4168" s="2056"/>
      <c r="AA4168" s="2057"/>
      <c r="AB4168" s="1122" t="s">
        <v>2180</v>
      </c>
      <c r="AC4168" s="1122" t="s">
        <v>2181</v>
      </c>
      <c r="AD4168" s="1122" t="s">
        <v>1869</v>
      </c>
      <c r="AE4168" s="2066"/>
      <c r="AF4168" s="2069"/>
    </row>
    <row r="4169" spans="1:32" ht="15.75" x14ac:dyDescent="0.25">
      <c r="A4169" s="2017"/>
      <c r="B4169" s="2018"/>
      <c r="C4169" s="2018"/>
      <c r="D4169" s="2018"/>
      <c r="E4169" s="2018"/>
      <c r="F4169" s="2018"/>
      <c r="G4169" s="2018"/>
      <c r="H4169" s="2018"/>
      <c r="I4169" s="2018"/>
      <c r="J4169" s="2018"/>
      <c r="K4169" s="2018"/>
      <c r="L4169" s="2018"/>
      <c r="M4169" s="2018"/>
      <c r="N4169" s="2018"/>
      <c r="O4169" s="2018"/>
      <c r="P4169" s="2018"/>
      <c r="Q4169" s="2018"/>
      <c r="R4169" s="2018"/>
      <c r="S4169" s="2018"/>
      <c r="T4169" s="2018"/>
      <c r="U4169" s="2018"/>
      <c r="V4169" s="2018"/>
      <c r="W4169" s="2018"/>
      <c r="X4169" s="2018"/>
      <c r="Y4169" s="2094"/>
      <c r="Z4169" s="2096"/>
      <c r="AA4169" s="2097"/>
      <c r="AB4169" s="1050">
        <f>+AB4131</f>
        <v>104.98</v>
      </c>
      <c r="AC4169" s="1050">
        <f>+AC4131</f>
        <v>48.83</v>
      </c>
      <c r="AD4169" s="1050">
        <f>+AD4131</f>
        <v>1.25</v>
      </c>
      <c r="AE4169" s="1051">
        <f>+'01'!E15</f>
        <v>5</v>
      </c>
      <c r="AF4169" s="1052">
        <f>ROUND((AB4169-AC4169)*AD4169,2)</f>
        <v>70.19</v>
      </c>
    </row>
    <row r="4170" spans="1:32" ht="15.75" x14ac:dyDescent="0.25">
      <c r="A4170" s="2017"/>
      <c r="B4170" s="2018"/>
      <c r="C4170" s="2018"/>
      <c r="D4170" s="2018"/>
      <c r="E4170" s="2018"/>
      <c r="F4170" s="2018"/>
      <c r="G4170" s="2018"/>
      <c r="H4170" s="2018"/>
      <c r="I4170" s="2018"/>
      <c r="J4170" s="2018"/>
      <c r="K4170" s="2018"/>
      <c r="L4170" s="2018"/>
      <c r="M4170" s="2018"/>
      <c r="N4170" s="2018"/>
      <c r="O4170" s="2018"/>
      <c r="P4170" s="2018"/>
      <c r="Q4170" s="2018"/>
      <c r="R4170" s="2018"/>
      <c r="S4170" s="2018"/>
      <c r="T4170" s="2018"/>
      <c r="U4170" s="2018"/>
      <c r="V4170" s="2018"/>
      <c r="W4170" s="2018"/>
      <c r="X4170" s="2018"/>
      <c r="Y4170" s="2094"/>
      <c r="Z4170" s="2096"/>
      <c r="AA4170" s="2097"/>
      <c r="AB4170" s="1050"/>
      <c r="AC4170" s="1050"/>
      <c r="AD4170" s="1050"/>
      <c r="AE4170" s="1051"/>
      <c r="AF4170" s="1052"/>
    </row>
    <row r="4171" spans="1:32" ht="15.75" x14ac:dyDescent="0.25">
      <c r="A4171" s="2017"/>
      <c r="B4171" s="2018"/>
      <c r="C4171" s="2018"/>
      <c r="D4171" s="2018"/>
      <c r="E4171" s="2018"/>
      <c r="F4171" s="2018"/>
      <c r="G4171" s="2018"/>
      <c r="H4171" s="2018"/>
      <c r="I4171" s="2018"/>
      <c r="J4171" s="2018"/>
      <c r="K4171" s="2018"/>
      <c r="L4171" s="2018"/>
      <c r="M4171" s="2018"/>
      <c r="N4171" s="2018"/>
      <c r="O4171" s="2018"/>
      <c r="P4171" s="2018"/>
      <c r="Q4171" s="2018"/>
      <c r="R4171" s="2018"/>
      <c r="S4171" s="2018"/>
      <c r="T4171" s="2018"/>
      <c r="U4171" s="2018"/>
      <c r="V4171" s="2018"/>
      <c r="W4171" s="2018"/>
      <c r="X4171" s="2018"/>
      <c r="Y4171" s="2094"/>
      <c r="Z4171" s="2096"/>
      <c r="AA4171" s="2097"/>
      <c r="AB4171" s="1050"/>
      <c r="AC4171" s="1050"/>
      <c r="AD4171" s="1050"/>
      <c r="AE4171" s="1051"/>
      <c r="AF4171" s="1052"/>
    </row>
    <row r="4172" spans="1:32" ht="15.75" x14ac:dyDescent="0.25">
      <c r="A4172" s="2017"/>
      <c r="B4172" s="2018"/>
      <c r="C4172" s="2018"/>
      <c r="D4172" s="2018"/>
      <c r="E4172" s="2018"/>
      <c r="F4172" s="2018"/>
      <c r="G4172" s="2018"/>
      <c r="H4172" s="2018"/>
      <c r="I4172" s="2018"/>
      <c r="J4172" s="2018"/>
      <c r="K4172" s="2018"/>
      <c r="L4172" s="2018"/>
      <c r="M4172" s="2018"/>
      <c r="N4172" s="2018"/>
      <c r="O4172" s="2018"/>
      <c r="P4172" s="2018"/>
      <c r="Q4172" s="2018"/>
      <c r="R4172" s="2018"/>
      <c r="S4172" s="2018"/>
      <c r="T4172" s="2018"/>
      <c r="U4172" s="2018"/>
      <c r="V4172" s="2018"/>
      <c r="W4172" s="2018"/>
      <c r="X4172" s="2018"/>
      <c r="Y4172" s="2094"/>
      <c r="Z4172" s="2096"/>
      <c r="AA4172" s="2097"/>
      <c r="AB4172" s="1050"/>
      <c r="AC4172" s="1050"/>
      <c r="AD4172" s="1050"/>
      <c r="AE4172" s="1051"/>
      <c r="AF4172" s="1052"/>
    </row>
    <row r="4173" spans="1:32" ht="15.75" x14ac:dyDescent="0.25">
      <c r="A4173" s="2017"/>
      <c r="B4173" s="2018"/>
      <c r="C4173" s="2018"/>
      <c r="D4173" s="2018"/>
      <c r="E4173" s="2018"/>
      <c r="F4173" s="2018"/>
      <c r="G4173" s="2018"/>
      <c r="H4173" s="2018"/>
      <c r="I4173" s="2018"/>
      <c r="J4173" s="2018"/>
      <c r="K4173" s="2018"/>
      <c r="L4173" s="2018"/>
      <c r="M4173" s="2018"/>
      <c r="N4173" s="2018"/>
      <c r="O4173" s="2018"/>
      <c r="P4173" s="2018"/>
      <c r="Q4173" s="2018"/>
      <c r="R4173" s="2018"/>
      <c r="S4173" s="2018"/>
      <c r="T4173" s="2018"/>
      <c r="U4173" s="2018"/>
      <c r="V4173" s="2018"/>
      <c r="W4173" s="2018"/>
      <c r="X4173" s="2018"/>
      <c r="Y4173" s="2094"/>
      <c r="Z4173" s="2096"/>
      <c r="AA4173" s="2097"/>
      <c r="AB4173" s="1050"/>
      <c r="AC4173" s="1050"/>
      <c r="AD4173" s="1050"/>
      <c r="AE4173" s="1051"/>
      <c r="AF4173" s="1052"/>
    </row>
    <row r="4174" spans="1:32" ht="15.75" x14ac:dyDescent="0.25">
      <c r="A4174" s="2017"/>
      <c r="B4174" s="2018"/>
      <c r="C4174" s="2018"/>
      <c r="D4174" s="2018"/>
      <c r="E4174" s="2018"/>
      <c r="F4174" s="2018"/>
      <c r="G4174" s="2018"/>
      <c r="H4174" s="2018"/>
      <c r="I4174" s="2018"/>
      <c r="J4174" s="2018"/>
      <c r="K4174" s="2018"/>
      <c r="L4174" s="2018"/>
      <c r="M4174" s="2018"/>
      <c r="N4174" s="2018"/>
      <c r="O4174" s="2018"/>
      <c r="P4174" s="2018"/>
      <c r="Q4174" s="2018"/>
      <c r="R4174" s="2018"/>
      <c r="S4174" s="2018"/>
      <c r="T4174" s="2018"/>
      <c r="U4174" s="2018"/>
      <c r="V4174" s="2018"/>
      <c r="W4174" s="2018"/>
      <c r="X4174" s="2018"/>
      <c r="Y4174" s="2094"/>
      <c r="Z4174" s="2096"/>
      <c r="AA4174" s="2097"/>
      <c r="AB4174" s="1050"/>
      <c r="AC4174" s="1050"/>
      <c r="AD4174" s="1050"/>
      <c r="AE4174" s="1051"/>
      <c r="AF4174" s="1052"/>
    </row>
    <row r="4175" spans="1:32" ht="15.75" x14ac:dyDescent="0.25">
      <c r="A4175" s="2017"/>
      <c r="B4175" s="2018"/>
      <c r="C4175" s="2018"/>
      <c r="D4175" s="2018"/>
      <c r="E4175" s="2018"/>
      <c r="F4175" s="2018"/>
      <c r="G4175" s="2018"/>
      <c r="H4175" s="2018"/>
      <c r="I4175" s="2018"/>
      <c r="J4175" s="2018"/>
      <c r="K4175" s="2018"/>
      <c r="L4175" s="2018"/>
      <c r="M4175" s="2018"/>
      <c r="N4175" s="2018"/>
      <c r="O4175" s="2018"/>
      <c r="P4175" s="2018"/>
      <c r="Q4175" s="2018"/>
      <c r="R4175" s="2018"/>
      <c r="S4175" s="2018"/>
      <c r="T4175" s="2018"/>
      <c r="U4175" s="2018"/>
      <c r="V4175" s="2018"/>
      <c r="W4175" s="2018"/>
      <c r="X4175" s="2018"/>
      <c r="Y4175" s="2094"/>
      <c r="Z4175" s="2096"/>
      <c r="AA4175" s="2097"/>
      <c r="AB4175" s="1050"/>
      <c r="AC4175" s="1050"/>
      <c r="AD4175" s="1050"/>
      <c r="AE4175" s="1051"/>
      <c r="AF4175" s="1052"/>
    </row>
    <row r="4176" spans="1:32" ht="15.75" x14ac:dyDescent="0.25">
      <c r="A4176" s="2017"/>
      <c r="B4176" s="2018"/>
      <c r="C4176" s="2018"/>
      <c r="D4176" s="2018"/>
      <c r="E4176" s="2018"/>
      <c r="F4176" s="2018"/>
      <c r="G4176" s="2018"/>
      <c r="H4176" s="2018"/>
      <c r="I4176" s="2018"/>
      <c r="J4176" s="2018"/>
      <c r="K4176" s="2018"/>
      <c r="L4176" s="2018"/>
      <c r="M4176" s="2018"/>
      <c r="N4176" s="2018"/>
      <c r="O4176" s="2018"/>
      <c r="P4176" s="2018"/>
      <c r="Q4176" s="2018"/>
      <c r="R4176" s="2018"/>
      <c r="S4176" s="2018"/>
      <c r="T4176" s="2018"/>
      <c r="U4176" s="2018"/>
      <c r="V4176" s="2018"/>
      <c r="W4176" s="2018"/>
      <c r="X4176" s="2018"/>
      <c r="Y4176" s="2094"/>
      <c r="Z4176" s="2096"/>
      <c r="AA4176" s="2097"/>
      <c r="AB4176" s="1053"/>
      <c r="AC4176" s="1053"/>
      <c r="AD4176" s="1053"/>
      <c r="AE4176" s="1051"/>
      <c r="AF4176" s="1052"/>
    </row>
    <row r="4177" spans="1:32" ht="15.75" x14ac:dyDescent="0.25">
      <c r="A4177" s="2017"/>
      <c r="B4177" s="2018"/>
      <c r="C4177" s="2018"/>
      <c r="D4177" s="2018"/>
      <c r="E4177" s="2018"/>
      <c r="F4177" s="2018"/>
      <c r="G4177" s="2018"/>
      <c r="H4177" s="2018"/>
      <c r="I4177" s="2018"/>
      <c r="J4177" s="2018"/>
      <c r="K4177" s="2018"/>
      <c r="L4177" s="2018"/>
      <c r="M4177" s="2018"/>
      <c r="N4177" s="2018"/>
      <c r="O4177" s="2018"/>
      <c r="P4177" s="2018"/>
      <c r="Q4177" s="2018"/>
      <c r="R4177" s="2018"/>
      <c r="S4177" s="2018"/>
      <c r="T4177" s="2018"/>
      <c r="U4177" s="2018"/>
      <c r="V4177" s="2018"/>
      <c r="W4177" s="2018"/>
      <c r="X4177" s="2018"/>
      <c r="Y4177" s="2094"/>
      <c r="Z4177" s="2096"/>
      <c r="AA4177" s="2097"/>
      <c r="AB4177" s="1053"/>
      <c r="AC4177" s="1053"/>
      <c r="AD4177" s="1053"/>
      <c r="AE4177" s="1050"/>
      <c r="AF4177" s="1054"/>
    </row>
    <row r="4178" spans="1:32" ht="15.75" x14ac:dyDescent="0.25">
      <c r="A4178" s="2017"/>
      <c r="B4178" s="2018"/>
      <c r="C4178" s="2018"/>
      <c r="D4178" s="2018"/>
      <c r="E4178" s="2018"/>
      <c r="F4178" s="2018"/>
      <c r="G4178" s="2018"/>
      <c r="H4178" s="2018"/>
      <c r="I4178" s="2018"/>
      <c r="J4178" s="2018"/>
      <c r="K4178" s="2018"/>
      <c r="L4178" s="2018"/>
      <c r="M4178" s="2018"/>
      <c r="N4178" s="2018"/>
      <c r="O4178" s="2018"/>
      <c r="P4178" s="2018"/>
      <c r="Q4178" s="2018"/>
      <c r="R4178" s="2018"/>
      <c r="S4178" s="2018"/>
      <c r="T4178" s="2018"/>
      <c r="U4178" s="2018"/>
      <c r="V4178" s="2018"/>
      <c r="W4178" s="2018"/>
      <c r="X4178" s="2018"/>
      <c r="Y4178" s="2094"/>
      <c r="Z4178" s="2096"/>
      <c r="AA4178" s="2097"/>
      <c r="AB4178" s="1053"/>
      <c r="AC4178" s="1053"/>
      <c r="AD4178" s="1053"/>
      <c r="AE4178" s="1051"/>
      <c r="AF4178" s="1054"/>
    </row>
    <row r="4179" spans="1:32" ht="15.75" x14ac:dyDescent="0.25">
      <c r="A4179" s="2017"/>
      <c r="B4179" s="2018"/>
      <c r="C4179" s="2018"/>
      <c r="D4179" s="2018"/>
      <c r="E4179" s="2018"/>
      <c r="F4179" s="2018"/>
      <c r="G4179" s="2018"/>
      <c r="H4179" s="2018"/>
      <c r="I4179" s="2018"/>
      <c r="J4179" s="2018"/>
      <c r="K4179" s="2018"/>
      <c r="L4179" s="2018"/>
      <c r="M4179" s="2018"/>
      <c r="N4179" s="2018"/>
      <c r="O4179" s="2018"/>
      <c r="P4179" s="2018"/>
      <c r="Q4179" s="2018"/>
      <c r="R4179" s="2018"/>
      <c r="S4179" s="2018"/>
      <c r="T4179" s="2018"/>
      <c r="U4179" s="2018"/>
      <c r="V4179" s="2018"/>
      <c r="W4179" s="2018"/>
      <c r="X4179" s="2018"/>
      <c r="Y4179" s="2094"/>
      <c r="Z4179" s="2096"/>
      <c r="AA4179" s="2097"/>
      <c r="AB4179" s="1053"/>
      <c r="AC4179" s="1053"/>
      <c r="AD4179" s="1053"/>
      <c r="AE4179" s="1051"/>
      <c r="AF4179" s="1054"/>
    </row>
    <row r="4180" spans="1:32" ht="15.75" x14ac:dyDescent="0.25">
      <c r="A4180" s="2017"/>
      <c r="B4180" s="2018"/>
      <c r="C4180" s="2018"/>
      <c r="D4180" s="2018"/>
      <c r="E4180" s="2018"/>
      <c r="F4180" s="2018"/>
      <c r="G4180" s="2018"/>
      <c r="H4180" s="2018"/>
      <c r="I4180" s="2018"/>
      <c r="J4180" s="2018"/>
      <c r="K4180" s="2018"/>
      <c r="L4180" s="2018"/>
      <c r="M4180" s="2018"/>
      <c r="N4180" s="2018"/>
      <c r="O4180" s="2018"/>
      <c r="P4180" s="2018"/>
      <c r="Q4180" s="2018"/>
      <c r="R4180" s="2018"/>
      <c r="S4180" s="2018"/>
      <c r="T4180" s="2018"/>
      <c r="U4180" s="2018"/>
      <c r="V4180" s="2018"/>
      <c r="W4180" s="2018"/>
      <c r="X4180" s="2018"/>
      <c r="Y4180" s="2094"/>
      <c r="Z4180" s="2096"/>
      <c r="AA4180" s="2097"/>
      <c r="AB4180" s="1053"/>
      <c r="AC4180" s="1053"/>
      <c r="AD4180" s="1053"/>
      <c r="AE4180" s="1051"/>
      <c r="AF4180" s="1054"/>
    </row>
    <row r="4181" spans="1:32" ht="15.75" x14ac:dyDescent="0.25">
      <c r="A4181" s="2017"/>
      <c r="B4181" s="2018"/>
      <c r="C4181" s="2018"/>
      <c r="D4181" s="2018"/>
      <c r="E4181" s="2018"/>
      <c r="F4181" s="2018"/>
      <c r="G4181" s="2018"/>
      <c r="H4181" s="2018"/>
      <c r="I4181" s="2018"/>
      <c r="J4181" s="2018"/>
      <c r="K4181" s="2018"/>
      <c r="L4181" s="2018"/>
      <c r="M4181" s="2018"/>
      <c r="N4181" s="2018"/>
      <c r="O4181" s="2018"/>
      <c r="P4181" s="2018"/>
      <c r="Q4181" s="2018"/>
      <c r="R4181" s="2018"/>
      <c r="S4181" s="2018"/>
      <c r="T4181" s="2018"/>
      <c r="U4181" s="2018"/>
      <c r="V4181" s="2018"/>
      <c r="W4181" s="2018"/>
      <c r="X4181" s="2018"/>
      <c r="Y4181" s="2094"/>
      <c r="Z4181" s="2096"/>
      <c r="AA4181" s="2097"/>
      <c r="AB4181" s="1053"/>
      <c r="AC4181" s="1053"/>
      <c r="AD4181" s="1053"/>
      <c r="AE4181" s="1051"/>
      <c r="AF4181" s="1054"/>
    </row>
    <row r="4182" spans="1:32" ht="15.75" x14ac:dyDescent="0.25">
      <c r="A4182" s="2017"/>
      <c r="B4182" s="2018"/>
      <c r="C4182" s="2018"/>
      <c r="D4182" s="2018"/>
      <c r="E4182" s="2018"/>
      <c r="F4182" s="2018"/>
      <c r="G4182" s="2018"/>
      <c r="H4182" s="2018"/>
      <c r="I4182" s="2018"/>
      <c r="J4182" s="2018"/>
      <c r="K4182" s="2018"/>
      <c r="L4182" s="2018"/>
      <c r="M4182" s="2018"/>
      <c r="N4182" s="2018"/>
      <c r="O4182" s="2018"/>
      <c r="P4182" s="2018"/>
      <c r="Q4182" s="2018"/>
      <c r="R4182" s="2018"/>
      <c r="S4182" s="2018"/>
      <c r="T4182" s="2018"/>
      <c r="U4182" s="2018"/>
      <c r="V4182" s="2018"/>
      <c r="W4182" s="2018"/>
      <c r="X4182" s="2018"/>
      <c r="Y4182" s="2094"/>
      <c r="Z4182" s="2096"/>
      <c r="AA4182" s="2097"/>
      <c r="AB4182" s="1053"/>
      <c r="AC4182" s="1053"/>
      <c r="AD4182" s="1053"/>
      <c r="AE4182" s="1051"/>
      <c r="AF4182" s="1054"/>
    </row>
    <row r="4183" spans="1:32" ht="15.75" x14ac:dyDescent="0.25">
      <c r="A4183" s="2017"/>
      <c r="B4183" s="2018"/>
      <c r="C4183" s="2018"/>
      <c r="D4183" s="2018"/>
      <c r="E4183" s="2018"/>
      <c r="F4183" s="2018"/>
      <c r="G4183" s="2018"/>
      <c r="H4183" s="2018"/>
      <c r="I4183" s="2018"/>
      <c r="J4183" s="2018"/>
      <c r="K4183" s="2018"/>
      <c r="L4183" s="2018"/>
      <c r="M4183" s="2018"/>
      <c r="N4183" s="2018"/>
      <c r="O4183" s="2018"/>
      <c r="P4183" s="2018"/>
      <c r="Q4183" s="2018"/>
      <c r="R4183" s="2018"/>
      <c r="S4183" s="2018"/>
      <c r="T4183" s="2018"/>
      <c r="U4183" s="2018"/>
      <c r="V4183" s="2018"/>
      <c r="W4183" s="2018"/>
      <c r="X4183" s="2018"/>
      <c r="Y4183" s="2094"/>
      <c r="Z4183" s="2096"/>
      <c r="AA4183" s="2097"/>
      <c r="AB4183" s="1055"/>
      <c r="AC4183" s="1055"/>
      <c r="AD4183" s="1055"/>
      <c r="AE4183" s="1051"/>
      <c r="AF4183" s="1056"/>
    </row>
    <row r="4184" spans="1:32" ht="15.75" x14ac:dyDescent="0.25">
      <c r="A4184" s="2017"/>
      <c r="B4184" s="2018"/>
      <c r="C4184" s="2018"/>
      <c r="D4184" s="2018"/>
      <c r="E4184" s="2018"/>
      <c r="F4184" s="2018"/>
      <c r="G4184" s="2018"/>
      <c r="H4184" s="2018"/>
      <c r="I4184" s="2018"/>
      <c r="J4184" s="2018"/>
      <c r="K4184" s="2018"/>
      <c r="L4184" s="2018"/>
      <c r="M4184" s="2018"/>
      <c r="N4184" s="2018"/>
      <c r="O4184" s="2018"/>
      <c r="P4184" s="2018"/>
      <c r="Q4184" s="2018"/>
      <c r="R4184" s="2018"/>
      <c r="S4184" s="2018"/>
      <c r="T4184" s="2018"/>
      <c r="U4184" s="2018"/>
      <c r="V4184" s="2018"/>
      <c r="W4184" s="2018"/>
      <c r="X4184" s="2018"/>
      <c r="Y4184" s="2094"/>
      <c r="Z4184" s="2096"/>
      <c r="AA4184" s="2097"/>
      <c r="AB4184" s="1055"/>
      <c r="AC4184" s="1055"/>
      <c r="AD4184" s="1055"/>
      <c r="AE4184" s="1055"/>
      <c r="AF4184" s="1056"/>
    </row>
    <row r="4185" spans="1:32" ht="15.75" x14ac:dyDescent="0.25">
      <c r="A4185" s="2017"/>
      <c r="B4185" s="2018"/>
      <c r="C4185" s="2018"/>
      <c r="D4185" s="2018"/>
      <c r="E4185" s="2018"/>
      <c r="F4185" s="2018"/>
      <c r="G4185" s="2018"/>
      <c r="H4185" s="2018"/>
      <c r="I4185" s="2018"/>
      <c r="J4185" s="2018"/>
      <c r="K4185" s="2018"/>
      <c r="L4185" s="2018"/>
      <c r="M4185" s="2018"/>
      <c r="N4185" s="2018"/>
      <c r="O4185" s="2018"/>
      <c r="P4185" s="2018"/>
      <c r="Q4185" s="2018"/>
      <c r="R4185" s="2018"/>
      <c r="S4185" s="2018"/>
      <c r="T4185" s="2018"/>
      <c r="U4185" s="2018"/>
      <c r="V4185" s="2018"/>
      <c r="W4185" s="2018"/>
      <c r="X4185" s="2018"/>
      <c r="Y4185" s="2094"/>
      <c r="Z4185" s="2096"/>
      <c r="AA4185" s="2097"/>
      <c r="AB4185" s="1055"/>
      <c r="AC4185" s="1055"/>
      <c r="AD4185" s="1055"/>
      <c r="AE4185" s="1055"/>
      <c r="AF4185" s="1056"/>
    </row>
    <row r="4186" spans="1:32" ht="15.75" x14ac:dyDescent="0.25">
      <c r="A4186" s="2017"/>
      <c r="B4186" s="2018"/>
      <c r="C4186" s="2018"/>
      <c r="D4186" s="2018"/>
      <c r="E4186" s="2018"/>
      <c r="F4186" s="2018"/>
      <c r="G4186" s="2018"/>
      <c r="H4186" s="2018"/>
      <c r="I4186" s="2018"/>
      <c r="J4186" s="2018"/>
      <c r="K4186" s="2018"/>
      <c r="L4186" s="2018"/>
      <c r="M4186" s="2018"/>
      <c r="N4186" s="2018"/>
      <c r="O4186" s="2018"/>
      <c r="P4186" s="2018"/>
      <c r="Q4186" s="2018"/>
      <c r="R4186" s="2018"/>
      <c r="S4186" s="2018"/>
      <c r="T4186" s="2018"/>
      <c r="U4186" s="2018"/>
      <c r="V4186" s="2018"/>
      <c r="W4186" s="2018"/>
      <c r="X4186" s="2018"/>
      <c r="Y4186" s="2094"/>
      <c r="Z4186" s="2096"/>
      <c r="AA4186" s="2097"/>
      <c r="AB4186" s="1055"/>
      <c r="AC4186" s="1055"/>
      <c r="AD4186" s="1055"/>
      <c r="AE4186" s="1055"/>
      <c r="AF4186" s="1056"/>
    </row>
    <row r="4187" spans="1:32" ht="15.75" x14ac:dyDescent="0.25">
      <c r="A4187" s="2017"/>
      <c r="B4187" s="2018"/>
      <c r="C4187" s="2018"/>
      <c r="D4187" s="2018"/>
      <c r="E4187" s="2018"/>
      <c r="F4187" s="2018"/>
      <c r="G4187" s="2018"/>
      <c r="H4187" s="2018"/>
      <c r="I4187" s="2018"/>
      <c r="J4187" s="2018"/>
      <c r="K4187" s="2018"/>
      <c r="L4187" s="2018"/>
      <c r="M4187" s="2018"/>
      <c r="N4187" s="2018"/>
      <c r="O4187" s="2018"/>
      <c r="P4187" s="2018"/>
      <c r="Q4187" s="2018"/>
      <c r="R4187" s="2018"/>
      <c r="S4187" s="2018"/>
      <c r="T4187" s="2018"/>
      <c r="U4187" s="2018"/>
      <c r="V4187" s="2018"/>
      <c r="W4187" s="2018"/>
      <c r="X4187" s="2018"/>
      <c r="Y4187" s="2094"/>
      <c r="Z4187" s="2096"/>
      <c r="AA4187" s="2097"/>
      <c r="AB4187" s="1055"/>
      <c r="AC4187" s="1055"/>
      <c r="AD4187" s="1055"/>
      <c r="AE4187" s="1055"/>
      <c r="AF4187" s="1056"/>
    </row>
    <row r="4188" spans="1:32" ht="15.75" x14ac:dyDescent="0.25">
      <c r="A4188" s="2017"/>
      <c r="B4188" s="2018"/>
      <c r="C4188" s="2018"/>
      <c r="D4188" s="2018"/>
      <c r="E4188" s="2018"/>
      <c r="F4188" s="2018"/>
      <c r="G4188" s="2018"/>
      <c r="H4188" s="2018"/>
      <c r="I4188" s="2018"/>
      <c r="J4188" s="2018"/>
      <c r="K4188" s="2018"/>
      <c r="L4188" s="2018"/>
      <c r="M4188" s="2018"/>
      <c r="N4188" s="2018"/>
      <c r="O4188" s="2018"/>
      <c r="P4188" s="2018"/>
      <c r="Q4188" s="2018"/>
      <c r="R4188" s="2018"/>
      <c r="S4188" s="2018"/>
      <c r="T4188" s="2018"/>
      <c r="U4188" s="2018"/>
      <c r="V4188" s="2018"/>
      <c r="W4188" s="2018"/>
      <c r="X4188" s="2018"/>
      <c r="Y4188" s="2094"/>
      <c r="Z4188" s="2096"/>
      <c r="AA4188" s="2097"/>
      <c r="AB4188" s="1055"/>
      <c r="AC4188" s="1055"/>
      <c r="AD4188" s="1055"/>
      <c r="AE4188" s="1055"/>
      <c r="AF4188" s="1056"/>
    </row>
    <row r="4189" spans="1:32" ht="16.5" thickBot="1" x14ac:dyDescent="0.3">
      <c r="A4189" s="2019"/>
      <c r="B4189" s="2020"/>
      <c r="C4189" s="2020"/>
      <c r="D4189" s="2020"/>
      <c r="E4189" s="2020"/>
      <c r="F4189" s="2020"/>
      <c r="G4189" s="2020"/>
      <c r="H4189" s="2020"/>
      <c r="I4189" s="2020"/>
      <c r="J4189" s="2020"/>
      <c r="K4189" s="2020"/>
      <c r="L4189" s="2020"/>
      <c r="M4189" s="2020"/>
      <c r="N4189" s="2020"/>
      <c r="O4189" s="2020"/>
      <c r="P4189" s="2020"/>
      <c r="Q4189" s="2020"/>
      <c r="R4189" s="2020"/>
      <c r="S4189" s="2020"/>
      <c r="T4189" s="2020"/>
      <c r="U4189" s="2020"/>
      <c r="V4189" s="2020"/>
      <c r="W4189" s="2020"/>
      <c r="X4189" s="2020"/>
      <c r="Y4189" s="2095"/>
      <c r="Z4189" s="2098"/>
      <c r="AA4189" s="2099"/>
      <c r="AB4189" s="1057"/>
      <c r="AC4189" s="1057"/>
      <c r="AD4189" s="1057"/>
      <c r="AE4189" s="1057"/>
      <c r="AF4189" s="1058"/>
    </row>
    <row r="4190" spans="1:32" ht="15.75" x14ac:dyDescent="0.25">
      <c r="A4190" s="2009" t="s">
        <v>2411</v>
      </c>
      <c r="B4190" s="2010"/>
      <c r="C4190" s="2010"/>
      <c r="D4190" s="2010"/>
      <c r="E4190" s="2010"/>
      <c r="F4190" s="2010"/>
      <c r="G4190" s="2010"/>
      <c r="H4190" s="2010"/>
      <c r="I4190" s="2010"/>
      <c r="J4190" s="2010"/>
      <c r="K4190" s="2010"/>
      <c r="L4190" s="2010"/>
      <c r="M4190" s="2010"/>
      <c r="N4190" s="2010"/>
      <c r="O4190" s="2010"/>
      <c r="P4190" s="2010"/>
      <c r="Q4190" s="2010"/>
      <c r="R4190" s="2010"/>
      <c r="S4190" s="2010"/>
      <c r="T4190" s="2010"/>
      <c r="U4190" s="2010"/>
      <c r="V4190" s="2010"/>
      <c r="W4190" s="2010"/>
      <c r="X4190" s="2010"/>
      <c r="Y4190" s="2010"/>
      <c r="Z4190" s="2013" t="s">
        <v>1850</v>
      </c>
      <c r="AA4190" s="2013"/>
      <c r="AB4190" s="2013"/>
      <c r="AC4190" s="2013"/>
      <c r="AD4190" s="2013"/>
      <c r="AE4190" s="2013"/>
      <c r="AF4190" s="1059">
        <f>SUM(AF4169:AF4189)</f>
        <v>70.19</v>
      </c>
    </row>
    <row r="4191" spans="1:32" ht="15.75" x14ac:dyDescent="0.25">
      <c r="A4191" s="2011"/>
      <c r="B4191" s="2012"/>
      <c r="C4191" s="2012"/>
      <c r="D4191" s="2012"/>
      <c r="E4191" s="2012"/>
      <c r="F4191" s="2012"/>
      <c r="G4191" s="2012"/>
      <c r="H4191" s="2012"/>
      <c r="I4191" s="2012"/>
      <c r="J4191" s="2012"/>
      <c r="K4191" s="2012"/>
      <c r="L4191" s="2012"/>
      <c r="M4191" s="2012"/>
      <c r="N4191" s="2012"/>
      <c r="O4191" s="2012"/>
      <c r="P4191" s="2012"/>
      <c r="Q4191" s="2012"/>
      <c r="R4191" s="2012"/>
      <c r="S4191" s="2012"/>
      <c r="T4191" s="2012"/>
      <c r="U4191" s="2012"/>
      <c r="V4191" s="2012"/>
      <c r="W4191" s="2012"/>
      <c r="X4191" s="2012"/>
      <c r="Y4191" s="2012"/>
      <c r="Z4191" s="2014" t="s">
        <v>1851</v>
      </c>
      <c r="AA4191" s="2014"/>
      <c r="AB4191" s="2014"/>
      <c r="AC4191" s="2014"/>
      <c r="AD4191" s="2014"/>
      <c r="AE4191" s="2014"/>
      <c r="AF4191" s="1060">
        <v>0</v>
      </c>
    </row>
    <row r="4192" spans="1:32" ht="15.75" x14ac:dyDescent="0.25">
      <c r="A4192" s="2011"/>
      <c r="B4192" s="2012"/>
      <c r="C4192" s="2012"/>
      <c r="D4192" s="2012"/>
      <c r="E4192" s="2012"/>
      <c r="F4192" s="2012"/>
      <c r="G4192" s="2012"/>
      <c r="H4192" s="2012"/>
      <c r="I4192" s="2012"/>
      <c r="J4192" s="2012"/>
      <c r="K4192" s="2012"/>
      <c r="L4192" s="2012"/>
      <c r="M4192" s="2012"/>
      <c r="N4192" s="2012"/>
      <c r="O4192" s="2012"/>
      <c r="P4192" s="2012"/>
      <c r="Q4192" s="2012"/>
      <c r="R4192" s="2012"/>
      <c r="S4192" s="2012"/>
      <c r="T4192" s="2012"/>
      <c r="U4192" s="2012"/>
      <c r="V4192" s="2012"/>
      <c r="W4192" s="2012"/>
      <c r="X4192" s="2012"/>
      <c r="Y4192" s="2012"/>
      <c r="Z4192" s="2015" t="s">
        <v>1833</v>
      </c>
      <c r="AA4192" s="2015"/>
      <c r="AB4192" s="2015"/>
      <c r="AC4192" s="2015"/>
      <c r="AD4192" s="2015"/>
      <c r="AE4192" s="2015"/>
      <c r="AF4192" s="1061">
        <f>SUM(AF4190:AF4191)</f>
        <v>70.19</v>
      </c>
    </row>
    <row r="4193" spans="1:32" x14ac:dyDescent="0.2">
      <c r="A4193" s="2012" t="s">
        <v>1859</v>
      </c>
      <c r="B4193" s="2012"/>
      <c r="C4193" s="2012"/>
      <c r="D4193" s="2012"/>
      <c r="E4193" s="2012"/>
      <c r="F4193" s="2012"/>
      <c r="G4193" s="2012"/>
      <c r="H4193" s="2012"/>
      <c r="I4193" s="2012"/>
      <c r="J4193" s="2012"/>
      <c r="K4193" s="2012"/>
      <c r="L4193" s="2012"/>
      <c r="M4193" s="2012"/>
      <c r="N4193" s="2012"/>
      <c r="O4193" s="2012"/>
      <c r="P4193" s="2012"/>
      <c r="Q4193" s="2012"/>
      <c r="R4193" s="2012"/>
      <c r="S4193" s="2012"/>
      <c r="T4193" s="2016" t="s">
        <v>1840</v>
      </c>
      <c r="U4193" s="2016"/>
      <c r="V4193" s="2016"/>
      <c r="W4193" s="2016"/>
      <c r="X4193" s="2016"/>
      <c r="Y4193" s="2016"/>
      <c r="Z4193" s="2016"/>
      <c r="AA4193" s="2016"/>
      <c r="AB4193" s="2012" t="s">
        <v>1852</v>
      </c>
      <c r="AC4193" s="2012"/>
      <c r="AD4193" s="2012"/>
      <c r="AE4193" s="2012"/>
      <c r="AF4193" s="2012"/>
    </row>
    <row r="4194" spans="1:32" x14ac:dyDescent="0.2">
      <c r="A4194" s="2012"/>
      <c r="B4194" s="2012"/>
      <c r="C4194" s="2012"/>
      <c r="D4194" s="2012"/>
      <c r="E4194" s="2012"/>
      <c r="F4194" s="2012"/>
      <c r="G4194" s="2012"/>
      <c r="H4194" s="2012"/>
      <c r="I4194" s="2012"/>
      <c r="J4194" s="2012"/>
      <c r="K4194" s="2012"/>
      <c r="L4194" s="2012"/>
      <c r="M4194" s="2012"/>
      <c r="N4194" s="2012"/>
      <c r="O4194" s="2012"/>
      <c r="P4194" s="2012"/>
      <c r="Q4194" s="2012"/>
      <c r="R4194" s="2012"/>
      <c r="S4194" s="2012"/>
      <c r="T4194" s="2016"/>
      <c r="U4194" s="2016"/>
      <c r="V4194" s="2016"/>
      <c r="W4194" s="2016"/>
      <c r="X4194" s="2016"/>
      <c r="Y4194" s="2016"/>
      <c r="Z4194" s="2016"/>
      <c r="AA4194" s="2016"/>
      <c r="AB4194" s="2012"/>
      <c r="AC4194" s="2012"/>
      <c r="AD4194" s="2012"/>
      <c r="AE4194" s="2012"/>
      <c r="AF4194" s="2012"/>
    </row>
    <row r="4195" spans="1:32" ht="13.5" thickBot="1" x14ac:dyDescent="0.25"/>
    <row r="4196" spans="1:32" ht="26.45" customHeight="1" x14ac:dyDescent="0.2">
      <c r="A4196" s="2025" t="s">
        <v>1854</v>
      </c>
      <c r="B4196" s="2026"/>
      <c r="C4196" s="2026"/>
      <c r="D4196" s="2026"/>
      <c r="E4196" s="2026"/>
      <c r="F4196" s="2026"/>
      <c r="G4196" s="2026"/>
      <c r="H4196" s="2026"/>
      <c r="I4196" s="2026"/>
      <c r="J4196" s="2026"/>
      <c r="K4196" s="2026"/>
      <c r="L4196" s="2026"/>
      <c r="M4196" s="2026"/>
      <c r="N4196" s="2026"/>
      <c r="O4196" s="2026"/>
      <c r="P4196" s="2026"/>
      <c r="Q4196" s="2026"/>
      <c r="R4196" s="2026"/>
      <c r="S4196" s="2026"/>
      <c r="T4196" s="2026"/>
      <c r="U4196" s="2026"/>
      <c r="V4196" s="2026"/>
      <c r="W4196" s="2026"/>
      <c r="X4196" s="2026"/>
      <c r="Y4196" s="2026"/>
      <c r="Z4196" s="2026"/>
      <c r="AA4196" s="2026"/>
      <c r="AB4196" s="2026"/>
      <c r="AC4196" s="2026"/>
      <c r="AD4196" s="2026"/>
      <c r="AE4196" s="1041" t="s">
        <v>1834</v>
      </c>
      <c r="AF4196" s="1042" t="s">
        <v>1835</v>
      </c>
    </row>
    <row r="4197" spans="1:32" ht="21" customHeight="1" thickBot="1" x14ac:dyDescent="0.25">
      <c r="A4197" s="2027"/>
      <c r="B4197" s="2028"/>
      <c r="C4197" s="2028"/>
      <c r="D4197" s="2028"/>
      <c r="E4197" s="2028"/>
      <c r="F4197" s="2028"/>
      <c r="G4197" s="2028"/>
      <c r="H4197" s="2028"/>
      <c r="I4197" s="2028"/>
      <c r="J4197" s="2028"/>
      <c r="K4197" s="2028"/>
      <c r="L4197" s="2028"/>
      <c r="M4197" s="2028"/>
      <c r="N4197" s="2028"/>
      <c r="O4197" s="2028"/>
      <c r="P4197" s="2028"/>
      <c r="Q4197" s="2028"/>
      <c r="R4197" s="2028"/>
      <c r="S4197" s="2028"/>
      <c r="T4197" s="2028"/>
      <c r="U4197" s="2028"/>
      <c r="V4197" s="2028"/>
      <c r="W4197" s="2028"/>
      <c r="X4197" s="2028"/>
      <c r="Y4197" s="2028"/>
      <c r="Z4197" s="2028"/>
      <c r="AA4197" s="2028"/>
      <c r="AB4197" s="2028"/>
      <c r="AC4197" s="2028"/>
      <c r="AD4197" s="2028"/>
      <c r="AE4197" s="1041" t="s">
        <v>1836</v>
      </c>
      <c r="AF4197" s="1044">
        <v>1</v>
      </c>
    </row>
    <row r="4198" spans="1:32" ht="15.75" x14ac:dyDescent="0.2">
      <c r="A4198" s="2029"/>
      <c r="B4198" s="2030"/>
      <c r="C4198" s="2030"/>
      <c r="D4198" s="2031"/>
      <c r="E4198" s="2025" t="str">
        <f>'01'!$A$12</f>
        <v>"CONSTRUCCION SISTEMA DE ACUEDUCTO FASE II DEL MUNICIPIO DE TESALIA DPTO DEL HUILA"</v>
      </c>
      <c r="F4198" s="2026"/>
      <c r="G4198" s="2026"/>
      <c r="H4198" s="2026"/>
      <c r="I4198" s="2026"/>
      <c r="J4198" s="2026"/>
      <c r="K4198" s="2026"/>
      <c r="L4198" s="2026"/>
      <c r="M4198" s="2026"/>
      <c r="N4198" s="2026"/>
      <c r="O4198" s="2026"/>
      <c r="P4198" s="2026"/>
      <c r="Q4198" s="2026"/>
      <c r="R4198" s="2026"/>
      <c r="S4198" s="2026"/>
      <c r="T4198" s="2026"/>
      <c r="U4198" s="2026"/>
      <c r="V4198" s="2026"/>
      <c r="W4198" s="2026"/>
      <c r="X4198" s="2026"/>
      <c r="Y4198" s="2026"/>
      <c r="Z4198" s="2026"/>
      <c r="AA4198" s="2026"/>
      <c r="AB4198" s="2026"/>
      <c r="AC4198" s="2026"/>
      <c r="AD4198" s="2035"/>
      <c r="AE4198" s="1041" t="s">
        <v>847</v>
      </c>
      <c r="AF4198" s="1045">
        <f>'01'!$M$13</f>
        <v>0</v>
      </c>
    </row>
    <row r="4199" spans="1:32" ht="16.5" thickBot="1" x14ac:dyDescent="0.25">
      <c r="A4199" s="2032"/>
      <c r="B4199" s="2033"/>
      <c r="C4199" s="2033"/>
      <c r="D4199" s="2034"/>
      <c r="E4199" s="2027"/>
      <c r="F4199" s="2028"/>
      <c r="G4199" s="2028"/>
      <c r="H4199" s="2028"/>
      <c r="I4199" s="2028"/>
      <c r="J4199" s="2028"/>
      <c r="K4199" s="2028"/>
      <c r="L4199" s="2028"/>
      <c r="M4199" s="2028"/>
      <c r="N4199" s="2028"/>
      <c r="O4199" s="2028"/>
      <c r="P4199" s="2028"/>
      <c r="Q4199" s="2028"/>
      <c r="R4199" s="2028"/>
      <c r="S4199" s="2028"/>
      <c r="T4199" s="2028"/>
      <c r="U4199" s="2028"/>
      <c r="V4199" s="2028"/>
      <c r="W4199" s="2028"/>
      <c r="X4199" s="2028"/>
      <c r="Y4199" s="2028"/>
      <c r="Z4199" s="2028"/>
      <c r="AA4199" s="2028"/>
      <c r="AB4199" s="2028"/>
      <c r="AC4199" s="2028"/>
      <c r="AD4199" s="2036"/>
      <c r="AE4199" s="1041" t="s">
        <v>1837</v>
      </c>
      <c r="AF4199" s="1042" t="s">
        <v>1838</v>
      </c>
    </row>
    <row r="4200" spans="1:32" ht="15.75" x14ac:dyDescent="0.25">
      <c r="A4200" s="2037" t="s">
        <v>1860</v>
      </c>
      <c r="B4200" s="2038"/>
      <c r="C4200" s="2038"/>
      <c r="D4200" s="2038"/>
      <c r="E4200" s="2038"/>
      <c r="F4200" s="2038"/>
      <c r="G4200" s="2038"/>
      <c r="H4200" s="2038"/>
      <c r="I4200" s="2038"/>
      <c r="J4200" s="2038"/>
      <c r="K4200" s="2038"/>
      <c r="L4200" s="2038"/>
      <c r="M4200" s="2038"/>
      <c r="N4200" s="2038"/>
      <c r="O4200" s="2038"/>
      <c r="P4200" s="2038"/>
      <c r="Q4200" s="2038"/>
      <c r="R4200" s="2038"/>
      <c r="S4200" s="2038"/>
      <c r="T4200" s="2038"/>
      <c r="U4200" s="2038"/>
      <c r="V4200" s="2038"/>
      <c r="W4200" s="2038"/>
      <c r="X4200" s="2038"/>
      <c r="Y4200" s="2038"/>
      <c r="Z4200" s="2038"/>
      <c r="AA4200" s="2038"/>
      <c r="AB4200" s="2038"/>
      <c r="AC4200" s="2038"/>
      <c r="AD4200" s="2038"/>
      <c r="AE4200" s="2039" t="s">
        <v>1839</v>
      </c>
      <c r="AF4200" s="2040"/>
    </row>
    <row r="4201" spans="1:32" ht="15.75" x14ac:dyDescent="0.25">
      <c r="A4201" s="2041" t="s">
        <v>1840</v>
      </c>
      <c r="B4201" s="2042"/>
      <c r="C4201" s="2042"/>
      <c r="D4201" s="2042"/>
      <c r="E4201" s="2042"/>
      <c r="F4201" s="2042"/>
      <c r="G4201" s="2042"/>
      <c r="H4201" s="2042"/>
      <c r="I4201" s="2042"/>
      <c r="J4201" s="2042"/>
      <c r="K4201" s="2042"/>
      <c r="L4201" s="2042"/>
      <c r="M4201" s="2042"/>
      <c r="N4201" s="2042"/>
      <c r="O4201" s="2042"/>
      <c r="P4201" s="2042"/>
      <c r="Q4201" s="2042"/>
      <c r="R4201" s="2042"/>
      <c r="S4201" s="2042"/>
      <c r="T4201" s="2042"/>
      <c r="U4201" s="2042"/>
      <c r="V4201" s="2042"/>
      <c r="W4201" s="2042"/>
      <c r="X4201" s="2042"/>
      <c r="Y4201" s="2042"/>
      <c r="Z4201" s="2042"/>
      <c r="AA4201" s="2042"/>
      <c r="AB4201" s="2042"/>
      <c r="AC4201" s="2042"/>
      <c r="AD4201" s="2043"/>
      <c r="AE4201" s="2014" t="s">
        <v>1841</v>
      </c>
      <c r="AF4201" s="2044"/>
    </row>
    <row r="4202" spans="1:32" ht="15.75" x14ac:dyDescent="0.25">
      <c r="A4202" s="2045" t="s">
        <v>1853</v>
      </c>
      <c r="B4202" s="2046"/>
      <c r="C4202" s="2046"/>
      <c r="D4202" s="2046"/>
      <c r="E4202" s="2046"/>
      <c r="F4202" s="2046"/>
      <c r="G4202" s="2046"/>
      <c r="H4202" s="2046"/>
      <c r="I4202" s="2046"/>
      <c r="J4202" s="2046"/>
      <c r="K4202" s="2046"/>
      <c r="L4202" s="2046"/>
      <c r="M4202" s="2046"/>
      <c r="N4202" s="2046"/>
      <c r="O4202" s="2046"/>
      <c r="P4202" s="2046"/>
      <c r="Q4202" s="2046"/>
      <c r="R4202" s="2046"/>
      <c r="S4202" s="2046"/>
      <c r="T4202" s="2046"/>
      <c r="U4202" s="2046"/>
      <c r="V4202" s="2046"/>
      <c r="W4202" s="2046"/>
      <c r="X4202" s="2046"/>
      <c r="Y4202" s="2046"/>
      <c r="Z4202" s="2046"/>
      <c r="AA4202" s="2046"/>
      <c r="AB4202" s="2046"/>
      <c r="AC4202" s="2046"/>
      <c r="AD4202" s="2046"/>
      <c r="AE4202" s="2047">
        <f>'01'!$M$13</f>
        <v>0</v>
      </c>
      <c r="AF4202" s="2044"/>
    </row>
    <row r="4203" spans="1:32" x14ac:dyDescent="0.2">
      <c r="A4203" s="1046"/>
      <c r="B4203" s="1047"/>
      <c r="C4203" s="1047"/>
      <c r="D4203" s="1047"/>
      <c r="E4203" s="1047"/>
      <c r="F4203" s="1047"/>
      <c r="G4203" s="1047"/>
      <c r="H4203" s="1047"/>
      <c r="I4203" s="1047"/>
      <c r="J4203" s="1047"/>
      <c r="K4203" s="1047"/>
      <c r="L4203" s="1047"/>
      <c r="M4203" s="1047"/>
      <c r="N4203" s="1047"/>
      <c r="O4203" s="1047"/>
      <c r="P4203" s="1047"/>
      <c r="Q4203" s="1047"/>
      <c r="R4203" s="1047"/>
      <c r="S4203" s="1047"/>
      <c r="T4203" s="1047"/>
      <c r="U4203" s="1047"/>
      <c r="V4203" s="1047"/>
      <c r="W4203" s="1047"/>
      <c r="X4203" s="1047"/>
      <c r="Y4203" s="1047"/>
      <c r="Z4203" s="1047"/>
      <c r="AA4203" s="1047"/>
      <c r="AB4203" s="1047"/>
      <c r="AC4203" s="1047"/>
      <c r="AD4203" s="1047"/>
      <c r="AE4203" s="1047"/>
      <c r="AF4203" s="1048"/>
    </row>
    <row r="4204" spans="1:32" ht="30" customHeight="1" x14ac:dyDescent="0.2">
      <c r="A4204" s="2048" t="s">
        <v>1842</v>
      </c>
      <c r="B4204" s="2049"/>
      <c r="C4204" s="2049"/>
      <c r="D4204" s="2049"/>
      <c r="E4204" s="2049"/>
      <c r="F4204" s="2050" t="str">
        <f>+'01'!$H$163</f>
        <v>F - LECHOS DE SECADO</v>
      </c>
      <c r="G4204" s="2049"/>
      <c r="H4204" s="2049"/>
      <c r="I4204" s="2049"/>
      <c r="J4204" s="2049"/>
      <c r="K4204" s="2049"/>
      <c r="L4204" s="2049"/>
      <c r="M4204" s="2049"/>
      <c r="N4204" s="2049"/>
      <c r="O4204" s="2049"/>
      <c r="P4204" s="2049"/>
      <c r="Q4204" s="2049"/>
      <c r="R4204" s="2049"/>
      <c r="S4204" s="2049"/>
      <c r="T4204" s="2049"/>
      <c r="U4204" s="2049"/>
      <c r="V4204" s="2049"/>
      <c r="W4204" s="2049"/>
      <c r="X4204" s="2049"/>
      <c r="Y4204" s="2051"/>
      <c r="Z4204" s="2052" t="s">
        <v>1843</v>
      </c>
      <c r="AA4204" s="2053"/>
      <c r="AB4204" s="2058" t="s">
        <v>1844</v>
      </c>
      <c r="AC4204" s="2059"/>
      <c r="AD4204" s="2060"/>
      <c r="AE4204" s="2064" t="s">
        <v>1845</v>
      </c>
      <c r="AF4204" s="2067" t="s">
        <v>1846</v>
      </c>
    </row>
    <row r="4205" spans="1:32" ht="15" customHeight="1" x14ac:dyDescent="0.2">
      <c r="A4205" s="2070" t="str">
        <f>+'01'!A178</f>
        <v>F-05-01</v>
      </c>
      <c r="B4205" s="2071"/>
      <c r="C4205" s="2072"/>
      <c r="D4205" s="2076" t="str">
        <f>VLOOKUP(A4205,'01'!$A$12:$N$299,3,FALSE)</f>
        <v>CONCRETO PARA SOLADO, LIMPIEZA Y/O RELLENOS FLUIDOS (140KG/CM2) - ESPESOR=0.05 METROS.</v>
      </c>
      <c r="E4205" s="2077"/>
      <c r="F4205" s="2077"/>
      <c r="G4205" s="2077"/>
      <c r="H4205" s="2077"/>
      <c r="I4205" s="2077"/>
      <c r="J4205" s="2077"/>
      <c r="K4205" s="2077"/>
      <c r="L4205" s="2077"/>
      <c r="M4205" s="2077"/>
      <c r="N4205" s="2077"/>
      <c r="O4205" s="2077"/>
      <c r="P4205" s="2077"/>
      <c r="Q4205" s="2077"/>
      <c r="R4205" s="2077"/>
      <c r="S4205" s="2078"/>
      <c r="T4205" s="2082" t="s">
        <v>124</v>
      </c>
      <c r="U4205" s="2083"/>
      <c r="V4205" s="2083"/>
      <c r="W4205" s="2083"/>
      <c r="X4205" s="2052" t="str">
        <f>VLOOKUP(A4205,'01'!$A$12:$N$299,9,FALSE)</f>
        <v>M3</v>
      </c>
      <c r="Y4205" s="2053"/>
      <c r="Z4205" s="2054"/>
      <c r="AA4205" s="2055"/>
      <c r="AB4205" s="2061"/>
      <c r="AC4205" s="2062"/>
      <c r="AD4205" s="2063"/>
      <c r="AE4205" s="2065"/>
      <c r="AF4205" s="2068"/>
    </row>
    <row r="4206" spans="1:32" ht="15" customHeight="1" x14ac:dyDescent="0.25">
      <c r="A4206" s="2073"/>
      <c r="B4206" s="2074"/>
      <c r="C4206" s="2075"/>
      <c r="D4206" s="2079"/>
      <c r="E4206" s="2080"/>
      <c r="F4206" s="2080"/>
      <c r="G4206" s="2080"/>
      <c r="H4206" s="2080"/>
      <c r="I4206" s="2080"/>
      <c r="J4206" s="2080"/>
      <c r="K4206" s="2080"/>
      <c r="L4206" s="2080"/>
      <c r="M4206" s="2080"/>
      <c r="N4206" s="2080"/>
      <c r="O4206" s="2080"/>
      <c r="P4206" s="2080"/>
      <c r="Q4206" s="2080"/>
      <c r="R4206" s="2080"/>
      <c r="S4206" s="2081"/>
      <c r="T4206" s="2084"/>
      <c r="U4206" s="2085"/>
      <c r="V4206" s="2085"/>
      <c r="W4206" s="2085"/>
      <c r="X4206" s="2056"/>
      <c r="Y4206" s="2057"/>
      <c r="Z4206" s="2056"/>
      <c r="AA4206" s="2057"/>
      <c r="AB4206" s="1049" t="s">
        <v>1847</v>
      </c>
      <c r="AC4206" s="1049" t="s">
        <v>1848</v>
      </c>
      <c r="AD4206" s="1049" t="s">
        <v>1861</v>
      </c>
      <c r="AE4206" s="2066"/>
      <c r="AF4206" s="2069"/>
    </row>
    <row r="4207" spans="1:32" ht="15.6" customHeight="1" x14ac:dyDescent="0.25">
      <c r="A4207" s="2017"/>
      <c r="B4207" s="2018"/>
      <c r="C4207" s="2018"/>
      <c r="D4207" s="2018"/>
      <c r="E4207" s="2018"/>
      <c r="F4207" s="2018"/>
      <c r="G4207" s="2018"/>
      <c r="H4207" s="2018"/>
      <c r="I4207" s="2018"/>
      <c r="J4207" s="2018"/>
      <c r="K4207" s="2018"/>
      <c r="L4207" s="2018"/>
      <c r="M4207" s="2018"/>
      <c r="N4207" s="2018"/>
      <c r="O4207" s="2018"/>
      <c r="P4207" s="2018"/>
      <c r="Q4207" s="2018"/>
      <c r="R4207" s="2018"/>
      <c r="S4207" s="2018"/>
      <c r="T4207" s="2018"/>
      <c r="U4207" s="2018"/>
      <c r="V4207" s="2018"/>
      <c r="W4207" s="2018"/>
      <c r="X4207" s="2018"/>
      <c r="Y4207" s="2018"/>
      <c r="Z4207" s="2021" t="s">
        <v>2484</v>
      </c>
      <c r="AA4207" s="2021"/>
      <c r="AB4207" s="1050">
        <f>+AB4012</f>
        <v>13.25</v>
      </c>
      <c r="AC4207" s="1050">
        <f>+AC4012</f>
        <v>3.4999999999999996</v>
      </c>
      <c r="AD4207" s="1050">
        <v>0.05</v>
      </c>
      <c r="AE4207" s="1050">
        <f>+AE4012</f>
        <v>1</v>
      </c>
      <c r="AF4207" s="1052">
        <f>+ROUND(AB4207*AC4207*AD4207*AE4207,2)</f>
        <v>2.3199999999999998</v>
      </c>
    </row>
    <row r="4208" spans="1:32" ht="15.6" customHeight="1" x14ac:dyDescent="0.25">
      <c r="A4208" s="2017"/>
      <c r="B4208" s="2018"/>
      <c r="C4208" s="2018"/>
      <c r="D4208" s="2018"/>
      <c r="E4208" s="2018"/>
      <c r="F4208" s="2018"/>
      <c r="G4208" s="2018"/>
      <c r="H4208" s="2018"/>
      <c r="I4208" s="2018"/>
      <c r="J4208" s="2018"/>
      <c r="K4208" s="2018"/>
      <c r="L4208" s="2018"/>
      <c r="M4208" s="2018"/>
      <c r="N4208" s="2018"/>
      <c r="O4208" s="2018"/>
      <c r="P4208" s="2018"/>
      <c r="Q4208" s="2018"/>
      <c r="R4208" s="2018"/>
      <c r="S4208" s="2018"/>
      <c r="T4208" s="2018"/>
      <c r="U4208" s="2018"/>
      <c r="V4208" s="2018"/>
      <c r="W4208" s="2018"/>
      <c r="X4208" s="2018"/>
      <c r="Y4208" s="2018"/>
      <c r="Z4208" s="2021" t="s">
        <v>2485</v>
      </c>
      <c r="AA4208" s="2021"/>
      <c r="AB4208" s="1050">
        <f>+AB4013</f>
        <v>1</v>
      </c>
      <c r="AC4208" s="1050">
        <f>+AC4013</f>
        <v>0.9</v>
      </c>
      <c r="AD4208" s="1050">
        <v>0.05</v>
      </c>
      <c r="AE4208" s="1050">
        <f>+AE4013</f>
        <v>4</v>
      </c>
      <c r="AF4208" s="1052">
        <f t="shared" ref="AF4208:AF4210" si="61">+ROUND(AB4208*AC4208*AD4208*AE4208,2)</f>
        <v>0.18</v>
      </c>
    </row>
    <row r="4209" spans="1:32" ht="15.75" x14ac:dyDescent="0.25">
      <c r="A4209" s="2017"/>
      <c r="B4209" s="2018"/>
      <c r="C4209" s="2018"/>
      <c r="D4209" s="2018"/>
      <c r="E4209" s="2018"/>
      <c r="F4209" s="2018"/>
      <c r="G4209" s="2018"/>
      <c r="H4209" s="2018"/>
      <c r="I4209" s="2018"/>
      <c r="J4209" s="2018"/>
      <c r="K4209" s="2018"/>
      <c r="L4209" s="2018"/>
      <c r="M4209" s="2018"/>
      <c r="N4209" s="2018"/>
      <c r="O4209" s="2018"/>
      <c r="P4209" s="2018"/>
      <c r="Q4209" s="2018"/>
      <c r="R4209" s="2018"/>
      <c r="S4209" s="2018"/>
      <c r="T4209" s="2018"/>
      <c r="U4209" s="2018"/>
      <c r="V4209" s="2018"/>
      <c r="W4209" s="2018"/>
      <c r="X4209" s="2018"/>
      <c r="Y4209" s="2018"/>
      <c r="Z4209" s="2021" t="s">
        <v>2487</v>
      </c>
      <c r="AA4209" s="2021"/>
      <c r="AB4209" s="1050">
        <v>0</v>
      </c>
      <c r="AC4209" s="1050">
        <v>0</v>
      </c>
      <c r="AD4209" s="1050">
        <v>0</v>
      </c>
      <c r="AE4209" s="1050">
        <v>0</v>
      </c>
      <c r="AF4209" s="1052">
        <f t="shared" si="61"/>
        <v>0</v>
      </c>
    </row>
    <row r="4210" spans="1:32" ht="15.75" x14ac:dyDescent="0.25">
      <c r="A4210" s="2017"/>
      <c r="B4210" s="2018"/>
      <c r="C4210" s="2018"/>
      <c r="D4210" s="2018"/>
      <c r="E4210" s="2018"/>
      <c r="F4210" s="2018"/>
      <c r="G4210" s="2018"/>
      <c r="H4210" s="2018"/>
      <c r="I4210" s="2018"/>
      <c r="J4210" s="2018"/>
      <c r="K4210" s="2018"/>
      <c r="L4210" s="2018"/>
      <c r="M4210" s="2018"/>
      <c r="N4210" s="2018"/>
      <c r="O4210" s="2018"/>
      <c r="P4210" s="2018"/>
      <c r="Q4210" s="2018"/>
      <c r="R4210" s="2018"/>
      <c r="S4210" s="2018"/>
      <c r="T4210" s="2018"/>
      <c r="U4210" s="2018"/>
      <c r="V4210" s="2018"/>
      <c r="W4210" s="2018"/>
      <c r="X4210" s="2018"/>
      <c r="Y4210" s="2018"/>
      <c r="Z4210" s="2021" t="s">
        <v>2488</v>
      </c>
      <c r="AA4210" s="2021"/>
      <c r="AB4210" s="1050">
        <v>0</v>
      </c>
      <c r="AC4210" s="1050">
        <v>0</v>
      </c>
      <c r="AD4210" s="1050">
        <v>0</v>
      </c>
      <c r="AE4210" s="1050">
        <v>0</v>
      </c>
      <c r="AF4210" s="1052">
        <f t="shared" si="61"/>
        <v>0</v>
      </c>
    </row>
    <row r="4211" spans="1:32" ht="15.75" x14ac:dyDescent="0.25">
      <c r="A4211" s="2017"/>
      <c r="B4211" s="2018"/>
      <c r="C4211" s="2018"/>
      <c r="D4211" s="2018"/>
      <c r="E4211" s="2018"/>
      <c r="F4211" s="2018"/>
      <c r="G4211" s="2018"/>
      <c r="H4211" s="2018"/>
      <c r="I4211" s="2018"/>
      <c r="J4211" s="2018"/>
      <c r="K4211" s="2018"/>
      <c r="L4211" s="2018"/>
      <c r="M4211" s="2018"/>
      <c r="N4211" s="2018"/>
      <c r="O4211" s="2018"/>
      <c r="P4211" s="2018"/>
      <c r="Q4211" s="2018"/>
      <c r="R4211" s="2018"/>
      <c r="S4211" s="2018"/>
      <c r="T4211" s="2018"/>
      <c r="U4211" s="2018"/>
      <c r="V4211" s="2018"/>
      <c r="W4211" s="2018"/>
      <c r="X4211" s="2018"/>
      <c r="Y4211" s="2018"/>
      <c r="Z4211" s="2021"/>
      <c r="AA4211" s="2021"/>
      <c r="AB4211" s="1050"/>
      <c r="AC4211" s="1050"/>
      <c r="AD4211" s="1050"/>
      <c r="AE4211" s="1050"/>
      <c r="AF4211" s="1052"/>
    </row>
    <row r="4212" spans="1:32" ht="15.75" x14ac:dyDescent="0.25">
      <c r="A4212" s="2017"/>
      <c r="B4212" s="2018"/>
      <c r="C4212" s="2018"/>
      <c r="D4212" s="2018"/>
      <c r="E4212" s="2018"/>
      <c r="F4212" s="2018"/>
      <c r="G4212" s="2018"/>
      <c r="H4212" s="2018"/>
      <c r="I4212" s="2018"/>
      <c r="J4212" s="2018"/>
      <c r="K4212" s="2018"/>
      <c r="L4212" s="2018"/>
      <c r="M4212" s="2018"/>
      <c r="N4212" s="2018"/>
      <c r="O4212" s="2018"/>
      <c r="P4212" s="2018"/>
      <c r="Q4212" s="2018"/>
      <c r="R4212" s="2018"/>
      <c r="S4212" s="2018"/>
      <c r="T4212" s="2018"/>
      <c r="U4212" s="2018"/>
      <c r="V4212" s="2018"/>
      <c r="W4212" s="2018"/>
      <c r="X4212" s="2018"/>
      <c r="Y4212" s="2018"/>
      <c r="Z4212" s="2021"/>
      <c r="AA4212" s="2021"/>
      <c r="AB4212" s="1050"/>
      <c r="AC4212" s="1050"/>
      <c r="AD4212" s="1050"/>
      <c r="AE4212" s="1050"/>
      <c r="AF4212" s="1052"/>
    </row>
    <row r="4213" spans="1:32" ht="15.75" x14ac:dyDescent="0.25">
      <c r="A4213" s="2017"/>
      <c r="B4213" s="2018"/>
      <c r="C4213" s="2018"/>
      <c r="D4213" s="2018"/>
      <c r="E4213" s="2018"/>
      <c r="F4213" s="2018"/>
      <c r="G4213" s="2018"/>
      <c r="H4213" s="2018"/>
      <c r="I4213" s="2018"/>
      <c r="J4213" s="2018"/>
      <c r="K4213" s="2018"/>
      <c r="L4213" s="2018"/>
      <c r="M4213" s="2018"/>
      <c r="N4213" s="2018"/>
      <c r="O4213" s="2018"/>
      <c r="P4213" s="2018"/>
      <c r="Q4213" s="2018"/>
      <c r="R4213" s="2018"/>
      <c r="S4213" s="2018"/>
      <c r="T4213" s="2018"/>
      <c r="U4213" s="2018"/>
      <c r="V4213" s="2018"/>
      <c r="W4213" s="2018"/>
      <c r="X4213" s="2018"/>
      <c r="Y4213" s="2018"/>
      <c r="Z4213" s="2021"/>
      <c r="AA4213" s="2021"/>
      <c r="AB4213" s="1050"/>
      <c r="AC4213" s="1050"/>
      <c r="AD4213" s="1050"/>
      <c r="AE4213" s="1050"/>
      <c r="AF4213" s="1052"/>
    </row>
    <row r="4214" spans="1:32" ht="15.75" x14ac:dyDescent="0.25">
      <c r="A4214" s="2017"/>
      <c r="B4214" s="2018"/>
      <c r="C4214" s="2018"/>
      <c r="D4214" s="2018"/>
      <c r="E4214" s="2018"/>
      <c r="F4214" s="2018"/>
      <c r="G4214" s="2018"/>
      <c r="H4214" s="2018"/>
      <c r="I4214" s="2018"/>
      <c r="J4214" s="2018"/>
      <c r="K4214" s="2018"/>
      <c r="L4214" s="2018"/>
      <c r="M4214" s="2018"/>
      <c r="N4214" s="2018"/>
      <c r="O4214" s="2018"/>
      <c r="P4214" s="2018"/>
      <c r="Q4214" s="2018"/>
      <c r="R4214" s="2018"/>
      <c r="S4214" s="2018"/>
      <c r="T4214" s="2018"/>
      <c r="U4214" s="2018"/>
      <c r="V4214" s="2018"/>
      <c r="W4214" s="2018"/>
      <c r="X4214" s="2018"/>
      <c r="Y4214" s="2018"/>
      <c r="Z4214" s="2021"/>
      <c r="AA4214" s="2021"/>
      <c r="AB4214" s="1050"/>
      <c r="AC4214" s="1050"/>
      <c r="AD4214" s="1050"/>
      <c r="AE4214" s="1050"/>
      <c r="AF4214" s="1052"/>
    </row>
    <row r="4215" spans="1:32" ht="15.75" x14ac:dyDescent="0.25">
      <c r="A4215" s="2017"/>
      <c r="B4215" s="2018"/>
      <c r="C4215" s="2018"/>
      <c r="D4215" s="2018"/>
      <c r="E4215" s="2018"/>
      <c r="F4215" s="2018"/>
      <c r="G4215" s="2018"/>
      <c r="H4215" s="2018"/>
      <c r="I4215" s="2018"/>
      <c r="J4215" s="2018"/>
      <c r="K4215" s="2018"/>
      <c r="L4215" s="2018"/>
      <c r="M4215" s="2018"/>
      <c r="N4215" s="2018"/>
      <c r="O4215" s="2018"/>
      <c r="P4215" s="2018"/>
      <c r="Q4215" s="2018"/>
      <c r="R4215" s="2018"/>
      <c r="S4215" s="2018"/>
      <c r="T4215" s="2018"/>
      <c r="U4215" s="2018"/>
      <c r="V4215" s="2018"/>
      <c r="W4215" s="2018"/>
      <c r="X4215" s="2018"/>
      <c r="Y4215" s="2018"/>
      <c r="Z4215" s="2021"/>
      <c r="AA4215" s="2021"/>
      <c r="AB4215" s="1050"/>
      <c r="AC4215" s="1050"/>
      <c r="AD4215" s="1050"/>
      <c r="AE4215" s="1050"/>
      <c r="AF4215" s="1052"/>
    </row>
    <row r="4216" spans="1:32" ht="15.75" x14ac:dyDescent="0.25">
      <c r="A4216" s="2017"/>
      <c r="B4216" s="2018"/>
      <c r="C4216" s="2018"/>
      <c r="D4216" s="2018"/>
      <c r="E4216" s="2018"/>
      <c r="F4216" s="2018"/>
      <c r="G4216" s="2018"/>
      <c r="H4216" s="2018"/>
      <c r="I4216" s="2018"/>
      <c r="J4216" s="2018"/>
      <c r="K4216" s="2018"/>
      <c r="L4216" s="2018"/>
      <c r="M4216" s="2018"/>
      <c r="N4216" s="2018"/>
      <c r="O4216" s="2018"/>
      <c r="P4216" s="2018"/>
      <c r="Q4216" s="2018"/>
      <c r="R4216" s="2018"/>
      <c r="S4216" s="2018"/>
      <c r="T4216" s="2018"/>
      <c r="U4216" s="2018"/>
      <c r="V4216" s="2018"/>
      <c r="W4216" s="2018"/>
      <c r="X4216" s="2018"/>
      <c r="Y4216" s="2018"/>
      <c r="Z4216" s="2021"/>
      <c r="AA4216" s="2021"/>
      <c r="AB4216" s="1050"/>
      <c r="AC4216" s="1050"/>
      <c r="AD4216" s="1050"/>
      <c r="AE4216" s="1050"/>
      <c r="AF4216" s="1052"/>
    </row>
    <row r="4217" spans="1:32" ht="15.75" x14ac:dyDescent="0.25">
      <c r="A4217" s="2017"/>
      <c r="B4217" s="2018"/>
      <c r="C4217" s="2018"/>
      <c r="D4217" s="2018"/>
      <c r="E4217" s="2018"/>
      <c r="F4217" s="2018"/>
      <c r="G4217" s="2018"/>
      <c r="H4217" s="2018"/>
      <c r="I4217" s="2018"/>
      <c r="J4217" s="2018"/>
      <c r="K4217" s="2018"/>
      <c r="L4217" s="2018"/>
      <c r="M4217" s="2018"/>
      <c r="N4217" s="2018"/>
      <c r="O4217" s="2018"/>
      <c r="P4217" s="2018"/>
      <c r="Q4217" s="2018"/>
      <c r="R4217" s="2018"/>
      <c r="S4217" s="2018"/>
      <c r="T4217" s="2018"/>
      <c r="U4217" s="2018"/>
      <c r="V4217" s="2018"/>
      <c r="W4217" s="2018"/>
      <c r="X4217" s="2018"/>
      <c r="Y4217" s="2018"/>
      <c r="Z4217" s="2021"/>
      <c r="AA4217" s="2021"/>
      <c r="AB4217" s="1050"/>
      <c r="AC4217" s="1050"/>
      <c r="AD4217" s="1050"/>
      <c r="AE4217" s="1050"/>
      <c r="AF4217" s="1052"/>
    </row>
    <row r="4218" spans="1:32" ht="15.75" x14ac:dyDescent="0.25">
      <c r="A4218" s="2017"/>
      <c r="B4218" s="2018"/>
      <c r="C4218" s="2018"/>
      <c r="D4218" s="2018"/>
      <c r="E4218" s="2018"/>
      <c r="F4218" s="2018"/>
      <c r="G4218" s="2018"/>
      <c r="H4218" s="2018"/>
      <c r="I4218" s="2018"/>
      <c r="J4218" s="2018"/>
      <c r="K4218" s="2018"/>
      <c r="L4218" s="2018"/>
      <c r="M4218" s="2018"/>
      <c r="N4218" s="2018"/>
      <c r="O4218" s="2018"/>
      <c r="P4218" s="2018"/>
      <c r="Q4218" s="2018"/>
      <c r="R4218" s="2018"/>
      <c r="S4218" s="2018"/>
      <c r="T4218" s="2018"/>
      <c r="U4218" s="2018"/>
      <c r="V4218" s="2018"/>
      <c r="W4218" s="2018"/>
      <c r="X4218" s="2018"/>
      <c r="Y4218" s="2018"/>
      <c r="Z4218" s="2021"/>
      <c r="AA4218" s="2021"/>
      <c r="AB4218" s="1050"/>
      <c r="AC4218" s="1050"/>
      <c r="AD4218" s="1050"/>
      <c r="AE4218" s="1050"/>
      <c r="AF4218" s="1052"/>
    </row>
    <row r="4219" spans="1:32" ht="15.75" x14ac:dyDescent="0.25">
      <c r="A4219" s="2017"/>
      <c r="B4219" s="2018"/>
      <c r="C4219" s="2018"/>
      <c r="D4219" s="2018"/>
      <c r="E4219" s="2018"/>
      <c r="F4219" s="2018"/>
      <c r="G4219" s="2018"/>
      <c r="H4219" s="2018"/>
      <c r="I4219" s="2018"/>
      <c r="J4219" s="2018"/>
      <c r="K4219" s="2018"/>
      <c r="L4219" s="2018"/>
      <c r="M4219" s="2018"/>
      <c r="N4219" s="2018"/>
      <c r="O4219" s="2018"/>
      <c r="P4219" s="2018"/>
      <c r="Q4219" s="2018"/>
      <c r="R4219" s="2018"/>
      <c r="S4219" s="2018"/>
      <c r="T4219" s="2018"/>
      <c r="U4219" s="2018"/>
      <c r="V4219" s="2018"/>
      <c r="W4219" s="2018"/>
      <c r="X4219" s="2018"/>
      <c r="Y4219" s="2018"/>
      <c r="Z4219" s="2021"/>
      <c r="AA4219" s="2021"/>
      <c r="AB4219" s="1050"/>
      <c r="AC4219" s="1050"/>
      <c r="AD4219" s="1050"/>
      <c r="AE4219" s="1050"/>
      <c r="AF4219" s="1052"/>
    </row>
    <row r="4220" spans="1:32" ht="15.75" x14ac:dyDescent="0.25">
      <c r="A4220" s="2017"/>
      <c r="B4220" s="2018"/>
      <c r="C4220" s="2018"/>
      <c r="D4220" s="2018"/>
      <c r="E4220" s="2018"/>
      <c r="F4220" s="2018"/>
      <c r="G4220" s="2018"/>
      <c r="H4220" s="2018"/>
      <c r="I4220" s="2018"/>
      <c r="J4220" s="2018"/>
      <c r="K4220" s="2018"/>
      <c r="L4220" s="2018"/>
      <c r="M4220" s="2018"/>
      <c r="N4220" s="2018"/>
      <c r="O4220" s="2018"/>
      <c r="P4220" s="2018"/>
      <c r="Q4220" s="2018"/>
      <c r="R4220" s="2018"/>
      <c r="S4220" s="2018"/>
      <c r="T4220" s="2018"/>
      <c r="U4220" s="2018"/>
      <c r="V4220" s="2018"/>
      <c r="W4220" s="2018"/>
      <c r="X4220" s="2018"/>
      <c r="Y4220" s="2018"/>
      <c r="Z4220" s="2021"/>
      <c r="AA4220" s="2021"/>
      <c r="AB4220" s="1050"/>
      <c r="AC4220" s="1050"/>
      <c r="AD4220" s="1050"/>
      <c r="AE4220" s="1050"/>
      <c r="AF4220" s="1052"/>
    </row>
    <row r="4221" spans="1:32" ht="15.75" x14ac:dyDescent="0.25">
      <c r="A4221" s="2017"/>
      <c r="B4221" s="2018"/>
      <c r="C4221" s="2018"/>
      <c r="D4221" s="2018"/>
      <c r="E4221" s="2018"/>
      <c r="F4221" s="2018"/>
      <c r="G4221" s="2018"/>
      <c r="H4221" s="2018"/>
      <c r="I4221" s="2018"/>
      <c r="J4221" s="2018"/>
      <c r="K4221" s="2018"/>
      <c r="L4221" s="2018"/>
      <c r="M4221" s="2018"/>
      <c r="N4221" s="2018"/>
      <c r="O4221" s="2018"/>
      <c r="P4221" s="2018"/>
      <c r="Q4221" s="2018"/>
      <c r="R4221" s="2018"/>
      <c r="S4221" s="2018"/>
      <c r="T4221" s="2018"/>
      <c r="U4221" s="2018"/>
      <c r="V4221" s="2018"/>
      <c r="W4221" s="2018"/>
      <c r="X4221" s="2018"/>
      <c r="Y4221" s="2018"/>
      <c r="Z4221" s="2022"/>
      <c r="AA4221" s="2022"/>
      <c r="AB4221" s="1050"/>
      <c r="AC4221" s="1050"/>
      <c r="AD4221" s="1050"/>
      <c r="AE4221" s="1050"/>
      <c r="AF4221" s="1052"/>
    </row>
    <row r="4222" spans="1:32" ht="15.75" x14ac:dyDescent="0.25">
      <c r="A4222" s="2017"/>
      <c r="B4222" s="2018"/>
      <c r="C4222" s="2018"/>
      <c r="D4222" s="2018"/>
      <c r="E4222" s="2018"/>
      <c r="F4222" s="2018"/>
      <c r="G4222" s="2018"/>
      <c r="H4222" s="2018"/>
      <c r="I4222" s="2018"/>
      <c r="J4222" s="2018"/>
      <c r="K4222" s="2018"/>
      <c r="L4222" s="2018"/>
      <c r="M4222" s="2018"/>
      <c r="N4222" s="2018"/>
      <c r="O4222" s="2018"/>
      <c r="P4222" s="2018"/>
      <c r="Q4222" s="2018"/>
      <c r="R4222" s="2018"/>
      <c r="S4222" s="2018"/>
      <c r="T4222" s="2018"/>
      <c r="U4222" s="2018"/>
      <c r="V4222" s="2018"/>
      <c r="W4222" s="2018"/>
      <c r="X4222" s="2018"/>
      <c r="Y4222" s="2018"/>
      <c r="Z4222" s="2022"/>
      <c r="AA4222" s="2022"/>
      <c r="AB4222" s="1050"/>
      <c r="AC4222" s="1050"/>
      <c r="AD4222" s="1050"/>
      <c r="AE4222" s="1050"/>
      <c r="AF4222" s="1052"/>
    </row>
    <row r="4223" spans="1:32" ht="15.75" x14ac:dyDescent="0.25">
      <c r="A4223" s="2017"/>
      <c r="B4223" s="2018"/>
      <c r="C4223" s="2018"/>
      <c r="D4223" s="2018"/>
      <c r="E4223" s="2018"/>
      <c r="F4223" s="2018"/>
      <c r="G4223" s="2018"/>
      <c r="H4223" s="2018"/>
      <c r="I4223" s="2018"/>
      <c r="J4223" s="2018"/>
      <c r="K4223" s="2018"/>
      <c r="L4223" s="2018"/>
      <c r="M4223" s="2018"/>
      <c r="N4223" s="2018"/>
      <c r="O4223" s="2018"/>
      <c r="P4223" s="2018"/>
      <c r="Q4223" s="2018"/>
      <c r="R4223" s="2018"/>
      <c r="S4223" s="2018"/>
      <c r="T4223" s="2018"/>
      <c r="U4223" s="2018"/>
      <c r="V4223" s="2018"/>
      <c r="W4223" s="2018"/>
      <c r="X4223" s="2018"/>
      <c r="Y4223" s="2018"/>
      <c r="Z4223" s="2022"/>
      <c r="AA4223" s="2022"/>
      <c r="AB4223" s="1050"/>
      <c r="AC4223" s="1050"/>
      <c r="AD4223" s="1050"/>
      <c r="AE4223" s="1050"/>
      <c r="AF4223" s="1052"/>
    </row>
    <row r="4224" spans="1:32" ht="15.75" x14ac:dyDescent="0.25">
      <c r="A4224" s="2017"/>
      <c r="B4224" s="2018"/>
      <c r="C4224" s="2018"/>
      <c r="D4224" s="2018"/>
      <c r="E4224" s="2018"/>
      <c r="F4224" s="2018"/>
      <c r="G4224" s="2018"/>
      <c r="H4224" s="2018"/>
      <c r="I4224" s="2018"/>
      <c r="J4224" s="2018"/>
      <c r="K4224" s="2018"/>
      <c r="L4224" s="2018"/>
      <c r="M4224" s="2018"/>
      <c r="N4224" s="2018"/>
      <c r="O4224" s="2018"/>
      <c r="P4224" s="2018"/>
      <c r="Q4224" s="2018"/>
      <c r="R4224" s="2018"/>
      <c r="S4224" s="2018"/>
      <c r="T4224" s="2018"/>
      <c r="U4224" s="2018"/>
      <c r="V4224" s="2018"/>
      <c r="W4224" s="2018"/>
      <c r="X4224" s="2018"/>
      <c r="Y4224" s="2018"/>
      <c r="Z4224" s="2023"/>
      <c r="AA4224" s="2023"/>
      <c r="AB4224" s="1050"/>
      <c r="AC4224" s="1050"/>
      <c r="AD4224" s="1050"/>
      <c r="AE4224" s="1050"/>
      <c r="AF4224" s="1052"/>
    </row>
    <row r="4225" spans="1:32" ht="15.75" x14ac:dyDescent="0.25">
      <c r="A4225" s="2017"/>
      <c r="B4225" s="2018"/>
      <c r="C4225" s="2018"/>
      <c r="D4225" s="2018"/>
      <c r="E4225" s="2018"/>
      <c r="F4225" s="2018"/>
      <c r="G4225" s="2018"/>
      <c r="H4225" s="2018"/>
      <c r="I4225" s="2018"/>
      <c r="J4225" s="2018"/>
      <c r="K4225" s="2018"/>
      <c r="L4225" s="2018"/>
      <c r="M4225" s="2018"/>
      <c r="N4225" s="2018"/>
      <c r="O4225" s="2018"/>
      <c r="P4225" s="2018"/>
      <c r="Q4225" s="2018"/>
      <c r="R4225" s="2018"/>
      <c r="S4225" s="2018"/>
      <c r="T4225" s="2018"/>
      <c r="U4225" s="2018"/>
      <c r="V4225" s="2018"/>
      <c r="W4225" s="2018"/>
      <c r="X4225" s="2018"/>
      <c r="Y4225" s="2018"/>
      <c r="Z4225" s="2023"/>
      <c r="AA4225" s="2023"/>
      <c r="AB4225" s="1050"/>
      <c r="AC4225" s="1050"/>
      <c r="AD4225" s="1050"/>
      <c r="AE4225" s="1050"/>
      <c r="AF4225" s="1052"/>
    </row>
    <row r="4226" spans="1:32" ht="15.75" x14ac:dyDescent="0.25">
      <c r="A4226" s="2017"/>
      <c r="B4226" s="2018"/>
      <c r="C4226" s="2018"/>
      <c r="D4226" s="2018"/>
      <c r="E4226" s="2018"/>
      <c r="F4226" s="2018"/>
      <c r="G4226" s="2018"/>
      <c r="H4226" s="2018"/>
      <c r="I4226" s="2018"/>
      <c r="J4226" s="2018"/>
      <c r="K4226" s="2018"/>
      <c r="L4226" s="2018"/>
      <c r="M4226" s="2018"/>
      <c r="N4226" s="2018"/>
      <c r="O4226" s="2018"/>
      <c r="P4226" s="2018"/>
      <c r="Q4226" s="2018"/>
      <c r="R4226" s="2018"/>
      <c r="S4226" s="2018"/>
      <c r="T4226" s="2018"/>
      <c r="U4226" s="2018"/>
      <c r="V4226" s="2018"/>
      <c r="W4226" s="2018"/>
      <c r="X4226" s="2018"/>
      <c r="Y4226" s="2018"/>
      <c r="Z4226" s="2023"/>
      <c r="AA4226" s="2023"/>
      <c r="AB4226" s="1050"/>
      <c r="AC4226" s="1050"/>
      <c r="AD4226" s="1050"/>
      <c r="AE4226" s="1050"/>
      <c r="AF4226" s="1052"/>
    </row>
    <row r="4227" spans="1:32" ht="15.75" x14ac:dyDescent="0.25">
      <c r="A4227" s="2017"/>
      <c r="B4227" s="2018"/>
      <c r="C4227" s="2018"/>
      <c r="D4227" s="2018"/>
      <c r="E4227" s="2018"/>
      <c r="F4227" s="2018"/>
      <c r="G4227" s="2018"/>
      <c r="H4227" s="2018"/>
      <c r="I4227" s="2018"/>
      <c r="J4227" s="2018"/>
      <c r="K4227" s="2018"/>
      <c r="L4227" s="2018"/>
      <c r="M4227" s="2018"/>
      <c r="N4227" s="2018"/>
      <c r="O4227" s="2018"/>
      <c r="P4227" s="2018"/>
      <c r="Q4227" s="2018"/>
      <c r="R4227" s="2018"/>
      <c r="S4227" s="2018"/>
      <c r="T4227" s="2018"/>
      <c r="U4227" s="2018"/>
      <c r="V4227" s="2018"/>
      <c r="W4227" s="2018"/>
      <c r="X4227" s="2018"/>
      <c r="Y4227" s="2018"/>
      <c r="Z4227" s="2023"/>
      <c r="AA4227" s="2023"/>
      <c r="AB4227" s="1050"/>
      <c r="AC4227" s="1050"/>
      <c r="AD4227" s="1050"/>
      <c r="AE4227" s="1050"/>
      <c r="AF4227" s="1052"/>
    </row>
    <row r="4228" spans="1:32" ht="15.75" x14ac:dyDescent="0.25">
      <c r="A4228" s="2017"/>
      <c r="B4228" s="2018"/>
      <c r="C4228" s="2018"/>
      <c r="D4228" s="2018"/>
      <c r="E4228" s="2018"/>
      <c r="F4228" s="2018"/>
      <c r="G4228" s="2018"/>
      <c r="H4228" s="2018"/>
      <c r="I4228" s="2018"/>
      <c r="J4228" s="2018"/>
      <c r="K4228" s="2018"/>
      <c r="L4228" s="2018"/>
      <c r="M4228" s="2018"/>
      <c r="N4228" s="2018"/>
      <c r="O4228" s="2018"/>
      <c r="P4228" s="2018"/>
      <c r="Q4228" s="2018"/>
      <c r="R4228" s="2018"/>
      <c r="S4228" s="2018"/>
      <c r="T4228" s="2018"/>
      <c r="U4228" s="2018"/>
      <c r="V4228" s="2018"/>
      <c r="W4228" s="2018"/>
      <c r="X4228" s="2018"/>
      <c r="Y4228" s="2018"/>
      <c r="Z4228" s="2023"/>
      <c r="AA4228" s="2023"/>
      <c r="AB4228" s="1050"/>
      <c r="AC4228" s="1050"/>
      <c r="AD4228" s="1050"/>
      <c r="AE4228" s="1050"/>
      <c r="AF4228" s="1052"/>
    </row>
    <row r="4229" spans="1:32" ht="15.75" x14ac:dyDescent="0.25">
      <c r="A4229" s="2017"/>
      <c r="B4229" s="2018"/>
      <c r="C4229" s="2018"/>
      <c r="D4229" s="2018"/>
      <c r="E4229" s="2018"/>
      <c r="F4229" s="2018"/>
      <c r="G4229" s="2018"/>
      <c r="H4229" s="2018"/>
      <c r="I4229" s="2018"/>
      <c r="J4229" s="2018"/>
      <c r="K4229" s="2018"/>
      <c r="L4229" s="2018"/>
      <c r="M4229" s="2018"/>
      <c r="N4229" s="2018"/>
      <c r="O4229" s="2018"/>
      <c r="P4229" s="2018"/>
      <c r="Q4229" s="2018"/>
      <c r="R4229" s="2018"/>
      <c r="S4229" s="2018"/>
      <c r="T4229" s="2018"/>
      <c r="U4229" s="2018"/>
      <c r="V4229" s="2018"/>
      <c r="W4229" s="2018"/>
      <c r="X4229" s="2018"/>
      <c r="Y4229" s="2018"/>
      <c r="Z4229" s="2023"/>
      <c r="AA4229" s="2023"/>
      <c r="AB4229" s="1050"/>
      <c r="AC4229" s="1050"/>
      <c r="AD4229" s="1050"/>
      <c r="AE4229" s="1050"/>
      <c r="AF4229" s="1052"/>
    </row>
    <row r="4230" spans="1:32" ht="16.5" thickBot="1" x14ac:dyDescent="0.3">
      <c r="A4230" s="2019"/>
      <c r="B4230" s="2020"/>
      <c r="C4230" s="2020"/>
      <c r="D4230" s="2020"/>
      <c r="E4230" s="2020"/>
      <c r="F4230" s="2020"/>
      <c r="G4230" s="2020"/>
      <c r="H4230" s="2020"/>
      <c r="I4230" s="2020"/>
      <c r="J4230" s="2020"/>
      <c r="K4230" s="2020"/>
      <c r="L4230" s="2020"/>
      <c r="M4230" s="2020"/>
      <c r="N4230" s="2020"/>
      <c r="O4230" s="2020"/>
      <c r="P4230" s="2020"/>
      <c r="Q4230" s="2020"/>
      <c r="R4230" s="2020"/>
      <c r="S4230" s="2020"/>
      <c r="T4230" s="2020"/>
      <c r="U4230" s="2020"/>
      <c r="V4230" s="2020"/>
      <c r="W4230" s="2020"/>
      <c r="X4230" s="2020"/>
      <c r="Y4230" s="2020"/>
      <c r="Z4230" s="2024"/>
      <c r="AA4230" s="2024"/>
      <c r="AB4230" s="1057"/>
      <c r="AC4230" s="1057"/>
      <c r="AD4230" s="1057"/>
      <c r="AE4230" s="1057"/>
      <c r="AF4230" s="1058"/>
    </row>
    <row r="4231" spans="1:32" ht="15.75" x14ac:dyDescent="0.25">
      <c r="A4231" s="2009" t="s">
        <v>1855</v>
      </c>
      <c r="B4231" s="2010"/>
      <c r="C4231" s="2010"/>
      <c r="D4231" s="2010"/>
      <c r="E4231" s="2010"/>
      <c r="F4231" s="2010"/>
      <c r="G4231" s="2010"/>
      <c r="H4231" s="2010"/>
      <c r="I4231" s="2010"/>
      <c r="J4231" s="2010"/>
      <c r="K4231" s="2010"/>
      <c r="L4231" s="2010"/>
      <c r="M4231" s="2010"/>
      <c r="N4231" s="2010"/>
      <c r="O4231" s="2010"/>
      <c r="P4231" s="2010"/>
      <c r="Q4231" s="2010"/>
      <c r="R4231" s="2010"/>
      <c r="S4231" s="2010"/>
      <c r="T4231" s="2010"/>
      <c r="U4231" s="2010"/>
      <c r="V4231" s="2010"/>
      <c r="W4231" s="2010"/>
      <c r="X4231" s="2010"/>
      <c r="Y4231" s="2010"/>
      <c r="Z4231" s="2013" t="s">
        <v>1850</v>
      </c>
      <c r="AA4231" s="2013"/>
      <c r="AB4231" s="2013"/>
      <c r="AC4231" s="2013"/>
      <c r="AD4231" s="2013"/>
      <c r="AE4231" s="2013"/>
      <c r="AF4231" s="1059">
        <f>SUM(AF4207:AF4230)</f>
        <v>2.5</v>
      </c>
    </row>
    <row r="4232" spans="1:32" ht="15.75" x14ac:dyDescent="0.25">
      <c r="A4232" s="2011"/>
      <c r="B4232" s="2012"/>
      <c r="C4232" s="2012"/>
      <c r="D4232" s="2012"/>
      <c r="E4232" s="2012"/>
      <c r="F4232" s="2012"/>
      <c r="G4232" s="2012"/>
      <c r="H4232" s="2012"/>
      <c r="I4232" s="2012"/>
      <c r="J4232" s="2012"/>
      <c r="K4232" s="2012"/>
      <c r="L4232" s="2012"/>
      <c r="M4232" s="2012"/>
      <c r="N4232" s="2012"/>
      <c r="O4232" s="2012"/>
      <c r="P4232" s="2012"/>
      <c r="Q4232" s="2012"/>
      <c r="R4232" s="2012"/>
      <c r="S4232" s="2012"/>
      <c r="T4232" s="2012"/>
      <c r="U4232" s="2012"/>
      <c r="V4232" s="2012"/>
      <c r="W4232" s="2012"/>
      <c r="X4232" s="2012"/>
      <c r="Y4232" s="2012"/>
      <c r="Z4232" s="2014" t="s">
        <v>1851</v>
      </c>
      <c r="AA4232" s="2014"/>
      <c r="AB4232" s="2014"/>
      <c r="AC4232" s="2014"/>
      <c r="AD4232" s="2014"/>
      <c r="AE4232" s="2014"/>
      <c r="AF4232" s="1060">
        <v>0</v>
      </c>
    </row>
    <row r="4233" spans="1:32" ht="15.75" x14ac:dyDescent="0.25">
      <c r="A4233" s="2011"/>
      <c r="B4233" s="2012"/>
      <c r="C4233" s="2012"/>
      <c r="D4233" s="2012"/>
      <c r="E4233" s="2012"/>
      <c r="F4233" s="2012"/>
      <c r="G4233" s="2012"/>
      <c r="H4233" s="2012"/>
      <c r="I4233" s="2012"/>
      <c r="J4233" s="2012"/>
      <c r="K4233" s="2012"/>
      <c r="L4233" s="2012"/>
      <c r="M4233" s="2012"/>
      <c r="N4233" s="2012"/>
      <c r="O4233" s="2012"/>
      <c r="P4233" s="2012"/>
      <c r="Q4233" s="2012"/>
      <c r="R4233" s="2012"/>
      <c r="S4233" s="2012"/>
      <c r="T4233" s="2012"/>
      <c r="U4233" s="2012"/>
      <c r="V4233" s="2012"/>
      <c r="W4233" s="2012"/>
      <c r="X4233" s="2012"/>
      <c r="Y4233" s="2012"/>
      <c r="Z4233" s="2015" t="s">
        <v>1833</v>
      </c>
      <c r="AA4233" s="2015"/>
      <c r="AB4233" s="2015"/>
      <c r="AC4233" s="2015"/>
      <c r="AD4233" s="2015"/>
      <c r="AE4233" s="2015"/>
      <c r="AF4233" s="1061">
        <f>SUM(AF4231:AF4232)</f>
        <v>2.5</v>
      </c>
    </row>
    <row r="4234" spans="1:32" x14ac:dyDescent="0.2">
      <c r="A4234" s="2012" t="s">
        <v>1859</v>
      </c>
      <c r="B4234" s="2012"/>
      <c r="C4234" s="2012"/>
      <c r="D4234" s="2012"/>
      <c r="E4234" s="2012"/>
      <c r="F4234" s="2012"/>
      <c r="G4234" s="2012"/>
      <c r="H4234" s="2012"/>
      <c r="I4234" s="2012"/>
      <c r="J4234" s="2012"/>
      <c r="K4234" s="2012"/>
      <c r="L4234" s="2012"/>
      <c r="M4234" s="2012"/>
      <c r="N4234" s="2012"/>
      <c r="O4234" s="2012"/>
      <c r="P4234" s="2012"/>
      <c r="Q4234" s="2012"/>
      <c r="R4234" s="2012"/>
      <c r="S4234" s="2012"/>
      <c r="T4234" s="2016" t="s">
        <v>1840</v>
      </c>
      <c r="U4234" s="2016"/>
      <c r="V4234" s="2016"/>
      <c r="W4234" s="2016"/>
      <c r="X4234" s="2016"/>
      <c r="Y4234" s="2016"/>
      <c r="Z4234" s="2016"/>
      <c r="AA4234" s="2016"/>
      <c r="AB4234" s="2012" t="s">
        <v>1852</v>
      </c>
      <c r="AC4234" s="2012"/>
      <c r="AD4234" s="2012"/>
      <c r="AE4234" s="2012"/>
      <c r="AF4234" s="2012"/>
    </row>
    <row r="4235" spans="1:32" x14ac:dyDescent="0.2">
      <c r="A4235" s="2012"/>
      <c r="B4235" s="2012"/>
      <c r="C4235" s="2012"/>
      <c r="D4235" s="2012"/>
      <c r="E4235" s="2012"/>
      <c r="F4235" s="2012"/>
      <c r="G4235" s="2012"/>
      <c r="H4235" s="2012"/>
      <c r="I4235" s="2012"/>
      <c r="J4235" s="2012"/>
      <c r="K4235" s="2012"/>
      <c r="L4235" s="2012"/>
      <c r="M4235" s="2012"/>
      <c r="N4235" s="2012"/>
      <c r="O4235" s="2012"/>
      <c r="P4235" s="2012"/>
      <c r="Q4235" s="2012"/>
      <c r="R4235" s="2012"/>
      <c r="S4235" s="2012"/>
      <c r="T4235" s="2016"/>
      <c r="U4235" s="2016"/>
      <c r="V4235" s="2016"/>
      <c r="W4235" s="2016"/>
      <c r="X4235" s="2016"/>
      <c r="Y4235" s="2016"/>
      <c r="Z4235" s="2016"/>
      <c r="AA4235" s="2016"/>
      <c r="AB4235" s="2012"/>
      <c r="AC4235" s="2012"/>
      <c r="AD4235" s="2012"/>
      <c r="AE4235" s="2012"/>
      <c r="AF4235" s="2012"/>
    </row>
    <row r="4236" spans="1:32" ht="13.5" thickBot="1" x14ac:dyDescent="0.25"/>
    <row r="4237" spans="1:32" ht="26.45" customHeight="1" x14ac:dyDescent="0.2">
      <c r="A4237" s="2025" t="s">
        <v>1854</v>
      </c>
      <c r="B4237" s="2026"/>
      <c r="C4237" s="2026"/>
      <c r="D4237" s="2026"/>
      <c r="E4237" s="2026"/>
      <c r="F4237" s="2026"/>
      <c r="G4237" s="2026"/>
      <c r="H4237" s="2026"/>
      <c r="I4237" s="2026"/>
      <c r="J4237" s="2026"/>
      <c r="K4237" s="2026"/>
      <c r="L4237" s="2026"/>
      <c r="M4237" s="2026"/>
      <c r="N4237" s="2026"/>
      <c r="O4237" s="2026"/>
      <c r="P4237" s="2026"/>
      <c r="Q4237" s="2026"/>
      <c r="R4237" s="2026"/>
      <c r="S4237" s="2026"/>
      <c r="T4237" s="2026"/>
      <c r="U4237" s="2026"/>
      <c r="V4237" s="2026"/>
      <c r="W4237" s="2026"/>
      <c r="X4237" s="2026"/>
      <c r="Y4237" s="2026"/>
      <c r="Z4237" s="2026"/>
      <c r="AA4237" s="2026"/>
      <c r="AB4237" s="2026"/>
      <c r="AC4237" s="2026"/>
      <c r="AD4237" s="2026"/>
      <c r="AE4237" s="1041" t="s">
        <v>1834</v>
      </c>
      <c r="AF4237" s="1042" t="s">
        <v>1835</v>
      </c>
    </row>
    <row r="4238" spans="1:32" ht="21" customHeight="1" thickBot="1" x14ac:dyDescent="0.25">
      <c r="A4238" s="2027"/>
      <c r="B4238" s="2028"/>
      <c r="C4238" s="2028"/>
      <c r="D4238" s="2028"/>
      <c r="E4238" s="2028"/>
      <c r="F4238" s="2028"/>
      <c r="G4238" s="2028"/>
      <c r="H4238" s="2028"/>
      <c r="I4238" s="2028"/>
      <c r="J4238" s="2028"/>
      <c r="K4238" s="2028"/>
      <c r="L4238" s="2028"/>
      <c r="M4238" s="2028"/>
      <c r="N4238" s="2028"/>
      <c r="O4238" s="2028"/>
      <c r="P4238" s="2028"/>
      <c r="Q4238" s="2028"/>
      <c r="R4238" s="2028"/>
      <c r="S4238" s="2028"/>
      <c r="T4238" s="2028"/>
      <c r="U4238" s="2028"/>
      <c r="V4238" s="2028"/>
      <c r="W4238" s="2028"/>
      <c r="X4238" s="2028"/>
      <c r="Y4238" s="2028"/>
      <c r="Z4238" s="2028"/>
      <c r="AA4238" s="2028"/>
      <c r="AB4238" s="2028"/>
      <c r="AC4238" s="2028"/>
      <c r="AD4238" s="2028"/>
      <c r="AE4238" s="1041" t="s">
        <v>1836</v>
      </c>
      <c r="AF4238" s="1044">
        <v>1</v>
      </c>
    </row>
    <row r="4239" spans="1:32" ht="15.75" x14ac:dyDescent="0.2">
      <c r="A4239" s="2029"/>
      <c r="B4239" s="2030"/>
      <c r="C4239" s="2030"/>
      <c r="D4239" s="2031"/>
      <c r="E4239" s="2025" t="str">
        <f>'01'!$A$12</f>
        <v>"CONSTRUCCION SISTEMA DE ACUEDUCTO FASE II DEL MUNICIPIO DE TESALIA DPTO DEL HUILA"</v>
      </c>
      <c r="F4239" s="2026"/>
      <c r="G4239" s="2026"/>
      <c r="H4239" s="2026"/>
      <c r="I4239" s="2026"/>
      <c r="J4239" s="2026"/>
      <c r="K4239" s="2026"/>
      <c r="L4239" s="2026"/>
      <c r="M4239" s="2026"/>
      <c r="N4239" s="2026"/>
      <c r="O4239" s="2026"/>
      <c r="P4239" s="2026"/>
      <c r="Q4239" s="2026"/>
      <c r="R4239" s="2026"/>
      <c r="S4239" s="2026"/>
      <c r="T4239" s="2026"/>
      <c r="U4239" s="2026"/>
      <c r="V4239" s="2026"/>
      <c r="W4239" s="2026"/>
      <c r="X4239" s="2026"/>
      <c r="Y4239" s="2026"/>
      <c r="Z4239" s="2026"/>
      <c r="AA4239" s="2026"/>
      <c r="AB4239" s="2026"/>
      <c r="AC4239" s="2026"/>
      <c r="AD4239" s="2035"/>
      <c r="AE4239" s="1041" t="s">
        <v>847</v>
      </c>
      <c r="AF4239" s="1045">
        <f>'01'!$M$13</f>
        <v>0</v>
      </c>
    </row>
    <row r="4240" spans="1:32" ht="16.5" thickBot="1" x14ac:dyDescent="0.25">
      <c r="A4240" s="2032"/>
      <c r="B4240" s="2033"/>
      <c r="C4240" s="2033"/>
      <c r="D4240" s="2034"/>
      <c r="E4240" s="2027"/>
      <c r="F4240" s="2028"/>
      <c r="G4240" s="2028"/>
      <c r="H4240" s="2028"/>
      <c r="I4240" s="2028"/>
      <c r="J4240" s="2028"/>
      <c r="K4240" s="2028"/>
      <c r="L4240" s="2028"/>
      <c r="M4240" s="2028"/>
      <c r="N4240" s="2028"/>
      <c r="O4240" s="2028"/>
      <c r="P4240" s="2028"/>
      <c r="Q4240" s="2028"/>
      <c r="R4240" s="2028"/>
      <c r="S4240" s="2028"/>
      <c r="T4240" s="2028"/>
      <c r="U4240" s="2028"/>
      <c r="V4240" s="2028"/>
      <c r="W4240" s="2028"/>
      <c r="X4240" s="2028"/>
      <c r="Y4240" s="2028"/>
      <c r="Z4240" s="2028"/>
      <c r="AA4240" s="2028"/>
      <c r="AB4240" s="2028"/>
      <c r="AC4240" s="2028"/>
      <c r="AD4240" s="2036"/>
      <c r="AE4240" s="1041" t="s">
        <v>1837</v>
      </c>
      <c r="AF4240" s="1042" t="s">
        <v>1838</v>
      </c>
    </row>
    <row r="4241" spans="1:32" ht="15.75" x14ac:dyDescent="0.25">
      <c r="A4241" s="2037" t="s">
        <v>1860</v>
      </c>
      <c r="B4241" s="2038"/>
      <c r="C4241" s="2038"/>
      <c r="D4241" s="2038"/>
      <c r="E4241" s="2038"/>
      <c r="F4241" s="2038"/>
      <c r="G4241" s="2038"/>
      <c r="H4241" s="2038"/>
      <c r="I4241" s="2038"/>
      <c r="J4241" s="2038"/>
      <c r="K4241" s="2038"/>
      <c r="L4241" s="2038"/>
      <c r="M4241" s="2038"/>
      <c r="N4241" s="2038"/>
      <c r="O4241" s="2038"/>
      <c r="P4241" s="2038"/>
      <c r="Q4241" s="2038"/>
      <c r="R4241" s="2038"/>
      <c r="S4241" s="2038"/>
      <c r="T4241" s="2038"/>
      <c r="U4241" s="2038"/>
      <c r="V4241" s="2038"/>
      <c r="W4241" s="2038"/>
      <c r="X4241" s="2038"/>
      <c r="Y4241" s="2038"/>
      <c r="Z4241" s="2038"/>
      <c r="AA4241" s="2038"/>
      <c r="AB4241" s="2038"/>
      <c r="AC4241" s="2038"/>
      <c r="AD4241" s="2038"/>
      <c r="AE4241" s="2039" t="s">
        <v>1839</v>
      </c>
      <c r="AF4241" s="2040"/>
    </row>
    <row r="4242" spans="1:32" ht="15.75" x14ac:dyDescent="0.25">
      <c r="A4242" s="2041" t="s">
        <v>1840</v>
      </c>
      <c r="B4242" s="2042"/>
      <c r="C4242" s="2042"/>
      <c r="D4242" s="2042"/>
      <c r="E4242" s="2042"/>
      <c r="F4242" s="2042"/>
      <c r="G4242" s="2042"/>
      <c r="H4242" s="2042"/>
      <c r="I4242" s="2042"/>
      <c r="J4242" s="2042"/>
      <c r="K4242" s="2042"/>
      <c r="L4242" s="2042"/>
      <c r="M4242" s="2042"/>
      <c r="N4242" s="2042"/>
      <c r="O4242" s="2042"/>
      <c r="P4242" s="2042"/>
      <c r="Q4242" s="2042"/>
      <c r="R4242" s="2042"/>
      <c r="S4242" s="2042"/>
      <c r="T4242" s="2042"/>
      <c r="U4242" s="2042"/>
      <c r="V4242" s="2042"/>
      <c r="W4242" s="2042"/>
      <c r="X4242" s="2042"/>
      <c r="Y4242" s="2042"/>
      <c r="Z4242" s="2042"/>
      <c r="AA4242" s="2042"/>
      <c r="AB4242" s="2042"/>
      <c r="AC4242" s="2042"/>
      <c r="AD4242" s="2043"/>
      <c r="AE4242" s="2014" t="s">
        <v>1841</v>
      </c>
      <c r="AF4242" s="2044"/>
    </row>
    <row r="4243" spans="1:32" ht="15.75" x14ac:dyDescent="0.25">
      <c r="A4243" s="2045" t="s">
        <v>1853</v>
      </c>
      <c r="B4243" s="2046"/>
      <c r="C4243" s="2046"/>
      <c r="D4243" s="2046"/>
      <c r="E4243" s="2046"/>
      <c r="F4243" s="2046"/>
      <c r="G4243" s="2046"/>
      <c r="H4243" s="2046"/>
      <c r="I4243" s="2046"/>
      <c r="J4243" s="2046"/>
      <c r="K4243" s="2046"/>
      <c r="L4243" s="2046"/>
      <c r="M4243" s="2046"/>
      <c r="N4243" s="2046"/>
      <c r="O4243" s="2046"/>
      <c r="P4243" s="2046"/>
      <c r="Q4243" s="2046"/>
      <c r="R4243" s="2046"/>
      <c r="S4243" s="2046"/>
      <c r="T4243" s="2046"/>
      <c r="U4243" s="2046"/>
      <c r="V4243" s="2046"/>
      <c r="W4243" s="2046"/>
      <c r="X4243" s="2046"/>
      <c r="Y4243" s="2046"/>
      <c r="Z4243" s="2046"/>
      <c r="AA4243" s="2046"/>
      <c r="AB4243" s="2046"/>
      <c r="AC4243" s="2046"/>
      <c r="AD4243" s="2046"/>
      <c r="AE4243" s="2047">
        <f>'01'!$M$13</f>
        <v>0</v>
      </c>
      <c r="AF4243" s="2044"/>
    </row>
    <row r="4244" spans="1:32" x14ac:dyDescent="0.2">
      <c r="A4244" s="1046"/>
      <c r="B4244" s="1047"/>
      <c r="C4244" s="1047"/>
      <c r="D4244" s="1047"/>
      <c r="E4244" s="1047"/>
      <c r="F4244" s="1047"/>
      <c r="G4244" s="1047"/>
      <c r="H4244" s="1047"/>
      <c r="I4244" s="1047"/>
      <c r="J4244" s="1047"/>
      <c r="K4244" s="1047"/>
      <c r="L4244" s="1047"/>
      <c r="M4244" s="1047"/>
      <c r="N4244" s="1047"/>
      <c r="O4244" s="1047"/>
      <c r="P4244" s="1047"/>
      <c r="Q4244" s="1047"/>
      <c r="R4244" s="1047"/>
      <c r="S4244" s="1047"/>
      <c r="T4244" s="1047"/>
      <c r="U4244" s="1047"/>
      <c r="V4244" s="1047"/>
      <c r="W4244" s="1047"/>
      <c r="X4244" s="1047"/>
      <c r="Y4244" s="1047"/>
      <c r="Z4244" s="1047"/>
      <c r="AA4244" s="1047"/>
      <c r="AB4244" s="1047"/>
      <c r="AC4244" s="1047"/>
      <c r="AD4244" s="1047"/>
      <c r="AE4244" s="1047"/>
      <c r="AF4244" s="1048"/>
    </row>
    <row r="4245" spans="1:32" ht="30" customHeight="1" x14ac:dyDescent="0.2">
      <c r="A4245" s="2048" t="s">
        <v>1842</v>
      </c>
      <c r="B4245" s="2049"/>
      <c r="C4245" s="2049"/>
      <c r="D4245" s="2049"/>
      <c r="E4245" s="2049"/>
      <c r="F4245" s="2050" t="str">
        <f>+'01'!$H$163</f>
        <v>F - LECHOS DE SECADO</v>
      </c>
      <c r="G4245" s="2049"/>
      <c r="H4245" s="2049"/>
      <c r="I4245" s="2049"/>
      <c r="J4245" s="2049"/>
      <c r="K4245" s="2049"/>
      <c r="L4245" s="2049"/>
      <c r="M4245" s="2049"/>
      <c r="N4245" s="2049"/>
      <c r="O4245" s="2049"/>
      <c r="P4245" s="2049"/>
      <c r="Q4245" s="2049"/>
      <c r="R4245" s="2049"/>
      <c r="S4245" s="2049"/>
      <c r="T4245" s="2049"/>
      <c r="U4245" s="2049"/>
      <c r="V4245" s="2049"/>
      <c r="W4245" s="2049"/>
      <c r="X4245" s="2049"/>
      <c r="Y4245" s="2051"/>
      <c r="Z4245" s="2052" t="s">
        <v>1843</v>
      </c>
      <c r="AA4245" s="2053"/>
      <c r="AB4245" s="2058" t="s">
        <v>1844</v>
      </c>
      <c r="AC4245" s="2059"/>
      <c r="AD4245" s="2060"/>
      <c r="AE4245" s="2064" t="s">
        <v>1845</v>
      </c>
      <c r="AF4245" s="2067" t="s">
        <v>1846</v>
      </c>
    </row>
    <row r="4246" spans="1:32" ht="15" customHeight="1" x14ac:dyDescent="0.2">
      <c r="A4246" s="2070" t="str">
        <f>+'01'!A179</f>
        <v>F-05-02</v>
      </c>
      <c r="B4246" s="2071"/>
      <c r="C4246" s="2072"/>
      <c r="D4246" s="2076" t="str">
        <f>VLOOKUP(A4246,'01'!$A$12:$N$299,3,FALSE)</f>
        <v>CONCRETO DE FC=280 KG/CM2, IMPERMEABILIZADO PARA ESTRUCTURAS ENTERRADAS Y SEMIENTERRADAS.</v>
      </c>
      <c r="E4246" s="2077"/>
      <c r="F4246" s="2077"/>
      <c r="G4246" s="2077"/>
      <c r="H4246" s="2077"/>
      <c r="I4246" s="2077"/>
      <c r="J4246" s="2077"/>
      <c r="K4246" s="2077"/>
      <c r="L4246" s="2077"/>
      <c r="M4246" s="2077"/>
      <c r="N4246" s="2077"/>
      <c r="O4246" s="2077"/>
      <c r="P4246" s="2077"/>
      <c r="Q4246" s="2077"/>
      <c r="R4246" s="2077"/>
      <c r="S4246" s="2078"/>
      <c r="T4246" s="2082" t="s">
        <v>124</v>
      </c>
      <c r="U4246" s="2083"/>
      <c r="V4246" s="2083"/>
      <c r="W4246" s="2083"/>
      <c r="X4246" s="2052" t="str">
        <f>VLOOKUP(A4246,'01'!$A$12:$N$299,9,FALSE)</f>
        <v>M3</v>
      </c>
      <c r="Y4246" s="2053"/>
      <c r="Z4246" s="2054"/>
      <c r="AA4246" s="2055"/>
      <c r="AB4246" s="2061"/>
      <c r="AC4246" s="2062"/>
      <c r="AD4246" s="2063"/>
      <c r="AE4246" s="2065"/>
      <c r="AF4246" s="2068"/>
    </row>
    <row r="4247" spans="1:32" ht="15" customHeight="1" x14ac:dyDescent="0.25">
      <c r="A4247" s="2073"/>
      <c r="B4247" s="2074"/>
      <c r="C4247" s="2075"/>
      <c r="D4247" s="2079"/>
      <c r="E4247" s="2080"/>
      <c r="F4247" s="2080"/>
      <c r="G4247" s="2080"/>
      <c r="H4247" s="2080"/>
      <c r="I4247" s="2080"/>
      <c r="J4247" s="2080"/>
      <c r="K4247" s="2080"/>
      <c r="L4247" s="2080"/>
      <c r="M4247" s="2080"/>
      <c r="N4247" s="2080"/>
      <c r="O4247" s="2080"/>
      <c r="P4247" s="2080"/>
      <c r="Q4247" s="2080"/>
      <c r="R4247" s="2080"/>
      <c r="S4247" s="2081"/>
      <c r="T4247" s="2084"/>
      <c r="U4247" s="2085"/>
      <c r="V4247" s="2085"/>
      <c r="W4247" s="2085"/>
      <c r="X4247" s="2056"/>
      <c r="Y4247" s="2057"/>
      <c r="Z4247" s="2056"/>
      <c r="AA4247" s="2057"/>
      <c r="AB4247" s="1049" t="s">
        <v>1847</v>
      </c>
      <c r="AC4247" s="1049" t="s">
        <v>1848</v>
      </c>
      <c r="AD4247" s="1049" t="s">
        <v>1861</v>
      </c>
      <c r="AE4247" s="2066"/>
      <c r="AF4247" s="2069"/>
    </row>
    <row r="4248" spans="1:32" ht="15.6" customHeight="1" x14ac:dyDescent="0.25">
      <c r="A4248" s="2017"/>
      <c r="B4248" s="2018"/>
      <c r="C4248" s="2018"/>
      <c r="D4248" s="2018"/>
      <c r="E4248" s="2018"/>
      <c r="F4248" s="2018"/>
      <c r="G4248" s="2018"/>
      <c r="H4248" s="2018"/>
      <c r="I4248" s="2018"/>
      <c r="J4248" s="2018"/>
      <c r="K4248" s="2018"/>
      <c r="L4248" s="2018"/>
      <c r="M4248" s="2018"/>
      <c r="N4248" s="2018"/>
      <c r="O4248" s="2018"/>
      <c r="P4248" s="2018"/>
      <c r="Q4248" s="2018"/>
      <c r="R4248" s="2018"/>
      <c r="S4248" s="2018"/>
      <c r="T4248" s="2018"/>
      <c r="U4248" s="2018"/>
      <c r="V4248" s="2018"/>
      <c r="W4248" s="2018"/>
      <c r="X4248" s="2018"/>
      <c r="Y4248" s="2018"/>
      <c r="Z4248" s="2086" t="s">
        <v>2484</v>
      </c>
      <c r="AA4248" s="2087"/>
      <c r="AB4248" s="1050">
        <f>+AB4207</f>
        <v>13.25</v>
      </c>
      <c r="AC4248" s="1050">
        <f>+AC4207</f>
        <v>3.4999999999999996</v>
      </c>
      <c r="AD4248" s="1050">
        <v>0.25</v>
      </c>
      <c r="AE4248" s="1050">
        <v>1</v>
      </c>
      <c r="AF4248" s="1052">
        <f>+ROUND(AB4248*AC4248*AD4248*AE4248,2)</f>
        <v>11.59</v>
      </c>
    </row>
    <row r="4249" spans="1:32" ht="15.6" customHeight="1" x14ac:dyDescent="0.25">
      <c r="A4249" s="2017"/>
      <c r="B4249" s="2018"/>
      <c r="C4249" s="2018"/>
      <c r="D4249" s="2018"/>
      <c r="E4249" s="2018"/>
      <c r="F4249" s="2018"/>
      <c r="G4249" s="2018"/>
      <c r="H4249" s="2018"/>
      <c r="I4249" s="2018"/>
      <c r="J4249" s="2018"/>
      <c r="K4249" s="2018"/>
      <c r="L4249" s="2018"/>
      <c r="M4249" s="2018"/>
      <c r="N4249" s="2018"/>
      <c r="O4249" s="2018"/>
      <c r="P4249" s="2018"/>
      <c r="Q4249" s="2018"/>
      <c r="R4249" s="2018"/>
      <c r="S4249" s="2018"/>
      <c r="T4249" s="2018"/>
      <c r="U4249" s="2018"/>
      <c r="V4249" s="2018"/>
      <c r="W4249" s="2018"/>
      <c r="X4249" s="2018"/>
      <c r="Y4249" s="2018"/>
      <c r="Z4249" s="2088"/>
      <c r="AA4249" s="2089"/>
      <c r="AB4249" s="1050">
        <f>+AB4248</f>
        <v>13.25</v>
      </c>
      <c r="AC4249" s="1050">
        <v>0.25</v>
      </c>
      <c r="AD4249" s="1050">
        <v>1.2</v>
      </c>
      <c r="AE4249" s="1050">
        <v>2</v>
      </c>
      <c r="AF4249" s="1052">
        <f t="shared" ref="AF4249:AF4255" si="62">+ROUND(AB4249*AC4249*AD4249*AE4249,2)</f>
        <v>7.95</v>
      </c>
    </row>
    <row r="4250" spans="1:32" ht="15.75" x14ac:dyDescent="0.25">
      <c r="A4250" s="2017"/>
      <c r="B4250" s="2018"/>
      <c r="C4250" s="2018"/>
      <c r="D4250" s="2018"/>
      <c r="E4250" s="2018"/>
      <c r="F4250" s="2018"/>
      <c r="G4250" s="2018"/>
      <c r="H4250" s="2018"/>
      <c r="I4250" s="2018"/>
      <c r="J4250" s="2018"/>
      <c r="K4250" s="2018"/>
      <c r="L4250" s="2018"/>
      <c r="M4250" s="2018"/>
      <c r="N4250" s="2018"/>
      <c r="O4250" s="2018"/>
      <c r="P4250" s="2018"/>
      <c r="Q4250" s="2018"/>
      <c r="R4250" s="2018"/>
      <c r="S4250" s="2018"/>
      <c r="T4250" s="2018"/>
      <c r="U4250" s="2018"/>
      <c r="V4250" s="2018"/>
      <c r="W4250" s="2018"/>
      <c r="X4250" s="2018"/>
      <c r="Y4250" s="2018"/>
      <c r="Z4250" s="2088"/>
      <c r="AA4250" s="2089"/>
      <c r="AB4250" s="1050">
        <f>+AC4248-0.5</f>
        <v>2.9999999999999996</v>
      </c>
      <c r="AC4250" s="1050">
        <v>0.25</v>
      </c>
      <c r="AD4250" s="1050">
        <v>1.2</v>
      </c>
      <c r="AE4250" s="1050">
        <v>5</v>
      </c>
      <c r="AF4250" s="1052">
        <f t="shared" si="62"/>
        <v>4.5</v>
      </c>
    </row>
    <row r="4251" spans="1:32" ht="15.75" x14ac:dyDescent="0.25">
      <c r="A4251" s="2017"/>
      <c r="B4251" s="2018"/>
      <c r="C4251" s="2018"/>
      <c r="D4251" s="2018"/>
      <c r="E4251" s="2018"/>
      <c r="F4251" s="2018"/>
      <c r="G4251" s="2018"/>
      <c r="H4251" s="2018"/>
      <c r="I4251" s="2018"/>
      <c r="J4251" s="2018"/>
      <c r="K4251" s="2018"/>
      <c r="L4251" s="2018"/>
      <c r="M4251" s="2018"/>
      <c r="N4251" s="2018"/>
      <c r="O4251" s="2018"/>
      <c r="P4251" s="2018"/>
      <c r="Q4251" s="2018"/>
      <c r="R4251" s="2018"/>
      <c r="S4251" s="2018"/>
      <c r="T4251" s="2018"/>
      <c r="U4251" s="2018"/>
      <c r="V4251" s="2018"/>
      <c r="W4251" s="2018"/>
      <c r="X4251" s="2018"/>
      <c r="Y4251" s="2018"/>
      <c r="Z4251" s="2090"/>
      <c r="AA4251" s="2091"/>
      <c r="AB4251" s="1050">
        <v>3</v>
      </c>
      <c r="AC4251" s="1050">
        <v>1.35</v>
      </c>
      <c r="AD4251" s="1050">
        <f>+(0.25+0.1)/2</f>
        <v>0.17499999999999999</v>
      </c>
      <c r="AE4251" s="1050">
        <v>8</v>
      </c>
      <c r="AF4251" s="1052">
        <f t="shared" si="62"/>
        <v>5.67</v>
      </c>
    </row>
    <row r="4252" spans="1:32" ht="15.6" customHeight="1" x14ac:dyDescent="0.25">
      <c r="A4252" s="2017"/>
      <c r="B4252" s="2018"/>
      <c r="C4252" s="2018"/>
      <c r="D4252" s="2018"/>
      <c r="E4252" s="2018"/>
      <c r="F4252" s="2018"/>
      <c r="G4252" s="2018"/>
      <c r="H4252" s="2018"/>
      <c r="I4252" s="2018"/>
      <c r="J4252" s="2018"/>
      <c r="K4252" s="2018"/>
      <c r="L4252" s="2018"/>
      <c r="M4252" s="2018"/>
      <c r="N4252" s="2018"/>
      <c r="O4252" s="2018"/>
      <c r="P4252" s="2018"/>
      <c r="Q4252" s="2018"/>
      <c r="R4252" s="2018"/>
      <c r="S4252" s="2018"/>
      <c r="T4252" s="2018"/>
      <c r="U4252" s="2018"/>
      <c r="V4252" s="2018"/>
      <c r="W4252" s="2018"/>
      <c r="X4252" s="2018"/>
      <c r="Y4252" s="2018"/>
      <c r="Z4252" s="2086" t="s">
        <v>2490</v>
      </c>
      <c r="AA4252" s="2087"/>
      <c r="AB4252" s="1050">
        <v>1</v>
      </c>
      <c r="AC4252" s="1050">
        <v>0.9</v>
      </c>
      <c r="AD4252" s="1050">
        <v>0.1</v>
      </c>
      <c r="AE4252" s="1050">
        <v>4</v>
      </c>
      <c r="AF4252" s="1052">
        <f t="shared" si="62"/>
        <v>0.36</v>
      </c>
    </row>
    <row r="4253" spans="1:32" ht="15.75" x14ac:dyDescent="0.25">
      <c r="A4253" s="2017"/>
      <c r="B4253" s="2018"/>
      <c r="C4253" s="2018"/>
      <c r="D4253" s="2018"/>
      <c r="E4253" s="2018"/>
      <c r="F4253" s="2018"/>
      <c r="G4253" s="2018"/>
      <c r="H4253" s="2018"/>
      <c r="I4253" s="2018"/>
      <c r="J4253" s="2018"/>
      <c r="K4253" s="2018"/>
      <c r="L4253" s="2018"/>
      <c r="M4253" s="2018"/>
      <c r="N4253" s="2018"/>
      <c r="O4253" s="2018"/>
      <c r="P4253" s="2018"/>
      <c r="Q4253" s="2018"/>
      <c r="R4253" s="2018"/>
      <c r="S4253" s="2018"/>
      <c r="T4253" s="2018"/>
      <c r="U4253" s="2018"/>
      <c r="V4253" s="2018"/>
      <c r="W4253" s="2018"/>
      <c r="X4253" s="2018"/>
      <c r="Y4253" s="2018"/>
      <c r="Z4253" s="2088"/>
      <c r="AA4253" s="2089"/>
      <c r="AB4253" s="1050">
        <f>1+0.9+1</f>
        <v>2.9</v>
      </c>
      <c r="AC4253" s="1050">
        <v>0.1</v>
      </c>
      <c r="AD4253" s="1050">
        <v>0.45</v>
      </c>
      <c r="AE4253" s="1050">
        <v>4</v>
      </c>
      <c r="AF4253" s="1052">
        <f t="shared" si="62"/>
        <v>0.52</v>
      </c>
    </row>
    <row r="4254" spans="1:32" ht="15.75" x14ac:dyDescent="0.25">
      <c r="A4254" s="2017"/>
      <c r="B4254" s="2018"/>
      <c r="C4254" s="2018"/>
      <c r="D4254" s="2018"/>
      <c r="E4254" s="2018"/>
      <c r="F4254" s="2018"/>
      <c r="G4254" s="2018"/>
      <c r="H4254" s="2018"/>
      <c r="I4254" s="2018"/>
      <c r="J4254" s="2018"/>
      <c r="K4254" s="2018"/>
      <c r="L4254" s="2018"/>
      <c r="M4254" s="2018"/>
      <c r="N4254" s="2018"/>
      <c r="O4254" s="2018"/>
      <c r="P4254" s="2018"/>
      <c r="Q4254" s="2018"/>
      <c r="R4254" s="2018"/>
      <c r="S4254" s="2018"/>
      <c r="T4254" s="2018"/>
      <c r="U4254" s="2018"/>
      <c r="V4254" s="2018"/>
      <c r="W4254" s="2018"/>
      <c r="X4254" s="2018"/>
      <c r="Y4254" s="2018"/>
      <c r="Z4254" s="2090"/>
      <c r="AA4254" s="2091"/>
      <c r="AB4254" s="1050">
        <f>+AB4252</f>
        <v>1</v>
      </c>
      <c r="AC4254" s="1050">
        <f t="shared" ref="AC4254" si="63">+AC4252</f>
        <v>0.9</v>
      </c>
      <c r="AD4254" s="1050">
        <v>7.0000000000000007E-2</v>
      </c>
      <c r="AE4254" s="1050">
        <v>4</v>
      </c>
      <c r="AF4254" s="1052">
        <f t="shared" si="62"/>
        <v>0.25</v>
      </c>
    </row>
    <row r="4255" spans="1:32" ht="15.75" x14ac:dyDescent="0.25">
      <c r="A4255" s="2017"/>
      <c r="B4255" s="2018"/>
      <c r="C4255" s="2018"/>
      <c r="D4255" s="2018"/>
      <c r="E4255" s="2018"/>
      <c r="F4255" s="2018"/>
      <c r="G4255" s="2018"/>
      <c r="H4255" s="2018"/>
      <c r="I4255" s="2018"/>
      <c r="J4255" s="2018"/>
      <c r="K4255" s="2018"/>
      <c r="L4255" s="2018"/>
      <c r="M4255" s="2018"/>
      <c r="N4255" s="2018"/>
      <c r="O4255" s="2018"/>
      <c r="P4255" s="2018"/>
      <c r="Q4255" s="2018"/>
      <c r="R4255" s="2018"/>
      <c r="S4255" s="2018"/>
      <c r="T4255" s="2018"/>
      <c r="U4255" s="2018"/>
      <c r="V4255" s="2018"/>
      <c r="W4255" s="2018"/>
      <c r="X4255" s="2018"/>
      <c r="Y4255" s="2018"/>
      <c r="Z4255" s="2092" t="s">
        <v>2491</v>
      </c>
      <c r="AA4255" s="2093"/>
      <c r="AB4255" s="1050">
        <v>0.5</v>
      </c>
      <c r="AC4255" s="1050">
        <v>0.5</v>
      </c>
      <c r="AD4255" s="1050">
        <v>0.05</v>
      </c>
      <c r="AE4255" s="1050">
        <v>4</v>
      </c>
      <c r="AF4255" s="1052">
        <f t="shared" si="62"/>
        <v>0.05</v>
      </c>
    </row>
    <row r="4256" spans="1:32" ht="15.75" x14ac:dyDescent="0.25">
      <c r="A4256" s="2017"/>
      <c r="B4256" s="2018"/>
      <c r="C4256" s="2018"/>
      <c r="D4256" s="2018"/>
      <c r="E4256" s="2018"/>
      <c r="F4256" s="2018"/>
      <c r="G4256" s="2018"/>
      <c r="H4256" s="2018"/>
      <c r="I4256" s="2018"/>
      <c r="J4256" s="2018"/>
      <c r="K4256" s="2018"/>
      <c r="L4256" s="2018"/>
      <c r="M4256" s="2018"/>
      <c r="N4256" s="2018"/>
      <c r="O4256" s="2018"/>
      <c r="P4256" s="2018"/>
      <c r="Q4256" s="2018"/>
      <c r="R4256" s="2018"/>
      <c r="S4256" s="2018"/>
      <c r="T4256" s="2018"/>
      <c r="U4256" s="2018"/>
      <c r="V4256" s="2018"/>
      <c r="W4256" s="2018"/>
      <c r="X4256" s="2018"/>
      <c r="Y4256" s="2018"/>
      <c r="Z4256" s="2021"/>
      <c r="AA4256" s="2021"/>
      <c r="AB4256" s="1050"/>
      <c r="AC4256" s="1050"/>
      <c r="AD4256" s="1050"/>
      <c r="AE4256" s="1050"/>
      <c r="AF4256" s="1052"/>
    </row>
    <row r="4257" spans="1:32" ht="15.75" x14ac:dyDescent="0.25">
      <c r="A4257" s="2017"/>
      <c r="B4257" s="2018"/>
      <c r="C4257" s="2018"/>
      <c r="D4257" s="2018"/>
      <c r="E4257" s="2018"/>
      <c r="F4257" s="2018"/>
      <c r="G4257" s="2018"/>
      <c r="H4257" s="2018"/>
      <c r="I4257" s="2018"/>
      <c r="J4257" s="2018"/>
      <c r="K4257" s="2018"/>
      <c r="L4257" s="2018"/>
      <c r="M4257" s="2018"/>
      <c r="N4257" s="2018"/>
      <c r="O4257" s="2018"/>
      <c r="P4257" s="2018"/>
      <c r="Q4257" s="2018"/>
      <c r="R4257" s="2018"/>
      <c r="S4257" s="2018"/>
      <c r="T4257" s="2018"/>
      <c r="U4257" s="2018"/>
      <c r="V4257" s="2018"/>
      <c r="W4257" s="2018"/>
      <c r="X4257" s="2018"/>
      <c r="Y4257" s="2018"/>
      <c r="Z4257" s="2021"/>
      <c r="AA4257" s="2021"/>
      <c r="AB4257" s="1050"/>
      <c r="AC4257" s="1050"/>
      <c r="AD4257" s="1050"/>
      <c r="AE4257" s="1050"/>
      <c r="AF4257" s="1052"/>
    </row>
    <row r="4258" spans="1:32" ht="15.75" x14ac:dyDescent="0.25">
      <c r="A4258" s="2017"/>
      <c r="B4258" s="2018"/>
      <c r="C4258" s="2018"/>
      <c r="D4258" s="2018"/>
      <c r="E4258" s="2018"/>
      <c r="F4258" s="2018"/>
      <c r="G4258" s="2018"/>
      <c r="H4258" s="2018"/>
      <c r="I4258" s="2018"/>
      <c r="J4258" s="2018"/>
      <c r="K4258" s="2018"/>
      <c r="L4258" s="2018"/>
      <c r="M4258" s="2018"/>
      <c r="N4258" s="2018"/>
      <c r="O4258" s="2018"/>
      <c r="P4258" s="2018"/>
      <c r="Q4258" s="2018"/>
      <c r="R4258" s="2018"/>
      <c r="S4258" s="2018"/>
      <c r="T4258" s="2018"/>
      <c r="U4258" s="2018"/>
      <c r="V4258" s="2018"/>
      <c r="W4258" s="2018"/>
      <c r="X4258" s="2018"/>
      <c r="Y4258" s="2018"/>
      <c r="Z4258" s="2021"/>
      <c r="AA4258" s="2021"/>
      <c r="AB4258" s="1050"/>
      <c r="AC4258" s="1050"/>
      <c r="AD4258" s="1050"/>
      <c r="AE4258" s="1050"/>
      <c r="AF4258" s="1052"/>
    </row>
    <row r="4259" spans="1:32" ht="15.75" x14ac:dyDescent="0.25">
      <c r="A4259" s="2017"/>
      <c r="B4259" s="2018"/>
      <c r="C4259" s="2018"/>
      <c r="D4259" s="2018"/>
      <c r="E4259" s="2018"/>
      <c r="F4259" s="2018"/>
      <c r="G4259" s="2018"/>
      <c r="H4259" s="2018"/>
      <c r="I4259" s="2018"/>
      <c r="J4259" s="2018"/>
      <c r="K4259" s="2018"/>
      <c r="L4259" s="2018"/>
      <c r="M4259" s="2018"/>
      <c r="N4259" s="2018"/>
      <c r="O4259" s="2018"/>
      <c r="P4259" s="2018"/>
      <c r="Q4259" s="2018"/>
      <c r="R4259" s="2018"/>
      <c r="S4259" s="2018"/>
      <c r="T4259" s="2018"/>
      <c r="U4259" s="2018"/>
      <c r="V4259" s="2018"/>
      <c r="W4259" s="2018"/>
      <c r="X4259" s="2018"/>
      <c r="Y4259" s="2018"/>
      <c r="Z4259" s="2021"/>
      <c r="AA4259" s="2021"/>
      <c r="AB4259" s="1050"/>
      <c r="AC4259" s="1050"/>
      <c r="AD4259" s="1050"/>
      <c r="AE4259" s="1050"/>
      <c r="AF4259" s="1052"/>
    </row>
    <row r="4260" spans="1:32" ht="15.75" x14ac:dyDescent="0.25">
      <c r="A4260" s="2017"/>
      <c r="B4260" s="2018"/>
      <c r="C4260" s="2018"/>
      <c r="D4260" s="2018"/>
      <c r="E4260" s="2018"/>
      <c r="F4260" s="2018"/>
      <c r="G4260" s="2018"/>
      <c r="H4260" s="2018"/>
      <c r="I4260" s="2018"/>
      <c r="J4260" s="2018"/>
      <c r="K4260" s="2018"/>
      <c r="L4260" s="2018"/>
      <c r="M4260" s="2018"/>
      <c r="N4260" s="2018"/>
      <c r="O4260" s="2018"/>
      <c r="P4260" s="2018"/>
      <c r="Q4260" s="2018"/>
      <c r="R4260" s="2018"/>
      <c r="S4260" s="2018"/>
      <c r="T4260" s="2018"/>
      <c r="U4260" s="2018"/>
      <c r="V4260" s="2018"/>
      <c r="W4260" s="2018"/>
      <c r="X4260" s="2018"/>
      <c r="Y4260" s="2018"/>
      <c r="Z4260" s="2021"/>
      <c r="AA4260" s="2021"/>
      <c r="AB4260" s="1050"/>
      <c r="AC4260" s="1050"/>
      <c r="AD4260" s="1050"/>
      <c r="AE4260" s="1050"/>
      <c r="AF4260" s="1052"/>
    </row>
    <row r="4261" spans="1:32" ht="15.75" x14ac:dyDescent="0.25">
      <c r="A4261" s="2017"/>
      <c r="B4261" s="2018"/>
      <c r="C4261" s="2018"/>
      <c r="D4261" s="2018"/>
      <c r="E4261" s="2018"/>
      <c r="F4261" s="2018"/>
      <c r="G4261" s="2018"/>
      <c r="H4261" s="2018"/>
      <c r="I4261" s="2018"/>
      <c r="J4261" s="2018"/>
      <c r="K4261" s="2018"/>
      <c r="L4261" s="2018"/>
      <c r="M4261" s="2018"/>
      <c r="N4261" s="2018"/>
      <c r="O4261" s="2018"/>
      <c r="P4261" s="2018"/>
      <c r="Q4261" s="2018"/>
      <c r="R4261" s="2018"/>
      <c r="S4261" s="2018"/>
      <c r="T4261" s="2018"/>
      <c r="U4261" s="2018"/>
      <c r="V4261" s="2018"/>
      <c r="W4261" s="2018"/>
      <c r="X4261" s="2018"/>
      <c r="Y4261" s="2018"/>
      <c r="Z4261" s="2021"/>
      <c r="AA4261" s="2021"/>
      <c r="AB4261" s="1050"/>
      <c r="AC4261" s="1050"/>
      <c r="AD4261" s="1050"/>
      <c r="AE4261" s="1050"/>
      <c r="AF4261" s="1052"/>
    </row>
    <row r="4262" spans="1:32" ht="15.75" x14ac:dyDescent="0.25">
      <c r="A4262" s="2017"/>
      <c r="B4262" s="2018"/>
      <c r="C4262" s="2018"/>
      <c r="D4262" s="2018"/>
      <c r="E4262" s="2018"/>
      <c r="F4262" s="2018"/>
      <c r="G4262" s="2018"/>
      <c r="H4262" s="2018"/>
      <c r="I4262" s="2018"/>
      <c r="J4262" s="2018"/>
      <c r="K4262" s="2018"/>
      <c r="L4262" s="2018"/>
      <c r="M4262" s="2018"/>
      <c r="N4262" s="2018"/>
      <c r="O4262" s="2018"/>
      <c r="P4262" s="2018"/>
      <c r="Q4262" s="2018"/>
      <c r="R4262" s="2018"/>
      <c r="S4262" s="2018"/>
      <c r="T4262" s="2018"/>
      <c r="U4262" s="2018"/>
      <c r="V4262" s="2018"/>
      <c r="W4262" s="2018"/>
      <c r="X4262" s="2018"/>
      <c r="Y4262" s="2018"/>
      <c r="Z4262" s="2022"/>
      <c r="AA4262" s="2022"/>
      <c r="AB4262" s="1050"/>
      <c r="AC4262" s="1050"/>
      <c r="AD4262" s="1050"/>
      <c r="AE4262" s="1050"/>
      <c r="AF4262" s="1052"/>
    </row>
    <row r="4263" spans="1:32" ht="15.75" x14ac:dyDescent="0.25">
      <c r="A4263" s="2017"/>
      <c r="B4263" s="2018"/>
      <c r="C4263" s="2018"/>
      <c r="D4263" s="2018"/>
      <c r="E4263" s="2018"/>
      <c r="F4263" s="2018"/>
      <c r="G4263" s="2018"/>
      <c r="H4263" s="2018"/>
      <c r="I4263" s="2018"/>
      <c r="J4263" s="2018"/>
      <c r="K4263" s="2018"/>
      <c r="L4263" s="2018"/>
      <c r="M4263" s="2018"/>
      <c r="N4263" s="2018"/>
      <c r="O4263" s="2018"/>
      <c r="P4263" s="2018"/>
      <c r="Q4263" s="2018"/>
      <c r="R4263" s="2018"/>
      <c r="S4263" s="2018"/>
      <c r="T4263" s="2018"/>
      <c r="U4263" s="2018"/>
      <c r="V4263" s="2018"/>
      <c r="W4263" s="2018"/>
      <c r="X4263" s="2018"/>
      <c r="Y4263" s="2018"/>
      <c r="Z4263" s="2022"/>
      <c r="AA4263" s="2022"/>
      <c r="AB4263" s="1050"/>
      <c r="AC4263" s="1050"/>
      <c r="AD4263" s="1050"/>
      <c r="AE4263" s="1050"/>
      <c r="AF4263" s="1052"/>
    </row>
    <row r="4264" spans="1:32" ht="15.75" x14ac:dyDescent="0.25">
      <c r="A4264" s="2017"/>
      <c r="B4264" s="2018"/>
      <c r="C4264" s="2018"/>
      <c r="D4264" s="2018"/>
      <c r="E4264" s="2018"/>
      <c r="F4264" s="2018"/>
      <c r="G4264" s="2018"/>
      <c r="H4264" s="2018"/>
      <c r="I4264" s="2018"/>
      <c r="J4264" s="2018"/>
      <c r="K4264" s="2018"/>
      <c r="L4264" s="2018"/>
      <c r="M4264" s="2018"/>
      <c r="N4264" s="2018"/>
      <c r="O4264" s="2018"/>
      <c r="P4264" s="2018"/>
      <c r="Q4264" s="2018"/>
      <c r="R4264" s="2018"/>
      <c r="S4264" s="2018"/>
      <c r="T4264" s="2018"/>
      <c r="U4264" s="2018"/>
      <c r="V4264" s="2018"/>
      <c r="W4264" s="2018"/>
      <c r="X4264" s="2018"/>
      <c r="Y4264" s="2018"/>
      <c r="Z4264" s="2022"/>
      <c r="AA4264" s="2022"/>
      <c r="AB4264" s="1050"/>
      <c r="AC4264" s="1050"/>
      <c r="AD4264" s="1050"/>
      <c r="AE4264" s="1050"/>
      <c r="AF4264" s="1052"/>
    </row>
    <row r="4265" spans="1:32" ht="15.75" x14ac:dyDescent="0.25">
      <c r="A4265" s="2017"/>
      <c r="B4265" s="2018"/>
      <c r="C4265" s="2018"/>
      <c r="D4265" s="2018"/>
      <c r="E4265" s="2018"/>
      <c r="F4265" s="2018"/>
      <c r="G4265" s="2018"/>
      <c r="H4265" s="2018"/>
      <c r="I4265" s="2018"/>
      <c r="J4265" s="2018"/>
      <c r="K4265" s="2018"/>
      <c r="L4265" s="2018"/>
      <c r="M4265" s="2018"/>
      <c r="N4265" s="2018"/>
      <c r="O4265" s="2018"/>
      <c r="P4265" s="2018"/>
      <c r="Q4265" s="2018"/>
      <c r="R4265" s="2018"/>
      <c r="S4265" s="2018"/>
      <c r="T4265" s="2018"/>
      <c r="U4265" s="2018"/>
      <c r="V4265" s="2018"/>
      <c r="W4265" s="2018"/>
      <c r="X4265" s="2018"/>
      <c r="Y4265" s="2018"/>
      <c r="Z4265" s="2023"/>
      <c r="AA4265" s="2023"/>
      <c r="AB4265" s="1050"/>
      <c r="AC4265" s="1050"/>
      <c r="AD4265" s="1050"/>
      <c r="AE4265" s="1050"/>
      <c r="AF4265" s="1052"/>
    </row>
    <row r="4266" spans="1:32" ht="15.75" x14ac:dyDescent="0.25">
      <c r="A4266" s="2017"/>
      <c r="B4266" s="2018"/>
      <c r="C4266" s="2018"/>
      <c r="D4266" s="2018"/>
      <c r="E4266" s="2018"/>
      <c r="F4266" s="2018"/>
      <c r="G4266" s="2018"/>
      <c r="H4266" s="2018"/>
      <c r="I4266" s="2018"/>
      <c r="J4266" s="2018"/>
      <c r="K4266" s="2018"/>
      <c r="L4266" s="2018"/>
      <c r="M4266" s="2018"/>
      <c r="N4266" s="2018"/>
      <c r="O4266" s="2018"/>
      <c r="P4266" s="2018"/>
      <c r="Q4266" s="2018"/>
      <c r="R4266" s="2018"/>
      <c r="S4266" s="2018"/>
      <c r="T4266" s="2018"/>
      <c r="U4266" s="2018"/>
      <c r="V4266" s="2018"/>
      <c r="W4266" s="2018"/>
      <c r="X4266" s="2018"/>
      <c r="Y4266" s="2018"/>
      <c r="Z4266" s="2023"/>
      <c r="AA4266" s="2023"/>
      <c r="AB4266" s="1050"/>
      <c r="AC4266" s="1050"/>
      <c r="AD4266" s="1050"/>
      <c r="AE4266" s="1050"/>
      <c r="AF4266" s="1052"/>
    </row>
    <row r="4267" spans="1:32" ht="15.75" x14ac:dyDescent="0.25">
      <c r="A4267" s="2017"/>
      <c r="B4267" s="2018"/>
      <c r="C4267" s="2018"/>
      <c r="D4267" s="2018"/>
      <c r="E4267" s="2018"/>
      <c r="F4267" s="2018"/>
      <c r="G4267" s="2018"/>
      <c r="H4267" s="2018"/>
      <c r="I4267" s="2018"/>
      <c r="J4267" s="2018"/>
      <c r="K4267" s="2018"/>
      <c r="L4267" s="2018"/>
      <c r="M4267" s="2018"/>
      <c r="N4267" s="2018"/>
      <c r="O4267" s="2018"/>
      <c r="P4267" s="2018"/>
      <c r="Q4267" s="2018"/>
      <c r="R4267" s="2018"/>
      <c r="S4267" s="2018"/>
      <c r="T4267" s="2018"/>
      <c r="U4267" s="2018"/>
      <c r="V4267" s="2018"/>
      <c r="W4267" s="2018"/>
      <c r="X4267" s="2018"/>
      <c r="Y4267" s="2018"/>
      <c r="Z4267" s="2023"/>
      <c r="AA4267" s="2023"/>
      <c r="AB4267" s="1050"/>
      <c r="AC4267" s="1050"/>
      <c r="AD4267" s="1050"/>
      <c r="AE4267" s="1050"/>
      <c r="AF4267" s="1052"/>
    </row>
    <row r="4268" spans="1:32" ht="15.75" x14ac:dyDescent="0.25">
      <c r="A4268" s="2017"/>
      <c r="B4268" s="2018"/>
      <c r="C4268" s="2018"/>
      <c r="D4268" s="2018"/>
      <c r="E4268" s="2018"/>
      <c r="F4268" s="2018"/>
      <c r="G4268" s="2018"/>
      <c r="H4268" s="2018"/>
      <c r="I4268" s="2018"/>
      <c r="J4268" s="2018"/>
      <c r="K4268" s="2018"/>
      <c r="L4268" s="2018"/>
      <c r="M4268" s="2018"/>
      <c r="N4268" s="2018"/>
      <c r="O4268" s="2018"/>
      <c r="P4268" s="2018"/>
      <c r="Q4268" s="2018"/>
      <c r="R4268" s="2018"/>
      <c r="S4268" s="2018"/>
      <c r="T4268" s="2018"/>
      <c r="U4268" s="2018"/>
      <c r="V4268" s="2018"/>
      <c r="W4268" s="2018"/>
      <c r="X4268" s="2018"/>
      <c r="Y4268" s="2018"/>
      <c r="Z4268" s="2023"/>
      <c r="AA4268" s="2023"/>
      <c r="AB4268" s="1050"/>
      <c r="AC4268" s="1050"/>
      <c r="AD4268" s="1050"/>
      <c r="AE4268" s="1050"/>
      <c r="AF4268" s="1052"/>
    </row>
    <row r="4269" spans="1:32" ht="15.75" x14ac:dyDescent="0.25">
      <c r="A4269" s="2017"/>
      <c r="B4269" s="2018"/>
      <c r="C4269" s="2018"/>
      <c r="D4269" s="2018"/>
      <c r="E4269" s="2018"/>
      <c r="F4269" s="2018"/>
      <c r="G4269" s="2018"/>
      <c r="H4269" s="2018"/>
      <c r="I4269" s="2018"/>
      <c r="J4269" s="2018"/>
      <c r="K4269" s="2018"/>
      <c r="L4269" s="2018"/>
      <c r="M4269" s="2018"/>
      <c r="N4269" s="2018"/>
      <c r="O4269" s="2018"/>
      <c r="P4269" s="2018"/>
      <c r="Q4269" s="2018"/>
      <c r="R4269" s="2018"/>
      <c r="S4269" s="2018"/>
      <c r="T4269" s="2018"/>
      <c r="U4269" s="2018"/>
      <c r="V4269" s="2018"/>
      <c r="W4269" s="2018"/>
      <c r="X4269" s="2018"/>
      <c r="Y4269" s="2018"/>
      <c r="Z4269" s="2023"/>
      <c r="AA4269" s="2023"/>
      <c r="AB4269" s="1050"/>
      <c r="AC4269" s="1050"/>
      <c r="AD4269" s="1050"/>
      <c r="AE4269" s="1050"/>
      <c r="AF4269" s="1052"/>
    </row>
    <row r="4270" spans="1:32" ht="15.75" x14ac:dyDescent="0.25">
      <c r="A4270" s="2017"/>
      <c r="B4270" s="2018"/>
      <c r="C4270" s="2018"/>
      <c r="D4270" s="2018"/>
      <c r="E4270" s="2018"/>
      <c r="F4270" s="2018"/>
      <c r="G4270" s="2018"/>
      <c r="H4270" s="2018"/>
      <c r="I4270" s="2018"/>
      <c r="J4270" s="2018"/>
      <c r="K4270" s="2018"/>
      <c r="L4270" s="2018"/>
      <c r="M4270" s="2018"/>
      <c r="N4270" s="2018"/>
      <c r="O4270" s="2018"/>
      <c r="P4270" s="2018"/>
      <c r="Q4270" s="2018"/>
      <c r="R4270" s="2018"/>
      <c r="S4270" s="2018"/>
      <c r="T4270" s="2018"/>
      <c r="U4270" s="2018"/>
      <c r="V4270" s="2018"/>
      <c r="W4270" s="2018"/>
      <c r="X4270" s="2018"/>
      <c r="Y4270" s="2018"/>
      <c r="Z4270" s="2023"/>
      <c r="AA4270" s="2023"/>
      <c r="AB4270" s="1050"/>
      <c r="AC4270" s="1050"/>
      <c r="AD4270" s="1050"/>
      <c r="AE4270" s="1050"/>
      <c r="AF4270" s="1052"/>
    </row>
    <row r="4271" spans="1:32" ht="16.5" thickBot="1" x14ac:dyDescent="0.3">
      <c r="A4271" s="2019"/>
      <c r="B4271" s="2020"/>
      <c r="C4271" s="2020"/>
      <c r="D4271" s="2020"/>
      <c r="E4271" s="2020"/>
      <c r="F4271" s="2020"/>
      <c r="G4271" s="2020"/>
      <c r="H4271" s="2020"/>
      <c r="I4271" s="2020"/>
      <c r="J4271" s="2020"/>
      <c r="K4271" s="2020"/>
      <c r="L4271" s="2020"/>
      <c r="M4271" s="2020"/>
      <c r="N4271" s="2020"/>
      <c r="O4271" s="2020"/>
      <c r="P4271" s="2020"/>
      <c r="Q4271" s="2020"/>
      <c r="R4271" s="2020"/>
      <c r="S4271" s="2020"/>
      <c r="T4271" s="2020"/>
      <c r="U4271" s="2020"/>
      <c r="V4271" s="2020"/>
      <c r="W4271" s="2020"/>
      <c r="X4271" s="2020"/>
      <c r="Y4271" s="2020"/>
      <c r="Z4271" s="2024"/>
      <c r="AA4271" s="2024"/>
      <c r="AB4271" s="1057"/>
      <c r="AC4271" s="1057"/>
      <c r="AD4271" s="1057"/>
      <c r="AE4271" s="1057"/>
      <c r="AF4271" s="1058"/>
    </row>
    <row r="4272" spans="1:32" ht="15.75" x14ac:dyDescent="0.25">
      <c r="A4272" s="2009" t="s">
        <v>1855</v>
      </c>
      <c r="B4272" s="2010"/>
      <c r="C4272" s="2010"/>
      <c r="D4272" s="2010"/>
      <c r="E4272" s="2010"/>
      <c r="F4272" s="2010"/>
      <c r="G4272" s="2010"/>
      <c r="H4272" s="2010"/>
      <c r="I4272" s="2010"/>
      <c r="J4272" s="2010"/>
      <c r="K4272" s="2010"/>
      <c r="L4272" s="2010"/>
      <c r="M4272" s="2010"/>
      <c r="N4272" s="2010"/>
      <c r="O4272" s="2010"/>
      <c r="P4272" s="2010"/>
      <c r="Q4272" s="2010"/>
      <c r="R4272" s="2010"/>
      <c r="S4272" s="2010"/>
      <c r="T4272" s="2010"/>
      <c r="U4272" s="2010"/>
      <c r="V4272" s="2010"/>
      <c r="W4272" s="2010"/>
      <c r="X4272" s="2010"/>
      <c r="Y4272" s="2010"/>
      <c r="Z4272" s="2013" t="s">
        <v>1850</v>
      </c>
      <c r="AA4272" s="2013"/>
      <c r="AB4272" s="2013"/>
      <c r="AC4272" s="2013"/>
      <c r="AD4272" s="2013"/>
      <c r="AE4272" s="2013"/>
      <c r="AF4272" s="1059">
        <f>SUM(AF4248:AF4271)</f>
        <v>30.89</v>
      </c>
    </row>
    <row r="4273" spans="1:32" ht="15.75" x14ac:dyDescent="0.25">
      <c r="A4273" s="2011"/>
      <c r="B4273" s="2012"/>
      <c r="C4273" s="2012"/>
      <c r="D4273" s="2012"/>
      <c r="E4273" s="2012"/>
      <c r="F4273" s="2012"/>
      <c r="G4273" s="2012"/>
      <c r="H4273" s="2012"/>
      <c r="I4273" s="2012"/>
      <c r="J4273" s="2012"/>
      <c r="K4273" s="2012"/>
      <c r="L4273" s="2012"/>
      <c r="M4273" s="2012"/>
      <c r="N4273" s="2012"/>
      <c r="O4273" s="2012"/>
      <c r="P4273" s="2012"/>
      <c r="Q4273" s="2012"/>
      <c r="R4273" s="2012"/>
      <c r="S4273" s="2012"/>
      <c r="T4273" s="2012"/>
      <c r="U4273" s="2012"/>
      <c r="V4273" s="2012"/>
      <c r="W4273" s="2012"/>
      <c r="X4273" s="2012"/>
      <c r="Y4273" s="2012"/>
      <c r="Z4273" s="2014" t="s">
        <v>1851</v>
      </c>
      <c r="AA4273" s="2014"/>
      <c r="AB4273" s="2014"/>
      <c r="AC4273" s="2014"/>
      <c r="AD4273" s="2014"/>
      <c r="AE4273" s="2014"/>
      <c r="AF4273" s="1060">
        <v>0</v>
      </c>
    </row>
    <row r="4274" spans="1:32" ht="15.75" x14ac:dyDescent="0.25">
      <c r="A4274" s="2011"/>
      <c r="B4274" s="2012"/>
      <c r="C4274" s="2012"/>
      <c r="D4274" s="2012"/>
      <c r="E4274" s="2012"/>
      <c r="F4274" s="2012"/>
      <c r="G4274" s="2012"/>
      <c r="H4274" s="2012"/>
      <c r="I4274" s="2012"/>
      <c r="J4274" s="2012"/>
      <c r="K4274" s="2012"/>
      <c r="L4274" s="2012"/>
      <c r="M4274" s="2012"/>
      <c r="N4274" s="2012"/>
      <c r="O4274" s="2012"/>
      <c r="P4274" s="2012"/>
      <c r="Q4274" s="2012"/>
      <c r="R4274" s="2012"/>
      <c r="S4274" s="2012"/>
      <c r="T4274" s="2012"/>
      <c r="U4274" s="2012"/>
      <c r="V4274" s="2012"/>
      <c r="W4274" s="2012"/>
      <c r="X4274" s="2012"/>
      <c r="Y4274" s="2012"/>
      <c r="Z4274" s="2015" t="s">
        <v>1833</v>
      </c>
      <c r="AA4274" s="2015"/>
      <c r="AB4274" s="2015"/>
      <c r="AC4274" s="2015"/>
      <c r="AD4274" s="2015"/>
      <c r="AE4274" s="2015"/>
      <c r="AF4274" s="1061">
        <f>SUM(AF4272:AF4273)</f>
        <v>30.89</v>
      </c>
    </row>
    <row r="4275" spans="1:32" x14ac:dyDescent="0.2">
      <c r="A4275" s="2012" t="s">
        <v>1859</v>
      </c>
      <c r="B4275" s="2012"/>
      <c r="C4275" s="2012"/>
      <c r="D4275" s="2012"/>
      <c r="E4275" s="2012"/>
      <c r="F4275" s="2012"/>
      <c r="G4275" s="2012"/>
      <c r="H4275" s="2012"/>
      <c r="I4275" s="2012"/>
      <c r="J4275" s="2012"/>
      <c r="K4275" s="2012"/>
      <c r="L4275" s="2012"/>
      <c r="M4275" s="2012"/>
      <c r="N4275" s="2012"/>
      <c r="O4275" s="2012"/>
      <c r="P4275" s="2012"/>
      <c r="Q4275" s="2012"/>
      <c r="R4275" s="2012"/>
      <c r="S4275" s="2012"/>
      <c r="T4275" s="2016" t="s">
        <v>1840</v>
      </c>
      <c r="U4275" s="2016"/>
      <c r="V4275" s="2016"/>
      <c r="W4275" s="2016"/>
      <c r="X4275" s="2016"/>
      <c r="Y4275" s="2016"/>
      <c r="Z4275" s="2016"/>
      <c r="AA4275" s="2016"/>
      <c r="AB4275" s="2012" t="s">
        <v>1852</v>
      </c>
      <c r="AC4275" s="2012"/>
      <c r="AD4275" s="2012"/>
      <c r="AE4275" s="2012"/>
      <c r="AF4275" s="2012"/>
    </row>
    <row r="4276" spans="1:32" x14ac:dyDescent="0.2">
      <c r="A4276" s="2012"/>
      <c r="B4276" s="2012"/>
      <c r="C4276" s="2012"/>
      <c r="D4276" s="2012"/>
      <c r="E4276" s="2012"/>
      <c r="F4276" s="2012"/>
      <c r="G4276" s="2012"/>
      <c r="H4276" s="2012"/>
      <c r="I4276" s="2012"/>
      <c r="J4276" s="2012"/>
      <c r="K4276" s="2012"/>
      <c r="L4276" s="2012"/>
      <c r="M4276" s="2012"/>
      <c r="N4276" s="2012"/>
      <c r="O4276" s="2012"/>
      <c r="P4276" s="2012"/>
      <c r="Q4276" s="2012"/>
      <c r="R4276" s="2012"/>
      <c r="S4276" s="2012"/>
      <c r="T4276" s="2016"/>
      <c r="U4276" s="2016"/>
      <c r="V4276" s="2016"/>
      <c r="W4276" s="2016"/>
      <c r="X4276" s="2016"/>
      <c r="Y4276" s="2016"/>
      <c r="Z4276" s="2016"/>
      <c r="AA4276" s="2016"/>
      <c r="AB4276" s="2012"/>
      <c r="AC4276" s="2012"/>
      <c r="AD4276" s="2012"/>
      <c r="AE4276" s="2012"/>
      <c r="AF4276" s="2012"/>
    </row>
    <row r="4277" spans="1:32" ht="13.5" thickBot="1" x14ac:dyDescent="0.25"/>
    <row r="4278" spans="1:32" ht="26.45" customHeight="1" x14ac:dyDescent="0.2">
      <c r="A4278" s="2025" t="s">
        <v>1854</v>
      </c>
      <c r="B4278" s="2026"/>
      <c r="C4278" s="2026"/>
      <c r="D4278" s="2026"/>
      <c r="E4278" s="2026"/>
      <c r="F4278" s="2026"/>
      <c r="G4278" s="2026"/>
      <c r="H4278" s="2026"/>
      <c r="I4278" s="2026"/>
      <c r="J4278" s="2026"/>
      <c r="K4278" s="2026"/>
      <c r="L4278" s="2026"/>
      <c r="M4278" s="2026"/>
      <c r="N4278" s="2026"/>
      <c r="O4278" s="2026"/>
      <c r="P4278" s="2026"/>
      <c r="Q4278" s="2026"/>
      <c r="R4278" s="2026"/>
      <c r="S4278" s="2026"/>
      <c r="T4278" s="2026"/>
      <c r="U4278" s="2026"/>
      <c r="V4278" s="2026"/>
      <c r="W4278" s="2026"/>
      <c r="X4278" s="2026"/>
      <c r="Y4278" s="2026"/>
      <c r="Z4278" s="2026"/>
      <c r="AA4278" s="2026"/>
      <c r="AB4278" s="2026"/>
      <c r="AC4278" s="2026"/>
      <c r="AD4278" s="2026"/>
      <c r="AE4278" s="1041" t="s">
        <v>1834</v>
      </c>
      <c r="AF4278" s="1042" t="s">
        <v>1835</v>
      </c>
    </row>
    <row r="4279" spans="1:32" ht="21" customHeight="1" thickBot="1" x14ac:dyDescent="0.25">
      <c r="A4279" s="2027"/>
      <c r="B4279" s="2028"/>
      <c r="C4279" s="2028"/>
      <c r="D4279" s="2028"/>
      <c r="E4279" s="2028"/>
      <c r="F4279" s="2028"/>
      <c r="G4279" s="2028"/>
      <c r="H4279" s="2028"/>
      <c r="I4279" s="2028"/>
      <c r="J4279" s="2028"/>
      <c r="K4279" s="2028"/>
      <c r="L4279" s="2028"/>
      <c r="M4279" s="2028"/>
      <c r="N4279" s="2028"/>
      <c r="O4279" s="2028"/>
      <c r="P4279" s="2028"/>
      <c r="Q4279" s="2028"/>
      <c r="R4279" s="2028"/>
      <c r="S4279" s="2028"/>
      <c r="T4279" s="2028"/>
      <c r="U4279" s="2028"/>
      <c r="V4279" s="2028"/>
      <c r="W4279" s="2028"/>
      <c r="X4279" s="2028"/>
      <c r="Y4279" s="2028"/>
      <c r="Z4279" s="2028"/>
      <c r="AA4279" s="2028"/>
      <c r="AB4279" s="2028"/>
      <c r="AC4279" s="2028"/>
      <c r="AD4279" s="2028"/>
      <c r="AE4279" s="1041" t="s">
        <v>1836</v>
      </c>
      <c r="AF4279" s="1044">
        <v>1</v>
      </c>
    </row>
    <row r="4280" spans="1:32" ht="15.75" x14ac:dyDescent="0.2">
      <c r="A4280" s="2029"/>
      <c r="B4280" s="2030"/>
      <c r="C4280" s="2030"/>
      <c r="D4280" s="2031"/>
      <c r="E4280" s="2025" t="str">
        <f>'01'!$A$12</f>
        <v>"CONSTRUCCION SISTEMA DE ACUEDUCTO FASE II DEL MUNICIPIO DE TESALIA DPTO DEL HUILA"</v>
      </c>
      <c r="F4280" s="2026"/>
      <c r="G4280" s="2026"/>
      <c r="H4280" s="2026"/>
      <c r="I4280" s="2026"/>
      <c r="J4280" s="2026"/>
      <c r="K4280" s="2026"/>
      <c r="L4280" s="2026"/>
      <c r="M4280" s="2026"/>
      <c r="N4280" s="2026"/>
      <c r="O4280" s="2026"/>
      <c r="P4280" s="2026"/>
      <c r="Q4280" s="2026"/>
      <c r="R4280" s="2026"/>
      <c r="S4280" s="2026"/>
      <c r="T4280" s="2026"/>
      <c r="U4280" s="2026"/>
      <c r="V4280" s="2026"/>
      <c r="W4280" s="2026"/>
      <c r="X4280" s="2026"/>
      <c r="Y4280" s="2026"/>
      <c r="Z4280" s="2026"/>
      <c r="AA4280" s="2026"/>
      <c r="AB4280" s="2026"/>
      <c r="AC4280" s="2026"/>
      <c r="AD4280" s="2035"/>
      <c r="AE4280" s="1041" t="s">
        <v>847</v>
      </c>
      <c r="AF4280" s="1045">
        <f>'01'!$M$13</f>
        <v>0</v>
      </c>
    </row>
    <row r="4281" spans="1:32" ht="16.5" thickBot="1" x14ac:dyDescent="0.25">
      <c r="A4281" s="2032"/>
      <c r="B4281" s="2033"/>
      <c r="C4281" s="2033"/>
      <c r="D4281" s="2034"/>
      <c r="E4281" s="2027"/>
      <c r="F4281" s="2028"/>
      <c r="G4281" s="2028"/>
      <c r="H4281" s="2028"/>
      <c r="I4281" s="2028"/>
      <c r="J4281" s="2028"/>
      <c r="K4281" s="2028"/>
      <c r="L4281" s="2028"/>
      <c r="M4281" s="2028"/>
      <c r="N4281" s="2028"/>
      <c r="O4281" s="2028"/>
      <c r="P4281" s="2028"/>
      <c r="Q4281" s="2028"/>
      <c r="R4281" s="2028"/>
      <c r="S4281" s="2028"/>
      <c r="T4281" s="2028"/>
      <c r="U4281" s="2028"/>
      <c r="V4281" s="2028"/>
      <c r="W4281" s="2028"/>
      <c r="X4281" s="2028"/>
      <c r="Y4281" s="2028"/>
      <c r="Z4281" s="2028"/>
      <c r="AA4281" s="2028"/>
      <c r="AB4281" s="2028"/>
      <c r="AC4281" s="2028"/>
      <c r="AD4281" s="2036"/>
      <c r="AE4281" s="1041" t="s">
        <v>1837</v>
      </c>
      <c r="AF4281" s="1042" t="s">
        <v>1838</v>
      </c>
    </row>
    <row r="4282" spans="1:32" ht="15.75" x14ac:dyDescent="0.25">
      <c r="A4282" s="2037" t="s">
        <v>1860</v>
      </c>
      <c r="B4282" s="2038"/>
      <c r="C4282" s="2038"/>
      <c r="D4282" s="2038"/>
      <c r="E4282" s="2038"/>
      <c r="F4282" s="2038"/>
      <c r="G4282" s="2038"/>
      <c r="H4282" s="2038"/>
      <c r="I4282" s="2038"/>
      <c r="J4282" s="2038"/>
      <c r="K4282" s="2038"/>
      <c r="L4282" s="2038"/>
      <c r="M4282" s="2038"/>
      <c r="N4282" s="2038"/>
      <c r="O4282" s="2038"/>
      <c r="P4282" s="2038"/>
      <c r="Q4282" s="2038"/>
      <c r="R4282" s="2038"/>
      <c r="S4282" s="2038"/>
      <c r="T4282" s="2038"/>
      <c r="U4282" s="2038"/>
      <c r="V4282" s="2038"/>
      <c r="W4282" s="2038"/>
      <c r="X4282" s="2038"/>
      <c r="Y4282" s="2038"/>
      <c r="Z4282" s="2038"/>
      <c r="AA4282" s="2038"/>
      <c r="AB4282" s="2038"/>
      <c r="AC4282" s="2038"/>
      <c r="AD4282" s="2038"/>
      <c r="AE4282" s="2039" t="s">
        <v>1839</v>
      </c>
      <c r="AF4282" s="2040"/>
    </row>
    <row r="4283" spans="1:32" ht="15.75" x14ac:dyDescent="0.25">
      <c r="A4283" s="2041" t="s">
        <v>1840</v>
      </c>
      <c r="B4283" s="2042"/>
      <c r="C4283" s="2042"/>
      <c r="D4283" s="2042"/>
      <c r="E4283" s="2042"/>
      <c r="F4283" s="2042"/>
      <c r="G4283" s="2042"/>
      <c r="H4283" s="2042"/>
      <c r="I4283" s="2042"/>
      <c r="J4283" s="2042"/>
      <c r="K4283" s="2042"/>
      <c r="L4283" s="2042"/>
      <c r="M4283" s="2042"/>
      <c r="N4283" s="2042"/>
      <c r="O4283" s="2042"/>
      <c r="P4283" s="2042"/>
      <c r="Q4283" s="2042"/>
      <c r="R4283" s="2042"/>
      <c r="S4283" s="2042"/>
      <c r="T4283" s="2042"/>
      <c r="U4283" s="2042"/>
      <c r="V4283" s="2042"/>
      <c r="W4283" s="2042"/>
      <c r="X4283" s="2042"/>
      <c r="Y4283" s="2042"/>
      <c r="Z4283" s="2042"/>
      <c r="AA4283" s="2042"/>
      <c r="AB4283" s="2042"/>
      <c r="AC4283" s="2042"/>
      <c r="AD4283" s="2043"/>
      <c r="AE4283" s="2014" t="s">
        <v>1841</v>
      </c>
      <c r="AF4283" s="2044"/>
    </row>
    <row r="4284" spans="1:32" ht="15.75" x14ac:dyDescent="0.25">
      <c r="A4284" s="2045" t="s">
        <v>1853</v>
      </c>
      <c r="B4284" s="2046"/>
      <c r="C4284" s="2046"/>
      <c r="D4284" s="2046"/>
      <c r="E4284" s="2046"/>
      <c r="F4284" s="2046"/>
      <c r="G4284" s="2046"/>
      <c r="H4284" s="2046"/>
      <c r="I4284" s="2046"/>
      <c r="J4284" s="2046"/>
      <c r="K4284" s="2046"/>
      <c r="L4284" s="2046"/>
      <c r="M4284" s="2046"/>
      <c r="N4284" s="2046"/>
      <c r="O4284" s="2046"/>
      <c r="P4284" s="2046"/>
      <c r="Q4284" s="2046"/>
      <c r="R4284" s="2046"/>
      <c r="S4284" s="2046"/>
      <c r="T4284" s="2046"/>
      <c r="U4284" s="2046"/>
      <c r="V4284" s="2046"/>
      <c r="W4284" s="2046"/>
      <c r="X4284" s="2046"/>
      <c r="Y4284" s="2046"/>
      <c r="Z4284" s="2046"/>
      <c r="AA4284" s="2046"/>
      <c r="AB4284" s="2046"/>
      <c r="AC4284" s="2046"/>
      <c r="AD4284" s="2046"/>
      <c r="AE4284" s="2047">
        <f>'01'!$M$13</f>
        <v>0</v>
      </c>
      <c r="AF4284" s="2044"/>
    </row>
    <row r="4285" spans="1:32" x14ac:dyDescent="0.2">
      <c r="A4285" s="1046"/>
      <c r="B4285" s="1047"/>
      <c r="C4285" s="1047"/>
      <c r="D4285" s="1047"/>
      <c r="E4285" s="1047"/>
      <c r="F4285" s="1047"/>
      <c r="G4285" s="1047"/>
      <c r="H4285" s="1047"/>
      <c r="I4285" s="1047"/>
      <c r="J4285" s="1047"/>
      <c r="K4285" s="1047"/>
      <c r="L4285" s="1047"/>
      <c r="M4285" s="1047"/>
      <c r="N4285" s="1047"/>
      <c r="O4285" s="1047"/>
      <c r="P4285" s="1047"/>
      <c r="Q4285" s="1047"/>
      <c r="R4285" s="1047"/>
      <c r="S4285" s="1047"/>
      <c r="T4285" s="1047"/>
      <c r="U4285" s="1047"/>
      <c r="V4285" s="1047"/>
      <c r="W4285" s="1047"/>
      <c r="X4285" s="1047"/>
      <c r="Y4285" s="1047"/>
      <c r="Z4285" s="1047"/>
      <c r="AA4285" s="1047"/>
      <c r="AB4285" s="1047"/>
      <c r="AC4285" s="1047"/>
      <c r="AD4285" s="1047"/>
      <c r="AE4285" s="1047"/>
      <c r="AF4285" s="1048"/>
    </row>
    <row r="4286" spans="1:32" ht="30" customHeight="1" x14ac:dyDescent="0.2">
      <c r="A4286" s="2048" t="s">
        <v>1842</v>
      </c>
      <c r="B4286" s="2049"/>
      <c r="C4286" s="2049"/>
      <c r="D4286" s="2049"/>
      <c r="E4286" s="2049"/>
      <c r="F4286" s="2050" t="str">
        <f>+'01'!$H$163</f>
        <v>F - LECHOS DE SECADO</v>
      </c>
      <c r="G4286" s="2049"/>
      <c r="H4286" s="2049"/>
      <c r="I4286" s="2049"/>
      <c r="J4286" s="2049"/>
      <c r="K4286" s="2049"/>
      <c r="L4286" s="2049"/>
      <c r="M4286" s="2049"/>
      <c r="N4286" s="2049"/>
      <c r="O4286" s="2049"/>
      <c r="P4286" s="2049"/>
      <c r="Q4286" s="2049"/>
      <c r="R4286" s="2049"/>
      <c r="S4286" s="2049"/>
      <c r="T4286" s="2049"/>
      <c r="U4286" s="2049"/>
      <c r="V4286" s="2049"/>
      <c r="W4286" s="2049"/>
      <c r="X4286" s="2049"/>
      <c r="Y4286" s="2051"/>
      <c r="Z4286" s="2052" t="s">
        <v>1843</v>
      </c>
      <c r="AA4286" s="2053"/>
      <c r="AB4286" s="2058" t="s">
        <v>1844</v>
      </c>
      <c r="AC4286" s="2059"/>
      <c r="AD4286" s="2060"/>
      <c r="AE4286" s="2064" t="s">
        <v>1845</v>
      </c>
      <c r="AF4286" s="2067" t="s">
        <v>1846</v>
      </c>
    </row>
    <row r="4287" spans="1:32" ht="15" customHeight="1" x14ac:dyDescent="0.2">
      <c r="A4287" s="2070" t="str">
        <f>+'01'!A181</f>
        <v>F-05-01</v>
      </c>
      <c r="B4287" s="2071"/>
      <c r="C4287" s="2072"/>
      <c r="D4287" s="2076" t="str">
        <f>VLOOKUP(A4287,'01'!$A$12:$N$299,3,FALSE)</f>
        <v>CONCRETO PARA SOLADO, LIMPIEZA Y/O RELLENOS FLUIDOS (140KG/CM2) - ESPESOR=0.05 METROS.</v>
      </c>
      <c r="E4287" s="2077"/>
      <c r="F4287" s="2077"/>
      <c r="G4287" s="2077"/>
      <c r="H4287" s="2077"/>
      <c r="I4287" s="2077"/>
      <c r="J4287" s="2077"/>
      <c r="K4287" s="2077"/>
      <c r="L4287" s="2077"/>
      <c r="M4287" s="2077"/>
      <c r="N4287" s="2077"/>
      <c r="O4287" s="2077"/>
      <c r="P4287" s="2077"/>
      <c r="Q4287" s="2077"/>
      <c r="R4287" s="2077"/>
      <c r="S4287" s="2078"/>
      <c r="T4287" s="2082" t="s">
        <v>124</v>
      </c>
      <c r="U4287" s="2083"/>
      <c r="V4287" s="2083"/>
      <c r="W4287" s="2083"/>
      <c r="X4287" s="2052" t="str">
        <f>VLOOKUP(A4287,'01'!$A$12:$N$299,9,FALSE)</f>
        <v>M3</v>
      </c>
      <c r="Y4287" s="2053"/>
      <c r="Z4287" s="2054"/>
      <c r="AA4287" s="2055"/>
      <c r="AB4287" s="2061"/>
      <c r="AC4287" s="2062"/>
      <c r="AD4287" s="2063"/>
      <c r="AE4287" s="2065"/>
      <c r="AF4287" s="2068"/>
    </row>
    <row r="4288" spans="1:32" ht="15" customHeight="1" x14ac:dyDescent="0.25">
      <c r="A4288" s="2073"/>
      <c r="B4288" s="2074"/>
      <c r="C4288" s="2075"/>
      <c r="D4288" s="2079"/>
      <c r="E4288" s="2080"/>
      <c r="F4288" s="2080"/>
      <c r="G4288" s="2080"/>
      <c r="H4288" s="2080"/>
      <c r="I4288" s="2080"/>
      <c r="J4288" s="2080"/>
      <c r="K4288" s="2080"/>
      <c r="L4288" s="2080"/>
      <c r="M4288" s="2080"/>
      <c r="N4288" s="2080"/>
      <c r="O4288" s="2080"/>
      <c r="P4288" s="2080"/>
      <c r="Q4288" s="2080"/>
      <c r="R4288" s="2080"/>
      <c r="S4288" s="2081"/>
      <c r="T4288" s="2084"/>
      <c r="U4288" s="2085"/>
      <c r="V4288" s="2085"/>
      <c r="W4288" s="2085"/>
      <c r="X4288" s="2056"/>
      <c r="Y4288" s="2057"/>
      <c r="Z4288" s="2056"/>
      <c r="AA4288" s="2057"/>
      <c r="AB4288" s="1049" t="s">
        <v>1847</v>
      </c>
      <c r="AC4288" s="1049" t="s">
        <v>1848</v>
      </c>
      <c r="AD4288" s="1049" t="s">
        <v>1861</v>
      </c>
      <c r="AE4288" s="2066"/>
      <c r="AF4288" s="2069"/>
    </row>
    <row r="4289" spans="1:32" ht="15.6" customHeight="1" x14ac:dyDescent="0.25">
      <c r="A4289" s="2017"/>
      <c r="B4289" s="2018"/>
      <c r="C4289" s="2018"/>
      <c r="D4289" s="2018"/>
      <c r="E4289" s="2018"/>
      <c r="F4289" s="2018"/>
      <c r="G4289" s="2018"/>
      <c r="H4289" s="2018"/>
      <c r="I4289" s="2018"/>
      <c r="J4289" s="2018"/>
      <c r="K4289" s="2018"/>
      <c r="L4289" s="2018"/>
      <c r="M4289" s="2018"/>
      <c r="N4289" s="2018"/>
      <c r="O4289" s="2018"/>
      <c r="P4289" s="2018"/>
      <c r="Q4289" s="2018"/>
      <c r="R4289" s="2018"/>
      <c r="S4289" s="2018"/>
      <c r="T4289" s="2018"/>
      <c r="U4289" s="2018"/>
      <c r="V4289" s="2018"/>
      <c r="W4289" s="2018"/>
      <c r="X4289" s="2018"/>
      <c r="Y4289" s="2018"/>
      <c r="Z4289" s="2021"/>
      <c r="AA4289" s="2021"/>
      <c r="AB4289" s="1050"/>
      <c r="AC4289" s="1050"/>
      <c r="AD4289" s="1050"/>
      <c r="AE4289" s="1050"/>
      <c r="AF4289" s="1052">
        <v>3743.78</v>
      </c>
    </row>
    <row r="4290" spans="1:32" ht="15.6" customHeight="1" x14ac:dyDescent="0.25">
      <c r="A4290" s="2017"/>
      <c r="B4290" s="2018"/>
      <c r="C4290" s="2018"/>
      <c r="D4290" s="2018"/>
      <c r="E4290" s="2018"/>
      <c r="F4290" s="2018"/>
      <c r="G4290" s="2018"/>
      <c r="H4290" s="2018"/>
      <c r="I4290" s="2018"/>
      <c r="J4290" s="2018"/>
      <c r="K4290" s="2018"/>
      <c r="L4290" s="2018"/>
      <c r="M4290" s="2018"/>
      <c r="N4290" s="2018"/>
      <c r="O4290" s="2018"/>
      <c r="P4290" s="2018"/>
      <c r="Q4290" s="2018"/>
      <c r="R4290" s="2018"/>
      <c r="S4290" s="2018"/>
      <c r="T4290" s="2018"/>
      <c r="U4290" s="2018"/>
      <c r="V4290" s="2018"/>
      <c r="W4290" s="2018"/>
      <c r="X4290" s="2018"/>
      <c r="Y4290" s="2018"/>
      <c r="Z4290" s="2021"/>
      <c r="AA4290" s="2021"/>
      <c r="AB4290" s="1050"/>
      <c r="AC4290" s="1050"/>
      <c r="AD4290" s="1050"/>
      <c r="AE4290" s="1050"/>
      <c r="AF4290" s="1052"/>
    </row>
    <row r="4291" spans="1:32" ht="15.75" x14ac:dyDescent="0.25">
      <c r="A4291" s="2017"/>
      <c r="B4291" s="2018"/>
      <c r="C4291" s="2018"/>
      <c r="D4291" s="2018"/>
      <c r="E4291" s="2018"/>
      <c r="F4291" s="2018"/>
      <c r="G4291" s="2018"/>
      <c r="H4291" s="2018"/>
      <c r="I4291" s="2018"/>
      <c r="J4291" s="2018"/>
      <c r="K4291" s="2018"/>
      <c r="L4291" s="2018"/>
      <c r="M4291" s="2018"/>
      <c r="N4291" s="2018"/>
      <c r="O4291" s="2018"/>
      <c r="P4291" s="2018"/>
      <c r="Q4291" s="2018"/>
      <c r="R4291" s="2018"/>
      <c r="S4291" s="2018"/>
      <c r="T4291" s="2018"/>
      <c r="U4291" s="2018"/>
      <c r="V4291" s="2018"/>
      <c r="W4291" s="2018"/>
      <c r="X4291" s="2018"/>
      <c r="Y4291" s="2018"/>
      <c r="Z4291" s="2021"/>
      <c r="AA4291" s="2021"/>
      <c r="AB4291" s="1050"/>
      <c r="AC4291" s="1050"/>
      <c r="AD4291" s="1050"/>
      <c r="AE4291" s="1050"/>
      <c r="AF4291" s="1052"/>
    </row>
    <row r="4292" spans="1:32" ht="15.75" x14ac:dyDescent="0.25">
      <c r="A4292" s="2017"/>
      <c r="B4292" s="2018"/>
      <c r="C4292" s="2018"/>
      <c r="D4292" s="2018"/>
      <c r="E4292" s="2018"/>
      <c r="F4292" s="2018"/>
      <c r="G4292" s="2018"/>
      <c r="H4292" s="2018"/>
      <c r="I4292" s="2018"/>
      <c r="J4292" s="2018"/>
      <c r="K4292" s="2018"/>
      <c r="L4292" s="2018"/>
      <c r="M4292" s="2018"/>
      <c r="N4292" s="2018"/>
      <c r="O4292" s="2018"/>
      <c r="P4292" s="2018"/>
      <c r="Q4292" s="2018"/>
      <c r="R4292" s="2018"/>
      <c r="S4292" s="2018"/>
      <c r="T4292" s="2018"/>
      <c r="U4292" s="2018"/>
      <c r="V4292" s="2018"/>
      <c r="W4292" s="2018"/>
      <c r="X4292" s="2018"/>
      <c r="Y4292" s="2018"/>
      <c r="Z4292" s="2021"/>
      <c r="AA4292" s="2021"/>
      <c r="AB4292" s="1050"/>
      <c r="AC4292" s="1050"/>
      <c r="AD4292" s="1050"/>
      <c r="AE4292" s="1050"/>
      <c r="AF4292" s="1052"/>
    </row>
    <row r="4293" spans="1:32" ht="15.6" customHeight="1" x14ac:dyDescent="0.25">
      <c r="A4293" s="2017"/>
      <c r="B4293" s="2018"/>
      <c r="C4293" s="2018"/>
      <c r="D4293" s="2018"/>
      <c r="E4293" s="2018"/>
      <c r="F4293" s="2018"/>
      <c r="G4293" s="2018"/>
      <c r="H4293" s="2018"/>
      <c r="I4293" s="2018"/>
      <c r="J4293" s="2018"/>
      <c r="K4293" s="2018"/>
      <c r="L4293" s="2018"/>
      <c r="M4293" s="2018"/>
      <c r="N4293" s="2018"/>
      <c r="O4293" s="2018"/>
      <c r="P4293" s="2018"/>
      <c r="Q4293" s="2018"/>
      <c r="R4293" s="2018"/>
      <c r="S4293" s="2018"/>
      <c r="T4293" s="2018"/>
      <c r="U4293" s="2018"/>
      <c r="V4293" s="2018"/>
      <c r="W4293" s="2018"/>
      <c r="X4293" s="2018"/>
      <c r="Y4293" s="2018"/>
      <c r="Z4293" s="2021"/>
      <c r="AA4293" s="2021"/>
      <c r="AB4293" s="1050"/>
      <c r="AC4293" s="1050"/>
      <c r="AD4293" s="1050"/>
      <c r="AE4293" s="1050"/>
      <c r="AF4293" s="1052"/>
    </row>
    <row r="4294" spans="1:32" ht="15.75" x14ac:dyDescent="0.25">
      <c r="A4294" s="2017"/>
      <c r="B4294" s="2018"/>
      <c r="C4294" s="2018"/>
      <c r="D4294" s="2018"/>
      <c r="E4294" s="2018"/>
      <c r="F4294" s="2018"/>
      <c r="G4294" s="2018"/>
      <c r="H4294" s="2018"/>
      <c r="I4294" s="2018"/>
      <c r="J4294" s="2018"/>
      <c r="K4294" s="2018"/>
      <c r="L4294" s="2018"/>
      <c r="M4294" s="2018"/>
      <c r="N4294" s="2018"/>
      <c r="O4294" s="2018"/>
      <c r="P4294" s="2018"/>
      <c r="Q4294" s="2018"/>
      <c r="R4294" s="2018"/>
      <c r="S4294" s="2018"/>
      <c r="T4294" s="2018"/>
      <c r="U4294" s="2018"/>
      <c r="V4294" s="2018"/>
      <c r="W4294" s="2018"/>
      <c r="X4294" s="2018"/>
      <c r="Y4294" s="2018"/>
      <c r="Z4294" s="2021"/>
      <c r="AA4294" s="2021"/>
      <c r="AB4294" s="1050"/>
      <c r="AC4294" s="1050"/>
      <c r="AD4294" s="1050"/>
      <c r="AE4294" s="1050"/>
      <c r="AF4294" s="1052"/>
    </row>
    <row r="4295" spans="1:32" ht="15.75" x14ac:dyDescent="0.25">
      <c r="A4295" s="2017"/>
      <c r="B4295" s="2018"/>
      <c r="C4295" s="2018"/>
      <c r="D4295" s="2018"/>
      <c r="E4295" s="2018"/>
      <c r="F4295" s="2018"/>
      <c r="G4295" s="2018"/>
      <c r="H4295" s="2018"/>
      <c r="I4295" s="2018"/>
      <c r="J4295" s="2018"/>
      <c r="K4295" s="2018"/>
      <c r="L4295" s="2018"/>
      <c r="M4295" s="2018"/>
      <c r="N4295" s="2018"/>
      <c r="O4295" s="2018"/>
      <c r="P4295" s="2018"/>
      <c r="Q4295" s="2018"/>
      <c r="R4295" s="2018"/>
      <c r="S4295" s="2018"/>
      <c r="T4295" s="2018"/>
      <c r="U4295" s="2018"/>
      <c r="V4295" s="2018"/>
      <c r="W4295" s="2018"/>
      <c r="X4295" s="2018"/>
      <c r="Y4295" s="2018"/>
      <c r="Z4295" s="2021"/>
      <c r="AA4295" s="2021"/>
      <c r="AB4295" s="1050"/>
      <c r="AC4295" s="1050"/>
      <c r="AD4295" s="1050"/>
      <c r="AE4295" s="1050"/>
      <c r="AF4295" s="1052"/>
    </row>
    <row r="4296" spans="1:32" ht="15.75" x14ac:dyDescent="0.25">
      <c r="A4296" s="2017"/>
      <c r="B4296" s="2018"/>
      <c r="C4296" s="2018"/>
      <c r="D4296" s="2018"/>
      <c r="E4296" s="2018"/>
      <c r="F4296" s="2018"/>
      <c r="G4296" s="2018"/>
      <c r="H4296" s="2018"/>
      <c r="I4296" s="2018"/>
      <c r="J4296" s="2018"/>
      <c r="K4296" s="2018"/>
      <c r="L4296" s="2018"/>
      <c r="M4296" s="2018"/>
      <c r="N4296" s="2018"/>
      <c r="O4296" s="2018"/>
      <c r="P4296" s="2018"/>
      <c r="Q4296" s="2018"/>
      <c r="R4296" s="2018"/>
      <c r="S4296" s="2018"/>
      <c r="T4296" s="2018"/>
      <c r="U4296" s="2018"/>
      <c r="V4296" s="2018"/>
      <c r="W4296" s="2018"/>
      <c r="X4296" s="2018"/>
      <c r="Y4296" s="2018"/>
      <c r="Z4296" s="2021"/>
      <c r="AA4296" s="2021"/>
      <c r="AB4296" s="1050"/>
      <c r="AC4296" s="1050"/>
      <c r="AD4296" s="1050"/>
      <c r="AE4296" s="1050"/>
      <c r="AF4296" s="1052"/>
    </row>
    <row r="4297" spans="1:32" ht="15.75" x14ac:dyDescent="0.25">
      <c r="A4297" s="2017"/>
      <c r="B4297" s="2018"/>
      <c r="C4297" s="2018"/>
      <c r="D4297" s="2018"/>
      <c r="E4297" s="2018"/>
      <c r="F4297" s="2018"/>
      <c r="G4297" s="2018"/>
      <c r="H4297" s="2018"/>
      <c r="I4297" s="2018"/>
      <c r="J4297" s="2018"/>
      <c r="K4297" s="2018"/>
      <c r="L4297" s="2018"/>
      <c r="M4297" s="2018"/>
      <c r="N4297" s="2018"/>
      <c r="O4297" s="2018"/>
      <c r="P4297" s="2018"/>
      <c r="Q4297" s="2018"/>
      <c r="R4297" s="2018"/>
      <c r="S4297" s="2018"/>
      <c r="T4297" s="2018"/>
      <c r="U4297" s="2018"/>
      <c r="V4297" s="2018"/>
      <c r="W4297" s="2018"/>
      <c r="X4297" s="2018"/>
      <c r="Y4297" s="2018"/>
      <c r="Z4297" s="2021"/>
      <c r="AA4297" s="2021"/>
      <c r="AB4297" s="1050"/>
      <c r="AC4297" s="1050"/>
      <c r="AD4297" s="1050"/>
      <c r="AE4297" s="1050"/>
      <c r="AF4297" s="1052"/>
    </row>
    <row r="4298" spans="1:32" ht="15.75" x14ac:dyDescent="0.25">
      <c r="A4298" s="2017"/>
      <c r="B4298" s="2018"/>
      <c r="C4298" s="2018"/>
      <c r="D4298" s="2018"/>
      <c r="E4298" s="2018"/>
      <c r="F4298" s="2018"/>
      <c r="G4298" s="2018"/>
      <c r="H4298" s="2018"/>
      <c r="I4298" s="2018"/>
      <c r="J4298" s="2018"/>
      <c r="K4298" s="2018"/>
      <c r="L4298" s="2018"/>
      <c r="M4298" s="2018"/>
      <c r="N4298" s="2018"/>
      <c r="O4298" s="2018"/>
      <c r="P4298" s="2018"/>
      <c r="Q4298" s="2018"/>
      <c r="R4298" s="2018"/>
      <c r="S4298" s="2018"/>
      <c r="T4298" s="2018"/>
      <c r="U4298" s="2018"/>
      <c r="V4298" s="2018"/>
      <c r="W4298" s="2018"/>
      <c r="X4298" s="2018"/>
      <c r="Y4298" s="2018"/>
      <c r="Z4298" s="2021"/>
      <c r="AA4298" s="2021"/>
      <c r="AB4298" s="1050"/>
      <c r="AC4298" s="1050"/>
      <c r="AD4298" s="1050"/>
      <c r="AE4298" s="1050"/>
      <c r="AF4298" s="1052"/>
    </row>
    <row r="4299" spans="1:32" ht="15.75" x14ac:dyDescent="0.25">
      <c r="A4299" s="2017"/>
      <c r="B4299" s="2018"/>
      <c r="C4299" s="2018"/>
      <c r="D4299" s="2018"/>
      <c r="E4299" s="2018"/>
      <c r="F4299" s="2018"/>
      <c r="G4299" s="2018"/>
      <c r="H4299" s="2018"/>
      <c r="I4299" s="2018"/>
      <c r="J4299" s="2018"/>
      <c r="K4299" s="2018"/>
      <c r="L4299" s="2018"/>
      <c r="M4299" s="2018"/>
      <c r="N4299" s="2018"/>
      <c r="O4299" s="2018"/>
      <c r="P4299" s="2018"/>
      <c r="Q4299" s="2018"/>
      <c r="R4299" s="2018"/>
      <c r="S4299" s="2018"/>
      <c r="T4299" s="2018"/>
      <c r="U4299" s="2018"/>
      <c r="V4299" s="2018"/>
      <c r="W4299" s="2018"/>
      <c r="X4299" s="2018"/>
      <c r="Y4299" s="2018"/>
      <c r="Z4299" s="2021"/>
      <c r="AA4299" s="2021"/>
      <c r="AB4299" s="1050"/>
      <c r="AC4299" s="1050"/>
      <c r="AD4299" s="1050"/>
      <c r="AE4299" s="1050"/>
      <c r="AF4299" s="1052"/>
    </row>
    <row r="4300" spans="1:32" ht="15.75" x14ac:dyDescent="0.25">
      <c r="A4300" s="2017"/>
      <c r="B4300" s="2018"/>
      <c r="C4300" s="2018"/>
      <c r="D4300" s="2018"/>
      <c r="E4300" s="2018"/>
      <c r="F4300" s="2018"/>
      <c r="G4300" s="2018"/>
      <c r="H4300" s="2018"/>
      <c r="I4300" s="2018"/>
      <c r="J4300" s="2018"/>
      <c r="K4300" s="2018"/>
      <c r="L4300" s="2018"/>
      <c r="M4300" s="2018"/>
      <c r="N4300" s="2018"/>
      <c r="O4300" s="2018"/>
      <c r="P4300" s="2018"/>
      <c r="Q4300" s="2018"/>
      <c r="R4300" s="2018"/>
      <c r="S4300" s="2018"/>
      <c r="T4300" s="2018"/>
      <c r="U4300" s="2018"/>
      <c r="V4300" s="2018"/>
      <c r="W4300" s="2018"/>
      <c r="X4300" s="2018"/>
      <c r="Y4300" s="2018"/>
      <c r="Z4300" s="2021"/>
      <c r="AA4300" s="2021"/>
      <c r="AB4300" s="1050"/>
      <c r="AC4300" s="1050"/>
      <c r="AD4300" s="1050"/>
      <c r="AE4300" s="1050"/>
      <c r="AF4300" s="1052"/>
    </row>
    <row r="4301" spans="1:32" ht="15.75" x14ac:dyDescent="0.25">
      <c r="A4301" s="2017"/>
      <c r="B4301" s="2018"/>
      <c r="C4301" s="2018"/>
      <c r="D4301" s="2018"/>
      <c r="E4301" s="2018"/>
      <c r="F4301" s="2018"/>
      <c r="G4301" s="2018"/>
      <c r="H4301" s="2018"/>
      <c r="I4301" s="2018"/>
      <c r="J4301" s="2018"/>
      <c r="K4301" s="2018"/>
      <c r="L4301" s="2018"/>
      <c r="M4301" s="2018"/>
      <c r="N4301" s="2018"/>
      <c r="O4301" s="2018"/>
      <c r="P4301" s="2018"/>
      <c r="Q4301" s="2018"/>
      <c r="R4301" s="2018"/>
      <c r="S4301" s="2018"/>
      <c r="T4301" s="2018"/>
      <c r="U4301" s="2018"/>
      <c r="V4301" s="2018"/>
      <c r="W4301" s="2018"/>
      <c r="X4301" s="2018"/>
      <c r="Y4301" s="2018"/>
      <c r="Z4301" s="2021"/>
      <c r="AA4301" s="2021"/>
      <c r="AB4301" s="1050"/>
      <c r="AC4301" s="1050"/>
      <c r="AD4301" s="1050"/>
      <c r="AE4301" s="1050"/>
      <c r="AF4301" s="1052"/>
    </row>
    <row r="4302" spans="1:32" ht="15.75" x14ac:dyDescent="0.25">
      <c r="A4302" s="2017"/>
      <c r="B4302" s="2018"/>
      <c r="C4302" s="2018"/>
      <c r="D4302" s="2018"/>
      <c r="E4302" s="2018"/>
      <c r="F4302" s="2018"/>
      <c r="G4302" s="2018"/>
      <c r="H4302" s="2018"/>
      <c r="I4302" s="2018"/>
      <c r="J4302" s="2018"/>
      <c r="K4302" s="2018"/>
      <c r="L4302" s="2018"/>
      <c r="M4302" s="2018"/>
      <c r="N4302" s="2018"/>
      <c r="O4302" s="2018"/>
      <c r="P4302" s="2018"/>
      <c r="Q4302" s="2018"/>
      <c r="R4302" s="2018"/>
      <c r="S4302" s="2018"/>
      <c r="T4302" s="2018"/>
      <c r="U4302" s="2018"/>
      <c r="V4302" s="2018"/>
      <c r="W4302" s="2018"/>
      <c r="X4302" s="2018"/>
      <c r="Y4302" s="2018"/>
      <c r="Z4302" s="2021"/>
      <c r="AA4302" s="2021"/>
      <c r="AB4302" s="1050"/>
      <c r="AC4302" s="1050"/>
      <c r="AD4302" s="1050"/>
      <c r="AE4302" s="1050"/>
      <c r="AF4302" s="1052"/>
    </row>
    <row r="4303" spans="1:32" ht="15.75" x14ac:dyDescent="0.25">
      <c r="A4303" s="2017"/>
      <c r="B4303" s="2018"/>
      <c r="C4303" s="2018"/>
      <c r="D4303" s="2018"/>
      <c r="E4303" s="2018"/>
      <c r="F4303" s="2018"/>
      <c r="G4303" s="2018"/>
      <c r="H4303" s="2018"/>
      <c r="I4303" s="2018"/>
      <c r="J4303" s="2018"/>
      <c r="K4303" s="2018"/>
      <c r="L4303" s="2018"/>
      <c r="M4303" s="2018"/>
      <c r="N4303" s="2018"/>
      <c r="O4303" s="2018"/>
      <c r="P4303" s="2018"/>
      <c r="Q4303" s="2018"/>
      <c r="R4303" s="2018"/>
      <c r="S4303" s="2018"/>
      <c r="T4303" s="2018"/>
      <c r="U4303" s="2018"/>
      <c r="V4303" s="2018"/>
      <c r="W4303" s="2018"/>
      <c r="X4303" s="2018"/>
      <c r="Y4303" s="2018"/>
      <c r="Z4303" s="2022"/>
      <c r="AA4303" s="2022"/>
      <c r="AB4303" s="1050"/>
      <c r="AC4303" s="1050"/>
      <c r="AD4303" s="1050"/>
      <c r="AE4303" s="1050"/>
      <c r="AF4303" s="1052"/>
    </row>
    <row r="4304" spans="1:32" ht="15.75" x14ac:dyDescent="0.25">
      <c r="A4304" s="2017"/>
      <c r="B4304" s="2018"/>
      <c r="C4304" s="2018"/>
      <c r="D4304" s="2018"/>
      <c r="E4304" s="2018"/>
      <c r="F4304" s="2018"/>
      <c r="G4304" s="2018"/>
      <c r="H4304" s="2018"/>
      <c r="I4304" s="2018"/>
      <c r="J4304" s="2018"/>
      <c r="K4304" s="2018"/>
      <c r="L4304" s="2018"/>
      <c r="M4304" s="2018"/>
      <c r="N4304" s="2018"/>
      <c r="O4304" s="2018"/>
      <c r="P4304" s="2018"/>
      <c r="Q4304" s="2018"/>
      <c r="R4304" s="2018"/>
      <c r="S4304" s="2018"/>
      <c r="T4304" s="2018"/>
      <c r="U4304" s="2018"/>
      <c r="V4304" s="2018"/>
      <c r="W4304" s="2018"/>
      <c r="X4304" s="2018"/>
      <c r="Y4304" s="2018"/>
      <c r="Z4304" s="2022"/>
      <c r="AA4304" s="2022"/>
      <c r="AB4304" s="1050"/>
      <c r="AC4304" s="1050"/>
      <c r="AD4304" s="1050"/>
      <c r="AE4304" s="1050"/>
      <c r="AF4304" s="1052"/>
    </row>
    <row r="4305" spans="1:32" ht="15.75" x14ac:dyDescent="0.25">
      <c r="A4305" s="2017"/>
      <c r="B4305" s="2018"/>
      <c r="C4305" s="2018"/>
      <c r="D4305" s="2018"/>
      <c r="E4305" s="2018"/>
      <c r="F4305" s="2018"/>
      <c r="G4305" s="2018"/>
      <c r="H4305" s="2018"/>
      <c r="I4305" s="2018"/>
      <c r="J4305" s="2018"/>
      <c r="K4305" s="2018"/>
      <c r="L4305" s="2018"/>
      <c r="M4305" s="2018"/>
      <c r="N4305" s="2018"/>
      <c r="O4305" s="2018"/>
      <c r="P4305" s="2018"/>
      <c r="Q4305" s="2018"/>
      <c r="R4305" s="2018"/>
      <c r="S4305" s="2018"/>
      <c r="T4305" s="2018"/>
      <c r="U4305" s="2018"/>
      <c r="V4305" s="2018"/>
      <c r="W4305" s="2018"/>
      <c r="X4305" s="2018"/>
      <c r="Y4305" s="2018"/>
      <c r="Z4305" s="2022"/>
      <c r="AA4305" s="2022"/>
      <c r="AB4305" s="1050"/>
      <c r="AC4305" s="1050"/>
      <c r="AD4305" s="1050"/>
      <c r="AE4305" s="1050"/>
      <c r="AF4305" s="1052"/>
    </row>
    <row r="4306" spans="1:32" ht="15.75" x14ac:dyDescent="0.25">
      <c r="A4306" s="2017"/>
      <c r="B4306" s="2018"/>
      <c r="C4306" s="2018"/>
      <c r="D4306" s="2018"/>
      <c r="E4306" s="2018"/>
      <c r="F4306" s="2018"/>
      <c r="G4306" s="2018"/>
      <c r="H4306" s="2018"/>
      <c r="I4306" s="2018"/>
      <c r="J4306" s="2018"/>
      <c r="K4306" s="2018"/>
      <c r="L4306" s="2018"/>
      <c r="M4306" s="2018"/>
      <c r="N4306" s="2018"/>
      <c r="O4306" s="2018"/>
      <c r="P4306" s="2018"/>
      <c r="Q4306" s="2018"/>
      <c r="R4306" s="2018"/>
      <c r="S4306" s="2018"/>
      <c r="T4306" s="2018"/>
      <c r="U4306" s="2018"/>
      <c r="V4306" s="2018"/>
      <c r="W4306" s="2018"/>
      <c r="X4306" s="2018"/>
      <c r="Y4306" s="2018"/>
      <c r="Z4306" s="2023"/>
      <c r="AA4306" s="2023"/>
      <c r="AB4306" s="1050"/>
      <c r="AC4306" s="1050"/>
      <c r="AD4306" s="1050"/>
      <c r="AE4306" s="1050"/>
      <c r="AF4306" s="1052"/>
    </row>
    <row r="4307" spans="1:32" ht="15.75" x14ac:dyDescent="0.25">
      <c r="A4307" s="2017"/>
      <c r="B4307" s="2018"/>
      <c r="C4307" s="2018"/>
      <c r="D4307" s="2018"/>
      <c r="E4307" s="2018"/>
      <c r="F4307" s="2018"/>
      <c r="G4307" s="2018"/>
      <c r="H4307" s="2018"/>
      <c r="I4307" s="2018"/>
      <c r="J4307" s="2018"/>
      <c r="K4307" s="2018"/>
      <c r="L4307" s="2018"/>
      <c r="M4307" s="2018"/>
      <c r="N4307" s="2018"/>
      <c r="O4307" s="2018"/>
      <c r="P4307" s="2018"/>
      <c r="Q4307" s="2018"/>
      <c r="R4307" s="2018"/>
      <c r="S4307" s="2018"/>
      <c r="T4307" s="2018"/>
      <c r="U4307" s="2018"/>
      <c r="V4307" s="2018"/>
      <c r="W4307" s="2018"/>
      <c r="X4307" s="2018"/>
      <c r="Y4307" s="2018"/>
      <c r="Z4307" s="2023"/>
      <c r="AA4307" s="2023"/>
      <c r="AB4307" s="1050"/>
      <c r="AC4307" s="1050"/>
      <c r="AD4307" s="1050"/>
      <c r="AE4307" s="1050"/>
      <c r="AF4307" s="1052"/>
    </row>
    <row r="4308" spans="1:32" ht="15.75" x14ac:dyDescent="0.25">
      <c r="A4308" s="2017"/>
      <c r="B4308" s="2018"/>
      <c r="C4308" s="2018"/>
      <c r="D4308" s="2018"/>
      <c r="E4308" s="2018"/>
      <c r="F4308" s="2018"/>
      <c r="G4308" s="2018"/>
      <c r="H4308" s="2018"/>
      <c r="I4308" s="2018"/>
      <c r="J4308" s="2018"/>
      <c r="K4308" s="2018"/>
      <c r="L4308" s="2018"/>
      <c r="M4308" s="2018"/>
      <c r="N4308" s="2018"/>
      <c r="O4308" s="2018"/>
      <c r="P4308" s="2018"/>
      <c r="Q4308" s="2018"/>
      <c r="R4308" s="2018"/>
      <c r="S4308" s="2018"/>
      <c r="T4308" s="2018"/>
      <c r="U4308" s="2018"/>
      <c r="V4308" s="2018"/>
      <c r="W4308" s="2018"/>
      <c r="X4308" s="2018"/>
      <c r="Y4308" s="2018"/>
      <c r="Z4308" s="2023"/>
      <c r="AA4308" s="2023"/>
      <c r="AB4308" s="1050"/>
      <c r="AC4308" s="1050"/>
      <c r="AD4308" s="1050"/>
      <c r="AE4308" s="1050"/>
      <c r="AF4308" s="1052"/>
    </row>
    <row r="4309" spans="1:32" ht="15.75" x14ac:dyDescent="0.25">
      <c r="A4309" s="2017"/>
      <c r="B4309" s="2018"/>
      <c r="C4309" s="2018"/>
      <c r="D4309" s="2018"/>
      <c r="E4309" s="2018"/>
      <c r="F4309" s="2018"/>
      <c r="G4309" s="2018"/>
      <c r="H4309" s="2018"/>
      <c r="I4309" s="2018"/>
      <c r="J4309" s="2018"/>
      <c r="K4309" s="2018"/>
      <c r="L4309" s="2018"/>
      <c r="M4309" s="2018"/>
      <c r="N4309" s="2018"/>
      <c r="O4309" s="2018"/>
      <c r="P4309" s="2018"/>
      <c r="Q4309" s="2018"/>
      <c r="R4309" s="2018"/>
      <c r="S4309" s="2018"/>
      <c r="T4309" s="2018"/>
      <c r="U4309" s="2018"/>
      <c r="V4309" s="2018"/>
      <c r="W4309" s="2018"/>
      <c r="X4309" s="2018"/>
      <c r="Y4309" s="2018"/>
      <c r="Z4309" s="2023"/>
      <c r="AA4309" s="2023"/>
      <c r="AB4309" s="1050"/>
      <c r="AC4309" s="1050"/>
      <c r="AD4309" s="1050"/>
      <c r="AE4309" s="1050"/>
      <c r="AF4309" s="1052"/>
    </row>
    <row r="4310" spans="1:32" ht="15.75" x14ac:dyDescent="0.25">
      <c r="A4310" s="2017"/>
      <c r="B4310" s="2018"/>
      <c r="C4310" s="2018"/>
      <c r="D4310" s="2018"/>
      <c r="E4310" s="2018"/>
      <c r="F4310" s="2018"/>
      <c r="G4310" s="2018"/>
      <c r="H4310" s="2018"/>
      <c r="I4310" s="2018"/>
      <c r="J4310" s="2018"/>
      <c r="K4310" s="2018"/>
      <c r="L4310" s="2018"/>
      <c r="M4310" s="2018"/>
      <c r="N4310" s="2018"/>
      <c r="O4310" s="2018"/>
      <c r="P4310" s="2018"/>
      <c r="Q4310" s="2018"/>
      <c r="R4310" s="2018"/>
      <c r="S4310" s="2018"/>
      <c r="T4310" s="2018"/>
      <c r="U4310" s="2018"/>
      <c r="V4310" s="2018"/>
      <c r="W4310" s="2018"/>
      <c r="X4310" s="2018"/>
      <c r="Y4310" s="2018"/>
      <c r="Z4310" s="2023"/>
      <c r="AA4310" s="2023"/>
      <c r="AB4310" s="1050"/>
      <c r="AC4310" s="1050"/>
      <c r="AD4310" s="1050"/>
      <c r="AE4310" s="1050"/>
      <c r="AF4310" s="1052"/>
    </row>
    <row r="4311" spans="1:32" ht="15.75" x14ac:dyDescent="0.25">
      <c r="A4311" s="2017"/>
      <c r="B4311" s="2018"/>
      <c r="C4311" s="2018"/>
      <c r="D4311" s="2018"/>
      <c r="E4311" s="2018"/>
      <c r="F4311" s="2018"/>
      <c r="G4311" s="2018"/>
      <c r="H4311" s="2018"/>
      <c r="I4311" s="2018"/>
      <c r="J4311" s="2018"/>
      <c r="K4311" s="2018"/>
      <c r="L4311" s="2018"/>
      <c r="M4311" s="2018"/>
      <c r="N4311" s="2018"/>
      <c r="O4311" s="2018"/>
      <c r="P4311" s="2018"/>
      <c r="Q4311" s="2018"/>
      <c r="R4311" s="2018"/>
      <c r="S4311" s="2018"/>
      <c r="T4311" s="2018"/>
      <c r="U4311" s="2018"/>
      <c r="V4311" s="2018"/>
      <c r="W4311" s="2018"/>
      <c r="X4311" s="2018"/>
      <c r="Y4311" s="2018"/>
      <c r="Z4311" s="2023"/>
      <c r="AA4311" s="2023"/>
      <c r="AB4311" s="1050"/>
      <c r="AC4311" s="1050"/>
      <c r="AD4311" s="1050"/>
      <c r="AE4311" s="1050"/>
      <c r="AF4311" s="1052"/>
    </row>
    <row r="4312" spans="1:32" ht="16.5" thickBot="1" x14ac:dyDescent="0.3">
      <c r="A4312" s="2019"/>
      <c r="B4312" s="2020"/>
      <c r="C4312" s="2020"/>
      <c r="D4312" s="2020"/>
      <c r="E4312" s="2020"/>
      <c r="F4312" s="2020"/>
      <c r="G4312" s="2020"/>
      <c r="H4312" s="2020"/>
      <c r="I4312" s="2020"/>
      <c r="J4312" s="2020"/>
      <c r="K4312" s="2020"/>
      <c r="L4312" s="2020"/>
      <c r="M4312" s="2020"/>
      <c r="N4312" s="2020"/>
      <c r="O4312" s="2020"/>
      <c r="P4312" s="2020"/>
      <c r="Q4312" s="2020"/>
      <c r="R4312" s="2020"/>
      <c r="S4312" s="2020"/>
      <c r="T4312" s="2020"/>
      <c r="U4312" s="2020"/>
      <c r="V4312" s="2020"/>
      <c r="W4312" s="2020"/>
      <c r="X4312" s="2020"/>
      <c r="Y4312" s="2020"/>
      <c r="Z4312" s="2024"/>
      <c r="AA4312" s="2024"/>
      <c r="AB4312" s="1057"/>
      <c r="AC4312" s="1057"/>
      <c r="AD4312" s="1057"/>
      <c r="AE4312" s="1057"/>
      <c r="AF4312" s="1058"/>
    </row>
    <row r="4313" spans="1:32" ht="15.75" x14ac:dyDescent="0.25">
      <c r="A4313" s="2009" t="s">
        <v>1855</v>
      </c>
      <c r="B4313" s="2010"/>
      <c r="C4313" s="2010"/>
      <c r="D4313" s="2010"/>
      <c r="E4313" s="2010"/>
      <c r="F4313" s="2010"/>
      <c r="G4313" s="2010"/>
      <c r="H4313" s="2010"/>
      <c r="I4313" s="2010"/>
      <c r="J4313" s="2010"/>
      <c r="K4313" s="2010"/>
      <c r="L4313" s="2010"/>
      <c r="M4313" s="2010"/>
      <c r="N4313" s="2010"/>
      <c r="O4313" s="2010"/>
      <c r="P4313" s="2010"/>
      <c r="Q4313" s="2010"/>
      <c r="R4313" s="2010"/>
      <c r="S4313" s="2010"/>
      <c r="T4313" s="2010"/>
      <c r="U4313" s="2010"/>
      <c r="V4313" s="2010"/>
      <c r="W4313" s="2010"/>
      <c r="X4313" s="2010"/>
      <c r="Y4313" s="2010"/>
      <c r="Z4313" s="2013" t="s">
        <v>1850</v>
      </c>
      <c r="AA4313" s="2013"/>
      <c r="AB4313" s="2013"/>
      <c r="AC4313" s="2013"/>
      <c r="AD4313" s="2013"/>
      <c r="AE4313" s="2013"/>
      <c r="AF4313" s="1059">
        <f>SUM(AF4289:AF4312)</f>
        <v>3743.78</v>
      </c>
    </row>
    <row r="4314" spans="1:32" ht="15.75" x14ac:dyDescent="0.25">
      <c r="A4314" s="2011"/>
      <c r="B4314" s="2012"/>
      <c r="C4314" s="2012"/>
      <c r="D4314" s="2012"/>
      <c r="E4314" s="2012"/>
      <c r="F4314" s="2012"/>
      <c r="G4314" s="2012"/>
      <c r="H4314" s="2012"/>
      <c r="I4314" s="2012"/>
      <c r="J4314" s="2012"/>
      <c r="K4314" s="2012"/>
      <c r="L4314" s="2012"/>
      <c r="M4314" s="2012"/>
      <c r="N4314" s="2012"/>
      <c r="O4314" s="2012"/>
      <c r="P4314" s="2012"/>
      <c r="Q4314" s="2012"/>
      <c r="R4314" s="2012"/>
      <c r="S4314" s="2012"/>
      <c r="T4314" s="2012"/>
      <c r="U4314" s="2012"/>
      <c r="V4314" s="2012"/>
      <c r="W4314" s="2012"/>
      <c r="X4314" s="2012"/>
      <c r="Y4314" s="2012"/>
      <c r="Z4314" s="2014" t="s">
        <v>1851</v>
      </c>
      <c r="AA4314" s="2014"/>
      <c r="AB4314" s="2014"/>
      <c r="AC4314" s="2014"/>
      <c r="AD4314" s="2014"/>
      <c r="AE4314" s="2014"/>
      <c r="AF4314" s="1060">
        <v>0</v>
      </c>
    </row>
    <row r="4315" spans="1:32" ht="15.75" x14ac:dyDescent="0.25">
      <c r="A4315" s="2011"/>
      <c r="B4315" s="2012"/>
      <c r="C4315" s="2012"/>
      <c r="D4315" s="2012"/>
      <c r="E4315" s="2012"/>
      <c r="F4315" s="2012"/>
      <c r="G4315" s="2012"/>
      <c r="H4315" s="2012"/>
      <c r="I4315" s="2012"/>
      <c r="J4315" s="2012"/>
      <c r="K4315" s="2012"/>
      <c r="L4315" s="2012"/>
      <c r="M4315" s="2012"/>
      <c r="N4315" s="2012"/>
      <c r="O4315" s="2012"/>
      <c r="P4315" s="2012"/>
      <c r="Q4315" s="2012"/>
      <c r="R4315" s="2012"/>
      <c r="S4315" s="2012"/>
      <c r="T4315" s="2012"/>
      <c r="U4315" s="2012"/>
      <c r="V4315" s="2012"/>
      <c r="W4315" s="2012"/>
      <c r="X4315" s="2012"/>
      <c r="Y4315" s="2012"/>
      <c r="Z4315" s="2015" t="s">
        <v>1833</v>
      </c>
      <c r="AA4315" s="2015"/>
      <c r="AB4315" s="2015"/>
      <c r="AC4315" s="2015"/>
      <c r="AD4315" s="2015"/>
      <c r="AE4315" s="2015"/>
      <c r="AF4315" s="1061">
        <f>SUM(AF4313:AF4314)</f>
        <v>3743.78</v>
      </c>
    </row>
    <row r="4316" spans="1:32" x14ac:dyDescent="0.2">
      <c r="A4316" s="2012" t="s">
        <v>1859</v>
      </c>
      <c r="B4316" s="2012"/>
      <c r="C4316" s="2012"/>
      <c r="D4316" s="2012"/>
      <c r="E4316" s="2012"/>
      <c r="F4316" s="2012"/>
      <c r="G4316" s="2012"/>
      <c r="H4316" s="2012"/>
      <c r="I4316" s="2012"/>
      <c r="J4316" s="2012"/>
      <c r="K4316" s="2012"/>
      <c r="L4316" s="2012"/>
      <c r="M4316" s="2012"/>
      <c r="N4316" s="2012"/>
      <c r="O4316" s="2012"/>
      <c r="P4316" s="2012"/>
      <c r="Q4316" s="2012"/>
      <c r="R4316" s="2012"/>
      <c r="S4316" s="2012"/>
      <c r="T4316" s="2016" t="s">
        <v>1840</v>
      </c>
      <c r="U4316" s="2016"/>
      <c r="V4316" s="2016"/>
      <c r="W4316" s="2016"/>
      <c r="X4316" s="2016"/>
      <c r="Y4316" s="2016"/>
      <c r="Z4316" s="2016"/>
      <c r="AA4316" s="2016"/>
      <c r="AB4316" s="2012" t="s">
        <v>1852</v>
      </c>
      <c r="AC4316" s="2012"/>
      <c r="AD4316" s="2012"/>
      <c r="AE4316" s="2012"/>
      <c r="AF4316" s="2012"/>
    </row>
    <row r="4317" spans="1:32" x14ac:dyDescent="0.2">
      <c r="A4317" s="2012"/>
      <c r="B4317" s="2012"/>
      <c r="C4317" s="2012"/>
      <c r="D4317" s="2012"/>
      <c r="E4317" s="2012"/>
      <c r="F4317" s="2012"/>
      <c r="G4317" s="2012"/>
      <c r="H4317" s="2012"/>
      <c r="I4317" s="2012"/>
      <c r="J4317" s="2012"/>
      <c r="K4317" s="2012"/>
      <c r="L4317" s="2012"/>
      <c r="M4317" s="2012"/>
      <c r="N4317" s="2012"/>
      <c r="O4317" s="2012"/>
      <c r="P4317" s="2012"/>
      <c r="Q4317" s="2012"/>
      <c r="R4317" s="2012"/>
      <c r="S4317" s="2012"/>
      <c r="T4317" s="2016"/>
      <c r="U4317" s="2016"/>
      <c r="V4317" s="2016"/>
      <c r="W4317" s="2016"/>
      <c r="X4317" s="2016"/>
      <c r="Y4317" s="2016"/>
      <c r="Z4317" s="2016"/>
      <c r="AA4317" s="2016"/>
      <c r="AB4317" s="2012"/>
      <c r="AC4317" s="2012"/>
      <c r="AD4317" s="2012"/>
      <c r="AE4317" s="2012"/>
      <c r="AF4317" s="2012"/>
    </row>
    <row r="4318" spans="1:32" ht="13.9" customHeight="1" thickBot="1" x14ac:dyDescent="0.25"/>
    <row r="4319" spans="1:32" ht="26.45" customHeight="1" x14ac:dyDescent="0.2">
      <c r="A4319" s="2025" t="s">
        <v>1854</v>
      </c>
      <c r="B4319" s="2026"/>
      <c r="C4319" s="2026"/>
      <c r="D4319" s="2026"/>
      <c r="E4319" s="2026"/>
      <c r="F4319" s="2026"/>
      <c r="G4319" s="2026"/>
      <c r="H4319" s="2026"/>
      <c r="I4319" s="2026"/>
      <c r="J4319" s="2026"/>
      <c r="K4319" s="2026"/>
      <c r="L4319" s="2026"/>
      <c r="M4319" s="2026"/>
      <c r="N4319" s="2026"/>
      <c r="O4319" s="2026"/>
      <c r="P4319" s="2026"/>
      <c r="Q4319" s="2026"/>
      <c r="R4319" s="2026"/>
      <c r="S4319" s="2026"/>
      <c r="T4319" s="2026"/>
      <c r="U4319" s="2026"/>
      <c r="V4319" s="2026"/>
      <c r="W4319" s="2026"/>
      <c r="X4319" s="2026"/>
      <c r="Y4319" s="2026"/>
      <c r="Z4319" s="2026"/>
      <c r="AA4319" s="2026"/>
      <c r="AB4319" s="2026"/>
      <c r="AC4319" s="2026"/>
      <c r="AD4319" s="2026"/>
      <c r="AE4319" s="1041" t="s">
        <v>1834</v>
      </c>
      <c r="AF4319" s="1042" t="s">
        <v>1835</v>
      </c>
    </row>
    <row r="4320" spans="1:32" ht="21" customHeight="1" thickBot="1" x14ac:dyDescent="0.25">
      <c r="A4320" s="2027"/>
      <c r="B4320" s="2028"/>
      <c r="C4320" s="2028"/>
      <c r="D4320" s="2028"/>
      <c r="E4320" s="2028"/>
      <c r="F4320" s="2028"/>
      <c r="G4320" s="2028"/>
      <c r="H4320" s="2028"/>
      <c r="I4320" s="2028"/>
      <c r="J4320" s="2028"/>
      <c r="K4320" s="2028"/>
      <c r="L4320" s="2028"/>
      <c r="M4320" s="2028"/>
      <c r="N4320" s="2028"/>
      <c r="O4320" s="2028"/>
      <c r="P4320" s="2028"/>
      <c r="Q4320" s="2028"/>
      <c r="R4320" s="2028"/>
      <c r="S4320" s="2028"/>
      <c r="T4320" s="2028"/>
      <c r="U4320" s="2028"/>
      <c r="V4320" s="2028"/>
      <c r="W4320" s="2028"/>
      <c r="X4320" s="2028"/>
      <c r="Y4320" s="2028"/>
      <c r="Z4320" s="2028"/>
      <c r="AA4320" s="2028"/>
      <c r="AB4320" s="2028"/>
      <c r="AC4320" s="2028"/>
      <c r="AD4320" s="2028"/>
      <c r="AE4320" s="1041" t="s">
        <v>1836</v>
      </c>
      <c r="AF4320" s="1044">
        <v>1</v>
      </c>
    </row>
    <row r="4321" spans="1:32" ht="15.75" x14ac:dyDescent="0.2">
      <c r="A4321" s="2029"/>
      <c r="B4321" s="2030"/>
      <c r="C4321" s="2030"/>
      <c r="D4321" s="2031"/>
      <c r="E4321" s="2025" t="str">
        <f>'01'!$A$12</f>
        <v>"CONSTRUCCION SISTEMA DE ACUEDUCTO FASE II DEL MUNICIPIO DE TESALIA DPTO DEL HUILA"</v>
      </c>
      <c r="F4321" s="2026"/>
      <c r="G4321" s="2026"/>
      <c r="H4321" s="2026"/>
      <c r="I4321" s="2026"/>
      <c r="J4321" s="2026"/>
      <c r="K4321" s="2026"/>
      <c r="L4321" s="2026"/>
      <c r="M4321" s="2026"/>
      <c r="N4321" s="2026"/>
      <c r="O4321" s="2026"/>
      <c r="P4321" s="2026"/>
      <c r="Q4321" s="2026"/>
      <c r="R4321" s="2026"/>
      <c r="S4321" s="2026"/>
      <c r="T4321" s="2026"/>
      <c r="U4321" s="2026"/>
      <c r="V4321" s="2026"/>
      <c r="W4321" s="2026"/>
      <c r="X4321" s="2026"/>
      <c r="Y4321" s="2026"/>
      <c r="Z4321" s="2026"/>
      <c r="AA4321" s="2026"/>
      <c r="AB4321" s="2026"/>
      <c r="AC4321" s="2026"/>
      <c r="AD4321" s="2035"/>
      <c r="AE4321" s="1041" t="s">
        <v>847</v>
      </c>
      <c r="AF4321" s="1045">
        <f>'01'!$M$13</f>
        <v>0</v>
      </c>
    </row>
    <row r="4322" spans="1:32" ht="16.5" thickBot="1" x14ac:dyDescent="0.25">
      <c r="A4322" s="2032"/>
      <c r="B4322" s="2033"/>
      <c r="C4322" s="2033"/>
      <c r="D4322" s="2034"/>
      <c r="E4322" s="2027"/>
      <c r="F4322" s="2028"/>
      <c r="G4322" s="2028"/>
      <c r="H4322" s="2028"/>
      <c r="I4322" s="2028"/>
      <c r="J4322" s="2028"/>
      <c r="K4322" s="2028"/>
      <c r="L4322" s="2028"/>
      <c r="M4322" s="2028"/>
      <c r="N4322" s="2028"/>
      <c r="O4322" s="2028"/>
      <c r="P4322" s="2028"/>
      <c r="Q4322" s="2028"/>
      <c r="R4322" s="2028"/>
      <c r="S4322" s="2028"/>
      <c r="T4322" s="2028"/>
      <c r="U4322" s="2028"/>
      <c r="V4322" s="2028"/>
      <c r="W4322" s="2028"/>
      <c r="X4322" s="2028"/>
      <c r="Y4322" s="2028"/>
      <c r="Z4322" s="2028"/>
      <c r="AA4322" s="2028"/>
      <c r="AB4322" s="2028"/>
      <c r="AC4322" s="2028"/>
      <c r="AD4322" s="2036"/>
      <c r="AE4322" s="1041" t="s">
        <v>1837</v>
      </c>
      <c r="AF4322" s="1042" t="s">
        <v>1838</v>
      </c>
    </row>
    <row r="4323" spans="1:32" ht="15.75" x14ac:dyDescent="0.25">
      <c r="A4323" s="2037" t="s">
        <v>1860</v>
      </c>
      <c r="B4323" s="2038"/>
      <c r="C4323" s="2038"/>
      <c r="D4323" s="2038"/>
      <c r="E4323" s="2038"/>
      <c r="F4323" s="2038"/>
      <c r="G4323" s="2038"/>
      <c r="H4323" s="2038"/>
      <c r="I4323" s="2038"/>
      <c r="J4323" s="2038"/>
      <c r="K4323" s="2038"/>
      <c r="L4323" s="2038"/>
      <c r="M4323" s="2038"/>
      <c r="N4323" s="2038"/>
      <c r="O4323" s="2038"/>
      <c r="P4323" s="2038"/>
      <c r="Q4323" s="2038"/>
      <c r="R4323" s="2038"/>
      <c r="S4323" s="2038"/>
      <c r="T4323" s="2038"/>
      <c r="U4323" s="2038"/>
      <c r="V4323" s="2038"/>
      <c r="W4323" s="2038"/>
      <c r="X4323" s="2038"/>
      <c r="Y4323" s="2038"/>
      <c r="Z4323" s="2038"/>
      <c r="AA4323" s="2038"/>
      <c r="AB4323" s="2038"/>
      <c r="AC4323" s="2038"/>
      <c r="AD4323" s="2038"/>
      <c r="AE4323" s="2039" t="s">
        <v>1839</v>
      </c>
      <c r="AF4323" s="2040"/>
    </row>
    <row r="4324" spans="1:32" ht="15.75" x14ac:dyDescent="0.25">
      <c r="A4324" s="2041" t="s">
        <v>1840</v>
      </c>
      <c r="B4324" s="2042"/>
      <c r="C4324" s="2042"/>
      <c r="D4324" s="2042"/>
      <c r="E4324" s="2042"/>
      <c r="F4324" s="2042"/>
      <c r="G4324" s="2042"/>
      <c r="H4324" s="2042"/>
      <c r="I4324" s="2042"/>
      <c r="J4324" s="2042"/>
      <c r="K4324" s="2042"/>
      <c r="L4324" s="2042"/>
      <c r="M4324" s="2042"/>
      <c r="N4324" s="2042"/>
      <c r="O4324" s="2042"/>
      <c r="P4324" s="2042"/>
      <c r="Q4324" s="2042"/>
      <c r="R4324" s="2042"/>
      <c r="S4324" s="2042"/>
      <c r="T4324" s="2042"/>
      <c r="U4324" s="2042"/>
      <c r="V4324" s="2042"/>
      <c r="W4324" s="2042"/>
      <c r="X4324" s="2042"/>
      <c r="Y4324" s="2042"/>
      <c r="Z4324" s="2042"/>
      <c r="AA4324" s="2042"/>
      <c r="AB4324" s="2042"/>
      <c r="AC4324" s="2042"/>
      <c r="AD4324" s="2043"/>
      <c r="AE4324" s="2014" t="s">
        <v>1841</v>
      </c>
      <c r="AF4324" s="2044"/>
    </row>
    <row r="4325" spans="1:32" ht="15.75" x14ac:dyDescent="0.25">
      <c r="A4325" s="2045" t="s">
        <v>1853</v>
      </c>
      <c r="B4325" s="2046"/>
      <c r="C4325" s="2046"/>
      <c r="D4325" s="2046"/>
      <c r="E4325" s="2046"/>
      <c r="F4325" s="2046"/>
      <c r="G4325" s="2046"/>
      <c r="H4325" s="2046"/>
      <c r="I4325" s="2046"/>
      <c r="J4325" s="2046"/>
      <c r="K4325" s="2046"/>
      <c r="L4325" s="2046"/>
      <c r="M4325" s="2046"/>
      <c r="N4325" s="2046"/>
      <c r="O4325" s="2046"/>
      <c r="P4325" s="2046"/>
      <c r="Q4325" s="2046"/>
      <c r="R4325" s="2046"/>
      <c r="S4325" s="2046"/>
      <c r="T4325" s="2046"/>
      <c r="U4325" s="2046"/>
      <c r="V4325" s="2046"/>
      <c r="W4325" s="2046"/>
      <c r="X4325" s="2046"/>
      <c r="Y4325" s="2046"/>
      <c r="Z4325" s="2046"/>
      <c r="AA4325" s="2046"/>
      <c r="AB4325" s="2046"/>
      <c r="AC4325" s="2046"/>
      <c r="AD4325" s="2046"/>
      <c r="AE4325" s="2047">
        <f>'01'!$M$13</f>
        <v>0</v>
      </c>
      <c r="AF4325" s="2044"/>
    </row>
    <row r="4326" spans="1:32" x14ac:dyDescent="0.2">
      <c r="A4326" s="1046"/>
      <c r="B4326" s="1047"/>
      <c r="C4326" s="1047"/>
      <c r="D4326" s="1047"/>
      <c r="E4326" s="1047"/>
      <c r="F4326" s="1047"/>
      <c r="G4326" s="1047"/>
      <c r="H4326" s="1047"/>
      <c r="I4326" s="1047"/>
      <c r="J4326" s="1047"/>
      <c r="K4326" s="1047"/>
      <c r="L4326" s="1047"/>
      <c r="M4326" s="1047"/>
      <c r="N4326" s="1047"/>
      <c r="O4326" s="1047"/>
      <c r="P4326" s="1047"/>
      <c r="Q4326" s="1047"/>
      <c r="R4326" s="1047"/>
      <c r="S4326" s="1047"/>
      <c r="T4326" s="1047"/>
      <c r="U4326" s="1047"/>
      <c r="V4326" s="1047"/>
      <c r="W4326" s="1047"/>
      <c r="X4326" s="1047"/>
      <c r="Y4326" s="1047"/>
      <c r="Z4326" s="1047"/>
      <c r="AA4326" s="1047"/>
      <c r="AB4326" s="1047"/>
      <c r="AC4326" s="1047"/>
      <c r="AD4326" s="1047"/>
      <c r="AE4326" s="1047"/>
      <c r="AF4326" s="1048"/>
    </row>
    <row r="4327" spans="1:32" ht="30" customHeight="1" x14ac:dyDescent="0.2">
      <c r="A4327" s="2048" t="s">
        <v>1842</v>
      </c>
      <c r="B4327" s="2049"/>
      <c r="C4327" s="2049"/>
      <c r="D4327" s="2049"/>
      <c r="E4327" s="2049"/>
      <c r="F4327" s="2050" t="str">
        <f>+'01'!$H$163</f>
        <v>F - LECHOS DE SECADO</v>
      </c>
      <c r="G4327" s="2049"/>
      <c r="H4327" s="2049"/>
      <c r="I4327" s="2049"/>
      <c r="J4327" s="2049"/>
      <c r="K4327" s="2049"/>
      <c r="L4327" s="2049"/>
      <c r="M4327" s="2049"/>
      <c r="N4327" s="2049"/>
      <c r="O4327" s="2049"/>
      <c r="P4327" s="2049"/>
      <c r="Q4327" s="2049"/>
      <c r="R4327" s="2049"/>
      <c r="S4327" s="2049"/>
      <c r="T4327" s="2049"/>
      <c r="U4327" s="2049"/>
      <c r="V4327" s="2049"/>
      <c r="W4327" s="2049"/>
      <c r="X4327" s="2049"/>
      <c r="Y4327" s="2051"/>
      <c r="Z4327" s="2052" t="s">
        <v>1843</v>
      </c>
      <c r="AA4327" s="2053"/>
      <c r="AB4327" s="2058" t="s">
        <v>1844</v>
      </c>
      <c r="AC4327" s="2059"/>
      <c r="AD4327" s="2060"/>
      <c r="AE4327" s="2064" t="s">
        <v>1845</v>
      </c>
      <c r="AF4327" s="2067" t="s">
        <v>1846</v>
      </c>
    </row>
    <row r="4328" spans="1:32" ht="15" customHeight="1" x14ac:dyDescent="0.2">
      <c r="A4328" s="2070" t="str">
        <f>+'01'!A183</f>
        <v>F-07-01</v>
      </c>
      <c r="B4328" s="2071"/>
      <c r="C4328" s="2072"/>
      <c r="D4328" s="2076" t="str">
        <f>VLOOKUP(A4328,'01'!$A$12:$N$299,3,FALSE)</f>
        <v xml:space="preserve">SUMINISTRO E INSTALACIÓN DE TUBERIA PVC UNION MECANICA DE 4". PRESIÓN DE TRABAJO 200 PSI.  </v>
      </c>
      <c r="E4328" s="2077"/>
      <c r="F4328" s="2077"/>
      <c r="G4328" s="2077"/>
      <c r="H4328" s="2077"/>
      <c r="I4328" s="2077"/>
      <c r="J4328" s="2077"/>
      <c r="K4328" s="2077"/>
      <c r="L4328" s="2077"/>
      <c r="M4328" s="2077"/>
      <c r="N4328" s="2077"/>
      <c r="O4328" s="2077"/>
      <c r="P4328" s="2077"/>
      <c r="Q4328" s="2077"/>
      <c r="R4328" s="2077"/>
      <c r="S4328" s="2078"/>
      <c r="T4328" s="2082" t="s">
        <v>124</v>
      </c>
      <c r="U4328" s="2083"/>
      <c r="V4328" s="2083"/>
      <c r="W4328" s="2083"/>
      <c r="X4328" s="2052" t="str">
        <f>VLOOKUP(A4328,'01'!$A$12:$N$299,9,FALSE)</f>
        <v>ML</v>
      </c>
      <c r="Y4328" s="2053"/>
      <c r="Z4328" s="2054"/>
      <c r="AA4328" s="2055"/>
      <c r="AB4328" s="2061"/>
      <c r="AC4328" s="2062"/>
      <c r="AD4328" s="2063"/>
      <c r="AE4328" s="2065"/>
      <c r="AF4328" s="2068"/>
    </row>
    <row r="4329" spans="1:32" ht="15" customHeight="1" x14ac:dyDescent="0.25">
      <c r="A4329" s="2073"/>
      <c r="B4329" s="2074"/>
      <c r="C4329" s="2075"/>
      <c r="D4329" s="2079"/>
      <c r="E4329" s="2080"/>
      <c r="F4329" s="2080"/>
      <c r="G4329" s="2080"/>
      <c r="H4329" s="2080"/>
      <c r="I4329" s="2080"/>
      <c r="J4329" s="2080"/>
      <c r="K4329" s="2080"/>
      <c r="L4329" s="2080"/>
      <c r="M4329" s="2080"/>
      <c r="N4329" s="2080"/>
      <c r="O4329" s="2080"/>
      <c r="P4329" s="2080"/>
      <c r="Q4329" s="2080"/>
      <c r="R4329" s="2080"/>
      <c r="S4329" s="2081"/>
      <c r="T4329" s="2084"/>
      <c r="U4329" s="2085"/>
      <c r="V4329" s="2085"/>
      <c r="W4329" s="2085"/>
      <c r="X4329" s="2056"/>
      <c r="Y4329" s="2057"/>
      <c r="Z4329" s="2056"/>
      <c r="AA4329" s="2057"/>
      <c r="AB4329" s="1049" t="s">
        <v>1847</v>
      </c>
      <c r="AC4329" s="1049" t="s">
        <v>1848</v>
      </c>
      <c r="AD4329" s="1049" t="s">
        <v>1861</v>
      </c>
      <c r="AE4329" s="2066"/>
      <c r="AF4329" s="2069"/>
    </row>
    <row r="4330" spans="1:32" ht="15.6" customHeight="1" x14ac:dyDescent="0.25">
      <c r="A4330" s="2017"/>
      <c r="B4330" s="2018"/>
      <c r="C4330" s="2018"/>
      <c r="D4330" s="2018"/>
      <c r="E4330" s="2018"/>
      <c r="F4330" s="2018"/>
      <c r="G4330" s="2018"/>
      <c r="H4330" s="2018"/>
      <c r="I4330" s="2018"/>
      <c r="J4330" s="2018"/>
      <c r="K4330" s="2018"/>
      <c r="L4330" s="2018"/>
      <c r="M4330" s="2018"/>
      <c r="N4330" s="2018"/>
      <c r="O4330" s="2018"/>
      <c r="P4330" s="2018"/>
      <c r="Q4330" s="2018"/>
      <c r="R4330" s="2018"/>
      <c r="S4330" s="2018"/>
      <c r="T4330" s="2018"/>
      <c r="U4330" s="2018"/>
      <c r="V4330" s="2018"/>
      <c r="W4330" s="2018"/>
      <c r="X4330" s="2018"/>
      <c r="Y4330" s="2018"/>
      <c r="Z4330" s="2021" t="s">
        <v>2487</v>
      </c>
      <c r="AA4330" s="2021"/>
      <c r="AB4330" s="1050">
        <f>+AB3932</f>
        <v>15</v>
      </c>
      <c r="AC4330" s="1050"/>
      <c r="AD4330" s="1050"/>
      <c r="AE4330" s="1050">
        <v>1</v>
      </c>
      <c r="AF4330" s="1052">
        <f>+ROUND(AB4330*AE4330,2)</f>
        <v>15</v>
      </c>
    </row>
    <row r="4331" spans="1:32" ht="15.6" customHeight="1" x14ac:dyDescent="0.25">
      <c r="A4331" s="2017"/>
      <c r="B4331" s="2018"/>
      <c r="C4331" s="2018"/>
      <c r="D4331" s="2018"/>
      <c r="E4331" s="2018"/>
      <c r="F4331" s="2018"/>
      <c r="G4331" s="2018"/>
      <c r="H4331" s="2018"/>
      <c r="I4331" s="2018"/>
      <c r="J4331" s="2018"/>
      <c r="K4331" s="2018"/>
      <c r="L4331" s="2018"/>
      <c r="M4331" s="2018"/>
      <c r="N4331" s="2018"/>
      <c r="O4331" s="2018"/>
      <c r="P4331" s="2018"/>
      <c r="Q4331" s="2018"/>
      <c r="R4331" s="2018"/>
      <c r="S4331" s="2018"/>
      <c r="T4331" s="2018"/>
      <c r="U4331" s="2018"/>
      <c r="V4331" s="2018"/>
      <c r="W4331" s="2018"/>
      <c r="X4331" s="2018"/>
      <c r="Y4331" s="2018"/>
      <c r="Z4331" s="2021" t="s">
        <v>2492</v>
      </c>
      <c r="AA4331" s="2021"/>
      <c r="AB4331" s="1050">
        <v>1.1000000000000001</v>
      </c>
      <c r="AC4331" s="1050"/>
      <c r="AD4331" s="1050"/>
      <c r="AE4331" s="1050">
        <v>4</v>
      </c>
      <c r="AF4331" s="1052">
        <f>+ROUND(AB4331*AE4331,2)</f>
        <v>4.4000000000000004</v>
      </c>
    </row>
    <row r="4332" spans="1:32" ht="15.75" x14ac:dyDescent="0.25">
      <c r="A4332" s="2017"/>
      <c r="B4332" s="2018"/>
      <c r="C4332" s="2018"/>
      <c r="D4332" s="2018"/>
      <c r="E4332" s="2018"/>
      <c r="F4332" s="2018"/>
      <c r="G4332" s="2018"/>
      <c r="H4332" s="2018"/>
      <c r="I4332" s="2018"/>
      <c r="J4332" s="2018"/>
      <c r="K4332" s="2018"/>
      <c r="L4332" s="2018"/>
      <c r="M4332" s="2018"/>
      <c r="N4332" s="2018"/>
      <c r="O4332" s="2018"/>
      <c r="P4332" s="2018"/>
      <c r="Q4332" s="2018"/>
      <c r="R4332" s="2018"/>
      <c r="S4332" s="2018"/>
      <c r="T4332" s="2018"/>
      <c r="U4332" s="2018"/>
      <c r="V4332" s="2018"/>
      <c r="W4332" s="2018"/>
      <c r="X4332" s="2018"/>
      <c r="Y4332" s="2018"/>
      <c r="Z4332" s="2021" t="s">
        <v>2509</v>
      </c>
      <c r="AA4332" s="2021"/>
      <c r="AB4332" s="1050">
        <v>3</v>
      </c>
      <c r="AC4332" s="1050"/>
      <c r="AD4332" s="1050"/>
      <c r="AE4332" s="1050">
        <v>4</v>
      </c>
      <c r="AF4332" s="1052">
        <f>+ROUND(AB4332*AE4332,2)</f>
        <v>12</v>
      </c>
    </row>
    <row r="4333" spans="1:32" ht="15.75" x14ac:dyDescent="0.25">
      <c r="A4333" s="2017"/>
      <c r="B4333" s="2018"/>
      <c r="C4333" s="2018"/>
      <c r="D4333" s="2018"/>
      <c r="E4333" s="2018"/>
      <c r="F4333" s="2018"/>
      <c r="G4333" s="2018"/>
      <c r="H4333" s="2018"/>
      <c r="I4333" s="2018"/>
      <c r="J4333" s="2018"/>
      <c r="K4333" s="2018"/>
      <c r="L4333" s="2018"/>
      <c r="M4333" s="2018"/>
      <c r="N4333" s="2018"/>
      <c r="O4333" s="2018"/>
      <c r="P4333" s="2018"/>
      <c r="Q4333" s="2018"/>
      <c r="R4333" s="2018"/>
      <c r="S4333" s="2018"/>
      <c r="T4333" s="2018"/>
      <c r="U4333" s="2018"/>
      <c r="V4333" s="2018"/>
      <c r="W4333" s="2018"/>
      <c r="X4333" s="2018"/>
      <c r="Y4333" s="2018"/>
      <c r="Z4333" s="2021"/>
      <c r="AA4333" s="2021"/>
      <c r="AB4333" s="1050"/>
      <c r="AC4333" s="1050"/>
      <c r="AD4333" s="1050"/>
      <c r="AE4333" s="1050"/>
      <c r="AF4333" s="1052"/>
    </row>
    <row r="4334" spans="1:32" ht="15.6" customHeight="1" x14ac:dyDescent="0.25">
      <c r="A4334" s="2017"/>
      <c r="B4334" s="2018"/>
      <c r="C4334" s="2018"/>
      <c r="D4334" s="2018"/>
      <c r="E4334" s="2018"/>
      <c r="F4334" s="2018"/>
      <c r="G4334" s="2018"/>
      <c r="H4334" s="2018"/>
      <c r="I4334" s="2018"/>
      <c r="J4334" s="2018"/>
      <c r="K4334" s="2018"/>
      <c r="L4334" s="2018"/>
      <c r="M4334" s="2018"/>
      <c r="N4334" s="2018"/>
      <c r="O4334" s="2018"/>
      <c r="P4334" s="2018"/>
      <c r="Q4334" s="2018"/>
      <c r="R4334" s="2018"/>
      <c r="S4334" s="2018"/>
      <c r="T4334" s="2018"/>
      <c r="U4334" s="2018"/>
      <c r="V4334" s="2018"/>
      <c r="W4334" s="2018"/>
      <c r="X4334" s="2018"/>
      <c r="Y4334" s="2018"/>
      <c r="Z4334" s="2021"/>
      <c r="AA4334" s="2021"/>
      <c r="AB4334" s="1050"/>
      <c r="AC4334" s="1050"/>
      <c r="AD4334" s="1050"/>
      <c r="AE4334" s="1050"/>
      <c r="AF4334" s="1052"/>
    </row>
    <row r="4335" spans="1:32" ht="15.75" x14ac:dyDescent="0.25">
      <c r="A4335" s="2017"/>
      <c r="B4335" s="2018"/>
      <c r="C4335" s="2018"/>
      <c r="D4335" s="2018"/>
      <c r="E4335" s="2018"/>
      <c r="F4335" s="2018"/>
      <c r="G4335" s="2018"/>
      <c r="H4335" s="2018"/>
      <c r="I4335" s="2018"/>
      <c r="J4335" s="2018"/>
      <c r="K4335" s="2018"/>
      <c r="L4335" s="2018"/>
      <c r="M4335" s="2018"/>
      <c r="N4335" s="2018"/>
      <c r="O4335" s="2018"/>
      <c r="P4335" s="2018"/>
      <c r="Q4335" s="2018"/>
      <c r="R4335" s="2018"/>
      <c r="S4335" s="2018"/>
      <c r="T4335" s="2018"/>
      <c r="U4335" s="2018"/>
      <c r="V4335" s="2018"/>
      <c r="W4335" s="2018"/>
      <c r="X4335" s="2018"/>
      <c r="Y4335" s="2018"/>
      <c r="Z4335" s="2021"/>
      <c r="AA4335" s="2021"/>
      <c r="AB4335" s="1050"/>
      <c r="AC4335" s="1050"/>
      <c r="AD4335" s="1050"/>
      <c r="AE4335" s="1050"/>
      <c r="AF4335" s="1052"/>
    </row>
    <row r="4336" spans="1:32" ht="15.75" x14ac:dyDescent="0.25">
      <c r="A4336" s="2017"/>
      <c r="B4336" s="2018"/>
      <c r="C4336" s="2018"/>
      <c r="D4336" s="2018"/>
      <c r="E4336" s="2018"/>
      <c r="F4336" s="2018"/>
      <c r="G4336" s="2018"/>
      <c r="H4336" s="2018"/>
      <c r="I4336" s="2018"/>
      <c r="J4336" s="2018"/>
      <c r="K4336" s="2018"/>
      <c r="L4336" s="2018"/>
      <c r="M4336" s="2018"/>
      <c r="N4336" s="2018"/>
      <c r="O4336" s="2018"/>
      <c r="P4336" s="2018"/>
      <c r="Q4336" s="2018"/>
      <c r="R4336" s="2018"/>
      <c r="S4336" s="2018"/>
      <c r="T4336" s="2018"/>
      <c r="U4336" s="2018"/>
      <c r="V4336" s="2018"/>
      <c r="W4336" s="2018"/>
      <c r="X4336" s="2018"/>
      <c r="Y4336" s="2018"/>
      <c r="Z4336" s="2021"/>
      <c r="AA4336" s="2021"/>
      <c r="AB4336" s="1050"/>
      <c r="AC4336" s="1050"/>
      <c r="AD4336" s="1050"/>
      <c r="AE4336" s="1050"/>
      <c r="AF4336" s="1052"/>
    </row>
    <row r="4337" spans="1:32" ht="15.75" x14ac:dyDescent="0.25">
      <c r="A4337" s="2017"/>
      <c r="B4337" s="2018"/>
      <c r="C4337" s="2018"/>
      <c r="D4337" s="2018"/>
      <c r="E4337" s="2018"/>
      <c r="F4337" s="2018"/>
      <c r="G4337" s="2018"/>
      <c r="H4337" s="2018"/>
      <c r="I4337" s="2018"/>
      <c r="J4337" s="2018"/>
      <c r="K4337" s="2018"/>
      <c r="L4337" s="2018"/>
      <c r="M4337" s="2018"/>
      <c r="N4337" s="2018"/>
      <c r="O4337" s="2018"/>
      <c r="P4337" s="2018"/>
      <c r="Q4337" s="2018"/>
      <c r="R4337" s="2018"/>
      <c r="S4337" s="2018"/>
      <c r="T4337" s="2018"/>
      <c r="U4337" s="2018"/>
      <c r="V4337" s="2018"/>
      <c r="W4337" s="2018"/>
      <c r="X4337" s="2018"/>
      <c r="Y4337" s="2018"/>
      <c r="Z4337" s="2021"/>
      <c r="AA4337" s="2021"/>
      <c r="AB4337" s="1050"/>
      <c r="AC4337" s="1050"/>
      <c r="AD4337" s="1050"/>
      <c r="AE4337" s="1050"/>
      <c r="AF4337" s="1052"/>
    </row>
    <row r="4338" spans="1:32" ht="15.75" x14ac:dyDescent="0.25">
      <c r="A4338" s="2017"/>
      <c r="B4338" s="2018"/>
      <c r="C4338" s="2018"/>
      <c r="D4338" s="2018"/>
      <c r="E4338" s="2018"/>
      <c r="F4338" s="2018"/>
      <c r="G4338" s="2018"/>
      <c r="H4338" s="2018"/>
      <c r="I4338" s="2018"/>
      <c r="J4338" s="2018"/>
      <c r="K4338" s="2018"/>
      <c r="L4338" s="2018"/>
      <c r="M4338" s="2018"/>
      <c r="N4338" s="2018"/>
      <c r="O4338" s="2018"/>
      <c r="P4338" s="2018"/>
      <c r="Q4338" s="2018"/>
      <c r="R4338" s="2018"/>
      <c r="S4338" s="2018"/>
      <c r="T4338" s="2018"/>
      <c r="U4338" s="2018"/>
      <c r="V4338" s="2018"/>
      <c r="W4338" s="2018"/>
      <c r="X4338" s="2018"/>
      <c r="Y4338" s="2018"/>
      <c r="Z4338" s="2021"/>
      <c r="AA4338" s="2021"/>
      <c r="AB4338" s="1050"/>
      <c r="AC4338" s="1050"/>
      <c r="AD4338" s="1050"/>
      <c r="AE4338" s="1050"/>
      <c r="AF4338" s="1052"/>
    </row>
    <row r="4339" spans="1:32" ht="15.75" x14ac:dyDescent="0.25">
      <c r="A4339" s="2017"/>
      <c r="B4339" s="2018"/>
      <c r="C4339" s="2018"/>
      <c r="D4339" s="2018"/>
      <c r="E4339" s="2018"/>
      <c r="F4339" s="2018"/>
      <c r="G4339" s="2018"/>
      <c r="H4339" s="2018"/>
      <c r="I4339" s="2018"/>
      <c r="J4339" s="2018"/>
      <c r="K4339" s="2018"/>
      <c r="L4339" s="2018"/>
      <c r="M4339" s="2018"/>
      <c r="N4339" s="2018"/>
      <c r="O4339" s="2018"/>
      <c r="P4339" s="2018"/>
      <c r="Q4339" s="2018"/>
      <c r="R4339" s="2018"/>
      <c r="S4339" s="2018"/>
      <c r="T4339" s="2018"/>
      <c r="U4339" s="2018"/>
      <c r="V4339" s="2018"/>
      <c r="W4339" s="2018"/>
      <c r="X4339" s="2018"/>
      <c r="Y4339" s="2018"/>
      <c r="Z4339" s="2021"/>
      <c r="AA4339" s="2021"/>
      <c r="AB4339" s="1050"/>
      <c r="AC4339" s="1050"/>
      <c r="AD4339" s="1050"/>
      <c r="AE4339" s="1050"/>
      <c r="AF4339" s="1052"/>
    </row>
    <row r="4340" spans="1:32" ht="15.75" x14ac:dyDescent="0.25">
      <c r="A4340" s="2017"/>
      <c r="B4340" s="2018"/>
      <c r="C4340" s="2018"/>
      <c r="D4340" s="2018"/>
      <c r="E4340" s="2018"/>
      <c r="F4340" s="2018"/>
      <c r="G4340" s="2018"/>
      <c r="H4340" s="2018"/>
      <c r="I4340" s="2018"/>
      <c r="J4340" s="2018"/>
      <c r="K4340" s="2018"/>
      <c r="L4340" s="2018"/>
      <c r="M4340" s="2018"/>
      <c r="N4340" s="2018"/>
      <c r="O4340" s="2018"/>
      <c r="P4340" s="2018"/>
      <c r="Q4340" s="2018"/>
      <c r="R4340" s="2018"/>
      <c r="S4340" s="2018"/>
      <c r="T4340" s="2018"/>
      <c r="U4340" s="2018"/>
      <c r="V4340" s="2018"/>
      <c r="W4340" s="2018"/>
      <c r="X4340" s="2018"/>
      <c r="Y4340" s="2018"/>
      <c r="Z4340" s="2021"/>
      <c r="AA4340" s="2021"/>
      <c r="AB4340" s="1050"/>
      <c r="AC4340" s="1050"/>
      <c r="AD4340" s="1050"/>
      <c r="AE4340" s="1050"/>
      <c r="AF4340" s="1052"/>
    </row>
    <row r="4341" spans="1:32" ht="15.75" x14ac:dyDescent="0.25">
      <c r="A4341" s="2017"/>
      <c r="B4341" s="2018"/>
      <c r="C4341" s="2018"/>
      <c r="D4341" s="2018"/>
      <c r="E4341" s="2018"/>
      <c r="F4341" s="2018"/>
      <c r="G4341" s="2018"/>
      <c r="H4341" s="2018"/>
      <c r="I4341" s="2018"/>
      <c r="J4341" s="2018"/>
      <c r="K4341" s="2018"/>
      <c r="L4341" s="2018"/>
      <c r="M4341" s="2018"/>
      <c r="N4341" s="2018"/>
      <c r="O4341" s="2018"/>
      <c r="P4341" s="2018"/>
      <c r="Q4341" s="2018"/>
      <c r="R4341" s="2018"/>
      <c r="S4341" s="2018"/>
      <c r="T4341" s="2018"/>
      <c r="U4341" s="2018"/>
      <c r="V4341" s="2018"/>
      <c r="W4341" s="2018"/>
      <c r="X4341" s="2018"/>
      <c r="Y4341" s="2018"/>
      <c r="Z4341" s="2021"/>
      <c r="AA4341" s="2021"/>
      <c r="AB4341" s="1050"/>
      <c r="AC4341" s="1050"/>
      <c r="AD4341" s="1050"/>
      <c r="AE4341" s="1050"/>
      <c r="AF4341" s="1052"/>
    </row>
    <row r="4342" spans="1:32" ht="15.75" x14ac:dyDescent="0.25">
      <c r="A4342" s="2017"/>
      <c r="B4342" s="2018"/>
      <c r="C4342" s="2018"/>
      <c r="D4342" s="2018"/>
      <c r="E4342" s="2018"/>
      <c r="F4342" s="2018"/>
      <c r="G4342" s="2018"/>
      <c r="H4342" s="2018"/>
      <c r="I4342" s="2018"/>
      <c r="J4342" s="2018"/>
      <c r="K4342" s="2018"/>
      <c r="L4342" s="2018"/>
      <c r="M4342" s="2018"/>
      <c r="N4342" s="2018"/>
      <c r="O4342" s="2018"/>
      <c r="P4342" s="2018"/>
      <c r="Q4342" s="2018"/>
      <c r="R4342" s="2018"/>
      <c r="S4342" s="2018"/>
      <c r="T4342" s="2018"/>
      <c r="U4342" s="2018"/>
      <c r="V4342" s="2018"/>
      <c r="W4342" s="2018"/>
      <c r="X4342" s="2018"/>
      <c r="Y4342" s="2018"/>
      <c r="Z4342" s="2021"/>
      <c r="AA4342" s="2021"/>
      <c r="AB4342" s="1050"/>
      <c r="AC4342" s="1050"/>
      <c r="AD4342" s="1050"/>
      <c r="AE4342" s="1050"/>
      <c r="AF4342" s="1052"/>
    </row>
    <row r="4343" spans="1:32" ht="15.75" x14ac:dyDescent="0.25">
      <c r="A4343" s="2017"/>
      <c r="B4343" s="2018"/>
      <c r="C4343" s="2018"/>
      <c r="D4343" s="2018"/>
      <c r="E4343" s="2018"/>
      <c r="F4343" s="2018"/>
      <c r="G4343" s="2018"/>
      <c r="H4343" s="2018"/>
      <c r="I4343" s="2018"/>
      <c r="J4343" s="2018"/>
      <c r="K4343" s="2018"/>
      <c r="L4343" s="2018"/>
      <c r="M4343" s="2018"/>
      <c r="N4343" s="2018"/>
      <c r="O4343" s="2018"/>
      <c r="P4343" s="2018"/>
      <c r="Q4343" s="2018"/>
      <c r="R4343" s="2018"/>
      <c r="S4343" s="2018"/>
      <c r="T4343" s="2018"/>
      <c r="U4343" s="2018"/>
      <c r="V4343" s="2018"/>
      <c r="W4343" s="2018"/>
      <c r="X4343" s="2018"/>
      <c r="Y4343" s="2018"/>
      <c r="Z4343" s="2021"/>
      <c r="AA4343" s="2021"/>
      <c r="AB4343" s="1050"/>
      <c r="AC4343" s="1050"/>
      <c r="AD4343" s="1050"/>
      <c r="AE4343" s="1050"/>
      <c r="AF4343" s="1052"/>
    </row>
    <row r="4344" spans="1:32" ht="15.75" x14ac:dyDescent="0.25">
      <c r="A4344" s="2017"/>
      <c r="B4344" s="2018"/>
      <c r="C4344" s="2018"/>
      <c r="D4344" s="2018"/>
      <c r="E4344" s="2018"/>
      <c r="F4344" s="2018"/>
      <c r="G4344" s="2018"/>
      <c r="H4344" s="2018"/>
      <c r="I4344" s="2018"/>
      <c r="J4344" s="2018"/>
      <c r="K4344" s="2018"/>
      <c r="L4344" s="2018"/>
      <c r="M4344" s="2018"/>
      <c r="N4344" s="2018"/>
      <c r="O4344" s="2018"/>
      <c r="P4344" s="2018"/>
      <c r="Q4344" s="2018"/>
      <c r="R4344" s="2018"/>
      <c r="S4344" s="2018"/>
      <c r="T4344" s="2018"/>
      <c r="U4344" s="2018"/>
      <c r="V4344" s="2018"/>
      <c r="W4344" s="2018"/>
      <c r="X4344" s="2018"/>
      <c r="Y4344" s="2018"/>
      <c r="Z4344" s="2022"/>
      <c r="AA4344" s="2022"/>
      <c r="AB4344" s="1050"/>
      <c r="AC4344" s="1050"/>
      <c r="AD4344" s="1050"/>
      <c r="AE4344" s="1050"/>
      <c r="AF4344" s="1052"/>
    </row>
    <row r="4345" spans="1:32" ht="15.75" x14ac:dyDescent="0.25">
      <c r="A4345" s="2017"/>
      <c r="B4345" s="2018"/>
      <c r="C4345" s="2018"/>
      <c r="D4345" s="2018"/>
      <c r="E4345" s="2018"/>
      <c r="F4345" s="2018"/>
      <c r="G4345" s="2018"/>
      <c r="H4345" s="2018"/>
      <c r="I4345" s="2018"/>
      <c r="J4345" s="2018"/>
      <c r="K4345" s="2018"/>
      <c r="L4345" s="2018"/>
      <c r="M4345" s="2018"/>
      <c r="N4345" s="2018"/>
      <c r="O4345" s="2018"/>
      <c r="P4345" s="2018"/>
      <c r="Q4345" s="2018"/>
      <c r="R4345" s="2018"/>
      <c r="S4345" s="2018"/>
      <c r="T4345" s="2018"/>
      <c r="U4345" s="2018"/>
      <c r="V4345" s="2018"/>
      <c r="W4345" s="2018"/>
      <c r="X4345" s="2018"/>
      <c r="Y4345" s="2018"/>
      <c r="Z4345" s="2022"/>
      <c r="AA4345" s="2022"/>
      <c r="AB4345" s="1050"/>
      <c r="AC4345" s="1050"/>
      <c r="AD4345" s="1050"/>
      <c r="AE4345" s="1050"/>
      <c r="AF4345" s="1052"/>
    </row>
    <row r="4346" spans="1:32" ht="15.75" x14ac:dyDescent="0.25">
      <c r="A4346" s="2017"/>
      <c r="B4346" s="2018"/>
      <c r="C4346" s="2018"/>
      <c r="D4346" s="2018"/>
      <c r="E4346" s="2018"/>
      <c r="F4346" s="2018"/>
      <c r="G4346" s="2018"/>
      <c r="H4346" s="2018"/>
      <c r="I4346" s="2018"/>
      <c r="J4346" s="2018"/>
      <c r="K4346" s="2018"/>
      <c r="L4346" s="2018"/>
      <c r="M4346" s="2018"/>
      <c r="N4346" s="2018"/>
      <c r="O4346" s="2018"/>
      <c r="P4346" s="2018"/>
      <c r="Q4346" s="2018"/>
      <c r="R4346" s="2018"/>
      <c r="S4346" s="2018"/>
      <c r="T4346" s="2018"/>
      <c r="U4346" s="2018"/>
      <c r="V4346" s="2018"/>
      <c r="W4346" s="2018"/>
      <c r="X4346" s="2018"/>
      <c r="Y4346" s="2018"/>
      <c r="Z4346" s="2022"/>
      <c r="AA4346" s="2022"/>
      <c r="AB4346" s="1050"/>
      <c r="AC4346" s="1050"/>
      <c r="AD4346" s="1050"/>
      <c r="AE4346" s="1050"/>
      <c r="AF4346" s="1052"/>
    </row>
    <row r="4347" spans="1:32" ht="15.75" x14ac:dyDescent="0.25">
      <c r="A4347" s="2017"/>
      <c r="B4347" s="2018"/>
      <c r="C4347" s="2018"/>
      <c r="D4347" s="2018"/>
      <c r="E4347" s="2018"/>
      <c r="F4347" s="2018"/>
      <c r="G4347" s="2018"/>
      <c r="H4347" s="2018"/>
      <c r="I4347" s="2018"/>
      <c r="J4347" s="2018"/>
      <c r="K4347" s="2018"/>
      <c r="L4347" s="2018"/>
      <c r="M4347" s="2018"/>
      <c r="N4347" s="2018"/>
      <c r="O4347" s="2018"/>
      <c r="P4347" s="2018"/>
      <c r="Q4347" s="2018"/>
      <c r="R4347" s="2018"/>
      <c r="S4347" s="2018"/>
      <c r="T4347" s="2018"/>
      <c r="U4347" s="2018"/>
      <c r="V4347" s="2018"/>
      <c r="W4347" s="2018"/>
      <c r="X4347" s="2018"/>
      <c r="Y4347" s="2018"/>
      <c r="Z4347" s="2023"/>
      <c r="AA4347" s="2023"/>
      <c r="AB4347" s="1050"/>
      <c r="AC4347" s="1050"/>
      <c r="AD4347" s="1050"/>
      <c r="AE4347" s="1050"/>
      <c r="AF4347" s="1052"/>
    </row>
    <row r="4348" spans="1:32" ht="15.75" x14ac:dyDescent="0.25">
      <c r="A4348" s="2017"/>
      <c r="B4348" s="2018"/>
      <c r="C4348" s="2018"/>
      <c r="D4348" s="2018"/>
      <c r="E4348" s="2018"/>
      <c r="F4348" s="2018"/>
      <c r="G4348" s="2018"/>
      <c r="H4348" s="2018"/>
      <c r="I4348" s="2018"/>
      <c r="J4348" s="2018"/>
      <c r="K4348" s="2018"/>
      <c r="L4348" s="2018"/>
      <c r="M4348" s="2018"/>
      <c r="N4348" s="2018"/>
      <c r="O4348" s="2018"/>
      <c r="P4348" s="2018"/>
      <c r="Q4348" s="2018"/>
      <c r="R4348" s="2018"/>
      <c r="S4348" s="2018"/>
      <c r="T4348" s="2018"/>
      <c r="U4348" s="2018"/>
      <c r="V4348" s="2018"/>
      <c r="W4348" s="2018"/>
      <c r="X4348" s="2018"/>
      <c r="Y4348" s="2018"/>
      <c r="Z4348" s="2023"/>
      <c r="AA4348" s="2023"/>
      <c r="AB4348" s="1050"/>
      <c r="AC4348" s="1050"/>
      <c r="AD4348" s="1050"/>
      <c r="AE4348" s="1050"/>
      <c r="AF4348" s="1052"/>
    </row>
    <row r="4349" spans="1:32" ht="15.75" x14ac:dyDescent="0.25">
      <c r="A4349" s="2017"/>
      <c r="B4349" s="2018"/>
      <c r="C4349" s="2018"/>
      <c r="D4349" s="2018"/>
      <c r="E4349" s="2018"/>
      <c r="F4349" s="2018"/>
      <c r="G4349" s="2018"/>
      <c r="H4349" s="2018"/>
      <c r="I4349" s="2018"/>
      <c r="J4349" s="2018"/>
      <c r="K4349" s="2018"/>
      <c r="L4349" s="2018"/>
      <c r="M4349" s="2018"/>
      <c r="N4349" s="2018"/>
      <c r="O4349" s="2018"/>
      <c r="P4349" s="2018"/>
      <c r="Q4349" s="2018"/>
      <c r="R4349" s="2018"/>
      <c r="S4349" s="2018"/>
      <c r="T4349" s="2018"/>
      <c r="U4349" s="2018"/>
      <c r="V4349" s="2018"/>
      <c r="W4349" s="2018"/>
      <c r="X4349" s="2018"/>
      <c r="Y4349" s="2018"/>
      <c r="Z4349" s="2023"/>
      <c r="AA4349" s="2023"/>
      <c r="AB4349" s="1050"/>
      <c r="AC4349" s="1050"/>
      <c r="AD4349" s="1050"/>
      <c r="AE4349" s="1050"/>
      <c r="AF4349" s="1052"/>
    </row>
    <row r="4350" spans="1:32" ht="15.75" x14ac:dyDescent="0.25">
      <c r="A4350" s="2017"/>
      <c r="B4350" s="2018"/>
      <c r="C4350" s="2018"/>
      <c r="D4350" s="2018"/>
      <c r="E4350" s="2018"/>
      <c r="F4350" s="2018"/>
      <c r="G4350" s="2018"/>
      <c r="H4350" s="2018"/>
      <c r="I4350" s="2018"/>
      <c r="J4350" s="2018"/>
      <c r="K4350" s="2018"/>
      <c r="L4350" s="2018"/>
      <c r="M4350" s="2018"/>
      <c r="N4350" s="2018"/>
      <c r="O4350" s="2018"/>
      <c r="P4350" s="2018"/>
      <c r="Q4350" s="2018"/>
      <c r="R4350" s="2018"/>
      <c r="S4350" s="2018"/>
      <c r="T4350" s="2018"/>
      <c r="U4350" s="2018"/>
      <c r="V4350" s="2018"/>
      <c r="W4350" s="2018"/>
      <c r="X4350" s="2018"/>
      <c r="Y4350" s="2018"/>
      <c r="Z4350" s="2023"/>
      <c r="AA4350" s="2023"/>
      <c r="AB4350" s="1050"/>
      <c r="AC4350" s="1050"/>
      <c r="AD4350" s="1050"/>
      <c r="AE4350" s="1050"/>
      <c r="AF4350" s="1052"/>
    </row>
    <row r="4351" spans="1:32" ht="15.75" x14ac:dyDescent="0.25">
      <c r="A4351" s="2017"/>
      <c r="B4351" s="2018"/>
      <c r="C4351" s="2018"/>
      <c r="D4351" s="2018"/>
      <c r="E4351" s="2018"/>
      <c r="F4351" s="2018"/>
      <c r="G4351" s="2018"/>
      <c r="H4351" s="2018"/>
      <c r="I4351" s="2018"/>
      <c r="J4351" s="2018"/>
      <c r="K4351" s="2018"/>
      <c r="L4351" s="2018"/>
      <c r="M4351" s="2018"/>
      <c r="N4351" s="2018"/>
      <c r="O4351" s="2018"/>
      <c r="P4351" s="2018"/>
      <c r="Q4351" s="2018"/>
      <c r="R4351" s="2018"/>
      <c r="S4351" s="2018"/>
      <c r="T4351" s="2018"/>
      <c r="U4351" s="2018"/>
      <c r="V4351" s="2018"/>
      <c r="W4351" s="2018"/>
      <c r="X4351" s="2018"/>
      <c r="Y4351" s="2018"/>
      <c r="Z4351" s="2023"/>
      <c r="AA4351" s="2023"/>
      <c r="AB4351" s="1050"/>
      <c r="AC4351" s="1050"/>
      <c r="AD4351" s="1050"/>
      <c r="AE4351" s="1050"/>
      <c r="AF4351" s="1052"/>
    </row>
    <row r="4352" spans="1:32" ht="15.75" x14ac:dyDescent="0.25">
      <c r="A4352" s="2017"/>
      <c r="B4352" s="2018"/>
      <c r="C4352" s="2018"/>
      <c r="D4352" s="2018"/>
      <c r="E4352" s="2018"/>
      <c r="F4352" s="2018"/>
      <c r="G4352" s="2018"/>
      <c r="H4352" s="2018"/>
      <c r="I4352" s="2018"/>
      <c r="J4352" s="2018"/>
      <c r="K4352" s="2018"/>
      <c r="L4352" s="2018"/>
      <c r="M4352" s="2018"/>
      <c r="N4352" s="2018"/>
      <c r="O4352" s="2018"/>
      <c r="P4352" s="2018"/>
      <c r="Q4352" s="2018"/>
      <c r="R4352" s="2018"/>
      <c r="S4352" s="2018"/>
      <c r="T4352" s="2018"/>
      <c r="U4352" s="2018"/>
      <c r="V4352" s="2018"/>
      <c r="W4352" s="2018"/>
      <c r="X4352" s="2018"/>
      <c r="Y4352" s="2018"/>
      <c r="Z4352" s="2023"/>
      <c r="AA4352" s="2023"/>
      <c r="AB4352" s="1050"/>
      <c r="AC4352" s="1050"/>
      <c r="AD4352" s="1050"/>
      <c r="AE4352" s="1050"/>
      <c r="AF4352" s="1052"/>
    </row>
    <row r="4353" spans="1:32" ht="16.5" thickBot="1" x14ac:dyDescent="0.3">
      <c r="A4353" s="2019"/>
      <c r="B4353" s="2020"/>
      <c r="C4353" s="2020"/>
      <c r="D4353" s="2020"/>
      <c r="E4353" s="2020"/>
      <c r="F4353" s="2020"/>
      <c r="G4353" s="2020"/>
      <c r="H4353" s="2020"/>
      <c r="I4353" s="2020"/>
      <c r="J4353" s="2020"/>
      <c r="K4353" s="2020"/>
      <c r="L4353" s="2020"/>
      <c r="M4353" s="2020"/>
      <c r="N4353" s="2020"/>
      <c r="O4353" s="2020"/>
      <c r="P4353" s="2020"/>
      <c r="Q4353" s="2020"/>
      <c r="R4353" s="2020"/>
      <c r="S4353" s="2020"/>
      <c r="T4353" s="2020"/>
      <c r="U4353" s="2020"/>
      <c r="V4353" s="2020"/>
      <c r="W4353" s="2020"/>
      <c r="X4353" s="2020"/>
      <c r="Y4353" s="2020"/>
      <c r="Z4353" s="2024"/>
      <c r="AA4353" s="2024"/>
      <c r="AB4353" s="1057"/>
      <c r="AC4353" s="1057"/>
      <c r="AD4353" s="1057"/>
      <c r="AE4353" s="1057"/>
      <c r="AF4353" s="1058"/>
    </row>
    <row r="4354" spans="1:32" ht="15.75" x14ac:dyDescent="0.25">
      <c r="A4354" s="2009" t="s">
        <v>1855</v>
      </c>
      <c r="B4354" s="2010"/>
      <c r="C4354" s="2010"/>
      <c r="D4354" s="2010"/>
      <c r="E4354" s="2010"/>
      <c r="F4354" s="2010"/>
      <c r="G4354" s="2010"/>
      <c r="H4354" s="2010"/>
      <c r="I4354" s="2010"/>
      <c r="J4354" s="2010"/>
      <c r="K4354" s="2010"/>
      <c r="L4354" s="2010"/>
      <c r="M4354" s="2010"/>
      <c r="N4354" s="2010"/>
      <c r="O4354" s="2010"/>
      <c r="P4354" s="2010"/>
      <c r="Q4354" s="2010"/>
      <c r="R4354" s="2010"/>
      <c r="S4354" s="2010"/>
      <c r="T4354" s="2010"/>
      <c r="U4354" s="2010"/>
      <c r="V4354" s="2010"/>
      <c r="W4354" s="2010"/>
      <c r="X4354" s="2010"/>
      <c r="Y4354" s="2010"/>
      <c r="Z4354" s="2013" t="s">
        <v>1850</v>
      </c>
      <c r="AA4354" s="2013"/>
      <c r="AB4354" s="2013"/>
      <c r="AC4354" s="2013"/>
      <c r="AD4354" s="2013"/>
      <c r="AE4354" s="2013"/>
      <c r="AF4354" s="1059">
        <f>SUM(AF4330:AF4353)</f>
        <v>31.4</v>
      </c>
    </row>
    <row r="4355" spans="1:32" ht="15.75" x14ac:dyDescent="0.25">
      <c r="A4355" s="2011"/>
      <c r="B4355" s="2012"/>
      <c r="C4355" s="2012"/>
      <c r="D4355" s="2012"/>
      <c r="E4355" s="2012"/>
      <c r="F4355" s="2012"/>
      <c r="G4355" s="2012"/>
      <c r="H4355" s="2012"/>
      <c r="I4355" s="2012"/>
      <c r="J4355" s="2012"/>
      <c r="K4355" s="2012"/>
      <c r="L4355" s="2012"/>
      <c r="M4355" s="2012"/>
      <c r="N4355" s="2012"/>
      <c r="O4355" s="2012"/>
      <c r="P4355" s="2012"/>
      <c r="Q4355" s="2012"/>
      <c r="R4355" s="2012"/>
      <c r="S4355" s="2012"/>
      <c r="T4355" s="2012"/>
      <c r="U4355" s="2012"/>
      <c r="V4355" s="2012"/>
      <c r="W4355" s="2012"/>
      <c r="X4355" s="2012"/>
      <c r="Y4355" s="2012"/>
      <c r="Z4355" s="2014" t="s">
        <v>1851</v>
      </c>
      <c r="AA4355" s="2014"/>
      <c r="AB4355" s="2014"/>
      <c r="AC4355" s="2014"/>
      <c r="AD4355" s="2014"/>
      <c r="AE4355" s="2014"/>
      <c r="AF4355" s="1060">
        <v>0</v>
      </c>
    </row>
    <row r="4356" spans="1:32" ht="15.75" x14ac:dyDescent="0.25">
      <c r="A4356" s="2011"/>
      <c r="B4356" s="2012"/>
      <c r="C4356" s="2012"/>
      <c r="D4356" s="2012"/>
      <c r="E4356" s="2012"/>
      <c r="F4356" s="2012"/>
      <c r="G4356" s="2012"/>
      <c r="H4356" s="2012"/>
      <c r="I4356" s="2012"/>
      <c r="J4356" s="2012"/>
      <c r="K4356" s="2012"/>
      <c r="L4356" s="2012"/>
      <c r="M4356" s="2012"/>
      <c r="N4356" s="2012"/>
      <c r="O4356" s="2012"/>
      <c r="P4356" s="2012"/>
      <c r="Q4356" s="2012"/>
      <c r="R4356" s="2012"/>
      <c r="S4356" s="2012"/>
      <c r="T4356" s="2012"/>
      <c r="U4356" s="2012"/>
      <c r="V4356" s="2012"/>
      <c r="W4356" s="2012"/>
      <c r="X4356" s="2012"/>
      <c r="Y4356" s="2012"/>
      <c r="Z4356" s="2015" t="s">
        <v>1833</v>
      </c>
      <c r="AA4356" s="2015"/>
      <c r="AB4356" s="2015"/>
      <c r="AC4356" s="2015"/>
      <c r="AD4356" s="2015"/>
      <c r="AE4356" s="2015"/>
      <c r="AF4356" s="1061">
        <f>SUM(AF4354:AF4355)</f>
        <v>31.4</v>
      </c>
    </row>
    <row r="4357" spans="1:32" x14ac:dyDescent="0.2">
      <c r="A4357" s="2012" t="s">
        <v>1859</v>
      </c>
      <c r="B4357" s="2012"/>
      <c r="C4357" s="2012"/>
      <c r="D4357" s="2012"/>
      <c r="E4357" s="2012"/>
      <c r="F4357" s="2012"/>
      <c r="G4357" s="2012"/>
      <c r="H4357" s="2012"/>
      <c r="I4357" s="2012"/>
      <c r="J4357" s="2012"/>
      <c r="K4357" s="2012"/>
      <c r="L4357" s="2012"/>
      <c r="M4357" s="2012"/>
      <c r="N4357" s="2012"/>
      <c r="O4357" s="2012"/>
      <c r="P4357" s="2012"/>
      <c r="Q4357" s="2012"/>
      <c r="R4357" s="2012"/>
      <c r="S4357" s="2012"/>
      <c r="T4357" s="2016" t="s">
        <v>1840</v>
      </c>
      <c r="U4357" s="2016"/>
      <c r="V4357" s="2016"/>
      <c r="W4357" s="2016"/>
      <c r="X4357" s="2016"/>
      <c r="Y4357" s="2016"/>
      <c r="Z4357" s="2016"/>
      <c r="AA4357" s="2016"/>
      <c r="AB4357" s="2012" t="s">
        <v>1852</v>
      </c>
      <c r="AC4357" s="2012"/>
      <c r="AD4357" s="2012"/>
      <c r="AE4357" s="2012"/>
      <c r="AF4357" s="2012"/>
    </row>
    <row r="4358" spans="1:32" x14ac:dyDescent="0.2">
      <c r="A4358" s="2012"/>
      <c r="B4358" s="2012"/>
      <c r="C4358" s="2012"/>
      <c r="D4358" s="2012"/>
      <c r="E4358" s="2012"/>
      <c r="F4358" s="2012"/>
      <c r="G4358" s="2012"/>
      <c r="H4358" s="2012"/>
      <c r="I4358" s="2012"/>
      <c r="J4358" s="2012"/>
      <c r="K4358" s="2012"/>
      <c r="L4358" s="2012"/>
      <c r="M4358" s="2012"/>
      <c r="N4358" s="2012"/>
      <c r="O4358" s="2012"/>
      <c r="P4358" s="2012"/>
      <c r="Q4358" s="2012"/>
      <c r="R4358" s="2012"/>
      <c r="S4358" s="2012"/>
      <c r="T4358" s="2016"/>
      <c r="U4358" s="2016"/>
      <c r="V4358" s="2016"/>
      <c r="W4358" s="2016"/>
      <c r="X4358" s="2016"/>
      <c r="Y4358" s="2016"/>
      <c r="Z4358" s="2016"/>
      <c r="AA4358" s="2016"/>
      <c r="AB4358" s="2012"/>
      <c r="AC4358" s="2012"/>
      <c r="AD4358" s="2012"/>
      <c r="AE4358" s="2012"/>
      <c r="AF4358" s="2012"/>
    </row>
    <row r="4359" spans="1:32" ht="13.5" thickBot="1" x14ac:dyDescent="0.25"/>
    <row r="4360" spans="1:32" ht="26.45" customHeight="1" x14ac:dyDescent="0.2">
      <c r="A4360" s="2025" t="s">
        <v>1854</v>
      </c>
      <c r="B4360" s="2026"/>
      <c r="C4360" s="2026"/>
      <c r="D4360" s="2026"/>
      <c r="E4360" s="2026"/>
      <c r="F4360" s="2026"/>
      <c r="G4360" s="2026"/>
      <c r="H4360" s="2026"/>
      <c r="I4360" s="2026"/>
      <c r="J4360" s="2026"/>
      <c r="K4360" s="2026"/>
      <c r="L4360" s="2026"/>
      <c r="M4360" s="2026"/>
      <c r="N4360" s="2026"/>
      <c r="O4360" s="2026"/>
      <c r="P4360" s="2026"/>
      <c r="Q4360" s="2026"/>
      <c r="R4360" s="2026"/>
      <c r="S4360" s="2026"/>
      <c r="T4360" s="2026"/>
      <c r="U4360" s="2026"/>
      <c r="V4360" s="2026"/>
      <c r="W4360" s="2026"/>
      <c r="X4360" s="2026"/>
      <c r="Y4360" s="2026"/>
      <c r="Z4360" s="2026"/>
      <c r="AA4360" s="2026"/>
      <c r="AB4360" s="2026"/>
      <c r="AC4360" s="2026"/>
      <c r="AD4360" s="2026"/>
      <c r="AE4360" s="1041" t="s">
        <v>1834</v>
      </c>
      <c r="AF4360" s="1042" t="s">
        <v>1835</v>
      </c>
    </row>
    <row r="4361" spans="1:32" ht="21" customHeight="1" thickBot="1" x14ac:dyDescent="0.25">
      <c r="A4361" s="2027"/>
      <c r="B4361" s="2028"/>
      <c r="C4361" s="2028"/>
      <c r="D4361" s="2028"/>
      <c r="E4361" s="2028"/>
      <c r="F4361" s="2028"/>
      <c r="G4361" s="2028"/>
      <c r="H4361" s="2028"/>
      <c r="I4361" s="2028"/>
      <c r="J4361" s="2028"/>
      <c r="K4361" s="2028"/>
      <c r="L4361" s="2028"/>
      <c r="M4361" s="2028"/>
      <c r="N4361" s="2028"/>
      <c r="O4361" s="2028"/>
      <c r="P4361" s="2028"/>
      <c r="Q4361" s="2028"/>
      <c r="R4361" s="2028"/>
      <c r="S4361" s="2028"/>
      <c r="T4361" s="2028"/>
      <c r="U4361" s="2028"/>
      <c r="V4361" s="2028"/>
      <c r="W4361" s="2028"/>
      <c r="X4361" s="2028"/>
      <c r="Y4361" s="2028"/>
      <c r="Z4361" s="2028"/>
      <c r="AA4361" s="2028"/>
      <c r="AB4361" s="2028"/>
      <c r="AC4361" s="2028"/>
      <c r="AD4361" s="2028"/>
      <c r="AE4361" s="1041" t="s">
        <v>1836</v>
      </c>
      <c r="AF4361" s="1044">
        <v>1</v>
      </c>
    </row>
    <row r="4362" spans="1:32" ht="15.75" x14ac:dyDescent="0.2">
      <c r="A4362" s="2029"/>
      <c r="B4362" s="2030"/>
      <c r="C4362" s="2030"/>
      <c r="D4362" s="2031"/>
      <c r="E4362" s="2025" t="str">
        <f>'01'!$A$12</f>
        <v>"CONSTRUCCION SISTEMA DE ACUEDUCTO FASE II DEL MUNICIPIO DE TESALIA DPTO DEL HUILA"</v>
      </c>
      <c r="F4362" s="2026"/>
      <c r="G4362" s="2026"/>
      <c r="H4362" s="2026"/>
      <c r="I4362" s="2026"/>
      <c r="J4362" s="2026"/>
      <c r="K4362" s="2026"/>
      <c r="L4362" s="2026"/>
      <c r="M4362" s="2026"/>
      <c r="N4362" s="2026"/>
      <c r="O4362" s="2026"/>
      <c r="P4362" s="2026"/>
      <c r="Q4362" s="2026"/>
      <c r="R4362" s="2026"/>
      <c r="S4362" s="2026"/>
      <c r="T4362" s="2026"/>
      <c r="U4362" s="2026"/>
      <c r="V4362" s="2026"/>
      <c r="W4362" s="2026"/>
      <c r="X4362" s="2026"/>
      <c r="Y4362" s="2026"/>
      <c r="Z4362" s="2026"/>
      <c r="AA4362" s="2026"/>
      <c r="AB4362" s="2026"/>
      <c r="AC4362" s="2026"/>
      <c r="AD4362" s="2035"/>
      <c r="AE4362" s="1041" t="s">
        <v>847</v>
      </c>
      <c r="AF4362" s="1045">
        <f>'01'!$M$13</f>
        <v>0</v>
      </c>
    </row>
    <row r="4363" spans="1:32" ht="16.5" thickBot="1" x14ac:dyDescent="0.25">
      <c r="A4363" s="2032"/>
      <c r="B4363" s="2033"/>
      <c r="C4363" s="2033"/>
      <c r="D4363" s="2034"/>
      <c r="E4363" s="2027"/>
      <c r="F4363" s="2028"/>
      <c r="G4363" s="2028"/>
      <c r="H4363" s="2028"/>
      <c r="I4363" s="2028"/>
      <c r="J4363" s="2028"/>
      <c r="K4363" s="2028"/>
      <c r="L4363" s="2028"/>
      <c r="M4363" s="2028"/>
      <c r="N4363" s="2028"/>
      <c r="O4363" s="2028"/>
      <c r="P4363" s="2028"/>
      <c r="Q4363" s="2028"/>
      <c r="R4363" s="2028"/>
      <c r="S4363" s="2028"/>
      <c r="T4363" s="2028"/>
      <c r="U4363" s="2028"/>
      <c r="V4363" s="2028"/>
      <c r="W4363" s="2028"/>
      <c r="X4363" s="2028"/>
      <c r="Y4363" s="2028"/>
      <c r="Z4363" s="2028"/>
      <c r="AA4363" s="2028"/>
      <c r="AB4363" s="2028"/>
      <c r="AC4363" s="2028"/>
      <c r="AD4363" s="2036"/>
      <c r="AE4363" s="1041" t="s">
        <v>1837</v>
      </c>
      <c r="AF4363" s="1042" t="s">
        <v>1838</v>
      </c>
    </row>
    <row r="4364" spans="1:32" ht="15.75" x14ac:dyDescent="0.25">
      <c r="A4364" s="2037" t="s">
        <v>1860</v>
      </c>
      <c r="B4364" s="2038"/>
      <c r="C4364" s="2038"/>
      <c r="D4364" s="2038"/>
      <c r="E4364" s="2038"/>
      <c r="F4364" s="2038"/>
      <c r="G4364" s="2038"/>
      <c r="H4364" s="2038"/>
      <c r="I4364" s="2038"/>
      <c r="J4364" s="2038"/>
      <c r="K4364" s="2038"/>
      <c r="L4364" s="2038"/>
      <c r="M4364" s="2038"/>
      <c r="N4364" s="2038"/>
      <c r="O4364" s="2038"/>
      <c r="P4364" s="2038"/>
      <c r="Q4364" s="2038"/>
      <c r="R4364" s="2038"/>
      <c r="S4364" s="2038"/>
      <c r="T4364" s="2038"/>
      <c r="U4364" s="2038"/>
      <c r="V4364" s="2038"/>
      <c r="W4364" s="2038"/>
      <c r="X4364" s="2038"/>
      <c r="Y4364" s="2038"/>
      <c r="Z4364" s="2038"/>
      <c r="AA4364" s="2038"/>
      <c r="AB4364" s="2038"/>
      <c r="AC4364" s="2038"/>
      <c r="AD4364" s="2038"/>
      <c r="AE4364" s="2039" t="s">
        <v>1839</v>
      </c>
      <c r="AF4364" s="2040"/>
    </row>
    <row r="4365" spans="1:32" ht="15.75" x14ac:dyDescent="0.25">
      <c r="A4365" s="2041" t="s">
        <v>1840</v>
      </c>
      <c r="B4365" s="2042"/>
      <c r="C4365" s="2042"/>
      <c r="D4365" s="2042"/>
      <c r="E4365" s="2042"/>
      <c r="F4365" s="2042"/>
      <c r="G4365" s="2042"/>
      <c r="H4365" s="2042"/>
      <c r="I4365" s="2042"/>
      <c r="J4365" s="2042"/>
      <c r="K4365" s="2042"/>
      <c r="L4365" s="2042"/>
      <c r="M4365" s="2042"/>
      <c r="N4365" s="2042"/>
      <c r="O4365" s="2042"/>
      <c r="P4365" s="2042"/>
      <c r="Q4365" s="2042"/>
      <c r="R4365" s="2042"/>
      <c r="S4365" s="2042"/>
      <c r="T4365" s="2042"/>
      <c r="U4365" s="2042"/>
      <c r="V4365" s="2042"/>
      <c r="W4365" s="2042"/>
      <c r="X4365" s="2042"/>
      <c r="Y4365" s="2042"/>
      <c r="Z4365" s="2042"/>
      <c r="AA4365" s="2042"/>
      <c r="AB4365" s="2042"/>
      <c r="AC4365" s="2042"/>
      <c r="AD4365" s="2043"/>
      <c r="AE4365" s="2014" t="s">
        <v>1841</v>
      </c>
      <c r="AF4365" s="2044"/>
    </row>
    <row r="4366" spans="1:32" ht="15.75" x14ac:dyDescent="0.25">
      <c r="A4366" s="2045" t="s">
        <v>1853</v>
      </c>
      <c r="B4366" s="2046"/>
      <c r="C4366" s="2046"/>
      <c r="D4366" s="2046"/>
      <c r="E4366" s="2046"/>
      <c r="F4366" s="2046"/>
      <c r="G4366" s="2046"/>
      <c r="H4366" s="2046"/>
      <c r="I4366" s="2046"/>
      <c r="J4366" s="2046"/>
      <c r="K4366" s="2046"/>
      <c r="L4366" s="2046"/>
      <c r="M4366" s="2046"/>
      <c r="N4366" s="2046"/>
      <c r="O4366" s="2046"/>
      <c r="P4366" s="2046"/>
      <c r="Q4366" s="2046"/>
      <c r="R4366" s="2046"/>
      <c r="S4366" s="2046"/>
      <c r="T4366" s="2046"/>
      <c r="U4366" s="2046"/>
      <c r="V4366" s="2046"/>
      <c r="W4366" s="2046"/>
      <c r="X4366" s="2046"/>
      <c r="Y4366" s="2046"/>
      <c r="Z4366" s="2046"/>
      <c r="AA4366" s="2046"/>
      <c r="AB4366" s="2046"/>
      <c r="AC4366" s="2046"/>
      <c r="AD4366" s="2046"/>
      <c r="AE4366" s="2047">
        <f>'01'!$M$13</f>
        <v>0</v>
      </c>
      <c r="AF4366" s="2044"/>
    </row>
    <row r="4367" spans="1:32" x14ac:dyDescent="0.2">
      <c r="A4367" s="1046"/>
      <c r="B4367" s="1047"/>
      <c r="C4367" s="1047"/>
      <c r="D4367" s="1047"/>
      <c r="E4367" s="1047"/>
      <c r="F4367" s="1047"/>
      <c r="G4367" s="1047"/>
      <c r="H4367" s="1047"/>
      <c r="I4367" s="1047"/>
      <c r="J4367" s="1047"/>
      <c r="K4367" s="1047"/>
      <c r="L4367" s="1047"/>
      <c r="M4367" s="1047"/>
      <c r="N4367" s="1047"/>
      <c r="O4367" s="1047"/>
      <c r="P4367" s="1047"/>
      <c r="Q4367" s="1047"/>
      <c r="R4367" s="1047"/>
      <c r="S4367" s="1047"/>
      <c r="T4367" s="1047"/>
      <c r="U4367" s="1047"/>
      <c r="V4367" s="1047"/>
      <c r="W4367" s="1047"/>
      <c r="X4367" s="1047"/>
      <c r="Y4367" s="1047"/>
      <c r="Z4367" s="1047"/>
      <c r="AA4367" s="1047"/>
      <c r="AB4367" s="1047"/>
      <c r="AC4367" s="1047"/>
      <c r="AD4367" s="1047"/>
      <c r="AE4367" s="1047"/>
      <c r="AF4367" s="1048"/>
    </row>
    <row r="4368" spans="1:32" ht="30" customHeight="1" x14ac:dyDescent="0.2">
      <c r="A4368" s="2048" t="s">
        <v>1842</v>
      </c>
      <c r="B4368" s="2049"/>
      <c r="C4368" s="2049"/>
      <c r="D4368" s="2049"/>
      <c r="E4368" s="2049"/>
      <c r="F4368" s="2050" t="str">
        <f>+'01'!$H$163</f>
        <v>F - LECHOS DE SECADO</v>
      </c>
      <c r="G4368" s="2049"/>
      <c r="H4368" s="2049"/>
      <c r="I4368" s="2049"/>
      <c r="J4368" s="2049"/>
      <c r="K4368" s="2049"/>
      <c r="L4368" s="2049"/>
      <c r="M4368" s="2049"/>
      <c r="N4368" s="2049"/>
      <c r="O4368" s="2049"/>
      <c r="P4368" s="2049"/>
      <c r="Q4368" s="2049"/>
      <c r="R4368" s="2049"/>
      <c r="S4368" s="2049"/>
      <c r="T4368" s="2049"/>
      <c r="U4368" s="2049"/>
      <c r="V4368" s="2049"/>
      <c r="W4368" s="2049"/>
      <c r="X4368" s="2049"/>
      <c r="Y4368" s="2051"/>
      <c r="Z4368" s="2052" t="s">
        <v>1843</v>
      </c>
      <c r="AA4368" s="2053"/>
      <c r="AB4368" s="2058" t="s">
        <v>1844</v>
      </c>
      <c r="AC4368" s="2059"/>
      <c r="AD4368" s="2060"/>
      <c r="AE4368" s="2064" t="s">
        <v>1845</v>
      </c>
      <c r="AF4368" s="2067" t="s">
        <v>1846</v>
      </c>
    </row>
    <row r="4369" spans="1:32" ht="15" customHeight="1" x14ac:dyDescent="0.2">
      <c r="A4369" s="2070" t="str">
        <f>+'01'!A184</f>
        <v>F-07-02</v>
      </c>
      <c r="B4369" s="2071"/>
      <c r="C4369" s="2072"/>
      <c r="D4369" s="2076" t="str">
        <f>VLOOKUP(A4369,'01'!$A$12:$N$299,3,FALSE)</f>
        <v>SUMINISTRO E INSTALACIÓN DE TUBERIA PVC UNION MECANICA DE 6". PRESIÓN DE TRABAJO 200 PSI.</v>
      </c>
      <c r="E4369" s="2077"/>
      <c r="F4369" s="2077"/>
      <c r="G4369" s="2077"/>
      <c r="H4369" s="2077"/>
      <c r="I4369" s="2077"/>
      <c r="J4369" s="2077"/>
      <c r="K4369" s="2077"/>
      <c r="L4369" s="2077"/>
      <c r="M4369" s="2077"/>
      <c r="N4369" s="2077"/>
      <c r="O4369" s="2077"/>
      <c r="P4369" s="2077"/>
      <c r="Q4369" s="2077"/>
      <c r="R4369" s="2077"/>
      <c r="S4369" s="2078"/>
      <c r="T4369" s="2082" t="s">
        <v>124</v>
      </c>
      <c r="U4369" s="2083"/>
      <c r="V4369" s="2083"/>
      <c r="W4369" s="2083"/>
      <c r="X4369" s="2052" t="str">
        <f>VLOOKUP(A4369,'01'!$A$12:$N$299,9,FALSE)</f>
        <v>ML</v>
      </c>
      <c r="Y4369" s="2053"/>
      <c r="Z4369" s="2054"/>
      <c r="AA4369" s="2055"/>
      <c r="AB4369" s="2061"/>
      <c r="AC4369" s="2062"/>
      <c r="AD4369" s="2063"/>
      <c r="AE4369" s="2065"/>
      <c r="AF4369" s="2068"/>
    </row>
    <row r="4370" spans="1:32" ht="15" customHeight="1" x14ac:dyDescent="0.25">
      <c r="A4370" s="2073"/>
      <c r="B4370" s="2074"/>
      <c r="C4370" s="2075"/>
      <c r="D4370" s="2079"/>
      <c r="E4370" s="2080"/>
      <c r="F4370" s="2080"/>
      <c r="G4370" s="2080"/>
      <c r="H4370" s="2080"/>
      <c r="I4370" s="2080"/>
      <c r="J4370" s="2080"/>
      <c r="K4370" s="2080"/>
      <c r="L4370" s="2080"/>
      <c r="M4370" s="2080"/>
      <c r="N4370" s="2080"/>
      <c r="O4370" s="2080"/>
      <c r="P4370" s="2080"/>
      <c r="Q4370" s="2080"/>
      <c r="R4370" s="2080"/>
      <c r="S4370" s="2081"/>
      <c r="T4370" s="2084"/>
      <c r="U4370" s="2085"/>
      <c r="V4370" s="2085"/>
      <c r="W4370" s="2085"/>
      <c r="X4370" s="2056"/>
      <c r="Y4370" s="2057"/>
      <c r="Z4370" s="2056"/>
      <c r="AA4370" s="2057"/>
      <c r="AB4370" s="1049" t="s">
        <v>1847</v>
      </c>
      <c r="AC4370" s="1049" t="s">
        <v>1848</v>
      </c>
      <c r="AD4370" s="1049" t="s">
        <v>1861</v>
      </c>
      <c r="AE4370" s="2066"/>
      <c r="AF4370" s="2069"/>
    </row>
    <row r="4371" spans="1:32" ht="15.6" customHeight="1" x14ac:dyDescent="0.25">
      <c r="A4371" s="2017"/>
      <c r="B4371" s="2018"/>
      <c r="C4371" s="2018"/>
      <c r="D4371" s="2018"/>
      <c r="E4371" s="2018"/>
      <c r="F4371" s="2018"/>
      <c r="G4371" s="2018"/>
      <c r="H4371" s="2018"/>
      <c r="I4371" s="2018"/>
      <c r="J4371" s="2018"/>
      <c r="K4371" s="2018"/>
      <c r="L4371" s="2018"/>
      <c r="M4371" s="2018"/>
      <c r="N4371" s="2018"/>
      <c r="O4371" s="2018"/>
      <c r="P4371" s="2018"/>
      <c r="Q4371" s="2018"/>
      <c r="R4371" s="2018"/>
      <c r="S4371" s="2018"/>
      <c r="T4371" s="2018"/>
      <c r="U4371" s="2018"/>
      <c r="V4371" s="2018"/>
      <c r="W4371" s="2018"/>
      <c r="X4371" s="2018"/>
      <c r="Y4371" s="2018"/>
      <c r="Z4371" s="2021" t="s">
        <v>2488</v>
      </c>
      <c r="AA4371" s="2021"/>
      <c r="AB4371" s="1050">
        <f>+AB3933</f>
        <v>15</v>
      </c>
      <c r="AC4371" s="1050"/>
      <c r="AD4371" s="1050"/>
      <c r="AE4371" s="1050">
        <v>1</v>
      </c>
      <c r="AF4371" s="1052">
        <f>+ROUND(AB4371*AE4371,2)</f>
        <v>15</v>
      </c>
    </row>
    <row r="4372" spans="1:32" ht="15.6" customHeight="1" x14ac:dyDescent="0.25">
      <c r="A4372" s="2017"/>
      <c r="B4372" s="2018"/>
      <c r="C4372" s="2018"/>
      <c r="D4372" s="2018"/>
      <c r="E4372" s="2018"/>
      <c r="F4372" s="2018"/>
      <c r="G4372" s="2018"/>
      <c r="H4372" s="2018"/>
      <c r="I4372" s="2018"/>
      <c r="J4372" s="2018"/>
      <c r="K4372" s="2018"/>
      <c r="L4372" s="2018"/>
      <c r="M4372" s="2018"/>
      <c r="N4372" s="2018"/>
      <c r="O4372" s="2018"/>
      <c r="P4372" s="2018"/>
      <c r="Q4372" s="2018"/>
      <c r="R4372" s="2018"/>
      <c r="S4372" s="2018"/>
      <c r="T4372" s="2018"/>
      <c r="U4372" s="2018"/>
      <c r="V4372" s="2018"/>
      <c r="W4372" s="2018"/>
      <c r="X4372" s="2018"/>
      <c r="Y4372" s="2018"/>
      <c r="Z4372" s="2021"/>
      <c r="AA4372" s="2021"/>
      <c r="AB4372" s="1050"/>
      <c r="AC4372" s="1050"/>
      <c r="AD4372" s="1050"/>
      <c r="AE4372" s="1050"/>
      <c r="AF4372" s="1052"/>
    </row>
    <row r="4373" spans="1:32" ht="15.75" x14ac:dyDescent="0.25">
      <c r="A4373" s="2017"/>
      <c r="B4373" s="2018"/>
      <c r="C4373" s="2018"/>
      <c r="D4373" s="2018"/>
      <c r="E4373" s="2018"/>
      <c r="F4373" s="2018"/>
      <c r="G4373" s="2018"/>
      <c r="H4373" s="2018"/>
      <c r="I4373" s="2018"/>
      <c r="J4373" s="2018"/>
      <c r="K4373" s="2018"/>
      <c r="L4373" s="2018"/>
      <c r="M4373" s="2018"/>
      <c r="N4373" s="2018"/>
      <c r="O4373" s="2018"/>
      <c r="P4373" s="2018"/>
      <c r="Q4373" s="2018"/>
      <c r="R4373" s="2018"/>
      <c r="S4373" s="2018"/>
      <c r="T4373" s="2018"/>
      <c r="U4373" s="2018"/>
      <c r="V4373" s="2018"/>
      <c r="W4373" s="2018"/>
      <c r="X4373" s="2018"/>
      <c r="Y4373" s="2018"/>
      <c r="Z4373" s="2021"/>
      <c r="AA4373" s="2021"/>
      <c r="AB4373" s="1050"/>
      <c r="AC4373" s="1050"/>
      <c r="AD4373" s="1050"/>
      <c r="AE4373" s="1050"/>
      <c r="AF4373" s="1052"/>
    </row>
    <row r="4374" spans="1:32" ht="15.75" x14ac:dyDescent="0.25">
      <c r="A4374" s="2017"/>
      <c r="B4374" s="2018"/>
      <c r="C4374" s="2018"/>
      <c r="D4374" s="2018"/>
      <c r="E4374" s="2018"/>
      <c r="F4374" s="2018"/>
      <c r="G4374" s="2018"/>
      <c r="H4374" s="2018"/>
      <c r="I4374" s="2018"/>
      <c r="J4374" s="2018"/>
      <c r="K4374" s="2018"/>
      <c r="L4374" s="2018"/>
      <c r="M4374" s="2018"/>
      <c r="N4374" s="2018"/>
      <c r="O4374" s="2018"/>
      <c r="P4374" s="2018"/>
      <c r="Q4374" s="2018"/>
      <c r="R4374" s="2018"/>
      <c r="S4374" s="2018"/>
      <c r="T4374" s="2018"/>
      <c r="U4374" s="2018"/>
      <c r="V4374" s="2018"/>
      <c r="W4374" s="2018"/>
      <c r="X4374" s="2018"/>
      <c r="Y4374" s="2018"/>
      <c r="Z4374" s="2021"/>
      <c r="AA4374" s="2021"/>
      <c r="AB4374" s="1050"/>
      <c r="AC4374" s="1050"/>
      <c r="AD4374" s="1050"/>
      <c r="AE4374" s="1050"/>
      <c r="AF4374" s="1052"/>
    </row>
    <row r="4375" spans="1:32" ht="15.6" customHeight="1" x14ac:dyDescent="0.25">
      <c r="A4375" s="2017"/>
      <c r="B4375" s="2018"/>
      <c r="C4375" s="2018"/>
      <c r="D4375" s="2018"/>
      <c r="E4375" s="2018"/>
      <c r="F4375" s="2018"/>
      <c r="G4375" s="2018"/>
      <c r="H4375" s="2018"/>
      <c r="I4375" s="2018"/>
      <c r="J4375" s="2018"/>
      <c r="K4375" s="2018"/>
      <c r="L4375" s="2018"/>
      <c r="M4375" s="2018"/>
      <c r="N4375" s="2018"/>
      <c r="O4375" s="2018"/>
      <c r="P4375" s="2018"/>
      <c r="Q4375" s="2018"/>
      <c r="R4375" s="2018"/>
      <c r="S4375" s="2018"/>
      <c r="T4375" s="2018"/>
      <c r="U4375" s="2018"/>
      <c r="V4375" s="2018"/>
      <c r="W4375" s="2018"/>
      <c r="X4375" s="2018"/>
      <c r="Y4375" s="2018"/>
      <c r="Z4375" s="2021"/>
      <c r="AA4375" s="2021"/>
      <c r="AB4375" s="1050"/>
      <c r="AC4375" s="1050"/>
      <c r="AD4375" s="1050"/>
      <c r="AE4375" s="1050"/>
      <c r="AF4375" s="1052"/>
    </row>
    <row r="4376" spans="1:32" ht="15.75" x14ac:dyDescent="0.25">
      <c r="A4376" s="2017"/>
      <c r="B4376" s="2018"/>
      <c r="C4376" s="2018"/>
      <c r="D4376" s="2018"/>
      <c r="E4376" s="2018"/>
      <c r="F4376" s="2018"/>
      <c r="G4376" s="2018"/>
      <c r="H4376" s="2018"/>
      <c r="I4376" s="2018"/>
      <c r="J4376" s="2018"/>
      <c r="K4376" s="2018"/>
      <c r="L4376" s="2018"/>
      <c r="M4376" s="2018"/>
      <c r="N4376" s="2018"/>
      <c r="O4376" s="2018"/>
      <c r="P4376" s="2018"/>
      <c r="Q4376" s="2018"/>
      <c r="R4376" s="2018"/>
      <c r="S4376" s="2018"/>
      <c r="T4376" s="2018"/>
      <c r="U4376" s="2018"/>
      <c r="V4376" s="2018"/>
      <c r="W4376" s="2018"/>
      <c r="X4376" s="2018"/>
      <c r="Y4376" s="2018"/>
      <c r="Z4376" s="2021"/>
      <c r="AA4376" s="2021"/>
      <c r="AB4376" s="1050"/>
      <c r="AC4376" s="1050"/>
      <c r="AD4376" s="1050"/>
      <c r="AE4376" s="1050"/>
      <c r="AF4376" s="1052"/>
    </row>
    <row r="4377" spans="1:32" ht="15.75" x14ac:dyDescent="0.25">
      <c r="A4377" s="2017"/>
      <c r="B4377" s="2018"/>
      <c r="C4377" s="2018"/>
      <c r="D4377" s="2018"/>
      <c r="E4377" s="2018"/>
      <c r="F4377" s="2018"/>
      <c r="G4377" s="2018"/>
      <c r="H4377" s="2018"/>
      <c r="I4377" s="2018"/>
      <c r="J4377" s="2018"/>
      <c r="K4377" s="2018"/>
      <c r="L4377" s="2018"/>
      <c r="M4377" s="2018"/>
      <c r="N4377" s="2018"/>
      <c r="O4377" s="2018"/>
      <c r="P4377" s="2018"/>
      <c r="Q4377" s="2018"/>
      <c r="R4377" s="2018"/>
      <c r="S4377" s="2018"/>
      <c r="T4377" s="2018"/>
      <c r="U4377" s="2018"/>
      <c r="V4377" s="2018"/>
      <c r="W4377" s="2018"/>
      <c r="X4377" s="2018"/>
      <c r="Y4377" s="2018"/>
      <c r="Z4377" s="2021"/>
      <c r="AA4377" s="2021"/>
      <c r="AB4377" s="1050"/>
      <c r="AC4377" s="1050"/>
      <c r="AD4377" s="1050"/>
      <c r="AE4377" s="1050"/>
      <c r="AF4377" s="1052"/>
    </row>
    <row r="4378" spans="1:32" ht="15.75" x14ac:dyDescent="0.25">
      <c r="A4378" s="2017"/>
      <c r="B4378" s="2018"/>
      <c r="C4378" s="2018"/>
      <c r="D4378" s="2018"/>
      <c r="E4378" s="2018"/>
      <c r="F4378" s="2018"/>
      <c r="G4378" s="2018"/>
      <c r="H4378" s="2018"/>
      <c r="I4378" s="2018"/>
      <c r="J4378" s="2018"/>
      <c r="K4378" s="2018"/>
      <c r="L4378" s="2018"/>
      <c r="M4378" s="2018"/>
      <c r="N4378" s="2018"/>
      <c r="O4378" s="2018"/>
      <c r="P4378" s="2018"/>
      <c r="Q4378" s="2018"/>
      <c r="R4378" s="2018"/>
      <c r="S4378" s="2018"/>
      <c r="T4378" s="2018"/>
      <c r="U4378" s="2018"/>
      <c r="V4378" s="2018"/>
      <c r="W4378" s="2018"/>
      <c r="X4378" s="2018"/>
      <c r="Y4378" s="2018"/>
      <c r="Z4378" s="2021"/>
      <c r="AA4378" s="2021"/>
      <c r="AB4378" s="1050"/>
      <c r="AC4378" s="1050"/>
      <c r="AD4378" s="1050"/>
      <c r="AE4378" s="1050"/>
      <c r="AF4378" s="1052"/>
    </row>
    <row r="4379" spans="1:32" ht="15.75" x14ac:dyDescent="0.25">
      <c r="A4379" s="2017"/>
      <c r="B4379" s="2018"/>
      <c r="C4379" s="2018"/>
      <c r="D4379" s="2018"/>
      <c r="E4379" s="2018"/>
      <c r="F4379" s="2018"/>
      <c r="G4379" s="2018"/>
      <c r="H4379" s="2018"/>
      <c r="I4379" s="2018"/>
      <c r="J4379" s="2018"/>
      <c r="K4379" s="2018"/>
      <c r="L4379" s="2018"/>
      <c r="M4379" s="2018"/>
      <c r="N4379" s="2018"/>
      <c r="O4379" s="2018"/>
      <c r="P4379" s="2018"/>
      <c r="Q4379" s="2018"/>
      <c r="R4379" s="2018"/>
      <c r="S4379" s="2018"/>
      <c r="T4379" s="2018"/>
      <c r="U4379" s="2018"/>
      <c r="V4379" s="2018"/>
      <c r="W4379" s="2018"/>
      <c r="X4379" s="2018"/>
      <c r="Y4379" s="2018"/>
      <c r="Z4379" s="2021"/>
      <c r="AA4379" s="2021"/>
      <c r="AB4379" s="1050"/>
      <c r="AC4379" s="1050"/>
      <c r="AD4379" s="1050"/>
      <c r="AE4379" s="1050"/>
      <c r="AF4379" s="1052"/>
    </row>
    <row r="4380" spans="1:32" ht="15.75" x14ac:dyDescent="0.25">
      <c r="A4380" s="2017"/>
      <c r="B4380" s="2018"/>
      <c r="C4380" s="2018"/>
      <c r="D4380" s="2018"/>
      <c r="E4380" s="2018"/>
      <c r="F4380" s="2018"/>
      <c r="G4380" s="2018"/>
      <c r="H4380" s="2018"/>
      <c r="I4380" s="2018"/>
      <c r="J4380" s="2018"/>
      <c r="K4380" s="2018"/>
      <c r="L4380" s="2018"/>
      <c r="M4380" s="2018"/>
      <c r="N4380" s="2018"/>
      <c r="O4380" s="2018"/>
      <c r="P4380" s="2018"/>
      <c r="Q4380" s="2018"/>
      <c r="R4380" s="2018"/>
      <c r="S4380" s="2018"/>
      <c r="T4380" s="2018"/>
      <c r="U4380" s="2018"/>
      <c r="V4380" s="2018"/>
      <c r="W4380" s="2018"/>
      <c r="X4380" s="2018"/>
      <c r="Y4380" s="2018"/>
      <c r="Z4380" s="2021"/>
      <c r="AA4380" s="2021"/>
      <c r="AB4380" s="1050"/>
      <c r="AC4380" s="1050"/>
      <c r="AD4380" s="1050"/>
      <c r="AE4380" s="1050"/>
      <c r="AF4380" s="1052"/>
    </row>
    <row r="4381" spans="1:32" ht="15.75" x14ac:dyDescent="0.25">
      <c r="A4381" s="2017"/>
      <c r="B4381" s="2018"/>
      <c r="C4381" s="2018"/>
      <c r="D4381" s="2018"/>
      <c r="E4381" s="2018"/>
      <c r="F4381" s="2018"/>
      <c r="G4381" s="2018"/>
      <c r="H4381" s="2018"/>
      <c r="I4381" s="2018"/>
      <c r="J4381" s="2018"/>
      <c r="K4381" s="2018"/>
      <c r="L4381" s="2018"/>
      <c r="M4381" s="2018"/>
      <c r="N4381" s="2018"/>
      <c r="O4381" s="2018"/>
      <c r="P4381" s="2018"/>
      <c r="Q4381" s="2018"/>
      <c r="R4381" s="2018"/>
      <c r="S4381" s="2018"/>
      <c r="T4381" s="2018"/>
      <c r="U4381" s="2018"/>
      <c r="V4381" s="2018"/>
      <c r="W4381" s="2018"/>
      <c r="X4381" s="2018"/>
      <c r="Y4381" s="2018"/>
      <c r="Z4381" s="2021"/>
      <c r="AA4381" s="2021"/>
      <c r="AB4381" s="1050"/>
      <c r="AC4381" s="1050"/>
      <c r="AD4381" s="1050"/>
      <c r="AE4381" s="1050"/>
      <c r="AF4381" s="1052"/>
    </row>
    <row r="4382" spans="1:32" ht="15.75" x14ac:dyDescent="0.25">
      <c r="A4382" s="2017"/>
      <c r="B4382" s="2018"/>
      <c r="C4382" s="2018"/>
      <c r="D4382" s="2018"/>
      <c r="E4382" s="2018"/>
      <c r="F4382" s="2018"/>
      <c r="G4382" s="2018"/>
      <c r="H4382" s="2018"/>
      <c r="I4382" s="2018"/>
      <c r="J4382" s="2018"/>
      <c r="K4382" s="2018"/>
      <c r="L4382" s="2018"/>
      <c r="M4382" s="2018"/>
      <c r="N4382" s="2018"/>
      <c r="O4382" s="2018"/>
      <c r="P4382" s="2018"/>
      <c r="Q4382" s="2018"/>
      <c r="R4382" s="2018"/>
      <c r="S4382" s="2018"/>
      <c r="T4382" s="2018"/>
      <c r="U4382" s="2018"/>
      <c r="V4382" s="2018"/>
      <c r="W4382" s="2018"/>
      <c r="X4382" s="2018"/>
      <c r="Y4382" s="2018"/>
      <c r="Z4382" s="2021"/>
      <c r="AA4382" s="2021"/>
      <c r="AB4382" s="1050"/>
      <c r="AC4382" s="1050"/>
      <c r="AD4382" s="1050"/>
      <c r="AE4382" s="1050"/>
      <c r="AF4382" s="1052"/>
    </row>
    <row r="4383" spans="1:32" ht="15.75" x14ac:dyDescent="0.25">
      <c r="A4383" s="2017"/>
      <c r="B4383" s="2018"/>
      <c r="C4383" s="2018"/>
      <c r="D4383" s="2018"/>
      <c r="E4383" s="2018"/>
      <c r="F4383" s="2018"/>
      <c r="G4383" s="2018"/>
      <c r="H4383" s="2018"/>
      <c r="I4383" s="2018"/>
      <c r="J4383" s="2018"/>
      <c r="K4383" s="2018"/>
      <c r="L4383" s="2018"/>
      <c r="M4383" s="2018"/>
      <c r="N4383" s="2018"/>
      <c r="O4383" s="2018"/>
      <c r="P4383" s="2018"/>
      <c r="Q4383" s="2018"/>
      <c r="R4383" s="2018"/>
      <c r="S4383" s="2018"/>
      <c r="T4383" s="2018"/>
      <c r="U4383" s="2018"/>
      <c r="V4383" s="2018"/>
      <c r="W4383" s="2018"/>
      <c r="X4383" s="2018"/>
      <c r="Y4383" s="2018"/>
      <c r="Z4383" s="2021"/>
      <c r="AA4383" s="2021"/>
      <c r="AB4383" s="1050"/>
      <c r="AC4383" s="1050"/>
      <c r="AD4383" s="1050"/>
      <c r="AE4383" s="1050"/>
      <c r="AF4383" s="1052"/>
    </row>
    <row r="4384" spans="1:32" ht="15.75" x14ac:dyDescent="0.25">
      <c r="A4384" s="2017"/>
      <c r="B4384" s="2018"/>
      <c r="C4384" s="2018"/>
      <c r="D4384" s="2018"/>
      <c r="E4384" s="2018"/>
      <c r="F4384" s="2018"/>
      <c r="G4384" s="2018"/>
      <c r="H4384" s="2018"/>
      <c r="I4384" s="2018"/>
      <c r="J4384" s="2018"/>
      <c r="K4384" s="2018"/>
      <c r="L4384" s="2018"/>
      <c r="M4384" s="2018"/>
      <c r="N4384" s="2018"/>
      <c r="O4384" s="2018"/>
      <c r="P4384" s="2018"/>
      <c r="Q4384" s="2018"/>
      <c r="R4384" s="2018"/>
      <c r="S4384" s="2018"/>
      <c r="T4384" s="2018"/>
      <c r="U4384" s="2018"/>
      <c r="V4384" s="2018"/>
      <c r="W4384" s="2018"/>
      <c r="X4384" s="2018"/>
      <c r="Y4384" s="2018"/>
      <c r="Z4384" s="2021"/>
      <c r="AA4384" s="2021"/>
      <c r="AB4384" s="1050"/>
      <c r="AC4384" s="1050"/>
      <c r="AD4384" s="1050"/>
      <c r="AE4384" s="1050"/>
      <c r="AF4384" s="1052"/>
    </row>
    <row r="4385" spans="1:32" ht="15.75" x14ac:dyDescent="0.25">
      <c r="A4385" s="2017"/>
      <c r="B4385" s="2018"/>
      <c r="C4385" s="2018"/>
      <c r="D4385" s="2018"/>
      <c r="E4385" s="2018"/>
      <c r="F4385" s="2018"/>
      <c r="G4385" s="2018"/>
      <c r="H4385" s="2018"/>
      <c r="I4385" s="2018"/>
      <c r="J4385" s="2018"/>
      <c r="K4385" s="2018"/>
      <c r="L4385" s="2018"/>
      <c r="M4385" s="2018"/>
      <c r="N4385" s="2018"/>
      <c r="O4385" s="2018"/>
      <c r="P4385" s="2018"/>
      <c r="Q4385" s="2018"/>
      <c r="R4385" s="2018"/>
      <c r="S4385" s="2018"/>
      <c r="T4385" s="2018"/>
      <c r="U4385" s="2018"/>
      <c r="V4385" s="2018"/>
      <c r="W4385" s="2018"/>
      <c r="X4385" s="2018"/>
      <c r="Y4385" s="2018"/>
      <c r="Z4385" s="2022"/>
      <c r="AA4385" s="2022"/>
      <c r="AB4385" s="1050"/>
      <c r="AC4385" s="1050"/>
      <c r="AD4385" s="1050"/>
      <c r="AE4385" s="1050"/>
      <c r="AF4385" s="1052"/>
    </row>
    <row r="4386" spans="1:32" ht="15.75" x14ac:dyDescent="0.25">
      <c r="A4386" s="2017"/>
      <c r="B4386" s="2018"/>
      <c r="C4386" s="2018"/>
      <c r="D4386" s="2018"/>
      <c r="E4386" s="2018"/>
      <c r="F4386" s="2018"/>
      <c r="G4386" s="2018"/>
      <c r="H4386" s="2018"/>
      <c r="I4386" s="2018"/>
      <c r="J4386" s="2018"/>
      <c r="K4386" s="2018"/>
      <c r="L4386" s="2018"/>
      <c r="M4386" s="2018"/>
      <c r="N4386" s="2018"/>
      <c r="O4386" s="2018"/>
      <c r="P4386" s="2018"/>
      <c r="Q4386" s="2018"/>
      <c r="R4386" s="2018"/>
      <c r="S4386" s="2018"/>
      <c r="T4386" s="2018"/>
      <c r="U4386" s="2018"/>
      <c r="V4386" s="2018"/>
      <c r="W4386" s="2018"/>
      <c r="X4386" s="2018"/>
      <c r="Y4386" s="2018"/>
      <c r="Z4386" s="2022"/>
      <c r="AA4386" s="2022"/>
      <c r="AB4386" s="1050"/>
      <c r="AC4386" s="1050"/>
      <c r="AD4386" s="1050"/>
      <c r="AE4386" s="1050"/>
      <c r="AF4386" s="1052"/>
    </row>
    <row r="4387" spans="1:32" ht="15.75" x14ac:dyDescent="0.25">
      <c r="A4387" s="2017"/>
      <c r="B4387" s="2018"/>
      <c r="C4387" s="2018"/>
      <c r="D4387" s="2018"/>
      <c r="E4387" s="2018"/>
      <c r="F4387" s="2018"/>
      <c r="G4387" s="2018"/>
      <c r="H4387" s="2018"/>
      <c r="I4387" s="2018"/>
      <c r="J4387" s="2018"/>
      <c r="K4387" s="2018"/>
      <c r="L4387" s="2018"/>
      <c r="M4387" s="2018"/>
      <c r="N4387" s="2018"/>
      <c r="O4387" s="2018"/>
      <c r="P4387" s="2018"/>
      <c r="Q4387" s="2018"/>
      <c r="R4387" s="2018"/>
      <c r="S4387" s="2018"/>
      <c r="T4387" s="2018"/>
      <c r="U4387" s="2018"/>
      <c r="V4387" s="2018"/>
      <c r="W4387" s="2018"/>
      <c r="X4387" s="2018"/>
      <c r="Y4387" s="2018"/>
      <c r="Z4387" s="2022"/>
      <c r="AA4387" s="2022"/>
      <c r="AB4387" s="1050"/>
      <c r="AC4387" s="1050"/>
      <c r="AD4387" s="1050"/>
      <c r="AE4387" s="1050"/>
      <c r="AF4387" s="1052"/>
    </row>
    <row r="4388" spans="1:32" ht="15.75" x14ac:dyDescent="0.25">
      <c r="A4388" s="2017"/>
      <c r="B4388" s="2018"/>
      <c r="C4388" s="2018"/>
      <c r="D4388" s="2018"/>
      <c r="E4388" s="2018"/>
      <c r="F4388" s="2018"/>
      <c r="G4388" s="2018"/>
      <c r="H4388" s="2018"/>
      <c r="I4388" s="2018"/>
      <c r="J4388" s="2018"/>
      <c r="K4388" s="2018"/>
      <c r="L4388" s="2018"/>
      <c r="M4388" s="2018"/>
      <c r="N4388" s="2018"/>
      <c r="O4388" s="2018"/>
      <c r="P4388" s="2018"/>
      <c r="Q4388" s="2018"/>
      <c r="R4388" s="2018"/>
      <c r="S4388" s="2018"/>
      <c r="T4388" s="2018"/>
      <c r="U4388" s="2018"/>
      <c r="V4388" s="2018"/>
      <c r="W4388" s="2018"/>
      <c r="X4388" s="2018"/>
      <c r="Y4388" s="2018"/>
      <c r="Z4388" s="2023"/>
      <c r="AA4388" s="2023"/>
      <c r="AB4388" s="1050"/>
      <c r="AC4388" s="1050"/>
      <c r="AD4388" s="1050"/>
      <c r="AE4388" s="1050"/>
      <c r="AF4388" s="1052"/>
    </row>
    <row r="4389" spans="1:32" ht="15.75" x14ac:dyDescent="0.25">
      <c r="A4389" s="2017"/>
      <c r="B4389" s="2018"/>
      <c r="C4389" s="2018"/>
      <c r="D4389" s="2018"/>
      <c r="E4389" s="2018"/>
      <c r="F4389" s="2018"/>
      <c r="G4389" s="2018"/>
      <c r="H4389" s="2018"/>
      <c r="I4389" s="2018"/>
      <c r="J4389" s="2018"/>
      <c r="K4389" s="2018"/>
      <c r="L4389" s="2018"/>
      <c r="M4389" s="2018"/>
      <c r="N4389" s="2018"/>
      <c r="O4389" s="2018"/>
      <c r="P4389" s="2018"/>
      <c r="Q4389" s="2018"/>
      <c r="R4389" s="2018"/>
      <c r="S4389" s="2018"/>
      <c r="T4389" s="2018"/>
      <c r="U4389" s="2018"/>
      <c r="V4389" s="2018"/>
      <c r="W4389" s="2018"/>
      <c r="X4389" s="2018"/>
      <c r="Y4389" s="2018"/>
      <c r="Z4389" s="2023"/>
      <c r="AA4389" s="2023"/>
      <c r="AB4389" s="1050"/>
      <c r="AC4389" s="1050"/>
      <c r="AD4389" s="1050"/>
      <c r="AE4389" s="1050"/>
      <c r="AF4389" s="1052"/>
    </row>
    <row r="4390" spans="1:32" ht="15.75" x14ac:dyDescent="0.25">
      <c r="A4390" s="2017"/>
      <c r="B4390" s="2018"/>
      <c r="C4390" s="2018"/>
      <c r="D4390" s="2018"/>
      <c r="E4390" s="2018"/>
      <c r="F4390" s="2018"/>
      <c r="G4390" s="2018"/>
      <c r="H4390" s="2018"/>
      <c r="I4390" s="2018"/>
      <c r="J4390" s="2018"/>
      <c r="K4390" s="2018"/>
      <c r="L4390" s="2018"/>
      <c r="M4390" s="2018"/>
      <c r="N4390" s="2018"/>
      <c r="O4390" s="2018"/>
      <c r="P4390" s="2018"/>
      <c r="Q4390" s="2018"/>
      <c r="R4390" s="2018"/>
      <c r="S4390" s="2018"/>
      <c r="T4390" s="2018"/>
      <c r="U4390" s="2018"/>
      <c r="V4390" s="2018"/>
      <c r="W4390" s="2018"/>
      <c r="X4390" s="2018"/>
      <c r="Y4390" s="2018"/>
      <c r="Z4390" s="2023"/>
      <c r="AA4390" s="2023"/>
      <c r="AB4390" s="1050"/>
      <c r="AC4390" s="1050"/>
      <c r="AD4390" s="1050"/>
      <c r="AE4390" s="1050"/>
      <c r="AF4390" s="1052"/>
    </row>
    <row r="4391" spans="1:32" ht="15.75" x14ac:dyDescent="0.25">
      <c r="A4391" s="2017"/>
      <c r="B4391" s="2018"/>
      <c r="C4391" s="2018"/>
      <c r="D4391" s="2018"/>
      <c r="E4391" s="2018"/>
      <c r="F4391" s="2018"/>
      <c r="G4391" s="2018"/>
      <c r="H4391" s="2018"/>
      <c r="I4391" s="2018"/>
      <c r="J4391" s="2018"/>
      <c r="K4391" s="2018"/>
      <c r="L4391" s="2018"/>
      <c r="M4391" s="2018"/>
      <c r="N4391" s="2018"/>
      <c r="O4391" s="2018"/>
      <c r="P4391" s="2018"/>
      <c r="Q4391" s="2018"/>
      <c r="R4391" s="2018"/>
      <c r="S4391" s="2018"/>
      <c r="T4391" s="2018"/>
      <c r="U4391" s="2018"/>
      <c r="V4391" s="2018"/>
      <c r="W4391" s="2018"/>
      <c r="X4391" s="2018"/>
      <c r="Y4391" s="2018"/>
      <c r="Z4391" s="2023"/>
      <c r="AA4391" s="2023"/>
      <c r="AB4391" s="1050"/>
      <c r="AC4391" s="1050"/>
      <c r="AD4391" s="1050"/>
      <c r="AE4391" s="1050"/>
      <c r="AF4391" s="1052"/>
    </row>
    <row r="4392" spans="1:32" ht="15.75" x14ac:dyDescent="0.25">
      <c r="A4392" s="2017"/>
      <c r="B4392" s="2018"/>
      <c r="C4392" s="2018"/>
      <c r="D4392" s="2018"/>
      <c r="E4392" s="2018"/>
      <c r="F4392" s="2018"/>
      <c r="G4392" s="2018"/>
      <c r="H4392" s="2018"/>
      <c r="I4392" s="2018"/>
      <c r="J4392" s="2018"/>
      <c r="K4392" s="2018"/>
      <c r="L4392" s="2018"/>
      <c r="M4392" s="2018"/>
      <c r="N4392" s="2018"/>
      <c r="O4392" s="2018"/>
      <c r="P4392" s="2018"/>
      <c r="Q4392" s="2018"/>
      <c r="R4392" s="2018"/>
      <c r="S4392" s="2018"/>
      <c r="T4392" s="2018"/>
      <c r="U4392" s="2018"/>
      <c r="V4392" s="2018"/>
      <c r="W4392" s="2018"/>
      <c r="X4392" s="2018"/>
      <c r="Y4392" s="2018"/>
      <c r="Z4392" s="2023"/>
      <c r="AA4392" s="2023"/>
      <c r="AB4392" s="1050"/>
      <c r="AC4392" s="1050"/>
      <c r="AD4392" s="1050"/>
      <c r="AE4392" s="1050"/>
      <c r="AF4392" s="1052"/>
    </row>
    <row r="4393" spans="1:32" ht="15.75" x14ac:dyDescent="0.25">
      <c r="A4393" s="2017"/>
      <c r="B4393" s="2018"/>
      <c r="C4393" s="2018"/>
      <c r="D4393" s="2018"/>
      <c r="E4393" s="2018"/>
      <c r="F4393" s="2018"/>
      <c r="G4393" s="2018"/>
      <c r="H4393" s="2018"/>
      <c r="I4393" s="2018"/>
      <c r="J4393" s="2018"/>
      <c r="K4393" s="2018"/>
      <c r="L4393" s="2018"/>
      <c r="M4393" s="2018"/>
      <c r="N4393" s="2018"/>
      <c r="O4393" s="2018"/>
      <c r="P4393" s="2018"/>
      <c r="Q4393" s="2018"/>
      <c r="R4393" s="2018"/>
      <c r="S4393" s="2018"/>
      <c r="T4393" s="2018"/>
      <c r="U4393" s="2018"/>
      <c r="V4393" s="2018"/>
      <c r="W4393" s="2018"/>
      <c r="X4393" s="2018"/>
      <c r="Y4393" s="2018"/>
      <c r="Z4393" s="2023"/>
      <c r="AA4393" s="2023"/>
      <c r="AB4393" s="1050"/>
      <c r="AC4393" s="1050"/>
      <c r="AD4393" s="1050"/>
      <c r="AE4393" s="1050"/>
      <c r="AF4393" s="1052"/>
    </row>
    <row r="4394" spans="1:32" ht="16.5" thickBot="1" x14ac:dyDescent="0.3">
      <c r="A4394" s="2019"/>
      <c r="B4394" s="2020"/>
      <c r="C4394" s="2020"/>
      <c r="D4394" s="2020"/>
      <c r="E4394" s="2020"/>
      <c r="F4394" s="2020"/>
      <c r="G4394" s="2020"/>
      <c r="H4394" s="2020"/>
      <c r="I4394" s="2020"/>
      <c r="J4394" s="2020"/>
      <c r="K4394" s="2020"/>
      <c r="L4394" s="2020"/>
      <c r="M4394" s="2020"/>
      <c r="N4394" s="2020"/>
      <c r="O4394" s="2020"/>
      <c r="P4394" s="2020"/>
      <c r="Q4394" s="2020"/>
      <c r="R4394" s="2020"/>
      <c r="S4394" s="2020"/>
      <c r="T4394" s="2020"/>
      <c r="U4394" s="2020"/>
      <c r="V4394" s="2020"/>
      <c r="W4394" s="2020"/>
      <c r="X4394" s="2020"/>
      <c r="Y4394" s="2020"/>
      <c r="Z4394" s="2024"/>
      <c r="AA4394" s="2024"/>
      <c r="AB4394" s="1057"/>
      <c r="AC4394" s="1057"/>
      <c r="AD4394" s="1057"/>
      <c r="AE4394" s="1057"/>
      <c r="AF4394" s="1058"/>
    </row>
    <row r="4395" spans="1:32" ht="15.75" x14ac:dyDescent="0.25">
      <c r="A4395" s="2009" t="s">
        <v>1855</v>
      </c>
      <c r="B4395" s="2010"/>
      <c r="C4395" s="2010"/>
      <c r="D4395" s="2010"/>
      <c r="E4395" s="2010"/>
      <c r="F4395" s="2010"/>
      <c r="G4395" s="2010"/>
      <c r="H4395" s="2010"/>
      <c r="I4395" s="2010"/>
      <c r="J4395" s="2010"/>
      <c r="K4395" s="2010"/>
      <c r="L4395" s="2010"/>
      <c r="M4395" s="2010"/>
      <c r="N4395" s="2010"/>
      <c r="O4395" s="2010"/>
      <c r="P4395" s="2010"/>
      <c r="Q4395" s="2010"/>
      <c r="R4395" s="2010"/>
      <c r="S4395" s="2010"/>
      <c r="T4395" s="2010"/>
      <c r="U4395" s="2010"/>
      <c r="V4395" s="2010"/>
      <c r="W4395" s="2010"/>
      <c r="X4395" s="2010"/>
      <c r="Y4395" s="2010"/>
      <c r="Z4395" s="2013" t="s">
        <v>1850</v>
      </c>
      <c r="AA4395" s="2013"/>
      <c r="AB4395" s="2013"/>
      <c r="AC4395" s="2013"/>
      <c r="AD4395" s="2013"/>
      <c r="AE4395" s="2013"/>
      <c r="AF4395" s="1059">
        <f>SUM(AF4371:AF4394)</f>
        <v>15</v>
      </c>
    </row>
    <row r="4396" spans="1:32" ht="15.75" x14ac:dyDescent="0.25">
      <c r="A4396" s="2011"/>
      <c r="B4396" s="2012"/>
      <c r="C4396" s="2012"/>
      <c r="D4396" s="2012"/>
      <c r="E4396" s="2012"/>
      <c r="F4396" s="2012"/>
      <c r="G4396" s="2012"/>
      <c r="H4396" s="2012"/>
      <c r="I4396" s="2012"/>
      <c r="J4396" s="2012"/>
      <c r="K4396" s="2012"/>
      <c r="L4396" s="2012"/>
      <c r="M4396" s="2012"/>
      <c r="N4396" s="2012"/>
      <c r="O4396" s="2012"/>
      <c r="P4396" s="2012"/>
      <c r="Q4396" s="2012"/>
      <c r="R4396" s="2012"/>
      <c r="S4396" s="2012"/>
      <c r="T4396" s="2012"/>
      <c r="U4396" s="2012"/>
      <c r="V4396" s="2012"/>
      <c r="W4396" s="2012"/>
      <c r="X4396" s="2012"/>
      <c r="Y4396" s="2012"/>
      <c r="Z4396" s="2014" t="s">
        <v>1851</v>
      </c>
      <c r="AA4396" s="2014"/>
      <c r="AB4396" s="2014"/>
      <c r="AC4396" s="2014"/>
      <c r="AD4396" s="2014"/>
      <c r="AE4396" s="2014"/>
      <c r="AF4396" s="1060">
        <v>0</v>
      </c>
    </row>
    <row r="4397" spans="1:32" ht="15.75" x14ac:dyDescent="0.25">
      <c r="A4397" s="2011"/>
      <c r="B4397" s="2012"/>
      <c r="C4397" s="2012"/>
      <c r="D4397" s="2012"/>
      <c r="E4397" s="2012"/>
      <c r="F4397" s="2012"/>
      <c r="G4397" s="2012"/>
      <c r="H4397" s="2012"/>
      <c r="I4397" s="2012"/>
      <c r="J4397" s="2012"/>
      <c r="K4397" s="2012"/>
      <c r="L4397" s="2012"/>
      <c r="M4397" s="2012"/>
      <c r="N4397" s="2012"/>
      <c r="O4397" s="2012"/>
      <c r="P4397" s="2012"/>
      <c r="Q4397" s="2012"/>
      <c r="R4397" s="2012"/>
      <c r="S4397" s="2012"/>
      <c r="T4397" s="2012"/>
      <c r="U4397" s="2012"/>
      <c r="V4397" s="2012"/>
      <c r="W4397" s="2012"/>
      <c r="X4397" s="2012"/>
      <c r="Y4397" s="2012"/>
      <c r="Z4397" s="2015" t="s">
        <v>1833</v>
      </c>
      <c r="AA4397" s="2015"/>
      <c r="AB4397" s="2015"/>
      <c r="AC4397" s="2015"/>
      <c r="AD4397" s="2015"/>
      <c r="AE4397" s="2015"/>
      <c r="AF4397" s="1061">
        <f>SUM(AF4395:AF4396)</f>
        <v>15</v>
      </c>
    </row>
    <row r="4398" spans="1:32" x14ac:dyDescent="0.2">
      <c r="A4398" s="2012" t="s">
        <v>1859</v>
      </c>
      <c r="B4398" s="2012"/>
      <c r="C4398" s="2012"/>
      <c r="D4398" s="2012"/>
      <c r="E4398" s="2012"/>
      <c r="F4398" s="2012"/>
      <c r="G4398" s="2012"/>
      <c r="H4398" s="2012"/>
      <c r="I4398" s="2012"/>
      <c r="J4398" s="2012"/>
      <c r="K4398" s="2012"/>
      <c r="L4398" s="2012"/>
      <c r="M4398" s="2012"/>
      <c r="N4398" s="2012"/>
      <c r="O4398" s="2012"/>
      <c r="P4398" s="2012"/>
      <c r="Q4398" s="2012"/>
      <c r="R4398" s="2012"/>
      <c r="S4398" s="2012"/>
      <c r="T4398" s="2016" t="s">
        <v>1840</v>
      </c>
      <c r="U4398" s="2016"/>
      <c r="V4398" s="2016"/>
      <c r="W4398" s="2016"/>
      <c r="X4398" s="2016"/>
      <c r="Y4398" s="2016"/>
      <c r="Z4398" s="2016"/>
      <c r="AA4398" s="2016"/>
      <c r="AB4398" s="2012" t="s">
        <v>1852</v>
      </c>
      <c r="AC4398" s="2012"/>
      <c r="AD4398" s="2012"/>
      <c r="AE4398" s="2012"/>
      <c r="AF4398" s="2012"/>
    </row>
    <row r="4399" spans="1:32" x14ac:dyDescent="0.2">
      <c r="A4399" s="2012"/>
      <c r="B4399" s="2012"/>
      <c r="C4399" s="2012"/>
      <c r="D4399" s="2012"/>
      <c r="E4399" s="2012"/>
      <c r="F4399" s="2012"/>
      <c r="G4399" s="2012"/>
      <c r="H4399" s="2012"/>
      <c r="I4399" s="2012"/>
      <c r="J4399" s="2012"/>
      <c r="K4399" s="2012"/>
      <c r="L4399" s="2012"/>
      <c r="M4399" s="2012"/>
      <c r="N4399" s="2012"/>
      <c r="O4399" s="2012"/>
      <c r="P4399" s="2012"/>
      <c r="Q4399" s="2012"/>
      <c r="R4399" s="2012"/>
      <c r="S4399" s="2012"/>
      <c r="T4399" s="2016"/>
      <c r="U4399" s="2016"/>
      <c r="V4399" s="2016"/>
      <c r="W4399" s="2016"/>
      <c r="X4399" s="2016"/>
      <c r="Y4399" s="2016"/>
      <c r="Z4399" s="2016"/>
      <c r="AA4399" s="2016"/>
      <c r="AB4399" s="2012"/>
      <c r="AC4399" s="2012"/>
      <c r="AD4399" s="2012"/>
      <c r="AE4399" s="2012"/>
      <c r="AF4399" s="2012"/>
    </row>
    <row r="4400" spans="1:32" ht="13.5" thickBot="1" x14ac:dyDescent="0.25"/>
    <row r="4401" spans="1:32" ht="26.45" customHeight="1" x14ac:dyDescent="0.2">
      <c r="A4401" s="2025" t="s">
        <v>1854</v>
      </c>
      <c r="B4401" s="2026"/>
      <c r="C4401" s="2026"/>
      <c r="D4401" s="2026"/>
      <c r="E4401" s="2026"/>
      <c r="F4401" s="2026"/>
      <c r="G4401" s="2026"/>
      <c r="H4401" s="2026"/>
      <c r="I4401" s="2026"/>
      <c r="J4401" s="2026"/>
      <c r="K4401" s="2026"/>
      <c r="L4401" s="2026"/>
      <c r="M4401" s="2026"/>
      <c r="N4401" s="2026"/>
      <c r="O4401" s="2026"/>
      <c r="P4401" s="2026"/>
      <c r="Q4401" s="2026"/>
      <c r="R4401" s="2026"/>
      <c r="S4401" s="2026"/>
      <c r="T4401" s="2026"/>
      <c r="U4401" s="2026"/>
      <c r="V4401" s="2026"/>
      <c r="W4401" s="2026"/>
      <c r="X4401" s="2026"/>
      <c r="Y4401" s="2026"/>
      <c r="Z4401" s="2026"/>
      <c r="AA4401" s="2026"/>
      <c r="AB4401" s="2026"/>
      <c r="AC4401" s="2026"/>
      <c r="AD4401" s="2026"/>
      <c r="AE4401" s="1041" t="s">
        <v>1834</v>
      </c>
      <c r="AF4401" s="1042" t="s">
        <v>1835</v>
      </c>
    </row>
    <row r="4402" spans="1:32" ht="21" customHeight="1" thickBot="1" x14ac:dyDescent="0.25">
      <c r="A4402" s="2027"/>
      <c r="B4402" s="2028"/>
      <c r="C4402" s="2028"/>
      <c r="D4402" s="2028"/>
      <c r="E4402" s="2028"/>
      <c r="F4402" s="2028"/>
      <c r="G4402" s="2028"/>
      <c r="H4402" s="2028"/>
      <c r="I4402" s="2028"/>
      <c r="J4402" s="2028"/>
      <c r="K4402" s="2028"/>
      <c r="L4402" s="2028"/>
      <c r="M4402" s="2028"/>
      <c r="N4402" s="2028"/>
      <c r="O4402" s="2028"/>
      <c r="P4402" s="2028"/>
      <c r="Q4402" s="2028"/>
      <c r="R4402" s="2028"/>
      <c r="S4402" s="2028"/>
      <c r="T4402" s="2028"/>
      <c r="U4402" s="2028"/>
      <c r="V4402" s="2028"/>
      <c r="W4402" s="2028"/>
      <c r="X4402" s="2028"/>
      <c r="Y4402" s="2028"/>
      <c r="Z4402" s="2028"/>
      <c r="AA4402" s="2028"/>
      <c r="AB4402" s="2028"/>
      <c r="AC4402" s="2028"/>
      <c r="AD4402" s="2028"/>
      <c r="AE4402" s="1041" t="s">
        <v>1836</v>
      </c>
      <c r="AF4402" s="1044">
        <v>1</v>
      </c>
    </row>
    <row r="4403" spans="1:32" ht="15.75" x14ac:dyDescent="0.2">
      <c r="A4403" s="2029"/>
      <c r="B4403" s="2030"/>
      <c r="C4403" s="2030"/>
      <c r="D4403" s="2031"/>
      <c r="E4403" s="2025" t="str">
        <f>'01'!$A$12</f>
        <v>"CONSTRUCCION SISTEMA DE ACUEDUCTO FASE II DEL MUNICIPIO DE TESALIA DPTO DEL HUILA"</v>
      </c>
      <c r="F4403" s="2026"/>
      <c r="G4403" s="2026"/>
      <c r="H4403" s="2026"/>
      <c r="I4403" s="2026"/>
      <c r="J4403" s="2026"/>
      <c r="K4403" s="2026"/>
      <c r="L4403" s="2026"/>
      <c r="M4403" s="2026"/>
      <c r="N4403" s="2026"/>
      <c r="O4403" s="2026"/>
      <c r="P4403" s="2026"/>
      <c r="Q4403" s="2026"/>
      <c r="R4403" s="2026"/>
      <c r="S4403" s="2026"/>
      <c r="T4403" s="2026"/>
      <c r="U4403" s="2026"/>
      <c r="V4403" s="2026"/>
      <c r="W4403" s="2026"/>
      <c r="X4403" s="2026"/>
      <c r="Y4403" s="2026"/>
      <c r="Z4403" s="2026"/>
      <c r="AA4403" s="2026"/>
      <c r="AB4403" s="2026"/>
      <c r="AC4403" s="2026"/>
      <c r="AD4403" s="2035"/>
      <c r="AE4403" s="1041" t="s">
        <v>847</v>
      </c>
      <c r="AF4403" s="1045">
        <f>'01'!$M$13</f>
        <v>0</v>
      </c>
    </row>
    <row r="4404" spans="1:32" ht="16.5" thickBot="1" x14ac:dyDescent="0.25">
      <c r="A4404" s="2032"/>
      <c r="B4404" s="2033"/>
      <c r="C4404" s="2033"/>
      <c r="D4404" s="2034"/>
      <c r="E4404" s="2027"/>
      <c r="F4404" s="2028"/>
      <c r="G4404" s="2028"/>
      <c r="H4404" s="2028"/>
      <c r="I4404" s="2028"/>
      <c r="J4404" s="2028"/>
      <c r="K4404" s="2028"/>
      <c r="L4404" s="2028"/>
      <c r="M4404" s="2028"/>
      <c r="N4404" s="2028"/>
      <c r="O4404" s="2028"/>
      <c r="P4404" s="2028"/>
      <c r="Q4404" s="2028"/>
      <c r="R4404" s="2028"/>
      <c r="S4404" s="2028"/>
      <c r="T4404" s="2028"/>
      <c r="U4404" s="2028"/>
      <c r="V4404" s="2028"/>
      <c r="W4404" s="2028"/>
      <c r="X4404" s="2028"/>
      <c r="Y4404" s="2028"/>
      <c r="Z4404" s="2028"/>
      <c r="AA4404" s="2028"/>
      <c r="AB4404" s="2028"/>
      <c r="AC4404" s="2028"/>
      <c r="AD4404" s="2036"/>
      <c r="AE4404" s="1041" t="s">
        <v>1837</v>
      </c>
      <c r="AF4404" s="1042" t="s">
        <v>1838</v>
      </c>
    </row>
    <row r="4405" spans="1:32" ht="15.75" x14ac:dyDescent="0.25">
      <c r="A4405" s="2037" t="s">
        <v>1860</v>
      </c>
      <c r="B4405" s="2038"/>
      <c r="C4405" s="2038"/>
      <c r="D4405" s="2038"/>
      <c r="E4405" s="2038"/>
      <c r="F4405" s="2038"/>
      <c r="G4405" s="2038"/>
      <c r="H4405" s="2038"/>
      <c r="I4405" s="2038"/>
      <c r="J4405" s="2038"/>
      <c r="K4405" s="2038"/>
      <c r="L4405" s="2038"/>
      <c r="M4405" s="2038"/>
      <c r="N4405" s="2038"/>
      <c r="O4405" s="2038"/>
      <c r="P4405" s="2038"/>
      <c r="Q4405" s="2038"/>
      <c r="R4405" s="2038"/>
      <c r="S4405" s="2038"/>
      <c r="T4405" s="2038"/>
      <c r="U4405" s="2038"/>
      <c r="V4405" s="2038"/>
      <c r="W4405" s="2038"/>
      <c r="X4405" s="2038"/>
      <c r="Y4405" s="2038"/>
      <c r="Z4405" s="2038"/>
      <c r="AA4405" s="2038"/>
      <c r="AB4405" s="2038"/>
      <c r="AC4405" s="2038"/>
      <c r="AD4405" s="2038"/>
      <c r="AE4405" s="2039" t="s">
        <v>1839</v>
      </c>
      <c r="AF4405" s="2040"/>
    </row>
    <row r="4406" spans="1:32" ht="15.75" x14ac:dyDescent="0.25">
      <c r="A4406" s="2041" t="s">
        <v>1840</v>
      </c>
      <c r="B4406" s="2042"/>
      <c r="C4406" s="2042"/>
      <c r="D4406" s="2042"/>
      <c r="E4406" s="2042"/>
      <c r="F4406" s="2042"/>
      <c r="G4406" s="2042"/>
      <c r="H4406" s="2042"/>
      <c r="I4406" s="2042"/>
      <c r="J4406" s="2042"/>
      <c r="K4406" s="2042"/>
      <c r="L4406" s="2042"/>
      <c r="M4406" s="2042"/>
      <c r="N4406" s="2042"/>
      <c r="O4406" s="2042"/>
      <c r="P4406" s="2042"/>
      <c r="Q4406" s="2042"/>
      <c r="R4406" s="2042"/>
      <c r="S4406" s="2042"/>
      <c r="T4406" s="2042"/>
      <c r="U4406" s="2042"/>
      <c r="V4406" s="2042"/>
      <c r="W4406" s="2042"/>
      <c r="X4406" s="2042"/>
      <c r="Y4406" s="2042"/>
      <c r="Z4406" s="2042"/>
      <c r="AA4406" s="2042"/>
      <c r="AB4406" s="2042"/>
      <c r="AC4406" s="2042"/>
      <c r="AD4406" s="2043"/>
      <c r="AE4406" s="2014" t="s">
        <v>1841</v>
      </c>
      <c r="AF4406" s="2044"/>
    </row>
    <row r="4407" spans="1:32" ht="15.75" x14ac:dyDescent="0.25">
      <c r="A4407" s="2045" t="s">
        <v>1853</v>
      </c>
      <c r="B4407" s="2046"/>
      <c r="C4407" s="2046"/>
      <c r="D4407" s="2046"/>
      <c r="E4407" s="2046"/>
      <c r="F4407" s="2046"/>
      <c r="G4407" s="2046"/>
      <c r="H4407" s="2046"/>
      <c r="I4407" s="2046"/>
      <c r="J4407" s="2046"/>
      <c r="K4407" s="2046"/>
      <c r="L4407" s="2046"/>
      <c r="M4407" s="2046"/>
      <c r="N4407" s="2046"/>
      <c r="O4407" s="2046"/>
      <c r="P4407" s="2046"/>
      <c r="Q4407" s="2046"/>
      <c r="R4407" s="2046"/>
      <c r="S4407" s="2046"/>
      <c r="T4407" s="2046"/>
      <c r="U4407" s="2046"/>
      <c r="V4407" s="2046"/>
      <c r="W4407" s="2046"/>
      <c r="X4407" s="2046"/>
      <c r="Y4407" s="2046"/>
      <c r="Z4407" s="2046"/>
      <c r="AA4407" s="2046"/>
      <c r="AB4407" s="2046"/>
      <c r="AC4407" s="2046"/>
      <c r="AD4407" s="2046"/>
      <c r="AE4407" s="2047">
        <f>'01'!$M$13</f>
        <v>0</v>
      </c>
      <c r="AF4407" s="2044"/>
    </row>
    <row r="4408" spans="1:32" x14ac:dyDescent="0.2">
      <c r="A4408" s="1046"/>
      <c r="B4408" s="1047"/>
      <c r="C4408" s="1047"/>
      <c r="D4408" s="1047"/>
      <c r="E4408" s="1047"/>
      <c r="F4408" s="1047"/>
      <c r="G4408" s="1047"/>
      <c r="H4408" s="1047"/>
      <c r="I4408" s="1047"/>
      <c r="J4408" s="1047"/>
      <c r="K4408" s="1047"/>
      <c r="L4408" s="1047"/>
      <c r="M4408" s="1047"/>
      <c r="N4408" s="1047"/>
      <c r="O4408" s="1047"/>
      <c r="P4408" s="1047"/>
      <c r="Q4408" s="1047"/>
      <c r="R4408" s="1047"/>
      <c r="S4408" s="1047"/>
      <c r="T4408" s="1047"/>
      <c r="U4408" s="1047"/>
      <c r="V4408" s="1047"/>
      <c r="W4408" s="1047"/>
      <c r="X4408" s="1047"/>
      <c r="Y4408" s="1047"/>
      <c r="Z4408" s="1047"/>
      <c r="AA4408" s="1047"/>
      <c r="AB4408" s="1047"/>
      <c r="AC4408" s="1047"/>
      <c r="AD4408" s="1047"/>
      <c r="AE4408" s="1047"/>
      <c r="AF4408" s="1048"/>
    </row>
    <row r="4409" spans="1:32" ht="30" customHeight="1" x14ac:dyDescent="0.2">
      <c r="A4409" s="2048" t="s">
        <v>1842</v>
      </c>
      <c r="B4409" s="2049"/>
      <c r="C4409" s="2049"/>
      <c r="D4409" s="2049"/>
      <c r="E4409" s="2049"/>
      <c r="F4409" s="2050" t="str">
        <f>+'01'!$H$163</f>
        <v>F - LECHOS DE SECADO</v>
      </c>
      <c r="G4409" s="2049"/>
      <c r="H4409" s="2049"/>
      <c r="I4409" s="2049"/>
      <c r="J4409" s="2049"/>
      <c r="K4409" s="2049"/>
      <c r="L4409" s="2049"/>
      <c r="M4409" s="2049"/>
      <c r="N4409" s="2049"/>
      <c r="O4409" s="2049"/>
      <c r="P4409" s="2049"/>
      <c r="Q4409" s="2049"/>
      <c r="R4409" s="2049"/>
      <c r="S4409" s="2049"/>
      <c r="T4409" s="2049"/>
      <c r="U4409" s="2049"/>
      <c r="V4409" s="2049"/>
      <c r="W4409" s="2049"/>
      <c r="X4409" s="2049"/>
      <c r="Y4409" s="2051"/>
      <c r="Z4409" s="2052" t="s">
        <v>1843</v>
      </c>
      <c r="AA4409" s="2053"/>
      <c r="AB4409" s="2058" t="s">
        <v>1844</v>
      </c>
      <c r="AC4409" s="2059"/>
      <c r="AD4409" s="2060"/>
      <c r="AE4409" s="2064" t="s">
        <v>1845</v>
      </c>
      <c r="AF4409" s="2067" t="s">
        <v>1846</v>
      </c>
    </row>
    <row r="4410" spans="1:32" ht="15" customHeight="1" x14ac:dyDescent="0.2">
      <c r="A4410" s="2070" t="str">
        <f>+'01'!A186</f>
        <v>F-08-01</v>
      </c>
      <c r="B4410" s="2071"/>
      <c r="C4410" s="2072"/>
      <c r="D4410" s="2076" t="str">
        <f>VLOOKUP(A4410,'01'!$A$12:$N$299,3,FALSE)</f>
        <v>SUMINISTRO E INSTALACIÓN DE CINTA PVC DE 0.15 METROS PARA JUNTA DE CONSTRUCCION EN TANQUES.</v>
      </c>
      <c r="E4410" s="2077"/>
      <c r="F4410" s="2077"/>
      <c r="G4410" s="2077"/>
      <c r="H4410" s="2077"/>
      <c r="I4410" s="2077"/>
      <c r="J4410" s="2077"/>
      <c r="K4410" s="2077"/>
      <c r="L4410" s="2077"/>
      <c r="M4410" s="2077"/>
      <c r="N4410" s="2077"/>
      <c r="O4410" s="2077"/>
      <c r="P4410" s="2077"/>
      <c r="Q4410" s="2077"/>
      <c r="R4410" s="2077"/>
      <c r="S4410" s="2078"/>
      <c r="T4410" s="2082" t="s">
        <v>124</v>
      </c>
      <c r="U4410" s="2083"/>
      <c r="V4410" s="2083"/>
      <c r="W4410" s="2083"/>
      <c r="X4410" s="2052" t="str">
        <f>VLOOKUP(A4410,'01'!$A$12:$N$299,9,FALSE)</f>
        <v>ML</v>
      </c>
      <c r="Y4410" s="2053"/>
      <c r="Z4410" s="2054"/>
      <c r="AA4410" s="2055"/>
      <c r="AB4410" s="2061"/>
      <c r="AC4410" s="2062"/>
      <c r="AD4410" s="2063"/>
      <c r="AE4410" s="2065"/>
      <c r="AF4410" s="2068"/>
    </row>
    <row r="4411" spans="1:32" ht="15" customHeight="1" x14ac:dyDescent="0.25">
      <c r="A4411" s="2073"/>
      <c r="B4411" s="2074"/>
      <c r="C4411" s="2075"/>
      <c r="D4411" s="2079"/>
      <c r="E4411" s="2080"/>
      <c r="F4411" s="2080"/>
      <c r="G4411" s="2080"/>
      <c r="H4411" s="2080"/>
      <c r="I4411" s="2080"/>
      <c r="J4411" s="2080"/>
      <c r="K4411" s="2080"/>
      <c r="L4411" s="2080"/>
      <c r="M4411" s="2080"/>
      <c r="N4411" s="2080"/>
      <c r="O4411" s="2080"/>
      <c r="P4411" s="2080"/>
      <c r="Q4411" s="2080"/>
      <c r="R4411" s="2080"/>
      <c r="S4411" s="2081"/>
      <c r="T4411" s="2084"/>
      <c r="U4411" s="2085"/>
      <c r="V4411" s="2085"/>
      <c r="W4411" s="2085"/>
      <c r="X4411" s="2056"/>
      <c r="Y4411" s="2057"/>
      <c r="Z4411" s="2056"/>
      <c r="AA4411" s="2057"/>
      <c r="AB4411" s="1049" t="s">
        <v>1847</v>
      </c>
      <c r="AC4411" s="1049" t="s">
        <v>1848</v>
      </c>
      <c r="AD4411" s="1049" t="s">
        <v>1861</v>
      </c>
      <c r="AE4411" s="2066"/>
      <c r="AF4411" s="2069"/>
    </row>
    <row r="4412" spans="1:32" ht="15.6" customHeight="1" x14ac:dyDescent="0.25">
      <c r="A4412" s="2017"/>
      <c r="B4412" s="2018"/>
      <c r="C4412" s="2018"/>
      <c r="D4412" s="2018"/>
      <c r="E4412" s="2018"/>
      <c r="F4412" s="2018"/>
      <c r="G4412" s="2018"/>
      <c r="H4412" s="2018"/>
      <c r="I4412" s="2018"/>
      <c r="J4412" s="2018"/>
      <c r="K4412" s="2018"/>
      <c r="L4412" s="2018"/>
      <c r="M4412" s="2018"/>
      <c r="N4412" s="2018"/>
      <c r="O4412" s="2018"/>
      <c r="P4412" s="2018"/>
      <c r="Q4412" s="2018"/>
      <c r="R4412" s="2018"/>
      <c r="S4412" s="2018"/>
      <c r="T4412" s="2018"/>
      <c r="U4412" s="2018"/>
      <c r="V4412" s="2018"/>
      <c r="W4412" s="2018"/>
      <c r="X4412" s="2018"/>
      <c r="Y4412" s="2018"/>
      <c r="Z4412" s="2021" t="s">
        <v>2493</v>
      </c>
      <c r="AA4412" s="2021"/>
      <c r="AB4412" s="1050">
        <v>13.25</v>
      </c>
      <c r="AC4412" s="1050"/>
      <c r="AD4412" s="1050"/>
      <c r="AE4412" s="1050">
        <v>2</v>
      </c>
      <c r="AF4412" s="1052">
        <f>+ROUND(AB4412*AE4412,2)</f>
        <v>26.5</v>
      </c>
    </row>
    <row r="4413" spans="1:32" ht="15.6" customHeight="1" x14ac:dyDescent="0.25">
      <c r="A4413" s="2017"/>
      <c r="B4413" s="2018"/>
      <c r="C4413" s="2018"/>
      <c r="D4413" s="2018"/>
      <c r="E4413" s="2018"/>
      <c r="F4413" s="2018"/>
      <c r="G4413" s="2018"/>
      <c r="H4413" s="2018"/>
      <c r="I4413" s="2018"/>
      <c r="J4413" s="2018"/>
      <c r="K4413" s="2018"/>
      <c r="L4413" s="2018"/>
      <c r="M4413" s="2018"/>
      <c r="N4413" s="2018"/>
      <c r="O4413" s="2018"/>
      <c r="P4413" s="2018"/>
      <c r="Q4413" s="2018"/>
      <c r="R4413" s="2018"/>
      <c r="S4413" s="2018"/>
      <c r="T4413" s="2018"/>
      <c r="U4413" s="2018"/>
      <c r="V4413" s="2018"/>
      <c r="W4413" s="2018"/>
      <c r="X4413" s="2018"/>
      <c r="Y4413" s="2018"/>
      <c r="Z4413" s="2021" t="s">
        <v>2494</v>
      </c>
      <c r="AA4413" s="2021"/>
      <c r="AB4413" s="1050">
        <v>3.5</v>
      </c>
      <c r="AC4413" s="1050"/>
      <c r="AD4413" s="1050"/>
      <c r="AE4413" s="1050">
        <v>5</v>
      </c>
      <c r="AF4413" s="1052">
        <f>+ROUND(AB4413*AE4413,2)</f>
        <v>17.5</v>
      </c>
    </row>
    <row r="4414" spans="1:32" ht="15.75" x14ac:dyDescent="0.25">
      <c r="A4414" s="2017"/>
      <c r="B4414" s="2018"/>
      <c r="C4414" s="2018"/>
      <c r="D4414" s="2018"/>
      <c r="E4414" s="2018"/>
      <c r="F4414" s="2018"/>
      <c r="G4414" s="2018"/>
      <c r="H4414" s="2018"/>
      <c r="I4414" s="2018"/>
      <c r="J4414" s="2018"/>
      <c r="K4414" s="2018"/>
      <c r="L4414" s="2018"/>
      <c r="M4414" s="2018"/>
      <c r="N4414" s="2018"/>
      <c r="O4414" s="2018"/>
      <c r="P4414" s="2018"/>
      <c r="Q4414" s="2018"/>
      <c r="R4414" s="2018"/>
      <c r="S4414" s="2018"/>
      <c r="T4414" s="2018"/>
      <c r="U4414" s="2018"/>
      <c r="V4414" s="2018"/>
      <c r="W4414" s="2018"/>
      <c r="X4414" s="2018"/>
      <c r="Y4414" s="2018"/>
      <c r="Z4414" s="2021" t="s">
        <v>2495</v>
      </c>
      <c r="AA4414" s="2021"/>
      <c r="AB4414" s="1050">
        <v>3.8</v>
      </c>
      <c r="AC4414" s="1050"/>
      <c r="AD4414" s="1050"/>
      <c r="AE4414" s="1050">
        <v>4</v>
      </c>
      <c r="AF4414" s="1052">
        <f>+ROUND(AB4414*AE4414,2)</f>
        <v>15.2</v>
      </c>
    </row>
    <row r="4415" spans="1:32" ht="15.75" x14ac:dyDescent="0.25">
      <c r="A4415" s="2017"/>
      <c r="B4415" s="2018"/>
      <c r="C4415" s="2018"/>
      <c r="D4415" s="2018"/>
      <c r="E4415" s="2018"/>
      <c r="F4415" s="2018"/>
      <c r="G4415" s="2018"/>
      <c r="H4415" s="2018"/>
      <c r="I4415" s="2018"/>
      <c r="J4415" s="2018"/>
      <c r="K4415" s="2018"/>
      <c r="L4415" s="2018"/>
      <c r="M4415" s="2018"/>
      <c r="N4415" s="2018"/>
      <c r="O4415" s="2018"/>
      <c r="P4415" s="2018"/>
      <c r="Q4415" s="2018"/>
      <c r="R4415" s="2018"/>
      <c r="S4415" s="2018"/>
      <c r="T4415" s="2018"/>
      <c r="U4415" s="2018"/>
      <c r="V4415" s="2018"/>
      <c r="W4415" s="2018"/>
      <c r="X4415" s="2018"/>
      <c r="Y4415" s="2018"/>
      <c r="Z4415" s="2021"/>
      <c r="AA4415" s="2021"/>
      <c r="AB4415" s="1050"/>
      <c r="AC4415" s="1050"/>
      <c r="AD4415" s="1050"/>
      <c r="AE4415" s="1050"/>
      <c r="AF4415" s="1052"/>
    </row>
    <row r="4416" spans="1:32" ht="15.6" customHeight="1" x14ac:dyDescent="0.25">
      <c r="A4416" s="2017"/>
      <c r="B4416" s="2018"/>
      <c r="C4416" s="2018"/>
      <c r="D4416" s="2018"/>
      <c r="E4416" s="2018"/>
      <c r="F4416" s="2018"/>
      <c r="G4416" s="2018"/>
      <c r="H4416" s="2018"/>
      <c r="I4416" s="2018"/>
      <c r="J4416" s="2018"/>
      <c r="K4416" s="2018"/>
      <c r="L4416" s="2018"/>
      <c r="M4416" s="2018"/>
      <c r="N4416" s="2018"/>
      <c r="O4416" s="2018"/>
      <c r="P4416" s="2018"/>
      <c r="Q4416" s="2018"/>
      <c r="R4416" s="2018"/>
      <c r="S4416" s="2018"/>
      <c r="T4416" s="2018"/>
      <c r="U4416" s="2018"/>
      <c r="V4416" s="2018"/>
      <c r="W4416" s="2018"/>
      <c r="X4416" s="2018"/>
      <c r="Y4416" s="2018"/>
      <c r="Z4416" s="2021"/>
      <c r="AA4416" s="2021"/>
      <c r="AB4416" s="1050"/>
      <c r="AC4416" s="1050"/>
      <c r="AD4416" s="1050"/>
      <c r="AE4416" s="1050"/>
      <c r="AF4416" s="1052"/>
    </row>
    <row r="4417" spans="1:32" ht="15.75" x14ac:dyDescent="0.25">
      <c r="A4417" s="2017"/>
      <c r="B4417" s="2018"/>
      <c r="C4417" s="2018"/>
      <c r="D4417" s="2018"/>
      <c r="E4417" s="2018"/>
      <c r="F4417" s="2018"/>
      <c r="G4417" s="2018"/>
      <c r="H4417" s="2018"/>
      <c r="I4417" s="2018"/>
      <c r="J4417" s="2018"/>
      <c r="K4417" s="2018"/>
      <c r="L4417" s="2018"/>
      <c r="M4417" s="2018"/>
      <c r="N4417" s="2018"/>
      <c r="O4417" s="2018"/>
      <c r="P4417" s="2018"/>
      <c r="Q4417" s="2018"/>
      <c r="R4417" s="2018"/>
      <c r="S4417" s="2018"/>
      <c r="T4417" s="2018"/>
      <c r="U4417" s="2018"/>
      <c r="V4417" s="2018"/>
      <c r="W4417" s="2018"/>
      <c r="X4417" s="2018"/>
      <c r="Y4417" s="2018"/>
      <c r="Z4417" s="2021"/>
      <c r="AA4417" s="2021"/>
      <c r="AB4417" s="1050"/>
      <c r="AC4417" s="1050"/>
      <c r="AD4417" s="1050"/>
      <c r="AE4417" s="1050"/>
      <c r="AF4417" s="1052"/>
    </row>
    <row r="4418" spans="1:32" ht="15.75" x14ac:dyDescent="0.25">
      <c r="A4418" s="2017"/>
      <c r="B4418" s="2018"/>
      <c r="C4418" s="2018"/>
      <c r="D4418" s="2018"/>
      <c r="E4418" s="2018"/>
      <c r="F4418" s="2018"/>
      <c r="G4418" s="2018"/>
      <c r="H4418" s="2018"/>
      <c r="I4418" s="2018"/>
      <c r="J4418" s="2018"/>
      <c r="K4418" s="2018"/>
      <c r="L4418" s="2018"/>
      <c r="M4418" s="2018"/>
      <c r="N4418" s="2018"/>
      <c r="O4418" s="2018"/>
      <c r="P4418" s="2018"/>
      <c r="Q4418" s="2018"/>
      <c r="R4418" s="2018"/>
      <c r="S4418" s="2018"/>
      <c r="T4418" s="2018"/>
      <c r="U4418" s="2018"/>
      <c r="V4418" s="2018"/>
      <c r="W4418" s="2018"/>
      <c r="X4418" s="2018"/>
      <c r="Y4418" s="2018"/>
      <c r="Z4418" s="2021"/>
      <c r="AA4418" s="2021"/>
      <c r="AB4418" s="1050"/>
      <c r="AC4418" s="1050"/>
      <c r="AD4418" s="1050"/>
      <c r="AE4418" s="1050"/>
      <c r="AF4418" s="1052"/>
    </row>
    <row r="4419" spans="1:32" ht="15.75" x14ac:dyDescent="0.25">
      <c r="A4419" s="2017"/>
      <c r="B4419" s="2018"/>
      <c r="C4419" s="2018"/>
      <c r="D4419" s="2018"/>
      <c r="E4419" s="2018"/>
      <c r="F4419" s="2018"/>
      <c r="G4419" s="2018"/>
      <c r="H4419" s="2018"/>
      <c r="I4419" s="2018"/>
      <c r="J4419" s="2018"/>
      <c r="K4419" s="2018"/>
      <c r="L4419" s="2018"/>
      <c r="M4419" s="2018"/>
      <c r="N4419" s="2018"/>
      <c r="O4419" s="2018"/>
      <c r="P4419" s="2018"/>
      <c r="Q4419" s="2018"/>
      <c r="R4419" s="2018"/>
      <c r="S4419" s="2018"/>
      <c r="T4419" s="2018"/>
      <c r="U4419" s="2018"/>
      <c r="V4419" s="2018"/>
      <c r="W4419" s="2018"/>
      <c r="X4419" s="2018"/>
      <c r="Y4419" s="2018"/>
      <c r="Z4419" s="2021"/>
      <c r="AA4419" s="2021"/>
      <c r="AB4419" s="1050"/>
      <c r="AC4419" s="1050"/>
      <c r="AD4419" s="1050"/>
      <c r="AE4419" s="1050"/>
      <c r="AF4419" s="1052"/>
    </row>
    <row r="4420" spans="1:32" ht="15.75" x14ac:dyDescent="0.25">
      <c r="A4420" s="2017"/>
      <c r="B4420" s="2018"/>
      <c r="C4420" s="2018"/>
      <c r="D4420" s="2018"/>
      <c r="E4420" s="2018"/>
      <c r="F4420" s="2018"/>
      <c r="G4420" s="2018"/>
      <c r="H4420" s="2018"/>
      <c r="I4420" s="2018"/>
      <c r="J4420" s="2018"/>
      <c r="K4420" s="2018"/>
      <c r="L4420" s="2018"/>
      <c r="M4420" s="2018"/>
      <c r="N4420" s="2018"/>
      <c r="O4420" s="2018"/>
      <c r="P4420" s="2018"/>
      <c r="Q4420" s="2018"/>
      <c r="R4420" s="2018"/>
      <c r="S4420" s="2018"/>
      <c r="T4420" s="2018"/>
      <c r="U4420" s="2018"/>
      <c r="V4420" s="2018"/>
      <c r="W4420" s="2018"/>
      <c r="X4420" s="2018"/>
      <c r="Y4420" s="2018"/>
      <c r="Z4420" s="2021"/>
      <c r="AA4420" s="2021"/>
      <c r="AB4420" s="1050"/>
      <c r="AC4420" s="1050"/>
      <c r="AD4420" s="1050"/>
      <c r="AE4420" s="1050"/>
      <c r="AF4420" s="1052"/>
    </row>
    <row r="4421" spans="1:32" ht="15.75" x14ac:dyDescent="0.25">
      <c r="A4421" s="2017"/>
      <c r="B4421" s="2018"/>
      <c r="C4421" s="2018"/>
      <c r="D4421" s="2018"/>
      <c r="E4421" s="2018"/>
      <c r="F4421" s="2018"/>
      <c r="G4421" s="2018"/>
      <c r="H4421" s="2018"/>
      <c r="I4421" s="2018"/>
      <c r="J4421" s="2018"/>
      <c r="K4421" s="2018"/>
      <c r="L4421" s="2018"/>
      <c r="M4421" s="2018"/>
      <c r="N4421" s="2018"/>
      <c r="O4421" s="2018"/>
      <c r="P4421" s="2018"/>
      <c r="Q4421" s="2018"/>
      <c r="R4421" s="2018"/>
      <c r="S4421" s="2018"/>
      <c r="T4421" s="2018"/>
      <c r="U4421" s="2018"/>
      <c r="V4421" s="2018"/>
      <c r="W4421" s="2018"/>
      <c r="X4421" s="2018"/>
      <c r="Y4421" s="2018"/>
      <c r="Z4421" s="2021"/>
      <c r="AA4421" s="2021"/>
      <c r="AB4421" s="1050"/>
      <c r="AC4421" s="1050"/>
      <c r="AD4421" s="1050"/>
      <c r="AE4421" s="1050"/>
      <c r="AF4421" s="1052"/>
    </row>
    <row r="4422" spans="1:32" ht="15.75" x14ac:dyDescent="0.25">
      <c r="A4422" s="2017"/>
      <c r="B4422" s="2018"/>
      <c r="C4422" s="2018"/>
      <c r="D4422" s="2018"/>
      <c r="E4422" s="2018"/>
      <c r="F4422" s="2018"/>
      <c r="G4422" s="2018"/>
      <c r="H4422" s="2018"/>
      <c r="I4422" s="2018"/>
      <c r="J4422" s="2018"/>
      <c r="K4422" s="2018"/>
      <c r="L4422" s="2018"/>
      <c r="M4422" s="2018"/>
      <c r="N4422" s="2018"/>
      <c r="O4422" s="2018"/>
      <c r="P4422" s="2018"/>
      <c r="Q4422" s="2018"/>
      <c r="R4422" s="2018"/>
      <c r="S4422" s="2018"/>
      <c r="T4422" s="2018"/>
      <c r="U4422" s="2018"/>
      <c r="V4422" s="2018"/>
      <c r="W4422" s="2018"/>
      <c r="X4422" s="2018"/>
      <c r="Y4422" s="2018"/>
      <c r="Z4422" s="2021"/>
      <c r="AA4422" s="2021"/>
      <c r="AB4422" s="1050"/>
      <c r="AC4422" s="1050"/>
      <c r="AD4422" s="1050"/>
      <c r="AE4422" s="1050"/>
      <c r="AF4422" s="1052"/>
    </row>
    <row r="4423" spans="1:32" ht="15.75" x14ac:dyDescent="0.25">
      <c r="A4423" s="2017"/>
      <c r="B4423" s="2018"/>
      <c r="C4423" s="2018"/>
      <c r="D4423" s="2018"/>
      <c r="E4423" s="2018"/>
      <c r="F4423" s="2018"/>
      <c r="G4423" s="2018"/>
      <c r="H4423" s="2018"/>
      <c r="I4423" s="2018"/>
      <c r="J4423" s="2018"/>
      <c r="K4423" s="2018"/>
      <c r="L4423" s="2018"/>
      <c r="M4423" s="2018"/>
      <c r="N4423" s="2018"/>
      <c r="O4423" s="2018"/>
      <c r="P4423" s="2018"/>
      <c r="Q4423" s="2018"/>
      <c r="R4423" s="2018"/>
      <c r="S4423" s="2018"/>
      <c r="T4423" s="2018"/>
      <c r="U4423" s="2018"/>
      <c r="V4423" s="2018"/>
      <c r="W4423" s="2018"/>
      <c r="X4423" s="2018"/>
      <c r="Y4423" s="2018"/>
      <c r="Z4423" s="2021"/>
      <c r="AA4423" s="2021"/>
      <c r="AB4423" s="1050"/>
      <c r="AC4423" s="1050"/>
      <c r="AD4423" s="1050"/>
      <c r="AE4423" s="1050"/>
      <c r="AF4423" s="1052"/>
    </row>
    <row r="4424" spans="1:32" ht="15.75" x14ac:dyDescent="0.25">
      <c r="A4424" s="2017"/>
      <c r="B4424" s="2018"/>
      <c r="C4424" s="2018"/>
      <c r="D4424" s="2018"/>
      <c r="E4424" s="2018"/>
      <c r="F4424" s="2018"/>
      <c r="G4424" s="2018"/>
      <c r="H4424" s="2018"/>
      <c r="I4424" s="2018"/>
      <c r="J4424" s="2018"/>
      <c r="K4424" s="2018"/>
      <c r="L4424" s="2018"/>
      <c r="M4424" s="2018"/>
      <c r="N4424" s="2018"/>
      <c r="O4424" s="2018"/>
      <c r="P4424" s="2018"/>
      <c r="Q4424" s="2018"/>
      <c r="R4424" s="2018"/>
      <c r="S4424" s="2018"/>
      <c r="T4424" s="2018"/>
      <c r="U4424" s="2018"/>
      <c r="V4424" s="2018"/>
      <c r="W4424" s="2018"/>
      <c r="X4424" s="2018"/>
      <c r="Y4424" s="2018"/>
      <c r="Z4424" s="2021"/>
      <c r="AA4424" s="2021"/>
      <c r="AB4424" s="1050"/>
      <c r="AC4424" s="1050"/>
      <c r="AD4424" s="1050"/>
      <c r="AE4424" s="1050"/>
      <c r="AF4424" s="1052"/>
    </row>
    <row r="4425" spans="1:32" ht="15.75" x14ac:dyDescent="0.25">
      <c r="A4425" s="2017"/>
      <c r="B4425" s="2018"/>
      <c r="C4425" s="2018"/>
      <c r="D4425" s="2018"/>
      <c r="E4425" s="2018"/>
      <c r="F4425" s="2018"/>
      <c r="G4425" s="2018"/>
      <c r="H4425" s="2018"/>
      <c r="I4425" s="2018"/>
      <c r="J4425" s="2018"/>
      <c r="K4425" s="2018"/>
      <c r="L4425" s="2018"/>
      <c r="M4425" s="2018"/>
      <c r="N4425" s="2018"/>
      <c r="O4425" s="2018"/>
      <c r="P4425" s="2018"/>
      <c r="Q4425" s="2018"/>
      <c r="R4425" s="2018"/>
      <c r="S4425" s="2018"/>
      <c r="T4425" s="2018"/>
      <c r="U4425" s="2018"/>
      <c r="V4425" s="2018"/>
      <c r="W4425" s="2018"/>
      <c r="X4425" s="2018"/>
      <c r="Y4425" s="2018"/>
      <c r="Z4425" s="2021"/>
      <c r="AA4425" s="2021"/>
      <c r="AB4425" s="1050"/>
      <c r="AC4425" s="1050"/>
      <c r="AD4425" s="1050"/>
      <c r="AE4425" s="1050"/>
      <c r="AF4425" s="1052"/>
    </row>
    <row r="4426" spans="1:32" ht="15.75" x14ac:dyDescent="0.25">
      <c r="A4426" s="2017"/>
      <c r="B4426" s="2018"/>
      <c r="C4426" s="2018"/>
      <c r="D4426" s="2018"/>
      <c r="E4426" s="2018"/>
      <c r="F4426" s="2018"/>
      <c r="G4426" s="2018"/>
      <c r="H4426" s="2018"/>
      <c r="I4426" s="2018"/>
      <c r="J4426" s="2018"/>
      <c r="K4426" s="2018"/>
      <c r="L4426" s="2018"/>
      <c r="M4426" s="2018"/>
      <c r="N4426" s="2018"/>
      <c r="O4426" s="2018"/>
      <c r="P4426" s="2018"/>
      <c r="Q4426" s="2018"/>
      <c r="R4426" s="2018"/>
      <c r="S4426" s="2018"/>
      <c r="T4426" s="2018"/>
      <c r="U4426" s="2018"/>
      <c r="V4426" s="2018"/>
      <c r="W4426" s="2018"/>
      <c r="X4426" s="2018"/>
      <c r="Y4426" s="2018"/>
      <c r="Z4426" s="2022"/>
      <c r="AA4426" s="2022"/>
      <c r="AB4426" s="1050"/>
      <c r="AC4426" s="1050"/>
      <c r="AD4426" s="1050"/>
      <c r="AE4426" s="1050"/>
      <c r="AF4426" s="1052"/>
    </row>
    <row r="4427" spans="1:32" ht="15.75" x14ac:dyDescent="0.25">
      <c r="A4427" s="2017"/>
      <c r="B4427" s="2018"/>
      <c r="C4427" s="2018"/>
      <c r="D4427" s="2018"/>
      <c r="E4427" s="2018"/>
      <c r="F4427" s="2018"/>
      <c r="G4427" s="2018"/>
      <c r="H4427" s="2018"/>
      <c r="I4427" s="2018"/>
      <c r="J4427" s="2018"/>
      <c r="K4427" s="2018"/>
      <c r="L4427" s="2018"/>
      <c r="M4427" s="2018"/>
      <c r="N4427" s="2018"/>
      <c r="O4427" s="2018"/>
      <c r="P4427" s="2018"/>
      <c r="Q4427" s="2018"/>
      <c r="R4427" s="2018"/>
      <c r="S4427" s="2018"/>
      <c r="T4427" s="2018"/>
      <c r="U4427" s="2018"/>
      <c r="V4427" s="2018"/>
      <c r="W4427" s="2018"/>
      <c r="X4427" s="2018"/>
      <c r="Y4427" s="2018"/>
      <c r="Z4427" s="2022"/>
      <c r="AA4427" s="2022"/>
      <c r="AB4427" s="1050"/>
      <c r="AC4427" s="1050"/>
      <c r="AD4427" s="1050"/>
      <c r="AE4427" s="1050"/>
      <c r="AF4427" s="1052"/>
    </row>
    <row r="4428" spans="1:32" ht="15.75" x14ac:dyDescent="0.25">
      <c r="A4428" s="2017"/>
      <c r="B4428" s="2018"/>
      <c r="C4428" s="2018"/>
      <c r="D4428" s="2018"/>
      <c r="E4428" s="2018"/>
      <c r="F4428" s="2018"/>
      <c r="G4428" s="2018"/>
      <c r="H4428" s="2018"/>
      <c r="I4428" s="2018"/>
      <c r="J4428" s="2018"/>
      <c r="K4428" s="2018"/>
      <c r="L4428" s="2018"/>
      <c r="M4428" s="2018"/>
      <c r="N4428" s="2018"/>
      <c r="O4428" s="2018"/>
      <c r="P4428" s="2018"/>
      <c r="Q4428" s="2018"/>
      <c r="R4428" s="2018"/>
      <c r="S4428" s="2018"/>
      <c r="T4428" s="2018"/>
      <c r="U4428" s="2018"/>
      <c r="V4428" s="2018"/>
      <c r="W4428" s="2018"/>
      <c r="X4428" s="2018"/>
      <c r="Y4428" s="2018"/>
      <c r="Z4428" s="2022"/>
      <c r="AA4428" s="2022"/>
      <c r="AB4428" s="1050"/>
      <c r="AC4428" s="1050"/>
      <c r="AD4428" s="1050"/>
      <c r="AE4428" s="1050"/>
      <c r="AF4428" s="1052"/>
    </row>
    <row r="4429" spans="1:32" ht="15.75" x14ac:dyDescent="0.25">
      <c r="A4429" s="2017"/>
      <c r="B4429" s="2018"/>
      <c r="C4429" s="2018"/>
      <c r="D4429" s="2018"/>
      <c r="E4429" s="2018"/>
      <c r="F4429" s="2018"/>
      <c r="G4429" s="2018"/>
      <c r="H4429" s="2018"/>
      <c r="I4429" s="2018"/>
      <c r="J4429" s="2018"/>
      <c r="K4429" s="2018"/>
      <c r="L4429" s="2018"/>
      <c r="M4429" s="2018"/>
      <c r="N4429" s="2018"/>
      <c r="O4429" s="2018"/>
      <c r="P4429" s="2018"/>
      <c r="Q4429" s="2018"/>
      <c r="R4429" s="2018"/>
      <c r="S4429" s="2018"/>
      <c r="T4429" s="2018"/>
      <c r="U4429" s="2018"/>
      <c r="V4429" s="2018"/>
      <c r="W4429" s="2018"/>
      <c r="X4429" s="2018"/>
      <c r="Y4429" s="2018"/>
      <c r="Z4429" s="2023"/>
      <c r="AA4429" s="2023"/>
      <c r="AB4429" s="1050"/>
      <c r="AC4429" s="1050"/>
      <c r="AD4429" s="1050"/>
      <c r="AE4429" s="1050"/>
      <c r="AF4429" s="1052"/>
    </row>
    <row r="4430" spans="1:32" ht="15.75" x14ac:dyDescent="0.25">
      <c r="A4430" s="2017"/>
      <c r="B4430" s="2018"/>
      <c r="C4430" s="2018"/>
      <c r="D4430" s="2018"/>
      <c r="E4430" s="2018"/>
      <c r="F4430" s="2018"/>
      <c r="G4430" s="2018"/>
      <c r="H4430" s="2018"/>
      <c r="I4430" s="2018"/>
      <c r="J4430" s="2018"/>
      <c r="K4430" s="2018"/>
      <c r="L4430" s="2018"/>
      <c r="M4430" s="2018"/>
      <c r="N4430" s="2018"/>
      <c r="O4430" s="2018"/>
      <c r="P4430" s="2018"/>
      <c r="Q4430" s="2018"/>
      <c r="R4430" s="2018"/>
      <c r="S4430" s="2018"/>
      <c r="T4430" s="2018"/>
      <c r="U4430" s="2018"/>
      <c r="V4430" s="2018"/>
      <c r="W4430" s="2018"/>
      <c r="X4430" s="2018"/>
      <c r="Y4430" s="2018"/>
      <c r="Z4430" s="2023"/>
      <c r="AA4430" s="2023"/>
      <c r="AB4430" s="1050"/>
      <c r="AC4430" s="1050"/>
      <c r="AD4430" s="1050"/>
      <c r="AE4430" s="1050"/>
      <c r="AF4430" s="1052"/>
    </row>
    <row r="4431" spans="1:32" ht="15.75" x14ac:dyDescent="0.25">
      <c r="A4431" s="2017"/>
      <c r="B4431" s="2018"/>
      <c r="C4431" s="2018"/>
      <c r="D4431" s="2018"/>
      <c r="E4431" s="2018"/>
      <c r="F4431" s="2018"/>
      <c r="G4431" s="2018"/>
      <c r="H4431" s="2018"/>
      <c r="I4431" s="2018"/>
      <c r="J4431" s="2018"/>
      <c r="K4431" s="2018"/>
      <c r="L4431" s="2018"/>
      <c r="M4431" s="2018"/>
      <c r="N4431" s="2018"/>
      <c r="O4431" s="2018"/>
      <c r="P4431" s="2018"/>
      <c r="Q4431" s="2018"/>
      <c r="R4431" s="2018"/>
      <c r="S4431" s="2018"/>
      <c r="T4431" s="2018"/>
      <c r="U4431" s="2018"/>
      <c r="V4431" s="2018"/>
      <c r="W4431" s="2018"/>
      <c r="X4431" s="2018"/>
      <c r="Y4431" s="2018"/>
      <c r="Z4431" s="2023"/>
      <c r="AA4431" s="2023"/>
      <c r="AB4431" s="1050"/>
      <c r="AC4431" s="1050"/>
      <c r="AD4431" s="1050"/>
      <c r="AE4431" s="1050"/>
      <c r="AF4431" s="1052"/>
    </row>
    <row r="4432" spans="1:32" ht="15.75" x14ac:dyDescent="0.25">
      <c r="A4432" s="2017"/>
      <c r="B4432" s="2018"/>
      <c r="C4432" s="2018"/>
      <c r="D4432" s="2018"/>
      <c r="E4432" s="2018"/>
      <c r="F4432" s="2018"/>
      <c r="G4432" s="2018"/>
      <c r="H4432" s="2018"/>
      <c r="I4432" s="2018"/>
      <c r="J4432" s="2018"/>
      <c r="K4432" s="2018"/>
      <c r="L4432" s="2018"/>
      <c r="M4432" s="2018"/>
      <c r="N4432" s="2018"/>
      <c r="O4432" s="2018"/>
      <c r="P4432" s="2018"/>
      <c r="Q4432" s="2018"/>
      <c r="R4432" s="2018"/>
      <c r="S4432" s="2018"/>
      <c r="T4432" s="2018"/>
      <c r="U4432" s="2018"/>
      <c r="V4432" s="2018"/>
      <c r="W4432" s="2018"/>
      <c r="X4432" s="2018"/>
      <c r="Y4432" s="2018"/>
      <c r="Z4432" s="2023"/>
      <c r="AA4432" s="2023"/>
      <c r="AB4432" s="1050"/>
      <c r="AC4432" s="1050"/>
      <c r="AD4432" s="1050"/>
      <c r="AE4432" s="1050"/>
      <c r="AF4432" s="1052"/>
    </row>
    <row r="4433" spans="1:32" ht="15.75" x14ac:dyDescent="0.25">
      <c r="A4433" s="2017"/>
      <c r="B4433" s="2018"/>
      <c r="C4433" s="2018"/>
      <c r="D4433" s="2018"/>
      <c r="E4433" s="2018"/>
      <c r="F4433" s="2018"/>
      <c r="G4433" s="2018"/>
      <c r="H4433" s="2018"/>
      <c r="I4433" s="2018"/>
      <c r="J4433" s="2018"/>
      <c r="K4433" s="2018"/>
      <c r="L4433" s="2018"/>
      <c r="M4433" s="2018"/>
      <c r="N4433" s="2018"/>
      <c r="O4433" s="2018"/>
      <c r="P4433" s="2018"/>
      <c r="Q4433" s="2018"/>
      <c r="R4433" s="2018"/>
      <c r="S4433" s="2018"/>
      <c r="T4433" s="2018"/>
      <c r="U4433" s="2018"/>
      <c r="V4433" s="2018"/>
      <c r="W4433" s="2018"/>
      <c r="X4433" s="2018"/>
      <c r="Y4433" s="2018"/>
      <c r="Z4433" s="2023"/>
      <c r="AA4433" s="2023"/>
      <c r="AB4433" s="1050"/>
      <c r="AC4433" s="1050"/>
      <c r="AD4433" s="1050"/>
      <c r="AE4433" s="1050"/>
      <c r="AF4433" s="1052"/>
    </row>
    <row r="4434" spans="1:32" ht="15.75" x14ac:dyDescent="0.25">
      <c r="A4434" s="2017"/>
      <c r="B4434" s="2018"/>
      <c r="C4434" s="2018"/>
      <c r="D4434" s="2018"/>
      <c r="E4434" s="2018"/>
      <c r="F4434" s="2018"/>
      <c r="G4434" s="2018"/>
      <c r="H4434" s="2018"/>
      <c r="I4434" s="2018"/>
      <c r="J4434" s="2018"/>
      <c r="K4434" s="2018"/>
      <c r="L4434" s="2018"/>
      <c r="M4434" s="2018"/>
      <c r="N4434" s="2018"/>
      <c r="O4434" s="2018"/>
      <c r="P4434" s="2018"/>
      <c r="Q4434" s="2018"/>
      <c r="R4434" s="2018"/>
      <c r="S4434" s="2018"/>
      <c r="T4434" s="2018"/>
      <c r="U4434" s="2018"/>
      <c r="V4434" s="2018"/>
      <c r="W4434" s="2018"/>
      <c r="X4434" s="2018"/>
      <c r="Y4434" s="2018"/>
      <c r="Z4434" s="2023"/>
      <c r="AA4434" s="2023"/>
      <c r="AB4434" s="1050"/>
      <c r="AC4434" s="1050"/>
      <c r="AD4434" s="1050"/>
      <c r="AE4434" s="1050"/>
      <c r="AF4434" s="1052"/>
    </row>
    <row r="4435" spans="1:32" ht="16.5" thickBot="1" x14ac:dyDescent="0.3">
      <c r="A4435" s="2019"/>
      <c r="B4435" s="2020"/>
      <c r="C4435" s="2020"/>
      <c r="D4435" s="2020"/>
      <c r="E4435" s="2020"/>
      <c r="F4435" s="2020"/>
      <c r="G4435" s="2020"/>
      <c r="H4435" s="2020"/>
      <c r="I4435" s="2020"/>
      <c r="J4435" s="2020"/>
      <c r="K4435" s="2020"/>
      <c r="L4435" s="2020"/>
      <c r="M4435" s="2020"/>
      <c r="N4435" s="2020"/>
      <c r="O4435" s="2020"/>
      <c r="P4435" s="2020"/>
      <c r="Q4435" s="2020"/>
      <c r="R4435" s="2020"/>
      <c r="S4435" s="2020"/>
      <c r="T4435" s="2020"/>
      <c r="U4435" s="2020"/>
      <c r="V4435" s="2020"/>
      <c r="W4435" s="2020"/>
      <c r="X4435" s="2020"/>
      <c r="Y4435" s="2020"/>
      <c r="Z4435" s="2024"/>
      <c r="AA4435" s="2024"/>
      <c r="AB4435" s="1057"/>
      <c r="AC4435" s="1057"/>
      <c r="AD4435" s="1057"/>
      <c r="AE4435" s="1057"/>
      <c r="AF4435" s="1058"/>
    </row>
    <row r="4436" spans="1:32" ht="15.75" x14ac:dyDescent="0.25">
      <c r="A4436" s="2009" t="s">
        <v>1855</v>
      </c>
      <c r="B4436" s="2010"/>
      <c r="C4436" s="2010"/>
      <c r="D4436" s="2010"/>
      <c r="E4436" s="2010"/>
      <c r="F4436" s="2010"/>
      <c r="G4436" s="2010"/>
      <c r="H4436" s="2010"/>
      <c r="I4436" s="2010"/>
      <c r="J4436" s="2010"/>
      <c r="K4436" s="2010"/>
      <c r="L4436" s="2010"/>
      <c r="M4436" s="2010"/>
      <c r="N4436" s="2010"/>
      <c r="O4436" s="2010"/>
      <c r="P4436" s="2010"/>
      <c r="Q4436" s="2010"/>
      <c r="R4436" s="2010"/>
      <c r="S4436" s="2010"/>
      <c r="T4436" s="2010"/>
      <c r="U4436" s="2010"/>
      <c r="V4436" s="2010"/>
      <c r="W4436" s="2010"/>
      <c r="X4436" s="2010"/>
      <c r="Y4436" s="2010"/>
      <c r="Z4436" s="2013" t="s">
        <v>1850</v>
      </c>
      <c r="AA4436" s="2013"/>
      <c r="AB4436" s="2013"/>
      <c r="AC4436" s="2013"/>
      <c r="AD4436" s="2013"/>
      <c r="AE4436" s="2013"/>
      <c r="AF4436" s="1059">
        <f>SUM(AF4412:AF4435)</f>
        <v>59.2</v>
      </c>
    </row>
    <row r="4437" spans="1:32" ht="15.75" x14ac:dyDescent="0.25">
      <c r="A4437" s="2011"/>
      <c r="B4437" s="2012"/>
      <c r="C4437" s="2012"/>
      <c r="D4437" s="2012"/>
      <c r="E4437" s="2012"/>
      <c r="F4437" s="2012"/>
      <c r="G4437" s="2012"/>
      <c r="H4437" s="2012"/>
      <c r="I4437" s="2012"/>
      <c r="J4437" s="2012"/>
      <c r="K4437" s="2012"/>
      <c r="L4437" s="2012"/>
      <c r="M4437" s="2012"/>
      <c r="N4437" s="2012"/>
      <c r="O4437" s="2012"/>
      <c r="P4437" s="2012"/>
      <c r="Q4437" s="2012"/>
      <c r="R4437" s="2012"/>
      <c r="S4437" s="2012"/>
      <c r="T4437" s="2012"/>
      <c r="U4437" s="2012"/>
      <c r="V4437" s="2012"/>
      <c r="W4437" s="2012"/>
      <c r="X4437" s="2012"/>
      <c r="Y4437" s="2012"/>
      <c r="Z4437" s="2014" t="s">
        <v>1851</v>
      </c>
      <c r="AA4437" s="2014"/>
      <c r="AB4437" s="2014"/>
      <c r="AC4437" s="2014"/>
      <c r="AD4437" s="2014"/>
      <c r="AE4437" s="2014"/>
      <c r="AF4437" s="1060">
        <v>0</v>
      </c>
    </row>
    <row r="4438" spans="1:32" ht="15.75" x14ac:dyDescent="0.25">
      <c r="A4438" s="2011"/>
      <c r="B4438" s="2012"/>
      <c r="C4438" s="2012"/>
      <c r="D4438" s="2012"/>
      <c r="E4438" s="2012"/>
      <c r="F4438" s="2012"/>
      <c r="G4438" s="2012"/>
      <c r="H4438" s="2012"/>
      <c r="I4438" s="2012"/>
      <c r="J4438" s="2012"/>
      <c r="K4438" s="2012"/>
      <c r="L4438" s="2012"/>
      <c r="M4438" s="2012"/>
      <c r="N4438" s="2012"/>
      <c r="O4438" s="2012"/>
      <c r="P4438" s="2012"/>
      <c r="Q4438" s="2012"/>
      <c r="R4438" s="2012"/>
      <c r="S4438" s="2012"/>
      <c r="T4438" s="2012"/>
      <c r="U4438" s="2012"/>
      <c r="V4438" s="2012"/>
      <c r="W4438" s="2012"/>
      <c r="X4438" s="2012"/>
      <c r="Y4438" s="2012"/>
      <c r="Z4438" s="2015" t="s">
        <v>1833</v>
      </c>
      <c r="AA4438" s="2015"/>
      <c r="AB4438" s="2015"/>
      <c r="AC4438" s="2015"/>
      <c r="AD4438" s="2015"/>
      <c r="AE4438" s="2015"/>
      <c r="AF4438" s="1061">
        <f>SUM(AF4436:AF4437)</f>
        <v>59.2</v>
      </c>
    </row>
    <row r="4439" spans="1:32" x14ac:dyDescent="0.2">
      <c r="A4439" s="2012" t="s">
        <v>1859</v>
      </c>
      <c r="B4439" s="2012"/>
      <c r="C4439" s="2012"/>
      <c r="D4439" s="2012"/>
      <c r="E4439" s="2012"/>
      <c r="F4439" s="2012"/>
      <c r="G4439" s="2012"/>
      <c r="H4439" s="2012"/>
      <c r="I4439" s="2012"/>
      <c r="J4439" s="2012"/>
      <c r="K4439" s="2012"/>
      <c r="L4439" s="2012"/>
      <c r="M4439" s="2012"/>
      <c r="N4439" s="2012"/>
      <c r="O4439" s="2012"/>
      <c r="P4439" s="2012"/>
      <c r="Q4439" s="2012"/>
      <c r="R4439" s="2012"/>
      <c r="S4439" s="2012"/>
      <c r="T4439" s="2016" t="s">
        <v>1840</v>
      </c>
      <c r="U4439" s="2016"/>
      <c r="V4439" s="2016"/>
      <c r="W4439" s="2016"/>
      <c r="X4439" s="2016"/>
      <c r="Y4439" s="2016"/>
      <c r="Z4439" s="2016"/>
      <c r="AA4439" s="2016"/>
      <c r="AB4439" s="2012" t="s">
        <v>1852</v>
      </c>
      <c r="AC4439" s="2012"/>
      <c r="AD4439" s="2012"/>
      <c r="AE4439" s="2012"/>
      <c r="AF4439" s="2012"/>
    </row>
    <row r="4440" spans="1:32" x14ac:dyDescent="0.2">
      <c r="A4440" s="2012"/>
      <c r="B4440" s="2012"/>
      <c r="C4440" s="2012"/>
      <c r="D4440" s="2012"/>
      <c r="E4440" s="2012"/>
      <c r="F4440" s="2012"/>
      <c r="G4440" s="2012"/>
      <c r="H4440" s="2012"/>
      <c r="I4440" s="2012"/>
      <c r="J4440" s="2012"/>
      <c r="K4440" s="2012"/>
      <c r="L4440" s="2012"/>
      <c r="M4440" s="2012"/>
      <c r="N4440" s="2012"/>
      <c r="O4440" s="2012"/>
      <c r="P4440" s="2012"/>
      <c r="Q4440" s="2012"/>
      <c r="R4440" s="2012"/>
      <c r="S4440" s="2012"/>
      <c r="T4440" s="2016"/>
      <c r="U4440" s="2016"/>
      <c r="V4440" s="2016"/>
      <c r="W4440" s="2016"/>
      <c r="X4440" s="2016"/>
      <c r="Y4440" s="2016"/>
      <c r="Z4440" s="2016"/>
      <c r="AA4440" s="2016"/>
      <c r="AB4440" s="2012"/>
      <c r="AC4440" s="2012"/>
      <c r="AD4440" s="2012"/>
      <c r="AE4440" s="2012"/>
      <c r="AF4440" s="2012"/>
    </row>
    <row r="4441" spans="1:32" ht="13.5" thickBot="1" x14ac:dyDescent="0.25"/>
    <row r="4442" spans="1:32" ht="26.45" customHeight="1" x14ac:dyDescent="0.2">
      <c r="A4442" s="2025" t="s">
        <v>1854</v>
      </c>
      <c r="B4442" s="2026"/>
      <c r="C4442" s="2026"/>
      <c r="D4442" s="2026"/>
      <c r="E4442" s="2026"/>
      <c r="F4442" s="2026"/>
      <c r="G4442" s="2026"/>
      <c r="H4442" s="2026"/>
      <c r="I4442" s="2026"/>
      <c r="J4442" s="2026"/>
      <c r="K4442" s="2026"/>
      <c r="L4442" s="2026"/>
      <c r="M4442" s="2026"/>
      <c r="N4442" s="2026"/>
      <c r="O4442" s="2026"/>
      <c r="P4442" s="2026"/>
      <c r="Q4442" s="2026"/>
      <c r="R4442" s="2026"/>
      <c r="S4442" s="2026"/>
      <c r="T4442" s="2026"/>
      <c r="U4442" s="2026"/>
      <c r="V4442" s="2026"/>
      <c r="W4442" s="2026"/>
      <c r="X4442" s="2026"/>
      <c r="Y4442" s="2026"/>
      <c r="Z4442" s="2026"/>
      <c r="AA4442" s="2026"/>
      <c r="AB4442" s="2026"/>
      <c r="AC4442" s="2026"/>
      <c r="AD4442" s="2026"/>
      <c r="AE4442" s="1041" t="s">
        <v>1834</v>
      </c>
      <c r="AF4442" s="1042" t="s">
        <v>1835</v>
      </c>
    </row>
    <row r="4443" spans="1:32" ht="21" customHeight="1" thickBot="1" x14ac:dyDescent="0.25">
      <c r="A4443" s="2027"/>
      <c r="B4443" s="2028"/>
      <c r="C4443" s="2028"/>
      <c r="D4443" s="2028"/>
      <c r="E4443" s="2028"/>
      <c r="F4443" s="2028"/>
      <c r="G4443" s="2028"/>
      <c r="H4443" s="2028"/>
      <c r="I4443" s="2028"/>
      <c r="J4443" s="2028"/>
      <c r="K4443" s="2028"/>
      <c r="L4443" s="2028"/>
      <c r="M4443" s="2028"/>
      <c r="N4443" s="2028"/>
      <c r="O4443" s="2028"/>
      <c r="P4443" s="2028"/>
      <c r="Q4443" s="2028"/>
      <c r="R4443" s="2028"/>
      <c r="S4443" s="2028"/>
      <c r="T4443" s="2028"/>
      <c r="U4443" s="2028"/>
      <c r="V4443" s="2028"/>
      <c r="W4443" s="2028"/>
      <c r="X4443" s="2028"/>
      <c r="Y4443" s="2028"/>
      <c r="Z4443" s="2028"/>
      <c r="AA4443" s="2028"/>
      <c r="AB4443" s="2028"/>
      <c r="AC4443" s="2028"/>
      <c r="AD4443" s="2028"/>
      <c r="AE4443" s="1041" t="s">
        <v>1836</v>
      </c>
      <c r="AF4443" s="1044">
        <v>1</v>
      </c>
    </row>
    <row r="4444" spans="1:32" ht="15.75" x14ac:dyDescent="0.2">
      <c r="A4444" s="2029"/>
      <c r="B4444" s="2030"/>
      <c r="C4444" s="2030"/>
      <c r="D4444" s="2031"/>
      <c r="E4444" s="2025" t="str">
        <f>'01'!$A$12</f>
        <v>"CONSTRUCCION SISTEMA DE ACUEDUCTO FASE II DEL MUNICIPIO DE TESALIA DPTO DEL HUILA"</v>
      </c>
      <c r="F4444" s="2026"/>
      <c r="G4444" s="2026"/>
      <c r="H4444" s="2026"/>
      <c r="I4444" s="2026"/>
      <c r="J4444" s="2026"/>
      <c r="K4444" s="2026"/>
      <c r="L4444" s="2026"/>
      <c r="M4444" s="2026"/>
      <c r="N4444" s="2026"/>
      <c r="O4444" s="2026"/>
      <c r="P4444" s="2026"/>
      <c r="Q4444" s="2026"/>
      <c r="R4444" s="2026"/>
      <c r="S4444" s="2026"/>
      <c r="T4444" s="2026"/>
      <c r="U4444" s="2026"/>
      <c r="V4444" s="2026"/>
      <c r="W4444" s="2026"/>
      <c r="X4444" s="2026"/>
      <c r="Y4444" s="2026"/>
      <c r="Z4444" s="2026"/>
      <c r="AA4444" s="2026"/>
      <c r="AB4444" s="2026"/>
      <c r="AC4444" s="2026"/>
      <c r="AD4444" s="2035"/>
      <c r="AE4444" s="1041" t="s">
        <v>847</v>
      </c>
      <c r="AF4444" s="1045">
        <f>'01'!$M$13</f>
        <v>0</v>
      </c>
    </row>
    <row r="4445" spans="1:32" ht="16.5" thickBot="1" x14ac:dyDescent="0.25">
      <c r="A4445" s="2032"/>
      <c r="B4445" s="2033"/>
      <c r="C4445" s="2033"/>
      <c r="D4445" s="2034"/>
      <c r="E4445" s="2027"/>
      <c r="F4445" s="2028"/>
      <c r="G4445" s="2028"/>
      <c r="H4445" s="2028"/>
      <c r="I4445" s="2028"/>
      <c r="J4445" s="2028"/>
      <c r="K4445" s="2028"/>
      <c r="L4445" s="2028"/>
      <c r="M4445" s="2028"/>
      <c r="N4445" s="2028"/>
      <c r="O4445" s="2028"/>
      <c r="P4445" s="2028"/>
      <c r="Q4445" s="2028"/>
      <c r="R4445" s="2028"/>
      <c r="S4445" s="2028"/>
      <c r="T4445" s="2028"/>
      <c r="U4445" s="2028"/>
      <c r="V4445" s="2028"/>
      <c r="W4445" s="2028"/>
      <c r="X4445" s="2028"/>
      <c r="Y4445" s="2028"/>
      <c r="Z4445" s="2028"/>
      <c r="AA4445" s="2028"/>
      <c r="AB4445" s="2028"/>
      <c r="AC4445" s="2028"/>
      <c r="AD4445" s="2036"/>
      <c r="AE4445" s="1041" t="s">
        <v>1837</v>
      </c>
      <c r="AF4445" s="1042" t="s">
        <v>1838</v>
      </c>
    </row>
    <row r="4446" spans="1:32" ht="15.75" x14ac:dyDescent="0.25">
      <c r="A4446" s="2037" t="s">
        <v>1860</v>
      </c>
      <c r="B4446" s="2038"/>
      <c r="C4446" s="2038"/>
      <c r="D4446" s="2038"/>
      <c r="E4446" s="2038"/>
      <c r="F4446" s="2038"/>
      <c r="G4446" s="2038"/>
      <c r="H4446" s="2038"/>
      <c r="I4446" s="2038"/>
      <c r="J4446" s="2038"/>
      <c r="K4446" s="2038"/>
      <c r="L4446" s="2038"/>
      <c r="M4446" s="2038"/>
      <c r="N4446" s="2038"/>
      <c r="O4446" s="2038"/>
      <c r="P4446" s="2038"/>
      <c r="Q4446" s="2038"/>
      <c r="R4446" s="2038"/>
      <c r="S4446" s="2038"/>
      <c r="T4446" s="2038"/>
      <c r="U4446" s="2038"/>
      <c r="V4446" s="2038"/>
      <c r="W4446" s="2038"/>
      <c r="X4446" s="2038"/>
      <c r="Y4446" s="2038"/>
      <c r="Z4446" s="2038"/>
      <c r="AA4446" s="2038"/>
      <c r="AB4446" s="2038"/>
      <c r="AC4446" s="2038"/>
      <c r="AD4446" s="2038"/>
      <c r="AE4446" s="2039" t="s">
        <v>1839</v>
      </c>
      <c r="AF4446" s="2040"/>
    </row>
    <row r="4447" spans="1:32" ht="15.75" x14ac:dyDescent="0.25">
      <c r="A4447" s="2041" t="s">
        <v>1840</v>
      </c>
      <c r="B4447" s="2042"/>
      <c r="C4447" s="2042"/>
      <c r="D4447" s="2042"/>
      <c r="E4447" s="2042"/>
      <c r="F4447" s="2042"/>
      <c r="G4447" s="2042"/>
      <c r="H4447" s="2042"/>
      <c r="I4447" s="2042"/>
      <c r="J4447" s="2042"/>
      <c r="K4447" s="2042"/>
      <c r="L4447" s="2042"/>
      <c r="M4447" s="2042"/>
      <c r="N4447" s="2042"/>
      <c r="O4447" s="2042"/>
      <c r="P4447" s="2042"/>
      <c r="Q4447" s="2042"/>
      <c r="R4447" s="2042"/>
      <c r="S4447" s="2042"/>
      <c r="T4447" s="2042"/>
      <c r="U4447" s="2042"/>
      <c r="V4447" s="2042"/>
      <c r="W4447" s="2042"/>
      <c r="X4447" s="2042"/>
      <c r="Y4447" s="2042"/>
      <c r="Z4447" s="2042"/>
      <c r="AA4447" s="2042"/>
      <c r="AB4447" s="2042"/>
      <c r="AC4447" s="2042"/>
      <c r="AD4447" s="2043"/>
      <c r="AE4447" s="2014" t="s">
        <v>1841</v>
      </c>
      <c r="AF4447" s="2044"/>
    </row>
    <row r="4448" spans="1:32" ht="15.75" x14ac:dyDescent="0.25">
      <c r="A4448" s="2045" t="s">
        <v>1853</v>
      </c>
      <c r="B4448" s="2046"/>
      <c r="C4448" s="2046"/>
      <c r="D4448" s="2046"/>
      <c r="E4448" s="2046"/>
      <c r="F4448" s="2046"/>
      <c r="G4448" s="2046"/>
      <c r="H4448" s="2046"/>
      <c r="I4448" s="2046"/>
      <c r="J4448" s="2046"/>
      <c r="K4448" s="2046"/>
      <c r="L4448" s="2046"/>
      <c r="M4448" s="2046"/>
      <c r="N4448" s="2046"/>
      <c r="O4448" s="2046"/>
      <c r="P4448" s="2046"/>
      <c r="Q4448" s="2046"/>
      <c r="R4448" s="2046"/>
      <c r="S4448" s="2046"/>
      <c r="T4448" s="2046"/>
      <c r="U4448" s="2046"/>
      <c r="V4448" s="2046"/>
      <c r="W4448" s="2046"/>
      <c r="X4448" s="2046"/>
      <c r="Y4448" s="2046"/>
      <c r="Z4448" s="2046"/>
      <c r="AA4448" s="2046"/>
      <c r="AB4448" s="2046"/>
      <c r="AC4448" s="2046"/>
      <c r="AD4448" s="2046"/>
      <c r="AE4448" s="2047">
        <f>'01'!$M$13</f>
        <v>0</v>
      </c>
      <c r="AF4448" s="2044"/>
    </row>
    <row r="4449" spans="1:32" x14ac:dyDescent="0.2">
      <c r="A4449" s="1046"/>
      <c r="B4449" s="1047"/>
      <c r="C4449" s="1047"/>
      <c r="D4449" s="1047"/>
      <c r="E4449" s="1047"/>
      <c r="F4449" s="1047"/>
      <c r="G4449" s="1047"/>
      <c r="H4449" s="1047"/>
      <c r="I4449" s="1047"/>
      <c r="J4449" s="1047"/>
      <c r="K4449" s="1047"/>
      <c r="L4449" s="1047"/>
      <c r="M4449" s="1047"/>
      <c r="N4449" s="1047"/>
      <c r="O4449" s="1047"/>
      <c r="P4449" s="1047"/>
      <c r="Q4449" s="1047"/>
      <c r="R4449" s="1047"/>
      <c r="S4449" s="1047"/>
      <c r="T4449" s="1047"/>
      <c r="U4449" s="1047"/>
      <c r="V4449" s="1047"/>
      <c r="W4449" s="1047"/>
      <c r="X4449" s="1047"/>
      <c r="Y4449" s="1047"/>
      <c r="Z4449" s="1047"/>
      <c r="AA4449" s="1047"/>
      <c r="AB4449" s="1047"/>
      <c r="AC4449" s="1047"/>
      <c r="AD4449" s="1047"/>
      <c r="AE4449" s="1047"/>
      <c r="AF4449" s="1048"/>
    </row>
    <row r="4450" spans="1:32" ht="30" customHeight="1" x14ac:dyDescent="0.2">
      <c r="A4450" s="2048" t="s">
        <v>1842</v>
      </c>
      <c r="B4450" s="2049"/>
      <c r="C4450" s="2049"/>
      <c r="D4450" s="2049"/>
      <c r="E4450" s="2049"/>
      <c r="F4450" s="2050" t="str">
        <f>+'01'!$H$163</f>
        <v>F - LECHOS DE SECADO</v>
      </c>
      <c r="G4450" s="2049"/>
      <c r="H4450" s="2049"/>
      <c r="I4450" s="2049"/>
      <c r="J4450" s="2049"/>
      <c r="K4450" s="2049"/>
      <c r="L4450" s="2049"/>
      <c r="M4450" s="2049"/>
      <c r="N4450" s="2049"/>
      <c r="O4450" s="2049"/>
      <c r="P4450" s="2049"/>
      <c r="Q4450" s="2049"/>
      <c r="R4450" s="2049"/>
      <c r="S4450" s="2049"/>
      <c r="T4450" s="2049"/>
      <c r="U4450" s="2049"/>
      <c r="V4450" s="2049"/>
      <c r="W4450" s="2049"/>
      <c r="X4450" s="2049"/>
      <c r="Y4450" s="2051"/>
      <c r="Z4450" s="2052" t="s">
        <v>1843</v>
      </c>
      <c r="AA4450" s="2053"/>
      <c r="AB4450" s="2058" t="s">
        <v>1844</v>
      </c>
      <c r="AC4450" s="2059"/>
      <c r="AD4450" s="2060"/>
      <c r="AE4450" s="2064" t="s">
        <v>1845</v>
      </c>
      <c r="AF4450" s="2067" t="s">
        <v>1846</v>
      </c>
    </row>
    <row r="4451" spans="1:32" ht="15" customHeight="1" x14ac:dyDescent="0.2">
      <c r="A4451" s="2070" t="str">
        <f>+'01'!A187</f>
        <v>F-08-02</v>
      </c>
      <c r="B4451" s="2071"/>
      <c r="C4451" s="2072"/>
      <c r="D4451" s="2076" t="str">
        <f>VLOOKUP(A4451,'01'!$A$12:$N$299,3,FALSE)</f>
        <v xml:space="preserve"> SUMINISTRO E INSTALACION VALVULA DE COMPUERTA ELASTICA VASTAGO NO ASCENDENTE EXTREMO BRIDADO PARA PVC DIAMETRO 4".</v>
      </c>
      <c r="E4451" s="2077"/>
      <c r="F4451" s="2077"/>
      <c r="G4451" s="2077"/>
      <c r="H4451" s="2077"/>
      <c r="I4451" s="2077"/>
      <c r="J4451" s="2077"/>
      <c r="K4451" s="2077"/>
      <c r="L4451" s="2077"/>
      <c r="M4451" s="2077"/>
      <c r="N4451" s="2077"/>
      <c r="O4451" s="2077"/>
      <c r="P4451" s="2077"/>
      <c r="Q4451" s="2077"/>
      <c r="R4451" s="2077"/>
      <c r="S4451" s="2078"/>
      <c r="T4451" s="2082" t="s">
        <v>124</v>
      </c>
      <c r="U4451" s="2083"/>
      <c r="V4451" s="2083"/>
      <c r="W4451" s="2083"/>
      <c r="X4451" s="2052" t="str">
        <f>VLOOKUP(A4451,'01'!$A$12:$N$299,9,FALSE)</f>
        <v>UND</v>
      </c>
      <c r="Y4451" s="2053"/>
      <c r="Z4451" s="2054"/>
      <c r="AA4451" s="2055"/>
      <c r="AB4451" s="2061"/>
      <c r="AC4451" s="2062"/>
      <c r="AD4451" s="2063"/>
      <c r="AE4451" s="2065"/>
      <c r="AF4451" s="2068"/>
    </row>
    <row r="4452" spans="1:32" ht="30" customHeight="1" x14ac:dyDescent="0.25">
      <c r="A4452" s="2073"/>
      <c r="B4452" s="2074"/>
      <c r="C4452" s="2075"/>
      <c r="D4452" s="2079"/>
      <c r="E4452" s="2080"/>
      <c r="F4452" s="2080"/>
      <c r="G4452" s="2080"/>
      <c r="H4452" s="2080"/>
      <c r="I4452" s="2080"/>
      <c r="J4452" s="2080"/>
      <c r="K4452" s="2080"/>
      <c r="L4452" s="2080"/>
      <c r="M4452" s="2080"/>
      <c r="N4452" s="2080"/>
      <c r="O4452" s="2080"/>
      <c r="P4452" s="2080"/>
      <c r="Q4452" s="2080"/>
      <c r="R4452" s="2080"/>
      <c r="S4452" s="2081"/>
      <c r="T4452" s="2084"/>
      <c r="U4452" s="2085"/>
      <c r="V4452" s="2085"/>
      <c r="W4452" s="2085"/>
      <c r="X4452" s="2056"/>
      <c r="Y4452" s="2057"/>
      <c r="Z4452" s="2056"/>
      <c r="AA4452" s="2057"/>
      <c r="AB4452" s="1049" t="s">
        <v>1847</v>
      </c>
      <c r="AC4452" s="1049" t="s">
        <v>1848</v>
      </c>
      <c r="AD4452" s="1049" t="s">
        <v>1861</v>
      </c>
      <c r="AE4452" s="2066"/>
      <c r="AF4452" s="2069"/>
    </row>
    <row r="4453" spans="1:32" ht="15.6" customHeight="1" x14ac:dyDescent="0.25">
      <c r="A4453" s="2017"/>
      <c r="B4453" s="2018"/>
      <c r="C4453" s="2018"/>
      <c r="D4453" s="2018"/>
      <c r="E4453" s="2018"/>
      <c r="F4453" s="2018"/>
      <c r="G4453" s="2018"/>
      <c r="H4453" s="2018"/>
      <c r="I4453" s="2018"/>
      <c r="J4453" s="2018"/>
      <c r="K4453" s="2018"/>
      <c r="L4453" s="2018"/>
      <c r="M4453" s="2018"/>
      <c r="N4453" s="2018"/>
      <c r="O4453" s="2018"/>
      <c r="P4453" s="2018"/>
      <c r="Q4453" s="2018"/>
      <c r="R4453" s="2018"/>
      <c r="S4453" s="2018"/>
      <c r="T4453" s="2018"/>
      <c r="U4453" s="2018"/>
      <c r="V4453" s="2018"/>
      <c r="W4453" s="2018"/>
      <c r="X4453" s="2018"/>
      <c r="Y4453" s="2018"/>
      <c r="Z4453" s="2021" t="s">
        <v>2484</v>
      </c>
      <c r="AA4453" s="2021"/>
      <c r="AB4453" s="1050"/>
      <c r="AC4453" s="1050"/>
      <c r="AD4453" s="1050"/>
      <c r="AE4453" s="1050">
        <v>4</v>
      </c>
      <c r="AF4453" s="1052">
        <f>+AE4453</f>
        <v>4</v>
      </c>
    </row>
    <row r="4454" spans="1:32" ht="15.6" customHeight="1" x14ac:dyDescent="0.25">
      <c r="A4454" s="2017"/>
      <c r="B4454" s="2018"/>
      <c r="C4454" s="2018"/>
      <c r="D4454" s="2018"/>
      <c r="E4454" s="2018"/>
      <c r="F4454" s="2018"/>
      <c r="G4454" s="2018"/>
      <c r="H4454" s="2018"/>
      <c r="I4454" s="2018"/>
      <c r="J4454" s="2018"/>
      <c r="K4454" s="2018"/>
      <c r="L4454" s="2018"/>
      <c r="M4454" s="2018"/>
      <c r="N4454" s="2018"/>
      <c r="O4454" s="2018"/>
      <c r="P4454" s="2018"/>
      <c r="Q4454" s="2018"/>
      <c r="R4454" s="2018"/>
      <c r="S4454" s="2018"/>
      <c r="T4454" s="2018"/>
      <c r="U4454" s="2018"/>
      <c r="V4454" s="2018"/>
      <c r="W4454" s="2018"/>
      <c r="X4454" s="2018"/>
      <c r="Y4454" s="2018"/>
      <c r="Z4454" s="2021"/>
      <c r="AA4454" s="2021"/>
      <c r="AB4454" s="1050"/>
      <c r="AC4454" s="1050"/>
      <c r="AD4454" s="1050"/>
      <c r="AE4454" s="1050"/>
      <c r="AF4454" s="1052"/>
    </row>
    <row r="4455" spans="1:32" ht="15.75" x14ac:dyDescent="0.25">
      <c r="A4455" s="2017"/>
      <c r="B4455" s="2018"/>
      <c r="C4455" s="2018"/>
      <c r="D4455" s="2018"/>
      <c r="E4455" s="2018"/>
      <c r="F4455" s="2018"/>
      <c r="G4455" s="2018"/>
      <c r="H4455" s="2018"/>
      <c r="I4455" s="2018"/>
      <c r="J4455" s="2018"/>
      <c r="K4455" s="2018"/>
      <c r="L4455" s="2018"/>
      <c r="M4455" s="2018"/>
      <c r="N4455" s="2018"/>
      <c r="O4455" s="2018"/>
      <c r="P4455" s="2018"/>
      <c r="Q4455" s="2018"/>
      <c r="R4455" s="2018"/>
      <c r="S4455" s="2018"/>
      <c r="T4455" s="2018"/>
      <c r="U4455" s="2018"/>
      <c r="V4455" s="2018"/>
      <c r="W4455" s="2018"/>
      <c r="X4455" s="2018"/>
      <c r="Y4455" s="2018"/>
      <c r="Z4455" s="2021"/>
      <c r="AA4455" s="2021"/>
      <c r="AB4455" s="1050"/>
      <c r="AC4455" s="1050"/>
      <c r="AD4455" s="1050"/>
      <c r="AE4455" s="1050"/>
      <c r="AF4455" s="1052"/>
    </row>
    <row r="4456" spans="1:32" ht="15.75" x14ac:dyDescent="0.25">
      <c r="A4456" s="2017"/>
      <c r="B4456" s="2018"/>
      <c r="C4456" s="2018"/>
      <c r="D4456" s="2018"/>
      <c r="E4456" s="2018"/>
      <c r="F4456" s="2018"/>
      <c r="G4456" s="2018"/>
      <c r="H4456" s="2018"/>
      <c r="I4456" s="2018"/>
      <c r="J4456" s="2018"/>
      <c r="K4456" s="2018"/>
      <c r="L4456" s="2018"/>
      <c r="M4456" s="2018"/>
      <c r="N4456" s="2018"/>
      <c r="O4456" s="2018"/>
      <c r="P4456" s="2018"/>
      <c r="Q4456" s="2018"/>
      <c r="R4456" s="2018"/>
      <c r="S4456" s="2018"/>
      <c r="T4456" s="2018"/>
      <c r="U4456" s="2018"/>
      <c r="V4456" s="2018"/>
      <c r="W4456" s="2018"/>
      <c r="X4456" s="2018"/>
      <c r="Y4456" s="2018"/>
      <c r="Z4456" s="2021"/>
      <c r="AA4456" s="2021"/>
      <c r="AB4456" s="1050"/>
      <c r="AC4456" s="1050"/>
      <c r="AD4456" s="1050"/>
      <c r="AE4456" s="1050"/>
      <c r="AF4456" s="1052"/>
    </row>
    <row r="4457" spans="1:32" ht="15.6" customHeight="1" x14ac:dyDescent="0.25">
      <c r="A4457" s="2017"/>
      <c r="B4457" s="2018"/>
      <c r="C4457" s="2018"/>
      <c r="D4457" s="2018"/>
      <c r="E4457" s="2018"/>
      <c r="F4457" s="2018"/>
      <c r="G4457" s="2018"/>
      <c r="H4457" s="2018"/>
      <c r="I4457" s="2018"/>
      <c r="J4457" s="2018"/>
      <c r="K4457" s="2018"/>
      <c r="L4457" s="2018"/>
      <c r="M4457" s="2018"/>
      <c r="N4457" s="2018"/>
      <c r="O4457" s="2018"/>
      <c r="P4457" s="2018"/>
      <c r="Q4457" s="2018"/>
      <c r="R4457" s="2018"/>
      <c r="S4457" s="2018"/>
      <c r="T4457" s="2018"/>
      <c r="U4457" s="2018"/>
      <c r="V4457" s="2018"/>
      <c r="W4457" s="2018"/>
      <c r="X4457" s="2018"/>
      <c r="Y4457" s="2018"/>
      <c r="Z4457" s="2021"/>
      <c r="AA4457" s="2021"/>
      <c r="AB4457" s="1050"/>
      <c r="AC4457" s="1050"/>
      <c r="AD4457" s="1050"/>
      <c r="AE4457" s="1050"/>
      <c r="AF4457" s="1052"/>
    </row>
    <row r="4458" spans="1:32" ht="15.75" x14ac:dyDescent="0.25">
      <c r="A4458" s="2017"/>
      <c r="B4458" s="2018"/>
      <c r="C4458" s="2018"/>
      <c r="D4458" s="2018"/>
      <c r="E4458" s="2018"/>
      <c r="F4458" s="2018"/>
      <c r="G4458" s="2018"/>
      <c r="H4458" s="2018"/>
      <c r="I4458" s="2018"/>
      <c r="J4458" s="2018"/>
      <c r="K4458" s="2018"/>
      <c r="L4458" s="2018"/>
      <c r="M4458" s="2018"/>
      <c r="N4458" s="2018"/>
      <c r="O4458" s="2018"/>
      <c r="P4458" s="2018"/>
      <c r="Q4458" s="2018"/>
      <c r="R4458" s="2018"/>
      <c r="S4458" s="2018"/>
      <c r="T4458" s="2018"/>
      <c r="U4458" s="2018"/>
      <c r="V4458" s="2018"/>
      <c r="W4458" s="2018"/>
      <c r="X4458" s="2018"/>
      <c r="Y4458" s="2018"/>
      <c r="Z4458" s="2021"/>
      <c r="AA4458" s="2021"/>
      <c r="AB4458" s="1050"/>
      <c r="AC4458" s="1050"/>
      <c r="AD4458" s="1050"/>
      <c r="AE4458" s="1050"/>
      <c r="AF4458" s="1052"/>
    </row>
    <row r="4459" spans="1:32" ht="15.75" x14ac:dyDescent="0.25">
      <c r="A4459" s="2017"/>
      <c r="B4459" s="2018"/>
      <c r="C4459" s="2018"/>
      <c r="D4459" s="2018"/>
      <c r="E4459" s="2018"/>
      <c r="F4459" s="2018"/>
      <c r="G4459" s="2018"/>
      <c r="H4459" s="2018"/>
      <c r="I4459" s="2018"/>
      <c r="J4459" s="2018"/>
      <c r="K4459" s="2018"/>
      <c r="L4459" s="2018"/>
      <c r="M4459" s="2018"/>
      <c r="N4459" s="2018"/>
      <c r="O4459" s="2018"/>
      <c r="P4459" s="2018"/>
      <c r="Q4459" s="2018"/>
      <c r="R4459" s="2018"/>
      <c r="S4459" s="2018"/>
      <c r="T4459" s="2018"/>
      <c r="U4459" s="2018"/>
      <c r="V4459" s="2018"/>
      <c r="W4459" s="2018"/>
      <c r="X4459" s="2018"/>
      <c r="Y4459" s="2018"/>
      <c r="Z4459" s="2021"/>
      <c r="AA4459" s="2021"/>
      <c r="AB4459" s="1050"/>
      <c r="AC4459" s="1050"/>
      <c r="AD4459" s="1050"/>
      <c r="AE4459" s="1050"/>
      <c r="AF4459" s="1052"/>
    </row>
    <row r="4460" spans="1:32" ht="15.75" x14ac:dyDescent="0.25">
      <c r="A4460" s="2017"/>
      <c r="B4460" s="2018"/>
      <c r="C4460" s="2018"/>
      <c r="D4460" s="2018"/>
      <c r="E4460" s="2018"/>
      <c r="F4460" s="2018"/>
      <c r="G4460" s="2018"/>
      <c r="H4460" s="2018"/>
      <c r="I4460" s="2018"/>
      <c r="J4460" s="2018"/>
      <c r="K4460" s="2018"/>
      <c r="L4460" s="2018"/>
      <c r="M4460" s="2018"/>
      <c r="N4460" s="2018"/>
      <c r="O4460" s="2018"/>
      <c r="P4460" s="2018"/>
      <c r="Q4460" s="2018"/>
      <c r="R4460" s="2018"/>
      <c r="S4460" s="2018"/>
      <c r="T4460" s="2018"/>
      <c r="U4460" s="2018"/>
      <c r="V4460" s="2018"/>
      <c r="W4460" s="2018"/>
      <c r="X4460" s="2018"/>
      <c r="Y4460" s="2018"/>
      <c r="Z4460" s="2021"/>
      <c r="AA4460" s="2021"/>
      <c r="AB4460" s="1050"/>
      <c r="AC4460" s="1050"/>
      <c r="AD4460" s="1050"/>
      <c r="AE4460" s="1050"/>
      <c r="AF4460" s="1052"/>
    </row>
    <row r="4461" spans="1:32" ht="15.75" x14ac:dyDescent="0.25">
      <c r="A4461" s="2017"/>
      <c r="B4461" s="2018"/>
      <c r="C4461" s="2018"/>
      <c r="D4461" s="2018"/>
      <c r="E4461" s="2018"/>
      <c r="F4461" s="2018"/>
      <c r="G4461" s="2018"/>
      <c r="H4461" s="2018"/>
      <c r="I4461" s="2018"/>
      <c r="J4461" s="2018"/>
      <c r="K4461" s="2018"/>
      <c r="L4461" s="2018"/>
      <c r="M4461" s="2018"/>
      <c r="N4461" s="2018"/>
      <c r="O4461" s="2018"/>
      <c r="P4461" s="2018"/>
      <c r="Q4461" s="2018"/>
      <c r="R4461" s="2018"/>
      <c r="S4461" s="2018"/>
      <c r="T4461" s="2018"/>
      <c r="U4461" s="2018"/>
      <c r="V4461" s="2018"/>
      <c r="W4461" s="2018"/>
      <c r="X4461" s="2018"/>
      <c r="Y4461" s="2018"/>
      <c r="Z4461" s="2021"/>
      <c r="AA4461" s="2021"/>
      <c r="AB4461" s="1050"/>
      <c r="AC4461" s="1050"/>
      <c r="AD4461" s="1050"/>
      <c r="AE4461" s="1050"/>
      <c r="AF4461" s="1052"/>
    </row>
    <row r="4462" spans="1:32" ht="15.75" x14ac:dyDescent="0.25">
      <c r="A4462" s="2017"/>
      <c r="B4462" s="2018"/>
      <c r="C4462" s="2018"/>
      <c r="D4462" s="2018"/>
      <c r="E4462" s="2018"/>
      <c r="F4462" s="2018"/>
      <c r="G4462" s="2018"/>
      <c r="H4462" s="2018"/>
      <c r="I4462" s="2018"/>
      <c r="J4462" s="2018"/>
      <c r="K4462" s="2018"/>
      <c r="L4462" s="2018"/>
      <c r="M4462" s="2018"/>
      <c r="N4462" s="2018"/>
      <c r="O4462" s="2018"/>
      <c r="P4462" s="2018"/>
      <c r="Q4462" s="2018"/>
      <c r="R4462" s="2018"/>
      <c r="S4462" s="2018"/>
      <c r="T4462" s="2018"/>
      <c r="U4462" s="2018"/>
      <c r="V4462" s="2018"/>
      <c r="W4462" s="2018"/>
      <c r="X4462" s="2018"/>
      <c r="Y4462" s="2018"/>
      <c r="Z4462" s="2021"/>
      <c r="AA4462" s="2021"/>
      <c r="AB4462" s="1050"/>
      <c r="AC4462" s="1050"/>
      <c r="AD4462" s="1050"/>
      <c r="AE4462" s="1050"/>
      <c r="AF4462" s="1052"/>
    </row>
    <row r="4463" spans="1:32" ht="15.75" x14ac:dyDescent="0.25">
      <c r="A4463" s="2017"/>
      <c r="B4463" s="2018"/>
      <c r="C4463" s="2018"/>
      <c r="D4463" s="2018"/>
      <c r="E4463" s="2018"/>
      <c r="F4463" s="2018"/>
      <c r="G4463" s="2018"/>
      <c r="H4463" s="2018"/>
      <c r="I4463" s="2018"/>
      <c r="J4463" s="2018"/>
      <c r="K4463" s="2018"/>
      <c r="L4463" s="2018"/>
      <c r="M4463" s="2018"/>
      <c r="N4463" s="2018"/>
      <c r="O4463" s="2018"/>
      <c r="P4463" s="2018"/>
      <c r="Q4463" s="2018"/>
      <c r="R4463" s="2018"/>
      <c r="S4463" s="2018"/>
      <c r="T4463" s="2018"/>
      <c r="U4463" s="2018"/>
      <c r="V4463" s="2018"/>
      <c r="W4463" s="2018"/>
      <c r="X4463" s="2018"/>
      <c r="Y4463" s="2018"/>
      <c r="Z4463" s="2021"/>
      <c r="AA4463" s="2021"/>
      <c r="AB4463" s="1050"/>
      <c r="AC4463" s="1050"/>
      <c r="AD4463" s="1050"/>
      <c r="AE4463" s="1050"/>
      <c r="AF4463" s="1052"/>
    </row>
    <row r="4464" spans="1:32" ht="15.75" x14ac:dyDescent="0.25">
      <c r="A4464" s="2017"/>
      <c r="B4464" s="2018"/>
      <c r="C4464" s="2018"/>
      <c r="D4464" s="2018"/>
      <c r="E4464" s="2018"/>
      <c r="F4464" s="2018"/>
      <c r="G4464" s="2018"/>
      <c r="H4464" s="2018"/>
      <c r="I4464" s="2018"/>
      <c r="J4464" s="2018"/>
      <c r="K4464" s="2018"/>
      <c r="L4464" s="2018"/>
      <c r="M4464" s="2018"/>
      <c r="N4464" s="2018"/>
      <c r="O4464" s="2018"/>
      <c r="P4464" s="2018"/>
      <c r="Q4464" s="2018"/>
      <c r="R4464" s="2018"/>
      <c r="S4464" s="2018"/>
      <c r="T4464" s="2018"/>
      <c r="U4464" s="2018"/>
      <c r="V4464" s="2018"/>
      <c r="W4464" s="2018"/>
      <c r="X4464" s="2018"/>
      <c r="Y4464" s="2018"/>
      <c r="Z4464" s="2021"/>
      <c r="AA4464" s="2021"/>
      <c r="AB4464" s="1050"/>
      <c r="AC4464" s="1050"/>
      <c r="AD4464" s="1050"/>
      <c r="AE4464" s="1050"/>
      <c r="AF4464" s="1052"/>
    </row>
    <row r="4465" spans="1:32" ht="15.75" x14ac:dyDescent="0.25">
      <c r="A4465" s="2017"/>
      <c r="B4465" s="2018"/>
      <c r="C4465" s="2018"/>
      <c r="D4465" s="2018"/>
      <c r="E4465" s="2018"/>
      <c r="F4465" s="2018"/>
      <c r="G4465" s="2018"/>
      <c r="H4465" s="2018"/>
      <c r="I4465" s="2018"/>
      <c r="J4465" s="2018"/>
      <c r="K4465" s="2018"/>
      <c r="L4465" s="2018"/>
      <c r="M4465" s="2018"/>
      <c r="N4465" s="2018"/>
      <c r="O4465" s="2018"/>
      <c r="P4465" s="2018"/>
      <c r="Q4465" s="2018"/>
      <c r="R4465" s="2018"/>
      <c r="S4465" s="2018"/>
      <c r="T4465" s="2018"/>
      <c r="U4465" s="2018"/>
      <c r="V4465" s="2018"/>
      <c r="W4465" s="2018"/>
      <c r="X4465" s="2018"/>
      <c r="Y4465" s="2018"/>
      <c r="Z4465" s="2021"/>
      <c r="AA4465" s="2021"/>
      <c r="AB4465" s="1050"/>
      <c r="AC4465" s="1050"/>
      <c r="AD4465" s="1050"/>
      <c r="AE4465" s="1050"/>
      <c r="AF4465" s="1052"/>
    </row>
    <row r="4466" spans="1:32" ht="15.75" x14ac:dyDescent="0.25">
      <c r="A4466" s="2017"/>
      <c r="B4466" s="2018"/>
      <c r="C4466" s="2018"/>
      <c r="D4466" s="2018"/>
      <c r="E4466" s="2018"/>
      <c r="F4466" s="2018"/>
      <c r="G4466" s="2018"/>
      <c r="H4466" s="2018"/>
      <c r="I4466" s="2018"/>
      <c r="J4466" s="2018"/>
      <c r="K4466" s="2018"/>
      <c r="L4466" s="2018"/>
      <c r="M4466" s="2018"/>
      <c r="N4466" s="2018"/>
      <c r="O4466" s="2018"/>
      <c r="P4466" s="2018"/>
      <c r="Q4466" s="2018"/>
      <c r="R4466" s="2018"/>
      <c r="S4466" s="2018"/>
      <c r="T4466" s="2018"/>
      <c r="U4466" s="2018"/>
      <c r="V4466" s="2018"/>
      <c r="W4466" s="2018"/>
      <c r="X4466" s="2018"/>
      <c r="Y4466" s="2018"/>
      <c r="Z4466" s="2021"/>
      <c r="AA4466" s="2021"/>
      <c r="AB4466" s="1050"/>
      <c r="AC4466" s="1050"/>
      <c r="AD4466" s="1050"/>
      <c r="AE4466" s="1050"/>
      <c r="AF4466" s="1052"/>
    </row>
    <row r="4467" spans="1:32" ht="15.75" x14ac:dyDescent="0.25">
      <c r="A4467" s="2017"/>
      <c r="B4467" s="2018"/>
      <c r="C4467" s="2018"/>
      <c r="D4467" s="2018"/>
      <c r="E4467" s="2018"/>
      <c r="F4467" s="2018"/>
      <c r="G4467" s="2018"/>
      <c r="H4467" s="2018"/>
      <c r="I4467" s="2018"/>
      <c r="J4467" s="2018"/>
      <c r="K4467" s="2018"/>
      <c r="L4467" s="2018"/>
      <c r="M4467" s="2018"/>
      <c r="N4467" s="2018"/>
      <c r="O4467" s="2018"/>
      <c r="P4467" s="2018"/>
      <c r="Q4467" s="2018"/>
      <c r="R4467" s="2018"/>
      <c r="S4467" s="2018"/>
      <c r="T4467" s="2018"/>
      <c r="U4467" s="2018"/>
      <c r="V4467" s="2018"/>
      <c r="W4467" s="2018"/>
      <c r="X4467" s="2018"/>
      <c r="Y4467" s="2018"/>
      <c r="Z4467" s="2022"/>
      <c r="AA4467" s="2022"/>
      <c r="AB4467" s="1050"/>
      <c r="AC4467" s="1050"/>
      <c r="AD4467" s="1050"/>
      <c r="AE4467" s="1050"/>
      <c r="AF4467" s="1052"/>
    </row>
    <row r="4468" spans="1:32" ht="15.75" x14ac:dyDescent="0.25">
      <c r="A4468" s="2017"/>
      <c r="B4468" s="2018"/>
      <c r="C4468" s="2018"/>
      <c r="D4468" s="2018"/>
      <c r="E4468" s="2018"/>
      <c r="F4468" s="2018"/>
      <c r="G4468" s="2018"/>
      <c r="H4468" s="2018"/>
      <c r="I4468" s="2018"/>
      <c r="J4468" s="2018"/>
      <c r="K4468" s="2018"/>
      <c r="L4468" s="2018"/>
      <c r="M4468" s="2018"/>
      <c r="N4468" s="2018"/>
      <c r="O4468" s="2018"/>
      <c r="P4468" s="2018"/>
      <c r="Q4468" s="2018"/>
      <c r="R4468" s="2018"/>
      <c r="S4468" s="2018"/>
      <c r="T4468" s="2018"/>
      <c r="U4468" s="2018"/>
      <c r="V4468" s="2018"/>
      <c r="W4468" s="2018"/>
      <c r="X4468" s="2018"/>
      <c r="Y4468" s="2018"/>
      <c r="Z4468" s="2022"/>
      <c r="AA4468" s="2022"/>
      <c r="AB4468" s="1050"/>
      <c r="AC4468" s="1050"/>
      <c r="AD4468" s="1050"/>
      <c r="AE4468" s="1050"/>
      <c r="AF4468" s="1052"/>
    </row>
    <row r="4469" spans="1:32" ht="15.75" x14ac:dyDescent="0.25">
      <c r="A4469" s="2017"/>
      <c r="B4469" s="2018"/>
      <c r="C4469" s="2018"/>
      <c r="D4469" s="2018"/>
      <c r="E4469" s="2018"/>
      <c r="F4469" s="2018"/>
      <c r="G4469" s="2018"/>
      <c r="H4469" s="2018"/>
      <c r="I4469" s="2018"/>
      <c r="J4469" s="2018"/>
      <c r="K4469" s="2018"/>
      <c r="L4469" s="2018"/>
      <c r="M4469" s="2018"/>
      <c r="N4469" s="2018"/>
      <c r="O4469" s="2018"/>
      <c r="P4469" s="2018"/>
      <c r="Q4469" s="2018"/>
      <c r="R4469" s="2018"/>
      <c r="S4469" s="2018"/>
      <c r="T4469" s="2018"/>
      <c r="U4469" s="2018"/>
      <c r="V4469" s="2018"/>
      <c r="W4469" s="2018"/>
      <c r="X4469" s="2018"/>
      <c r="Y4469" s="2018"/>
      <c r="Z4469" s="2022"/>
      <c r="AA4469" s="2022"/>
      <c r="AB4469" s="1050"/>
      <c r="AC4469" s="1050"/>
      <c r="AD4469" s="1050"/>
      <c r="AE4469" s="1050"/>
      <c r="AF4469" s="1052"/>
    </row>
    <row r="4470" spans="1:32" ht="15.75" x14ac:dyDescent="0.25">
      <c r="A4470" s="2017"/>
      <c r="B4470" s="2018"/>
      <c r="C4470" s="2018"/>
      <c r="D4470" s="2018"/>
      <c r="E4470" s="2018"/>
      <c r="F4470" s="2018"/>
      <c r="G4470" s="2018"/>
      <c r="H4470" s="2018"/>
      <c r="I4470" s="2018"/>
      <c r="J4470" s="2018"/>
      <c r="K4470" s="2018"/>
      <c r="L4470" s="2018"/>
      <c r="M4470" s="2018"/>
      <c r="N4470" s="2018"/>
      <c r="O4470" s="2018"/>
      <c r="P4470" s="2018"/>
      <c r="Q4470" s="2018"/>
      <c r="R4470" s="2018"/>
      <c r="S4470" s="2018"/>
      <c r="T4470" s="2018"/>
      <c r="U4470" s="2018"/>
      <c r="V4470" s="2018"/>
      <c r="W4470" s="2018"/>
      <c r="X4470" s="2018"/>
      <c r="Y4470" s="2018"/>
      <c r="Z4470" s="2023"/>
      <c r="AA4470" s="2023"/>
      <c r="AB4470" s="1050"/>
      <c r="AC4470" s="1050"/>
      <c r="AD4470" s="1050"/>
      <c r="AE4470" s="1050"/>
      <c r="AF4470" s="1052"/>
    </row>
    <row r="4471" spans="1:32" ht="15.75" x14ac:dyDescent="0.25">
      <c r="A4471" s="2017"/>
      <c r="B4471" s="2018"/>
      <c r="C4471" s="2018"/>
      <c r="D4471" s="2018"/>
      <c r="E4471" s="2018"/>
      <c r="F4471" s="2018"/>
      <c r="G4471" s="2018"/>
      <c r="H4471" s="2018"/>
      <c r="I4471" s="2018"/>
      <c r="J4471" s="2018"/>
      <c r="K4471" s="2018"/>
      <c r="L4471" s="2018"/>
      <c r="M4471" s="2018"/>
      <c r="N4471" s="2018"/>
      <c r="O4471" s="2018"/>
      <c r="P4471" s="2018"/>
      <c r="Q4471" s="2018"/>
      <c r="R4471" s="2018"/>
      <c r="S4471" s="2018"/>
      <c r="T4471" s="2018"/>
      <c r="U4471" s="2018"/>
      <c r="V4471" s="2018"/>
      <c r="W4471" s="2018"/>
      <c r="X4471" s="2018"/>
      <c r="Y4471" s="2018"/>
      <c r="Z4471" s="2023"/>
      <c r="AA4471" s="2023"/>
      <c r="AB4471" s="1050"/>
      <c r="AC4471" s="1050"/>
      <c r="AD4471" s="1050"/>
      <c r="AE4471" s="1050"/>
      <c r="AF4471" s="1052"/>
    </row>
    <row r="4472" spans="1:32" ht="15.75" x14ac:dyDescent="0.25">
      <c r="A4472" s="2017"/>
      <c r="B4472" s="2018"/>
      <c r="C4472" s="2018"/>
      <c r="D4472" s="2018"/>
      <c r="E4472" s="2018"/>
      <c r="F4472" s="2018"/>
      <c r="G4472" s="2018"/>
      <c r="H4472" s="2018"/>
      <c r="I4472" s="2018"/>
      <c r="J4472" s="2018"/>
      <c r="K4472" s="2018"/>
      <c r="L4472" s="2018"/>
      <c r="M4472" s="2018"/>
      <c r="N4472" s="2018"/>
      <c r="O4472" s="2018"/>
      <c r="P4472" s="2018"/>
      <c r="Q4472" s="2018"/>
      <c r="R4472" s="2018"/>
      <c r="S4472" s="2018"/>
      <c r="T4472" s="2018"/>
      <c r="U4472" s="2018"/>
      <c r="V4472" s="2018"/>
      <c r="W4472" s="2018"/>
      <c r="X4472" s="2018"/>
      <c r="Y4472" s="2018"/>
      <c r="Z4472" s="2023"/>
      <c r="AA4472" s="2023"/>
      <c r="AB4472" s="1050"/>
      <c r="AC4472" s="1050"/>
      <c r="AD4472" s="1050"/>
      <c r="AE4472" s="1050"/>
      <c r="AF4472" s="1052"/>
    </row>
    <row r="4473" spans="1:32" ht="15.75" x14ac:dyDescent="0.25">
      <c r="A4473" s="2017"/>
      <c r="B4473" s="2018"/>
      <c r="C4473" s="2018"/>
      <c r="D4473" s="2018"/>
      <c r="E4473" s="2018"/>
      <c r="F4473" s="2018"/>
      <c r="G4473" s="2018"/>
      <c r="H4473" s="2018"/>
      <c r="I4473" s="2018"/>
      <c r="J4473" s="2018"/>
      <c r="K4473" s="2018"/>
      <c r="L4473" s="2018"/>
      <c r="M4473" s="2018"/>
      <c r="N4473" s="2018"/>
      <c r="O4473" s="2018"/>
      <c r="P4473" s="2018"/>
      <c r="Q4473" s="2018"/>
      <c r="R4473" s="2018"/>
      <c r="S4473" s="2018"/>
      <c r="T4473" s="2018"/>
      <c r="U4473" s="2018"/>
      <c r="V4473" s="2018"/>
      <c r="W4473" s="2018"/>
      <c r="X4473" s="2018"/>
      <c r="Y4473" s="2018"/>
      <c r="Z4473" s="2023"/>
      <c r="AA4473" s="2023"/>
      <c r="AB4473" s="1050"/>
      <c r="AC4473" s="1050"/>
      <c r="AD4473" s="1050"/>
      <c r="AE4473" s="1050"/>
      <c r="AF4473" s="1052"/>
    </row>
    <row r="4474" spans="1:32" ht="15.75" x14ac:dyDescent="0.25">
      <c r="A4474" s="2017"/>
      <c r="B4474" s="2018"/>
      <c r="C4474" s="2018"/>
      <c r="D4474" s="2018"/>
      <c r="E4474" s="2018"/>
      <c r="F4474" s="2018"/>
      <c r="G4474" s="2018"/>
      <c r="H4474" s="2018"/>
      <c r="I4474" s="2018"/>
      <c r="J4474" s="2018"/>
      <c r="K4474" s="2018"/>
      <c r="L4474" s="2018"/>
      <c r="M4474" s="2018"/>
      <c r="N4474" s="2018"/>
      <c r="O4474" s="2018"/>
      <c r="P4474" s="2018"/>
      <c r="Q4474" s="2018"/>
      <c r="R4474" s="2018"/>
      <c r="S4474" s="2018"/>
      <c r="T4474" s="2018"/>
      <c r="U4474" s="2018"/>
      <c r="V4474" s="2018"/>
      <c r="W4474" s="2018"/>
      <c r="X4474" s="2018"/>
      <c r="Y4474" s="2018"/>
      <c r="Z4474" s="2023"/>
      <c r="AA4474" s="2023"/>
      <c r="AB4474" s="1050"/>
      <c r="AC4474" s="1050"/>
      <c r="AD4474" s="1050"/>
      <c r="AE4474" s="1050"/>
      <c r="AF4474" s="1052"/>
    </row>
    <row r="4475" spans="1:32" ht="15.75" x14ac:dyDescent="0.25">
      <c r="A4475" s="2017"/>
      <c r="B4475" s="2018"/>
      <c r="C4475" s="2018"/>
      <c r="D4475" s="2018"/>
      <c r="E4475" s="2018"/>
      <c r="F4475" s="2018"/>
      <c r="G4475" s="2018"/>
      <c r="H4475" s="2018"/>
      <c r="I4475" s="2018"/>
      <c r="J4475" s="2018"/>
      <c r="K4475" s="2018"/>
      <c r="L4475" s="2018"/>
      <c r="M4475" s="2018"/>
      <c r="N4475" s="2018"/>
      <c r="O4475" s="2018"/>
      <c r="P4475" s="2018"/>
      <c r="Q4475" s="2018"/>
      <c r="R4475" s="2018"/>
      <c r="S4475" s="2018"/>
      <c r="T4475" s="2018"/>
      <c r="U4475" s="2018"/>
      <c r="V4475" s="2018"/>
      <c r="W4475" s="2018"/>
      <c r="X4475" s="2018"/>
      <c r="Y4475" s="2018"/>
      <c r="Z4475" s="2023"/>
      <c r="AA4475" s="2023"/>
      <c r="AB4475" s="1050"/>
      <c r="AC4475" s="1050"/>
      <c r="AD4475" s="1050"/>
      <c r="AE4475" s="1050"/>
      <c r="AF4475" s="1052"/>
    </row>
    <row r="4476" spans="1:32" ht="16.5" thickBot="1" x14ac:dyDescent="0.3">
      <c r="A4476" s="2019"/>
      <c r="B4476" s="2020"/>
      <c r="C4476" s="2020"/>
      <c r="D4476" s="2020"/>
      <c r="E4476" s="2020"/>
      <c r="F4476" s="2020"/>
      <c r="G4476" s="2020"/>
      <c r="H4476" s="2020"/>
      <c r="I4476" s="2020"/>
      <c r="J4476" s="2020"/>
      <c r="K4476" s="2020"/>
      <c r="L4476" s="2020"/>
      <c r="M4476" s="2020"/>
      <c r="N4476" s="2020"/>
      <c r="O4476" s="2020"/>
      <c r="P4476" s="2020"/>
      <c r="Q4476" s="2020"/>
      <c r="R4476" s="2020"/>
      <c r="S4476" s="2020"/>
      <c r="T4476" s="2020"/>
      <c r="U4476" s="2020"/>
      <c r="V4476" s="2020"/>
      <c r="W4476" s="2020"/>
      <c r="X4476" s="2020"/>
      <c r="Y4476" s="2020"/>
      <c r="Z4476" s="2024"/>
      <c r="AA4476" s="2024"/>
      <c r="AB4476" s="1057"/>
      <c r="AC4476" s="1057"/>
      <c r="AD4476" s="1057"/>
      <c r="AE4476" s="1057"/>
      <c r="AF4476" s="1058"/>
    </row>
    <row r="4477" spans="1:32" ht="15.75" x14ac:dyDescent="0.25">
      <c r="A4477" s="2009" t="s">
        <v>1855</v>
      </c>
      <c r="B4477" s="2010"/>
      <c r="C4477" s="2010"/>
      <c r="D4477" s="2010"/>
      <c r="E4477" s="2010"/>
      <c r="F4477" s="2010"/>
      <c r="G4477" s="2010"/>
      <c r="H4477" s="2010"/>
      <c r="I4477" s="2010"/>
      <c r="J4477" s="2010"/>
      <c r="K4477" s="2010"/>
      <c r="L4477" s="2010"/>
      <c r="M4477" s="2010"/>
      <c r="N4477" s="2010"/>
      <c r="O4477" s="2010"/>
      <c r="P4477" s="2010"/>
      <c r="Q4477" s="2010"/>
      <c r="R4477" s="2010"/>
      <c r="S4477" s="2010"/>
      <c r="T4477" s="2010"/>
      <c r="U4477" s="2010"/>
      <c r="V4477" s="2010"/>
      <c r="W4477" s="2010"/>
      <c r="X4477" s="2010"/>
      <c r="Y4477" s="2010"/>
      <c r="Z4477" s="2013" t="s">
        <v>1850</v>
      </c>
      <c r="AA4477" s="2013"/>
      <c r="AB4477" s="2013"/>
      <c r="AC4477" s="2013"/>
      <c r="AD4477" s="2013"/>
      <c r="AE4477" s="2013"/>
      <c r="AF4477" s="1059">
        <f>SUM(AF4453:AF4476)</f>
        <v>4</v>
      </c>
    </row>
    <row r="4478" spans="1:32" ht="15.75" x14ac:dyDescent="0.25">
      <c r="A4478" s="2011"/>
      <c r="B4478" s="2012"/>
      <c r="C4478" s="2012"/>
      <c r="D4478" s="2012"/>
      <c r="E4478" s="2012"/>
      <c r="F4478" s="2012"/>
      <c r="G4478" s="2012"/>
      <c r="H4478" s="2012"/>
      <c r="I4478" s="2012"/>
      <c r="J4478" s="2012"/>
      <c r="K4478" s="2012"/>
      <c r="L4478" s="2012"/>
      <c r="M4478" s="2012"/>
      <c r="N4478" s="2012"/>
      <c r="O4478" s="2012"/>
      <c r="P4478" s="2012"/>
      <c r="Q4478" s="2012"/>
      <c r="R4478" s="2012"/>
      <c r="S4478" s="2012"/>
      <c r="T4478" s="2012"/>
      <c r="U4478" s="2012"/>
      <c r="V4478" s="2012"/>
      <c r="W4478" s="2012"/>
      <c r="X4478" s="2012"/>
      <c r="Y4478" s="2012"/>
      <c r="Z4478" s="2014" t="s">
        <v>1851</v>
      </c>
      <c r="AA4478" s="2014"/>
      <c r="AB4478" s="2014"/>
      <c r="AC4478" s="2014"/>
      <c r="AD4478" s="2014"/>
      <c r="AE4478" s="2014"/>
      <c r="AF4478" s="1060">
        <v>0</v>
      </c>
    </row>
    <row r="4479" spans="1:32" ht="15.75" x14ac:dyDescent="0.25">
      <c r="A4479" s="2011"/>
      <c r="B4479" s="2012"/>
      <c r="C4479" s="2012"/>
      <c r="D4479" s="2012"/>
      <c r="E4479" s="2012"/>
      <c r="F4479" s="2012"/>
      <c r="G4479" s="2012"/>
      <c r="H4479" s="2012"/>
      <c r="I4479" s="2012"/>
      <c r="J4479" s="2012"/>
      <c r="K4479" s="2012"/>
      <c r="L4479" s="2012"/>
      <c r="M4479" s="2012"/>
      <c r="N4479" s="2012"/>
      <c r="O4479" s="2012"/>
      <c r="P4479" s="2012"/>
      <c r="Q4479" s="2012"/>
      <c r="R4479" s="2012"/>
      <c r="S4479" s="2012"/>
      <c r="T4479" s="2012"/>
      <c r="U4479" s="2012"/>
      <c r="V4479" s="2012"/>
      <c r="W4479" s="2012"/>
      <c r="X4479" s="2012"/>
      <c r="Y4479" s="2012"/>
      <c r="Z4479" s="2015" t="s">
        <v>1833</v>
      </c>
      <c r="AA4479" s="2015"/>
      <c r="AB4479" s="2015"/>
      <c r="AC4479" s="2015"/>
      <c r="AD4479" s="2015"/>
      <c r="AE4479" s="2015"/>
      <c r="AF4479" s="1061">
        <f>SUM(AF4477:AF4478)</f>
        <v>4</v>
      </c>
    </row>
    <row r="4480" spans="1:32" x14ac:dyDescent="0.2">
      <c r="A4480" s="2012" t="s">
        <v>1859</v>
      </c>
      <c r="B4480" s="2012"/>
      <c r="C4480" s="2012"/>
      <c r="D4480" s="2012"/>
      <c r="E4480" s="2012"/>
      <c r="F4480" s="2012"/>
      <c r="G4480" s="2012"/>
      <c r="H4480" s="2012"/>
      <c r="I4480" s="2012"/>
      <c r="J4480" s="2012"/>
      <c r="K4480" s="2012"/>
      <c r="L4480" s="2012"/>
      <c r="M4480" s="2012"/>
      <c r="N4480" s="2012"/>
      <c r="O4480" s="2012"/>
      <c r="P4480" s="2012"/>
      <c r="Q4480" s="2012"/>
      <c r="R4480" s="2012"/>
      <c r="S4480" s="2012"/>
      <c r="T4480" s="2016" t="s">
        <v>1840</v>
      </c>
      <c r="U4480" s="2016"/>
      <c r="V4480" s="2016"/>
      <c r="W4480" s="2016"/>
      <c r="X4480" s="2016"/>
      <c r="Y4480" s="2016"/>
      <c r="Z4480" s="2016"/>
      <c r="AA4480" s="2016"/>
      <c r="AB4480" s="2012" t="s">
        <v>1852</v>
      </c>
      <c r="AC4480" s="2012"/>
      <c r="AD4480" s="2012"/>
      <c r="AE4480" s="2012"/>
      <c r="AF4480" s="2012"/>
    </row>
    <row r="4481" spans="1:32" x14ac:dyDescent="0.2">
      <c r="A4481" s="2012"/>
      <c r="B4481" s="2012"/>
      <c r="C4481" s="2012"/>
      <c r="D4481" s="2012"/>
      <c r="E4481" s="2012"/>
      <c r="F4481" s="2012"/>
      <c r="G4481" s="2012"/>
      <c r="H4481" s="2012"/>
      <c r="I4481" s="2012"/>
      <c r="J4481" s="2012"/>
      <c r="K4481" s="2012"/>
      <c r="L4481" s="2012"/>
      <c r="M4481" s="2012"/>
      <c r="N4481" s="2012"/>
      <c r="O4481" s="2012"/>
      <c r="P4481" s="2012"/>
      <c r="Q4481" s="2012"/>
      <c r="R4481" s="2012"/>
      <c r="S4481" s="2012"/>
      <c r="T4481" s="2016"/>
      <c r="U4481" s="2016"/>
      <c r="V4481" s="2016"/>
      <c r="W4481" s="2016"/>
      <c r="X4481" s="2016"/>
      <c r="Y4481" s="2016"/>
      <c r="Z4481" s="2016"/>
      <c r="AA4481" s="2016"/>
      <c r="AB4481" s="2012"/>
      <c r="AC4481" s="2012"/>
      <c r="AD4481" s="2012"/>
      <c r="AE4481" s="2012"/>
      <c r="AF4481" s="2012"/>
    </row>
    <row r="4482" spans="1:32" ht="13.5" thickBot="1" x14ac:dyDescent="0.25"/>
    <row r="4483" spans="1:32" ht="26.45" customHeight="1" x14ac:dyDescent="0.2">
      <c r="A4483" s="2025" t="s">
        <v>1854</v>
      </c>
      <c r="B4483" s="2026"/>
      <c r="C4483" s="2026"/>
      <c r="D4483" s="2026"/>
      <c r="E4483" s="2026"/>
      <c r="F4483" s="2026"/>
      <c r="G4483" s="2026"/>
      <c r="H4483" s="2026"/>
      <c r="I4483" s="2026"/>
      <c r="J4483" s="2026"/>
      <c r="K4483" s="2026"/>
      <c r="L4483" s="2026"/>
      <c r="M4483" s="2026"/>
      <c r="N4483" s="2026"/>
      <c r="O4483" s="2026"/>
      <c r="P4483" s="2026"/>
      <c r="Q4483" s="2026"/>
      <c r="R4483" s="2026"/>
      <c r="S4483" s="2026"/>
      <c r="T4483" s="2026"/>
      <c r="U4483" s="2026"/>
      <c r="V4483" s="2026"/>
      <c r="W4483" s="2026"/>
      <c r="X4483" s="2026"/>
      <c r="Y4483" s="2026"/>
      <c r="Z4483" s="2026"/>
      <c r="AA4483" s="2026"/>
      <c r="AB4483" s="2026"/>
      <c r="AC4483" s="2026"/>
      <c r="AD4483" s="2026"/>
      <c r="AE4483" s="1041" t="s">
        <v>1834</v>
      </c>
      <c r="AF4483" s="1042" t="s">
        <v>1835</v>
      </c>
    </row>
    <row r="4484" spans="1:32" ht="21" customHeight="1" thickBot="1" x14ac:dyDescent="0.25">
      <c r="A4484" s="2027"/>
      <c r="B4484" s="2028"/>
      <c r="C4484" s="2028"/>
      <c r="D4484" s="2028"/>
      <c r="E4484" s="2028"/>
      <c r="F4484" s="2028"/>
      <c r="G4484" s="2028"/>
      <c r="H4484" s="2028"/>
      <c r="I4484" s="2028"/>
      <c r="J4484" s="2028"/>
      <c r="K4484" s="2028"/>
      <c r="L4484" s="2028"/>
      <c r="M4484" s="2028"/>
      <c r="N4484" s="2028"/>
      <c r="O4484" s="2028"/>
      <c r="P4484" s="2028"/>
      <c r="Q4484" s="2028"/>
      <c r="R4484" s="2028"/>
      <c r="S4484" s="2028"/>
      <c r="T4484" s="2028"/>
      <c r="U4484" s="2028"/>
      <c r="V4484" s="2028"/>
      <c r="W4484" s="2028"/>
      <c r="X4484" s="2028"/>
      <c r="Y4484" s="2028"/>
      <c r="Z4484" s="2028"/>
      <c r="AA4484" s="2028"/>
      <c r="AB4484" s="2028"/>
      <c r="AC4484" s="2028"/>
      <c r="AD4484" s="2028"/>
      <c r="AE4484" s="1041" t="s">
        <v>1836</v>
      </c>
      <c r="AF4484" s="1044">
        <v>1</v>
      </c>
    </row>
    <row r="4485" spans="1:32" ht="15.75" x14ac:dyDescent="0.2">
      <c r="A4485" s="2029"/>
      <c r="B4485" s="2030"/>
      <c r="C4485" s="2030"/>
      <c r="D4485" s="2031"/>
      <c r="E4485" s="2025" t="str">
        <f>'01'!$A$12</f>
        <v>"CONSTRUCCION SISTEMA DE ACUEDUCTO FASE II DEL MUNICIPIO DE TESALIA DPTO DEL HUILA"</v>
      </c>
      <c r="F4485" s="2026"/>
      <c r="G4485" s="2026"/>
      <c r="H4485" s="2026"/>
      <c r="I4485" s="2026"/>
      <c r="J4485" s="2026"/>
      <c r="K4485" s="2026"/>
      <c r="L4485" s="2026"/>
      <c r="M4485" s="2026"/>
      <c r="N4485" s="2026"/>
      <c r="O4485" s="2026"/>
      <c r="P4485" s="2026"/>
      <c r="Q4485" s="2026"/>
      <c r="R4485" s="2026"/>
      <c r="S4485" s="2026"/>
      <c r="T4485" s="2026"/>
      <c r="U4485" s="2026"/>
      <c r="V4485" s="2026"/>
      <c r="W4485" s="2026"/>
      <c r="X4485" s="2026"/>
      <c r="Y4485" s="2026"/>
      <c r="Z4485" s="2026"/>
      <c r="AA4485" s="2026"/>
      <c r="AB4485" s="2026"/>
      <c r="AC4485" s="2026"/>
      <c r="AD4485" s="2035"/>
      <c r="AE4485" s="1041" t="s">
        <v>847</v>
      </c>
      <c r="AF4485" s="1045">
        <f>'01'!$M$13</f>
        <v>0</v>
      </c>
    </row>
    <row r="4486" spans="1:32" ht="16.5" thickBot="1" x14ac:dyDescent="0.25">
      <c r="A4486" s="2032"/>
      <c r="B4486" s="2033"/>
      <c r="C4486" s="2033"/>
      <c r="D4486" s="2034"/>
      <c r="E4486" s="2027"/>
      <c r="F4486" s="2028"/>
      <c r="G4486" s="2028"/>
      <c r="H4486" s="2028"/>
      <c r="I4486" s="2028"/>
      <c r="J4486" s="2028"/>
      <c r="K4486" s="2028"/>
      <c r="L4486" s="2028"/>
      <c r="M4486" s="2028"/>
      <c r="N4486" s="2028"/>
      <c r="O4486" s="2028"/>
      <c r="P4486" s="2028"/>
      <c r="Q4486" s="2028"/>
      <c r="R4486" s="2028"/>
      <c r="S4486" s="2028"/>
      <c r="T4486" s="2028"/>
      <c r="U4486" s="2028"/>
      <c r="V4486" s="2028"/>
      <c r="W4486" s="2028"/>
      <c r="X4486" s="2028"/>
      <c r="Y4486" s="2028"/>
      <c r="Z4486" s="2028"/>
      <c r="AA4486" s="2028"/>
      <c r="AB4486" s="2028"/>
      <c r="AC4486" s="2028"/>
      <c r="AD4486" s="2036"/>
      <c r="AE4486" s="1041" t="s">
        <v>1837</v>
      </c>
      <c r="AF4486" s="1042" t="s">
        <v>1838</v>
      </c>
    </row>
    <row r="4487" spans="1:32" ht="15.75" x14ac:dyDescent="0.25">
      <c r="A4487" s="2037" t="s">
        <v>1860</v>
      </c>
      <c r="B4487" s="2038"/>
      <c r="C4487" s="2038"/>
      <c r="D4487" s="2038"/>
      <c r="E4487" s="2038"/>
      <c r="F4487" s="2038"/>
      <c r="G4487" s="2038"/>
      <c r="H4487" s="2038"/>
      <c r="I4487" s="2038"/>
      <c r="J4487" s="2038"/>
      <c r="K4487" s="2038"/>
      <c r="L4487" s="2038"/>
      <c r="M4487" s="2038"/>
      <c r="N4487" s="2038"/>
      <c r="O4487" s="2038"/>
      <c r="P4487" s="2038"/>
      <c r="Q4487" s="2038"/>
      <c r="R4487" s="2038"/>
      <c r="S4487" s="2038"/>
      <c r="T4487" s="2038"/>
      <c r="U4487" s="2038"/>
      <c r="V4487" s="2038"/>
      <c r="W4487" s="2038"/>
      <c r="X4487" s="2038"/>
      <c r="Y4487" s="2038"/>
      <c r="Z4487" s="2038"/>
      <c r="AA4487" s="2038"/>
      <c r="AB4487" s="2038"/>
      <c r="AC4487" s="2038"/>
      <c r="AD4487" s="2038"/>
      <c r="AE4487" s="2039" t="s">
        <v>1839</v>
      </c>
      <c r="AF4487" s="2040"/>
    </row>
    <row r="4488" spans="1:32" ht="15.75" x14ac:dyDescent="0.25">
      <c r="A4488" s="2041" t="s">
        <v>1840</v>
      </c>
      <c r="B4488" s="2042"/>
      <c r="C4488" s="2042"/>
      <c r="D4488" s="2042"/>
      <c r="E4488" s="2042"/>
      <c r="F4488" s="2042"/>
      <c r="G4488" s="2042"/>
      <c r="H4488" s="2042"/>
      <c r="I4488" s="2042"/>
      <c r="J4488" s="2042"/>
      <c r="K4488" s="2042"/>
      <c r="L4488" s="2042"/>
      <c r="M4488" s="2042"/>
      <c r="N4488" s="2042"/>
      <c r="O4488" s="2042"/>
      <c r="P4488" s="2042"/>
      <c r="Q4488" s="2042"/>
      <c r="R4488" s="2042"/>
      <c r="S4488" s="2042"/>
      <c r="T4488" s="2042"/>
      <c r="U4488" s="2042"/>
      <c r="V4488" s="2042"/>
      <c r="W4488" s="2042"/>
      <c r="X4488" s="2042"/>
      <c r="Y4488" s="2042"/>
      <c r="Z4488" s="2042"/>
      <c r="AA4488" s="2042"/>
      <c r="AB4488" s="2042"/>
      <c r="AC4488" s="2042"/>
      <c r="AD4488" s="2043"/>
      <c r="AE4488" s="2014" t="s">
        <v>1841</v>
      </c>
      <c r="AF4488" s="2044"/>
    </row>
    <row r="4489" spans="1:32" ht="15.75" x14ac:dyDescent="0.25">
      <c r="A4489" s="2045" t="s">
        <v>1853</v>
      </c>
      <c r="B4489" s="2046"/>
      <c r="C4489" s="2046"/>
      <c r="D4489" s="2046"/>
      <c r="E4489" s="2046"/>
      <c r="F4489" s="2046"/>
      <c r="G4489" s="2046"/>
      <c r="H4489" s="2046"/>
      <c r="I4489" s="2046"/>
      <c r="J4489" s="2046"/>
      <c r="K4489" s="2046"/>
      <c r="L4489" s="2046"/>
      <c r="M4489" s="2046"/>
      <c r="N4489" s="2046"/>
      <c r="O4489" s="2046"/>
      <c r="P4489" s="2046"/>
      <c r="Q4489" s="2046"/>
      <c r="R4489" s="2046"/>
      <c r="S4489" s="2046"/>
      <c r="T4489" s="2046"/>
      <c r="U4489" s="2046"/>
      <c r="V4489" s="2046"/>
      <c r="W4489" s="2046"/>
      <c r="X4489" s="2046"/>
      <c r="Y4489" s="2046"/>
      <c r="Z4489" s="2046"/>
      <c r="AA4489" s="2046"/>
      <c r="AB4489" s="2046"/>
      <c r="AC4489" s="2046"/>
      <c r="AD4489" s="2046"/>
      <c r="AE4489" s="2047">
        <f>'01'!$M$13</f>
        <v>0</v>
      </c>
      <c r="AF4489" s="2044"/>
    </row>
    <row r="4490" spans="1:32" x14ac:dyDescent="0.2">
      <c r="A4490" s="1046"/>
      <c r="B4490" s="1047"/>
      <c r="C4490" s="1047"/>
      <c r="D4490" s="1047"/>
      <c r="E4490" s="1047"/>
      <c r="F4490" s="1047"/>
      <c r="G4490" s="1047"/>
      <c r="H4490" s="1047"/>
      <c r="I4490" s="1047"/>
      <c r="J4490" s="1047"/>
      <c r="K4490" s="1047"/>
      <c r="L4490" s="1047"/>
      <c r="M4490" s="1047"/>
      <c r="N4490" s="1047"/>
      <c r="O4490" s="1047"/>
      <c r="P4490" s="1047"/>
      <c r="Q4490" s="1047"/>
      <c r="R4490" s="1047"/>
      <c r="S4490" s="1047"/>
      <c r="T4490" s="1047"/>
      <c r="U4490" s="1047"/>
      <c r="V4490" s="1047"/>
      <c r="W4490" s="1047"/>
      <c r="X4490" s="1047"/>
      <c r="Y4490" s="1047"/>
      <c r="Z4490" s="1047"/>
      <c r="AA4490" s="1047"/>
      <c r="AB4490" s="1047"/>
      <c r="AC4490" s="1047"/>
      <c r="AD4490" s="1047"/>
      <c r="AE4490" s="1047"/>
      <c r="AF4490" s="1048"/>
    </row>
    <row r="4491" spans="1:32" ht="30" customHeight="1" x14ac:dyDescent="0.2">
      <c r="A4491" s="2048" t="s">
        <v>1842</v>
      </c>
      <c r="B4491" s="2049"/>
      <c r="C4491" s="2049"/>
      <c r="D4491" s="2049"/>
      <c r="E4491" s="2049"/>
      <c r="F4491" s="2050" t="str">
        <f>+'01'!$H$163</f>
        <v>F - LECHOS DE SECADO</v>
      </c>
      <c r="G4491" s="2049"/>
      <c r="H4491" s="2049"/>
      <c r="I4491" s="2049"/>
      <c r="J4491" s="2049"/>
      <c r="K4491" s="2049"/>
      <c r="L4491" s="2049"/>
      <c r="M4491" s="2049"/>
      <c r="N4491" s="2049"/>
      <c r="O4491" s="2049"/>
      <c r="P4491" s="2049"/>
      <c r="Q4491" s="2049"/>
      <c r="R4491" s="2049"/>
      <c r="S4491" s="2049"/>
      <c r="T4491" s="2049"/>
      <c r="U4491" s="2049"/>
      <c r="V4491" s="2049"/>
      <c r="W4491" s="2049"/>
      <c r="X4491" s="2049"/>
      <c r="Y4491" s="2051"/>
      <c r="Z4491" s="2052" t="s">
        <v>1843</v>
      </c>
      <c r="AA4491" s="2053"/>
      <c r="AB4491" s="2058" t="s">
        <v>1844</v>
      </c>
      <c r="AC4491" s="2059"/>
      <c r="AD4491" s="2060"/>
      <c r="AE4491" s="2064" t="s">
        <v>1845</v>
      </c>
      <c r="AF4491" s="2067" t="s">
        <v>1846</v>
      </c>
    </row>
    <row r="4492" spans="1:32" ht="15" customHeight="1" x14ac:dyDescent="0.2">
      <c r="A4492" s="2070" t="str">
        <f>+'01'!A188</f>
        <v>F-08-03</v>
      </c>
      <c r="B4492" s="2071"/>
      <c r="C4492" s="2072"/>
      <c r="D4492" s="2076" t="str">
        <f>VLOOKUP(A4492,'01'!$A$12:$N$299,3,FALSE)</f>
        <v>SUMINISTRO E INSTALACION DE ESTRUCTURA METALICA PARA SOPORTE DE CUBIERTA.</v>
      </c>
      <c r="E4492" s="2077"/>
      <c r="F4492" s="2077"/>
      <c r="G4492" s="2077"/>
      <c r="H4492" s="2077"/>
      <c r="I4492" s="2077"/>
      <c r="J4492" s="2077"/>
      <c r="K4492" s="2077"/>
      <c r="L4492" s="2077"/>
      <c r="M4492" s="2077"/>
      <c r="N4492" s="2077"/>
      <c r="O4492" s="2077"/>
      <c r="P4492" s="2077"/>
      <c r="Q4492" s="2077"/>
      <c r="R4492" s="2077"/>
      <c r="S4492" s="2078"/>
      <c r="T4492" s="2082" t="s">
        <v>124</v>
      </c>
      <c r="U4492" s="2083"/>
      <c r="V4492" s="2083"/>
      <c r="W4492" s="2083"/>
      <c r="X4492" s="2052" t="str">
        <f>VLOOKUP(A4492,'01'!$A$12:$N$299,9,FALSE)</f>
        <v>KG</v>
      </c>
      <c r="Y4492" s="2053"/>
      <c r="Z4492" s="2054"/>
      <c r="AA4492" s="2055"/>
      <c r="AB4492" s="2061"/>
      <c r="AC4492" s="2062"/>
      <c r="AD4492" s="2063"/>
      <c r="AE4492" s="2065"/>
      <c r="AF4492" s="2068"/>
    </row>
    <row r="4493" spans="1:32" ht="15" customHeight="1" x14ac:dyDescent="0.25">
      <c r="A4493" s="2073"/>
      <c r="B4493" s="2074"/>
      <c r="C4493" s="2075"/>
      <c r="D4493" s="2079"/>
      <c r="E4493" s="2080"/>
      <c r="F4493" s="2080"/>
      <c r="G4493" s="2080"/>
      <c r="H4493" s="2080"/>
      <c r="I4493" s="2080"/>
      <c r="J4493" s="2080"/>
      <c r="K4493" s="2080"/>
      <c r="L4493" s="2080"/>
      <c r="M4493" s="2080"/>
      <c r="N4493" s="2080"/>
      <c r="O4493" s="2080"/>
      <c r="P4493" s="2080"/>
      <c r="Q4493" s="2080"/>
      <c r="R4493" s="2080"/>
      <c r="S4493" s="2081"/>
      <c r="T4493" s="2084"/>
      <c r="U4493" s="2085"/>
      <c r="V4493" s="2085"/>
      <c r="W4493" s="2085"/>
      <c r="X4493" s="2056"/>
      <c r="Y4493" s="2057"/>
      <c r="Z4493" s="2056"/>
      <c r="AA4493" s="2057"/>
      <c r="AB4493" s="1049" t="s">
        <v>1847</v>
      </c>
      <c r="AC4493" s="1049" t="s">
        <v>2501</v>
      </c>
      <c r="AD4493" s="1049" t="s">
        <v>1861</v>
      </c>
      <c r="AE4493" s="2066"/>
      <c r="AF4493" s="2069"/>
    </row>
    <row r="4494" spans="1:32" ht="15.6" customHeight="1" x14ac:dyDescent="0.25">
      <c r="A4494" s="2017"/>
      <c r="B4494" s="2018"/>
      <c r="C4494" s="2018"/>
      <c r="D4494" s="2018"/>
      <c r="E4494" s="2018"/>
      <c r="F4494" s="2018"/>
      <c r="G4494" s="2018"/>
      <c r="H4494" s="2018"/>
      <c r="I4494" s="2018"/>
      <c r="J4494" s="2018"/>
      <c r="K4494" s="2018"/>
      <c r="L4494" s="2018"/>
      <c r="M4494" s="2018"/>
      <c r="N4494" s="2018"/>
      <c r="O4494" s="2018"/>
      <c r="P4494" s="2018"/>
      <c r="Q4494" s="2018"/>
      <c r="R4494" s="2018"/>
      <c r="S4494" s="2018"/>
      <c r="T4494" s="2018"/>
      <c r="U4494" s="2018"/>
      <c r="V4494" s="2018"/>
      <c r="W4494" s="2018"/>
      <c r="X4494" s="2018"/>
      <c r="Y4494" s="2018"/>
      <c r="Z4494" s="2021" t="s">
        <v>2496</v>
      </c>
      <c r="AA4494" s="2021"/>
      <c r="AB4494" s="1050">
        <v>1.64</v>
      </c>
      <c r="AC4494" s="1050">
        <f>130.14/6</f>
        <v>21.689999999999998</v>
      </c>
      <c r="AD4494" s="1050"/>
      <c r="AE4494" s="1050">
        <v>10</v>
      </c>
      <c r="AF4494" s="1052">
        <f>+ROUND(AB4494*AC4494*AE4494,2)</f>
        <v>355.72</v>
      </c>
    </row>
    <row r="4495" spans="1:32" ht="15.6" customHeight="1" x14ac:dyDescent="0.25">
      <c r="A4495" s="2017"/>
      <c r="B4495" s="2018"/>
      <c r="C4495" s="2018"/>
      <c r="D4495" s="2018"/>
      <c r="E4495" s="2018"/>
      <c r="F4495" s="2018"/>
      <c r="G4495" s="2018"/>
      <c r="H4495" s="2018"/>
      <c r="I4495" s="2018"/>
      <c r="J4495" s="2018"/>
      <c r="K4495" s="2018"/>
      <c r="L4495" s="2018"/>
      <c r="M4495" s="2018"/>
      <c r="N4495" s="2018"/>
      <c r="O4495" s="2018"/>
      <c r="P4495" s="2018"/>
      <c r="Q4495" s="2018"/>
      <c r="R4495" s="2018"/>
      <c r="S4495" s="2018"/>
      <c r="T4495" s="2018"/>
      <c r="U4495" s="2018"/>
      <c r="V4495" s="2018"/>
      <c r="W4495" s="2018"/>
      <c r="X4495" s="2018"/>
      <c r="Y4495" s="2018"/>
      <c r="Z4495" s="2021" t="s">
        <v>2497</v>
      </c>
      <c r="AA4495" s="2021"/>
      <c r="AB4495" s="1050">
        <v>3.4</v>
      </c>
      <c r="AC4495" s="1050">
        <f>130.14/6</f>
        <v>21.689999999999998</v>
      </c>
      <c r="AD4495" s="1050"/>
      <c r="AE4495" s="1050">
        <v>10</v>
      </c>
      <c r="AF4495" s="1052">
        <f t="shared" ref="AF4495:AF4498" si="64">+ROUND(AB4495*AC4495*AE4495,2)</f>
        <v>737.46</v>
      </c>
    </row>
    <row r="4496" spans="1:32" ht="15.75" x14ac:dyDescent="0.25">
      <c r="A4496" s="2017"/>
      <c r="B4496" s="2018"/>
      <c r="C4496" s="2018"/>
      <c r="D4496" s="2018"/>
      <c r="E4496" s="2018"/>
      <c r="F4496" s="2018"/>
      <c r="G4496" s="2018"/>
      <c r="H4496" s="2018"/>
      <c r="I4496" s="2018"/>
      <c r="J4496" s="2018"/>
      <c r="K4496" s="2018"/>
      <c r="L4496" s="2018"/>
      <c r="M4496" s="2018"/>
      <c r="N4496" s="2018"/>
      <c r="O4496" s="2018"/>
      <c r="P4496" s="2018"/>
      <c r="Q4496" s="2018"/>
      <c r="R4496" s="2018"/>
      <c r="S4496" s="2018"/>
      <c r="T4496" s="2018"/>
      <c r="U4496" s="2018"/>
      <c r="V4496" s="2018"/>
      <c r="W4496" s="2018"/>
      <c r="X4496" s="2018"/>
      <c r="Y4496" s="2018"/>
      <c r="Z4496" s="2021" t="s">
        <v>2498</v>
      </c>
      <c r="AA4496" s="2021"/>
      <c r="AB4496" s="1050">
        <f>2.83+2.83</f>
        <v>5.66</v>
      </c>
      <c r="AC4496" s="1050">
        <f>130.14/6</f>
        <v>21.689999999999998</v>
      </c>
      <c r="AD4496" s="1050"/>
      <c r="AE4496" s="1050">
        <v>10</v>
      </c>
      <c r="AF4496" s="1052">
        <f t="shared" si="64"/>
        <v>1227.6500000000001</v>
      </c>
    </row>
    <row r="4497" spans="1:32" ht="15.75" x14ac:dyDescent="0.25">
      <c r="A4497" s="2017"/>
      <c r="B4497" s="2018"/>
      <c r="C4497" s="2018"/>
      <c r="D4497" s="2018"/>
      <c r="E4497" s="2018"/>
      <c r="F4497" s="2018"/>
      <c r="G4497" s="2018"/>
      <c r="H4497" s="2018"/>
      <c r="I4497" s="2018"/>
      <c r="J4497" s="2018"/>
      <c r="K4497" s="2018"/>
      <c r="L4497" s="2018"/>
      <c r="M4497" s="2018"/>
      <c r="N4497" s="2018"/>
      <c r="O4497" s="2018"/>
      <c r="P4497" s="2018"/>
      <c r="Q4497" s="2018"/>
      <c r="R4497" s="2018"/>
      <c r="S4497" s="2018"/>
      <c r="T4497" s="2018"/>
      <c r="U4497" s="2018"/>
      <c r="V4497" s="2018"/>
      <c r="W4497" s="2018"/>
      <c r="X4497" s="2018"/>
      <c r="Y4497" s="2018"/>
      <c r="Z4497" s="2021" t="s">
        <v>2499</v>
      </c>
      <c r="AA4497" s="2021"/>
      <c r="AB4497" s="1050">
        <v>14.28</v>
      </c>
      <c r="AC4497" s="1050">
        <v>3.8</v>
      </c>
      <c r="AD4497" s="1050"/>
      <c r="AE4497" s="1050">
        <v>6</v>
      </c>
      <c r="AF4497" s="1052">
        <f t="shared" si="64"/>
        <v>325.58</v>
      </c>
    </row>
    <row r="4498" spans="1:32" ht="15.6" customHeight="1" x14ac:dyDescent="0.25">
      <c r="A4498" s="2017"/>
      <c r="B4498" s="2018"/>
      <c r="C4498" s="2018"/>
      <c r="D4498" s="2018"/>
      <c r="E4498" s="2018"/>
      <c r="F4498" s="2018"/>
      <c r="G4498" s="2018"/>
      <c r="H4498" s="2018"/>
      <c r="I4498" s="2018"/>
      <c r="J4498" s="2018"/>
      <c r="K4498" s="2018"/>
      <c r="L4498" s="2018"/>
      <c r="M4498" s="2018"/>
      <c r="N4498" s="2018"/>
      <c r="O4498" s="2018"/>
      <c r="P4498" s="2018"/>
      <c r="Q4498" s="2018"/>
      <c r="R4498" s="2018"/>
      <c r="S4498" s="2018"/>
      <c r="T4498" s="2018"/>
      <c r="U4498" s="2018"/>
      <c r="V4498" s="2018"/>
      <c r="W4498" s="2018"/>
      <c r="X4498" s="2018"/>
      <c r="Y4498" s="2018"/>
      <c r="Z4498" s="2021" t="s">
        <v>2500</v>
      </c>
      <c r="AA4498" s="2021"/>
      <c r="AB4498" s="1050">
        <v>14.28</v>
      </c>
      <c r="AC4498" s="1050">
        <f>3.98/2</f>
        <v>1.99</v>
      </c>
      <c r="AD4498" s="1050"/>
      <c r="AE4498" s="1050">
        <v>1</v>
      </c>
      <c r="AF4498" s="1052">
        <f t="shared" si="64"/>
        <v>28.42</v>
      </c>
    </row>
    <row r="4499" spans="1:32" ht="15.75" x14ac:dyDescent="0.25">
      <c r="A4499" s="2017"/>
      <c r="B4499" s="2018"/>
      <c r="C4499" s="2018"/>
      <c r="D4499" s="2018"/>
      <c r="E4499" s="2018"/>
      <c r="F4499" s="2018"/>
      <c r="G4499" s="2018"/>
      <c r="H4499" s="2018"/>
      <c r="I4499" s="2018"/>
      <c r="J4499" s="2018"/>
      <c r="K4499" s="2018"/>
      <c r="L4499" s="2018"/>
      <c r="M4499" s="2018"/>
      <c r="N4499" s="2018"/>
      <c r="O4499" s="2018"/>
      <c r="P4499" s="2018"/>
      <c r="Q4499" s="2018"/>
      <c r="R4499" s="2018"/>
      <c r="S4499" s="2018"/>
      <c r="T4499" s="2018"/>
      <c r="U4499" s="2018"/>
      <c r="V4499" s="2018"/>
      <c r="W4499" s="2018"/>
      <c r="X4499" s="2018"/>
      <c r="Y4499" s="2018"/>
      <c r="Z4499" s="2021"/>
      <c r="AA4499" s="2021"/>
      <c r="AB4499" s="1050"/>
      <c r="AC4499" s="1050"/>
      <c r="AD4499" s="1050"/>
      <c r="AE4499" s="1050"/>
      <c r="AF4499" s="1052"/>
    </row>
    <row r="4500" spans="1:32" ht="15.75" x14ac:dyDescent="0.25">
      <c r="A4500" s="2017"/>
      <c r="B4500" s="2018"/>
      <c r="C4500" s="2018"/>
      <c r="D4500" s="2018"/>
      <c r="E4500" s="2018"/>
      <c r="F4500" s="2018"/>
      <c r="G4500" s="2018"/>
      <c r="H4500" s="2018"/>
      <c r="I4500" s="2018"/>
      <c r="J4500" s="2018"/>
      <c r="K4500" s="2018"/>
      <c r="L4500" s="2018"/>
      <c r="M4500" s="2018"/>
      <c r="N4500" s="2018"/>
      <c r="O4500" s="2018"/>
      <c r="P4500" s="2018"/>
      <c r="Q4500" s="2018"/>
      <c r="R4500" s="2018"/>
      <c r="S4500" s="2018"/>
      <c r="T4500" s="2018"/>
      <c r="U4500" s="2018"/>
      <c r="V4500" s="2018"/>
      <c r="W4500" s="2018"/>
      <c r="X4500" s="2018"/>
      <c r="Y4500" s="2018"/>
      <c r="Z4500" s="2021"/>
      <c r="AA4500" s="2021"/>
      <c r="AB4500" s="1050"/>
      <c r="AC4500" s="1050"/>
      <c r="AD4500" s="1050"/>
      <c r="AE4500" s="1050"/>
      <c r="AF4500" s="1052"/>
    </row>
    <row r="4501" spans="1:32" ht="15.75" x14ac:dyDescent="0.25">
      <c r="A4501" s="2017"/>
      <c r="B4501" s="2018"/>
      <c r="C4501" s="2018"/>
      <c r="D4501" s="2018"/>
      <c r="E4501" s="2018"/>
      <c r="F4501" s="2018"/>
      <c r="G4501" s="2018"/>
      <c r="H4501" s="2018"/>
      <c r="I4501" s="2018"/>
      <c r="J4501" s="2018"/>
      <c r="K4501" s="2018"/>
      <c r="L4501" s="2018"/>
      <c r="M4501" s="2018"/>
      <c r="N4501" s="2018"/>
      <c r="O4501" s="2018"/>
      <c r="P4501" s="2018"/>
      <c r="Q4501" s="2018"/>
      <c r="R4501" s="2018"/>
      <c r="S4501" s="2018"/>
      <c r="T4501" s="2018"/>
      <c r="U4501" s="2018"/>
      <c r="V4501" s="2018"/>
      <c r="W4501" s="2018"/>
      <c r="X4501" s="2018"/>
      <c r="Y4501" s="2018"/>
      <c r="Z4501" s="2021"/>
      <c r="AA4501" s="2021"/>
      <c r="AB4501" s="1050"/>
      <c r="AC4501" s="1050"/>
      <c r="AD4501" s="1050"/>
      <c r="AE4501" s="1050"/>
      <c r="AF4501" s="1052"/>
    </row>
    <row r="4502" spans="1:32" ht="15.75" x14ac:dyDescent="0.25">
      <c r="A4502" s="2017"/>
      <c r="B4502" s="2018"/>
      <c r="C4502" s="2018"/>
      <c r="D4502" s="2018"/>
      <c r="E4502" s="2018"/>
      <c r="F4502" s="2018"/>
      <c r="G4502" s="2018"/>
      <c r="H4502" s="2018"/>
      <c r="I4502" s="2018"/>
      <c r="J4502" s="2018"/>
      <c r="K4502" s="2018"/>
      <c r="L4502" s="2018"/>
      <c r="M4502" s="2018"/>
      <c r="N4502" s="2018"/>
      <c r="O4502" s="2018"/>
      <c r="P4502" s="2018"/>
      <c r="Q4502" s="2018"/>
      <c r="R4502" s="2018"/>
      <c r="S4502" s="2018"/>
      <c r="T4502" s="2018"/>
      <c r="U4502" s="2018"/>
      <c r="V4502" s="2018"/>
      <c r="W4502" s="2018"/>
      <c r="X4502" s="2018"/>
      <c r="Y4502" s="2018"/>
      <c r="Z4502" s="2021"/>
      <c r="AA4502" s="2021"/>
      <c r="AB4502" s="1050"/>
      <c r="AC4502" s="1050"/>
      <c r="AD4502" s="1050"/>
      <c r="AE4502" s="1050"/>
      <c r="AF4502" s="1052"/>
    </row>
    <row r="4503" spans="1:32" ht="15.75" x14ac:dyDescent="0.25">
      <c r="A4503" s="2017"/>
      <c r="B4503" s="2018"/>
      <c r="C4503" s="2018"/>
      <c r="D4503" s="2018"/>
      <c r="E4503" s="2018"/>
      <c r="F4503" s="2018"/>
      <c r="G4503" s="2018"/>
      <c r="H4503" s="2018"/>
      <c r="I4503" s="2018"/>
      <c r="J4503" s="2018"/>
      <c r="K4503" s="2018"/>
      <c r="L4503" s="2018"/>
      <c r="M4503" s="2018"/>
      <c r="N4503" s="2018"/>
      <c r="O4503" s="2018"/>
      <c r="P4503" s="2018"/>
      <c r="Q4503" s="2018"/>
      <c r="R4503" s="2018"/>
      <c r="S4503" s="2018"/>
      <c r="T4503" s="2018"/>
      <c r="U4503" s="2018"/>
      <c r="V4503" s="2018"/>
      <c r="W4503" s="2018"/>
      <c r="X4503" s="2018"/>
      <c r="Y4503" s="2018"/>
      <c r="Z4503" s="2021"/>
      <c r="AA4503" s="2021"/>
      <c r="AB4503" s="1050"/>
      <c r="AC4503" s="1050"/>
      <c r="AD4503" s="1050"/>
      <c r="AE4503" s="1050"/>
      <c r="AF4503" s="1052"/>
    </row>
    <row r="4504" spans="1:32" ht="15.75" x14ac:dyDescent="0.25">
      <c r="A4504" s="2017"/>
      <c r="B4504" s="2018"/>
      <c r="C4504" s="2018"/>
      <c r="D4504" s="2018"/>
      <c r="E4504" s="2018"/>
      <c r="F4504" s="2018"/>
      <c r="G4504" s="2018"/>
      <c r="H4504" s="2018"/>
      <c r="I4504" s="2018"/>
      <c r="J4504" s="2018"/>
      <c r="K4504" s="2018"/>
      <c r="L4504" s="2018"/>
      <c r="M4504" s="2018"/>
      <c r="N4504" s="2018"/>
      <c r="O4504" s="2018"/>
      <c r="P4504" s="2018"/>
      <c r="Q4504" s="2018"/>
      <c r="R4504" s="2018"/>
      <c r="S4504" s="2018"/>
      <c r="T4504" s="2018"/>
      <c r="U4504" s="2018"/>
      <c r="V4504" s="2018"/>
      <c r="W4504" s="2018"/>
      <c r="X4504" s="2018"/>
      <c r="Y4504" s="2018"/>
      <c r="Z4504" s="2021"/>
      <c r="AA4504" s="2021"/>
      <c r="AB4504" s="1050"/>
      <c r="AC4504" s="1050"/>
      <c r="AD4504" s="1050"/>
      <c r="AE4504" s="1050"/>
      <c r="AF4504" s="1052"/>
    </row>
    <row r="4505" spans="1:32" ht="15.75" x14ac:dyDescent="0.25">
      <c r="A4505" s="2017"/>
      <c r="B4505" s="2018"/>
      <c r="C4505" s="2018"/>
      <c r="D4505" s="2018"/>
      <c r="E4505" s="2018"/>
      <c r="F4505" s="2018"/>
      <c r="G4505" s="2018"/>
      <c r="H4505" s="2018"/>
      <c r="I4505" s="2018"/>
      <c r="J4505" s="2018"/>
      <c r="K4505" s="2018"/>
      <c r="L4505" s="2018"/>
      <c r="M4505" s="2018"/>
      <c r="N4505" s="2018"/>
      <c r="O4505" s="2018"/>
      <c r="P4505" s="2018"/>
      <c r="Q4505" s="2018"/>
      <c r="R4505" s="2018"/>
      <c r="S4505" s="2018"/>
      <c r="T4505" s="2018"/>
      <c r="U4505" s="2018"/>
      <c r="V4505" s="2018"/>
      <c r="W4505" s="2018"/>
      <c r="X4505" s="2018"/>
      <c r="Y4505" s="2018"/>
      <c r="Z4505" s="2021"/>
      <c r="AA4505" s="2021"/>
      <c r="AB4505" s="1050"/>
      <c r="AC4505" s="1050"/>
      <c r="AD4505" s="1050"/>
      <c r="AE4505" s="1050"/>
      <c r="AF4505" s="1052"/>
    </row>
    <row r="4506" spans="1:32" ht="15.75" x14ac:dyDescent="0.25">
      <c r="A4506" s="2017"/>
      <c r="B4506" s="2018"/>
      <c r="C4506" s="2018"/>
      <c r="D4506" s="2018"/>
      <c r="E4506" s="2018"/>
      <c r="F4506" s="2018"/>
      <c r="G4506" s="2018"/>
      <c r="H4506" s="2018"/>
      <c r="I4506" s="2018"/>
      <c r="J4506" s="2018"/>
      <c r="K4506" s="2018"/>
      <c r="L4506" s="2018"/>
      <c r="M4506" s="2018"/>
      <c r="N4506" s="2018"/>
      <c r="O4506" s="2018"/>
      <c r="P4506" s="2018"/>
      <c r="Q4506" s="2018"/>
      <c r="R4506" s="2018"/>
      <c r="S4506" s="2018"/>
      <c r="T4506" s="2018"/>
      <c r="U4506" s="2018"/>
      <c r="V4506" s="2018"/>
      <c r="W4506" s="2018"/>
      <c r="X4506" s="2018"/>
      <c r="Y4506" s="2018"/>
      <c r="Z4506" s="2021"/>
      <c r="AA4506" s="2021"/>
      <c r="AB4506" s="1050"/>
      <c r="AC4506" s="1050"/>
      <c r="AD4506" s="1050"/>
      <c r="AE4506" s="1050"/>
      <c r="AF4506" s="1052"/>
    </row>
    <row r="4507" spans="1:32" ht="15.75" x14ac:dyDescent="0.25">
      <c r="A4507" s="2017"/>
      <c r="B4507" s="2018"/>
      <c r="C4507" s="2018"/>
      <c r="D4507" s="2018"/>
      <c r="E4507" s="2018"/>
      <c r="F4507" s="2018"/>
      <c r="G4507" s="2018"/>
      <c r="H4507" s="2018"/>
      <c r="I4507" s="2018"/>
      <c r="J4507" s="2018"/>
      <c r="K4507" s="2018"/>
      <c r="L4507" s="2018"/>
      <c r="M4507" s="2018"/>
      <c r="N4507" s="2018"/>
      <c r="O4507" s="2018"/>
      <c r="P4507" s="2018"/>
      <c r="Q4507" s="2018"/>
      <c r="R4507" s="2018"/>
      <c r="S4507" s="2018"/>
      <c r="T4507" s="2018"/>
      <c r="U4507" s="2018"/>
      <c r="V4507" s="2018"/>
      <c r="W4507" s="2018"/>
      <c r="X4507" s="2018"/>
      <c r="Y4507" s="2018"/>
      <c r="Z4507" s="2021"/>
      <c r="AA4507" s="2021"/>
      <c r="AB4507" s="1050"/>
      <c r="AC4507" s="1050"/>
      <c r="AD4507" s="1050"/>
      <c r="AE4507" s="1050"/>
      <c r="AF4507" s="1052"/>
    </row>
    <row r="4508" spans="1:32" ht="15.75" x14ac:dyDescent="0.25">
      <c r="A4508" s="2017"/>
      <c r="B4508" s="2018"/>
      <c r="C4508" s="2018"/>
      <c r="D4508" s="2018"/>
      <c r="E4508" s="2018"/>
      <c r="F4508" s="2018"/>
      <c r="G4508" s="2018"/>
      <c r="H4508" s="2018"/>
      <c r="I4508" s="2018"/>
      <c r="J4508" s="2018"/>
      <c r="K4508" s="2018"/>
      <c r="L4508" s="2018"/>
      <c r="M4508" s="2018"/>
      <c r="N4508" s="2018"/>
      <c r="O4508" s="2018"/>
      <c r="P4508" s="2018"/>
      <c r="Q4508" s="2018"/>
      <c r="R4508" s="2018"/>
      <c r="S4508" s="2018"/>
      <c r="T4508" s="2018"/>
      <c r="U4508" s="2018"/>
      <c r="V4508" s="2018"/>
      <c r="W4508" s="2018"/>
      <c r="X4508" s="2018"/>
      <c r="Y4508" s="2018"/>
      <c r="Z4508" s="2022"/>
      <c r="AA4508" s="2022"/>
      <c r="AB4508" s="1050"/>
      <c r="AC4508" s="1050"/>
      <c r="AD4508" s="1050"/>
      <c r="AE4508" s="1050"/>
      <c r="AF4508" s="1052"/>
    </row>
    <row r="4509" spans="1:32" ht="15.75" x14ac:dyDescent="0.25">
      <c r="A4509" s="2017"/>
      <c r="B4509" s="2018"/>
      <c r="C4509" s="2018"/>
      <c r="D4509" s="2018"/>
      <c r="E4509" s="2018"/>
      <c r="F4509" s="2018"/>
      <c r="G4509" s="2018"/>
      <c r="H4509" s="2018"/>
      <c r="I4509" s="2018"/>
      <c r="J4509" s="2018"/>
      <c r="K4509" s="2018"/>
      <c r="L4509" s="2018"/>
      <c r="M4509" s="2018"/>
      <c r="N4509" s="2018"/>
      <c r="O4509" s="2018"/>
      <c r="P4509" s="2018"/>
      <c r="Q4509" s="2018"/>
      <c r="R4509" s="2018"/>
      <c r="S4509" s="2018"/>
      <c r="T4509" s="2018"/>
      <c r="U4509" s="2018"/>
      <c r="V4509" s="2018"/>
      <c r="W4509" s="2018"/>
      <c r="X4509" s="2018"/>
      <c r="Y4509" s="2018"/>
      <c r="Z4509" s="2022"/>
      <c r="AA4509" s="2022"/>
      <c r="AB4509" s="1050"/>
      <c r="AC4509" s="1050"/>
      <c r="AD4509" s="1050"/>
      <c r="AE4509" s="1050"/>
      <c r="AF4509" s="1052"/>
    </row>
    <row r="4510" spans="1:32" ht="15.75" x14ac:dyDescent="0.25">
      <c r="A4510" s="2017"/>
      <c r="B4510" s="2018"/>
      <c r="C4510" s="2018"/>
      <c r="D4510" s="2018"/>
      <c r="E4510" s="2018"/>
      <c r="F4510" s="2018"/>
      <c r="G4510" s="2018"/>
      <c r="H4510" s="2018"/>
      <c r="I4510" s="2018"/>
      <c r="J4510" s="2018"/>
      <c r="K4510" s="2018"/>
      <c r="L4510" s="2018"/>
      <c r="M4510" s="2018"/>
      <c r="N4510" s="2018"/>
      <c r="O4510" s="2018"/>
      <c r="P4510" s="2018"/>
      <c r="Q4510" s="2018"/>
      <c r="R4510" s="2018"/>
      <c r="S4510" s="2018"/>
      <c r="T4510" s="2018"/>
      <c r="U4510" s="2018"/>
      <c r="V4510" s="2018"/>
      <c r="W4510" s="2018"/>
      <c r="X4510" s="2018"/>
      <c r="Y4510" s="2018"/>
      <c r="Z4510" s="2022"/>
      <c r="AA4510" s="2022"/>
      <c r="AB4510" s="1050"/>
      <c r="AC4510" s="1050"/>
      <c r="AD4510" s="1050"/>
      <c r="AE4510" s="1050"/>
      <c r="AF4510" s="1052"/>
    </row>
    <row r="4511" spans="1:32" ht="15.75" x14ac:dyDescent="0.25">
      <c r="A4511" s="2017"/>
      <c r="B4511" s="2018"/>
      <c r="C4511" s="2018"/>
      <c r="D4511" s="2018"/>
      <c r="E4511" s="2018"/>
      <c r="F4511" s="2018"/>
      <c r="G4511" s="2018"/>
      <c r="H4511" s="2018"/>
      <c r="I4511" s="2018"/>
      <c r="J4511" s="2018"/>
      <c r="K4511" s="2018"/>
      <c r="L4511" s="2018"/>
      <c r="M4511" s="2018"/>
      <c r="N4511" s="2018"/>
      <c r="O4511" s="2018"/>
      <c r="P4511" s="2018"/>
      <c r="Q4511" s="2018"/>
      <c r="R4511" s="2018"/>
      <c r="S4511" s="2018"/>
      <c r="T4511" s="2018"/>
      <c r="U4511" s="2018"/>
      <c r="V4511" s="2018"/>
      <c r="W4511" s="2018"/>
      <c r="X4511" s="2018"/>
      <c r="Y4511" s="2018"/>
      <c r="Z4511" s="2023"/>
      <c r="AA4511" s="2023"/>
      <c r="AB4511" s="1050"/>
      <c r="AC4511" s="1050"/>
      <c r="AD4511" s="1050"/>
      <c r="AE4511" s="1050"/>
      <c r="AF4511" s="1052"/>
    </row>
    <row r="4512" spans="1:32" ht="15.75" x14ac:dyDescent="0.25">
      <c r="A4512" s="2017"/>
      <c r="B4512" s="2018"/>
      <c r="C4512" s="2018"/>
      <c r="D4512" s="2018"/>
      <c r="E4512" s="2018"/>
      <c r="F4512" s="2018"/>
      <c r="G4512" s="2018"/>
      <c r="H4512" s="2018"/>
      <c r="I4512" s="2018"/>
      <c r="J4512" s="2018"/>
      <c r="K4512" s="2018"/>
      <c r="L4512" s="2018"/>
      <c r="M4512" s="2018"/>
      <c r="N4512" s="2018"/>
      <c r="O4512" s="2018"/>
      <c r="P4512" s="2018"/>
      <c r="Q4512" s="2018"/>
      <c r="R4512" s="2018"/>
      <c r="S4512" s="2018"/>
      <c r="T4512" s="2018"/>
      <c r="U4512" s="2018"/>
      <c r="V4512" s="2018"/>
      <c r="W4512" s="2018"/>
      <c r="X4512" s="2018"/>
      <c r="Y4512" s="2018"/>
      <c r="Z4512" s="2023"/>
      <c r="AA4512" s="2023"/>
      <c r="AB4512" s="1050"/>
      <c r="AC4512" s="1050"/>
      <c r="AD4512" s="1050"/>
      <c r="AE4512" s="1050"/>
      <c r="AF4512" s="1052"/>
    </row>
    <row r="4513" spans="1:32" ht="15.75" x14ac:dyDescent="0.25">
      <c r="A4513" s="2017"/>
      <c r="B4513" s="2018"/>
      <c r="C4513" s="2018"/>
      <c r="D4513" s="2018"/>
      <c r="E4513" s="2018"/>
      <c r="F4513" s="2018"/>
      <c r="G4513" s="2018"/>
      <c r="H4513" s="2018"/>
      <c r="I4513" s="2018"/>
      <c r="J4513" s="2018"/>
      <c r="K4513" s="2018"/>
      <c r="L4513" s="2018"/>
      <c r="M4513" s="2018"/>
      <c r="N4513" s="2018"/>
      <c r="O4513" s="2018"/>
      <c r="P4513" s="2018"/>
      <c r="Q4513" s="2018"/>
      <c r="R4513" s="2018"/>
      <c r="S4513" s="2018"/>
      <c r="T4513" s="2018"/>
      <c r="U4513" s="2018"/>
      <c r="V4513" s="2018"/>
      <c r="W4513" s="2018"/>
      <c r="X4513" s="2018"/>
      <c r="Y4513" s="2018"/>
      <c r="Z4513" s="2023"/>
      <c r="AA4513" s="2023"/>
      <c r="AB4513" s="1050"/>
      <c r="AC4513" s="1050"/>
      <c r="AD4513" s="1050"/>
      <c r="AE4513" s="1050"/>
      <c r="AF4513" s="1052"/>
    </row>
    <row r="4514" spans="1:32" ht="15.75" x14ac:dyDescent="0.25">
      <c r="A4514" s="2017"/>
      <c r="B4514" s="2018"/>
      <c r="C4514" s="2018"/>
      <c r="D4514" s="2018"/>
      <c r="E4514" s="2018"/>
      <c r="F4514" s="2018"/>
      <c r="G4514" s="2018"/>
      <c r="H4514" s="2018"/>
      <c r="I4514" s="2018"/>
      <c r="J4514" s="2018"/>
      <c r="K4514" s="2018"/>
      <c r="L4514" s="2018"/>
      <c r="M4514" s="2018"/>
      <c r="N4514" s="2018"/>
      <c r="O4514" s="2018"/>
      <c r="P4514" s="2018"/>
      <c r="Q4514" s="2018"/>
      <c r="R4514" s="2018"/>
      <c r="S4514" s="2018"/>
      <c r="T4514" s="2018"/>
      <c r="U4514" s="2018"/>
      <c r="V4514" s="2018"/>
      <c r="W4514" s="2018"/>
      <c r="X4514" s="2018"/>
      <c r="Y4514" s="2018"/>
      <c r="Z4514" s="2023"/>
      <c r="AA4514" s="2023"/>
      <c r="AB4514" s="1050"/>
      <c r="AC4514" s="1050"/>
      <c r="AD4514" s="1050"/>
      <c r="AE4514" s="1050"/>
      <c r="AF4514" s="1052"/>
    </row>
    <row r="4515" spans="1:32" ht="15.75" x14ac:dyDescent="0.25">
      <c r="A4515" s="2017"/>
      <c r="B4515" s="2018"/>
      <c r="C4515" s="2018"/>
      <c r="D4515" s="2018"/>
      <c r="E4515" s="2018"/>
      <c r="F4515" s="2018"/>
      <c r="G4515" s="2018"/>
      <c r="H4515" s="2018"/>
      <c r="I4515" s="2018"/>
      <c r="J4515" s="2018"/>
      <c r="K4515" s="2018"/>
      <c r="L4515" s="2018"/>
      <c r="M4515" s="2018"/>
      <c r="N4515" s="2018"/>
      <c r="O4515" s="2018"/>
      <c r="P4515" s="2018"/>
      <c r="Q4515" s="2018"/>
      <c r="R4515" s="2018"/>
      <c r="S4515" s="2018"/>
      <c r="T4515" s="2018"/>
      <c r="U4515" s="2018"/>
      <c r="V4515" s="2018"/>
      <c r="W4515" s="2018"/>
      <c r="X4515" s="2018"/>
      <c r="Y4515" s="2018"/>
      <c r="Z4515" s="2023"/>
      <c r="AA4515" s="2023"/>
      <c r="AB4515" s="1050"/>
      <c r="AC4515" s="1050"/>
      <c r="AD4515" s="1050"/>
      <c r="AE4515" s="1050"/>
      <c r="AF4515" s="1052"/>
    </row>
    <row r="4516" spans="1:32" ht="15.75" x14ac:dyDescent="0.25">
      <c r="A4516" s="2017"/>
      <c r="B4516" s="2018"/>
      <c r="C4516" s="2018"/>
      <c r="D4516" s="2018"/>
      <c r="E4516" s="2018"/>
      <c r="F4516" s="2018"/>
      <c r="G4516" s="2018"/>
      <c r="H4516" s="2018"/>
      <c r="I4516" s="2018"/>
      <c r="J4516" s="2018"/>
      <c r="K4516" s="2018"/>
      <c r="L4516" s="2018"/>
      <c r="M4516" s="2018"/>
      <c r="N4516" s="2018"/>
      <c r="O4516" s="2018"/>
      <c r="P4516" s="2018"/>
      <c r="Q4516" s="2018"/>
      <c r="R4516" s="2018"/>
      <c r="S4516" s="2018"/>
      <c r="T4516" s="2018"/>
      <c r="U4516" s="2018"/>
      <c r="V4516" s="2018"/>
      <c r="W4516" s="2018"/>
      <c r="X4516" s="2018"/>
      <c r="Y4516" s="2018"/>
      <c r="Z4516" s="2023"/>
      <c r="AA4516" s="2023"/>
      <c r="AB4516" s="1050"/>
      <c r="AC4516" s="1050"/>
      <c r="AD4516" s="1050"/>
      <c r="AE4516" s="1050"/>
      <c r="AF4516" s="1052"/>
    </row>
    <row r="4517" spans="1:32" ht="16.5" thickBot="1" x14ac:dyDescent="0.3">
      <c r="A4517" s="2019"/>
      <c r="B4517" s="2020"/>
      <c r="C4517" s="2020"/>
      <c r="D4517" s="2020"/>
      <c r="E4517" s="2020"/>
      <c r="F4517" s="2020"/>
      <c r="G4517" s="2020"/>
      <c r="H4517" s="2020"/>
      <c r="I4517" s="2020"/>
      <c r="J4517" s="2020"/>
      <c r="K4517" s="2020"/>
      <c r="L4517" s="2020"/>
      <c r="M4517" s="2020"/>
      <c r="N4517" s="2020"/>
      <c r="O4517" s="2020"/>
      <c r="P4517" s="2020"/>
      <c r="Q4517" s="2020"/>
      <c r="R4517" s="2020"/>
      <c r="S4517" s="2020"/>
      <c r="T4517" s="2020"/>
      <c r="U4517" s="2020"/>
      <c r="V4517" s="2020"/>
      <c r="W4517" s="2020"/>
      <c r="X4517" s="2020"/>
      <c r="Y4517" s="2020"/>
      <c r="Z4517" s="2024"/>
      <c r="AA4517" s="2024"/>
      <c r="AB4517" s="1057"/>
      <c r="AC4517" s="1057"/>
      <c r="AD4517" s="1057"/>
      <c r="AE4517" s="1057"/>
      <c r="AF4517" s="1058"/>
    </row>
    <row r="4518" spans="1:32" ht="15.75" x14ac:dyDescent="0.25">
      <c r="A4518" s="2009" t="s">
        <v>1855</v>
      </c>
      <c r="B4518" s="2010"/>
      <c r="C4518" s="2010"/>
      <c r="D4518" s="2010"/>
      <c r="E4518" s="2010"/>
      <c r="F4518" s="2010"/>
      <c r="G4518" s="2010"/>
      <c r="H4518" s="2010"/>
      <c r="I4518" s="2010"/>
      <c r="J4518" s="2010"/>
      <c r="K4518" s="2010"/>
      <c r="L4518" s="2010"/>
      <c r="M4518" s="2010"/>
      <c r="N4518" s="2010"/>
      <c r="O4518" s="2010"/>
      <c r="P4518" s="2010"/>
      <c r="Q4518" s="2010"/>
      <c r="R4518" s="2010"/>
      <c r="S4518" s="2010"/>
      <c r="T4518" s="2010"/>
      <c r="U4518" s="2010"/>
      <c r="V4518" s="2010"/>
      <c r="W4518" s="2010"/>
      <c r="X4518" s="2010"/>
      <c r="Y4518" s="2010"/>
      <c r="Z4518" s="2013" t="s">
        <v>1850</v>
      </c>
      <c r="AA4518" s="2013"/>
      <c r="AB4518" s="2013"/>
      <c r="AC4518" s="2013"/>
      <c r="AD4518" s="2013"/>
      <c r="AE4518" s="2013"/>
      <c r="AF4518" s="1059">
        <f>SUM(AF4494:AF4517)</f>
        <v>2674.83</v>
      </c>
    </row>
    <row r="4519" spans="1:32" ht="15.75" x14ac:dyDescent="0.25">
      <c r="A4519" s="2011"/>
      <c r="B4519" s="2012"/>
      <c r="C4519" s="2012"/>
      <c r="D4519" s="2012"/>
      <c r="E4519" s="2012"/>
      <c r="F4519" s="2012"/>
      <c r="G4519" s="2012"/>
      <c r="H4519" s="2012"/>
      <c r="I4519" s="2012"/>
      <c r="J4519" s="2012"/>
      <c r="K4519" s="2012"/>
      <c r="L4519" s="2012"/>
      <c r="M4519" s="2012"/>
      <c r="N4519" s="2012"/>
      <c r="O4519" s="2012"/>
      <c r="P4519" s="2012"/>
      <c r="Q4519" s="2012"/>
      <c r="R4519" s="2012"/>
      <c r="S4519" s="2012"/>
      <c r="T4519" s="2012"/>
      <c r="U4519" s="2012"/>
      <c r="V4519" s="2012"/>
      <c r="W4519" s="2012"/>
      <c r="X4519" s="2012"/>
      <c r="Y4519" s="2012"/>
      <c r="Z4519" s="2014" t="s">
        <v>1851</v>
      </c>
      <c r="AA4519" s="2014"/>
      <c r="AB4519" s="2014"/>
      <c r="AC4519" s="2014"/>
      <c r="AD4519" s="2014"/>
      <c r="AE4519" s="2014"/>
      <c r="AF4519" s="1060">
        <v>0</v>
      </c>
    </row>
    <row r="4520" spans="1:32" ht="15.75" x14ac:dyDescent="0.25">
      <c r="A4520" s="2011"/>
      <c r="B4520" s="2012"/>
      <c r="C4520" s="2012"/>
      <c r="D4520" s="2012"/>
      <c r="E4520" s="2012"/>
      <c r="F4520" s="2012"/>
      <c r="G4520" s="2012"/>
      <c r="H4520" s="2012"/>
      <c r="I4520" s="2012"/>
      <c r="J4520" s="2012"/>
      <c r="K4520" s="2012"/>
      <c r="L4520" s="2012"/>
      <c r="M4520" s="2012"/>
      <c r="N4520" s="2012"/>
      <c r="O4520" s="2012"/>
      <c r="P4520" s="2012"/>
      <c r="Q4520" s="2012"/>
      <c r="R4520" s="2012"/>
      <c r="S4520" s="2012"/>
      <c r="T4520" s="2012"/>
      <c r="U4520" s="2012"/>
      <c r="V4520" s="2012"/>
      <c r="W4520" s="2012"/>
      <c r="X4520" s="2012"/>
      <c r="Y4520" s="2012"/>
      <c r="Z4520" s="2015" t="s">
        <v>1833</v>
      </c>
      <c r="AA4520" s="2015"/>
      <c r="AB4520" s="2015"/>
      <c r="AC4520" s="2015"/>
      <c r="AD4520" s="2015"/>
      <c r="AE4520" s="2015"/>
      <c r="AF4520" s="1061">
        <f>SUM(AF4518:AF4519)</f>
        <v>2674.83</v>
      </c>
    </row>
    <row r="4521" spans="1:32" x14ac:dyDescent="0.2">
      <c r="A4521" s="2012" t="s">
        <v>1859</v>
      </c>
      <c r="B4521" s="2012"/>
      <c r="C4521" s="2012"/>
      <c r="D4521" s="2012"/>
      <c r="E4521" s="2012"/>
      <c r="F4521" s="2012"/>
      <c r="G4521" s="2012"/>
      <c r="H4521" s="2012"/>
      <c r="I4521" s="2012"/>
      <c r="J4521" s="2012"/>
      <c r="K4521" s="2012"/>
      <c r="L4521" s="2012"/>
      <c r="M4521" s="2012"/>
      <c r="N4521" s="2012"/>
      <c r="O4521" s="2012"/>
      <c r="P4521" s="2012"/>
      <c r="Q4521" s="2012"/>
      <c r="R4521" s="2012"/>
      <c r="S4521" s="2012"/>
      <c r="T4521" s="2016" t="s">
        <v>1840</v>
      </c>
      <c r="U4521" s="2016"/>
      <c r="V4521" s="2016"/>
      <c r="W4521" s="2016"/>
      <c r="X4521" s="2016"/>
      <c r="Y4521" s="2016"/>
      <c r="Z4521" s="2016"/>
      <c r="AA4521" s="2016"/>
      <c r="AB4521" s="2012" t="s">
        <v>1852</v>
      </c>
      <c r="AC4521" s="2012"/>
      <c r="AD4521" s="2012"/>
      <c r="AE4521" s="2012"/>
      <c r="AF4521" s="2012"/>
    </row>
    <row r="4522" spans="1:32" x14ac:dyDescent="0.2">
      <c r="A4522" s="2012"/>
      <c r="B4522" s="2012"/>
      <c r="C4522" s="2012"/>
      <c r="D4522" s="2012"/>
      <c r="E4522" s="2012"/>
      <c r="F4522" s="2012"/>
      <c r="G4522" s="2012"/>
      <c r="H4522" s="2012"/>
      <c r="I4522" s="2012"/>
      <c r="J4522" s="2012"/>
      <c r="K4522" s="2012"/>
      <c r="L4522" s="2012"/>
      <c r="M4522" s="2012"/>
      <c r="N4522" s="2012"/>
      <c r="O4522" s="2012"/>
      <c r="P4522" s="2012"/>
      <c r="Q4522" s="2012"/>
      <c r="R4522" s="2012"/>
      <c r="S4522" s="2012"/>
      <c r="T4522" s="2016"/>
      <c r="U4522" s="2016"/>
      <c r="V4522" s="2016"/>
      <c r="W4522" s="2016"/>
      <c r="X4522" s="2016"/>
      <c r="Y4522" s="2016"/>
      <c r="Z4522" s="2016"/>
      <c r="AA4522" s="2016"/>
      <c r="AB4522" s="2012"/>
      <c r="AC4522" s="2012"/>
      <c r="AD4522" s="2012"/>
      <c r="AE4522" s="2012"/>
      <c r="AF4522" s="2012"/>
    </row>
    <row r="4523" spans="1:32" ht="13.5" thickBot="1" x14ac:dyDescent="0.25"/>
    <row r="4524" spans="1:32" ht="26.45" customHeight="1" x14ac:dyDescent="0.2">
      <c r="A4524" s="2025" t="s">
        <v>1854</v>
      </c>
      <c r="B4524" s="2026"/>
      <c r="C4524" s="2026"/>
      <c r="D4524" s="2026"/>
      <c r="E4524" s="2026"/>
      <c r="F4524" s="2026"/>
      <c r="G4524" s="2026"/>
      <c r="H4524" s="2026"/>
      <c r="I4524" s="2026"/>
      <c r="J4524" s="2026"/>
      <c r="K4524" s="2026"/>
      <c r="L4524" s="2026"/>
      <c r="M4524" s="2026"/>
      <c r="N4524" s="2026"/>
      <c r="O4524" s="2026"/>
      <c r="P4524" s="2026"/>
      <c r="Q4524" s="2026"/>
      <c r="R4524" s="2026"/>
      <c r="S4524" s="2026"/>
      <c r="T4524" s="2026"/>
      <c r="U4524" s="2026"/>
      <c r="V4524" s="2026"/>
      <c r="W4524" s="2026"/>
      <c r="X4524" s="2026"/>
      <c r="Y4524" s="2026"/>
      <c r="Z4524" s="2026"/>
      <c r="AA4524" s="2026"/>
      <c r="AB4524" s="2026"/>
      <c r="AC4524" s="2026"/>
      <c r="AD4524" s="2026"/>
      <c r="AE4524" s="1041" t="s">
        <v>1834</v>
      </c>
      <c r="AF4524" s="1042" t="s">
        <v>1835</v>
      </c>
    </row>
    <row r="4525" spans="1:32" ht="21" customHeight="1" thickBot="1" x14ac:dyDescent="0.25">
      <c r="A4525" s="2027"/>
      <c r="B4525" s="2028"/>
      <c r="C4525" s="2028"/>
      <c r="D4525" s="2028"/>
      <c r="E4525" s="2028"/>
      <c r="F4525" s="2028"/>
      <c r="G4525" s="2028"/>
      <c r="H4525" s="2028"/>
      <c r="I4525" s="2028"/>
      <c r="J4525" s="2028"/>
      <c r="K4525" s="2028"/>
      <c r="L4525" s="2028"/>
      <c r="M4525" s="2028"/>
      <c r="N4525" s="2028"/>
      <c r="O4525" s="2028"/>
      <c r="P4525" s="2028"/>
      <c r="Q4525" s="2028"/>
      <c r="R4525" s="2028"/>
      <c r="S4525" s="2028"/>
      <c r="T4525" s="2028"/>
      <c r="U4525" s="2028"/>
      <c r="V4525" s="2028"/>
      <c r="W4525" s="2028"/>
      <c r="X4525" s="2028"/>
      <c r="Y4525" s="2028"/>
      <c r="Z4525" s="2028"/>
      <c r="AA4525" s="2028"/>
      <c r="AB4525" s="2028"/>
      <c r="AC4525" s="2028"/>
      <c r="AD4525" s="2028"/>
      <c r="AE4525" s="1041" t="s">
        <v>1836</v>
      </c>
      <c r="AF4525" s="1044">
        <v>1</v>
      </c>
    </row>
    <row r="4526" spans="1:32" ht="15.75" x14ac:dyDescent="0.2">
      <c r="A4526" s="2029"/>
      <c r="B4526" s="2030"/>
      <c r="C4526" s="2030"/>
      <c r="D4526" s="2031"/>
      <c r="E4526" s="2025" t="str">
        <f>'01'!$A$12</f>
        <v>"CONSTRUCCION SISTEMA DE ACUEDUCTO FASE II DEL MUNICIPIO DE TESALIA DPTO DEL HUILA"</v>
      </c>
      <c r="F4526" s="2026"/>
      <c r="G4526" s="2026"/>
      <c r="H4526" s="2026"/>
      <c r="I4526" s="2026"/>
      <c r="J4526" s="2026"/>
      <c r="K4526" s="2026"/>
      <c r="L4526" s="2026"/>
      <c r="M4526" s="2026"/>
      <c r="N4526" s="2026"/>
      <c r="O4526" s="2026"/>
      <c r="P4526" s="2026"/>
      <c r="Q4526" s="2026"/>
      <c r="R4526" s="2026"/>
      <c r="S4526" s="2026"/>
      <c r="T4526" s="2026"/>
      <c r="U4526" s="2026"/>
      <c r="V4526" s="2026"/>
      <c r="W4526" s="2026"/>
      <c r="X4526" s="2026"/>
      <c r="Y4526" s="2026"/>
      <c r="Z4526" s="2026"/>
      <c r="AA4526" s="2026"/>
      <c r="AB4526" s="2026"/>
      <c r="AC4526" s="2026"/>
      <c r="AD4526" s="2035"/>
      <c r="AE4526" s="1041" t="s">
        <v>847</v>
      </c>
      <c r="AF4526" s="1045">
        <f>'01'!$M$13</f>
        <v>0</v>
      </c>
    </row>
    <row r="4527" spans="1:32" ht="16.5" thickBot="1" x14ac:dyDescent="0.25">
      <c r="A4527" s="2032"/>
      <c r="B4527" s="2033"/>
      <c r="C4527" s="2033"/>
      <c r="D4527" s="2034"/>
      <c r="E4527" s="2027"/>
      <c r="F4527" s="2028"/>
      <c r="G4527" s="2028"/>
      <c r="H4527" s="2028"/>
      <c r="I4527" s="2028"/>
      <c r="J4527" s="2028"/>
      <c r="K4527" s="2028"/>
      <c r="L4527" s="2028"/>
      <c r="M4527" s="2028"/>
      <c r="N4527" s="2028"/>
      <c r="O4527" s="2028"/>
      <c r="P4527" s="2028"/>
      <c r="Q4527" s="2028"/>
      <c r="R4527" s="2028"/>
      <c r="S4527" s="2028"/>
      <c r="T4527" s="2028"/>
      <c r="U4527" s="2028"/>
      <c r="V4527" s="2028"/>
      <c r="W4527" s="2028"/>
      <c r="X4527" s="2028"/>
      <c r="Y4527" s="2028"/>
      <c r="Z4527" s="2028"/>
      <c r="AA4527" s="2028"/>
      <c r="AB4527" s="2028"/>
      <c r="AC4527" s="2028"/>
      <c r="AD4527" s="2036"/>
      <c r="AE4527" s="1041" t="s">
        <v>1837</v>
      </c>
      <c r="AF4527" s="1042" t="s">
        <v>1838</v>
      </c>
    </row>
    <row r="4528" spans="1:32" ht="15.75" x14ac:dyDescent="0.25">
      <c r="A4528" s="2037" t="s">
        <v>1860</v>
      </c>
      <c r="B4528" s="2038"/>
      <c r="C4528" s="2038"/>
      <c r="D4528" s="2038"/>
      <c r="E4528" s="2038"/>
      <c r="F4528" s="2038"/>
      <c r="G4528" s="2038"/>
      <c r="H4528" s="2038"/>
      <c r="I4528" s="2038"/>
      <c r="J4528" s="2038"/>
      <c r="K4528" s="2038"/>
      <c r="L4528" s="2038"/>
      <c r="M4528" s="2038"/>
      <c r="N4528" s="2038"/>
      <c r="O4528" s="2038"/>
      <c r="P4528" s="2038"/>
      <c r="Q4528" s="2038"/>
      <c r="R4528" s="2038"/>
      <c r="S4528" s="2038"/>
      <c r="T4528" s="2038"/>
      <c r="U4528" s="2038"/>
      <c r="V4528" s="2038"/>
      <c r="W4528" s="2038"/>
      <c r="X4528" s="2038"/>
      <c r="Y4528" s="2038"/>
      <c r="Z4528" s="2038"/>
      <c r="AA4528" s="2038"/>
      <c r="AB4528" s="2038"/>
      <c r="AC4528" s="2038"/>
      <c r="AD4528" s="2038"/>
      <c r="AE4528" s="2039" t="s">
        <v>1839</v>
      </c>
      <c r="AF4528" s="2040"/>
    </row>
    <row r="4529" spans="1:32" ht="15.75" x14ac:dyDescent="0.25">
      <c r="A4529" s="2041" t="s">
        <v>1840</v>
      </c>
      <c r="B4529" s="2042"/>
      <c r="C4529" s="2042"/>
      <c r="D4529" s="2042"/>
      <c r="E4529" s="2042"/>
      <c r="F4529" s="2042"/>
      <c r="G4529" s="2042"/>
      <c r="H4529" s="2042"/>
      <c r="I4529" s="2042"/>
      <c r="J4529" s="2042"/>
      <c r="K4529" s="2042"/>
      <c r="L4529" s="2042"/>
      <c r="M4529" s="2042"/>
      <c r="N4529" s="2042"/>
      <c r="O4529" s="2042"/>
      <c r="P4529" s="2042"/>
      <c r="Q4529" s="2042"/>
      <c r="R4529" s="2042"/>
      <c r="S4529" s="2042"/>
      <c r="T4529" s="2042"/>
      <c r="U4529" s="2042"/>
      <c r="V4529" s="2042"/>
      <c r="W4529" s="2042"/>
      <c r="X4529" s="2042"/>
      <c r="Y4529" s="2042"/>
      <c r="Z4529" s="2042"/>
      <c r="AA4529" s="2042"/>
      <c r="AB4529" s="2042"/>
      <c r="AC4529" s="2042"/>
      <c r="AD4529" s="2043"/>
      <c r="AE4529" s="2014" t="s">
        <v>1841</v>
      </c>
      <c r="AF4529" s="2044"/>
    </row>
    <row r="4530" spans="1:32" ht="15.75" x14ac:dyDescent="0.25">
      <c r="A4530" s="2045" t="s">
        <v>1853</v>
      </c>
      <c r="B4530" s="2046"/>
      <c r="C4530" s="2046"/>
      <c r="D4530" s="2046"/>
      <c r="E4530" s="2046"/>
      <c r="F4530" s="2046"/>
      <c r="G4530" s="2046"/>
      <c r="H4530" s="2046"/>
      <c r="I4530" s="2046"/>
      <c r="J4530" s="2046"/>
      <c r="K4530" s="2046"/>
      <c r="L4530" s="2046"/>
      <c r="M4530" s="2046"/>
      <c r="N4530" s="2046"/>
      <c r="O4530" s="2046"/>
      <c r="P4530" s="2046"/>
      <c r="Q4530" s="2046"/>
      <c r="R4530" s="2046"/>
      <c r="S4530" s="2046"/>
      <c r="T4530" s="2046"/>
      <c r="U4530" s="2046"/>
      <c r="V4530" s="2046"/>
      <c r="W4530" s="2046"/>
      <c r="X4530" s="2046"/>
      <c r="Y4530" s="2046"/>
      <c r="Z4530" s="2046"/>
      <c r="AA4530" s="2046"/>
      <c r="AB4530" s="2046"/>
      <c r="AC4530" s="2046"/>
      <c r="AD4530" s="2046"/>
      <c r="AE4530" s="2047">
        <f>'01'!$M$13</f>
        <v>0</v>
      </c>
      <c r="AF4530" s="2044"/>
    </row>
    <row r="4531" spans="1:32" x14ac:dyDescent="0.2">
      <c r="A4531" s="1046"/>
      <c r="B4531" s="1047"/>
      <c r="C4531" s="1047"/>
      <c r="D4531" s="1047"/>
      <c r="E4531" s="1047"/>
      <c r="F4531" s="1047"/>
      <c r="G4531" s="1047"/>
      <c r="H4531" s="1047"/>
      <c r="I4531" s="1047"/>
      <c r="J4531" s="1047"/>
      <c r="K4531" s="1047"/>
      <c r="L4531" s="1047"/>
      <c r="M4531" s="1047"/>
      <c r="N4531" s="1047"/>
      <c r="O4531" s="1047"/>
      <c r="P4531" s="1047"/>
      <c r="Q4531" s="1047"/>
      <c r="R4531" s="1047"/>
      <c r="S4531" s="1047"/>
      <c r="T4531" s="1047"/>
      <c r="U4531" s="1047"/>
      <c r="V4531" s="1047"/>
      <c r="W4531" s="1047"/>
      <c r="X4531" s="1047"/>
      <c r="Y4531" s="1047"/>
      <c r="Z4531" s="1047"/>
      <c r="AA4531" s="1047"/>
      <c r="AB4531" s="1047"/>
      <c r="AC4531" s="1047"/>
      <c r="AD4531" s="1047"/>
      <c r="AE4531" s="1047"/>
      <c r="AF4531" s="1048"/>
    </row>
    <row r="4532" spans="1:32" ht="30" customHeight="1" x14ac:dyDescent="0.2">
      <c r="A4532" s="2048" t="s">
        <v>1842</v>
      </c>
      <c r="B4532" s="2049"/>
      <c r="C4532" s="2049"/>
      <c r="D4532" s="2049"/>
      <c r="E4532" s="2049"/>
      <c r="F4532" s="2050" t="str">
        <f>+'01'!$H$163</f>
        <v>F - LECHOS DE SECADO</v>
      </c>
      <c r="G4532" s="2049"/>
      <c r="H4532" s="2049"/>
      <c r="I4532" s="2049"/>
      <c r="J4532" s="2049"/>
      <c r="K4532" s="2049"/>
      <c r="L4532" s="2049"/>
      <c r="M4532" s="2049"/>
      <c r="N4532" s="2049"/>
      <c r="O4532" s="2049"/>
      <c r="P4532" s="2049"/>
      <c r="Q4532" s="2049"/>
      <c r="R4532" s="2049"/>
      <c r="S4532" s="2049"/>
      <c r="T4532" s="2049"/>
      <c r="U4532" s="2049"/>
      <c r="V4532" s="2049"/>
      <c r="W4532" s="2049"/>
      <c r="X4532" s="2049"/>
      <c r="Y4532" s="2051"/>
      <c r="Z4532" s="2052" t="s">
        <v>1843</v>
      </c>
      <c r="AA4532" s="2053"/>
      <c r="AB4532" s="2058" t="s">
        <v>1844</v>
      </c>
      <c r="AC4532" s="2059"/>
      <c r="AD4532" s="2060"/>
      <c r="AE4532" s="2064" t="s">
        <v>1845</v>
      </c>
      <c r="AF4532" s="2067" t="s">
        <v>1846</v>
      </c>
    </row>
    <row r="4533" spans="1:32" ht="15" customHeight="1" x14ac:dyDescent="0.2">
      <c r="A4533" s="2070" t="str">
        <f>+'01'!A189</f>
        <v>F-08-04</v>
      </c>
      <c r="B4533" s="2071"/>
      <c r="C4533" s="2072"/>
      <c r="D4533" s="2076" t="str">
        <f>VLOOKUP(A4533,'01'!$A$12:$N$299,3,FALSE)</f>
        <v>CUBIERTA EN TEJA MATER 1000 PREPINTADA, INCLUYE SOPORTES Y TORNILLOS.</v>
      </c>
      <c r="E4533" s="2077"/>
      <c r="F4533" s="2077"/>
      <c r="G4533" s="2077"/>
      <c r="H4533" s="2077"/>
      <c r="I4533" s="2077"/>
      <c r="J4533" s="2077"/>
      <c r="K4533" s="2077"/>
      <c r="L4533" s="2077"/>
      <c r="M4533" s="2077"/>
      <c r="N4533" s="2077"/>
      <c r="O4533" s="2077"/>
      <c r="P4533" s="2077"/>
      <c r="Q4533" s="2077"/>
      <c r="R4533" s="2077"/>
      <c r="S4533" s="2078"/>
      <c r="T4533" s="2082" t="s">
        <v>124</v>
      </c>
      <c r="U4533" s="2083"/>
      <c r="V4533" s="2083"/>
      <c r="W4533" s="2083"/>
      <c r="X4533" s="2052" t="str">
        <f>VLOOKUP(A4533,'01'!$A$12:$N$299,9,FALSE)</f>
        <v>M2</v>
      </c>
      <c r="Y4533" s="2053"/>
      <c r="Z4533" s="2054"/>
      <c r="AA4533" s="2055"/>
      <c r="AB4533" s="2061"/>
      <c r="AC4533" s="2062"/>
      <c r="AD4533" s="2063"/>
      <c r="AE4533" s="2065"/>
      <c r="AF4533" s="2068"/>
    </row>
    <row r="4534" spans="1:32" ht="15" customHeight="1" x14ac:dyDescent="0.25">
      <c r="A4534" s="2073"/>
      <c r="B4534" s="2074"/>
      <c r="C4534" s="2075"/>
      <c r="D4534" s="2079"/>
      <c r="E4534" s="2080"/>
      <c r="F4534" s="2080"/>
      <c r="G4534" s="2080"/>
      <c r="H4534" s="2080"/>
      <c r="I4534" s="2080"/>
      <c r="J4534" s="2080"/>
      <c r="K4534" s="2080"/>
      <c r="L4534" s="2080"/>
      <c r="M4534" s="2080"/>
      <c r="N4534" s="2080"/>
      <c r="O4534" s="2080"/>
      <c r="P4534" s="2080"/>
      <c r="Q4534" s="2080"/>
      <c r="R4534" s="2080"/>
      <c r="S4534" s="2081"/>
      <c r="T4534" s="2084"/>
      <c r="U4534" s="2085"/>
      <c r="V4534" s="2085"/>
      <c r="W4534" s="2085"/>
      <c r="X4534" s="2056"/>
      <c r="Y4534" s="2057"/>
      <c r="Z4534" s="2056"/>
      <c r="AA4534" s="2057"/>
      <c r="AB4534" s="1049" t="s">
        <v>1847</v>
      </c>
      <c r="AC4534" s="1049" t="s">
        <v>1848</v>
      </c>
      <c r="AD4534" s="1049" t="s">
        <v>1861</v>
      </c>
      <c r="AE4534" s="2066"/>
      <c r="AF4534" s="2069"/>
    </row>
    <row r="4535" spans="1:32" ht="15.6" customHeight="1" x14ac:dyDescent="0.25">
      <c r="A4535" s="2017"/>
      <c r="B4535" s="2018"/>
      <c r="C4535" s="2018"/>
      <c r="D4535" s="2018"/>
      <c r="E4535" s="2018"/>
      <c r="F4535" s="2018"/>
      <c r="G4535" s="2018"/>
      <c r="H4535" s="2018"/>
      <c r="I4535" s="2018"/>
      <c r="J4535" s="2018"/>
      <c r="K4535" s="2018"/>
      <c r="L4535" s="2018"/>
      <c r="M4535" s="2018"/>
      <c r="N4535" s="2018"/>
      <c r="O4535" s="2018"/>
      <c r="P4535" s="2018"/>
      <c r="Q4535" s="2018"/>
      <c r="R4535" s="2018"/>
      <c r="S4535" s="2018"/>
      <c r="T4535" s="2018"/>
      <c r="U4535" s="2018"/>
      <c r="V4535" s="2018"/>
      <c r="W4535" s="2018"/>
      <c r="X4535" s="2018"/>
      <c r="Y4535" s="2018"/>
      <c r="Z4535" s="2021" t="s">
        <v>2502</v>
      </c>
      <c r="AA4535" s="2021"/>
      <c r="AB4535" s="1050">
        <v>14.28</v>
      </c>
      <c r="AC4535" s="1050">
        <v>6</v>
      </c>
      <c r="AD4535" s="1050"/>
      <c r="AE4535" s="1050">
        <v>1</v>
      </c>
      <c r="AF4535" s="1052">
        <f>+ROUND(AB4535*AC4535*AE4535,2)</f>
        <v>85.68</v>
      </c>
    </row>
    <row r="4536" spans="1:32" ht="15.6" customHeight="1" x14ac:dyDescent="0.25">
      <c r="A4536" s="2017"/>
      <c r="B4536" s="2018"/>
      <c r="C4536" s="2018"/>
      <c r="D4536" s="2018"/>
      <c r="E4536" s="2018"/>
      <c r="F4536" s="2018"/>
      <c r="G4536" s="2018"/>
      <c r="H4536" s="2018"/>
      <c r="I4536" s="2018"/>
      <c r="J4536" s="2018"/>
      <c r="K4536" s="2018"/>
      <c r="L4536" s="2018"/>
      <c r="M4536" s="2018"/>
      <c r="N4536" s="2018"/>
      <c r="O4536" s="2018"/>
      <c r="P4536" s="2018"/>
      <c r="Q4536" s="2018"/>
      <c r="R4536" s="2018"/>
      <c r="S4536" s="2018"/>
      <c r="T4536" s="2018"/>
      <c r="U4536" s="2018"/>
      <c r="V4536" s="2018"/>
      <c r="W4536" s="2018"/>
      <c r="X4536" s="2018"/>
      <c r="Y4536" s="2018"/>
      <c r="Z4536" s="2021"/>
      <c r="AA4536" s="2021"/>
      <c r="AB4536" s="1050"/>
      <c r="AC4536" s="1050"/>
      <c r="AD4536" s="1050"/>
      <c r="AE4536" s="1050"/>
      <c r="AF4536" s="1052"/>
    </row>
    <row r="4537" spans="1:32" ht="15.75" x14ac:dyDescent="0.25">
      <c r="A4537" s="2017"/>
      <c r="B4537" s="2018"/>
      <c r="C4537" s="2018"/>
      <c r="D4537" s="2018"/>
      <c r="E4537" s="2018"/>
      <c r="F4537" s="2018"/>
      <c r="G4537" s="2018"/>
      <c r="H4537" s="2018"/>
      <c r="I4537" s="2018"/>
      <c r="J4537" s="2018"/>
      <c r="K4537" s="2018"/>
      <c r="L4537" s="2018"/>
      <c r="M4537" s="2018"/>
      <c r="N4537" s="2018"/>
      <c r="O4537" s="2018"/>
      <c r="P4537" s="2018"/>
      <c r="Q4537" s="2018"/>
      <c r="R4537" s="2018"/>
      <c r="S4537" s="2018"/>
      <c r="T4537" s="2018"/>
      <c r="U4537" s="2018"/>
      <c r="V4537" s="2018"/>
      <c r="W4537" s="2018"/>
      <c r="X4537" s="2018"/>
      <c r="Y4537" s="2018"/>
      <c r="Z4537" s="2021"/>
      <c r="AA4537" s="2021"/>
      <c r="AB4537" s="1050"/>
      <c r="AC4537" s="1050"/>
      <c r="AD4537" s="1050"/>
      <c r="AE4537" s="1050"/>
      <c r="AF4537" s="1052"/>
    </row>
    <row r="4538" spans="1:32" ht="15.75" x14ac:dyDescent="0.25">
      <c r="A4538" s="2017"/>
      <c r="B4538" s="2018"/>
      <c r="C4538" s="2018"/>
      <c r="D4538" s="2018"/>
      <c r="E4538" s="2018"/>
      <c r="F4538" s="2018"/>
      <c r="G4538" s="2018"/>
      <c r="H4538" s="2018"/>
      <c r="I4538" s="2018"/>
      <c r="J4538" s="2018"/>
      <c r="K4538" s="2018"/>
      <c r="L4538" s="2018"/>
      <c r="M4538" s="2018"/>
      <c r="N4538" s="2018"/>
      <c r="O4538" s="2018"/>
      <c r="P4538" s="2018"/>
      <c r="Q4538" s="2018"/>
      <c r="R4538" s="2018"/>
      <c r="S4538" s="2018"/>
      <c r="T4538" s="2018"/>
      <c r="U4538" s="2018"/>
      <c r="V4538" s="2018"/>
      <c r="W4538" s="2018"/>
      <c r="X4538" s="2018"/>
      <c r="Y4538" s="2018"/>
      <c r="Z4538" s="2021"/>
      <c r="AA4538" s="2021"/>
      <c r="AB4538" s="1050"/>
      <c r="AC4538" s="1050"/>
      <c r="AD4538" s="1050"/>
      <c r="AE4538" s="1050"/>
      <c r="AF4538" s="1052"/>
    </row>
    <row r="4539" spans="1:32" ht="15.6" customHeight="1" x14ac:dyDescent="0.25">
      <c r="A4539" s="2017"/>
      <c r="B4539" s="2018"/>
      <c r="C4539" s="2018"/>
      <c r="D4539" s="2018"/>
      <c r="E4539" s="2018"/>
      <c r="F4539" s="2018"/>
      <c r="G4539" s="2018"/>
      <c r="H4539" s="2018"/>
      <c r="I4539" s="2018"/>
      <c r="J4539" s="2018"/>
      <c r="K4539" s="2018"/>
      <c r="L4539" s="2018"/>
      <c r="M4539" s="2018"/>
      <c r="N4539" s="2018"/>
      <c r="O4539" s="2018"/>
      <c r="P4539" s="2018"/>
      <c r="Q4539" s="2018"/>
      <c r="R4539" s="2018"/>
      <c r="S4539" s="2018"/>
      <c r="T4539" s="2018"/>
      <c r="U4539" s="2018"/>
      <c r="V4539" s="2018"/>
      <c r="W4539" s="2018"/>
      <c r="X4539" s="2018"/>
      <c r="Y4539" s="2018"/>
      <c r="Z4539" s="2021"/>
      <c r="AA4539" s="2021"/>
      <c r="AB4539" s="1050"/>
      <c r="AC4539" s="1050"/>
      <c r="AD4539" s="1050"/>
      <c r="AE4539" s="1050"/>
      <c r="AF4539" s="1052"/>
    </row>
    <row r="4540" spans="1:32" ht="15.75" x14ac:dyDescent="0.25">
      <c r="A4540" s="2017"/>
      <c r="B4540" s="2018"/>
      <c r="C4540" s="2018"/>
      <c r="D4540" s="2018"/>
      <c r="E4540" s="2018"/>
      <c r="F4540" s="2018"/>
      <c r="G4540" s="2018"/>
      <c r="H4540" s="2018"/>
      <c r="I4540" s="2018"/>
      <c r="J4540" s="2018"/>
      <c r="K4540" s="2018"/>
      <c r="L4540" s="2018"/>
      <c r="M4540" s="2018"/>
      <c r="N4540" s="2018"/>
      <c r="O4540" s="2018"/>
      <c r="P4540" s="2018"/>
      <c r="Q4540" s="2018"/>
      <c r="R4540" s="2018"/>
      <c r="S4540" s="2018"/>
      <c r="T4540" s="2018"/>
      <c r="U4540" s="2018"/>
      <c r="V4540" s="2018"/>
      <c r="W4540" s="2018"/>
      <c r="X4540" s="2018"/>
      <c r="Y4540" s="2018"/>
      <c r="Z4540" s="2021"/>
      <c r="AA4540" s="2021"/>
      <c r="AB4540" s="1050"/>
      <c r="AC4540" s="1050"/>
      <c r="AD4540" s="1050"/>
      <c r="AE4540" s="1050"/>
      <c r="AF4540" s="1052"/>
    </row>
    <row r="4541" spans="1:32" ht="15.75" x14ac:dyDescent="0.25">
      <c r="A4541" s="2017"/>
      <c r="B4541" s="2018"/>
      <c r="C4541" s="2018"/>
      <c r="D4541" s="2018"/>
      <c r="E4541" s="2018"/>
      <c r="F4541" s="2018"/>
      <c r="G4541" s="2018"/>
      <c r="H4541" s="2018"/>
      <c r="I4541" s="2018"/>
      <c r="J4541" s="2018"/>
      <c r="K4541" s="2018"/>
      <c r="L4541" s="2018"/>
      <c r="M4541" s="2018"/>
      <c r="N4541" s="2018"/>
      <c r="O4541" s="2018"/>
      <c r="P4541" s="2018"/>
      <c r="Q4541" s="2018"/>
      <c r="R4541" s="2018"/>
      <c r="S4541" s="2018"/>
      <c r="T4541" s="2018"/>
      <c r="U4541" s="2018"/>
      <c r="V4541" s="2018"/>
      <c r="W4541" s="2018"/>
      <c r="X4541" s="2018"/>
      <c r="Y4541" s="2018"/>
      <c r="Z4541" s="2021"/>
      <c r="AA4541" s="2021"/>
      <c r="AB4541" s="1050"/>
      <c r="AC4541" s="1050"/>
      <c r="AD4541" s="1050"/>
      <c r="AE4541" s="1050"/>
      <c r="AF4541" s="1052"/>
    </row>
    <row r="4542" spans="1:32" ht="15.75" x14ac:dyDescent="0.25">
      <c r="A4542" s="2017"/>
      <c r="B4542" s="2018"/>
      <c r="C4542" s="2018"/>
      <c r="D4542" s="2018"/>
      <c r="E4542" s="2018"/>
      <c r="F4542" s="2018"/>
      <c r="G4542" s="2018"/>
      <c r="H4542" s="2018"/>
      <c r="I4542" s="2018"/>
      <c r="J4542" s="2018"/>
      <c r="K4542" s="2018"/>
      <c r="L4542" s="2018"/>
      <c r="M4542" s="2018"/>
      <c r="N4542" s="2018"/>
      <c r="O4542" s="2018"/>
      <c r="P4542" s="2018"/>
      <c r="Q4542" s="2018"/>
      <c r="R4542" s="2018"/>
      <c r="S4542" s="2018"/>
      <c r="T4542" s="2018"/>
      <c r="U4542" s="2018"/>
      <c r="V4542" s="2018"/>
      <c r="W4542" s="2018"/>
      <c r="X4542" s="2018"/>
      <c r="Y4542" s="2018"/>
      <c r="Z4542" s="2021"/>
      <c r="AA4542" s="2021"/>
      <c r="AB4542" s="1050"/>
      <c r="AC4542" s="1050"/>
      <c r="AD4542" s="1050"/>
      <c r="AE4542" s="1050"/>
      <c r="AF4542" s="1052"/>
    </row>
    <row r="4543" spans="1:32" ht="15.75" x14ac:dyDescent="0.25">
      <c r="A4543" s="2017"/>
      <c r="B4543" s="2018"/>
      <c r="C4543" s="2018"/>
      <c r="D4543" s="2018"/>
      <c r="E4543" s="2018"/>
      <c r="F4543" s="2018"/>
      <c r="G4543" s="2018"/>
      <c r="H4543" s="2018"/>
      <c r="I4543" s="2018"/>
      <c r="J4543" s="2018"/>
      <c r="K4543" s="2018"/>
      <c r="L4543" s="2018"/>
      <c r="M4543" s="2018"/>
      <c r="N4543" s="2018"/>
      <c r="O4543" s="2018"/>
      <c r="P4543" s="2018"/>
      <c r="Q4543" s="2018"/>
      <c r="R4543" s="2018"/>
      <c r="S4543" s="2018"/>
      <c r="T4543" s="2018"/>
      <c r="U4543" s="2018"/>
      <c r="V4543" s="2018"/>
      <c r="W4543" s="2018"/>
      <c r="X4543" s="2018"/>
      <c r="Y4543" s="2018"/>
      <c r="Z4543" s="2021"/>
      <c r="AA4543" s="2021"/>
      <c r="AB4543" s="1050"/>
      <c r="AC4543" s="1050"/>
      <c r="AD4543" s="1050"/>
      <c r="AE4543" s="1050"/>
      <c r="AF4543" s="1052"/>
    </row>
    <row r="4544" spans="1:32" ht="15.75" x14ac:dyDescent="0.25">
      <c r="A4544" s="2017"/>
      <c r="B4544" s="2018"/>
      <c r="C4544" s="2018"/>
      <c r="D4544" s="2018"/>
      <c r="E4544" s="2018"/>
      <c r="F4544" s="2018"/>
      <c r="G4544" s="2018"/>
      <c r="H4544" s="2018"/>
      <c r="I4544" s="2018"/>
      <c r="J4544" s="2018"/>
      <c r="K4544" s="2018"/>
      <c r="L4544" s="2018"/>
      <c r="M4544" s="2018"/>
      <c r="N4544" s="2018"/>
      <c r="O4544" s="2018"/>
      <c r="P4544" s="2018"/>
      <c r="Q4544" s="2018"/>
      <c r="R4544" s="2018"/>
      <c r="S4544" s="2018"/>
      <c r="T4544" s="2018"/>
      <c r="U4544" s="2018"/>
      <c r="V4544" s="2018"/>
      <c r="W4544" s="2018"/>
      <c r="X4544" s="2018"/>
      <c r="Y4544" s="2018"/>
      <c r="Z4544" s="2021"/>
      <c r="AA4544" s="2021"/>
      <c r="AB4544" s="1050"/>
      <c r="AC4544" s="1050"/>
      <c r="AD4544" s="1050"/>
      <c r="AE4544" s="1050"/>
      <c r="AF4544" s="1052"/>
    </row>
    <row r="4545" spans="1:32" ht="15.75" x14ac:dyDescent="0.25">
      <c r="A4545" s="2017"/>
      <c r="B4545" s="2018"/>
      <c r="C4545" s="2018"/>
      <c r="D4545" s="2018"/>
      <c r="E4545" s="2018"/>
      <c r="F4545" s="2018"/>
      <c r="G4545" s="2018"/>
      <c r="H4545" s="2018"/>
      <c r="I4545" s="2018"/>
      <c r="J4545" s="2018"/>
      <c r="K4545" s="2018"/>
      <c r="L4545" s="2018"/>
      <c r="M4545" s="2018"/>
      <c r="N4545" s="2018"/>
      <c r="O4545" s="2018"/>
      <c r="P4545" s="2018"/>
      <c r="Q4545" s="2018"/>
      <c r="R4545" s="2018"/>
      <c r="S4545" s="2018"/>
      <c r="T4545" s="2018"/>
      <c r="U4545" s="2018"/>
      <c r="V4545" s="2018"/>
      <c r="W4545" s="2018"/>
      <c r="X4545" s="2018"/>
      <c r="Y4545" s="2018"/>
      <c r="Z4545" s="2021"/>
      <c r="AA4545" s="2021"/>
      <c r="AB4545" s="1050"/>
      <c r="AC4545" s="1050"/>
      <c r="AD4545" s="1050"/>
      <c r="AE4545" s="1050"/>
      <c r="AF4545" s="1052"/>
    </row>
    <row r="4546" spans="1:32" ht="15.75" x14ac:dyDescent="0.25">
      <c r="A4546" s="2017"/>
      <c r="B4546" s="2018"/>
      <c r="C4546" s="2018"/>
      <c r="D4546" s="2018"/>
      <c r="E4546" s="2018"/>
      <c r="F4546" s="2018"/>
      <c r="G4546" s="2018"/>
      <c r="H4546" s="2018"/>
      <c r="I4546" s="2018"/>
      <c r="J4546" s="2018"/>
      <c r="K4546" s="2018"/>
      <c r="L4546" s="2018"/>
      <c r="M4546" s="2018"/>
      <c r="N4546" s="2018"/>
      <c r="O4546" s="2018"/>
      <c r="P4546" s="2018"/>
      <c r="Q4546" s="2018"/>
      <c r="R4546" s="2018"/>
      <c r="S4546" s="2018"/>
      <c r="T4546" s="2018"/>
      <c r="U4546" s="2018"/>
      <c r="V4546" s="2018"/>
      <c r="W4546" s="2018"/>
      <c r="X4546" s="2018"/>
      <c r="Y4546" s="2018"/>
      <c r="Z4546" s="2021"/>
      <c r="AA4546" s="2021"/>
      <c r="AB4546" s="1050"/>
      <c r="AC4546" s="1050"/>
      <c r="AD4546" s="1050"/>
      <c r="AE4546" s="1050"/>
      <c r="AF4546" s="1052"/>
    </row>
    <row r="4547" spans="1:32" ht="15.75" x14ac:dyDescent="0.25">
      <c r="A4547" s="2017"/>
      <c r="B4547" s="2018"/>
      <c r="C4547" s="2018"/>
      <c r="D4547" s="2018"/>
      <c r="E4547" s="2018"/>
      <c r="F4547" s="2018"/>
      <c r="G4547" s="2018"/>
      <c r="H4547" s="2018"/>
      <c r="I4547" s="2018"/>
      <c r="J4547" s="2018"/>
      <c r="K4547" s="2018"/>
      <c r="L4547" s="2018"/>
      <c r="M4547" s="2018"/>
      <c r="N4547" s="2018"/>
      <c r="O4547" s="2018"/>
      <c r="P4547" s="2018"/>
      <c r="Q4547" s="2018"/>
      <c r="R4547" s="2018"/>
      <c r="S4547" s="2018"/>
      <c r="T4547" s="2018"/>
      <c r="U4547" s="2018"/>
      <c r="V4547" s="2018"/>
      <c r="W4547" s="2018"/>
      <c r="X4547" s="2018"/>
      <c r="Y4547" s="2018"/>
      <c r="Z4547" s="2021"/>
      <c r="AA4547" s="2021"/>
      <c r="AB4547" s="1050"/>
      <c r="AC4547" s="1050"/>
      <c r="AD4547" s="1050"/>
      <c r="AE4547" s="1050"/>
      <c r="AF4547" s="1052"/>
    </row>
    <row r="4548" spans="1:32" ht="15.75" x14ac:dyDescent="0.25">
      <c r="A4548" s="2017"/>
      <c r="B4548" s="2018"/>
      <c r="C4548" s="2018"/>
      <c r="D4548" s="2018"/>
      <c r="E4548" s="2018"/>
      <c r="F4548" s="2018"/>
      <c r="G4548" s="2018"/>
      <c r="H4548" s="2018"/>
      <c r="I4548" s="2018"/>
      <c r="J4548" s="2018"/>
      <c r="K4548" s="2018"/>
      <c r="L4548" s="2018"/>
      <c r="M4548" s="2018"/>
      <c r="N4548" s="2018"/>
      <c r="O4548" s="2018"/>
      <c r="P4548" s="2018"/>
      <c r="Q4548" s="2018"/>
      <c r="R4548" s="2018"/>
      <c r="S4548" s="2018"/>
      <c r="T4548" s="2018"/>
      <c r="U4548" s="2018"/>
      <c r="V4548" s="2018"/>
      <c r="W4548" s="2018"/>
      <c r="X4548" s="2018"/>
      <c r="Y4548" s="2018"/>
      <c r="Z4548" s="2021"/>
      <c r="AA4548" s="2021"/>
      <c r="AB4548" s="1050"/>
      <c r="AC4548" s="1050"/>
      <c r="AD4548" s="1050"/>
      <c r="AE4548" s="1050"/>
      <c r="AF4548" s="1052"/>
    </row>
    <row r="4549" spans="1:32" ht="15.75" x14ac:dyDescent="0.25">
      <c r="A4549" s="2017"/>
      <c r="B4549" s="2018"/>
      <c r="C4549" s="2018"/>
      <c r="D4549" s="2018"/>
      <c r="E4549" s="2018"/>
      <c r="F4549" s="2018"/>
      <c r="G4549" s="2018"/>
      <c r="H4549" s="2018"/>
      <c r="I4549" s="2018"/>
      <c r="J4549" s="2018"/>
      <c r="K4549" s="2018"/>
      <c r="L4549" s="2018"/>
      <c r="M4549" s="2018"/>
      <c r="N4549" s="2018"/>
      <c r="O4549" s="2018"/>
      <c r="P4549" s="2018"/>
      <c r="Q4549" s="2018"/>
      <c r="R4549" s="2018"/>
      <c r="S4549" s="2018"/>
      <c r="T4549" s="2018"/>
      <c r="U4549" s="2018"/>
      <c r="V4549" s="2018"/>
      <c r="W4549" s="2018"/>
      <c r="X4549" s="2018"/>
      <c r="Y4549" s="2018"/>
      <c r="Z4549" s="2022"/>
      <c r="AA4549" s="2022"/>
      <c r="AB4549" s="1050"/>
      <c r="AC4549" s="1050"/>
      <c r="AD4549" s="1050"/>
      <c r="AE4549" s="1050"/>
      <c r="AF4549" s="1052"/>
    </row>
    <row r="4550" spans="1:32" ht="15.75" x14ac:dyDescent="0.25">
      <c r="A4550" s="2017"/>
      <c r="B4550" s="2018"/>
      <c r="C4550" s="2018"/>
      <c r="D4550" s="2018"/>
      <c r="E4550" s="2018"/>
      <c r="F4550" s="2018"/>
      <c r="G4550" s="2018"/>
      <c r="H4550" s="2018"/>
      <c r="I4550" s="2018"/>
      <c r="J4550" s="2018"/>
      <c r="K4550" s="2018"/>
      <c r="L4550" s="2018"/>
      <c r="M4550" s="2018"/>
      <c r="N4550" s="2018"/>
      <c r="O4550" s="2018"/>
      <c r="P4550" s="2018"/>
      <c r="Q4550" s="2018"/>
      <c r="R4550" s="2018"/>
      <c r="S4550" s="2018"/>
      <c r="T4550" s="2018"/>
      <c r="U4550" s="2018"/>
      <c r="V4550" s="2018"/>
      <c r="W4550" s="2018"/>
      <c r="X4550" s="2018"/>
      <c r="Y4550" s="2018"/>
      <c r="Z4550" s="2022"/>
      <c r="AA4550" s="2022"/>
      <c r="AB4550" s="1050"/>
      <c r="AC4550" s="1050"/>
      <c r="AD4550" s="1050"/>
      <c r="AE4550" s="1050"/>
      <c r="AF4550" s="1052"/>
    </row>
    <row r="4551" spans="1:32" ht="15.75" x14ac:dyDescent="0.25">
      <c r="A4551" s="2017"/>
      <c r="B4551" s="2018"/>
      <c r="C4551" s="2018"/>
      <c r="D4551" s="2018"/>
      <c r="E4551" s="2018"/>
      <c r="F4551" s="2018"/>
      <c r="G4551" s="2018"/>
      <c r="H4551" s="2018"/>
      <c r="I4551" s="2018"/>
      <c r="J4551" s="2018"/>
      <c r="K4551" s="2018"/>
      <c r="L4551" s="2018"/>
      <c r="M4551" s="2018"/>
      <c r="N4551" s="2018"/>
      <c r="O4551" s="2018"/>
      <c r="P4551" s="2018"/>
      <c r="Q4551" s="2018"/>
      <c r="R4551" s="2018"/>
      <c r="S4551" s="2018"/>
      <c r="T4551" s="2018"/>
      <c r="U4551" s="2018"/>
      <c r="V4551" s="2018"/>
      <c r="W4551" s="2018"/>
      <c r="X4551" s="2018"/>
      <c r="Y4551" s="2018"/>
      <c r="Z4551" s="2022"/>
      <c r="AA4551" s="2022"/>
      <c r="AB4551" s="1050"/>
      <c r="AC4551" s="1050"/>
      <c r="AD4551" s="1050"/>
      <c r="AE4551" s="1050"/>
      <c r="AF4551" s="1052"/>
    </row>
    <row r="4552" spans="1:32" ht="15.75" x14ac:dyDescent="0.25">
      <c r="A4552" s="2017"/>
      <c r="B4552" s="2018"/>
      <c r="C4552" s="2018"/>
      <c r="D4552" s="2018"/>
      <c r="E4552" s="2018"/>
      <c r="F4552" s="2018"/>
      <c r="G4552" s="2018"/>
      <c r="H4552" s="2018"/>
      <c r="I4552" s="2018"/>
      <c r="J4552" s="2018"/>
      <c r="K4552" s="2018"/>
      <c r="L4552" s="2018"/>
      <c r="M4552" s="2018"/>
      <c r="N4552" s="2018"/>
      <c r="O4552" s="2018"/>
      <c r="P4552" s="2018"/>
      <c r="Q4552" s="2018"/>
      <c r="R4552" s="2018"/>
      <c r="S4552" s="2018"/>
      <c r="T4552" s="2018"/>
      <c r="U4552" s="2018"/>
      <c r="V4552" s="2018"/>
      <c r="W4552" s="2018"/>
      <c r="X4552" s="2018"/>
      <c r="Y4552" s="2018"/>
      <c r="Z4552" s="2023"/>
      <c r="AA4552" s="2023"/>
      <c r="AB4552" s="1050"/>
      <c r="AC4552" s="1050"/>
      <c r="AD4552" s="1050"/>
      <c r="AE4552" s="1050"/>
      <c r="AF4552" s="1052"/>
    </row>
    <row r="4553" spans="1:32" ht="15.75" x14ac:dyDescent="0.25">
      <c r="A4553" s="2017"/>
      <c r="B4553" s="2018"/>
      <c r="C4553" s="2018"/>
      <c r="D4553" s="2018"/>
      <c r="E4553" s="2018"/>
      <c r="F4553" s="2018"/>
      <c r="G4553" s="2018"/>
      <c r="H4553" s="2018"/>
      <c r="I4553" s="2018"/>
      <c r="J4553" s="2018"/>
      <c r="K4553" s="2018"/>
      <c r="L4553" s="2018"/>
      <c r="M4553" s="2018"/>
      <c r="N4553" s="2018"/>
      <c r="O4553" s="2018"/>
      <c r="P4553" s="2018"/>
      <c r="Q4553" s="2018"/>
      <c r="R4553" s="2018"/>
      <c r="S4553" s="2018"/>
      <c r="T4553" s="2018"/>
      <c r="U4553" s="2018"/>
      <c r="V4553" s="2018"/>
      <c r="W4553" s="2018"/>
      <c r="X4553" s="2018"/>
      <c r="Y4553" s="2018"/>
      <c r="Z4553" s="2023"/>
      <c r="AA4553" s="2023"/>
      <c r="AB4553" s="1050"/>
      <c r="AC4553" s="1050"/>
      <c r="AD4553" s="1050"/>
      <c r="AE4553" s="1050"/>
      <c r="AF4553" s="1052"/>
    </row>
    <row r="4554" spans="1:32" ht="15.75" x14ac:dyDescent="0.25">
      <c r="A4554" s="2017"/>
      <c r="B4554" s="2018"/>
      <c r="C4554" s="2018"/>
      <c r="D4554" s="2018"/>
      <c r="E4554" s="2018"/>
      <c r="F4554" s="2018"/>
      <c r="G4554" s="2018"/>
      <c r="H4554" s="2018"/>
      <c r="I4554" s="2018"/>
      <c r="J4554" s="2018"/>
      <c r="K4554" s="2018"/>
      <c r="L4554" s="2018"/>
      <c r="M4554" s="2018"/>
      <c r="N4554" s="2018"/>
      <c r="O4554" s="2018"/>
      <c r="P4554" s="2018"/>
      <c r="Q4554" s="2018"/>
      <c r="R4554" s="2018"/>
      <c r="S4554" s="2018"/>
      <c r="T4554" s="2018"/>
      <c r="U4554" s="2018"/>
      <c r="V4554" s="2018"/>
      <c r="W4554" s="2018"/>
      <c r="X4554" s="2018"/>
      <c r="Y4554" s="2018"/>
      <c r="Z4554" s="2023"/>
      <c r="AA4554" s="2023"/>
      <c r="AB4554" s="1050"/>
      <c r="AC4554" s="1050"/>
      <c r="AD4554" s="1050"/>
      <c r="AE4554" s="1050"/>
      <c r="AF4554" s="1052"/>
    </row>
    <row r="4555" spans="1:32" ht="15.75" x14ac:dyDescent="0.25">
      <c r="A4555" s="2017"/>
      <c r="B4555" s="2018"/>
      <c r="C4555" s="2018"/>
      <c r="D4555" s="2018"/>
      <c r="E4555" s="2018"/>
      <c r="F4555" s="2018"/>
      <c r="G4555" s="2018"/>
      <c r="H4555" s="2018"/>
      <c r="I4555" s="2018"/>
      <c r="J4555" s="2018"/>
      <c r="K4555" s="2018"/>
      <c r="L4555" s="2018"/>
      <c r="M4555" s="2018"/>
      <c r="N4555" s="2018"/>
      <c r="O4555" s="2018"/>
      <c r="P4555" s="2018"/>
      <c r="Q4555" s="2018"/>
      <c r="R4555" s="2018"/>
      <c r="S4555" s="2018"/>
      <c r="T4555" s="2018"/>
      <c r="U4555" s="2018"/>
      <c r="V4555" s="2018"/>
      <c r="W4555" s="2018"/>
      <c r="X4555" s="2018"/>
      <c r="Y4555" s="2018"/>
      <c r="Z4555" s="2023"/>
      <c r="AA4555" s="2023"/>
      <c r="AB4555" s="1050"/>
      <c r="AC4555" s="1050"/>
      <c r="AD4555" s="1050"/>
      <c r="AE4555" s="1050"/>
      <c r="AF4555" s="1052"/>
    </row>
    <row r="4556" spans="1:32" ht="15.75" x14ac:dyDescent="0.25">
      <c r="A4556" s="2017"/>
      <c r="B4556" s="2018"/>
      <c r="C4556" s="2018"/>
      <c r="D4556" s="2018"/>
      <c r="E4556" s="2018"/>
      <c r="F4556" s="2018"/>
      <c r="G4556" s="2018"/>
      <c r="H4556" s="2018"/>
      <c r="I4556" s="2018"/>
      <c r="J4556" s="2018"/>
      <c r="K4556" s="2018"/>
      <c r="L4556" s="2018"/>
      <c r="M4556" s="2018"/>
      <c r="N4556" s="2018"/>
      <c r="O4556" s="2018"/>
      <c r="P4556" s="2018"/>
      <c r="Q4556" s="2018"/>
      <c r="R4556" s="2018"/>
      <c r="S4556" s="2018"/>
      <c r="T4556" s="2018"/>
      <c r="U4556" s="2018"/>
      <c r="V4556" s="2018"/>
      <c r="W4556" s="2018"/>
      <c r="X4556" s="2018"/>
      <c r="Y4556" s="2018"/>
      <c r="Z4556" s="2023"/>
      <c r="AA4556" s="2023"/>
      <c r="AB4556" s="1050"/>
      <c r="AC4556" s="1050"/>
      <c r="AD4556" s="1050"/>
      <c r="AE4556" s="1050"/>
      <c r="AF4556" s="1052"/>
    </row>
    <row r="4557" spans="1:32" ht="15.75" x14ac:dyDescent="0.25">
      <c r="A4557" s="2017"/>
      <c r="B4557" s="2018"/>
      <c r="C4557" s="2018"/>
      <c r="D4557" s="2018"/>
      <c r="E4557" s="2018"/>
      <c r="F4557" s="2018"/>
      <c r="G4557" s="2018"/>
      <c r="H4557" s="2018"/>
      <c r="I4557" s="2018"/>
      <c r="J4557" s="2018"/>
      <c r="K4557" s="2018"/>
      <c r="L4557" s="2018"/>
      <c r="M4557" s="2018"/>
      <c r="N4557" s="2018"/>
      <c r="O4557" s="2018"/>
      <c r="P4557" s="2018"/>
      <c r="Q4557" s="2018"/>
      <c r="R4557" s="2018"/>
      <c r="S4557" s="2018"/>
      <c r="T4557" s="2018"/>
      <c r="U4557" s="2018"/>
      <c r="V4557" s="2018"/>
      <c r="W4557" s="2018"/>
      <c r="X4557" s="2018"/>
      <c r="Y4557" s="2018"/>
      <c r="Z4557" s="2023"/>
      <c r="AA4557" s="2023"/>
      <c r="AB4557" s="1050"/>
      <c r="AC4557" s="1050"/>
      <c r="AD4557" s="1050"/>
      <c r="AE4557" s="1050"/>
      <c r="AF4557" s="1052"/>
    </row>
    <row r="4558" spans="1:32" ht="16.5" thickBot="1" x14ac:dyDescent="0.3">
      <c r="A4558" s="2019"/>
      <c r="B4558" s="2020"/>
      <c r="C4558" s="2020"/>
      <c r="D4558" s="2020"/>
      <c r="E4558" s="2020"/>
      <c r="F4558" s="2020"/>
      <c r="G4558" s="2020"/>
      <c r="H4558" s="2020"/>
      <c r="I4558" s="2020"/>
      <c r="J4558" s="2020"/>
      <c r="K4558" s="2020"/>
      <c r="L4558" s="2020"/>
      <c r="M4558" s="2020"/>
      <c r="N4558" s="2020"/>
      <c r="O4558" s="2020"/>
      <c r="P4558" s="2020"/>
      <c r="Q4558" s="2020"/>
      <c r="R4558" s="2020"/>
      <c r="S4558" s="2020"/>
      <c r="T4558" s="2020"/>
      <c r="U4558" s="2020"/>
      <c r="V4558" s="2020"/>
      <c r="W4558" s="2020"/>
      <c r="X4558" s="2020"/>
      <c r="Y4558" s="2020"/>
      <c r="Z4558" s="2024"/>
      <c r="AA4558" s="2024"/>
      <c r="AB4558" s="1057"/>
      <c r="AC4558" s="1057"/>
      <c r="AD4558" s="1057"/>
      <c r="AE4558" s="1057"/>
      <c r="AF4558" s="1058"/>
    </row>
    <row r="4559" spans="1:32" ht="15.75" x14ac:dyDescent="0.25">
      <c r="A4559" s="2009" t="s">
        <v>1855</v>
      </c>
      <c r="B4559" s="2010"/>
      <c r="C4559" s="2010"/>
      <c r="D4559" s="2010"/>
      <c r="E4559" s="2010"/>
      <c r="F4559" s="2010"/>
      <c r="G4559" s="2010"/>
      <c r="H4559" s="2010"/>
      <c r="I4559" s="2010"/>
      <c r="J4559" s="2010"/>
      <c r="K4559" s="2010"/>
      <c r="L4559" s="2010"/>
      <c r="M4559" s="2010"/>
      <c r="N4559" s="2010"/>
      <c r="O4559" s="2010"/>
      <c r="P4559" s="2010"/>
      <c r="Q4559" s="2010"/>
      <c r="R4559" s="2010"/>
      <c r="S4559" s="2010"/>
      <c r="T4559" s="2010"/>
      <c r="U4559" s="2010"/>
      <c r="V4559" s="2010"/>
      <c r="W4559" s="2010"/>
      <c r="X4559" s="2010"/>
      <c r="Y4559" s="2010"/>
      <c r="Z4559" s="2013" t="s">
        <v>1850</v>
      </c>
      <c r="AA4559" s="2013"/>
      <c r="AB4559" s="2013"/>
      <c r="AC4559" s="2013"/>
      <c r="AD4559" s="2013"/>
      <c r="AE4559" s="2013"/>
      <c r="AF4559" s="1059">
        <f>SUM(AF4535:AF4558)</f>
        <v>85.68</v>
      </c>
    </row>
    <row r="4560" spans="1:32" ht="15.75" x14ac:dyDescent="0.25">
      <c r="A4560" s="2011"/>
      <c r="B4560" s="2012"/>
      <c r="C4560" s="2012"/>
      <c r="D4560" s="2012"/>
      <c r="E4560" s="2012"/>
      <c r="F4560" s="2012"/>
      <c r="G4560" s="2012"/>
      <c r="H4560" s="2012"/>
      <c r="I4560" s="2012"/>
      <c r="J4560" s="2012"/>
      <c r="K4560" s="2012"/>
      <c r="L4560" s="2012"/>
      <c r="M4560" s="2012"/>
      <c r="N4560" s="2012"/>
      <c r="O4560" s="2012"/>
      <c r="P4560" s="2012"/>
      <c r="Q4560" s="2012"/>
      <c r="R4560" s="2012"/>
      <c r="S4560" s="2012"/>
      <c r="T4560" s="2012"/>
      <c r="U4560" s="2012"/>
      <c r="V4560" s="2012"/>
      <c r="W4560" s="2012"/>
      <c r="X4560" s="2012"/>
      <c r="Y4560" s="2012"/>
      <c r="Z4560" s="2014" t="s">
        <v>1851</v>
      </c>
      <c r="AA4560" s="2014"/>
      <c r="AB4560" s="2014"/>
      <c r="AC4560" s="2014"/>
      <c r="AD4560" s="2014"/>
      <c r="AE4560" s="2014"/>
      <c r="AF4560" s="1060">
        <v>0</v>
      </c>
    </row>
    <row r="4561" spans="1:32" ht="15.75" x14ac:dyDescent="0.25">
      <c r="A4561" s="2011"/>
      <c r="B4561" s="2012"/>
      <c r="C4561" s="2012"/>
      <c r="D4561" s="2012"/>
      <c r="E4561" s="2012"/>
      <c r="F4561" s="2012"/>
      <c r="G4561" s="2012"/>
      <c r="H4561" s="2012"/>
      <c r="I4561" s="2012"/>
      <c r="J4561" s="2012"/>
      <c r="K4561" s="2012"/>
      <c r="L4561" s="2012"/>
      <c r="M4561" s="2012"/>
      <c r="N4561" s="2012"/>
      <c r="O4561" s="2012"/>
      <c r="P4561" s="2012"/>
      <c r="Q4561" s="2012"/>
      <c r="R4561" s="2012"/>
      <c r="S4561" s="2012"/>
      <c r="T4561" s="2012"/>
      <c r="U4561" s="2012"/>
      <c r="V4561" s="2012"/>
      <c r="W4561" s="2012"/>
      <c r="X4561" s="2012"/>
      <c r="Y4561" s="2012"/>
      <c r="Z4561" s="2015" t="s">
        <v>1833</v>
      </c>
      <c r="AA4561" s="2015"/>
      <c r="AB4561" s="2015"/>
      <c r="AC4561" s="2015"/>
      <c r="AD4561" s="2015"/>
      <c r="AE4561" s="2015"/>
      <c r="AF4561" s="1061">
        <f>SUM(AF4559:AF4560)</f>
        <v>85.68</v>
      </c>
    </row>
    <row r="4562" spans="1:32" x14ac:dyDescent="0.2">
      <c r="A4562" s="2012" t="s">
        <v>1859</v>
      </c>
      <c r="B4562" s="2012"/>
      <c r="C4562" s="2012"/>
      <c r="D4562" s="2012"/>
      <c r="E4562" s="2012"/>
      <c r="F4562" s="2012"/>
      <c r="G4562" s="2012"/>
      <c r="H4562" s="2012"/>
      <c r="I4562" s="2012"/>
      <c r="J4562" s="2012"/>
      <c r="K4562" s="2012"/>
      <c r="L4562" s="2012"/>
      <c r="M4562" s="2012"/>
      <c r="N4562" s="2012"/>
      <c r="O4562" s="2012"/>
      <c r="P4562" s="2012"/>
      <c r="Q4562" s="2012"/>
      <c r="R4562" s="2012"/>
      <c r="S4562" s="2012"/>
      <c r="T4562" s="2016" t="s">
        <v>1840</v>
      </c>
      <c r="U4562" s="2016"/>
      <c r="V4562" s="2016"/>
      <c r="W4562" s="2016"/>
      <c r="X4562" s="2016"/>
      <c r="Y4562" s="2016"/>
      <c r="Z4562" s="2016"/>
      <c r="AA4562" s="2016"/>
      <c r="AB4562" s="2012" t="s">
        <v>1852</v>
      </c>
      <c r="AC4562" s="2012"/>
      <c r="AD4562" s="2012"/>
      <c r="AE4562" s="2012"/>
      <c r="AF4562" s="2012"/>
    </row>
    <row r="4563" spans="1:32" x14ac:dyDescent="0.2">
      <c r="A4563" s="2012"/>
      <c r="B4563" s="2012"/>
      <c r="C4563" s="2012"/>
      <c r="D4563" s="2012"/>
      <c r="E4563" s="2012"/>
      <c r="F4563" s="2012"/>
      <c r="G4563" s="2012"/>
      <c r="H4563" s="2012"/>
      <c r="I4563" s="2012"/>
      <c r="J4563" s="2012"/>
      <c r="K4563" s="2012"/>
      <c r="L4563" s="2012"/>
      <c r="M4563" s="2012"/>
      <c r="N4563" s="2012"/>
      <c r="O4563" s="2012"/>
      <c r="P4563" s="2012"/>
      <c r="Q4563" s="2012"/>
      <c r="R4563" s="2012"/>
      <c r="S4563" s="2012"/>
      <c r="T4563" s="2016"/>
      <c r="U4563" s="2016"/>
      <c r="V4563" s="2016"/>
      <c r="W4563" s="2016"/>
      <c r="X4563" s="2016"/>
      <c r="Y4563" s="2016"/>
      <c r="Z4563" s="2016"/>
      <c r="AA4563" s="2016"/>
      <c r="AB4563" s="2012"/>
      <c r="AC4563" s="2012"/>
      <c r="AD4563" s="2012"/>
      <c r="AE4563" s="2012"/>
      <c r="AF4563" s="2012"/>
    </row>
    <row r="4564" spans="1:32" ht="13.5" thickBot="1" x14ac:dyDescent="0.25"/>
    <row r="4565" spans="1:32" ht="26.45" customHeight="1" x14ac:dyDescent="0.2">
      <c r="A4565" s="2025" t="s">
        <v>1854</v>
      </c>
      <c r="B4565" s="2026"/>
      <c r="C4565" s="2026"/>
      <c r="D4565" s="2026"/>
      <c r="E4565" s="2026"/>
      <c r="F4565" s="2026"/>
      <c r="G4565" s="2026"/>
      <c r="H4565" s="2026"/>
      <c r="I4565" s="2026"/>
      <c r="J4565" s="2026"/>
      <c r="K4565" s="2026"/>
      <c r="L4565" s="2026"/>
      <c r="M4565" s="2026"/>
      <c r="N4565" s="2026"/>
      <c r="O4565" s="2026"/>
      <c r="P4565" s="2026"/>
      <c r="Q4565" s="2026"/>
      <c r="R4565" s="2026"/>
      <c r="S4565" s="2026"/>
      <c r="T4565" s="2026"/>
      <c r="U4565" s="2026"/>
      <c r="V4565" s="2026"/>
      <c r="W4565" s="2026"/>
      <c r="X4565" s="2026"/>
      <c r="Y4565" s="2026"/>
      <c r="Z4565" s="2026"/>
      <c r="AA4565" s="2026"/>
      <c r="AB4565" s="2026"/>
      <c r="AC4565" s="2026"/>
      <c r="AD4565" s="2026"/>
      <c r="AE4565" s="1041" t="s">
        <v>1834</v>
      </c>
      <c r="AF4565" s="1042" t="s">
        <v>1835</v>
      </c>
    </row>
    <row r="4566" spans="1:32" ht="21" customHeight="1" thickBot="1" x14ac:dyDescent="0.25">
      <c r="A4566" s="2027"/>
      <c r="B4566" s="2028"/>
      <c r="C4566" s="2028"/>
      <c r="D4566" s="2028"/>
      <c r="E4566" s="2028"/>
      <c r="F4566" s="2028"/>
      <c r="G4566" s="2028"/>
      <c r="H4566" s="2028"/>
      <c r="I4566" s="2028"/>
      <c r="J4566" s="2028"/>
      <c r="K4566" s="2028"/>
      <c r="L4566" s="2028"/>
      <c r="M4566" s="2028"/>
      <c r="N4566" s="2028"/>
      <c r="O4566" s="2028"/>
      <c r="P4566" s="2028"/>
      <c r="Q4566" s="2028"/>
      <c r="R4566" s="2028"/>
      <c r="S4566" s="2028"/>
      <c r="T4566" s="2028"/>
      <c r="U4566" s="2028"/>
      <c r="V4566" s="2028"/>
      <c r="W4566" s="2028"/>
      <c r="X4566" s="2028"/>
      <c r="Y4566" s="2028"/>
      <c r="Z4566" s="2028"/>
      <c r="AA4566" s="2028"/>
      <c r="AB4566" s="2028"/>
      <c r="AC4566" s="2028"/>
      <c r="AD4566" s="2028"/>
      <c r="AE4566" s="1041" t="s">
        <v>1836</v>
      </c>
      <c r="AF4566" s="1044">
        <v>1</v>
      </c>
    </row>
    <row r="4567" spans="1:32" ht="15.75" x14ac:dyDescent="0.2">
      <c r="A4567" s="2029"/>
      <c r="B4567" s="2030"/>
      <c r="C4567" s="2030"/>
      <c r="D4567" s="2031"/>
      <c r="E4567" s="2025" t="str">
        <f>'01'!$A$12</f>
        <v>"CONSTRUCCION SISTEMA DE ACUEDUCTO FASE II DEL MUNICIPIO DE TESALIA DPTO DEL HUILA"</v>
      </c>
      <c r="F4567" s="2026"/>
      <c r="G4567" s="2026"/>
      <c r="H4567" s="2026"/>
      <c r="I4567" s="2026"/>
      <c r="J4567" s="2026"/>
      <c r="K4567" s="2026"/>
      <c r="L4567" s="2026"/>
      <c r="M4567" s="2026"/>
      <c r="N4567" s="2026"/>
      <c r="O4567" s="2026"/>
      <c r="P4567" s="2026"/>
      <c r="Q4567" s="2026"/>
      <c r="R4567" s="2026"/>
      <c r="S4567" s="2026"/>
      <c r="T4567" s="2026"/>
      <c r="U4567" s="2026"/>
      <c r="V4567" s="2026"/>
      <c r="W4567" s="2026"/>
      <c r="X4567" s="2026"/>
      <c r="Y4567" s="2026"/>
      <c r="Z4567" s="2026"/>
      <c r="AA4567" s="2026"/>
      <c r="AB4567" s="2026"/>
      <c r="AC4567" s="2026"/>
      <c r="AD4567" s="2035"/>
      <c r="AE4567" s="1041" t="s">
        <v>847</v>
      </c>
      <c r="AF4567" s="1045">
        <f>'01'!$M$13</f>
        <v>0</v>
      </c>
    </row>
    <row r="4568" spans="1:32" ht="16.5" thickBot="1" x14ac:dyDescent="0.25">
      <c r="A4568" s="2032"/>
      <c r="B4568" s="2033"/>
      <c r="C4568" s="2033"/>
      <c r="D4568" s="2034"/>
      <c r="E4568" s="2027"/>
      <c r="F4568" s="2028"/>
      <c r="G4568" s="2028"/>
      <c r="H4568" s="2028"/>
      <c r="I4568" s="2028"/>
      <c r="J4568" s="2028"/>
      <c r="K4568" s="2028"/>
      <c r="L4568" s="2028"/>
      <c r="M4568" s="2028"/>
      <c r="N4568" s="2028"/>
      <c r="O4568" s="2028"/>
      <c r="P4568" s="2028"/>
      <c r="Q4568" s="2028"/>
      <c r="R4568" s="2028"/>
      <c r="S4568" s="2028"/>
      <c r="T4568" s="2028"/>
      <c r="U4568" s="2028"/>
      <c r="V4568" s="2028"/>
      <c r="W4568" s="2028"/>
      <c r="X4568" s="2028"/>
      <c r="Y4568" s="2028"/>
      <c r="Z4568" s="2028"/>
      <c r="AA4568" s="2028"/>
      <c r="AB4568" s="2028"/>
      <c r="AC4568" s="2028"/>
      <c r="AD4568" s="2036"/>
      <c r="AE4568" s="1041" t="s">
        <v>1837</v>
      </c>
      <c r="AF4568" s="1042" t="s">
        <v>1838</v>
      </c>
    </row>
    <row r="4569" spans="1:32" ht="15.75" x14ac:dyDescent="0.25">
      <c r="A4569" s="2037" t="s">
        <v>1860</v>
      </c>
      <c r="B4569" s="2038"/>
      <c r="C4569" s="2038"/>
      <c r="D4569" s="2038"/>
      <c r="E4569" s="2038"/>
      <c r="F4569" s="2038"/>
      <c r="G4569" s="2038"/>
      <c r="H4569" s="2038"/>
      <c r="I4569" s="2038"/>
      <c r="J4569" s="2038"/>
      <c r="K4569" s="2038"/>
      <c r="L4569" s="2038"/>
      <c r="M4569" s="2038"/>
      <c r="N4569" s="2038"/>
      <c r="O4569" s="2038"/>
      <c r="P4569" s="2038"/>
      <c r="Q4569" s="2038"/>
      <c r="R4569" s="2038"/>
      <c r="S4569" s="2038"/>
      <c r="T4569" s="2038"/>
      <c r="U4569" s="2038"/>
      <c r="V4569" s="2038"/>
      <c r="W4569" s="2038"/>
      <c r="X4569" s="2038"/>
      <c r="Y4569" s="2038"/>
      <c r="Z4569" s="2038"/>
      <c r="AA4569" s="2038"/>
      <c r="AB4569" s="2038"/>
      <c r="AC4569" s="2038"/>
      <c r="AD4569" s="2038"/>
      <c r="AE4569" s="2039" t="s">
        <v>1839</v>
      </c>
      <c r="AF4569" s="2040"/>
    </row>
    <row r="4570" spans="1:32" ht="15.75" x14ac:dyDescent="0.25">
      <c r="A4570" s="2041" t="s">
        <v>1840</v>
      </c>
      <c r="B4570" s="2042"/>
      <c r="C4570" s="2042"/>
      <c r="D4570" s="2042"/>
      <c r="E4570" s="2042"/>
      <c r="F4570" s="2042"/>
      <c r="G4570" s="2042"/>
      <c r="H4570" s="2042"/>
      <c r="I4570" s="2042"/>
      <c r="J4570" s="2042"/>
      <c r="K4570" s="2042"/>
      <c r="L4570" s="2042"/>
      <c r="M4570" s="2042"/>
      <c r="N4570" s="2042"/>
      <c r="O4570" s="2042"/>
      <c r="P4570" s="2042"/>
      <c r="Q4570" s="2042"/>
      <c r="R4570" s="2042"/>
      <c r="S4570" s="2042"/>
      <c r="T4570" s="2042"/>
      <c r="U4570" s="2042"/>
      <c r="V4570" s="2042"/>
      <c r="W4570" s="2042"/>
      <c r="X4570" s="2042"/>
      <c r="Y4570" s="2042"/>
      <c r="Z4570" s="2042"/>
      <c r="AA4570" s="2042"/>
      <c r="AB4570" s="2042"/>
      <c r="AC4570" s="2042"/>
      <c r="AD4570" s="2043"/>
      <c r="AE4570" s="2014" t="s">
        <v>1841</v>
      </c>
      <c r="AF4570" s="2044"/>
    </row>
    <row r="4571" spans="1:32" ht="15.75" x14ac:dyDescent="0.25">
      <c r="A4571" s="2045" t="s">
        <v>1853</v>
      </c>
      <c r="B4571" s="2046"/>
      <c r="C4571" s="2046"/>
      <c r="D4571" s="2046"/>
      <c r="E4571" s="2046"/>
      <c r="F4571" s="2046"/>
      <c r="G4571" s="2046"/>
      <c r="H4571" s="2046"/>
      <c r="I4571" s="2046"/>
      <c r="J4571" s="2046"/>
      <c r="K4571" s="2046"/>
      <c r="L4571" s="2046"/>
      <c r="M4571" s="2046"/>
      <c r="N4571" s="2046"/>
      <c r="O4571" s="2046"/>
      <c r="P4571" s="2046"/>
      <c r="Q4571" s="2046"/>
      <c r="R4571" s="2046"/>
      <c r="S4571" s="2046"/>
      <c r="T4571" s="2046"/>
      <c r="U4571" s="2046"/>
      <c r="V4571" s="2046"/>
      <c r="W4571" s="2046"/>
      <c r="X4571" s="2046"/>
      <c r="Y4571" s="2046"/>
      <c r="Z4571" s="2046"/>
      <c r="AA4571" s="2046"/>
      <c r="AB4571" s="2046"/>
      <c r="AC4571" s="2046"/>
      <c r="AD4571" s="2046"/>
      <c r="AE4571" s="2047">
        <f>'01'!$M$13</f>
        <v>0</v>
      </c>
      <c r="AF4571" s="2044"/>
    </row>
    <row r="4572" spans="1:32" x14ac:dyDescent="0.2">
      <c r="A4572" s="1046"/>
      <c r="B4572" s="1047"/>
      <c r="C4572" s="1047"/>
      <c r="D4572" s="1047"/>
      <c r="E4572" s="1047"/>
      <c r="F4572" s="1047"/>
      <c r="G4572" s="1047"/>
      <c r="H4572" s="1047"/>
      <c r="I4572" s="1047"/>
      <c r="J4572" s="1047"/>
      <c r="K4572" s="1047"/>
      <c r="L4572" s="1047"/>
      <c r="M4572" s="1047"/>
      <c r="N4572" s="1047"/>
      <c r="O4572" s="1047"/>
      <c r="P4572" s="1047"/>
      <c r="Q4572" s="1047"/>
      <c r="R4572" s="1047"/>
      <c r="S4572" s="1047"/>
      <c r="T4572" s="1047"/>
      <c r="U4572" s="1047"/>
      <c r="V4572" s="1047"/>
      <c r="W4572" s="1047"/>
      <c r="X4572" s="1047"/>
      <c r="Y4572" s="1047"/>
      <c r="Z4572" s="1047"/>
      <c r="AA4572" s="1047"/>
      <c r="AB4572" s="1047"/>
      <c r="AC4572" s="1047"/>
      <c r="AD4572" s="1047"/>
      <c r="AE4572" s="1047"/>
      <c r="AF4572" s="1048"/>
    </row>
    <row r="4573" spans="1:32" ht="30" customHeight="1" x14ac:dyDescent="0.2">
      <c r="A4573" s="2048" t="s">
        <v>1842</v>
      </c>
      <c r="B4573" s="2049"/>
      <c r="C4573" s="2049"/>
      <c r="D4573" s="2049"/>
      <c r="E4573" s="2049"/>
      <c r="F4573" s="2050" t="str">
        <f>+'01'!$H$163</f>
        <v>F - LECHOS DE SECADO</v>
      </c>
      <c r="G4573" s="2049"/>
      <c r="H4573" s="2049"/>
      <c r="I4573" s="2049"/>
      <c r="J4573" s="2049"/>
      <c r="K4573" s="2049"/>
      <c r="L4573" s="2049"/>
      <c r="M4573" s="2049"/>
      <c r="N4573" s="2049"/>
      <c r="O4573" s="2049"/>
      <c r="P4573" s="2049"/>
      <c r="Q4573" s="2049"/>
      <c r="R4573" s="2049"/>
      <c r="S4573" s="2049"/>
      <c r="T4573" s="2049"/>
      <c r="U4573" s="2049"/>
      <c r="V4573" s="2049"/>
      <c r="W4573" s="2049"/>
      <c r="X4573" s="2049"/>
      <c r="Y4573" s="2051"/>
      <c r="Z4573" s="2052" t="s">
        <v>1843</v>
      </c>
      <c r="AA4573" s="2053"/>
      <c r="AB4573" s="2058" t="s">
        <v>1844</v>
      </c>
      <c r="AC4573" s="2059"/>
      <c r="AD4573" s="2060"/>
      <c r="AE4573" s="2064" t="s">
        <v>1845</v>
      </c>
      <c r="AF4573" s="2067" t="s">
        <v>1846</v>
      </c>
    </row>
    <row r="4574" spans="1:32" ht="15" customHeight="1" x14ac:dyDescent="0.2">
      <c r="A4574" s="2070" t="str">
        <f>+'01'!A190</f>
        <v>F-08-05</v>
      </c>
      <c r="B4574" s="2071"/>
      <c r="C4574" s="2072"/>
      <c r="D4574" s="2076" t="str">
        <f>VLOOKUP(A4574,'01'!$A$12:$N$299,3,FALSE)</f>
        <v>SUMINISTRO E INSTALACIÓN DE ANCLAJE PARA COLUMNAS METÁLICAS, INCLUYE:  PLATINA DE 3/8" DE 0.20X0.20 METROS DOBLES, PERNOS EN VARILLA ROSCADA DE 1/2" DE 0.40 METROS, CON TUERCA Y ARANDELA DE SEGURIDAD</v>
      </c>
      <c r="E4574" s="2077"/>
      <c r="F4574" s="2077"/>
      <c r="G4574" s="2077"/>
      <c r="H4574" s="2077"/>
      <c r="I4574" s="2077"/>
      <c r="J4574" s="2077"/>
      <c r="K4574" s="2077"/>
      <c r="L4574" s="2077"/>
      <c r="M4574" s="2077"/>
      <c r="N4574" s="2077"/>
      <c r="O4574" s="2077"/>
      <c r="P4574" s="2077"/>
      <c r="Q4574" s="2077"/>
      <c r="R4574" s="2077"/>
      <c r="S4574" s="2078"/>
      <c r="T4574" s="2082" t="s">
        <v>124</v>
      </c>
      <c r="U4574" s="2083"/>
      <c r="V4574" s="2083"/>
      <c r="W4574" s="2083"/>
      <c r="X4574" s="2052" t="str">
        <f>VLOOKUP(A4574,'01'!$A$12:$N$299,9,FALSE)</f>
        <v>UND</v>
      </c>
      <c r="Y4574" s="2053"/>
      <c r="Z4574" s="2054"/>
      <c r="AA4574" s="2055"/>
      <c r="AB4574" s="2061"/>
      <c r="AC4574" s="2062"/>
      <c r="AD4574" s="2063"/>
      <c r="AE4574" s="2065"/>
      <c r="AF4574" s="2068"/>
    </row>
    <row r="4575" spans="1:32" ht="15" customHeight="1" x14ac:dyDescent="0.25">
      <c r="A4575" s="2073"/>
      <c r="B4575" s="2074"/>
      <c r="C4575" s="2075"/>
      <c r="D4575" s="2079"/>
      <c r="E4575" s="2080"/>
      <c r="F4575" s="2080"/>
      <c r="G4575" s="2080"/>
      <c r="H4575" s="2080"/>
      <c r="I4575" s="2080"/>
      <c r="J4575" s="2080"/>
      <c r="K4575" s="2080"/>
      <c r="L4575" s="2080"/>
      <c r="M4575" s="2080"/>
      <c r="N4575" s="2080"/>
      <c r="O4575" s="2080"/>
      <c r="P4575" s="2080"/>
      <c r="Q4575" s="2080"/>
      <c r="R4575" s="2080"/>
      <c r="S4575" s="2081"/>
      <c r="T4575" s="2084"/>
      <c r="U4575" s="2085"/>
      <c r="V4575" s="2085"/>
      <c r="W4575" s="2085"/>
      <c r="X4575" s="2056"/>
      <c r="Y4575" s="2057"/>
      <c r="Z4575" s="2056"/>
      <c r="AA4575" s="2057"/>
      <c r="AB4575" s="1049" t="s">
        <v>1847</v>
      </c>
      <c r="AC4575" s="1049" t="s">
        <v>1848</v>
      </c>
      <c r="AD4575" s="1049" t="s">
        <v>1861</v>
      </c>
      <c r="AE4575" s="2066"/>
      <c r="AF4575" s="2069"/>
    </row>
    <row r="4576" spans="1:32" ht="15.6" customHeight="1" x14ac:dyDescent="0.25">
      <c r="A4576" s="2017"/>
      <c r="B4576" s="2018"/>
      <c r="C4576" s="2018"/>
      <c r="D4576" s="2018"/>
      <c r="E4576" s="2018"/>
      <c r="F4576" s="2018"/>
      <c r="G4576" s="2018"/>
      <c r="H4576" s="2018"/>
      <c r="I4576" s="2018"/>
      <c r="J4576" s="2018"/>
      <c r="K4576" s="2018"/>
      <c r="L4576" s="2018"/>
      <c r="M4576" s="2018"/>
      <c r="N4576" s="2018"/>
      <c r="O4576" s="2018"/>
      <c r="P4576" s="2018"/>
      <c r="Q4576" s="2018"/>
      <c r="R4576" s="2018"/>
      <c r="S4576" s="2018"/>
      <c r="T4576" s="2018"/>
      <c r="U4576" s="2018"/>
      <c r="V4576" s="2018"/>
      <c r="W4576" s="2018"/>
      <c r="X4576" s="2018"/>
      <c r="Y4576" s="2018"/>
      <c r="Z4576" s="2021" t="s">
        <v>2503</v>
      </c>
      <c r="AA4576" s="2021"/>
      <c r="AB4576" s="1050"/>
      <c r="AC4576" s="1050"/>
      <c r="AD4576" s="1050"/>
      <c r="AE4576" s="1050">
        <v>10</v>
      </c>
      <c r="AF4576" s="1052">
        <f>+AE4576</f>
        <v>10</v>
      </c>
    </row>
    <row r="4577" spans="1:32" ht="15.6" customHeight="1" x14ac:dyDescent="0.25">
      <c r="A4577" s="2017"/>
      <c r="B4577" s="2018"/>
      <c r="C4577" s="2018"/>
      <c r="D4577" s="2018"/>
      <c r="E4577" s="2018"/>
      <c r="F4577" s="2018"/>
      <c r="G4577" s="2018"/>
      <c r="H4577" s="2018"/>
      <c r="I4577" s="2018"/>
      <c r="J4577" s="2018"/>
      <c r="K4577" s="2018"/>
      <c r="L4577" s="2018"/>
      <c r="M4577" s="2018"/>
      <c r="N4577" s="2018"/>
      <c r="O4577" s="2018"/>
      <c r="P4577" s="2018"/>
      <c r="Q4577" s="2018"/>
      <c r="R4577" s="2018"/>
      <c r="S4577" s="2018"/>
      <c r="T4577" s="2018"/>
      <c r="U4577" s="2018"/>
      <c r="V4577" s="2018"/>
      <c r="W4577" s="2018"/>
      <c r="X4577" s="2018"/>
      <c r="Y4577" s="2018"/>
      <c r="Z4577" s="2021"/>
      <c r="AA4577" s="2021"/>
      <c r="AB4577" s="1050"/>
      <c r="AC4577" s="1050"/>
      <c r="AD4577" s="1050"/>
      <c r="AE4577" s="1050"/>
      <c r="AF4577" s="1052"/>
    </row>
    <row r="4578" spans="1:32" ht="15.75" x14ac:dyDescent="0.25">
      <c r="A4578" s="2017"/>
      <c r="B4578" s="2018"/>
      <c r="C4578" s="2018"/>
      <c r="D4578" s="2018"/>
      <c r="E4578" s="2018"/>
      <c r="F4578" s="2018"/>
      <c r="G4578" s="2018"/>
      <c r="H4578" s="2018"/>
      <c r="I4578" s="2018"/>
      <c r="J4578" s="2018"/>
      <c r="K4578" s="2018"/>
      <c r="L4578" s="2018"/>
      <c r="M4578" s="2018"/>
      <c r="N4578" s="2018"/>
      <c r="O4578" s="2018"/>
      <c r="P4578" s="2018"/>
      <c r="Q4578" s="2018"/>
      <c r="R4578" s="2018"/>
      <c r="S4578" s="2018"/>
      <c r="T4578" s="2018"/>
      <c r="U4578" s="2018"/>
      <c r="V4578" s="2018"/>
      <c r="W4578" s="2018"/>
      <c r="X4578" s="2018"/>
      <c r="Y4578" s="2018"/>
      <c r="Z4578" s="2021"/>
      <c r="AA4578" s="2021"/>
      <c r="AB4578" s="1050"/>
      <c r="AC4578" s="1050"/>
      <c r="AD4578" s="1050"/>
      <c r="AE4578" s="1050"/>
      <c r="AF4578" s="1052"/>
    </row>
    <row r="4579" spans="1:32" ht="15.75" x14ac:dyDescent="0.25">
      <c r="A4579" s="2017"/>
      <c r="B4579" s="2018"/>
      <c r="C4579" s="2018"/>
      <c r="D4579" s="2018"/>
      <c r="E4579" s="2018"/>
      <c r="F4579" s="2018"/>
      <c r="G4579" s="2018"/>
      <c r="H4579" s="2018"/>
      <c r="I4579" s="2018"/>
      <c r="J4579" s="2018"/>
      <c r="K4579" s="2018"/>
      <c r="L4579" s="2018"/>
      <c r="M4579" s="2018"/>
      <c r="N4579" s="2018"/>
      <c r="O4579" s="2018"/>
      <c r="P4579" s="2018"/>
      <c r="Q4579" s="2018"/>
      <c r="R4579" s="2018"/>
      <c r="S4579" s="2018"/>
      <c r="T4579" s="2018"/>
      <c r="U4579" s="2018"/>
      <c r="V4579" s="2018"/>
      <c r="W4579" s="2018"/>
      <c r="X4579" s="2018"/>
      <c r="Y4579" s="2018"/>
      <c r="Z4579" s="2021"/>
      <c r="AA4579" s="2021"/>
      <c r="AB4579" s="1050"/>
      <c r="AC4579" s="1050"/>
      <c r="AD4579" s="1050"/>
      <c r="AE4579" s="1050"/>
      <c r="AF4579" s="1052"/>
    </row>
    <row r="4580" spans="1:32" ht="15.6" customHeight="1" x14ac:dyDescent="0.25">
      <c r="A4580" s="2017"/>
      <c r="B4580" s="2018"/>
      <c r="C4580" s="2018"/>
      <c r="D4580" s="2018"/>
      <c r="E4580" s="2018"/>
      <c r="F4580" s="2018"/>
      <c r="G4580" s="2018"/>
      <c r="H4580" s="2018"/>
      <c r="I4580" s="2018"/>
      <c r="J4580" s="2018"/>
      <c r="K4580" s="2018"/>
      <c r="L4580" s="2018"/>
      <c r="M4580" s="2018"/>
      <c r="N4580" s="2018"/>
      <c r="O4580" s="2018"/>
      <c r="P4580" s="2018"/>
      <c r="Q4580" s="2018"/>
      <c r="R4580" s="2018"/>
      <c r="S4580" s="2018"/>
      <c r="T4580" s="2018"/>
      <c r="U4580" s="2018"/>
      <c r="V4580" s="2018"/>
      <c r="W4580" s="2018"/>
      <c r="X4580" s="2018"/>
      <c r="Y4580" s="2018"/>
      <c r="Z4580" s="2021"/>
      <c r="AA4580" s="2021"/>
      <c r="AB4580" s="1050"/>
      <c r="AC4580" s="1050"/>
      <c r="AD4580" s="1050"/>
      <c r="AE4580" s="1050"/>
      <c r="AF4580" s="1052"/>
    </row>
    <row r="4581" spans="1:32" ht="15.75" x14ac:dyDescent="0.25">
      <c r="A4581" s="2017"/>
      <c r="B4581" s="2018"/>
      <c r="C4581" s="2018"/>
      <c r="D4581" s="2018"/>
      <c r="E4581" s="2018"/>
      <c r="F4581" s="2018"/>
      <c r="G4581" s="2018"/>
      <c r="H4581" s="2018"/>
      <c r="I4581" s="2018"/>
      <c r="J4581" s="2018"/>
      <c r="K4581" s="2018"/>
      <c r="L4581" s="2018"/>
      <c r="M4581" s="2018"/>
      <c r="N4581" s="2018"/>
      <c r="O4581" s="2018"/>
      <c r="P4581" s="2018"/>
      <c r="Q4581" s="2018"/>
      <c r="R4581" s="2018"/>
      <c r="S4581" s="2018"/>
      <c r="T4581" s="2018"/>
      <c r="U4581" s="2018"/>
      <c r="V4581" s="2018"/>
      <c r="W4581" s="2018"/>
      <c r="X4581" s="2018"/>
      <c r="Y4581" s="2018"/>
      <c r="Z4581" s="2021"/>
      <c r="AA4581" s="2021"/>
      <c r="AB4581" s="1050"/>
      <c r="AC4581" s="1050"/>
      <c r="AD4581" s="1050"/>
      <c r="AE4581" s="1050"/>
      <c r="AF4581" s="1052"/>
    </row>
    <row r="4582" spans="1:32" ht="15.75" x14ac:dyDescent="0.25">
      <c r="A4582" s="2017"/>
      <c r="B4582" s="2018"/>
      <c r="C4582" s="2018"/>
      <c r="D4582" s="2018"/>
      <c r="E4582" s="2018"/>
      <c r="F4582" s="2018"/>
      <c r="G4582" s="2018"/>
      <c r="H4582" s="2018"/>
      <c r="I4582" s="2018"/>
      <c r="J4582" s="2018"/>
      <c r="K4582" s="2018"/>
      <c r="L4582" s="2018"/>
      <c r="M4582" s="2018"/>
      <c r="N4582" s="2018"/>
      <c r="O4582" s="2018"/>
      <c r="P4582" s="2018"/>
      <c r="Q4582" s="2018"/>
      <c r="R4582" s="2018"/>
      <c r="S4582" s="2018"/>
      <c r="T4582" s="2018"/>
      <c r="U4582" s="2018"/>
      <c r="V4582" s="2018"/>
      <c r="W4582" s="2018"/>
      <c r="X4582" s="2018"/>
      <c r="Y4582" s="2018"/>
      <c r="Z4582" s="2021"/>
      <c r="AA4582" s="2021"/>
      <c r="AB4582" s="1050"/>
      <c r="AC4582" s="1050"/>
      <c r="AD4582" s="1050"/>
      <c r="AE4582" s="1050"/>
      <c r="AF4582" s="1052"/>
    </row>
    <row r="4583" spans="1:32" ht="15.75" x14ac:dyDescent="0.25">
      <c r="A4583" s="2017"/>
      <c r="B4583" s="2018"/>
      <c r="C4583" s="2018"/>
      <c r="D4583" s="2018"/>
      <c r="E4583" s="2018"/>
      <c r="F4583" s="2018"/>
      <c r="G4583" s="2018"/>
      <c r="H4583" s="2018"/>
      <c r="I4583" s="2018"/>
      <c r="J4583" s="2018"/>
      <c r="K4583" s="2018"/>
      <c r="L4583" s="2018"/>
      <c r="M4583" s="2018"/>
      <c r="N4583" s="2018"/>
      <c r="O4583" s="2018"/>
      <c r="P4583" s="2018"/>
      <c r="Q4583" s="2018"/>
      <c r="R4583" s="2018"/>
      <c r="S4583" s="2018"/>
      <c r="T4583" s="2018"/>
      <c r="U4583" s="2018"/>
      <c r="V4583" s="2018"/>
      <c r="W4583" s="2018"/>
      <c r="X4583" s="2018"/>
      <c r="Y4583" s="2018"/>
      <c r="Z4583" s="2021"/>
      <c r="AA4583" s="2021"/>
      <c r="AB4583" s="1050"/>
      <c r="AC4583" s="1050"/>
      <c r="AD4583" s="1050"/>
      <c r="AE4583" s="1050"/>
      <c r="AF4583" s="1052"/>
    </row>
    <row r="4584" spans="1:32" ht="15.75" x14ac:dyDescent="0.25">
      <c r="A4584" s="2017"/>
      <c r="B4584" s="2018"/>
      <c r="C4584" s="2018"/>
      <c r="D4584" s="2018"/>
      <c r="E4584" s="2018"/>
      <c r="F4584" s="2018"/>
      <c r="G4584" s="2018"/>
      <c r="H4584" s="2018"/>
      <c r="I4584" s="2018"/>
      <c r="J4584" s="2018"/>
      <c r="K4584" s="2018"/>
      <c r="L4584" s="2018"/>
      <c r="M4584" s="2018"/>
      <c r="N4584" s="2018"/>
      <c r="O4584" s="2018"/>
      <c r="P4584" s="2018"/>
      <c r="Q4584" s="2018"/>
      <c r="R4584" s="2018"/>
      <c r="S4584" s="2018"/>
      <c r="T4584" s="2018"/>
      <c r="U4584" s="2018"/>
      <c r="V4584" s="2018"/>
      <c r="W4584" s="2018"/>
      <c r="X4584" s="2018"/>
      <c r="Y4584" s="2018"/>
      <c r="Z4584" s="2021"/>
      <c r="AA4584" s="2021"/>
      <c r="AB4584" s="1050"/>
      <c r="AC4584" s="1050"/>
      <c r="AD4584" s="1050"/>
      <c r="AE4584" s="1050"/>
      <c r="AF4584" s="1052"/>
    </row>
    <row r="4585" spans="1:32" ht="15.75" x14ac:dyDescent="0.25">
      <c r="A4585" s="2017"/>
      <c r="B4585" s="2018"/>
      <c r="C4585" s="2018"/>
      <c r="D4585" s="2018"/>
      <c r="E4585" s="2018"/>
      <c r="F4585" s="2018"/>
      <c r="G4585" s="2018"/>
      <c r="H4585" s="2018"/>
      <c r="I4585" s="2018"/>
      <c r="J4585" s="2018"/>
      <c r="K4585" s="2018"/>
      <c r="L4585" s="2018"/>
      <c r="M4585" s="2018"/>
      <c r="N4585" s="2018"/>
      <c r="O4585" s="2018"/>
      <c r="P4585" s="2018"/>
      <c r="Q4585" s="2018"/>
      <c r="R4585" s="2018"/>
      <c r="S4585" s="2018"/>
      <c r="T4585" s="2018"/>
      <c r="U4585" s="2018"/>
      <c r="V4585" s="2018"/>
      <c r="W4585" s="2018"/>
      <c r="X4585" s="2018"/>
      <c r="Y4585" s="2018"/>
      <c r="Z4585" s="2021"/>
      <c r="AA4585" s="2021"/>
      <c r="AB4585" s="1050"/>
      <c r="AC4585" s="1050"/>
      <c r="AD4585" s="1050"/>
      <c r="AE4585" s="1050"/>
      <c r="AF4585" s="1052"/>
    </row>
    <row r="4586" spans="1:32" ht="15.75" x14ac:dyDescent="0.25">
      <c r="A4586" s="2017"/>
      <c r="B4586" s="2018"/>
      <c r="C4586" s="2018"/>
      <c r="D4586" s="2018"/>
      <c r="E4586" s="2018"/>
      <c r="F4586" s="2018"/>
      <c r="G4586" s="2018"/>
      <c r="H4586" s="2018"/>
      <c r="I4586" s="2018"/>
      <c r="J4586" s="2018"/>
      <c r="K4586" s="2018"/>
      <c r="L4586" s="2018"/>
      <c r="M4586" s="2018"/>
      <c r="N4586" s="2018"/>
      <c r="O4586" s="2018"/>
      <c r="P4586" s="2018"/>
      <c r="Q4586" s="2018"/>
      <c r="R4586" s="2018"/>
      <c r="S4586" s="2018"/>
      <c r="T4586" s="2018"/>
      <c r="U4586" s="2018"/>
      <c r="V4586" s="2018"/>
      <c r="W4586" s="2018"/>
      <c r="X4586" s="2018"/>
      <c r="Y4586" s="2018"/>
      <c r="Z4586" s="2021"/>
      <c r="AA4586" s="2021"/>
      <c r="AB4586" s="1050"/>
      <c r="AC4586" s="1050"/>
      <c r="AD4586" s="1050"/>
      <c r="AE4586" s="1050"/>
      <c r="AF4586" s="1052"/>
    </row>
    <row r="4587" spans="1:32" ht="15.75" x14ac:dyDescent="0.25">
      <c r="A4587" s="2017"/>
      <c r="B4587" s="2018"/>
      <c r="C4587" s="2018"/>
      <c r="D4587" s="2018"/>
      <c r="E4587" s="2018"/>
      <c r="F4587" s="2018"/>
      <c r="G4587" s="2018"/>
      <c r="H4587" s="2018"/>
      <c r="I4587" s="2018"/>
      <c r="J4587" s="2018"/>
      <c r="K4587" s="2018"/>
      <c r="L4587" s="2018"/>
      <c r="M4587" s="2018"/>
      <c r="N4587" s="2018"/>
      <c r="O4587" s="2018"/>
      <c r="P4587" s="2018"/>
      <c r="Q4587" s="2018"/>
      <c r="R4587" s="2018"/>
      <c r="S4587" s="2018"/>
      <c r="T4587" s="2018"/>
      <c r="U4587" s="2018"/>
      <c r="V4587" s="2018"/>
      <c r="W4587" s="2018"/>
      <c r="X4587" s="2018"/>
      <c r="Y4587" s="2018"/>
      <c r="Z4587" s="2021"/>
      <c r="AA4587" s="2021"/>
      <c r="AB4587" s="1050"/>
      <c r="AC4587" s="1050"/>
      <c r="AD4587" s="1050"/>
      <c r="AE4587" s="1050"/>
      <c r="AF4587" s="1052"/>
    </row>
    <row r="4588" spans="1:32" ht="15.75" x14ac:dyDescent="0.25">
      <c r="A4588" s="2017"/>
      <c r="B4588" s="2018"/>
      <c r="C4588" s="2018"/>
      <c r="D4588" s="2018"/>
      <c r="E4588" s="2018"/>
      <c r="F4588" s="2018"/>
      <c r="G4588" s="2018"/>
      <c r="H4588" s="2018"/>
      <c r="I4588" s="2018"/>
      <c r="J4588" s="2018"/>
      <c r="K4588" s="2018"/>
      <c r="L4588" s="2018"/>
      <c r="M4588" s="2018"/>
      <c r="N4588" s="2018"/>
      <c r="O4588" s="2018"/>
      <c r="P4588" s="2018"/>
      <c r="Q4588" s="2018"/>
      <c r="R4588" s="2018"/>
      <c r="S4588" s="2018"/>
      <c r="T4588" s="2018"/>
      <c r="U4588" s="2018"/>
      <c r="V4588" s="2018"/>
      <c r="W4588" s="2018"/>
      <c r="X4588" s="2018"/>
      <c r="Y4588" s="2018"/>
      <c r="Z4588" s="2021"/>
      <c r="AA4588" s="2021"/>
      <c r="AB4588" s="1050"/>
      <c r="AC4588" s="1050"/>
      <c r="AD4588" s="1050"/>
      <c r="AE4588" s="1050"/>
      <c r="AF4588" s="1052"/>
    </row>
    <row r="4589" spans="1:32" ht="15.75" x14ac:dyDescent="0.25">
      <c r="A4589" s="2017"/>
      <c r="B4589" s="2018"/>
      <c r="C4589" s="2018"/>
      <c r="D4589" s="2018"/>
      <c r="E4589" s="2018"/>
      <c r="F4589" s="2018"/>
      <c r="G4589" s="2018"/>
      <c r="H4589" s="2018"/>
      <c r="I4589" s="2018"/>
      <c r="J4589" s="2018"/>
      <c r="K4589" s="2018"/>
      <c r="L4589" s="2018"/>
      <c r="M4589" s="2018"/>
      <c r="N4589" s="2018"/>
      <c r="O4589" s="2018"/>
      <c r="P4589" s="2018"/>
      <c r="Q4589" s="2018"/>
      <c r="R4589" s="2018"/>
      <c r="S4589" s="2018"/>
      <c r="T4589" s="2018"/>
      <c r="U4589" s="2018"/>
      <c r="V4589" s="2018"/>
      <c r="W4589" s="2018"/>
      <c r="X4589" s="2018"/>
      <c r="Y4589" s="2018"/>
      <c r="Z4589" s="2021"/>
      <c r="AA4589" s="2021"/>
      <c r="AB4589" s="1050"/>
      <c r="AC4589" s="1050"/>
      <c r="AD4589" s="1050"/>
      <c r="AE4589" s="1050"/>
      <c r="AF4589" s="1052"/>
    </row>
    <row r="4590" spans="1:32" ht="15.75" x14ac:dyDescent="0.25">
      <c r="A4590" s="2017"/>
      <c r="B4590" s="2018"/>
      <c r="C4590" s="2018"/>
      <c r="D4590" s="2018"/>
      <c r="E4590" s="2018"/>
      <c r="F4590" s="2018"/>
      <c r="G4590" s="2018"/>
      <c r="H4590" s="2018"/>
      <c r="I4590" s="2018"/>
      <c r="J4590" s="2018"/>
      <c r="K4590" s="2018"/>
      <c r="L4590" s="2018"/>
      <c r="M4590" s="2018"/>
      <c r="N4590" s="2018"/>
      <c r="O4590" s="2018"/>
      <c r="P4590" s="2018"/>
      <c r="Q4590" s="2018"/>
      <c r="R4590" s="2018"/>
      <c r="S4590" s="2018"/>
      <c r="T4590" s="2018"/>
      <c r="U4590" s="2018"/>
      <c r="V4590" s="2018"/>
      <c r="W4590" s="2018"/>
      <c r="X4590" s="2018"/>
      <c r="Y4590" s="2018"/>
      <c r="Z4590" s="2022"/>
      <c r="AA4590" s="2022"/>
      <c r="AB4590" s="1050"/>
      <c r="AC4590" s="1050"/>
      <c r="AD4590" s="1050"/>
      <c r="AE4590" s="1050"/>
      <c r="AF4590" s="1052"/>
    </row>
    <row r="4591" spans="1:32" ht="15.75" x14ac:dyDescent="0.25">
      <c r="A4591" s="2017"/>
      <c r="B4591" s="2018"/>
      <c r="C4591" s="2018"/>
      <c r="D4591" s="2018"/>
      <c r="E4591" s="2018"/>
      <c r="F4591" s="2018"/>
      <c r="G4591" s="2018"/>
      <c r="H4591" s="2018"/>
      <c r="I4591" s="2018"/>
      <c r="J4591" s="2018"/>
      <c r="K4591" s="2018"/>
      <c r="L4591" s="2018"/>
      <c r="M4591" s="2018"/>
      <c r="N4591" s="2018"/>
      <c r="O4591" s="2018"/>
      <c r="P4591" s="2018"/>
      <c r="Q4591" s="2018"/>
      <c r="R4591" s="2018"/>
      <c r="S4591" s="2018"/>
      <c r="T4591" s="2018"/>
      <c r="U4591" s="2018"/>
      <c r="V4591" s="2018"/>
      <c r="W4591" s="2018"/>
      <c r="X4591" s="2018"/>
      <c r="Y4591" s="2018"/>
      <c r="Z4591" s="2022"/>
      <c r="AA4591" s="2022"/>
      <c r="AB4591" s="1050"/>
      <c r="AC4591" s="1050"/>
      <c r="AD4591" s="1050"/>
      <c r="AE4591" s="1050"/>
      <c r="AF4591" s="1052"/>
    </row>
    <row r="4592" spans="1:32" ht="15.75" x14ac:dyDescent="0.25">
      <c r="A4592" s="2017"/>
      <c r="B4592" s="2018"/>
      <c r="C4592" s="2018"/>
      <c r="D4592" s="2018"/>
      <c r="E4592" s="2018"/>
      <c r="F4592" s="2018"/>
      <c r="G4592" s="2018"/>
      <c r="H4592" s="2018"/>
      <c r="I4592" s="2018"/>
      <c r="J4592" s="2018"/>
      <c r="K4592" s="2018"/>
      <c r="L4592" s="2018"/>
      <c r="M4592" s="2018"/>
      <c r="N4592" s="2018"/>
      <c r="O4592" s="2018"/>
      <c r="P4592" s="2018"/>
      <c r="Q4592" s="2018"/>
      <c r="R4592" s="2018"/>
      <c r="S4592" s="2018"/>
      <c r="T4592" s="2018"/>
      <c r="U4592" s="2018"/>
      <c r="V4592" s="2018"/>
      <c r="W4592" s="2018"/>
      <c r="X4592" s="2018"/>
      <c r="Y4592" s="2018"/>
      <c r="Z4592" s="2022"/>
      <c r="AA4592" s="2022"/>
      <c r="AB4592" s="1050"/>
      <c r="AC4592" s="1050"/>
      <c r="AD4592" s="1050"/>
      <c r="AE4592" s="1050"/>
      <c r="AF4592" s="1052"/>
    </row>
    <row r="4593" spans="1:32" ht="15.75" x14ac:dyDescent="0.25">
      <c r="A4593" s="2017"/>
      <c r="B4593" s="2018"/>
      <c r="C4593" s="2018"/>
      <c r="D4593" s="2018"/>
      <c r="E4593" s="2018"/>
      <c r="F4593" s="2018"/>
      <c r="G4593" s="2018"/>
      <c r="H4593" s="2018"/>
      <c r="I4593" s="2018"/>
      <c r="J4593" s="2018"/>
      <c r="K4593" s="2018"/>
      <c r="L4593" s="2018"/>
      <c r="M4593" s="2018"/>
      <c r="N4593" s="2018"/>
      <c r="O4593" s="2018"/>
      <c r="P4593" s="2018"/>
      <c r="Q4593" s="2018"/>
      <c r="R4593" s="2018"/>
      <c r="S4593" s="2018"/>
      <c r="T4593" s="2018"/>
      <c r="U4593" s="2018"/>
      <c r="V4593" s="2018"/>
      <c r="W4593" s="2018"/>
      <c r="X4593" s="2018"/>
      <c r="Y4593" s="2018"/>
      <c r="Z4593" s="2023"/>
      <c r="AA4593" s="2023"/>
      <c r="AB4593" s="1050"/>
      <c r="AC4593" s="1050"/>
      <c r="AD4593" s="1050"/>
      <c r="AE4593" s="1050"/>
      <c r="AF4593" s="1052"/>
    </row>
    <row r="4594" spans="1:32" ht="15.75" x14ac:dyDescent="0.25">
      <c r="A4594" s="2017"/>
      <c r="B4594" s="2018"/>
      <c r="C4594" s="2018"/>
      <c r="D4594" s="2018"/>
      <c r="E4594" s="2018"/>
      <c r="F4594" s="2018"/>
      <c r="G4594" s="2018"/>
      <c r="H4594" s="2018"/>
      <c r="I4594" s="2018"/>
      <c r="J4594" s="2018"/>
      <c r="K4594" s="2018"/>
      <c r="L4594" s="2018"/>
      <c r="M4594" s="2018"/>
      <c r="N4594" s="2018"/>
      <c r="O4594" s="2018"/>
      <c r="P4594" s="2018"/>
      <c r="Q4594" s="2018"/>
      <c r="R4594" s="2018"/>
      <c r="S4594" s="2018"/>
      <c r="T4594" s="2018"/>
      <c r="U4594" s="2018"/>
      <c r="V4594" s="2018"/>
      <c r="W4594" s="2018"/>
      <c r="X4594" s="2018"/>
      <c r="Y4594" s="2018"/>
      <c r="Z4594" s="2023"/>
      <c r="AA4594" s="2023"/>
      <c r="AB4594" s="1050"/>
      <c r="AC4594" s="1050"/>
      <c r="AD4594" s="1050"/>
      <c r="AE4594" s="1050"/>
      <c r="AF4594" s="1052"/>
    </row>
    <row r="4595" spans="1:32" ht="15.75" x14ac:dyDescent="0.25">
      <c r="A4595" s="2017"/>
      <c r="B4595" s="2018"/>
      <c r="C4595" s="2018"/>
      <c r="D4595" s="2018"/>
      <c r="E4595" s="2018"/>
      <c r="F4595" s="2018"/>
      <c r="G4595" s="2018"/>
      <c r="H4595" s="2018"/>
      <c r="I4595" s="2018"/>
      <c r="J4595" s="2018"/>
      <c r="K4595" s="2018"/>
      <c r="L4595" s="2018"/>
      <c r="M4595" s="2018"/>
      <c r="N4595" s="2018"/>
      <c r="O4595" s="2018"/>
      <c r="P4595" s="2018"/>
      <c r="Q4595" s="2018"/>
      <c r="R4595" s="2018"/>
      <c r="S4595" s="2018"/>
      <c r="T4595" s="2018"/>
      <c r="U4595" s="2018"/>
      <c r="V4595" s="2018"/>
      <c r="W4595" s="2018"/>
      <c r="X4595" s="2018"/>
      <c r="Y4595" s="2018"/>
      <c r="Z4595" s="2023"/>
      <c r="AA4595" s="2023"/>
      <c r="AB4595" s="1050"/>
      <c r="AC4595" s="1050"/>
      <c r="AD4595" s="1050"/>
      <c r="AE4595" s="1050"/>
      <c r="AF4595" s="1052"/>
    </row>
    <row r="4596" spans="1:32" ht="15.75" x14ac:dyDescent="0.25">
      <c r="A4596" s="2017"/>
      <c r="B4596" s="2018"/>
      <c r="C4596" s="2018"/>
      <c r="D4596" s="2018"/>
      <c r="E4596" s="2018"/>
      <c r="F4596" s="2018"/>
      <c r="G4596" s="2018"/>
      <c r="H4596" s="2018"/>
      <c r="I4596" s="2018"/>
      <c r="J4596" s="2018"/>
      <c r="K4596" s="2018"/>
      <c r="L4596" s="2018"/>
      <c r="M4596" s="2018"/>
      <c r="N4596" s="2018"/>
      <c r="O4596" s="2018"/>
      <c r="P4596" s="2018"/>
      <c r="Q4596" s="2018"/>
      <c r="R4596" s="2018"/>
      <c r="S4596" s="2018"/>
      <c r="T4596" s="2018"/>
      <c r="U4596" s="2018"/>
      <c r="V4596" s="2018"/>
      <c r="W4596" s="2018"/>
      <c r="X4596" s="2018"/>
      <c r="Y4596" s="2018"/>
      <c r="Z4596" s="2023"/>
      <c r="AA4596" s="2023"/>
      <c r="AB4596" s="1050"/>
      <c r="AC4596" s="1050"/>
      <c r="AD4596" s="1050"/>
      <c r="AE4596" s="1050"/>
      <c r="AF4596" s="1052"/>
    </row>
    <row r="4597" spans="1:32" ht="15.75" x14ac:dyDescent="0.25">
      <c r="A4597" s="2017"/>
      <c r="B4597" s="2018"/>
      <c r="C4597" s="2018"/>
      <c r="D4597" s="2018"/>
      <c r="E4597" s="2018"/>
      <c r="F4597" s="2018"/>
      <c r="G4597" s="2018"/>
      <c r="H4597" s="2018"/>
      <c r="I4597" s="2018"/>
      <c r="J4597" s="2018"/>
      <c r="K4597" s="2018"/>
      <c r="L4597" s="2018"/>
      <c r="M4597" s="2018"/>
      <c r="N4597" s="2018"/>
      <c r="O4597" s="2018"/>
      <c r="P4597" s="2018"/>
      <c r="Q4597" s="2018"/>
      <c r="R4597" s="2018"/>
      <c r="S4597" s="2018"/>
      <c r="T4597" s="2018"/>
      <c r="U4597" s="2018"/>
      <c r="V4597" s="2018"/>
      <c r="W4597" s="2018"/>
      <c r="X4597" s="2018"/>
      <c r="Y4597" s="2018"/>
      <c r="Z4597" s="2023"/>
      <c r="AA4597" s="2023"/>
      <c r="AB4597" s="1050"/>
      <c r="AC4597" s="1050"/>
      <c r="AD4597" s="1050"/>
      <c r="AE4597" s="1050"/>
      <c r="AF4597" s="1052"/>
    </row>
    <row r="4598" spans="1:32" ht="15.75" x14ac:dyDescent="0.25">
      <c r="A4598" s="2017"/>
      <c r="B4598" s="2018"/>
      <c r="C4598" s="2018"/>
      <c r="D4598" s="2018"/>
      <c r="E4598" s="2018"/>
      <c r="F4598" s="2018"/>
      <c r="G4598" s="2018"/>
      <c r="H4598" s="2018"/>
      <c r="I4598" s="2018"/>
      <c r="J4598" s="2018"/>
      <c r="K4598" s="2018"/>
      <c r="L4598" s="2018"/>
      <c r="M4598" s="2018"/>
      <c r="N4598" s="2018"/>
      <c r="O4598" s="2018"/>
      <c r="P4598" s="2018"/>
      <c r="Q4598" s="2018"/>
      <c r="R4598" s="2018"/>
      <c r="S4598" s="2018"/>
      <c r="T4598" s="2018"/>
      <c r="U4598" s="2018"/>
      <c r="V4598" s="2018"/>
      <c r="W4598" s="2018"/>
      <c r="X4598" s="2018"/>
      <c r="Y4598" s="2018"/>
      <c r="Z4598" s="2023"/>
      <c r="AA4598" s="2023"/>
      <c r="AB4598" s="1050"/>
      <c r="AC4598" s="1050"/>
      <c r="AD4598" s="1050"/>
      <c r="AE4598" s="1050"/>
      <c r="AF4598" s="1052"/>
    </row>
    <row r="4599" spans="1:32" ht="16.5" thickBot="1" x14ac:dyDescent="0.3">
      <c r="A4599" s="2019"/>
      <c r="B4599" s="2020"/>
      <c r="C4599" s="2020"/>
      <c r="D4599" s="2020"/>
      <c r="E4599" s="2020"/>
      <c r="F4599" s="2020"/>
      <c r="G4599" s="2020"/>
      <c r="H4599" s="2020"/>
      <c r="I4599" s="2020"/>
      <c r="J4599" s="2020"/>
      <c r="K4599" s="2020"/>
      <c r="L4599" s="2020"/>
      <c r="M4599" s="2020"/>
      <c r="N4599" s="2020"/>
      <c r="O4599" s="2020"/>
      <c r="P4599" s="2020"/>
      <c r="Q4599" s="2020"/>
      <c r="R4599" s="2020"/>
      <c r="S4599" s="2020"/>
      <c r="T4599" s="2020"/>
      <c r="U4599" s="2020"/>
      <c r="V4599" s="2020"/>
      <c r="W4599" s="2020"/>
      <c r="X4599" s="2020"/>
      <c r="Y4599" s="2020"/>
      <c r="Z4599" s="2024"/>
      <c r="AA4599" s="2024"/>
      <c r="AB4599" s="1057"/>
      <c r="AC4599" s="1057"/>
      <c r="AD4599" s="1057"/>
      <c r="AE4599" s="1057"/>
      <c r="AF4599" s="1058"/>
    </row>
    <row r="4600" spans="1:32" ht="15.75" x14ac:dyDescent="0.25">
      <c r="A4600" s="2009" t="s">
        <v>1855</v>
      </c>
      <c r="B4600" s="2010"/>
      <c r="C4600" s="2010"/>
      <c r="D4600" s="2010"/>
      <c r="E4600" s="2010"/>
      <c r="F4600" s="2010"/>
      <c r="G4600" s="2010"/>
      <c r="H4600" s="2010"/>
      <c r="I4600" s="2010"/>
      <c r="J4600" s="2010"/>
      <c r="K4600" s="2010"/>
      <c r="L4600" s="2010"/>
      <c r="M4600" s="2010"/>
      <c r="N4600" s="2010"/>
      <c r="O4600" s="2010"/>
      <c r="P4600" s="2010"/>
      <c r="Q4600" s="2010"/>
      <c r="R4600" s="2010"/>
      <c r="S4600" s="2010"/>
      <c r="T4600" s="2010"/>
      <c r="U4600" s="2010"/>
      <c r="V4600" s="2010"/>
      <c r="W4600" s="2010"/>
      <c r="X4600" s="2010"/>
      <c r="Y4600" s="2010"/>
      <c r="Z4600" s="2013" t="s">
        <v>1850</v>
      </c>
      <c r="AA4600" s="2013"/>
      <c r="AB4600" s="2013"/>
      <c r="AC4600" s="2013"/>
      <c r="AD4600" s="2013"/>
      <c r="AE4600" s="2013"/>
      <c r="AF4600" s="1059">
        <f>SUM(AF4576:AF4599)</f>
        <v>10</v>
      </c>
    </row>
    <row r="4601" spans="1:32" ht="15.75" x14ac:dyDescent="0.25">
      <c r="A4601" s="2011"/>
      <c r="B4601" s="2012"/>
      <c r="C4601" s="2012"/>
      <c r="D4601" s="2012"/>
      <c r="E4601" s="2012"/>
      <c r="F4601" s="2012"/>
      <c r="G4601" s="2012"/>
      <c r="H4601" s="2012"/>
      <c r="I4601" s="2012"/>
      <c r="J4601" s="2012"/>
      <c r="K4601" s="2012"/>
      <c r="L4601" s="2012"/>
      <c r="M4601" s="2012"/>
      <c r="N4601" s="2012"/>
      <c r="O4601" s="2012"/>
      <c r="P4601" s="2012"/>
      <c r="Q4601" s="2012"/>
      <c r="R4601" s="2012"/>
      <c r="S4601" s="2012"/>
      <c r="T4601" s="2012"/>
      <c r="U4601" s="2012"/>
      <c r="V4601" s="2012"/>
      <c r="W4601" s="2012"/>
      <c r="X4601" s="2012"/>
      <c r="Y4601" s="2012"/>
      <c r="Z4601" s="2014" t="s">
        <v>1851</v>
      </c>
      <c r="AA4601" s="2014"/>
      <c r="AB4601" s="2014"/>
      <c r="AC4601" s="2014"/>
      <c r="AD4601" s="2014"/>
      <c r="AE4601" s="2014"/>
      <c r="AF4601" s="1060">
        <v>0</v>
      </c>
    </row>
    <row r="4602" spans="1:32" ht="15.75" x14ac:dyDescent="0.25">
      <c r="A4602" s="2011"/>
      <c r="B4602" s="2012"/>
      <c r="C4602" s="2012"/>
      <c r="D4602" s="2012"/>
      <c r="E4602" s="2012"/>
      <c r="F4602" s="2012"/>
      <c r="G4602" s="2012"/>
      <c r="H4602" s="2012"/>
      <c r="I4602" s="2012"/>
      <c r="J4602" s="2012"/>
      <c r="K4602" s="2012"/>
      <c r="L4602" s="2012"/>
      <c r="M4602" s="2012"/>
      <c r="N4602" s="2012"/>
      <c r="O4602" s="2012"/>
      <c r="P4602" s="2012"/>
      <c r="Q4602" s="2012"/>
      <c r="R4602" s="2012"/>
      <c r="S4602" s="2012"/>
      <c r="T4602" s="2012"/>
      <c r="U4602" s="2012"/>
      <c r="V4602" s="2012"/>
      <c r="W4602" s="2012"/>
      <c r="X4602" s="2012"/>
      <c r="Y4602" s="2012"/>
      <c r="Z4602" s="2015" t="s">
        <v>1833</v>
      </c>
      <c r="AA4602" s="2015"/>
      <c r="AB4602" s="2015"/>
      <c r="AC4602" s="2015"/>
      <c r="AD4602" s="2015"/>
      <c r="AE4602" s="2015"/>
      <c r="AF4602" s="1061">
        <f>SUM(AF4600:AF4601)</f>
        <v>10</v>
      </c>
    </row>
    <row r="4603" spans="1:32" x14ac:dyDescent="0.2">
      <c r="A4603" s="2012" t="s">
        <v>1859</v>
      </c>
      <c r="B4603" s="2012"/>
      <c r="C4603" s="2012"/>
      <c r="D4603" s="2012"/>
      <c r="E4603" s="2012"/>
      <c r="F4603" s="2012"/>
      <c r="G4603" s="2012"/>
      <c r="H4603" s="2012"/>
      <c r="I4603" s="2012"/>
      <c r="J4603" s="2012"/>
      <c r="K4603" s="2012"/>
      <c r="L4603" s="2012"/>
      <c r="M4603" s="2012"/>
      <c r="N4603" s="2012"/>
      <c r="O4603" s="2012"/>
      <c r="P4603" s="2012"/>
      <c r="Q4603" s="2012"/>
      <c r="R4603" s="2012"/>
      <c r="S4603" s="2012"/>
      <c r="T4603" s="2016" t="s">
        <v>1840</v>
      </c>
      <c r="U4603" s="2016"/>
      <c r="V4603" s="2016"/>
      <c r="W4603" s="2016"/>
      <c r="X4603" s="2016"/>
      <c r="Y4603" s="2016"/>
      <c r="Z4603" s="2016"/>
      <c r="AA4603" s="2016"/>
      <c r="AB4603" s="2012" t="s">
        <v>1852</v>
      </c>
      <c r="AC4603" s="2012"/>
      <c r="AD4603" s="2012"/>
      <c r="AE4603" s="2012"/>
      <c r="AF4603" s="2012"/>
    </row>
    <row r="4604" spans="1:32" x14ac:dyDescent="0.2">
      <c r="A4604" s="2012"/>
      <c r="B4604" s="2012"/>
      <c r="C4604" s="2012"/>
      <c r="D4604" s="2012"/>
      <c r="E4604" s="2012"/>
      <c r="F4604" s="2012"/>
      <c r="G4604" s="2012"/>
      <c r="H4604" s="2012"/>
      <c r="I4604" s="2012"/>
      <c r="J4604" s="2012"/>
      <c r="K4604" s="2012"/>
      <c r="L4604" s="2012"/>
      <c r="M4604" s="2012"/>
      <c r="N4604" s="2012"/>
      <c r="O4604" s="2012"/>
      <c r="P4604" s="2012"/>
      <c r="Q4604" s="2012"/>
      <c r="R4604" s="2012"/>
      <c r="S4604" s="2012"/>
      <c r="T4604" s="2016"/>
      <c r="U4604" s="2016"/>
      <c r="V4604" s="2016"/>
      <c r="W4604" s="2016"/>
      <c r="X4604" s="2016"/>
      <c r="Y4604" s="2016"/>
      <c r="Z4604" s="2016"/>
      <c r="AA4604" s="2016"/>
      <c r="AB4604" s="2012"/>
      <c r="AC4604" s="2012"/>
      <c r="AD4604" s="2012"/>
      <c r="AE4604" s="2012"/>
      <c r="AF4604" s="2012"/>
    </row>
    <row r="4605" spans="1:32" ht="13.5" thickBot="1" x14ac:dyDescent="0.25"/>
    <row r="4606" spans="1:32" ht="26.45" customHeight="1" x14ac:dyDescent="0.2">
      <c r="A4606" s="2025" t="s">
        <v>1854</v>
      </c>
      <c r="B4606" s="2026"/>
      <c r="C4606" s="2026"/>
      <c r="D4606" s="2026"/>
      <c r="E4606" s="2026"/>
      <c r="F4606" s="2026"/>
      <c r="G4606" s="2026"/>
      <c r="H4606" s="2026"/>
      <c r="I4606" s="2026"/>
      <c r="J4606" s="2026"/>
      <c r="K4606" s="2026"/>
      <c r="L4606" s="2026"/>
      <c r="M4606" s="2026"/>
      <c r="N4606" s="2026"/>
      <c r="O4606" s="2026"/>
      <c r="P4606" s="2026"/>
      <c r="Q4606" s="2026"/>
      <c r="R4606" s="2026"/>
      <c r="S4606" s="2026"/>
      <c r="T4606" s="2026"/>
      <c r="U4606" s="2026"/>
      <c r="V4606" s="2026"/>
      <c r="W4606" s="2026"/>
      <c r="X4606" s="2026"/>
      <c r="Y4606" s="2026"/>
      <c r="Z4606" s="2026"/>
      <c r="AA4606" s="2026"/>
      <c r="AB4606" s="2026"/>
      <c r="AC4606" s="2026"/>
      <c r="AD4606" s="2026"/>
      <c r="AE4606" s="1041" t="s">
        <v>1834</v>
      </c>
      <c r="AF4606" s="1042" t="s">
        <v>1835</v>
      </c>
    </row>
    <row r="4607" spans="1:32" ht="21" customHeight="1" thickBot="1" x14ac:dyDescent="0.25">
      <c r="A4607" s="2027"/>
      <c r="B4607" s="2028"/>
      <c r="C4607" s="2028"/>
      <c r="D4607" s="2028"/>
      <c r="E4607" s="2028"/>
      <c r="F4607" s="2028"/>
      <c r="G4607" s="2028"/>
      <c r="H4607" s="2028"/>
      <c r="I4607" s="2028"/>
      <c r="J4607" s="2028"/>
      <c r="K4607" s="2028"/>
      <c r="L4607" s="2028"/>
      <c r="M4607" s="2028"/>
      <c r="N4607" s="2028"/>
      <c r="O4607" s="2028"/>
      <c r="P4607" s="2028"/>
      <c r="Q4607" s="2028"/>
      <c r="R4607" s="2028"/>
      <c r="S4607" s="2028"/>
      <c r="T4607" s="2028"/>
      <c r="U4607" s="2028"/>
      <c r="V4607" s="2028"/>
      <c r="W4607" s="2028"/>
      <c r="X4607" s="2028"/>
      <c r="Y4607" s="2028"/>
      <c r="Z4607" s="2028"/>
      <c r="AA4607" s="2028"/>
      <c r="AB4607" s="2028"/>
      <c r="AC4607" s="2028"/>
      <c r="AD4607" s="2028"/>
      <c r="AE4607" s="1041" t="s">
        <v>1836</v>
      </c>
      <c r="AF4607" s="1044">
        <v>1</v>
      </c>
    </row>
    <row r="4608" spans="1:32" ht="15.75" x14ac:dyDescent="0.2">
      <c r="A4608" s="2029"/>
      <c r="B4608" s="2030"/>
      <c r="C4608" s="2030"/>
      <c r="D4608" s="2031"/>
      <c r="E4608" s="2025" t="str">
        <f>'01'!$A$12</f>
        <v>"CONSTRUCCION SISTEMA DE ACUEDUCTO FASE II DEL MUNICIPIO DE TESALIA DPTO DEL HUILA"</v>
      </c>
      <c r="F4608" s="2026"/>
      <c r="G4608" s="2026"/>
      <c r="H4608" s="2026"/>
      <c r="I4608" s="2026"/>
      <c r="J4608" s="2026"/>
      <c r="K4608" s="2026"/>
      <c r="L4608" s="2026"/>
      <c r="M4608" s="2026"/>
      <c r="N4608" s="2026"/>
      <c r="O4608" s="2026"/>
      <c r="P4608" s="2026"/>
      <c r="Q4608" s="2026"/>
      <c r="R4608" s="2026"/>
      <c r="S4608" s="2026"/>
      <c r="T4608" s="2026"/>
      <c r="U4608" s="2026"/>
      <c r="V4608" s="2026"/>
      <c r="W4608" s="2026"/>
      <c r="X4608" s="2026"/>
      <c r="Y4608" s="2026"/>
      <c r="Z4608" s="2026"/>
      <c r="AA4608" s="2026"/>
      <c r="AB4608" s="2026"/>
      <c r="AC4608" s="2026"/>
      <c r="AD4608" s="2035"/>
      <c r="AE4608" s="1041" t="s">
        <v>847</v>
      </c>
      <c r="AF4608" s="1045">
        <f>'01'!$M$13</f>
        <v>0</v>
      </c>
    </row>
    <row r="4609" spans="1:32" ht="16.5" thickBot="1" x14ac:dyDescent="0.25">
      <c r="A4609" s="2032"/>
      <c r="B4609" s="2033"/>
      <c r="C4609" s="2033"/>
      <c r="D4609" s="2034"/>
      <c r="E4609" s="2027"/>
      <c r="F4609" s="2028"/>
      <c r="G4609" s="2028"/>
      <c r="H4609" s="2028"/>
      <c r="I4609" s="2028"/>
      <c r="J4609" s="2028"/>
      <c r="K4609" s="2028"/>
      <c r="L4609" s="2028"/>
      <c r="M4609" s="2028"/>
      <c r="N4609" s="2028"/>
      <c r="O4609" s="2028"/>
      <c r="P4609" s="2028"/>
      <c r="Q4609" s="2028"/>
      <c r="R4609" s="2028"/>
      <c r="S4609" s="2028"/>
      <c r="T4609" s="2028"/>
      <c r="U4609" s="2028"/>
      <c r="V4609" s="2028"/>
      <c r="W4609" s="2028"/>
      <c r="X4609" s="2028"/>
      <c r="Y4609" s="2028"/>
      <c r="Z4609" s="2028"/>
      <c r="AA4609" s="2028"/>
      <c r="AB4609" s="2028"/>
      <c r="AC4609" s="2028"/>
      <c r="AD4609" s="2036"/>
      <c r="AE4609" s="1041" t="s">
        <v>1837</v>
      </c>
      <c r="AF4609" s="1042" t="s">
        <v>1838</v>
      </c>
    </row>
    <row r="4610" spans="1:32" ht="15.75" x14ac:dyDescent="0.25">
      <c r="A4610" s="2037" t="s">
        <v>1860</v>
      </c>
      <c r="B4610" s="2038"/>
      <c r="C4610" s="2038"/>
      <c r="D4610" s="2038"/>
      <c r="E4610" s="2038"/>
      <c r="F4610" s="2038"/>
      <c r="G4610" s="2038"/>
      <c r="H4610" s="2038"/>
      <c r="I4610" s="2038"/>
      <c r="J4610" s="2038"/>
      <c r="K4610" s="2038"/>
      <c r="L4610" s="2038"/>
      <c r="M4610" s="2038"/>
      <c r="N4610" s="2038"/>
      <c r="O4610" s="2038"/>
      <c r="P4610" s="2038"/>
      <c r="Q4610" s="2038"/>
      <c r="R4610" s="2038"/>
      <c r="S4610" s="2038"/>
      <c r="T4610" s="2038"/>
      <c r="U4610" s="2038"/>
      <c r="V4610" s="2038"/>
      <c r="W4610" s="2038"/>
      <c r="X4610" s="2038"/>
      <c r="Y4610" s="2038"/>
      <c r="Z4610" s="2038"/>
      <c r="AA4610" s="2038"/>
      <c r="AB4610" s="2038"/>
      <c r="AC4610" s="2038"/>
      <c r="AD4610" s="2038"/>
      <c r="AE4610" s="2039" t="s">
        <v>1839</v>
      </c>
      <c r="AF4610" s="2040"/>
    </row>
    <row r="4611" spans="1:32" ht="15.75" x14ac:dyDescent="0.25">
      <c r="A4611" s="2041" t="s">
        <v>1840</v>
      </c>
      <c r="B4611" s="2042"/>
      <c r="C4611" s="2042"/>
      <c r="D4611" s="2042"/>
      <c r="E4611" s="2042"/>
      <c r="F4611" s="2042"/>
      <c r="G4611" s="2042"/>
      <c r="H4611" s="2042"/>
      <c r="I4611" s="2042"/>
      <c r="J4611" s="2042"/>
      <c r="K4611" s="2042"/>
      <c r="L4611" s="2042"/>
      <c r="M4611" s="2042"/>
      <c r="N4611" s="2042"/>
      <c r="O4611" s="2042"/>
      <c r="P4611" s="2042"/>
      <c r="Q4611" s="2042"/>
      <c r="R4611" s="2042"/>
      <c r="S4611" s="2042"/>
      <c r="T4611" s="2042"/>
      <c r="U4611" s="2042"/>
      <c r="V4611" s="2042"/>
      <c r="W4611" s="2042"/>
      <c r="X4611" s="2042"/>
      <c r="Y4611" s="2042"/>
      <c r="Z4611" s="2042"/>
      <c r="AA4611" s="2042"/>
      <c r="AB4611" s="2042"/>
      <c r="AC4611" s="2042"/>
      <c r="AD4611" s="2043"/>
      <c r="AE4611" s="2014" t="s">
        <v>1841</v>
      </c>
      <c r="AF4611" s="2044"/>
    </row>
    <row r="4612" spans="1:32" ht="15.75" x14ac:dyDescent="0.25">
      <c r="A4612" s="2045" t="s">
        <v>1853</v>
      </c>
      <c r="B4612" s="2046"/>
      <c r="C4612" s="2046"/>
      <c r="D4612" s="2046"/>
      <c r="E4612" s="2046"/>
      <c r="F4612" s="2046"/>
      <c r="G4612" s="2046"/>
      <c r="H4612" s="2046"/>
      <c r="I4612" s="2046"/>
      <c r="J4612" s="2046"/>
      <c r="K4612" s="2046"/>
      <c r="L4612" s="2046"/>
      <c r="M4612" s="2046"/>
      <c r="N4612" s="2046"/>
      <c r="O4612" s="2046"/>
      <c r="P4612" s="2046"/>
      <c r="Q4612" s="2046"/>
      <c r="R4612" s="2046"/>
      <c r="S4612" s="2046"/>
      <c r="T4612" s="2046"/>
      <c r="U4612" s="2046"/>
      <c r="V4612" s="2046"/>
      <c r="W4612" s="2046"/>
      <c r="X4612" s="2046"/>
      <c r="Y4612" s="2046"/>
      <c r="Z4612" s="2046"/>
      <c r="AA4612" s="2046"/>
      <c r="AB4612" s="2046"/>
      <c r="AC4612" s="2046"/>
      <c r="AD4612" s="2046"/>
      <c r="AE4612" s="2047">
        <f>'01'!$M$13</f>
        <v>0</v>
      </c>
      <c r="AF4612" s="2044"/>
    </row>
    <row r="4613" spans="1:32" x14ac:dyDescent="0.2">
      <c r="A4613" s="1046"/>
      <c r="B4613" s="1047"/>
      <c r="C4613" s="1047"/>
      <c r="D4613" s="1047"/>
      <c r="E4613" s="1047"/>
      <c r="F4613" s="1047"/>
      <c r="G4613" s="1047"/>
      <c r="H4613" s="1047"/>
      <c r="I4613" s="1047"/>
      <c r="J4613" s="1047"/>
      <c r="K4613" s="1047"/>
      <c r="L4613" s="1047"/>
      <c r="M4613" s="1047"/>
      <c r="N4613" s="1047"/>
      <c r="O4613" s="1047"/>
      <c r="P4613" s="1047"/>
      <c r="Q4613" s="1047"/>
      <c r="R4613" s="1047"/>
      <c r="S4613" s="1047"/>
      <c r="T4613" s="1047"/>
      <c r="U4613" s="1047"/>
      <c r="V4613" s="1047"/>
      <c r="W4613" s="1047"/>
      <c r="X4613" s="1047"/>
      <c r="Y4613" s="1047"/>
      <c r="Z4613" s="1047"/>
      <c r="AA4613" s="1047"/>
      <c r="AB4613" s="1047"/>
      <c r="AC4613" s="1047"/>
      <c r="AD4613" s="1047"/>
      <c r="AE4613" s="1047"/>
      <c r="AF4613" s="1048"/>
    </row>
    <row r="4614" spans="1:32" ht="30" customHeight="1" x14ac:dyDescent="0.2">
      <c r="A4614" s="2048" t="s">
        <v>1842</v>
      </c>
      <c r="B4614" s="2049"/>
      <c r="C4614" s="2049"/>
      <c r="D4614" s="2049"/>
      <c r="E4614" s="2049"/>
      <c r="F4614" s="2050" t="str">
        <f>+'01'!$H$163</f>
        <v>F - LECHOS DE SECADO</v>
      </c>
      <c r="G4614" s="2049"/>
      <c r="H4614" s="2049"/>
      <c r="I4614" s="2049"/>
      <c r="J4614" s="2049"/>
      <c r="K4614" s="2049"/>
      <c r="L4614" s="2049"/>
      <c r="M4614" s="2049"/>
      <c r="N4614" s="2049"/>
      <c r="O4614" s="2049"/>
      <c r="P4614" s="2049"/>
      <c r="Q4614" s="2049"/>
      <c r="R4614" s="2049"/>
      <c r="S4614" s="2049"/>
      <c r="T4614" s="2049"/>
      <c r="U4614" s="2049"/>
      <c r="V4614" s="2049"/>
      <c r="W4614" s="2049"/>
      <c r="X4614" s="2049"/>
      <c r="Y4614" s="2051"/>
      <c r="Z4614" s="2052" t="s">
        <v>1843</v>
      </c>
      <c r="AA4614" s="2053"/>
      <c r="AB4614" s="2058" t="s">
        <v>1844</v>
      </c>
      <c r="AC4614" s="2059"/>
      <c r="AD4614" s="2060"/>
      <c r="AE4614" s="2064" t="s">
        <v>1845</v>
      </c>
      <c r="AF4614" s="2067" t="s">
        <v>1846</v>
      </c>
    </row>
    <row r="4615" spans="1:32" ht="15" customHeight="1" x14ac:dyDescent="0.2">
      <c r="A4615" s="2070" t="str">
        <f>+'01'!A191</f>
        <v>F-08-06</v>
      </c>
      <c r="B4615" s="2071"/>
      <c r="C4615" s="2072"/>
      <c r="D4615" s="2076" t="str">
        <f>VLOOKUP(A4615,'01'!$A$12:$N$299,3,FALSE)</f>
        <v>SUMINISTRO E INSTALACIÓN PASAMURO HD 4" BXB=0,75M Z=0.375 M.</v>
      </c>
      <c r="E4615" s="2077"/>
      <c r="F4615" s="2077"/>
      <c r="G4615" s="2077"/>
      <c r="H4615" s="2077"/>
      <c r="I4615" s="2077"/>
      <c r="J4615" s="2077"/>
      <c r="K4615" s="2077"/>
      <c r="L4615" s="2077"/>
      <c r="M4615" s="2077"/>
      <c r="N4615" s="2077"/>
      <c r="O4615" s="2077"/>
      <c r="P4615" s="2077"/>
      <c r="Q4615" s="2077"/>
      <c r="R4615" s="2077"/>
      <c r="S4615" s="2078"/>
      <c r="T4615" s="2082" t="s">
        <v>124</v>
      </c>
      <c r="U4615" s="2083"/>
      <c r="V4615" s="2083"/>
      <c r="W4615" s="2083"/>
      <c r="X4615" s="2052" t="str">
        <f>VLOOKUP(A4615,'01'!$A$12:$N$299,9,FALSE)</f>
        <v>UND</v>
      </c>
      <c r="Y4615" s="2053"/>
      <c r="Z4615" s="2054"/>
      <c r="AA4615" s="2055"/>
      <c r="AB4615" s="2061"/>
      <c r="AC4615" s="2062"/>
      <c r="AD4615" s="2063"/>
      <c r="AE4615" s="2065"/>
      <c r="AF4615" s="2068"/>
    </row>
    <row r="4616" spans="1:32" ht="15" customHeight="1" x14ac:dyDescent="0.25">
      <c r="A4616" s="2073"/>
      <c r="B4616" s="2074"/>
      <c r="C4616" s="2075"/>
      <c r="D4616" s="2079"/>
      <c r="E4616" s="2080"/>
      <c r="F4616" s="2080"/>
      <c r="G4616" s="2080"/>
      <c r="H4616" s="2080"/>
      <c r="I4616" s="2080"/>
      <c r="J4616" s="2080"/>
      <c r="K4616" s="2080"/>
      <c r="L4616" s="2080"/>
      <c r="M4616" s="2080"/>
      <c r="N4616" s="2080"/>
      <c r="O4616" s="2080"/>
      <c r="P4616" s="2080"/>
      <c r="Q4616" s="2080"/>
      <c r="R4616" s="2080"/>
      <c r="S4616" s="2081"/>
      <c r="T4616" s="2084"/>
      <c r="U4616" s="2085"/>
      <c r="V4616" s="2085"/>
      <c r="W4616" s="2085"/>
      <c r="X4616" s="2056"/>
      <c r="Y4616" s="2057"/>
      <c r="Z4616" s="2056"/>
      <c r="AA4616" s="2057"/>
      <c r="AB4616" s="1049" t="s">
        <v>1847</v>
      </c>
      <c r="AC4616" s="1049" t="s">
        <v>1848</v>
      </c>
      <c r="AD4616" s="1049" t="s">
        <v>1861</v>
      </c>
      <c r="AE4616" s="2066"/>
      <c r="AF4616" s="2069"/>
    </row>
    <row r="4617" spans="1:32" ht="15.6" customHeight="1" x14ac:dyDescent="0.25">
      <c r="A4617" s="2017"/>
      <c r="B4617" s="2018"/>
      <c r="C4617" s="2018"/>
      <c r="D4617" s="2018"/>
      <c r="E4617" s="2018"/>
      <c r="F4617" s="2018"/>
      <c r="G4617" s="2018"/>
      <c r="H4617" s="2018"/>
      <c r="I4617" s="2018"/>
      <c r="J4617" s="2018"/>
      <c r="K4617" s="2018"/>
      <c r="L4617" s="2018"/>
      <c r="M4617" s="2018"/>
      <c r="N4617" s="2018"/>
      <c r="O4617" s="2018"/>
      <c r="P4617" s="2018"/>
      <c r="Q4617" s="2018"/>
      <c r="R4617" s="2018"/>
      <c r="S4617" s="2018"/>
      <c r="T4617" s="2018"/>
      <c r="U4617" s="2018"/>
      <c r="V4617" s="2018"/>
      <c r="W4617" s="2018"/>
      <c r="X4617" s="2018"/>
      <c r="Y4617" s="2018"/>
      <c r="Z4617" s="2021" t="s">
        <v>2510</v>
      </c>
      <c r="AA4617" s="2021"/>
      <c r="AB4617" s="1050"/>
      <c r="AC4617" s="1050"/>
      <c r="AD4617" s="1050"/>
      <c r="AE4617" s="1050">
        <v>4</v>
      </c>
      <c r="AF4617" s="1052">
        <f>+AE4617</f>
        <v>4</v>
      </c>
    </row>
    <row r="4618" spans="1:32" ht="15.6" customHeight="1" x14ac:dyDescent="0.25">
      <c r="A4618" s="2017"/>
      <c r="B4618" s="2018"/>
      <c r="C4618" s="2018"/>
      <c r="D4618" s="2018"/>
      <c r="E4618" s="2018"/>
      <c r="F4618" s="2018"/>
      <c r="G4618" s="2018"/>
      <c r="H4618" s="2018"/>
      <c r="I4618" s="2018"/>
      <c r="J4618" s="2018"/>
      <c r="K4618" s="2018"/>
      <c r="L4618" s="2018"/>
      <c r="M4618" s="2018"/>
      <c r="N4618" s="2018"/>
      <c r="O4618" s="2018"/>
      <c r="P4618" s="2018"/>
      <c r="Q4618" s="2018"/>
      <c r="R4618" s="2018"/>
      <c r="S4618" s="2018"/>
      <c r="T4618" s="2018"/>
      <c r="U4618" s="2018"/>
      <c r="V4618" s="2018"/>
      <c r="W4618" s="2018"/>
      <c r="X4618" s="2018"/>
      <c r="Y4618" s="2018"/>
      <c r="Z4618" s="2021"/>
      <c r="AA4618" s="2021"/>
      <c r="AB4618" s="1050"/>
      <c r="AC4618" s="1050"/>
      <c r="AD4618" s="1050"/>
      <c r="AE4618" s="1050"/>
      <c r="AF4618" s="1052"/>
    </row>
    <row r="4619" spans="1:32" ht="15.75" x14ac:dyDescent="0.25">
      <c r="A4619" s="2017"/>
      <c r="B4619" s="2018"/>
      <c r="C4619" s="2018"/>
      <c r="D4619" s="2018"/>
      <c r="E4619" s="2018"/>
      <c r="F4619" s="2018"/>
      <c r="G4619" s="2018"/>
      <c r="H4619" s="2018"/>
      <c r="I4619" s="2018"/>
      <c r="J4619" s="2018"/>
      <c r="K4619" s="2018"/>
      <c r="L4619" s="2018"/>
      <c r="M4619" s="2018"/>
      <c r="N4619" s="2018"/>
      <c r="O4619" s="2018"/>
      <c r="P4619" s="2018"/>
      <c r="Q4619" s="2018"/>
      <c r="R4619" s="2018"/>
      <c r="S4619" s="2018"/>
      <c r="T4619" s="2018"/>
      <c r="U4619" s="2018"/>
      <c r="V4619" s="2018"/>
      <c r="W4619" s="2018"/>
      <c r="X4619" s="2018"/>
      <c r="Y4619" s="2018"/>
      <c r="Z4619" s="2021"/>
      <c r="AA4619" s="2021"/>
      <c r="AB4619" s="1050"/>
      <c r="AC4619" s="1050"/>
      <c r="AD4619" s="1050"/>
      <c r="AE4619" s="1050"/>
      <c r="AF4619" s="1052"/>
    </row>
    <row r="4620" spans="1:32" ht="15.75" x14ac:dyDescent="0.25">
      <c r="A4620" s="2017"/>
      <c r="B4620" s="2018"/>
      <c r="C4620" s="2018"/>
      <c r="D4620" s="2018"/>
      <c r="E4620" s="2018"/>
      <c r="F4620" s="2018"/>
      <c r="G4620" s="2018"/>
      <c r="H4620" s="2018"/>
      <c r="I4620" s="2018"/>
      <c r="J4620" s="2018"/>
      <c r="K4620" s="2018"/>
      <c r="L4620" s="2018"/>
      <c r="M4620" s="2018"/>
      <c r="N4620" s="2018"/>
      <c r="O4620" s="2018"/>
      <c r="P4620" s="2018"/>
      <c r="Q4620" s="2018"/>
      <c r="R4620" s="2018"/>
      <c r="S4620" s="2018"/>
      <c r="T4620" s="2018"/>
      <c r="U4620" s="2018"/>
      <c r="V4620" s="2018"/>
      <c r="W4620" s="2018"/>
      <c r="X4620" s="2018"/>
      <c r="Y4620" s="2018"/>
      <c r="Z4620" s="2021"/>
      <c r="AA4620" s="2021"/>
      <c r="AB4620" s="1050"/>
      <c r="AC4620" s="1050"/>
      <c r="AD4620" s="1050"/>
      <c r="AE4620" s="1050"/>
      <c r="AF4620" s="1052"/>
    </row>
    <row r="4621" spans="1:32" ht="15.6" customHeight="1" x14ac:dyDescent="0.25">
      <c r="A4621" s="2017"/>
      <c r="B4621" s="2018"/>
      <c r="C4621" s="2018"/>
      <c r="D4621" s="2018"/>
      <c r="E4621" s="2018"/>
      <c r="F4621" s="2018"/>
      <c r="G4621" s="2018"/>
      <c r="H4621" s="2018"/>
      <c r="I4621" s="2018"/>
      <c r="J4621" s="2018"/>
      <c r="K4621" s="2018"/>
      <c r="L4621" s="2018"/>
      <c r="M4621" s="2018"/>
      <c r="N4621" s="2018"/>
      <c r="O4621" s="2018"/>
      <c r="P4621" s="2018"/>
      <c r="Q4621" s="2018"/>
      <c r="R4621" s="2018"/>
      <c r="S4621" s="2018"/>
      <c r="T4621" s="2018"/>
      <c r="U4621" s="2018"/>
      <c r="V4621" s="2018"/>
      <c r="W4621" s="2018"/>
      <c r="X4621" s="2018"/>
      <c r="Y4621" s="2018"/>
      <c r="Z4621" s="2021"/>
      <c r="AA4621" s="2021"/>
      <c r="AB4621" s="1050"/>
      <c r="AC4621" s="1050"/>
      <c r="AD4621" s="1050"/>
      <c r="AE4621" s="1050"/>
      <c r="AF4621" s="1052"/>
    </row>
    <row r="4622" spans="1:32" ht="15.75" x14ac:dyDescent="0.25">
      <c r="A4622" s="2017"/>
      <c r="B4622" s="2018"/>
      <c r="C4622" s="2018"/>
      <c r="D4622" s="2018"/>
      <c r="E4622" s="2018"/>
      <c r="F4622" s="2018"/>
      <c r="G4622" s="2018"/>
      <c r="H4622" s="2018"/>
      <c r="I4622" s="2018"/>
      <c r="J4622" s="2018"/>
      <c r="K4622" s="2018"/>
      <c r="L4622" s="2018"/>
      <c r="M4622" s="2018"/>
      <c r="N4622" s="2018"/>
      <c r="O4622" s="2018"/>
      <c r="P4622" s="2018"/>
      <c r="Q4622" s="2018"/>
      <c r="R4622" s="2018"/>
      <c r="S4622" s="2018"/>
      <c r="T4622" s="2018"/>
      <c r="U4622" s="2018"/>
      <c r="V4622" s="2018"/>
      <c r="W4622" s="2018"/>
      <c r="X4622" s="2018"/>
      <c r="Y4622" s="2018"/>
      <c r="Z4622" s="2021"/>
      <c r="AA4622" s="2021"/>
      <c r="AB4622" s="1050"/>
      <c r="AC4622" s="1050"/>
      <c r="AD4622" s="1050"/>
      <c r="AE4622" s="1050"/>
      <c r="AF4622" s="1052"/>
    </row>
    <row r="4623" spans="1:32" ht="15.75" x14ac:dyDescent="0.25">
      <c r="A4623" s="2017"/>
      <c r="B4623" s="2018"/>
      <c r="C4623" s="2018"/>
      <c r="D4623" s="2018"/>
      <c r="E4623" s="2018"/>
      <c r="F4623" s="2018"/>
      <c r="G4623" s="2018"/>
      <c r="H4623" s="2018"/>
      <c r="I4623" s="2018"/>
      <c r="J4623" s="2018"/>
      <c r="K4623" s="2018"/>
      <c r="L4623" s="2018"/>
      <c r="M4623" s="2018"/>
      <c r="N4623" s="2018"/>
      <c r="O4623" s="2018"/>
      <c r="P4623" s="2018"/>
      <c r="Q4623" s="2018"/>
      <c r="R4623" s="2018"/>
      <c r="S4623" s="2018"/>
      <c r="T4623" s="2018"/>
      <c r="U4623" s="2018"/>
      <c r="V4623" s="2018"/>
      <c r="W4623" s="2018"/>
      <c r="X4623" s="2018"/>
      <c r="Y4623" s="2018"/>
      <c r="Z4623" s="2021"/>
      <c r="AA4623" s="2021"/>
      <c r="AB4623" s="1050"/>
      <c r="AC4623" s="1050"/>
      <c r="AD4623" s="1050"/>
      <c r="AE4623" s="1050"/>
      <c r="AF4623" s="1052"/>
    </row>
    <row r="4624" spans="1:32" ht="15.75" x14ac:dyDescent="0.25">
      <c r="A4624" s="2017"/>
      <c r="B4624" s="2018"/>
      <c r="C4624" s="2018"/>
      <c r="D4624" s="2018"/>
      <c r="E4624" s="2018"/>
      <c r="F4624" s="2018"/>
      <c r="G4624" s="2018"/>
      <c r="H4624" s="2018"/>
      <c r="I4624" s="2018"/>
      <c r="J4624" s="2018"/>
      <c r="K4624" s="2018"/>
      <c r="L4624" s="2018"/>
      <c r="M4624" s="2018"/>
      <c r="N4624" s="2018"/>
      <c r="O4624" s="2018"/>
      <c r="P4624" s="2018"/>
      <c r="Q4624" s="2018"/>
      <c r="R4624" s="2018"/>
      <c r="S4624" s="2018"/>
      <c r="T4624" s="2018"/>
      <c r="U4624" s="2018"/>
      <c r="V4624" s="2018"/>
      <c r="W4624" s="2018"/>
      <c r="X4624" s="2018"/>
      <c r="Y4624" s="2018"/>
      <c r="Z4624" s="2021"/>
      <c r="AA4624" s="2021"/>
      <c r="AB4624" s="1050"/>
      <c r="AC4624" s="1050"/>
      <c r="AD4624" s="1050"/>
      <c r="AE4624" s="1050"/>
      <c r="AF4624" s="1052"/>
    </row>
    <row r="4625" spans="1:32" ht="15.75" x14ac:dyDescent="0.25">
      <c r="A4625" s="2017"/>
      <c r="B4625" s="2018"/>
      <c r="C4625" s="2018"/>
      <c r="D4625" s="2018"/>
      <c r="E4625" s="2018"/>
      <c r="F4625" s="2018"/>
      <c r="G4625" s="2018"/>
      <c r="H4625" s="2018"/>
      <c r="I4625" s="2018"/>
      <c r="J4625" s="2018"/>
      <c r="K4625" s="2018"/>
      <c r="L4625" s="2018"/>
      <c r="M4625" s="2018"/>
      <c r="N4625" s="2018"/>
      <c r="O4625" s="2018"/>
      <c r="P4625" s="2018"/>
      <c r="Q4625" s="2018"/>
      <c r="R4625" s="2018"/>
      <c r="S4625" s="2018"/>
      <c r="T4625" s="2018"/>
      <c r="U4625" s="2018"/>
      <c r="V4625" s="2018"/>
      <c r="W4625" s="2018"/>
      <c r="X4625" s="2018"/>
      <c r="Y4625" s="2018"/>
      <c r="Z4625" s="2021"/>
      <c r="AA4625" s="2021"/>
      <c r="AB4625" s="1050"/>
      <c r="AC4625" s="1050"/>
      <c r="AD4625" s="1050"/>
      <c r="AE4625" s="1050"/>
      <c r="AF4625" s="1052"/>
    </row>
    <row r="4626" spans="1:32" ht="15.75" x14ac:dyDescent="0.25">
      <c r="A4626" s="2017"/>
      <c r="B4626" s="2018"/>
      <c r="C4626" s="2018"/>
      <c r="D4626" s="2018"/>
      <c r="E4626" s="2018"/>
      <c r="F4626" s="2018"/>
      <c r="G4626" s="2018"/>
      <c r="H4626" s="2018"/>
      <c r="I4626" s="2018"/>
      <c r="J4626" s="2018"/>
      <c r="K4626" s="2018"/>
      <c r="L4626" s="2018"/>
      <c r="M4626" s="2018"/>
      <c r="N4626" s="2018"/>
      <c r="O4626" s="2018"/>
      <c r="P4626" s="2018"/>
      <c r="Q4626" s="2018"/>
      <c r="R4626" s="2018"/>
      <c r="S4626" s="2018"/>
      <c r="T4626" s="2018"/>
      <c r="U4626" s="2018"/>
      <c r="V4626" s="2018"/>
      <c r="W4626" s="2018"/>
      <c r="X4626" s="2018"/>
      <c r="Y4626" s="2018"/>
      <c r="Z4626" s="2021"/>
      <c r="AA4626" s="2021"/>
      <c r="AB4626" s="1050"/>
      <c r="AC4626" s="1050"/>
      <c r="AD4626" s="1050"/>
      <c r="AE4626" s="1050"/>
      <c r="AF4626" s="1052"/>
    </row>
    <row r="4627" spans="1:32" ht="15.75" x14ac:dyDescent="0.25">
      <c r="A4627" s="2017"/>
      <c r="B4627" s="2018"/>
      <c r="C4627" s="2018"/>
      <c r="D4627" s="2018"/>
      <c r="E4627" s="2018"/>
      <c r="F4627" s="2018"/>
      <c r="G4627" s="2018"/>
      <c r="H4627" s="2018"/>
      <c r="I4627" s="2018"/>
      <c r="J4627" s="2018"/>
      <c r="K4627" s="2018"/>
      <c r="L4627" s="2018"/>
      <c r="M4627" s="2018"/>
      <c r="N4627" s="2018"/>
      <c r="O4627" s="2018"/>
      <c r="P4627" s="2018"/>
      <c r="Q4627" s="2018"/>
      <c r="R4627" s="2018"/>
      <c r="S4627" s="2018"/>
      <c r="T4627" s="2018"/>
      <c r="U4627" s="2018"/>
      <c r="V4627" s="2018"/>
      <c r="W4627" s="2018"/>
      <c r="X4627" s="2018"/>
      <c r="Y4627" s="2018"/>
      <c r="Z4627" s="2021"/>
      <c r="AA4627" s="2021"/>
      <c r="AB4627" s="1050"/>
      <c r="AC4627" s="1050"/>
      <c r="AD4627" s="1050"/>
      <c r="AE4627" s="1050"/>
      <c r="AF4627" s="1052"/>
    </row>
    <row r="4628" spans="1:32" ht="15.75" x14ac:dyDescent="0.25">
      <c r="A4628" s="2017"/>
      <c r="B4628" s="2018"/>
      <c r="C4628" s="2018"/>
      <c r="D4628" s="2018"/>
      <c r="E4628" s="2018"/>
      <c r="F4628" s="2018"/>
      <c r="G4628" s="2018"/>
      <c r="H4628" s="2018"/>
      <c r="I4628" s="2018"/>
      <c r="J4628" s="2018"/>
      <c r="K4628" s="2018"/>
      <c r="L4628" s="2018"/>
      <c r="M4628" s="2018"/>
      <c r="N4628" s="2018"/>
      <c r="O4628" s="2018"/>
      <c r="P4628" s="2018"/>
      <c r="Q4628" s="2018"/>
      <c r="R4628" s="2018"/>
      <c r="S4628" s="2018"/>
      <c r="T4628" s="2018"/>
      <c r="U4628" s="2018"/>
      <c r="V4628" s="2018"/>
      <c r="W4628" s="2018"/>
      <c r="X4628" s="2018"/>
      <c r="Y4628" s="2018"/>
      <c r="Z4628" s="2021"/>
      <c r="AA4628" s="2021"/>
      <c r="AB4628" s="1050"/>
      <c r="AC4628" s="1050"/>
      <c r="AD4628" s="1050"/>
      <c r="AE4628" s="1050"/>
      <c r="AF4628" s="1052"/>
    </row>
    <row r="4629" spans="1:32" ht="15.75" x14ac:dyDescent="0.25">
      <c r="A4629" s="2017"/>
      <c r="B4629" s="2018"/>
      <c r="C4629" s="2018"/>
      <c r="D4629" s="2018"/>
      <c r="E4629" s="2018"/>
      <c r="F4629" s="2018"/>
      <c r="G4629" s="2018"/>
      <c r="H4629" s="2018"/>
      <c r="I4629" s="2018"/>
      <c r="J4629" s="2018"/>
      <c r="K4629" s="2018"/>
      <c r="L4629" s="2018"/>
      <c r="M4629" s="2018"/>
      <c r="N4629" s="2018"/>
      <c r="O4629" s="2018"/>
      <c r="P4629" s="2018"/>
      <c r="Q4629" s="2018"/>
      <c r="R4629" s="2018"/>
      <c r="S4629" s="2018"/>
      <c r="T4629" s="2018"/>
      <c r="U4629" s="2018"/>
      <c r="V4629" s="2018"/>
      <c r="W4629" s="2018"/>
      <c r="X4629" s="2018"/>
      <c r="Y4629" s="2018"/>
      <c r="Z4629" s="2021"/>
      <c r="AA4629" s="2021"/>
      <c r="AB4629" s="1050"/>
      <c r="AC4629" s="1050"/>
      <c r="AD4629" s="1050"/>
      <c r="AE4629" s="1050"/>
      <c r="AF4629" s="1052"/>
    </row>
    <row r="4630" spans="1:32" ht="15.75" x14ac:dyDescent="0.25">
      <c r="A4630" s="2017"/>
      <c r="B4630" s="2018"/>
      <c r="C4630" s="2018"/>
      <c r="D4630" s="2018"/>
      <c r="E4630" s="2018"/>
      <c r="F4630" s="2018"/>
      <c r="G4630" s="2018"/>
      <c r="H4630" s="2018"/>
      <c r="I4630" s="2018"/>
      <c r="J4630" s="2018"/>
      <c r="K4630" s="2018"/>
      <c r="L4630" s="2018"/>
      <c r="M4630" s="2018"/>
      <c r="N4630" s="2018"/>
      <c r="O4630" s="2018"/>
      <c r="P4630" s="2018"/>
      <c r="Q4630" s="2018"/>
      <c r="R4630" s="2018"/>
      <c r="S4630" s="2018"/>
      <c r="T4630" s="2018"/>
      <c r="U4630" s="2018"/>
      <c r="V4630" s="2018"/>
      <c r="W4630" s="2018"/>
      <c r="X4630" s="2018"/>
      <c r="Y4630" s="2018"/>
      <c r="Z4630" s="2021"/>
      <c r="AA4630" s="2021"/>
      <c r="AB4630" s="1050"/>
      <c r="AC4630" s="1050"/>
      <c r="AD4630" s="1050"/>
      <c r="AE4630" s="1050"/>
      <c r="AF4630" s="1052"/>
    </row>
    <row r="4631" spans="1:32" ht="15.75" x14ac:dyDescent="0.25">
      <c r="A4631" s="2017"/>
      <c r="B4631" s="2018"/>
      <c r="C4631" s="2018"/>
      <c r="D4631" s="2018"/>
      <c r="E4631" s="2018"/>
      <c r="F4631" s="2018"/>
      <c r="G4631" s="2018"/>
      <c r="H4631" s="2018"/>
      <c r="I4631" s="2018"/>
      <c r="J4631" s="2018"/>
      <c r="K4631" s="2018"/>
      <c r="L4631" s="2018"/>
      <c r="M4631" s="2018"/>
      <c r="N4631" s="2018"/>
      <c r="O4631" s="2018"/>
      <c r="P4631" s="2018"/>
      <c r="Q4631" s="2018"/>
      <c r="R4631" s="2018"/>
      <c r="S4631" s="2018"/>
      <c r="T4631" s="2018"/>
      <c r="U4631" s="2018"/>
      <c r="V4631" s="2018"/>
      <c r="W4631" s="2018"/>
      <c r="X4631" s="2018"/>
      <c r="Y4631" s="2018"/>
      <c r="Z4631" s="2022"/>
      <c r="AA4631" s="2022"/>
      <c r="AB4631" s="1050"/>
      <c r="AC4631" s="1050"/>
      <c r="AD4631" s="1050"/>
      <c r="AE4631" s="1050"/>
      <c r="AF4631" s="1052"/>
    </row>
    <row r="4632" spans="1:32" ht="15.75" x14ac:dyDescent="0.25">
      <c r="A4632" s="2017"/>
      <c r="B4632" s="2018"/>
      <c r="C4632" s="2018"/>
      <c r="D4632" s="2018"/>
      <c r="E4632" s="2018"/>
      <c r="F4632" s="2018"/>
      <c r="G4632" s="2018"/>
      <c r="H4632" s="2018"/>
      <c r="I4632" s="2018"/>
      <c r="J4632" s="2018"/>
      <c r="K4632" s="2018"/>
      <c r="L4632" s="2018"/>
      <c r="M4632" s="2018"/>
      <c r="N4632" s="2018"/>
      <c r="O4632" s="2018"/>
      <c r="P4632" s="2018"/>
      <c r="Q4632" s="2018"/>
      <c r="R4632" s="2018"/>
      <c r="S4632" s="2018"/>
      <c r="T4632" s="2018"/>
      <c r="U4632" s="2018"/>
      <c r="V4632" s="2018"/>
      <c r="W4632" s="2018"/>
      <c r="X4632" s="2018"/>
      <c r="Y4632" s="2018"/>
      <c r="Z4632" s="2022"/>
      <c r="AA4632" s="2022"/>
      <c r="AB4632" s="1050"/>
      <c r="AC4632" s="1050"/>
      <c r="AD4632" s="1050"/>
      <c r="AE4632" s="1050"/>
      <c r="AF4632" s="1052"/>
    </row>
    <row r="4633" spans="1:32" ht="15.75" x14ac:dyDescent="0.25">
      <c r="A4633" s="2017"/>
      <c r="B4633" s="2018"/>
      <c r="C4633" s="2018"/>
      <c r="D4633" s="2018"/>
      <c r="E4633" s="2018"/>
      <c r="F4633" s="2018"/>
      <c r="G4633" s="2018"/>
      <c r="H4633" s="2018"/>
      <c r="I4633" s="2018"/>
      <c r="J4633" s="2018"/>
      <c r="K4633" s="2018"/>
      <c r="L4633" s="2018"/>
      <c r="M4633" s="2018"/>
      <c r="N4633" s="2018"/>
      <c r="O4633" s="2018"/>
      <c r="P4633" s="2018"/>
      <c r="Q4633" s="2018"/>
      <c r="R4633" s="2018"/>
      <c r="S4633" s="2018"/>
      <c r="T4633" s="2018"/>
      <c r="U4633" s="2018"/>
      <c r="V4633" s="2018"/>
      <c r="W4633" s="2018"/>
      <c r="X4633" s="2018"/>
      <c r="Y4633" s="2018"/>
      <c r="Z4633" s="2022"/>
      <c r="AA4633" s="2022"/>
      <c r="AB4633" s="1050"/>
      <c r="AC4633" s="1050"/>
      <c r="AD4633" s="1050"/>
      <c r="AE4633" s="1050"/>
      <c r="AF4633" s="1052"/>
    </row>
    <row r="4634" spans="1:32" ht="15.75" x14ac:dyDescent="0.25">
      <c r="A4634" s="2017"/>
      <c r="B4634" s="2018"/>
      <c r="C4634" s="2018"/>
      <c r="D4634" s="2018"/>
      <c r="E4634" s="2018"/>
      <c r="F4634" s="2018"/>
      <c r="G4634" s="2018"/>
      <c r="H4634" s="2018"/>
      <c r="I4634" s="2018"/>
      <c r="J4634" s="2018"/>
      <c r="K4634" s="2018"/>
      <c r="L4634" s="2018"/>
      <c r="M4634" s="2018"/>
      <c r="N4634" s="2018"/>
      <c r="O4634" s="2018"/>
      <c r="P4634" s="2018"/>
      <c r="Q4634" s="2018"/>
      <c r="R4634" s="2018"/>
      <c r="S4634" s="2018"/>
      <c r="T4634" s="2018"/>
      <c r="U4634" s="2018"/>
      <c r="V4634" s="2018"/>
      <c r="W4634" s="2018"/>
      <c r="X4634" s="2018"/>
      <c r="Y4634" s="2018"/>
      <c r="Z4634" s="2023"/>
      <c r="AA4634" s="2023"/>
      <c r="AB4634" s="1050"/>
      <c r="AC4634" s="1050"/>
      <c r="AD4634" s="1050"/>
      <c r="AE4634" s="1050"/>
      <c r="AF4634" s="1052"/>
    </row>
    <row r="4635" spans="1:32" ht="15.75" x14ac:dyDescent="0.25">
      <c r="A4635" s="2017"/>
      <c r="B4635" s="2018"/>
      <c r="C4635" s="2018"/>
      <c r="D4635" s="2018"/>
      <c r="E4635" s="2018"/>
      <c r="F4635" s="2018"/>
      <c r="G4635" s="2018"/>
      <c r="H4635" s="2018"/>
      <c r="I4635" s="2018"/>
      <c r="J4635" s="2018"/>
      <c r="K4635" s="2018"/>
      <c r="L4635" s="2018"/>
      <c r="M4635" s="2018"/>
      <c r="N4635" s="2018"/>
      <c r="O4635" s="2018"/>
      <c r="P4635" s="2018"/>
      <c r="Q4635" s="2018"/>
      <c r="R4635" s="2018"/>
      <c r="S4635" s="2018"/>
      <c r="T4635" s="2018"/>
      <c r="U4635" s="2018"/>
      <c r="V4635" s="2018"/>
      <c r="W4635" s="2018"/>
      <c r="X4635" s="2018"/>
      <c r="Y4635" s="2018"/>
      <c r="Z4635" s="2023"/>
      <c r="AA4635" s="2023"/>
      <c r="AB4635" s="1050"/>
      <c r="AC4635" s="1050"/>
      <c r="AD4635" s="1050"/>
      <c r="AE4635" s="1050"/>
      <c r="AF4635" s="1052"/>
    </row>
    <row r="4636" spans="1:32" ht="15.75" x14ac:dyDescent="0.25">
      <c r="A4636" s="2017"/>
      <c r="B4636" s="2018"/>
      <c r="C4636" s="2018"/>
      <c r="D4636" s="2018"/>
      <c r="E4636" s="2018"/>
      <c r="F4636" s="2018"/>
      <c r="G4636" s="2018"/>
      <c r="H4636" s="2018"/>
      <c r="I4636" s="2018"/>
      <c r="J4636" s="2018"/>
      <c r="K4636" s="2018"/>
      <c r="L4636" s="2018"/>
      <c r="M4636" s="2018"/>
      <c r="N4636" s="2018"/>
      <c r="O4636" s="2018"/>
      <c r="P4636" s="2018"/>
      <c r="Q4636" s="2018"/>
      <c r="R4636" s="2018"/>
      <c r="S4636" s="2018"/>
      <c r="T4636" s="2018"/>
      <c r="U4636" s="2018"/>
      <c r="V4636" s="2018"/>
      <c r="W4636" s="2018"/>
      <c r="X4636" s="2018"/>
      <c r="Y4636" s="2018"/>
      <c r="Z4636" s="2023"/>
      <c r="AA4636" s="2023"/>
      <c r="AB4636" s="1050"/>
      <c r="AC4636" s="1050"/>
      <c r="AD4636" s="1050"/>
      <c r="AE4636" s="1050"/>
      <c r="AF4636" s="1052"/>
    </row>
    <row r="4637" spans="1:32" ht="15.75" x14ac:dyDescent="0.25">
      <c r="A4637" s="2017"/>
      <c r="B4637" s="2018"/>
      <c r="C4637" s="2018"/>
      <c r="D4637" s="2018"/>
      <c r="E4637" s="2018"/>
      <c r="F4637" s="2018"/>
      <c r="G4637" s="2018"/>
      <c r="H4637" s="2018"/>
      <c r="I4637" s="2018"/>
      <c r="J4637" s="2018"/>
      <c r="K4637" s="2018"/>
      <c r="L4637" s="2018"/>
      <c r="M4637" s="2018"/>
      <c r="N4637" s="2018"/>
      <c r="O4637" s="2018"/>
      <c r="P4637" s="2018"/>
      <c r="Q4637" s="2018"/>
      <c r="R4637" s="2018"/>
      <c r="S4637" s="2018"/>
      <c r="T4637" s="2018"/>
      <c r="U4637" s="2018"/>
      <c r="V4637" s="2018"/>
      <c r="W4637" s="2018"/>
      <c r="X4637" s="2018"/>
      <c r="Y4637" s="2018"/>
      <c r="Z4637" s="2023"/>
      <c r="AA4637" s="2023"/>
      <c r="AB4637" s="1050"/>
      <c r="AC4637" s="1050"/>
      <c r="AD4637" s="1050"/>
      <c r="AE4637" s="1050"/>
      <c r="AF4637" s="1052"/>
    </row>
    <row r="4638" spans="1:32" ht="15.75" x14ac:dyDescent="0.25">
      <c r="A4638" s="2017"/>
      <c r="B4638" s="2018"/>
      <c r="C4638" s="2018"/>
      <c r="D4638" s="2018"/>
      <c r="E4638" s="2018"/>
      <c r="F4638" s="2018"/>
      <c r="G4638" s="2018"/>
      <c r="H4638" s="2018"/>
      <c r="I4638" s="2018"/>
      <c r="J4638" s="2018"/>
      <c r="K4638" s="2018"/>
      <c r="L4638" s="2018"/>
      <c r="M4638" s="2018"/>
      <c r="N4638" s="2018"/>
      <c r="O4638" s="2018"/>
      <c r="P4638" s="2018"/>
      <c r="Q4638" s="2018"/>
      <c r="R4638" s="2018"/>
      <c r="S4638" s="2018"/>
      <c r="T4638" s="2018"/>
      <c r="U4638" s="2018"/>
      <c r="V4638" s="2018"/>
      <c r="W4638" s="2018"/>
      <c r="X4638" s="2018"/>
      <c r="Y4638" s="2018"/>
      <c r="Z4638" s="2023"/>
      <c r="AA4638" s="2023"/>
      <c r="AB4638" s="1050"/>
      <c r="AC4638" s="1050"/>
      <c r="AD4638" s="1050"/>
      <c r="AE4638" s="1050"/>
      <c r="AF4638" s="1052"/>
    </row>
    <row r="4639" spans="1:32" ht="15.75" x14ac:dyDescent="0.25">
      <c r="A4639" s="2017"/>
      <c r="B4639" s="2018"/>
      <c r="C4639" s="2018"/>
      <c r="D4639" s="2018"/>
      <c r="E4639" s="2018"/>
      <c r="F4639" s="2018"/>
      <c r="G4639" s="2018"/>
      <c r="H4639" s="2018"/>
      <c r="I4639" s="2018"/>
      <c r="J4639" s="2018"/>
      <c r="K4639" s="2018"/>
      <c r="L4639" s="2018"/>
      <c r="M4639" s="2018"/>
      <c r="N4639" s="2018"/>
      <c r="O4639" s="2018"/>
      <c r="P4639" s="2018"/>
      <c r="Q4639" s="2018"/>
      <c r="R4639" s="2018"/>
      <c r="S4639" s="2018"/>
      <c r="T4639" s="2018"/>
      <c r="U4639" s="2018"/>
      <c r="V4639" s="2018"/>
      <c r="W4639" s="2018"/>
      <c r="X4639" s="2018"/>
      <c r="Y4639" s="2018"/>
      <c r="Z4639" s="2023"/>
      <c r="AA4639" s="2023"/>
      <c r="AB4639" s="1050"/>
      <c r="AC4639" s="1050"/>
      <c r="AD4639" s="1050"/>
      <c r="AE4639" s="1050"/>
      <c r="AF4639" s="1052"/>
    </row>
    <row r="4640" spans="1:32" ht="16.5" thickBot="1" x14ac:dyDescent="0.3">
      <c r="A4640" s="2019"/>
      <c r="B4640" s="2020"/>
      <c r="C4640" s="2020"/>
      <c r="D4640" s="2020"/>
      <c r="E4640" s="2020"/>
      <c r="F4640" s="2020"/>
      <c r="G4640" s="2020"/>
      <c r="H4640" s="2020"/>
      <c r="I4640" s="2020"/>
      <c r="J4640" s="2020"/>
      <c r="K4640" s="2020"/>
      <c r="L4640" s="2020"/>
      <c r="M4640" s="2020"/>
      <c r="N4640" s="2020"/>
      <c r="O4640" s="2020"/>
      <c r="P4640" s="2020"/>
      <c r="Q4640" s="2020"/>
      <c r="R4640" s="2020"/>
      <c r="S4640" s="2020"/>
      <c r="T4640" s="2020"/>
      <c r="U4640" s="2020"/>
      <c r="V4640" s="2020"/>
      <c r="W4640" s="2020"/>
      <c r="X4640" s="2020"/>
      <c r="Y4640" s="2020"/>
      <c r="Z4640" s="2024"/>
      <c r="AA4640" s="2024"/>
      <c r="AB4640" s="1057"/>
      <c r="AC4640" s="1057"/>
      <c r="AD4640" s="1057"/>
      <c r="AE4640" s="1057"/>
      <c r="AF4640" s="1058"/>
    </row>
    <row r="4641" spans="1:32" ht="15.75" x14ac:dyDescent="0.25">
      <c r="A4641" s="2009" t="s">
        <v>1855</v>
      </c>
      <c r="B4641" s="2010"/>
      <c r="C4641" s="2010"/>
      <c r="D4641" s="2010"/>
      <c r="E4641" s="2010"/>
      <c r="F4641" s="2010"/>
      <c r="G4641" s="2010"/>
      <c r="H4641" s="2010"/>
      <c r="I4641" s="2010"/>
      <c r="J4641" s="2010"/>
      <c r="K4641" s="2010"/>
      <c r="L4641" s="2010"/>
      <c r="M4641" s="2010"/>
      <c r="N4641" s="2010"/>
      <c r="O4641" s="2010"/>
      <c r="P4641" s="2010"/>
      <c r="Q4641" s="2010"/>
      <c r="R4641" s="2010"/>
      <c r="S4641" s="2010"/>
      <c r="T4641" s="2010"/>
      <c r="U4641" s="2010"/>
      <c r="V4641" s="2010"/>
      <c r="W4641" s="2010"/>
      <c r="X4641" s="2010"/>
      <c r="Y4641" s="2010"/>
      <c r="Z4641" s="2013" t="s">
        <v>1850</v>
      </c>
      <c r="AA4641" s="2013"/>
      <c r="AB4641" s="2013"/>
      <c r="AC4641" s="2013"/>
      <c r="AD4641" s="2013"/>
      <c r="AE4641" s="2013"/>
      <c r="AF4641" s="1059">
        <f>SUM(AF4617:AF4640)</f>
        <v>4</v>
      </c>
    </row>
    <row r="4642" spans="1:32" ht="15.75" x14ac:dyDescent="0.25">
      <c r="A4642" s="2011"/>
      <c r="B4642" s="2012"/>
      <c r="C4642" s="2012"/>
      <c r="D4642" s="2012"/>
      <c r="E4642" s="2012"/>
      <c r="F4642" s="2012"/>
      <c r="G4642" s="2012"/>
      <c r="H4642" s="2012"/>
      <c r="I4642" s="2012"/>
      <c r="J4642" s="2012"/>
      <c r="K4642" s="2012"/>
      <c r="L4642" s="2012"/>
      <c r="M4642" s="2012"/>
      <c r="N4642" s="2012"/>
      <c r="O4642" s="2012"/>
      <c r="P4642" s="2012"/>
      <c r="Q4642" s="2012"/>
      <c r="R4642" s="2012"/>
      <c r="S4642" s="2012"/>
      <c r="T4642" s="2012"/>
      <c r="U4642" s="2012"/>
      <c r="V4642" s="2012"/>
      <c r="W4642" s="2012"/>
      <c r="X4642" s="2012"/>
      <c r="Y4642" s="2012"/>
      <c r="Z4642" s="2014" t="s">
        <v>1851</v>
      </c>
      <c r="AA4642" s="2014"/>
      <c r="AB4642" s="2014"/>
      <c r="AC4642" s="2014"/>
      <c r="AD4642" s="2014"/>
      <c r="AE4642" s="2014"/>
      <c r="AF4642" s="1060">
        <v>0</v>
      </c>
    </row>
    <row r="4643" spans="1:32" ht="15.75" x14ac:dyDescent="0.25">
      <c r="A4643" s="2011"/>
      <c r="B4643" s="2012"/>
      <c r="C4643" s="2012"/>
      <c r="D4643" s="2012"/>
      <c r="E4643" s="2012"/>
      <c r="F4643" s="2012"/>
      <c r="G4643" s="2012"/>
      <c r="H4643" s="2012"/>
      <c r="I4643" s="2012"/>
      <c r="J4643" s="2012"/>
      <c r="K4643" s="2012"/>
      <c r="L4643" s="2012"/>
      <c r="M4643" s="2012"/>
      <c r="N4643" s="2012"/>
      <c r="O4643" s="2012"/>
      <c r="P4643" s="2012"/>
      <c r="Q4643" s="2012"/>
      <c r="R4643" s="2012"/>
      <c r="S4643" s="2012"/>
      <c r="T4643" s="2012"/>
      <c r="U4643" s="2012"/>
      <c r="V4643" s="2012"/>
      <c r="W4643" s="2012"/>
      <c r="X4643" s="2012"/>
      <c r="Y4643" s="2012"/>
      <c r="Z4643" s="2015" t="s">
        <v>1833</v>
      </c>
      <c r="AA4643" s="2015"/>
      <c r="AB4643" s="2015"/>
      <c r="AC4643" s="2015"/>
      <c r="AD4643" s="2015"/>
      <c r="AE4643" s="2015"/>
      <c r="AF4643" s="1061">
        <f>SUM(AF4641:AF4642)</f>
        <v>4</v>
      </c>
    </row>
    <row r="4644" spans="1:32" x14ac:dyDescent="0.2">
      <c r="A4644" s="2012" t="s">
        <v>1859</v>
      </c>
      <c r="B4644" s="2012"/>
      <c r="C4644" s="2012"/>
      <c r="D4644" s="2012"/>
      <c r="E4644" s="2012"/>
      <c r="F4644" s="2012"/>
      <c r="G4644" s="2012"/>
      <c r="H4644" s="2012"/>
      <c r="I4644" s="2012"/>
      <c r="J4644" s="2012"/>
      <c r="K4644" s="2012"/>
      <c r="L4644" s="2012"/>
      <c r="M4644" s="2012"/>
      <c r="N4644" s="2012"/>
      <c r="O4644" s="2012"/>
      <c r="P4644" s="2012"/>
      <c r="Q4644" s="2012"/>
      <c r="R4644" s="2012"/>
      <c r="S4644" s="2012"/>
      <c r="T4644" s="2016" t="s">
        <v>1840</v>
      </c>
      <c r="U4644" s="2016"/>
      <c r="V4644" s="2016"/>
      <c r="W4644" s="2016"/>
      <c r="X4644" s="2016"/>
      <c r="Y4644" s="2016"/>
      <c r="Z4644" s="2016"/>
      <c r="AA4644" s="2016"/>
      <c r="AB4644" s="2012" t="s">
        <v>1852</v>
      </c>
      <c r="AC4644" s="2012"/>
      <c r="AD4644" s="2012"/>
      <c r="AE4644" s="2012"/>
      <c r="AF4644" s="2012"/>
    </row>
    <row r="4645" spans="1:32" x14ac:dyDescent="0.2">
      <c r="A4645" s="2012"/>
      <c r="B4645" s="2012"/>
      <c r="C4645" s="2012"/>
      <c r="D4645" s="2012"/>
      <c r="E4645" s="2012"/>
      <c r="F4645" s="2012"/>
      <c r="G4645" s="2012"/>
      <c r="H4645" s="2012"/>
      <c r="I4645" s="2012"/>
      <c r="J4645" s="2012"/>
      <c r="K4645" s="2012"/>
      <c r="L4645" s="2012"/>
      <c r="M4645" s="2012"/>
      <c r="N4645" s="2012"/>
      <c r="O4645" s="2012"/>
      <c r="P4645" s="2012"/>
      <c r="Q4645" s="2012"/>
      <c r="R4645" s="2012"/>
      <c r="S4645" s="2012"/>
      <c r="T4645" s="2016"/>
      <c r="U4645" s="2016"/>
      <c r="V4645" s="2016"/>
      <c r="W4645" s="2016"/>
      <c r="X4645" s="2016"/>
      <c r="Y4645" s="2016"/>
      <c r="Z4645" s="2016"/>
      <c r="AA4645" s="2016"/>
      <c r="AB4645" s="2012"/>
      <c r="AC4645" s="2012"/>
      <c r="AD4645" s="2012"/>
      <c r="AE4645" s="2012"/>
      <c r="AF4645" s="2012"/>
    </row>
    <row r="4646" spans="1:32" ht="13.5" thickBot="1" x14ac:dyDescent="0.25"/>
    <row r="4647" spans="1:32" ht="26.45" customHeight="1" x14ac:dyDescent="0.2">
      <c r="A4647" s="2025" t="s">
        <v>1854</v>
      </c>
      <c r="B4647" s="2026"/>
      <c r="C4647" s="2026"/>
      <c r="D4647" s="2026"/>
      <c r="E4647" s="2026"/>
      <c r="F4647" s="2026"/>
      <c r="G4647" s="2026"/>
      <c r="H4647" s="2026"/>
      <c r="I4647" s="2026"/>
      <c r="J4647" s="2026"/>
      <c r="K4647" s="2026"/>
      <c r="L4647" s="2026"/>
      <c r="M4647" s="2026"/>
      <c r="N4647" s="2026"/>
      <c r="O4647" s="2026"/>
      <c r="P4647" s="2026"/>
      <c r="Q4647" s="2026"/>
      <c r="R4647" s="2026"/>
      <c r="S4647" s="2026"/>
      <c r="T4647" s="2026"/>
      <c r="U4647" s="2026"/>
      <c r="V4647" s="2026"/>
      <c r="W4647" s="2026"/>
      <c r="X4647" s="2026"/>
      <c r="Y4647" s="2026"/>
      <c r="Z4647" s="2026"/>
      <c r="AA4647" s="2026"/>
      <c r="AB4647" s="2026"/>
      <c r="AC4647" s="2026"/>
      <c r="AD4647" s="2026"/>
      <c r="AE4647" s="1041" t="s">
        <v>1834</v>
      </c>
      <c r="AF4647" s="1042" t="s">
        <v>1835</v>
      </c>
    </row>
    <row r="4648" spans="1:32" ht="21" customHeight="1" thickBot="1" x14ac:dyDescent="0.25">
      <c r="A4648" s="2027"/>
      <c r="B4648" s="2028"/>
      <c r="C4648" s="2028"/>
      <c r="D4648" s="2028"/>
      <c r="E4648" s="2028"/>
      <c r="F4648" s="2028"/>
      <c r="G4648" s="2028"/>
      <c r="H4648" s="2028"/>
      <c r="I4648" s="2028"/>
      <c r="J4648" s="2028"/>
      <c r="K4648" s="2028"/>
      <c r="L4648" s="2028"/>
      <c r="M4648" s="2028"/>
      <c r="N4648" s="2028"/>
      <c r="O4648" s="2028"/>
      <c r="P4648" s="2028"/>
      <c r="Q4648" s="2028"/>
      <c r="R4648" s="2028"/>
      <c r="S4648" s="2028"/>
      <c r="T4648" s="2028"/>
      <c r="U4648" s="2028"/>
      <c r="V4648" s="2028"/>
      <c r="W4648" s="2028"/>
      <c r="X4648" s="2028"/>
      <c r="Y4648" s="2028"/>
      <c r="Z4648" s="2028"/>
      <c r="AA4648" s="2028"/>
      <c r="AB4648" s="2028"/>
      <c r="AC4648" s="2028"/>
      <c r="AD4648" s="2028"/>
      <c r="AE4648" s="1041" t="s">
        <v>1836</v>
      </c>
      <c r="AF4648" s="1044">
        <v>1</v>
      </c>
    </row>
    <row r="4649" spans="1:32" ht="15.75" x14ac:dyDescent="0.2">
      <c r="A4649" s="2029"/>
      <c r="B4649" s="2030"/>
      <c r="C4649" s="2030"/>
      <c r="D4649" s="2031"/>
      <c r="E4649" s="2025" t="str">
        <f>'01'!$A$12</f>
        <v>"CONSTRUCCION SISTEMA DE ACUEDUCTO FASE II DEL MUNICIPIO DE TESALIA DPTO DEL HUILA"</v>
      </c>
      <c r="F4649" s="2026"/>
      <c r="G4649" s="2026"/>
      <c r="H4649" s="2026"/>
      <c r="I4649" s="2026"/>
      <c r="J4649" s="2026"/>
      <c r="K4649" s="2026"/>
      <c r="L4649" s="2026"/>
      <c r="M4649" s="2026"/>
      <c r="N4649" s="2026"/>
      <c r="O4649" s="2026"/>
      <c r="P4649" s="2026"/>
      <c r="Q4649" s="2026"/>
      <c r="R4649" s="2026"/>
      <c r="S4649" s="2026"/>
      <c r="T4649" s="2026"/>
      <c r="U4649" s="2026"/>
      <c r="V4649" s="2026"/>
      <c r="W4649" s="2026"/>
      <c r="X4649" s="2026"/>
      <c r="Y4649" s="2026"/>
      <c r="Z4649" s="2026"/>
      <c r="AA4649" s="2026"/>
      <c r="AB4649" s="2026"/>
      <c r="AC4649" s="2026"/>
      <c r="AD4649" s="2035"/>
      <c r="AE4649" s="1041" t="s">
        <v>847</v>
      </c>
      <c r="AF4649" s="1045">
        <f>'01'!$M$13</f>
        <v>0</v>
      </c>
    </row>
    <row r="4650" spans="1:32" ht="16.5" thickBot="1" x14ac:dyDescent="0.25">
      <c r="A4650" s="2032"/>
      <c r="B4650" s="2033"/>
      <c r="C4650" s="2033"/>
      <c r="D4650" s="2034"/>
      <c r="E4650" s="2027"/>
      <c r="F4650" s="2028"/>
      <c r="G4650" s="2028"/>
      <c r="H4650" s="2028"/>
      <c r="I4650" s="2028"/>
      <c r="J4650" s="2028"/>
      <c r="K4650" s="2028"/>
      <c r="L4650" s="2028"/>
      <c r="M4650" s="2028"/>
      <c r="N4650" s="2028"/>
      <c r="O4650" s="2028"/>
      <c r="P4650" s="2028"/>
      <c r="Q4650" s="2028"/>
      <c r="R4650" s="2028"/>
      <c r="S4650" s="2028"/>
      <c r="T4650" s="2028"/>
      <c r="U4650" s="2028"/>
      <c r="V4650" s="2028"/>
      <c r="W4650" s="2028"/>
      <c r="X4650" s="2028"/>
      <c r="Y4650" s="2028"/>
      <c r="Z4650" s="2028"/>
      <c r="AA4650" s="2028"/>
      <c r="AB4650" s="2028"/>
      <c r="AC4650" s="2028"/>
      <c r="AD4650" s="2036"/>
      <c r="AE4650" s="1041" t="s">
        <v>1837</v>
      </c>
      <c r="AF4650" s="1042" t="s">
        <v>1838</v>
      </c>
    </row>
    <row r="4651" spans="1:32" ht="15.75" x14ac:dyDescent="0.25">
      <c r="A4651" s="2037" t="s">
        <v>1860</v>
      </c>
      <c r="B4651" s="2038"/>
      <c r="C4651" s="2038"/>
      <c r="D4651" s="2038"/>
      <c r="E4651" s="2038"/>
      <c r="F4651" s="2038"/>
      <c r="G4651" s="2038"/>
      <c r="H4651" s="2038"/>
      <c r="I4651" s="2038"/>
      <c r="J4651" s="2038"/>
      <c r="K4651" s="2038"/>
      <c r="L4651" s="2038"/>
      <c r="M4651" s="2038"/>
      <c r="N4651" s="2038"/>
      <c r="O4651" s="2038"/>
      <c r="P4651" s="2038"/>
      <c r="Q4651" s="2038"/>
      <c r="R4651" s="2038"/>
      <c r="S4651" s="2038"/>
      <c r="T4651" s="2038"/>
      <c r="U4651" s="2038"/>
      <c r="V4651" s="2038"/>
      <c r="W4651" s="2038"/>
      <c r="X4651" s="2038"/>
      <c r="Y4651" s="2038"/>
      <c r="Z4651" s="2038"/>
      <c r="AA4651" s="2038"/>
      <c r="AB4651" s="2038"/>
      <c r="AC4651" s="2038"/>
      <c r="AD4651" s="2038"/>
      <c r="AE4651" s="2039" t="s">
        <v>1839</v>
      </c>
      <c r="AF4651" s="2040"/>
    </row>
    <row r="4652" spans="1:32" ht="15.75" x14ac:dyDescent="0.25">
      <c r="A4652" s="2041" t="s">
        <v>1840</v>
      </c>
      <c r="B4652" s="2042"/>
      <c r="C4652" s="2042"/>
      <c r="D4652" s="2042"/>
      <c r="E4652" s="2042"/>
      <c r="F4652" s="2042"/>
      <c r="G4652" s="2042"/>
      <c r="H4652" s="2042"/>
      <c r="I4652" s="2042"/>
      <c r="J4652" s="2042"/>
      <c r="K4652" s="2042"/>
      <c r="L4652" s="2042"/>
      <c r="M4652" s="2042"/>
      <c r="N4652" s="2042"/>
      <c r="O4652" s="2042"/>
      <c r="P4652" s="2042"/>
      <c r="Q4652" s="2042"/>
      <c r="R4652" s="2042"/>
      <c r="S4652" s="2042"/>
      <c r="T4652" s="2042"/>
      <c r="U4652" s="2042"/>
      <c r="V4652" s="2042"/>
      <c r="W4652" s="2042"/>
      <c r="X4652" s="2042"/>
      <c r="Y4652" s="2042"/>
      <c r="Z4652" s="2042"/>
      <c r="AA4652" s="2042"/>
      <c r="AB4652" s="2042"/>
      <c r="AC4652" s="2042"/>
      <c r="AD4652" s="2043"/>
      <c r="AE4652" s="2014" t="s">
        <v>1841</v>
      </c>
      <c r="AF4652" s="2044"/>
    </row>
    <row r="4653" spans="1:32" ht="15.75" x14ac:dyDescent="0.25">
      <c r="A4653" s="2045" t="s">
        <v>1853</v>
      </c>
      <c r="B4653" s="2046"/>
      <c r="C4653" s="2046"/>
      <c r="D4653" s="2046"/>
      <c r="E4653" s="2046"/>
      <c r="F4653" s="2046"/>
      <c r="G4653" s="2046"/>
      <c r="H4653" s="2046"/>
      <c r="I4653" s="2046"/>
      <c r="J4653" s="2046"/>
      <c r="K4653" s="2046"/>
      <c r="L4653" s="2046"/>
      <c r="M4653" s="2046"/>
      <c r="N4653" s="2046"/>
      <c r="O4653" s="2046"/>
      <c r="P4653" s="2046"/>
      <c r="Q4653" s="2046"/>
      <c r="R4653" s="2046"/>
      <c r="S4653" s="2046"/>
      <c r="T4653" s="2046"/>
      <c r="U4653" s="2046"/>
      <c r="V4653" s="2046"/>
      <c r="W4653" s="2046"/>
      <c r="X4653" s="2046"/>
      <c r="Y4653" s="2046"/>
      <c r="Z4653" s="2046"/>
      <c r="AA4653" s="2046"/>
      <c r="AB4653" s="2046"/>
      <c r="AC4653" s="2046"/>
      <c r="AD4653" s="2046"/>
      <c r="AE4653" s="2047">
        <f>'01'!$M$13</f>
        <v>0</v>
      </c>
      <c r="AF4653" s="2044"/>
    </row>
    <row r="4654" spans="1:32" x14ac:dyDescent="0.2">
      <c r="A4654" s="1046"/>
      <c r="B4654" s="1047"/>
      <c r="C4654" s="1047"/>
      <c r="D4654" s="1047"/>
      <c r="E4654" s="1047"/>
      <c r="F4654" s="1047"/>
      <c r="G4654" s="1047"/>
      <c r="H4654" s="1047"/>
      <c r="I4654" s="1047"/>
      <c r="J4654" s="1047"/>
      <c r="K4654" s="1047"/>
      <c r="L4654" s="1047"/>
      <c r="M4654" s="1047"/>
      <c r="N4654" s="1047"/>
      <c r="O4654" s="1047"/>
      <c r="P4654" s="1047"/>
      <c r="Q4654" s="1047"/>
      <c r="R4654" s="1047"/>
      <c r="S4654" s="1047"/>
      <c r="T4654" s="1047"/>
      <c r="U4654" s="1047"/>
      <c r="V4654" s="1047"/>
      <c r="W4654" s="1047"/>
      <c r="X4654" s="1047"/>
      <c r="Y4654" s="1047"/>
      <c r="Z4654" s="1047"/>
      <c r="AA4654" s="1047"/>
      <c r="AB4654" s="1047"/>
      <c r="AC4654" s="1047"/>
      <c r="AD4654" s="1047"/>
      <c r="AE4654" s="1047"/>
      <c r="AF4654" s="1048"/>
    </row>
    <row r="4655" spans="1:32" ht="30" customHeight="1" x14ac:dyDescent="0.2">
      <c r="A4655" s="2048" t="s">
        <v>1842</v>
      </c>
      <c r="B4655" s="2049"/>
      <c r="C4655" s="2049"/>
      <c r="D4655" s="2049"/>
      <c r="E4655" s="2049"/>
      <c r="F4655" s="2050" t="str">
        <f>+'01'!$H$163</f>
        <v>F - LECHOS DE SECADO</v>
      </c>
      <c r="G4655" s="2049"/>
      <c r="H4655" s="2049"/>
      <c r="I4655" s="2049"/>
      <c r="J4655" s="2049"/>
      <c r="K4655" s="2049"/>
      <c r="L4655" s="2049"/>
      <c r="M4655" s="2049"/>
      <c r="N4655" s="2049"/>
      <c r="O4655" s="2049"/>
      <c r="P4655" s="2049"/>
      <c r="Q4655" s="2049"/>
      <c r="R4655" s="2049"/>
      <c r="S4655" s="2049"/>
      <c r="T4655" s="2049"/>
      <c r="U4655" s="2049"/>
      <c r="V4655" s="2049"/>
      <c r="W4655" s="2049"/>
      <c r="X4655" s="2049"/>
      <c r="Y4655" s="2051"/>
      <c r="Z4655" s="2052" t="s">
        <v>1843</v>
      </c>
      <c r="AA4655" s="2053"/>
      <c r="AB4655" s="2058" t="s">
        <v>1844</v>
      </c>
      <c r="AC4655" s="2059"/>
      <c r="AD4655" s="2060"/>
      <c r="AE4655" s="2064" t="s">
        <v>1845</v>
      </c>
      <c r="AF4655" s="2067" t="s">
        <v>1846</v>
      </c>
    </row>
    <row r="4656" spans="1:32" ht="15" customHeight="1" x14ac:dyDescent="0.2">
      <c r="A4656" s="2070" t="str">
        <f>+'01'!A192</f>
        <v>F-08-07</v>
      </c>
      <c r="B4656" s="2071"/>
      <c r="C4656" s="2072"/>
      <c r="D4656" s="2076" t="str">
        <f>VLOOKUP(A4656,'01'!$A$12:$N$299,3,FALSE)</f>
        <v xml:space="preserve">SUMINISTRO E INSTALACIÓN CODO PVC DE 90 GRADOS PRESIÓN DE 4". INCLUYE UNIÓN DE REPARACIÓN. </v>
      </c>
      <c r="E4656" s="2077"/>
      <c r="F4656" s="2077"/>
      <c r="G4656" s="2077"/>
      <c r="H4656" s="2077"/>
      <c r="I4656" s="2077"/>
      <c r="J4656" s="2077"/>
      <c r="K4656" s="2077"/>
      <c r="L4656" s="2077"/>
      <c r="M4656" s="2077"/>
      <c r="N4656" s="2077"/>
      <c r="O4656" s="2077"/>
      <c r="P4656" s="2077"/>
      <c r="Q4656" s="2077"/>
      <c r="R4656" s="2077"/>
      <c r="S4656" s="2078"/>
      <c r="T4656" s="2082" t="s">
        <v>124</v>
      </c>
      <c r="U4656" s="2083"/>
      <c r="V4656" s="2083"/>
      <c r="W4656" s="2083"/>
      <c r="X4656" s="2052" t="str">
        <f>VLOOKUP(A4656,'01'!$A$12:$N$299,9,FALSE)</f>
        <v>UND</v>
      </c>
      <c r="Y4656" s="2053"/>
      <c r="Z4656" s="2054"/>
      <c r="AA4656" s="2055"/>
      <c r="AB4656" s="2061"/>
      <c r="AC4656" s="2062"/>
      <c r="AD4656" s="2063"/>
      <c r="AE4656" s="2065"/>
      <c r="AF4656" s="2068"/>
    </row>
    <row r="4657" spans="1:32" ht="15" customHeight="1" x14ac:dyDescent="0.25">
      <c r="A4657" s="2073"/>
      <c r="B4657" s="2074"/>
      <c r="C4657" s="2075"/>
      <c r="D4657" s="2079"/>
      <c r="E4657" s="2080"/>
      <c r="F4657" s="2080"/>
      <c r="G4657" s="2080"/>
      <c r="H4657" s="2080"/>
      <c r="I4657" s="2080"/>
      <c r="J4657" s="2080"/>
      <c r="K4657" s="2080"/>
      <c r="L4657" s="2080"/>
      <c r="M4657" s="2080"/>
      <c r="N4657" s="2080"/>
      <c r="O4657" s="2080"/>
      <c r="P4657" s="2080"/>
      <c r="Q4657" s="2080"/>
      <c r="R4657" s="2080"/>
      <c r="S4657" s="2081"/>
      <c r="T4657" s="2084"/>
      <c r="U4657" s="2085"/>
      <c r="V4657" s="2085"/>
      <c r="W4657" s="2085"/>
      <c r="X4657" s="2056"/>
      <c r="Y4657" s="2057"/>
      <c r="Z4657" s="2056"/>
      <c r="AA4657" s="2057"/>
      <c r="AB4657" s="1049" t="s">
        <v>1847</v>
      </c>
      <c r="AC4657" s="1049" t="s">
        <v>1848</v>
      </c>
      <c r="AD4657" s="1049" t="s">
        <v>1861</v>
      </c>
      <c r="AE4657" s="2066"/>
      <c r="AF4657" s="2069"/>
    </row>
    <row r="4658" spans="1:32" ht="15.6" customHeight="1" x14ac:dyDescent="0.25">
      <c r="A4658" s="2017"/>
      <c r="B4658" s="2018"/>
      <c r="C4658" s="2018"/>
      <c r="D4658" s="2018"/>
      <c r="E4658" s="2018"/>
      <c r="F4658" s="2018"/>
      <c r="G4658" s="2018"/>
      <c r="H4658" s="2018"/>
      <c r="I4658" s="2018"/>
      <c r="J4658" s="2018"/>
      <c r="K4658" s="2018"/>
      <c r="L4658" s="2018"/>
      <c r="M4658" s="2018"/>
      <c r="N4658" s="2018"/>
      <c r="O4658" s="2018"/>
      <c r="P4658" s="2018"/>
      <c r="Q4658" s="2018"/>
      <c r="R4658" s="2018"/>
      <c r="S4658" s="2018"/>
      <c r="T4658" s="2018"/>
      <c r="U4658" s="2018"/>
      <c r="V4658" s="2018"/>
      <c r="W4658" s="2018"/>
      <c r="X4658" s="2018"/>
      <c r="Y4658" s="2018"/>
      <c r="Z4658" s="2021" t="s">
        <v>2514</v>
      </c>
      <c r="AA4658" s="2021"/>
      <c r="AB4658" s="1050"/>
      <c r="AC4658" s="1050"/>
      <c r="AD4658" s="1050"/>
      <c r="AE4658" s="1050">
        <v>5</v>
      </c>
      <c r="AF4658" s="1052">
        <f>+AE4658</f>
        <v>5</v>
      </c>
    </row>
    <row r="4659" spans="1:32" ht="15.6" customHeight="1" x14ac:dyDescent="0.25">
      <c r="A4659" s="2017"/>
      <c r="B4659" s="2018"/>
      <c r="C4659" s="2018"/>
      <c r="D4659" s="2018"/>
      <c r="E4659" s="2018"/>
      <c r="F4659" s="2018"/>
      <c r="G4659" s="2018"/>
      <c r="H4659" s="2018"/>
      <c r="I4659" s="2018"/>
      <c r="J4659" s="2018"/>
      <c r="K4659" s="2018"/>
      <c r="L4659" s="2018"/>
      <c r="M4659" s="2018"/>
      <c r="N4659" s="2018"/>
      <c r="O4659" s="2018"/>
      <c r="P4659" s="2018"/>
      <c r="Q4659" s="2018"/>
      <c r="R4659" s="2018"/>
      <c r="S4659" s="2018"/>
      <c r="T4659" s="2018"/>
      <c r="U4659" s="2018"/>
      <c r="V4659" s="2018"/>
      <c r="W4659" s="2018"/>
      <c r="X4659" s="2018"/>
      <c r="Y4659" s="2018"/>
      <c r="Z4659" s="2021"/>
      <c r="AA4659" s="2021"/>
      <c r="AB4659" s="1050"/>
      <c r="AC4659" s="1050"/>
      <c r="AD4659" s="1050"/>
      <c r="AE4659" s="1050"/>
      <c r="AF4659" s="1052"/>
    </row>
    <row r="4660" spans="1:32" ht="15.75" x14ac:dyDescent="0.25">
      <c r="A4660" s="2017"/>
      <c r="B4660" s="2018"/>
      <c r="C4660" s="2018"/>
      <c r="D4660" s="2018"/>
      <c r="E4660" s="2018"/>
      <c r="F4660" s="2018"/>
      <c r="G4660" s="2018"/>
      <c r="H4660" s="2018"/>
      <c r="I4660" s="2018"/>
      <c r="J4660" s="2018"/>
      <c r="K4660" s="2018"/>
      <c r="L4660" s="2018"/>
      <c r="M4660" s="2018"/>
      <c r="N4660" s="2018"/>
      <c r="O4660" s="2018"/>
      <c r="P4660" s="2018"/>
      <c r="Q4660" s="2018"/>
      <c r="R4660" s="2018"/>
      <c r="S4660" s="2018"/>
      <c r="T4660" s="2018"/>
      <c r="U4660" s="2018"/>
      <c r="V4660" s="2018"/>
      <c r="W4660" s="2018"/>
      <c r="X4660" s="2018"/>
      <c r="Y4660" s="2018"/>
      <c r="Z4660" s="2021"/>
      <c r="AA4660" s="2021"/>
      <c r="AB4660" s="1050"/>
      <c r="AC4660" s="1050"/>
      <c r="AD4660" s="1050"/>
      <c r="AE4660" s="1050"/>
      <c r="AF4660" s="1052"/>
    </row>
    <row r="4661" spans="1:32" ht="15.75" x14ac:dyDescent="0.25">
      <c r="A4661" s="2017"/>
      <c r="B4661" s="2018"/>
      <c r="C4661" s="2018"/>
      <c r="D4661" s="2018"/>
      <c r="E4661" s="2018"/>
      <c r="F4661" s="2018"/>
      <c r="G4661" s="2018"/>
      <c r="H4661" s="2018"/>
      <c r="I4661" s="2018"/>
      <c r="J4661" s="2018"/>
      <c r="K4661" s="2018"/>
      <c r="L4661" s="2018"/>
      <c r="M4661" s="2018"/>
      <c r="N4661" s="2018"/>
      <c r="O4661" s="2018"/>
      <c r="P4661" s="2018"/>
      <c r="Q4661" s="2018"/>
      <c r="R4661" s="2018"/>
      <c r="S4661" s="2018"/>
      <c r="T4661" s="2018"/>
      <c r="U4661" s="2018"/>
      <c r="V4661" s="2018"/>
      <c r="W4661" s="2018"/>
      <c r="X4661" s="2018"/>
      <c r="Y4661" s="2018"/>
      <c r="Z4661" s="2021"/>
      <c r="AA4661" s="2021"/>
      <c r="AB4661" s="1050"/>
      <c r="AC4661" s="1050"/>
      <c r="AD4661" s="1050"/>
      <c r="AE4661" s="1050"/>
      <c r="AF4661" s="1052"/>
    </row>
    <row r="4662" spans="1:32" ht="15.6" customHeight="1" x14ac:dyDescent="0.25">
      <c r="A4662" s="2017"/>
      <c r="B4662" s="2018"/>
      <c r="C4662" s="2018"/>
      <c r="D4662" s="2018"/>
      <c r="E4662" s="2018"/>
      <c r="F4662" s="2018"/>
      <c r="G4662" s="2018"/>
      <c r="H4662" s="2018"/>
      <c r="I4662" s="2018"/>
      <c r="J4662" s="2018"/>
      <c r="K4662" s="2018"/>
      <c r="L4662" s="2018"/>
      <c r="M4662" s="2018"/>
      <c r="N4662" s="2018"/>
      <c r="O4662" s="2018"/>
      <c r="P4662" s="2018"/>
      <c r="Q4662" s="2018"/>
      <c r="R4662" s="2018"/>
      <c r="S4662" s="2018"/>
      <c r="T4662" s="2018"/>
      <c r="U4662" s="2018"/>
      <c r="V4662" s="2018"/>
      <c r="W4662" s="2018"/>
      <c r="X4662" s="2018"/>
      <c r="Y4662" s="2018"/>
      <c r="Z4662" s="2021"/>
      <c r="AA4662" s="2021"/>
      <c r="AB4662" s="1050"/>
      <c r="AC4662" s="1050"/>
      <c r="AD4662" s="1050"/>
      <c r="AE4662" s="1050"/>
      <c r="AF4662" s="1052"/>
    </row>
    <row r="4663" spans="1:32" ht="15.75" x14ac:dyDescent="0.25">
      <c r="A4663" s="2017"/>
      <c r="B4663" s="2018"/>
      <c r="C4663" s="2018"/>
      <c r="D4663" s="2018"/>
      <c r="E4663" s="2018"/>
      <c r="F4663" s="2018"/>
      <c r="G4663" s="2018"/>
      <c r="H4663" s="2018"/>
      <c r="I4663" s="2018"/>
      <c r="J4663" s="2018"/>
      <c r="K4663" s="2018"/>
      <c r="L4663" s="2018"/>
      <c r="M4663" s="2018"/>
      <c r="N4663" s="2018"/>
      <c r="O4663" s="2018"/>
      <c r="P4663" s="2018"/>
      <c r="Q4663" s="2018"/>
      <c r="R4663" s="2018"/>
      <c r="S4663" s="2018"/>
      <c r="T4663" s="2018"/>
      <c r="U4663" s="2018"/>
      <c r="V4663" s="2018"/>
      <c r="W4663" s="2018"/>
      <c r="X4663" s="2018"/>
      <c r="Y4663" s="2018"/>
      <c r="Z4663" s="2021"/>
      <c r="AA4663" s="2021"/>
      <c r="AB4663" s="1050"/>
      <c r="AC4663" s="1050"/>
      <c r="AD4663" s="1050"/>
      <c r="AE4663" s="1050"/>
      <c r="AF4663" s="1052"/>
    </row>
    <row r="4664" spans="1:32" ht="15.75" x14ac:dyDescent="0.25">
      <c r="A4664" s="2017"/>
      <c r="B4664" s="2018"/>
      <c r="C4664" s="2018"/>
      <c r="D4664" s="2018"/>
      <c r="E4664" s="2018"/>
      <c r="F4664" s="2018"/>
      <c r="G4664" s="2018"/>
      <c r="H4664" s="2018"/>
      <c r="I4664" s="2018"/>
      <c r="J4664" s="2018"/>
      <c r="K4664" s="2018"/>
      <c r="L4664" s="2018"/>
      <c r="M4664" s="2018"/>
      <c r="N4664" s="2018"/>
      <c r="O4664" s="2018"/>
      <c r="P4664" s="2018"/>
      <c r="Q4664" s="2018"/>
      <c r="R4664" s="2018"/>
      <c r="S4664" s="2018"/>
      <c r="T4664" s="2018"/>
      <c r="U4664" s="2018"/>
      <c r="V4664" s="2018"/>
      <c r="W4664" s="2018"/>
      <c r="X4664" s="2018"/>
      <c r="Y4664" s="2018"/>
      <c r="Z4664" s="2021"/>
      <c r="AA4664" s="2021"/>
      <c r="AB4664" s="1050"/>
      <c r="AC4664" s="1050"/>
      <c r="AD4664" s="1050"/>
      <c r="AE4664" s="1050"/>
      <c r="AF4664" s="1052"/>
    </row>
    <row r="4665" spans="1:32" ht="15.75" x14ac:dyDescent="0.25">
      <c r="A4665" s="2017"/>
      <c r="B4665" s="2018"/>
      <c r="C4665" s="2018"/>
      <c r="D4665" s="2018"/>
      <c r="E4665" s="2018"/>
      <c r="F4665" s="2018"/>
      <c r="G4665" s="2018"/>
      <c r="H4665" s="2018"/>
      <c r="I4665" s="2018"/>
      <c r="J4665" s="2018"/>
      <c r="K4665" s="2018"/>
      <c r="L4665" s="2018"/>
      <c r="M4665" s="2018"/>
      <c r="N4665" s="2018"/>
      <c r="O4665" s="2018"/>
      <c r="P4665" s="2018"/>
      <c r="Q4665" s="2018"/>
      <c r="R4665" s="2018"/>
      <c r="S4665" s="2018"/>
      <c r="T4665" s="2018"/>
      <c r="U4665" s="2018"/>
      <c r="V4665" s="2018"/>
      <c r="W4665" s="2018"/>
      <c r="X4665" s="2018"/>
      <c r="Y4665" s="2018"/>
      <c r="Z4665" s="2021"/>
      <c r="AA4665" s="2021"/>
      <c r="AB4665" s="1050"/>
      <c r="AC4665" s="1050"/>
      <c r="AD4665" s="1050"/>
      <c r="AE4665" s="1050"/>
      <c r="AF4665" s="1052"/>
    </row>
    <row r="4666" spans="1:32" ht="15.75" x14ac:dyDescent="0.25">
      <c r="A4666" s="2017"/>
      <c r="B4666" s="2018"/>
      <c r="C4666" s="2018"/>
      <c r="D4666" s="2018"/>
      <c r="E4666" s="2018"/>
      <c r="F4666" s="2018"/>
      <c r="G4666" s="2018"/>
      <c r="H4666" s="2018"/>
      <c r="I4666" s="2018"/>
      <c r="J4666" s="2018"/>
      <c r="K4666" s="2018"/>
      <c r="L4666" s="2018"/>
      <c r="M4666" s="2018"/>
      <c r="N4666" s="2018"/>
      <c r="O4666" s="2018"/>
      <c r="P4666" s="2018"/>
      <c r="Q4666" s="2018"/>
      <c r="R4666" s="2018"/>
      <c r="S4666" s="2018"/>
      <c r="T4666" s="2018"/>
      <c r="U4666" s="2018"/>
      <c r="V4666" s="2018"/>
      <c r="W4666" s="2018"/>
      <c r="X4666" s="2018"/>
      <c r="Y4666" s="2018"/>
      <c r="Z4666" s="2021"/>
      <c r="AA4666" s="2021"/>
      <c r="AB4666" s="1050"/>
      <c r="AC4666" s="1050"/>
      <c r="AD4666" s="1050"/>
      <c r="AE4666" s="1050"/>
      <c r="AF4666" s="1052"/>
    </row>
    <row r="4667" spans="1:32" ht="15.75" x14ac:dyDescent="0.25">
      <c r="A4667" s="2017"/>
      <c r="B4667" s="2018"/>
      <c r="C4667" s="2018"/>
      <c r="D4667" s="2018"/>
      <c r="E4667" s="2018"/>
      <c r="F4667" s="2018"/>
      <c r="G4667" s="2018"/>
      <c r="H4667" s="2018"/>
      <c r="I4667" s="2018"/>
      <c r="J4667" s="2018"/>
      <c r="K4667" s="2018"/>
      <c r="L4667" s="2018"/>
      <c r="M4667" s="2018"/>
      <c r="N4667" s="2018"/>
      <c r="O4667" s="2018"/>
      <c r="P4667" s="2018"/>
      <c r="Q4667" s="2018"/>
      <c r="R4667" s="2018"/>
      <c r="S4667" s="2018"/>
      <c r="T4667" s="2018"/>
      <c r="U4667" s="2018"/>
      <c r="V4667" s="2018"/>
      <c r="W4667" s="2018"/>
      <c r="X4667" s="2018"/>
      <c r="Y4667" s="2018"/>
      <c r="Z4667" s="2021"/>
      <c r="AA4667" s="2021"/>
      <c r="AB4667" s="1050"/>
      <c r="AC4667" s="1050"/>
      <c r="AD4667" s="1050"/>
      <c r="AE4667" s="1050"/>
      <c r="AF4667" s="1052"/>
    </row>
    <row r="4668" spans="1:32" ht="15.75" x14ac:dyDescent="0.25">
      <c r="A4668" s="2017"/>
      <c r="B4668" s="2018"/>
      <c r="C4668" s="2018"/>
      <c r="D4668" s="2018"/>
      <c r="E4668" s="2018"/>
      <c r="F4668" s="2018"/>
      <c r="G4668" s="2018"/>
      <c r="H4668" s="2018"/>
      <c r="I4668" s="2018"/>
      <c r="J4668" s="2018"/>
      <c r="K4668" s="2018"/>
      <c r="L4668" s="2018"/>
      <c r="M4668" s="2018"/>
      <c r="N4668" s="2018"/>
      <c r="O4668" s="2018"/>
      <c r="P4668" s="2018"/>
      <c r="Q4668" s="2018"/>
      <c r="R4668" s="2018"/>
      <c r="S4668" s="2018"/>
      <c r="T4668" s="2018"/>
      <c r="U4668" s="2018"/>
      <c r="V4668" s="2018"/>
      <c r="W4668" s="2018"/>
      <c r="X4668" s="2018"/>
      <c r="Y4668" s="2018"/>
      <c r="Z4668" s="2021"/>
      <c r="AA4668" s="2021"/>
      <c r="AB4668" s="1050"/>
      <c r="AC4668" s="1050"/>
      <c r="AD4668" s="1050"/>
      <c r="AE4668" s="1050"/>
      <c r="AF4668" s="1052"/>
    </row>
    <row r="4669" spans="1:32" ht="15.75" x14ac:dyDescent="0.25">
      <c r="A4669" s="2017"/>
      <c r="B4669" s="2018"/>
      <c r="C4669" s="2018"/>
      <c r="D4669" s="2018"/>
      <c r="E4669" s="2018"/>
      <c r="F4669" s="2018"/>
      <c r="G4669" s="2018"/>
      <c r="H4669" s="2018"/>
      <c r="I4669" s="2018"/>
      <c r="J4669" s="2018"/>
      <c r="K4669" s="2018"/>
      <c r="L4669" s="2018"/>
      <c r="M4669" s="2018"/>
      <c r="N4669" s="2018"/>
      <c r="O4669" s="2018"/>
      <c r="P4669" s="2018"/>
      <c r="Q4669" s="2018"/>
      <c r="R4669" s="2018"/>
      <c r="S4669" s="2018"/>
      <c r="T4669" s="2018"/>
      <c r="U4669" s="2018"/>
      <c r="V4669" s="2018"/>
      <c r="W4669" s="2018"/>
      <c r="X4669" s="2018"/>
      <c r="Y4669" s="2018"/>
      <c r="Z4669" s="2021"/>
      <c r="AA4669" s="2021"/>
      <c r="AB4669" s="1050"/>
      <c r="AC4669" s="1050"/>
      <c r="AD4669" s="1050"/>
      <c r="AE4669" s="1050"/>
      <c r="AF4669" s="1052"/>
    </row>
    <row r="4670" spans="1:32" ht="15.75" x14ac:dyDescent="0.25">
      <c r="A4670" s="2017"/>
      <c r="B4670" s="2018"/>
      <c r="C4670" s="2018"/>
      <c r="D4670" s="2018"/>
      <c r="E4670" s="2018"/>
      <c r="F4670" s="2018"/>
      <c r="G4670" s="2018"/>
      <c r="H4670" s="2018"/>
      <c r="I4670" s="2018"/>
      <c r="J4670" s="2018"/>
      <c r="K4670" s="2018"/>
      <c r="L4670" s="2018"/>
      <c r="M4670" s="2018"/>
      <c r="N4670" s="2018"/>
      <c r="O4670" s="2018"/>
      <c r="P4670" s="2018"/>
      <c r="Q4670" s="2018"/>
      <c r="R4670" s="2018"/>
      <c r="S4670" s="2018"/>
      <c r="T4670" s="2018"/>
      <c r="U4670" s="2018"/>
      <c r="V4670" s="2018"/>
      <c r="W4670" s="2018"/>
      <c r="X4670" s="2018"/>
      <c r="Y4670" s="2018"/>
      <c r="Z4670" s="2021"/>
      <c r="AA4670" s="2021"/>
      <c r="AB4670" s="1050"/>
      <c r="AC4670" s="1050"/>
      <c r="AD4670" s="1050"/>
      <c r="AE4670" s="1050"/>
      <c r="AF4670" s="1052"/>
    </row>
    <row r="4671" spans="1:32" ht="15.75" x14ac:dyDescent="0.25">
      <c r="A4671" s="2017"/>
      <c r="B4671" s="2018"/>
      <c r="C4671" s="2018"/>
      <c r="D4671" s="2018"/>
      <c r="E4671" s="2018"/>
      <c r="F4671" s="2018"/>
      <c r="G4671" s="2018"/>
      <c r="H4671" s="2018"/>
      <c r="I4671" s="2018"/>
      <c r="J4671" s="2018"/>
      <c r="K4671" s="2018"/>
      <c r="L4671" s="2018"/>
      <c r="M4671" s="2018"/>
      <c r="N4671" s="2018"/>
      <c r="O4671" s="2018"/>
      <c r="P4671" s="2018"/>
      <c r="Q4671" s="2018"/>
      <c r="R4671" s="2018"/>
      <c r="S4671" s="2018"/>
      <c r="T4671" s="2018"/>
      <c r="U4671" s="2018"/>
      <c r="V4671" s="2018"/>
      <c r="W4671" s="2018"/>
      <c r="X4671" s="2018"/>
      <c r="Y4671" s="2018"/>
      <c r="Z4671" s="2021"/>
      <c r="AA4671" s="2021"/>
      <c r="AB4671" s="1050"/>
      <c r="AC4671" s="1050"/>
      <c r="AD4671" s="1050"/>
      <c r="AE4671" s="1050"/>
      <c r="AF4671" s="1052"/>
    </row>
    <row r="4672" spans="1:32" ht="15.75" x14ac:dyDescent="0.25">
      <c r="A4672" s="2017"/>
      <c r="B4672" s="2018"/>
      <c r="C4672" s="2018"/>
      <c r="D4672" s="2018"/>
      <c r="E4672" s="2018"/>
      <c r="F4672" s="2018"/>
      <c r="G4672" s="2018"/>
      <c r="H4672" s="2018"/>
      <c r="I4672" s="2018"/>
      <c r="J4672" s="2018"/>
      <c r="K4672" s="2018"/>
      <c r="L4672" s="2018"/>
      <c r="M4672" s="2018"/>
      <c r="N4672" s="2018"/>
      <c r="O4672" s="2018"/>
      <c r="P4672" s="2018"/>
      <c r="Q4672" s="2018"/>
      <c r="R4672" s="2018"/>
      <c r="S4672" s="2018"/>
      <c r="T4672" s="2018"/>
      <c r="U4672" s="2018"/>
      <c r="V4672" s="2018"/>
      <c r="W4672" s="2018"/>
      <c r="X4672" s="2018"/>
      <c r="Y4672" s="2018"/>
      <c r="Z4672" s="2022"/>
      <c r="AA4672" s="2022"/>
      <c r="AB4672" s="1050"/>
      <c r="AC4672" s="1050"/>
      <c r="AD4672" s="1050"/>
      <c r="AE4672" s="1050"/>
      <c r="AF4672" s="1052"/>
    </row>
    <row r="4673" spans="1:32" ht="15.75" x14ac:dyDescent="0.25">
      <c r="A4673" s="2017"/>
      <c r="B4673" s="2018"/>
      <c r="C4673" s="2018"/>
      <c r="D4673" s="2018"/>
      <c r="E4673" s="2018"/>
      <c r="F4673" s="2018"/>
      <c r="G4673" s="2018"/>
      <c r="H4673" s="2018"/>
      <c r="I4673" s="2018"/>
      <c r="J4673" s="2018"/>
      <c r="K4673" s="2018"/>
      <c r="L4673" s="2018"/>
      <c r="M4673" s="2018"/>
      <c r="N4673" s="2018"/>
      <c r="O4673" s="2018"/>
      <c r="P4673" s="2018"/>
      <c r="Q4673" s="2018"/>
      <c r="R4673" s="2018"/>
      <c r="S4673" s="2018"/>
      <c r="T4673" s="2018"/>
      <c r="U4673" s="2018"/>
      <c r="V4673" s="2018"/>
      <c r="W4673" s="2018"/>
      <c r="X4673" s="2018"/>
      <c r="Y4673" s="2018"/>
      <c r="Z4673" s="2022"/>
      <c r="AA4673" s="2022"/>
      <c r="AB4673" s="1050"/>
      <c r="AC4673" s="1050"/>
      <c r="AD4673" s="1050"/>
      <c r="AE4673" s="1050"/>
      <c r="AF4673" s="1052"/>
    </row>
    <row r="4674" spans="1:32" ht="15.75" x14ac:dyDescent="0.25">
      <c r="A4674" s="2017"/>
      <c r="B4674" s="2018"/>
      <c r="C4674" s="2018"/>
      <c r="D4674" s="2018"/>
      <c r="E4674" s="2018"/>
      <c r="F4674" s="2018"/>
      <c r="G4674" s="2018"/>
      <c r="H4674" s="2018"/>
      <c r="I4674" s="2018"/>
      <c r="J4674" s="2018"/>
      <c r="K4674" s="2018"/>
      <c r="L4674" s="2018"/>
      <c r="M4674" s="2018"/>
      <c r="N4674" s="2018"/>
      <c r="O4674" s="2018"/>
      <c r="P4674" s="2018"/>
      <c r="Q4674" s="2018"/>
      <c r="R4674" s="2018"/>
      <c r="S4674" s="2018"/>
      <c r="T4674" s="2018"/>
      <c r="U4674" s="2018"/>
      <c r="V4674" s="2018"/>
      <c r="W4674" s="2018"/>
      <c r="X4674" s="2018"/>
      <c r="Y4674" s="2018"/>
      <c r="Z4674" s="2022"/>
      <c r="AA4674" s="2022"/>
      <c r="AB4674" s="1050"/>
      <c r="AC4674" s="1050"/>
      <c r="AD4674" s="1050"/>
      <c r="AE4674" s="1050"/>
      <c r="AF4674" s="1052"/>
    </row>
    <row r="4675" spans="1:32" ht="15.75" x14ac:dyDescent="0.25">
      <c r="A4675" s="2017"/>
      <c r="B4675" s="2018"/>
      <c r="C4675" s="2018"/>
      <c r="D4675" s="2018"/>
      <c r="E4675" s="2018"/>
      <c r="F4675" s="2018"/>
      <c r="G4675" s="2018"/>
      <c r="H4675" s="2018"/>
      <c r="I4675" s="2018"/>
      <c r="J4675" s="2018"/>
      <c r="K4675" s="2018"/>
      <c r="L4675" s="2018"/>
      <c r="M4675" s="2018"/>
      <c r="N4675" s="2018"/>
      <c r="O4675" s="2018"/>
      <c r="P4675" s="2018"/>
      <c r="Q4675" s="2018"/>
      <c r="R4675" s="2018"/>
      <c r="S4675" s="2018"/>
      <c r="T4675" s="2018"/>
      <c r="U4675" s="2018"/>
      <c r="V4675" s="2018"/>
      <c r="W4675" s="2018"/>
      <c r="X4675" s="2018"/>
      <c r="Y4675" s="2018"/>
      <c r="Z4675" s="2023"/>
      <c r="AA4675" s="2023"/>
      <c r="AB4675" s="1050"/>
      <c r="AC4675" s="1050"/>
      <c r="AD4675" s="1050"/>
      <c r="AE4675" s="1050"/>
      <c r="AF4675" s="1052"/>
    </row>
    <row r="4676" spans="1:32" ht="15.75" x14ac:dyDescent="0.25">
      <c r="A4676" s="2017"/>
      <c r="B4676" s="2018"/>
      <c r="C4676" s="2018"/>
      <c r="D4676" s="2018"/>
      <c r="E4676" s="2018"/>
      <c r="F4676" s="2018"/>
      <c r="G4676" s="2018"/>
      <c r="H4676" s="2018"/>
      <c r="I4676" s="2018"/>
      <c r="J4676" s="2018"/>
      <c r="K4676" s="2018"/>
      <c r="L4676" s="2018"/>
      <c r="M4676" s="2018"/>
      <c r="N4676" s="2018"/>
      <c r="O4676" s="2018"/>
      <c r="P4676" s="2018"/>
      <c r="Q4676" s="2018"/>
      <c r="R4676" s="2018"/>
      <c r="S4676" s="2018"/>
      <c r="T4676" s="2018"/>
      <c r="U4676" s="2018"/>
      <c r="V4676" s="2018"/>
      <c r="W4676" s="2018"/>
      <c r="X4676" s="2018"/>
      <c r="Y4676" s="2018"/>
      <c r="Z4676" s="2023"/>
      <c r="AA4676" s="2023"/>
      <c r="AB4676" s="1050"/>
      <c r="AC4676" s="1050"/>
      <c r="AD4676" s="1050"/>
      <c r="AE4676" s="1050"/>
      <c r="AF4676" s="1052"/>
    </row>
    <row r="4677" spans="1:32" ht="15.75" x14ac:dyDescent="0.25">
      <c r="A4677" s="2017"/>
      <c r="B4677" s="2018"/>
      <c r="C4677" s="2018"/>
      <c r="D4677" s="2018"/>
      <c r="E4677" s="2018"/>
      <c r="F4677" s="2018"/>
      <c r="G4677" s="2018"/>
      <c r="H4677" s="2018"/>
      <c r="I4677" s="2018"/>
      <c r="J4677" s="2018"/>
      <c r="K4677" s="2018"/>
      <c r="L4677" s="2018"/>
      <c r="M4677" s="2018"/>
      <c r="N4677" s="2018"/>
      <c r="O4677" s="2018"/>
      <c r="P4677" s="2018"/>
      <c r="Q4677" s="2018"/>
      <c r="R4677" s="2018"/>
      <c r="S4677" s="2018"/>
      <c r="T4677" s="2018"/>
      <c r="U4677" s="2018"/>
      <c r="V4677" s="2018"/>
      <c r="W4677" s="2018"/>
      <c r="X4677" s="2018"/>
      <c r="Y4677" s="2018"/>
      <c r="Z4677" s="2023"/>
      <c r="AA4677" s="2023"/>
      <c r="AB4677" s="1050"/>
      <c r="AC4677" s="1050"/>
      <c r="AD4677" s="1050"/>
      <c r="AE4677" s="1050"/>
      <c r="AF4677" s="1052"/>
    </row>
    <row r="4678" spans="1:32" ht="15.75" x14ac:dyDescent="0.25">
      <c r="A4678" s="2017"/>
      <c r="B4678" s="2018"/>
      <c r="C4678" s="2018"/>
      <c r="D4678" s="2018"/>
      <c r="E4678" s="2018"/>
      <c r="F4678" s="2018"/>
      <c r="G4678" s="2018"/>
      <c r="H4678" s="2018"/>
      <c r="I4678" s="2018"/>
      <c r="J4678" s="2018"/>
      <c r="K4678" s="2018"/>
      <c r="L4678" s="2018"/>
      <c r="M4678" s="2018"/>
      <c r="N4678" s="2018"/>
      <c r="O4678" s="2018"/>
      <c r="P4678" s="2018"/>
      <c r="Q4678" s="2018"/>
      <c r="R4678" s="2018"/>
      <c r="S4678" s="2018"/>
      <c r="T4678" s="2018"/>
      <c r="U4678" s="2018"/>
      <c r="V4678" s="2018"/>
      <c r="W4678" s="2018"/>
      <c r="X4678" s="2018"/>
      <c r="Y4678" s="2018"/>
      <c r="Z4678" s="2023"/>
      <c r="AA4678" s="2023"/>
      <c r="AB4678" s="1050"/>
      <c r="AC4678" s="1050"/>
      <c r="AD4678" s="1050"/>
      <c r="AE4678" s="1050"/>
      <c r="AF4678" s="1052"/>
    </row>
    <row r="4679" spans="1:32" ht="15.75" x14ac:dyDescent="0.25">
      <c r="A4679" s="2017"/>
      <c r="B4679" s="2018"/>
      <c r="C4679" s="2018"/>
      <c r="D4679" s="2018"/>
      <c r="E4679" s="2018"/>
      <c r="F4679" s="2018"/>
      <c r="G4679" s="2018"/>
      <c r="H4679" s="2018"/>
      <c r="I4679" s="2018"/>
      <c r="J4679" s="2018"/>
      <c r="K4679" s="2018"/>
      <c r="L4679" s="2018"/>
      <c r="M4679" s="2018"/>
      <c r="N4679" s="2018"/>
      <c r="O4679" s="2018"/>
      <c r="P4679" s="2018"/>
      <c r="Q4679" s="2018"/>
      <c r="R4679" s="2018"/>
      <c r="S4679" s="2018"/>
      <c r="T4679" s="2018"/>
      <c r="U4679" s="2018"/>
      <c r="V4679" s="2018"/>
      <c r="W4679" s="2018"/>
      <c r="X4679" s="2018"/>
      <c r="Y4679" s="2018"/>
      <c r="Z4679" s="2023"/>
      <c r="AA4679" s="2023"/>
      <c r="AB4679" s="1050"/>
      <c r="AC4679" s="1050"/>
      <c r="AD4679" s="1050"/>
      <c r="AE4679" s="1050"/>
      <c r="AF4679" s="1052"/>
    </row>
    <row r="4680" spans="1:32" ht="15.75" x14ac:dyDescent="0.25">
      <c r="A4680" s="2017"/>
      <c r="B4680" s="2018"/>
      <c r="C4680" s="2018"/>
      <c r="D4680" s="2018"/>
      <c r="E4680" s="2018"/>
      <c r="F4680" s="2018"/>
      <c r="G4680" s="2018"/>
      <c r="H4680" s="2018"/>
      <c r="I4680" s="2018"/>
      <c r="J4680" s="2018"/>
      <c r="K4680" s="2018"/>
      <c r="L4680" s="2018"/>
      <c r="M4680" s="2018"/>
      <c r="N4680" s="2018"/>
      <c r="O4680" s="2018"/>
      <c r="P4680" s="2018"/>
      <c r="Q4680" s="2018"/>
      <c r="R4680" s="2018"/>
      <c r="S4680" s="2018"/>
      <c r="T4680" s="2018"/>
      <c r="U4680" s="2018"/>
      <c r="V4680" s="2018"/>
      <c r="W4680" s="2018"/>
      <c r="X4680" s="2018"/>
      <c r="Y4680" s="2018"/>
      <c r="Z4680" s="2023"/>
      <c r="AA4680" s="2023"/>
      <c r="AB4680" s="1050"/>
      <c r="AC4680" s="1050"/>
      <c r="AD4680" s="1050"/>
      <c r="AE4680" s="1050"/>
      <c r="AF4680" s="1052"/>
    </row>
    <row r="4681" spans="1:32" ht="16.5" thickBot="1" x14ac:dyDescent="0.3">
      <c r="A4681" s="2019"/>
      <c r="B4681" s="2020"/>
      <c r="C4681" s="2020"/>
      <c r="D4681" s="2020"/>
      <c r="E4681" s="2020"/>
      <c r="F4681" s="2020"/>
      <c r="G4681" s="2020"/>
      <c r="H4681" s="2020"/>
      <c r="I4681" s="2020"/>
      <c r="J4681" s="2020"/>
      <c r="K4681" s="2020"/>
      <c r="L4681" s="2020"/>
      <c r="M4681" s="2020"/>
      <c r="N4681" s="2020"/>
      <c r="O4681" s="2020"/>
      <c r="P4681" s="2020"/>
      <c r="Q4681" s="2020"/>
      <c r="R4681" s="2020"/>
      <c r="S4681" s="2020"/>
      <c r="T4681" s="2020"/>
      <c r="U4681" s="2020"/>
      <c r="V4681" s="2020"/>
      <c r="W4681" s="2020"/>
      <c r="X4681" s="2020"/>
      <c r="Y4681" s="2020"/>
      <c r="Z4681" s="2024"/>
      <c r="AA4681" s="2024"/>
      <c r="AB4681" s="1057"/>
      <c r="AC4681" s="1057"/>
      <c r="AD4681" s="1057"/>
      <c r="AE4681" s="1057"/>
      <c r="AF4681" s="1058"/>
    </row>
    <row r="4682" spans="1:32" ht="15.75" x14ac:dyDescent="0.25">
      <c r="A4682" s="2009" t="s">
        <v>1855</v>
      </c>
      <c r="B4682" s="2010"/>
      <c r="C4682" s="2010"/>
      <c r="D4682" s="2010"/>
      <c r="E4682" s="2010"/>
      <c r="F4682" s="2010"/>
      <c r="G4682" s="2010"/>
      <c r="H4682" s="2010"/>
      <c r="I4682" s="2010"/>
      <c r="J4682" s="2010"/>
      <c r="K4682" s="2010"/>
      <c r="L4682" s="2010"/>
      <c r="M4682" s="2010"/>
      <c r="N4682" s="2010"/>
      <c r="O4682" s="2010"/>
      <c r="P4682" s="2010"/>
      <c r="Q4682" s="2010"/>
      <c r="R4682" s="2010"/>
      <c r="S4682" s="2010"/>
      <c r="T4682" s="2010"/>
      <c r="U4682" s="2010"/>
      <c r="V4682" s="2010"/>
      <c r="W4682" s="2010"/>
      <c r="X4682" s="2010"/>
      <c r="Y4682" s="2010"/>
      <c r="Z4682" s="2013" t="s">
        <v>1850</v>
      </c>
      <c r="AA4682" s="2013"/>
      <c r="AB4682" s="2013"/>
      <c r="AC4682" s="2013"/>
      <c r="AD4682" s="2013"/>
      <c r="AE4682" s="2013"/>
      <c r="AF4682" s="1059">
        <f>SUM(AF4658:AF4681)</f>
        <v>5</v>
      </c>
    </row>
    <row r="4683" spans="1:32" ht="15.75" x14ac:dyDescent="0.25">
      <c r="A4683" s="2011"/>
      <c r="B4683" s="2012"/>
      <c r="C4683" s="2012"/>
      <c r="D4683" s="2012"/>
      <c r="E4683" s="2012"/>
      <c r="F4683" s="2012"/>
      <c r="G4683" s="2012"/>
      <c r="H4683" s="2012"/>
      <c r="I4683" s="2012"/>
      <c r="J4683" s="2012"/>
      <c r="K4683" s="2012"/>
      <c r="L4683" s="2012"/>
      <c r="M4683" s="2012"/>
      <c r="N4683" s="2012"/>
      <c r="O4683" s="2012"/>
      <c r="P4683" s="2012"/>
      <c r="Q4683" s="2012"/>
      <c r="R4683" s="2012"/>
      <c r="S4683" s="2012"/>
      <c r="T4683" s="2012"/>
      <c r="U4683" s="2012"/>
      <c r="V4683" s="2012"/>
      <c r="W4683" s="2012"/>
      <c r="X4683" s="2012"/>
      <c r="Y4683" s="2012"/>
      <c r="Z4683" s="2014" t="s">
        <v>1851</v>
      </c>
      <c r="AA4683" s="2014"/>
      <c r="AB4683" s="2014"/>
      <c r="AC4683" s="2014"/>
      <c r="AD4683" s="2014"/>
      <c r="AE4683" s="2014"/>
      <c r="AF4683" s="1060">
        <v>0</v>
      </c>
    </row>
    <row r="4684" spans="1:32" ht="15.75" x14ac:dyDescent="0.25">
      <c r="A4684" s="2011"/>
      <c r="B4684" s="2012"/>
      <c r="C4684" s="2012"/>
      <c r="D4684" s="2012"/>
      <c r="E4684" s="2012"/>
      <c r="F4684" s="2012"/>
      <c r="G4684" s="2012"/>
      <c r="H4684" s="2012"/>
      <c r="I4684" s="2012"/>
      <c r="J4684" s="2012"/>
      <c r="K4684" s="2012"/>
      <c r="L4684" s="2012"/>
      <c r="M4684" s="2012"/>
      <c r="N4684" s="2012"/>
      <c r="O4684" s="2012"/>
      <c r="P4684" s="2012"/>
      <c r="Q4684" s="2012"/>
      <c r="R4684" s="2012"/>
      <c r="S4684" s="2012"/>
      <c r="T4684" s="2012"/>
      <c r="U4684" s="2012"/>
      <c r="V4684" s="2012"/>
      <c r="W4684" s="2012"/>
      <c r="X4684" s="2012"/>
      <c r="Y4684" s="2012"/>
      <c r="Z4684" s="2015" t="s">
        <v>1833</v>
      </c>
      <c r="AA4684" s="2015"/>
      <c r="AB4684" s="2015"/>
      <c r="AC4684" s="2015"/>
      <c r="AD4684" s="2015"/>
      <c r="AE4684" s="2015"/>
      <c r="AF4684" s="1061">
        <f>SUM(AF4682:AF4683)</f>
        <v>5</v>
      </c>
    </row>
    <row r="4685" spans="1:32" x14ac:dyDescent="0.2">
      <c r="A4685" s="2012" t="s">
        <v>1859</v>
      </c>
      <c r="B4685" s="2012"/>
      <c r="C4685" s="2012"/>
      <c r="D4685" s="2012"/>
      <c r="E4685" s="2012"/>
      <c r="F4685" s="2012"/>
      <c r="G4685" s="2012"/>
      <c r="H4685" s="2012"/>
      <c r="I4685" s="2012"/>
      <c r="J4685" s="2012"/>
      <c r="K4685" s="2012"/>
      <c r="L4685" s="2012"/>
      <c r="M4685" s="2012"/>
      <c r="N4685" s="2012"/>
      <c r="O4685" s="2012"/>
      <c r="P4685" s="2012"/>
      <c r="Q4685" s="2012"/>
      <c r="R4685" s="2012"/>
      <c r="S4685" s="2012"/>
      <c r="T4685" s="2016" t="s">
        <v>1840</v>
      </c>
      <c r="U4685" s="2016"/>
      <c r="V4685" s="2016"/>
      <c r="W4685" s="2016"/>
      <c r="X4685" s="2016"/>
      <c r="Y4685" s="2016"/>
      <c r="Z4685" s="2016"/>
      <c r="AA4685" s="2016"/>
      <c r="AB4685" s="2012" t="s">
        <v>1852</v>
      </c>
      <c r="AC4685" s="2012"/>
      <c r="AD4685" s="2012"/>
      <c r="AE4685" s="2012"/>
      <c r="AF4685" s="2012"/>
    </row>
    <row r="4686" spans="1:32" x14ac:dyDescent="0.2">
      <c r="A4686" s="2012"/>
      <c r="B4686" s="2012"/>
      <c r="C4686" s="2012"/>
      <c r="D4686" s="2012"/>
      <c r="E4686" s="2012"/>
      <c r="F4686" s="2012"/>
      <c r="G4686" s="2012"/>
      <c r="H4686" s="2012"/>
      <c r="I4686" s="2012"/>
      <c r="J4686" s="2012"/>
      <c r="K4686" s="2012"/>
      <c r="L4686" s="2012"/>
      <c r="M4686" s="2012"/>
      <c r="N4686" s="2012"/>
      <c r="O4686" s="2012"/>
      <c r="P4686" s="2012"/>
      <c r="Q4686" s="2012"/>
      <c r="R4686" s="2012"/>
      <c r="S4686" s="2012"/>
      <c r="T4686" s="2016"/>
      <c r="U4686" s="2016"/>
      <c r="V4686" s="2016"/>
      <c r="W4686" s="2016"/>
      <c r="X4686" s="2016"/>
      <c r="Y4686" s="2016"/>
      <c r="Z4686" s="2016"/>
      <c r="AA4686" s="2016"/>
      <c r="AB4686" s="2012"/>
      <c r="AC4686" s="2012"/>
      <c r="AD4686" s="2012"/>
      <c r="AE4686" s="2012"/>
      <c r="AF4686" s="2012"/>
    </row>
    <row r="4687" spans="1:32" ht="13.5" thickBot="1" x14ac:dyDescent="0.25"/>
    <row r="4688" spans="1:32" ht="26.45" customHeight="1" x14ac:dyDescent="0.2">
      <c r="A4688" s="2025" t="s">
        <v>1854</v>
      </c>
      <c r="B4688" s="2026"/>
      <c r="C4688" s="2026"/>
      <c r="D4688" s="2026"/>
      <c r="E4688" s="2026"/>
      <c r="F4688" s="2026"/>
      <c r="G4688" s="2026"/>
      <c r="H4688" s="2026"/>
      <c r="I4688" s="2026"/>
      <c r="J4688" s="2026"/>
      <c r="K4688" s="2026"/>
      <c r="L4688" s="2026"/>
      <c r="M4688" s="2026"/>
      <c r="N4688" s="2026"/>
      <c r="O4688" s="2026"/>
      <c r="P4688" s="2026"/>
      <c r="Q4688" s="2026"/>
      <c r="R4688" s="2026"/>
      <c r="S4688" s="2026"/>
      <c r="T4688" s="2026"/>
      <c r="U4688" s="2026"/>
      <c r="V4688" s="2026"/>
      <c r="W4688" s="2026"/>
      <c r="X4688" s="2026"/>
      <c r="Y4688" s="2026"/>
      <c r="Z4688" s="2026"/>
      <c r="AA4688" s="2026"/>
      <c r="AB4688" s="2026"/>
      <c r="AC4688" s="2026"/>
      <c r="AD4688" s="2026"/>
      <c r="AE4688" s="1041" t="s">
        <v>1834</v>
      </c>
      <c r="AF4688" s="1042" t="s">
        <v>1835</v>
      </c>
    </row>
    <row r="4689" spans="1:32" ht="21" customHeight="1" thickBot="1" x14ac:dyDescent="0.25">
      <c r="A4689" s="2027"/>
      <c r="B4689" s="2028"/>
      <c r="C4689" s="2028"/>
      <c r="D4689" s="2028"/>
      <c r="E4689" s="2028"/>
      <c r="F4689" s="2028"/>
      <c r="G4689" s="2028"/>
      <c r="H4689" s="2028"/>
      <c r="I4689" s="2028"/>
      <c r="J4689" s="2028"/>
      <c r="K4689" s="2028"/>
      <c r="L4689" s="2028"/>
      <c r="M4689" s="2028"/>
      <c r="N4689" s="2028"/>
      <c r="O4689" s="2028"/>
      <c r="P4689" s="2028"/>
      <c r="Q4689" s="2028"/>
      <c r="R4689" s="2028"/>
      <c r="S4689" s="2028"/>
      <c r="T4689" s="2028"/>
      <c r="U4689" s="2028"/>
      <c r="V4689" s="2028"/>
      <c r="W4689" s="2028"/>
      <c r="X4689" s="2028"/>
      <c r="Y4689" s="2028"/>
      <c r="Z4689" s="2028"/>
      <c r="AA4689" s="2028"/>
      <c r="AB4689" s="2028"/>
      <c r="AC4689" s="2028"/>
      <c r="AD4689" s="2028"/>
      <c r="AE4689" s="1041" t="s">
        <v>1836</v>
      </c>
      <c r="AF4689" s="1044">
        <v>1</v>
      </c>
    </row>
    <row r="4690" spans="1:32" ht="15.75" x14ac:dyDescent="0.2">
      <c r="A4690" s="2029"/>
      <c r="B4690" s="2030"/>
      <c r="C4690" s="2030"/>
      <c r="D4690" s="2031"/>
      <c r="E4690" s="2025" t="str">
        <f>'01'!$A$12</f>
        <v>"CONSTRUCCION SISTEMA DE ACUEDUCTO FASE II DEL MUNICIPIO DE TESALIA DPTO DEL HUILA"</v>
      </c>
      <c r="F4690" s="2026"/>
      <c r="G4690" s="2026"/>
      <c r="H4690" s="2026"/>
      <c r="I4690" s="2026"/>
      <c r="J4690" s="2026"/>
      <c r="K4690" s="2026"/>
      <c r="L4690" s="2026"/>
      <c r="M4690" s="2026"/>
      <c r="N4690" s="2026"/>
      <c r="O4690" s="2026"/>
      <c r="P4690" s="2026"/>
      <c r="Q4690" s="2026"/>
      <c r="R4690" s="2026"/>
      <c r="S4690" s="2026"/>
      <c r="T4690" s="2026"/>
      <c r="U4690" s="2026"/>
      <c r="V4690" s="2026"/>
      <c r="W4690" s="2026"/>
      <c r="X4690" s="2026"/>
      <c r="Y4690" s="2026"/>
      <c r="Z4690" s="2026"/>
      <c r="AA4690" s="2026"/>
      <c r="AB4690" s="2026"/>
      <c r="AC4690" s="2026"/>
      <c r="AD4690" s="2035"/>
      <c r="AE4690" s="1041" t="s">
        <v>847</v>
      </c>
      <c r="AF4690" s="1045">
        <f>'01'!$M$13</f>
        <v>0</v>
      </c>
    </row>
    <row r="4691" spans="1:32" ht="16.5" thickBot="1" x14ac:dyDescent="0.25">
      <c r="A4691" s="2032"/>
      <c r="B4691" s="2033"/>
      <c r="C4691" s="2033"/>
      <c r="D4691" s="2034"/>
      <c r="E4691" s="2027"/>
      <c r="F4691" s="2028"/>
      <c r="G4691" s="2028"/>
      <c r="H4691" s="2028"/>
      <c r="I4691" s="2028"/>
      <c r="J4691" s="2028"/>
      <c r="K4691" s="2028"/>
      <c r="L4691" s="2028"/>
      <c r="M4691" s="2028"/>
      <c r="N4691" s="2028"/>
      <c r="O4691" s="2028"/>
      <c r="P4691" s="2028"/>
      <c r="Q4691" s="2028"/>
      <c r="R4691" s="2028"/>
      <c r="S4691" s="2028"/>
      <c r="T4691" s="2028"/>
      <c r="U4691" s="2028"/>
      <c r="V4691" s="2028"/>
      <c r="W4691" s="2028"/>
      <c r="X4691" s="2028"/>
      <c r="Y4691" s="2028"/>
      <c r="Z4691" s="2028"/>
      <c r="AA4691" s="2028"/>
      <c r="AB4691" s="2028"/>
      <c r="AC4691" s="2028"/>
      <c r="AD4691" s="2036"/>
      <c r="AE4691" s="1041" t="s">
        <v>1837</v>
      </c>
      <c r="AF4691" s="1042" t="s">
        <v>1838</v>
      </c>
    </row>
    <row r="4692" spans="1:32" ht="15.75" x14ac:dyDescent="0.25">
      <c r="A4692" s="2037" t="s">
        <v>1860</v>
      </c>
      <c r="B4692" s="2038"/>
      <c r="C4692" s="2038"/>
      <c r="D4692" s="2038"/>
      <c r="E4692" s="2038"/>
      <c r="F4692" s="2038"/>
      <c r="G4692" s="2038"/>
      <c r="H4692" s="2038"/>
      <c r="I4692" s="2038"/>
      <c r="J4692" s="2038"/>
      <c r="K4692" s="2038"/>
      <c r="L4692" s="2038"/>
      <c r="M4692" s="2038"/>
      <c r="N4692" s="2038"/>
      <c r="O4692" s="2038"/>
      <c r="P4692" s="2038"/>
      <c r="Q4692" s="2038"/>
      <c r="R4692" s="2038"/>
      <c r="S4692" s="2038"/>
      <c r="T4692" s="2038"/>
      <c r="U4692" s="2038"/>
      <c r="V4692" s="2038"/>
      <c r="W4692" s="2038"/>
      <c r="X4692" s="2038"/>
      <c r="Y4692" s="2038"/>
      <c r="Z4692" s="2038"/>
      <c r="AA4692" s="2038"/>
      <c r="AB4692" s="2038"/>
      <c r="AC4692" s="2038"/>
      <c r="AD4692" s="2038"/>
      <c r="AE4692" s="2039" t="s">
        <v>1839</v>
      </c>
      <c r="AF4692" s="2040"/>
    </row>
    <row r="4693" spans="1:32" ht="15.75" x14ac:dyDescent="0.25">
      <c r="A4693" s="2041" t="s">
        <v>1840</v>
      </c>
      <c r="B4693" s="2042"/>
      <c r="C4693" s="2042"/>
      <c r="D4693" s="2042"/>
      <c r="E4693" s="2042"/>
      <c r="F4693" s="2042"/>
      <c r="G4693" s="2042"/>
      <c r="H4693" s="2042"/>
      <c r="I4693" s="2042"/>
      <c r="J4693" s="2042"/>
      <c r="K4693" s="2042"/>
      <c r="L4693" s="2042"/>
      <c r="M4693" s="2042"/>
      <c r="N4693" s="2042"/>
      <c r="O4693" s="2042"/>
      <c r="P4693" s="2042"/>
      <c r="Q4693" s="2042"/>
      <c r="R4693" s="2042"/>
      <c r="S4693" s="2042"/>
      <c r="T4693" s="2042"/>
      <c r="U4693" s="2042"/>
      <c r="V4693" s="2042"/>
      <c r="W4693" s="2042"/>
      <c r="X4693" s="2042"/>
      <c r="Y4693" s="2042"/>
      <c r="Z4693" s="2042"/>
      <c r="AA4693" s="2042"/>
      <c r="AB4693" s="2042"/>
      <c r="AC4693" s="2042"/>
      <c r="AD4693" s="2043"/>
      <c r="AE4693" s="2014" t="s">
        <v>1841</v>
      </c>
      <c r="AF4693" s="2044"/>
    </row>
    <row r="4694" spans="1:32" ht="15.75" x14ac:dyDescent="0.25">
      <c r="A4694" s="2045" t="s">
        <v>1853</v>
      </c>
      <c r="B4694" s="2046"/>
      <c r="C4694" s="2046"/>
      <c r="D4694" s="2046"/>
      <c r="E4694" s="2046"/>
      <c r="F4694" s="2046"/>
      <c r="G4694" s="2046"/>
      <c r="H4694" s="2046"/>
      <c r="I4694" s="2046"/>
      <c r="J4694" s="2046"/>
      <c r="K4694" s="2046"/>
      <c r="L4694" s="2046"/>
      <c r="M4694" s="2046"/>
      <c r="N4694" s="2046"/>
      <c r="O4694" s="2046"/>
      <c r="P4694" s="2046"/>
      <c r="Q4694" s="2046"/>
      <c r="R4694" s="2046"/>
      <c r="S4694" s="2046"/>
      <c r="T4694" s="2046"/>
      <c r="U4694" s="2046"/>
      <c r="V4694" s="2046"/>
      <c r="W4694" s="2046"/>
      <c r="X4694" s="2046"/>
      <c r="Y4694" s="2046"/>
      <c r="Z4694" s="2046"/>
      <c r="AA4694" s="2046"/>
      <c r="AB4694" s="2046"/>
      <c r="AC4694" s="2046"/>
      <c r="AD4694" s="2046"/>
      <c r="AE4694" s="2047">
        <f>'01'!$M$13</f>
        <v>0</v>
      </c>
      <c r="AF4694" s="2044"/>
    </row>
    <row r="4695" spans="1:32" x14ac:dyDescent="0.2">
      <c r="A4695" s="1046"/>
      <c r="B4695" s="1047"/>
      <c r="C4695" s="1047"/>
      <c r="D4695" s="1047"/>
      <c r="E4695" s="1047"/>
      <c r="F4695" s="1047"/>
      <c r="G4695" s="1047"/>
      <c r="H4695" s="1047"/>
      <c r="I4695" s="1047"/>
      <c r="J4695" s="1047"/>
      <c r="K4695" s="1047"/>
      <c r="L4695" s="1047"/>
      <c r="M4695" s="1047"/>
      <c r="N4695" s="1047"/>
      <c r="O4695" s="1047"/>
      <c r="P4695" s="1047"/>
      <c r="Q4695" s="1047"/>
      <c r="R4695" s="1047"/>
      <c r="S4695" s="1047"/>
      <c r="T4695" s="1047"/>
      <c r="U4695" s="1047"/>
      <c r="V4695" s="1047"/>
      <c r="W4695" s="1047"/>
      <c r="X4695" s="1047"/>
      <c r="Y4695" s="1047"/>
      <c r="Z4695" s="1047"/>
      <c r="AA4695" s="1047"/>
      <c r="AB4695" s="1047"/>
      <c r="AC4695" s="1047"/>
      <c r="AD4695" s="1047"/>
      <c r="AE4695" s="1047"/>
      <c r="AF4695" s="1048"/>
    </row>
    <row r="4696" spans="1:32" ht="30" customHeight="1" x14ac:dyDescent="0.2">
      <c r="A4696" s="2048" t="s">
        <v>1842</v>
      </c>
      <c r="B4696" s="2049"/>
      <c r="C4696" s="2049"/>
      <c r="D4696" s="2049"/>
      <c r="E4696" s="2049"/>
      <c r="F4696" s="2050" t="str">
        <f>+'01'!$H$163</f>
        <v>F - LECHOS DE SECADO</v>
      </c>
      <c r="G4696" s="2049"/>
      <c r="H4696" s="2049"/>
      <c r="I4696" s="2049"/>
      <c r="J4696" s="2049"/>
      <c r="K4696" s="2049"/>
      <c r="L4696" s="2049"/>
      <c r="M4696" s="2049"/>
      <c r="N4696" s="2049"/>
      <c r="O4696" s="2049"/>
      <c r="P4696" s="2049"/>
      <c r="Q4696" s="2049"/>
      <c r="R4696" s="2049"/>
      <c r="S4696" s="2049"/>
      <c r="T4696" s="2049"/>
      <c r="U4696" s="2049"/>
      <c r="V4696" s="2049"/>
      <c r="W4696" s="2049"/>
      <c r="X4696" s="2049"/>
      <c r="Y4696" s="2051"/>
      <c r="Z4696" s="2052" t="s">
        <v>1843</v>
      </c>
      <c r="AA4696" s="2053"/>
      <c r="AB4696" s="2058" t="s">
        <v>1844</v>
      </c>
      <c r="AC4696" s="2059"/>
      <c r="AD4696" s="2060"/>
      <c r="AE4696" s="2064" t="s">
        <v>1845</v>
      </c>
      <c r="AF4696" s="2067" t="s">
        <v>1846</v>
      </c>
    </row>
    <row r="4697" spans="1:32" ht="15" customHeight="1" x14ac:dyDescent="0.2">
      <c r="A4697" s="2070" t="str">
        <f>+'01'!A193</f>
        <v>F-08-08</v>
      </c>
      <c r="B4697" s="2071"/>
      <c r="C4697" s="2072"/>
      <c r="D4697" s="2076" t="str">
        <f>VLOOKUP(A4697,'01'!$A$12:$N$299,3,FALSE)</f>
        <v xml:space="preserve">SUMINISTRO E INSTALACIÓN TEE PVC PRESIÓN DE 4"X4". INCLUYE UNIÓN DE REPARACIÓN. </v>
      </c>
      <c r="E4697" s="2077"/>
      <c r="F4697" s="2077"/>
      <c r="G4697" s="2077"/>
      <c r="H4697" s="2077"/>
      <c r="I4697" s="2077"/>
      <c r="J4697" s="2077"/>
      <c r="K4697" s="2077"/>
      <c r="L4697" s="2077"/>
      <c r="M4697" s="2077"/>
      <c r="N4697" s="2077"/>
      <c r="O4697" s="2077"/>
      <c r="P4697" s="2077"/>
      <c r="Q4697" s="2077"/>
      <c r="R4697" s="2077"/>
      <c r="S4697" s="2078"/>
      <c r="T4697" s="2082" t="s">
        <v>124</v>
      </c>
      <c r="U4697" s="2083"/>
      <c r="V4697" s="2083"/>
      <c r="W4697" s="2083"/>
      <c r="X4697" s="2052" t="str">
        <f>VLOOKUP(A4697,'01'!$A$12:$N$299,9,FALSE)</f>
        <v>UND</v>
      </c>
      <c r="Y4697" s="2053"/>
      <c r="Z4697" s="2054"/>
      <c r="AA4697" s="2055"/>
      <c r="AB4697" s="2061"/>
      <c r="AC4697" s="2062"/>
      <c r="AD4697" s="2063"/>
      <c r="AE4697" s="2065"/>
      <c r="AF4697" s="2068"/>
    </row>
    <row r="4698" spans="1:32" ht="15" customHeight="1" x14ac:dyDescent="0.25">
      <c r="A4698" s="2073"/>
      <c r="B4698" s="2074"/>
      <c r="C4698" s="2075"/>
      <c r="D4698" s="2079"/>
      <c r="E4698" s="2080"/>
      <c r="F4698" s="2080"/>
      <c r="G4698" s="2080"/>
      <c r="H4698" s="2080"/>
      <c r="I4698" s="2080"/>
      <c r="J4698" s="2080"/>
      <c r="K4698" s="2080"/>
      <c r="L4698" s="2080"/>
      <c r="M4698" s="2080"/>
      <c r="N4698" s="2080"/>
      <c r="O4698" s="2080"/>
      <c r="P4698" s="2080"/>
      <c r="Q4698" s="2080"/>
      <c r="R4698" s="2080"/>
      <c r="S4698" s="2081"/>
      <c r="T4698" s="2084"/>
      <c r="U4698" s="2085"/>
      <c r="V4698" s="2085"/>
      <c r="W4698" s="2085"/>
      <c r="X4698" s="2056"/>
      <c r="Y4698" s="2057"/>
      <c r="Z4698" s="2056"/>
      <c r="AA4698" s="2057"/>
      <c r="AB4698" s="1049" t="s">
        <v>1847</v>
      </c>
      <c r="AC4698" s="1049" t="s">
        <v>1848</v>
      </c>
      <c r="AD4698" s="1049" t="s">
        <v>1861</v>
      </c>
      <c r="AE4698" s="2066"/>
      <c r="AF4698" s="2069"/>
    </row>
    <row r="4699" spans="1:32" ht="15.6" customHeight="1" x14ac:dyDescent="0.25">
      <c r="A4699" s="2017"/>
      <c r="B4699" s="2018"/>
      <c r="C4699" s="2018"/>
      <c r="D4699" s="2018"/>
      <c r="E4699" s="2018"/>
      <c r="F4699" s="2018"/>
      <c r="G4699" s="2018"/>
      <c r="H4699" s="2018"/>
      <c r="I4699" s="2018"/>
      <c r="J4699" s="2018"/>
      <c r="K4699" s="2018"/>
      <c r="L4699" s="2018"/>
      <c r="M4699" s="2018"/>
      <c r="N4699" s="2018"/>
      <c r="O4699" s="2018"/>
      <c r="P4699" s="2018"/>
      <c r="Q4699" s="2018"/>
      <c r="R4699" s="2018"/>
      <c r="S4699" s="2018"/>
      <c r="T4699" s="2018"/>
      <c r="U4699" s="2018"/>
      <c r="V4699" s="2018"/>
      <c r="W4699" s="2018"/>
      <c r="X4699" s="2018"/>
      <c r="Y4699" s="2018"/>
      <c r="Z4699" s="2021" t="s">
        <v>2514</v>
      </c>
      <c r="AA4699" s="2021"/>
      <c r="AB4699" s="1050"/>
      <c r="AC4699" s="1050"/>
      <c r="AD4699" s="1050"/>
      <c r="AE4699" s="1050">
        <v>3</v>
      </c>
      <c r="AF4699" s="1052">
        <f>+AE4699</f>
        <v>3</v>
      </c>
    </row>
    <row r="4700" spans="1:32" ht="15.6" customHeight="1" x14ac:dyDescent="0.25">
      <c r="A4700" s="2017"/>
      <c r="B4700" s="2018"/>
      <c r="C4700" s="2018"/>
      <c r="D4700" s="2018"/>
      <c r="E4700" s="2018"/>
      <c r="F4700" s="2018"/>
      <c r="G4700" s="2018"/>
      <c r="H4700" s="2018"/>
      <c r="I4700" s="2018"/>
      <c r="J4700" s="2018"/>
      <c r="K4700" s="2018"/>
      <c r="L4700" s="2018"/>
      <c r="M4700" s="2018"/>
      <c r="N4700" s="2018"/>
      <c r="O4700" s="2018"/>
      <c r="P4700" s="2018"/>
      <c r="Q4700" s="2018"/>
      <c r="R4700" s="2018"/>
      <c r="S4700" s="2018"/>
      <c r="T4700" s="2018"/>
      <c r="U4700" s="2018"/>
      <c r="V4700" s="2018"/>
      <c r="W4700" s="2018"/>
      <c r="X4700" s="2018"/>
      <c r="Y4700" s="2018"/>
      <c r="Z4700" s="2021"/>
      <c r="AA4700" s="2021"/>
      <c r="AB4700" s="1050"/>
      <c r="AC4700" s="1050"/>
      <c r="AD4700" s="1050"/>
      <c r="AE4700" s="1050"/>
      <c r="AF4700" s="1052"/>
    </row>
    <row r="4701" spans="1:32" ht="15.75" x14ac:dyDescent="0.25">
      <c r="A4701" s="2017"/>
      <c r="B4701" s="2018"/>
      <c r="C4701" s="2018"/>
      <c r="D4701" s="2018"/>
      <c r="E4701" s="2018"/>
      <c r="F4701" s="2018"/>
      <c r="G4701" s="2018"/>
      <c r="H4701" s="2018"/>
      <c r="I4701" s="2018"/>
      <c r="J4701" s="2018"/>
      <c r="K4701" s="2018"/>
      <c r="L4701" s="2018"/>
      <c r="M4701" s="2018"/>
      <c r="N4701" s="2018"/>
      <c r="O4701" s="2018"/>
      <c r="P4701" s="2018"/>
      <c r="Q4701" s="2018"/>
      <c r="R4701" s="2018"/>
      <c r="S4701" s="2018"/>
      <c r="T4701" s="2018"/>
      <c r="U4701" s="2018"/>
      <c r="V4701" s="2018"/>
      <c r="W4701" s="2018"/>
      <c r="X4701" s="2018"/>
      <c r="Y4701" s="2018"/>
      <c r="Z4701" s="2021"/>
      <c r="AA4701" s="2021"/>
      <c r="AB4701" s="1050"/>
      <c r="AC4701" s="1050"/>
      <c r="AD4701" s="1050"/>
      <c r="AE4701" s="1050"/>
      <c r="AF4701" s="1052"/>
    </row>
    <row r="4702" spans="1:32" ht="15.75" x14ac:dyDescent="0.25">
      <c r="A4702" s="2017"/>
      <c r="B4702" s="2018"/>
      <c r="C4702" s="2018"/>
      <c r="D4702" s="2018"/>
      <c r="E4702" s="2018"/>
      <c r="F4702" s="2018"/>
      <c r="G4702" s="2018"/>
      <c r="H4702" s="2018"/>
      <c r="I4702" s="2018"/>
      <c r="J4702" s="2018"/>
      <c r="K4702" s="2018"/>
      <c r="L4702" s="2018"/>
      <c r="M4702" s="2018"/>
      <c r="N4702" s="2018"/>
      <c r="O4702" s="2018"/>
      <c r="P4702" s="2018"/>
      <c r="Q4702" s="2018"/>
      <c r="R4702" s="2018"/>
      <c r="S4702" s="2018"/>
      <c r="T4702" s="2018"/>
      <c r="U4702" s="2018"/>
      <c r="V4702" s="2018"/>
      <c r="W4702" s="2018"/>
      <c r="X4702" s="2018"/>
      <c r="Y4702" s="2018"/>
      <c r="Z4702" s="2021"/>
      <c r="AA4702" s="2021"/>
      <c r="AB4702" s="1050"/>
      <c r="AC4702" s="1050"/>
      <c r="AD4702" s="1050"/>
      <c r="AE4702" s="1050"/>
      <c r="AF4702" s="1052"/>
    </row>
    <row r="4703" spans="1:32" ht="15.6" customHeight="1" x14ac:dyDescent="0.25">
      <c r="A4703" s="2017"/>
      <c r="B4703" s="2018"/>
      <c r="C4703" s="2018"/>
      <c r="D4703" s="2018"/>
      <c r="E4703" s="2018"/>
      <c r="F4703" s="2018"/>
      <c r="G4703" s="2018"/>
      <c r="H4703" s="2018"/>
      <c r="I4703" s="2018"/>
      <c r="J4703" s="2018"/>
      <c r="K4703" s="2018"/>
      <c r="L4703" s="2018"/>
      <c r="M4703" s="2018"/>
      <c r="N4703" s="2018"/>
      <c r="O4703" s="2018"/>
      <c r="P4703" s="2018"/>
      <c r="Q4703" s="2018"/>
      <c r="R4703" s="2018"/>
      <c r="S4703" s="2018"/>
      <c r="T4703" s="2018"/>
      <c r="U4703" s="2018"/>
      <c r="V4703" s="2018"/>
      <c r="W4703" s="2018"/>
      <c r="X4703" s="2018"/>
      <c r="Y4703" s="2018"/>
      <c r="Z4703" s="2021"/>
      <c r="AA4703" s="2021"/>
      <c r="AB4703" s="1050"/>
      <c r="AC4703" s="1050"/>
      <c r="AD4703" s="1050"/>
      <c r="AE4703" s="1050"/>
      <c r="AF4703" s="1052"/>
    </row>
    <row r="4704" spans="1:32" ht="15.75" x14ac:dyDescent="0.25">
      <c r="A4704" s="2017"/>
      <c r="B4704" s="2018"/>
      <c r="C4704" s="2018"/>
      <c r="D4704" s="2018"/>
      <c r="E4704" s="2018"/>
      <c r="F4704" s="2018"/>
      <c r="G4704" s="2018"/>
      <c r="H4704" s="2018"/>
      <c r="I4704" s="2018"/>
      <c r="J4704" s="2018"/>
      <c r="K4704" s="2018"/>
      <c r="L4704" s="2018"/>
      <c r="M4704" s="2018"/>
      <c r="N4704" s="2018"/>
      <c r="O4704" s="2018"/>
      <c r="P4704" s="2018"/>
      <c r="Q4704" s="2018"/>
      <c r="R4704" s="2018"/>
      <c r="S4704" s="2018"/>
      <c r="T4704" s="2018"/>
      <c r="U4704" s="2018"/>
      <c r="V4704" s="2018"/>
      <c r="W4704" s="2018"/>
      <c r="X4704" s="2018"/>
      <c r="Y4704" s="2018"/>
      <c r="Z4704" s="2021"/>
      <c r="AA4704" s="2021"/>
      <c r="AB4704" s="1050"/>
      <c r="AC4704" s="1050"/>
      <c r="AD4704" s="1050"/>
      <c r="AE4704" s="1050"/>
      <c r="AF4704" s="1052"/>
    </row>
    <row r="4705" spans="1:32" ht="15.75" x14ac:dyDescent="0.25">
      <c r="A4705" s="2017"/>
      <c r="B4705" s="2018"/>
      <c r="C4705" s="2018"/>
      <c r="D4705" s="2018"/>
      <c r="E4705" s="2018"/>
      <c r="F4705" s="2018"/>
      <c r="G4705" s="2018"/>
      <c r="H4705" s="2018"/>
      <c r="I4705" s="2018"/>
      <c r="J4705" s="2018"/>
      <c r="K4705" s="2018"/>
      <c r="L4705" s="2018"/>
      <c r="M4705" s="2018"/>
      <c r="N4705" s="2018"/>
      <c r="O4705" s="2018"/>
      <c r="P4705" s="2018"/>
      <c r="Q4705" s="2018"/>
      <c r="R4705" s="2018"/>
      <c r="S4705" s="2018"/>
      <c r="T4705" s="2018"/>
      <c r="U4705" s="2018"/>
      <c r="V4705" s="2018"/>
      <c r="W4705" s="2018"/>
      <c r="X4705" s="2018"/>
      <c r="Y4705" s="2018"/>
      <c r="Z4705" s="2021"/>
      <c r="AA4705" s="2021"/>
      <c r="AB4705" s="1050"/>
      <c r="AC4705" s="1050"/>
      <c r="AD4705" s="1050"/>
      <c r="AE4705" s="1050"/>
      <c r="AF4705" s="1052"/>
    </row>
    <row r="4706" spans="1:32" ht="15.75" x14ac:dyDescent="0.25">
      <c r="A4706" s="2017"/>
      <c r="B4706" s="2018"/>
      <c r="C4706" s="2018"/>
      <c r="D4706" s="2018"/>
      <c r="E4706" s="2018"/>
      <c r="F4706" s="2018"/>
      <c r="G4706" s="2018"/>
      <c r="H4706" s="2018"/>
      <c r="I4706" s="2018"/>
      <c r="J4706" s="2018"/>
      <c r="K4706" s="2018"/>
      <c r="L4706" s="2018"/>
      <c r="M4706" s="2018"/>
      <c r="N4706" s="2018"/>
      <c r="O4706" s="2018"/>
      <c r="P4706" s="2018"/>
      <c r="Q4706" s="2018"/>
      <c r="R4706" s="2018"/>
      <c r="S4706" s="2018"/>
      <c r="T4706" s="2018"/>
      <c r="U4706" s="2018"/>
      <c r="V4706" s="2018"/>
      <c r="W4706" s="2018"/>
      <c r="X4706" s="2018"/>
      <c r="Y4706" s="2018"/>
      <c r="Z4706" s="2021"/>
      <c r="AA4706" s="2021"/>
      <c r="AB4706" s="1050"/>
      <c r="AC4706" s="1050"/>
      <c r="AD4706" s="1050"/>
      <c r="AE4706" s="1050"/>
      <c r="AF4706" s="1052"/>
    </row>
    <row r="4707" spans="1:32" ht="15.75" x14ac:dyDescent="0.25">
      <c r="A4707" s="2017"/>
      <c r="B4707" s="2018"/>
      <c r="C4707" s="2018"/>
      <c r="D4707" s="2018"/>
      <c r="E4707" s="2018"/>
      <c r="F4707" s="2018"/>
      <c r="G4707" s="2018"/>
      <c r="H4707" s="2018"/>
      <c r="I4707" s="2018"/>
      <c r="J4707" s="2018"/>
      <c r="K4707" s="2018"/>
      <c r="L4707" s="2018"/>
      <c r="M4707" s="2018"/>
      <c r="N4707" s="2018"/>
      <c r="O4707" s="2018"/>
      <c r="P4707" s="2018"/>
      <c r="Q4707" s="2018"/>
      <c r="R4707" s="2018"/>
      <c r="S4707" s="2018"/>
      <c r="T4707" s="2018"/>
      <c r="U4707" s="2018"/>
      <c r="V4707" s="2018"/>
      <c r="W4707" s="2018"/>
      <c r="X4707" s="2018"/>
      <c r="Y4707" s="2018"/>
      <c r="Z4707" s="2021"/>
      <c r="AA4707" s="2021"/>
      <c r="AB4707" s="1050"/>
      <c r="AC4707" s="1050"/>
      <c r="AD4707" s="1050"/>
      <c r="AE4707" s="1050"/>
      <c r="AF4707" s="1052"/>
    </row>
    <row r="4708" spans="1:32" ht="15.75" x14ac:dyDescent="0.25">
      <c r="A4708" s="2017"/>
      <c r="B4708" s="2018"/>
      <c r="C4708" s="2018"/>
      <c r="D4708" s="2018"/>
      <c r="E4708" s="2018"/>
      <c r="F4708" s="2018"/>
      <c r="G4708" s="2018"/>
      <c r="H4708" s="2018"/>
      <c r="I4708" s="2018"/>
      <c r="J4708" s="2018"/>
      <c r="K4708" s="2018"/>
      <c r="L4708" s="2018"/>
      <c r="M4708" s="2018"/>
      <c r="N4708" s="2018"/>
      <c r="O4708" s="2018"/>
      <c r="P4708" s="2018"/>
      <c r="Q4708" s="2018"/>
      <c r="R4708" s="2018"/>
      <c r="S4708" s="2018"/>
      <c r="T4708" s="2018"/>
      <c r="U4708" s="2018"/>
      <c r="V4708" s="2018"/>
      <c r="W4708" s="2018"/>
      <c r="X4708" s="2018"/>
      <c r="Y4708" s="2018"/>
      <c r="Z4708" s="2021"/>
      <c r="AA4708" s="2021"/>
      <c r="AB4708" s="1050"/>
      <c r="AC4708" s="1050"/>
      <c r="AD4708" s="1050"/>
      <c r="AE4708" s="1050"/>
      <c r="AF4708" s="1052"/>
    </row>
    <row r="4709" spans="1:32" ht="15.75" x14ac:dyDescent="0.25">
      <c r="A4709" s="2017"/>
      <c r="B4709" s="2018"/>
      <c r="C4709" s="2018"/>
      <c r="D4709" s="2018"/>
      <c r="E4709" s="2018"/>
      <c r="F4709" s="2018"/>
      <c r="G4709" s="2018"/>
      <c r="H4709" s="2018"/>
      <c r="I4709" s="2018"/>
      <c r="J4709" s="2018"/>
      <c r="K4709" s="2018"/>
      <c r="L4709" s="2018"/>
      <c r="M4709" s="2018"/>
      <c r="N4709" s="2018"/>
      <c r="O4709" s="2018"/>
      <c r="P4709" s="2018"/>
      <c r="Q4709" s="2018"/>
      <c r="R4709" s="2018"/>
      <c r="S4709" s="2018"/>
      <c r="T4709" s="2018"/>
      <c r="U4709" s="2018"/>
      <c r="V4709" s="2018"/>
      <c r="W4709" s="2018"/>
      <c r="X4709" s="2018"/>
      <c r="Y4709" s="2018"/>
      <c r="Z4709" s="2021"/>
      <c r="AA4709" s="2021"/>
      <c r="AB4709" s="1050"/>
      <c r="AC4709" s="1050"/>
      <c r="AD4709" s="1050"/>
      <c r="AE4709" s="1050"/>
      <c r="AF4709" s="1052"/>
    </row>
    <row r="4710" spans="1:32" ht="15.75" x14ac:dyDescent="0.25">
      <c r="A4710" s="2017"/>
      <c r="B4710" s="2018"/>
      <c r="C4710" s="2018"/>
      <c r="D4710" s="2018"/>
      <c r="E4710" s="2018"/>
      <c r="F4710" s="2018"/>
      <c r="G4710" s="2018"/>
      <c r="H4710" s="2018"/>
      <c r="I4710" s="2018"/>
      <c r="J4710" s="2018"/>
      <c r="K4710" s="2018"/>
      <c r="L4710" s="2018"/>
      <c r="M4710" s="2018"/>
      <c r="N4710" s="2018"/>
      <c r="O4710" s="2018"/>
      <c r="P4710" s="2018"/>
      <c r="Q4710" s="2018"/>
      <c r="R4710" s="2018"/>
      <c r="S4710" s="2018"/>
      <c r="T4710" s="2018"/>
      <c r="U4710" s="2018"/>
      <c r="V4710" s="2018"/>
      <c r="W4710" s="2018"/>
      <c r="X4710" s="2018"/>
      <c r="Y4710" s="2018"/>
      <c r="Z4710" s="2021"/>
      <c r="AA4710" s="2021"/>
      <c r="AB4710" s="1050"/>
      <c r="AC4710" s="1050"/>
      <c r="AD4710" s="1050"/>
      <c r="AE4710" s="1050"/>
      <c r="AF4710" s="1052"/>
    </row>
    <row r="4711" spans="1:32" ht="15.75" x14ac:dyDescent="0.25">
      <c r="A4711" s="2017"/>
      <c r="B4711" s="2018"/>
      <c r="C4711" s="2018"/>
      <c r="D4711" s="2018"/>
      <c r="E4711" s="2018"/>
      <c r="F4711" s="2018"/>
      <c r="G4711" s="2018"/>
      <c r="H4711" s="2018"/>
      <c r="I4711" s="2018"/>
      <c r="J4711" s="2018"/>
      <c r="K4711" s="2018"/>
      <c r="L4711" s="2018"/>
      <c r="M4711" s="2018"/>
      <c r="N4711" s="2018"/>
      <c r="O4711" s="2018"/>
      <c r="P4711" s="2018"/>
      <c r="Q4711" s="2018"/>
      <c r="R4711" s="2018"/>
      <c r="S4711" s="2018"/>
      <c r="T4711" s="2018"/>
      <c r="U4711" s="2018"/>
      <c r="V4711" s="2018"/>
      <c r="W4711" s="2018"/>
      <c r="X4711" s="2018"/>
      <c r="Y4711" s="2018"/>
      <c r="Z4711" s="2021"/>
      <c r="AA4711" s="2021"/>
      <c r="AB4711" s="1050"/>
      <c r="AC4711" s="1050"/>
      <c r="AD4711" s="1050"/>
      <c r="AE4711" s="1050"/>
      <c r="AF4711" s="1052"/>
    </row>
    <row r="4712" spans="1:32" ht="15.75" x14ac:dyDescent="0.25">
      <c r="A4712" s="2017"/>
      <c r="B4712" s="2018"/>
      <c r="C4712" s="2018"/>
      <c r="D4712" s="2018"/>
      <c r="E4712" s="2018"/>
      <c r="F4712" s="2018"/>
      <c r="G4712" s="2018"/>
      <c r="H4712" s="2018"/>
      <c r="I4712" s="2018"/>
      <c r="J4712" s="2018"/>
      <c r="K4712" s="2018"/>
      <c r="L4712" s="2018"/>
      <c r="M4712" s="2018"/>
      <c r="N4712" s="2018"/>
      <c r="O4712" s="2018"/>
      <c r="P4712" s="2018"/>
      <c r="Q4712" s="2018"/>
      <c r="R4712" s="2018"/>
      <c r="S4712" s="2018"/>
      <c r="T4712" s="2018"/>
      <c r="U4712" s="2018"/>
      <c r="V4712" s="2018"/>
      <c r="W4712" s="2018"/>
      <c r="X4712" s="2018"/>
      <c r="Y4712" s="2018"/>
      <c r="Z4712" s="2021"/>
      <c r="AA4712" s="2021"/>
      <c r="AB4712" s="1050"/>
      <c r="AC4712" s="1050"/>
      <c r="AD4712" s="1050"/>
      <c r="AE4712" s="1050"/>
      <c r="AF4712" s="1052"/>
    </row>
    <row r="4713" spans="1:32" ht="15.75" x14ac:dyDescent="0.25">
      <c r="A4713" s="2017"/>
      <c r="B4713" s="2018"/>
      <c r="C4713" s="2018"/>
      <c r="D4713" s="2018"/>
      <c r="E4713" s="2018"/>
      <c r="F4713" s="2018"/>
      <c r="G4713" s="2018"/>
      <c r="H4713" s="2018"/>
      <c r="I4713" s="2018"/>
      <c r="J4713" s="2018"/>
      <c r="K4713" s="2018"/>
      <c r="L4713" s="2018"/>
      <c r="M4713" s="2018"/>
      <c r="N4713" s="2018"/>
      <c r="O4713" s="2018"/>
      <c r="P4713" s="2018"/>
      <c r="Q4713" s="2018"/>
      <c r="R4713" s="2018"/>
      <c r="S4713" s="2018"/>
      <c r="T4713" s="2018"/>
      <c r="U4713" s="2018"/>
      <c r="V4713" s="2018"/>
      <c r="W4713" s="2018"/>
      <c r="X4713" s="2018"/>
      <c r="Y4713" s="2018"/>
      <c r="Z4713" s="2022"/>
      <c r="AA4713" s="2022"/>
      <c r="AB4713" s="1050"/>
      <c r="AC4713" s="1050"/>
      <c r="AD4713" s="1050"/>
      <c r="AE4713" s="1050"/>
      <c r="AF4713" s="1052"/>
    </row>
    <row r="4714" spans="1:32" ht="15.75" x14ac:dyDescent="0.25">
      <c r="A4714" s="2017"/>
      <c r="B4714" s="2018"/>
      <c r="C4714" s="2018"/>
      <c r="D4714" s="2018"/>
      <c r="E4714" s="2018"/>
      <c r="F4714" s="2018"/>
      <c r="G4714" s="2018"/>
      <c r="H4714" s="2018"/>
      <c r="I4714" s="2018"/>
      <c r="J4714" s="2018"/>
      <c r="K4714" s="2018"/>
      <c r="L4714" s="2018"/>
      <c r="M4714" s="2018"/>
      <c r="N4714" s="2018"/>
      <c r="O4714" s="2018"/>
      <c r="P4714" s="2018"/>
      <c r="Q4714" s="2018"/>
      <c r="R4714" s="2018"/>
      <c r="S4714" s="2018"/>
      <c r="T4714" s="2018"/>
      <c r="U4714" s="2018"/>
      <c r="V4714" s="2018"/>
      <c r="W4714" s="2018"/>
      <c r="X4714" s="2018"/>
      <c r="Y4714" s="2018"/>
      <c r="Z4714" s="2022"/>
      <c r="AA4714" s="2022"/>
      <c r="AB4714" s="1050"/>
      <c r="AC4714" s="1050"/>
      <c r="AD4714" s="1050"/>
      <c r="AE4714" s="1050"/>
      <c r="AF4714" s="1052"/>
    </row>
    <row r="4715" spans="1:32" ht="15.75" x14ac:dyDescent="0.25">
      <c r="A4715" s="2017"/>
      <c r="B4715" s="2018"/>
      <c r="C4715" s="2018"/>
      <c r="D4715" s="2018"/>
      <c r="E4715" s="2018"/>
      <c r="F4715" s="2018"/>
      <c r="G4715" s="2018"/>
      <c r="H4715" s="2018"/>
      <c r="I4715" s="2018"/>
      <c r="J4715" s="2018"/>
      <c r="K4715" s="2018"/>
      <c r="L4715" s="2018"/>
      <c r="M4715" s="2018"/>
      <c r="N4715" s="2018"/>
      <c r="O4715" s="2018"/>
      <c r="P4715" s="2018"/>
      <c r="Q4715" s="2018"/>
      <c r="R4715" s="2018"/>
      <c r="S4715" s="2018"/>
      <c r="T4715" s="2018"/>
      <c r="U4715" s="2018"/>
      <c r="V4715" s="2018"/>
      <c r="W4715" s="2018"/>
      <c r="X4715" s="2018"/>
      <c r="Y4715" s="2018"/>
      <c r="Z4715" s="2022"/>
      <c r="AA4715" s="2022"/>
      <c r="AB4715" s="1050"/>
      <c r="AC4715" s="1050"/>
      <c r="AD4715" s="1050"/>
      <c r="AE4715" s="1050"/>
      <c r="AF4715" s="1052"/>
    </row>
    <row r="4716" spans="1:32" ht="15.75" x14ac:dyDescent="0.25">
      <c r="A4716" s="2017"/>
      <c r="B4716" s="2018"/>
      <c r="C4716" s="2018"/>
      <c r="D4716" s="2018"/>
      <c r="E4716" s="2018"/>
      <c r="F4716" s="2018"/>
      <c r="G4716" s="2018"/>
      <c r="H4716" s="2018"/>
      <c r="I4716" s="2018"/>
      <c r="J4716" s="2018"/>
      <c r="K4716" s="2018"/>
      <c r="L4716" s="2018"/>
      <c r="M4716" s="2018"/>
      <c r="N4716" s="2018"/>
      <c r="O4716" s="2018"/>
      <c r="P4716" s="2018"/>
      <c r="Q4716" s="2018"/>
      <c r="R4716" s="2018"/>
      <c r="S4716" s="2018"/>
      <c r="T4716" s="2018"/>
      <c r="U4716" s="2018"/>
      <c r="V4716" s="2018"/>
      <c r="W4716" s="2018"/>
      <c r="X4716" s="2018"/>
      <c r="Y4716" s="2018"/>
      <c r="Z4716" s="2023"/>
      <c r="AA4716" s="2023"/>
      <c r="AB4716" s="1050"/>
      <c r="AC4716" s="1050"/>
      <c r="AD4716" s="1050"/>
      <c r="AE4716" s="1050"/>
      <c r="AF4716" s="1052"/>
    </row>
    <row r="4717" spans="1:32" ht="15.75" x14ac:dyDescent="0.25">
      <c r="A4717" s="2017"/>
      <c r="B4717" s="2018"/>
      <c r="C4717" s="2018"/>
      <c r="D4717" s="2018"/>
      <c r="E4717" s="2018"/>
      <c r="F4717" s="2018"/>
      <c r="G4717" s="2018"/>
      <c r="H4717" s="2018"/>
      <c r="I4717" s="2018"/>
      <c r="J4717" s="2018"/>
      <c r="K4717" s="2018"/>
      <c r="L4717" s="2018"/>
      <c r="M4717" s="2018"/>
      <c r="N4717" s="2018"/>
      <c r="O4717" s="2018"/>
      <c r="P4717" s="2018"/>
      <c r="Q4717" s="2018"/>
      <c r="R4717" s="2018"/>
      <c r="S4717" s="2018"/>
      <c r="T4717" s="2018"/>
      <c r="U4717" s="2018"/>
      <c r="V4717" s="2018"/>
      <c r="W4717" s="2018"/>
      <c r="X4717" s="2018"/>
      <c r="Y4717" s="2018"/>
      <c r="Z4717" s="2023"/>
      <c r="AA4717" s="2023"/>
      <c r="AB4717" s="1050"/>
      <c r="AC4717" s="1050"/>
      <c r="AD4717" s="1050"/>
      <c r="AE4717" s="1050"/>
      <c r="AF4717" s="1052"/>
    </row>
    <row r="4718" spans="1:32" ht="15.75" x14ac:dyDescent="0.25">
      <c r="A4718" s="2017"/>
      <c r="B4718" s="2018"/>
      <c r="C4718" s="2018"/>
      <c r="D4718" s="2018"/>
      <c r="E4718" s="2018"/>
      <c r="F4718" s="2018"/>
      <c r="G4718" s="2018"/>
      <c r="H4718" s="2018"/>
      <c r="I4718" s="2018"/>
      <c r="J4718" s="2018"/>
      <c r="K4718" s="2018"/>
      <c r="L4718" s="2018"/>
      <c r="M4718" s="2018"/>
      <c r="N4718" s="2018"/>
      <c r="O4718" s="2018"/>
      <c r="P4718" s="2018"/>
      <c r="Q4718" s="2018"/>
      <c r="R4718" s="2018"/>
      <c r="S4718" s="2018"/>
      <c r="T4718" s="2018"/>
      <c r="U4718" s="2018"/>
      <c r="V4718" s="2018"/>
      <c r="W4718" s="2018"/>
      <c r="X4718" s="2018"/>
      <c r="Y4718" s="2018"/>
      <c r="Z4718" s="2023"/>
      <c r="AA4718" s="2023"/>
      <c r="AB4718" s="1050"/>
      <c r="AC4718" s="1050"/>
      <c r="AD4718" s="1050"/>
      <c r="AE4718" s="1050"/>
      <c r="AF4718" s="1052"/>
    </row>
    <row r="4719" spans="1:32" ht="15.75" x14ac:dyDescent="0.25">
      <c r="A4719" s="2017"/>
      <c r="B4719" s="2018"/>
      <c r="C4719" s="2018"/>
      <c r="D4719" s="2018"/>
      <c r="E4719" s="2018"/>
      <c r="F4719" s="2018"/>
      <c r="G4719" s="2018"/>
      <c r="H4719" s="2018"/>
      <c r="I4719" s="2018"/>
      <c r="J4719" s="2018"/>
      <c r="K4719" s="2018"/>
      <c r="L4719" s="2018"/>
      <c r="M4719" s="2018"/>
      <c r="N4719" s="2018"/>
      <c r="O4719" s="2018"/>
      <c r="P4719" s="2018"/>
      <c r="Q4719" s="2018"/>
      <c r="R4719" s="2018"/>
      <c r="S4719" s="2018"/>
      <c r="T4719" s="2018"/>
      <c r="U4719" s="2018"/>
      <c r="V4719" s="2018"/>
      <c r="W4719" s="2018"/>
      <c r="X4719" s="2018"/>
      <c r="Y4719" s="2018"/>
      <c r="Z4719" s="2023"/>
      <c r="AA4719" s="2023"/>
      <c r="AB4719" s="1050"/>
      <c r="AC4719" s="1050"/>
      <c r="AD4719" s="1050"/>
      <c r="AE4719" s="1050"/>
      <c r="AF4719" s="1052"/>
    </row>
    <row r="4720" spans="1:32" ht="15.75" x14ac:dyDescent="0.25">
      <c r="A4720" s="2017"/>
      <c r="B4720" s="2018"/>
      <c r="C4720" s="2018"/>
      <c r="D4720" s="2018"/>
      <c r="E4720" s="2018"/>
      <c r="F4720" s="2018"/>
      <c r="G4720" s="2018"/>
      <c r="H4720" s="2018"/>
      <c r="I4720" s="2018"/>
      <c r="J4720" s="2018"/>
      <c r="K4720" s="2018"/>
      <c r="L4720" s="2018"/>
      <c r="M4720" s="2018"/>
      <c r="N4720" s="2018"/>
      <c r="O4720" s="2018"/>
      <c r="P4720" s="2018"/>
      <c r="Q4720" s="2018"/>
      <c r="R4720" s="2018"/>
      <c r="S4720" s="2018"/>
      <c r="T4720" s="2018"/>
      <c r="U4720" s="2018"/>
      <c r="V4720" s="2018"/>
      <c r="W4720" s="2018"/>
      <c r="X4720" s="2018"/>
      <c r="Y4720" s="2018"/>
      <c r="Z4720" s="2023"/>
      <c r="AA4720" s="2023"/>
      <c r="AB4720" s="1050"/>
      <c r="AC4720" s="1050"/>
      <c r="AD4720" s="1050"/>
      <c r="AE4720" s="1050"/>
      <c r="AF4720" s="1052"/>
    </row>
    <row r="4721" spans="1:32" ht="15.75" x14ac:dyDescent="0.25">
      <c r="A4721" s="2017"/>
      <c r="B4721" s="2018"/>
      <c r="C4721" s="2018"/>
      <c r="D4721" s="2018"/>
      <c r="E4721" s="2018"/>
      <c r="F4721" s="2018"/>
      <c r="G4721" s="2018"/>
      <c r="H4721" s="2018"/>
      <c r="I4721" s="2018"/>
      <c r="J4721" s="2018"/>
      <c r="K4721" s="2018"/>
      <c r="L4721" s="2018"/>
      <c r="M4721" s="2018"/>
      <c r="N4721" s="2018"/>
      <c r="O4721" s="2018"/>
      <c r="P4721" s="2018"/>
      <c r="Q4721" s="2018"/>
      <c r="R4721" s="2018"/>
      <c r="S4721" s="2018"/>
      <c r="T4721" s="2018"/>
      <c r="U4721" s="2018"/>
      <c r="V4721" s="2018"/>
      <c r="W4721" s="2018"/>
      <c r="X4721" s="2018"/>
      <c r="Y4721" s="2018"/>
      <c r="Z4721" s="2023"/>
      <c r="AA4721" s="2023"/>
      <c r="AB4721" s="1050"/>
      <c r="AC4721" s="1050"/>
      <c r="AD4721" s="1050"/>
      <c r="AE4721" s="1050"/>
      <c r="AF4721" s="1052"/>
    </row>
    <row r="4722" spans="1:32" ht="16.5" thickBot="1" x14ac:dyDescent="0.3">
      <c r="A4722" s="2019"/>
      <c r="B4722" s="2020"/>
      <c r="C4722" s="2020"/>
      <c r="D4722" s="2020"/>
      <c r="E4722" s="2020"/>
      <c r="F4722" s="2020"/>
      <c r="G4722" s="2020"/>
      <c r="H4722" s="2020"/>
      <c r="I4722" s="2020"/>
      <c r="J4722" s="2020"/>
      <c r="K4722" s="2020"/>
      <c r="L4722" s="2020"/>
      <c r="M4722" s="2020"/>
      <c r="N4722" s="2020"/>
      <c r="O4722" s="2020"/>
      <c r="P4722" s="2020"/>
      <c r="Q4722" s="2020"/>
      <c r="R4722" s="2020"/>
      <c r="S4722" s="2020"/>
      <c r="T4722" s="2020"/>
      <c r="U4722" s="2020"/>
      <c r="V4722" s="2020"/>
      <c r="W4722" s="2020"/>
      <c r="X4722" s="2020"/>
      <c r="Y4722" s="2020"/>
      <c r="Z4722" s="2024"/>
      <c r="AA4722" s="2024"/>
      <c r="AB4722" s="1057"/>
      <c r="AC4722" s="1057"/>
      <c r="AD4722" s="1057"/>
      <c r="AE4722" s="1057"/>
      <c r="AF4722" s="1058"/>
    </row>
    <row r="4723" spans="1:32" ht="15.75" x14ac:dyDescent="0.25">
      <c r="A4723" s="2009" t="s">
        <v>1855</v>
      </c>
      <c r="B4723" s="2010"/>
      <c r="C4723" s="2010"/>
      <c r="D4723" s="2010"/>
      <c r="E4723" s="2010"/>
      <c r="F4723" s="2010"/>
      <c r="G4723" s="2010"/>
      <c r="H4723" s="2010"/>
      <c r="I4723" s="2010"/>
      <c r="J4723" s="2010"/>
      <c r="K4723" s="2010"/>
      <c r="L4723" s="2010"/>
      <c r="M4723" s="2010"/>
      <c r="N4723" s="2010"/>
      <c r="O4723" s="2010"/>
      <c r="P4723" s="2010"/>
      <c r="Q4723" s="2010"/>
      <c r="R4723" s="2010"/>
      <c r="S4723" s="2010"/>
      <c r="T4723" s="2010"/>
      <c r="U4723" s="2010"/>
      <c r="V4723" s="2010"/>
      <c r="W4723" s="2010"/>
      <c r="X4723" s="2010"/>
      <c r="Y4723" s="2010"/>
      <c r="Z4723" s="2013" t="s">
        <v>1850</v>
      </c>
      <c r="AA4723" s="2013"/>
      <c r="AB4723" s="2013"/>
      <c r="AC4723" s="2013"/>
      <c r="AD4723" s="2013"/>
      <c r="AE4723" s="2013"/>
      <c r="AF4723" s="1059">
        <f>SUM(AF4699:AF4722)</f>
        <v>3</v>
      </c>
    </row>
    <row r="4724" spans="1:32" ht="15.75" x14ac:dyDescent="0.25">
      <c r="A4724" s="2011"/>
      <c r="B4724" s="2012"/>
      <c r="C4724" s="2012"/>
      <c r="D4724" s="2012"/>
      <c r="E4724" s="2012"/>
      <c r="F4724" s="2012"/>
      <c r="G4724" s="2012"/>
      <c r="H4724" s="2012"/>
      <c r="I4724" s="2012"/>
      <c r="J4724" s="2012"/>
      <c r="K4724" s="2012"/>
      <c r="L4724" s="2012"/>
      <c r="M4724" s="2012"/>
      <c r="N4724" s="2012"/>
      <c r="O4724" s="2012"/>
      <c r="P4724" s="2012"/>
      <c r="Q4724" s="2012"/>
      <c r="R4724" s="2012"/>
      <c r="S4724" s="2012"/>
      <c r="T4724" s="2012"/>
      <c r="U4724" s="2012"/>
      <c r="V4724" s="2012"/>
      <c r="W4724" s="2012"/>
      <c r="X4724" s="2012"/>
      <c r="Y4724" s="2012"/>
      <c r="Z4724" s="2014" t="s">
        <v>1851</v>
      </c>
      <c r="AA4724" s="2014"/>
      <c r="AB4724" s="2014"/>
      <c r="AC4724" s="2014"/>
      <c r="AD4724" s="2014"/>
      <c r="AE4724" s="2014"/>
      <c r="AF4724" s="1060">
        <v>0</v>
      </c>
    </row>
    <row r="4725" spans="1:32" ht="15.75" x14ac:dyDescent="0.25">
      <c r="A4725" s="2011"/>
      <c r="B4725" s="2012"/>
      <c r="C4725" s="2012"/>
      <c r="D4725" s="2012"/>
      <c r="E4725" s="2012"/>
      <c r="F4725" s="2012"/>
      <c r="G4725" s="2012"/>
      <c r="H4725" s="2012"/>
      <c r="I4725" s="2012"/>
      <c r="J4725" s="2012"/>
      <c r="K4725" s="2012"/>
      <c r="L4725" s="2012"/>
      <c r="M4725" s="2012"/>
      <c r="N4725" s="2012"/>
      <c r="O4725" s="2012"/>
      <c r="P4725" s="2012"/>
      <c r="Q4725" s="2012"/>
      <c r="R4725" s="2012"/>
      <c r="S4725" s="2012"/>
      <c r="T4725" s="2012"/>
      <c r="U4725" s="2012"/>
      <c r="V4725" s="2012"/>
      <c r="W4725" s="2012"/>
      <c r="X4725" s="2012"/>
      <c r="Y4725" s="2012"/>
      <c r="Z4725" s="2015" t="s">
        <v>1833</v>
      </c>
      <c r="AA4725" s="2015"/>
      <c r="AB4725" s="2015"/>
      <c r="AC4725" s="2015"/>
      <c r="AD4725" s="2015"/>
      <c r="AE4725" s="2015"/>
      <c r="AF4725" s="1061">
        <f>SUM(AF4723:AF4724)</f>
        <v>3</v>
      </c>
    </row>
    <row r="4726" spans="1:32" x14ac:dyDescent="0.2">
      <c r="A4726" s="2012" t="s">
        <v>1859</v>
      </c>
      <c r="B4726" s="2012"/>
      <c r="C4726" s="2012"/>
      <c r="D4726" s="2012"/>
      <c r="E4726" s="2012"/>
      <c r="F4726" s="2012"/>
      <c r="G4726" s="2012"/>
      <c r="H4726" s="2012"/>
      <c r="I4726" s="2012"/>
      <c r="J4726" s="2012"/>
      <c r="K4726" s="2012"/>
      <c r="L4726" s="2012"/>
      <c r="M4726" s="2012"/>
      <c r="N4726" s="2012"/>
      <c r="O4726" s="2012"/>
      <c r="P4726" s="2012"/>
      <c r="Q4726" s="2012"/>
      <c r="R4726" s="2012"/>
      <c r="S4726" s="2012"/>
      <c r="T4726" s="2016" t="s">
        <v>1840</v>
      </c>
      <c r="U4726" s="2016"/>
      <c r="V4726" s="2016"/>
      <c r="W4726" s="2016"/>
      <c r="X4726" s="2016"/>
      <c r="Y4726" s="2016"/>
      <c r="Z4726" s="2016"/>
      <c r="AA4726" s="2016"/>
      <c r="AB4726" s="2012" t="s">
        <v>1852</v>
      </c>
      <c r="AC4726" s="2012"/>
      <c r="AD4726" s="2012"/>
      <c r="AE4726" s="2012"/>
      <c r="AF4726" s="2012"/>
    </row>
    <row r="4727" spans="1:32" x14ac:dyDescent="0.2">
      <c r="A4727" s="2012"/>
      <c r="B4727" s="2012"/>
      <c r="C4727" s="2012"/>
      <c r="D4727" s="2012"/>
      <c r="E4727" s="2012"/>
      <c r="F4727" s="2012"/>
      <c r="G4727" s="2012"/>
      <c r="H4727" s="2012"/>
      <c r="I4727" s="2012"/>
      <c r="J4727" s="2012"/>
      <c r="K4727" s="2012"/>
      <c r="L4727" s="2012"/>
      <c r="M4727" s="2012"/>
      <c r="N4727" s="2012"/>
      <c r="O4727" s="2012"/>
      <c r="P4727" s="2012"/>
      <c r="Q4727" s="2012"/>
      <c r="R4727" s="2012"/>
      <c r="S4727" s="2012"/>
      <c r="T4727" s="2016"/>
      <c r="U4727" s="2016"/>
      <c r="V4727" s="2016"/>
      <c r="W4727" s="2016"/>
      <c r="X4727" s="2016"/>
      <c r="Y4727" s="2016"/>
      <c r="Z4727" s="2016"/>
      <c r="AA4727" s="2016"/>
      <c r="AB4727" s="2012"/>
      <c r="AC4727" s="2012"/>
      <c r="AD4727" s="2012"/>
      <c r="AE4727" s="2012"/>
      <c r="AF4727" s="2012"/>
    </row>
    <row r="4728" spans="1:32" ht="13.5" thickBot="1" x14ac:dyDescent="0.25"/>
    <row r="4729" spans="1:32" ht="26.45" customHeight="1" x14ac:dyDescent="0.2">
      <c r="A4729" s="2025" t="s">
        <v>1854</v>
      </c>
      <c r="B4729" s="2026"/>
      <c r="C4729" s="2026"/>
      <c r="D4729" s="2026"/>
      <c r="E4729" s="2026"/>
      <c r="F4729" s="2026"/>
      <c r="G4729" s="2026"/>
      <c r="H4729" s="2026"/>
      <c r="I4729" s="2026"/>
      <c r="J4729" s="2026"/>
      <c r="K4729" s="2026"/>
      <c r="L4729" s="2026"/>
      <c r="M4729" s="2026"/>
      <c r="N4729" s="2026"/>
      <c r="O4729" s="2026"/>
      <c r="P4729" s="2026"/>
      <c r="Q4729" s="2026"/>
      <c r="R4729" s="2026"/>
      <c r="S4729" s="2026"/>
      <c r="T4729" s="2026"/>
      <c r="U4729" s="2026"/>
      <c r="V4729" s="2026"/>
      <c r="W4729" s="2026"/>
      <c r="X4729" s="2026"/>
      <c r="Y4729" s="2026"/>
      <c r="Z4729" s="2026"/>
      <c r="AA4729" s="2026"/>
      <c r="AB4729" s="2026"/>
      <c r="AC4729" s="2026"/>
      <c r="AD4729" s="2026"/>
      <c r="AE4729" s="1041" t="s">
        <v>1834</v>
      </c>
      <c r="AF4729" s="1042" t="s">
        <v>1835</v>
      </c>
    </row>
    <row r="4730" spans="1:32" ht="21" customHeight="1" thickBot="1" x14ac:dyDescent="0.25">
      <c r="A4730" s="2027"/>
      <c r="B4730" s="2028"/>
      <c r="C4730" s="2028"/>
      <c r="D4730" s="2028"/>
      <c r="E4730" s="2028"/>
      <c r="F4730" s="2028"/>
      <c r="G4730" s="2028"/>
      <c r="H4730" s="2028"/>
      <c r="I4730" s="2028"/>
      <c r="J4730" s="2028"/>
      <c r="K4730" s="2028"/>
      <c r="L4730" s="2028"/>
      <c r="M4730" s="2028"/>
      <c r="N4730" s="2028"/>
      <c r="O4730" s="2028"/>
      <c r="P4730" s="2028"/>
      <c r="Q4730" s="2028"/>
      <c r="R4730" s="2028"/>
      <c r="S4730" s="2028"/>
      <c r="T4730" s="2028"/>
      <c r="U4730" s="2028"/>
      <c r="V4730" s="2028"/>
      <c r="W4730" s="2028"/>
      <c r="X4730" s="2028"/>
      <c r="Y4730" s="2028"/>
      <c r="Z4730" s="2028"/>
      <c r="AA4730" s="2028"/>
      <c r="AB4730" s="2028"/>
      <c r="AC4730" s="2028"/>
      <c r="AD4730" s="2028"/>
      <c r="AE4730" s="1041" t="s">
        <v>1836</v>
      </c>
      <c r="AF4730" s="1044">
        <v>1</v>
      </c>
    </row>
    <row r="4731" spans="1:32" ht="15.75" x14ac:dyDescent="0.2">
      <c r="A4731" s="2029"/>
      <c r="B4731" s="2030"/>
      <c r="C4731" s="2030"/>
      <c r="D4731" s="2031"/>
      <c r="E4731" s="2025" t="str">
        <f>'01'!$A$12</f>
        <v>"CONSTRUCCION SISTEMA DE ACUEDUCTO FASE II DEL MUNICIPIO DE TESALIA DPTO DEL HUILA"</v>
      </c>
      <c r="F4731" s="2026"/>
      <c r="G4731" s="2026"/>
      <c r="H4731" s="2026"/>
      <c r="I4731" s="2026"/>
      <c r="J4731" s="2026"/>
      <c r="K4731" s="2026"/>
      <c r="L4731" s="2026"/>
      <c r="M4731" s="2026"/>
      <c r="N4731" s="2026"/>
      <c r="O4731" s="2026"/>
      <c r="P4731" s="2026"/>
      <c r="Q4731" s="2026"/>
      <c r="R4731" s="2026"/>
      <c r="S4731" s="2026"/>
      <c r="T4731" s="2026"/>
      <c r="U4731" s="2026"/>
      <c r="V4731" s="2026"/>
      <c r="W4731" s="2026"/>
      <c r="X4731" s="2026"/>
      <c r="Y4731" s="2026"/>
      <c r="Z4731" s="2026"/>
      <c r="AA4731" s="2026"/>
      <c r="AB4731" s="2026"/>
      <c r="AC4731" s="2026"/>
      <c r="AD4731" s="2035"/>
      <c r="AE4731" s="1041" t="s">
        <v>847</v>
      </c>
      <c r="AF4731" s="1045">
        <f>'01'!$M$13</f>
        <v>0</v>
      </c>
    </row>
    <row r="4732" spans="1:32" ht="16.5" thickBot="1" x14ac:dyDescent="0.25">
      <c r="A4732" s="2032"/>
      <c r="B4732" s="2033"/>
      <c r="C4732" s="2033"/>
      <c r="D4732" s="2034"/>
      <c r="E4732" s="2027"/>
      <c r="F4732" s="2028"/>
      <c r="G4732" s="2028"/>
      <c r="H4732" s="2028"/>
      <c r="I4732" s="2028"/>
      <c r="J4732" s="2028"/>
      <c r="K4732" s="2028"/>
      <c r="L4732" s="2028"/>
      <c r="M4732" s="2028"/>
      <c r="N4732" s="2028"/>
      <c r="O4732" s="2028"/>
      <c r="P4732" s="2028"/>
      <c r="Q4732" s="2028"/>
      <c r="R4732" s="2028"/>
      <c r="S4732" s="2028"/>
      <c r="T4732" s="2028"/>
      <c r="U4732" s="2028"/>
      <c r="V4732" s="2028"/>
      <c r="W4732" s="2028"/>
      <c r="X4732" s="2028"/>
      <c r="Y4732" s="2028"/>
      <c r="Z4732" s="2028"/>
      <c r="AA4732" s="2028"/>
      <c r="AB4732" s="2028"/>
      <c r="AC4732" s="2028"/>
      <c r="AD4732" s="2036"/>
      <c r="AE4732" s="1041" t="s">
        <v>1837</v>
      </c>
      <c r="AF4732" s="1042" t="s">
        <v>1838</v>
      </c>
    </row>
    <row r="4733" spans="1:32" ht="15.75" x14ac:dyDescent="0.25">
      <c r="A4733" s="2037" t="s">
        <v>1860</v>
      </c>
      <c r="B4733" s="2038"/>
      <c r="C4733" s="2038"/>
      <c r="D4733" s="2038"/>
      <c r="E4733" s="2038"/>
      <c r="F4733" s="2038"/>
      <c r="G4733" s="2038"/>
      <c r="H4733" s="2038"/>
      <c r="I4733" s="2038"/>
      <c r="J4733" s="2038"/>
      <c r="K4733" s="2038"/>
      <c r="L4733" s="2038"/>
      <c r="M4733" s="2038"/>
      <c r="N4733" s="2038"/>
      <c r="O4733" s="2038"/>
      <c r="P4733" s="2038"/>
      <c r="Q4733" s="2038"/>
      <c r="R4733" s="2038"/>
      <c r="S4733" s="2038"/>
      <c r="T4733" s="2038"/>
      <c r="U4733" s="2038"/>
      <c r="V4733" s="2038"/>
      <c r="W4733" s="2038"/>
      <c r="X4733" s="2038"/>
      <c r="Y4733" s="2038"/>
      <c r="Z4733" s="2038"/>
      <c r="AA4733" s="2038"/>
      <c r="AB4733" s="2038"/>
      <c r="AC4733" s="2038"/>
      <c r="AD4733" s="2038"/>
      <c r="AE4733" s="2039" t="s">
        <v>1839</v>
      </c>
      <c r="AF4733" s="2040"/>
    </row>
    <row r="4734" spans="1:32" ht="15.75" x14ac:dyDescent="0.25">
      <c r="A4734" s="2041" t="s">
        <v>1840</v>
      </c>
      <c r="B4734" s="2042"/>
      <c r="C4734" s="2042"/>
      <c r="D4734" s="2042"/>
      <c r="E4734" s="2042"/>
      <c r="F4734" s="2042"/>
      <c r="G4734" s="2042"/>
      <c r="H4734" s="2042"/>
      <c r="I4734" s="2042"/>
      <c r="J4734" s="2042"/>
      <c r="K4734" s="2042"/>
      <c r="L4734" s="2042"/>
      <c r="M4734" s="2042"/>
      <c r="N4734" s="2042"/>
      <c r="O4734" s="2042"/>
      <c r="P4734" s="2042"/>
      <c r="Q4734" s="2042"/>
      <c r="R4734" s="2042"/>
      <c r="S4734" s="2042"/>
      <c r="T4734" s="2042"/>
      <c r="U4734" s="2042"/>
      <c r="V4734" s="2042"/>
      <c r="W4734" s="2042"/>
      <c r="X4734" s="2042"/>
      <c r="Y4734" s="2042"/>
      <c r="Z4734" s="2042"/>
      <c r="AA4734" s="2042"/>
      <c r="AB4734" s="2042"/>
      <c r="AC4734" s="2042"/>
      <c r="AD4734" s="2043"/>
      <c r="AE4734" s="2014" t="s">
        <v>1841</v>
      </c>
      <c r="AF4734" s="2044"/>
    </row>
    <row r="4735" spans="1:32" ht="15.75" x14ac:dyDescent="0.25">
      <c r="A4735" s="2045" t="s">
        <v>1853</v>
      </c>
      <c r="B4735" s="2046"/>
      <c r="C4735" s="2046"/>
      <c r="D4735" s="2046"/>
      <c r="E4735" s="2046"/>
      <c r="F4735" s="2046"/>
      <c r="G4735" s="2046"/>
      <c r="H4735" s="2046"/>
      <c r="I4735" s="2046"/>
      <c r="J4735" s="2046"/>
      <c r="K4735" s="2046"/>
      <c r="L4735" s="2046"/>
      <c r="M4735" s="2046"/>
      <c r="N4735" s="2046"/>
      <c r="O4735" s="2046"/>
      <c r="P4735" s="2046"/>
      <c r="Q4735" s="2046"/>
      <c r="R4735" s="2046"/>
      <c r="S4735" s="2046"/>
      <c r="T4735" s="2046"/>
      <c r="U4735" s="2046"/>
      <c r="V4735" s="2046"/>
      <c r="W4735" s="2046"/>
      <c r="X4735" s="2046"/>
      <c r="Y4735" s="2046"/>
      <c r="Z4735" s="2046"/>
      <c r="AA4735" s="2046"/>
      <c r="AB4735" s="2046"/>
      <c r="AC4735" s="2046"/>
      <c r="AD4735" s="2046"/>
      <c r="AE4735" s="2047">
        <f>'01'!$M$13</f>
        <v>0</v>
      </c>
      <c r="AF4735" s="2044"/>
    </row>
    <row r="4736" spans="1:32" x14ac:dyDescent="0.2">
      <c r="A4736" s="1046"/>
      <c r="B4736" s="1047"/>
      <c r="C4736" s="1047"/>
      <c r="D4736" s="1047"/>
      <c r="E4736" s="1047"/>
      <c r="F4736" s="1047"/>
      <c r="G4736" s="1047"/>
      <c r="H4736" s="1047"/>
      <c r="I4736" s="1047"/>
      <c r="J4736" s="1047"/>
      <c r="K4736" s="1047"/>
      <c r="L4736" s="1047"/>
      <c r="M4736" s="1047"/>
      <c r="N4736" s="1047"/>
      <c r="O4736" s="1047"/>
      <c r="P4736" s="1047"/>
      <c r="Q4736" s="1047"/>
      <c r="R4736" s="1047"/>
      <c r="S4736" s="1047"/>
      <c r="T4736" s="1047"/>
      <c r="U4736" s="1047"/>
      <c r="V4736" s="1047"/>
      <c r="W4736" s="1047"/>
      <c r="X4736" s="1047"/>
      <c r="Y4736" s="1047"/>
      <c r="Z4736" s="1047"/>
      <c r="AA4736" s="1047"/>
      <c r="AB4736" s="1047"/>
      <c r="AC4736" s="1047"/>
      <c r="AD4736" s="1047"/>
      <c r="AE4736" s="1047"/>
      <c r="AF4736" s="1048"/>
    </row>
    <row r="4737" spans="1:32" ht="30" customHeight="1" x14ac:dyDescent="0.2">
      <c r="A4737" s="2048" t="s">
        <v>1842</v>
      </c>
      <c r="B4737" s="2049"/>
      <c r="C4737" s="2049"/>
      <c r="D4737" s="2049"/>
      <c r="E4737" s="2049"/>
      <c r="F4737" s="2050" t="str">
        <f>+'01'!$H$195</f>
        <v>G - EQUIPOS Y ELEMENTOS ESPECIALES</v>
      </c>
      <c r="G4737" s="2049"/>
      <c r="H4737" s="2049"/>
      <c r="I4737" s="2049"/>
      <c r="J4737" s="2049"/>
      <c r="K4737" s="2049"/>
      <c r="L4737" s="2049"/>
      <c r="M4737" s="2049"/>
      <c r="N4737" s="2049"/>
      <c r="O4737" s="2049"/>
      <c r="P4737" s="2049"/>
      <c r="Q4737" s="2049"/>
      <c r="R4737" s="2049"/>
      <c r="S4737" s="2049"/>
      <c r="T4737" s="2049"/>
      <c r="U4737" s="2049"/>
      <c r="V4737" s="2049"/>
      <c r="W4737" s="2049"/>
      <c r="X4737" s="2049"/>
      <c r="Y4737" s="2051"/>
      <c r="Z4737" s="2052" t="s">
        <v>1843</v>
      </c>
      <c r="AA4737" s="2053"/>
      <c r="AB4737" s="2058" t="s">
        <v>1844</v>
      </c>
      <c r="AC4737" s="2059"/>
      <c r="AD4737" s="2060"/>
      <c r="AE4737" s="2064" t="s">
        <v>1845</v>
      </c>
      <c r="AF4737" s="2067" t="s">
        <v>1846</v>
      </c>
    </row>
    <row r="4738" spans="1:32" ht="15" customHeight="1" x14ac:dyDescent="0.2">
      <c r="A4738" s="2070" t="str">
        <f>+'01'!A198</f>
        <v>G-01-01</v>
      </c>
      <c r="B4738" s="2071"/>
      <c r="C4738" s="2072"/>
      <c r="D4738" s="2076" t="str">
        <f>VLOOKUP(A4738,'01'!$A$12:$N$299,3,FALSE)</f>
        <v>SUMINISTRO E INSTALACIÓN DE BOMBA DOSIFICADORA DE PRODUCTOS QUIMICOS TIPO DIAFRAGMA.</v>
      </c>
      <c r="E4738" s="2077"/>
      <c r="F4738" s="2077"/>
      <c r="G4738" s="2077"/>
      <c r="H4738" s="2077"/>
      <c r="I4738" s="2077"/>
      <c r="J4738" s="2077"/>
      <c r="K4738" s="2077"/>
      <c r="L4738" s="2077"/>
      <c r="M4738" s="2077"/>
      <c r="N4738" s="2077"/>
      <c r="O4738" s="2077"/>
      <c r="P4738" s="2077"/>
      <c r="Q4738" s="2077"/>
      <c r="R4738" s="2077"/>
      <c r="S4738" s="2078"/>
      <c r="T4738" s="2082" t="s">
        <v>124</v>
      </c>
      <c r="U4738" s="2083"/>
      <c r="V4738" s="2083"/>
      <c r="W4738" s="2083"/>
      <c r="X4738" s="2052" t="str">
        <f>VLOOKUP(A4738,'01'!$A$12:$N$299,9,FALSE)</f>
        <v>UND</v>
      </c>
      <c r="Y4738" s="2053"/>
      <c r="Z4738" s="2054"/>
      <c r="AA4738" s="2055"/>
      <c r="AB4738" s="2061"/>
      <c r="AC4738" s="2062"/>
      <c r="AD4738" s="2063"/>
      <c r="AE4738" s="2065"/>
      <c r="AF4738" s="2068"/>
    </row>
    <row r="4739" spans="1:32" ht="15" customHeight="1" x14ac:dyDescent="0.25">
      <c r="A4739" s="2073"/>
      <c r="B4739" s="2074"/>
      <c r="C4739" s="2075"/>
      <c r="D4739" s="2079"/>
      <c r="E4739" s="2080"/>
      <c r="F4739" s="2080"/>
      <c r="G4739" s="2080"/>
      <c r="H4739" s="2080"/>
      <c r="I4739" s="2080"/>
      <c r="J4739" s="2080"/>
      <c r="K4739" s="2080"/>
      <c r="L4739" s="2080"/>
      <c r="M4739" s="2080"/>
      <c r="N4739" s="2080"/>
      <c r="O4739" s="2080"/>
      <c r="P4739" s="2080"/>
      <c r="Q4739" s="2080"/>
      <c r="R4739" s="2080"/>
      <c r="S4739" s="2081"/>
      <c r="T4739" s="2084"/>
      <c r="U4739" s="2085"/>
      <c r="V4739" s="2085"/>
      <c r="W4739" s="2085"/>
      <c r="X4739" s="2056"/>
      <c r="Y4739" s="2057"/>
      <c r="Z4739" s="2056"/>
      <c r="AA4739" s="2057"/>
      <c r="AB4739" s="1049" t="s">
        <v>1847</v>
      </c>
      <c r="AC4739" s="1049" t="s">
        <v>1848</v>
      </c>
      <c r="AD4739" s="1049" t="s">
        <v>1861</v>
      </c>
      <c r="AE4739" s="2066"/>
      <c r="AF4739" s="2069"/>
    </row>
    <row r="4740" spans="1:32" ht="15.6" customHeight="1" x14ac:dyDescent="0.25">
      <c r="A4740" s="2017"/>
      <c r="B4740" s="2018"/>
      <c r="C4740" s="2018"/>
      <c r="D4740" s="2018"/>
      <c r="E4740" s="2018"/>
      <c r="F4740" s="2018"/>
      <c r="G4740" s="2018"/>
      <c r="H4740" s="2018"/>
      <c r="I4740" s="2018"/>
      <c r="J4740" s="2018"/>
      <c r="K4740" s="2018"/>
      <c r="L4740" s="2018"/>
      <c r="M4740" s="2018"/>
      <c r="N4740" s="2018"/>
      <c r="O4740" s="2018"/>
      <c r="P4740" s="2018"/>
      <c r="Q4740" s="2018"/>
      <c r="R4740" s="2018"/>
      <c r="S4740" s="2018"/>
      <c r="T4740" s="2018"/>
      <c r="U4740" s="2018"/>
      <c r="V4740" s="2018"/>
      <c r="W4740" s="2018"/>
      <c r="X4740" s="2018"/>
      <c r="Y4740" s="2018"/>
      <c r="Z4740" s="2021" t="s">
        <v>2518</v>
      </c>
      <c r="AA4740" s="2021"/>
      <c r="AB4740" s="1050"/>
      <c r="AC4740" s="1050"/>
      <c r="AD4740" s="1050"/>
      <c r="AE4740" s="1050">
        <v>2</v>
      </c>
      <c r="AF4740" s="1052">
        <f>+AE4740</f>
        <v>2</v>
      </c>
    </row>
    <row r="4741" spans="1:32" ht="15.6" customHeight="1" x14ac:dyDescent="0.25">
      <c r="A4741" s="2017"/>
      <c r="B4741" s="2018"/>
      <c r="C4741" s="2018"/>
      <c r="D4741" s="2018"/>
      <c r="E4741" s="2018"/>
      <c r="F4741" s="2018"/>
      <c r="G4741" s="2018"/>
      <c r="H4741" s="2018"/>
      <c r="I4741" s="2018"/>
      <c r="J4741" s="2018"/>
      <c r="K4741" s="2018"/>
      <c r="L4741" s="2018"/>
      <c r="M4741" s="2018"/>
      <c r="N4741" s="2018"/>
      <c r="O4741" s="2018"/>
      <c r="P4741" s="2018"/>
      <c r="Q4741" s="2018"/>
      <c r="R4741" s="2018"/>
      <c r="S4741" s="2018"/>
      <c r="T4741" s="2018"/>
      <c r="U4741" s="2018"/>
      <c r="V4741" s="2018"/>
      <c r="W4741" s="2018"/>
      <c r="X4741" s="2018"/>
      <c r="Y4741" s="2018"/>
      <c r="Z4741" s="2021"/>
      <c r="AA4741" s="2021"/>
      <c r="AB4741" s="1050"/>
      <c r="AC4741" s="1050"/>
      <c r="AD4741" s="1050"/>
      <c r="AE4741" s="1050"/>
      <c r="AF4741" s="1052"/>
    </row>
    <row r="4742" spans="1:32" ht="15.75" x14ac:dyDescent="0.25">
      <c r="A4742" s="2017"/>
      <c r="B4742" s="2018"/>
      <c r="C4742" s="2018"/>
      <c r="D4742" s="2018"/>
      <c r="E4742" s="2018"/>
      <c r="F4742" s="2018"/>
      <c r="G4742" s="2018"/>
      <c r="H4742" s="2018"/>
      <c r="I4742" s="2018"/>
      <c r="J4742" s="2018"/>
      <c r="K4742" s="2018"/>
      <c r="L4742" s="2018"/>
      <c r="M4742" s="2018"/>
      <c r="N4742" s="2018"/>
      <c r="O4742" s="2018"/>
      <c r="P4742" s="2018"/>
      <c r="Q4742" s="2018"/>
      <c r="R4742" s="2018"/>
      <c r="S4742" s="2018"/>
      <c r="T4742" s="2018"/>
      <c r="U4742" s="2018"/>
      <c r="V4742" s="2018"/>
      <c r="W4742" s="2018"/>
      <c r="X4742" s="2018"/>
      <c r="Y4742" s="2018"/>
      <c r="Z4742" s="2021"/>
      <c r="AA4742" s="2021"/>
      <c r="AB4742" s="1050"/>
      <c r="AC4742" s="1050"/>
      <c r="AD4742" s="1050"/>
      <c r="AE4742" s="1050"/>
      <c r="AF4742" s="1052"/>
    </row>
    <row r="4743" spans="1:32" ht="15.75" x14ac:dyDescent="0.25">
      <c r="A4743" s="2017"/>
      <c r="B4743" s="2018"/>
      <c r="C4743" s="2018"/>
      <c r="D4743" s="2018"/>
      <c r="E4743" s="2018"/>
      <c r="F4743" s="2018"/>
      <c r="G4743" s="2018"/>
      <c r="H4743" s="2018"/>
      <c r="I4743" s="2018"/>
      <c r="J4743" s="2018"/>
      <c r="K4743" s="2018"/>
      <c r="L4743" s="2018"/>
      <c r="M4743" s="2018"/>
      <c r="N4743" s="2018"/>
      <c r="O4743" s="2018"/>
      <c r="P4743" s="2018"/>
      <c r="Q4743" s="2018"/>
      <c r="R4743" s="2018"/>
      <c r="S4743" s="2018"/>
      <c r="T4743" s="2018"/>
      <c r="U4743" s="2018"/>
      <c r="V4743" s="2018"/>
      <c r="W4743" s="2018"/>
      <c r="X4743" s="2018"/>
      <c r="Y4743" s="2018"/>
      <c r="Z4743" s="2021"/>
      <c r="AA4743" s="2021"/>
      <c r="AB4743" s="1050"/>
      <c r="AC4743" s="1050"/>
      <c r="AD4743" s="1050"/>
      <c r="AE4743" s="1050"/>
      <c r="AF4743" s="1052"/>
    </row>
    <row r="4744" spans="1:32" ht="15.6" customHeight="1" x14ac:dyDescent="0.25">
      <c r="A4744" s="2017"/>
      <c r="B4744" s="2018"/>
      <c r="C4744" s="2018"/>
      <c r="D4744" s="2018"/>
      <c r="E4744" s="2018"/>
      <c r="F4744" s="2018"/>
      <c r="G4744" s="2018"/>
      <c r="H4744" s="2018"/>
      <c r="I4744" s="2018"/>
      <c r="J4744" s="2018"/>
      <c r="K4744" s="2018"/>
      <c r="L4744" s="2018"/>
      <c r="M4744" s="2018"/>
      <c r="N4744" s="2018"/>
      <c r="O4744" s="2018"/>
      <c r="P4744" s="2018"/>
      <c r="Q4744" s="2018"/>
      <c r="R4744" s="2018"/>
      <c r="S4744" s="2018"/>
      <c r="T4744" s="2018"/>
      <c r="U4744" s="2018"/>
      <c r="V4744" s="2018"/>
      <c r="W4744" s="2018"/>
      <c r="X4744" s="2018"/>
      <c r="Y4744" s="2018"/>
      <c r="Z4744" s="2021"/>
      <c r="AA4744" s="2021"/>
      <c r="AB4744" s="1050"/>
      <c r="AC4744" s="1050"/>
      <c r="AD4744" s="1050"/>
      <c r="AE4744" s="1050"/>
      <c r="AF4744" s="1052"/>
    </row>
    <row r="4745" spans="1:32" ht="15.75" x14ac:dyDescent="0.25">
      <c r="A4745" s="2017"/>
      <c r="B4745" s="2018"/>
      <c r="C4745" s="2018"/>
      <c r="D4745" s="2018"/>
      <c r="E4745" s="2018"/>
      <c r="F4745" s="2018"/>
      <c r="G4745" s="2018"/>
      <c r="H4745" s="2018"/>
      <c r="I4745" s="2018"/>
      <c r="J4745" s="2018"/>
      <c r="K4745" s="2018"/>
      <c r="L4745" s="2018"/>
      <c r="M4745" s="2018"/>
      <c r="N4745" s="2018"/>
      <c r="O4745" s="2018"/>
      <c r="P4745" s="2018"/>
      <c r="Q4745" s="2018"/>
      <c r="R4745" s="2018"/>
      <c r="S4745" s="2018"/>
      <c r="T4745" s="2018"/>
      <c r="U4745" s="2018"/>
      <c r="V4745" s="2018"/>
      <c r="W4745" s="2018"/>
      <c r="X4745" s="2018"/>
      <c r="Y4745" s="2018"/>
      <c r="Z4745" s="2021"/>
      <c r="AA4745" s="2021"/>
      <c r="AB4745" s="1050"/>
      <c r="AC4745" s="1050"/>
      <c r="AD4745" s="1050"/>
      <c r="AE4745" s="1050"/>
      <c r="AF4745" s="1052"/>
    </row>
    <row r="4746" spans="1:32" ht="15.75" x14ac:dyDescent="0.25">
      <c r="A4746" s="2017"/>
      <c r="B4746" s="2018"/>
      <c r="C4746" s="2018"/>
      <c r="D4746" s="2018"/>
      <c r="E4746" s="2018"/>
      <c r="F4746" s="2018"/>
      <c r="G4746" s="2018"/>
      <c r="H4746" s="2018"/>
      <c r="I4746" s="2018"/>
      <c r="J4746" s="2018"/>
      <c r="K4746" s="2018"/>
      <c r="L4746" s="2018"/>
      <c r="M4746" s="2018"/>
      <c r="N4746" s="2018"/>
      <c r="O4746" s="2018"/>
      <c r="P4746" s="2018"/>
      <c r="Q4746" s="2018"/>
      <c r="R4746" s="2018"/>
      <c r="S4746" s="2018"/>
      <c r="T4746" s="2018"/>
      <c r="U4746" s="2018"/>
      <c r="V4746" s="2018"/>
      <c r="W4746" s="2018"/>
      <c r="X4746" s="2018"/>
      <c r="Y4746" s="2018"/>
      <c r="Z4746" s="2021"/>
      <c r="AA4746" s="2021"/>
      <c r="AB4746" s="1050"/>
      <c r="AC4746" s="1050"/>
      <c r="AD4746" s="1050"/>
      <c r="AE4746" s="1050"/>
      <c r="AF4746" s="1052"/>
    </row>
    <row r="4747" spans="1:32" ht="15.75" x14ac:dyDescent="0.25">
      <c r="A4747" s="2017"/>
      <c r="B4747" s="2018"/>
      <c r="C4747" s="2018"/>
      <c r="D4747" s="2018"/>
      <c r="E4747" s="2018"/>
      <c r="F4747" s="2018"/>
      <c r="G4747" s="2018"/>
      <c r="H4747" s="2018"/>
      <c r="I4747" s="2018"/>
      <c r="J4747" s="2018"/>
      <c r="K4747" s="2018"/>
      <c r="L4747" s="2018"/>
      <c r="M4747" s="2018"/>
      <c r="N4747" s="2018"/>
      <c r="O4747" s="2018"/>
      <c r="P4747" s="2018"/>
      <c r="Q4747" s="2018"/>
      <c r="R4747" s="2018"/>
      <c r="S4747" s="2018"/>
      <c r="T4747" s="2018"/>
      <c r="U4747" s="2018"/>
      <c r="V4747" s="2018"/>
      <c r="W4747" s="2018"/>
      <c r="X4747" s="2018"/>
      <c r="Y4747" s="2018"/>
      <c r="Z4747" s="2021"/>
      <c r="AA4747" s="2021"/>
      <c r="AB4747" s="1050"/>
      <c r="AC4747" s="1050"/>
      <c r="AD4747" s="1050"/>
      <c r="AE4747" s="1050"/>
      <c r="AF4747" s="1052"/>
    </row>
    <row r="4748" spans="1:32" ht="15.75" x14ac:dyDescent="0.25">
      <c r="A4748" s="2017"/>
      <c r="B4748" s="2018"/>
      <c r="C4748" s="2018"/>
      <c r="D4748" s="2018"/>
      <c r="E4748" s="2018"/>
      <c r="F4748" s="2018"/>
      <c r="G4748" s="2018"/>
      <c r="H4748" s="2018"/>
      <c r="I4748" s="2018"/>
      <c r="J4748" s="2018"/>
      <c r="K4748" s="2018"/>
      <c r="L4748" s="2018"/>
      <c r="M4748" s="2018"/>
      <c r="N4748" s="2018"/>
      <c r="O4748" s="2018"/>
      <c r="P4748" s="2018"/>
      <c r="Q4748" s="2018"/>
      <c r="R4748" s="2018"/>
      <c r="S4748" s="2018"/>
      <c r="T4748" s="2018"/>
      <c r="U4748" s="2018"/>
      <c r="V4748" s="2018"/>
      <c r="W4748" s="2018"/>
      <c r="X4748" s="2018"/>
      <c r="Y4748" s="2018"/>
      <c r="Z4748" s="2021"/>
      <c r="AA4748" s="2021"/>
      <c r="AB4748" s="1050"/>
      <c r="AC4748" s="1050"/>
      <c r="AD4748" s="1050"/>
      <c r="AE4748" s="1050"/>
      <c r="AF4748" s="1052"/>
    </row>
    <row r="4749" spans="1:32" ht="15.75" x14ac:dyDescent="0.25">
      <c r="A4749" s="2017"/>
      <c r="B4749" s="2018"/>
      <c r="C4749" s="2018"/>
      <c r="D4749" s="2018"/>
      <c r="E4749" s="2018"/>
      <c r="F4749" s="2018"/>
      <c r="G4749" s="2018"/>
      <c r="H4749" s="2018"/>
      <c r="I4749" s="2018"/>
      <c r="J4749" s="2018"/>
      <c r="K4749" s="2018"/>
      <c r="L4749" s="2018"/>
      <c r="M4749" s="2018"/>
      <c r="N4749" s="2018"/>
      <c r="O4749" s="2018"/>
      <c r="P4749" s="2018"/>
      <c r="Q4749" s="2018"/>
      <c r="R4749" s="2018"/>
      <c r="S4749" s="2018"/>
      <c r="T4749" s="2018"/>
      <c r="U4749" s="2018"/>
      <c r="V4749" s="2018"/>
      <c r="W4749" s="2018"/>
      <c r="X4749" s="2018"/>
      <c r="Y4749" s="2018"/>
      <c r="Z4749" s="2021"/>
      <c r="AA4749" s="2021"/>
      <c r="AB4749" s="1050"/>
      <c r="AC4749" s="1050"/>
      <c r="AD4749" s="1050"/>
      <c r="AE4749" s="1050"/>
      <c r="AF4749" s="1052"/>
    </row>
    <row r="4750" spans="1:32" ht="15.75" x14ac:dyDescent="0.25">
      <c r="A4750" s="2017"/>
      <c r="B4750" s="2018"/>
      <c r="C4750" s="2018"/>
      <c r="D4750" s="2018"/>
      <c r="E4750" s="2018"/>
      <c r="F4750" s="2018"/>
      <c r="G4750" s="2018"/>
      <c r="H4750" s="2018"/>
      <c r="I4750" s="2018"/>
      <c r="J4750" s="2018"/>
      <c r="K4750" s="2018"/>
      <c r="L4750" s="2018"/>
      <c r="M4750" s="2018"/>
      <c r="N4750" s="2018"/>
      <c r="O4750" s="2018"/>
      <c r="P4750" s="2018"/>
      <c r="Q4750" s="2018"/>
      <c r="R4750" s="2018"/>
      <c r="S4750" s="2018"/>
      <c r="T4750" s="2018"/>
      <c r="U4750" s="2018"/>
      <c r="V4750" s="2018"/>
      <c r="W4750" s="2018"/>
      <c r="X4750" s="2018"/>
      <c r="Y4750" s="2018"/>
      <c r="Z4750" s="2021"/>
      <c r="AA4750" s="2021"/>
      <c r="AB4750" s="1050"/>
      <c r="AC4750" s="1050"/>
      <c r="AD4750" s="1050"/>
      <c r="AE4750" s="1050"/>
      <c r="AF4750" s="1052"/>
    </row>
    <row r="4751" spans="1:32" ht="15.75" x14ac:dyDescent="0.25">
      <c r="A4751" s="2017"/>
      <c r="B4751" s="2018"/>
      <c r="C4751" s="2018"/>
      <c r="D4751" s="2018"/>
      <c r="E4751" s="2018"/>
      <c r="F4751" s="2018"/>
      <c r="G4751" s="2018"/>
      <c r="H4751" s="2018"/>
      <c r="I4751" s="2018"/>
      <c r="J4751" s="2018"/>
      <c r="K4751" s="2018"/>
      <c r="L4751" s="2018"/>
      <c r="M4751" s="2018"/>
      <c r="N4751" s="2018"/>
      <c r="O4751" s="2018"/>
      <c r="P4751" s="2018"/>
      <c r="Q4751" s="2018"/>
      <c r="R4751" s="2018"/>
      <c r="S4751" s="2018"/>
      <c r="T4751" s="2018"/>
      <c r="U4751" s="2018"/>
      <c r="V4751" s="2018"/>
      <c r="W4751" s="2018"/>
      <c r="X4751" s="2018"/>
      <c r="Y4751" s="2018"/>
      <c r="Z4751" s="2021"/>
      <c r="AA4751" s="2021"/>
      <c r="AB4751" s="1050"/>
      <c r="AC4751" s="1050"/>
      <c r="AD4751" s="1050"/>
      <c r="AE4751" s="1050"/>
      <c r="AF4751" s="1052"/>
    </row>
    <row r="4752" spans="1:32" ht="15.75" x14ac:dyDescent="0.25">
      <c r="A4752" s="2017"/>
      <c r="B4752" s="2018"/>
      <c r="C4752" s="2018"/>
      <c r="D4752" s="2018"/>
      <c r="E4752" s="2018"/>
      <c r="F4752" s="2018"/>
      <c r="G4752" s="2018"/>
      <c r="H4752" s="2018"/>
      <c r="I4752" s="2018"/>
      <c r="J4752" s="2018"/>
      <c r="K4752" s="2018"/>
      <c r="L4752" s="2018"/>
      <c r="M4752" s="2018"/>
      <c r="N4752" s="2018"/>
      <c r="O4752" s="2018"/>
      <c r="P4752" s="2018"/>
      <c r="Q4752" s="2018"/>
      <c r="R4752" s="2018"/>
      <c r="S4752" s="2018"/>
      <c r="T4752" s="2018"/>
      <c r="U4752" s="2018"/>
      <c r="V4752" s="2018"/>
      <c r="W4752" s="2018"/>
      <c r="X4752" s="2018"/>
      <c r="Y4752" s="2018"/>
      <c r="Z4752" s="2021"/>
      <c r="AA4752" s="2021"/>
      <c r="AB4752" s="1050"/>
      <c r="AC4752" s="1050"/>
      <c r="AD4752" s="1050"/>
      <c r="AE4752" s="1050"/>
      <c r="AF4752" s="1052"/>
    </row>
    <row r="4753" spans="1:32" ht="15.75" x14ac:dyDescent="0.25">
      <c r="A4753" s="2017"/>
      <c r="B4753" s="2018"/>
      <c r="C4753" s="2018"/>
      <c r="D4753" s="2018"/>
      <c r="E4753" s="2018"/>
      <c r="F4753" s="2018"/>
      <c r="G4753" s="2018"/>
      <c r="H4753" s="2018"/>
      <c r="I4753" s="2018"/>
      <c r="J4753" s="2018"/>
      <c r="K4753" s="2018"/>
      <c r="L4753" s="2018"/>
      <c r="M4753" s="2018"/>
      <c r="N4753" s="2018"/>
      <c r="O4753" s="2018"/>
      <c r="P4753" s="2018"/>
      <c r="Q4753" s="2018"/>
      <c r="R4753" s="2018"/>
      <c r="S4753" s="2018"/>
      <c r="T4753" s="2018"/>
      <c r="U4753" s="2018"/>
      <c r="V4753" s="2018"/>
      <c r="W4753" s="2018"/>
      <c r="X4753" s="2018"/>
      <c r="Y4753" s="2018"/>
      <c r="Z4753" s="2021"/>
      <c r="AA4753" s="2021"/>
      <c r="AB4753" s="1050"/>
      <c r="AC4753" s="1050"/>
      <c r="AD4753" s="1050"/>
      <c r="AE4753" s="1050"/>
      <c r="AF4753" s="1052"/>
    </row>
    <row r="4754" spans="1:32" ht="15.75" x14ac:dyDescent="0.25">
      <c r="A4754" s="2017"/>
      <c r="B4754" s="2018"/>
      <c r="C4754" s="2018"/>
      <c r="D4754" s="2018"/>
      <c r="E4754" s="2018"/>
      <c r="F4754" s="2018"/>
      <c r="G4754" s="2018"/>
      <c r="H4754" s="2018"/>
      <c r="I4754" s="2018"/>
      <c r="J4754" s="2018"/>
      <c r="K4754" s="2018"/>
      <c r="L4754" s="2018"/>
      <c r="M4754" s="2018"/>
      <c r="N4754" s="2018"/>
      <c r="O4754" s="2018"/>
      <c r="P4754" s="2018"/>
      <c r="Q4754" s="2018"/>
      <c r="R4754" s="2018"/>
      <c r="S4754" s="2018"/>
      <c r="T4754" s="2018"/>
      <c r="U4754" s="2018"/>
      <c r="V4754" s="2018"/>
      <c r="W4754" s="2018"/>
      <c r="X4754" s="2018"/>
      <c r="Y4754" s="2018"/>
      <c r="Z4754" s="2022"/>
      <c r="AA4754" s="2022"/>
      <c r="AB4754" s="1050"/>
      <c r="AC4754" s="1050"/>
      <c r="AD4754" s="1050"/>
      <c r="AE4754" s="1050"/>
      <c r="AF4754" s="1052"/>
    </row>
    <row r="4755" spans="1:32" ht="15.75" x14ac:dyDescent="0.25">
      <c r="A4755" s="2017"/>
      <c r="B4755" s="2018"/>
      <c r="C4755" s="2018"/>
      <c r="D4755" s="2018"/>
      <c r="E4755" s="2018"/>
      <c r="F4755" s="2018"/>
      <c r="G4755" s="2018"/>
      <c r="H4755" s="2018"/>
      <c r="I4755" s="2018"/>
      <c r="J4755" s="2018"/>
      <c r="K4755" s="2018"/>
      <c r="L4755" s="2018"/>
      <c r="M4755" s="2018"/>
      <c r="N4755" s="2018"/>
      <c r="O4755" s="2018"/>
      <c r="P4755" s="2018"/>
      <c r="Q4755" s="2018"/>
      <c r="R4755" s="2018"/>
      <c r="S4755" s="2018"/>
      <c r="T4755" s="2018"/>
      <c r="U4755" s="2018"/>
      <c r="V4755" s="2018"/>
      <c r="W4755" s="2018"/>
      <c r="X4755" s="2018"/>
      <c r="Y4755" s="2018"/>
      <c r="Z4755" s="2022"/>
      <c r="AA4755" s="2022"/>
      <c r="AB4755" s="1050"/>
      <c r="AC4755" s="1050"/>
      <c r="AD4755" s="1050"/>
      <c r="AE4755" s="1050"/>
      <c r="AF4755" s="1052"/>
    </row>
    <row r="4756" spans="1:32" ht="15.75" x14ac:dyDescent="0.25">
      <c r="A4756" s="2017"/>
      <c r="B4756" s="2018"/>
      <c r="C4756" s="2018"/>
      <c r="D4756" s="2018"/>
      <c r="E4756" s="2018"/>
      <c r="F4756" s="2018"/>
      <c r="G4756" s="2018"/>
      <c r="H4756" s="2018"/>
      <c r="I4756" s="2018"/>
      <c r="J4756" s="2018"/>
      <c r="K4756" s="2018"/>
      <c r="L4756" s="2018"/>
      <c r="M4756" s="2018"/>
      <c r="N4756" s="2018"/>
      <c r="O4756" s="2018"/>
      <c r="P4756" s="2018"/>
      <c r="Q4756" s="2018"/>
      <c r="R4756" s="2018"/>
      <c r="S4756" s="2018"/>
      <c r="T4756" s="2018"/>
      <c r="U4756" s="2018"/>
      <c r="V4756" s="2018"/>
      <c r="W4756" s="2018"/>
      <c r="X4756" s="2018"/>
      <c r="Y4756" s="2018"/>
      <c r="Z4756" s="2022"/>
      <c r="AA4756" s="2022"/>
      <c r="AB4756" s="1050"/>
      <c r="AC4756" s="1050"/>
      <c r="AD4756" s="1050"/>
      <c r="AE4756" s="1050"/>
      <c r="AF4756" s="1052"/>
    </row>
    <row r="4757" spans="1:32" ht="15.75" x14ac:dyDescent="0.25">
      <c r="A4757" s="2017"/>
      <c r="B4757" s="2018"/>
      <c r="C4757" s="2018"/>
      <c r="D4757" s="2018"/>
      <c r="E4757" s="2018"/>
      <c r="F4757" s="2018"/>
      <c r="G4757" s="2018"/>
      <c r="H4757" s="2018"/>
      <c r="I4757" s="2018"/>
      <c r="J4757" s="2018"/>
      <c r="K4757" s="2018"/>
      <c r="L4757" s="2018"/>
      <c r="M4757" s="2018"/>
      <c r="N4757" s="2018"/>
      <c r="O4757" s="2018"/>
      <c r="P4757" s="2018"/>
      <c r="Q4757" s="2018"/>
      <c r="R4757" s="2018"/>
      <c r="S4757" s="2018"/>
      <c r="T4757" s="2018"/>
      <c r="U4757" s="2018"/>
      <c r="V4757" s="2018"/>
      <c r="W4757" s="2018"/>
      <c r="X4757" s="2018"/>
      <c r="Y4757" s="2018"/>
      <c r="Z4757" s="2023"/>
      <c r="AA4757" s="2023"/>
      <c r="AB4757" s="1050"/>
      <c r="AC4757" s="1050"/>
      <c r="AD4757" s="1050"/>
      <c r="AE4757" s="1050"/>
      <c r="AF4757" s="1052"/>
    </row>
    <row r="4758" spans="1:32" ht="15.75" x14ac:dyDescent="0.25">
      <c r="A4758" s="2017"/>
      <c r="B4758" s="2018"/>
      <c r="C4758" s="2018"/>
      <c r="D4758" s="2018"/>
      <c r="E4758" s="2018"/>
      <c r="F4758" s="2018"/>
      <c r="G4758" s="2018"/>
      <c r="H4758" s="2018"/>
      <c r="I4758" s="2018"/>
      <c r="J4758" s="2018"/>
      <c r="K4758" s="2018"/>
      <c r="L4758" s="2018"/>
      <c r="M4758" s="2018"/>
      <c r="N4758" s="2018"/>
      <c r="O4758" s="2018"/>
      <c r="P4758" s="2018"/>
      <c r="Q4758" s="2018"/>
      <c r="R4758" s="2018"/>
      <c r="S4758" s="2018"/>
      <c r="T4758" s="2018"/>
      <c r="U4758" s="2018"/>
      <c r="V4758" s="2018"/>
      <c r="W4758" s="2018"/>
      <c r="X4758" s="2018"/>
      <c r="Y4758" s="2018"/>
      <c r="Z4758" s="2023"/>
      <c r="AA4758" s="2023"/>
      <c r="AB4758" s="1050"/>
      <c r="AC4758" s="1050"/>
      <c r="AD4758" s="1050"/>
      <c r="AE4758" s="1050"/>
      <c r="AF4758" s="1052"/>
    </row>
    <row r="4759" spans="1:32" ht="15.75" x14ac:dyDescent="0.25">
      <c r="A4759" s="2017"/>
      <c r="B4759" s="2018"/>
      <c r="C4759" s="2018"/>
      <c r="D4759" s="2018"/>
      <c r="E4759" s="2018"/>
      <c r="F4759" s="2018"/>
      <c r="G4759" s="2018"/>
      <c r="H4759" s="2018"/>
      <c r="I4759" s="2018"/>
      <c r="J4759" s="2018"/>
      <c r="K4759" s="2018"/>
      <c r="L4759" s="2018"/>
      <c r="M4759" s="2018"/>
      <c r="N4759" s="2018"/>
      <c r="O4759" s="2018"/>
      <c r="P4759" s="2018"/>
      <c r="Q4759" s="2018"/>
      <c r="R4759" s="2018"/>
      <c r="S4759" s="2018"/>
      <c r="T4759" s="2018"/>
      <c r="U4759" s="2018"/>
      <c r="V4759" s="2018"/>
      <c r="W4759" s="2018"/>
      <c r="X4759" s="2018"/>
      <c r="Y4759" s="2018"/>
      <c r="Z4759" s="2023"/>
      <c r="AA4759" s="2023"/>
      <c r="AB4759" s="1050"/>
      <c r="AC4759" s="1050"/>
      <c r="AD4759" s="1050"/>
      <c r="AE4759" s="1050"/>
      <c r="AF4759" s="1052"/>
    </row>
    <row r="4760" spans="1:32" ht="15.75" x14ac:dyDescent="0.25">
      <c r="A4760" s="2017"/>
      <c r="B4760" s="2018"/>
      <c r="C4760" s="2018"/>
      <c r="D4760" s="2018"/>
      <c r="E4760" s="2018"/>
      <c r="F4760" s="2018"/>
      <c r="G4760" s="2018"/>
      <c r="H4760" s="2018"/>
      <c r="I4760" s="2018"/>
      <c r="J4760" s="2018"/>
      <c r="K4760" s="2018"/>
      <c r="L4760" s="2018"/>
      <c r="M4760" s="2018"/>
      <c r="N4760" s="2018"/>
      <c r="O4760" s="2018"/>
      <c r="P4760" s="2018"/>
      <c r="Q4760" s="2018"/>
      <c r="R4760" s="2018"/>
      <c r="S4760" s="2018"/>
      <c r="T4760" s="2018"/>
      <c r="U4760" s="2018"/>
      <c r="V4760" s="2018"/>
      <c r="W4760" s="2018"/>
      <c r="X4760" s="2018"/>
      <c r="Y4760" s="2018"/>
      <c r="Z4760" s="2023"/>
      <c r="AA4760" s="2023"/>
      <c r="AB4760" s="1050"/>
      <c r="AC4760" s="1050"/>
      <c r="AD4760" s="1050"/>
      <c r="AE4760" s="1050"/>
      <c r="AF4760" s="1052"/>
    </row>
    <row r="4761" spans="1:32" ht="15.75" x14ac:dyDescent="0.25">
      <c r="A4761" s="2017"/>
      <c r="B4761" s="2018"/>
      <c r="C4761" s="2018"/>
      <c r="D4761" s="2018"/>
      <c r="E4761" s="2018"/>
      <c r="F4761" s="2018"/>
      <c r="G4761" s="2018"/>
      <c r="H4761" s="2018"/>
      <c r="I4761" s="2018"/>
      <c r="J4761" s="2018"/>
      <c r="K4761" s="2018"/>
      <c r="L4761" s="2018"/>
      <c r="M4761" s="2018"/>
      <c r="N4761" s="2018"/>
      <c r="O4761" s="2018"/>
      <c r="P4761" s="2018"/>
      <c r="Q4761" s="2018"/>
      <c r="R4761" s="2018"/>
      <c r="S4761" s="2018"/>
      <c r="T4761" s="2018"/>
      <c r="U4761" s="2018"/>
      <c r="V4761" s="2018"/>
      <c r="W4761" s="2018"/>
      <c r="X4761" s="2018"/>
      <c r="Y4761" s="2018"/>
      <c r="Z4761" s="2023"/>
      <c r="AA4761" s="2023"/>
      <c r="AB4761" s="1050"/>
      <c r="AC4761" s="1050"/>
      <c r="AD4761" s="1050"/>
      <c r="AE4761" s="1050"/>
      <c r="AF4761" s="1052"/>
    </row>
    <row r="4762" spans="1:32" ht="15.75" x14ac:dyDescent="0.25">
      <c r="A4762" s="2017"/>
      <c r="B4762" s="2018"/>
      <c r="C4762" s="2018"/>
      <c r="D4762" s="2018"/>
      <c r="E4762" s="2018"/>
      <c r="F4762" s="2018"/>
      <c r="G4762" s="2018"/>
      <c r="H4762" s="2018"/>
      <c r="I4762" s="2018"/>
      <c r="J4762" s="2018"/>
      <c r="K4762" s="2018"/>
      <c r="L4762" s="2018"/>
      <c r="M4762" s="2018"/>
      <c r="N4762" s="2018"/>
      <c r="O4762" s="2018"/>
      <c r="P4762" s="2018"/>
      <c r="Q4762" s="2018"/>
      <c r="R4762" s="2018"/>
      <c r="S4762" s="2018"/>
      <c r="T4762" s="2018"/>
      <c r="U4762" s="2018"/>
      <c r="V4762" s="2018"/>
      <c r="W4762" s="2018"/>
      <c r="X4762" s="2018"/>
      <c r="Y4762" s="2018"/>
      <c r="Z4762" s="2023"/>
      <c r="AA4762" s="2023"/>
      <c r="AB4762" s="1050"/>
      <c r="AC4762" s="1050"/>
      <c r="AD4762" s="1050"/>
      <c r="AE4762" s="1050"/>
      <c r="AF4762" s="1052"/>
    </row>
    <row r="4763" spans="1:32" ht="16.5" thickBot="1" x14ac:dyDescent="0.3">
      <c r="A4763" s="2019"/>
      <c r="B4763" s="2020"/>
      <c r="C4763" s="2020"/>
      <c r="D4763" s="2020"/>
      <c r="E4763" s="2020"/>
      <c r="F4763" s="2020"/>
      <c r="G4763" s="2020"/>
      <c r="H4763" s="2020"/>
      <c r="I4763" s="2020"/>
      <c r="J4763" s="2020"/>
      <c r="K4763" s="2020"/>
      <c r="L4763" s="2020"/>
      <c r="M4763" s="2020"/>
      <c r="N4763" s="2020"/>
      <c r="O4763" s="2020"/>
      <c r="P4763" s="2020"/>
      <c r="Q4763" s="2020"/>
      <c r="R4763" s="2020"/>
      <c r="S4763" s="2020"/>
      <c r="T4763" s="2020"/>
      <c r="U4763" s="2020"/>
      <c r="V4763" s="2020"/>
      <c r="W4763" s="2020"/>
      <c r="X4763" s="2020"/>
      <c r="Y4763" s="2020"/>
      <c r="Z4763" s="2024"/>
      <c r="AA4763" s="2024"/>
      <c r="AB4763" s="1057"/>
      <c r="AC4763" s="1057"/>
      <c r="AD4763" s="1057"/>
      <c r="AE4763" s="1057"/>
      <c r="AF4763" s="1058"/>
    </row>
    <row r="4764" spans="1:32" ht="15.75" x14ac:dyDescent="0.25">
      <c r="A4764" s="2009" t="s">
        <v>1855</v>
      </c>
      <c r="B4764" s="2010"/>
      <c r="C4764" s="2010"/>
      <c r="D4764" s="2010"/>
      <c r="E4764" s="2010"/>
      <c r="F4764" s="2010"/>
      <c r="G4764" s="2010"/>
      <c r="H4764" s="2010"/>
      <c r="I4764" s="2010"/>
      <c r="J4764" s="2010"/>
      <c r="K4764" s="2010"/>
      <c r="L4764" s="2010"/>
      <c r="M4764" s="2010"/>
      <c r="N4764" s="2010"/>
      <c r="O4764" s="2010"/>
      <c r="P4764" s="2010"/>
      <c r="Q4764" s="2010"/>
      <c r="R4764" s="2010"/>
      <c r="S4764" s="2010"/>
      <c r="T4764" s="2010"/>
      <c r="U4764" s="2010"/>
      <c r="V4764" s="2010"/>
      <c r="W4764" s="2010"/>
      <c r="X4764" s="2010"/>
      <c r="Y4764" s="2010"/>
      <c r="Z4764" s="2013" t="s">
        <v>1850</v>
      </c>
      <c r="AA4764" s="2013"/>
      <c r="AB4764" s="2013"/>
      <c r="AC4764" s="2013"/>
      <c r="AD4764" s="2013"/>
      <c r="AE4764" s="2013"/>
      <c r="AF4764" s="1059">
        <f>SUM(AF4740:AF4763)</f>
        <v>2</v>
      </c>
    </row>
    <row r="4765" spans="1:32" ht="15.75" x14ac:dyDescent="0.25">
      <c r="A4765" s="2011"/>
      <c r="B4765" s="2012"/>
      <c r="C4765" s="2012"/>
      <c r="D4765" s="2012"/>
      <c r="E4765" s="2012"/>
      <c r="F4765" s="2012"/>
      <c r="G4765" s="2012"/>
      <c r="H4765" s="2012"/>
      <c r="I4765" s="2012"/>
      <c r="J4765" s="2012"/>
      <c r="K4765" s="2012"/>
      <c r="L4765" s="2012"/>
      <c r="M4765" s="2012"/>
      <c r="N4765" s="2012"/>
      <c r="O4765" s="2012"/>
      <c r="P4765" s="2012"/>
      <c r="Q4765" s="2012"/>
      <c r="R4765" s="2012"/>
      <c r="S4765" s="2012"/>
      <c r="T4765" s="2012"/>
      <c r="U4765" s="2012"/>
      <c r="V4765" s="2012"/>
      <c r="W4765" s="2012"/>
      <c r="X4765" s="2012"/>
      <c r="Y4765" s="2012"/>
      <c r="Z4765" s="2014" t="s">
        <v>1851</v>
      </c>
      <c r="AA4765" s="2014"/>
      <c r="AB4765" s="2014"/>
      <c r="AC4765" s="2014"/>
      <c r="AD4765" s="2014"/>
      <c r="AE4765" s="2014"/>
      <c r="AF4765" s="1060">
        <v>0</v>
      </c>
    </row>
    <row r="4766" spans="1:32" ht="15.75" x14ac:dyDescent="0.25">
      <c r="A4766" s="2011"/>
      <c r="B4766" s="2012"/>
      <c r="C4766" s="2012"/>
      <c r="D4766" s="2012"/>
      <c r="E4766" s="2012"/>
      <c r="F4766" s="2012"/>
      <c r="G4766" s="2012"/>
      <c r="H4766" s="2012"/>
      <c r="I4766" s="2012"/>
      <c r="J4766" s="2012"/>
      <c r="K4766" s="2012"/>
      <c r="L4766" s="2012"/>
      <c r="M4766" s="2012"/>
      <c r="N4766" s="2012"/>
      <c r="O4766" s="2012"/>
      <c r="P4766" s="2012"/>
      <c r="Q4766" s="2012"/>
      <c r="R4766" s="2012"/>
      <c r="S4766" s="2012"/>
      <c r="T4766" s="2012"/>
      <c r="U4766" s="2012"/>
      <c r="V4766" s="2012"/>
      <c r="W4766" s="2012"/>
      <c r="X4766" s="2012"/>
      <c r="Y4766" s="2012"/>
      <c r="Z4766" s="2015" t="s">
        <v>1833</v>
      </c>
      <c r="AA4766" s="2015"/>
      <c r="AB4766" s="2015"/>
      <c r="AC4766" s="2015"/>
      <c r="AD4766" s="2015"/>
      <c r="AE4766" s="2015"/>
      <c r="AF4766" s="1061">
        <f>SUM(AF4764:AF4765)</f>
        <v>2</v>
      </c>
    </row>
    <row r="4767" spans="1:32" x14ac:dyDescent="0.2">
      <c r="A4767" s="2012" t="s">
        <v>1859</v>
      </c>
      <c r="B4767" s="2012"/>
      <c r="C4767" s="2012"/>
      <c r="D4767" s="2012"/>
      <c r="E4767" s="2012"/>
      <c r="F4767" s="2012"/>
      <c r="G4767" s="2012"/>
      <c r="H4767" s="2012"/>
      <c r="I4767" s="2012"/>
      <c r="J4767" s="2012"/>
      <c r="K4767" s="2012"/>
      <c r="L4767" s="2012"/>
      <c r="M4767" s="2012"/>
      <c r="N4767" s="2012"/>
      <c r="O4767" s="2012"/>
      <c r="P4767" s="2012"/>
      <c r="Q4767" s="2012"/>
      <c r="R4767" s="2012"/>
      <c r="S4767" s="2012"/>
      <c r="T4767" s="2016" t="s">
        <v>1840</v>
      </c>
      <c r="U4767" s="2016"/>
      <c r="V4767" s="2016"/>
      <c r="W4767" s="2016"/>
      <c r="X4767" s="2016"/>
      <c r="Y4767" s="2016"/>
      <c r="Z4767" s="2016"/>
      <c r="AA4767" s="2016"/>
      <c r="AB4767" s="2012" t="s">
        <v>1852</v>
      </c>
      <c r="AC4767" s="2012"/>
      <c r="AD4767" s="2012"/>
      <c r="AE4767" s="2012"/>
      <c r="AF4767" s="2012"/>
    </row>
    <row r="4768" spans="1:32" x14ac:dyDescent="0.2">
      <c r="A4768" s="2012"/>
      <c r="B4768" s="2012"/>
      <c r="C4768" s="2012"/>
      <c r="D4768" s="2012"/>
      <c r="E4768" s="2012"/>
      <c r="F4768" s="2012"/>
      <c r="G4768" s="2012"/>
      <c r="H4768" s="2012"/>
      <c r="I4768" s="2012"/>
      <c r="J4768" s="2012"/>
      <c r="K4768" s="2012"/>
      <c r="L4768" s="2012"/>
      <c r="M4768" s="2012"/>
      <c r="N4768" s="2012"/>
      <c r="O4768" s="2012"/>
      <c r="P4768" s="2012"/>
      <c r="Q4768" s="2012"/>
      <c r="R4768" s="2012"/>
      <c r="S4768" s="2012"/>
      <c r="T4768" s="2016"/>
      <c r="U4768" s="2016"/>
      <c r="V4768" s="2016"/>
      <c r="W4768" s="2016"/>
      <c r="X4768" s="2016"/>
      <c r="Y4768" s="2016"/>
      <c r="Z4768" s="2016"/>
      <c r="AA4768" s="2016"/>
      <c r="AB4768" s="2012"/>
      <c r="AC4768" s="2012"/>
      <c r="AD4768" s="2012"/>
      <c r="AE4768" s="2012"/>
      <c r="AF4768" s="2012"/>
    </row>
    <row r="4769" spans="1:32" ht="13.5" thickBot="1" x14ac:dyDescent="0.25"/>
    <row r="4770" spans="1:32" ht="26.45" customHeight="1" x14ac:dyDescent="0.2">
      <c r="A4770" s="2025" t="s">
        <v>1854</v>
      </c>
      <c r="B4770" s="2026"/>
      <c r="C4770" s="2026"/>
      <c r="D4770" s="2026"/>
      <c r="E4770" s="2026"/>
      <c r="F4770" s="2026"/>
      <c r="G4770" s="2026"/>
      <c r="H4770" s="2026"/>
      <c r="I4770" s="2026"/>
      <c r="J4770" s="2026"/>
      <c r="K4770" s="2026"/>
      <c r="L4770" s="2026"/>
      <c r="M4770" s="2026"/>
      <c r="N4770" s="2026"/>
      <c r="O4770" s="2026"/>
      <c r="P4770" s="2026"/>
      <c r="Q4770" s="2026"/>
      <c r="R4770" s="2026"/>
      <c r="S4770" s="2026"/>
      <c r="T4770" s="2026"/>
      <c r="U4770" s="2026"/>
      <c r="V4770" s="2026"/>
      <c r="W4770" s="2026"/>
      <c r="X4770" s="2026"/>
      <c r="Y4770" s="2026"/>
      <c r="Z4770" s="2026"/>
      <c r="AA4770" s="2026"/>
      <c r="AB4770" s="2026"/>
      <c r="AC4770" s="2026"/>
      <c r="AD4770" s="2026"/>
      <c r="AE4770" s="1041" t="s">
        <v>1834</v>
      </c>
      <c r="AF4770" s="1042" t="s">
        <v>1835</v>
      </c>
    </row>
    <row r="4771" spans="1:32" ht="21" customHeight="1" thickBot="1" x14ac:dyDescent="0.25">
      <c r="A4771" s="2027"/>
      <c r="B4771" s="2028"/>
      <c r="C4771" s="2028"/>
      <c r="D4771" s="2028"/>
      <c r="E4771" s="2028"/>
      <c r="F4771" s="2028"/>
      <c r="G4771" s="2028"/>
      <c r="H4771" s="2028"/>
      <c r="I4771" s="2028"/>
      <c r="J4771" s="2028"/>
      <c r="K4771" s="2028"/>
      <c r="L4771" s="2028"/>
      <c r="M4771" s="2028"/>
      <c r="N4771" s="2028"/>
      <c r="O4771" s="2028"/>
      <c r="P4771" s="2028"/>
      <c r="Q4771" s="2028"/>
      <c r="R4771" s="2028"/>
      <c r="S4771" s="2028"/>
      <c r="T4771" s="2028"/>
      <c r="U4771" s="2028"/>
      <c r="V4771" s="2028"/>
      <c r="W4771" s="2028"/>
      <c r="X4771" s="2028"/>
      <c r="Y4771" s="2028"/>
      <c r="Z4771" s="2028"/>
      <c r="AA4771" s="2028"/>
      <c r="AB4771" s="2028"/>
      <c r="AC4771" s="2028"/>
      <c r="AD4771" s="2028"/>
      <c r="AE4771" s="1041" t="s">
        <v>1836</v>
      </c>
      <c r="AF4771" s="1044">
        <v>1</v>
      </c>
    </row>
    <row r="4772" spans="1:32" ht="15.75" x14ac:dyDescent="0.2">
      <c r="A4772" s="2029"/>
      <c r="B4772" s="2030"/>
      <c r="C4772" s="2030"/>
      <c r="D4772" s="2031"/>
      <c r="E4772" s="2025" t="str">
        <f>'01'!$A$12</f>
        <v>"CONSTRUCCION SISTEMA DE ACUEDUCTO FASE II DEL MUNICIPIO DE TESALIA DPTO DEL HUILA"</v>
      </c>
      <c r="F4772" s="2026"/>
      <c r="G4772" s="2026"/>
      <c r="H4772" s="2026"/>
      <c r="I4772" s="2026"/>
      <c r="J4772" s="2026"/>
      <c r="K4772" s="2026"/>
      <c r="L4772" s="2026"/>
      <c r="M4772" s="2026"/>
      <c r="N4772" s="2026"/>
      <c r="O4772" s="2026"/>
      <c r="P4772" s="2026"/>
      <c r="Q4772" s="2026"/>
      <c r="R4772" s="2026"/>
      <c r="S4772" s="2026"/>
      <c r="T4772" s="2026"/>
      <c r="U4772" s="2026"/>
      <c r="V4772" s="2026"/>
      <c r="W4772" s="2026"/>
      <c r="X4772" s="2026"/>
      <c r="Y4772" s="2026"/>
      <c r="Z4772" s="2026"/>
      <c r="AA4772" s="2026"/>
      <c r="AB4772" s="2026"/>
      <c r="AC4772" s="2026"/>
      <c r="AD4772" s="2035"/>
      <c r="AE4772" s="1041" t="s">
        <v>847</v>
      </c>
      <c r="AF4772" s="1045">
        <f>'01'!$M$13</f>
        <v>0</v>
      </c>
    </row>
    <row r="4773" spans="1:32" ht="16.5" thickBot="1" x14ac:dyDescent="0.25">
      <c r="A4773" s="2032"/>
      <c r="B4773" s="2033"/>
      <c r="C4773" s="2033"/>
      <c r="D4773" s="2034"/>
      <c r="E4773" s="2027"/>
      <c r="F4773" s="2028"/>
      <c r="G4773" s="2028"/>
      <c r="H4773" s="2028"/>
      <c r="I4773" s="2028"/>
      <c r="J4773" s="2028"/>
      <c r="K4773" s="2028"/>
      <c r="L4773" s="2028"/>
      <c r="M4773" s="2028"/>
      <c r="N4773" s="2028"/>
      <c r="O4773" s="2028"/>
      <c r="P4773" s="2028"/>
      <c r="Q4773" s="2028"/>
      <c r="R4773" s="2028"/>
      <c r="S4773" s="2028"/>
      <c r="T4773" s="2028"/>
      <c r="U4773" s="2028"/>
      <c r="V4773" s="2028"/>
      <c r="W4773" s="2028"/>
      <c r="X4773" s="2028"/>
      <c r="Y4773" s="2028"/>
      <c r="Z4773" s="2028"/>
      <c r="AA4773" s="2028"/>
      <c r="AB4773" s="2028"/>
      <c r="AC4773" s="2028"/>
      <c r="AD4773" s="2036"/>
      <c r="AE4773" s="1041" t="s">
        <v>1837</v>
      </c>
      <c r="AF4773" s="1042" t="s">
        <v>1838</v>
      </c>
    </row>
    <row r="4774" spans="1:32" ht="15.75" x14ac:dyDescent="0.25">
      <c r="A4774" s="2037" t="s">
        <v>1860</v>
      </c>
      <c r="B4774" s="2038"/>
      <c r="C4774" s="2038"/>
      <c r="D4774" s="2038"/>
      <c r="E4774" s="2038"/>
      <c r="F4774" s="2038"/>
      <c r="G4774" s="2038"/>
      <c r="H4774" s="2038"/>
      <c r="I4774" s="2038"/>
      <c r="J4774" s="2038"/>
      <c r="K4774" s="2038"/>
      <c r="L4774" s="2038"/>
      <c r="M4774" s="2038"/>
      <c r="N4774" s="2038"/>
      <c r="O4774" s="2038"/>
      <c r="P4774" s="2038"/>
      <c r="Q4774" s="2038"/>
      <c r="R4774" s="2038"/>
      <c r="S4774" s="2038"/>
      <c r="T4774" s="2038"/>
      <c r="U4774" s="2038"/>
      <c r="V4774" s="2038"/>
      <c r="W4774" s="2038"/>
      <c r="X4774" s="2038"/>
      <c r="Y4774" s="2038"/>
      <c r="Z4774" s="2038"/>
      <c r="AA4774" s="2038"/>
      <c r="AB4774" s="2038"/>
      <c r="AC4774" s="2038"/>
      <c r="AD4774" s="2038"/>
      <c r="AE4774" s="2039" t="s">
        <v>1839</v>
      </c>
      <c r="AF4774" s="2040"/>
    </row>
    <row r="4775" spans="1:32" ht="15.75" x14ac:dyDescent="0.25">
      <c r="A4775" s="2041" t="s">
        <v>1840</v>
      </c>
      <c r="B4775" s="2042"/>
      <c r="C4775" s="2042"/>
      <c r="D4775" s="2042"/>
      <c r="E4775" s="2042"/>
      <c r="F4775" s="2042"/>
      <c r="G4775" s="2042"/>
      <c r="H4775" s="2042"/>
      <c r="I4775" s="2042"/>
      <c r="J4775" s="2042"/>
      <c r="K4775" s="2042"/>
      <c r="L4775" s="2042"/>
      <c r="M4775" s="2042"/>
      <c r="N4775" s="2042"/>
      <c r="O4775" s="2042"/>
      <c r="P4775" s="2042"/>
      <c r="Q4775" s="2042"/>
      <c r="R4775" s="2042"/>
      <c r="S4775" s="2042"/>
      <c r="T4775" s="2042"/>
      <c r="U4775" s="2042"/>
      <c r="V4775" s="2042"/>
      <c r="W4775" s="2042"/>
      <c r="X4775" s="2042"/>
      <c r="Y4775" s="2042"/>
      <c r="Z4775" s="2042"/>
      <c r="AA4775" s="2042"/>
      <c r="AB4775" s="2042"/>
      <c r="AC4775" s="2042"/>
      <c r="AD4775" s="2043"/>
      <c r="AE4775" s="2014" t="s">
        <v>1841</v>
      </c>
      <c r="AF4775" s="2044"/>
    </row>
    <row r="4776" spans="1:32" ht="15.75" x14ac:dyDescent="0.25">
      <c r="A4776" s="2045" t="s">
        <v>1853</v>
      </c>
      <c r="B4776" s="2046"/>
      <c r="C4776" s="2046"/>
      <c r="D4776" s="2046"/>
      <c r="E4776" s="2046"/>
      <c r="F4776" s="2046"/>
      <c r="G4776" s="2046"/>
      <c r="H4776" s="2046"/>
      <c r="I4776" s="2046"/>
      <c r="J4776" s="2046"/>
      <c r="K4776" s="2046"/>
      <c r="L4776" s="2046"/>
      <c r="M4776" s="2046"/>
      <c r="N4776" s="2046"/>
      <c r="O4776" s="2046"/>
      <c r="P4776" s="2046"/>
      <c r="Q4776" s="2046"/>
      <c r="R4776" s="2046"/>
      <c r="S4776" s="2046"/>
      <c r="T4776" s="2046"/>
      <c r="U4776" s="2046"/>
      <c r="V4776" s="2046"/>
      <c r="W4776" s="2046"/>
      <c r="X4776" s="2046"/>
      <c r="Y4776" s="2046"/>
      <c r="Z4776" s="2046"/>
      <c r="AA4776" s="2046"/>
      <c r="AB4776" s="2046"/>
      <c r="AC4776" s="2046"/>
      <c r="AD4776" s="2046"/>
      <c r="AE4776" s="2047">
        <f>'01'!$M$13</f>
        <v>0</v>
      </c>
      <c r="AF4776" s="2044"/>
    </row>
    <row r="4777" spans="1:32" x14ac:dyDescent="0.2">
      <c r="A4777" s="1046"/>
      <c r="B4777" s="1047"/>
      <c r="C4777" s="1047"/>
      <c r="D4777" s="1047"/>
      <c r="E4777" s="1047"/>
      <c r="F4777" s="1047"/>
      <c r="G4777" s="1047"/>
      <c r="H4777" s="1047"/>
      <c r="I4777" s="1047"/>
      <c r="J4777" s="1047"/>
      <c r="K4777" s="1047"/>
      <c r="L4777" s="1047"/>
      <c r="M4777" s="1047"/>
      <c r="N4777" s="1047"/>
      <c r="O4777" s="1047"/>
      <c r="P4777" s="1047"/>
      <c r="Q4777" s="1047"/>
      <c r="R4777" s="1047"/>
      <c r="S4777" s="1047"/>
      <c r="T4777" s="1047"/>
      <c r="U4777" s="1047"/>
      <c r="V4777" s="1047"/>
      <c r="W4777" s="1047"/>
      <c r="X4777" s="1047"/>
      <c r="Y4777" s="1047"/>
      <c r="Z4777" s="1047"/>
      <c r="AA4777" s="1047"/>
      <c r="AB4777" s="1047"/>
      <c r="AC4777" s="1047"/>
      <c r="AD4777" s="1047"/>
      <c r="AE4777" s="1047"/>
      <c r="AF4777" s="1048"/>
    </row>
    <row r="4778" spans="1:32" ht="30" customHeight="1" x14ac:dyDescent="0.2">
      <c r="A4778" s="2048" t="s">
        <v>1842</v>
      </c>
      <c r="B4778" s="2049"/>
      <c r="C4778" s="2049"/>
      <c r="D4778" s="2049"/>
      <c r="E4778" s="2049"/>
      <c r="F4778" s="2050" t="str">
        <f>+'01'!$H$195</f>
        <v>G - EQUIPOS Y ELEMENTOS ESPECIALES</v>
      </c>
      <c r="G4778" s="2049"/>
      <c r="H4778" s="2049"/>
      <c r="I4778" s="2049"/>
      <c r="J4778" s="2049"/>
      <c r="K4778" s="2049"/>
      <c r="L4778" s="2049"/>
      <c r="M4778" s="2049"/>
      <c r="N4778" s="2049"/>
      <c r="O4778" s="2049"/>
      <c r="P4778" s="2049"/>
      <c r="Q4778" s="2049"/>
      <c r="R4778" s="2049"/>
      <c r="S4778" s="2049"/>
      <c r="T4778" s="2049"/>
      <c r="U4778" s="2049"/>
      <c r="V4778" s="2049"/>
      <c r="W4778" s="2049"/>
      <c r="X4778" s="2049"/>
      <c r="Y4778" s="2051"/>
      <c r="Z4778" s="2052" t="s">
        <v>1843</v>
      </c>
      <c r="AA4778" s="2053"/>
      <c r="AB4778" s="2058" t="s">
        <v>1844</v>
      </c>
      <c r="AC4778" s="2059"/>
      <c r="AD4778" s="2060"/>
      <c r="AE4778" s="2064" t="s">
        <v>1845</v>
      </c>
      <c r="AF4778" s="2067" t="s">
        <v>1846</v>
      </c>
    </row>
    <row r="4779" spans="1:32" ht="15" customHeight="1" x14ac:dyDescent="0.2">
      <c r="A4779" s="2070" t="e">
        <f>+'01'!#REF!</f>
        <v>#REF!</v>
      </c>
      <c r="B4779" s="2071"/>
      <c r="C4779" s="2072"/>
      <c r="D4779" s="2076" t="e">
        <f>VLOOKUP(A4779,'01'!$A$12:$N$299,3,FALSE)</f>
        <v>#REF!</v>
      </c>
      <c r="E4779" s="2077"/>
      <c r="F4779" s="2077"/>
      <c r="G4779" s="2077"/>
      <c r="H4779" s="2077"/>
      <c r="I4779" s="2077"/>
      <c r="J4779" s="2077"/>
      <c r="K4779" s="2077"/>
      <c r="L4779" s="2077"/>
      <c r="M4779" s="2077"/>
      <c r="N4779" s="2077"/>
      <c r="O4779" s="2077"/>
      <c r="P4779" s="2077"/>
      <c r="Q4779" s="2077"/>
      <c r="R4779" s="2077"/>
      <c r="S4779" s="2078"/>
      <c r="T4779" s="2082" t="s">
        <v>124</v>
      </c>
      <c r="U4779" s="2083"/>
      <c r="V4779" s="2083"/>
      <c r="W4779" s="2083"/>
      <c r="X4779" s="2052" t="e">
        <f>VLOOKUP(A4779,'01'!$A$12:$N$299,9,FALSE)</f>
        <v>#REF!</v>
      </c>
      <c r="Y4779" s="2053"/>
      <c r="Z4779" s="2054"/>
      <c r="AA4779" s="2055"/>
      <c r="AB4779" s="2061"/>
      <c r="AC4779" s="2062"/>
      <c r="AD4779" s="2063"/>
      <c r="AE4779" s="2065"/>
      <c r="AF4779" s="2068"/>
    </row>
    <row r="4780" spans="1:32" ht="15" customHeight="1" x14ac:dyDescent="0.25">
      <c r="A4780" s="2073"/>
      <c r="B4780" s="2074"/>
      <c r="C4780" s="2075"/>
      <c r="D4780" s="2079"/>
      <c r="E4780" s="2080"/>
      <c r="F4780" s="2080"/>
      <c r="G4780" s="2080"/>
      <c r="H4780" s="2080"/>
      <c r="I4780" s="2080"/>
      <c r="J4780" s="2080"/>
      <c r="K4780" s="2080"/>
      <c r="L4780" s="2080"/>
      <c r="M4780" s="2080"/>
      <c r="N4780" s="2080"/>
      <c r="O4780" s="2080"/>
      <c r="P4780" s="2080"/>
      <c r="Q4780" s="2080"/>
      <c r="R4780" s="2080"/>
      <c r="S4780" s="2081"/>
      <c r="T4780" s="2084"/>
      <c r="U4780" s="2085"/>
      <c r="V4780" s="2085"/>
      <c r="W4780" s="2085"/>
      <c r="X4780" s="2056"/>
      <c r="Y4780" s="2057"/>
      <c r="Z4780" s="2056"/>
      <c r="AA4780" s="2057"/>
      <c r="AB4780" s="1049" t="s">
        <v>1847</v>
      </c>
      <c r="AC4780" s="1049" t="s">
        <v>1848</v>
      </c>
      <c r="AD4780" s="1049" t="s">
        <v>1861</v>
      </c>
      <c r="AE4780" s="2066"/>
      <c r="AF4780" s="2069"/>
    </row>
    <row r="4781" spans="1:32" ht="15.6" customHeight="1" x14ac:dyDescent="0.25">
      <c r="A4781" s="2017"/>
      <c r="B4781" s="2018"/>
      <c r="C4781" s="2018"/>
      <c r="D4781" s="2018"/>
      <c r="E4781" s="2018"/>
      <c r="F4781" s="2018"/>
      <c r="G4781" s="2018"/>
      <c r="H4781" s="2018"/>
      <c r="I4781" s="2018"/>
      <c r="J4781" s="2018"/>
      <c r="K4781" s="2018"/>
      <c r="L4781" s="2018"/>
      <c r="M4781" s="2018"/>
      <c r="N4781" s="2018"/>
      <c r="O4781" s="2018"/>
      <c r="P4781" s="2018"/>
      <c r="Q4781" s="2018"/>
      <c r="R4781" s="2018"/>
      <c r="S4781" s="2018"/>
      <c r="T4781" s="2018"/>
      <c r="U4781" s="2018"/>
      <c r="V4781" s="2018"/>
      <c r="W4781" s="2018"/>
      <c r="X4781" s="2018"/>
      <c r="Y4781" s="2018"/>
      <c r="Z4781" s="2021" t="s">
        <v>2519</v>
      </c>
      <c r="AA4781" s="2021"/>
      <c r="AB4781" s="1050"/>
      <c r="AC4781" s="1050"/>
      <c r="AD4781" s="1050"/>
      <c r="AE4781" s="1050">
        <v>3</v>
      </c>
      <c r="AF4781" s="1052">
        <f>+AE4781</f>
        <v>3</v>
      </c>
    </row>
    <row r="4782" spans="1:32" ht="15.6" customHeight="1" x14ac:dyDescent="0.25">
      <c r="A4782" s="2017"/>
      <c r="B4782" s="2018"/>
      <c r="C4782" s="2018"/>
      <c r="D4782" s="2018"/>
      <c r="E4782" s="2018"/>
      <c r="F4782" s="2018"/>
      <c r="G4782" s="2018"/>
      <c r="H4782" s="2018"/>
      <c r="I4782" s="2018"/>
      <c r="J4782" s="2018"/>
      <c r="K4782" s="2018"/>
      <c r="L4782" s="2018"/>
      <c r="M4782" s="2018"/>
      <c r="N4782" s="2018"/>
      <c r="O4782" s="2018"/>
      <c r="P4782" s="2018"/>
      <c r="Q4782" s="2018"/>
      <c r="R4782" s="2018"/>
      <c r="S4782" s="2018"/>
      <c r="T4782" s="2018"/>
      <c r="U4782" s="2018"/>
      <c r="V4782" s="2018"/>
      <c r="W4782" s="2018"/>
      <c r="X4782" s="2018"/>
      <c r="Y4782" s="2018"/>
      <c r="Z4782" s="2021"/>
      <c r="AA4782" s="2021"/>
      <c r="AB4782" s="1050"/>
      <c r="AC4782" s="1050"/>
      <c r="AD4782" s="1050"/>
      <c r="AE4782" s="1050"/>
      <c r="AF4782" s="1052"/>
    </row>
    <row r="4783" spans="1:32" ht="15.75" x14ac:dyDescent="0.25">
      <c r="A4783" s="2017"/>
      <c r="B4783" s="2018"/>
      <c r="C4783" s="2018"/>
      <c r="D4783" s="2018"/>
      <c r="E4783" s="2018"/>
      <c r="F4783" s="2018"/>
      <c r="G4783" s="2018"/>
      <c r="H4783" s="2018"/>
      <c r="I4783" s="2018"/>
      <c r="J4783" s="2018"/>
      <c r="K4783" s="2018"/>
      <c r="L4783" s="2018"/>
      <c r="M4783" s="2018"/>
      <c r="N4783" s="2018"/>
      <c r="O4783" s="2018"/>
      <c r="P4783" s="2018"/>
      <c r="Q4783" s="2018"/>
      <c r="R4783" s="2018"/>
      <c r="S4783" s="2018"/>
      <c r="T4783" s="2018"/>
      <c r="U4783" s="2018"/>
      <c r="V4783" s="2018"/>
      <c r="W4783" s="2018"/>
      <c r="X4783" s="2018"/>
      <c r="Y4783" s="2018"/>
      <c r="Z4783" s="2021"/>
      <c r="AA4783" s="2021"/>
      <c r="AB4783" s="1050"/>
      <c r="AC4783" s="1050"/>
      <c r="AD4783" s="1050"/>
      <c r="AE4783" s="1050"/>
      <c r="AF4783" s="1052"/>
    </row>
    <row r="4784" spans="1:32" ht="15.75" x14ac:dyDescent="0.25">
      <c r="A4784" s="2017"/>
      <c r="B4784" s="2018"/>
      <c r="C4784" s="2018"/>
      <c r="D4784" s="2018"/>
      <c r="E4784" s="2018"/>
      <c r="F4784" s="2018"/>
      <c r="G4784" s="2018"/>
      <c r="H4784" s="2018"/>
      <c r="I4784" s="2018"/>
      <c r="J4784" s="2018"/>
      <c r="K4784" s="2018"/>
      <c r="L4784" s="2018"/>
      <c r="M4784" s="2018"/>
      <c r="N4784" s="2018"/>
      <c r="O4784" s="2018"/>
      <c r="P4784" s="2018"/>
      <c r="Q4784" s="2018"/>
      <c r="R4784" s="2018"/>
      <c r="S4784" s="2018"/>
      <c r="T4784" s="2018"/>
      <c r="U4784" s="2018"/>
      <c r="V4784" s="2018"/>
      <c r="W4784" s="2018"/>
      <c r="X4784" s="2018"/>
      <c r="Y4784" s="2018"/>
      <c r="Z4784" s="2021"/>
      <c r="AA4784" s="2021"/>
      <c r="AB4784" s="1050"/>
      <c r="AC4784" s="1050"/>
      <c r="AD4784" s="1050"/>
      <c r="AE4784" s="1050"/>
      <c r="AF4784" s="1052"/>
    </row>
    <row r="4785" spans="1:32" ht="15.6" customHeight="1" x14ac:dyDescent="0.25">
      <c r="A4785" s="2017"/>
      <c r="B4785" s="2018"/>
      <c r="C4785" s="2018"/>
      <c r="D4785" s="2018"/>
      <c r="E4785" s="2018"/>
      <c r="F4785" s="2018"/>
      <c r="G4785" s="2018"/>
      <c r="H4785" s="2018"/>
      <c r="I4785" s="2018"/>
      <c r="J4785" s="2018"/>
      <c r="K4785" s="2018"/>
      <c r="L4785" s="2018"/>
      <c r="M4785" s="2018"/>
      <c r="N4785" s="2018"/>
      <c r="O4785" s="2018"/>
      <c r="P4785" s="2018"/>
      <c r="Q4785" s="2018"/>
      <c r="R4785" s="2018"/>
      <c r="S4785" s="2018"/>
      <c r="T4785" s="2018"/>
      <c r="U4785" s="2018"/>
      <c r="V4785" s="2018"/>
      <c r="W4785" s="2018"/>
      <c r="X4785" s="2018"/>
      <c r="Y4785" s="2018"/>
      <c r="Z4785" s="2021"/>
      <c r="AA4785" s="2021"/>
      <c r="AB4785" s="1050"/>
      <c r="AC4785" s="1050"/>
      <c r="AD4785" s="1050"/>
      <c r="AE4785" s="1050"/>
      <c r="AF4785" s="1052"/>
    </row>
    <row r="4786" spans="1:32" ht="15.75" x14ac:dyDescent="0.25">
      <c r="A4786" s="2017"/>
      <c r="B4786" s="2018"/>
      <c r="C4786" s="2018"/>
      <c r="D4786" s="2018"/>
      <c r="E4786" s="2018"/>
      <c r="F4786" s="2018"/>
      <c r="G4786" s="2018"/>
      <c r="H4786" s="2018"/>
      <c r="I4786" s="2018"/>
      <c r="J4786" s="2018"/>
      <c r="K4786" s="2018"/>
      <c r="L4786" s="2018"/>
      <c r="M4786" s="2018"/>
      <c r="N4786" s="2018"/>
      <c r="O4786" s="2018"/>
      <c r="P4786" s="2018"/>
      <c r="Q4786" s="2018"/>
      <c r="R4786" s="2018"/>
      <c r="S4786" s="2018"/>
      <c r="T4786" s="2018"/>
      <c r="U4786" s="2018"/>
      <c r="V4786" s="2018"/>
      <c r="W4786" s="2018"/>
      <c r="X4786" s="2018"/>
      <c r="Y4786" s="2018"/>
      <c r="Z4786" s="2021"/>
      <c r="AA4786" s="2021"/>
      <c r="AB4786" s="1050"/>
      <c r="AC4786" s="1050"/>
      <c r="AD4786" s="1050"/>
      <c r="AE4786" s="1050"/>
      <c r="AF4786" s="1052"/>
    </row>
    <row r="4787" spans="1:32" ht="15.75" x14ac:dyDescent="0.25">
      <c r="A4787" s="2017"/>
      <c r="B4787" s="2018"/>
      <c r="C4787" s="2018"/>
      <c r="D4787" s="2018"/>
      <c r="E4787" s="2018"/>
      <c r="F4787" s="2018"/>
      <c r="G4787" s="2018"/>
      <c r="H4787" s="2018"/>
      <c r="I4787" s="2018"/>
      <c r="J4787" s="2018"/>
      <c r="K4787" s="2018"/>
      <c r="L4787" s="2018"/>
      <c r="M4787" s="2018"/>
      <c r="N4787" s="2018"/>
      <c r="O4787" s="2018"/>
      <c r="P4787" s="2018"/>
      <c r="Q4787" s="2018"/>
      <c r="R4787" s="2018"/>
      <c r="S4787" s="2018"/>
      <c r="T4787" s="2018"/>
      <c r="U4787" s="2018"/>
      <c r="V4787" s="2018"/>
      <c r="W4787" s="2018"/>
      <c r="X4787" s="2018"/>
      <c r="Y4787" s="2018"/>
      <c r="Z4787" s="2021"/>
      <c r="AA4787" s="2021"/>
      <c r="AB4787" s="1050"/>
      <c r="AC4787" s="1050"/>
      <c r="AD4787" s="1050"/>
      <c r="AE4787" s="1050"/>
      <c r="AF4787" s="1052"/>
    </row>
    <row r="4788" spans="1:32" ht="15.75" x14ac:dyDescent="0.25">
      <c r="A4788" s="2017"/>
      <c r="B4788" s="2018"/>
      <c r="C4788" s="2018"/>
      <c r="D4788" s="2018"/>
      <c r="E4788" s="2018"/>
      <c r="F4788" s="2018"/>
      <c r="G4788" s="2018"/>
      <c r="H4788" s="2018"/>
      <c r="I4788" s="2018"/>
      <c r="J4788" s="2018"/>
      <c r="K4788" s="2018"/>
      <c r="L4788" s="2018"/>
      <c r="M4788" s="2018"/>
      <c r="N4788" s="2018"/>
      <c r="O4788" s="2018"/>
      <c r="P4788" s="2018"/>
      <c r="Q4788" s="2018"/>
      <c r="R4788" s="2018"/>
      <c r="S4788" s="2018"/>
      <c r="T4788" s="2018"/>
      <c r="U4788" s="2018"/>
      <c r="V4788" s="2018"/>
      <c r="W4788" s="2018"/>
      <c r="X4788" s="2018"/>
      <c r="Y4788" s="2018"/>
      <c r="Z4788" s="2021"/>
      <c r="AA4788" s="2021"/>
      <c r="AB4788" s="1050"/>
      <c r="AC4788" s="1050"/>
      <c r="AD4788" s="1050"/>
      <c r="AE4788" s="1050"/>
      <c r="AF4788" s="1052"/>
    </row>
    <row r="4789" spans="1:32" ht="15.75" x14ac:dyDescent="0.25">
      <c r="A4789" s="2017"/>
      <c r="B4789" s="2018"/>
      <c r="C4789" s="2018"/>
      <c r="D4789" s="2018"/>
      <c r="E4789" s="2018"/>
      <c r="F4789" s="2018"/>
      <c r="G4789" s="2018"/>
      <c r="H4789" s="2018"/>
      <c r="I4789" s="2018"/>
      <c r="J4789" s="2018"/>
      <c r="K4789" s="2018"/>
      <c r="L4789" s="2018"/>
      <c r="M4789" s="2018"/>
      <c r="N4789" s="2018"/>
      <c r="O4789" s="2018"/>
      <c r="P4789" s="2018"/>
      <c r="Q4789" s="2018"/>
      <c r="R4789" s="2018"/>
      <c r="S4789" s="2018"/>
      <c r="T4789" s="2018"/>
      <c r="U4789" s="2018"/>
      <c r="V4789" s="2018"/>
      <c r="W4789" s="2018"/>
      <c r="X4789" s="2018"/>
      <c r="Y4789" s="2018"/>
      <c r="Z4789" s="2021"/>
      <c r="AA4789" s="2021"/>
      <c r="AB4789" s="1050"/>
      <c r="AC4789" s="1050"/>
      <c r="AD4789" s="1050"/>
      <c r="AE4789" s="1050"/>
      <c r="AF4789" s="1052"/>
    </row>
    <row r="4790" spans="1:32" ht="15.75" x14ac:dyDescent="0.25">
      <c r="A4790" s="2017"/>
      <c r="B4790" s="2018"/>
      <c r="C4790" s="2018"/>
      <c r="D4790" s="2018"/>
      <c r="E4790" s="2018"/>
      <c r="F4790" s="2018"/>
      <c r="G4790" s="2018"/>
      <c r="H4790" s="2018"/>
      <c r="I4790" s="2018"/>
      <c r="J4790" s="2018"/>
      <c r="K4790" s="2018"/>
      <c r="L4790" s="2018"/>
      <c r="M4790" s="2018"/>
      <c r="N4790" s="2018"/>
      <c r="O4790" s="2018"/>
      <c r="P4790" s="2018"/>
      <c r="Q4790" s="2018"/>
      <c r="R4790" s="2018"/>
      <c r="S4790" s="2018"/>
      <c r="T4790" s="2018"/>
      <c r="U4790" s="2018"/>
      <c r="V4790" s="2018"/>
      <c r="W4790" s="2018"/>
      <c r="X4790" s="2018"/>
      <c r="Y4790" s="2018"/>
      <c r="Z4790" s="2021"/>
      <c r="AA4790" s="2021"/>
      <c r="AB4790" s="1050"/>
      <c r="AC4790" s="1050"/>
      <c r="AD4790" s="1050"/>
      <c r="AE4790" s="1050"/>
      <c r="AF4790" s="1052"/>
    </row>
    <row r="4791" spans="1:32" ht="15.75" x14ac:dyDescent="0.25">
      <c r="A4791" s="2017"/>
      <c r="B4791" s="2018"/>
      <c r="C4791" s="2018"/>
      <c r="D4791" s="2018"/>
      <c r="E4791" s="2018"/>
      <c r="F4791" s="2018"/>
      <c r="G4791" s="2018"/>
      <c r="H4791" s="2018"/>
      <c r="I4791" s="2018"/>
      <c r="J4791" s="2018"/>
      <c r="K4791" s="2018"/>
      <c r="L4791" s="2018"/>
      <c r="M4791" s="2018"/>
      <c r="N4791" s="2018"/>
      <c r="O4791" s="2018"/>
      <c r="P4791" s="2018"/>
      <c r="Q4791" s="2018"/>
      <c r="R4791" s="2018"/>
      <c r="S4791" s="2018"/>
      <c r="T4791" s="2018"/>
      <c r="U4791" s="2018"/>
      <c r="V4791" s="2018"/>
      <c r="W4791" s="2018"/>
      <c r="X4791" s="2018"/>
      <c r="Y4791" s="2018"/>
      <c r="Z4791" s="2021"/>
      <c r="AA4791" s="2021"/>
      <c r="AB4791" s="1050"/>
      <c r="AC4791" s="1050"/>
      <c r="AD4791" s="1050"/>
      <c r="AE4791" s="1050"/>
      <c r="AF4791" s="1052"/>
    </row>
    <row r="4792" spans="1:32" ht="15.75" x14ac:dyDescent="0.25">
      <c r="A4792" s="2017"/>
      <c r="B4792" s="2018"/>
      <c r="C4792" s="2018"/>
      <c r="D4792" s="2018"/>
      <c r="E4792" s="2018"/>
      <c r="F4792" s="2018"/>
      <c r="G4792" s="2018"/>
      <c r="H4792" s="2018"/>
      <c r="I4792" s="2018"/>
      <c r="J4792" s="2018"/>
      <c r="K4792" s="2018"/>
      <c r="L4792" s="2018"/>
      <c r="M4792" s="2018"/>
      <c r="N4792" s="2018"/>
      <c r="O4792" s="2018"/>
      <c r="P4792" s="2018"/>
      <c r="Q4792" s="2018"/>
      <c r="R4792" s="2018"/>
      <c r="S4792" s="2018"/>
      <c r="T4792" s="2018"/>
      <c r="U4792" s="2018"/>
      <c r="V4792" s="2018"/>
      <c r="W4792" s="2018"/>
      <c r="X4792" s="2018"/>
      <c r="Y4792" s="2018"/>
      <c r="Z4792" s="2021"/>
      <c r="AA4792" s="2021"/>
      <c r="AB4792" s="1050"/>
      <c r="AC4792" s="1050"/>
      <c r="AD4792" s="1050"/>
      <c r="AE4792" s="1050"/>
      <c r="AF4792" s="1052"/>
    </row>
    <row r="4793" spans="1:32" ht="15.75" x14ac:dyDescent="0.25">
      <c r="A4793" s="2017"/>
      <c r="B4793" s="2018"/>
      <c r="C4793" s="2018"/>
      <c r="D4793" s="2018"/>
      <c r="E4793" s="2018"/>
      <c r="F4793" s="2018"/>
      <c r="G4793" s="2018"/>
      <c r="H4793" s="2018"/>
      <c r="I4793" s="2018"/>
      <c r="J4793" s="2018"/>
      <c r="K4793" s="2018"/>
      <c r="L4793" s="2018"/>
      <c r="M4793" s="2018"/>
      <c r="N4793" s="2018"/>
      <c r="O4793" s="2018"/>
      <c r="P4793" s="2018"/>
      <c r="Q4793" s="2018"/>
      <c r="R4793" s="2018"/>
      <c r="S4793" s="2018"/>
      <c r="T4793" s="2018"/>
      <c r="U4793" s="2018"/>
      <c r="V4793" s="2018"/>
      <c r="W4793" s="2018"/>
      <c r="X4793" s="2018"/>
      <c r="Y4793" s="2018"/>
      <c r="Z4793" s="2021"/>
      <c r="AA4793" s="2021"/>
      <c r="AB4793" s="1050"/>
      <c r="AC4793" s="1050"/>
      <c r="AD4793" s="1050"/>
      <c r="AE4793" s="1050"/>
      <c r="AF4793" s="1052"/>
    </row>
    <row r="4794" spans="1:32" ht="15.75" x14ac:dyDescent="0.25">
      <c r="A4794" s="2017"/>
      <c r="B4794" s="2018"/>
      <c r="C4794" s="2018"/>
      <c r="D4794" s="2018"/>
      <c r="E4794" s="2018"/>
      <c r="F4794" s="2018"/>
      <c r="G4794" s="2018"/>
      <c r="H4794" s="2018"/>
      <c r="I4794" s="2018"/>
      <c r="J4794" s="2018"/>
      <c r="K4794" s="2018"/>
      <c r="L4794" s="2018"/>
      <c r="M4794" s="2018"/>
      <c r="N4794" s="2018"/>
      <c r="O4794" s="2018"/>
      <c r="P4794" s="2018"/>
      <c r="Q4794" s="2018"/>
      <c r="R4794" s="2018"/>
      <c r="S4794" s="2018"/>
      <c r="T4794" s="2018"/>
      <c r="U4794" s="2018"/>
      <c r="V4794" s="2018"/>
      <c r="W4794" s="2018"/>
      <c r="X4794" s="2018"/>
      <c r="Y4794" s="2018"/>
      <c r="Z4794" s="2021"/>
      <c r="AA4794" s="2021"/>
      <c r="AB4794" s="1050"/>
      <c r="AC4794" s="1050"/>
      <c r="AD4794" s="1050"/>
      <c r="AE4794" s="1050"/>
      <c r="AF4794" s="1052"/>
    </row>
    <row r="4795" spans="1:32" ht="15.75" x14ac:dyDescent="0.25">
      <c r="A4795" s="2017"/>
      <c r="B4795" s="2018"/>
      <c r="C4795" s="2018"/>
      <c r="D4795" s="2018"/>
      <c r="E4795" s="2018"/>
      <c r="F4795" s="2018"/>
      <c r="G4795" s="2018"/>
      <c r="H4795" s="2018"/>
      <c r="I4795" s="2018"/>
      <c r="J4795" s="2018"/>
      <c r="K4795" s="2018"/>
      <c r="L4795" s="2018"/>
      <c r="M4795" s="2018"/>
      <c r="N4795" s="2018"/>
      <c r="O4795" s="2018"/>
      <c r="P4795" s="2018"/>
      <c r="Q4795" s="2018"/>
      <c r="R4795" s="2018"/>
      <c r="S4795" s="2018"/>
      <c r="T4795" s="2018"/>
      <c r="U4795" s="2018"/>
      <c r="V4795" s="2018"/>
      <c r="W4795" s="2018"/>
      <c r="X4795" s="2018"/>
      <c r="Y4795" s="2018"/>
      <c r="Z4795" s="2022"/>
      <c r="AA4795" s="2022"/>
      <c r="AB4795" s="1050"/>
      <c r="AC4795" s="1050"/>
      <c r="AD4795" s="1050"/>
      <c r="AE4795" s="1050"/>
      <c r="AF4795" s="1052"/>
    </row>
    <row r="4796" spans="1:32" ht="15.75" x14ac:dyDescent="0.25">
      <c r="A4796" s="2017"/>
      <c r="B4796" s="2018"/>
      <c r="C4796" s="2018"/>
      <c r="D4796" s="2018"/>
      <c r="E4796" s="2018"/>
      <c r="F4796" s="2018"/>
      <c r="G4796" s="2018"/>
      <c r="H4796" s="2018"/>
      <c r="I4796" s="2018"/>
      <c r="J4796" s="2018"/>
      <c r="K4796" s="2018"/>
      <c r="L4796" s="2018"/>
      <c r="M4796" s="2018"/>
      <c r="N4796" s="2018"/>
      <c r="O4796" s="2018"/>
      <c r="P4796" s="2018"/>
      <c r="Q4796" s="2018"/>
      <c r="R4796" s="2018"/>
      <c r="S4796" s="2018"/>
      <c r="T4796" s="2018"/>
      <c r="U4796" s="2018"/>
      <c r="V4796" s="2018"/>
      <c r="W4796" s="2018"/>
      <c r="X4796" s="2018"/>
      <c r="Y4796" s="2018"/>
      <c r="Z4796" s="2022"/>
      <c r="AA4796" s="2022"/>
      <c r="AB4796" s="1050"/>
      <c r="AC4796" s="1050"/>
      <c r="AD4796" s="1050"/>
      <c r="AE4796" s="1050"/>
      <c r="AF4796" s="1052"/>
    </row>
    <row r="4797" spans="1:32" ht="15.75" x14ac:dyDescent="0.25">
      <c r="A4797" s="2017"/>
      <c r="B4797" s="2018"/>
      <c r="C4797" s="2018"/>
      <c r="D4797" s="2018"/>
      <c r="E4797" s="2018"/>
      <c r="F4797" s="2018"/>
      <c r="G4797" s="2018"/>
      <c r="H4797" s="2018"/>
      <c r="I4797" s="2018"/>
      <c r="J4797" s="2018"/>
      <c r="K4797" s="2018"/>
      <c r="L4797" s="2018"/>
      <c r="M4797" s="2018"/>
      <c r="N4797" s="2018"/>
      <c r="O4797" s="2018"/>
      <c r="P4797" s="2018"/>
      <c r="Q4797" s="2018"/>
      <c r="R4797" s="2018"/>
      <c r="S4797" s="2018"/>
      <c r="T4797" s="2018"/>
      <c r="U4797" s="2018"/>
      <c r="V4797" s="2018"/>
      <c r="W4797" s="2018"/>
      <c r="X4797" s="2018"/>
      <c r="Y4797" s="2018"/>
      <c r="Z4797" s="2022"/>
      <c r="AA4797" s="2022"/>
      <c r="AB4797" s="1050"/>
      <c r="AC4797" s="1050"/>
      <c r="AD4797" s="1050"/>
      <c r="AE4797" s="1050"/>
      <c r="AF4797" s="1052"/>
    </row>
    <row r="4798" spans="1:32" ht="15.75" x14ac:dyDescent="0.25">
      <c r="A4798" s="2017"/>
      <c r="B4798" s="2018"/>
      <c r="C4798" s="2018"/>
      <c r="D4798" s="2018"/>
      <c r="E4798" s="2018"/>
      <c r="F4798" s="2018"/>
      <c r="G4798" s="2018"/>
      <c r="H4798" s="2018"/>
      <c r="I4798" s="2018"/>
      <c r="J4798" s="2018"/>
      <c r="K4798" s="2018"/>
      <c r="L4798" s="2018"/>
      <c r="M4798" s="2018"/>
      <c r="N4798" s="2018"/>
      <c r="O4798" s="2018"/>
      <c r="P4798" s="2018"/>
      <c r="Q4798" s="2018"/>
      <c r="R4798" s="2018"/>
      <c r="S4798" s="2018"/>
      <c r="T4798" s="2018"/>
      <c r="U4798" s="2018"/>
      <c r="V4798" s="2018"/>
      <c r="W4798" s="2018"/>
      <c r="X4798" s="2018"/>
      <c r="Y4798" s="2018"/>
      <c r="Z4798" s="2023"/>
      <c r="AA4798" s="2023"/>
      <c r="AB4798" s="1050"/>
      <c r="AC4798" s="1050"/>
      <c r="AD4798" s="1050"/>
      <c r="AE4798" s="1050"/>
      <c r="AF4798" s="1052"/>
    </row>
    <row r="4799" spans="1:32" ht="15.75" x14ac:dyDescent="0.25">
      <c r="A4799" s="2017"/>
      <c r="B4799" s="2018"/>
      <c r="C4799" s="2018"/>
      <c r="D4799" s="2018"/>
      <c r="E4799" s="2018"/>
      <c r="F4799" s="2018"/>
      <c r="G4799" s="2018"/>
      <c r="H4799" s="2018"/>
      <c r="I4799" s="2018"/>
      <c r="J4799" s="2018"/>
      <c r="K4799" s="2018"/>
      <c r="L4799" s="2018"/>
      <c r="M4799" s="2018"/>
      <c r="N4799" s="2018"/>
      <c r="O4799" s="2018"/>
      <c r="P4799" s="2018"/>
      <c r="Q4799" s="2018"/>
      <c r="R4799" s="2018"/>
      <c r="S4799" s="2018"/>
      <c r="T4799" s="2018"/>
      <c r="U4799" s="2018"/>
      <c r="V4799" s="2018"/>
      <c r="W4799" s="2018"/>
      <c r="X4799" s="2018"/>
      <c r="Y4799" s="2018"/>
      <c r="Z4799" s="2023"/>
      <c r="AA4799" s="2023"/>
      <c r="AB4799" s="1050"/>
      <c r="AC4799" s="1050"/>
      <c r="AD4799" s="1050"/>
      <c r="AE4799" s="1050"/>
      <c r="AF4799" s="1052"/>
    </row>
    <row r="4800" spans="1:32" ht="15.75" x14ac:dyDescent="0.25">
      <c r="A4800" s="2017"/>
      <c r="B4800" s="2018"/>
      <c r="C4800" s="2018"/>
      <c r="D4800" s="2018"/>
      <c r="E4800" s="2018"/>
      <c r="F4800" s="2018"/>
      <c r="G4800" s="2018"/>
      <c r="H4800" s="2018"/>
      <c r="I4800" s="2018"/>
      <c r="J4800" s="2018"/>
      <c r="K4800" s="2018"/>
      <c r="L4800" s="2018"/>
      <c r="M4800" s="2018"/>
      <c r="N4800" s="2018"/>
      <c r="O4800" s="2018"/>
      <c r="P4800" s="2018"/>
      <c r="Q4800" s="2018"/>
      <c r="R4800" s="2018"/>
      <c r="S4800" s="2018"/>
      <c r="T4800" s="2018"/>
      <c r="U4800" s="2018"/>
      <c r="V4800" s="2018"/>
      <c r="W4800" s="2018"/>
      <c r="X4800" s="2018"/>
      <c r="Y4800" s="2018"/>
      <c r="Z4800" s="2023"/>
      <c r="AA4800" s="2023"/>
      <c r="AB4800" s="1050"/>
      <c r="AC4800" s="1050"/>
      <c r="AD4800" s="1050"/>
      <c r="AE4800" s="1050"/>
      <c r="AF4800" s="1052"/>
    </row>
    <row r="4801" spans="1:32" ht="15.75" x14ac:dyDescent="0.25">
      <c r="A4801" s="2017"/>
      <c r="B4801" s="2018"/>
      <c r="C4801" s="2018"/>
      <c r="D4801" s="2018"/>
      <c r="E4801" s="2018"/>
      <c r="F4801" s="2018"/>
      <c r="G4801" s="2018"/>
      <c r="H4801" s="2018"/>
      <c r="I4801" s="2018"/>
      <c r="J4801" s="2018"/>
      <c r="K4801" s="2018"/>
      <c r="L4801" s="2018"/>
      <c r="M4801" s="2018"/>
      <c r="N4801" s="2018"/>
      <c r="O4801" s="2018"/>
      <c r="P4801" s="2018"/>
      <c r="Q4801" s="2018"/>
      <c r="R4801" s="2018"/>
      <c r="S4801" s="2018"/>
      <c r="T4801" s="2018"/>
      <c r="U4801" s="2018"/>
      <c r="V4801" s="2018"/>
      <c r="W4801" s="2018"/>
      <c r="X4801" s="2018"/>
      <c r="Y4801" s="2018"/>
      <c r="Z4801" s="2023"/>
      <c r="AA4801" s="2023"/>
      <c r="AB4801" s="1050"/>
      <c r="AC4801" s="1050"/>
      <c r="AD4801" s="1050"/>
      <c r="AE4801" s="1050"/>
      <c r="AF4801" s="1052"/>
    </row>
    <row r="4802" spans="1:32" ht="15.75" x14ac:dyDescent="0.25">
      <c r="A4802" s="2017"/>
      <c r="B4802" s="2018"/>
      <c r="C4802" s="2018"/>
      <c r="D4802" s="2018"/>
      <c r="E4802" s="2018"/>
      <c r="F4802" s="2018"/>
      <c r="G4802" s="2018"/>
      <c r="H4802" s="2018"/>
      <c r="I4802" s="2018"/>
      <c r="J4802" s="2018"/>
      <c r="K4802" s="2018"/>
      <c r="L4802" s="2018"/>
      <c r="M4802" s="2018"/>
      <c r="N4802" s="2018"/>
      <c r="O4802" s="2018"/>
      <c r="P4802" s="2018"/>
      <c r="Q4802" s="2018"/>
      <c r="R4802" s="2018"/>
      <c r="S4802" s="2018"/>
      <c r="T4802" s="2018"/>
      <c r="U4802" s="2018"/>
      <c r="V4802" s="2018"/>
      <c r="W4802" s="2018"/>
      <c r="X4802" s="2018"/>
      <c r="Y4802" s="2018"/>
      <c r="Z4802" s="2023"/>
      <c r="AA4802" s="2023"/>
      <c r="AB4802" s="1050"/>
      <c r="AC4802" s="1050"/>
      <c r="AD4802" s="1050"/>
      <c r="AE4802" s="1050"/>
      <c r="AF4802" s="1052"/>
    </row>
    <row r="4803" spans="1:32" ht="15.75" x14ac:dyDescent="0.25">
      <c r="A4803" s="2017"/>
      <c r="B4803" s="2018"/>
      <c r="C4803" s="2018"/>
      <c r="D4803" s="2018"/>
      <c r="E4803" s="2018"/>
      <c r="F4803" s="2018"/>
      <c r="G4803" s="2018"/>
      <c r="H4803" s="2018"/>
      <c r="I4803" s="2018"/>
      <c r="J4803" s="2018"/>
      <c r="K4803" s="2018"/>
      <c r="L4803" s="2018"/>
      <c r="M4803" s="2018"/>
      <c r="N4803" s="2018"/>
      <c r="O4803" s="2018"/>
      <c r="P4803" s="2018"/>
      <c r="Q4803" s="2018"/>
      <c r="R4803" s="2018"/>
      <c r="S4803" s="2018"/>
      <c r="T4803" s="2018"/>
      <c r="U4803" s="2018"/>
      <c r="V4803" s="2018"/>
      <c r="W4803" s="2018"/>
      <c r="X4803" s="2018"/>
      <c r="Y4803" s="2018"/>
      <c r="Z4803" s="2023"/>
      <c r="AA4803" s="2023"/>
      <c r="AB4803" s="1050"/>
      <c r="AC4803" s="1050"/>
      <c r="AD4803" s="1050"/>
      <c r="AE4803" s="1050"/>
      <c r="AF4803" s="1052"/>
    </row>
    <row r="4804" spans="1:32" ht="16.5" thickBot="1" x14ac:dyDescent="0.3">
      <c r="A4804" s="2019"/>
      <c r="B4804" s="2020"/>
      <c r="C4804" s="2020"/>
      <c r="D4804" s="2020"/>
      <c r="E4804" s="2020"/>
      <c r="F4804" s="2020"/>
      <c r="G4804" s="2020"/>
      <c r="H4804" s="2020"/>
      <c r="I4804" s="2020"/>
      <c r="J4804" s="2020"/>
      <c r="K4804" s="2020"/>
      <c r="L4804" s="2020"/>
      <c r="M4804" s="2020"/>
      <c r="N4804" s="2020"/>
      <c r="O4804" s="2020"/>
      <c r="P4804" s="2020"/>
      <c r="Q4804" s="2020"/>
      <c r="R4804" s="2020"/>
      <c r="S4804" s="2020"/>
      <c r="T4804" s="2020"/>
      <c r="U4804" s="2020"/>
      <c r="V4804" s="2020"/>
      <c r="W4804" s="2020"/>
      <c r="X4804" s="2020"/>
      <c r="Y4804" s="2020"/>
      <c r="Z4804" s="2024"/>
      <c r="AA4804" s="2024"/>
      <c r="AB4804" s="1057"/>
      <c r="AC4804" s="1057"/>
      <c r="AD4804" s="1057"/>
      <c r="AE4804" s="1057"/>
      <c r="AF4804" s="1058"/>
    </row>
    <row r="4805" spans="1:32" ht="15.75" x14ac:dyDescent="0.25">
      <c r="A4805" s="2009" t="s">
        <v>1855</v>
      </c>
      <c r="B4805" s="2010"/>
      <c r="C4805" s="2010"/>
      <c r="D4805" s="2010"/>
      <c r="E4805" s="2010"/>
      <c r="F4805" s="2010"/>
      <c r="G4805" s="2010"/>
      <c r="H4805" s="2010"/>
      <c r="I4805" s="2010"/>
      <c r="J4805" s="2010"/>
      <c r="K4805" s="2010"/>
      <c r="L4805" s="2010"/>
      <c r="M4805" s="2010"/>
      <c r="N4805" s="2010"/>
      <c r="O4805" s="2010"/>
      <c r="P4805" s="2010"/>
      <c r="Q4805" s="2010"/>
      <c r="R4805" s="2010"/>
      <c r="S4805" s="2010"/>
      <c r="T4805" s="2010"/>
      <c r="U4805" s="2010"/>
      <c r="V4805" s="2010"/>
      <c r="W4805" s="2010"/>
      <c r="X4805" s="2010"/>
      <c r="Y4805" s="2010"/>
      <c r="Z4805" s="2013" t="s">
        <v>1850</v>
      </c>
      <c r="AA4805" s="2013"/>
      <c r="AB4805" s="2013"/>
      <c r="AC4805" s="2013"/>
      <c r="AD4805" s="2013"/>
      <c r="AE4805" s="2013"/>
      <c r="AF4805" s="1059">
        <f>SUM(AF4781:AF4804)</f>
        <v>3</v>
      </c>
    </row>
    <row r="4806" spans="1:32" ht="15.75" x14ac:dyDescent="0.25">
      <c r="A4806" s="2011"/>
      <c r="B4806" s="2012"/>
      <c r="C4806" s="2012"/>
      <c r="D4806" s="2012"/>
      <c r="E4806" s="2012"/>
      <c r="F4806" s="2012"/>
      <c r="G4806" s="2012"/>
      <c r="H4806" s="2012"/>
      <c r="I4806" s="2012"/>
      <c r="J4806" s="2012"/>
      <c r="K4806" s="2012"/>
      <c r="L4806" s="2012"/>
      <c r="M4806" s="2012"/>
      <c r="N4806" s="2012"/>
      <c r="O4806" s="2012"/>
      <c r="P4806" s="2012"/>
      <c r="Q4806" s="2012"/>
      <c r="R4806" s="2012"/>
      <c r="S4806" s="2012"/>
      <c r="T4806" s="2012"/>
      <c r="U4806" s="2012"/>
      <c r="V4806" s="2012"/>
      <c r="W4806" s="2012"/>
      <c r="X4806" s="2012"/>
      <c r="Y4806" s="2012"/>
      <c r="Z4806" s="2014" t="s">
        <v>1851</v>
      </c>
      <c r="AA4806" s="2014"/>
      <c r="AB4806" s="2014"/>
      <c r="AC4806" s="2014"/>
      <c r="AD4806" s="2014"/>
      <c r="AE4806" s="2014"/>
      <c r="AF4806" s="1060">
        <v>0</v>
      </c>
    </row>
    <row r="4807" spans="1:32" ht="15.75" x14ac:dyDescent="0.25">
      <c r="A4807" s="2011"/>
      <c r="B4807" s="2012"/>
      <c r="C4807" s="2012"/>
      <c r="D4807" s="2012"/>
      <c r="E4807" s="2012"/>
      <c r="F4807" s="2012"/>
      <c r="G4807" s="2012"/>
      <c r="H4807" s="2012"/>
      <c r="I4807" s="2012"/>
      <c r="J4807" s="2012"/>
      <c r="K4807" s="2012"/>
      <c r="L4807" s="2012"/>
      <c r="M4807" s="2012"/>
      <c r="N4807" s="2012"/>
      <c r="O4807" s="2012"/>
      <c r="P4807" s="2012"/>
      <c r="Q4807" s="2012"/>
      <c r="R4807" s="2012"/>
      <c r="S4807" s="2012"/>
      <c r="T4807" s="2012"/>
      <c r="U4807" s="2012"/>
      <c r="V4807" s="2012"/>
      <c r="W4807" s="2012"/>
      <c r="X4807" s="2012"/>
      <c r="Y4807" s="2012"/>
      <c r="Z4807" s="2015" t="s">
        <v>1833</v>
      </c>
      <c r="AA4807" s="2015"/>
      <c r="AB4807" s="2015"/>
      <c r="AC4807" s="2015"/>
      <c r="AD4807" s="2015"/>
      <c r="AE4807" s="2015"/>
      <c r="AF4807" s="1061">
        <f>SUM(AF4805:AF4806)</f>
        <v>3</v>
      </c>
    </row>
    <row r="4808" spans="1:32" x14ac:dyDescent="0.2">
      <c r="A4808" s="2012" t="s">
        <v>1859</v>
      </c>
      <c r="B4808" s="2012"/>
      <c r="C4808" s="2012"/>
      <c r="D4808" s="2012"/>
      <c r="E4808" s="2012"/>
      <c r="F4808" s="2012"/>
      <c r="G4808" s="2012"/>
      <c r="H4808" s="2012"/>
      <c r="I4808" s="2012"/>
      <c r="J4808" s="2012"/>
      <c r="K4808" s="2012"/>
      <c r="L4808" s="2012"/>
      <c r="M4808" s="2012"/>
      <c r="N4808" s="2012"/>
      <c r="O4808" s="2012"/>
      <c r="P4808" s="2012"/>
      <c r="Q4808" s="2012"/>
      <c r="R4808" s="2012"/>
      <c r="S4808" s="2012"/>
      <c r="T4808" s="2016" t="s">
        <v>1840</v>
      </c>
      <c r="U4808" s="2016"/>
      <c r="V4808" s="2016"/>
      <c r="W4808" s="2016"/>
      <c r="X4808" s="2016"/>
      <c r="Y4808" s="2016"/>
      <c r="Z4808" s="2016"/>
      <c r="AA4808" s="2016"/>
      <c r="AB4808" s="2012" t="s">
        <v>1852</v>
      </c>
      <c r="AC4808" s="2012"/>
      <c r="AD4808" s="2012"/>
      <c r="AE4808" s="2012"/>
      <c r="AF4808" s="2012"/>
    </row>
    <row r="4809" spans="1:32" x14ac:dyDescent="0.2">
      <c r="A4809" s="2012"/>
      <c r="B4809" s="2012"/>
      <c r="C4809" s="2012"/>
      <c r="D4809" s="2012"/>
      <c r="E4809" s="2012"/>
      <c r="F4809" s="2012"/>
      <c r="G4809" s="2012"/>
      <c r="H4809" s="2012"/>
      <c r="I4809" s="2012"/>
      <c r="J4809" s="2012"/>
      <c r="K4809" s="2012"/>
      <c r="L4809" s="2012"/>
      <c r="M4809" s="2012"/>
      <c r="N4809" s="2012"/>
      <c r="O4809" s="2012"/>
      <c r="P4809" s="2012"/>
      <c r="Q4809" s="2012"/>
      <c r="R4809" s="2012"/>
      <c r="S4809" s="2012"/>
      <c r="T4809" s="2016"/>
      <c r="U4809" s="2016"/>
      <c r="V4809" s="2016"/>
      <c r="W4809" s="2016"/>
      <c r="X4809" s="2016"/>
      <c r="Y4809" s="2016"/>
      <c r="Z4809" s="2016"/>
      <c r="AA4809" s="2016"/>
      <c r="AB4809" s="2012"/>
      <c r="AC4809" s="2012"/>
      <c r="AD4809" s="2012"/>
      <c r="AE4809" s="2012"/>
      <c r="AF4809" s="2012"/>
    </row>
    <row r="4810" spans="1:32" ht="13.5" thickBot="1" x14ac:dyDescent="0.25"/>
    <row r="4811" spans="1:32" ht="26.45" customHeight="1" x14ac:dyDescent="0.2">
      <c r="A4811" s="2025" t="s">
        <v>1854</v>
      </c>
      <c r="B4811" s="2026"/>
      <c r="C4811" s="2026"/>
      <c r="D4811" s="2026"/>
      <c r="E4811" s="2026"/>
      <c r="F4811" s="2026"/>
      <c r="G4811" s="2026"/>
      <c r="H4811" s="2026"/>
      <c r="I4811" s="2026"/>
      <c r="J4811" s="2026"/>
      <c r="K4811" s="2026"/>
      <c r="L4811" s="2026"/>
      <c r="M4811" s="2026"/>
      <c r="N4811" s="2026"/>
      <c r="O4811" s="2026"/>
      <c r="P4811" s="2026"/>
      <c r="Q4811" s="2026"/>
      <c r="R4811" s="2026"/>
      <c r="S4811" s="2026"/>
      <c r="T4811" s="2026"/>
      <c r="U4811" s="2026"/>
      <c r="V4811" s="2026"/>
      <c r="W4811" s="2026"/>
      <c r="X4811" s="2026"/>
      <c r="Y4811" s="2026"/>
      <c r="Z4811" s="2026"/>
      <c r="AA4811" s="2026"/>
      <c r="AB4811" s="2026"/>
      <c r="AC4811" s="2026"/>
      <c r="AD4811" s="2026"/>
      <c r="AE4811" s="1041" t="s">
        <v>1834</v>
      </c>
      <c r="AF4811" s="1042" t="s">
        <v>1835</v>
      </c>
    </row>
    <row r="4812" spans="1:32" ht="21" customHeight="1" thickBot="1" x14ac:dyDescent="0.25">
      <c r="A4812" s="2027"/>
      <c r="B4812" s="2028"/>
      <c r="C4812" s="2028"/>
      <c r="D4812" s="2028"/>
      <c r="E4812" s="2028"/>
      <c r="F4812" s="2028"/>
      <c r="G4812" s="2028"/>
      <c r="H4812" s="2028"/>
      <c r="I4812" s="2028"/>
      <c r="J4812" s="2028"/>
      <c r="K4812" s="2028"/>
      <c r="L4812" s="2028"/>
      <c r="M4812" s="2028"/>
      <c r="N4812" s="2028"/>
      <c r="O4812" s="2028"/>
      <c r="P4812" s="2028"/>
      <c r="Q4812" s="2028"/>
      <c r="R4812" s="2028"/>
      <c r="S4812" s="2028"/>
      <c r="T4812" s="2028"/>
      <c r="U4812" s="2028"/>
      <c r="V4812" s="2028"/>
      <c r="W4812" s="2028"/>
      <c r="X4812" s="2028"/>
      <c r="Y4812" s="2028"/>
      <c r="Z4812" s="2028"/>
      <c r="AA4812" s="2028"/>
      <c r="AB4812" s="2028"/>
      <c r="AC4812" s="2028"/>
      <c r="AD4812" s="2028"/>
      <c r="AE4812" s="1041" t="s">
        <v>1836</v>
      </c>
      <c r="AF4812" s="1044">
        <v>1</v>
      </c>
    </row>
    <row r="4813" spans="1:32" ht="15.75" x14ac:dyDescent="0.2">
      <c r="A4813" s="2029"/>
      <c r="B4813" s="2030"/>
      <c r="C4813" s="2030"/>
      <c r="D4813" s="2031"/>
      <c r="E4813" s="2025" t="str">
        <f>'01'!$A$12</f>
        <v>"CONSTRUCCION SISTEMA DE ACUEDUCTO FASE II DEL MUNICIPIO DE TESALIA DPTO DEL HUILA"</v>
      </c>
      <c r="F4813" s="2026"/>
      <c r="G4813" s="2026"/>
      <c r="H4813" s="2026"/>
      <c r="I4813" s="2026"/>
      <c r="J4813" s="2026"/>
      <c r="K4813" s="2026"/>
      <c r="L4813" s="2026"/>
      <c r="M4813" s="2026"/>
      <c r="N4813" s="2026"/>
      <c r="O4813" s="2026"/>
      <c r="P4813" s="2026"/>
      <c r="Q4813" s="2026"/>
      <c r="R4813" s="2026"/>
      <c r="S4813" s="2026"/>
      <c r="T4813" s="2026"/>
      <c r="U4813" s="2026"/>
      <c r="V4813" s="2026"/>
      <c r="W4813" s="2026"/>
      <c r="X4813" s="2026"/>
      <c r="Y4813" s="2026"/>
      <c r="Z4813" s="2026"/>
      <c r="AA4813" s="2026"/>
      <c r="AB4813" s="2026"/>
      <c r="AC4813" s="2026"/>
      <c r="AD4813" s="2035"/>
      <c r="AE4813" s="1041" t="s">
        <v>847</v>
      </c>
      <c r="AF4813" s="1045">
        <f>'01'!$M$13</f>
        <v>0</v>
      </c>
    </row>
    <row r="4814" spans="1:32" ht="16.5" thickBot="1" x14ac:dyDescent="0.25">
      <c r="A4814" s="2032"/>
      <c r="B4814" s="2033"/>
      <c r="C4814" s="2033"/>
      <c r="D4814" s="2034"/>
      <c r="E4814" s="2027"/>
      <c r="F4814" s="2028"/>
      <c r="G4814" s="2028"/>
      <c r="H4814" s="2028"/>
      <c r="I4814" s="2028"/>
      <c r="J4814" s="2028"/>
      <c r="K4814" s="2028"/>
      <c r="L4814" s="2028"/>
      <c r="M4814" s="2028"/>
      <c r="N4814" s="2028"/>
      <c r="O4814" s="2028"/>
      <c r="P4814" s="2028"/>
      <c r="Q4814" s="2028"/>
      <c r="R4814" s="2028"/>
      <c r="S4814" s="2028"/>
      <c r="T4814" s="2028"/>
      <c r="U4814" s="2028"/>
      <c r="V4814" s="2028"/>
      <c r="W4814" s="2028"/>
      <c r="X4814" s="2028"/>
      <c r="Y4814" s="2028"/>
      <c r="Z4814" s="2028"/>
      <c r="AA4814" s="2028"/>
      <c r="AB4814" s="2028"/>
      <c r="AC4814" s="2028"/>
      <c r="AD4814" s="2036"/>
      <c r="AE4814" s="1041" t="s">
        <v>1837</v>
      </c>
      <c r="AF4814" s="1042" t="s">
        <v>1838</v>
      </c>
    </row>
    <row r="4815" spans="1:32" ht="15.75" x14ac:dyDescent="0.25">
      <c r="A4815" s="2037" t="s">
        <v>1860</v>
      </c>
      <c r="B4815" s="2038"/>
      <c r="C4815" s="2038"/>
      <c r="D4815" s="2038"/>
      <c r="E4815" s="2038"/>
      <c r="F4815" s="2038"/>
      <c r="G4815" s="2038"/>
      <c r="H4815" s="2038"/>
      <c r="I4815" s="2038"/>
      <c r="J4815" s="2038"/>
      <c r="K4815" s="2038"/>
      <c r="L4815" s="2038"/>
      <c r="M4815" s="2038"/>
      <c r="N4815" s="2038"/>
      <c r="O4815" s="2038"/>
      <c r="P4815" s="2038"/>
      <c r="Q4815" s="2038"/>
      <c r="R4815" s="2038"/>
      <c r="S4815" s="2038"/>
      <c r="T4815" s="2038"/>
      <c r="U4815" s="2038"/>
      <c r="V4815" s="2038"/>
      <c r="W4815" s="2038"/>
      <c r="X4815" s="2038"/>
      <c r="Y4815" s="2038"/>
      <c r="Z4815" s="2038"/>
      <c r="AA4815" s="2038"/>
      <c r="AB4815" s="2038"/>
      <c r="AC4815" s="2038"/>
      <c r="AD4815" s="2038"/>
      <c r="AE4815" s="2039" t="s">
        <v>1839</v>
      </c>
      <c r="AF4815" s="2040"/>
    </row>
    <row r="4816" spans="1:32" ht="15.75" x14ac:dyDescent="0.25">
      <c r="A4816" s="2041" t="s">
        <v>1840</v>
      </c>
      <c r="B4816" s="2042"/>
      <c r="C4816" s="2042"/>
      <c r="D4816" s="2042"/>
      <c r="E4816" s="2042"/>
      <c r="F4816" s="2042"/>
      <c r="G4816" s="2042"/>
      <c r="H4816" s="2042"/>
      <c r="I4816" s="2042"/>
      <c r="J4816" s="2042"/>
      <c r="K4816" s="2042"/>
      <c r="L4816" s="2042"/>
      <c r="M4816" s="2042"/>
      <c r="N4816" s="2042"/>
      <c r="O4816" s="2042"/>
      <c r="P4816" s="2042"/>
      <c r="Q4816" s="2042"/>
      <c r="R4816" s="2042"/>
      <c r="S4816" s="2042"/>
      <c r="T4816" s="2042"/>
      <c r="U4816" s="2042"/>
      <c r="V4816" s="2042"/>
      <c r="W4816" s="2042"/>
      <c r="X4816" s="2042"/>
      <c r="Y4816" s="2042"/>
      <c r="Z4816" s="2042"/>
      <c r="AA4816" s="2042"/>
      <c r="AB4816" s="2042"/>
      <c r="AC4816" s="2042"/>
      <c r="AD4816" s="2043"/>
      <c r="AE4816" s="2014" t="s">
        <v>1841</v>
      </c>
      <c r="AF4816" s="2044"/>
    </row>
    <row r="4817" spans="1:32" ht="15.75" x14ac:dyDescent="0.25">
      <c r="A4817" s="2045" t="s">
        <v>1853</v>
      </c>
      <c r="B4817" s="2046"/>
      <c r="C4817" s="2046"/>
      <c r="D4817" s="2046"/>
      <c r="E4817" s="2046"/>
      <c r="F4817" s="2046"/>
      <c r="G4817" s="2046"/>
      <c r="H4817" s="2046"/>
      <c r="I4817" s="2046"/>
      <c r="J4817" s="2046"/>
      <c r="K4817" s="2046"/>
      <c r="L4817" s="2046"/>
      <c r="M4817" s="2046"/>
      <c r="N4817" s="2046"/>
      <c r="O4817" s="2046"/>
      <c r="P4817" s="2046"/>
      <c r="Q4817" s="2046"/>
      <c r="R4817" s="2046"/>
      <c r="S4817" s="2046"/>
      <c r="T4817" s="2046"/>
      <c r="U4817" s="2046"/>
      <c r="V4817" s="2046"/>
      <c r="W4817" s="2046"/>
      <c r="X4817" s="2046"/>
      <c r="Y4817" s="2046"/>
      <c r="Z4817" s="2046"/>
      <c r="AA4817" s="2046"/>
      <c r="AB4817" s="2046"/>
      <c r="AC4817" s="2046"/>
      <c r="AD4817" s="2046"/>
      <c r="AE4817" s="2047">
        <f>'01'!$M$13</f>
        <v>0</v>
      </c>
      <c r="AF4817" s="2044"/>
    </row>
    <row r="4818" spans="1:32" x14ac:dyDescent="0.2">
      <c r="A4818" s="1046"/>
      <c r="B4818" s="1047"/>
      <c r="C4818" s="1047"/>
      <c r="D4818" s="1047"/>
      <c r="E4818" s="1047"/>
      <c r="F4818" s="1047"/>
      <c r="G4818" s="1047"/>
      <c r="H4818" s="1047"/>
      <c r="I4818" s="1047"/>
      <c r="J4818" s="1047"/>
      <c r="K4818" s="1047"/>
      <c r="L4818" s="1047"/>
      <c r="M4818" s="1047"/>
      <c r="N4818" s="1047"/>
      <c r="O4818" s="1047"/>
      <c r="P4818" s="1047"/>
      <c r="Q4818" s="1047"/>
      <c r="R4818" s="1047"/>
      <c r="S4818" s="1047"/>
      <c r="T4818" s="1047"/>
      <c r="U4818" s="1047"/>
      <c r="V4818" s="1047"/>
      <c r="W4818" s="1047"/>
      <c r="X4818" s="1047"/>
      <c r="Y4818" s="1047"/>
      <c r="Z4818" s="1047"/>
      <c r="AA4818" s="1047"/>
      <c r="AB4818" s="1047"/>
      <c r="AC4818" s="1047"/>
      <c r="AD4818" s="1047"/>
      <c r="AE4818" s="1047"/>
      <c r="AF4818" s="1048"/>
    </row>
    <row r="4819" spans="1:32" ht="30" customHeight="1" x14ac:dyDescent="0.2">
      <c r="A4819" s="2048" t="s">
        <v>1842</v>
      </c>
      <c r="B4819" s="2049"/>
      <c r="C4819" s="2049"/>
      <c r="D4819" s="2049"/>
      <c r="E4819" s="2049"/>
      <c r="F4819" s="2050" t="str">
        <f>+'01'!$H$195</f>
        <v>G - EQUIPOS Y ELEMENTOS ESPECIALES</v>
      </c>
      <c r="G4819" s="2049"/>
      <c r="H4819" s="2049"/>
      <c r="I4819" s="2049"/>
      <c r="J4819" s="2049"/>
      <c r="K4819" s="2049"/>
      <c r="L4819" s="2049"/>
      <c r="M4819" s="2049"/>
      <c r="N4819" s="2049"/>
      <c r="O4819" s="2049"/>
      <c r="P4819" s="2049"/>
      <c r="Q4819" s="2049"/>
      <c r="R4819" s="2049"/>
      <c r="S4819" s="2049"/>
      <c r="T4819" s="2049"/>
      <c r="U4819" s="2049"/>
      <c r="V4819" s="2049"/>
      <c r="W4819" s="2049"/>
      <c r="X4819" s="2049"/>
      <c r="Y4819" s="2051"/>
      <c r="Z4819" s="2052" t="s">
        <v>1843</v>
      </c>
      <c r="AA4819" s="2053"/>
      <c r="AB4819" s="2058" t="s">
        <v>1844</v>
      </c>
      <c r="AC4819" s="2059"/>
      <c r="AD4819" s="2060"/>
      <c r="AE4819" s="2064" t="s">
        <v>1845</v>
      </c>
      <c r="AF4819" s="2067" t="s">
        <v>1846</v>
      </c>
    </row>
    <row r="4820" spans="1:32" ht="30" customHeight="1" x14ac:dyDescent="0.2">
      <c r="A4820" s="2070" t="str">
        <f>+'01'!A199</f>
        <v>G-01-03</v>
      </c>
      <c r="B4820" s="2071"/>
      <c r="C4820" s="2072"/>
      <c r="D4820" s="2076" t="str">
        <f>VLOOKUP(A4820,'01'!$A$12:$N$299,3,FALSE)</f>
        <v>AIREADOR DE BANDEJAS (3 UNIDADES) DE SECCIÓN 1.34X1.34M. EN ACERO INOXIDABLE. LÁMINA CAL. 3/16", TUBERÍA CUADRADA DE 25X25X1.5MM PARA SOPORTE Y TUBERÍA CUADRADA DE 50X50X1.5 MM PARA ESTRUCTURA PRINCIPAL. INCLUYE ESCALERA DE GATO.</v>
      </c>
      <c r="E4820" s="2077"/>
      <c r="F4820" s="2077"/>
      <c r="G4820" s="2077"/>
      <c r="H4820" s="2077"/>
      <c r="I4820" s="2077"/>
      <c r="J4820" s="2077"/>
      <c r="K4820" s="2077"/>
      <c r="L4820" s="2077"/>
      <c r="M4820" s="2077"/>
      <c r="N4820" s="2077"/>
      <c r="O4820" s="2077"/>
      <c r="P4820" s="2077"/>
      <c r="Q4820" s="2077"/>
      <c r="R4820" s="2077"/>
      <c r="S4820" s="2078"/>
      <c r="T4820" s="2082" t="s">
        <v>124</v>
      </c>
      <c r="U4820" s="2083"/>
      <c r="V4820" s="2083"/>
      <c r="W4820" s="2083"/>
      <c r="X4820" s="2052" t="str">
        <f>VLOOKUP(A4820,'01'!$A$12:$N$299,9,FALSE)</f>
        <v>UND</v>
      </c>
      <c r="Y4820" s="2053"/>
      <c r="Z4820" s="2054"/>
      <c r="AA4820" s="2055"/>
      <c r="AB4820" s="2061"/>
      <c r="AC4820" s="2062"/>
      <c r="AD4820" s="2063"/>
      <c r="AE4820" s="2065"/>
      <c r="AF4820" s="2068"/>
    </row>
    <row r="4821" spans="1:32" ht="30" customHeight="1" x14ac:dyDescent="0.25">
      <c r="A4821" s="2073"/>
      <c r="B4821" s="2074"/>
      <c r="C4821" s="2075"/>
      <c r="D4821" s="2079"/>
      <c r="E4821" s="2080"/>
      <c r="F4821" s="2080"/>
      <c r="G4821" s="2080"/>
      <c r="H4821" s="2080"/>
      <c r="I4821" s="2080"/>
      <c r="J4821" s="2080"/>
      <c r="K4821" s="2080"/>
      <c r="L4821" s="2080"/>
      <c r="M4821" s="2080"/>
      <c r="N4821" s="2080"/>
      <c r="O4821" s="2080"/>
      <c r="P4821" s="2080"/>
      <c r="Q4821" s="2080"/>
      <c r="R4821" s="2080"/>
      <c r="S4821" s="2081"/>
      <c r="T4821" s="2084"/>
      <c r="U4821" s="2085"/>
      <c r="V4821" s="2085"/>
      <c r="W4821" s="2085"/>
      <c r="X4821" s="2056"/>
      <c r="Y4821" s="2057"/>
      <c r="Z4821" s="2056"/>
      <c r="AA4821" s="2057"/>
      <c r="AB4821" s="1049" t="s">
        <v>1847</v>
      </c>
      <c r="AC4821" s="1049" t="s">
        <v>1848</v>
      </c>
      <c r="AD4821" s="1049" t="s">
        <v>1861</v>
      </c>
      <c r="AE4821" s="2066"/>
      <c r="AF4821" s="2069"/>
    </row>
    <row r="4822" spans="1:32" ht="15.6" customHeight="1" x14ac:dyDescent="0.25">
      <c r="A4822" s="2017"/>
      <c r="B4822" s="2018"/>
      <c r="C4822" s="2018"/>
      <c r="D4822" s="2018"/>
      <c r="E4822" s="2018"/>
      <c r="F4822" s="2018"/>
      <c r="G4822" s="2018"/>
      <c r="H4822" s="2018"/>
      <c r="I4822" s="2018"/>
      <c r="J4822" s="2018"/>
      <c r="K4822" s="2018"/>
      <c r="L4822" s="2018"/>
      <c r="M4822" s="2018"/>
      <c r="N4822" s="2018"/>
      <c r="O4822" s="2018"/>
      <c r="P4822" s="2018"/>
      <c r="Q4822" s="2018"/>
      <c r="R4822" s="2018"/>
      <c r="S4822" s="2018"/>
      <c r="T4822" s="2018"/>
      <c r="U4822" s="2018"/>
      <c r="V4822" s="2018"/>
      <c r="W4822" s="2018"/>
      <c r="X4822" s="2018"/>
      <c r="Y4822" s="2018"/>
      <c r="Z4822" s="2021" t="s">
        <v>2520</v>
      </c>
      <c r="AA4822" s="2021"/>
      <c r="AB4822" s="1050"/>
      <c r="AC4822" s="1050"/>
      <c r="AD4822" s="1050"/>
      <c r="AE4822" s="1050">
        <v>1</v>
      </c>
      <c r="AF4822" s="1052">
        <f>+AE4822</f>
        <v>1</v>
      </c>
    </row>
    <row r="4823" spans="1:32" ht="15.6" customHeight="1" x14ac:dyDescent="0.25">
      <c r="A4823" s="2017"/>
      <c r="B4823" s="2018"/>
      <c r="C4823" s="2018"/>
      <c r="D4823" s="2018"/>
      <c r="E4823" s="2018"/>
      <c r="F4823" s="2018"/>
      <c r="G4823" s="2018"/>
      <c r="H4823" s="2018"/>
      <c r="I4823" s="2018"/>
      <c r="J4823" s="2018"/>
      <c r="K4823" s="2018"/>
      <c r="L4823" s="2018"/>
      <c r="M4823" s="2018"/>
      <c r="N4823" s="2018"/>
      <c r="O4823" s="2018"/>
      <c r="P4823" s="2018"/>
      <c r="Q4823" s="2018"/>
      <c r="R4823" s="2018"/>
      <c r="S4823" s="2018"/>
      <c r="T4823" s="2018"/>
      <c r="U4823" s="2018"/>
      <c r="V4823" s="2018"/>
      <c r="W4823" s="2018"/>
      <c r="X4823" s="2018"/>
      <c r="Y4823" s="2018"/>
      <c r="Z4823" s="2021"/>
      <c r="AA4823" s="2021"/>
      <c r="AB4823" s="1050"/>
      <c r="AC4823" s="1050"/>
      <c r="AD4823" s="1050"/>
      <c r="AE4823" s="1050"/>
      <c r="AF4823" s="1052"/>
    </row>
    <row r="4824" spans="1:32" ht="15.75" x14ac:dyDescent="0.25">
      <c r="A4824" s="2017"/>
      <c r="B4824" s="2018"/>
      <c r="C4824" s="2018"/>
      <c r="D4824" s="2018"/>
      <c r="E4824" s="2018"/>
      <c r="F4824" s="2018"/>
      <c r="G4824" s="2018"/>
      <c r="H4824" s="2018"/>
      <c r="I4824" s="2018"/>
      <c r="J4824" s="2018"/>
      <c r="K4824" s="2018"/>
      <c r="L4824" s="2018"/>
      <c r="M4824" s="2018"/>
      <c r="N4824" s="2018"/>
      <c r="O4824" s="2018"/>
      <c r="P4824" s="2018"/>
      <c r="Q4824" s="2018"/>
      <c r="R4824" s="2018"/>
      <c r="S4824" s="2018"/>
      <c r="T4824" s="2018"/>
      <c r="U4824" s="2018"/>
      <c r="V4824" s="2018"/>
      <c r="W4824" s="2018"/>
      <c r="X4824" s="2018"/>
      <c r="Y4824" s="2018"/>
      <c r="Z4824" s="2021"/>
      <c r="AA4824" s="2021"/>
      <c r="AB4824" s="1050"/>
      <c r="AC4824" s="1050"/>
      <c r="AD4824" s="1050"/>
      <c r="AE4824" s="1050"/>
      <c r="AF4824" s="1052"/>
    </row>
    <row r="4825" spans="1:32" ht="15.75" x14ac:dyDescent="0.25">
      <c r="A4825" s="2017"/>
      <c r="B4825" s="2018"/>
      <c r="C4825" s="2018"/>
      <c r="D4825" s="2018"/>
      <c r="E4825" s="2018"/>
      <c r="F4825" s="2018"/>
      <c r="G4825" s="2018"/>
      <c r="H4825" s="2018"/>
      <c r="I4825" s="2018"/>
      <c r="J4825" s="2018"/>
      <c r="K4825" s="2018"/>
      <c r="L4825" s="2018"/>
      <c r="M4825" s="2018"/>
      <c r="N4825" s="2018"/>
      <c r="O4825" s="2018"/>
      <c r="P4825" s="2018"/>
      <c r="Q4825" s="2018"/>
      <c r="R4825" s="2018"/>
      <c r="S4825" s="2018"/>
      <c r="T4825" s="2018"/>
      <c r="U4825" s="2018"/>
      <c r="V4825" s="2018"/>
      <c r="W4825" s="2018"/>
      <c r="X4825" s="2018"/>
      <c r="Y4825" s="2018"/>
      <c r="Z4825" s="2021"/>
      <c r="AA4825" s="2021"/>
      <c r="AB4825" s="1050"/>
      <c r="AC4825" s="1050"/>
      <c r="AD4825" s="1050"/>
      <c r="AE4825" s="1050"/>
      <c r="AF4825" s="1052"/>
    </row>
    <row r="4826" spans="1:32" ht="15.6" customHeight="1" x14ac:dyDescent="0.25">
      <c r="A4826" s="2017"/>
      <c r="B4826" s="2018"/>
      <c r="C4826" s="2018"/>
      <c r="D4826" s="2018"/>
      <c r="E4826" s="2018"/>
      <c r="F4826" s="2018"/>
      <c r="G4826" s="2018"/>
      <c r="H4826" s="2018"/>
      <c r="I4826" s="2018"/>
      <c r="J4826" s="2018"/>
      <c r="K4826" s="2018"/>
      <c r="L4826" s="2018"/>
      <c r="M4826" s="2018"/>
      <c r="N4826" s="2018"/>
      <c r="O4826" s="2018"/>
      <c r="P4826" s="2018"/>
      <c r="Q4826" s="2018"/>
      <c r="R4826" s="2018"/>
      <c r="S4826" s="2018"/>
      <c r="T4826" s="2018"/>
      <c r="U4826" s="2018"/>
      <c r="V4826" s="2018"/>
      <c r="W4826" s="2018"/>
      <c r="X4826" s="2018"/>
      <c r="Y4826" s="2018"/>
      <c r="Z4826" s="2021"/>
      <c r="AA4826" s="2021"/>
      <c r="AB4826" s="1050"/>
      <c r="AC4826" s="1050"/>
      <c r="AD4826" s="1050"/>
      <c r="AE4826" s="1050"/>
      <c r="AF4826" s="1052"/>
    </row>
    <row r="4827" spans="1:32" ht="15.75" x14ac:dyDescent="0.25">
      <c r="A4827" s="2017"/>
      <c r="B4827" s="2018"/>
      <c r="C4827" s="2018"/>
      <c r="D4827" s="2018"/>
      <c r="E4827" s="2018"/>
      <c r="F4827" s="2018"/>
      <c r="G4827" s="2018"/>
      <c r="H4827" s="2018"/>
      <c r="I4827" s="2018"/>
      <c r="J4827" s="2018"/>
      <c r="K4827" s="2018"/>
      <c r="L4827" s="2018"/>
      <c r="M4827" s="2018"/>
      <c r="N4827" s="2018"/>
      <c r="O4827" s="2018"/>
      <c r="P4827" s="2018"/>
      <c r="Q4827" s="2018"/>
      <c r="R4827" s="2018"/>
      <c r="S4827" s="2018"/>
      <c r="T4827" s="2018"/>
      <c r="U4827" s="2018"/>
      <c r="V4827" s="2018"/>
      <c r="W4827" s="2018"/>
      <c r="X4827" s="2018"/>
      <c r="Y4827" s="2018"/>
      <c r="Z4827" s="2021"/>
      <c r="AA4827" s="2021"/>
      <c r="AB4827" s="1050"/>
      <c r="AC4827" s="1050"/>
      <c r="AD4827" s="1050"/>
      <c r="AE4827" s="1050"/>
      <c r="AF4827" s="1052"/>
    </row>
    <row r="4828" spans="1:32" ht="15.75" x14ac:dyDescent="0.25">
      <c r="A4828" s="2017"/>
      <c r="B4828" s="2018"/>
      <c r="C4828" s="2018"/>
      <c r="D4828" s="2018"/>
      <c r="E4828" s="2018"/>
      <c r="F4828" s="2018"/>
      <c r="G4828" s="2018"/>
      <c r="H4828" s="2018"/>
      <c r="I4828" s="2018"/>
      <c r="J4828" s="2018"/>
      <c r="K4828" s="2018"/>
      <c r="L4828" s="2018"/>
      <c r="M4828" s="2018"/>
      <c r="N4828" s="2018"/>
      <c r="O4828" s="2018"/>
      <c r="P4828" s="2018"/>
      <c r="Q4828" s="2018"/>
      <c r="R4828" s="2018"/>
      <c r="S4828" s="2018"/>
      <c r="T4828" s="2018"/>
      <c r="U4828" s="2018"/>
      <c r="V4828" s="2018"/>
      <c r="W4828" s="2018"/>
      <c r="X4828" s="2018"/>
      <c r="Y4828" s="2018"/>
      <c r="Z4828" s="2021"/>
      <c r="AA4828" s="2021"/>
      <c r="AB4828" s="1050"/>
      <c r="AC4828" s="1050"/>
      <c r="AD4828" s="1050"/>
      <c r="AE4828" s="1050"/>
      <c r="AF4828" s="1052"/>
    </row>
    <row r="4829" spans="1:32" ht="15.75" x14ac:dyDescent="0.25">
      <c r="A4829" s="2017"/>
      <c r="B4829" s="2018"/>
      <c r="C4829" s="2018"/>
      <c r="D4829" s="2018"/>
      <c r="E4829" s="2018"/>
      <c r="F4829" s="2018"/>
      <c r="G4829" s="2018"/>
      <c r="H4829" s="2018"/>
      <c r="I4829" s="2018"/>
      <c r="J4829" s="2018"/>
      <c r="K4829" s="2018"/>
      <c r="L4829" s="2018"/>
      <c r="M4829" s="2018"/>
      <c r="N4829" s="2018"/>
      <c r="O4829" s="2018"/>
      <c r="P4829" s="2018"/>
      <c r="Q4829" s="2018"/>
      <c r="R4829" s="2018"/>
      <c r="S4829" s="2018"/>
      <c r="T4829" s="2018"/>
      <c r="U4829" s="2018"/>
      <c r="V4829" s="2018"/>
      <c r="W4829" s="2018"/>
      <c r="X4829" s="2018"/>
      <c r="Y4829" s="2018"/>
      <c r="Z4829" s="2021"/>
      <c r="AA4829" s="2021"/>
      <c r="AB4829" s="1050"/>
      <c r="AC4829" s="1050"/>
      <c r="AD4829" s="1050"/>
      <c r="AE4829" s="1050"/>
      <c r="AF4829" s="1052"/>
    </row>
    <row r="4830" spans="1:32" ht="15.75" x14ac:dyDescent="0.25">
      <c r="A4830" s="2017"/>
      <c r="B4830" s="2018"/>
      <c r="C4830" s="2018"/>
      <c r="D4830" s="2018"/>
      <c r="E4830" s="2018"/>
      <c r="F4830" s="2018"/>
      <c r="G4830" s="2018"/>
      <c r="H4830" s="2018"/>
      <c r="I4830" s="2018"/>
      <c r="J4830" s="2018"/>
      <c r="K4830" s="2018"/>
      <c r="L4830" s="2018"/>
      <c r="M4830" s="2018"/>
      <c r="N4830" s="2018"/>
      <c r="O4830" s="2018"/>
      <c r="P4830" s="2018"/>
      <c r="Q4830" s="2018"/>
      <c r="R4830" s="2018"/>
      <c r="S4830" s="2018"/>
      <c r="T4830" s="2018"/>
      <c r="U4830" s="2018"/>
      <c r="V4830" s="2018"/>
      <c r="W4830" s="2018"/>
      <c r="X4830" s="2018"/>
      <c r="Y4830" s="2018"/>
      <c r="Z4830" s="2021"/>
      <c r="AA4830" s="2021"/>
      <c r="AB4830" s="1050"/>
      <c r="AC4830" s="1050"/>
      <c r="AD4830" s="1050"/>
      <c r="AE4830" s="1050"/>
      <c r="AF4830" s="1052"/>
    </row>
    <row r="4831" spans="1:32" ht="15.75" x14ac:dyDescent="0.25">
      <c r="A4831" s="2017"/>
      <c r="B4831" s="2018"/>
      <c r="C4831" s="2018"/>
      <c r="D4831" s="2018"/>
      <c r="E4831" s="2018"/>
      <c r="F4831" s="2018"/>
      <c r="G4831" s="2018"/>
      <c r="H4831" s="2018"/>
      <c r="I4831" s="2018"/>
      <c r="J4831" s="2018"/>
      <c r="K4831" s="2018"/>
      <c r="L4831" s="2018"/>
      <c r="M4831" s="2018"/>
      <c r="N4831" s="2018"/>
      <c r="O4831" s="2018"/>
      <c r="P4831" s="2018"/>
      <c r="Q4831" s="2018"/>
      <c r="R4831" s="2018"/>
      <c r="S4831" s="2018"/>
      <c r="T4831" s="2018"/>
      <c r="U4831" s="2018"/>
      <c r="V4831" s="2018"/>
      <c r="W4831" s="2018"/>
      <c r="X4831" s="2018"/>
      <c r="Y4831" s="2018"/>
      <c r="Z4831" s="2021"/>
      <c r="AA4831" s="2021"/>
      <c r="AB4831" s="1050"/>
      <c r="AC4831" s="1050"/>
      <c r="AD4831" s="1050"/>
      <c r="AE4831" s="1050"/>
      <c r="AF4831" s="1052"/>
    </row>
    <row r="4832" spans="1:32" ht="15.75" x14ac:dyDescent="0.25">
      <c r="A4832" s="2017"/>
      <c r="B4832" s="2018"/>
      <c r="C4832" s="2018"/>
      <c r="D4832" s="2018"/>
      <c r="E4832" s="2018"/>
      <c r="F4832" s="2018"/>
      <c r="G4832" s="2018"/>
      <c r="H4832" s="2018"/>
      <c r="I4832" s="2018"/>
      <c r="J4832" s="2018"/>
      <c r="K4832" s="2018"/>
      <c r="L4832" s="2018"/>
      <c r="M4832" s="2018"/>
      <c r="N4832" s="2018"/>
      <c r="O4832" s="2018"/>
      <c r="P4832" s="2018"/>
      <c r="Q4832" s="2018"/>
      <c r="R4832" s="2018"/>
      <c r="S4832" s="2018"/>
      <c r="T4832" s="2018"/>
      <c r="U4832" s="2018"/>
      <c r="V4832" s="2018"/>
      <c r="W4832" s="2018"/>
      <c r="X4832" s="2018"/>
      <c r="Y4832" s="2018"/>
      <c r="Z4832" s="2021"/>
      <c r="AA4832" s="2021"/>
      <c r="AB4832" s="1050"/>
      <c r="AC4832" s="1050"/>
      <c r="AD4832" s="1050"/>
      <c r="AE4832" s="1050"/>
      <c r="AF4832" s="1052"/>
    </row>
    <row r="4833" spans="1:32" ht="15.75" x14ac:dyDescent="0.25">
      <c r="A4833" s="2017"/>
      <c r="B4833" s="2018"/>
      <c r="C4833" s="2018"/>
      <c r="D4833" s="2018"/>
      <c r="E4833" s="2018"/>
      <c r="F4833" s="2018"/>
      <c r="G4833" s="2018"/>
      <c r="H4833" s="2018"/>
      <c r="I4833" s="2018"/>
      <c r="J4833" s="2018"/>
      <c r="K4833" s="2018"/>
      <c r="L4833" s="2018"/>
      <c r="M4833" s="2018"/>
      <c r="N4833" s="2018"/>
      <c r="O4833" s="2018"/>
      <c r="P4833" s="2018"/>
      <c r="Q4833" s="2018"/>
      <c r="R4833" s="2018"/>
      <c r="S4833" s="2018"/>
      <c r="T4833" s="2018"/>
      <c r="U4833" s="2018"/>
      <c r="V4833" s="2018"/>
      <c r="W4833" s="2018"/>
      <c r="X4833" s="2018"/>
      <c r="Y4833" s="2018"/>
      <c r="Z4833" s="2021"/>
      <c r="AA4833" s="2021"/>
      <c r="AB4833" s="1050"/>
      <c r="AC4833" s="1050"/>
      <c r="AD4833" s="1050"/>
      <c r="AE4833" s="1050"/>
      <c r="AF4833" s="1052"/>
    </row>
    <row r="4834" spans="1:32" ht="15.75" x14ac:dyDescent="0.25">
      <c r="A4834" s="2017"/>
      <c r="B4834" s="2018"/>
      <c r="C4834" s="2018"/>
      <c r="D4834" s="2018"/>
      <c r="E4834" s="2018"/>
      <c r="F4834" s="2018"/>
      <c r="G4834" s="2018"/>
      <c r="H4834" s="2018"/>
      <c r="I4834" s="2018"/>
      <c r="J4834" s="2018"/>
      <c r="K4834" s="2018"/>
      <c r="L4834" s="2018"/>
      <c r="M4834" s="2018"/>
      <c r="N4834" s="2018"/>
      <c r="O4834" s="2018"/>
      <c r="P4834" s="2018"/>
      <c r="Q4834" s="2018"/>
      <c r="R4834" s="2018"/>
      <c r="S4834" s="2018"/>
      <c r="T4834" s="2018"/>
      <c r="U4834" s="2018"/>
      <c r="V4834" s="2018"/>
      <c r="W4834" s="2018"/>
      <c r="X4834" s="2018"/>
      <c r="Y4834" s="2018"/>
      <c r="Z4834" s="2021"/>
      <c r="AA4834" s="2021"/>
      <c r="AB4834" s="1050"/>
      <c r="AC4834" s="1050"/>
      <c r="AD4834" s="1050"/>
      <c r="AE4834" s="1050"/>
      <c r="AF4834" s="1052"/>
    </row>
    <row r="4835" spans="1:32" ht="15.75" x14ac:dyDescent="0.25">
      <c r="A4835" s="2017"/>
      <c r="B4835" s="2018"/>
      <c r="C4835" s="2018"/>
      <c r="D4835" s="2018"/>
      <c r="E4835" s="2018"/>
      <c r="F4835" s="2018"/>
      <c r="G4835" s="2018"/>
      <c r="H4835" s="2018"/>
      <c r="I4835" s="2018"/>
      <c r="J4835" s="2018"/>
      <c r="K4835" s="2018"/>
      <c r="L4835" s="2018"/>
      <c r="M4835" s="2018"/>
      <c r="N4835" s="2018"/>
      <c r="O4835" s="2018"/>
      <c r="P4835" s="2018"/>
      <c r="Q4835" s="2018"/>
      <c r="R4835" s="2018"/>
      <c r="S4835" s="2018"/>
      <c r="T4835" s="2018"/>
      <c r="U4835" s="2018"/>
      <c r="V4835" s="2018"/>
      <c r="W4835" s="2018"/>
      <c r="X4835" s="2018"/>
      <c r="Y4835" s="2018"/>
      <c r="Z4835" s="2021"/>
      <c r="AA4835" s="2021"/>
      <c r="AB4835" s="1050"/>
      <c r="AC4835" s="1050"/>
      <c r="AD4835" s="1050"/>
      <c r="AE4835" s="1050"/>
      <c r="AF4835" s="1052"/>
    </row>
    <row r="4836" spans="1:32" ht="15.75" x14ac:dyDescent="0.25">
      <c r="A4836" s="2017"/>
      <c r="B4836" s="2018"/>
      <c r="C4836" s="2018"/>
      <c r="D4836" s="2018"/>
      <c r="E4836" s="2018"/>
      <c r="F4836" s="2018"/>
      <c r="G4836" s="2018"/>
      <c r="H4836" s="2018"/>
      <c r="I4836" s="2018"/>
      <c r="J4836" s="2018"/>
      <c r="K4836" s="2018"/>
      <c r="L4836" s="2018"/>
      <c r="M4836" s="2018"/>
      <c r="N4836" s="2018"/>
      <c r="O4836" s="2018"/>
      <c r="P4836" s="2018"/>
      <c r="Q4836" s="2018"/>
      <c r="R4836" s="2018"/>
      <c r="S4836" s="2018"/>
      <c r="T4836" s="2018"/>
      <c r="U4836" s="2018"/>
      <c r="V4836" s="2018"/>
      <c r="W4836" s="2018"/>
      <c r="X4836" s="2018"/>
      <c r="Y4836" s="2018"/>
      <c r="Z4836" s="2022"/>
      <c r="AA4836" s="2022"/>
      <c r="AB4836" s="1050"/>
      <c r="AC4836" s="1050"/>
      <c r="AD4836" s="1050"/>
      <c r="AE4836" s="1050"/>
      <c r="AF4836" s="1052"/>
    </row>
    <row r="4837" spans="1:32" ht="15.75" x14ac:dyDescent="0.25">
      <c r="A4837" s="2017"/>
      <c r="B4837" s="2018"/>
      <c r="C4837" s="2018"/>
      <c r="D4837" s="2018"/>
      <c r="E4837" s="2018"/>
      <c r="F4837" s="2018"/>
      <c r="G4837" s="2018"/>
      <c r="H4837" s="2018"/>
      <c r="I4837" s="2018"/>
      <c r="J4837" s="2018"/>
      <c r="K4837" s="2018"/>
      <c r="L4837" s="2018"/>
      <c r="M4837" s="2018"/>
      <c r="N4837" s="2018"/>
      <c r="O4837" s="2018"/>
      <c r="P4837" s="2018"/>
      <c r="Q4837" s="2018"/>
      <c r="R4837" s="2018"/>
      <c r="S4837" s="2018"/>
      <c r="T4837" s="2018"/>
      <c r="U4837" s="2018"/>
      <c r="V4837" s="2018"/>
      <c r="W4837" s="2018"/>
      <c r="X4837" s="2018"/>
      <c r="Y4837" s="2018"/>
      <c r="Z4837" s="2022"/>
      <c r="AA4837" s="2022"/>
      <c r="AB4837" s="1050"/>
      <c r="AC4837" s="1050"/>
      <c r="AD4837" s="1050"/>
      <c r="AE4837" s="1050"/>
      <c r="AF4837" s="1052"/>
    </row>
    <row r="4838" spans="1:32" ht="15.75" x14ac:dyDescent="0.25">
      <c r="A4838" s="2017"/>
      <c r="B4838" s="2018"/>
      <c r="C4838" s="2018"/>
      <c r="D4838" s="2018"/>
      <c r="E4838" s="2018"/>
      <c r="F4838" s="2018"/>
      <c r="G4838" s="2018"/>
      <c r="H4838" s="2018"/>
      <c r="I4838" s="2018"/>
      <c r="J4838" s="2018"/>
      <c r="K4838" s="2018"/>
      <c r="L4838" s="2018"/>
      <c r="M4838" s="2018"/>
      <c r="N4838" s="2018"/>
      <c r="O4838" s="2018"/>
      <c r="P4838" s="2018"/>
      <c r="Q4838" s="2018"/>
      <c r="R4838" s="2018"/>
      <c r="S4838" s="2018"/>
      <c r="T4838" s="2018"/>
      <c r="U4838" s="2018"/>
      <c r="V4838" s="2018"/>
      <c r="W4838" s="2018"/>
      <c r="X4838" s="2018"/>
      <c r="Y4838" s="2018"/>
      <c r="Z4838" s="2022"/>
      <c r="AA4838" s="2022"/>
      <c r="AB4838" s="1050"/>
      <c r="AC4838" s="1050"/>
      <c r="AD4838" s="1050"/>
      <c r="AE4838" s="1050"/>
      <c r="AF4838" s="1052"/>
    </row>
    <row r="4839" spans="1:32" ht="15.75" x14ac:dyDescent="0.25">
      <c r="A4839" s="2017"/>
      <c r="B4839" s="2018"/>
      <c r="C4839" s="2018"/>
      <c r="D4839" s="2018"/>
      <c r="E4839" s="2018"/>
      <c r="F4839" s="2018"/>
      <c r="G4839" s="2018"/>
      <c r="H4839" s="2018"/>
      <c r="I4839" s="2018"/>
      <c r="J4839" s="2018"/>
      <c r="K4839" s="2018"/>
      <c r="L4839" s="2018"/>
      <c r="M4839" s="2018"/>
      <c r="N4839" s="2018"/>
      <c r="O4839" s="2018"/>
      <c r="P4839" s="2018"/>
      <c r="Q4839" s="2018"/>
      <c r="R4839" s="2018"/>
      <c r="S4839" s="2018"/>
      <c r="T4839" s="2018"/>
      <c r="U4839" s="2018"/>
      <c r="V4839" s="2018"/>
      <c r="W4839" s="2018"/>
      <c r="X4839" s="2018"/>
      <c r="Y4839" s="2018"/>
      <c r="Z4839" s="2023"/>
      <c r="AA4839" s="2023"/>
      <c r="AB4839" s="1050"/>
      <c r="AC4839" s="1050"/>
      <c r="AD4839" s="1050"/>
      <c r="AE4839" s="1050"/>
      <c r="AF4839" s="1052"/>
    </row>
    <row r="4840" spans="1:32" ht="15.75" x14ac:dyDescent="0.25">
      <c r="A4840" s="2017"/>
      <c r="B4840" s="2018"/>
      <c r="C4840" s="2018"/>
      <c r="D4840" s="2018"/>
      <c r="E4840" s="2018"/>
      <c r="F4840" s="2018"/>
      <c r="G4840" s="2018"/>
      <c r="H4840" s="2018"/>
      <c r="I4840" s="2018"/>
      <c r="J4840" s="2018"/>
      <c r="K4840" s="2018"/>
      <c r="L4840" s="2018"/>
      <c r="M4840" s="2018"/>
      <c r="N4840" s="2018"/>
      <c r="O4840" s="2018"/>
      <c r="P4840" s="2018"/>
      <c r="Q4840" s="2018"/>
      <c r="R4840" s="2018"/>
      <c r="S4840" s="2018"/>
      <c r="T4840" s="2018"/>
      <c r="U4840" s="2018"/>
      <c r="V4840" s="2018"/>
      <c r="W4840" s="2018"/>
      <c r="X4840" s="2018"/>
      <c r="Y4840" s="2018"/>
      <c r="Z4840" s="2023"/>
      <c r="AA4840" s="2023"/>
      <c r="AB4840" s="1050"/>
      <c r="AC4840" s="1050"/>
      <c r="AD4840" s="1050"/>
      <c r="AE4840" s="1050"/>
      <c r="AF4840" s="1052"/>
    </row>
    <row r="4841" spans="1:32" ht="15.75" x14ac:dyDescent="0.25">
      <c r="A4841" s="2017"/>
      <c r="B4841" s="2018"/>
      <c r="C4841" s="2018"/>
      <c r="D4841" s="2018"/>
      <c r="E4841" s="2018"/>
      <c r="F4841" s="2018"/>
      <c r="G4841" s="2018"/>
      <c r="H4841" s="2018"/>
      <c r="I4841" s="2018"/>
      <c r="J4841" s="2018"/>
      <c r="K4841" s="2018"/>
      <c r="L4841" s="2018"/>
      <c r="M4841" s="2018"/>
      <c r="N4841" s="2018"/>
      <c r="O4841" s="2018"/>
      <c r="P4841" s="2018"/>
      <c r="Q4841" s="2018"/>
      <c r="R4841" s="2018"/>
      <c r="S4841" s="2018"/>
      <c r="T4841" s="2018"/>
      <c r="U4841" s="2018"/>
      <c r="V4841" s="2018"/>
      <c r="W4841" s="2018"/>
      <c r="X4841" s="2018"/>
      <c r="Y4841" s="2018"/>
      <c r="Z4841" s="2023"/>
      <c r="AA4841" s="2023"/>
      <c r="AB4841" s="1050"/>
      <c r="AC4841" s="1050"/>
      <c r="AD4841" s="1050"/>
      <c r="AE4841" s="1050"/>
      <c r="AF4841" s="1052"/>
    </row>
    <row r="4842" spans="1:32" ht="15.75" x14ac:dyDescent="0.25">
      <c r="A4842" s="2017"/>
      <c r="B4842" s="2018"/>
      <c r="C4842" s="2018"/>
      <c r="D4842" s="2018"/>
      <c r="E4842" s="2018"/>
      <c r="F4842" s="2018"/>
      <c r="G4842" s="2018"/>
      <c r="H4842" s="2018"/>
      <c r="I4842" s="2018"/>
      <c r="J4842" s="2018"/>
      <c r="K4842" s="2018"/>
      <c r="L4842" s="2018"/>
      <c r="M4842" s="2018"/>
      <c r="N4842" s="2018"/>
      <c r="O4842" s="2018"/>
      <c r="P4842" s="2018"/>
      <c r="Q4842" s="2018"/>
      <c r="R4842" s="2018"/>
      <c r="S4842" s="2018"/>
      <c r="T4842" s="2018"/>
      <c r="U4842" s="2018"/>
      <c r="V4842" s="2018"/>
      <c r="W4842" s="2018"/>
      <c r="X4842" s="2018"/>
      <c r="Y4842" s="2018"/>
      <c r="Z4842" s="2023"/>
      <c r="AA4842" s="2023"/>
      <c r="AB4842" s="1050"/>
      <c r="AC4842" s="1050"/>
      <c r="AD4842" s="1050"/>
      <c r="AE4842" s="1050"/>
      <c r="AF4842" s="1052"/>
    </row>
    <row r="4843" spans="1:32" ht="15.75" x14ac:dyDescent="0.25">
      <c r="A4843" s="2017"/>
      <c r="B4843" s="2018"/>
      <c r="C4843" s="2018"/>
      <c r="D4843" s="2018"/>
      <c r="E4843" s="2018"/>
      <c r="F4843" s="2018"/>
      <c r="G4843" s="2018"/>
      <c r="H4843" s="2018"/>
      <c r="I4843" s="2018"/>
      <c r="J4843" s="2018"/>
      <c r="K4843" s="2018"/>
      <c r="L4843" s="2018"/>
      <c r="M4843" s="2018"/>
      <c r="N4843" s="2018"/>
      <c r="O4843" s="2018"/>
      <c r="P4843" s="2018"/>
      <c r="Q4843" s="2018"/>
      <c r="R4843" s="2018"/>
      <c r="S4843" s="2018"/>
      <c r="T4843" s="2018"/>
      <c r="U4843" s="2018"/>
      <c r="V4843" s="2018"/>
      <c r="W4843" s="2018"/>
      <c r="X4843" s="2018"/>
      <c r="Y4843" s="2018"/>
      <c r="Z4843" s="2023"/>
      <c r="AA4843" s="2023"/>
      <c r="AB4843" s="1050"/>
      <c r="AC4843" s="1050"/>
      <c r="AD4843" s="1050"/>
      <c r="AE4843" s="1050"/>
      <c r="AF4843" s="1052"/>
    </row>
    <row r="4844" spans="1:32" ht="15.75" x14ac:dyDescent="0.25">
      <c r="A4844" s="2017"/>
      <c r="B4844" s="2018"/>
      <c r="C4844" s="2018"/>
      <c r="D4844" s="2018"/>
      <c r="E4844" s="2018"/>
      <c r="F4844" s="2018"/>
      <c r="G4844" s="2018"/>
      <c r="H4844" s="2018"/>
      <c r="I4844" s="2018"/>
      <c r="J4844" s="2018"/>
      <c r="K4844" s="2018"/>
      <c r="L4844" s="2018"/>
      <c r="M4844" s="2018"/>
      <c r="N4844" s="2018"/>
      <c r="O4844" s="2018"/>
      <c r="P4844" s="2018"/>
      <c r="Q4844" s="2018"/>
      <c r="R4844" s="2018"/>
      <c r="S4844" s="2018"/>
      <c r="T4844" s="2018"/>
      <c r="U4844" s="2018"/>
      <c r="V4844" s="2018"/>
      <c r="W4844" s="2018"/>
      <c r="X4844" s="2018"/>
      <c r="Y4844" s="2018"/>
      <c r="Z4844" s="2023"/>
      <c r="AA4844" s="2023"/>
      <c r="AB4844" s="1050"/>
      <c r="AC4844" s="1050"/>
      <c r="AD4844" s="1050"/>
      <c r="AE4844" s="1050"/>
      <c r="AF4844" s="1052"/>
    </row>
    <row r="4845" spans="1:32" ht="16.5" thickBot="1" x14ac:dyDescent="0.3">
      <c r="A4845" s="2019"/>
      <c r="B4845" s="2020"/>
      <c r="C4845" s="2020"/>
      <c r="D4845" s="2020"/>
      <c r="E4845" s="2020"/>
      <c r="F4845" s="2020"/>
      <c r="G4845" s="2020"/>
      <c r="H4845" s="2020"/>
      <c r="I4845" s="2020"/>
      <c r="J4845" s="2020"/>
      <c r="K4845" s="2020"/>
      <c r="L4845" s="2020"/>
      <c r="M4845" s="2020"/>
      <c r="N4845" s="2020"/>
      <c r="O4845" s="2020"/>
      <c r="P4845" s="2020"/>
      <c r="Q4845" s="2020"/>
      <c r="R4845" s="2020"/>
      <c r="S4845" s="2020"/>
      <c r="T4845" s="2020"/>
      <c r="U4845" s="2020"/>
      <c r="V4845" s="2020"/>
      <c r="W4845" s="2020"/>
      <c r="X4845" s="2020"/>
      <c r="Y4845" s="2020"/>
      <c r="Z4845" s="2024"/>
      <c r="AA4845" s="2024"/>
      <c r="AB4845" s="1057"/>
      <c r="AC4845" s="1057"/>
      <c r="AD4845" s="1057"/>
      <c r="AE4845" s="1057"/>
      <c r="AF4845" s="1058"/>
    </row>
    <row r="4846" spans="1:32" ht="15.75" x14ac:dyDescent="0.25">
      <c r="A4846" s="2009" t="s">
        <v>1855</v>
      </c>
      <c r="B4846" s="2010"/>
      <c r="C4846" s="2010"/>
      <c r="D4846" s="2010"/>
      <c r="E4846" s="2010"/>
      <c r="F4846" s="2010"/>
      <c r="G4846" s="2010"/>
      <c r="H4846" s="2010"/>
      <c r="I4846" s="2010"/>
      <c r="J4846" s="2010"/>
      <c r="K4846" s="2010"/>
      <c r="L4846" s="2010"/>
      <c r="M4846" s="2010"/>
      <c r="N4846" s="2010"/>
      <c r="O4846" s="2010"/>
      <c r="P4846" s="2010"/>
      <c r="Q4846" s="2010"/>
      <c r="R4846" s="2010"/>
      <c r="S4846" s="2010"/>
      <c r="T4846" s="2010"/>
      <c r="U4846" s="2010"/>
      <c r="V4846" s="2010"/>
      <c r="W4846" s="2010"/>
      <c r="X4846" s="2010"/>
      <c r="Y4846" s="2010"/>
      <c r="Z4846" s="2013" t="s">
        <v>1850</v>
      </c>
      <c r="AA4846" s="2013"/>
      <c r="AB4846" s="2013"/>
      <c r="AC4846" s="2013"/>
      <c r="AD4846" s="2013"/>
      <c r="AE4846" s="2013"/>
      <c r="AF4846" s="1059">
        <f>SUM(AF4822:AF4845)</f>
        <v>1</v>
      </c>
    </row>
    <row r="4847" spans="1:32" ht="15.75" x14ac:dyDescent="0.25">
      <c r="A4847" s="2011"/>
      <c r="B4847" s="2012"/>
      <c r="C4847" s="2012"/>
      <c r="D4847" s="2012"/>
      <c r="E4847" s="2012"/>
      <c r="F4847" s="2012"/>
      <c r="G4847" s="2012"/>
      <c r="H4847" s="2012"/>
      <c r="I4847" s="2012"/>
      <c r="J4847" s="2012"/>
      <c r="K4847" s="2012"/>
      <c r="L4847" s="2012"/>
      <c r="M4847" s="2012"/>
      <c r="N4847" s="2012"/>
      <c r="O4847" s="2012"/>
      <c r="P4847" s="2012"/>
      <c r="Q4847" s="2012"/>
      <c r="R4847" s="2012"/>
      <c r="S4847" s="2012"/>
      <c r="T4847" s="2012"/>
      <c r="U4847" s="2012"/>
      <c r="V4847" s="2012"/>
      <c r="W4847" s="2012"/>
      <c r="X4847" s="2012"/>
      <c r="Y4847" s="2012"/>
      <c r="Z4847" s="2014" t="s">
        <v>1851</v>
      </c>
      <c r="AA4847" s="2014"/>
      <c r="AB4847" s="2014"/>
      <c r="AC4847" s="2014"/>
      <c r="AD4847" s="2014"/>
      <c r="AE4847" s="2014"/>
      <c r="AF4847" s="1060">
        <v>0</v>
      </c>
    </row>
    <row r="4848" spans="1:32" ht="15.75" x14ac:dyDescent="0.25">
      <c r="A4848" s="2011"/>
      <c r="B4848" s="2012"/>
      <c r="C4848" s="2012"/>
      <c r="D4848" s="2012"/>
      <c r="E4848" s="2012"/>
      <c r="F4848" s="2012"/>
      <c r="G4848" s="2012"/>
      <c r="H4848" s="2012"/>
      <c r="I4848" s="2012"/>
      <c r="J4848" s="2012"/>
      <c r="K4848" s="2012"/>
      <c r="L4848" s="2012"/>
      <c r="M4848" s="2012"/>
      <c r="N4848" s="2012"/>
      <c r="O4848" s="2012"/>
      <c r="P4848" s="2012"/>
      <c r="Q4848" s="2012"/>
      <c r="R4848" s="2012"/>
      <c r="S4848" s="2012"/>
      <c r="T4848" s="2012"/>
      <c r="U4848" s="2012"/>
      <c r="V4848" s="2012"/>
      <c r="W4848" s="2012"/>
      <c r="X4848" s="2012"/>
      <c r="Y4848" s="2012"/>
      <c r="Z4848" s="2015" t="s">
        <v>1833</v>
      </c>
      <c r="AA4848" s="2015"/>
      <c r="AB4848" s="2015"/>
      <c r="AC4848" s="2015"/>
      <c r="AD4848" s="2015"/>
      <c r="AE4848" s="2015"/>
      <c r="AF4848" s="1061">
        <f>SUM(AF4846:AF4847)</f>
        <v>1</v>
      </c>
    </row>
    <row r="4849" spans="1:32" x14ac:dyDescent="0.2">
      <c r="A4849" s="2012" t="s">
        <v>1859</v>
      </c>
      <c r="B4849" s="2012"/>
      <c r="C4849" s="2012"/>
      <c r="D4849" s="2012"/>
      <c r="E4849" s="2012"/>
      <c r="F4849" s="2012"/>
      <c r="G4849" s="2012"/>
      <c r="H4849" s="2012"/>
      <c r="I4849" s="2012"/>
      <c r="J4849" s="2012"/>
      <c r="K4849" s="2012"/>
      <c r="L4849" s="2012"/>
      <c r="M4849" s="2012"/>
      <c r="N4849" s="2012"/>
      <c r="O4849" s="2012"/>
      <c r="P4849" s="2012"/>
      <c r="Q4849" s="2012"/>
      <c r="R4849" s="2012"/>
      <c r="S4849" s="2012"/>
      <c r="T4849" s="2016" t="s">
        <v>1840</v>
      </c>
      <c r="U4849" s="2016"/>
      <c r="V4849" s="2016"/>
      <c r="W4849" s="2016"/>
      <c r="X4849" s="2016"/>
      <c r="Y4849" s="2016"/>
      <c r="Z4849" s="2016"/>
      <c r="AA4849" s="2016"/>
      <c r="AB4849" s="2012" t="s">
        <v>1852</v>
      </c>
      <c r="AC4849" s="2012"/>
      <c r="AD4849" s="2012"/>
      <c r="AE4849" s="2012"/>
      <c r="AF4849" s="2012"/>
    </row>
    <row r="4850" spans="1:32" x14ac:dyDescent="0.2">
      <c r="A4850" s="2012"/>
      <c r="B4850" s="2012"/>
      <c r="C4850" s="2012"/>
      <c r="D4850" s="2012"/>
      <c r="E4850" s="2012"/>
      <c r="F4850" s="2012"/>
      <c r="G4850" s="2012"/>
      <c r="H4850" s="2012"/>
      <c r="I4850" s="2012"/>
      <c r="J4850" s="2012"/>
      <c r="K4850" s="2012"/>
      <c r="L4850" s="2012"/>
      <c r="M4850" s="2012"/>
      <c r="N4850" s="2012"/>
      <c r="O4850" s="2012"/>
      <c r="P4850" s="2012"/>
      <c r="Q4850" s="2012"/>
      <c r="R4850" s="2012"/>
      <c r="S4850" s="2012"/>
      <c r="T4850" s="2016"/>
      <c r="U4850" s="2016"/>
      <c r="V4850" s="2016"/>
      <c r="W4850" s="2016"/>
      <c r="X4850" s="2016"/>
      <c r="Y4850" s="2016"/>
      <c r="Z4850" s="2016"/>
      <c r="AA4850" s="2016"/>
      <c r="AB4850" s="2012"/>
      <c r="AC4850" s="2012"/>
      <c r="AD4850" s="2012"/>
      <c r="AE4850" s="2012"/>
      <c r="AF4850" s="2012"/>
    </row>
    <row r="4851" spans="1:32" ht="13.5" thickBot="1" x14ac:dyDescent="0.25"/>
    <row r="4852" spans="1:32" ht="26.45" customHeight="1" x14ac:dyDescent="0.2">
      <c r="A4852" s="2025" t="s">
        <v>1854</v>
      </c>
      <c r="B4852" s="2026"/>
      <c r="C4852" s="2026"/>
      <c r="D4852" s="2026"/>
      <c r="E4852" s="2026"/>
      <c r="F4852" s="2026"/>
      <c r="G4852" s="2026"/>
      <c r="H4852" s="2026"/>
      <c r="I4852" s="2026"/>
      <c r="J4852" s="2026"/>
      <c r="K4852" s="2026"/>
      <c r="L4852" s="2026"/>
      <c r="M4852" s="2026"/>
      <c r="N4852" s="2026"/>
      <c r="O4852" s="2026"/>
      <c r="P4852" s="2026"/>
      <c r="Q4852" s="2026"/>
      <c r="R4852" s="2026"/>
      <c r="S4852" s="2026"/>
      <c r="T4852" s="2026"/>
      <c r="U4852" s="2026"/>
      <c r="V4852" s="2026"/>
      <c r="W4852" s="2026"/>
      <c r="X4852" s="2026"/>
      <c r="Y4852" s="2026"/>
      <c r="Z4852" s="2026"/>
      <c r="AA4852" s="2026"/>
      <c r="AB4852" s="2026"/>
      <c r="AC4852" s="2026"/>
      <c r="AD4852" s="2026"/>
      <c r="AE4852" s="1041" t="s">
        <v>1834</v>
      </c>
      <c r="AF4852" s="1042" t="s">
        <v>1835</v>
      </c>
    </row>
    <row r="4853" spans="1:32" ht="21" customHeight="1" thickBot="1" x14ac:dyDescent="0.25">
      <c r="A4853" s="2027"/>
      <c r="B4853" s="2028"/>
      <c r="C4853" s="2028"/>
      <c r="D4853" s="2028"/>
      <c r="E4853" s="2028"/>
      <c r="F4853" s="2028"/>
      <c r="G4853" s="2028"/>
      <c r="H4853" s="2028"/>
      <c r="I4853" s="2028"/>
      <c r="J4853" s="2028"/>
      <c r="K4853" s="2028"/>
      <c r="L4853" s="2028"/>
      <c r="M4853" s="2028"/>
      <c r="N4853" s="2028"/>
      <c r="O4853" s="2028"/>
      <c r="P4853" s="2028"/>
      <c r="Q4853" s="2028"/>
      <c r="R4853" s="2028"/>
      <c r="S4853" s="2028"/>
      <c r="T4853" s="2028"/>
      <c r="U4853" s="2028"/>
      <c r="V4853" s="2028"/>
      <c r="W4853" s="2028"/>
      <c r="X4853" s="2028"/>
      <c r="Y4853" s="2028"/>
      <c r="Z4853" s="2028"/>
      <c r="AA4853" s="2028"/>
      <c r="AB4853" s="2028"/>
      <c r="AC4853" s="2028"/>
      <c r="AD4853" s="2028"/>
      <c r="AE4853" s="1041" t="s">
        <v>1836</v>
      </c>
      <c r="AF4853" s="1044">
        <v>1</v>
      </c>
    </row>
    <row r="4854" spans="1:32" ht="15.75" x14ac:dyDescent="0.2">
      <c r="A4854" s="2029"/>
      <c r="B4854" s="2030"/>
      <c r="C4854" s="2030"/>
      <c r="D4854" s="2031"/>
      <c r="E4854" s="2025" t="str">
        <f>'01'!$A$12</f>
        <v>"CONSTRUCCION SISTEMA DE ACUEDUCTO FASE II DEL MUNICIPIO DE TESALIA DPTO DEL HUILA"</v>
      </c>
      <c r="F4854" s="2026"/>
      <c r="G4854" s="2026"/>
      <c r="H4854" s="2026"/>
      <c r="I4854" s="2026"/>
      <c r="J4854" s="2026"/>
      <c r="K4854" s="2026"/>
      <c r="L4854" s="2026"/>
      <c r="M4854" s="2026"/>
      <c r="N4854" s="2026"/>
      <c r="O4854" s="2026"/>
      <c r="P4854" s="2026"/>
      <c r="Q4854" s="2026"/>
      <c r="R4854" s="2026"/>
      <c r="S4854" s="2026"/>
      <c r="T4854" s="2026"/>
      <c r="U4854" s="2026"/>
      <c r="V4854" s="2026"/>
      <c r="W4854" s="2026"/>
      <c r="X4854" s="2026"/>
      <c r="Y4854" s="2026"/>
      <c r="Z4854" s="2026"/>
      <c r="AA4854" s="2026"/>
      <c r="AB4854" s="2026"/>
      <c r="AC4854" s="2026"/>
      <c r="AD4854" s="2035"/>
      <c r="AE4854" s="1041" t="s">
        <v>847</v>
      </c>
      <c r="AF4854" s="1045">
        <f>'01'!$M$13</f>
        <v>0</v>
      </c>
    </row>
    <row r="4855" spans="1:32" ht="16.5" thickBot="1" x14ac:dyDescent="0.25">
      <c r="A4855" s="2032"/>
      <c r="B4855" s="2033"/>
      <c r="C4855" s="2033"/>
      <c r="D4855" s="2034"/>
      <c r="E4855" s="2027"/>
      <c r="F4855" s="2028"/>
      <c r="G4855" s="2028"/>
      <c r="H4855" s="2028"/>
      <c r="I4855" s="2028"/>
      <c r="J4855" s="2028"/>
      <c r="K4855" s="2028"/>
      <c r="L4855" s="2028"/>
      <c r="M4855" s="2028"/>
      <c r="N4855" s="2028"/>
      <c r="O4855" s="2028"/>
      <c r="P4855" s="2028"/>
      <c r="Q4855" s="2028"/>
      <c r="R4855" s="2028"/>
      <c r="S4855" s="2028"/>
      <c r="T4855" s="2028"/>
      <c r="U4855" s="2028"/>
      <c r="V4855" s="2028"/>
      <c r="W4855" s="2028"/>
      <c r="X4855" s="2028"/>
      <c r="Y4855" s="2028"/>
      <c r="Z4855" s="2028"/>
      <c r="AA4855" s="2028"/>
      <c r="AB4855" s="2028"/>
      <c r="AC4855" s="2028"/>
      <c r="AD4855" s="2036"/>
      <c r="AE4855" s="1041" t="s">
        <v>1837</v>
      </c>
      <c r="AF4855" s="1042" t="s">
        <v>1838</v>
      </c>
    </row>
    <row r="4856" spans="1:32" ht="15.75" x14ac:dyDescent="0.25">
      <c r="A4856" s="2037" t="s">
        <v>1860</v>
      </c>
      <c r="B4856" s="2038"/>
      <c r="C4856" s="2038"/>
      <c r="D4856" s="2038"/>
      <c r="E4856" s="2038"/>
      <c r="F4856" s="2038"/>
      <c r="G4856" s="2038"/>
      <c r="H4856" s="2038"/>
      <c r="I4856" s="2038"/>
      <c r="J4856" s="2038"/>
      <c r="K4856" s="2038"/>
      <c r="L4856" s="2038"/>
      <c r="M4856" s="2038"/>
      <c r="N4856" s="2038"/>
      <c r="O4856" s="2038"/>
      <c r="P4856" s="2038"/>
      <c r="Q4856" s="2038"/>
      <c r="R4856" s="2038"/>
      <c r="S4856" s="2038"/>
      <c r="T4856" s="2038"/>
      <c r="U4856" s="2038"/>
      <c r="V4856" s="2038"/>
      <c r="W4856" s="2038"/>
      <c r="X4856" s="2038"/>
      <c r="Y4856" s="2038"/>
      <c r="Z4856" s="2038"/>
      <c r="AA4856" s="2038"/>
      <c r="AB4856" s="2038"/>
      <c r="AC4856" s="2038"/>
      <c r="AD4856" s="2038"/>
      <c r="AE4856" s="2039" t="s">
        <v>1839</v>
      </c>
      <c r="AF4856" s="2040"/>
    </row>
    <row r="4857" spans="1:32" ht="15.75" x14ac:dyDescent="0.25">
      <c r="A4857" s="2041" t="s">
        <v>1840</v>
      </c>
      <c r="B4857" s="2042"/>
      <c r="C4857" s="2042"/>
      <c r="D4857" s="2042"/>
      <c r="E4857" s="2042"/>
      <c r="F4857" s="2042"/>
      <c r="G4857" s="2042"/>
      <c r="H4857" s="2042"/>
      <c r="I4857" s="2042"/>
      <c r="J4857" s="2042"/>
      <c r="K4857" s="2042"/>
      <c r="L4857" s="2042"/>
      <c r="M4857" s="2042"/>
      <c r="N4857" s="2042"/>
      <c r="O4857" s="2042"/>
      <c r="P4857" s="2042"/>
      <c r="Q4857" s="2042"/>
      <c r="R4857" s="2042"/>
      <c r="S4857" s="2042"/>
      <c r="T4857" s="2042"/>
      <c r="U4857" s="2042"/>
      <c r="V4857" s="2042"/>
      <c r="W4857" s="2042"/>
      <c r="X4857" s="2042"/>
      <c r="Y4857" s="2042"/>
      <c r="Z4857" s="2042"/>
      <c r="AA4857" s="2042"/>
      <c r="AB4857" s="2042"/>
      <c r="AC4857" s="2042"/>
      <c r="AD4857" s="2043"/>
      <c r="AE4857" s="2014" t="s">
        <v>1841</v>
      </c>
      <c r="AF4857" s="2044"/>
    </row>
    <row r="4858" spans="1:32" ht="15.75" x14ac:dyDescent="0.25">
      <c r="A4858" s="2045" t="s">
        <v>1853</v>
      </c>
      <c r="B4858" s="2046"/>
      <c r="C4858" s="2046"/>
      <c r="D4858" s="2046"/>
      <c r="E4858" s="2046"/>
      <c r="F4858" s="2046"/>
      <c r="G4858" s="2046"/>
      <c r="H4858" s="2046"/>
      <c r="I4858" s="2046"/>
      <c r="J4858" s="2046"/>
      <c r="K4858" s="2046"/>
      <c r="L4858" s="2046"/>
      <c r="M4858" s="2046"/>
      <c r="N4858" s="2046"/>
      <c r="O4858" s="2046"/>
      <c r="P4858" s="2046"/>
      <c r="Q4858" s="2046"/>
      <c r="R4858" s="2046"/>
      <c r="S4858" s="2046"/>
      <c r="T4858" s="2046"/>
      <c r="U4858" s="2046"/>
      <c r="V4858" s="2046"/>
      <c r="W4858" s="2046"/>
      <c r="X4858" s="2046"/>
      <c r="Y4858" s="2046"/>
      <c r="Z4858" s="2046"/>
      <c r="AA4858" s="2046"/>
      <c r="AB4858" s="2046"/>
      <c r="AC4858" s="2046"/>
      <c r="AD4858" s="2046"/>
      <c r="AE4858" s="2047">
        <f>'01'!$M$13</f>
        <v>0</v>
      </c>
      <c r="AF4858" s="2044"/>
    </row>
    <row r="4859" spans="1:32" x14ac:dyDescent="0.2">
      <c r="A4859" s="1046"/>
      <c r="B4859" s="1047"/>
      <c r="C4859" s="1047"/>
      <c r="D4859" s="1047"/>
      <c r="E4859" s="1047"/>
      <c r="F4859" s="1047"/>
      <c r="G4859" s="1047"/>
      <c r="H4859" s="1047"/>
      <c r="I4859" s="1047"/>
      <c r="J4859" s="1047"/>
      <c r="K4859" s="1047"/>
      <c r="L4859" s="1047"/>
      <c r="M4859" s="1047"/>
      <c r="N4859" s="1047"/>
      <c r="O4859" s="1047"/>
      <c r="P4859" s="1047"/>
      <c r="Q4859" s="1047"/>
      <c r="R4859" s="1047"/>
      <c r="S4859" s="1047"/>
      <c r="T4859" s="1047"/>
      <c r="U4859" s="1047"/>
      <c r="V4859" s="1047"/>
      <c r="W4859" s="1047"/>
      <c r="X4859" s="1047"/>
      <c r="Y4859" s="1047"/>
      <c r="Z4859" s="1047"/>
      <c r="AA4859" s="1047"/>
      <c r="AB4859" s="1047"/>
      <c r="AC4859" s="1047"/>
      <c r="AD4859" s="1047"/>
      <c r="AE4859" s="1047"/>
      <c r="AF4859" s="1048"/>
    </row>
    <row r="4860" spans="1:32" ht="30" customHeight="1" x14ac:dyDescent="0.2">
      <c r="A4860" s="2048" t="s">
        <v>1842</v>
      </c>
      <c r="B4860" s="2049"/>
      <c r="C4860" s="2049"/>
      <c r="D4860" s="2049"/>
      <c r="E4860" s="2049"/>
      <c r="F4860" s="2050" t="str">
        <f>+'01'!$H$201</f>
        <v>H - TANQUE DE ALMACENAMIENTO</v>
      </c>
      <c r="G4860" s="2049"/>
      <c r="H4860" s="2049"/>
      <c r="I4860" s="2049"/>
      <c r="J4860" s="2049"/>
      <c r="K4860" s="2049"/>
      <c r="L4860" s="2049"/>
      <c r="M4860" s="2049"/>
      <c r="N4860" s="2049"/>
      <c r="O4860" s="2049"/>
      <c r="P4860" s="2049"/>
      <c r="Q4860" s="2049"/>
      <c r="R4860" s="2049"/>
      <c r="S4860" s="2049"/>
      <c r="T4860" s="2049"/>
      <c r="U4860" s="2049"/>
      <c r="V4860" s="2049"/>
      <c r="W4860" s="2049"/>
      <c r="X4860" s="2049"/>
      <c r="Y4860" s="2051"/>
      <c r="Z4860" s="2052" t="s">
        <v>1843</v>
      </c>
      <c r="AA4860" s="2053"/>
      <c r="AB4860" s="2058" t="s">
        <v>1844</v>
      </c>
      <c r="AC4860" s="2059"/>
      <c r="AD4860" s="2060"/>
      <c r="AE4860" s="2064" t="s">
        <v>1845</v>
      </c>
      <c r="AF4860" s="2067" t="s">
        <v>1846</v>
      </c>
    </row>
    <row r="4861" spans="1:32" ht="15" customHeight="1" x14ac:dyDescent="0.2">
      <c r="A4861" s="2070" t="str">
        <f>+'01'!A204</f>
        <v>H-01-01</v>
      </c>
      <c r="B4861" s="2071"/>
      <c r="C4861" s="2072"/>
      <c r="D4861" s="2076" t="str">
        <f>VLOOKUP(A4861,'01'!$A$12:$N$299,3,FALSE)</f>
        <v>LOCALIZACIÓN Y REPLANTEO. INCLUYE: MATERIALES, EQUIPOS, COMISIÓN TOPOGRÁFICA PARA CONTROL DE NIVELES PERMANENTES Y PLANOS RECORD.</v>
      </c>
      <c r="E4861" s="2077"/>
      <c r="F4861" s="2077"/>
      <c r="G4861" s="2077"/>
      <c r="H4861" s="2077"/>
      <c r="I4861" s="2077"/>
      <c r="J4861" s="2077"/>
      <c r="K4861" s="2077"/>
      <c r="L4861" s="2077"/>
      <c r="M4861" s="2077"/>
      <c r="N4861" s="2077"/>
      <c r="O4861" s="2077"/>
      <c r="P4861" s="2077"/>
      <c r="Q4861" s="2077"/>
      <c r="R4861" s="2077"/>
      <c r="S4861" s="2078"/>
      <c r="T4861" s="2082" t="s">
        <v>124</v>
      </c>
      <c r="U4861" s="2083"/>
      <c r="V4861" s="2083"/>
      <c r="W4861" s="2083"/>
      <c r="X4861" s="2052" t="str">
        <f>VLOOKUP(A4861,'01'!$A$12:$N$299,9,FALSE)</f>
        <v>M2</v>
      </c>
      <c r="Y4861" s="2053"/>
      <c r="Z4861" s="2054"/>
      <c r="AA4861" s="2055"/>
      <c r="AB4861" s="2061"/>
      <c r="AC4861" s="2062"/>
      <c r="AD4861" s="2063"/>
      <c r="AE4861" s="2065"/>
      <c r="AF4861" s="2068"/>
    </row>
    <row r="4862" spans="1:32" ht="30" customHeight="1" x14ac:dyDescent="0.25">
      <c r="A4862" s="2073"/>
      <c r="B4862" s="2074"/>
      <c r="C4862" s="2075"/>
      <c r="D4862" s="2079"/>
      <c r="E4862" s="2080"/>
      <c r="F4862" s="2080"/>
      <c r="G4862" s="2080"/>
      <c r="H4862" s="2080"/>
      <c r="I4862" s="2080"/>
      <c r="J4862" s="2080"/>
      <c r="K4862" s="2080"/>
      <c r="L4862" s="2080"/>
      <c r="M4862" s="2080"/>
      <c r="N4862" s="2080"/>
      <c r="O4862" s="2080"/>
      <c r="P4862" s="2080"/>
      <c r="Q4862" s="2080"/>
      <c r="R4862" s="2080"/>
      <c r="S4862" s="2081"/>
      <c r="T4862" s="2084"/>
      <c r="U4862" s="2085"/>
      <c r="V4862" s="2085"/>
      <c r="W4862" s="2085"/>
      <c r="X4862" s="2056"/>
      <c r="Y4862" s="2057"/>
      <c r="Z4862" s="2056"/>
      <c r="AA4862" s="2057"/>
      <c r="AB4862" s="1049" t="s">
        <v>1847</v>
      </c>
      <c r="AC4862" s="1049" t="s">
        <v>1848</v>
      </c>
      <c r="AD4862" s="1049" t="s">
        <v>1861</v>
      </c>
      <c r="AE4862" s="2066"/>
      <c r="AF4862" s="2069"/>
    </row>
    <row r="4863" spans="1:32" ht="15.6" customHeight="1" x14ac:dyDescent="0.25">
      <c r="A4863" s="2017"/>
      <c r="B4863" s="2018"/>
      <c r="C4863" s="2018"/>
      <c r="D4863" s="2018"/>
      <c r="E4863" s="2018"/>
      <c r="F4863" s="2018"/>
      <c r="G4863" s="2018"/>
      <c r="H4863" s="2018"/>
      <c r="I4863" s="2018"/>
      <c r="J4863" s="2018"/>
      <c r="K4863" s="2018"/>
      <c r="L4863" s="2018"/>
      <c r="M4863" s="2018"/>
      <c r="N4863" s="2018"/>
      <c r="O4863" s="2018"/>
      <c r="P4863" s="2018"/>
      <c r="Q4863" s="2018"/>
      <c r="R4863" s="2018"/>
      <c r="S4863" s="2018"/>
      <c r="T4863" s="2018"/>
      <c r="U4863" s="2018"/>
      <c r="V4863" s="2018"/>
      <c r="W4863" s="2018"/>
      <c r="X4863" s="2018"/>
      <c r="Y4863" s="2018"/>
      <c r="Z4863" s="2021" t="s">
        <v>2521</v>
      </c>
      <c r="AA4863" s="2021"/>
      <c r="AB4863" s="1050">
        <v>23.4</v>
      </c>
      <c r="AC4863" s="1050">
        <v>12.25</v>
      </c>
      <c r="AD4863" s="1050"/>
      <c r="AE4863" s="1050">
        <v>1</v>
      </c>
      <c r="AF4863" s="1052">
        <f>+ROUND(AB4863*AC4863*AE4863,2)</f>
        <v>286.64999999999998</v>
      </c>
    </row>
    <row r="4864" spans="1:32" ht="15.6" customHeight="1" x14ac:dyDescent="0.25">
      <c r="A4864" s="2017"/>
      <c r="B4864" s="2018"/>
      <c r="C4864" s="2018"/>
      <c r="D4864" s="2018"/>
      <c r="E4864" s="2018"/>
      <c r="F4864" s="2018"/>
      <c r="G4864" s="2018"/>
      <c r="H4864" s="2018"/>
      <c r="I4864" s="2018"/>
      <c r="J4864" s="2018"/>
      <c r="K4864" s="2018"/>
      <c r="L4864" s="2018"/>
      <c r="M4864" s="2018"/>
      <c r="N4864" s="2018"/>
      <c r="O4864" s="2018"/>
      <c r="P4864" s="2018"/>
      <c r="Q4864" s="2018"/>
      <c r="R4864" s="2018"/>
      <c r="S4864" s="2018"/>
      <c r="T4864" s="2018"/>
      <c r="U4864" s="2018"/>
      <c r="V4864" s="2018"/>
      <c r="W4864" s="2018"/>
      <c r="X4864" s="2018"/>
      <c r="Y4864" s="2018"/>
      <c r="Z4864" s="2021" t="s">
        <v>2523</v>
      </c>
      <c r="AA4864" s="2021"/>
      <c r="AB4864" s="1050">
        <v>2.5</v>
      </c>
      <c r="AC4864" s="1050">
        <v>2.5</v>
      </c>
      <c r="AD4864" s="1050"/>
      <c r="AE4864" s="1050">
        <v>2</v>
      </c>
      <c r="AF4864" s="1052">
        <f>+ROUND(AB4864*AC4864*AE4864,2)</f>
        <v>12.5</v>
      </c>
    </row>
    <row r="4865" spans="1:32" ht="15.75" x14ac:dyDescent="0.25">
      <c r="A4865" s="2017"/>
      <c r="B4865" s="2018"/>
      <c r="C4865" s="2018"/>
      <c r="D4865" s="2018"/>
      <c r="E4865" s="2018"/>
      <c r="F4865" s="2018"/>
      <c r="G4865" s="2018"/>
      <c r="H4865" s="2018"/>
      <c r="I4865" s="2018"/>
      <c r="J4865" s="2018"/>
      <c r="K4865" s="2018"/>
      <c r="L4865" s="2018"/>
      <c r="M4865" s="2018"/>
      <c r="N4865" s="2018"/>
      <c r="O4865" s="2018"/>
      <c r="P4865" s="2018"/>
      <c r="Q4865" s="2018"/>
      <c r="R4865" s="2018"/>
      <c r="S4865" s="2018"/>
      <c r="T4865" s="2018"/>
      <c r="U4865" s="2018"/>
      <c r="V4865" s="2018"/>
      <c r="W4865" s="2018"/>
      <c r="X4865" s="2018"/>
      <c r="Y4865" s="2018"/>
      <c r="Z4865" s="2021" t="s">
        <v>2522</v>
      </c>
      <c r="AA4865" s="2021"/>
      <c r="AB4865" s="1050">
        <v>2.7</v>
      </c>
      <c r="AC4865" s="1050">
        <v>2.4</v>
      </c>
      <c r="AD4865" s="1050"/>
      <c r="AE4865" s="1050">
        <v>2</v>
      </c>
      <c r="AF4865" s="1052">
        <f>+ROUND(AB4865*AC4865*AE4865,2)</f>
        <v>12.96</v>
      </c>
    </row>
    <row r="4866" spans="1:32" ht="15.75" x14ac:dyDescent="0.25">
      <c r="A4866" s="2017"/>
      <c r="B4866" s="2018"/>
      <c r="C4866" s="2018"/>
      <c r="D4866" s="2018"/>
      <c r="E4866" s="2018"/>
      <c r="F4866" s="2018"/>
      <c r="G4866" s="2018"/>
      <c r="H4866" s="2018"/>
      <c r="I4866" s="2018"/>
      <c r="J4866" s="2018"/>
      <c r="K4866" s="2018"/>
      <c r="L4866" s="2018"/>
      <c r="M4866" s="2018"/>
      <c r="N4866" s="2018"/>
      <c r="O4866" s="2018"/>
      <c r="P4866" s="2018"/>
      <c r="Q4866" s="2018"/>
      <c r="R4866" s="2018"/>
      <c r="S4866" s="2018"/>
      <c r="T4866" s="2018"/>
      <c r="U4866" s="2018"/>
      <c r="V4866" s="2018"/>
      <c r="W4866" s="2018"/>
      <c r="X4866" s="2018"/>
      <c r="Y4866" s="2018"/>
      <c r="Z4866" s="2021" t="s">
        <v>2460</v>
      </c>
      <c r="AA4866" s="2021"/>
      <c r="AB4866" s="1050">
        <v>3.2</v>
      </c>
      <c r="AC4866" s="1050">
        <v>2.4</v>
      </c>
      <c r="AD4866" s="1050"/>
      <c r="AE4866" s="1050">
        <v>1</v>
      </c>
      <c r="AF4866" s="1052">
        <f>+ROUND(AB4866*AC4866*AE4866,2)</f>
        <v>7.68</v>
      </c>
    </row>
    <row r="4867" spans="1:32" ht="15.6" customHeight="1" x14ac:dyDescent="0.25">
      <c r="A4867" s="2017"/>
      <c r="B4867" s="2018"/>
      <c r="C4867" s="2018"/>
      <c r="D4867" s="2018"/>
      <c r="E4867" s="2018"/>
      <c r="F4867" s="2018"/>
      <c r="G4867" s="2018"/>
      <c r="H4867" s="2018"/>
      <c r="I4867" s="2018"/>
      <c r="J4867" s="2018"/>
      <c r="K4867" s="2018"/>
      <c r="L4867" s="2018"/>
      <c r="M4867" s="2018"/>
      <c r="N4867" s="2018"/>
      <c r="O4867" s="2018"/>
      <c r="P4867" s="2018"/>
      <c r="Q4867" s="2018"/>
      <c r="R4867" s="2018"/>
      <c r="S4867" s="2018"/>
      <c r="T4867" s="2018"/>
      <c r="U4867" s="2018"/>
      <c r="V4867" s="2018"/>
      <c r="W4867" s="2018"/>
      <c r="X4867" s="2018"/>
      <c r="Y4867" s="2018"/>
      <c r="Z4867" s="2021"/>
      <c r="AA4867" s="2021"/>
      <c r="AB4867" s="1050"/>
      <c r="AC4867" s="1050"/>
      <c r="AD4867" s="1050"/>
      <c r="AE4867" s="1050"/>
      <c r="AF4867" s="1052"/>
    </row>
    <row r="4868" spans="1:32" ht="15.75" x14ac:dyDescent="0.25">
      <c r="A4868" s="2017"/>
      <c r="B4868" s="2018"/>
      <c r="C4868" s="2018"/>
      <c r="D4868" s="2018"/>
      <c r="E4868" s="2018"/>
      <c r="F4868" s="2018"/>
      <c r="G4868" s="2018"/>
      <c r="H4868" s="2018"/>
      <c r="I4868" s="2018"/>
      <c r="J4868" s="2018"/>
      <c r="K4868" s="2018"/>
      <c r="L4868" s="2018"/>
      <c r="M4868" s="2018"/>
      <c r="N4868" s="2018"/>
      <c r="O4868" s="2018"/>
      <c r="P4868" s="2018"/>
      <c r="Q4868" s="2018"/>
      <c r="R4868" s="2018"/>
      <c r="S4868" s="2018"/>
      <c r="T4868" s="2018"/>
      <c r="U4868" s="2018"/>
      <c r="V4868" s="2018"/>
      <c r="W4868" s="2018"/>
      <c r="X4868" s="2018"/>
      <c r="Y4868" s="2018"/>
      <c r="Z4868" s="2021"/>
      <c r="AA4868" s="2021"/>
      <c r="AB4868" s="1050"/>
      <c r="AC4868" s="1050"/>
      <c r="AD4868" s="1050"/>
      <c r="AE4868" s="1050"/>
      <c r="AF4868" s="1052"/>
    </row>
    <row r="4869" spans="1:32" ht="15.75" x14ac:dyDescent="0.25">
      <c r="A4869" s="2017"/>
      <c r="B4869" s="2018"/>
      <c r="C4869" s="2018"/>
      <c r="D4869" s="2018"/>
      <c r="E4869" s="2018"/>
      <c r="F4869" s="2018"/>
      <c r="G4869" s="2018"/>
      <c r="H4869" s="2018"/>
      <c r="I4869" s="2018"/>
      <c r="J4869" s="2018"/>
      <c r="K4869" s="2018"/>
      <c r="L4869" s="2018"/>
      <c r="M4869" s="2018"/>
      <c r="N4869" s="2018"/>
      <c r="O4869" s="2018"/>
      <c r="P4869" s="2018"/>
      <c r="Q4869" s="2018"/>
      <c r="R4869" s="2018"/>
      <c r="S4869" s="2018"/>
      <c r="T4869" s="2018"/>
      <c r="U4869" s="2018"/>
      <c r="V4869" s="2018"/>
      <c r="W4869" s="2018"/>
      <c r="X4869" s="2018"/>
      <c r="Y4869" s="2018"/>
      <c r="Z4869" s="2021"/>
      <c r="AA4869" s="2021"/>
      <c r="AB4869" s="1050"/>
      <c r="AC4869" s="1050"/>
      <c r="AD4869" s="1050"/>
      <c r="AE4869" s="1050"/>
      <c r="AF4869" s="1052"/>
    </row>
    <row r="4870" spans="1:32" ht="15.75" x14ac:dyDescent="0.25">
      <c r="A4870" s="2017"/>
      <c r="B4870" s="2018"/>
      <c r="C4870" s="2018"/>
      <c r="D4870" s="2018"/>
      <c r="E4870" s="2018"/>
      <c r="F4870" s="2018"/>
      <c r="G4870" s="2018"/>
      <c r="H4870" s="2018"/>
      <c r="I4870" s="2018"/>
      <c r="J4870" s="2018"/>
      <c r="K4870" s="2018"/>
      <c r="L4870" s="2018"/>
      <c r="M4870" s="2018"/>
      <c r="N4870" s="2018"/>
      <c r="O4870" s="2018"/>
      <c r="P4870" s="2018"/>
      <c r="Q4870" s="2018"/>
      <c r="R4870" s="2018"/>
      <c r="S4870" s="2018"/>
      <c r="T4870" s="2018"/>
      <c r="U4870" s="2018"/>
      <c r="V4870" s="2018"/>
      <c r="W4870" s="2018"/>
      <c r="X4870" s="2018"/>
      <c r="Y4870" s="2018"/>
      <c r="Z4870" s="2021"/>
      <c r="AA4870" s="2021"/>
      <c r="AB4870" s="1050"/>
      <c r="AC4870" s="1050"/>
      <c r="AD4870" s="1050"/>
      <c r="AE4870" s="1050"/>
      <c r="AF4870" s="1052"/>
    </row>
    <row r="4871" spans="1:32" ht="15.75" x14ac:dyDescent="0.25">
      <c r="A4871" s="2017"/>
      <c r="B4871" s="2018"/>
      <c r="C4871" s="2018"/>
      <c r="D4871" s="2018"/>
      <c r="E4871" s="2018"/>
      <c r="F4871" s="2018"/>
      <c r="G4871" s="2018"/>
      <c r="H4871" s="2018"/>
      <c r="I4871" s="2018"/>
      <c r="J4871" s="2018"/>
      <c r="K4871" s="2018"/>
      <c r="L4871" s="2018"/>
      <c r="M4871" s="2018"/>
      <c r="N4871" s="2018"/>
      <c r="O4871" s="2018"/>
      <c r="P4871" s="2018"/>
      <c r="Q4871" s="2018"/>
      <c r="R4871" s="2018"/>
      <c r="S4871" s="2018"/>
      <c r="T4871" s="2018"/>
      <c r="U4871" s="2018"/>
      <c r="V4871" s="2018"/>
      <c r="W4871" s="2018"/>
      <c r="X4871" s="2018"/>
      <c r="Y4871" s="2018"/>
      <c r="Z4871" s="2021"/>
      <c r="AA4871" s="2021"/>
      <c r="AB4871" s="1050"/>
      <c r="AC4871" s="1050"/>
      <c r="AD4871" s="1050"/>
      <c r="AE4871" s="1050"/>
      <c r="AF4871" s="1052"/>
    </row>
    <row r="4872" spans="1:32" ht="15.75" x14ac:dyDescent="0.25">
      <c r="A4872" s="2017"/>
      <c r="B4872" s="2018"/>
      <c r="C4872" s="2018"/>
      <c r="D4872" s="2018"/>
      <c r="E4872" s="2018"/>
      <c r="F4872" s="2018"/>
      <c r="G4872" s="2018"/>
      <c r="H4872" s="2018"/>
      <c r="I4872" s="2018"/>
      <c r="J4872" s="2018"/>
      <c r="K4872" s="2018"/>
      <c r="L4872" s="2018"/>
      <c r="M4872" s="2018"/>
      <c r="N4872" s="2018"/>
      <c r="O4872" s="2018"/>
      <c r="P4872" s="2018"/>
      <c r="Q4872" s="2018"/>
      <c r="R4872" s="2018"/>
      <c r="S4872" s="2018"/>
      <c r="T4872" s="2018"/>
      <c r="U4872" s="2018"/>
      <c r="V4872" s="2018"/>
      <c r="W4872" s="2018"/>
      <c r="X4872" s="2018"/>
      <c r="Y4872" s="2018"/>
      <c r="Z4872" s="2021"/>
      <c r="AA4872" s="2021"/>
      <c r="AB4872" s="1050"/>
      <c r="AC4872" s="1050"/>
      <c r="AD4872" s="1050"/>
      <c r="AE4872" s="1050"/>
      <c r="AF4872" s="1052"/>
    </row>
    <row r="4873" spans="1:32" ht="15.75" x14ac:dyDescent="0.25">
      <c r="A4873" s="2017"/>
      <c r="B4873" s="2018"/>
      <c r="C4873" s="2018"/>
      <c r="D4873" s="2018"/>
      <c r="E4873" s="2018"/>
      <c r="F4873" s="2018"/>
      <c r="G4873" s="2018"/>
      <c r="H4873" s="2018"/>
      <c r="I4873" s="2018"/>
      <c r="J4873" s="2018"/>
      <c r="K4873" s="2018"/>
      <c r="L4873" s="2018"/>
      <c r="M4873" s="2018"/>
      <c r="N4873" s="2018"/>
      <c r="O4873" s="2018"/>
      <c r="P4873" s="2018"/>
      <c r="Q4873" s="2018"/>
      <c r="R4873" s="2018"/>
      <c r="S4873" s="2018"/>
      <c r="T4873" s="2018"/>
      <c r="U4873" s="2018"/>
      <c r="V4873" s="2018"/>
      <c r="W4873" s="2018"/>
      <c r="X4873" s="2018"/>
      <c r="Y4873" s="2018"/>
      <c r="Z4873" s="2021"/>
      <c r="AA4873" s="2021"/>
      <c r="AB4873" s="1050"/>
      <c r="AC4873" s="1050"/>
      <c r="AD4873" s="1050"/>
      <c r="AE4873" s="1050"/>
      <c r="AF4873" s="1052"/>
    </row>
    <row r="4874" spans="1:32" ht="15.75" x14ac:dyDescent="0.25">
      <c r="A4874" s="2017"/>
      <c r="B4874" s="2018"/>
      <c r="C4874" s="2018"/>
      <c r="D4874" s="2018"/>
      <c r="E4874" s="2018"/>
      <c r="F4874" s="2018"/>
      <c r="G4874" s="2018"/>
      <c r="H4874" s="2018"/>
      <c r="I4874" s="2018"/>
      <c r="J4874" s="2018"/>
      <c r="K4874" s="2018"/>
      <c r="L4874" s="2018"/>
      <c r="M4874" s="2018"/>
      <c r="N4874" s="2018"/>
      <c r="O4874" s="2018"/>
      <c r="P4874" s="2018"/>
      <c r="Q4874" s="2018"/>
      <c r="R4874" s="2018"/>
      <c r="S4874" s="2018"/>
      <c r="T4874" s="2018"/>
      <c r="U4874" s="2018"/>
      <c r="V4874" s="2018"/>
      <c r="W4874" s="2018"/>
      <c r="X4874" s="2018"/>
      <c r="Y4874" s="2018"/>
      <c r="Z4874" s="2021"/>
      <c r="AA4874" s="2021"/>
      <c r="AB4874" s="1050"/>
      <c r="AC4874" s="1050"/>
      <c r="AD4874" s="1050"/>
      <c r="AE4874" s="1050"/>
      <c r="AF4874" s="1052"/>
    </row>
    <row r="4875" spans="1:32" ht="15.75" x14ac:dyDescent="0.25">
      <c r="A4875" s="2017"/>
      <c r="B4875" s="2018"/>
      <c r="C4875" s="2018"/>
      <c r="D4875" s="2018"/>
      <c r="E4875" s="2018"/>
      <c r="F4875" s="2018"/>
      <c r="G4875" s="2018"/>
      <c r="H4875" s="2018"/>
      <c r="I4875" s="2018"/>
      <c r="J4875" s="2018"/>
      <c r="K4875" s="2018"/>
      <c r="L4875" s="2018"/>
      <c r="M4875" s="2018"/>
      <c r="N4875" s="2018"/>
      <c r="O4875" s="2018"/>
      <c r="P4875" s="2018"/>
      <c r="Q4875" s="2018"/>
      <c r="R4875" s="2018"/>
      <c r="S4875" s="2018"/>
      <c r="T4875" s="2018"/>
      <c r="U4875" s="2018"/>
      <c r="V4875" s="2018"/>
      <c r="W4875" s="2018"/>
      <c r="X4875" s="2018"/>
      <c r="Y4875" s="2018"/>
      <c r="Z4875" s="2021"/>
      <c r="AA4875" s="2021"/>
      <c r="AB4875" s="1050"/>
      <c r="AC4875" s="1050"/>
      <c r="AD4875" s="1050"/>
      <c r="AE4875" s="1050"/>
      <c r="AF4875" s="1052"/>
    </row>
    <row r="4876" spans="1:32" ht="15.75" x14ac:dyDescent="0.25">
      <c r="A4876" s="2017"/>
      <c r="B4876" s="2018"/>
      <c r="C4876" s="2018"/>
      <c r="D4876" s="2018"/>
      <c r="E4876" s="2018"/>
      <c r="F4876" s="2018"/>
      <c r="G4876" s="2018"/>
      <c r="H4876" s="2018"/>
      <c r="I4876" s="2018"/>
      <c r="J4876" s="2018"/>
      <c r="K4876" s="2018"/>
      <c r="L4876" s="2018"/>
      <c r="M4876" s="2018"/>
      <c r="N4876" s="2018"/>
      <c r="O4876" s="2018"/>
      <c r="P4876" s="2018"/>
      <c r="Q4876" s="2018"/>
      <c r="R4876" s="2018"/>
      <c r="S4876" s="2018"/>
      <c r="T4876" s="2018"/>
      <c r="U4876" s="2018"/>
      <c r="V4876" s="2018"/>
      <c r="W4876" s="2018"/>
      <c r="X4876" s="2018"/>
      <c r="Y4876" s="2018"/>
      <c r="Z4876" s="2021"/>
      <c r="AA4876" s="2021"/>
      <c r="AB4876" s="1050"/>
      <c r="AC4876" s="1050"/>
      <c r="AD4876" s="1050"/>
      <c r="AE4876" s="1050"/>
      <c r="AF4876" s="1052"/>
    </row>
    <row r="4877" spans="1:32" ht="15.75" x14ac:dyDescent="0.25">
      <c r="A4877" s="2017"/>
      <c r="B4877" s="2018"/>
      <c r="C4877" s="2018"/>
      <c r="D4877" s="2018"/>
      <c r="E4877" s="2018"/>
      <c r="F4877" s="2018"/>
      <c r="G4877" s="2018"/>
      <c r="H4877" s="2018"/>
      <c r="I4877" s="2018"/>
      <c r="J4877" s="2018"/>
      <c r="K4877" s="2018"/>
      <c r="L4877" s="2018"/>
      <c r="M4877" s="2018"/>
      <c r="N4877" s="2018"/>
      <c r="O4877" s="2018"/>
      <c r="P4877" s="2018"/>
      <c r="Q4877" s="2018"/>
      <c r="R4877" s="2018"/>
      <c r="S4877" s="2018"/>
      <c r="T4877" s="2018"/>
      <c r="U4877" s="2018"/>
      <c r="V4877" s="2018"/>
      <c r="W4877" s="2018"/>
      <c r="X4877" s="2018"/>
      <c r="Y4877" s="2018"/>
      <c r="Z4877" s="2022"/>
      <c r="AA4877" s="2022"/>
      <c r="AB4877" s="1050"/>
      <c r="AC4877" s="1050"/>
      <c r="AD4877" s="1050"/>
      <c r="AE4877" s="1050"/>
      <c r="AF4877" s="1052"/>
    </row>
    <row r="4878" spans="1:32" ht="15.75" x14ac:dyDescent="0.25">
      <c r="A4878" s="2017"/>
      <c r="B4878" s="2018"/>
      <c r="C4878" s="2018"/>
      <c r="D4878" s="2018"/>
      <c r="E4878" s="2018"/>
      <c r="F4878" s="2018"/>
      <c r="G4878" s="2018"/>
      <c r="H4878" s="2018"/>
      <c r="I4878" s="2018"/>
      <c r="J4878" s="2018"/>
      <c r="K4878" s="2018"/>
      <c r="L4878" s="2018"/>
      <c r="M4878" s="2018"/>
      <c r="N4878" s="2018"/>
      <c r="O4878" s="2018"/>
      <c r="P4878" s="2018"/>
      <c r="Q4878" s="2018"/>
      <c r="R4878" s="2018"/>
      <c r="S4878" s="2018"/>
      <c r="T4878" s="2018"/>
      <c r="U4878" s="2018"/>
      <c r="V4878" s="2018"/>
      <c r="W4878" s="2018"/>
      <c r="X4878" s="2018"/>
      <c r="Y4878" s="2018"/>
      <c r="Z4878" s="2022"/>
      <c r="AA4878" s="2022"/>
      <c r="AB4878" s="1050"/>
      <c r="AC4878" s="1050"/>
      <c r="AD4878" s="1050"/>
      <c r="AE4878" s="1050"/>
      <c r="AF4878" s="1052"/>
    </row>
    <row r="4879" spans="1:32" ht="15.75" x14ac:dyDescent="0.25">
      <c r="A4879" s="2017"/>
      <c r="B4879" s="2018"/>
      <c r="C4879" s="2018"/>
      <c r="D4879" s="2018"/>
      <c r="E4879" s="2018"/>
      <c r="F4879" s="2018"/>
      <c r="G4879" s="2018"/>
      <c r="H4879" s="2018"/>
      <c r="I4879" s="2018"/>
      <c r="J4879" s="2018"/>
      <c r="K4879" s="2018"/>
      <c r="L4879" s="2018"/>
      <c r="M4879" s="2018"/>
      <c r="N4879" s="2018"/>
      <c r="O4879" s="2018"/>
      <c r="P4879" s="2018"/>
      <c r="Q4879" s="2018"/>
      <c r="R4879" s="2018"/>
      <c r="S4879" s="2018"/>
      <c r="T4879" s="2018"/>
      <c r="U4879" s="2018"/>
      <c r="V4879" s="2018"/>
      <c r="W4879" s="2018"/>
      <c r="X4879" s="2018"/>
      <c r="Y4879" s="2018"/>
      <c r="Z4879" s="2022"/>
      <c r="AA4879" s="2022"/>
      <c r="AB4879" s="1050"/>
      <c r="AC4879" s="1050"/>
      <c r="AD4879" s="1050"/>
      <c r="AE4879" s="1050"/>
      <c r="AF4879" s="1052"/>
    </row>
    <row r="4880" spans="1:32" ht="15.75" x14ac:dyDescent="0.25">
      <c r="A4880" s="2017"/>
      <c r="B4880" s="2018"/>
      <c r="C4880" s="2018"/>
      <c r="D4880" s="2018"/>
      <c r="E4880" s="2018"/>
      <c r="F4880" s="2018"/>
      <c r="G4880" s="2018"/>
      <c r="H4880" s="2018"/>
      <c r="I4880" s="2018"/>
      <c r="J4880" s="2018"/>
      <c r="K4880" s="2018"/>
      <c r="L4880" s="2018"/>
      <c r="M4880" s="2018"/>
      <c r="N4880" s="2018"/>
      <c r="O4880" s="2018"/>
      <c r="P4880" s="2018"/>
      <c r="Q4880" s="2018"/>
      <c r="R4880" s="2018"/>
      <c r="S4880" s="2018"/>
      <c r="T4880" s="2018"/>
      <c r="U4880" s="2018"/>
      <c r="V4880" s="2018"/>
      <c r="W4880" s="2018"/>
      <c r="X4880" s="2018"/>
      <c r="Y4880" s="2018"/>
      <c r="Z4880" s="2023"/>
      <c r="AA4880" s="2023"/>
      <c r="AB4880" s="1050"/>
      <c r="AC4880" s="1050"/>
      <c r="AD4880" s="1050"/>
      <c r="AE4880" s="1050"/>
      <c r="AF4880" s="1052"/>
    </row>
    <row r="4881" spans="1:32" ht="15.75" x14ac:dyDescent="0.25">
      <c r="A4881" s="2017"/>
      <c r="B4881" s="2018"/>
      <c r="C4881" s="2018"/>
      <c r="D4881" s="2018"/>
      <c r="E4881" s="2018"/>
      <c r="F4881" s="2018"/>
      <c r="G4881" s="2018"/>
      <c r="H4881" s="2018"/>
      <c r="I4881" s="2018"/>
      <c r="J4881" s="2018"/>
      <c r="K4881" s="2018"/>
      <c r="L4881" s="2018"/>
      <c r="M4881" s="2018"/>
      <c r="N4881" s="2018"/>
      <c r="O4881" s="2018"/>
      <c r="P4881" s="2018"/>
      <c r="Q4881" s="2018"/>
      <c r="R4881" s="2018"/>
      <c r="S4881" s="2018"/>
      <c r="T4881" s="2018"/>
      <c r="U4881" s="2018"/>
      <c r="V4881" s="2018"/>
      <c r="W4881" s="2018"/>
      <c r="X4881" s="2018"/>
      <c r="Y4881" s="2018"/>
      <c r="Z4881" s="2023"/>
      <c r="AA4881" s="2023"/>
      <c r="AB4881" s="1050"/>
      <c r="AC4881" s="1050"/>
      <c r="AD4881" s="1050"/>
      <c r="AE4881" s="1050"/>
      <c r="AF4881" s="1052"/>
    </row>
    <row r="4882" spans="1:32" ht="15.75" x14ac:dyDescent="0.25">
      <c r="A4882" s="2017"/>
      <c r="B4882" s="2018"/>
      <c r="C4882" s="2018"/>
      <c r="D4882" s="2018"/>
      <c r="E4882" s="2018"/>
      <c r="F4882" s="2018"/>
      <c r="G4882" s="2018"/>
      <c r="H4882" s="2018"/>
      <c r="I4882" s="2018"/>
      <c r="J4882" s="2018"/>
      <c r="K4882" s="2018"/>
      <c r="L4882" s="2018"/>
      <c r="M4882" s="2018"/>
      <c r="N4882" s="2018"/>
      <c r="O4882" s="2018"/>
      <c r="P4882" s="2018"/>
      <c r="Q4882" s="2018"/>
      <c r="R4882" s="2018"/>
      <c r="S4882" s="2018"/>
      <c r="T4882" s="2018"/>
      <c r="U4882" s="2018"/>
      <c r="V4882" s="2018"/>
      <c r="W4882" s="2018"/>
      <c r="X4882" s="2018"/>
      <c r="Y4882" s="2018"/>
      <c r="Z4882" s="2023"/>
      <c r="AA4882" s="2023"/>
      <c r="AB4882" s="1050"/>
      <c r="AC4882" s="1050"/>
      <c r="AD4882" s="1050"/>
      <c r="AE4882" s="1050"/>
      <c r="AF4882" s="1052"/>
    </row>
    <row r="4883" spans="1:32" ht="15.75" x14ac:dyDescent="0.25">
      <c r="A4883" s="2017"/>
      <c r="B4883" s="2018"/>
      <c r="C4883" s="2018"/>
      <c r="D4883" s="2018"/>
      <c r="E4883" s="2018"/>
      <c r="F4883" s="2018"/>
      <c r="G4883" s="2018"/>
      <c r="H4883" s="2018"/>
      <c r="I4883" s="2018"/>
      <c r="J4883" s="2018"/>
      <c r="K4883" s="2018"/>
      <c r="L4883" s="2018"/>
      <c r="M4883" s="2018"/>
      <c r="N4883" s="2018"/>
      <c r="O4883" s="2018"/>
      <c r="P4883" s="2018"/>
      <c r="Q4883" s="2018"/>
      <c r="R4883" s="2018"/>
      <c r="S4883" s="2018"/>
      <c r="T4883" s="2018"/>
      <c r="U4883" s="2018"/>
      <c r="V4883" s="2018"/>
      <c r="W4883" s="2018"/>
      <c r="X4883" s="2018"/>
      <c r="Y4883" s="2018"/>
      <c r="Z4883" s="2023"/>
      <c r="AA4883" s="2023"/>
      <c r="AB4883" s="1050"/>
      <c r="AC4883" s="1050"/>
      <c r="AD4883" s="1050"/>
      <c r="AE4883" s="1050"/>
      <c r="AF4883" s="1052"/>
    </row>
    <row r="4884" spans="1:32" ht="15.75" x14ac:dyDescent="0.25">
      <c r="A4884" s="2017"/>
      <c r="B4884" s="2018"/>
      <c r="C4884" s="2018"/>
      <c r="D4884" s="2018"/>
      <c r="E4884" s="2018"/>
      <c r="F4884" s="2018"/>
      <c r="G4884" s="2018"/>
      <c r="H4884" s="2018"/>
      <c r="I4884" s="2018"/>
      <c r="J4884" s="2018"/>
      <c r="K4884" s="2018"/>
      <c r="L4884" s="2018"/>
      <c r="M4884" s="2018"/>
      <c r="N4884" s="2018"/>
      <c r="O4884" s="2018"/>
      <c r="P4884" s="2018"/>
      <c r="Q4884" s="2018"/>
      <c r="R4884" s="2018"/>
      <c r="S4884" s="2018"/>
      <c r="T4884" s="2018"/>
      <c r="U4884" s="2018"/>
      <c r="V4884" s="2018"/>
      <c r="W4884" s="2018"/>
      <c r="X4884" s="2018"/>
      <c r="Y4884" s="2018"/>
      <c r="Z4884" s="2023"/>
      <c r="AA4884" s="2023"/>
      <c r="AB4884" s="1050"/>
      <c r="AC4884" s="1050"/>
      <c r="AD4884" s="1050"/>
      <c r="AE4884" s="1050"/>
      <c r="AF4884" s="1052"/>
    </row>
    <row r="4885" spans="1:32" ht="15.75" x14ac:dyDescent="0.25">
      <c r="A4885" s="2017"/>
      <c r="B4885" s="2018"/>
      <c r="C4885" s="2018"/>
      <c r="D4885" s="2018"/>
      <c r="E4885" s="2018"/>
      <c r="F4885" s="2018"/>
      <c r="G4885" s="2018"/>
      <c r="H4885" s="2018"/>
      <c r="I4885" s="2018"/>
      <c r="J4885" s="2018"/>
      <c r="K4885" s="2018"/>
      <c r="L4885" s="2018"/>
      <c r="M4885" s="2018"/>
      <c r="N4885" s="2018"/>
      <c r="O4885" s="2018"/>
      <c r="P4885" s="2018"/>
      <c r="Q4885" s="2018"/>
      <c r="R4885" s="2018"/>
      <c r="S4885" s="2018"/>
      <c r="T4885" s="2018"/>
      <c r="U4885" s="2018"/>
      <c r="V4885" s="2018"/>
      <c r="W4885" s="2018"/>
      <c r="X4885" s="2018"/>
      <c r="Y4885" s="2018"/>
      <c r="Z4885" s="2023"/>
      <c r="AA4885" s="2023"/>
      <c r="AB4885" s="1050"/>
      <c r="AC4885" s="1050"/>
      <c r="AD4885" s="1050"/>
      <c r="AE4885" s="1050"/>
      <c r="AF4885" s="1052"/>
    </row>
    <row r="4886" spans="1:32" ht="16.5" thickBot="1" x14ac:dyDescent="0.3">
      <c r="A4886" s="2019"/>
      <c r="B4886" s="2020"/>
      <c r="C4886" s="2020"/>
      <c r="D4886" s="2020"/>
      <c r="E4886" s="2020"/>
      <c r="F4886" s="2020"/>
      <c r="G4886" s="2020"/>
      <c r="H4886" s="2020"/>
      <c r="I4886" s="2020"/>
      <c r="J4886" s="2020"/>
      <c r="K4886" s="2020"/>
      <c r="L4886" s="2020"/>
      <c r="M4886" s="2020"/>
      <c r="N4886" s="2020"/>
      <c r="O4886" s="2020"/>
      <c r="P4886" s="2020"/>
      <c r="Q4886" s="2020"/>
      <c r="R4886" s="2020"/>
      <c r="S4886" s="2020"/>
      <c r="T4886" s="2020"/>
      <c r="U4886" s="2020"/>
      <c r="V4886" s="2020"/>
      <c r="W4886" s="2020"/>
      <c r="X4886" s="2020"/>
      <c r="Y4886" s="2020"/>
      <c r="Z4886" s="2024"/>
      <c r="AA4886" s="2024"/>
      <c r="AB4886" s="1057"/>
      <c r="AC4886" s="1057"/>
      <c r="AD4886" s="1057"/>
      <c r="AE4886" s="1057"/>
      <c r="AF4886" s="1058"/>
    </row>
    <row r="4887" spans="1:32" ht="15.75" x14ac:dyDescent="0.25">
      <c r="A4887" s="2009" t="s">
        <v>1855</v>
      </c>
      <c r="B4887" s="2010"/>
      <c r="C4887" s="2010"/>
      <c r="D4887" s="2010"/>
      <c r="E4887" s="2010"/>
      <c r="F4887" s="2010"/>
      <c r="G4887" s="2010"/>
      <c r="H4887" s="2010"/>
      <c r="I4887" s="2010"/>
      <c r="J4887" s="2010"/>
      <c r="K4887" s="2010"/>
      <c r="L4887" s="2010"/>
      <c r="M4887" s="2010"/>
      <c r="N4887" s="2010"/>
      <c r="O4887" s="2010"/>
      <c r="P4887" s="2010"/>
      <c r="Q4887" s="2010"/>
      <c r="R4887" s="2010"/>
      <c r="S4887" s="2010"/>
      <c r="T4887" s="2010"/>
      <c r="U4887" s="2010"/>
      <c r="V4887" s="2010"/>
      <c r="W4887" s="2010"/>
      <c r="X4887" s="2010"/>
      <c r="Y4887" s="2010"/>
      <c r="Z4887" s="2013" t="s">
        <v>1850</v>
      </c>
      <c r="AA4887" s="2013"/>
      <c r="AB4887" s="2013"/>
      <c r="AC4887" s="2013"/>
      <c r="AD4887" s="2013"/>
      <c r="AE4887" s="2013"/>
      <c r="AF4887" s="1059">
        <f>SUM(AF4863:AF4886)</f>
        <v>319.78999999999996</v>
      </c>
    </row>
    <row r="4888" spans="1:32" ht="15.75" x14ac:dyDescent="0.25">
      <c r="A4888" s="2011"/>
      <c r="B4888" s="2012"/>
      <c r="C4888" s="2012"/>
      <c r="D4888" s="2012"/>
      <c r="E4888" s="2012"/>
      <c r="F4888" s="2012"/>
      <c r="G4888" s="2012"/>
      <c r="H4888" s="2012"/>
      <c r="I4888" s="2012"/>
      <c r="J4888" s="2012"/>
      <c r="K4888" s="2012"/>
      <c r="L4888" s="2012"/>
      <c r="M4888" s="2012"/>
      <c r="N4888" s="2012"/>
      <c r="O4888" s="2012"/>
      <c r="P4888" s="2012"/>
      <c r="Q4888" s="2012"/>
      <c r="R4888" s="2012"/>
      <c r="S4888" s="2012"/>
      <c r="T4888" s="2012"/>
      <c r="U4888" s="2012"/>
      <c r="V4888" s="2012"/>
      <c r="W4888" s="2012"/>
      <c r="X4888" s="2012"/>
      <c r="Y4888" s="2012"/>
      <c r="Z4888" s="2014" t="s">
        <v>1851</v>
      </c>
      <c r="AA4888" s="2014"/>
      <c r="AB4888" s="2014"/>
      <c r="AC4888" s="2014"/>
      <c r="AD4888" s="2014"/>
      <c r="AE4888" s="2014"/>
      <c r="AF4888" s="1060">
        <v>0</v>
      </c>
    </row>
    <row r="4889" spans="1:32" ht="15.75" x14ac:dyDescent="0.25">
      <c r="A4889" s="2011"/>
      <c r="B4889" s="2012"/>
      <c r="C4889" s="2012"/>
      <c r="D4889" s="2012"/>
      <c r="E4889" s="2012"/>
      <c r="F4889" s="2012"/>
      <c r="G4889" s="2012"/>
      <c r="H4889" s="2012"/>
      <c r="I4889" s="2012"/>
      <c r="J4889" s="2012"/>
      <c r="K4889" s="2012"/>
      <c r="L4889" s="2012"/>
      <c r="M4889" s="2012"/>
      <c r="N4889" s="2012"/>
      <c r="O4889" s="2012"/>
      <c r="P4889" s="2012"/>
      <c r="Q4889" s="2012"/>
      <c r="R4889" s="2012"/>
      <c r="S4889" s="2012"/>
      <c r="T4889" s="2012"/>
      <c r="U4889" s="2012"/>
      <c r="V4889" s="2012"/>
      <c r="W4889" s="2012"/>
      <c r="X4889" s="2012"/>
      <c r="Y4889" s="2012"/>
      <c r="Z4889" s="2015" t="s">
        <v>1833</v>
      </c>
      <c r="AA4889" s="2015"/>
      <c r="AB4889" s="2015"/>
      <c r="AC4889" s="2015"/>
      <c r="AD4889" s="2015"/>
      <c r="AE4889" s="2015"/>
      <c r="AF4889" s="1061">
        <f>SUM(AF4887:AF4888)</f>
        <v>319.78999999999996</v>
      </c>
    </row>
    <row r="4890" spans="1:32" x14ac:dyDescent="0.2">
      <c r="A4890" s="2012" t="s">
        <v>1859</v>
      </c>
      <c r="B4890" s="2012"/>
      <c r="C4890" s="2012"/>
      <c r="D4890" s="2012"/>
      <c r="E4890" s="2012"/>
      <c r="F4890" s="2012"/>
      <c r="G4890" s="2012"/>
      <c r="H4890" s="2012"/>
      <c r="I4890" s="2012"/>
      <c r="J4890" s="2012"/>
      <c r="K4890" s="2012"/>
      <c r="L4890" s="2012"/>
      <c r="M4890" s="2012"/>
      <c r="N4890" s="2012"/>
      <c r="O4890" s="2012"/>
      <c r="P4890" s="2012"/>
      <c r="Q4890" s="2012"/>
      <c r="R4890" s="2012"/>
      <c r="S4890" s="2012"/>
      <c r="T4890" s="2016" t="s">
        <v>1840</v>
      </c>
      <c r="U4890" s="2016"/>
      <c r="V4890" s="2016"/>
      <c r="W4890" s="2016"/>
      <c r="X4890" s="2016"/>
      <c r="Y4890" s="2016"/>
      <c r="Z4890" s="2016"/>
      <c r="AA4890" s="2016"/>
      <c r="AB4890" s="2012" t="s">
        <v>1852</v>
      </c>
      <c r="AC4890" s="2012"/>
      <c r="AD4890" s="2012"/>
      <c r="AE4890" s="2012"/>
      <c r="AF4890" s="2012"/>
    </row>
    <row r="4891" spans="1:32" x14ac:dyDescent="0.2">
      <c r="A4891" s="2012"/>
      <c r="B4891" s="2012"/>
      <c r="C4891" s="2012"/>
      <c r="D4891" s="2012"/>
      <c r="E4891" s="2012"/>
      <c r="F4891" s="2012"/>
      <c r="G4891" s="2012"/>
      <c r="H4891" s="2012"/>
      <c r="I4891" s="2012"/>
      <c r="J4891" s="2012"/>
      <c r="K4891" s="2012"/>
      <c r="L4891" s="2012"/>
      <c r="M4891" s="2012"/>
      <c r="N4891" s="2012"/>
      <c r="O4891" s="2012"/>
      <c r="P4891" s="2012"/>
      <c r="Q4891" s="2012"/>
      <c r="R4891" s="2012"/>
      <c r="S4891" s="2012"/>
      <c r="T4891" s="2016"/>
      <c r="U4891" s="2016"/>
      <c r="V4891" s="2016"/>
      <c r="W4891" s="2016"/>
      <c r="X4891" s="2016"/>
      <c r="Y4891" s="2016"/>
      <c r="Z4891" s="2016"/>
      <c r="AA4891" s="2016"/>
      <c r="AB4891" s="2012"/>
      <c r="AC4891" s="2012"/>
      <c r="AD4891" s="2012"/>
      <c r="AE4891" s="2012"/>
      <c r="AF4891" s="2012"/>
    </row>
    <row r="4892" spans="1:32" ht="13.5" thickBot="1" x14ac:dyDescent="0.25"/>
    <row r="4893" spans="1:32" ht="26.45" customHeight="1" x14ac:dyDescent="0.2">
      <c r="A4893" s="2025" t="s">
        <v>1854</v>
      </c>
      <c r="B4893" s="2026"/>
      <c r="C4893" s="2026"/>
      <c r="D4893" s="2026"/>
      <c r="E4893" s="2026"/>
      <c r="F4893" s="2026"/>
      <c r="G4893" s="2026"/>
      <c r="H4893" s="2026"/>
      <c r="I4893" s="2026"/>
      <c r="J4893" s="2026"/>
      <c r="K4893" s="2026"/>
      <c r="L4893" s="2026"/>
      <c r="M4893" s="2026"/>
      <c r="N4893" s="2026"/>
      <c r="O4893" s="2026"/>
      <c r="P4893" s="2026"/>
      <c r="Q4893" s="2026"/>
      <c r="R4893" s="2026"/>
      <c r="S4893" s="2026"/>
      <c r="T4893" s="2026"/>
      <c r="U4893" s="2026"/>
      <c r="V4893" s="2026"/>
      <c r="W4893" s="2026"/>
      <c r="X4893" s="2026"/>
      <c r="Y4893" s="2026"/>
      <c r="Z4893" s="2026"/>
      <c r="AA4893" s="2026"/>
      <c r="AB4893" s="2026"/>
      <c r="AC4893" s="2026"/>
      <c r="AD4893" s="2026"/>
      <c r="AE4893" s="1041" t="s">
        <v>1834</v>
      </c>
      <c r="AF4893" s="1042" t="s">
        <v>1835</v>
      </c>
    </row>
    <row r="4894" spans="1:32" ht="21" customHeight="1" thickBot="1" x14ac:dyDescent="0.25">
      <c r="A4894" s="2027"/>
      <c r="B4894" s="2028"/>
      <c r="C4894" s="2028"/>
      <c r="D4894" s="2028"/>
      <c r="E4894" s="2028"/>
      <c r="F4894" s="2028"/>
      <c r="G4894" s="2028"/>
      <c r="H4894" s="2028"/>
      <c r="I4894" s="2028"/>
      <c r="J4894" s="2028"/>
      <c r="K4894" s="2028"/>
      <c r="L4894" s="2028"/>
      <c r="M4894" s="2028"/>
      <c r="N4894" s="2028"/>
      <c r="O4894" s="2028"/>
      <c r="P4894" s="2028"/>
      <c r="Q4894" s="2028"/>
      <c r="R4894" s="2028"/>
      <c r="S4894" s="2028"/>
      <c r="T4894" s="2028"/>
      <c r="U4894" s="2028"/>
      <c r="V4894" s="2028"/>
      <c r="W4894" s="2028"/>
      <c r="X4894" s="2028"/>
      <c r="Y4894" s="2028"/>
      <c r="Z4894" s="2028"/>
      <c r="AA4894" s="2028"/>
      <c r="AB4894" s="2028"/>
      <c r="AC4894" s="2028"/>
      <c r="AD4894" s="2028"/>
      <c r="AE4894" s="1041" t="s">
        <v>1836</v>
      </c>
      <c r="AF4894" s="1044">
        <v>1</v>
      </c>
    </row>
    <row r="4895" spans="1:32" ht="15.75" x14ac:dyDescent="0.2">
      <c r="A4895" s="2029"/>
      <c r="B4895" s="2030"/>
      <c r="C4895" s="2030"/>
      <c r="D4895" s="2031"/>
      <c r="E4895" s="2025" t="str">
        <f>'01'!$A$12</f>
        <v>"CONSTRUCCION SISTEMA DE ACUEDUCTO FASE II DEL MUNICIPIO DE TESALIA DPTO DEL HUILA"</v>
      </c>
      <c r="F4895" s="2026"/>
      <c r="G4895" s="2026"/>
      <c r="H4895" s="2026"/>
      <c r="I4895" s="2026"/>
      <c r="J4895" s="2026"/>
      <c r="K4895" s="2026"/>
      <c r="L4895" s="2026"/>
      <c r="M4895" s="2026"/>
      <c r="N4895" s="2026"/>
      <c r="O4895" s="2026"/>
      <c r="P4895" s="2026"/>
      <c r="Q4895" s="2026"/>
      <c r="R4895" s="2026"/>
      <c r="S4895" s="2026"/>
      <c r="T4895" s="2026"/>
      <c r="U4895" s="2026"/>
      <c r="V4895" s="2026"/>
      <c r="W4895" s="2026"/>
      <c r="X4895" s="2026"/>
      <c r="Y4895" s="2026"/>
      <c r="Z4895" s="2026"/>
      <c r="AA4895" s="2026"/>
      <c r="AB4895" s="2026"/>
      <c r="AC4895" s="2026"/>
      <c r="AD4895" s="2035"/>
      <c r="AE4895" s="1041" t="s">
        <v>847</v>
      </c>
      <c r="AF4895" s="1045">
        <f>'01'!$M$13</f>
        <v>0</v>
      </c>
    </row>
    <row r="4896" spans="1:32" ht="16.5" thickBot="1" x14ac:dyDescent="0.25">
      <c r="A4896" s="2032"/>
      <c r="B4896" s="2033"/>
      <c r="C4896" s="2033"/>
      <c r="D4896" s="2034"/>
      <c r="E4896" s="2027"/>
      <c r="F4896" s="2028"/>
      <c r="G4896" s="2028"/>
      <c r="H4896" s="2028"/>
      <c r="I4896" s="2028"/>
      <c r="J4896" s="2028"/>
      <c r="K4896" s="2028"/>
      <c r="L4896" s="2028"/>
      <c r="M4896" s="2028"/>
      <c r="N4896" s="2028"/>
      <c r="O4896" s="2028"/>
      <c r="P4896" s="2028"/>
      <c r="Q4896" s="2028"/>
      <c r="R4896" s="2028"/>
      <c r="S4896" s="2028"/>
      <c r="T4896" s="2028"/>
      <c r="U4896" s="2028"/>
      <c r="V4896" s="2028"/>
      <c r="W4896" s="2028"/>
      <c r="X4896" s="2028"/>
      <c r="Y4896" s="2028"/>
      <c r="Z4896" s="2028"/>
      <c r="AA4896" s="2028"/>
      <c r="AB4896" s="2028"/>
      <c r="AC4896" s="2028"/>
      <c r="AD4896" s="2036"/>
      <c r="AE4896" s="1041" t="s">
        <v>1837</v>
      </c>
      <c r="AF4896" s="1042" t="s">
        <v>1838</v>
      </c>
    </row>
    <row r="4897" spans="1:32" ht="15.75" x14ac:dyDescent="0.25">
      <c r="A4897" s="2037" t="s">
        <v>1860</v>
      </c>
      <c r="B4897" s="2038"/>
      <c r="C4897" s="2038"/>
      <c r="D4897" s="2038"/>
      <c r="E4897" s="2038"/>
      <c r="F4897" s="2038"/>
      <c r="G4897" s="2038"/>
      <c r="H4897" s="2038"/>
      <c r="I4897" s="2038"/>
      <c r="J4897" s="2038"/>
      <c r="K4897" s="2038"/>
      <c r="L4897" s="2038"/>
      <c r="M4897" s="2038"/>
      <c r="N4897" s="2038"/>
      <c r="O4897" s="2038"/>
      <c r="P4897" s="2038"/>
      <c r="Q4897" s="2038"/>
      <c r="R4897" s="2038"/>
      <c r="S4897" s="2038"/>
      <c r="T4897" s="2038"/>
      <c r="U4897" s="2038"/>
      <c r="V4897" s="2038"/>
      <c r="W4897" s="2038"/>
      <c r="X4897" s="2038"/>
      <c r="Y4897" s="2038"/>
      <c r="Z4897" s="2038"/>
      <c r="AA4897" s="2038"/>
      <c r="AB4897" s="2038"/>
      <c r="AC4897" s="2038"/>
      <c r="AD4897" s="2038"/>
      <c r="AE4897" s="2039" t="s">
        <v>1839</v>
      </c>
      <c r="AF4897" s="2040"/>
    </row>
    <row r="4898" spans="1:32" ht="15.75" x14ac:dyDescent="0.25">
      <c r="A4898" s="2041" t="s">
        <v>1840</v>
      </c>
      <c r="B4898" s="2042"/>
      <c r="C4898" s="2042"/>
      <c r="D4898" s="2042"/>
      <c r="E4898" s="2042"/>
      <c r="F4898" s="2042"/>
      <c r="G4898" s="2042"/>
      <c r="H4898" s="2042"/>
      <c r="I4898" s="2042"/>
      <c r="J4898" s="2042"/>
      <c r="K4898" s="2042"/>
      <c r="L4898" s="2042"/>
      <c r="M4898" s="2042"/>
      <c r="N4898" s="2042"/>
      <c r="O4898" s="2042"/>
      <c r="P4898" s="2042"/>
      <c r="Q4898" s="2042"/>
      <c r="R4898" s="2042"/>
      <c r="S4898" s="2042"/>
      <c r="T4898" s="2042"/>
      <c r="U4898" s="2042"/>
      <c r="V4898" s="2042"/>
      <c r="W4898" s="2042"/>
      <c r="X4898" s="2042"/>
      <c r="Y4898" s="2042"/>
      <c r="Z4898" s="2042"/>
      <c r="AA4898" s="2042"/>
      <c r="AB4898" s="2042"/>
      <c r="AC4898" s="2042"/>
      <c r="AD4898" s="2043"/>
      <c r="AE4898" s="2014" t="s">
        <v>1841</v>
      </c>
      <c r="AF4898" s="2044"/>
    </row>
    <row r="4899" spans="1:32" ht="15.75" x14ac:dyDescent="0.25">
      <c r="A4899" s="2045" t="s">
        <v>1853</v>
      </c>
      <c r="B4899" s="2046"/>
      <c r="C4899" s="2046"/>
      <c r="D4899" s="2046"/>
      <c r="E4899" s="2046"/>
      <c r="F4899" s="2046"/>
      <c r="G4899" s="2046"/>
      <c r="H4899" s="2046"/>
      <c r="I4899" s="2046"/>
      <c r="J4899" s="2046"/>
      <c r="K4899" s="2046"/>
      <c r="L4899" s="2046"/>
      <c r="M4899" s="2046"/>
      <c r="N4899" s="2046"/>
      <c r="O4899" s="2046"/>
      <c r="P4899" s="2046"/>
      <c r="Q4899" s="2046"/>
      <c r="R4899" s="2046"/>
      <c r="S4899" s="2046"/>
      <c r="T4899" s="2046"/>
      <c r="U4899" s="2046"/>
      <c r="V4899" s="2046"/>
      <c r="W4899" s="2046"/>
      <c r="X4899" s="2046"/>
      <c r="Y4899" s="2046"/>
      <c r="Z4899" s="2046"/>
      <c r="AA4899" s="2046"/>
      <c r="AB4899" s="2046"/>
      <c r="AC4899" s="2046"/>
      <c r="AD4899" s="2046"/>
      <c r="AE4899" s="2047">
        <f>'01'!$M$13</f>
        <v>0</v>
      </c>
      <c r="AF4899" s="2044"/>
    </row>
    <row r="4900" spans="1:32" x14ac:dyDescent="0.2">
      <c r="A4900" s="1046"/>
      <c r="B4900" s="1047"/>
      <c r="C4900" s="1047"/>
      <c r="D4900" s="1047"/>
      <c r="E4900" s="1047"/>
      <c r="F4900" s="1047"/>
      <c r="G4900" s="1047"/>
      <c r="H4900" s="1047"/>
      <c r="I4900" s="1047"/>
      <c r="J4900" s="1047"/>
      <c r="K4900" s="1047"/>
      <c r="L4900" s="1047"/>
      <c r="M4900" s="1047"/>
      <c r="N4900" s="1047"/>
      <c r="O4900" s="1047"/>
      <c r="P4900" s="1047"/>
      <c r="Q4900" s="1047"/>
      <c r="R4900" s="1047"/>
      <c r="S4900" s="1047"/>
      <c r="T4900" s="1047"/>
      <c r="U4900" s="1047"/>
      <c r="V4900" s="1047"/>
      <c r="W4900" s="1047"/>
      <c r="X4900" s="1047"/>
      <c r="Y4900" s="1047"/>
      <c r="Z4900" s="1047"/>
      <c r="AA4900" s="1047"/>
      <c r="AB4900" s="1047"/>
      <c r="AC4900" s="1047"/>
      <c r="AD4900" s="1047"/>
      <c r="AE4900" s="1047"/>
      <c r="AF4900" s="1048"/>
    </row>
    <row r="4901" spans="1:32" ht="30" customHeight="1" x14ac:dyDescent="0.2">
      <c r="A4901" s="2048" t="s">
        <v>1842</v>
      </c>
      <c r="B4901" s="2049"/>
      <c r="C4901" s="2049"/>
      <c r="D4901" s="2049"/>
      <c r="E4901" s="2049"/>
      <c r="F4901" s="2050" t="str">
        <f>+'01'!$H$201</f>
        <v>H - TANQUE DE ALMACENAMIENTO</v>
      </c>
      <c r="G4901" s="2049"/>
      <c r="H4901" s="2049"/>
      <c r="I4901" s="2049"/>
      <c r="J4901" s="2049"/>
      <c r="K4901" s="2049"/>
      <c r="L4901" s="2049"/>
      <c r="M4901" s="2049"/>
      <c r="N4901" s="2049"/>
      <c r="O4901" s="2049"/>
      <c r="P4901" s="2049"/>
      <c r="Q4901" s="2049"/>
      <c r="R4901" s="2049"/>
      <c r="S4901" s="2049"/>
      <c r="T4901" s="2049"/>
      <c r="U4901" s="2049"/>
      <c r="V4901" s="2049"/>
      <c r="W4901" s="2049"/>
      <c r="X4901" s="2049"/>
      <c r="Y4901" s="2051"/>
      <c r="Z4901" s="2052" t="s">
        <v>1843</v>
      </c>
      <c r="AA4901" s="2053"/>
      <c r="AB4901" s="2058" t="s">
        <v>1844</v>
      </c>
      <c r="AC4901" s="2059"/>
      <c r="AD4901" s="2060"/>
      <c r="AE4901" s="2064" t="s">
        <v>1845</v>
      </c>
      <c r="AF4901" s="2067" t="s">
        <v>1846</v>
      </c>
    </row>
    <row r="4902" spans="1:32" ht="15" customHeight="1" x14ac:dyDescent="0.2">
      <c r="A4902" s="2070" t="str">
        <f>+'01'!A206</f>
        <v>H-02-01</v>
      </c>
      <c r="B4902" s="2071"/>
      <c r="C4902" s="2072"/>
      <c r="D4902" s="2076" t="str">
        <f>VLOOKUP(A4902,'01'!$A$12:$N$299,3,FALSE)</f>
        <v>EXCAVACIÓN MANUAL EN TIERRA</v>
      </c>
      <c r="E4902" s="2077"/>
      <c r="F4902" s="2077"/>
      <c r="G4902" s="2077"/>
      <c r="H4902" s="2077"/>
      <c r="I4902" s="2077"/>
      <c r="J4902" s="2077"/>
      <c r="K4902" s="2077"/>
      <c r="L4902" s="2077"/>
      <c r="M4902" s="2077"/>
      <c r="N4902" s="2077"/>
      <c r="O4902" s="2077"/>
      <c r="P4902" s="2077"/>
      <c r="Q4902" s="2077"/>
      <c r="R4902" s="2077"/>
      <c r="S4902" s="2078"/>
      <c r="T4902" s="2082" t="s">
        <v>124</v>
      </c>
      <c r="U4902" s="2083"/>
      <c r="V4902" s="2083"/>
      <c r="W4902" s="2083"/>
      <c r="X4902" s="2052" t="str">
        <f>VLOOKUP(A4902,'01'!$A$12:$N$299,9,FALSE)</f>
        <v>M3</v>
      </c>
      <c r="Y4902" s="2053"/>
      <c r="Z4902" s="2054"/>
      <c r="AA4902" s="2055"/>
      <c r="AB4902" s="2061"/>
      <c r="AC4902" s="2062"/>
      <c r="AD4902" s="2063"/>
      <c r="AE4902" s="2065"/>
      <c r="AF4902" s="2068"/>
    </row>
    <row r="4903" spans="1:32" ht="30" customHeight="1" x14ac:dyDescent="0.25">
      <c r="A4903" s="2073"/>
      <c r="B4903" s="2074"/>
      <c r="C4903" s="2075"/>
      <c r="D4903" s="2079"/>
      <c r="E4903" s="2080"/>
      <c r="F4903" s="2080"/>
      <c r="G4903" s="2080"/>
      <c r="H4903" s="2080"/>
      <c r="I4903" s="2080"/>
      <c r="J4903" s="2080"/>
      <c r="K4903" s="2080"/>
      <c r="L4903" s="2080"/>
      <c r="M4903" s="2080"/>
      <c r="N4903" s="2080"/>
      <c r="O4903" s="2080"/>
      <c r="P4903" s="2080"/>
      <c r="Q4903" s="2080"/>
      <c r="R4903" s="2080"/>
      <c r="S4903" s="2081"/>
      <c r="T4903" s="2084"/>
      <c r="U4903" s="2085"/>
      <c r="V4903" s="2085"/>
      <c r="W4903" s="2085"/>
      <c r="X4903" s="2056"/>
      <c r="Y4903" s="2057"/>
      <c r="Z4903" s="2056"/>
      <c r="AA4903" s="2057"/>
      <c r="AB4903" s="1049" t="s">
        <v>1847</v>
      </c>
      <c r="AC4903" s="1049" t="s">
        <v>1848</v>
      </c>
      <c r="AD4903" s="1049" t="s">
        <v>1861</v>
      </c>
      <c r="AE4903" s="2066"/>
      <c r="AF4903" s="2069"/>
    </row>
    <row r="4904" spans="1:32" ht="15.6" customHeight="1" x14ac:dyDescent="0.25">
      <c r="A4904" s="2017"/>
      <c r="B4904" s="2018"/>
      <c r="C4904" s="2018"/>
      <c r="D4904" s="2018"/>
      <c r="E4904" s="2018"/>
      <c r="F4904" s="2018"/>
      <c r="G4904" s="2018"/>
      <c r="H4904" s="2018"/>
      <c r="I4904" s="2018"/>
      <c r="J4904" s="2018"/>
      <c r="K4904" s="2018"/>
      <c r="L4904" s="2018"/>
      <c r="M4904" s="2018"/>
      <c r="N4904" s="2018"/>
      <c r="O4904" s="2018"/>
      <c r="P4904" s="2018"/>
      <c r="Q4904" s="2018"/>
      <c r="R4904" s="2018"/>
      <c r="S4904" s="2018"/>
      <c r="T4904" s="2018"/>
      <c r="U4904" s="2018"/>
      <c r="V4904" s="2018"/>
      <c r="W4904" s="2018"/>
      <c r="X4904" s="2018"/>
      <c r="Y4904" s="2018"/>
      <c r="Z4904" s="2021" t="s">
        <v>2521</v>
      </c>
      <c r="AA4904" s="2021"/>
      <c r="AB4904" s="1050">
        <v>23.4</v>
      </c>
      <c r="AC4904" s="1050">
        <v>12.25</v>
      </c>
      <c r="AD4904" s="1050">
        <v>4</v>
      </c>
      <c r="AE4904" s="1050">
        <v>1</v>
      </c>
      <c r="AF4904" s="1052">
        <f>+ROUND(AB4904*AC4904*AD4904*AE4904,2)</f>
        <v>1146.5999999999999</v>
      </c>
    </row>
    <row r="4905" spans="1:32" ht="15.6" customHeight="1" x14ac:dyDescent="0.25">
      <c r="A4905" s="2017"/>
      <c r="B4905" s="2018"/>
      <c r="C4905" s="2018"/>
      <c r="D4905" s="2018"/>
      <c r="E4905" s="2018"/>
      <c r="F4905" s="2018"/>
      <c r="G4905" s="2018"/>
      <c r="H4905" s="2018"/>
      <c r="I4905" s="2018"/>
      <c r="J4905" s="2018"/>
      <c r="K4905" s="2018"/>
      <c r="L4905" s="2018"/>
      <c r="M4905" s="2018"/>
      <c r="N4905" s="2018"/>
      <c r="O4905" s="2018"/>
      <c r="P4905" s="2018"/>
      <c r="Q4905" s="2018"/>
      <c r="R4905" s="2018"/>
      <c r="S4905" s="2018"/>
      <c r="T4905" s="2018"/>
      <c r="U4905" s="2018"/>
      <c r="V4905" s="2018"/>
      <c r="W4905" s="2018"/>
      <c r="X4905" s="2018"/>
      <c r="Y4905" s="2018"/>
      <c r="Z4905" s="2021" t="s">
        <v>2523</v>
      </c>
      <c r="AA4905" s="2021"/>
      <c r="AB4905" s="1050">
        <v>2.5</v>
      </c>
      <c r="AC4905" s="1050">
        <v>2.5</v>
      </c>
      <c r="AD4905" s="1050">
        <v>1.05</v>
      </c>
      <c r="AE4905" s="1050">
        <v>2</v>
      </c>
      <c r="AF4905" s="1052">
        <f t="shared" ref="AF4905:AF4907" si="65">+ROUND(AB4905*AC4905*AD4905*AE4905,2)</f>
        <v>13.13</v>
      </c>
    </row>
    <row r="4906" spans="1:32" ht="15.75" x14ac:dyDescent="0.25">
      <c r="A4906" s="2017"/>
      <c r="B4906" s="2018"/>
      <c r="C4906" s="2018"/>
      <c r="D4906" s="2018"/>
      <c r="E4906" s="2018"/>
      <c r="F4906" s="2018"/>
      <c r="G4906" s="2018"/>
      <c r="H4906" s="2018"/>
      <c r="I4906" s="2018"/>
      <c r="J4906" s="2018"/>
      <c r="K4906" s="2018"/>
      <c r="L4906" s="2018"/>
      <c r="M4906" s="2018"/>
      <c r="N4906" s="2018"/>
      <c r="O4906" s="2018"/>
      <c r="P4906" s="2018"/>
      <c r="Q4906" s="2018"/>
      <c r="R4906" s="2018"/>
      <c r="S4906" s="2018"/>
      <c r="T4906" s="2018"/>
      <c r="U4906" s="2018"/>
      <c r="V4906" s="2018"/>
      <c r="W4906" s="2018"/>
      <c r="X4906" s="2018"/>
      <c r="Y4906" s="2018"/>
      <c r="Z4906" s="2021" t="s">
        <v>2522</v>
      </c>
      <c r="AA4906" s="2021"/>
      <c r="AB4906" s="1050">
        <v>2.7</v>
      </c>
      <c r="AC4906" s="1050">
        <v>2.4</v>
      </c>
      <c r="AD4906" s="1050">
        <v>3.8</v>
      </c>
      <c r="AE4906" s="1050">
        <v>2</v>
      </c>
      <c r="AF4906" s="1052">
        <f t="shared" si="65"/>
        <v>49.25</v>
      </c>
    </row>
    <row r="4907" spans="1:32" ht="15.75" x14ac:dyDescent="0.25">
      <c r="A4907" s="2017"/>
      <c r="B4907" s="2018"/>
      <c r="C4907" s="2018"/>
      <c r="D4907" s="2018"/>
      <c r="E4907" s="2018"/>
      <c r="F4907" s="2018"/>
      <c r="G4907" s="2018"/>
      <c r="H4907" s="2018"/>
      <c r="I4907" s="2018"/>
      <c r="J4907" s="2018"/>
      <c r="K4907" s="2018"/>
      <c r="L4907" s="2018"/>
      <c r="M4907" s="2018"/>
      <c r="N4907" s="2018"/>
      <c r="O4907" s="2018"/>
      <c r="P4907" s="2018"/>
      <c r="Q4907" s="2018"/>
      <c r="R4907" s="2018"/>
      <c r="S4907" s="2018"/>
      <c r="T4907" s="2018"/>
      <c r="U4907" s="2018"/>
      <c r="V4907" s="2018"/>
      <c r="W4907" s="2018"/>
      <c r="X4907" s="2018"/>
      <c r="Y4907" s="2018"/>
      <c r="Z4907" s="2021" t="s">
        <v>2460</v>
      </c>
      <c r="AA4907" s="2021"/>
      <c r="AB4907" s="1050">
        <v>3.2</v>
      </c>
      <c r="AC4907" s="1050">
        <v>2.4</v>
      </c>
      <c r="AD4907" s="1050">
        <v>4</v>
      </c>
      <c r="AE4907" s="1050">
        <v>1</v>
      </c>
      <c r="AF4907" s="1052">
        <f t="shared" si="65"/>
        <v>30.72</v>
      </c>
    </row>
    <row r="4908" spans="1:32" ht="15.6" customHeight="1" x14ac:dyDescent="0.25">
      <c r="A4908" s="2017"/>
      <c r="B4908" s="2018"/>
      <c r="C4908" s="2018"/>
      <c r="D4908" s="2018"/>
      <c r="E4908" s="2018"/>
      <c r="F4908" s="2018"/>
      <c r="G4908" s="2018"/>
      <c r="H4908" s="2018"/>
      <c r="I4908" s="2018"/>
      <c r="J4908" s="2018"/>
      <c r="K4908" s="2018"/>
      <c r="L4908" s="2018"/>
      <c r="M4908" s="2018"/>
      <c r="N4908" s="2018"/>
      <c r="O4908" s="2018"/>
      <c r="P4908" s="2018"/>
      <c r="Q4908" s="2018"/>
      <c r="R4908" s="2018"/>
      <c r="S4908" s="2018"/>
      <c r="T4908" s="2018"/>
      <c r="U4908" s="2018"/>
      <c r="V4908" s="2018"/>
      <c r="W4908" s="2018"/>
      <c r="X4908" s="2018"/>
      <c r="Y4908" s="2018"/>
      <c r="Z4908" s="2021"/>
      <c r="AA4908" s="2021"/>
      <c r="AB4908" s="1050"/>
      <c r="AC4908" s="1050"/>
      <c r="AD4908" s="1050"/>
      <c r="AE4908" s="1050"/>
      <c r="AF4908" s="1052"/>
    </row>
    <row r="4909" spans="1:32" ht="15.75" x14ac:dyDescent="0.25">
      <c r="A4909" s="2017"/>
      <c r="B4909" s="2018"/>
      <c r="C4909" s="2018"/>
      <c r="D4909" s="2018"/>
      <c r="E4909" s="2018"/>
      <c r="F4909" s="2018"/>
      <c r="G4909" s="2018"/>
      <c r="H4909" s="2018"/>
      <c r="I4909" s="2018"/>
      <c r="J4909" s="2018"/>
      <c r="K4909" s="2018"/>
      <c r="L4909" s="2018"/>
      <c r="M4909" s="2018"/>
      <c r="N4909" s="2018"/>
      <c r="O4909" s="2018"/>
      <c r="P4909" s="2018"/>
      <c r="Q4909" s="2018"/>
      <c r="R4909" s="2018"/>
      <c r="S4909" s="2018"/>
      <c r="T4909" s="2018"/>
      <c r="U4909" s="2018"/>
      <c r="V4909" s="2018"/>
      <c r="W4909" s="2018"/>
      <c r="X4909" s="2018"/>
      <c r="Y4909" s="2018"/>
      <c r="Z4909" s="2021"/>
      <c r="AA4909" s="2021"/>
      <c r="AB4909" s="1050"/>
      <c r="AC4909" s="1050"/>
      <c r="AD4909" s="1050"/>
      <c r="AE4909" s="1050"/>
      <c r="AF4909" s="1052"/>
    </row>
    <row r="4910" spans="1:32" ht="15.75" x14ac:dyDescent="0.25">
      <c r="A4910" s="2017"/>
      <c r="B4910" s="2018"/>
      <c r="C4910" s="2018"/>
      <c r="D4910" s="2018"/>
      <c r="E4910" s="2018"/>
      <c r="F4910" s="2018"/>
      <c r="G4910" s="2018"/>
      <c r="H4910" s="2018"/>
      <c r="I4910" s="2018"/>
      <c r="J4910" s="2018"/>
      <c r="K4910" s="2018"/>
      <c r="L4910" s="2018"/>
      <c r="M4910" s="2018"/>
      <c r="N4910" s="2018"/>
      <c r="O4910" s="2018"/>
      <c r="P4910" s="2018"/>
      <c r="Q4910" s="2018"/>
      <c r="R4910" s="2018"/>
      <c r="S4910" s="2018"/>
      <c r="T4910" s="2018"/>
      <c r="U4910" s="2018"/>
      <c r="V4910" s="2018"/>
      <c r="W4910" s="2018"/>
      <c r="X4910" s="2018"/>
      <c r="Y4910" s="2018"/>
      <c r="Z4910" s="2021"/>
      <c r="AA4910" s="2021"/>
      <c r="AB4910" s="1050"/>
      <c r="AC4910" s="1050"/>
      <c r="AD4910" s="1050"/>
      <c r="AE4910" s="1050"/>
      <c r="AF4910" s="1052"/>
    </row>
    <row r="4911" spans="1:32" ht="15.75" x14ac:dyDescent="0.25">
      <c r="A4911" s="2017"/>
      <c r="B4911" s="2018"/>
      <c r="C4911" s="2018"/>
      <c r="D4911" s="2018"/>
      <c r="E4911" s="2018"/>
      <c r="F4911" s="2018"/>
      <c r="G4911" s="2018"/>
      <c r="H4911" s="2018"/>
      <c r="I4911" s="2018"/>
      <c r="J4911" s="2018"/>
      <c r="K4911" s="2018"/>
      <c r="L4911" s="2018"/>
      <c r="M4911" s="2018"/>
      <c r="N4911" s="2018"/>
      <c r="O4911" s="2018"/>
      <c r="P4911" s="2018"/>
      <c r="Q4911" s="2018"/>
      <c r="R4911" s="2018"/>
      <c r="S4911" s="2018"/>
      <c r="T4911" s="2018"/>
      <c r="U4911" s="2018"/>
      <c r="V4911" s="2018"/>
      <c r="W4911" s="2018"/>
      <c r="X4911" s="2018"/>
      <c r="Y4911" s="2018"/>
      <c r="Z4911" s="2021"/>
      <c r="AA4911" s="2021"/>
      <c r="AB4911" s="1050"/>
      <c r="AC4911" s="1050"/>
      <c r="AD4911" s="1050"/>
      <c r="AE4911" s="1050"/>
      <c r="AF4911" s="1052"/>
    </row>
    <row r="4912" spans="1:32" ht="15.75" x14ac:dyDescent="0.25">
      <c r="A4912" s="2017"/>
      <c r="B4912" s="2018"/>
      <c r="C4912" s="2018"/>
      <c r="D4912" s="2018"/>
      <c r="E4912" s="2018"/>
      <c r="F4912" s="2018"/>
      <c r="G4912" s="2018"/>
      <c r="H4912" s="2018"/>
      <c r="I4912" s="2018"/>
      <c r="J4912" s="2018"/>
      <c r="K4912" s="2018"/>
      <c r="L4912" s="2018"/>
      <c r="M4912" s="2018"/>
      <c r="N4912" s="2018"/>
      <c r="O4912" s="2018"/>
      <c r="P4912" s="2018"/>
      <c r="Q4912" s="2018"/>
      <c r="R4912" s="2018"/>
      <c r="S4912" s="2018"/>
      <c r="T4912" s="2018"/>
      <c r="U4912" s="2018"/>
      <c r="V4912" s="2018"/>
      <c r="W4912" s="2018"/>
      <c r="X4912" s="2018"/>
      <c r="Y4912" s="2018"/>
      <c r="Z4912" s="2021"/>
      <c r="AA4912" s="2021"/>
      <c r="AB4912" s="1050"/>
      <c r="AC4912" s="1050"/>
      <c r="AD4912" s="1050"/>
      <c r="AE4912" s="1050"/>
      <c r="AF4912" s="1052"/>
    </row>
    <row r="4913" spans="1:32" ht="15.75" x14ac:dyDescent="0.25">
      <c r="A4913" s="2017"/>
      <c r="B4913" s="2018"/>
      <c r="C4913" s="2018"/>
      <c r="D4913" s="2018"/>
      <c r="E4913" s="2018"/>
      <c r="F4913" s="2018"/>
      <c r="G4913" s="2018"/>
      <c r="H4913" s="2018"/>
      <c r="I4913" s="2018"/>
      <c r="J4913" s="2018"/>
      <c r="K4913" s="2018"/>
      <c r="L4913" s="2018"/>
      <c r="M4913" s="2018"/>
      <c r="N4913" s="2018"/>
      <c r="O4913" s="2018"/>
      <c r="P4913" s="2018"/>
      <c r="Q4913" s="2018"/>
      <c r="R4913" s="2018"/>
      <c r="S4913" s="2018"/>
      <c r="T4913" s="2018"/>
      <c r="U4913" s="2018"/>
      <c r="V4913" s="2018"/>
      <c r="W4913" s="2018"/>
      <c r="X4913" s="2018"/>
      <c r="Y4913" s="2018"/>
      <c r="Z4913" s="2021"/>
      <c r="AA4913" s="2021"/>
      <c r="AB4913" s="1050"/>
      <c r="AC4913" s="1050"/>
      <c r="AD4913" s="1050"/>
      <c r="AE4913" s="1050"/>
      <c r="AF4913" s="1052"/>
    </row>
    <row r="4914" spans="1:32" ht="15.75" x14ac:dyDescent="0.25">
      <c r="A4914" s="2017"/>
      <c r="B4914" s="2018"/>
      <c r="C4914" s="2018"/>
      <c r="D4914" s="2018"/>
      <c r="E4914" s="2018"/>
      <c r="F4914" s="2018"/>
      <c r="G4914" s="2018"/>
      <c r="H4914" s="2018"/>
      <c r="I4914" s="2018"/>
      <c r="J4914" s="2018"/>
      <c r="K4914" s="2018"/>
      <c r="L4914" s="2018"/>
      <c r="M4914" s="2018"/>
      <c r="N4914" s="2018"/>
      <c r="O4914" s="2018"/>
      <c r="P4914" s="2018"/>
      <c r="Q4914" s="2018"/>
      <c r="R4914" s="2018"/>
      <c r="S4914" s="2018"/>
      <c r="T4914" s="2018"/>
      <c r="U4914" s="2018"/>
      <c r="V4914" s="2018"/>
      <c r="W4914" s="2018"/>
      <c r="X4914" s="2018"/>
      <c r="Y4914" s="2018"/>
      <c r="Z4914" s="2021"/>
      <c r="AA4914" s="2021"/>
      <c r="AB4914" s="1050"/>
      <c r="AC4914" s="1050"/>
      <c r="AD4914" s="1050"/>
      <c r="AE4914" s="1050"/>
      <c r="AF4914" s="1052"/>
    </row>
    <row r="4915" spans="1:32" ht="15.75" x14ac:dyDescent="0.25">
      <c r="A4915" s="2017"/>
      <c r="B4915" s="2018"/>
      <c r="C4915" s="2018"/>
      <c r="D4915" s="2018"/>
      <c r="E4915" s="2018"/>
      <c r="F4915" s="2018"/>
      <c r="G4915" s="2018"/>
      <c r="H4915" s="2018"/>
      <c r="I4915" s="2018"/>
      <c r="J4915" s="2018"/>
      <c r="K4915" s="2018"/>
      <c r="L4915" s="2018"/>
      <c r="M4915" s="2018"/>
      <c r="N4915" s="2018"/>
      <c r="O4915" s="2018"/>
      <c r="P4915" s="2018"/>
      <c r="Q4915" s="2018"/>
      <c r="R4915" s="2018"/>
      <c r="S4915" s="2018"/>
      <c r="T4915" s="2018"/>
      <c r="U4915" s="2018"/>
      <c r="V4915" s="2018"/>
      <c r="W4915" s="2018"/>
      <c r="X4915" s="2018"/>
      <c r="Y4915" s="2018"/>
      <c r="Z4915" s="2021"/>
      <c r="AA4915" s="2021"/>
      <c r="AB4915" s="1050"/>
      <c r="AC4915" s="1050"/>
      <c r="AD4915" s="1050"/>
      <c r="AE4915" s="1050"/>
      <c r="AF4915" s="1052"/>
    </row>
    <row r="4916" spans="1:32" ht="15.75" x14ac:dyDescent="0.25">
      <c r="A4916" s="2017"/>
      <c r="B4916" s="2018"/>
      <c r="C4916" s="2018"/>
      <c r="D4916" s="2018"/>
      <c r="E4916" s="2018"/>
      <c r="F4916" s="2018"/>
      <c r="G4916" s="2018"/>
      <c r="H4916" s="2018"/>
      <c r="I4916" s="2018"/>
      <c r="J4916" s="2018"/>
      <c r="K4916" s="2018"/>
      <c r="L4916" s="2018"/>
      <c r="M4916" s="2018"/>
      <c r="N4916" s="2018"/>
      <c r="O4916" s="2018"/>
      <c r="P4916" s="2018"/>
      <c r="Q4916" s="2018"/>
      <c r="R4916" s="2018"/>
      <c r="S4916" s="2018"/>
      <c r="T4916" s="2018"/>
      <c r="U4916" s="2018"/>
      <c r="V4916" s="2018"/>
      <c r="W4916" s="2018"/>
      <c r="X4916" s="2018"/>
      <c r="Y4916" s="2018"/>
      <c r="Z4916" s="2021"/>
      <c r="AA4916" s="2021"/>
      <c r="AB4916" s="1050"/>
      <c r="AC4916" s="1050"/>
      <c r="AD4916" s="1050"/>
      <c r="AE4916" s="1050"/>
      <c r="AF4916" s="1052"/>
    </row>
    <row r="4917" spans="1:32" ht="15.75" x14ac:dyDescent="0.25">
      <c r="A4917" s="2017"/>
      <c r="B4917" s="2018"/>
      <c r="C4917" s="2018"/>
      <c r="D4917" s="2018"/>
      <c r="E4917" s="2018"/>
      <c r="F4917" s="2018"/>
      <c r="G4917" s="2018"/>
      <c r="H4917" s="2018"/>
      <c r="I4917" s="2018"/>
      <c r="J4917" s="2018"/>
      <c r="K4917" s="2018"/>
      <c r="L4917" s="2018"/>
      <c r="M4917" s="2018"/>
      <c r="N4917" s="2018"/>
      <c r="O4917" s="2018"/>
      <c r="P4917" s="2018"/>
      <c r="Q4917" s="2018"/>
      <c r="R4917" s="2018"/>
      <c r="S4917" s="2018"/>
      <c r="T4917" s="2018"/>
      <c r="U4917" s="2018"/>
      <c r="V4917" s="2018"/>
      <c r="W4917" s="2018"/>
      <c r="X4917" s="2018"/>
      <c r="Y4917" s="2018"/>
      <c r="Z4917" s="2021"/>
      <c r="AA4917" s="2021"/>
      <c r="AB4917" s="1050"/>
      <c r="AC4917" s="1050"/>
      <c r="AD4917" s="1050"/>
      <c r="AE4917" s="1050"/>
      <c r="AF4917" s="1052"/>
    </row>
    <row r="4918" spans="1:32" ht="15.75" x14ac:dyDescent="0.25">
      <c r="A4918" s="2017"/>
      <c r="B4918" s="2018"/>
      <c r="C4918" s="2018"/>
      <c r="D4918" s="2018"/>
      <c r="E4918" s="2018"/>
      <c r="F4918" s="2018"/>
      <c r="G4918" s="2018"/>
      <c r="H4918" s="2018"/>
      <c r="I4918" s="2018"/>
      <c r="J4918" s="2018"/>
      <c r="K4918" s="2018"/>
      <c r="L4918" s="2018"/>
      <c r="M4918" s="2018"/>
      <c r="N4918" s="2018"/>
      <c r="O4918" s="2018"/>
      <c r="P4918" s="2018"/>
      <c r="Q4918" s="2018"/>
      <c r="R4918" s="2018"/>
      <c r="S4918" s="2018"/>
      <c r="T4918" s="2018"/>
      <c r="U4918" s="2018"/>
      <c r="V4918" s="2018"/>
      <c r="W4918" s="2018"/>
      <c r="X4918" s="2018"/>
      <c r="Y4918" s="2018"/>
      <c r="Z4918" s="2022"/>
      <c r="AA4918" s="2022"/>
      <c r="AB4918" s="1050"/>
      <c r="AC4918" s="1050"/>
      <c r="AD4918" s="1050"/>
      <c r="AE4918" s="1050"/>
      <c r="AF4918" s="1052"/>
    </row>
    <row r="4919" spans="1:32" ht="15.75" x14ac:dyDescent="0.25">
      <c r="A4919" s="2017"/>
      <c r="B4919" s="2018"/>
      <c r="C4919" s="2018"/>
      <c r="D4919" s="2018"/>
      <c r="E4919" s="2018"/>
      <c r="F4919" s="2018"/>
      <c r="G4919" s="2018"/>
      <c r="H4919" s="2018"/>
      <c r="I4919" s="2018"/>
      <c r="J4919" s="2018"/>
      <c r="K4919" s="2018"/>
      <c r="L4919" s="2018"/>
      <c r="M4919" s="2018"/>
      <c r="N4919" s="2018"/>
      <c r="O4919" s="2018"/>
      <c r="P4919" s="2018"/>
      <c r="Q4919" s="2018"/>
      <c r="R4919" s="2018"/>
      <c r="S4919" s="2018"/>
      <c r="T4919" s="2018"/>
      <c r="U4919" s="2018"/>
      <c r="V4919" s="2018"/>
      <c r="W4919" s="2018"/>
      <c r="X4919" s="2018"/>
      <c r="Y4919" s="2018"/>
      <c r="Z4919" s="2022"/>
      <c r="AA4919" s="2022"/>
      <c r="AB4919" s="1050"/>
      <c r="AC4919" s="1050"/>
      <c r="AD4919" s="1050"/>
      <c r="AE4919" s="1050"/>
      <c r="AF4919" s="1052"/>
    </row>
    <row r="4920" spans="1:32" ht="15.75" x14ac:dyDescent="0.25">
      <c r="A4920" s="2017"/>
      <c r="B4920" s="2018"/>
      <c r="C4920" s="2018"/>
      <c r="D4920" s="2018"/>
      <c r="E4920" s="2018"/>
      <c r="F4920" s="2018"/>
      <c r="G4920" s="2018"/>
      <c r="H4920" s="2018"/>
      <c r="I4920" s="2018"/>
      <c r="J4920" s="2018"/>
      <c r="K4920" s="2018"/>
      <c r="L4920" s="2018"/>
      <c r="M4920" s="2018"/>
      <c r="N4920" s="2018"/>
      <c r="O4920" s="2018"/>
      <c r="P4920" s="2018"/>
      <c r="Q4920" s="2018"/>
      <c r="R4920" s="2018"/>
      <c r="S4920" s="2018"/>
      <c r="T4920" s="2018"/>
      <c r="U4920" s="2018"/>
      <c r="V4920" s="2018"/>
      <c r="W4920" s="2018"/>
      <c r="X4920" s="2018"/>
      <c r="Y4920" s="2018"/>
      <c r="Z4920" s="2022"/>
      <c r="AA4920" s="2022"/>
      <c r="AB4920" s="1050"/>
      <c r="AC4920" s="1050"/>
      <c r="AD4920" s="1050"/>
      <c r="AE4920" s="1050"/>
      <c r="AF4920" s="1052"/>
    </row>
    <row r="4921" spans="1:32" ht="15.75" x14ac:dyDescent="0.25">
      <c r="A4921" s="2017"/>
      <c r="B4921" s="2018"/>
      <c r="C4921" s="2018"/>
      <c r="D4921" s="2018"/>
      <c r="E4921" s="2018"/>
      <c r="F4921" s="2018"/>
      <c r="G4921" s="2018"/>
      <c r="H4921" s="2018"/>
      <c r="I4921" s="2018"/>
      <c r="J4921" s="2018"/>
      <c r="K4921" s="2018"/>
      <c r="L4921" s="2018"/>
      <c r="M4921" s="2018"/>
      <c r="N4921" s="2018"/>
      <c r="O4921" s="2018"/>
      <c r="P4921" s="2018"/>
      <c r="Q4921" s="2018"/>
      <c r="R4921" s="2018"/>
      <c r="S4921" s="2018"/>
      <c r="T4921" s="2018"/>
      <c r="U4921" s="2018"/>
      <c r="V4921" s="2018"/>
      <c r="W4921" s="2018"/>
      <c r="X4921" s="2018"/>
      <c r="Y4921" s="2018"/>
      <c r="Z4921" s="2023"/>
      <c r="AA4921" s="2023"/>
      <c r="AB4921" s="1050"/>
      <c r="AC4921" s="1050"/>
      <c r="AD4921" s="1050"/>
      <c r="AE4921" s="1050"/>
      <c r="AF4921" s="1052"/>
    </row>
    <row r="4922" spans="1:32" ht="15.75" x14ac:dyDescent="0.25">
      <c r="A4922" s="2017"/>
      <c r="B4922" s="2018"/>
      <c r="C4922" s="2018"/>
      <c r="D4922" s="2018"/>
      <c r="E4922" s="2018"/>
      <c r="F4922" s="2018"/>
      <c r="G4922" s="2018"/>
      <c r="H4922" s="2018"/>
      <c r="I4922" s="2018"/>
      <c r="J4922" s="2018"/>
      <c r="K4922" s="2018"/>
      <c r="L4922" s="2018"/>
      <c r="M4922" s="2018"/>
      <c r="N4922" s="2018"/>
      <c r="O4922" s="2018"/>
      <c r="P4922" s="2018"/>
      <c r="Q4922" s="2018"/>
      <c r="R4922" s="2018"/>
      <c r="S4922" s="2018"/>
      <c r="T4922" s="2018"/>
      <c r="U4922" s="2018"/>
      <c r="V4922" s="2018"/>
      <c r="W4922" s="2018"/>
      <c r="X4922" s="2018"/>
      <c r="Y4922" s="2018"/>
      <c r="Z4922" s="2023"/>
      <c r="AA4922" s="2023"/>
      <c r="AB4922" s="1050"/>
      <c r="AC4922" s="1050"/>
      <c r="AD4922" s="1050"/>
      <c r="AE4922" s="1050"/>
      <c r="AF4922" s="1052"/>
    </row>
    <row r="4923" spans="1:32" ht="15.75" x14ac:dyDescent="0.25">
      <c r="A4923" s="2017"/>
      <c r="B4923" s="2018"/>
      <c r="C4923" s="2018"/>
      <c r="D4923" s="2018"/>
      <c r="E4923" s="2018"/>
      <c r="F4923" s="2018"/>
      <c r="G4923" s="2018"/>
      <c r="H4923" s="2018"/>
      <c r="I4923" s="2018"/>
      <c r="J4923" s="2018"/>
      <c r="K4923" s="2018"/>
      <c r="L4923" s="2018"/>
      <c r="M4923" s="2018"/>
      <c r="N4923" s="2018"/>
      <c r="O4923" s="2018"/>
      <c r="P4923" s="2018"/>
      <c r="Q4923" s="2018"/>
      <c r="R4923" s="2018"/>
      <c r="S4923" s="2018"/>
      <c r="T4923" s="2018"/>
      <c r="U4923" s="2018"/>
      <c r="V4923" s="2018"/>
      <c r="W4923" s="2018"/>
      <c r="X4923" s="2018"/>
      <c r="Y4923" s="2018"/>
      <c r="Z4923" s="2023"/>
      <c r="AA4923" s="2023"/>
      <c r="AB4923" s="1050"/>
      <c r="AC4923" s="1050"/>
      <c r="AD4923" s="1050"/>
      <c r="AE4923" s="1050"/>
      <c r="AF4923" s="1052"/>
    </row>
    <row r="4924" spans="1:32" ht="15.75" x14ac:dyDescent="0.25">
      <c r="A4924" s="2017"/>
      <c r="B4924" s="2018"/>
      <c r="C4924" s="2018"/>
      <c r="D4924" s="2018"/>
      <c r="E4924" s="2018"/>
      <c r="F4924" s="2018"/>
      <c r="G4924" s="2018"/>
      <c r="H4924" s="2018"/>
      <c r="I4924" s="2018"/>
      <c r="J4924" s="2018"/>
      <c r="K4924" s="2018"/>
      <c r="L4924" s="2018"/>
      <c r="M4924" s="2018"/>
      <c r="N4924" s="2018"/>
      <c r="O4924" s="2018"/>
      <c r="P4924" s="2018"/>
      <c r="Q4924" s="2018"/>
      <c r="R4924" s="2018"/>
      <c r="S4924" s="2018"/>
      <c r="T4924" s="2018"/>
      <c r="U4924" s="2018"/>
      <c r="V4924" s="2018"/>
      <c r="W4924" s="2018"/>
      <c r="X4924" s="2018"/>
      <c r="Y4924" s="2018"/>
      <c r="Z4924" s="2023"/>
      <c r="AA4924" s="2023"/>
      <c r="AB4924" s="1050"/>
      <c r="AC4924" s="1050"/>
      <c r="AD4924" s="1050"/>
      <c r="AE4924" s="1050"/>
      <c r="AF4924" s="1052"/>
    </row>
    <row r="4925" spans="1:32" ht="15.75" x14ac:dyDescent="0.25">
      <c r="A4925" s="2017"/>
      <c r="B4925" s="2018"/>
      <c r="C4925" s="2018"/>
      <c r="D4925" s="2018"/>
      <c r="E4925" s="2018"/>
      <c r="F4925" s="2018"/>
      <c r="G4925" s="2018"/>
      <c r="H4925" s="2018"/>
      <c r="I4925" s="2018"/>
      <c r="J4925" s="2018"/>
      <c r="K4925" s="2018"/>
      <c r="L4925" s="2018"/>
      <c r="M4925" s="2018"/>
      <c r="N4925" s="2018"/>
      <c r="O4925" s="2018"/>
      <c r="P4925" s="2018"/>
      <c r="Q4925" s="2018"/>
      <c r="R4925" s="2018"/>
      <c r="S4925" s="2018"/>
      <c r="T4925" s="2018"/>
      <c r="U4925" s="2018"/>
      <c r="V4925" s="2018"/>
      <c r="W4925" s="2018"/>
      <c r="X4925" s="2018"/>
      <c r="Y4925" s="2018"/>
      <c r="Z4925" s="2023"/>
      <c r="AA4925" s="2023"/>
      <c r="AB4925" s="1050"/>
      <c r="AC4925" s="1050"/>
      <c r="AD4925" s="1050"/>
      <c r="AE4925" s="1050"/>
      <c r="AF4925" s="1052"/>
    </row>
    <row r="4926" spans="1:32" ht="15.75" x14ac:dyDescent="0.25">
      <c r="A4926" s="2017"/>
      <c r="B4926" s="2018"/>
      <c r="C4926" s="2018"/>
      <c r="D4926" s="2018"/>
      <c r="E4926" s="2018"/>
      <c r="F4926" s="2018"/>
      <c r="G4926" s="2018"/>
      <c r="H4926" s="2018"/>
      <c r="I4926" s="2018"/>
      <c r="J4926" s="2018"/>
      <c r="K4926" s="2018"/>
      <c r="L4926" s="2018"/>
      <c r="M4926" s="2018"/>
      <c r="N4926" s="2018"/>
      <c r="O4926" s="2018"/>
      <c r="P4926" s="2018"/>
      <c r="Q4926" s="2018"/>
      <c r="R4926" s="2018"/>
      <c r="S4926" s="2018"/>
      <c r="T4926" s="2018"/>
      <c r="U4926" s="2018"/>
      <c r="V4926" s="2018"/>
      <c r="W4926" s="2018"/>
      <c r="X4926" s="2018"/>
      <c r="Y4926" s="2018"/>
      <c r="Z4926" s="2023"/>
      <c r="AA4926" s="2023"/>
      <c r="AB4926" s="1050"/>
      <c r="AC4926" s="1050"/>
      <c r="AD4926" s="1050"/>
      <c r="AE4926" s="1050"/>
      <c r="AF4926" s="1052"/>
    </row>
    <row r="4927" spans="1:32" ht="16.5" thickBot="1" x14ac:dyDescent="0.3">
      <c r="A4927" s="2019"/>
      <c r="B4927" s="2020"/>
      <c r="C4927" s="2020"/>
      <c r="D4927" s="2020"/>
      <c r="E4927" s="2020"/>
      <c r="F4927" s="2020"/>
      <c r="G4927" s="2020"/>
      <c r="H4927" s="2020"/>
      <c r="I4927" s="2020"/>
      <c r="J4927" s="2020"/>
      <c r="K4927" s="2020"/>
      <c r="L4927" s="2020"/>
      <c r="M4927" s="2020"/>
      <c r="N4927" s="2020"/>
      <c r="O4927" s="2020"/>
      <c r="P4927" s="2020"/>
      <c r="Q4927" s="2020"/>
      <c r="R4927" s="2020"/>
      <c r="S4927" s="2020"/>
      <c r="T4927" s="2020"/>
      <c r="U4927" s="2020"/>
      <c r="V4927" s="2020"/>
      <c r="W4927" s="2020"/>
      <c r="X4927" s="2020"/>
      <c r="Y4927" s="2020"/>
      <c r="Z4927" s="2024"/>
      <c r="AA4927" s="2024"/>
      <c r="AB4927" s="1057"/>
      <c r="AC4927" s="1057"/>
      <c r="AD4927" s="1057"/>
      <c r="AE4927" s="1057"/>
      <c r="AF4927" s="1058"/>
    </row>
    <row r="4928" spans="1:32" ht="15.75" x14ac:dyDescent="0.25">
      <c r="A4928" s="2009" t="s">
        <v>1855</v>
      </c>
      <c r="B4928" s="2010"/>
      <c r="C4928" s="2010"/>
      <c r="D4928" s="2010"/>
      <c r="E4928" s="2010"/>
      <c r="F4928" s="2010"/>
      <c r="G4928" s="2010"/>
      <c r="H4928" s="2010"/>
      <c r="I4928" s="2010"/>
      <c r="J4928" s="2010"/>
      <c r="K4928" s="2010"/>
      <c r="L4928" s="2010"/>
      <c r="M4928" s="2010"/>
      <c r="N4928" s="2010"/>
      <c r="O4928" s="2010"/>
      <c r="P4928" s="2010"/>
      <c r="Q4928" s="2010"/>
      <c r="R4928" s="2010"/>
      <c r="S4928" s="2010"/>
      <c r="T4928" s="2010"/>
      <c r="U4928" s="2010"/>
      <c r="V4928" s="2010"/>
      <c r="W4928" s="2010"/>
      <c r="X4928" s="2010"/>
      <c r="Y4928" s="2010"/>
      <c r="Z4928" s="2013" t="s">
        <v>1850</v>
      </c>
      <c r="AA4928" s="2013"/>
      <c r="AB4928" s="2013"/>
      <c r="AC4928" s="2013"/>
      <c r="AD4928" s="2013"/>
      <c r="AE4928" s="2013"/>
      <c r="AF4928" s="1059">
        <f>SUM(AF4904:AF4927)</f>
        <v>1239.7</v>
      </c>
    </row>
    <row r="4929" spans="1:32" ht="15.75" x14ac:dyDescent="0.25">
      <c r="A4929" s="2011"/>
      <c r="B4929" s="2012"/>
      <c r="C4929" s="2012"/>
      <c r="D4929" s="2012"/>
      <c r="E4929" s="2012"/>
      <c r="F4929" s="2012"/>
      <c r="G4929" s="2012"/>
      <c r="H4929" s="2012"/>
      <c r="I4929" s="2012"/>
      <c r="J4929" s="2012"/>
      <c r="K4929" s="2012"/>
      <c r="L4929" s="2012"/>
      <c r="M4929" s="2012"/>
      <c r="N4929" s="2012"/>
      <c r="O4929" s="2012"/>
      <c r="P4929" s="2012"/>
      <c r="Q4929" s="2012"/>
      <c r="R4929" s="2012"/>
      <c r="S4929" s="2012"/>
      <c r="T4929" s="2012"/>
      <c r="U4929" s="2012"/>
      <c r="V4929" s="2012"/>
      <c r="W4929" s="2012"/>
      <c r="X4929" s="2012"/>
      <c r="Y4929" s="2012"/>
      <c r="Z4929" s="2014" t="s">
        <v>1851</v>
      </c>
      <c r="AA4929" s="2014"/>
      <c r="AB4929" s="2014"/>
      <c r="AC4929" s="2014"/>
      <c r="AD4929" s="2014"/>
      <c r="AE4929" s="2014"/>
      <c r="AF4929" s="1060">
        <v>0</v>
      </c>
    </row>
    <row r="4930" spans="1:32" ht="15.75" x14ac:dyDescent="0.25">
      <c r="A4930" s="2011"/>
      <c r="B4930" s="2012"/>
      <c r="C4930" s="2012"/>
      <c r="D4930" s="2012"/>
      <c r="E4930" s="2012"/>
      <c r="F4930" s="2012"/>
      <c r="G4930" s="2012"/>
      <c r="H4930" s="2012"/>
      <c r="I4930" s="2012"/>
      <c r="J4930" s="2012"/>
      <c r="K4930" s="2012"/>
      <c r="L4930" s="2012"/>
      <c r="M4930" s="2012"/>
      <c r="N4930" s="2012"/>
      <c r="O4930" s="2012"/>
      <c r="P4930" s="2012"/>
      <c r="Q4930" s="2012"/>
      <c r="R4930" s="2012"/>
      <c r="S4930" s="2012"/>
      <c r="T4930" s="2012"/>
      <c r="U4930" s="2012"/>
      <c r="V4930" s="2012"/>
      <c r="W4930" s="2012"/>
      <c r="X4930" s="2012"/>
      <c r="Y4930" s="2012"/>
      <c r="Z4930" s="2015" t="s">
        <v>1833</v>
      </c>
      <c r="AA4930" s="2015"/>
      <c r="AB4930" s="2015"/>
      <c r="AC4930" s="2015"/>
      <c r="AD4930" s="2015"/>
      <c r="AE4930" s="2015"/>
      <c r="AF4930" s="1061">
        <f>SUM(AF4928:AF4929)</f>
        <v>1239.7</v>
      </c>
    </row>
    <row r="4931" spans="1:32" x14ac:dyDescent="0.2">
      <c r="A4931" s="2012" t="s">
        <v>1859</v>
      </c>
      <c r="B4931" s="2012"/>
      <c r="C4931" s="2012"/>
      <c r="D4931" s="2012"/>
      <c r="E4931" s="2012"/>
      <c r="F4931" s="2012"/>
      <c r="G4931" s="2012"/>
      <c r="H4931" s="2012"/>
      <c r="I4931" s="2012"/>
      <c r="J4931" s="2012"/>
      <c r="K4931" s="2012"/>
      <c r="L4931" s="2012"/>
      <c r="M4931" s="2012"/>
      <c r="N4931" s="2012"/>
      <c r="O4931" s="2012"/>
      <c r="P4931" s="2012"/>
      <c r="Q4931" s="2012"/>
      <c r="R4931" s="2012"/>
      <c r="S4931" s="2012"/>
      <c r="T4931" s="2016" t="s">
        <v>1840</v>
      </c>
      <c r="U4931" s="2016"/>
      <c r="V4931" s="2016"/>
      <c r="W4931" s="2016"/>
      <c r="X4931" s="2016"/>
      <c r="Y4931" s="2016"/>
      <c r="Z4931" s="2016"/>
      <c r="AA4931" s="2016"/>
      <c r="AB4931" s="2012" t="s">
        <v>1852</v>
      </c>
      <c r="AC4931" s="2012"/>
      <c r="AD4931" s="2012"/>
      <c r="AE4931" s="2012"/>
      <c r="AF4931" s="2012"/>
    </row>
    <row r="4932" spans="1:32" x14ac:dyDescent="0.2">
      <c r="A4932" s="2012"/>
      <c r="B4932" s="2012"/>
      <c r="C4932" s="2012"/>
      <c r="D4932" s="2012"/>
      <c r="E4932" s="2012"/>
      <c r="F4932" s="2012"/>
      <c r="G4932" s="2012"/>
      <c r="H4932" s="2012"/>
      <c r="I4932" s="2012"/>
      <c r="J4932" s="2012"/>
      <c r="K4932" s="2012"/>
      <c r="L4932" s="2012"/>
      <c r="M4932" s="2012"/>
      <c r="N4932" s="2012"/>
      <c r="O4932" s="2012"/>
      <c r="P4932" s="2012"/>
      <c r="Q4932" s="2012"/>
      <c r="R4932" s="2012"/>
      <c r="S4932" s="2012"/>
      <c r="T4932" s="2016"/>
      <c r="U4932" s="2016"/>
      <c r="V4932" s="2016"/>
      <c r="W4932" s="2016"/>
      <c r="X4932" s="2016"/>
      <c r="Y4932" s="2016"/>
      <c r="Z4932" s="2016"/>
      <c r="AA4932" s="2016"/>
      <c r="AB4932" s="2012"/>
      <c r="AC4932" s="2012"/>
      <c r="AD4932" s="2012"/>
      <c r="AE4932" s="2012"/>
      <c r="AF4932" s="2012"/>
    </row>
    <row r="4933" spans="1:32" ht="13.5" thickBot="1" x14ac:dyDescent="0.25"/>
    <row r="4934" spans="1:32" ht="26.45" customHeight="1" x14ac:dyDescent="0.2">
      <c r="A4934" s="2025" t="s">
        <v>1854</v>
      </c>
      <c r="B4934" s="2026"/>
      <c r="C4934" s="2026"/>
      <c r="D4934" s="2026"/>
      <c r="E4934" s="2026"/>
      <c r="F4934" s="2026"/>
      <c r="G4934" s="2026"/>
      <c r="H4934" s="2026"/>
      <c r="I4934" s="2026"/>
      <c r="J4934" s="2026"/>
      <c r="K4934" s="2026"/>
      <c r="L4934" s="2026"/>
      <c r="M4934" s="2026"/>
      <c r="N4934" s="2026"/>
      <c r="O4934" s="2026"/>
      <c r="P4934" s="2026"/>
      <c r="Q4934" s="2026"/>
      <c r="R4934" s="2026"/>
      <c r="S4934" s="2026"/>
      <c r="T4934" s="2026"/>
      <c r="U4934" s="2026"/>
      <c r="V4934" s="2026"/>
      <c r="W4934" s="2026"/>
      <c r="X4934" s="2026"/>
      <c r="Y4934" s="2026"/>
      <c r="Z4934" s="2026"/>
      <c r="AA4934" s="2026"/>
      <c r="AB4934" s="2026"/>
      <c r="AC4934" s="2026"/>
      <c r="AD4934" s="2026"/>
      <c r="AE4934" s="1041" t="s">
        <v>1834</v>
      </c>
      <c r="AF4934" s="1042" t="s">
        <v>1835</v>
      </c>
    </row>
    <row r="4935" spans="1:32" ht="21" customHeight="1" thickBot="1" x14ac:dyDescent="0.25">
      <c r="A4935" s="2027"/>
      <c r="B4935" s="2028"/>
      <c r="C4935" s="2028"/>
      <c r="D4935" s="2028"/>
      <c r="E4935" s="2028"/>
      <c r="F4935" s="2028"/>
      <c r="G4935" s="2028"/>
      <c r="H4935" s="2028"/>
      <c r="I4935" s="2028"/>
      <c r="J4935" s="2028"/>
      <c r="K4935" s="2028"/>
      <c r="L4935" s="2028"/>
      <c r="M4935" s="2028"/>
      <c r="N4935" s="2028"/>
      <c r="O4935" s="2028"/>
      <c r="P4935" s="2028"/>
      <c r="Q4935" s="2028"/>
      <c r="R4935" s="2028"/>
      <c r="S4935" s="2028"/>
      <c r="T4935" s="2028"/>
      <c r="U4935" s="2028"/>
      <c r="V4935" s="2028"/>
      <c r="W4935" s="2028"/>
      <c r="X4935" s="2028"/>
      <c r="Y4935" s="2028"/>
      <c r="Z4935" s="2028"/>
      <c r="AA4935" s="2028"/>
      <c r="AB4935" s="2028"/>
      <c r="AC4935" s="2028"/>
      <c r="AD4935" s="2028"/>
      <c r="AE4935" s="1041" t="s">
        <v>1836</v>
      </c>
      <c r="AF4935" s="1044">
        <v>1</v>
      </c>
    </row>
    <row r="4936" spans="1:32" ht="15.75" x14ac:dyDescent="0.2">
      <c r="A4936" s="2029"/>
      <c r="B4936" s="2030"/>
      <c r="C4936" s="2030"/>
      <c r="D4936" s="2031"/>
      <c r="E4936" s="2025" t="str">
        <f>'01'!$A$12</f>
        <v>"CONSTRUCCION SISTEMA DE ACUEDUCTO FASE II DEL MUNICIPIO DE TESALIA DPTO DEL HUILA"</v>
      </c>
      <c r="F4936" s="2026"/>
      <c r="G4936" s="2026"/>
      <c r="H4936" s="2026"/>
      <c r="I4936" s="2026"/>
      <c r="J4936" s="2026"/>
      <c r="K4936" s="2026"/>
      <c r="L4936" s="2026"/>
      <c r="M4936" s="2026"/>
      <c r="N4936" s="2026"/>
      <c r="O4936" s="2026"/>
      <c r="P4936" s="2026"/>
      <c r="Q4936" s="2026"/>
      <c r="R4936" s="2026"/>
      <c r="S4936" s="2026"/>
      <c r="T4936" s="2026"/>
      <c r="U4936" s="2026"/>
      <c r="V4936" s="2026"/>
      <c r="W4936" s="2026"/>
      <c r="X4936" s="2026"/>
      <c r="Y4936" s="2026"/>
      <c r="Z4936" s="2026"/>
      <c r="AA4936" s="2026"/>
      <c r="AB4936" s="2026"/>
      <c r="AC4936" s="2026"/>
      <c r="AD4936" s="2035"/>
      <c r="AE4936" s="1041" t="s">
        <v>847</v>
      </c>
      <c r="AF4936" s="1045">
        <f>'01'!$M$13</f>
        <v>0</v>
      </c>
    </row>
    <row r="4937" spans="1:32" ht="16.5" thickBot="1" x14ac:dyDescent="0.25">
      <c r="A4937" s="2032"/>
      <c r="B4937" s="2033"/>
      <c r="C4937" s="2033"/>
      <c r="D4937" s="2034"/>
      <c r="E4937" s="2027"/>
      <c r="F4937" s="2028"/>
      <c r="G4937" s="2028"/>
      <c r="H4937" s="2028"/>
      <c r="I4937" s="2028"/>
      <c r="J4937" s="2028"/>
      <c r="K4937" s="2028"/>
      <c r="L4937" s="2028"/>
      <c r="M4937" s="2028"/>
      <c r="N4937" s="2028"/>
      <c r="O4937" s="2028"/>
      <c r="P4937" s="2028"/>
      <c r="Q4937" s="2028"/>
      <c r="R4937" s="2028"/>
      <c r="S4937" s="2028"/>
      <c r="T4937" s="2028"/>
      <c r="U4937" s="2028"/>
      <c r="V4937" s="2028"/>
      <c r="W4937" s="2028"/>
      <c r="X4937" s="2028"/>
      <c r="Y4937" s="2028"/>
      <c r="Z4937" s="2028"/>
      <c r="AA4937" s="2028"/>
      <c r="AB4937" s="2028"/>
      <c r="AC4937" s="2028"/>
      <c r="AD4937" s="2036"/>
      <c r="AE4937" s="1041" t="s">
        <v>1837</v>
      </c>
      <c r="AF4937" s="1042" t="s">
        <v>1838</v>
      </c>
    </row>
    <row r="4938" spans="1:32" ht="15.75" x14ac:dyDescent="0.25">
      <c r="A4938" s="2037" t="s">
        <v>1860</v>
      </c>
      <c r="B4938" s="2038"/>
      <c r="C4938" s="2038"/>
      <c r="D4938" s="2038"/>
      <c r="E4938" s="2038"/>
      <c r="F4938" s="2038"/>
      <c r="G4938" s="2038"/>
      <c r="H4938" s="2038"/>
      <c r="I4938" s="2038"/>
      <c r="J4938" s="2038"/>
      <c r="K4938" s="2038"/>
      <c r="L4938" s="2038"/>
      <c r="M4938" s="2038"/>
      <c r="N4938" s="2038"/>
      <c r="O4938" s="2038"/>
      <c r="P4938" s="2038"/>
      <c r="Q4938" s="2038"/>
      <c r="R4938" s="2038"/>
      <c r="S4938" s="2038"/>
      <c r="T4938" s="2038"/>
      <c r="U4938" s="2038"/>
      <c r="V4938" s="2038"/>
      <c r="W4938" s="2038"/>
      <c r="X4938" s="2038"/>
      <c r="Y4938" s="2038"/>
      <c r="Z4938" s="2038"/>
      <c r="AA4938" s="2038"/>
      <c r="AB4938" s="2038"/>
      <c r="AC4938" s="2038"/>
      <c r="AD4938" s="2038"/>
      <c r="AE4938" s="2039" t="s">
        <v>1839</v>
      </c>
      <c r="AF4938" s="2040"/>
    </row>
    <row r="4939" spans="1:32" ht="15.75" x14ac:dyDescent="0.25">
      <c r="A4939" s="2041" t="s">
        <v>1840</v>
      </c>
      <c r="B4939" s="2042"/>
      <c r="C4939" s="2042"/>
      <c r="D4939" s="2042"/>
      <c r="E4939" s="2042"/>
      <c r="F4939" s="2042"/>
      <c r="G4939" s="2042"/>
      <c r="H4939" s="2042"/>
      <c r="I4939" s="2042"/>
      <c r="J4939" s="2042"/>
      <c r="K4939" s="2042"/>
      <c r="L4939" s="2042"/>
      <c r="M4939" s="2042"/>
      <c r="N4939" s="2042"/>
      <c r="O4939" s="2042"/>
      <c r="P4939" s="2042"/>
      <c r="Q4939" s="2042"/>
      <c r="R4939" s="2042"/>
      <c r="S4939" s="2042"/>
      <c r="T4939" s="2042"/>
      <c r="U4939" s="2042"/>
      <c r="V4939" s="2042"/>
      <c r="W4939" s="2042"/>
      <c r="X4939" s="2042"/>
      <c r="Y4939" s="2042"/>
      <c r="Z4939" s="2042"/>
      <c r="AA4939" s="2042"/>
      <c r="AB4939" s="2042"/>
      <c r="AC4939" s="2042"/>
      <c r="AD4939" s="2043"/>
      <c r="AE4939" s="2014" t="s">
        <v>1841</v>
      </c>
      <c r="AF4939" s="2044"/>
    </row>
    <row r="4940" spans="1:32" ht="15.75" x14ac:dyDescent="0.25">
      <c r="A4940" s="2045" t="s">
        <v>1853</v>
      </c>
      <c r="B4940" s="2046"/>
      <c r="C4940" s="2046"/>
      <c r="D4940" s="2046"/>
      <c r="E4940" s="2046"/>
      <c r="F4940" s="2046"/>
      <c r="G4940" s="2046"/>
      <c r="H4940" s="2046"/>
      <c r="I4940" s="2046"/>
      <c r="J4940" s="2046"/>
      <c r="K4940" s="2046"/>
      <c r="L4940" s="2046"/>
      <c r="M4940" s="2046"/>
      <c r="N4940" s="2046"/>
      <c r="O4940" s="2046"/>
      <c r="P4940" s="2046"/>
      <c r="Q4940" s="2046"/>
      <c r="R4940" s="2046"/>
      <c r="S4940" s="2046"/>
      <c r="T4940" s="2046"/>
      <c r="U4940" s="2046"/>
      <c r="V4940" s="2046"/>
      <c r="W4940" s="2046"/>
      <c r="X4940" s="2046"/>
      <c r="Y4940" s="2046"/>
      <c r="Z4940" s="2046"/>
      <c r="AA4940" s="2046"/>
      <c r="AB4940" s="2046"/>
      <c r="AC4940" s="2046"/>
      <c r="AD4940" s="2046"/>
      <c r="AE4940" s="2047">
        <f>'01'!$M$13</f>
        <v>0</v>
      </c>
      <c r="AF4940" s="2044"/>
    </row>
    <row r="4941" spans="1:32" x14ac:dyDescent="0.2">
      <c r="A4941" s="1046"/>
      <c r="B4941" s="1047"/>
      <c r="C4941" s="1047"/>
      <c r="D4941" s="1047"/>
      <c r="E4941" s="1047"/>
      <c r="F4941" s="1047"/>
      <c r="G4941" s="1047"/>
      <c r="H4941" s="1047"/>
      <c r="I4941" s="1047"/>
      <c r="J4941" s="1047"/>
      <c r="K4941" s="1047"/>
      <c r="L4941" s="1047"/>
      <c r="M4941" s="1047"/>
      <c r="N4941" s="1047"/>
      <c r="O4941" s="1047"/>
      <c r="P4941" s="1047"/>
      <c r="Q4941" s="1047"/>
      <c r="R4941" s="1047"/>
      <c r="S4941" s="1047"/>
      <c r="T4941" s="1047"/>
      <c r="U4941" s="1047"/>
      <c r="V4941" s="1047"/>
      <c r="W4941" s="1047"/>
      <c r="X4941" s="1047"/>
      <c r="Y4941" s="1047"/>
      <c r="Z4941" s="1047"/>
      <c r="AA4941" s="1047"/>
      <c r="AB4941" s="1047"/>
      <c r="AC4941" s="1047"/>
      <c r="AD4941" s="1047"/>
      <c r="AE4941" s="1047"/>
      <c r="AF4941" s="1048"/>
    </row>
    <row r="4942" spans="1:32" ht="30" customHeight="1" x14ac:dyDescent="0.2">
      <c r="A4942" s="2048" t="s">
        <v>1842</v>
      </c>
      <c r="B4942" s="2049"/>
      <c r="C4942" s="2049"/>
      <c r="D4942" s="2049"/>
      <c r="E4942" s="2049"/>
      <c r="F4942" s="2050" t="str">
        <f>+'01'!$H$201</f>
        <v>H - TANQUE DE ALMACENAMIENTO</v>
      </c>
      <c r="G4942" s="2049"/>
      <c r="H4942" s="2049"/>
      <c r="I4942" s="2049"/>
      <c r="J4942" s="2049"/>
      <c r="K4942" s="2049"/>
      <c r="L4942" s="2049"/>
      <c r="M4942" s="2049"/>
      <c r="N4942" s="2049"/>
      <c r="O4942" s="2049"/>
      <c r="P4942" s="2049"/>
      <c r="Q4942" s="2049"/>
      <c r="R4942" s="2049"/>
      <c r="S4942" s="2049"/>
      <c r="T4942" s="2049"/>
      <c r="U4942" s="2049"/>
      <c r="V4942" s="2049"/>
      <c r="W4942" s="2049"/>
      <c r="X4942" s="2049"/>
      <c r="Y4942" s="2051"/>
      <c r="Z4942" s="2052" t="s">
        <v>1843</v>
      </c>
      <c r="AA4942" s="2053"/>
      <c r="AB4942" s="2058" t="s">
        <v>1844</v>
      </c>
      <c r="AC4942" s="2059"/>
      <c r="AD4942" s="2060"/>
      <c r="AE4942" s="2064" t="s">
        <v>1845</v>
      </c>
      <c r="AF4942" s="2067" t="s">
        <v>1846</v>
      </c>
    </row>
    <row r="4943" spans="1:32" ht="15" customHeight="1" x14ac:dyDescent="0.2">
      <c r="A4943" s="2070" t="str">
        <f>+'01'!A208</f>
        <v>H-03-01</v>
      </c>
      <c r="B4943" s="2071"/>
      <c r="C4943" s="2072"/>
      <c r="D4943" s="2076" t="str">
        <f>VLOOKUP(A4943,'01'!$A$12:$N$299,3,FALSE)</f>
        <v>RELLENO EN RECEBO COMUN PROVENIENTE DE MATERIAL DE PRESTAMO, COMPACTADO MECANICAMENTE.</v>
      </c>
      <c r="E4943" s="2077"/>
      <c r="F4943" s="2077"/>
      <c r="G4943" s="2077"/>
      <c r="H4943" s="2077"/>
      <c r="I4943" s="2077"/>
      <c r="J4943" s="2077"/>
      <c r="K4943" s="2077"/>
      <c r="L4943" s="2077"/>
      <c r="M4943" s="2077"/>
      <c r="N4943" s="2077"/>
      <c r="O4943" s="2077"/>
      <c r="P4943" s="2077"/>
      <c r="Q4943" s="2077"/>
      <c r="R4943" s="2077"/>
      <c r="S4943" s="2078"/>
      <c r="T4943" s="2082" t="s">
        <v>124</v>
      </c>
      <c r="U4943" s="2083"/>
      <c r="V4943" s="2083"/>
      <c r="W4943" s="2083"/>
      <c r="X4943" s="2052" t="str">
        <f>VLOOKUP(A4943,'01'!$A$12:$N$299,9,FALSE)</f>
        <v>M3</v>
      </c>
      <c r="Y4943" s="2053"/>
      <c r="Z4943" s="2054"/>
      <c r="AA4943" s="2055"/>
      <c r="AB4943" s="2061"/>
      <c r="AC4943" s="2062"/>
      <c r="AD4943" s="2063"/>
      <c r="AE4943" s="2065"/>
      <c r="AF4943" s="2068"/>
    </row>
    <row r="4944" spans="1:32" ht="15" customHeight="1" x14ac:dyDescent="0.25">
      <c r="A4944" s="2073"/>
      <c r="B4944" s="2074"/>
      <c r="C4944" s="2075"/>
      <c r="D4944" s="2079"/>
      <c r="E4944" s="2080"/>
      <c r="F4944" s="2080"/>
      <c r="G4944" s="2080"/>
      <c r="H4944" s="2080"/>
      <c r="I4944" s="2080"/>
      <c r="J4944" s="2080"/>
      <c r="K4944" s="2080"/>
      <c r="L4944" s="2080"/>
      <c r="M4944" s="2080"/>
      <c r="N4944" s="2080"/>
      <c r="O4944" s="2080"/>
      <c r="P4944" s="2080"/>
      <c r="Q4944" s="2080"/>
      <c r="R4944" s="2080"/>
      <c r="S4944" s="2081"/>
      <c r="T4944" s="2084"/>
      <c r="U4944" s="2085"/>
      <c r="V4944" s="2085"/>
      <c r="W4944" s="2085"/>
      <c r="X4944" s="2056"/>
      <c r="Y4944" s="2057"/>
      <c r="Z4944" s="2056"/>
      <c r="AA4944" s="2057"/>
      <c r="AB4944" s="1049" t="s">
        <v>1847</v>
      </c>
      <c r="AC4944" s="1049" t="s">
        <v>1848</v>
      </c>
      <c r="AD4944" s="1049" t="s">
        <v>1861</v>
      </c>
      <c r="AE4944" s="2066"/>
      <c r="AF4944" s="2069"/>
    </row>
    <row r="4945" spans="1:32" ht="15.6" customHeight="1" x14ac:dyDescent="0.25">
      <c r="A4945" s="2017"/>
      <c r="B4945" s="2018"/>
      <c r="C4945" s="2018"/>
      <c r="D4945" s="2018"/>
      <c r="E4945" s="2018"/>
      <c r="F4945" s="2018"/>
      <c r="G4945" s="2018"/>
      <c r="H4945" s="2018"/>
      <c r="I4945" s="2018"/>
      <c r="J4945" s="2018"/>
      <c r="K4945" s="2018"/>
      <c r="L4945" s="2018"/>
      <c r="M4945" s="2018"/>
      <c r="N4945" s="2018"/>
      <c r="O4945" s="2018"/>
      <c r="P4945" s="2018"/>
      <c r="Q4945" s="2018"/>
      <c r="R4945" s="2018"/>
      <c r="S4945" s="2018"/>
      <c r="T4945" s="2018"/>
      <c r="U4945" s="2018"/>
      <c r="V4945" s="2018"/>
      <c r="W4945" s="2018"/>
      <c r="X4945" s="2018"/>
      <c r="Y4945" s="2018"/>
      <c r="Z4945" s="2021" t="s">
        <v>2521</v>
      </c>
      <c r="AA4945" s="2021"/>
      <c r="AB4945" s="1050">
        <v>22.8</v>
      </c>
      <c r="AC4945" s="1050">
        <v>11.65</v>
      </c>
      <c r="AD4945" s="1050">
        <v>0.2</v>
      </c>
      <c r="AE4945" s="1050">
        <v>1</v>
      </c>
      <c r="AF4945" s="1052">
        <f>+ROUND(AB4945*AC4945*AD4945*AE4945,2)</f>
        <v>53.12</v>
      </c>
    </row>
    <row r="4946" spans="1:32" ht="15.6" customHeight="1" x14ac:dyDescent="0.25">
      <c r="A4946" s="2017"/>
      <c r="B4946" s="2018"/>
      <c r="C4946" s="2018"/>
      <c r="D4946" s="2018"/>
      <c r="E4946" s="2018"/>
      <c r="F4946" s="2018"/>
      <c r="G4946" s="2018"/>
      <c r="H4946" s="2018"/>
      <c r="I4946" s="2018"/>
      <c r="J4946" s="2018"/>
      <c r="K4946" s="2018"/>
      <c r="L4946" s="2018"/>
      <c r="M4946" s="2018"/>
      <c r="N4946" s="2018"/>
      <c r="O4946" s="2018"/>
      <c r="P4946" s="2018"/>
      <c r="Q4946" s="2018"/>
      <c r="R4946" s="2018"/>
      <c r="S4946" s="2018"/>
      <c r="T4946" s="2018"/>
      <c r="U4946" s="2018"/>
      <c r="V4946" s="2018"/>
      <c r="W4946" s="2018"/>
      <c r="X4946" s="2018"/>
      <c r="Y4946" s="2018"/>
      <c r="Z4946" s="2021" t="s">
        <v>2523</v>
      </c>
      <c r="AA4946" s="2021"/>
      <c r="AB4946" s="1050">
        <v>1.9</v>
      </c>
      <c r="AC4946" s="1050">
        <v>1.9</v>
      </c>
      <c r="AD4946" s="1050">
        <v>0.1</v>
      </c>
      <c r="AE4946" s="1050">
        <v>2</v>
      </c>
      <c r="AF4946" s="1052">
        <f t="shared" ref="AF4946:AF4948" si="66">+ROUND(AB4946*AC4946*AD4946*AE4946,2)</f>
        <v>0.72</v>
      </c>
    </row>
    <row r="4947" spans="1:32" ht="15.75" x14ac:dyDescent="0.25">
      <c r="A4947" s="2017"/>
      <c r="B4947" s="2018"/>
      <c r="C4947" s="2018"/>
      <c r="D4947" s="2018"/>
      <c r="E4947" s="2018"/>
      <c r="F4947" s="2018"/>
      <c r="G4947" s="2018"/>
      <c r="H4947" s="2018"/>
      <c r="I4947" s="2018"/>
      <c r="J4947" s="2018"/>
      <c r="K4947" s="2018"/>
      <c r="L4947" s="2018"/>
      <c r="M4947" s="2018"/>
      <c r="N4947" s="2018"/>
      <c r="O4947" s="2018"/>
      <c r="P4947" s="2018"/>
      <c r="Q4947" s="2018"/>
      <c r="R4947" s="2018"/>
      <c r="S4947" s="2018"/>
      <c r="T4947" s="2018"/>
      <c r="U4947" s="2018"/>
      <c r="V4947" s="2018"/>
      <c r="W4947" s="2018"/>
      <c r="X4947" s="2018"/>
      <c r="Y4947" s="2018"/>
      <c r="Z4947" s="2021" t="s">
        <v>2522</v>
      </c>
      <c r="AA4947" s="2021"/>
      <c r="AB4947" s="1050">
        <v>2.1</v>
      </c>
      <c r="AC4947" s="1050">
        <v>1.8</v>
      </c>
      <c r="AD4947" s="1050">
        <v>0.2</v>
      </c>
      <c r="AE4947" s="1050">
        <v>2</v>
      </c>
      <c r="AF4947" s="1052">
        <f t="shared" si="66"/>
        <v>1.51</v>
      </c>
    </row>
    <row r="4948" spans="1:32" ht="15.75" x14ac:dyDescent="0.25">
      <c r="A4948" s="2017"/>
      <c r="B4948" s="2018"/>
      <c r="C4948" s="2018"/>
      <c r="D4948" s="2018"/>
      <c r="E4948" s="2018"/>
      <c r="F4948" s="2018"/>
      <c r="G4948" s="2018"/>
      <c r="H4948" s="2018"/>
      <c r="I4948" s="2018"/>
      <c r="J4948" s="2018"/>
      <c r="K4948" s="2018"/>
      <c r="L4948" s="2018"/>
      <c r="M4948" s="2018"/>
      <c r="N4948" s="2018"/>
      <c r="O4948" s="2018"/>
      <c r="P4948" s="2018"/>
      <c r="Q4948" s="2018"/>
      <c r="R4948" s="2018"/>
      <c r="S4948" s="2018"/>
      <c r="T4948" s="2018"/>
      <c r="U4948" s="2018"/>
      <c r="V4948" s="2018"/>
      <c r="W4948" s="2018"/>
      <c r="X4948" s="2018"/>
      <c r="Y4948" s="2018"/>
      <c r="Z4948" s="2021" t="s">
        <v>2460</v>
      </c>
      <c r="AA4948" s="2021"/>
      <c r="AB4948" s="1050">
        <v>2.6</v>
      </c>
      <c r="AC4948" s="1050">
        <v>1.8</v>
      </c>
      <c r="AD4948" s="1050">
        <v>0.2</v>
      </c>
      <c r="AE4948" s="1050">
        <v>1</v>
      </c>
      <c r="AF4948" s="1052">
        <f t="shared" si="66"/>
        <v>0.94</v>
      </c>
    </row>
    <row r="4949" spans="1:32" ht="15.6" customHeight="1" x14ac:dyDescent="0.25">
      <c r="A4949" s="2017"/>
      <c r="B4949" s="2018"/>
      <c r="C4949" s="2018"/>
      <c r="D4949" s="2018"/>
      <c r="E4949" s="2018"/>
      <c r="F4949" s="2018"/>
      <c r="G4949" s="2018"/>
      <c r="H4949" s="2018"/>
      <c r="I4949" s="2018"/>
      <c r="J4949" s="2018"/>
      <c r="K4949" s="2018"/>
      <c r="L4949" s="2018"/>
      <c r="M4949" s="2018"/>
      <c r="N4949" s="2018"/>
      <c r="O4949" s="2018"/>
      <c r="P4949" s="2018"/>
      <c r="Q4949" s="2018"/>
      <c r="R4949" s="2018"/>
      <c r="S4949" s="2018"/>
      <c r="T4949" s="2018"/>
      <c r="U4949" s="2018"/>
      <c r="V4949" s="2018"/>
      <c r="W4949" s="2018"/>
      <c r="X4949" s="2018"/>
      <c r="Y4949" s="2018"/>
      <c r="Z4949" s="2021"/>
      <c r="AA4949" s="2021"/>
      <c r="AB4949" s="1050"/>
      <c r="AC4949" s="1050"/>
      <c r="AD4949" s="1050"/>
      <c r="AE4949" s="1050"/>
      <c r="AF4949" s="1052"/>
    </row>
    <row r="4950" spans="1:32" ht="15.75" x14ac:dyDescent="0.25">
      <c r="A4950" s="2017"/>
      <c r="B4950" s="2018"/>
      <c r="C4950" s="2018"/>
      <c r="D4950" s="2018"/>
      <c r="E4950" s="2018"/>
      <c r="F4950" s="2018"/>
      <c r="G4950" s="2018"/>
      <c r="H4950" s="2018"/>
      <c r="I4950" s="2018"/>
      <c r="J4950" s="2018"/>
      <c r="K4950" s="2018"/>
      <c r="L4950" s="2018"/>
      <c r="M4950" s="2018"/>
      <c r="N4950" s="2018"/>
      <c r="O4950" s="2018"/>
      <c r="P4950" s="2018"/>
      <c r="Q4950" s="2018"/>
      <c r="R4950" s="2018"/>
      <c r="S4950" s="2018"/>
      <c r="T4950" s="2018"/>
      <c r="U4950" s="2018"/>
      <c r="V4950" s="2018"/>
      <c r="W4950" s="2018"/>
      <c r="X4950" s="2018"/>
      <c r="Y4950" s="2018"/>
      <c r="Z4950" s="2021"/>
      <c r="AA4950" s="2021"/>
      <c r="AB4950" s="1050"/>
      <c r="AC4950" s="1050"/>
      <c r="AD4950" s="1050"/>
      <c r="AE4950" s="1050"/>
      <c r="AF4950" s="1052"/>
    </row>
    <row r="4951" spans="1:32" ht="15.75" x14ac:dyDescent="0.25">
      <c r="A4951" s="2017"/>
      <c r="B4951" s="2018"/>
      <c r="C4951" s="2018"/>
      <c r="D4951" s="2018"/>
      <c r="E4951" s="2018"/>
      <c r="F4951" s="2018"/>
      <c r="G4951" s="2018"/>
      <c r="H4951" s="2018"/>
      <c r="I4951" s="2018"/>
      <c r="J4951" s="2018"/>
      <c r="K4951" s="2018"/>
      <c r="L4951" s="2018"/>
      <c r="M4951" s="2018"/>
      <c r="N4951" s="2018"/>
      <c r="O4951" s="2018"/>
      <c r="P4951" s="2018"/>
      <c r="Q4951" s="2018"/>
      <c r="R4951" s="2018"/>
      <c r="S4951" s="2018"/>
      <c r="T4951" s="2018"/>
      <c r="U4951" s="2018"/>
      <c r="V4951" s="2018"/>
      <c r="W4951" s="2018"/>
      <c r="X4951" s="2018"/>
      <c r="Y4951" s="2018"/>
      <c r="Z4951" s="2021"/>
      <c r="AA4951" s="2021"/>
      <c r="AB4951" s="1050"/>
      <c r="AC4951" s="1050"/>
      <c r="AD4951" s="1050"/>
      <c r="AE4951" s="1050"/>
      <c r="AF4951" s="1052"/>
    </row>
    <row r="4952" spans="1:32" ht="15.75" x14ac:dyDescent="0.25">
      <c r="A4952" s="2017"/>
      <c r="B4952" s="2018"/>
      <c r="C4952" s="2018"/>
      <c r="D4952" s="2018"/>
      <c r="E4952" s="2018"/>
      <c r="F4952" s="2018"/>
      <c r="G4952" s="2018"/>
      <c r="H4952" s="2018"/>
      <c r="I4952" s="2018"/>
      <c r="J4952" s="2018"/>
      <c r="K4952" s="2018"/>
      <c r="L4952" s="2018"/>
      <c r="M4952" s="2018"/>
      <c r="N4952" s="2018"/>
      <c r="O4952" s="2018"/>
      <c r="P4952" s="2018"/>
      <c r="Q4952" s="2018"/>
      <c r="R4952" s="2018"/>
      <c r="S4952" s="2018"/>
      <c r="T4952" s="2018"/>
      <c r="U4952" s="2018"/>
      <c r="V4952" s="2018"/>
      <c r="W4952" s="2018"/>
      <c r="X4952" s="2018"/>
      <c r="Y4952" s="2018"/>
      <c r="Z4952" s="2021"/>
      <c r="AA4952" s="2021"/>
      <c r="AB4952" s="1050"/>
      <c r="AC4952" s="1050"/>
      <c r="AD4952" s="1050"/>
      <c r="AE4952" s="1050"/>
      <c r="AF4952" s="1052"/>
    </row>
    <row r="4953" spans="1:32" ht="15.75" x14ac:dyDescent="0.25">
      <c r="A4953" s="2017"/>
      <c r="B4953" s="2018"/>
      <c r="C4953" s="2018"/>
      <c r="D4953" s="2018"/>
      <c r="E4953" s="2018"/>
      <c r="F4953" s="2018"/>
      <c r="G4953" s="2018"/>
      <c r="H4953" s="2018"/>
      <c r="I4953" s="2018"/>
      <c r="J4953" s="2018"/>
      <c r="K4953" s="2018"/>
      <c r="L4953" s="2018"/>
      <c r="M4953" s="2018"/>
      <c r="N4953" s="2018"/>
      <c r="O4953" s="2018"/>
      <c r="P4953" s="2018"/>
      <c r="Q4953" s="2018"/>
      <c r="R4953" s="2018"/>
      <c r="S4953" s="2018"/>
      <c r="T4953" s="2018"/>
      <c r="U4953" s="2018"/>
      <c r="V4953" s="2018"/>
      <c r="W4953" s="2018"/>
      <c r="X4953" s="2018"/>
      <c r="Y4953" s="2018"/>
      <c r="Z4953" s="2021"/>
      <c r="AA4953" s="2021"/>
      <c r="AB4953" s="1050"/>
      <c r="AC4953" s="1050"/>
      <c r="AD4953" s="1050"/>
      <c r="AE4953" s="1050"/>
      <c r="AF4953" s="1052"/>
    </row>
    <row r="4954" spans="1:32" ht="15.75" x14ac:dyDescent="0.25">
      <c r="A4954" s="2017"/>
      <c r="B4954" s="2018"/>
      <c r="C4954" s="2018"/>
      <c r="D4954" s="2018"/>
      <c r="E4954" s="2018"/>
      <c r="F4954" s="2018"/>
      <c r="G4954" s="2018"/>
      <c r="H4954" s="2018"/>
      <c r="I4954" s="2018"/>
      <c r="J4954" s="2018"/>
      <c r="K4954" s="2018"/>
      <c r="L4954" s="2018"/>
      <c r="M4954" s="2018"/>
      <c r="N4954" s="2018"/>
      <c r="O4954" s="2018"/>
      <c r="P4954" s="2018"/>
      <c r="Q4954" s="2018"/>
      <c r="R4954" s="2018"/>
      <c r="S4954" s="2018"/>
      <c r="T4954" s="2018"/>
      <c r="U4954" s="2018"/>
      <c r="V4954" s="2018"/>
      <c r="W4954" s="2018"/>
      <c r="X4954" s="2018"/>
      <c r="Y4954" s="2018"/>
      <c r="Z4954" s="2021"/>
      <c r="AA4954" s="2021"/>
      <c r="AB4954" s="1050"/>
      <c r="AC4954" s="1050"/>
      <c r="AD4954" s="1050"/>
      <c r="AE4954" s="1050"/>
      <c r="AF4954" s="1052"/>
    </row>
    <row r="4955" spans="1:32" ht="15.75" x14ac:dyDescent="0.25">
      <c r="A4955" s="2017"/>
      <c r="B4955" s="2018"/>
      <c r="C4955" s="2018"/>
      <c r="D4955" s="2018"/>
      <c r="E4955" s="2018"/>
      <c r="F4955" s="2018"/>
      <c r="G4955" s="2018"/>
      <c r="H4955" s="2018"/>
      <c r="I4955" s="2018"/>
      <c r="J4955" s="2018"/>
      <c r="K4955" s="2018"/>
      <c r="L4955" s="2018"/>
      <c r="M4955" s="2018"/>
      <c r="N4955" s="2018"/>
      <c r="O4955" s="2018"/>
      <c r="P4955" s="2018"/>
      <c r="Q4955" s="2018"/>
      <c r="R4955" s="2018"/>
      <c r="S4955" s="2018"/>
      <c r="T4955" s="2018"/>
      <c r="U4955" s="2018"/>
      <c r="V4955" s="2018"/>
      <c r="W4955" s="2018"/>
      <c r="X4955" s="2018"/>
      <c r="Y4955" s="2018"/>
      <c r="Z4955" s="2021"/>
      <c r="AA4955" s="2021"/>
      <c r="AB4955" s="1050"/>
      <c r="AC4955" s="1050"/>
      <c r="AD4955" s="1050"/>
      <c r="AE4955" s="1050"/>
      <c r="AF4955" s="1052"/>
    </row>
    <row r="4956" spans="1:32" ht="15.75" x14ac:dyDescent="0.25">
      <c r="A4956" s="2017"/>
      <c r="B4956" s="2018"/>
      <c r="C4956" s="2018"/>
      <c r="D4956" s="2018"/>
      <c r="E4956" s="2018"/>
      <c r="F4956" s="2018"/>
      <c r="G4956" s="2018"/>
      <c r="H4956" s="2018"/>
      <c r="I4956" s="2018"/>
      <c r="J4956" s="2018"/>
      <c r="K4956" s="2018"/>
      <c r="L4956" s="2018"/>
      <c r="M4956" s="2018"/>
      <c r="N4956" s="2018"/>
      <c r="O4956" s="2018"/>
      <c r="P4956" s="2018"/>
      <c r="Q4956" s="2018"/>
      <c r="R4956" s="2018"/>
      <c r="S4956" s="2018"/>
      <c r="T4956" s="2018"/>
      <c r="U4956" s="2018"/>
      <c r="V4956" s="2018"/>
      <c r="W4956" s="2018"/>
      <c r="X4956" s="2018"/>
      <c r="Y4956" s="2018"/>
      <c r="Z4956" s="2021"/>
      <c r="AA4956" s="2021"/>
      <c r="AB4956" s="1050"/>
      <c r="AC4956" s="1050"/>
      <c r="AD4956" s="1050"/>
      <c r="AE4956" s="1050"/>
      <c r="AF4956" s="1052"/>
    </row>
    <row r="4957" spans="1:32" ht="15.75" x14ac:dyDescent="0.25">
      <c r="A4957" s="2017"/>
      <c r="B4957" s="2018"/>
      <c r="C4957" s="2018"/>
      <c r="D4957" s="2018"/>
      <c r="E4957" s="2018"/>
      <c r="F4957" s="2018"/>
      <c r="G4957" s="2018"/>
      <c r="H4957" s="2018"/>
      <c r="I4957" s="2018"/>
      <c r="J4957" s="2018"/>
      <c r="K4957" s="2018"/>
      <c r="L4957" s="2018"/>
      <c r="M4957" s="2018"/>
      <c r="N4957" s="2018"/>
      <c r="O4957" s="2018"/>
      <c r="P4957" s="2018"/>
      <c r="Q4957" s="2018"/>
      <c r="R4957" s="2018"/>
      <c r="S4957" s="2018"/>
      <c r="T4957" s="2018"/>
      <c r="U4957" s="2018"/>
      <c r="V4957" s="2018"/>
      <c r="W4957" s="2018"/>
      <c r="X4957" s="2018"/>
      <c r="Y4957" s="2018"/>
      <c r="Z4957" s="2021"/>
      <c r="AA4957" s="2021"/>
      <c r="AB4957" s="1050"/>
      <c r="AC4957" s="1050"/>
      <c r="AD4957" s="1050"/>
      <c r="AE4957" s="1050"/>
      <c r="AF4957" s="1052"/>
    </row>
    <row r="4958" spans="1:32" ht="15.75" x14ac:dyDescent="0.25">
      <c r="A4958" s="2017"/>
      <c r="B4958" s="2018"/>
      <c r="C4958" s="2018"/>
      <c r="D4958" s="2018"/>
      <c r="E4958" s="2018"/>
      <c r="F4958" s="2018"/>
      <c r="G4958" s="2018"/>
      <c r="H4958" s="2018"/>
      <c r="I4958" s="2018"/>
      <c r="J4958" s="2018"/>
      <c r="K4958" s="2018"/>
      <c r="L4958" s="2018"/>
      <c r="M4958" s="2018"/>
      <c r="N4958" s="2018"/>
      <c r="O4958" s="2018"/>
      <c r="P4958" s="2018"/>
      <c r="Q4958" s="2018"/>
      <c r="R4958" s="2018"/>
      <c r="S4958" s="2018"/>
      <c r="T4958" s="2018"/>
      <c r="U4958" s="2018"/>
      <c r="V4958" s="2018"/>
      <c r="W4958" s="2018"/>
      <c r="X4958" s="2018"/>
      <c r="Y4958" s="2018"/>
      <c r="Z4958" s="2021"/>
      <c r="AA4958" s="2021"/>
      <c r="AB4958" s="1050"/>
      <c r="AC4958" s="1050"/>
      <c r="AD4958" s="1050"/>
      <c r="AE4958" s="1050"/>
      <c r="AF4958" s="1052"/>
    </row>
    <row r="4959" spans="1:32" ht="15.75" x14ac:dyDescent="0.25">
      <c r="A4959" s="2017"/>
      <c r="B4959" s="2018"/>
      <c r="C4959" s="2018"/>
      <c r="D4959" s="2018"/>
      <c r="E4959" s="2018"/>
      <c r="F4959" s="2018"/>
      <c r="G4959" s="2018"/>
      <c r="H4959" s="2018"/>
      <c r="I4959" s="2018"/>
      <c r="J4959" s="2018"/>
      <c r="K4959" s="2018"/>
      <c r="L4959" s="2018"/>
      <c r="M4959" s="2018"/>
      <c r="N4959" s="2018"/>
      <c r="O4959" s="2018"/>
      <c r="P4959" s="2018"/>
      <c r="Q4959" s="2018"/>
      <c r="R4959" s="2018"/>
      <c r="S4959" s="2018"/>
      <c r="T4959" s="2018"/>
      <c r="U4959" s="2018"/>
      <c r="V4959" s="2018"/>
      <c r="W4959" s="2018"/>
      <c r="X4959" s="2018"/>
      <c r="Y4959" s="2018"/>
      <c r="Z4959" s="2022"/>
      <c r="AA4959" s="2022"/>
      <c r="AB4959" s="1050"/>
      <c r="AC4959" s="1050"/>
      <c r="AD4959" s="1050"/>
      <c r="AE4959" s="1050"/>
      <c r="AF4959" s="1052"/>
    </row>
    <row r="4960" spans="1:32" ht="15.75" x14ac:dyDescent="0.25">
      <c r="A4960" s="2017"/>
      <c r="B4960" s="2018"/>
      <c r="C4960" s="2018"/>
      <c r="D4960" s="2018"/>
      <c r="E4960" s="2018"/>
      <c r="F4960" s="2018"/>
      <c r="G4960" s="2018"/>
      <c r="H4960" s="2018"/>
      <c r="I4960" s="2018"/>
      <c r="J4960" s="2018"/>
      <c r="K4960" s="2018"/>
      <c r="L4960" s="2018"/>
      <c r="M4960" s="2018"/>
      <c r="N4960" s="2018"/>
      <c r="O4960" s="2018"/>
      <c r="P4960" s="2018"/>
      <c r="Q4960" s="2018"/>
      <c r="R4960" s="2018"/>
      <c r="S4960" s="2018"/>
      <c r="T4960" s="2018"/>
      <c r="U4960" s="2018"/>
      <c r="V4960" s="2018"/>
      <c r="W4960" s="2018"/>
      <c r="X4960" s="2018"/>
      <c r="Y4960" s="2018"/>
      <c r="Z4960" s="2022"/>
      <c r="AA4960" s="2022"/>
      <c r="AB4960" s="1050"/>
      <c r="AC4960" s="1050"/>
      <c r="AD4960" s="1050"/>
      <c r="AE4960" s="1050"/>
      <c r="AF4960" s="1052"/>
    </row>
    <row r="4961" spans="1:32" ht="15.75" x14ac:dyDescent="0.25">
      <c r="A4961" s="2017"/>
      <c r="B4961" s="2018"/>
      <c r="C4961" s="2018"/>
      <c r="D4961" s="2018"/>
      <c r="E4961" s="2018"/>
      <c r="F4961" s="2018"/>
      <c r="G4961" s="2018"/>
      <c r="H4961" s="2018"/>
      <c r="I4961" s="2018"/>
      <c r="J4961" s="2018"/>
      <c r="K4961" s="2018"/>
      <c r="L4961" s="2018"/>
      <c r="M4961" s="2018"/>
      <c r="N4961" s="2018"/>
      <c r="O4961" s="2018"/>
      <c r="P4961" s="2018"/>
      <c r="Q4961" s="2018"/>
      <c r="R4961" s="2018"/>
      <c r="S4961" s="2018"/>
      <c r="T4961" s="2018"/>
      <c r="U4961" s="2018"/>
      <c r="V4961" s="2018"/>
      <c r="W4961" s="2018"/>
      <c r="X4961" s="2018"/>
      <c r="Y4961" s="2018"/>
      <c r="Z4961" s="2022"/>
      <c r="AA4961" s="2022"/>
      <c r="AB4961" s="1050"/>
      <c r="AC4961" s="1050"/>
      <c r="AD4961" s="1050"/>
      <c r="AE4961" s="1050"/>
      <c r="AF4961" s="1052"/>
    </row>
    <row r="4962" spans="1:32" ht="15.75" x14ac:dyDescent="0.25">
      <c r="A4962" s="2017"/>
      <c r="B4962" s="2018"/>
      <c r="C4962" s="2018"/>
      <c r="D4962" s="2018"/>
      <c r="E4962" s="2018"/>
      <c r="F4962" s="2018"/>
      <c r="G4962" s="2018"/>
      <c r="H4962" s="2018"/>
      <c r="I4962" s="2018"/>
      <c r="J4962" s="2018"/>
      <c r="K4962" s="2018"/>
      <c r="L4962" s="2018"/>
      <c r="M4962" s="2018"/>
      <c r="N4962" s="2018"/>
      <c r="O4962" s="2018"/>
      <c r="P4962" s="2018"/>
      <c r="Q4962" s="2018"/>
      <c r="R4962" s="2018"/>
      <c r="S4962" s="2018"/>
      <c r="T4962" s="2018"/>
      <c r="U4962" s="2018"/>
      <c r="V4962" s="2018"/>
      <c r="W4962" s="2018"/>
      <c r="X4962" s="2018"/>
      <c r="Y4962" s="2018"/>
      <c r="Z4962" s="2023"/>
      <c r="AA4962" s="2023"/>
      <c r="AB4962" s="1050"/>
      <c r="AC4962" s="1050"/>
      <c r="AD4962" s="1050"/>
      <c r="AE4962" s="1050"/>
      <c r="AF4962" s="1052"/>
    </row>
    <row r="4963" spans="1:32" ht="15.75" x14ac:dyDescent="0.25">
      <c r="A4963" s="2017"/>
      <c r="B4963" s="2018"/>
      <c r="C4963" s="2018"/>
      <c r="D4963" s="2018"/>
      <c r="E4963" s="2018"/>
      <c r="F4963" s="2018"/>
      <c r="G4963" s="2018"/>
      <c r="H4963" s="2018"/>
      <c r="I4963" s="2018"/>
      <c r="J4963" s="2018"/>
      <c r="K4963" s="2018"/>
      <c r="L4963" s="2018"/>
      <c r="M4963" s="2018"/>
      <c r="N4963" s="2018"/>
      <c r="O4963" s="2018"/>
      <c r="P4963" s="2018"/>
      <c r="Q4963" s="2018"/>
      <c r="R4963" s="2018"/>
      <c r="S4963" s="2018"/>
      <c r="T4963" s="2018"/>
      <c r="U4963" s="2018"/>
      <c r="V4963" s="2018"/>
      <c r="W4963" s="2018"/>
      <c r="X4963" s="2018"/>
      <c r="Y4963" s="2018"/>
      <c r="Z4963" s="2023"/>
      <c r="AA4963" s="2023"/>
      <c r="AB4963" s="1050"/>
      <c r="AC4963" s="1050"/>
      <c r="AD4963" s="1050"/>
      <c r="AE4963" s="1050"/>
      <c r="AF4963" s="1052"/>
    </row>
    <row r="4964" spans="1:32" ht="15.75" x14ac:dyDescent="0.25">
      <c r="A4964" s="2017"/>
      <c r="B4964" s="2018"/>
      <c r="C4964" s="2018"/>
      <c r="D4964" s="2018"/>
      <c r="E4964" s="2018"/>
      <c r="F4964" s="2018"/>
      <c r="G4964" s="2018"/>
      <c r="H4964" s="2018"/>
      <c r="I4964" s="2018"/>
      <c r="J4964" s="2018"/>
      <c r="K4964" s="2018"/>
      <c r="L4964" s="2018"/>
      <c r="M4964" s="2018"/>
      <c r="N4964" s="2018"/>
      <c r="O4964" s="2018"/>
      <c r="P4964" s="2018"/>
      <c r="Q4964" s="2018"/>
      <c r="R4964" s="2018"/>
      <c r="S4964" s="2018"/>
      <c r="T4964" s="2018"/>
      <c r="U4964" s="2018"/>
      <c r="V4964" s="2018"/>
      <c r="W4964" s="2018"/>
      <c r="X4964" s="2018"/>
      <c r="Y4964" s="2018"/>
      <c r="Z4964" s="2023"/>
      <c r="AA4964" s="2023"/>
      <c r="AB4964" s="1050"/>
      <c r="AC4964" s="1050"/>
      <c r="AD4964" s="1050"/>
      <c r="AE4964" s="1050"/>
      <c r="AF4964" s="1052"/>
    </row>
    <row r="4965" spans="1:32" ht="15.75" x14ac:dyDescent="0.25">
      <c r="A4965" s="2017"/>
      <c r="B4965" s="2018"/>
      <c r="C4965" s="2018"/>
      <c r="D4965" s="2018"/>
      <c r="E4965" s="2018"/>
      <c r="F4965" s="2018"/>
      <c r="G4965" s="2018"/>
      <c r="H4965" s="2018"/>
      <c r="I4965" s="2018"/>
      <c r="J4965" s="2018"/>
      <c r="K4965" s="2018"/>
      <c r="L4965" s="2018"/>
      <c r="M4965" s="2018"/>
      <c r="N4965" s="2018"/>
      <c r="O4965" s="2018"/>
      <c r="P4965" s="2018"/>
      <c r="Q4965" s="2018"/>
      <c r="R4965" s="2018"/>
      <c r="S4965" s="2018"/>
      <c r="T4965" s="2018"/>
      <c r="U4965" s="2018"/>
      <c r="V4965" s="2018"/>
      <c r="W4965" s="2018"/>
      <c r="X4965" s="2018"/>
      <c r="Y4965" s="2018"/>
      <c r="Z4965" s="2023"/>
      <c r="AA4965" s="2023"/>
      <c r="AB4965" s="1050"/>
      <c r="AC4965" s="1050"/>
      <c r="AD4965" s="1050"/>
      <c r="AE4965" s="1050"/>
      <c r="AF4965" s="1052"/>
    </row>
    <row r="4966" spans="1:32" ht="15.75" x14ac:dyDescent="0.25">
      <c r="A4966" s="2017"/>
      <c r="B4966" s="2018"/>
      <c r="C4966" s="2018"/>
      <c r="D4966" s="2018"/>
      <c r="E4966" s="2018"/>
      <c r="F4966" s="2018"/>
      <c r="G4966" s="2018"/>
      <c r="H4966" s="2018"/>
      <c r="I4966" s="2018"/>
      <c r="J4966" s="2018"/>
      <c r="K4966" s="2018"/>
      <c r="L4966" s="2018"/>
      <c r="M4966" s="2018"/>
      <c r="N4966" s="2018"/>
      <c r="O4966" s="2018"/>
      <c r="P4966" s="2018"/>
      <c r="Q4966" s="2018"/>
      <c r="R4966" s="2018"/>
      <c r="S4966" s="2018"/>
      <c r="T4966" s="2018"/>
      <c r="U4966" s="2018"/>
      <c r="V4966" s="2018"/>
      <c r="W4966" s="2018"/>
      <c r="X4966" s="2018"/>
      <c r="Y4966" s="2018"/>
      <c r="Z4966" s="2023"/>
      <c r="AA4966" s="2023"/>
      <c r="AB4966" s="1050"/>
      <c r="AC4966" s="1050"/>
      <c r="AD4966" s="1050"/>
      <c r="AE4966" s="1050"/>
      <c r="AF4966" s="1052"/>
    </row>
    <row r="4967" spans="1:32" ht="15.75" x14ac:dyDescent="0.25">
      <c r="A4967" s="2017"/>
      <c r="B4967" s="2018"/>
      <c r="C4967" s="2018"/>
      <c r="D4967" s="2018"/>
      <c r="E4967" s="2018"/>
      <c r="F4967" s="2018"/>
      <c r="G4967" s="2018"/>
      <c r="H4967" s="2018"/>
      <c r="I4967" s="2018"/>
      <c r="J4967" s="2018"/>
      <c r="K4967" s="2018"/>
      <c r="L4967" s="2018"/>
      <c r="M4967" s="2018"/>
      <c r="N4967" s="2018"/>
      <c r="O4967" s="2018"/>
      <c r="P4967" s="2018"/>
      <c r="Q4967" s="2018"/>
      <c r="R4967" s="2018"/>
      <c r="S4967" s="2018"/>
      <c r="T4967" s="2018"/>
      <c r="U4967" s="2018"/>
      <c r="V4967" s="2018"/>
      <c r="W4967" s="2018"/>
      <c r="X4967" s="2018"/>
      <c r="Y4967" s="2018"/>
      <c r="Z4967" s="2023"/>
      <c r="AA4967" s="2023"/>
      <c r="AB4967" s="1050"/>
      <c r="AC4967" s="1050"/>
      <c r="AD4967" s="1050"/>
      <c r="AE4967" s="1050"/>
      <c r="AF4967" s="1052"/>
    </row>
    <row r="4968" spans="1:32" ht="16.5" thickBot="1" x14ac:dyDescent="0.3">
      <c r="A4968" s="2019"/>
      <c r="B4968" s="2020"/>
      <c r="C4968" s="2020"/>
      <c r="D4968" s="2020"/>
      <c r="E4968" s="2020"/>
      <c r="F4968" s="2020"/>
      <c r="G4968" s="2020"/>
      <c r="H4968" s="2020"/>
      <c r="I4968" s="2020"/>
      <c r="J4968" s="2020"/>
      <c r="K4968" s="2020"/>
      <c r="L4968" s="2020"/>
      <c r="M4968" s="2020"/>
      <c r="N4968" s="2020"/>
      <c r="O4968" s="2020"/>
      <c r="P4968" s="2020"/>
      <c r="Q4968" s="2020"/>
      <c r="R4968" s="2020"/>
      <c r="S4968" s="2020"/>
      <c r="T4968" s="2020"/>
      <c r="U4968" s="2020"/>
      <c r="V4968" s="2020"/>
      <c r="W4968" s="2020"/>
      <c r="X4968" s="2020"/>
      <c r="Y4968" s="2020"/>
      <c r="Z4968" s="2024"/>
      <c r="AA4968" s="2024"/>
      <c r="AB4968" s="1057"/>
      <c r="AC4968" s="1057"/>
      <c r="AD4968" s="1057"/>
      <c r="AE4968" s="1057"/>
      <c r="AF4968" s="1058"/>
    </row>
    <row r="4969" spans="1:32" ht="15.75" x14ac:dyDescent="0.25">
      <c r="A4969" s="2009" t="s">
        <v>1855</v>
      </c>
      <c r="B4969" s="2010"/>
      <c r="C4969" s="2010"/>
      <c r="D4969" s="2010"/>
      <c r="E4969" s="2010"/>
      <c r="F4969" s="2010"/>
      <c r="G4969" s="2010"/>
      <c r="H4969" s="2010"/>
      <c r="I4969" s="2010"/>
      <c r="J4969" s="2010"/>
      <c r="K4969" s="2010"/>
      <c r="L4969" s="2010"/>
      <c r="M4969" s="2010"/>
      <c r="N4969" s="2010"/>
      <c r="O4969" s="2010"/>
      <c r="P4969" s="2010"/>
      <c r="Q4969" s="2010"/>
      <c r="R4969" s="2010"/>
      <c r="S4969" s="2010"/>
      <c r="T4969" s="2010"/>
      <c r="U4969" s="2010"/>
      <c r="V4969" s="2010"/>
      <c r="W4969" s="2010"/>
      <c r="X4969" s="2010"/>
      <c r="Y4969" s="2010"/>
      <c r="Z4969" s="2013" t="s">
        <v>1850</v>
      </c>
      <c r="AA4969" s="2013"/>
      <c r="AB4969" s="2013"/>
      <c r="AC4969" s="2013"/>
      <c r="AD4969" s="2013"/>
      <c r="AE4969" s="2013"/>
      <c r="AF4969" s="1059">
        <f>SUM(AF4945:AF4968)</f>
        <v>56.289999999999992</v>
      </c>
    </row>
    <row r="4970" spans="1:32" ht="15.75" x14ac:dyDescent="0.25">
      <c r="A4970" s="2011"/>
      <c r="B4970" s="2012"/>
      <c r="C4970" s="2012"/>
      <c r="D4970" s="2012"/>
      <c r="E4970" s="2012"/>
      <c r="F4970" s="2012"/>
      <c r="G4970" s="2012"/>
      <c r="H4970" s="2012"/>
      <c r="I4970" s="2012"/>
      <c r="J4970" s="2012"/>
      <c r="K4970" s="2012"/>
      <c r="L4970" s="2012"/>
      <c r="M4970" s="2012"/>
      <c r="N4970" s="2012"/>
      <c r="O4970" s="2012"/>
      <c r="P4970" s="2012"/>
      <c r="Q4970" s="2012"/>
      <c r="R4970" s="2012"/>
      <c r="S4970" s="2012"/>
      <c r="T4970" s="2012"/>
      <c r="U4970" s="2012"/>
      <c r="V4970" s="2012"/>
      <c r="W4970" s="2012"/>
      <c r="X4970" s="2012"/>
      <c r="Y4970" s="2012"/>
      <c r="Z4970" s="2014" t="s">
        <v>1851</v>
      </c>
      <c r="AA4970" s="2014"/>
      <c r="AB4970" s="2014"/>
      <c r="AC4970" s="2014"/>
      <c r="AD4970" s="2014"/>
      <c r="AE4970" s="2014"/>
      <c r="AF4970" s="1060">
        <v>0</v>
      </c>
    </row>
    <row r="4971" spans="1:32" ht="15.75" x14ac:dyDescent="0.25">
      <c r="A4971" s="2011"/>
      <c r="B4971" s="2012"/>
      <c r="C4971" s="2012"/>
      <c r="D4971" s="2012"/>
      <c r="E4971" s="2012"/>
      <c r="F4971" s="2012"/>
      <c r="G4971" s="2012"/>
      <c r="H4971" s="2012"/>
      <c r="I4971" s="2012"/>
      <c r="J4971" s="2012"/>
      <c r="K4971" s="2012"/>
      <c r="L4971" s="2012"/>
      <c r="M4971" s="2012"/>
      <c r="N4971" s="2012"/>
      <c r="O4971" s="2012"/>
      <c r="P4971" s="2012"/>
      <c r="Q4971" s="2012"/>
      <c r="R4971" s="2012"/>
      <c r="S4971" s="2012"/>
      <c r="T4971" s="2012"/>
      <c r="U4971" s="2012"/>
      <c r="V4971" s="2012"/>
      <c r="W4971" s="2012"/>
      <c r="X4971" s="2012"/>
      <c r="Y4971" s="2012"/>
      <c r="Z4971" s="2015" t="s">
        <v>1833</v>
      </c>
      <c r="AA4971" s="2015"/>
      <c r="AB4971" s="2015"/>
      <c r="AC4971" s="2015"/>
      <c r="AD4971" s="2015"/>
      <c r="AE4971" s="2015"/>
      <c r="AF4971" s="1061">
        <f>SUM(AF4969:AF4970)</f>
        <v>56.289999999999992</v>
      </c>
    </row>
    <row r="4972" spans="1:32" x14ac:dyDescent="0.2">
      <c r="A4972" s="2012" t="s">
        <v>1859</v>
      </c>
      <c r="B4972" s="2012"/>
      <c r="C4972" s="2012"/>
      <c r="D4972" s="2012"/>
      <c r="E4972" s="2012"/>
      <c r="F4972" s="2012"/>
      <c r="G4972" s="2012"/>
      <c r="H4972" s="2012"/>
      <c r="I4972" s="2012"/>
      <c r="J4972" s="2012"/>
      <c r="K4972" s="2012"/>
      <c r="L4972" s="2012"/>
      <c r="M4972" s="2012"/>
      <c r="N4972" s="2012"/>
      <c r="O4972" s="2012"/>
      <c r="P4972" s="2012"/>
      <c r="Q4972" s="2012"/>
      <c r="R4972" s="2012"/>
      <c r="S4972" s="2012"/>
      <c r="T4972" s="2016" t="s">
        <v>1840</v>
      </c>
      <c r="U4972" s="2016"/>
      <c r="V4972" s="2016"/>
      <c r="W4972" s="2016"/>
      <c r="X4972" s="2016"/>
      <c r="Y4972" s="2016"/>
      <c r="Z4972" s="2016"/>
      <c r="AA4972" s="2016"/>
      <c r="AB4972" s="2012" t="s">
        <v>1852</v>
      </c>
      <c r="AC4972" s="2012"/>
      <c r="AD4972" s="2012"/>
      <c r="AE4972" s="2012"/>
      <c r="AF4972" s="2012"/>
    </row>
    <row r="4973" spans="1:32" x14ac:dyDescent="0.2">
      <c r="A4973" s="2012"/>
      <c r="B4973" s="2012"/>
      <c r="C4973" s="2012"/>
      <c r="D4973" s="2012"/>
      <c r="E4973" s="2012"/>
      <c r="F4973" s="2012"/>
      <c r="G4973" s="2012"/>
      <c r="H4973" s="2012"/>
      <c r="I4973" s="2012"/>
      <c r="J4973" s="2012"/>
      <c r="K4973" s="2012"/>
      <c r="L4973" s="2012"/>
      <c r="M4973" s="2012"/>
      <c r="N4973" s="2012"/>
      <c r="O4973" s="2012"/>
      <c r="P4973" s="2012"/>
      <c r="Q4973" s="2012"/>
      <c r="R4973" s="2012"/>
      <c r="S4973" s="2012"/>
      <c r="T4973" s="2016"/>
      <c r="U4973" s="2016"/>
      <c r="V4973" s="2016"/>
      <c r="W4973" s="2016"/>
      <c r="X4973" s="2016"/>
      <c r="Y4973" s="2016"/>
      <c r="Z4973" s="2016"/>
      <c r="AA4973" s="2016"/>
      <c r="AB4973" s="2012"/>
      <c r="AC4973" s="2012"/>
      <c r="AD4973" s="2012"/>
      <c r="AE4973" s="2012"/>
      <c r="AF4973" s="2012"/>
    </row>
    <row r="4974" spans="1:32" ht="13.5" thickBot="1" x14ac:dyDescent="0.25"/>
    <row r="4975" spans="1:32" ht="22.9" customHeight="1" x14ac:dyDescent="0.2">
      <c r="A4975" s="2025" t="s">
        <v>1854</v>
      </c>
      <c r="B4975" s="2026"/>
      <c r="C4975" s="2026"/>
      <c r="D4975" s="2026"/>
      <c r="E4975" s="2026"/>
      <c r="F4975" s="2026"/>
      <c r="G4975" s="2026"/>
      <c r="H4975" s="2026"/>
      <c r="I4975" s="2026"/>
      <c r="J4975" s="2026"/>
      <c r="K4975" s="2026"/>
      <c r="L4975" s="2026"/>
      <c r="M4975" s="2026"/>
      <c r="N4975" s="2026"/>
      <c r="O4975" s="2026"/>
      <c r="P4975" s="2026"/>
      <c r="Q4975" s="2026"/>
      <c r="R4975" s="2026"/>
      <c r="S4975" s="2026"/>
      <c r="T4975" s="2026"/>
      <c r="U4975" s="2026"/>
      <c r="V4975" s="2026"/>
      <c r="W4975" s="2026"/>
      <c r="X4975" s="2026"/>
      <c r="Y4975" s="2026"/>
      <c r="Z4975" s="2026"/>
      <c r="AA4975" s="2026"/>
      <c r="AB4975" s="2026"/>
      <c r="AC4975" s="2026"/>
      <c r="AD4975" s="2026"/>
      <c r="AE4975" s="1041" t="s">
        <v>1834</v>
      </c>
      <c r="AF4975" s="1042" t="s">
        <v>1835</v>
      </c>
    </row>
    <row r="4976" spans="1:32" ht="25.15" customHeight="1" thickBot="1" x14ac:dyDescent="0.25">
      <c r="A4976" s="2027"/>
      <c r="B4976" s="2028"/>
      <c r="C4976" s="2028"/>
      <c r="D4976" s="2028"/>
      <c r="E4976" s="2028"/>
      <c r="F4976" s="2028"/>
      <c r="G4976" s="2028"/>
      <c r="H4976" s="2028"/>
      <c r="I4976" s="2028"/>
      <c r="J4976" s="2028"/>
      <c r="K4976" s="2028"/>
      <c r="L4976" s="2028"/>
      <c r="M4976" s="2028"/>
      <c r="N4976" s="2028"/>
      <c r="O4976" s="2028"/>
      <c r="P4976" s="2028"/>
      <c r="Q4976" s="2028"/>
      <c r="R4976" s="2028"/>
      <c r="S4976" s="2028"/>
      <c r="T4976" s="2028"/>
      <c r="U4976" s="2028"/>
      <c r="V4976" s="2028"/>
      <c r="W4976" s="2028"/>
      <c r="X4976" s="2028"/>
      <c r="Y4976" s="2028"/>
      <c r="Z4976" s="2028"/>
      <c r="AA4976" s="2028"/>
      <c r="AB4976" s="2028"/>
      <c r="AC4976" s="2028"/>
      <c r="AD4976" s="2028"/>
      <c r="AE4976" s="1041" t="s">
        <v>1836</v>
      </c>
      <c r="AF4976" s="1044">
        <v>1</v>
      </c>
    </row>
    <row r="4977" spans="1:34" ht="15.75" x14ac:dyDescent="0.2">
      <c r="A4977" s="2029"/>
      <c r="B4977" s="2030"/>
      <c r="C4977" s="2030"/>
      <c r="D4977" s="2031"/>
      <c r="E4977" s="2025" t="str">
        <f>'01'!$A$12</f>
        <v>"CONSTRUCCION SISTEMA DE ACUEDUCTO FASE II DEL MUNICIPIO DE TESALIA DPTO DEL HUILA"</v>
      </c>
      <c r="F4977" s="2026"/>
      <c r="G4977" s="2026"/>
      <c r="H4977" s="2026"/>
      <c r="I4977" s="2026"/>
      <c r="J4977" s="2026"/>
      <c r="K4977" s="2026"/>
      <c r="L4977" s="2026"/>
      <c r="M4977" s="2026"/>
      <c r="N4977" s="2026"/>
      <c r="O4977" s="2026"/>
      <c r="P4977" s="2026"/>
      <c r="Q4977" s="2026"/>
      <c r="R4977" s="2026"/>
      <c r="S4977" s="2026"/>
      <c r="T4977" s="2026"/>
      <c r="U4977" s="2026"/>
      <c r="V4977" s="2026"/>
      <c r="W4977" s="2026"/>
      <c r="X4977" s="2026"/>
      <c r="Y4977" s="2026"/>
      <c r="Z4977" s="2026"/>
      <c r="AA4977" s="2026"/>
      <c r="AB4977" s="2026"/>
      <c r="AC4977" s="2026"/>
      <c r="AD4977" s="2035"/>
      <c r="AE4977" s="1041" t="s">
        <v>847</v>
      </c>
      <c r="AF4977" s="1045">
        <f>'01'!$M$13</f>
        <v>0</v>
      </c>
    </row>
    <row r="4978" spans="1:34" ht="16.5" thickBot="1" x14ac:dyDescent="0.25">
      <c r="A4978" s="2032"/>
      <c r="B4978" s="2033"/>
      <c r="C4978" s="2033"/>
      <c r="D4978" s="2034"/>
      <c r="E4978" s="2027"/>
      <c r="F4978" s="2028"/>
      <c r="G4978" s="2028"/>
      <c r="H4978" s="2028"/>
      <c r="I4978" s="2028"/>
      <c r="J4978" s="2028"/>
      <c r="K4978" s="2028"/>
      <c r="L4978" s="2028"/>
      <c r="M4978" s="2028"/>
      <c r="N4978" s="2028"/>
      <c r="O4978" s="2028"/>
      <c r="P4978" s="2028"/>
      <c r="Q4978" s="2028"/>
      <c r="R4978" s="2028"/>
      <c r="S4978" s="2028"/>
      <c r="T4978" s="2028"/>
      <c r="U4978" s="2028"/>
      <c r="V4978" s="2028"/>
      <c r="W4978" s="2028"/>
      <c r="X4978" s="2028"/>
      <c r="Y4978" s="2028"/>
      <c r="Z4978" s="2028"/>
      <c r="AA4978" s="2028"/>
      <c r="AB4978" s="2028"/>
      <c r="AC4978" s="2028"/>
      <c r="AD4978" s="2036"/>
      <c r="AE4978" s="1041" t="s">
        <v>1837</v>
      </c>
      <c r="AF4978" s="1042" t="s">
        <v>1838</v>
      </c>
    </row>
    <row r="4979" spans="1:34" ht="15.75" x14ac:dyDescent="0.25">
      <c r="A4979" s="2037" t="s">
        <v>1860</v>
      </c>
      <c r="B4979" s="2038"/>
      <c r="C4979" s="2038"/>
      <c r="D4979" s="2038"/>
      <c r="E4979" s="2038"/>
      <c r="F4979" s="2038"/>
      <c r="G4979" s="2038"/>
      <c r="H4979" s="2038"/>
      <c r="I4979" s="2038"/>
      <c r="J4979" s="2038"/>
      <c r="K4979" s="2038"/>
      <c r="L4979" s="2038"/>
      <c r="M4979" s="2038"/>
      <c r="N4979" s="2038"/>
      <c r="O4979" s="2038"/>
      <c r="P4979" s="2038"/>
      <c r="Q4979" s="2038"/>
      <c r="R4979" s="2038"/>
      <c r="S4979" s="2038"/>
      <c r="T4979" s="2038"/>
      <c r="U4979" s="2038"/>
      <c r="V4979" s="2038"/>
      <c r="W4979" s="2038"/>
      <c r="X4979" s="2038"/>
      <c r="Y4979" s="2038"/>
      <c r="Z4979" s="2038"/>
      <c r="AA4979" s="2038"/>
      <c r="AB4979" s="2038"/>
      <c r="AC4979" s="2038"/>
      <c r="AD4979" s="2038"/>
      <c r="AE4979" s="2039" t="s">
        <v>1839</v>
      </c>
      <c r="AF4979" s="2040"/>
    </row>
    <row r="4980" spans="1:34" ht="15.75" x14ac:dyDescent="0.25">
      <c r="A4980" s="2041" t="s">
        <v>1840</v>
      </c>
      <c r="B4980" s="2042"/>
      <c r="C4980" s="2042"/>
      <c r="D4980" s="2042"/>
      <c r="E4980" s="2042"/>
      <c r="F4980" s="2042"/>
      <c r="G4980" s="2042"/>
      <c r="H4980" s="2042"/>
      <c r="I4980" s="2042"/>
      <c r="J4980" s="2042"/>
      <c r="K4980" s="2042"/>
      <c r="L4980" s="2042"/>
      <c r="M4980" s="2042"/>
      <c r="N4980" s="2042"/>
      <c r="O4980" s="2042"/>
      <c r="P4980" s="2042"/>
      <c r="Q4980" s="2042"/>
      <c r="R4980" s="2042"/>
      <c r="S4980" s="2042"/>
      <c r="T4980" s="2042"/>
      <c r="U4980" s="2042"/>
      <c r="V4980" s="2042"/>
      <c r="W4980" s="2042"/>
      <c r="X4980" s="2042"/>
      <c r="Y4980" s="2042"/>
      <c r="Z4980" s="2042"/>
      <c r="AA4980" s="2042"/>
      <c r="AB4980" s="2042"/>
      <c r="AC4980" s="2042"/>
      <c r="AD4980" s="2043"/>
      <c r="AE4980" s="2014" t="s">
        <v>1841</v>
      </c>
      <c r="AF4980" s="2044"/>
    </row>
    <row r="4981" spans="1:34" ht="15.75" x14ac:dyDescent="0.25">
      <c r="A4981" s="2045" t="s">
        <v>1853</v>
      </c>
      <c r="B4981" s="2046"/>
      <c r="C4981" s="2046"/>
      <c r="D4981" s="2046"/>
      <c r="E4981" s="2046"/>
      <c r="F4981" s="2046"/>
      <c r="G4981" s="2046"/>
      <c r="H4981" s="2046"/>
      <c r="I4981" s="2046"/>
      <c r="J4981" s="2046"/>
      <c r="K4981" s="2046"/>
      <c r="L4981" s="2046"/>
      <c r="M4981" s="2046"/>
      <c r="N4981" s="2046"/>
      <c r="O4981" s="2046"/>
      <c r="P4981" s="2046"/>
      <c r="Q4981" s="2046"/>
      <c r="R4981" s="2046"/>
      <c r="S4981" s="2046"/>
      <c r="T4981" s="2046"/>
      <c r="U4981" s="2046"/>
      <c r="V4981" s="2046"/>
      <c r="W4981" s="2046"/>
      <c r="X4981" s="2046"/>
      <c r="Y4981" s="2046"/>
      <c r="Z4981" s="2046"/>
      <c r="AA4981" s="2046"/>
      <c r="AB4981" s="2046"/>
      <c r="AC4981" s="2046"/>
      <c r="AD4981" s="2046"/>
      <c r="AE4981" s="2047">
        <f>'01'!$M$13</f>
        <v>0</v>
      </c>
      <c r="AF4981" s="2044"/>
    </row>
    <row r="4983" spans="1:34" ht="30" customHeight="1" x14ac:dyDescent="0.2">
      <c r="A4983" s="2048" t="s">
        <v>1842</v>
      </c>
      <c r="B4983" s="2049"/>
      <c r="C4983" s="2049"/>
      <c r="D4983" s="2049"/>
      <c r="E4983" s="2049"/>
      <c r="F4983" s="2050" t="str">
        <f>+'01'!$H$201</f>
        <v>H - TANQUE DE ALMACENAMIENTO</v>
      </c>
      <c r="G4983" s="2049"/>
      <c r="H4983" s="2049"/>
      <c r="I4983" s="2049"/>
      <c r="J4983" s="2049"/>
      <c r="K4983" s="2049"/>
      <c r="L4983" s="2049"/>
      <c r="M4983" s="2049"/>
      <c r="N4983" s="2049"/>
      <c r="O4983" s="2049"/>
      <c r="P4983" s="2049"/>
      <c r="Q4983" s="2049"/>
      <c r="R4983" s="2049"/>
      <c r="S4983" s="2049"/>
      <c r="T4983" s="2049"/>
      <c r="U4983" s="2049"/>
      <c r="V4983" s="2049"/>
      <c r="W4983" s="2049"/>
      <c r="X4983" s="2049"/>
      <c r="Y4983" s="2051"/>
      <c r="Z4983" s="2052" t="s">
        <v>1843</v>
      </c>
      <c r="AA4983" s="2053"/>
      <c r="AB4983" s="2058" t="s">
        <v>1844</v>
      </c>
      <c r="AC4983" s="2059"/>
      <c r="AD4983" s="2060"/>
      <c r="AE4983" s="2064" t="s">
        <v>1845</v>
      </c>
      <c r="AF4983" s="2067" t="s">
        <v>1846</v>
      </c>
    </row>
    <row r="4984" spans="1:34" x14ac:dyDescent="0.2">
      <c r="A4984" s="2070" t="str">
        <f>+'01'!A209</f>
        <v>H-03-02</v>
      </c>
      <c r="B4984" s="2071"/>
      <c r="C4984" s="2072"/>
      <c r="D4984" s="2076" t="str">
        <f>VLOOKUP(A4984,'01'!$A$12:$N$299,3,FALSE)</f>
        <v>RELLENO CON MATERIAL SELECCIONADO DE LA EXCAVACIÓN, COMPACTADO CON EQUIPO MECÁNICO EN CAPAS DE 0,20 m</v>
      </c>
      <c r="E4984" s="2077"/>
      <c r="F4984" s="2077"/>
      <c r="G4984" s="2077"/>
      <c r="H4984" s="2077"/>
      <c r="I4984" s="2077"/>
      <c r="J4984" s="2077"/>
      <c r="K4984" s="2077"/>
      <c r="L4984" s="2077"/>
      <c r="M4984" s="2077"/>
      <c r="N4984" s="2077"/>
      <c r="O4984" s="2077"/>
      <c r="P4984" s="2077"/>
      <c r="Q4984" s="2077"/>
      <c r="R4984" s="2077"/>
      <c r="S4984" s="2078"/>
      <c r="T4984" s="2082" t="s">
        <v>124</v>
      </c>
      <c r="U4984" s="2083"/>
      <c r="V4984" s="2083"/>
      <c r="W4984" s="2083"/>
      <c r="X4984" s="2052" t="str">
        <f>VLOOKUP(A4984,'01'!$A$12:$N$299,9,FALSE)</f>
        <v>M3</v>
      </c>
      <c r="Y4984" s="2053"/>
      <c r="Z4984" s="2054"/>
      <c r="AA4984" s="2055"/>
      <c r="AB4984" s="2061"/>
      <c r="AC4984" s="2062"/>
      <c r="AD4984" s="2063"/>
      <c r="AE4984" s="2065"/>
      <c r="AF4984" s="2068"/>
    </row>
    <row r="4985" spans="1:34" ht="15.75" x14ac:dyDescent="0.25">
      <c r="A4985" s="2073"/>
      <c r="B4985" s="2074"/>
      <c r="C4985" s="2075"/>
      <c r="D4985" s="2079"/>
      <c r="E4985" s="2080"/>
      <c r="F4985" s="2080"/>
      <c r="G4985" s="2080"/>
      <c r="H4985" s="2080"/>
      <c r="I4985" s="2080"/>
      <c r="J4985" s="2080"/>
      <c r="K4985" s="2080"/>
      <c r="L4985" s="2080"/>
      <c r="M4985" s="2080"/>
      <c r="N4985" s="2080"/>
      <c r="O4985" s="2080"/>
      <c r="P4985" s="2080"/>
      <c r="Q4985" s="2080"/>
      <c r="R4985" s="2080"/>
      <c r="S4985" s="2081"/>
      <c r="T4985" s="2084"/>
      <c r="U4985" s="2085"/>
      <c r="V4985" s="2085"/>
      <c r="W4985" s="2085"/>
      <c r="X4985" s="2056"/>
      <c r="Y4985" s="2057"/>
      <c r="Z4985" s="2056"/>
      <c r="AA4985" s="2057"/>
      <c r="AB4985" s="1049" t="s">
        <v>2417</v>
      </c>
      <c r="AC4985" s="1049" t="s">
        <v>2418</v>
      </c>
      <c r="AD4985" s="1049" t="s">
        <v>2419</v>
      </c>
      <c r="AE4985" s="2066"/>
      <c r="AF4985" s="2069"/>
    </row>
    <row r="4986" spans="1:34" ht="15.6" customHeight="1" x14ac:dyDescent="0.25">
      <c r="A4986" s="2017"/>
      <c r="B4986" s="2018"/>
      <c r="C4986" s="2018"/>
      <c r="D4986" s="2018"/>
      <c r="E4986" s="2018"/>
      <c r="F4986" s="2018"/>
      <c r="G4986" s="2018"/>
      <c r="H4986" s="2018"/>
      <c r="I4986" s="2018"/>
      <c r="J4986" s="2018"/>
      <c r="K4986" s="2018"/>
      <c r="L4986" s="2018"/>
      <c r="M4986" s="2018"/>
      <c r="N4986" s="2018"/>
      <c r="O4986" s="2018"/>
      <c r="P4986" s="2018"/>
      <c r="Q4986" s="2018"/>
      <c r="R4986" s="2018"/>
      <c r="S4986" s="2018"/>
      <c r="T4986" s="2018"/>
      <c r="U4986" s="2018"/>
      <c r="V4986" s="2018"/>
      <c r="W4986" s="2018"/>
      <c r="X4986" s="2018"/>
      <c r="Y4986" s="2094"/>
      <c r="Z4986" s="2021" t="s">
        <v>2521</v>
      </c>
      <c r="AA4986" s="2021"/>
      <c r="AB4986" s="1050">
        <f>+AF4904</f>
        <v>1146.5999999999999</v>
      </c>
      <c r="AC4986" s="1050">
        <f>+AF4945+AF5099</f>
        <v>66.399999999999991</v>
      </c>
      <c r="AD4986" s="1050">
        <f>+AB4945*AC4945*3.95*AE4945</f>
        <v>1049.1990000000001</v>
      </c>
      <c r="AE4986" s="1051">
        <v>1</v>
      </c>
      <c r="AF4986" s="1052">
        <f>+ROUND(AB4986-AC4986-AD4986,2)</f>
        <v>31</v>
      </c>
      <c r="AH4986" s="1174"/>
    </row>
    <row r="4987" spans="1:34" ht="15.6" customHeight="1" x14ac:dyDescent="0.25">
      <c r="A4987" s="2017"/>
      <c r="B4987" s="2018"/>
      <c r="C4987" s="2018"/>
      <c r="D4987" s="2018"/>
      <c r="E4987" s="2018"/>
      <c r="F4987" s="2018"/>
      <c r="G4987" s="2018"/>
      <c r="H4987" s="2018"/>
      <c r="I4987" s="2018"/>
      <c r="J4987" s="2018"/>
      <c r="K4987" s="2018"/>
      <c r="L4987" s="2018"/>
      <c r="M4987" s="2018"/>
      <c r="N4987" s="2018"/>
      <c r="O4987" s="2018"/>
      <c r="P4987" s="2018"/>
      <c r="Q4987" s="2018"/>
      <c r="R4987" s="2018"/>
      <c r="S4987" s="2018"/>
      <c r="T4987" s="2018"/>
      <c r="U4987" s="2018"/>
      <c r="V4987" s="2018"/>
      <c r="W4987" s="2018"/>
      <c r="X4987" s="2018"/>
      <c r="Y4987" s="2094"/>
      <c r="Z4987" s="2021" t="s">
        <v>2523</v>
      </c>
      <c r="AA4987" s="2021"/>
      <c r="AB4987" s="1050">
        <f>+AF4905</f>
        <v>13.13</v>
      </c>
      <c r="AC4987" s="1050">
        <f>+AF4946+AF5100</f>
        <v>1.08</v>
      </c>
      <c r="AD4987" s="1050">
        <f>+AB4946*AC4946*1.2*AE4946</f>
        <v>8.6639999999999997</v>
      </c>
      <c r="AE4987" s="1051">
        <v>1</v>
      </c>
      <c r="AF4987" s="1052">
        <f t="shared" ref="AF4987:AF4989" si="67">+ROUND(AB4987-AC4987-AD4987,2)</f>
        <v>3.39</v>
      </c>
    </row>
    <row r="4988" spans="1:34" ht="15.6" customHeight="1" x14ac:dyDescent="0.25">
      <c r="A4988" s="2017"/>
      <c r="B4988" s="2018"/>
      <c r="C4988" s="2018"/>
      <c r="D4988" s="2018"/>
      <c r="E4988" s="2018"/>
      <c r="F4988" s="2018"/>
      <c r="G4988" s="2018"/>
      <c r="H4988" s="2018"/>
      <c r="I4988" s="2018"/>
      <c r="J4988" s="2018"/>
      <c r="K4988" s="2018"/>
      <c r="L4988" s="2018"/>
      <c r="M4988" s="2018"/>
      <c r="N4988" s="2018"/>
      <c r="O4988" s="2018"/>
      <c r="P4988" s="2018"/>
      <c r="Q4988" s="2018"/>
      <c r="R4988" s="2018"/>
      <c r="S4988" s="2018"/>
      <c r="T4988" s="2018"/>
      <c r="U4988" s="2018"/>
      <c r="V4988" s="2018"/>
      <c r="W4988" s="2018"/>
      <c r="X4988" s="2018"/>
      <c r="Y4988" s="2094"/>
      <c r="Z4988" s="2021" t="s">
        <v>2522</v>
      </c>
      <c r="AA4988" s="2021"/>
      <c r="AB4988" s="1050">
        <f>+AF4906</f>
        <v>49.25</v>
      </c>
      <c r="AC4988" s="1050">
        <f>+AF4947+AF5101</f>
        <v>1.8900000000000001</v>
      </c>
      <c r="AD4988" s="1050">
        <f>+AB4947*AC4947*3.95*AE4947</f>
        <v>29.862000000000002</v>
      </c>
      <c r="AE4988" s="1051">
        <v>1</v>
      </c>
      <c r="AF4988" s="1052">
        <f t="shared" si="67"/>
        <v>17.5</v>
      </c>
    </row>
    <row r="4989" spans="1:34" ht="15.6" customHeight="1" x14ac:dyDescent="0.25">
      <c r="A4989" s="2017"/>
      <c r="B4989" s="2018"/>
      <c r="C4989" s="2018"/>
      <c r="D4989" s="2018"/>
      <c r="E4989" s="2018"/>
      <c r="F4989" s="2018"/>
      <c r="G4989" s="2018"/>
      <c r="H4989" s="2018"/>
      <c r="I4989" s="2018"/>
      <c r="J4989" s="2018"/>
      <c r="K4989" s="2018"/>
      <c r="L4989" s="2018"/>
      <c r="M4989" s="2018"/>
      <c r="N4989" s="2018"/>
      <c r="O4989" s="2018"/>
      <c r="P4989" s="2018"/>
      <c r="Q4989" s="2018"/>
      <c r="R4989" s="2018"/>
      <c r="S4989" s="2018"/>
      <c r="T4989" s="2018"/>
      <c r="U4989" s="2018"/>
      <c r="V4989" s="2018"/>
      <c r="W4989" s="2018"/>
      <c r="X4989" s="2018"/>
      <c r="Y4989" s="2094"/>
      <c r="Z4989" s="2021" t="s">
        <v>2460</v>
      </c>
      <c r="AA4989" s="2021"/>
      <c r="AB4989" s="1050">
        <f>+AF4907</f>
        <v>30.72</v>
      </c>
      <c r="AC4989" s="1050">
        <f>+AF4948+AF5102</f>
        <v>1.17</v>
      </c>
      <c r="AD4989" s="1050">
        <f>+AB4948*AC4948*3.95*AE4948</f>
        <v>18.486000000000004</v>
      </c>
      <c r="AE4989" s="1051">
        <v>1</v>
      </c>
      <c r="AF4989" s="1052">
        <f t="shared" si="67"/>
        <v>11.06</v>
      </c>
    </row>
    <row r="4990" spans="1:34" ht="15.75" x14ac:dyDescent="0.25">
      <c r="A4990" s="2017"/>
      <c r="B4990" s="2018"/>
      <c r="C4990" s="2018"/>
      <c r="D4990" s="2018"/>
      <c r="E4990" s="2018"/>
      <c r="F4990" s="2018"/>
      <c r="G4990" s="2018"/>
      <c r="H4990" s="2018"/>
      <c r="I4990" s="2018"/>
      <c r="J4990" s="2018"/>
      <c r="K4990" s="2018"/>
      <c r="L4990" s="2018"/>
      <c r="M4990" s="2018"/>
      <c r="N4990" s="2018"/>
      <c r="O4990" s="2018"/>
      <c r="P4990" s="2018"/>
      <c r="Q4990" s="2018"/>
      <c r="R4990" s="2018"/>
      <c r="S4990" s="2018"/>
      <c r="T4990" s="2018"/>
      <c r="U4990" s="2018"/>
      <c r="V4990" s="2018"/>
      <c r="W4990" s="2018"/>
      <c r="X4990" s="2018"/>
      <c r="Y4990" s="2094"/>
      <c r="Z4990" s="2096"/>
      <c r="AA4990" s="2097"/>
      <c r="AB4990" s="1053"/>
      <c r="AC4990" s="1053"/>
      <c r="AD4990" s="1050"/>
      <c r="AE4990" s="1051"/>
      <c r="AF4990" s="1052"/>
    </row>
    <row r="4991" spans="1:34" ht="15.75" x14ac:dyDescent="0.25">
      <c r="A4991" s="2017"/>
      <c r="B4991" s="2018"/>
      <c r="C4991" s="2018"/>
      <c r="D4991" s="2018"/>
      <c r="E4991" s="2018"/>
      <c r="F4991" s="2018"/>
      <c r="G4991" s="2018"/>
      <c r="H4991" s="2018"/>
      <c r="I4991" s="2018"/>
      <c r="J4991" s="2018"/>
      <c r="K4991" s="2018"/>
      <c r="L4991" s="2018"/>
      <c r="M4991" s="2018"/>
      <c r="N4991" s="2018"/>
      <c r="O4991" s="2018"/>
      <c r="P4991" s="2018"/>
      <c r="Q4991" s="2018"/>
      <c r="R4991" s="2018"/>
      <c r="S4991" s="2018"/>
      <c r="T4991" s="2018"/>
      <c r="U4991" s="2018"/>
      <c r="V4991" s="2018"/>
      <c r="W4991" s="2018"/>
      <c r="X4991" s="2018"/>
      <c r="Y4991" s="2094"/>
      <c r="Z4991" s="2096"/>
      <c r="AA4991" s="2097"/>
      <c r="AB4991" s="1053"/>
      <c r="AC4991" s="1053"/>
      <c r="AD4991" s="1053"/>
      <c r="AE4991" s="1051"/>
      <c r="AF4991" s="1052"/>
    </row>
    <row r="4992" spans="1:34" ht="15.75" x14ac:dyDescent="0.25">
      <c r="A4992" s="2017"/>
      <c r="B4992" s="2018"/>
      <c r="C4992" s="2018"/>
      <c r="D4992" s="2018"/>
      <c r="E4992" s="2018"/>
      <c r="F4992" s="2018"/>
      <c r="G4992" s="2018"/>
      <c r="H4992" s="2018"/>
      <c r="I4992" s="2018"/>
      <c r="J4992" s="2018"/>
      <c r="K4992" s="2018"/>
      <c r="L4992" s="2018"/>
      <c r="M4992" s="2018"/>
      <c r="N4992" s="2018"/>
      <c r="O4992" s="2018"/>
      <c r="P4992" s="2018"/>
      <c r="Q4992" s="2018"/>
      <c r="R4992" s="2018"/>
      <c r="S4992" s="2018"/>
      <c r="T4992" s="2018"/>
      <c r="U4992" s="2018"/>
      <c r="V4992" s="2018"/>
      <c r="W4992" s="2018"/>
      <c r="X4992" s="2018"/>
      <c r="Y4992" s="2094"/>
      <c r="Z4992" s="2096"/>
      <c r="AA4992" s="2097"/>
      <c r="AB4992" s="1053"/>
      <c r="AC4992" s="1053"/>
      <c r="AD4992" s="1053"/>
      <c r="AE4992" s="1051"/>
      <c r="AF4992" s="1052"/>
    </row>
    <row r="4993" spans="1:32" ht="15.75" x14ac:dyDescent="0.25">
      <c r="A4993" s="2017"/>
      <c r="B4993" s="2018"/>
      <c r="C4993" s="2018"/>
      <c r="D4993" s="2018"/>
      <c r="E4993" s="2018"/>
      <c r="F4993" s="2018"/>
      <c r="G4993" s="2018"/>
      <c r="H4993" s="2018"/>
      <c r="I4993" s="2018"/>
      <c r="J4993" s="2018"/>
      <c r="K4993" s="2018"/>
      <c r="L4993" s="2018"/>
      <c r="M4993" s="2018"/>
      <c r="N4993" s="2018"/>
      <c r="O4993" s="2018"/>
      <c r="P4993" s="2018"/>
      <c r="Q4993" s="2018"/>
      <c r="R4993" s="2018"/>
      <c r="S4993" s="2018"/>
      <c r="T4993" s="2018"/>
      <c r="U4993" s="2018"/>
      <c r="V4993" s="2018"/>
      <c r="W4993" s="2018"/>
      <c r="X4993" s="2018"/>
      <c r="Y4993" s="2094"/>
      <c r="Z4993" s="2096"/>
      <c r="AA4993" s="2097"/>
      <c r="AB4993" s="1053"/>
      <c r="AC4993" s="1053"/>
      <c r="AD4993" s="1053"/>
      <c r="AE4993" s="1051"/>
      <c r="AF4993" s="1052"/>
    </row>
    <row r="4994" spans="1:32" ht="15.75" x14ac:dyDescent="0.25">
      <c r="A4994" s="2017"/>
      <c r="B4994" s="2018"/>
      <c r="C4994" s="2018"/>
      <c r="D4994" s="2018"/>
      <c r="E4994" s="2018"/>
      <c r="F4994" s="2018"/>
      <c r="G4994" s="2018"/>
      <c r="H4994" s="2018"/>
      <c r="I4994" s="2018"/>
      <c r="J4994" s="2018"/>
      <c r="K4994" s="2018"/>
      <c r="L4994" s="2018"/>
      <c r="M4994" s="2018"/>
      <c r="N4994" s="2018"/>
      <c r="O4994" s="2018"/>
      <c r="P4994" s="2018"/>
      <c r="Q4994" s="2018"/>
      <c r="R4994" s="2018"/>
      <c r="S4994" s="2018"/>
      <c r="T4994" s="2018"/>
      <c r="U4994" s="2018"/>
      <c r="V4994" s="2018"/>
      <c r="W4994" s="2018"/>
      <c r="X4994" s="2018"/>
      <c r="Y4994" s="2094"/>
      <c r="Z4994" s="2096"/>
      <c r="AA4994" s="2097"/>
      <c r="AB4994" s="1053"/>
      <c r="AC4994" s="1053"/>
      <c r="AD4994" s="1053"/>
      <c r="AE4994" s="1050"/>
      <c r="AF4994" s="1054"/>
    </row>
    <row r="4995" spans="1:32" ht="15.75" x14ac:dyDescent="0.25">
      <c r="A4995" s="2017"/>
      <c r="B4995" s="2018"/>
      <c r="C4995" s="2018"/>
      <c r="D4995" s="2018"/>
      <c r="E4995" s="2018"/>
      <c r="F4995" s="2018"/>
      <c r="G4995" s="2018"/>
      <c r="H4995" s="2018"/>
      <c r="I4995" s="2018"/>
      <c r="J4995" s="2018"/>
      <c r="K4995" s="2018"/>
      <c r="L4995" s="2018"/>
      <c r="M4995" s="2018"/>
      <c r="N4995" s="2018"/>
      <c r="O4995" s="2018"/>
      <c r="P4995" s="2018"/>
      <c r="Q4995" s="2018"/>
      <c r="R4995" s="2018"/>
      <c r="S4995" s="2018"/>
      <c r="T4995" s="2018"/>
      <c r="U4995" s="2018"/>
      <c r="V4995" s="2018"/>
      <c r="W4995" s="2018"/>
      <c r="X4995" s="2018"/>
      <c r="Y4995" s="2094"/>
      <c r="Z4995" s="2096"/>
      <c r="AA4995" s="2097"/>
      <c r="AB4995" s="1053"/>
      <c r="AC4995" s="1053"/>
      <c r="AD4995" s="1053"/>
      <c r="AE4995" s="1051"/>
      <c r="AF4995" s="1054"/>
    </row>
    <row r="4996" spans="1:32" ht="15.75" x14ac:dyDescent="0.25">
      <c r="A4996" s="2017"/>
      <c r="B4996" s="2018"/>
      <c r="C4996" s="2018"/>
      <c r="D4996" s="2018"/>
      <c r="E4996" s="2018"/>
      <c r="F4996" s="2018"/>
      <c r="G4996" s="2018"/>
      <c r="H4996" s="2018"/>
      <c r="I4996" s="2018"/>
      <c r="J4996" s="2018"/>
      <c r="K4996" s="2018"/>
      <c r="L4996" s="2018"/>
      <c r="M4996" s="2018"/>
      <c r="N4996" s="2018"/>
      <c r="O4996" s="2018"/>
      <c r="P4996" s="2018"/>
      <c r="Q4996" s="2018"/>
      <c r="R4996" s="2018"/>
      <c r="S4996" s="2018"/>
      <c r="T4996" s="2018"/>
      <c r="U4996" s="2018"/>
      <c r="V4996" s="2018"/>
      <c r="W4996" s="2018"/>
      <c r="X4996" s="2018"/>
      <c r="Y4996" s="2094"/>
      <c r="Z4996" s="2096"/>
      <c r="AA4996" s="2097"/>
      <c r="AB4996" s="1053"/>
      <c r="AC4996" s="1053"/>
      <c r="AD4996" s="1053"/>
      <c r="AE4996" s="1051"/>
      <c r="AF4996" s="1054"/>
    </row>
    <row r="4997" spans="1:32" ht="15.75" x14ac:dyDescent="0.25">
      <c r="A4997" s="2017"/>
      <c r="B4997" s="2018"/>
      <c r="C4997" s="2018"/>
      <c r="D4997" s="2018"/>
      <c r="E4997" s="2018"/>
      <c r="F4997" s="2018"/>
      <c r="G4997" s="2018"/>
      <c r="H4997" s="2018"/>
      <c r="I4997" s="2018"/>
      <c r="J4997" s="2018"/>
      <c r="K4997" s="2018"/>
      <c r="L4997" s="2018"/>
      <c r="M4997" s="2018"/>
      <c r="N4997" s="2018"/>
      <c r="O4997" s="2018"/>
      <c r="P4997" s="2018"/>
      <c r="Q4997" s="2018"/>
      <c r="R4997" s="2018"/>
      <c r="S4997" s="2018"/>
      <c r="T4997" s="2018"/>
      <c r="U4997" s="2018"/>
      <c r="V4997" s="2018"/>
      <c r="W4997" s="2018"/>
      <c r="X4997" s="2018"/>
      <c r="Y4997" s="2094"/>
      <c r="Z4997" s="2096"/>
      <c r="AA4997" s="2097"/>
      <c r="AB4997" s="1053"/>
      <c r="AC4997" s="1053"/>
      <c r="AD4997" s="1053"/>
      <c r="AE4997" s="1051"/>
      <c r="AF4997" s="1054"/>
    </row>
    <row r="4998" spans="1:32" ht="15.75" x14ac:dyDescent="0.25">
      <c r="A4998" s="2017"/>
      <c r="B4998" s="2018"/>
      <c r="C4998" s="2018"/>
      <c r="D4998" s="2018"/>
      <c r="E4998" s="2018"/>
      <c r="F4998" s="2018"/>
      <c r="G4998" s="2018"/>
      <c r="H4998" s="2018"/>
      <c r="I4998" s="2018"/>
      <c r="J4998" s="2018"/>
      <c r="K4998" s="2018"/>
      <c r="L4998" s="2018"/>
      <c r="M4998" s="2018"/>
      <c r="N4998" s="2018"/>
      <c r="O4998" s="2018"/>
      <c r="P4998" s="2018"/>
      <c r="Q4998" s="2018"/>
      <c r="R4998" s="2018"/>
      <c r="S4998" s="2018"/>
      <c r="T4998" s="2018"/>
      <c r="U4998" s="2018"/>
      <c r="V4998" s="2018"/>
      <c r="W4998" s="2018"/>
      <c r="X4998" s="2018"/>
      <c r="Y4998" s="2094"/>
      <c r="Z4998" s="2096"/>
      <c r="AA4998" s="2097"/>
      <c r="AB4998" s="1053"/>
      <c r="AC4998" s="1053"/>
      <c r="AD4998" s="1053"/>
      <c r="AE4998" s="1051"/>
      <c r="AF4998" s="1054"/>
    </row>
    <row r="4999" spans="1:32" ht="15.75" x14ac:dyDescent="0.25">
      <c r="A4999" s="2017"/>
      <c r="B4999" s="2018"/>
      <c r="C4999" s="2018"/>
      <c r="D4999" s="2018"/>
      <c r="E4999" s="2018"/>
      <c r="F4999" s="2018"/>
      <c r="G4999" s="2018"/>
      <c r="H4999" s="2018"/>
      <c r="I4999" s="2018"/>
      <c r="J4999" s="2018"/>
      <c r="K4999" s="2018"/>
      <c r="L4999" s="2018"/>
      <c r="M4999" s="2018"/>
      <c r="N4999" s="2018"/>
      <c r="O4999" s="2018"/>
      <c r="P4999" s="2018"/>
      <c r="Q4999" s="2018"/>
      <c r="R4999" s="2018"/>
      <c r="S4999" s="2018"/>
      <c r="T4999" s="2018"/>
      <c r="U4999" s="2018"/>
      <c r="V4999" s="2018"/>
      <c r="W4999" s="2018"/>
      <c r="X4999" s="2018"/>
      <c r="Y4999" s="2094"/>
      <c r="Z4999" s="2096"/>
      <c r="AA4999" s="2097"/>
      <c r="AB4999" s="1053"/>
      <c r="AC4999" s="1053"/>
      <c r="AD4999" s="1053"/>
      <c r="AE4999" s="1051"/>
      <c r="AF4999" s="1054"/>
    </row>
    <row r="5000" spans="1:32" ht="15.75" x14ac:dyDescent="0.25">
      <c r="A5000" s="2017"/>
      <c r="B5000" s="2018"/>
      <c r="C5000" s="2018"/>
      <c r="D5000" s="2018"/>
      <c r="E5000" s="2018"/>
      <c r="F5000" s="2018"/>
      <c r="G5000" s="2018"/>
      <c r="H5000" s="2018"/>
      <c r="I5000" s="2018"/>
      <c r="J5000" s="2018"/>
      <c r="K5000" s="2018"/>
      <c r="L5000" s="2018"/>
      <c r="M5000" s="2018"/>
      <c r="N5000" s="2018"/>
      <c r="O5000" s="2018"/>
      <c r="P5000" s="2018"/>
      <c r="Q5000" s="2018"/>
      <c r="R5000" s="2018"/>
      <c r="S5000" s="2018"/>
      <c r="T5000" s="2018"/>
      <c r="U5000" s="2018"/>
      <c r="V5000" s="2018"/>
      <c r="W5000" s="2018"/>
      <c r="X5000" s="2018"/>
      <c r="Y5000" s="2094"/>
      <c r="Z5000" s="2096"/>
      <c r="AA5000" s="2097"/>
      <c r="AB5000" s="1055"/>
      <c r="AC5000" s="1055"/>
      <c r="AD5000" s="1055"/>
      <c r="AE5000" s="1051"/>
      <c r="AF5000" s="1056"/>
    </row>
    <row r="5001" spans="1:32" ht="15.75" x14ac:dyDescent="0.25">
      <c r="A5001" s="2017"/>
      <c r="B5001" s="2018"/>
      <c r="C5001" s="2018"/>
      <c r="D5001" s="2018"/>
      <c r="E5001" s="2018"/>
      <c r="F5001" s="2018"/>
      <c r="G5001" s="2018"/>
      <c r="H5001" s="2018"/>
      <c r="I5001" s="2018"/>
      <c r="J5001" s="2018"/>
      <c r="K5001" s="2018"/>
      <c r="L5001" s="2018"/>
      <c r="M5001" s="2018"/>
      <c r="N5001" s="2018"/>
      <c r="O5001" s="2018"/>
      <c r="P5001" s="2018"/>
      <c r="Q5001" s="2018"/>
      <c r="R5001" s="2018"/>
      <c r="S5001" s="2018"/>
      <c r="T5001" s="2018"/>
      <c r="U5001" s="2018"/>
      <c r="V5001" s="2018"/>
      <c r="W5001" s="2018"/>
      <c r="X5001" s="2018"/>
      <c r="Y5001" s="2094"/>
      <c r="Z5001" s="2096"/>
      <c r="AA5001" s="2097"/>
      <c r="AB5001" s="1055"/>
      <c r="AC5001" s="1055"/>
      <c r="AD5001" s="1055"/>
      <c r="AE5001" s="1055"/>
      <c r="AF5001" s="1056"/>
    </row>
    <row r="5002" spans="1:32" ht="15.75" x14ac:dyDescent="0.25">
      <c r="A5002" s="2017"/>
      <c r="B5002" s="2018"/>
      <c r="C5002" s="2018"/>
      <c r="D5002" s="2018"/>
      <c r="E5002" s="2018"/>
      <c r="F5002" s="2018"/>
      <c r="G5002" s="2018"/>
      <c r="H5002" s="2018"/>
      <c r="I5002" s="2018"/>
      <c r="J5002" s="2018"/>
      <c r="K5002" s="2018"/>
      <c r="L5002" s="2018"/>
      <c r="M5002" s="2018"/>
      <c r="N5002" s="2018"/>
      <c r="O5002" s="2018"/>
      <c r="P5002" s="2018"/>
      <c r="Q5002" s="2018"/>
      <c r="R5002" s="2018"/>
      <c r="S5002" s="2018"/>
      <c r="T5002" s="2018"/>
      <c r="U5002" s="2018"/>
      <c r="V5002" s="2018"/>
      <c r="W5002" s="2018"/>
      <c r="X5002" s="2018"/>
      <c r="Y5002" s="2094"/>
      <c r="Z5002" s="2096"/>
      <c r="AA5002" s="2097"/>
      <c r="AB5002" s="1055"/>
      <c r="AC5002" s="1055"/>
      <c r="AD5002" s="1055"/>
      <c r="AE5002" s="1055"/>
      <c r="AF5002" s="1056"/>
    </row>
    <row r="5003" spans="1:32" ht="15.75" x14ac:dyDescent="0.25">
      <c r="A5003" s="2017"/>
      <c r="B5003" s="2018"/>
      <c r="C5003" s="2018"/>
      <c r="D5003" s="2018"/>
      <c r="E5003" s="2018"/>
      <c r="F5003" s="2018"/>
      <c r="G5003" s="2018"/>
      <c r="H5003" s="2018"/>
      <c r="I5003" s="2018"/>
      <c r="J5003" s="2018"/>
      <c r="K5003" s="2018"/>
      <c r="L5003" s="2018"/>
      <c r="M5003" s="2018"/>
      <c r="N5003" s="2018"/>
      <c r="O5003" s="2018"/>
      <c r="P5003" s="2018"/>
      <c r="Q5003" s="2018"/>
      <c r="R5003" s="2018"/>
      <c r="S5003" s="2018"/>
      <c r="T5003" s="2018"/>
      <c r="U5003" s="2018"/>
      <c r="V5003" s="2018"/>
      <c r="W5003" s="2018"/>
      <c r="X5003" s="2018"/>
      <c r="Y5003" s="2094"/>
      <c r="Z5003" s="2096"/>
      <c r="AA5003" s="2097"/>
      <c r="AB5003" s="1055"/>
      <c r="AC5003" s="1055"/>
      <c r="AD5003" s="1055"/>
      <c r="AE5003" s="1055"/>
      <c r="AF5003" s="1056"/>
    </row>
    <row r="5004" spans="1:32" ht="15.75" x14ac:dyDescent="0.25">
      <c r="A5004" s="2017"/>
      <c r="B5004" s="2018"/>
      <c r="C5004" s="2018"/>
      <c r="D5004" s="2018"/>
      <c r="E5004" s="2018"/>
      <c r="F5004" s="2018"/>
      <c r="G5004" s="2018"/>
      <c r="H5004" s="2018"/>
      <c r="I5004" s="2018"/>
      <c r="J5004" s="2018"/>
      <c r="K5004" s="2018"/>
      <c r="L5004" s="2018"/>
      <c r="M5004" s="2018"/>
      <c r="N5004" s="2018"/>
      <c r="O5004" s="2018"/>
      <c r="P5004" s="2018"/>
      <c r="Q5004" s="2018"/>
      <c r="R5004" s="2018"/>
      <c r="S5004" s="2018"/>
      <c r="T5004" s="2018"/>
      <c r="U5004" s="2018"/>
      <c r="V5004" s="2018"/>
      <c r="W5004" s="2018"/>
      <c r="X5004" s="2018"/>
      <c r="Y5004" s="2094"/>
      <c r="Z5004" s="2096"/>
      <c r="AA5004" s="2097"/>
      <c r="AB5004" s="1055"/>
      <c r="AC5004" s="1055"/>
      <c r="AD5004" s="1055"/>
      <c r="AE5004" s="1055"/>
      <c r="AF5004" s="1056"/>
    </row>
    <row r="5005" spans="1:32" ht="16.5" thickBot="1" x14ac:dyDescent="0.3">
      <c r="A5005" s="2019"/>
      <c r="B5005" s="2020"/>
      <c r="C5005" s="2020"/>
      <c r="D5005" s="2020"/>
      <c r="E5005" s="2020"/>
      <c r="F5005" s="2020"/>
      <c r="G5005" s="2020"/>
      <c r="H5005" s="2020"/>
      <c r="I5005" s="2020"/>
      <c r="J5005" s="2020"/>
      <c r="K5005" s="2020"/>
      <c r="L5005" s="2020"/>
      <c r="M5005" s="2020"/>
      <c r="N5005" s="2020"/>
      <c r="O5005" s="2020"/>
      <c r="P5005" s="2020"/>
      <c r="Q5005" s="2020"/>
      <c r="R5005" s="2020"/>
      <c r="S5005" s="2020"/>
      <c r="T5005" s="2020"/>
      <c r="U5005" s="2020"/>
      <c r="V5005" s="2020"/>
      <c r="W5005" s="2020"/>
      <c r="X5005" s="2020"/>
      <c r="Y5005" s="2095"/>
      <c r="Z5005" s="2098"/>
      <c r="AA5005" s="2099"/>
      <c r="AB5005" s="1057"/>
      <c r="AC5005" s="1057"/>
      <c r="AD5005" s="1057"/>
      <c r="AE5005" s="1057"/>
      <c r="AF5005" s="1058"/>
    </row>
    <row r="5006" spans="1:32" ht="15.75" x14ac:dyDescent="0.25">
      <c r="A5006" s="2100" t="s">
        <v>1855</v>
      </c>
      <c r="B5006" s="2101"/>
      <c r="C5006" s="2101"/>
      <c r="D5006" s="2101"/>
      <c r="E5006" s="2101"/>
      <c r="F5006" s="2101"/>
      <c r="G5006" s="2101"/>
      <c r="H5006" s="2101"/>
      <c r="I5006" s="2101"/>
      <c r="J5006" s="2101"/>
      <c r="K5006" s="2101"/>
      <c r="L5006" s="2101"/>
      <c r="M5006" s="2101"/>
      <c r="N5006" s="2101"/>
      <c r="O5006" s="2101"/>
      <c r="P5006" s="2101"/>
      <c r="Q5006" s="2101"/>
      <c r="R5006" s="2101"/>
      <c r="S5006" s="2101"/>
      <c r="T5006" s="2101"/>
      <c r="U5006" s="2101"/>
      <c r="V5006" s="2101"/>
      <c r="W5006" s="2101"/>
      <c r="X5006" s="2101"/>
      <c r="Y5006" s="2101"/>
      <c r="Z5006" s="2013" t="s">
        <v>1850</v>
      </c>
      <c r="AA5006" s="2013"/>
      <c r="AB5006" s="2013"/>
      <c r="AC5006" s="2013"/>
      <c r="AD5006" s="2013"/>
      <c r="AE5006" s="2013"/>
      <c r="AF5006" s="1059">
        <f>SUM(AF4986:AF5005)</f>
        <v>62.95</v>
      </c>
    </row>
    <row r="5007" spans="1:32" ht="15.75" x14ac:dyDescent="0.25">
      <c r="A5007" s="2102"/>
      <c r="B5007" s="2103"/>
      <c r="C5007" s="2103"/>
      <c r="D5007" s="2103"/>
      <c r="E5007" s="2103"/>
      <c r="F5007" s="2103"/>
      <c r="G5007" s="2103"/>
      <c r="H5007" s="2103"/>
      <c r="I5007" s="2103"/>
      <c r="J5007" s="2103"/>
      <c r="K5007" s="2103"/>
      <c r="L5007" s="2103"/>
      <c r="M5007" s="2103"/>
      <c r="N5007" s="2103"/>
      <c r="O5007" s="2103"/>
      <c r="P5007" s="2103"/>
      <c r="Q5007" s="2103"/>
      <c r="R5007" s="2103"/>
      <c r="S5007" s="2103"/>
      <c r="T5007" s="2103"/>
      <c r="U5007" s="2103"/>
      <c r="V5007" s="2103"/>
      <c r="W5007" s="2103"/>
      <c r="X5007" s="2103"/>
      <c r="Y5007" s="2103"/>
      <c r="Z5007" s="2014" t="s">
        <v>1851</v>
      </c>
      <c r="AA5007" s="2014"/>
      <c r="AB5007" s="2014"/>
      <c r="AC5007" s="2014"/>
      <c r="AD5007" s="2014"/>
      <c r="AE5007" s="2014"/>
      <c r="AF5007" s="1060">
        <v>0</v>
      </c>
    </row>
    <row r="5008" spans="1:32" ht="15.75" x14ac:dyDescent="0.25">
      <c r="A5008" s="2102"/>
      <c r="B5008" s="2103"/>
      <c r="C5008" s="2103"/>
      <c r="D5008" s="2103"/>
      <c r="E5008" s="2103"/>
      <c r="F5008" s="2103"/>
      <c r="G5008" s="2103"/>
      <c r="H5008" s="2103"/>
      <c r="I5008" s="2103"/>
      <c r="J5008" s="2103"/>
      <c r="K5008" s="2103"/>
      <c r="L5008" s="2103"/>
      <c r="M5008" s="2103"/>
      <c r="N5008" s="2103"/>
      <c r="O5008" s="2103"/>
      <c r="P5008" s="2103"/>
      <c r="Q5008" s="2103"/>
      <c r="R5008" s="2103"/>
      <c r="S5008" s="2103"/>
      <c r="T5008" s="2103"/>
      <c r="U5008" s="2103"/>
      <c r="V5008" s="2103"/>
      <c r="W5008" s="2103"/>
      <c r="X5008" s="2103"/>
      <c r="Y5008" s="2103"/>
      <c r="Z5008" s="2015" t="s">
        <v>1833</v>
      </c>
      <c r="AA5008" s="2015"/>
      <c r="AB5008" s="2015"/>
      <c r="AC5008" s="2015"/>
      <c r="AD5008" s="2015"/>
      <c r="AE5008" s="2015"/>
      <c r="AF5008" s="1061">
        <f>SUM(AF5006:AF5007)</f>
        <v>62.95</v>
      </c>
    </row>
    <row r="5009" spans="1:33" x14ac:dyDescent="0.2">
      <c r="A5009" s="2012" t="s">
        <v>1859</v>
      </c>
      <c r="B5009" s="2012"/>
      <c r="C5009" s="2012"/>
      <c r="D5009" s="2012"/>
      <c r="E5009" s="2012"/>
      <c r="F5009" s="2012"/>
      <c r="G5009" s="2012"/>
      <c r="H5009" s="2012"/>
      <c r="I5009" s="2012"/>
      <c r="J5009" s="2012"/>
      <c r="K5009" s="2012"/>
      <c r="L5009" s="2012"/>
      <c r="M5009" s="2012"/>
      <c r="N5009" s="2012"/>
      <c r="O5009" s="2012"/>
      <c r="P5009" s="2012"/>
      <c r="Q5009" s="2012"/>
      <c r="R5009" s="2012"/>
      <c r="S5009" s="2012"/>
      <c r="T5009" s="2016" t="s">
        <v>1840</v>
      </c>
      <c r="U5009" s="2016"/>
      <c r="V5009" s="2016"/>
      <c r="W5009" s="2016"/>
      <c r="X5009" s="2016"/>
      <c r="Y5009" s="2016"/>
      <c r="Z5009" s="2016"/>
      <c r="AA5009" s="2016"/>
      <c r="AB5009" s="2012" t="s">
        <v>1852</v>
      </c>
      <c r="AC5009" s="2012"/>
      <c r="AD5009" s="2012"/>
      <c r="AE5009" s="2012"/>
      <c r="AF5009" s="2012"/>
    </row>
    <row r="5010" spans="1:33" x14ac:dyDescent="0.2">
      <c r="A5010" s="2012"/>
      <c r="B5010" s="2012"/>
      <c r="C5010" s="2012"/>
      <c r="D5010" s="2012"/>
      <c r="E5010" s="2012"/>
      <c r="F5010" s="2012"/>
      <c r="G5010" s="2012"/>
      <c r="H5010" s="2012"/>
      <c r="I5010" s="2012"/>
      <c r="J5010" s="2012"/>
      <c r="K5010" s="2012"/>
      <c r="L5010" s="2012"/>
      <c r="M5010" s="2012"/>
      <c r="N5010" s="2012"/>
      <c r="O5010" s="2012"/>
      <c r="P5010" s="2012"/>
      <c r="Q5010" s="2012"/>
      <c r="R5010" s="2012"/>
      <c r="S5010" s="2012"/>
      <c r="T5010" s="2016"/>
      <c r="U5010" s="2016"/>
      <c r="V5010" s="2016"/>
      <c r="W5010" s="2016"/>
      <c r="X5010" s="2016"/>
      <c r="Y5010" s="2016"/>
      <c r="Z5010" s="2016"/>
      <c r="AA5010" s="2016"/>
      <c r="AB5010" s="2012"/>
      <c r="AC5010" s="2012"/>
      <c r="AD5010" s="2012"/>
      <c r="AE5010" s="2012"/>
      <c r="AF5010" s="2012"/>
    </row>
    <row r="5011" spans="1:33" ht="13.5" thickBot="1" x14ac:dyDescent="0.25"/>
    <row r="5012" spans="1:33" ht="21.6" customHeight="1" x14ac:dyDescent="0.2">
      <c r="A5012" s="2025" t="s">
        <v>1854</v>
      </c>
      <c r="B5012" s="2026"/>
      <c r="C5012" s="2026"/>
      <c r="D5012" s="2026"/>
      <c r="E5012" s="2026"/>
      <c r="F5012" s="2026"/>
      <c r="G5012" s="2026"/>
      <c r="H5012" s="2026"/>
      <c r="I5012" s="2026"/>
      <c r="J5012" s="2026"/>
      <c r="K5012" s="2026"/>
      <c r="L5012" s="2026"/>
      <c r="M5012" s="2026"/>
      <c r="N5012" s="2026"/>
      <c r="O5012" s="2026"/>
      <c r="P5012" s="2026"/>
      <c r="Q5012" s="2026"/>
      <c r="R5012" s="2026"/>
      <c r="S5012" s="2026"/>
      <c r="T5012" s="2026"/>
      <c r="U5012" s="2026"/>
      <c r="V5012" s="2026"/>
      <c r="W5012" s="2026"/>
      <c r="X5012" s="2026"/>
      <c r="Y5012" s="2026"/>
      <c r="Z5012" s="2026"/>
      <c r="AA5012" s="2026"/>
      <c r="AB5012" s="2026"/>
      <c r="AC5012" s="2026"/>
      <c r="AD5012" s="2026"/>
      <c r="AE5012" s="1041" t="s">
        <v>1834</v>
      </c>
      <c r="AF5012" s="1042" t="s">
        <v>1835</v>
      </c>
    </row>
    <row r="5013" spans="1:33" ht="22.15" customHeight="1" thickBot="1" x14ac:dyDescent="0.25">
      <c r="A5013" s="2027"/>
      <c r="B5013" s="2028"/>
      <c r="C5013" s="2028"/>
      <c r="D5013" s="2028"/>
      <c r="E5013" s="2028"/>
      <c r="F5013" s="2028"/>
      <c r="G5013" s="2028"/>
      <c r="H5013" s="2028"/>
      <c r="I5013" s="2028"/>
      <c r="J5013" s="2028"/>
      <c r="K5013" s="2028"/>
      <c r="L5013" s="2028"/>
      <c r="M5013" s="2028"/>
      <c r="N5013" s="2028"/>
      <c r="O5013" s="2028"/>
      <c r="P5013" s="2028"/>
      <c r="Q5013" s="2028"/>
      <c r="R5013" s="2028"/>
      <c r="S5013" s="2028"/>
      <c r="T5013" s="2028"/>
      <c r="U5013" s="2028"/>
      <c r="V5013" s="2028"/>
      <c r="W5013" s="2028"/>
      <c r="X5013" s="2028"/>
      <c r="Y5013" s="2028"/>
      <c r="Z5013" s="2028"/>
      <c r="AA5013" s="2028"/>
      <c r="AB5013" s="2028"/>
      <c r="AC5013" s="2028"/>
      <c r="AD5013" s="2028"/>
      <c r="AE5013" s="1041" t="s">
        <v>1836</v>
      </c>
      <c r="AF5013" s="1044">
        <v>1</v>
      </c>
    </row>
    <row r="5014" spans="1:33" ht="15.75" x14ac:dyDescent="0.2">
      <c r="A5014" s="2029"/>
      <c r="B5014" s="2030"/>
      <c r="C5014" s="2030"/>
      <c r="D5014" s="2031"/>
      <c r="E5014" s="2025" t="str">
        <f>'01'!$A$12</f>
        <v>"CONSTRUCCION SISTEMA DE ACUEDUCTO FASE II DEL MUNICIPIO DE TESALIA DPTO DEL HUILA"</v>
      </c>
      <c r="F5014" s="2026"/>
      <c r="G5014" s="2026"/>
      <c r="H5014" s="2026"/>
      <c r="I5014" s="2026"/>
      <c r="J5014" s="2026"/>
      <c r="K5014" s="2026"/>
      <c r="L5014" s="2026"/>
      <c r="M5014" s="2026"/>
      <c r="N5014" s="2026"/>
      <c r="O5014" s="2026"/>
      <c r="P5014" s="2026"/>
      <c r="Q5014" s="2026"/>
      <c r="R5014" s="2026"/>
      <c r="S5014" s="2026"/>
      <c r="T5014" s="2026"/>
      <c r="U5014" s="2026"/>
      <c r="V5014" s="2026"/>
      <c r="W5014" s="2026"/>
      <c r="X5014" s="2026"/>
      <c r="Y5014" s="2026"/>
      <c r="Z5014" s="2026"/>
      <c r="AA5014" s="2026"/>
      <c r="AB5014" s="2026"/>
      <c r="AC5014" s="2026"/>
      <c r="AD5014" s="2035"/>
      <c r="AE5014" s="1041" t="s">
        <v>847</v>
      </c>
      <c r="AF5014" s="1045">
        <f>'01'!$M$13</f>
        <v>0</v>
      </c>
    </row>
    <row r="5015" spans="1:33" ht="16.5" thickBot="1" x14ac:dyDescent="0.25">
      <c r="A5015" s="2032"/>
      <c r="B5015" s="2033"/>
      <c r="C5015" s="2033"/>
      <c r="D5015" s="2034"/>
      <c r="E5015" s="2027"/>
      <c r="F5015" s="2028"/>
      <c r="G5015" s="2028"/>
      <c r="H5015" s="2028"/>
      <c r="I5015" s="2028"/>
      <c r="J5015" s="2028"/>
      <c r="K5015" s="2028"/>
      <c r="L5015" s="2028"/>
      <c r="M5015" s="2028"/>
      <c r="N5015" s="2028"/>
      <c r="O5015" s="2028"/>
      <c r="P5015" s="2028"/>
      <c r="Q5015" s="2028"/>
      <c r="R5015" s="2028"/>
      <c r="S5015" s="2028"/>
      <c r="T5015" s="2028"/>
      <c r="U5015" s="2028"/>
      <c r="V5015" s="2028"/>
      <c r="W5015" s="2028"/>
      <c r="X5015" s="2028"/>
      <c r="Y5015" s="2028"/>
      <c r="Z5015" s="2028"/>
      <c r="AA5015" s="2028"/>
      <c r="AB5015" s="2028"/>
      <c r="AC5015" s="2028"/>
      <c r="AD5015" s="2036"/>
      <c r="AE5015" s="1041" t="s">
        <v>1837</v>
      </c>
      <c r="AF5015" s="1042" t="s">
        <v>1838</v>
      </c>
    </row>
    <row r="5016" spans="1:33" ht="15.75" x14ac:dyDescent="0.25">
      <c r="A5016" s="2037" t="s">
        <v>1860</v>
      </c>
      <c r="B5016" s="2038"/>
      <c r="C5016" s="2038"/>
      <c r="D5016" s="2038"/>
      <c r="E5016" s="2038"/>
      <c r="F5016" s="2038"/>
      <c r="G5016" s="2038"/>
      <c r="H5016" s="2038"/>
      <c r="I5016" s="2038"/>
      <c r="J5016" s="2038"/>
      <c r="K5016" s="2038"/>
      <c r="L5016" s="2038"/>
      <c r="M5016" s="2038"/>
      <c r="N5016" s="2038"/>
      <c r="O5016" s="2038"/>
      <c r="P5016" s="2038"/>
      <c r="Q5016" s="2038"/>
      <c r="R5016" s="2038"/>
      <c r="S5016" s="2038"/>
      <c r="T5016" s="2038"/>
      <c r="U5016" s="2038"/>
      <c r="V5016" s="2038"/>
      <c r="W5016" s="2038"/>
      <c r="X5016" s="2038"/>
      <c r="Y5016" s="2038"/>
      <c r="Z5016" s="2038"/>
      <c r="AA5016" s="2038"/>
      <c r="AB5016" s="2038"/>
      <c r="AC5016" s="2038"/>
      <c r="AD5016" s="2038"/>
      <c r="AE5016" s="2039" t="s">
        <v>1839</v>
      </c>
      <c r="AF5016" s="2040"/>
    </row>
    <row r="5017" spans="1:33" ht="15.75" x14ac:dyDescent="0.25">
      <c r="A5017" s="2041" t="s">
        <v>1840</v>
      </c>
      <c r="B5017" s="2042"/>
      <c r="C5017" s="2042"/>
      <c r="D5017" s="2042"/>
      <c r="E5017" s="2042"/>
      <c r="F5017" s="2042"/>
      <c r="G5017" s="2042"/>
      <c r="H5017" s="2042"/>
      <c r="I5017" s="2042"/>
      <c r="J5017" s="2042"/>
      <c r="K5017" s="2042"/>
      <c r="L5017" s="2042"/>
      <c r="M5017" s="2042"/>
      <c r="N5017" s="2042"/>
      <c r="O5017" s="2042"/>
      <c r="P5017" s="2042"/>
      <c r="Q5017" s="2042"/>
      <c r="R5017" s="2042"/>
      <c r="S5017" s="2042"/>
      <c r="T5017" s="2042"/>
      <c r="U5017" s="2042"/>
      <c r="V5017" s="2042"/>
      <c r="W5017" s="2042"/>
      <c r="X5017" s="2042"/>
      <c r="Y5017" s="2042"/>
      <c r="Z5017" s="2042"/>
      <c r="AA5017" s="2042"/>
      <c r="AB5017" s="2042"/>
      <c r="AC5017" s="2042"/>
      <c r="AD5017" s="2043"/>
      <c r="AE5017" s="2014" t="s">
        <v>1841</v>
      </c>
      <c r="AF5017" s="2044"/>
    </row>
    <row r="5018" spans="1:33" ht="15.75" x14ac:dyDescent="0.25">
      <c r="A5018" s="2045" t="s">
        <v>1853</v>
      </c>
      <c r="B5018" s="2046"/>
      <c r="C5018" s="2046"/>
      <c r="D5018" s="2046"/>
      <c r="E5018" s="2046"/>
      <c r="F5018" s="2046"/>
      <c r="G5018" s="2046"/>
      <c r="H5018" s="2046"/>
      <c r="I5018" s="2046"/>
      <c r="J5018" s="2046"/>
      <c r="K5018" s="2046"/>
      <c r="L5018" s="2046"/>
      <c r="M5018" s="2046"/>
      <c r="N5018" s="2046"/>
      <c r="O5018" s="2046"/>
      <c r="P5018" s="2046"/>
      <c r="Q5018" s="2046"/>
      <c r="R5018" s="2046"/>
      <c r="S5018" s="2046"/>
      <c r="T5018" s="2046"/>
      <c r="U5018" s="2046"/>
      <c r="V5018" s="2046"/>
      <c r="W5018" s="2046"/>
      <c r="X5018" s="2046"/>
      <c r="Y5018" s="2046"/>
      <c r="Z5018" s="2046"/>
      <c r="AA5018" s="2046"/>
      <c r="AB5018" s="2046"/>
      <c r="AC5018" s="2046"/>
      <c r="AD5018" s="2046"/>
      <c r="AE5018" s="2047">
        <f>'01'!$M$13</f>
        <v>0</v>
      </c>
      <c r="AF5018" s="2044"/>
    </row>
    <row r="5019" spans="1:33" x14ac:dyDescent="0.2">
      <c r="A5019" s="1046"/>
      <c r="B5019" s="1047"/>
      <c r="C5019" s="1047"/>
      <c r="D5019" s="1047"/>
      <c r="E5019" s="1047"/>
      <c r="F5019" s="1047"/>
      <c r="G5019" s="1047"/>
      <c r="H5019" s="1047"/>
      <c r="I5019" s="1047"/>
      <c r="J5019" s="1047"/>
      <c r="K5019" s="1047"/>
      <c r="L5019" s="1047"/>
      <c r="M5019" s="1047"/>
      <c r="N5019" s="1047"/>
      <c r="O5019" s="1047"/>
      <c r="P5019" s="1047"/>
      <c r="Q5019" s="1047"/>
      <c r="R5019" s="1047"/>
      <c r="S5019" s="1047"/>
      <c r="T5019" s="1047"/>
      <c r="U5019" s="1047"/>
      <c r="V5019" s="1047"/>
      <c r="W5019" s="1047"/>
      <c r="X5019" s="1047"/>
      <c r="Y5019" s="1047"/>
      <c r="Z5019" s="1047"/>
      <c r="AA5019" s="1047"/>
      <c r="AB5019" s="1047"/>
      <c r="AC5019" s="1047"/>
      <c r="AD5019" s="1047"/>
      <c r="AE5019" s="1047"/>
      <c r="AF5019" s="1048"/>
    </row>
    <row r="5020" spans="1:33" ht="15.75" x14ac:dyDescent="0.2">
      <c r="A5020" s="2048" t="s">
        <v>1842</v>
      </c>
      <c r="B5020" s="2049"/>
      <c r="C5020" s="2049"/>
      <c r="D5020" s="2049"/>
      <c r="E5020" s="2049"/>
      <c r="F5020" s="2050" t="str">
        <f>+'01'!$H$201</f>
        <v>H - TANQUE DE ALMACENAMIENTO</v>
      </c>
      <c r="G5020" s="2049"/>
      <c r="H5020" s="2049"/>
      <c r="I5020" s="2049"/>
      <c r="J5020" s="2049"/>
      <c r="K5020" s="2049"/>
      <c r="L5020" s="2049"/>
      <c r="M5020" s="2049"/>
      <c r="N5020" s="2049"/>
      <c r="O5020" s="2049"/>
      <c r="P5020" s="2049"/>
      <c r="Q5020" s="2049"/>
      <c r="R5020" s="2049"/>
      <c r="S5020" s="2049"/>
      <c r="T5020" s="2049"/>
      <c r="U5020" s="2049"/>
      <c r="V5020" s="2049"/>
      <c r="W5020" s="2049"/>
      <c r="X5020" s="2049"/>
      <c r="Y5020" s="2051"/>
      <c r="Z5020" s="2052" t="s">
        <v>1843</v>
      </c>
      <c r="AA5020" s="2053"/>
      <c r="AB5020" s="2058" t="s">
        <v>1844</v>
      </c>
      <c r="AC5020" s="2059"/>
      <c r="AD5020" s="2060"/>
      <c r="AE5020" s="2064" t="s">
        <v>2184</v>
      </c>
      <c r="AF5020" s="2067" t="s">
        <v>1846</v>
      </c>
    </row>
    <row r="5021" spans="1:33" x14ac:dyDescent="0.2">
      <c r="A5021" s="2070" t="str">
        <f>+'01'!A211</f>
        <v>H-04-01</v>
      </c>
      <c r="B5021" s="2071"/>
      <c r="C5021" s="2072"/>
      <c r="D5021" s="2076" t="str">
        <f>VLOOKUP(A5021,'01'!$A$12:$N$299,3,FALSE)</f>
        <v>RETIRO DE MATERIAL SOBRANTE HASTA BOTADERO AUTORIZADO (INCLUYE FACTOR DE EXPANSIÓN)</v>
      </c>
      <c r="E5021" s="2077"/>
      <c r="F5021" s="2077"/>
      <c r="G5021" s="2077"/>
      <c r="H5021" s="2077"/>
      <c r="I5021" s="2077"/>
      <c r="J5021" s="2077"/>
      <c r="K5021" s="2077"/>
      <c r="L5021" s="2077"/>
      <c r="M5021" s="2077"/>
      <c r="N5021" s="2077"/>
      <c r="O5021" s="2077"/>
      <c r="P5021" s="2077"/>
      <c r="Q5021" s="2077"/>
      <c r="R5021" s="2077"/>
      <c r="S5021" s="2078"/>
      <c r="T5021" s="2082" t="s">
        <v>124</v>
      </c>
      <c r="U5021" s="2083"/>
      <c r="V5021" s="2083"/>
      <c r="W5021" s="2083"/>
      <c r="X5021" s="2052" t="str">
        <f>VLOOKUP(A5021,'01'!$A$12:$N$299,9,FALSE)</f>
        <v>M3-KM</v>
      </c>
      <c r="Y5021" s="2053"/>
      <c r="Z5021" s="2054"/>
      <c r="AA5021" s="2055"/>
      <c r="AB5021" s="2061"/>
      <c r="AC5021" s="2062"/>
      <c r="AD5021" s="2063"/>
      <c r="AE5021" s="2065"/>
      <c r="AF5021" s="2068"/>
    </row>
    <row r="5022" spans="1:33" ht="31.5" x14ac:dyDescent="0.25">
      <c r="A5022" s="2073"/>
      <c r="B5022" s="2074"/>
      <c r="C5022" s="2075"/>
      <c r="D5022" s="2079"/>
      <c r="E5022" s="2080"/>
      <c r="F5022" s="2080"/>
      <c r="G5022" s="2080"/>
      <c r="H5022" s="2080"/>
      <c r="I5022" s="2080"/>
      <c r="J5022" s="2080"/>
      <c r="K5022" s="2080"/>
      <c r="L5022" s="2080"/>
      <c r="M5022" s="2080"/>
      <c r="N5022" s="2080"/>
      <c r="O5022" s="2080"/>
      <c r="P5022" s="2080"/>
      <c r="Q5022" s="2080"/>
      <c r="R5022" s="2080"/>
      <c r="S5022" s="2081"/>
      <c r="T5022" s="2084"/>
      <c r="U5022" s="2085"/>
      <c r="V5022" s="2085"/>
      <c r="W5022" s="2085"/>
      <c r="X5022" s="2056"/>
      <c r="Y5022" s="2057"/>
      <c r="Z5022" s="2056"/>
      <c r="AA5022" s="2057"/>
      <c r="AB5022" s="1122" t="s">
        <v>2180</v>
      </c>
      <c r="AC5022" s="1122" t="s">
        <v>2181</v>
      </c>
      <c r="AD5022" s="1122" t="s">
        <v>1869</v>
      </c>
      <c r="AE5022" s="2066"/>
      <c r="AF5022" s="2069"/>
    </row>
    <row r="5023" spans="1:33" ht="15.75" x14ac:dyDescent="0.25">
      <c r="A5023" s="2017"/>
      <c r="B5023" s="2018"/>
      <c r="C5023" s="2018"/>
      <c r="D5023" s="2018"/>
      <c r="E5023" s="2018"/>
      <c r="F5023" s="2018"/>
      <c r="G5023" s="2018"/>
      <c r="H5023" s="2018"/>
      <c r="I5023" s="2018"/>
      <c r="J5023" s="2018"/>
      <c r="K5023" s="2018"/>
      <c r="L5023" s="2018"/>
      <c r="M5023" s="2018"/>
      <c r="N5023" s="2018"/>
      <c r="O5023" s="2018"/>
      <c r="P5023" s="2018"/>
      <c r="Q5023" s="2018"/>
      <c r="R5023" s="2018"/>
      <c r="S5023" s="2018"/>
      <c r="T5023" s="2018"/>
      <c r="U5023" s="2018"/>
      <c r="V5023" s="2018"/>
      <c r="W5023" s="2018"/>
      <c r="X5023" s="2018"/>
      <c r="Y5023" s="2094"/>
      <c r="Z5023" s="2096"/>
      <c r="AA5023" s="2097"/>
      <c r="AB5023" s="1050">
        <f>+AF4930</f>
        <v>1239.7</v>
      </c>
      <c r="AC5023" s="1050">
        <f>+AF5008</f>
        <v>62.95</v>
      </c>
      <c r="AD5023" s="1050">
        <v>1.25</v>
      </c>
      <c r="AE5023" s="1051">
        <f>+'01'!E15</f>
        <v>5</v>
      </c>
      <c r="AF5023" s="1052">
        <f>ROUND((AB5023-AC5023)*AD5023*AE5023,2)</f>
        <v>7354.69</v>
      </c>
      <c r="AG5023" s="481"/>
    </row>
    <row r="5024" spans="1:33" ht="15.75" x14ac:dyDescent="0.25">
      <c r="A5024" s="2017"/>
      <c r="B5024" s="2018"/>
      <c r="C5024" s="2018"/>
      <c r="D5024" s="2018"/>
      <c r="E5024" s="2018"/>
      <c r="F5024" s="2018"/>
      <c r="G5024" s="2018"/>
      <c r="H5024" s="2018"/>
      <c r="I5024" s="2018"/>
      <c r="J5024" s="2018"/>
      <c r="K5024" s="2018"/>
      <c r="L5024" s="2018"/>
      <c r="M5024" s="2018"/>
      <c r="N5024" s="2018"/>
      <c r="O5024" s="2018"/>
      <c r="P5024" s="2018"/>
      <c r="Q5024" s="2018"/>
      <c r="R5024" s="2018"/>
      <c r="S5024" s="2018"/>
      <c r="T5024" s="2018"/>
      <c r="U5024" s="2018"/>
      <c r="V5024" s="2018"/>
      <c r="W5024" s="2018"/>
      <c r="X5024" s="2018"/>
      <c r="Y5024" s="2094"/>
      <c r="Z5024" s="2096"/>
      <c r="AA5024" s="2097"/>
      <c r="AB5024" s="1050"/>
      <c r="AC5024" s="1050"/>
      <c r="AD5024" s="1050"/>
      <c r="AE5024" s="1051"/>
      <c r="AF5024" s="1052"/>
    </row>
    <row r="5025" spans="1:32" ht="15.75" x14ac:dyDescent="0.25">
      <c r="A5025" s="2017"/>
      <c r="B5025" s="2018"/>
      <c r="C5025" s="2018"/>
      <c r="D5025" s="2018"/>
      <c r="E5025" s="2018"/>
      <c r="F5025" s="2018"/>
      <c r="G5025" s="2018"/>
      <c r="H5025" s="2018"/>
      <c r="I5025" s="2018"/>
      <c r="J5025" s="2018"/>
      <c r="K5025" s="2018"/>
      <c r="L5025" s="2018"/>
      <c r="M5025" s="2018"/>
      <c r="N5025" s="2018"/>
      <c r="O5025" s="2018"/>
      <c r="P5025" s="2018"/>
      <c r="Q5025" s="2018"/>
      <c r="R5025" s="2018"/>
      <c r="S5025" s="2018"/>
      <c r="T5025" s="2018"/>
      <c r="U5025" s="2018"/>
      <c r="V5025" s="2018"/>
      <c r="W5025" s="2018"/>
      <c r="X5025" s="2018"/>
      <c r="Y5025" s="2094"/>
      <c r="Z5025" s="2096"/>
      <c r="AA5025" s="2097"/>
      <c r="AB5025" s="1050"/>
      <c r="AC5025" s="1050"/>
      <c r="AD5025" s="1050"/>
      <c r="AE5025" s="1051"/>
      <c r="AF5025" s="1052"/>
    </row>
    <row r="5026" spans="1:32" ht="15.75" x14ac:dyDescent="0.25">
      <c r="A5026" s="2017"/>
      <c r="B5026" s="2018"/>
      <c r="C5026" s="2018"/>
      <c r="D5026" s="2018"/>
      <c r="E5026" s="2018"/>
      <c r="F5026" s="2018"/>
      <c r="G5026" s="2018"/>
      <c r="H5026" s="2018"/>
      <c r="I5026" s="2018"/>
      <c r="J5026" s="2018"/>
      <c r="K5026" s="2018"/>
      <c r="L5026" s="2018"/>
      <c r="M5026" s="2018"/>
      <c r="N5026" s="2018"/>
      <c r="O5026" s="2018"/>
      <c r="P5026" s="2018"/>
      <c r="Q5026" s="2018"/>
      <c r="R5026" s="2018"/>
      <c r="S5026" s="2018"/>
      <c r="T5026" s="2018"/>
      <c r="U5026" s="2018"/>
      <c r="V5026" s="2018"/>
      <c r="W5026" s="2018"/>
      <c r="X5026" s="2018"/>
      <c r="Y5026" s="2094"/>
      <c r="Z5026" s="2096"/>
      <c r="AA5026" s="2097"/>
      <c r="AB5026" s="1050"/>
      <c r="AC5026" s="1050"/>
      <c r="AD5026" s="1050"/>
      <c r="AE5026" s="1051"/>
      <c r="AF5026" s="1052"/>
    </row>
    <row r="5027" spans="1:32" ht="15.75" x14ac:dyDescent="0.25">
      <c r="A5027" s="2017"/>
      <c r="B5027" s="2018"/>
      <c r="C5027" s="2018"/>
      <c r="D5027" s="2018"/>
      <c r="E5027" s="2018"/>
      <c r="F5027" s="2018"/>
      <c r="G5027" s="2018"/>
      <c r="H5027" s="2018"/>
      <c r="I5027" s="2018"/>
      <c r="J5027" s="2018"/>
      <c r="K5027" s="2018"/>
      <c r="L5027" s="2018"/>
      <c r="M5027" s="2018"/>
      <c r="N5027" s="2018"/>
      <c r="O5027" s="2018"/>
      <c r="P5027" s="2018"/>
      <c r="Q5027" s="2018"/>
      <c r="R5027" s="2018"/>
      <c r="S5027" s="2018"/>
      <c r="T5027" s="2018"/>
      <c r="U5027" s="2018"/>
      <c r="V5027" s="2018"/>
      <c r="W5027" s="2018"/>
      <c r="X5027" s="2018"/>
      <c r="Y5027" s="2094"/>
      <c r="Z5027" s="2096"/>
      <c r="AA5027" s="2097"/>
      <c r="AB5027" s="1050"/>
      <c r="AC5027" s="1050"/>
      <c r="AD5027" s="1050"/>
      <c r="AE5027" s="1051"/>
      <c r="AF5027" s="1052"/>
    </row>
    <row r="5028" spans="1:32" ht="15.75" x14ac:dyDescent="0.25">
      <c r="A5028" s="2017"/>
      <c r="B5028" s="2018"/>
      <c r="C5028" s="2018"/>
      <c r="D5028" s="2018"/>
      <c r="E5028" s="2018"/>
      <c r="F5028" s="2018"/>
      <c r="G5028" s="2018"/>
      <c r="H5028" s="2018"/>
      <c r="I5028" s="2018"/>
      <c r="J5028" s="2018"/>
      <c r="K5028" s="2018"/>
      <c r="L5028" s="2018"/>
      <c r="M5028" s="2018"/>
      <c r="N5028" s="2018"/>
      <c r="O5028" s="2018"/>
      <c r="P5028" s="2018"/>
      <c r="Q5028" s="2018"/>
      <c r="R5028" s="2018"/>
      <c r="S5028" s="2018"/>
      <c r="T5028" s="2018"/>
      <c r="U5028" s="2018"/>
      <c r="V5028" s="2018"/>
      <c r="W5028" s="2018"/>
      <c r="X5028" s="2018"/>
      <c r="Y5028" s="2094"/>
      <c r="Z5028" s="2096"/>
      <c r="AA5028" s="2097"/>
      <c r="AB5028" s="1050"/>
      <c r="AC5028" s="1050"/>
      <c r="AD5028" s="1050"/>
      <c r="AE5028" s="1051"/>
      <c r="AF5028" s="1052"/>
    </row>
    <row r="5029" spans="1:32" ht="15.75" x14ac:dyDescent="0.25">
      <c r="A5029" s="2017"/>
      <c r="B5029" s="2018"/>
      <c r="C5029" s="2018"/>
      <c r="D5029" s="2018"/>
      <c r="E5029" s="2018"/>
      <c r="F5029" s="2018"/>
      <c r="G5029" s="2018"/>
      <c r="H5029" s="2018"/>
      <c r="I5029" s="2018"/>
      <c r="J5029" s="2018"/>
      <c r="K5029" s="2018"/>
      <c r="L5029" s="2018"/>
      <c r="M5029" s="2018"/>
      <c r="N5029" s="2018"/>
      <c r="O5029" s="2018"/>
      <c r="P5029" s="2018"/>
      <c r="Q5029" s="2018"/>
      <c r="R5029" s="2018"/>
      <c r="S5029" s="2018"/>
      <c r="T5029" s="2018"/>
      <c r="U5029" s="2018"/>
      <c r="V5029" s="2018"/>
      <c r="W5029" s="2018"/>
      <c r="X5029" s="2018"/>
      <c r="Y5029" s="2094"/>
      <c r="Z5029" s="2096"/>
      <c r="AA5029" s="2097"/>
      <c r="AB5029" s="1050"/>
      <c r="AC5029" s="1050"/>
      <c r="AD5029" s="1050"/>
      <c r="AE5029" s="1051"/>
      <c r="AF5029" s="1052"/>
    </row>
    <row r="5030" spans="1:32" ht="15.75" x14ac:dyDescent="0.25">
      <c r="A5030" s="2017"/>
      <c r="B5030" s="2018"/>
      <c r="C5030" s="2018"/>
      <c r="D5030" s="2018"/>
      <c r="E5030" s="2018"/>
      <c r="F5030" s="2018"/>
      <c r="G5030" s="2018"/>
      <c r="H5030" s="2018"/>
      <c r="I5030" s="2018"/>
      <c r="J5030" s="2018"/>
      <c r="K5030" s="2018"/>
      <c r="L5030" s="2018"/>
      <c r="M5030" s="2018"/>
      <c r="N5030" s="2018"/>
      <c r="O5030" s="2018"/>
      <c r="P5030" s="2018"/>
      <c r="Q5030" s="2018"/>
      <c r="R5030" s="2018"/>
      <c r="S5030" s="2018"/>
      <c r="T5030" s="2018"/>
      <c r="U5030" s="2018"/>
      <c r="V5030" s="2018"/>
      <c r="W5030" s="2018"/>
      <c r="X5030" s="2018"/>
      <c r="Y5030" s="2094"/>
      <c r="Z5030" s="2096"/>
      <c r="AA5030" s="2097"/>
      <c r="AB5030" s="1053"/>
      <c r="AC5030" s="1053"/>
      <c r="AD5030" s="1053"/>
      <c r="AE5030" s="1051"/>
      <c r="AF5030" s="1052"/>
    </row>
    <row r="5031" spans="1:32" ht="15.75" x14ac:dyDescent="0.25">
      <c r="A5031" s="2017"/>
      <c r="B5031" s="2018"/>
      <c r="C5031" s="2018"/>
      <c r="D5031" s="2018"/>
      <c r="E5031" s="2018"/>
      <c r="F5031" s="2018"/>
      <c r="G5031" s="2018"/>
      <c r="H5031" s="2018"/>
      <c r="I5031" s="2018"/>
      <c r="J5031" s="2018"/>
      <c r="K5031" s="2018"/>
      <c r="L5031" s="2018"/>
      <c r="M5031" s="2018"/>
      <c r="N5031" s="2018"/>
      <c r="O5031" s="2018"/>
      <c r="P5031" s="2018"/>
      <c r="Q5031" s="2018"/>
      <c r="R5031" s="2018"/>
      <c r="S5031" s="2018"/>
      <c r="T5031" s="2018"/>
      <c r="U5031" s="2018"/>
      <c r="V5031" s="2018"/>
      <c r="W5031" s="2018"/>
      <c r="X5031" s="2018"/>
      <c r="Y5031" s="2094"/>
      <c r="Z5031" s="2096"/>
      <c r="AA5031" s="2097"/>
      <c r="AB5031" s="1053"/>
      <c r="AC5031" s="1053"/>
      <c r="AD5031" s="1053"/>
      <c r="AE5031" s="1050"/>
      <c r="AF5031" s="1054"/>
    </row>
    <row r="5032" spans="1:32" ht="15.75" x14ac:dyDescent="0.25">
      <c r="A5032" s="2017"/>
      <c r="B5032" s="2018"/>
      <c r="C5032" s="2018"/>
      <c r="D5032" s="2018"/>
      <c r="E5032" s="2018"/>
      <c r="F5032" s="2018"/>
      <c r="G5032" s="2018"/>
      <c r="H5032" s="2018"/>
      <c r="I5032" s="2018"/>
      <c r="J5032" s="2018"/>
      <c r="K5032" s="2018"/>
      <c r="L5032" s="2018"/>
      <c r="M5032" s="2018"/>
      <c r="N5032" s="2018"/>
      <c r="O5032" s="2018"/>
      <c r="P5032" s="2018"/>
      <c r="Q5032" s="2018"/>
      <c r="R5032" s="2018"/>
      <c r="S5032" s="2018"/>
      <c r="T5032" s="2018"/>
      <c r="U5032" s="2018"/>
      <c r="V5032" s="2018"/>
      <c r="W5032" s="2018"/>
      <c r="X5032" s="2018"/>
      <c r="Y5032" s="2094"/>
      <c r="Z5032" s="2096"/>
      <c r="AA5032" s="2097"/>
      <c r="AB5032" s="1053"/>
      <c r="AC5032" s="1053"/>
      <c r="AD5032" s="1053"/>
      <c r="AE5032" s="1051"/>
      <c r="AF5032" s="1054"/>
    </row>
    <row r="5033" spans="1:32" ht="15.75" x14ac:dyDescent="0.25">
      <c r="A5033" s="2017"/>
      <c r="B5033" s="2018"/>
      <c r="C5033" s="2018"/>
      <c r="D5033" s="2018"/>
      <c r="E5033" s="2018"/>
      <c r="F5033" s="2018"/>
      <c r="G5033" s="2018"/>
      <c r="H5033" s="2018"/>
      <c r="I5033" s="2018"/>
      <c r="J5033" s="2018"/>
      <c r="K5033" s="2018"/>
      <c r="L5033" s="2018"/>
      <c r="M5033" s="2018"/>
      <c r="N5033" s="2018"/>
      <c r="O5033" s="2018"/>
      <c r="P5033" s="2018"/>
      <c r="Q5033" s="2018"/>
      <c r="R5033" s="2018"/>
      <c r="S5033" s="2018"/>
      <c r="T5033" s="2018"/>
      <c r="U5033" s="2018"/>
      <c r="V5033" s="2018"/>
      <c r="W5033" s="2018"/>
      <c r="X5033" s="2018"/>
      <c r="Y5033" s="2094"/>
      <c r="Z5033" s="2096"/>
      <c r="AA5033" s="2097"/>
      <c r="AB5033" s="1053"/>
      <c r="AC5033" s="1053"/>
      <c r="AD5033" s="1053"/>
      <c r="AE5033" s="1051"/>
      <c r="AF5033" s="1054"/>
    </row>
    <row r="5034" spans="1:32" ht="15.75" x14ac:dyDescent="0.25">
      <c r="A5034" s="2017"/>
      <c r="B5034" s="2018"/>
      <c r="C5034" s="2018"/>
      <c r="D5034" s="2018"/>
      <c r="E5034" s="2018"/>
      <c r="F5034" s="2018"/>
      <c r="G5034" s="2018"/>
      <c r="H5034" s="2018"/>
      <c r="I5034" s="2018"/>
      <c r="J5034" s="2018"/>
      <c r="K5034" s="2018"/>
      <c r="L5034" s="2018"/>
      <c r="M5034" s="2018"/>
      <c r="N5034" s="2018"/>
      <c r="O5034" s="2018"/>
      <c r="P5034" s="2018"/>
      <c r="Q5034" s="2018"/>
      <c r="R5034" s="2018"/>
      <c r="S5034" s="2018"/>
      <c r="T5034" s="2018"/>
      <c r="U5034" s="2018"/>
      <c r="V5034" s="2018"/>
      <c r="W5034" s="2018"/>
      <c r="X5034" s="2018"/>
      <c r="Y5034" s="2094"/>
      <c r="Z5034" s="2096"/>
      <c r="AA5034" s="2097"/>
      <c r="AB5034" s="1053"/>
      <c r="AC5034" s="1053"/>
      <c r="AD5034" s="1053"/>
      <c r="AE5034" s="1051"/>
      <c r="AF5034" s="1054"/>
    </row>
    <row r="5035" spans="1:32" ht="15.75" x14ac:dyDescent="0.25">
      <c r="A5035" s="2017"/>
      <c r="B5035" s="2018"/>
      <c r="C5035" s="2018"/>
      <c r="D5035" s="2018"/>
      <c r="E5035" s="2018"/>
      <c r="F5035" s="2018"/>
      <c r="G5035" s="2018"/>
      <c r="H5035" s="2018"/>
      <c r="I5035" s="2018"/>
      <c r="J5035" s="2018"/>
      <c r="K5035" s="2018"/>
      <c r="L5035" s="2018"/>
      <c r="M5035" s="2018"/>
      <c r="N5035" s="2018"/>
      <c r="O5035" s="2018"/>
      <c r="P5035" s="2018"/>
      <c r="Q5035" s="2018"/>
      <c r="R5035" s="2018"/>
      <c r="S5035" s="2018"/>
      <c r="T5035" s="2018"/>
      <c r="U5035" s="2018"/>
      <c r="V5035" s="2018"/>
      <c r="W5035" s="2018"/>
      <c r="X5035" s="2018"/>
      <c r="Y5035" s="2094"/>
      <c r="Z5035" s="2096"/>
      <c r="AA5035" s="2097"/>
      <c r="AB5035" s="1053"/>
      <c r="AC5035" s="1053"/>
      <c r="AD5035" s="1053"/>
      <c r="AE5035" s="1051"/>
      <c r="AF5035" s="1054"/>
    </row>
    <row r="5036" spans="1:32" ht="15.75" x14ac:dyDescent="0.25">
      <c r="A5036" s="2017"/>
      <c r="B5036" s="2018"/>
      <c r="C5036" s="2018"/>
      <c r="D5036" s="2018"/>
      <c r="E5036" s="2018"/>
      <c r="F5036" s="2018"/>
      <c r="G5036" s="2018"/>
      <c r="H5036" s="2018"/>
      <c r="I5036" s="2018"/>
      <c r="J5036" s="2018"/>
      <c r="K5036" s="2018"/>
      <c r="L5036" s="2018"/>
      <c r="M5036" s="2018"/>
      <c r="N5036" s="2018"/>
      <c r="O5036" s="2018"/>
      <c r="P5036" s="2018"/>
      <c r="Q5036" s="2018"/>
      <c r="R5036" s="2018"/>
      <c r="S5036" s="2018"/>
      <c r="T5036" s="2018"/>
      <c r="U5036" s="2018"/>
      <c r="V5036" s="2018"/>
      <c r="W5036" s="2018"/>
      <c r="X5036" s="2018"/>
      <c r="Y5036" s="2094"/>
      <c r="Z5036" s="2096"/>
      <c r="AA5036" s="2097"/>
      <c r="AB5036" s="1053"/>
      <c r="AC5036" s="1053"/>
      <c r="AD5036" s="1053"/>
      <c r="AE5036" s="1051"/>
      <c r="AF5036" s="1054"/>
    </row>
    <row r="5037" spans="1:32" ht="15.75" x14ac:dyDescent="0.25">
      <c r="A5037" s="2017"/>
      <c r="B5037" s="2018"/>
      <c r="C5037" s="2018"/>
      <c r="D5037" s="2018"/>
      <c r="E5037" s="2018"/>
      <c r="F5037" s="2018"/>
      <c r="G5037" s="2018"/>
      <c r="H5037" s="2018"/>
      <c r="I5037" s="2018"/>
      <c r="J5037" s="2018"/>
      <c r="K5037" s="2018"/>
      <c r="L5037" s="2018"/>
      <c r="M5037" s="2018"/>
      <c r="N5037" s="2018"/>
      <c r="O5037" s="2018"/>
      <c r="P5037" s="2018"/>
      <c r="Q5037" s="2018"/>
      <c r="R5037" s="2018"/>
      <c r="S5037" s="2018"/>
      <c r="T5037" s="2018"/>
      <c r="U5037" s="2018"/>
      <c r="V5037" s="2018"/>
      <c r="W5037" s="2018"/>
      <c r="X5037" s="2018"/>
      <c r="Y5037" s="2094"/>
      <c r="Z5037" s="2096"/>
      <c r="AA5037" s="2097"/>
      <c r="AB5037" s="1055"/>
      <c r="AC5037" s="1055"/>
      <c r="AD5037" s="1055"/>
      <c r="AE5037" s="1051"/>
      <c r="AF5037" s="1056"/>
    </row>
    <row r="5038" spans="1:32" ht="15.75" x14ac:dyDescent="0.25">
      <c r="A5038" s="2017"/>
      <c r="B5038" s="2018"/>
      <c r="C5038" s="2018"/>
      <c r="D5038" s="2018"/>
      <c r="E5038" s="2018"/>
      <c r="F5038" s="2018"/>
      <c r="G5038" s="2018"/>
      <c r="H5038" s="2018"/>
      <c r="I5038" s="2018"/>
      <c r="J5038" s="2018"/>
      <c r="K5038" s="2018"/>
      <c r="L5038" s="2018"/>
      <c r="M5038" s="2018"/>
      <c r="N5038" s="2018"/>
      <c r="O5038" s="2018"/>
      <c r="P5038" s="2018"/>
      <c r="Q5038" s="2018"/>
      <c r="R5038" s="2018"/>
      <c r="S5038" s="2018"/>
      <c r="T5038" s="2018"/>
      <c r="U5038" s="2018"/>
      <c r="V5038" s="2018"/>
      <c r="W5038" s="2018"/>
      <c r="X5038" s="2018"/>
      <c r="Y5038" s="2094"/>
      <c r="Z5038" s="2096"/>
      <c r="AA5038" s="2097"/>
      <c r="AB5038" s="1055"/>
      <c r="AC5038" s="1055"/>
      <c r="AD5038" s="1055"/>
      <c r="AE5038" s="1055"/>
      <c r="AF5038" s="1056"/>
    </row>
    <row r="5039" spans="1:32" ht="15.75" x14ac:dyDescent="0.25">
      <c r="A5039" s="2017"/>
      <c r="B5039" s="2018"/>
      <c r="C5039" s="2018"/>
      <c r="D5039" s="2018"/>
      <c r="E5039" s="2018"/>
      <c r="F5039" s="2018"/>
      <c r="G5039" s="2018"/>
      <c r="H5039" s="2018"/>
      <c r="I5039" s="2018"/>
      <c r="J5039" s="2018"/>
      <c r="K5039" s="2018"/>
      <c r="L5039" s="2018"/>
      <c r="M5039" s="2018"/>
      <c r="N5039" s="2018"/>
      <c r="O5039" s="2018"/>
      <c r="P5039" s="2018"/>
      <c r="Q5039" s="2018"/>
      <c r="R5039" s="2018"/>
      <c r="S5039" s="2018"/>
      <c r="T5039" s="2018"/>
      <c r="U5039" s="2018"/>
      <c r="V5039" s="2018"/>
      <c r="W5039" s="2018"/>
      <c r="X5039" s="2018"/>
      <c r="Y5039" s="2094"/>
      <c r="Z5039" s="2096"/>
      <c r="AA5039" s="2097"/>
      <c r="AB5039" s="1055"/>
      <c r="AC5039" s="1055"/>
      <c r="AD5039" s="1055"/>
      <c r="AE5039" s="1055"/>
      <c r="AF5039" s="1056"/>
    </row>
    <row r="5040" spans="1:32" ht="15.75" x14ac:dyDescent="0.25">
      <c r="A5040" s="2017"/>
      <c r="B5040" s="2018"/>
      <c r="C5040" s="2018"/>
      <c r="D5040" s="2018"/>
      <c r="E5040" s="2018"/>
      <c r="F5040" s="2018"/>
      <c r="G5040" s="2018"/>
      <c r="H5040" s="2018"/>
      <c r="I5040" s="2018"/>
      <c r="J5040" s="2018"/>
      <c r="K5040" s="2018"/>
      <c r="L5040" s="2018"/>
      <c r="M5040" s="2018"/>
      <c r="N5040" s="2018"/>
      <c r="O5040" s="2018"/>
      <c r="P5040" s="2018"/>
      <c r="Q5040" s="2018"/>
      <c r="R5040" s="2018"/>
      <c r="S5040" s="2018"/>
      <c r="T5040" s="2018"/>
      <c r="U5040" s="2018"/>
      <c r="V5040" s="2018"/>
      <c r="W5040" s="2018"/>
      <c r="X5040" s="2018"/>
      <c r="Y5040" s="2094"/>
      <c r="Z5040" s="2096"/>
      <c r="AA5040" s="2097"/>
      <c r="AB5040" s="1055"/>
      <c r="AC5040" s="1055"/>
      <c r="AD5040" s="1055"/>
      <c r="AE5040" s="1055"/>
      <c r="AF5040" s="1056"/>
    </row>
    <row r="5041" spans="1:32" ht="15.75" x14ac:dyDescent="0.25">
      <c r="A5041" s="2017"/>
      <c r="B5041" s="2018"/>
      <c r="C5041" s="2018"/>
      <c r="D5041" s="2018"/>
      <c r="E5041" s="2018"/>
      <c r="F5041" s="2018"/>
      <c r="G5041" s="2018"/>
      <c r="H5041" s="2018"/>
      <c r="I5041" s="2018"/>
      <c r="J5041" s="2018"/>
      <c r="K5041" s="2018"/>
      <c r="L5041" s="2018"/>
      <c r="M5041" s="2018"/>
      <c r="N5041" s="2018"/>
      <c r="O5041" s="2018"/>
      <c r="P5041" s="2018"/>
      <c r="Q5041" s="2018"/>
      <c r="R5041" s="2018"/>
      <c r="S5041" s="2018"/>
      <c r="T5041" s="2018"/>
      <c r="U5041" s="2018"/>
      <c r="V5041" s="2018"/>
      <c r="W5041" s="2018"/>
      <c r="X5041" s="2018"/>
      <c r="Y5041" s="2094"/>
      <c r="Z5041" s="2096"/>
      <c r="AA5041" s="2097"/>
      <c r="AB5041" s="1055"/>
      <c r="AC5041" s="1055"/>
      <c r="AD5041" s="1055"/>
      <c r="AE5041" s="1055"/>
      <c r="AF5041" s="1056"/>
    </row>
    <row r="5042" spans="1:32" ht="15.75" x14ac:dyDescent="0.25">
      <c r="A5042" s="2017"/>
      <c r="B5042" s="2018"/>
      <c r="C5042" s="2018"/>
      <c r="D5042" s="2018"/>
      <c r="E5042" s="2018"/>
      <c r="F5042" s="2018"/>
      <c r="G5042" s="2018"/>
      <c r="H5042" s="2018"/>
      <c r="I5042" s="2018"/>
      <c r="J5042" s="2018"/>
      <c r="K5042" s="2018"/>
      <c r="L5042" s="2018"/>
      <c r="M5042" s="2018"/>
      <c r="N5042" s="2018"/>
      <c r="O5042" s="2018"/>
      <c r="P5042" s="2018"/>
      <c r="Q5042" s="2018"/>
      <c r="R5042" s="2018"/>
      <c r="S5042" s="2018"/>
      <c r="T5042" s="2018"/>
      <c r="U5042" s="2018"/>
      <c r="V5042" s="2018"/>
      <c r="W5042" s="2018"/>
      <c r="X5042" s="2018"/>
      <c r="Y5042" s="2094"/>
      <c r="Z5042" s="2096"/>
      <c r="AA5042" s="2097"/>
      <c r="AB5042" s="1055"/>
      <c r="AC5042" s="1055"/>
      <c r="AD5042" s="1055"/>
      <c r="AE5042" s="1055"/>
      <c r="AF5042" s="1056"/>
    </row>
    <row r="5043" spans="1:32" ht="16.5" thickBot="1" x14ac:dyDescent="0.3">
      <c r="A5043" s="2019"/>
      <c r="B5043" s="2020"/>
      <c r="C5043" s="2020"/>
      <c r="D5043" s="2020"/>
      <c r="E5043" s="2020"/>
      <c r="F5043" s="2020"/>
      <c r="G5043" s="2020"/>
      <c r="H5043" s="2020"/>
      <c r="I5043" s="2020"/>
      <c r="J5043" s="2020"/>
      <c r="K5043" s="2020"/>
      <c r="L5043" s="2020"/>
      <c r="M5043" s="2020"/>
      <c r="N5043" s="2020"/>
      <c r="O5043" s="2020"/>
      <c r="P5043" s="2020"/>
      <c r="Q5043" s="2020"/>
      <c r="R5043" s="2020"/>
      <c r="S5043" s="2020"/>
      <c r="T5043" s="2020"/>
      <c r="U5043" s="2020"/>
      <c r="V5043" s="2020"/>
      <c r="W5043" s="2020"/>
      <c r="X5043" s="2020"/>
      <c r="Y5043" s="2095"/>
      <c r="Z5043" s="2098"/>
      <c r="AA5043" s="2099"/>
      <c r="AB5043" s="1057"/>
      <c r="AC5043" s="1057"/>
      <c r="AD5043" s="1057"/>
      <c r="AE5043" s="1057"/>
      <c r="AF5043" s="1058"/>
    </row>
    <row r="5044" spans="1:32" ht="15.75" x14ac:dyDescent="0.25">
      <c r="A5044" s="2009" t="s">
        <v>2411</v>
      </c>
      <c r="B5044" s="2010"/>
      <c r="C5044" s="2010"/>
      <c r="D5044" s="2010"/>
      <c r="E5044" s="2010"/>
      <c r="F5044" s="2010"/>
      <c r="G5044" s="2010"/>
      <c r="H5044" s="2010"/>
      <c r="I5044" s="2010"/>
      <c r="J5044" s="2010"/>
      <c r="K5044" s="2010"/>
      <c r="L5044" s="2010"/>
      <c r="M5044" s="2010"/>
      <c r="N5044" s="2010"/>
      <c r="O5044" s="2010"/>
      <c r="P5044" s="2010"/>
      <c r="Q5044" s="2010"/>
      <c r="R5044" s="2010"/>
      <c r="S5044" s="2010"/>
      <c r="T5044" s="2010"/>
      <c r="U5044" s="2010"/>
      <c r="V5044" s="2010"/>
      <c r="W5044" s="2010"/>
      <c r="X5044" s="2010"/>
      <c r="Y5044" s="2010"/>
      <c r="Z5044" s="2013" t="s">
        <v>1850</v>
      </c>
      <c r="AA5044" s="2013"/>
      <c r="AB5044" s="2013"/>
      <c r="AC5044" s="2013"/>
      <c r="AD5044" s="2013"/>
      <c r="AE5044" s="2013"/>
      <c r="AF5044" s="1059">
        <f>SUM(AF5023:AF5043)</f>
        <v>7354.69</v>
      </c>
    </row>
    <row r="5045" spans="1:32" ht="15.75" x14ac:dyDescent="0.25">
      <c r="A5045" s="2011"/>
      <c r="B5045" s="2012"/>
      <c r="C5045" s="2012"/>
      <c r="D5045" s="2012"/>
      <c r="E5045" s="2012"/>
      <c r="F5045" s="2012"/>
      <c r="G5045" s="2012"/>
      <c r="H5045" s="2012"/>
      <c r="I5045" s="2012"/>
      <c r="J5045" s="2012"/>
      <c r="K5045" s="2012"/>
      <c r="L5045" s="2012"/>
      <c r="M5045" s="2012"/>
      <c r="N5045" s="2012"/>
      <c r="O5045" s="2012"/>
      <c r="P5045" s="2012"/>
      <c r="Q5045" s="2012"/>
      <c r="R5045" s="2012"/>
      <c r="S5045" s="2012"/>
      <c r="T5045" s="2012"/>
      <c r="U5045" s="2012"/>
      <c r="V5045" s="2012"/>
      <c r="W5045" s="2012"/>
      <c r="X5045" s="2012"/>
      <c r="Y5045" s="2012"/>
      <c r="Z5045" s="2014" t="s">
        <v>1851</v>
      </c>
      <c r="AA5045" s="2014"/>
      <c r="AB5045" s="2014"/>
      <c r="AC5045" s="2014"/>
      <c r="AD5045" s="2014"/>
      <c r="AE5045" s="2014"/>
      <c r="AF5045" s="1060">
        <v>0</v>
      </c>
    </row>
    <row r="5046" spans="1:32" ht="15.75" x14ac:dyDescent="0.25">
      <c r="A5046" s="2011"/>
      <c r="B5046" s="2012"/>
      <c r="C5046" s="2012"/>
      <c r="D5046" s="2012"/>
      <c r="E5046" s="2012"/>
      <c r="F5046" s="2012"/>
      <c r="G5046" s="2012"/>
      <c r="H5046" s="2012"/>
      <c r="I5046" s="2012"/>
      <c r="J5046" s="2012"/>
      <c r="K5046" s="2012"/>
      <c r="L5046" s="2012"/>
      <c r="M5046" s="2012"/>
      <c r="N5046" s="2012"/>
      <c r="O5046" s="2012"/>
      <c r="P5046" s="2012"/>
      <c r="Q5046" s="2012"/>
      <c r="R5046" s="2012"/>
      <c r="S5046" s="2012"/>
      <c r="T5046" s="2012"/>
      <c r="U5046" s="2012"/>
      <c r="V5046" s="2012"/>
      <c r="W5046" s="2012"/>
      <c r="X5046" s="2012"/>
      <c r="Y5046" s="2012"/>
      <c r="Z5046" s="2015" t="s">
        <v>1833</v>
      </c>
      <c r="AA5046" s="2015"/>
      <c r="AB5046" s="2015"/>
      <c r="AC5046" s="2015"/>
      <c r="AD5046" s="2015"/>
      <c r="AE5046" s="2015"/>
      <c r="AF5046" s="1061">
        <f>SUM(AF5044:AF5045)</f>
        <v>7354.69</v>
      </c>
    </row>
    <row r="5047" spans="1:32" x14ac:dyDescent="0.2">
      <c r="A5047" s="2012" t="s">
        <v>1859</v>
      </c>
      <c r="B5047" s="2012"/>
      <c r="C5047" s="2012"/>
      <c r="D5047" s="2012"/>
      <c r="E5047" s="2012"/>
      <c r="F5047" s="2012"/>
      <c r="G5047" s="2012"/>
      <c r="H5047" s="2012"/>
      <c r="I5047" s="2012"/>
      <c r="J5047" s="2012"/>
      <c r="K5047" s="2012"/>
      <c r="L5047" s="2012"/>
      <c r="M5047" s="2012"/>
      <c r="N5047" s="2012"/>
      <c r="O5047" s="2012"/>
      <c r="P5047" s="2012"/>
      <c r="Q5047" s="2012"/>
      <c r="R5047" s="2012"/>
      <c r="S5047" s="2012"/>
      <c r="T5047" s="2016" t="s">
        <v>1840</v>
      </c>
      <c r="U5047" s="2016"/>
      <c r="V5047" s="2016"/>
      <c r="W5047" s="2016"/>
      <c r="X5047" s="2016"/>
      <c r="Y5047" s="2016"/>
      <c r="Z5047" s="2016"/>
      <c r="AA5047" s="2016"/>
      <c r="AB5047" s="2012" t="s">
        <v>1852</v>
      </c>
      <c r="AC5047" s="2012"/>
      <c r="AD5047" s="2012"/>
      <c r="AE5047" s="2012"/>
      <c r="AF5047" s="2012"/>
    </row>
    <row r="5048" spans="1:32" x14ac:dyDescent="0.2">
      <c r="A5048" s="2012"/>
      <c r="B5048" s="2012"/>
      <c r="C5048" s="2012"/>
      <c r="D5048" s="2012"/>
      <c r="E5048" s="2012"/>
      <c r="F5048" s="2012"/>
      <c r="G5048" s="2012"/>
      <c r="H5048" s="2012"/>
      <c r="I5048" s="2012"/>
      <c r="J5048" s="2012"/>
      <c r="K5048" s="2012"/>
      <c r="L5048" s="2012"/>
      <c r="M5048" s="2012"/>
      <c r="N5048" s="2012"/>
      <c r="O5048" s="2012"/>
      <c r="P5048" s="2012"/>
      <c r="Q5048" s="2012"/>
      <c r="R5048" s="2012"/>
      <c r="S5048" s="2012"/>
      <c r="T5048" s="2016"/>
      <c r="U5048" s="2016"/>
      <c r="V5048" s="2016"/>
      <c r="W5048" s="2016"/>
      <c r="X5048" s="2016"/>
      <c r="Y5048" s="2016"/>
      <c r="Z5048" s="2016"/>
      <c r="AA5048" s="2016"/>
      <c r="AB5048" s="2012"/>
      <c r="AC5048" s="2012"/>
      <c r="AD5048" s="2012"/>
      <c r="AE5048" s="2012"/>
      <c r="AF5048" s="2012"/>
    </row>
    <row r="5049" spans="1:32" ht="16.5" thickBot="1" x14ac:dyDescent="0.25">
      <c r="A5049" s="1062"/>
      <c r="B5049" s="1062"/>
      <c r="C5049" s="1062"/>
      <c r="D5049" s="1062"/>
      <c r="E5049" s="1062"/>
      <c r="F5049" s="1062"/>
      <c r="G5049" s="1062"/>
      <c r="H5049" s="1062"/>
      <c r="I5049" s="1062"/>
      <c r="J5049" s="1062"/>
      <c r="K5049" s="1062"/>
      <c r="L5049" s="1062"/>
      <c r="M5049" s="1062"/>
      <c r="N5049" s="1062"/>
      <c r="O5049" s="1062"/>
      <c r="P5049" s="1062"/>
      <c r="Q5049" s="1062"/>
      <c r="R5049" s="1062"/>
      <c r="S5049" s="1062"/>
      <c r="T5049" s="1063"/>
      <c r="U5049" s="1063"/>
      <c r="V5049" s="1063"/>
      <c r="W5049" s="1063"/>
      <c r="X5049" s="1063"/>
      <c r="Y5049" s="1063"/>
      <c r="Z5049" s="1063"/>
      <c r="AA5049" s="1063"/>
      <c r="AB5049" s="1062"/>
      <c r="AC5049" s="1062"/>
      <c r="AD5049" s="1062"/>
      <c r="AE5049" s="1064"/>
      <c r="AF5049" s="1065"/>
    </row>
    <row r="5050" spans="1:32" ht="22.15" customHeight="1" x14ac:dyDescent="0.2">
      <c r="A5050" s="2025" t="s">
        <v>1854</v>
      </c>
      <c r="B5050" s="2026"/>
      <c r="C5050" s="2026"/>
      <c r="D5050" s="2026"/>
      <c r="E5050" s="2026"/>
      <c r="F5050" s="2026"/>
      <c r="G5050" s="2026"/>
      <c r="H5050" s="2026"/>
      <c r="I5050" s="2026"/>
      <c r="J5050" s="2026"/>
      <c r="K5050" s="2026"/>
      <c r="L5050" s="2026"/>
      <c r="M5050" s="2026"/>
      <c r="N5050" s="2026"/>
      <c r="O5050" s="2026"/>
      <c r="P5050" s="2026"/>
      <c r="Q5050" s="2026"/>
      <c r="R5050" s="2026"/>
      <c r="S5050" s="2026"/>
      <c r="T5050" s="2026"/>
      <c r="U5050" s="2026"/>
      <c r="V5050" s="2026"/>
      <c r="W5050" s="2026"/>
      <c r="X5050" s="2026"/>
      <c r="Y5050" s="2026"/>
      <c r="Z5050" s="2026"/>
      <c r="AA5050" s="2026"/>
      <c r="AB5050" s="2026"/>
      <c r="AC5050" s="2026"/>
      <c r="AD5050" s="2026"/>
      <c r="AE5050" s="1041" t="s">
        <v>1834</v>
      </c>
      <c r="AF5050" s="1042" t="s">
        <v>1835</v>
      </c>
    </row>
    <row r="5051" spans="1:32" ht="24" customHeight="1" thickBot="1" x14ac:dyDescent="0.25">
      <c r="A5051" s="2027"/>
      <c r="B5051" s="2028"/>
      <c r="C5051" s="2028"/>
      <c r="D5051" s="2028"/>
      <c r="E5051" s="2028"/>
      <c r="F5051" s="2028"/>
      <c r="G5051" s="2028"/>
      <c r="H5051" s="2028"/>
      <c r="I5051" s="2028"/>
      <c r="J5051" s="2028"/>
      <c r="K5051" s="2028"/>
      <c r="L5051" s="2028"/>
      <c r="M5051" s="2028"/>
      <c r="N5051" s="2028"/>
      <c r="O5051" s="2028"/>
      <c r="P5051" s="2028"/>
      <c r="Q5051" s="2028"/>
      <c r="R5051" s="2028"/>
      <c r="S5051" s="2028"/>
      <c r="T5051" s="2028"/>
      <c r="U5051" s="2028"/>
      <c r="V5051" s="2028"/>
      <c r="W5051" s="2028"/>
      <c r="X5051" s="2028"/>
      <c r="Y5051" s="2028"/>
      <c r="Z5051" s="2028"/>
      <c r="AA5051" s="2028"/>
      <c r="AB5051" s="2028"/>
      <c r="AC5051" s="2028"/>
      <c r="AD5051" s="2028"/>
      <c r="AE5051" s="1041" t="s">
        <v>1836</v>
      </c>
      <c r="AF5051" s="1044">
        <v>1</v>
      </c>
    </row>
    <row r="5052" spans="1:32" ht="15.75" x14ac:dyDescent="0.2">
      <c r="A5052" s="2029"/>
      <c r="B5052" s="2030"/>
      <c r="C5052" s="2030"/>
      <c r="D5052" s="2031"/>
      <c r="E5052" s="2025" t="str">
        <f>'01'!$A$12</f>
        <v>"CONSTRUCCION SISTEMA DE ACUEDUCTO FASE II DEL MUNICIPIO DE TESALIA DPTO DEL HUILA"</v>
      </c>
      <c r="F5052" s="2026"/>
      <c r="G5052" s="2026"/>
      <c r="H5052" s="2026"/>
      <c r="I5052" s="2026"/>
      <c r="J5052" s="2026"/>
      <c r="K5052" s="2026"/>
      <c r="L5052" s="2026"/>
      <c r="M5052" s="2026"/>
      <c r="N5052" s="2026"/>
      <c r="O5052" s="2026"/>
      <c r="P5052" s="2026"/>
      <c r="Q5052" s="2026"/>
      <c r="R5052" s="2026"/>
      <c r="S5052" s="2026"/>
      <c r="T5052" s="2026"/>
      <c r="U5052" s="2026"/>
      <c r="V5052" s="2026"/>
      <c r="W5052" s="2026"/>
      <c r="X5052" s="2026"/>
      <c r="Y5052" s="2026"/>
      <c r="Z5052" s="2026"/>
      <c r="AA5052" s="2026"/>
      <c r="AB5052" s="2026"/>
      <c r="AC5052" s="2026"/>
      <c r="AD5052" s="2035"/>
      <c r="AE5052" s="1041" t="s">
        <v>847</v>
      </c>
      <c r="AF5052" s="1045">
        <f>'01'!$M$13</f>
        <v>0</v>
      </c>
    </row>
    <row r="5053" spans="1:32" ht="16.5" thickBot="1" x14ac:dyDescent="0.25">
      <c r="A5053" s="2032"/>
      <c r="B5053" s="2033"/>
      <c r="C5053" s="2033"/>
      <c r="D5053" s="2034"/>
      <c r="E5053" s="2027"/>
      <c r="F5053" s="2028"/>
      <c r="G5053" s="2028"/>
      <c r="H5053" s="2028"/>
      <c r="I5053" s="2028"/>
      <c r="J5053" s="2028"/>
      <c r="K5053" s="2028"/>
      <c r="L5053" s="2028"/>
      <c r="M5053" s="2028"/>
      <c r="N5053" s="2028"/>
      <c r="O5053" s="2028"/>
      <c r="P5053" s="2028"/>
      <c r="Q5053" s="2028"/>
      <c r="R5053" s="2028"/>
      <c r="S5053" s="2028"/>
      <c r="T5053" s="2028"/>
      <c r="U5053" s="2028"/>
      <c r="V5053" s="2028"/>
      <c r="W5053" s="2028"/>
      <c r="X5053" s="2028"/>
      <c r="Y5053" s="2028"/>
      <c r="Z5053" s="2028"/>
      <c r="AA5053" s="2028"/>
      <c r="AB5053" s="2028"/>
      <c r="AC5053" s="2028"/>
      <c r="AD5053" s="2036"/>
      <c r="AE5053" s="1041" t="s">
        <v>1837</v>
      </c>
      <c r="AF5053" s="1042" t="s">
        <v>1838</v>
      </c>
    </row>
    <row r="5054" spans="1:32" ht="15.75" x14ac:dyDescent="0.25">
      <c r="A5054" s="2037" t="s">
        <v>1860</v>
      </c>
      <c r="B5054" s="2038"/>
      <c r="C5054" s="2038"/>
      <c r="D5054" s="2038"/>
      <c r="E5054" s="2038"/>
      <c r="F5054" s="2038"/>
      <c r="G5054" s="2038"/>
      <c r="H5054" s="2038"/>
      <c r="I5054" s="2038"/>
      <c r="J5054" s="2038"/>
      <c r="K5054" s="2038"/>
      <c r="L5054" s="2038"/>
      <c r="M5054" s="2038"/>
      <c r="N5054" s="2038"/>
      <c r="O5054" s="2038"/>
      <c r="P5054" s="2038"/>
      <c r="Q5054" s="2038"/>
      <c r="R5054" s="2038"/>
      <c r="S5054" s="2038"/>
      <c r="T5054" s="2038"/>
      <c r="U5054" s="2038"/>
      <c r="V5054" s="2038"/>
      <c r="W5054" s="2038"/>
      <c r="X5054" s="2038"/>
      <c r="Y5054" s="2038"/>
      <c r="Z5054" s="2038"/>
      <c r="AA5054" s="2038"/>
      <c r="AB5054" s="2038"/>
      <c r="AC5054" s="2038"/>
      <c r="AD5054" s="2038"/>
      <c r="AE5054" s="2039" t="s">
        <v>1839</v>
      </c>
      <c r="AF5054" s="2040"/>
    </row>
    <row r="5055" spans="1:32" ht="15.75" x14ac:dyDescent="0.25">
      <c r="A5055" s="2041" t="s">
        <v>1840</v>
      </c>
      <c r="B5055" s="2042"/>
      <c r="C5055" s="2042"/>
      <c r="D5055" s="2042"/>
      <c r="E5055" s="2042"/>
      <c r="F5055" s="2042"/>
      <c r="G5055" s="2042"/>
      <c r="H5055" s="2042"/>
      <c r="I5055" s="2042"/>
      <c r="J5055" s="2042"/>
      <c r="K5055" s="2042"/>
      <c r="L5055" s="2042"/>
      <c r="M5055" s="2042"/>
      <c r="N5055" s="2042"/>
      <c r="O5055" s="2042"/>
      <c r="P5055" s="2042"/>
      <c r="Q5055" s="2042"/>
      <c r="R5055" s="2042"/>
      <c r="S5055" s="2042"/>
      <c r="T5055" s="2042"/>
      <c r="U5055" s="2042"/>
      <c r="V5055" s="2042"/>
      <c r="W5055" s="2042"/>
      <c r="X5055" s="2042"/>
      <c r="Y5055" s="2042"/>
      <c r="Z5055" s="2042"/>
      <c r="AA5055" s="2042"/>
      <c r="AB5055" s="2042"/>
      <c r="AC5055" s="2042"/>
      <c r="AD5055" s="2043"/>
      <c r="AE5055" s="2014" t="s">
        <v>1841</v>
      </c>
      <c r="AF5055" s="2044"/>
    </row>
    <row r="5056" spans="1:32" ht="15.75" x14ac:dyDescent="0.25">
      <c r="A5056" s="2045" t="s">
        <v>1853</v>
      </c>
      <c r="B5056" s="2046"/>
      <c r="C5056" s="2046"/>
      <c r="D5056" s="2046"/>
      <c r="E5056" s="2046"/>
      <c r="F5056" s="2046"/>
      <c r="G5056" s="2046"/>
      <c r="H5056" s="2046"/>
      <c r="I5056" s="2046"/>
      <c r="J5056" s="2046"/>
      <c r="K5056" s="2046"/>
      <c r="L5056" s="2046"/>
      <c r="M5056" s="2046"/>
      <c r="N5056" s="2046"/>
      <c r="O5056" s="2046"/>
      <c r="P5056" s="2046"/>
      <c r="Q5056" s="2046"/>
      <c r="R5056" s="2046"/>
      <c r="S5056" s="2046"/>
      <c r="T5056" s="2046"/>
      <c r="U5056" s="2046"/>
      <c r="V5056" s="2046"/>
      <c r="W5056" s="2046"/>
      <c r="X5056" s="2046"/>
      <c r="Y5056" s="2046"/>
      <c r="Z5056" s="2046"/>
      <c r="AA5056" s="2046"/>
      <c r="AB5056" s="2046"/>
      <c r="AC5056" s="2046"/>
      <c r="AD5056" s="2046"/>
      <c r="AE5056" s="2047">
        <f>'01'!$M$13</f>
        <v>0</v>
      </c>
      <c r="AF5056" s="2044"/>
    </row>
    <row r="5057" spans="1:32" x14ac:dyDescent="0.2">
      <c r="A5057" s="1046"/>
      <c r="B5057" s="1047"/>
      <c r="C5057" s="1047"/>
      <c r="D5057" s="1047"/>
      <c r="E5057" s="1047"/>
      <c r="F5057" s="1047"/>
      <c r="G5057" s="1047"/>
      <c r="H5057" s="1047"/>
      <c r="I5057" s="1047"/>
      <c r="J5057" s="1047"/>
      <c r="K5057" s="1047"/>
      <c r="L5057" s="1047"/>
      <c r="M5057" s="1047"/>
      <c r="N5057" s="1047"/>
      <c r="O5057" s="1047"/>
      <c r="P5057" s="1047"/>
      <c r="Q5057" s="1047"/>
      <c r="R5057" s="1047"/>
      <c r="S5057" s="1047"/>
      <c r="T5057" s="1047"/>
      <c r="U5057" s="1047"/>
      <c r="V5057" s="1047"/>
      <c r="W5057" s="1047"/>
      <c r="X5057" s="1047"/>
      <c r="Y5057" s="1047"/>
      <c r="Z5057" s="1047"/>
      <c r="AA5057" s="1047"/>
      <c r="AB5057" s="1047"/>
      <c r="AC5057" s="1047"/>
      <c r="AD5057" s="1047"/>
      <c r="AE5057" s="1047"/>
      <c r="AF5057" s="1048"/>
    </row>
    <row r="5058" spans="1:32" ht="15.75" x14ac:dyDescent="0.2">
      <c r="A5058" s="2048" t="s">
        <v>1842</v>
      </c>
      <c r="B5058" s="2049"/>
      <c r="C5058" s="2049"/>
      <c r="D5058" s="2049"/>
      <c r="E5058" s="2049"/>
      <c r="F5058" s="2050" t="str">
        <f>+'01'!$H$201</f>
        <v>H - TANQUE DE ALMACENAMIENTO</v>
      </c>
      <c r="G5058" s="2049"/>
      <c r="H5058" s="2049"/>
      <c r="I5058" s="2049"/>
      <c r="J5058" s="2049"/>
      <c r="K5058" s="2049"/>
      <c r="L5058" s="2049"/>
      <c r="M5058" s="2049"/>
      <c r="N5058" s="2049"/>
      <c r="O5058" s="2049"/>
      <c r="P5058" s="2049"/>
      <c r="Q5058" s="2049"/>
      <c r="R5058" s="2049"/>
      <c r="S5058" s="2049"/>
      <c r="T5058" s="2049"/>
      <c r="U5058" s="2049"/>
      <c r="V5058" s="2049"/>
      <c r="W5058" s="2049"/>
      <c r="X5058" s="2049"/>
      <c r="Y5058" s="2051"/>
      <c r="Z5058" s="2052" t="s">
        <v>1843</v>
      </c>
      <c r="AA5058" s="2053"/>
      <c r="AB5058" s="2058" t="s">
        <v>1844</v>
      </c>
      <c r="AC5058" s="2059"/>
      <c r="AD5058" s="2060"/>
      <c r="AE5058" s="2064" t="s">
        <v>2184</v>
      </c>
      <c r="AF5058" s="2067" t="s">
        <v>1846</v>
      </c>
    </row>
    <row r="5059" spans="1:32" x14ac:dyDescent="0.2">
      <c r="A5059" s="2070" t="str">
        <f>+'01'!A212</f>
        <v>H-04-02</v>
      </c>
      <c r="B5059" s="2071"/>
      <c r="C5059" s="2072"/>
      <c r="D5059" s="2076" t="str">
        <f>VLOOKUP(A5059,'01'!$A$12:$N$299,3,FALSE)</f>
        <v>DISPOSICIÓN DE MATERIAL PROVENIENTE DE EXCAVACIÓN (NO INCLUYE TRANSPORTE)</v>
      </c>
      <c r="E5059" s="2077"/>
      <c r="F5059" s="2077"/>
      <c r="G5059" s="2077"/>
      <c r="H5059" s="2077"/>
      <c r="I5059" s="2077"/>
      <c r="J5059" s="2077"/>
      <c r="K5059" s="2077"/>
      <c r="L5059" s="2077"/>
      <c r="M5059" s="2077"/>
      <c r="N5059" s="2077"/>
      <c r="O5059" s="2077"/>
      <c r="P5059" s="2077"/>
      <c r="Q5059" s="2077"/>
      <c r="R5059" s="2077"/>
      <c r="S5059" s="2078"/>
      <c r="T5059" s="2082" t="s">
        <v>124</v>
      </c>
      <c r="U5059" s="2083"/>
      <c r="V5059" s="2083"/>
      <c r="W5059" s="2083"/>
      <c r="X5059" s="2052" t="str">
        <f>VLOOKUP(A5059,'01'!$A$12:$N$299,9,FALSE)</f>
        <v>M3</v>
      </c>
      <c r="Y5059" s="2053"/>
      <c r="Z5059" s="2054"/>
      <c r="AA5059" s="2055"/>
      <c r="AB5059" s="2061"/>
      <c r="AC5059" s="2062"/>
      <c r="AD5059" s="2063"/>
      <c r="AE5059" s="2065"/>
      <c r="AF5059" s="2068"/>
    </row>
    <row r="5060" spans="1:32" ht="31.5" x14ac:dyDescent="0.25">
      <c r="A5060" s="2073"/>
      <c r="B5060" s="2074"/>
      <c r="C5060" s="2075"/>
      <c r="D5060" s="2079"/>
      <c r="E5060" s="2080"/>
      <c r="F5060" s="2080"/>
      <c r="G5060" s="2080"/>
      <c r="H5060" s="2080"/>
      <c r="I5060" s="2080"/>
      <c r="J5060" s="2080"/>
      <c r="K5060" s="2080"/>
      <c r="L5060" s="2080"/>
      <c r="M5060" s="2080"/>
      <c r="N5060" s="2080"/>
      <c r="O5060" s="2080"/>
      <c r="P5060" s="2080"/>
      <c r="Q5060" s="2080"/>
      <c r="R5060" s="2080"/>
      <c r="S5060" s="2081"/>
      <c r="T5060" s="2084"/>
      <c r="U5060" s="2085"/>
      <c r="V5060" s="2085"/>
      <c r="W5060" s="2085"/>
      <c r="X5060" s="2056"/>
      <c r="Y5060" s="2057"/>
      <c r="Z5060" s="2056"/>
      <c r="AA5060" s="2057"/>
      <c r="AB5060" s="1122" t="s">
        <v>2180</v>
      </c>
      <c r="AC5060" s="1122" t="s">
        <v>2181</v>
      </c>
      <c r="AD5060" s="1122" t="s">
        <v>1869</v>
      </c>
      <c r="AE5060" s="2066"/>
      <c r="AF5060" s="2069"/>
    </row>
    <row r="5061" spans="1:32" ht="15.75" x14ac:dyDescent="0.25">
      <c r="A5061" s="2017"/>
      <c r="B5061" s="2018"/>
      <c r="C5061" s="2018"/>
      <c r="D5061" s="2018"/>
      <c r="E5061" s="2018"/>
      <c r="F5061" s="2018"/>
      <c r="G5061" s="2018"/>
      <c r="H5061" s="2018"/>
      <c r="I5061" s="2018"/>
      <c r="J5061" s="2018"/>
      <c r="K5061" s="2018"/>
      <c r="L5061" s="2018"/>
      <c r="M5061" s="2018"/>
      <c r="N5061" s="2018"/>
      <c r="O5061" s="2018"/>
      <c r="P5061" s="2018"/>
      <c r="Q5061" s="2018"/>
      <c r="R5061" s="2018"/>
      <c r="S5061" s="2018"/>
      <c r="T5061" s="2018"/>
      <c r="U5061" s="2018"/>
      <c r="V5061" s="2018"/>
      <c r="W5061" s="2018"/>
      <c r="X5061" s="2018"/>
      <c r="Y5061" s="2094"/>
      <c r="Z5061" s="2096"/>
      <c r="AA5061" s="2097"/>
      <c r="AB5061" s="1050">
        <f>+AB5023</f>
        <v>1239.7</v>
      </c>
      <c r="AC5061" s="1050">
        <f>+AC5023</f>
        <v>62.95</v>
      </c>
      <c r="AD5061" s="1050">
        <f>+AD5023</f>
        <v>1.25</v>
      </c>
      <c r="AE5061" s="1051">
        <f>+'01'!E15</f>
        <v>5</v>
      </c>
      <c r="AF5061" s="1052">
        <f>ROUND((AB5061-AC5061)*AD5061,2)</f>
        <v>1470.94</v>
      </c>
    </row>
    <row r="5062" spans="1:32" ht="15.75" x14ac:dyDescent="0.25">
      <c r="A5062" s="2017"/>
      <c r="B5062" s="2018"/>
      <c r="C5062" s="2018"/>
      <c r="D5062" s="2018"/>
      <c r="E5062" s="2018"/>
      <c r="F5062" s="2018"/>
      <c r="G5062" s="2018"/>
      <c r="H5062" s="2018"/>
      <c r="I5062" s="2018"/>
      <c r="J5062" s="2018"/>
      <c r="K5062" s="2018"/>
      <c r="L5062" s="2018"/>
      <c r="M5062" s="2018"/>
      <c r="N5062" s="2018"/>
      <c r="O5062" s="2018"/>
      <c r="P5062" s="2018"/>
      <c r="Q5062" s="2018"/>
      <c r="R5062" s="2018"/>
      <c r="S5062" s="2018"/>
      <c r="T5062" s="2018"/>
      <c r="U5062" s="2018"/>
      <c r="V5062" s="2018"/>
      <c r="W5062" s="2018"/>
      <c r="X5062" s="2018"/>
      <c r="Y5062" s="2094"/>
      <c r="Z5062" s="2096"/>
      <c r="AA5062" s="2097"/>
      <c r="AB5062" s="1050"/>
      <c r="AC5062" s="1050"/>
      <c r="AD5062" s="1050"/>
      <c r="AE5062" s="1051"/>
      <c r="AF5062" s="1052"/>
    </row>
    <row r="5063" spans="1:32" ht="15.75" x14ac:dyDescent="0.25">
      <c r="A5063" s="2017"/>
      <c r="B5063" s="2018"/>
      <c r="C5063" s="2018"/>
      <c r="D5063" s="2018"/>
      <c r="E5063" s="2018"/>
      <c r="F5063" s="2018"/>
      <c r="G5063" s="2018"/>
      <c r="H5063" s="2018"/>
      <c r="I5063" s="2018"/>
      <c r="J5063" s="2018"/>
      <c r="K5063" s="2018"/>
      <c r="L5063" s="2018"/>
      <c r="M5063" s="2018"/>
      <c r="N5063" s="2018"/>
      <c r="O5063" s="2018"/>
      <c r="P5063" s="2018"/>
      <c r="Q5063" s="2018"/>
      <c r="R5063" s="2018"/>
      <c r="S5063" s="2018"/>
      <c r="T5063" s="2018"/>
      <c r="U5063" s="2018"/>
      <c r="V5063" s="2018"/>
      <c r="W5063" s="2018"/>
      <c r="X5063" s="2018"/>
      <c r="Y5063" s="2094"/>
      <c r="Z5063" s="2096"/>
      <c r="AA5063" s="2097"/>
      <c r="AB5063" s="1050"/>
      <c r="AC5063" s="1050"/>
      <c r="AD5063" s="1050"/>
      <c r="AE5063" s="1051"/>
      <c r="AF5063" s="1052"/>
    </row>
    <row r="5064" spans="1:32" ht="15.75" x14ac:dyDescent="0.25">
      <c r="A5064" s="2017"/>
      <c r="B5064" s="2018"/>
      <c r="C5064" s="2018"/>
      <c r="D5064" s="2018"/>
      <c r="E5064" s="2018"/>
      <c r="F5064" s="2018"/>
      <c r="G5064" s="2018"/>
      <c r="H5064" s="2018"/>
      <c r="I5064" s="2018"/>
      <c r="J5064" s="2018"/>
      <c r="K5064" s="2018"/>
      <c r="L5064" s="2018"/>
      <c r="M5064" s="2018"/>
      <c r="N5064" s="2018"/>
      <c r="O5064" s="2018"/>
      <c r="P5064" s="2018"/>
      <c r="Q5064" s="2018"/>
      <c r="R5064" s="2018"/>
      <c r="S5064" s="2018"/>
      <c r="T5064" s="2018"/>
      <c r="U5064" s="2018"/>
      <c r="V5064" s="2018"/>
      <c r="W5064" s="2018"/>
      <c r="X5064" s="2018"/>
      <c r="Y5064" s="2094"/>
      <c r="Z5064" s="2096"/>
      <c r="AA5064" s="2097"/>
      <c r="AB5064" s="1050"/>
      <c r="AC5064" s="1050"/>
      <c r="AD5064" s="1050"/>
      <c r="AE5064" s="1051"/>
      <c r="AF5064" s="1052"/>
    </row>
    <row r="5065" spans="1:32" ht="15.75" x14ac:dyDescent="0.25">
      <c r="A5065" s="2017"/>
      <c r="B5065" s="2018"/>
      <c r="C5065" s="2018"/>
      <c r="D5065" s="2018"/>
      <c r="E5065" s="2018"/>
      <c r="F5065" s="2018"/>
      <c r="G5065" s="2018"/>
      <c r="H5065" s="2018"/>
      <c r="I5065" s="2018"/>
      <c r="J5065" s="2018"/>
      <c r="K5065" s="2018"/>
      <c r="L5065" s="2018"/>
      <c r="M5065" s="2018"/>
      <c r="N5065" s="2018"/>
      <c r="O5065" s="2018"/>
      <c r="P5065" s="2018"/>
      <c r="Q5065" s="2018"/>
      <c r="R5065" s="2018"/>
      <c r="S5065" s="2018"/>
      <c r="T5065" s="2018"/>
      <c r="U5065" s="2018"/>
      <c r="V5065" s="2018"/>
      <c r="W5065" s="2018"/>
      <c r="X5065" s="2018"/>
      <c r="Y5065" s="2094"/>
      <c r="Z5065" s="2096"/>
      <c r="AA5065" s="2097"/>
      <c r="AB5065" s="1050"/>
      <c r="AC5065" s="1050"/>
      <c r="AD5065" s="1050"/>
      <c r="AE5065" s="1051"/>
      <c r="AF5065" s="1052"/>
    </row>
    <row r="5066" spans="1:32" ht="15.75" x14ac:dyDescent="0.25">
      <c r="A5066" s="2017"/>
      <c r="B5066" s="2018"/>
      <c r="C5066" s="2018"/>
      <c r="D5066" s="2018"/>
      <c r="E5066" s="2018"/>
      <c r="F5066" s="2018"/>
      <c r="G5066" s="2018"/>
      <c r="H5066" s="2018"/>
      <c r="I5066" s="2018"/>
      <c r="J5066" s="2018"/>
      <c r="K5066" s="2018"/>
      <c r="L5066" s="2018"/>
      <c r="M5066" s="2018"/>
      <c r="N5066" s="2018"/>
      <c r="O5066" s="2018"/>
      <c r="P5066" s="2018"/>
      <c r="Q5066" s="2018"/>
      <c r="R5066" s="2018"/>
      <c r="S5066" s="2018"/>
      <c r="T5066" s="2018"/>
      <c r="U5066" s="2018"/>
      <c r="V5066" s="2018"/>
      <c r="W5066" s="2018"/>
      <c r="X5066" s="2018"/>
      <c r="Y5066" s="2094"/>
      <c r="Z5066" s="2096"/>
      <c r="AA5066" s="2097"/>
      <c r="AB5066" s="1050"/>
      <c r="AC5066" s="1050"/>
      <c r="AD5066" s="1050"/>
      <c r="AE5066" s="1051"/>
      <c r="AF5066" s="1052"/>
    </row>
    <row r="5067" spans="1:32" ht="15.75" x14ac:dyDescent="0.25">
      <c r="A5067" s="2017"/>
      <c r="B5067" s="2018"/>
      <c r="C5067" s="2018"/>
      <c r="D5067" s="2018"/>
      <c r="E5067" s="2018"/>
      <c r="F5067" s="2018"/>
      <c r="G5067" s="2018"/>
      <c r="H5067" s="2018"/>
      <c r="I5067" s="2018"/>
      <c r="J5067" s="2018"/>
      <c r="K5067" s="2018"/>
      <c r="L5067" s="2018"/>
      <c r="M5067" s="2018"/>
      <c r="N5067" s="2018"/>
      <c r="O5067" s="2018"/>
      <c r="P5067" s="2018"/>
      <c r="Q5067" s="2018"/>
      <c r="R5067" s="2018"/>
      <c r="S5067" s="2018"/>
      <c r="T5067" s="2018"/>
      <c r="U5067" s="2018"/>
      <c r="V5067" s="2018"/>
      <c r="W5067" s="2018"/>
      <c r="X5067" s="2018"/>
      <c r="Y5067" s="2094"/>
      <c r="Z5067" s="2096"/>
      <c r="AA5067" s="2097"/>
      <c r="AB5067" s="1050"/>
      <c r="AC5067" s="1050"/>
      <c r="AD5067" s="1050"/>
      <c r="AE5067" s="1051"/>
      <c r="AF5067" s="1052"/>
    </row>
    <row r="5068" spans="1:32" ht="15.75" x14ac:dyDescent="0.25">
      <c r="A5068" s="2017"/>
      <c r="B5068" s="2018"/>
      <c r="C5068" s="2018"/>
      <c r="D5068" s="2018"/>
      <c r="E5068" s="2018"/>
      <c r="F5068" s="2018"/>
      <c r="G5068" s="2018"/>
      <c r="H5068" s="2018"/>
      <c r="I5068" s="2018"/>
      <c r="J5068" s="2018"/>
      <c r="K5068" s="2018"/>
      <c r="L5068" s="2018"/>
      <c r="M5068" s="2018"/>
      <c r="N5068" s="2018"/>
      <c r="O5068" s="2018"/>
      <c r="P5068" s="2018"/>
      <c r="Q5068" s="2018"/>
      <c r="R5068" s="2018"/>
      <c r="S5068" s="2018"/>
      <c r="T5068" s="2018"/>
      <c r="U5068" s="2018"/>
      <c r="V5068" s="2018"/>
      <c r="W5068" s="2018"/>
      <c r="X5068" s="2018"/>
      <c r="Y5068" s="2094"/>
      <c r="Z5068" s="2096"/>
      <c r="AA5068" s="2097"/>
      <c r="AB5068" s="1053"/>
      <c r="AC5068" s="1053"/>
      <c r="AD5068" s="1053"/>
      <c r="AE5068" s="1051"/>
      <c r="AF5068" s="1052"/>
    </row>
    <row r="5069" spans="1:32" ht="15.75" x14ac:dyDescent="0.25">
      <c r="A5069" s="2017"/>
      <c r="B5069" s="2018"/>
      <c r="C5069" s="2018"/>
      <c r="D5069" s="2018"/>
      <c r="E5069" s="2018"/>
      <c r="F5069" s="2018"/>
      <c r="G5069" s="2018"/>
      <c r="H5069" s="2018"/>
      <c r="I5069" s="2018"/>
      <c r="J5069" s="2018"/>
      <c r="K5069" s="2018"/>
      <c r="L5069" s="2018"/>
      <c r="M5069" s="2018"/>
      <c r="N5069" s="2018"/>
      <c r="O5069" s="2018"/>
      <c r="P5069" s="2018"/>
      <c r="Q5069" s="2018"/>
      <c r="R5069" s="2018"/>
      <c r="S5069" s="2018"/>
      <c r="T5069" s="2018"/>
      <c r="U5069" s="2018"/>
      <c r="V5069" s="2018"/>
      <c r="W5069" s="2018"/>
      <c r="X5069" s="2018"/>
      <c r="Y5069" s="2094"/>
      <c r="Z5069" s="2096"/>
      <c r="AA5069" s="2097"/>
      <c r="AB5069" s="1053"/>
      <c r="AC5069" s="1053"/>
      <c r="AD5069" s="1053"/>
      <c r="AE5069" s="1050"/>
      <c r="AF5069" s="1054"/>
    </row>
    <row r="5070" spans="1:32" ht="15.75" x14ac:dyDescent="0.25">
      <c r="A5070" s="2017"/>
      <c r="B5070" s="2018"/>
      <c r="C5070" s="2018"/>
      <c r="D5070" s="2018"/>
      <c r="E5070" s="2018"/>
      <c r="F5070" s="2018"/>
      <c r="G5070" s="2018"/>
      <c r="H5070" s="2018"/>
      <c r="I5070" s="2018"/>
      <c r="J5070" s="2018"/>
      <c r="K5070" s="2018"/>
      <c r="L5070" s="2018"/>
      <c r="M5070" s="2018"/>
      <c r="N5070" s="2018"/>
      <c r="O5070" s="2018"/>
      <c r="P5070" s="2018"/>
      <c r="Q5070" s="2018"/>
      <c r="R5070" s="2018"/>
      <c r="S5070" s="2018"/>
      <c r="T5070" s="2018"/>
      <c r="U5070" s="2018"/>
      <c r="V5070" s="2018"/>
      <c r="W5070" s="2018"/>
      <c r="X5070" s="2018"/>
      <c r="Y5070" s="2094"/>
      <c r="Z5070" s="2096"/>
      <c r="AA5070" s="2097"/>
      <c r="AB5070" s="1053"/>
      <c r="AC5070" s="1053"/>
      <c r="AD5070" s="1053"/>
      <c r="AE5070" s="1051"/>
      <c r="AF5070" s="1054"/>
    </row>
    <row r="5071" spans="1:32" ht="15.75" x14ac:dyDescent="0.25">
      <c r="A5071" s="2017"/>
      <c r="B5071" s="2018"/>
      <c r="C5071" s="2018"/>
      <c r="D5071" s="2018"/>
      <c r="E5071" s="2018"/>
      <c r="F5071" s="2018"/>
      <c r="G5071" s="2018"/>
      <c r="H5071" s="2018"/>
      <c r="I5071" s="2018"/>
      <c r="J5071" s="2018"/>
      <c r="K5071" s="2018"/>
      <c r="L5071" s="2018"/>
      <c r="M5071" s="2018"/>
      <c r="N5071" s="2018"/>
      <c r="O5071" s="2018"/>
      <c r="P5071" s="2018"/>
      <c r="Q5071" s="2018"/>
      <c r="R5071" s="2018"/>
      <c r="S5071" s="2018"/>
      <c r="T5071" s="2018"/>
      <c r="U5071" s="2018"/>
      <c r="V5071" s="2018"/>
      <c r="W5071" s="2018"/>
      <c r="X5071" s="2018"/>
      <c r="Y5071" s="2094"/>
      <c r="Z5071" s="2096"/>
      <c r="AA5071" s="2097"/>
      <c r="AB5071" s="1053"/>
      <c r="AC5071" s="1053"/>
      <c r="AD5071" s="1053"/>
      <c r="AE5071" s="1051"/>
      <c r="AF5071" s="1054"/>
    </row>
    <row r="5072" spans="1:32" ht="15.75" x14ac:dyDescent="0.25">
      <c r="A5072" s="2017"/>
      <c r="B5072" s="2018"/>
      <c r="C5072" s="2018"/>
      <c r="D5072" s="2018"/>
      <c r="E5072" s="2018"/>
      <c r="F5072" s="2018"/>
      <c r="G5072" s="2018"/>
      <c r="H5072" s="2018"/>
      <c r="I5072" s="2018"/>
      <c r="J5072" s="2018"/>
      <c r="K5072" s="2018"/>
      <c r="L5072" s="2018"/>
      <c r="M5072" s="2018"/>
      <c r="N5072" s="2018"/>
      <c r="O5072" s="2018"/>
      <c r="P5072" s="2018"/>
      <c r="Q5072" s="2018"/>
      <c r="R5072" s="2018"/>
      <c r="S5072" s="2018"/>
      <c r="T5072" s="2018"/>
      <c r="U5072" s="2018"/>
      <c r="V5072" s="2018"/>
      <c r="W5072" s="2018"/>
      <c r="X5072" s="2018"/>
      <c r="Y5072" s="2094"/>
      <c r="Z5072" s="2096"/>
      <c r="AA5072" s="2097"/>
      <c r="AB5072" s="1053"/>
      <c r="AC5072" s="1053"/>
      <c r="AD5072" s="1053"/>
      <c r="AE5072" s="1051"/>
      <c r="AF5072" s="1054"/>
    </row>
    <row r="5073" spans="1:32" ht="15.75" x14ac:dyDescent="0.25">
      <c r="A5073" s="2017"/>
      <c r="B5073" s="2018"/>
      <c r="C5073" s="2018"/>
      <c r="D5073" s="2018"/>
      <c r="E5073" s="2018"/>
      <c r="F5073" s="2018"/>
      <c r="G5073" s="2018"/>
      <c r="H5073" s="2018"/>
      <c r="I5073" s="2018"/>
      <c r="J5073" s="2018"/>
      <c r="K5073" s="2018"/>
      <c r="L5073" s="2018"/>
      <c r="M5073" s="2018"/>
      <c r="N5073" s="2018"/>
      <c r="O5073" s="2018"/>
      <c r="P5073" s="2018"/>
      <c r="Q5073" s="2018"/>
      <c r="R5073" s="2018"/>
      <c r="S5073" s="2018"/>
      <c r="T5073" s="2018"/>
      <c r="U5073" s="2018"/>
      <c r="V5073" s="2018"/>
      <c r="W5073" s="2018"/>
      <c r="X5073" s="2018"/>
      <c r="Y5073" s="2094"/>
      <c r="Z5073" s="2096"/>
      <c r="AA5073" s="2097"/>
      <c r="AB5073" s="1053"/>
      <c r="AC5073" s="1053"/>
      <c r="AD5073" s="1053"/>
      <c r="AE5073" s="1051"/>
      <c r="AF5073" s="1054"/>
    </row>
    <row r="5074" spans="1:32" ht="15.75" x14ac:dyDescent="0.25">
      <c r="A5074" s="2017"/>
      <c r="B5074" s="2018"/>
      <c r="C5074" s="2018"/>
      <c r="D5074" s="2018"/>
      <c r="E5074" s="2018"/>
      <c r="F5074" s="2018"/>
      <c r="G5074" s="2018"/>
      <c r="H5074" s="2018"/>
      <c r="I5074" s="2018"/>
      <c r="J5074" s="2018"/>
      <c r="K5074" s="2018"/>
      <c r="L5074" s="2018"/>
      <c r="M5074" s="2018"/>
      <c r="N5074" s="2018"/>
      <c r="O5074" s="2018"/>
      <c r="P5074" s="2018"/>
      <c r="Q5074" s="2018"/>
      <c r="R5074" s="2018"/>
      <c r="S5074" s="2018"/>
      <c r="T5074" s="2018"/>
      <c r="U5074" s="2018"/>
      <c r="V5074" s="2018"/>
      <c r="W5074" s="2018"/>
      <c r="X5074" s="2018"/>
      <c r="Y5074" s="2094"/>
      <c r="Z5074" s="2096"/>
      <c r="AA5074" s="2097"/>
      <c r="AB5074" s="1053"/>
      <c r="AC5074" s="1053"/>
      <c r="AD5074" s="1053"/>
      <c r="AE5074" s="1051"/>
      <c r="AF5074" s="1054"/>
    </row>
    <row r="5075" spans="1:32" ht="15.75" x14ac:dyDescent="0.25">
      <c r="A5075" s="2017"/>
      <c r="B5075" s="2018"/>
      <c r="C5075" s="2018"/>
      <c r="D5075" s="2018"/>
      <c r="E5075" s="2018"/>
      <c r="F5075" s="2018"/>
      <c r="G5075" s="2018"/>
      <c r="H5075" s="2018"/>
      <c r="I5075" s="2018"/>
      <c r="J5075" s="2018"/>
      <c r="K5075" s="2018"/>
      <c r="L5075" s="2018"/>
      <c r="M5075" s="2018"/>
      <c r="N5075" s="2018"/>
      <c r="O5075" s="2018"/>
      <c r="P5075" s="2018"/>
      <c r="Q5075" s="2018"/>
      <c r="R5075" s="2018"/>
      <c r="S5075" s="2018"/>
      <c r="T5075" s="2018"/>
      <c r="U5075" s="2018"/>
      <c r="V5075" s="2018"/>
      <c r="W5075" s="2018"/>
      <c r="X5075" s="2018"/>
      <c r="Y5075" s="2094"/>
      <c r="Z5075" s="2096"/>
      <c r="AA5075" s="2097"/>
      <c r="AB5075" s="1055"/>
      <c r="AC5075" s="1055"/>
      <c r="AD5075" s="1055"/>
      <c r="AE5075" s="1051"/>
      <c r="AF5075" s="1056"/>
    </row>
    <row r="5076" spans="1:32" ht="15.75" x14ac:dyDescent="0.25">
      <c r="A5076" s="2017"/>
      <c r="B5076" s="2018"/>
      <c r="C5076" s="2018"/>
      <c r="D5076" s="2018"/>
      <c r="E5076" s="2018"/>
      <c r="F5076" s="2018"/>
      <c r="G5076" s="2018"/>
      <c r="H5076" s="2018"/>
      <c r="I5076" s="2018"/>
      <c r="J5076" s="2018"/>
      <c r="K5076" s="2018"/>
      <c r="L5076" s="2018"/>
      <c r="M5076" s="2018"/>
      <c r="N5076" s="2018"/>
      <c r="O5076" s="2018"/>
      <c r="P5076" s="2018"/>
      <c r="Q5076" s="2018"/>
      <c r="R5076" s="2018"/>
      <c r="S5076" s="2018"/>
      <c r="T5076" s="2018"/>
      <c r="U5076" s="2018"/>
      <c r="V5076" s="2018"/>
      <c r="W5076" s="2018"/>
      <c r="X5076" s="2018"/>
      <c r="Y5076" s="2094"/>
      <c r="Z5076" s="2096"/>
      <c r="AA5076" s="2097"/>
      <c r="AB5076" s="1055"/>
      <c r="AC5076" s="1055"/>
      <c r="AD5076" s="1055"/>
      <c r="AE5076" s="1055"/>
      <c r="AF5076" s="1056"/>
    </row>
    <row r="5077" spans="1:32" ht="15.75" x14ac:dyDescent="0.25">
      <c r="A5077" s="2017"/>
      <c r="B5077" s="2018"/>
      <c r="C5077" s="2018"/>
      <c r="D5077" s="2018"/>
      <c r="E5077" s="2018"/>
      <c r="F5077" s="2018"/>
      <c r="G5077" s="2018"/>
      <c r="H5077" s="2018"/>
      <c r="I5077" s="2018"/>
      <c r="J5077" s="2018"/>
      <c r="K5077" s="2018"/>
      <c r="L5077" s="2018"/>
      <c r="M5077" s="2018"/>
      <c r="N5077" s="2018"/>
      <c r="O5077" s="2018"/>
      <c r="P5077" s="2018"/>
      <c r="Q5077" s="2018"/>
      <c r="R5077" s="2018"/>
      <c r="S5077" s="2018"/>
      <c r="T5077" s="2018"/>
      <c r="U5077" s="2018"/>
      <c r="V5077" s="2018"/>
      <c r="W5077" s="2018"/>
      <c r="X5077" s="2018"/>
      <c r="Y5077" s="2094"/>
      <c r="Z5077" s="2096"/>
      <c r="AA5077" s="2097"/>
      <c r="AB5077" s="1055"/>
      <c r="AC5077" s="1055"/>
      <c r="AD5077" s="1055"/>
      <c r="AE5077" s="1055"/>
      <c r="AF5077" s="1056"/>
    </row>
    <row r="5078" spans="1:32" ht="15.75" x14ac:dyDescent="0.25">
      <c r="A5078" s="2017"/>
      <c r="B5078" s="2018"/>
      <c r="C5078" s="2018"/>
      <c r="D5078" s="2018"/>
      <c r="E5078" s="2018"/>
      <c r="F5078" s="2018"/>
      <c r="G5078" s="2018"/>
      <c r="H5078" s="2018"/>
      <c r="I5078" s="2018"/>
      <c r="J5078" s="2018"/>
      <c r="K5078" s="2018"/>
      <c r="L5078" s="2018"/>
      <c r="M5078" s="2018"/>
      <c r="N5078" s="2018"/>
      <c r="O5078" s="2018"/>
      <c r="P5078" s="2018"/>
      <c r="Q5078" s="2018"/>
      <c r="R5078" s="2018"/>
      <c r="S5078" s="2018"/>
      <c r="T5078" s="2018"/>
      <c r="U5078" s="2018"/>
      <c r="V5078" s="2018"/>
      <c r="W5078" s="2018"/>
      <c r="X5078" s="2018"/>
      <c r="Y5078" s="2094"/>
      <c r="Z5078" s="2096"/>
      <c r="AA5078" s="2097"/>
      <c r="AB5078" s="1055"/>
      <c r="AC5078" s="1055"/>
      <c r="AD5078" s="1055"/>
      <c r="AE5078" s="1055"/>
      <c r="AF5078" s="1056"/>
    </row>
    <row r="5079" spans="1:32" ht="15.75" x14ac:dyDescent="0.25">
      <c r="A5079" s="2017"/>
      <c r="B5079" s="2018"/>
      <c r="C5079" s="2018"/>
      <c r="D5079" s="2018"/>
      <c r="E5079" s="2018"/>
      <c r="F5079" s="2018"/>
      <c r="G5079" s="2018"/>
      <c r="H5079" s="2018"/>
      <c r="I5079" s="2018"/>
      <c r="J5079" s="2018"/>
      <c r="K5079" s="2018"/>
      <c r="L5079" s="2018"/>
      <c r="M5079" s="2018"/>
      <c r="N5079" s="2018"/>
      <c r="O5079" s="2018"/>
      <c r="P5079" s="2018"/>
      <c r="Q5079" s="2018"/>
      <c r="R5079" s="2018"/>
      <c r="S5079" s="2018"/>
      <c r="T5079" s="2018"/>
      <c r="U5079" s="2018"/>
      <c r="V5079" s="2018"/>
      <c r="W5079" s="2018"/>
      <c r="X5079" s="2018"/>
      <c r="Y5079" s="2094"/>
      <c r="Z5079" s="2096"/>
      <c r="AA5079" s="2097"/>
      <c r="AB5079" s="1055"/>
      <c r="AC5079" s="1055"/>
      <c r="AD5079" s="1055"/>
      <c r="AE5079" s="1055"/>
      <c r="AF5079" s="1056"/>
    </row>
    <row r="5080" spans="1:32" ht="15.75" x14ac:dyDescent="0.25">
      <c r="A5080" s="2017"/>
      <c r="B5080" s="2018"/>
      <c r="C5080" s="2018"/>
      <c r="D5080" s="2018"/>
      <c r="E5080" s="2018"/>
      <c r="F5080" s="2018"/>
      <c r="G5080" s="2018"/>
      <c r="H5080" s="2018"/>
      <c r="I5080" s="2018"/>
      <c r="J5080" s="2018"/>
      <c r="K5080" s="2018"/>
      <c r="L5080" s="2018"/>
      <c r="M5080" s="2018"/>
      <c r="N5080" s="2018"/>
      <c r="O5080" s="2018"/>
      <c r="P5080" s="2018"/>
      <c r="Q5080" s="2018"/>
      <c r="R5080" s="2018"/>
      <c r="S5080" s="2018"/>
      <c r="T5080" s="2018"/>
      <c r="U5080" s="2018"/>
      <c r="V5080" s="2018"/>
      <c r="W5080" s="2018"/>
      <c r="X5080" s="2018"/>
      <c r="Y5080" s="2094"/>
      <c r="Z5080" s="2096"/>
      <c r="AA5080" s="2097"/>
      <c r="AB5080" s="1055"/>
      <c r="AC5080" s="1055"/>
      <c r="AD5080" s="1055"/>
      <c r="AE5080" s="1055"/>
      <c r="AF5080" s="1056"/>
    </row>
    <row r="5081" spans="1:32" ht="16.5" thickBot="1" x14ac:dyDescent="0.3">
      <c r="A5081" s="2019"/>
      <c r="B5081" s="2020"/>
      <c r="C5081" s="2020"/>
      <c r="D5081" s="2020"/>
      <c r="E5081" s="2020"/>
      <c r="F5081" s="2020"/>
      <c r="G5081" s="2020"/>
      <c r="H5081" s="2020"/>
      <c r="I5081" s="2020"/>
      <c r="J5081" s="2020"/>
      <c r="K5081" s="2020"/>
      <c r="L5081" s="2020"/>
      <c r="M5081" s="2020"/>
      <c r="N5081" s="2020"/>
      <c r="O5081" s="2020"/>
      <c r="P5081" s="2020"/>
      <c r="Q5081" s="2020"/>
      <c r="R5081" s="2020"/>
      <c r="S5081" s="2020"/>
      <c r="T5081" s="2020"/>
      <c r="U5081" s="2020"/>
      <c r="V5081" s="2020"/>
      <c r="W5081" s="2020"/>
      <c r="X5081" s="2020"/>
      <c r="Y5081" s="2095"/>
      <c r="Z5081" s="2098"/>
      <c r="AA5081" s="2099"/>
      <c r="AB5081" s="1057"/>
      <c r="AC5081" s="1057"/>
      <c r="AD5081" s="1057"/>
      <c r="AE5081" s="1057"/>
      <c r="AF5081" s="1058"/>
    </row>
    <row r="5082" spans="1:32" ht="15.75" x14ac:dyDescent="0.25">
      <c r="A5082" s="2009" t="s">
        <v>2411</v>
      </c>
      <c r="B5082" s="2010"/>
      <c r="C5082" s="2010"/>
      <c r="D5082" s="2010"/>
      <c r="E5082" s="2010"/>
      <c r="F5082" s="2010"/>
      <c r="G5082" s="2010"/>
      <c r="H5082" s="2010"/>
      <c r="I5082" s="2010"/>
      <c r="J5082" s="2010"/>
      <c r="K5082" s="2010"/>
      <c r="L5082" s="2010"/>
      <c r="M5082" s="2010"/>
      <c r="N5082" s="2010"/>
      <c r="O5082" s="2010"/>
      <c r="P5082" s="2010"/>
      <c r="Q5082" s="2010"/>
      <c r="R5082" s="2010"/>
      <c r="S5082" s="2010"/>
      <c r="T5082" s="2010"/>
      <c r="U5082" s="2010"/>
      <c r="V5082" s="2010"/>
      <c r="W5082" s="2010"/>
      <c r="X5082" s="2010"/>
      <c r="Y5082" s="2010"/>
      <c r="Z5082" s="2013" t="s">
        <v>1850</v>
      </c>
      <c r="AA5082" s="2013"/>
      <c r="AB5082" s="2013"/>
      <c r="AC5082" s="2013"/>
      <c r="AD5082" s="2013"/>
      <c r="AE5082" s="2013"/>
      <c r="AF5082" s="1059">
        <f>SUM(AF5061:AF5081)</f>
        <v>1470.94</v>
      </c>
    </row>
    <row r="5083" spans="1:32" ht="15.75" x14ac:dyDescent="0.25">
      <c r="A5083" s="2011"/>
      <c r="B5083" s="2012"/>
      <c r="C5083" s="2012"/>
      <c r="D5083" s="2012"/>
      <c r="E5083" s="2012"/>
      <c r="F5083" s="2012"/>
      <c r="G5083" s="2012"/>
      <c r="H5083" s="2012"/>
      <c r="I5083" s="2012"/>
      <c r="J5083" s="2012"/>
      <c r="K5083" s="2012"/>
      <c r="L5083" s="2012"/>
      <c r="M5083" s="2012"/>
      <c r="N5083" s="2012"/>
      <c r="O5083" s="2012"/>
      <c r="P5083" s="2012"/>
      <c r="Q5083" s="2012"/>
      <c r="R5083" s="2012"/>
      <c r="S5083" s="2012"/>
      <c r="T5083" s="2012"/>
      <c r="U5083" s="2012"/>
      <c r="V5083" s="2012"/>
      <c r="W5083" s="2012"/>
      <c r="X5083" s="2012"/>
      <c r="Y5083" s="2012"/>
      <c r="Z5083" s="2014" t="s">
        <v>1851</v>
      </c>
      <c r="AA5083" s="2014"/>
      <c r="AB5083" s="2014"/>
      <c r="AC5083" s="2014"/>
      <c r="AD5083" s="2014"/>
      <c r="AE5083" s="2014"/>
      <c r="AF5083" s="1060">
        <v>0</v>
      </c>
    </row>
    <row r="5084" spans="1:32" ht="15.75" x14ac:dyDescent="0.25">
      <c r="A5084" s="2011"/>
      <c r="B5084" s="2012"/>
      <c r="C5084" s="2012"/>
      <c r="D5084" s="2012"/>
      <c r="E5084" s="2012"/>
      <c r="F5084" s="2012"/>
      <c r="G5084" s="2012"/>
      <c r="H5084" s="2012"/>
      <c r="I5084" s="2012"/>
      <c r="J5084" s="2012"/>
      <c r="K5084" s="2012"/>
      <c r="L5084" s="2012"/>
      <c r="M5084" s="2012"/>
      <c r="N5084" s="2012"/>
      <c r="O5084" s="2012"/>
      <c r="P5084" s="2012"/>
      <c r="Q5084" s="2012"/>
      <c r="R5084" s="2012"/>
      <c r="S5084" s="2012"/>
      <c r="T5084" s="2012"/>
      <c r="U5084" s="2012"/>
      <c r="V5084" s="2012"/>
      <c r="W5084" s="2012"/>
      <c r="X5084" s="2012"/>
      <c r="Y5084" s="2012"/>
      <c r="Z5084" s="2015" t="s">
        <v>1833</v>
      </c>
      <c r="AA5084" s="2015"/>
      <c r="AB5084" s="2015"/>
      <c r="AC5084" s="2015"/>
      <c r="AD5084" s="2015"/>
      <c r="AE5084" s="2015"/>
      <c r="AF5084" s="1061">
        <f>SUM(AF5082:AF5083)</f>
        <v>1470.94</v>
      </c>
    </row>
    <row r="5085" spans="1:32" x14ac:dyDescent="0.2">
      <c r="A5085" s="2012" t="s">
        <v>1859</v>
      </c>
      <c r="B5085" s="2012"/>
      <c r="C5085" s="2012"/>
      <c r="D5085" s="2012"/>
      <c r="E5085" s="2012"/>
      <c r="F5085" s="2012"/>
      <c r="G5085" s="2012"/>
      <c r="H5085" s="2012"/>
      <c r="I5085" s="2012"/>
      <c r="J5085" s="2012"/>
      <c r="K5085" s="2012"/>
      <c r="L5085" s="2012"/>
      <c r="M5085" s="2012"/>
      <c r="N5085" s="2012"/>
      <c r="O5085" s="2012"/>
      <c r="P5085" s="2012"/>
      <c r="Q5085" s="2012"/>
      <c r="R5085" s="2012"/>
      <c r="S5085" s="2012"/>
      <c r="T5085" s="2016" t="s">
        <v>1840</v>
      </c>
      <c r="U5085" s="2016"/>
      <c r="V5085" s="2016"/>
      <c r="W5085" s="2016"/>
      <c r="X5085" s="2016"/>
      <c r="Y5085" s="2016"/>
      <c r="Z5085" s="2016"/>
      <c r="AA5085" s="2016"/>
      <c r="AB5085" s="2012" t="s">
        <v>1852</v>
      </c>
      <c r="AC5085" s="2012"/>
      <c r="AD5085" s="2012"/>
      <c r="AE5085" s="2012"/>
      <c r="AF5085" s="2012"/>
    </row>
    <row r="5086" spans="1:32" x14ac:dyDescent="0.2">
      <c r="A5086" s="2012"/>
      <c r="B5086" s="2012"/>
      <c r="C5086" s="2012"/>
      <c r="D5086" s="2012"/>
      <c r="E5086" s="2012"/>
      <c r="F5086" s="2012"/>
      <c r="G5086" s="2012"/>
      <c r="H5086" s="2012"/>
      <c r="I5086" s="2012"/>
      <c r="J5086" s="2012"/>
      <c r="K5086" s="2012"/>
      <c r="L5086" s="2012"/>
      <c r="M5086" s="2012"/>
      <c r="N5086" s="2012"/>
      <c r="O5086" s="2012"/>
      <c r="P5086" s="2012"/>
      <c r="Q5086" s="2012"/>
      <c r="R5086" s="2012"/>
      <c r="S5086" s="2012"/>
      <c r="T5086" s="2016"/>
      <c r="U5086" s="2016"/>
      <c r="V5086" s="2016"/>
      <c r="W5086" s="2016"/>
      <c r="X5086" s="2016"/>
      <c r="Y5086" s="2016"/>
      <c r="Z5086" s="2016"/>
      <c r="AA5086" s="2016"/>
      <c r="AB5086" s="2012"/>
      <c r="AC5086" s="2012"/>
      <c r="AD5086" s="2012"/>
      <c r="AE5086" s="2012"/>
      <c r="AF5086" s="2012"/>
    </row>
    <row r="5087" spans="1:32" ht="13.5" thickBot="1" x14ac:dyDescent="0.25"/>
    <row r="5088" spans="1:32" ht="26.45" customHeight="1" x14ac:dyDescent="0.2">
      <c r="A5088" s="2025" t="s">
        <v>1854</v>
      </c>
      <c r="B5088" s="2026"/>
      <c r="C5088" s="2026"/>
      <c r="D5088" s="2026"/>
      <c r="E5088" s="2026"/>
      <c r="F5088" s="2026"/>
      <c r="G5088" s="2026"/>
      <c r="H5088" s="2026"/>
      <c r="I5088" s="2026"/>
      <c r="J5088" s="2026"/>
      <c r="K5088" s="2026"/>
      <c r="L5088" s="2026"/>
      <c r="M5088" s="2026"/>
      <c r="N5088" s="2026"/>
      <c r="O5088" s="2026"/>
      <c r="P5088" s="2026"/>
      <c r="Q5088" s="2026"/>
      <c r="R5088" s="2026"/>
      <c r="S5088" s="2026"/>
      <c r="T5088" s="2026"/>
      <c r="U5088" s="2026"/>
      <c r="V5088" s="2026"/>
      <c r="W5088" s="2026"/>
      <c r="X5088" s="2026"/>
      <c r="Y5088" s="2026"/>
      <c r="Z5088" s="2026"/>
      <c r="AA5088" s="2026"/>
      <c r="AB5088" s="2026"/>
      <c r="AC5088" s="2026"/>
      <c r="AD5088" s="2026"/>
      <c r="AE5088" s="1041" t="s">
        <v>1834</v>
      </c>
      <c r="AF5088" s="1042" t="s">
        <v>1835</v>
      </c>
    </row>
    <row r="5089" spans="1:32" ht="21" customHeight="1" thickBot="1" x14ac:dyDescent="0.25">
      <c r="A5089" s="2027"/>
      <c r="B5089" s="2028"/>
      <c r="C5089" s="2028"/>
      <c r="D5089" s="2028"/>
      <c r="E5089" s="2028"/>
      <c r="F5089" s="2028"/>
      <c r="G5089" s="2028"/>
      <c r="H5089" s="2028"/>
      <c r="I5089" s="2028"/>
      <c r="J5089" s="2028"/>
      <c r="K5089" s="2028"/>
      <c r="L5089" s="2028"/>
      <c r="M5089" s="2028"/>
      <c r="N5089" s="2028"/>
      <c r="O5089" s="2028"/>
      <c r="P5089" s="2028"/>
      <c r="Q5089" s="2028"/>
      <c r="R5089" s="2028"/>
      <c r="S5089" s="2028"/>
      <c r="T5089" s="2028"/>
      <c r="U5089" s="2028"/>
      <c r="V5089" s="2028"/>
      <c r="W5089" s="2028"/>
      <c r="X5089" s="2028"/>
      <c r="Y5089" s="2028"/>
      <c r="Z5089" s="2028"/>
      <c r="AA5089" s="2028"/>
      <c r="AB5089" s="2028"/>
      <c r="AC5089" s="2028"/>
      <c r="AD5089" s="2028"/>
      <c r="AE5089" s="1041" t="s">
        <v>1836</v>
      </c>
      <c r="AF5089" s="1044">
        <v>1</v>
      </c>
    </row>
    <row r="5090" spans="1:32" ht="15.75" x14ac:dyDescent="0.2">
      <c r="A5090" s="2029"/>
      <c r="B5090" s="2030"/>
      <c r="C5090" s="2030"/>
      <c r="D5090" s="2031"/>
      <c r="E5090" s="2025" t="str">
        <f>'01'!$A$12</f>
        <v>"CONSTRUCCION SISTEMA DE ACUEDUCTO FASE II DEL MUNICIPIO DE TESALIA DPTO DEL HUILA"</v>
      </c>
      <c r="F5090" s="2026"/>
      <c r="G5090" s="2026"/>
      <c r="H5090" s="2026"/>
      <c r="I5090" s="2026"/>
      <c r="J5090" s="2026"/>
      <c r="K5090" s="2026"/>
      <c r="L5090" s="2026"/>
      <c r="M5090" s="2026"/>
      <c r="N5090" s="2026"/>
      <c r="O5090" s="2026"/>
      <c r="P5090" s="2026"/>
      <c r="Q5090" s="2026"/>
      <c r="R5090" s="2026"/>
      <c r="S5090" s="2026"/>
      <c r="T5090" s="2026"/>
      <c r="U5090" s="2026"/>
      <c r="V5090" s="2026"/>
      <c r="W5090" s="2026"/>
      <c r="X5090" s="2026"/>
      <c r="Y5090" s="2026"/>
      <c r="Z5090" s="2026"/>
      <c r="AA5090" s="2026"/>
      <c r="AB5090" s="2026"/>
      <c r="AC5090" s="2026"/>
      <c r="AD5090" s="2035"/>
      <c r="AE5090" s="1041" t="s">
        <v>847</v>
      </c>
      <c r="AF5090" s="1045">
        <f>'01'!$M$13</f>
        <v>0</v>
      </c>
    </row>
    <row r="5091" spans="1:32" ht="16.5" thickBot="1" x14ac:dyDescent="0.25">
      <c r="A5091" s="2032"/>
      <c r="B5091" s="2033"/>
      <c r="C5091" s="2033"/>
      <c r="D5091" s="2034"/>
      <c r="E5091" s="2027"/>
      <c r="F5091" s="2028"/>
      <c r="G5091" s="2028"/>
      <c r="H5091" s="2028"/>
      <c r="I5091" s="2028"/>
      <c r="J5091" s="2028"/>
      <c r="K5091" s="2028"/>
      <c r="L5091" s="2028"/>
      <c r="M5091" s="2028"/>
      <c r="N5091" s="2028"/>
      <c r="O5091" s="2028"/>
      <c r="P5091" s="2028"/>
      <c r="Q5091" s="2028"/>
      <c r="R5091" s="2028"/>
      <c r="S5091" s="2028"/>
      <c r="T5091" s="2028"/>
      <c r="U5091" s="2028"/>
      <c r="V5091" s="2028"/>
      <c r="W5091" s="2028"/>
      <c r="X5091" s="2028"/>
      <c r="Y5091" s="2028"/>
      <c r="Z5091" s="2028"/>
      <c r="AA5091" s="2028"/>
      <c r="AB5091" s="2028"/>
      <c r="AC5091" s="2028"/>
      <c r="AD5091" s="2036"/>
      <c r="AE5091" s="1041" t="s">
        <v>1837</v>
      </c>
      <c r="AF5091" s="1042" t="s">
        <v>1838</v>
      </c>
    </row>
    <row r="5092" spans="1:32" ht="15.75" x14ac:dyDescent="0.25">
      <c r="A5092" s="2037" t="s">
        <v>1860</v>
      </c>
      <c r="B5092" s="2038"/>
      <c r="C5092" s="2038"/>
      <c r="D5092" s="2038"/>
      <c r="E5092" s="2038"/>
      <c r="F5092" s="2038"/>
      <c r="G5092" s="2038"/>
      <c r="H5092" s="2038"/>
      <c r="I5092" s="2038"/>
      <c r="J5092" s="2038"/>
      <c r="K5092" s="2038"/>
      <c r="L5092" s="2038"/>
      <c r="M5092" s="2038"/>
      <c r="N5092" s="2038"/>
      <c r="O5092" s="2038"/>
      <c r="P5092" s="2038"/>
      <c r="Q5092" s="2038"/>
      <c r="R5092" s="2038"/>
      <c r="S5092" s="2038"/>
      <c r="T5092" s="2038"/>
      <c r="U5092" s="2038"/>
      <c r="V5092" s="2038"/>
      <c r="W5092" s="2038"/>
      <c r="X5092" s="2038"/>
      <c r="Y5092" s="2038"/>
      <c r="Z5092" s="2038"/>
      <c r="AA5092" s="2038"/>
      <c r="AB5092" s="2038"/>
      <c r="AC5092" s="2038"/>
      <c r="AD5092" s="2038"/>
      <c r="AE5092" s="2039" t="s">
        <v>1839</v>
      </c>
      <c r="AF5092" s="2040"/>
    </row>
    <row r="5093" spans="1:32" ht="15.75" x14ac:dyDescent="0.25">
      <c r="A5093" s="2041" t="s">
        <v>1840</v>
      </c>
      <c r="B5093" s="2042"/>
      <c r="C5093" s="2042"/>
      <c r="D5093" s="2042"/>
      <c r="E5093" s="2042"/>
      <c r="F5093" s="2042"/>
      <c r="G5093" s="2042"/>
      <c r="H5093" s="2042"/>
      <c r="I5093" s="2042"/>
      <c r="J5093" s="2042"/>
      <c r="K5093" s="2042"/>
      <c r="L5093" s="2042"/>
      <c r="M5093" s="2042"/>
      <c r="N5093" s="2042"/>
      <c r="O5093" s="2042"/>
      <c r="P5093" s="2042"/>
      <c r="Q5093" s="2042"/>
      <c r="R5093" s="2042"/>
      <c r="S5093" s="2042"/>
      <c r="T5093" s="2042"/>
      <c r="U5093" s="2042"/>
      <c r="V5093" s="2042"/>
      <c r="W5093" s="2042"/>
      <c r="X5093" s="2042"/>
      <c r="Y5093" s="2042"/>
      <c r="Z5093" s="2042"/>
      <c r="AA5093" s="2042"/>
      <c r="AB5093" s="2042"/>
      <c r="AC5093" s="2042"/>
      <c r="AD5093" s="2043"/>
      <c r="AE5093" s="2014" t="s">
        <v>1841</v>
      </c>
      <c r="AF5093" s="2044"/>
    </row>
    <row r="5094" spans="1:32" ht="15.75" x14ac:dyDescent="0.25">
      <c r="A5094" s="2045" t="s">
        <v>1853</v>
      </c>
      <c r="B5094" s="2046"/>
      <c r="C5094" s="2046"/>
      <c r="D5094" s="2046"/>
      <c r="E5094" s="2046"/>
      <c r="F5094" s="2046"/>
      <c r="G5094" s="2046"/>
      <c r="H5094" s="2046"/>
      <c r="I5094" s="2046"/>
      <c r="J5094" s="2046"/>
      <c r="K5094" s="2046"/>
      <c r="L5094" s="2046"/>
      <c r="M5094" s="2046"/>
      <c r="N5094" s="2046"/>
      <c r="O5094" s="2046"/>
      <c r="P5094" s="2046"/>
      <c r="Q5094" s="2046"/>
      <c r="R5094" s="2046"/>
      <c r="S5094" s="2046"/>
      <c r="T5094" s="2046"/>
      <c r="U5094" s="2046"/>
      <c r="V5094" s="2046"/>
      <c r="W5094" s="2046"/>
      <c r="X5094" s="2046"/>
      <c r="Y5094" s="2046"/>
      <c r="Z5094" s="2046"/>
      <c r="AA5094" s="2046"/>
      <c r="AB5094" s="2046"/>
      <c r="AC5094" s="2046"/>
      <c r="AD5094" s="2046"/>
      <c r="AE5094" s="2047">
        <f>'01'!$M$13</f>
        <v>0</v>
      </c>
      <c r="AF5094" s="2044"/>
    </row>
    <row r="5095" spans="1:32" x14ac:dyDescent="0.2">
      <c r="A5095" s="1046"/>
      <c r="B5095" s="1047"/>
      <c r="C5095" s="1047"/>
      <c r="D5095" s="1047"/>
      <c r="E5095" s="1047"/>
      <c r="F5095" s="1047"/>
      <c r="G5095" s="1047"/>
      <c r="H5095" s="1047"/>
      <c r="I5095" s="1047"/>
      <c r="J5095" s="1047"/>
      <c r="K5095" s="1047"/>
      <c r="L5095" s="1047"/>
      <c r="M5095" s="1047"/>
      <c r="N5095" s="1047"/>
      <c r="O5095" s="1047"/>
      <c r="P5095" s="1047"/>
      <c r="Q5095" s="1047"/>
      <c r="R5095" s="1047"/>
      <c r="S5095" s="1047"/>
      <c r="T5095" s="1047"/>
      <c r="U5095" s="1047"/>
      <c r="V5095" s="1047"/>
      <c r="W5095" s="1047"/>
      <c r="X5095" s="1047"/>
      <c r="Y5095" s="1047"/>
      <c r="Z5095" s="1047"/>
      <c r="AA5095" s="1047"/>
      <c r="AB5095" s="1047"/>
      <c r="AC5095" s="1047"/>
      <c r="AD5095" s="1047"/>
      <c r="AE5095" s="1047"/>
      <c r="AF5095" s="1048"/>
    </row>
    <row r="5096" spans="1:32" ht="30" customHeight="1" x14ac:dyDescent="0.2">
      <c r="A5096" s="2048" t="s">
        <v>1842</v>
      </c>
      <c r="B5096" s="2049"/>
      <c r="C5096" s="2049"/>
      <c r="D5096" s="2049"/>
      <c r="E5096" s="2049"/>
      <c r="F5096" s="2050" t="str">
        <f>+'01'!$H$201</f>
        <v>H - TANQUE DE ALMACENAMIENTO</v>
      </c>
      <c r="G5096" s="2049"/>
      <c r="H5096" s="2049"/>
      <c r="I5096" s="2049"/>
      <c r="J5096" s="2049"/>
      <c r="K5096" s="2049"/>
      <c r="L5096" s="2049"/>
      <c r="M5096" s="2049"/>
      <c r="N5096" s="2049"/>
      <c r="O5096" s="2049"/>
      <c r="P5096" s="2049"/>
      <c r="Q5096" s="2049"/>
      <c r="R5096" s="2049"/>
      <c r="S5096" s="2049"/>
      <c r="T5096" s="2049"/>
      <c r="U5096" s="2049"/>
      <c r="V5096" s="2049"/>
      <c r="W5096" s="2049"/>
      <c r="X5096" s="2049"/>
      <c r="Y5096" s="2051"/>
      <c r="Z5096" s="2052" t="s">
        <v>1843</v>
      </c>
      <c r="AA5096" s="2053"/>
      <c r="AB5096" s="2058" t="s">
        <v>1844</v>
      </c>
      <c r="AC5096" s="2059"/>
      <c r="AD5096" s="2060"/>
      <c r="AE5096" s="2064" t="s">
        <v>1845</v>
      </c>
      <c r="AF5096" s="2067" t="s">
        <v>1846</v>
      </c>
    </row>
    <row r="5097" spans="1:32" ht="15" customHeight="1" x14ac:dyDescent="0.2">
      <c r="A5097" s="2070" t="str">
        <f>+'01'!A214</f>
        <v>H-05-01</v>
      </c>
      <c r="B5097" s="2071"/>
      <c r="C5097" s="2072"/>
      <c r="D5097" s="2076" t="str">
        <f>VLOOKUP(A5097,'01'!$A$12:$N$299,3,FALSE)</f>
        <v>CONCRETO PARA SOLADO, LIMPIEZA Y/O RELLENOS FLUIDOS (140KG/CM2) - ESPESOR=0.05 METROS.</v>
      </c>
      <c r="E5097" s="2077"/>
      <c r="F5097" s="2077"/>
      <c r="G5097" s="2077"/>
      <c r="H5097" s="2077"/>
      <c r="I5097" s="2077"/>
      <c r="J5097" s="2077"/>
      <c r="K5097" s="2077"/>
      <c r="L5097" s="2077"/>
      <c r="M5097" s="2077"/>
      <c r="N5097" s="2077"/>
      <c r="O5097" s="2077"/>
      <c r="P5097" s="2077"/>
      <c r="Q5097" s="2077"/>
      <c r="R5097" s="2077"/>
      <c r="S5097" s="2078"/>
      <c r="T5097" s="2082" t="s">
        <v>124</v>
      </c>
      <c r="U5097" s="2083"/>
      <c r="V5097" s="2083"/>
      <c r="W5097" s="2083"/>
      <c r="X5097" s="2052" t="str">
        <f>VLOOKUP(A5097,'01'!$A$12:$N$299,9,FALSE)</f>
        <v>M3</v>
      </c>
      <c r="Y5097" s="2053"/>
      <c r="Z5097" s="2054"/>
      <c r="AA5097" s="2055"/>
      <c r="AB5097" s="2061"/>
      <c r="AC5097" s="2062"/>
      <c r="AD5097" s="2063"/>
      <c r="AE5097" s="2065"/>
      <c r="AF5097" s="2068"/>
    </row>
    <row r="5098" spans="1:32" ht="15" customHeight="1" x14ac:dyDescent="0.25">
      <c r="A5098" s="2073"/>
      <c r="B5098" s="2074"/>
      <c r="C5098" s="2075"/>
      <c r="D5098" s="2079"/>
      <c r="E5098" s="2080"/>
      <c r="F5098" s="2080"/>
      <c r="G5098" s="2080"/>
      <c r="H5098" s="2080"/>
      <c r="I5098" s="2080"/>
      <c r="J5098" s="2080"/>
      <c r="K5098" s="2080"/>
      <c r="L5098" s="2080"/>
      <c r="M5098" s="2080"/>
      <c r="N5098" s="2080"/>
      <c r="O5098" s="2080"/>
      <c r="P5098" s="2080"/>
      <c r="Q5098" s="2080"/>
      <c r="R5098" s="2080"/>
      <c r="S5098" s="2081"/>
      <c r="T5098" s="2084"/>
      <c r="U5098" s="2085"/>
      <c r="V5098" s="2085"/>
      <c r="W5098" s="2085"/>
      <c r="X5098" s="2056"/>
      <c r="Y5098" s="2057"/>
      <c r="Z5098" s="2056"/>
      <c r="AA5098" s="2057"/>
      <c r="AB5098" s="1049" t="s">
        <v>1847</v>
      </c>
      <c r="AC5098" s="1049" t="s">
        <v>1848</v>
      </c>
      <c r="AD5098" s="1049" t="s">
        <v>1861</v>
      </c>
      <c r="AE5098" s="2066"/>
      <c r="AF5098" s="2069"/>
    </row>
    <row r="5099" spans="1:32" ht="15.6" customHeight="1" x14ac:dyDescent="0.25">
      <c r="A5099" s="2017"/>
      <c r="B5099" s="2018"/>
      <c r="C5099" s="2018"/>
      <c r="D5099" s="2018"/>
      <c r="E5099" s="2018"/>
      <c r="F5099" s="2018"/>
      <c r="G5099" s="2018"/>
      <c r="H5099" s="2018"/>
      <c r="I5099" s="2018"/>
      <c r="J5099" s="2018"/>
      <c r="K5099" s="2018"/>
      <c r="L5099" s="2018"/>
      <c r="M5099" s="2018"/>
      <c r="N5099" s="2018"/>
      <c r="O5099" s="2018"/>
      <c r="P5099" s="2018"/>
      <c r="Q5099" s="2018"/>
      <c r="R5099" s="2018"/>
      <c r="S5099" s="2018"/>
      <c r="T5099" s="2018"/>
      <c r="U5099" s="2018"/>
      <c r="V5099" s="2018"/>
      <c r="W5099" s="2018"/>
      <c r="X5099" s="2018"/>
      <c r="Y5099" s="2018"/>
      <c r="Z5099" s="2021" t="s">
        <v>2521</v>
      </c>
      <c r="AA5099" s="2021"/>
      <c r="AB5099" s="1050">
        <v>22.8</v>
      </c>
      <c r="AC5099" s="1050">
        <v>11.65</v>
      </c>
      <c r="AD5099" s="1050">
        <v>0.05</v>
      </c>
      <c r="AE5099" s="1050">
        <v>1</v>
      </c>
      <c r="AF5099" s="1052">
        <f>+ROUND(AB5099*AC5099*AD5099*AE5099,2)</f>
        <v>13.28</v>
      </c>
    </row>
    <row r="5100" spans="1:32" ht="15.6" customHeight="1" x14ac:dyDescent="0.25">
      <c r="A5100" s="2017"/>
      <c r="B5100" s="2018"/>
      <c r="C5100" s="2018"/>
      <c r="D5100" s="2018"/>
      <c r="E5100" s="2018"/>
      <c r="F5100" s="2018"/>
      <c r="G5100" s="2018"/>
      <c r="H5100" s="2018"/>
      <c r="I5100" s="2018"/>
      <c r="J5100" s="2018"/>
      <c r="K5100" s="2018"/>
      <c r="L5100" s="2018"/>
      <c r="M5100" s="2018"/>
      <c r="N5100" s="2018"/>
      <c r="O5100" s="2018"/>
      <c r="P5100" s="2018"/>
      <c r="Q5100" s="2018"/>
      <c r="R5100" s="2018"/>
      <c r="S5100" s="2018"/>
      <c r="T5100" s="2018"/>
      <c r="U5100" s="2018"/>
      <c r="V5100" s="2018"/>
      <c r="W5100" s="2018"/>
      <c r="X5100" s="2018"/>
      <c r="Y5100" s="2018"/>
      <c r="Z5100" s="2021" t="s">
        <v>2523</v>
      </c>
      <c r="AA5100" s="2021"/>
      <c r="AB5100" s="1050">
        <v>1.9</v>
      </c>
      <c r="AC5100" s="1050">
        <v>1.9</v>
      </c>
      <c r="AD5100" s="1050">
        <v>0.05</v>
      </c>
      <c r="AE5100" s="1050">
        <v>2</v>
      </c>
      <c r="AF5100" s="1052">
        <f t="shared" ref="AF5100:AF5102" si="68">+ROUND(AB5100*AC5100*AD5100*AE5100,2)</f>
        <v>0.36</v>
      </c>
    </row>
    <row r="5101" spans="1:32" ht="15.75" x14ac:dyDescent="0.25">
      <c r="A5101" s="2017"/>
      <c r="B5101" s="2018"/>
      <c r="C5101" s="2018"/>
      <c r="D5101" s="2018"/>
      <c r="E5101" s="2018"/>
      <c r="F5101" s="2018"/>
      <c r="G5101" s="2018"/>
      <c r="H5101" s="2018"/>
      <c r="I5101" s="2018"/>
      <c r="J5101" s="2018"/>
      <c r="K5101" s="2018"/>
      <c r="L5101" s="2018"/>
      <c r="M5101" s="2018"/>
      <c r="N5101" s="2018"/>
      <c r="O5101" s="2018"/>
      <c r="P5101" s="2018"/>
      <c r="Q5101" s="2018"/>
      <c r="R5101" s="2018"/>
      <c r="S5101" s="2018"/>
      <c r="T5101" s="2018"/>
      <c r="U5101" s="2018"/>
      <c r="V5101" s="2018"/>
      <c r="W5101" s="2018"/>
      <c r="X5101" s="2018"/>
      <c r="Y5101" s="2018"/>
      <c r="Z5101" s="2021" t="s">
        <v>2522</v>
      </c>
      <c r="AA5101" s="2021"/>
      <c r="AB5101" s="1050">
        <v>2.1</v>
      </c>
      <c r="AC5101" s="1050">
        <v>1.8</v>
      </c>
      <c r="AD5101" s="1050">
        <v>0.05</v>
      </c>
      <c r="AE5101" s="1050">
        <v>2</v>
      </c>
      <c r="AF5101" s="1052">
        <f t="shared" si="68"/>
        <v>0.38</v>
      </c>
    </row>
    <row r="5102" spans="1:32" ht="15.75" x14ac:dyDescent="0.25">
      <c r="A5102" s="2017"/>
      <c r="B5102" s="2018"/>
      <c r="C5102" s="2018"/>
      <c r="D5102" s="2018"/>
      <c r="E5102" s="2018"/>
      <c r="F5102" s="2018"/>
      <c r="G5102" s="2018"/>
      <c r="H5102" s="2018"/>
      <c r="I5102" s="2018"/>
      <c r="J5102" s="2018"/>
      <c r="K5102" s="2018"/>
      <c r="L5102" s="2018"/>
      <c r="M5102" s="2018"/>
      <c r="N5102" s="2018"/>
      <c r="O5102" s="2018"/>
      <c r="P5102" s="2018"/>
      <c r="Q5102" s="2018"/>
      <c r="R5102" s="2018"/>
      <c r="S5102" s="2018"/>
      <c r="T5102" s="2018"/>
      <c r="U5102" s="2018"/>
      <c r="V5102" s="2018"/>
      <c r="W5102" s="2018"/>
      <c r="X5102" s="2018"/>
      <c r="Y5102" s="2018"/>
      <c r="Z5102" s="2021" t="s">
        <v>2460</v>
      </c>
      <c r="AA5102" s="2021"/>
      <c r="AB5102" s="1050">
        <v>2.6</v>
      </c>
      <c r="AC5102" s="1050">
        <v>1.8</v>
      </c>
      <c r="AD5102" s="1050">
        <v>0.05</v>
      </c>
      <c r="AE5102" s="1050">
        <v>1</v>
      </c>
      <c r="AF5102" s="1052">
        <f t="shared" si="68"/>
        <v>0.23</v>
      </c>
    </row>
    <row r="5103" spans="1:32" ht="15.6" customHeight="1" x14ac:dyDescent="0.25">
      <c r="A5103" s="2017"/>
      <c r="B5103" s="2018"/>
      <c r="C5103" s="2018"/>
      <c r="D5103" s="2018"/>
      <c r="E5103" s="2018"/>
      <c r="F5103" s="2018"/>
      <c r="G5103" s="2018"/>
      <c r="H5103" s="2018"/>
      <c r="I5103" s="2018"/>
      <c r="J5103" s="2018"/>
      <c r="K5103" s="2018"/>
      <c r="L5103" s="2018"/>
      <c r="M5103" s="2018"/>
      <c r="N5103" s="2018"/>
      <c r="O5103" s="2018"/>
      <c r="P5103" s="2018"/>
      <c r="Q5103" s="2018"/>
      <c r="R5103" s="2018"/>
      <c r="S5103" s="2018"/>
      <c r="T5103" s="2018"/>
      <c r="U5103" s="2018"/>
      <c r="V5103" s="2018"/>
      <c r="W5103" s="2018"/>
      <c r="X5103" s="2018"/>
      <c r="Y5103" s="2018"/>
      <c r="Z5103" s="2021"/>
      <c r="AA5103" s="2021"/>
      <c r="AB5103" s="1050"/>
      <c r="AC5103" s="1050"/>
      <c r="AD5103" s="1050"/>
      <c r="AE5103" s="1050"/>
      <c r="AF5103" s="1052"/>
    </row>
    <row r="5104" spans="1:32" ht="15.75" x14ac:dyDescent="0.25">
      <c r="A5104" s="2017"/>
      <c r="B5104" s="2018"/>
      <c r="C5104" s="2018"/>
      <c r="D5104" s="2018"/>
      <c r="E5104" s="2018"/>
      <c r="F5104" s="2018"/>
      <c r="G5104" s="2018"/>
      <c r="H5104" s="2018"/>
      <c r="I5104" s="2018"/>
      <c r="J5104" s="2018"/>
      <c r="K5104" s="2018"/>
      <c r="L5104" s="2018"/>
      <c r="M5104" s="2018"/>
      <c r="N5104" s="2018"/>
      <c r="O5104" s="2018"/>
      <c r="P5104" s="2018"/>
      <c r="Q5104" s="2018"/>
      <c r="R5104" s="2018"/>
      <c r="S5104" s="2018"/>
      <c r="T5104" s="2018"/>
      <c r="U5104" s="2018"/>
      <c r="V5104" s="2018"/>
      <c r="W5104" s="2018"/>
      <c r="X5104" s="2018"/>
      <c r="Y5104" s="2018"/>
      <c r="Z5104" s="2021"/>
      <c r="AA5104" s="2021"/>
      <c r="AB5104" s="1050"/>
      <c r="AC5104" s="1050"/>
      <c r="AD5104" s="1050"/>
      <c r="AE5104" s="1050"/>
      <c r="AF5104" s="1052"/>
    </row>
    <row r="5105" spans="1:32" ht="15.75" x14ac:dyDescent="0.25">
      <c r="A5105" s="2017"/>
      <c r="B5105" s="2018"/>
      <c r="C5105" s="2018"/>
      <c r="D5105" s="2018"/>
      <c r="E5105" s="2018"/>
      <c r="F5105" s="2018"/>
      <c r="G5105" s="2018"/>
      <c r="H5105" s="2018"/>
      <c r="I5105" s="2018"/>
      <c r="J5105" s="2018"/>
      <c r="K5105" s="2018"/>
      <c r="L5105" s="2018"/>
      <c r="M5105" s="2018"/>
      <c r="N5105" s="2018"/>
      <c r="O5105" s="2018"/>
      <c r="P5105" s="2018"/>
      <c r="Q5105" s="2018"/>
      <c r="R5105" s="2018"/>
      <c r="S5105" s="2018"/>
      <c r="T5105" s="2018"/>
      <c r="U5105" s="2018"/>
      <c r="V5105" s="2018"/>
      <c r="W5105" s="2018"/>
      <c r="X5105" s="2018"/>
      <c r="Y5105" s="2018"/>
      <c r="Z5105" s="2021"/>
      <c r="AA5105" s="2021"/>
      <c r="AB5105" s="1050"/>
      <c r="AC5105" s="1050"/>
      <c r="AD5105" s="1050"/>
      <c r="AE5105" s="1050"/>
      <c r="AF5105" s="1052"/>
    </row>
    <row r="5106" spans="1:32" ht="15.75" x14ac:dyDescent="0.25">
      <c r="A5106" s="2017"/>
      <c r="B5106" s="2018"/>
      <c r="C5106" s="2018"/>
      <c r="D5106" s="2018"/>
      <c r="E5106" s="2018"/>
      <c r="F5106" s="2018"/>
      <c r="G5106" s="2018"/>
      <c r="H5106" s="2018"/>
      <c r="I5106" s="2018"/>
      <c r="J5106" s="2018"/>
      <c r="K5106" s="2018"/>
      <c r="L5106" s="2018"/>
      <c r="M5106" s="2018"/>
      <c r="N5106" s="2018"/>
      <c r="O5106" s="2018"/>
      <c r="P5106" s="2018"/>
      <c r="Q5106" s="2018"/>
      <c r="R5106" s="2018"/>
      <c r="S5106" s="2018"/>
      <c r="T5106" s="2018"/>
      <c r="U5106" s="2018"/>
      <c r="V5106" s="2018"/>
      <c r="W5106" s="2018"/>
      <c r="X5106" s="2018"/>
      <c r="Y5106" s="2018"/>
      <c r="Z5106" s="2021"/>
      <c r="AA5106" s="2021"/>
      <c r="AB5106" s="1050"/>
      <c r="AC5106" s="1050"/>
      <c r="AD5106" s="1050"/>
      <c r="AE5106" s="1050"/>
      <c r="AF5106" s="1052"/>
    </row>
    <row r="5107" spans="1:32" ht="15.75" x14ac:dyDescent="0.25">
      <c r="A5107" s="2017"/>
      <c r="B5107" s="2018"/>
      <c r="C5107" s="2018"/>
      <c r="D5107" s="2018"/>
      <c r="E5107" s="2018"/>
      <c r="F5107" s="2018"/>
      <c r="G5107" s="2018"/>
      <c r="H5107" s="2018"/>
      <c r="I5107" s="2018"/>
      <c r="J5107" s="2018"/>
      <c r="K5107" s="2018"/>
      <c r="L5107" s="2018"/>
      <c r="M5107" s="2018"/>
      <c r="N5107" s="2018"/>
      <c r="O5107" s="2018"/>
      <c r="P5107" s="2018"/>
      <c r="Q5107" s="2018"/>
      <c r="R5107" s="2018"/>
      <c r="S5107" s="2018"/>
      <c r="T5107" s="2018"/>
      <c r="U5107" s="2018"/>
      <c r="V5107" s="2018"/>
      <c r="W5107" s="2018"/>
      <c r="X5107" s="2018"/>
      <c r="Y5107" s="2018"/>
      <c r="Z5107" s="2021"/>
      <c r="AA5107" s="2021"/>
      <c r="AB5107" s="1050"/>
      <c r="AC5107" s="1050"/>
      <c r="AD5107" s="1050"/>
      <c r="AE5107" s="1050"/>
      <c r="AF5107" s="1052"/>
    </row>
    <row r="5108" spans="1:32" ht="15.75" x14ac:dyDescent="0.25">
      <c r="A5108" s="2017"/>
      <c r="B5108" s="2018"/>
      <c r="C5108" s="2018"/>
      <c r="D5108" s="2018"/>
      <c r="E5108" s="2018"/>
      <c r="F5108" s="2018"/>
      <c r="G5108" s="2018"/>
      <c r="H5108" s="2018"/>
      <c r="I5108" s="2018"/>
      <c r="J5108" s="2018"/>
      <c r="K5108" s="2018"/>
      <c r="L5108" s="2018"/>
      <c r="M5108" s="2018"/>
      <c r="N5108" s="2018"/>
      <c r="O5108" s="2018"/>
      <c r="P5108" s="2018"/>
      <c r="Q5108" s="2018"/>
      <c r="R5108" s="2018"/>
      <c r="S5108" s="2018"/>
      <c r="T5108" s="2018"/>
      <c r="U5108" s="2018"/>
      <c r="V5108" s="2018"/>
      <c r="W5108" s="2018"/>
      <c r="X5108" s="2018"/>
      <c r="Y5108" s="2018"/>
      <c r="Z5108" s="2021"/>
      <c r="AA5108" s="2021"/>
      <c r="AB5108" s="1050"/>
      <c r="AC5108" s="1050"/>
      <c r="AD5108" s="1050"/>
      <c r="AE5108" s="1050"/>
      <c r="AF5108" s="1052"/>
    </row>
    <row r="5109" spans="1:32" ht="15.75" x14ac:dyDescent="0.25">
      <c r="A5109" s="2017"/>
      <c r="B5109" s="2018"/>
      <c r="C5109" s="2018"/>
      <c r="D5109" s="2018"/>
      <c r="E5109" s="2018"/>
      <c r="F5109" s="2018"/>
      <c r="G5109" s="2018"/>
      <c r="H5109" s="2018"/>
      <c r="I5109" s="2018"/>
      <c r="J5109" s="2018"/>
      <c r="K5109" s="2018"/>
      <c r="L5109" s="2018"/>
      <c r="M5109" s="2018"/>
      <c r="N5109" s="2018"/>
      <c r="O5109" s="2018"/>
      <c r="P5109" s="2018"/>
      <c r="Q5109" s="2018"/>
      <c r="R5109" s="2018"/>
      <c r="S5109" s="2018"/>
      <c r="T5109" s="2018"/>
      <c r="U5109" s="2018"/>
      <c r="V5109" s="2018"/>
      <c r="W5109" s="2018"/>
      <c r="X5109" s="2018"/>
      <c r="Y5109" s="2018"/>
      <c r="Z5109" s="2021"/>
      <c r="AA5109" s="2021"/>
      <c r="AB5109" s="1050"/>
      <c r="AC5109" s="1050"/>
      <c r="AD5109" s="1050"/>
      <c r="AE5109" s="1050"/>
      <c r="AF5109" s="1052"/>
    </row>
    <row r="5110" spans="1:32" ht="15.75" x14ac:dyDescent="0.25">
      <c r="A5110" s="2017"/>
      <c r="B5110" s="2018"/>
      <c r="C5110" s="2018"/>
      <c r="D5110" s="2018"/>
      <c r="E5110" s="2018"/>
      <c r="F5110" s="2018"/>
      <c r="G5110" s="2018"/>
      <c r="H5110" s="2018"/>
      <c r="I5110" s="2018"/>
      <c r="J5110" s="2018"/>
      <c r="K5110" s="2018"/>
      <c r="L5110" s="2018"/>
      <c r="M5110" s="2018"/>
      <c r="N5110" s="2018"/>
      <c r="O5110" s="2018"/>
      <c r="P5110" s="2018"/>
      <c r="Q5110" s="2018"/>
      <c r="R5110" s="2018"/>
      <c r="S5110" s="2018"/>
      <c r="T5110" s="2018"/>
      <c r="U5110" s="2018"/>
      <c r="V5110" s="2018"/>
      <c r="W5110" s="2018"/>
      <c r="X5110" s="2018"/>
      <c r="Y5110" s="2018"/>
      <c r="Z5110" s="2021"/>
      <c r="AA5110" s="2021"/>
      <c r="AB5110" s="1050"/>
      <c r="AC5110" s="1050"/>
      <c r="AD5110" s="1050"/>
      <c r="AE5110" s="1050"/>
      <c r="AF5110" s="1052"/>
    </row>
    <row r="5111" spans="1:32" ht="15.75" x14ac:dyDescent="0.25">
      <c r="A5111" s="2017"/>
      <c r="B5111" s="2018"/>
      <c r="C5111" s="2018"/>
      <c r="D5111" s="2018"/>
      <c r="E5111" s="2018"/>
      <c r="F5111" s="2018"/>
      <c r="G5111" s="2018"/>
      <c r="H5111" s="2018"/>
      <c r="I5111" s="2018"/>
      <c r="J5111" s="2018"/>
      <c r="K5111" s="2018"/>
      <c r="L5111" s="2018"/>
      <c r="M5111" s="2018"/>
      <c r="N5111" s="2018"/>
      <c r="O5111" s="2018"/>
      <c r="P5111" s="2018"/>
      <c r="Q5111" s="2018"/>
      <c r="R5111" s="2018"/>
      <c r="S5111" s="2018"/>
      <c r="T5111" s="2018"/>
      <c r="U5111" s="2018"/>
      <c r="V5111" s="2018"/>
      <c r="W5111" s="2018"/>
      <c r="X5111" s="2018"/>
      <c r="Y5111" s="2018"/>
      <c r="Z5111" s="2021"/>
      <c r="AA5111" s="2021"/>
      <c r="AB5111" s="1050"/>
      <c r="AC5111" s="1050"/>
      <c r="AD5111" s="1050"/>
      <c r="AE5111" s="1050"/>
      <c r="AF5111" s="1052"/>
    </row>
    <row r="5112" spans="1:32" ht="15.75" x14ac:dyDescent="0.25">
      <c r="A5112" s="2017"/>
      <c r="B5112" s="2018"/>
      <c r="C5112" s="2018"/>
      <c r="D5112" s="2018"/>
      <c r="E5112" s="2018"/>
      <c r="F5112" s="2018"/>
      <c r="G5112" s="2018"/>
      <c r="H5112" s="2018"/>
      <c r="I5112" s="2018"/>
      <c r="J5112" s="2018"/>
      <c r="K5112" s="2018"/>
      <c r="L5112" s="2018"/>
      <c r="M5112" s="2018"/>
      <c r="N5112" s="2018"/>
      <c r="O5112" s="2018"/>
      <c r="P5112" s="2018"/>
      <c r="Q5112" s="2018"/>
      <c r="R5112" s="2018"/>
      <c r="S5112" s="2018"/>
      <c r="T5112" s="2018"/>
      <c r="U5112" s="2018"/>
      <c r="V5112" s="2018"/>
      <c r="W5112" s="2018"/>
      <c r="X5112" s="2018"/>
      <c r="Y5112" s="2018"/>
      <c r="Z5112" s="2021"/>
      <c r="AA5112" s="2021"/>
      <c r="AB5112" s="1050"/>
      <c r="AC5112" s="1050"/>
      <c r="AD5112" s="1050"/>
      <c r="AE5112" s="1050"/>
      <c r="AF5112" s="1052"/>
    </row>
    <row r="5113" spans="1:32" ht="15.75" x14ac:dyDescent="0.25">
      <c r="A5113" s="2017"/>
      <c r="B5113" s="2018"/>
      <c r="C5113" s="2018"/>
      <c r="D5113" s="2018"/>
      <c r="E5113" s="2018"/>
      <c r="F5113" s="2018"/>
      <c r="G5113" s="2018"/>
      <c r="H5113" s="2018"/>
      <c r="I5113" s="2018"/>
      <c r="J5113" s="2018"/>
      <c r="K5113" s="2018"/>
      <c r="L5113" s="2018"/>
      <c r="M5113" s="2018"/>
      <c r="N5113" s="2018"/>
      <c r="O5113" s="2018"/>
      <c r="P5113" s="2018"/>
      <c r="Q5113" s="2018"/>
      <c r="R5113" s="2018"/>
      <c r="S5113" s="2018"/>
      <c r="T5113" s="2018"/>
      <c r="U5113" s="2018"/>
      <c r="V5113" s="2018"/>
      <c r="W5113" s="2018"/>
      <c r="X5113" s="2018"/>
      <c r="Y5113" s="2018"/>
      <c r="Z5113" s="2022"/>
      <c r="AA5113" s="2022"/>
      <c r="AB5113" s="1050"/>
      <c r="AC5113" s="1050"/>
      <c r="AD5113" s="1050"/>
      <c r="AE5113" s="1050"/>
      <c r="AF5113" s="1052"/>
    </row>
    <row r="5114" spans="1:32" ht="15.75" x14ac:dyDescent="0.25">
      <c r="A5114" s="2017"/>
      <c r="B5114" s="2018"/>
      <c r="C5114" s="2018"/>
      <c r="D5114" s="2018"/>
      <c r="E5114" s="2018"/>
      <c r="F5114" s="2018"/>
      <c r="G5114" s="2018"/>
      <c r="H5114" s="2018"/>
      <c r="I5114" s="2018"/>
      <c r="J5114" s="2018"/>
      <c r="K5114" s="2018"/>
      <c r="L5114" s="2018"/>
      <c r="M5114" s="2018"/>
      <c r="N5114" s="2018"/>
      <c r="O5114" s="2018"/>
      <c r="P5114" s="2018"/>
      <c r="Q5114" s="2018"/>
      <c r="R5114" s="2018"/>
      <c r="S5114" s="2018"/>
      <c r="T5114" s="2018"/>
      <c r="U5114" s="2018"/>
      <c r="V5114" s="2018"/>
      <c r="W5114" s="2018"/>
      <c r="X5114" s="2018"/>
      <c r="Y5114" s="2018"/>
      <c r="Z5114" s="2022"/>
      <c r="AA5114" s="2022"/>
      <c r="AB5114" s="1050"/>
      <c r="AC5114" s="1050"/>
      <c r="AD5114" s="1050"/>
      <c r="AE5114" s="1050"/>
      <c r="AF5114" s="1052"/>
    </row>
    <row r="5115" spans="1:32" ht="15.75" x14ac:dyDescent="0.25">
      <c r="A5115" s="2017"/>
      <c r="B5115" s="2018"/>
      <c r="C5115" s="2018"/>
      <c r="D5115" s="2018"/>
      <c r="E5115" s="2018"/>
      <c r="F5115" s="2018"/>
      <c r="G5115" s="2018"/>
      <c r="H5115" s="2018"/>
      <c r="I5115" s="2018"/>
      <c r="J5115" s="2018"/>
      <c r="K5115" s="2018"/>
      <c r="L5115" s="2018"/>
      <c r="M5115" s="2018"/>
      <c r="N5115" s="2018"/>
      <c r="O5115" s="2018"/>
      <c r="P5115" s="2018"/>
      <c r="Q5115" s="2018"/>
      <c r="R5115" s="2018"/>
      <c r="S5115" s="2018"/>
      <c r="T5115" s="2018"/>
      <c r="U5115" s="2018"/>
      <c r="V5115" s="2018"/>
      <c r="W5115" s="2018"/>
      <c r="X5115" s="2018"/>
      <c r="Y5115" s="2018"/>
      <c r="Z5115" s="2022"/>
      <c r="AA5115" s="2022"/>
      <c r="AB5115" s="1050"/>
      <c r="AC5115" s="1050"/>
      <c r="AD5115" s="1050"/>
      <c r="AE5115" s="1050"/>
      <c r="AF5115" s="1052"/>
    </row>
    <row r="5116" spans="1:32" ht="15.75" x14ac:dyDescent="0.25">
      <c r="A5116" s="2017"/>
      <c r="B5116" s="2018"/>
      <c r="C5116" s="2018"/>
      <c r="D5116" s="2018"/>
      <c r="E5116" s="2018"/>
      <c r="F5116" s="2018"/>
      <c r="G5116" s="2018"/>
      <c r="H5116" s="2018"/>
      <c r="I5116" s="2018"/>
      <c r="J5116" s="2018"/>
      <c r="K5116" s="2018"/>
      <c r="L5116" s="2018"/>
      <c r="M5116" s="2018"/>
      <c r="N5116" s="2018"/>
      <c r="O5116" s="2018"/>
      <c r="P5116" s="2018"/>
      <c r="Q5116" s="2018"/>
      <c r="R5116" s="2018"/>
      <c r="S5116" s="2018"/>
      <c r="T5116" s="2018"/>
      <c r="U5116" s="2018"/>
      <c r="V5116" s="2018"/>
      <c r="W5116" s="2018"/>
      <c r="X5116" s="2018"/>
      <c r="Y5116" s="2018"/>
      <c r="Z5116" s="2023"/>
      <c r="AA5116" s="2023"/>
      <c r="AB5116" s="1050"/>
      <c r="AC5116" s="1050"/>
      <c r="AD5116" s="1050"/>
      <c r="AE5116" s="1050"/>
      <c r="AF5116" s="1052"/>
    </row>
    <row r="5117" spans="1:32" ht="15.75" x14ac:dyDescent="0.25">
      <c r="A5117" s="2017"/>
      <c r="B5117" s="2018"/>
      <c r="C5117" s="2018"/>
      <c r="D5117" s="2018"/>
      <c r="E5117" s="2018"/>
      <c r="F5117" s="2018"/>
      <c r="G5117" s="2018"/>
      <c r="H5117" s="2018"/>
      <c r="I5117" s="2018"/>
      <c r="J5117" s="2018"/>
      <c r="K5117" s="2018"/>
      <c r="L5117" s="2018"/>
      <c r="M5117" s="2018"/>
      <c r="N5117" s="2018"/>
      <c r="O5117" s="2018"/>
      <c r="P5117" s="2018"/>
      <c r="Q5117" s="2018"/>
      <c r="R5117" s="2018"/>
      <c r="S5117" s="2018"/>
      <c r="T5117" s="2018"/>
      <c r="U5117" s="2018"/>
      <c r="V5117" s="2018"/>
      <c r="W5117" s="2018"/>
      <c r="X5117" s="2018"/>
      <c r="Y5117" s="2018"/>
      <c r="Z5117" s="2023"/>
      <c r="AA5117" s="2023"/>
      <c r="AB5117" s="1050"/>
      <c r="AC5117" s="1050"/>
      <c r="AD5117" s="1050"/>
      <c r="AE5117" s="1050"/>
      <c r="AF5117" s="1052"/>
    </row>
    <row r="5118" spans="1:32" ht="15.75" x14ac:dyDescent="0.25">
      <c r="A5118" s="2017"/>
      <c r="B5118" s="2018"/>
      <c r="C5118" s="2018"/>
      <c r="D5118" s="2018"/>
      <c r="E5118" s="2018"/>
      <c r="F5118" s="2018"/>
      <c r="G5118" s="2018"/>
      <c r="H5118" s="2018"/>
      <c r="I5118" s="2018"/>
      <c r="J5118" s="2018"/>
      <c r="K5118" s="2018"/>
      <c r="L5118" s="2018"/>
      <c r="M5118" s="2018"/>
      <c r="N5118" s="2018"/>
      <c r="O5118" s="2018"/>
      <c r="P5118" s="2018"/>
      <c r="Q5118" s="2018"/>
      <c r="R5118" s="2018"/>
      <c r="S5118" s="2018"/>
      <c r="T5118" s="2018"/>
      <c r="U5118" s="2018"/>
      <c r="V5118" s="2018"/>
      <c r="W5118" s="2018"/>
      <c r="X5118" s="2018"/>
      <c r="Y5118" s="2018"/>
      <c r="Z5118" s="2023"/>
      <c r="AA5118" s="2023"/>
      <c r="AB5118" s="1050"/>
      <c r="AC5118" s="1050"/>
      <c r="AD5118" s="1050"/>
      <c r="AE5118" s="1050"/>
      <c r="AF5118" s="1052"/>
    </row>
    <row r="5119" spans="1:32" ht="15.75" x14ac:dyDescent="0.25">
      <c r="A5119" s="2017"/>
      <c r="B5119" s="2018"/>
      <c r="C5119" s="2018"/>
      <c r="D5119" s="2018"/>
      <c r="E5119" s="2018"/>
      <c r="F5119" s="2018"/>
      <c r="G5119" s="2018"/>
      <c r="H5119" s="2018"/>
      <c r="I5119" s="2018"/>
      <c r="J5119" s="2018"/>
      <c r="K5119" s="2018"/>
      <c r="L5119" s="2018"/>
      <c r="M5119" s="2018"/>
      <c r="N5119" s="2018"/>
      <c r="O5119" s="2018"/>
      <c r="P5119" s="2018"/>
      <c r="Q5119" s="2018"/>
      <c r="R5119" s="2018"/>
      <c r="S5119" s="2018"/>
      <c r="T5119" s="2018"/>
      <c r="U5119" s="2018"/>
      <c r="V5119" s="2018"/>
      <c r="W5119" s="2018"/>
      <c r="X5119" s="2018"/>
      <c r="Y5119" s="2018"/>
      <c r="Z5119" s="2023"/>
      <c r="AA5119" s="2023"/>
      <c r="AB5119" s="1050"/>
      <c r="AC5119" s="1050"/>
      <c r="AD5119" s="1050"/>
      <c r="AE5119" s="1050"/>
      <c r="AF5119" s="1052"/>
    </row>
    <row r="5120" spans="1:32" ht="15.75" x14ac:dyDescent="0.25">
      <c r="A5120" s="2017"/>
      <c r="B5120" s="2018"/>
      <c r="C5120" s="2018"/>
      <c r="D5120" s="2018"/>
      <c r="E5120" s="2018"/>
      <c r="F5120" s="2018"/>
      <c r="G5120" s="2018"/>
      <c r="H5120" s="2018"/>
      <c r="I5120" s="2018"/>
      <c r="J5120" s="2018"/>
      <c r="K5120" s="2018"/>
      <c r="L5120" s="2018"/>
      <c r="M5120" s="2018"/>
      <c r="N5120" s="2018"/>
      <c r="O5120" s="2018"/>
      <c r="P5120" s="2018"/>
      <c r="Q5120" s="2018"/>
      <c r="R5120" s="2018"/>
      <c r="S5120" s="2018"/>
      <c r="T5120" s="2018"/>
      <c r="U5120" s="2018"/>
      <c r="V5120" s="2018"/>
      <c r="W5120" s="2018"/>
      <c r="X5120" s="2018"/>
      <c r="Y5120" s="2018"/>
      <c r="Z5120" s="2023"/>
      <c r="AA5120" s="2023"/>
      <c r="AB5120" s="1050"/>
      <c r="AC5120" s="1050"/>
      <c r="AD5120" s="1050"/>
      <c r="AE5120" s="1050"/>
      <c r="AF5120" s="1052"/>
    </row>
    <row r="5121" spans="1:32" ht="15.75" x14ac:dyDescent="0.25">
      <c r="A5121" s="2017"/>
      <c r="B5121" s="2018"/>
      <c r="C5121" s="2018"/>
      <c r="D5121" s="2018"/>
      <c r="E5121" s="2018"/>
      <c r="F5121" s="2018"/>
      <c r="G5121" s="2018"/>
      <c r="H5121" s="2018"/>
      <c r="I5121" s="2018"/>
      <c r="J5121" s="2018"/>
      <c r="K5121" s="2018"/>
      <c r="L5121" s="2018"/>
      <c r="M5121" s="2018"/>
      <c r="N5121" s="2018"/>
      <c r="O5121" s="2018"/>
      <c r="P5121" s="2018"/>
      <c r="Q5121" s="2018"/>
      <c r="R5121" s="2018"/>
      <c r="S5121" s="2018"/>
      <c r="T5121" s="2018"/>
      <c r="U5121" s="2018"/>
      <c r="V5121" s="2018"/>
      <c r="W5121" s="2018"/>
      <c r="X5121" s="2018"/>
      <c r="Y5121" s="2018"/>
      <c r="Z5121" s="2023"/>
      <c r="AA5121" s="2023"/>
      <c r="AB5121" s="1050"/>
      <c r="AC5121" s="1050"/>
      <c r="AD5121" s="1050"/>
      <c r="AE5121" s="1050"/>
      <c r="AF5121" s="1052"/>
    </row>
    <row r="5122" spans="1:32" ht="16.5" thickBot="1" x14ac:dyDescent="0.3">
      <c r="A5122" s="2019"/>
      <c r="B5122" s="2020"/>
      <c r="C5122" s="2020"/>
      <c r="D5122" s="2020"/>
      <c r="E5122" s="2020"/>
      <c r="F5122" s="2020"/>
      <c r="G5122" s="2020"/>
      <c r="H5122" s="2020"/>
      <c r="I5122" s="2020"/>
      <c r="J5122" s="2020"/>
      <c r="K5122" s="2020"/>
      <c r="L5122" s="2020"/>
      <c r="M5122" s="2020"/>
      <c r="N5122" s="2020"/>
      <c r="O5122" s="2020"/>
      <c r="P5122" s="2020"/>
      <c r="Q5122" s="2020"/>
      <c r="R5122" s="2020"/>
      <c r="S5122" s="2020"/>
      <c r="T5122" s="2020"/>
      <c r="U5122" s="2020"/>
      <c r="V5122" s="2020"/>
      <c r="W5122" s="2020"/>
      <c r="X5122" s="2020"/>
      <c r="Y5122" s="2020"/>
      <c r="Z5122" s="2024"/>
      <c r="AA5122" s="2024"/>
      <c r="AB5122" s="1057"/>
      <c r="AC5122" s="1057"/>
      <c r="AD5122" s="1057"/>
      <c r="AE5122" s="1057"/>
      <c r="AF5122" s="1058"/>
    </row>
    <row r="5123" spans="1:32" ht="15.75" x14ac:dyDescent="0.25">
      <c r="A5123" s="2009" t="s">
        <v>1855</v>
      </c>
      <c r="B5123" s="2010"/>
      <c r="C5123" s="2010"/>
      <c r="D5123" s="2010"/>
      <c r="E5123" s="2010"/>
      <c r="F5123" s="2010"/>
      <c r="G5123" s="2010"/>
      <c r="H5123" s="2010"/>
      <c r="I5123" s="2010"/>
      <c r="J5123" s="2010"/>
      <c r="K5123" s="2010"/>
      <c r="L5123" s="2010"/>
      <c r="M5123" s="2010"/>
      <c r="N5123" s="2010"/>
      <c r="O5123" s="2010"/>
      <c r="P5123" s="2010"/>
      <c r="Q5123" s="2010"/>
      <c r="R5123" s="2010"/>
      <c r="S5123" s="2010"/>
      <c r="T5123" s="2010"/>
      <c r="U5123" s="2010"/>
      <c r="V5123" s="2010"/>
      <c r="W5123" s="2010"/>
      <c r="X5123" s="2010"/>
      <c r="Y5123" s="2010"/>
      <c r="Z5123" s="2013" t="s">
        <v>1850</v>
      </c>
      <c r="AA5123" s="2013"/>
      <c r="AB5123" s="2013"/>
      <c r="AC5123" s="2013"/>
      <c r="AD5123" s="2013"/>
      <c r="AE5123" s="2013"/>
      <c r="AF5123" s="1059">
        <f>SUM(AF5099:AF5122)</f>
        <v>14.25</v>
      </c>
    </row>
    <row r="5124" spans="1:32" ht="15.75" x14ac:dyDescent="0.25">
      <c r="A5124" s="2011"/>
      <c r="B5124" s="2012"/>
      <c r="C5124" s="2012"/>
      <c r="D5124" s="2012"/>
      <c r="E5124" s="2012"/>
      <c r="F5124" s="2012"/>
      <c r="G5124" s="2012"/>
      <c r="H5124" s="2012"/>
      <c r="I5124" s="2012"/>
      <c r="J5124" s="2012"/>
      <c r="K5124" s="2012"/>
      <c r="L5124" s="2012"/>
      <c r="M5124" s="2012"/>
      <c r="N5124" s="2012"/>
      <c r="O5124" s="2012"/>
      <c r="P5124" s="2012"/>
      <c r="Q5124" s="2012"/>
      <c r="R5124" s="2012"/>
      <c r="S5124" s="2012"/>
      <c r="T5124" s="2012"/>
      <c r="U5124" s="2012"/>
      <c r="V5124" s="2012"/>
      <c r="W5124" s="2012"/>
      <c r="X5124" s="2012"/>
      <c r="Y5124" s="2012"/>
      <c r="Z5124" s="2014" t="s">
        <v>1851</v>
      </c>
      <c r="AA5124" s="2014"/>
      <c r="AB5124" s="2014"/>
      <c r="AC5124" s="2014"/>
      <c r="AD5124" s="2014"/>
      <c r="AE5124" s="2014"/>
      <c r="AF5124" s="1060">
        <v>0</v>
      </c>
    </row>
    <row r="5125" spans="1:32" ht="15.75" x14ac:dyDescent="0.25">
      <c r="A5125" s="2011"/>
      <c r="B5125" s="2012"/>
      <c r="C5125" s="2012"/>
      <c r="D5125" s="2012"/>
      <c r="E5125" s="2012"/>
      <c r="F5125" s="2012"/>
      <c r="G5125" s="2012"/>
      <c r="H5125" s="2012"/>
      <c r="I5125" s="2012"/>
      <c r="J5125" s="2012"/>
      <c r="K5125" s="2012"/>
      <c r="L5125" s="2012"/>
      <c r="M5125" s="2012"/>
      <c r="N5125" s="2012"/>
      <c r="O5125" s="2012"/>
      <c r="P5125" s="2012"/>
      <c r="Q5125" s="2012"/>
      <c r="R5125" s="2012"/>
      <c r="S5125" s="2012"/>
      <c r="T5125" s="2012"/>
      <c r="U5125" s="2012"/>
      <c r="V5125" s="2012"/>
      <c r="W5125" s="2012"/>
      <c r="X5125" s="2012"/>
      <c r="Y5125" s="2012"/>
      <c r="Z5125" s="2015" t="s">
        <v>1833</v>
      </c>
      <c r="AA5125" s="2015"/>
      <c r="AB5125" s="2015"/>
      <c r="AC5125" s="2015"/>
      <c r="AD5125" s="2015"/>
      <c r="AE5125" s="2015"/>
      <c r="AF5125" s="1061">
        <f>SUM(AF5123:AF5124)</f>
        <v>14.25</v>
      </c>
    </row>
    <row r="5126" spans="1:32" x14ac:dyDescent="0.2">
      <c r="A5126" s="2012" t="s">
        <v>1859</v>
      </c>
      <c r="B5126" s="2012"/>
      <c r="C5126" s="2012"/>
      <c r="D5126" s="2012"/>
      <c r="E5126" s="2012"/>
      <c r="F5126" s="2012"/>
      <c r="G5126" s="2012"/>
      <c r="H5126" s="2012"/>
      <c r="I5126" s="2012"/>
      <c r="J5126" s="2012"/>
      <c r="K5126" s="2012"/>
      <c r="L5126" s="2012"/>
      <c r="M5126" s="2012"/>
      <c r="N5126" s="2012"/>
      <c r="O5126" s="2012"/>
      <c r="P5126" s="2012"/>
      <c r="Q5126" s="2012"/>
      <c r="R5126" s="2012"/>
      <c r="S5126" s="2012"/>
      <c r="T5126" s="2016" t="s">
        <v>1840</v>
      </c>
      <c r="U5126" s="2016"/>
      <c r="V5126" s="2016"/>
      <c r="W5126" s="2016"/>
      <c r="X5126" s="2016"/>
      <c r="Y5126" s="2016"/>
      <c r="Z5126" s="2016"/>
      <c r="AA5126" s="2016"/>
      <c r="AB5126" s="2012" t="s">
        <v>1852</v>
      </c>
      <c r="AC5126" s="2012"/>
      <c r="AD5126" s="2012"/>
      <c r="AE5126" s="2012"/>
      <c r="AF5126" s="2012"/>
    </row>
    <row r="5127" spans="1:32" x14ac:dyDescent="0.2">
      <c r="A5127" s="2012"/>
      <c r="B5127" s="2012"/>
      <c r="C5127" s="2012"/>
      <c r="D5127" s="2012"/>
      <c r="E5127" s="2012"/>
      <c r="F5127" s="2012"/>
      <c r="G5127" s="2012"/>
      <c r="H5127" s="2012"/>
      <c r="I5127" s="2012"/>
      <c r="J5127" s="2012"/>
      <c r="K5127" s="2012"/>
      <c r="L5127" s="2012"/>
      <c r="M5127" s="2012"/>
      <c r="N5127" s="2012"/>
      <c r="O5127" s="2012"/>
      <c r="P5127" s="2012"/>
      <c r="Q5127" s="2012"/>
      <c r="R5127" s="2012"/>
      <c r="S5127" s="2012"/>
      <c r="T5127" s="2016"/>
      <c r="U5127" s="2016"/>
      <c r="V5127" s="2016"/>
      <c r="W5127" s="2016"/>
      <c r="X5127" s="2016"/>
      <c r="Y5127" s="2016"/>
      <c r="Z5127" s="2016"/>
      <c r="AA5127" s="2016"/>
      <c r="AB5127" s="2012"/>
      <c r="AC5127" s="2012"/>
      <c r="AD5127" s="2012"/>
      <c r="AE5127" s="2012"/>
      <c r="AF5127" s="2012"/>
    </row>
    <row r="5128" spans="1:32" ht="13.5" thickBot="1" x14ac:dyDescent="0.25"/>
    <row r="5129" spans="1:32" ht="26.45" customHeight="1" x14ac:dyDescent="0.2">
      <c r="A5129" s="2025" t="s">
        <v>1854</v>
      </c>
      <c r="B5129" s="2026"/>
      <c r="C5129" s="2026"/>
      <c r="D5129" s="2026"/>
      <c r="E5129" s="2026"/>
      <c r="F5129" s="2026"/>
      <c r="G5129" s="2026"/>
      <c r="H5129" s="2026"/>
      <c r="I5129" s="2026"/>
      <c r="J5129" s="2026"/>
      <c r="K5129" s="2026"/>
      <c r="L5129" s="2026"/>
      <c r="M5129" s="2026"/>
      <c r="N5129" s="2026"/>
      <c r="O5129" s="2026"/>
      <c r="P5129" s="2026"/>
      <c r="Q5129" s="2026"/>
      <c r="R5129" s="2026"/>
      <c r="S5129" s="2026"/>
      <c r="T5129" s="2026"/>
      <c r="U5129" s="2026"/>
      <c r="V5129" s="2026"/>
      <c r="W5129" s="2026"/>
      <c r="X5129" s="2026"/>
      <c r="Y5129" s="2026"/>
      <c r="Z5129" s="2026"/>
      <c r="AA5129" s="2026"/>
      <c r="AB5129" s="2026"/>
      <c r="AC5129" s="2026"/>
      <c r="AD5129" s="2026"/>
      <c r="AE5129" s="1041" t="s">
        <v>1834</v>
      </c>
      <c r="AF5129" s="1042" t="s">
        <v>1835</v>
      </c>
    </row>
    <row r="5130" spans="1:32" ht="21" customHeight="1" thickBot="1" x14ac:dyDescent="0.25">
      <c r="A5130" s="2027"/>
      <c r="B5130" s="2028"/>
      <c r="C5130" s="2028"/>
      <c r="D5130" s="2028"/>
      <c r="E5130" s="2028"/>
      <c r="F5130" s="2028"/>
      <c r="G5130" s="2028"/>
      <c r="H5130" s="2028"/>
      <c r="I5130" s="2028"/>
      <c r="J5130" s="2028"/>
      <c r="K5130" s="2028"/>
      <c r="L5130" s="2028"/>
      <c r="M5130" s="2028"/>
      <c r="N5130" s="2028"/>
      <c r="O5130" s="2028"/>
      <c r="P5130" s="2028"/>
      <c r="Q5130" s="2028"/>
      <c r="R5130" s="2028"/>
      <c r="S5130" s="2028"/>
      <c r="T5130" s="2028"/>
      <c r="U5130" s="2028"/>
      <c r="V5130" s="2028"/>
      <c r="W5130" s="2028"/>
      <c r="X5130" s="2028"/>
      <c r="Y5130" s="2028"/>
      <c r="Z5130" s="2028"/>
      <c r="AA5130" s="2028"/>
      <c r="AB5130" s="2028"/>
      <c r="AC5130" s="2028"/>
      <c r="AD5130" s="2028"/>
      <c r="AE5130" s="1041" t="s">
        <v>1836</v>
      </c>
      <c r="AF5130" s="1044">
        <v>1</v>
      </c>
    </row>
    <row r="5131" spans="1:32" ht="15.75" x14ac:dyDescent="0.2">
      <c r="A5131" s="2029"/>
      <c r="B5131" s="2030"/>
      <c r="C5131" s="2030"/>
      <c r="D5131" s="2031"/>
      <c r="E5131" s="2025" t="str">
        <f>'01'!$A$12</f>
        <v>"CONSTRUCCION SISTEMA DE ACUEDUCTO FASE II DEL MUNICIPIO DE TESALIA DPTO DEL HUILA"</v>
      </c>
      <c r="F5131" s="2026"/>
      <c r="G5131" s="2026"/>
      <c r="H5131" s="2026"/>
      <c r="I5131" s="2026"/>
      <c r="J5131" s="2026"/>
      <c r="K5131" s="2026"/>
      <c r="L5131" s="2026"/>
      <c r="M5131" s="2026"/>
      <c r="N5131" s="2026"/>
      <c r="O5131" s="2026"/>
      <c r="P5131" s="2026"/>
      <c r="Q5131" s="2026"/>
      <c r="R5131" s="2026"/>
      <c r="S5131" s="2026"/>
      <c r="T5131" s="2026"/>
      <c r="U5131" s="2026"/>
      <c r="V5131" s="2026"/>
      <c r="W5131" s="2026"/>
      <c r="X5131" s="2026"/>
      <c r="Y5131" s="2026"/>
      <c r="Z5131" s="2026"/>
      <c r="AA5131" s="2026"/>
      <c r="AB5131" s="2026"/>
      <c r="AC5131" s="2026"/>
      <c r="AD5131" s="2035"/>
      <c r="AE5131" s="1041" t="s">
        <v>847</v>
      </c>
      <c r="AF5131" s="1045">
        <f>'01'!$M$13</f>
        <v>0</v>
      </c>
    </row>
    <row r="5132" spans="1:32" ht="16.5" thickBot="1" x14ac:dyDescent="0.25">
      <c r="A5132" s="2032"/>
      <c r="B5132" s="2033"/>
      <c r="C5132" s="2033"/>
      <c r="D5132" s="2034"/>
      <c r="E5132" s="2027"/>
      <c r="F5132" s="2028"/>
      <c r="G5132" s="2028"/>
      <c r="H5132" s="2028"/>
      <c r="I5132" s="2028"/>
      <c r="J5132" s="2028"/>
      <c r="K5132" s="2028"/>
      <c r="L5132" s="2028"/>
      <c r="M5132" s="2028"/>
      <c r="N5132" s="2028"/>
      <c r="O5132" s="2028"/>
      <c r="P5132" s="2028"/>
      <c r="Q5132" s="2028"/>
      <c r="R5132" s="2028"/>
      <c r="S5132" s="2028"/>
      <c r="T5132" s="2028"/>
      <c r="U5132" s="2028"/>
      <c r="V5132" s="2028"/>
      <c r="W5132" s="2028"/>
      <c r="X5132" s="2028"/>
      <c r="Y5132" s="2028"/>
      <c r="Z5132" s="2028"/>
      <c r="AA5132" s="2028"/>
      <c r="AB5132" s="2028"/>
      <c r="AC5132" s="2028"/>
      <c r="AD5132" s="2036"/>
      <c r="AE5132" s="1041" t="s">
        <v>1837</v>
      </c>
      <c r="AF5132" s="1042" t="s">
        <v>1838</v>
      </c>
    </row>
    <row r="5133" spans="1:32" ht="15.75" x14ac:dyDescent="0.25">
      <c r="A5133" s="2037" t="s">
        <v>1860</v>
      </c>
      <c r="B5133" s="2038"/>
      <c r="C5133" s="2038"/>
      <c r="D5133" s="2038"/>
      <c r="E5133" s="2038"/>
      <c r="F5133" s="2038"/>
      <c r="G5133" s="2038"/>
      <c r="H5133" s="2038"/>
      <c r="I5133" s="2038"/>
      <c r="J5133" s="2038"/>
      <c r="K5133" s="2038"/>
      <c r="L5133" s="2038"/>
      <c r="M5133" s="2038"/>
      <c r="N5133" s="2038"/>
      <c r="O5133" s="2038"/>
      <c r="P5133" s="2038"/>
      <c r="Q5133" s="2038"/>
      <c r="R5133" s="2038"/>
      <c r="S5133" s="2038"/>
      <c r="T5133" s="2038"/>
      <c r="U5133" s="2038"/>
      <c r="V5133" s="2038"/>
      <c r="W5133" s="2038"/>
      <c r="X5133" s="2038"/>
      <c r="Y5133" s="2038"/>
      <c r="Z5133" s="2038"/>
      <c r="AA5133" s="2038"/>
      <c r="AB5133" s="2038"/>
      <c r="AC5133" s="2038"/>
      <c r="AD5133" s="2038"/>
      <c r="AE5133" s="2039" t="s">
        <v>1839</v>
      </c>
      <c r="AF5133" s="2040"/>
    </row>
    <row r="5134" spans="1:32" ht="15.75" x14ac:dyDescent="0.25">
      <c r="A5134" s="2041" t="s">
        <v>1840</v>
      </c>
      <c r="B5134" s="2042"/>
      <c r="C5134" s="2042"/>
      <c r="D5134" s="2042"/>
      <c r="E5134" s="2042"/>
      <c r="F5134" s="2042"/>
      <c r="G5134" s="2042"/>
      <c r="H5134" s="2042"/>
      <c r="I5134" s="2042"/>
      <c r="J5134" s="2042"/>
      <c r="K5134" s="2042"/>
      <c r="L5134" s="2042"/>
      <c r="M5134" s="2042"/>
      <c r="N5134" s="2042"/>
      <c r="O5134" s="2042"/>
      <c r="P5134" s="2042"/>
      <c r="Q5134" s="2042"/>
      <c r="R5134" s="2042"/>
      <c r="S5134" s="2042"/>
      <c r="T5134" s="2042"/>
      <c r="U5134" s="2042"/>
      <c r="V5134" s="2042"/>
      <c r="W5134" s="2042"/>
      <c r="X5134" s="2042"/>
      <c r="Y5134" s="2042"/>
      <c r="Z5134" s="2042"/>
      <c r="AA5134" s="2042"/>
      <c r="AB5134" s="2042"/>
      <c r="AC5134" s="2042"/>
      <c r="AD5134" s="2043"/>
      <c r="AE5134" s="2014" t="s">
        <v>1841</v>
      </c>
      <c r="AF5134" s="2044"/>
    </row>
    <row r="5135" spans="1:32" ht="15.75" x14ac:dyDescent="0.25">
      <c r="A5135" s="2045" t="s">
        <v>1853</v>
      </c>
      <c r="B5135" s="2046"/>
      <c r="C5135" s="2046"/>
      <c r="D5135" s="2046"/>
      <c r="E5135" s="2046"/>
      <c r="F5135" s="2046"/>
      <c r="G5135" s="2046"/>
      <c r="H5135" s="2046"/>
      <c r="I5135" s="2046"/>
      <c r="J5135" s="2046"/>
      <c r="K5135" s="2046"/>
      <c r="L5135" s="2046"/>
      <c r="M5135" s="2046"/>
      <c r="N5135" s="2046"/>
      <c r="O5135" s="2046"/>
      <c r="P5135" s="2046"/>
      <c r="Q5135" s="2046"/>
      <c r="R5135" s="2046"/>
      <c r="S5135" s="2046"/>
      <c r="T5135" s="2046"/>
      <c r="U5135" s="2046"/>
      <c r="V5135" s="2046"/>
      <c r="W5135" s="2046"/>
      <c r="X5135" s="2046"/>
      <c r="Y5135" s="2046"/>
      <c r="Z5135" s="2046"/>
      <c r="AA5135" s="2046"/>
      <c r="AB5135" s="2046"/>
      <c r="AC5135" s="2046"/>
      <c r="AD5135" s="2046"/>
      <c r="AE5135" s="2047">
        <f>'01'!$M$13</f>
        <v>0</v>
      </c>
      <c r="AF5135" s="2044"/>
    </row>
    <row r="5136" spans="1:32" x14ac:dyDescent="0.2">
      <c r="A5136" s="1046"/>
      <c r="B5136" s="1047"/>
      <c r="C5136" s="1047"/>
      <c r="D5136" s="1047"/>
      <c r="E5136" s="1047"/>
      <c r="F5136" s="1047"/>
      <c r="G5136" s="1047"/>
      <c r="H5136" s="1047"/>
      <c r="I5136" s="1047"/>
      <c r="J5136" s="1047"/>
      <c r="K5136" s="1047"/>
      <c r="L5136" s="1047"/>
      <c r="M5136" s="1047"/>
      <c r="N5136" s="1047"/>
      <c r="O5136" s="1047"/>
      <c r="P5136" s="1047"/>
      <c r="Q5136" s="1047"/>
      <c r="R5136" s="1047"/>
      <c r="S5136" s="1047"/>
      <c r="T5136" s="1047"/>
      <c r="U5136" s="1047"/>
      <c r="V5136" s="1047"/>
      <c r="W5136" s="1047"/>
      <c r="X5136" s="1047"/>
      <c r="Y5136" s="1047"/>
      <c r="Z5136" s="1047"/>
      <c r="AA5136" s="1047"/>
      <c r="AB5136" s="1047"/>
      <c r="AC5136" s="1047"/>
      <c r="AD5136" s="1047"/>
      <c r="AE5136" s="1047"/>
      <c r="AF5136" s="1048"/>
    </row>
    <row r="5137" spans="1:32" ht="30" customHeight="1" x14ac:dyDescent="0.2">
      <c r="A5137" s="2048" t="s">
        <v>1842</v>
      </c>
      <c r="B5137" s="2049"/>
      <c r="C5137" s="2049"/>
      <c r="D5137" s="2049"/>
      <c r="E5137" s="2049"/>
      <c r="F5137" s="2050" t="str">
        <f>+'01'!$H$201</f>
        <v>H - TANQUE DE ALMACENAMIENTO</v>
      </c>
      <c r="G5137" s="2049"/>
      <c r="H5137" s="2049"/>
      <c r="I5137" s="2049"/>
      <c r="J5137" s="2049"/>
      <c r="K5137" s="2049"/>
      <c r="L5137" s="2049"/>
      <c r="M5137" s="2049"/>
      <c r="N5137" s="2049"/>
      <c r="O5137" s="2049"/>
      <c r="P5137" s="2049"/>
      <c r="Q5137" s="2049"/>
      <c r="R5137" s="2049"/>
      <c r="S5137" s="2049"/>
      <c r="T5137" s="2049"/>
      <c r="U5137" s="2049"/>
      <c r="V5137" s="2049"/>
      <c r="W5137" s="2049"/>
      <c r="X5137" s="2049"/>
      <c r="Y5137" s="2051"/>
      <c r="Z5137" s="2052" t="s">
        <v>1843</v>
      </c>
      <c r="AA5137" s="2053"/>
      <c r="AB5137" s="2058" t="s">
        <v>1844</v>
      </c>
      <c r="AC5137" s="2059"/>
      <c r="AD5137" s="2060"/>
      <c r="AE5137" s="2064" t="s">
        <v>1845</v>
      </c>
      <c r="AF5137" s="2067" t="s">
        <v>1846</v>
      </c>
    </row>
    <row r="5138" spans="1:32" ht="15" customHeight="1" x14ac:dyDescent="0.2">
      <c r="A5138" s="2070" t="str">
        <f>+'01'!A215</f>
        <v>H-05-02</v>
      </c>
      <c r="B5138" s="2071"/>
      <c r="C5138" s="2072"/>
      <c r="D5138" s="2076" t="str">
        <f>VLOOKUP(A5138,'01'!$A$12:$N$299,3,FALSE)</f>
        <v>CONCRETO DE FC=280 KG/CM2, IMPERMEABILIZADO PARA ESTRUCTURAS ENTERRADAS Y SEMIENTERRADAS.</v>
      </c>
      <c r="E5138" s="2077"/>
      <c r="F5138" s="2077"/>
      <c r="G5138" s="2077"/>
      <c r="H5138" s="2077"/>
      <c r="I5138" s="2077"/>
      <c r="J5138" s="2077"/>
      <c r="K5138" s="2077"/>
      <c r="L5138" s="2077"/>
      <c r="M5138" s="2077"/>
      <c r="N5138" s="2077"/>
      <c r="O5138" s="2077"/>
      <c r="P5138" s="2077"/>
      <c r="Q5138" s="2077"/>
      <c r="R5138" s="2077"/>
      <c r="S5138" s="2078"/>
      <c r="T5138" s="2082" t="s">
        <v>124</v>
      </c>
      <c r="U5138" s="2083"/>
      <c r="V5138" s="2083"/>
      <c r="W5138" s="2083"/>
      <c r="X5138" s="2052" t="str">
        <f>VLOOKUP(A5138,'01'!$A$12:$N$299,9,FALSE)</f>
        <v>M3</v>
      </c>
      <c r="Y5138" s="2053"/>
      <c r="Z5138" s="2054"/>
      <c r="AA5138" s="2055"/>
      <c r="AB5138" s="2061"/>
      <c r="AC5138" s="2062"/>
      <c r="AD5138" s="2063"/>
      <c r="AE5138" s="2065"/>
      <c r="AF5138" s="2068"/>
    </row>
    <row r="5139" spans="1:32" ht="15" customHeight="1" x14ac:dyDescent="0.25">
      <c r="A5139" s="2073"/>
      <c r="B5139" s="2074"/>
      <c r="C5139" s="2075"/>
      <c r="D5139" s="2079"/>
      <c r="E5139" s="2080"/>
      <c r="F5139" s="2080"/>
      <c r="G5139" s="2080"/>
      <c r="H5139" s="2080"/>
      <c r="I5139" s="2080"/>
      <c r="J5139" s="2080"/>
      <c r="K5139" s="2080"/>
      <c r="L5139" s="2080"/>
      <c r="M5139" s="2080"/>
      <c r="N5139" s="2080"/>
      <c r="O5139" s="2080"/>
      <c r="P5139" s="2080"/>
      <c r="Q5139" s="2080"/>
      <c r="R5139" s="2080"/>
      <c r="S5139" s="2081"/>
      <c r="T5139" s="2084"/>
      <c r="U5139" s="2085"/>
      <c r="V5139" s="2085"/>
      <c r="W5139" s="2085"/>
      <c r="X5139" s="2056"/>
      <c r="Y5139" s="2057"/>
      <c r="Z5139" s="2056"/>
      <c r="AA5139" s="2057"/>
      <c r="AB5139" s="1049" t="s">
        <v>1847</v>
      </c>
      <c r="AC5139" s="1049" t="s">
        <v>1848</v>
      </c>
      <c r="AD5139" s="1049" t="s">
        <v>1861</v>
      </c>
      <c r="AE5139" s="2066"/>
      <c r="AF5139" s="2069"/>
    </row>
    <row r="5140" spans="1:32" ht="15.6" customHeight="1" x14ac:dyDescent="0.25">
      <c r="A5140" s="2017"/>
      <c r="B5140" s="2018"/>
      <c r="C5140" s="2018"/>
      <c r="D5140" s="2018"/>
      <c r="E5140" s="2018"/>
      <c r="F5140" s="2018"/>
      <c r="G5140" s="2018"/>
      <c r="H5140" s="2018"/>
      <c r="I5140" s="2018"/>
      <c r="J5140" s="2018"/>
      <c r="K5140" s="2018"/>
      <c r="L5140" s="2018"/>
      <c r="M5140" s="2018"/>
      <c r="N5140" s="2018"/>
      <c r="O5140" s="2018"/>
      <c r="P5140" s="2018"/>
      <c r="Q5140" s="2018"/>
      <c r="R5140" s="2018"/>
      <c r="S5140" s="2018"/>
      <c r="T5140" s="2018"/>
      <c r="U5140" s="2018"/>
      <c r="V5140" s="2018"/>
      <c r="W5140" s="2018"/>
      <c r="X5140" s="2018"/>
      <c r="Y5140" s="2018"/>
      <c r="Z5140" s="2086" t="s">
        <v>2521</v>
      </c>
      <c r="AA5140" s="2087"/>
      <c r="AB5140" s="1050">
        <v>22.8</v>
      </c>
      <c r="AC5140" s="1050">
        <v>11.65</v>
      </c>
      <c r="AD5140" s="1050">
        <v>0.4</v>
      </c>
      <c r="AE5140" s="1050">
        <v>1</v>
      </c>
      <c r="AF5140" s="1052">
        <f>+ROUND(AB5140*AC5140*AD5140*AE5140,2)</f>
        <v>106.25</v>
      </c>
    </row>
    <row r="5141" spans="1:32" ht="15.6" customHeight="1" x14ac:dyDescent="0.25">
      <c r="A5141" s="2017"/>
      <c r="B5141" s="2018"/>
      <c r="C5141" s="2018"/>
      <c r="D5141" s="2018"/>
      <c r="E5141" s="2018"/>
      <c r="F5141" s="2018"/>
      <c r="G5141" s="2018"/>
      <c r="H5141" s="2018"/>
      <c r="I5141" s="2018"/>
      <c r="J5141" s="2018"/>
      <c r="K5141" s="2018"/>
      <c r="L5141" s="2018"/>
      <c r="M5141" s="2018"/>
      <c r="N5141" s="2018"/>
      <c r="O5141" s="2018"/>
      <c r="P5141" s="2018"/>
      <c r="Q5141" s="2018"/>
      <c r="R5141" s="2018"/>
      <c r="S5141" s="2018"/>
      <c r="T5141" s="2018"/>
      <c r="U5141" s="2018"/>
      <c r="V5141" s="2018"/>
      <c r="W5141" s="2018"/>
      <c r="X5141" s="2018"/>
      <c r="Y5141" s="2018"/>
      <c r="Z5141" s="2088"/>
      <c r="AA5141" s="2089"/>
      <c r="AB5141" s="1050">
        <f>+AB5140</f>
        <v>22.8</v>
      </c>
      <c r="AC5141" s="1050">
        <v>0.5</v>
      </c>
      <c r="AD5141" s="1050">
        <v>3.55</v>
      </c>
      <c r="AE5141" s="1050">
        <v>2</v>
      </c>
      <c r="AF5141" s="1052">
        <f t="shared" ref="AF5141:AF5154" si="69">+ROUND(AB5141*AC5141*AD5141*AE5141,2)</f>
        <v>80.94</v>
      </c>
    </row>
    <row r="5142" spans="1:32" ht="15.75" x14ac:dyDescent="0.25">
      <c r="A5142" s="2017"/>
      <c r="B5142" s="2018"/>
      <c r="C5142" s="2018"/>
      <c r="D5142" s="2018"/>
      <c r="E5142" s="2018"/>
      <c r="F5142" s="2018"/>
      <c r="G5142" s="2018"/>
      <c r="H5142" s="2018"/>
      <c r="I5142" s="2018"/>
      <c r="J5142" s="2018"/>
      <c r="K5142" s="2018"/>
      <c r="L5142" s="2018"/>
      <c r="M5142" s="2018"/>
      <c r="N5142" s="2018"/>
      <c r="O5142" s="2018"/>
      <c r="P5142" s="2018"/>
      <c r="Q5142" s="2018"/>
      <c r="R5142" s="2018"/>
      <c r="S5142" s="2018"/>
      <c r="T5142" s="2018"/>
      <c r="U5142" s="2018"/>
      <c r="V5142" s="2018"/>
      <c r="W5142" s="2018"/>
      <c r="X5142" s="2018"/>
      <c r="Y5142" s="2018"/>
      <c r="Z5142" s="2088"/>
      <c r="AA5142" s="2089"/>
      <c r="AB5142" s="1050">
        <f>+AC5140-1</f>
        <v>10.65</v>
      </c>
      <c r="AC5142" s="1050">
        <v>0.5</v>
      </c>
      <c r="AD5142" s="1050">
        <v>3.55</v>
      </c>
      <c r="AE5142" s="1050">
        <v>3</v>
      </c>
      <c r="AF5142" s="1052">
        <f t="shared" si="69"/>
        <v>56.71</v>
      </c>
    </row>
    <row r="5143" spans="1:32" ht="15.75" x14ac:dyDescent="0.25">
      <c r="A5143" s="2017"/>
      <c r="B5143" s="2018"/>
      <c r="C5143" s="2018"/>
      <c r="D5143" s="2018"/>
      <c r="E5143" s="2018"/>
      <c r="F5143" s="2018"/>
      <c r="G5143" s="2018"/>
      <c r="H5143" s="2018"/>
      <c r="I5143" s="2018"/>
      <c r="J5143" s="2018"/>
      <c r="K5143" s="2018"/>
      <c r="L5143" s="2018"/>
      <c r="M5143" s="2018"/>
      <c r="N5143" s="2018"/>
      <c r="O5143" s="2018"/>
      <c r="P5143" s="2018"/>
      <c r="Q5143" s="2018"/>
      <c r="R5143" s="2018"/>
      <c r="S5143" s="2018"/>
      <c r="T5143" s="2018"/>
      <c r="U5143" s="2018"/>
      <c r="V5143" s="2018"/>
      <c r="W5143" s="2018"/>
      <c r="X5143" s="2018"/>
      <c r="Y5143" s="2018"/>
      <c r="Z5143" s="2090"/>
      <c r="AA5143" s="2091"/>
      <c r="AB5143" s="1050">
        <f>+AB5140</f>
        <v>22.8</v>
      </c>
      <c r="AC5143" s="1050">
        <f>+AC5140</f>
        <v>11.65</v>
      </c>
      <c r="AD5143" s="1050">
        <v>0.3</v>
      </c>
      <c r="AE5143" s="1050">
        <v>1</v>
      </c>
      <c r="AF5143" s="1052">
        <f t="shared" si="69"/>
        <v>79.69</v>
      </c>
    </row>
    <row r="5144" spans="1:32" ht="15.6" customHeight="1" x14ac:dyDescent="0.25">
      <c r="A5144" s="2017"/>
      <c r="B5144" s="2018"/>
      <c r="C5144" s="2018"/>
      <c r="D5144" s="2018"/>
      <c r="E5144" s="2018"/>
      <c r="F5144" s="2018"/>
      <c r="G5144" s="2018"/>
      <c r="H5144" s="2018"/>
      <c r="I5144" s="2018"/>
      <c r="J5144" s="2018"/>
      <c r="K5144" s="2018"/>
      <c r="L5144" s="2018"/>
      <c r="M5144" s="2018"/>
      <c r="N5144" s="2018"/>
      <c r="O5144" s="2018"/>
      <c r="P5144" s="2018"/>
      <c r="Q5144" s="2018"/>
      <c r="R5144" s="2018"/>
      <c r="S5144" s="2018"/>
      <c r="T5144" s="2018"/>
      <c r="U5144" s="2018"/>
      <c r="V5144" s="2018"/>
      <c r="W5144" s="2018"/>
      <c r="X5144" s="2018"/>
      <c r="Y5144" s="2018"/>
      <c r="Z5144" s="2086" t="s">
        <v>2523</v>
      </c>
      <c r="AA5144" s="2087"/>
      <c r="AB5144" s="1050">
        <v>1.9</v>
      </c>
      <c r="AC5144" s="1050">
        <v>1.9</v>
      </c>
      <c r="AD5144" s="1050">
        <v>0.2</v>
      </c>
      <c r="AE5144" s="1050">
        <v>2</v>
      </c>
      <c r="AF5144" s="1052">
        <f t="shared" si="69"/>
        <v>1.44</v>
      </c>
    </row>
    <row r="5145" spans="1:32" ht="15.75" x14ac:dyDescent="0.25">
      <c r="A5145" s="2017"/>
      <c r="B5145" s="2018"/>
      <c r="C5145" s="2018"/>
      <c r="D5145" s="2018"/>
      <c r="E5145" s="2018"/>
      <c r="F5145" s="2018"/>
      <c r="G5145" s="2018"/>
      <c r="H5145" s="2018"/>
      <c r="I5145" s="2018"/>
      <c r="J5145" s="2018"/>
      <c r="K5145" s="2018"/>
      <c r="L5145" s="2018"/>
      <c r="M5145" s="2018"/>
      <c r="N5145" s="2018"/>
      <c r="O5145" s="2018"/>
      <c r="P5145" s="2018"/>
      <c r="Q5145" s="2018"/>
      <c r="R5145" s="2018"/>
      <c r="S5145" s="2018"/>
      <c r="T5145" s="2018"/>
      <c r="U5145" s="2018"/>
      <c r="V5145" s="2018"/>
      <c r="W5145" s="2018"/>
      <c r="X5145" s="2018"/>
      <c r="Y5145" s="2018"/>
      <c r="Z5145" s="2088"/>
      <c r="AA5145" s="2089"/>
      <c r="AB5145" s="1050">
        <v>1.7</v>
      </c>
      <c r="AC5145" s="1050">
        <v>0.2</v>
      </c>
      <c r="AD5145" s="1050">
        <v>1</v>
      </c>
      <c r="AE5145" s="1050">
        <f>4*AE5144</f>
        <v>8</v>
      </c>
      <c r="AF5145" s="1052">
        <f t="shared" si="69"/>
        <v>2.72</v>
      </c>
    </row>
    <row r="5146" spans="1:32" ht="15.75" x14ac:dyDescent="0.25">
      <c r="A5146" s="2017"/>
      <c r="B5146" s="2018"/>
      <c r="C5146" s="2018"/>
      <c r="D5146" s="2018"/>
      <c r="E5146" s="2018"/>
      <c r="F5146" s="2018"/>
      <c r="G5146" s="2018"/>
      <c r="H5146" s="2018"/>
      <c r="I5146" s="2018"/>
      <c r="J5146" s="2018"/>
      <c r="K5146" s="2018"/>
      <c r="L5146" s="2018"/>
      <c r="M5146" s="2018"/>
      <c r="N5146" s="2018"/>
      <c r="O5146" s="2018"/>
      <c r="P5146" s="2018"/>
      <c r="Q5146" s="2018"/>
      <c r="R5146" s="2018"/>
      <c r="S5146" s="2018"/>
      <c r="T5146" s="2018"/>
      <c r="U5146" s="2018"/>
      <c r="V5146" s="2018"/>
      <c r="W5146" s="2018"/>
      <c r="X5146" s="2018"/>
      <c r="Y5146" s="2018"/>
      <c r="Z5146" s="2090"/>
      <c r="AA5146" s="2091"/>
      <c r="AB5146" s="1050">
        <f>+AB5144</f>
        <v>1.9</v>
      </c>
      <c r="AC5146" s="1050">
        <f>+AC5144</f>
        <v>1.9</v>
      </c>
      <c r="AD5146" s="1050">
        <v>0.1</v>
      </c>
      <c r="AE5146" s="1050">
        <f>+AE5144</f>
        <v>2</v>
      </c>
      <c r="AF5146" s="1052">
        <f t="shared" si="69"/>
        <v>0.72</v>
      </c>
    </row>
    <row r="5147" spans="1:32" ht="15.6" customHeight="1" x14ac:dyDescent="0.25">
      <c r="A5147" s="2017"/>
      <c r="B5147" s="2018"/>
      <c r="C5147" s="2018"/>
      <c r="D5147" s="2018"/>
      <c r="E5147" s="2018"/>
      <c r="F5147" s="2018"/>
      <c r="G5147" s="2018"/>
      <c r="H5147" s="2018"/>
      <c r="I5147" s="2018"/>
      <c r="J5147" s="2018"/>
      <c r="K5147" s="2018"/>
      <c r="L5147" s="2018"/>
      <c r="M5147" s="2018"/>
      <c r="N5147" s="2018"/>
      <c r="O5147" s="2018"/>
      <c r="P5147" s="2018"/>
      <c r="Q5147" s="2018"/>
      <c r="R5147" s="2018"/>
      <c r="S5147" s="2018"/>
      <c r="T5147" s="2018"/>
      <c r="U5147" s="2018"/>
      <c r="V5147" s="2018"/>
      <c r="W5147" s="2018"/>
      <c r="X5147" s="2018"/>
      <c r="Y5147" s="2018"/>
      <c r="Z5147" s="2086" t="s">
        <v>2522</v>
      </c>
      <c r="AA5147" s="2087"/>
      <c r="AB5147" s="1050">
        <v>1.8</v>
      </c>
      <c r="AC5147" s="1050">
        <v>2.1</v>
      </c>
      <c r="AD5147" s="1050">
        <v>0.3</v>
      </c>
      <c r="AE5147" s="1050">
        <v>2</v>
      </c>
      <c r="AF5147" s="1052">
        <f t="shared" si="69"/>
        <v>2.27</v>
      </c>
    </row>
    <row r="5148" spans="1:32" ht="15.75" x14ac:dyDescent="0.25">
      <c r="A5148" s="2017"/>
      <c r="B5148" s="2018"/>
      <c r="C5148" s="2018"/>
      <c r="D5148" s="2018"/>
      <c r="E5148" s="2018"/>
      <c r="F5148" s="2018"/>
      <c r="G5148" s="2018"/>
      <c r="H5148" s="2018"/>
      <c r="I5148" s="2018"/>
      <c r="J5148" s="2018"/>
      <c r="K5148" s="2018"/>
      <c r="L5148" s="2018"/>
      <c r="M5148" s="2018"/>
      <c r="N5148" s="2018"/>
      <c r="O5148" s="2018"/>
      <c r="P5148" s="2018"/>
      <c r="Q5148" s="2018"/>
      <c r="R5148" s="2018"/>
      <c r="S5148" s="2018"/>
      <c r="T5148" s="2018"/>
      <c r="U5148" s="2018"/>
      <c r="V5148" s="2018"/>
      <c r="W5148" s="2018"/>
      <c r="X5148" s="2018"/>
      <c r="Y5148" s="2018"/>
      <c r="Z5148" s="2088"/>
      <c r="AA5148" s="2089"/>
      <c r="AB5148" s="1050">
        <f>+AB5147</f>
        <v>1.8</v>
      </c>
      <c r="AC5148" s="1050">
        <v>0.3</v>
      </c>
      <c r="AD5148" s="1050">
        <v>3.65</v>
      </c>
      <c r="AE5148" s="1050">
        <f>2*AE5147</f>
        <v>4</v>
      </c>
      <c r="AF5148" s="1052">
        <f t="shared" si="69"/>
        <v>7.88</v>
      </c>
    </row>
    <row r="5149" spans="1:32" ht="15.75" x14ac:dyDescent="0.25">
      <c r="A5149" s="2017"/>
      <c r="B5149" s="2018"/>
      <c r="C5149" s="2018"/>
      <c r="D5149" s="2018"/>
      <c r="E5149" s="2018"/>
      <c r="F5149" s="2018"/>
      <c r="G5149" s="2018"/>
      <c r="H5149" s="2018"/>
      <c r="I5149" s="2018"/>
      <c r="J5149" s="2018"/>
      <c r="K5149" s="2018"/>
      <c r="L5149" s="2018"/>
      <c r="M5149" s="2018"/>
      <c r="N5149" s="2018"/>
      <c r="O5149" s="2018"/>
      <c r="P5149" s="2018"/>
      <c r="Q5149" s="2018"/>
      <c r="R5149" s="2018"/>
      <c r="S5149" s="2018"/>
      <c r="T5149" s="2018"/>
      <c r="U5149" s="2018"/>
      <c r="V5149" s="2018"/>
      <c r="W5149" s="2018"/>
      <c r="X5149" s="2018"/>
      <c r="Y5149" s="2018"/>
      <c r="Z5149" s="2088"/>
      <c r="AA5149" s="2089"/>
      <c r="AB5149" s="1050">
        <f>+AC5147-0.6</f>
        <v>1.5</v>
      </c>
      <c r="AC5149" s="1050">
        <v>0.3</v>
      </c>
      <c r="AD5149" s="1050">
        <v>3.65</v>
      </c>
      <c r="AE5149" s="1050">
        <f>+AE5147</f>
        <v>2</v>
      </c>
      <c r="AF5149" s="1052">
        <f t="shared" si="69"/>
        <v>3.29</v>
      </c>
    </row>
    <row r="5150" spans="1:32" ht="15.75" x14ac:dyDescent="0.25">
      <c r="A5150" s="2017"/>
      <c r="B5150" s="2018"/>
      <c r="C5150" s="2018"/>
      <c r="D5150" s="2018"/>
      <c r="E5150" s="2018"/>
      <c r="F5150" s="2018"/>
      <c r="G5150" s="2018"/>
      <c r="H5150" s="2018"/>
      <c r="I5150" s="2018"/>
      <c r="J5150" s="2018"/>
      <c r="K5150" s="2018"/>
      <c r="L5150" s="2018"/>
      <c r="M5150" s="2018"/>
      <c r="N5150" s="2018"/>
      <c r="O5150" s="2018"/>
      <c r="P5150" s="2018"/>
      <c r="Q5150" s="2018"/>
      <c r="R5150" s="2018"/>
      <c r="S5150" s="2018"/>
      <c r="T5150" s="2018"/>
      <c r="U5150" s="2018"/>
      <c r="V5150" s="2018"/>
      <c r="W5150" s="2018"/>
      <c r="X5150" s="2018"/>
      <c r="Y5150" s="2018"/>
      <c r="Z5150" s="2090"/>
      <c r="AA5150" s="2091"/>
      <c r="AB5150" s="1050">
        <f>+AB5147</f>
        <v>1.8</v>
      </c>
      <c r="AC5150" s="1050">
        <f>+AC5147</f>
        <v>2.1</v>
      </c>
      <c r="AD5150" s="1050">
        <v>0.1</v>
      </c>
      <c r="AE5150" s="1050">
        <f>+AE5147</f>
        <v>2</v>
      </c>
      <c r="AF5150" s="1052">
        <f t="shared" si="69"/>
        <v>0.76</v>
      </c>
    </row>
    <row r="5151" spans="1:32" ht="15.6" customHeight="1" x14ac:dyDescent="0.25">
      <c r="A5151" s="2017"/>
      <c r="B5151" s="2018"/>
      <c r="C5151" s="2018"/>
      <c r="D5151" s="2018"/>
      <c r="E5151" s="2018"/>
      <c r="F5151" s="2018"/>
      <c r="G5151" s="2018"/>
      <c r="H5151" s="2018"/>
      <c r="I5151" s="2018"/>
      <c r="J5151" s="2018"/>
      <c r="K5151" s="2018"/>
      <c r="L5151" s="2018"/>
      <c r="M5151" s="2018"/>
      <c r="N5151" s="2018"/>
      <c r="O5151" s="2018"/>
      <c r="P5151" s="2018"/>
      <c r="Q5151" s="2018"/>
      <c r="R5151" s="2018"/>
      <c r="S5151" s="2018"/>
      <c r="T5151" s="2018"/>
      <c r="U5151" s="2018"/>
      <c r="V5151" s="2018"/>
      <c r="W5151" s="2018"/>
      <c r="X5151" s="2018"/>
      <c r="Y5151" s="2018"/>
      <c r="Z5151" s="2086" t="s">
        <v>2460</v>
      </c>
      <c r="AA5151" s="2087"/>
      <c r="AB5151" s="1050">
        <v>2.6</v>
      </c>
      <c r="AC5151" s="1050">
        <v>1.8</v>
      </c>
      <c r="AD5151" s="1050">
        <v>0.3</v>
      </c>
      <c r="AE5151" s="1050">
        <v>1</v>
      </c>
      <c r="AF5151" s="1052">
        <f t="shared" si="69"/>
        <v>1.4</v>
      </c>
    </row>
    <row r="5152" spans="1:32" ht="15.75" x14ac:dyDescent="0.25">
      <c r="A5152" s="2017"/>
      <c r="B5152" s="2018"/>
      <c r="C5152" s="2018"/>
      <c r="D5152" s="2018"/>
      <c r="E5152" s="2018"/>
      <c r="F5152" s="2018"/>
      <c r="G5152" s="2018"/>
      <c r="H5152" s="2018"/>
      <c r="I5152" s="2018"/>
      <c r="J5152" s="2018"/>
      <c r="K5152" s="2018"/>
      <c r="L5152" s="2018"/>
      <c r="M5152" s="2018"/>
      <c r="N5152" s="2018"/>
      <c r="O5152" s="2018"/>
      <c r="P5152" s="2018"/>
      <c r="Q5152" s="2018"/>
      <c r="R5152" s="2018"/>
      <c r="S5152" s="2018"/>
      <c r="T5152" s="2018"/>
      <c r="U5152" s="2018"/>
      <c r="V5152" s="2018"/>
      <c r="W5152" s="2018"/>
      <c r="X5152" s="2018"/>
      <c r="Y5152" s="2018"/>
      <c r="Z5152" s="2088"/>
      <c r="AA5152" s="2089"/>
      <c r="AB5152" s="1050">
        <f>+AB5151</f>
        <v>2.6</v>
      </c>
      <c r="AC5152" s="1050">
        <v>0.3</v>
      </c>
      <c r="AD5152" s="1050">
        <v>3.65</v>
      </c>
      <c r="AE5152" s="1050">
        <v>1</v>
      </c>
      <c r="AF5152" s="1052">
        <f t="shared" si="69"/>
        <v>2.85</v>
      </c>
    </row>
    <row r="5153" spans="1:32" ht="15.75" x14ac:dyDescent="0.25">
      <c r="A5153" s="2017"/>
      <c r="B5153" s="2018"/>
      <c r="C5153" s="2018"/>
      <c r="D5153" s="2018"/>
      <c r="E5153" s="2018"/>
      <c r="F5153" s="2018"/>
      <c r="G5153" s="2018"/>
      <c r="H5153" s="2018"/>
      <c r="I5153" s="2018"/>
      <c r="J5153" s="2018"/>
      <c r="K5153" s="2018"/>
      <c r="L5153" s="2018"/>
      <c r="M5153" s="2018"/>
      <c r="N5153" s="2018"/>
      <c r="O5153" s="2018"/>
      <c r="P5153" s="2018"/>
      <c r="Q5153" s="2018"/>
      <c r="R5153" s="2018"/>
      <c r="S5153" s="2018"/>
      <c r="T5153" s="2018"/>
      <c r="U5153" s="2018"/>
      <c r="V5153" s="2018"/>
      <c r="W5153" s="2018"/>
      <c r="X5153" s="2018"/>
      <c r="Y5153" s="2018"/>
      <c r="Z5153" s="2088"/>
      <c r="AA5153" s="2089"/>
      <c r="AB5153" s="1050">
        <f>+AC5151-0.3</f>
        <v>1.5</v>
      </c>
      <c r="AC5153" s="1050">
        <v>0.3</v>
      </c>
      <c r="AD5153" s="1050">
        <v>3.65</v>
      </c>
      <c r="AE5153" s="1050">
        <f>2*AE5151</f>
        <v>2</v>
      </c>
      <c r="AF5153" s="1052">
        <f t="shared" si="69"/>
        <v>3.29</v>
      </c>
    </row>
    <row r="5154" spans="1:32" ht="15.75" x14ac:dyDescent="0.25">
      <c r="A5154" s="2017"/>
      <c r="B5154" s="2018"/>
      <c r="C5154" s="2018"/>
      <c r="D5154" s="2018"/>
      <c r="E5154" s="2018"/>
      <c r="F5154" s="2018"/>
      <c r="G5154" s="2018"/>
      <c r="H5154" s="2018"/>
      <c r="I5154" s="2018"/>
      <c r="J5154" s="2018"/>
      <c r="K5154" s="2018"/>
      <c r="L5154" s="2018"/>
      <c r="M5154" s="2018"/>
      <c r="N5154" s="2018"/>
      <c r="O5154" s="2018"/>
      <c r="P5154" s="2018"/>
      <c r="Q5154" s="2018"/>
      <c r="R5154" s="2018"/>
      <c r="S5154" s="2018"/>
      <c r="T5154" s="2018"/>
      <c r="U5154" s="2018"/>
      <c r="V5154" s="2018"/>
      <c r="W5154" s="2018"/>
      <c r="X5154" s="2018"/>
      <c r="Y5154" s="2018"/>
      <c r="Z5154" s="2090"/>
      <c r="AA5154" s="2091"/>
      <c r="AB5154" s="1050">
        <f>+AB5151</f>
        <v>2.6</v>
      </c>
      <c r="AC5154" s="1050">
        <f>+AC5151</f>
        <v>1.8</v>
      </c>
      <c r="AD5154" s="1050">
        <v>0.1</v>
      </c>
      <c r="AE5154" s="1050">
        <v>1</v>
      </c>
      <c r="AF5154" s="1052">
        <f t="shared" si="69"/>
        <v>0.47</v>
      </c>
    </row>
    <row r="5155" spans="1:32" ht="15.75" x14ac:dyDescent="0.25">
      <c r="A5155" s="2017"/>
      <c r="B5155" s="2018"/>
      <c r="C5155" s="2018"/>
      <c r="D5155" s="2018"/>
      <c r="E5155" s="2018"/>
      <c r="F5155" s="2018"/>
      <c r="G5155" s="2018"/>
      <c r="H5155" s="2018"/>
      <c r="I5155" s="2018"/>
      <c r="J5155" s="2018"/>
      <c r="K5155" s="2018"/>
      <c r="L5155" s="2018"/>
      <c r="M5155" s="2018"/>
      <c r="N5155" s="2018"/>
      <c r="O5155" s="2018"/>
      <c r="P5155" s="2018"/>
      <c r="Q5155" s="2018"/>
      <c r="R5155" s="2018"/>
      <c r="S5155" s="2018"/>
      <c r="T5155" s="2018"/>
      <c r="U5155" s="2018"/>
      <c r="V5155" s="2018"/>
      <c r="W5155" s="2018"/>
      <c r="X5155" s="2018"/>
      <c r="Y5155" s="2018"/>
      <c r="Z5155" s="2022"/>
      <c r="AA5155" s="2022"/>
      <c r="AB5155" s="1050"/>
      <c r="AC5155" s="1050"/>
      <c r="AD5155" s="1050"/>
      <c r="AE5155" s="1050"/>
      <c r="AF5155" s="1052"/>
    </row>
    <row r="5156" spans="1:32" ht="15.75" x14ac:dyDescent="0.25">
      <c r="A5156" s="2017"/>
      <c r="B5156" s="2018"/>
      <c r="C5156" s="2018"/>
      <c r="D5156" s="2018"/>
      <c r="E5156" s="2018"/>
      <c r="F5156" s="2018"/>
      <c r="G5156" s="2018"/>
      <c r="H5156" s="2018"/>
      <c r="I5156" s="2018"/>
      <c r="J5156" s="2018"/>
      <c r="K5156" s="2018"/>
      <c r="L5156" s="2018"/>
      <c r="M5156" s="2018"/>
      <c r="N5156" s="2018"/>
      <c r="O5156" s="2018"/>
      <c r="P5156" s="2018"/>
      <c r="Q5156" s="2018"/>
      <c r="R5156" s="2018"/>
      <c r="S5156" s="2018"/>
      <c r="T5156" s="2018"/>
      <c r="U5156" s="2018"/>
      <c r="V5156" s="2018"/>
      <c r="W5156" s="2018"/>
      <c r="X5156" s="2018"/>
      <c r="Y5156" s="2018"/>
      <c r="Z5156" s="2022"/>
      <c r="AA5156" s="2022"/>
      <c r="AB5156" s="1050"/>
      <c r="AC5156" s="1050"/>
      <c r="AD5156" s="1050"/>
      <c r="AE5156" s="1050"/>
      <c r="AF5156" s="1052"/>
    </row>
    <row r="5157" spans="1:32" ht="15.75" x14ac:dyDescent="0.25">
      <c r="A5157" s="2017"/>
      <c r="B5157" s="2018"/>
      <c r="C5157" s="2018"/>
      <c r="D5157" s="2018"/>
      <c r="E5157" s="2018"/>
      <c r="F5157" s="2018"/>
      <c r="G5157" s="2018"/>
      <c r="H5157" s="2018"/>
      <c r="I5157" s="2018"/>
      <c r="J5157" s="2018"/>
      <c r="K5157" s="2018"/>
      <c r="L5157" s="2018"/>
      <c r="M5157" s="2018"/>
      <c r="N5157" s="2018"/>
      <c r="O5157" s="2018"/>
      <c r="P5157" s="2018"/>
      <c r="Q5157" s="2018"/>
      <c r="R5157" s="2018"/>
      <c r="S5157" s="2018"/>
      <c r="T5157" s="2018"/>
      <c r="U5157" s="2018"/>
      <c r="V5157" s="2018"/>
      <c r="W5157" s="2018"/>
      <c r="X5157" s="2018"/>
      <c r="Y5157" s="2018"/>
      <c r="Z5157" s="2023"/>
      <c r="AA5157" s="2023"/>
      <c r="AB5157" s="1050"/>
      <c r="AC5157" s="1050"/>
      <c r="AD5157" s="1050"/>
      <c r="AE5157" s="1050"/>
      <c r="AF5157" s="1052"/>
    </row>
    <row r="5158" spans="1:32" ht="15.75" x14ac:dyDescent="0.25">
      <c r="A5158" s="2017"/>
      <c r="B5158" s="2018"/>
      <c r="C5158" s="2018"/>
      <c r="D5158" s="2018"/>
      <c r="E5158" s="2018"/>
      <c r="F5158" s="2018"/>
      <c r="G5158" s="2018"/>
      <c r="H5158" s="2018"/>
      <c r="I5158" s="2018"/>
      <c r="J5158" s="2018"/>
      <c r="K5158" s="2018"/>
      <c r="L5158" s="2018"/>
      <c r="M5158" s="2018"/>
      <c r="N5158" s="2018"/>
      <c r="O5158" s="2018"/>
      <c r="P5158" s="2018"/>
      <c r="Q5158" s="2018"/>
      <c r="R5158" s="2018"/>
      <c r="S5158" s="2018"/>
      <c r="T5158" s="2018"/>
      <c r="U5158" s="2018"/>
      <c r="V5158" s="2018"/>
      <c r="W5158" s="2018"/>
      <c r="X5158" s="2018"/>
      <c r="Y5158" s="2018"/>
      <c r="Z5158" s="2023"/>
      <c r="AA5158" s="2023"/>
      <c r="AB5158" s="1050"/>
      <c r="AC5158" s="1050"/>
      <c r="AD5158" s="1050"/>
      <c r="AE5158" s="1050"/>
      <c r="AF5158" s="1052"/>
    </row>
    <row r="5159" spans="1:32" ht="15.75" x14ac:dyDescent="0.25">
      <c r="A5159" s="2017"/>
      <c r="B5159" s="2018"/>
      <c r="C5159" s="2018"/>
      <c r="D5159" s="2018"/>
      <c r="E5159" s="2018"/>
      <c r="F5159" s="2018"/>
      <c r="G5159" s="2018"/>
      <c r="H5159" s="2018"/>
      <c r="I5159" s="2018"/>
      <c r="J5159" s="2018"/>
      <c r="K5159" s="2018"/>
      <c r="L5159" s="2018"/>
      <c r="M5159" s="2018"/>
      <c r="N5159" s="2018"/>
      <c r="O5159" s="2018"/>
      <c r="P5159" s="2018"/>
      <c r="Q5159" s="2018"/>
      <c r="R5159" s="2018"/>
      <c r="S5159" s="2018"/>
      <c r="T5159" s="2018"/>
      <c r="U5159" s="2018"/>
      <c r="V5159" s="2018"/>
      <c r="W5159" s="2018"/>
      <c r="X5159" s="2018"/>
      <c r="Y5159" s="2018"/>
      <c r="Z5159" s="2023"/>
      <c r="AA5159" s="2023"/>
      <c r="AB5159" s="1050"/>
      <c r="AC5159" s="1050"/>
      <c r="AD5159" s="1050"/>
      <c r="AE5159" s="1050"/>
      <c r="AF5159" s="1052"/>
    </row>
    <row r="5160" spans="1:32" ht="15.75" x14ac:dyDescent="0.25">
      <c r="A5160" s="2017"/>
      <c r="B5160" s="2018"/>
      <c r="C5160" s="2018"/>
      <c r="D5160" s="2018"/>
      <c r="E5160" s="2018"/>
      <c r="F5160" s="2018"/>
      <c r="G5160" s="2018"/>
      <c r="H5160" s="2018"/>
      <c r="I5160" s="2018"/>
      <c r="J5160" s="2018"/>
      <c r="K5160" s="2018"/>
      <c r="L5160" s="2018"/>
      <c r="M5160" s="2018"/>
      <c r="N5160" s="2018"/>
      <c r="O5160" s="2018"/>
      <c r="P5160" s="2018"/>
      <c r="Q5160" s="2018"/>
      <c r="R5160" s="2018"/>
      <c r="S5160" s="2018"/>
      <c r="T5160" s="2018"/>
      <c r="U5160" s="2018"/>
      <c r="V5160" s="2018"/>
      <c r="W5160" s="2018"/>
      <c r="X5160" s="2018"/>
      <c r="Y5160" s="2018"/>
      <c r="Z5160" s="2023"/>
      <c r="AA5160" s="2023"/>
      <c r="AB5160" s="1050"/>
      <c r="AC5160" s="1050"/>
      <c r="AD5160" s="1050"/>
      <c r="AE5160" s="1050"/>
      <c r="AF5160" s="1052"/>
    </row>
    <row r="5161" spans="1:32" ht="15.75" x14ac:dyDescent="0.25">
      <c r="A5161" s="2017"/>
      <c r="B5161" s="2018"/>
      <c r="C5161" s="2018"/>
      <c r="D5161" s="2018"/>
      <c r="E5161" s="2018"/>
      <c r="F5161" s="2018"/>
      <c r="G5161" s="2018"/>
      <c r="H5161" s="2018"/>
      <c r="I5161" s="2018"/>
      <c r="J5161" s="2018"/>
      <c r="K5161" s="2018"/>
      <c r="L5161" s="2018"/>
      <c r="M5161" s="2018"/>
      <c r="N5161" s="2018"/>
      <c r="O5161" s="2018"/>
      <c r="P5161" s="2018"/>
      <c r="Q5161" s="2018"/>
      <c r="R5161" s="2018"/>
      <c r="S5161" s="2018"/>
      <c r="T5161" s="2018"/>
      <c r="U5161" s="2018"/>
      <c r="V5161" s="2018"/>
      <c r="W5161" s="2018"/>
      <c r="X5161" s="2018"/>
      <c r="Y5161" s="2018"/>
      <c r="Z5161" s="2023"/>
      <c r="AA5161" s="2023"/>
      <c r="AB5161" s="1050"/>
      <c r="AC5161" s="1050"/>
      <c r="AD5161" s="1050"/>
      <c r="AE5161" s="1050"/>
      <c r="AF5161" s="1052"/>
    </row>
    <row r="5162" spans="1:32" ht="15.75" x14ac:dyDescent="0.25">
      <c r="A5162" s="2017"/>
      <c r="B5162" s="2018"/>
      <c r="C5162" s="2018"/>
      <c r="D5162" s="2018"/>
      <c r="E5162" s="2018"/>
      <c r="F5162" s="2018"/>
      <c r="G5162" s="2018"/>
      <c r="H5162" s="2018"/>
      <c r="I5162" s="2018"/>
      <c r="J5162" s="2018"/>
      <c r="K5162" s="2018"/>
      <c r="L5162" s="2018"/>
      <c r="M5162" s="2018"/>
      <c r="N5162" s="2018"/>
      <c r="O5162" s="2018"/>
      <c r="P5162" s="2018"/>
      <c r="Q5162" s="2018"/>
      <c r="R5162" s="2018"/>
      <c r="S5162" s="2018"/>
      <c r="T5162" s="2018"/>
      <c r="U5162" s="2018"/>
      <c r="V5162" s="2018"/>
      <c r="W5162" s="2018"/>
      <c r="X5162" s="2018"/>
      <c r="Y5162" s="2018"/>
      <c r="Z5162" s="2023"/>
      <c r="AA5162" s="2023"/>
      <c r="AB5162" s="1050"/>
      <c r="AC5162" s="1050"/>
      <c r="AD5162" s="1050"/>
      <c r="AE5162" s="1050"/>
      <c r="AF5162" s="1052"/>
    </row>
    <row r="5163" spans="1:32" ht="16.5" thickBot="1" x14ac:dyDescent="0.3">
      <c r="A5163" s="2019"/>
      <c r="B5163" s="2020"/>
      <c r="C5163" s="2020"/>
      <c r="D5163" s="2020"/>
      <c r="E5163" s="2020"/>
      <c r="F5163" s="2020"/>
      <c r="G5163" s="2020"/>
      <c r="H5163" s="2020"/>
      <c r="I5163" s="2020"/>
      <c r="J5163" s="2020"/>
      <c r="K5163" s="2020"/>
      <c r="L5163" s="2020"/>
      <c r="M5163" s="2020"/>
      <c r="N5163" s="2020"/>
      <c r="O5163" s="2020"/>
      <c r="P5163" s="2020"/>
      <c r="Q5163" s="2020"/>
      <c r="R5163" s="2020"/>
      <c r="S5163" s="2020"/>
      <c r="T5163" s="2020"/>
      <c r="U5163" s="2020"/>
      <c r="V5163" s="2020"/>
      <c r="W5163" s="2020"/>
      <c r="X5163" s="2020"/>
      <c r="Y5163" s="2020"/>
      <c r="Z5163" s="2024"/>
      <c r="AA5163" s="2024"/>
      <c r="AB5163" s="1057"/>
      <c r="AC5163" s="1057"/>
      <c r="AD5163" s="1057"/>
      <c r="AE5163" s="1057"/>
      <c r="AF5163" s="1058"/>
    </row>
    <row r="5164" spans="1:32" ht="15.75" x14ac:dyDescent="0.25">
      <c r="A5164" s="2009" t="s">
        <v>1855</v>
      </c>
      <c r="B5164" s="2010"/>
      <c r="C5164" s="2010"/>
      <c r="D5164" s="2010"/>
      <c r="E5164" s="2010"/>
      <c r="F5164" s="2010"/>
      <c r="G5164" s="2010"/>
      <c r="H5164" s="2010"/>
      <c r="I5164" s="2010"/>
      <c r="J5164" s="2010"/>
      <c r="K5164" s="2010"/>
      <c r="L5164" s="2010"/>
      <c r="M5164" s="2010"/>
      <c r="N5164" s="2010"/>
      <c r="O5164" s="2010"/>
      <c r="P5164" s="2010"/>
      <c r="Q5164" s="2010"/>
      <c r="R5164" s="2010"/>
      <c r="S5164" s="2010"/>
      <c r="T5164" s="2010"/>
      <c r="U5164" s="2010"/>
      <c r="V5164" s="2010"/>
      <c r="W5164" s="2010"/>
      <c r="X5164" s="2010"/>
      <c r="Y5164" s="2010"/>
      <c r="Z5164" s="2013" t="s">
        <v>1850</v>
      </c>
      <c r="AA5164" s="2013"/>
      <c r="AB5164" s="2013"/>
      <c r="AC5164" s="2013"/>
      <c r="AD5164" s="2013"/>
      <c r="AE5164" s="2013"/>
      <c r="AF5164" s="1059">
        <f>SUM(AF5140:AF5163)</f>
        <v>350.68000000000012</v>
      </c>
    </row>
    <row r="5165" spans="1:32" ht="15.75" x14ac:dyDescent="0.25">
      <c r="A5165" s="2011"/>
      <c r="B5165" s="2012"/>
      <c r="C5165" s="2012"/>
      <c r="D5165" s="2012"/>
      <c r="E5165" s="2012"/>
      <c r="F5165" s="2012"/>
      <c r="G5165" s="2012"/>
      <c r="H5165" s="2012"/>
      <c r="I5165" s="2012"/>
      <c r="J5165" s="2012"/>
      <c r="K5165" s="2012"/>
      <c r="L5165" s="2012"/>
      <c r="M5165" s="2012"/>
      <c r="N5165" s="2012"/>
      <c r="O5165" s="2012"/>
      <c r="P5165" s="2012"/>
      <c r="Q5165" s="2012"/>
      <c r="R5165" s="2012"/>
      <c r="S5165" s="2012"/>
      <c r="T5165" s="2012"/>
      <c r="U5165" s="2012"/>
      <c r="V5165" s="2012"/>
      <c r="W5165" s="2012"/>
      <c r="X5165" s="2012"/>
      <c r="Y5165" s="2012"/>
      <c r="Z5165" s="2014" t="s">
        <v>1851</v>
      </c>
      <c r="AA5165" s="2014"/>
      <c r="AB5165" s="2014"/>
      <c r="AC5165" s="2014"/>
      <c r="AD5165" s="2014"/>
      <c r="AE5165" s="2014"/>
      <c r="AF5165" s="1060">
        <v>0</v>
      </c>
    </row>
    <row r="5166" spans="1:32" ht="15.75" x14ac:dyDescent="0.25">
      <c r="A5166" s="2011"/>
      <c r="B5166" s="2012"/>
      <c r="C5166" s="2012"/>
      <c r="D5166" s="2012"/>
      <c r="E5166" s="2012"/>
      <c r="F5166" s="2012"/>
      <c r="G5166" s="2012"/>
      <c r="H5166" s="2012"/>
      <c r="I5166" s="2012"/>
      <c r="J5166" s="2012"/>
      <c r="K5166" s="2012"/>
      <c r="L5166" s="2012"/>
      <c r="M5166" s="2012"/>
      <c r="N5166" s="2012"/>
      <c r="O5166" s="2012"/>
      <c r="P5166" s="2012"/>
      <c r="Q5166" s="2012"/>
      <c r="R5166" s="2012"/>
      <c r="S5166" s="2012"/>
      <c r="T5166" s="2012"/>
      <c r="U5166" s="2012"/>
      <c r="V5166" s="2012"/>
      <c r="W5166" s="2012"/>
      <c r="X5166" s="2012"/>
      <c r="Y5166" s="2012"/>
      <c r="Z5166" s="2015" t="s">
        <v>1833</v>
      </c>
      <c r="AA5166" s="2015"/>
      <c r="AB5166" s="2015"/>
      <c r="AC5166" s="2015"/>
      <c r="AD5166" s="2015"/>
      <c r="AE5166" s="2015"/>
      <c r="AF5166" s="1061">
        <f>SUM(AF5164:AF5165)</f>
        <v>350.68000000000012</v>
      </c>
    </row>
    <row r="5167" spans="1:32" x14ac:dyDescent="0.2">
      <c r="A5167" s="2012" t="s">
        <v>1859</v>
      </c>
      <c r="B5167" s="2012"/>
      <c r="C5167" s="2012"/>
      <c r="D5167" s="2012"/>
      <c r="E5167" s="2012"/>
      <c r="F5167" s="2012"/>
      <c r="G5167" s="2012"/>
      <c r="H5167" s="2012"/>
      <c r="I5167" s="2012"/>
      <c r="J5167" s="2012"/>
      <c r="K5167" s="2012"/>
      <c r="L5167" s="2012"/>
      <c r="M5167" s="2012"/>
      <c r="N5167" s="2012"/>
      <c r="O5167" s="2012"/>
      <c r="P5167" s="2012"/>
      <c r="Q5167" s="2012"/>
      <c r="R5167" s="2012"/>
      <c r="S5167" s="2012"/>
      <c r="T5167" s="2016" t="s">
        <v>1840</v>
      </c>
      <c r="U5167" s="2016"/>
      <c r="V5167" s="2016"/>
      <c r="W5167" s="2016"/>
      <c r="X5167" s="2016"/>
      <c r="Y5167" s="2016"/>
      <c r="Z5167" s="2016"/>
      <c r="AA5167" s="2016"/>
      <c r="AB5167" s="2012" t="s">
        <v>1852</v>
      </c>
      <c r="AC5167" s="2012"/>
      <c r="AD5167" s="2012"/>
      <c r="AE5167" s="2012"/>
      <c r="AF5167" s="2012"/>
    </row>
    <row r="5168" spans="1:32" x14ac:dyDescent="0.2">
      <c r="A5168" s="2012"/>
      <c r="B5168" s="2012"/>
      <c r="C5168" s="2012"/>
      <c r="D5168" s="2012"/>
      <c r="E5168" s="2012"/>
      <c r="F5168" s="2012"/>
      <c r="G5168" s="2012"/>
      <c r="H5168" s="2012"/>
      <c r="I5168" s="2012"/>
      <c r="J5168" s="2012"/>
      <c r="K5168" s="2012"/>
      <c r="L5168" s="2012"/>
      <c r="M5168" s="2012"/>
      <c r="N5168" s="2012"/>
      <c r="O5168" s="2012"/>
      <c r="P5168" s="2012"/>
      <c r="Q5168" s="2012"/>
      <c r="R5168" s="2012"/>
      <c r="S5168" s="2012"/>
      <c r="T5168" s="2016"/>
      <c r="U5168" s="2016"/>
      <c r="V5168" s="2016"/>
      <c r="W5168" s="2016"/>
      <c r="X5168" s="2016"/>
      <c r="Y5168" s="2016"/>
      <c r="Z5168" s="2016"/>
      <c r="AA5168" s="2016"/>
      <c r="AB5168" s="2012"/>
      <c r="AC5168" s="2012"/>
      <c r="AD5168" s="2012"/>
      <c r="AE5168" s="2012"/>
      <c r="AF5168" s="2012"/>
    </row>
    <row r="5169" spans="1:32" ht="13.5" thickBot="1" x14ac:dyDescent="0.25"/>
    <row r="5170" spans="1:32" ht="26.45" customHeight="1" x14ac:dyDescent="0.2">
      <c r="A5170" s="2025" t="s">
        <v>1854</v>
      </c>
      <c r="B5170" s="2026"/>
      <c r="C5170" s="2026"/>
      <c r="D5170" s="2026"/>
      <c r="E5170" s="2026"/>
      <c r="F5170" s="2026"/>
      <c r="G5170" s="2026"/>
      <c r="H5170" s="2026"/>
      <c r="I5170" s="2026"/>
      <c r="J5170" s="2026"/>
      <c r="K5170" s="2026"/>
      <c r="L5170" s="2026"/>
      <c r="M5170" s="2026"/>
      <c r="N5170" s="2026"/>
      <c r="O5170" s="2026"/>
      <c r="P5170" s="2026"/>
      <c r="Q5170" s="2026"/>
      <c r="R5170" s="2026"/>
      <c r="S5170" s="2026"/>
      <c r="T5170" s="2026"/>
      <c r="U5170" s="2026"/>
      <c r="V5170" s="2026"/>
      <c r="W5170" s="2026"/>
      <c r="X5170" s="2026"/>
      <c r="Y5170" s="2026"/>
      <c r="Z5170" s="2026"/>
      <c r="AA5170" s="2026"/>
      <c r="AB5170" s="2026"/>
      <c r="AC5170" s="2026"/>
      <c r="AD5170" s="2026"/>
      <c r="AE5170" s="1041" t="s">
        <v>1834</v>
      </c>
      <c r="AF5170" s="1042" t="s">
        <v>1835</v>
      </c>
    </row>
    <row r="5171" spans="1:32" ht="21" customHeight="1" thickBot="1" x14ac:dyDescent="0.25">
      <c r="A5171" s="2027"/>
      <c r="B5171" s="2028"/>
      <c r="C5171" s="2028"/>
      <c r="D5171" s="2028"/>
      <c r="E5171" s="2028"/>
      <c r="F5171" s="2028"/>
      <c r="G5171" s="2028"/>
      <c r="H5171" s="2028"/>
      <c r="I5171" s="2028"/>
      <c r="J5171" s="2028"/>
      <c r="K5171" s="2028"/>
      <c r="L5171" s="2028"/>
      <c r="M5171" s="2028"/>
      <c r="N5171" s="2028"/>
      <c r="O5171" s="2028"/>
      <c r="P5171" s="2028"/>
      <c r="Q5171" s="2028"/>
      <c r="R5171" s="2028"/>
      <c r="S5171" s="2028"/>
      <c r="T5171" s="2028"/>
      <c r="U5171" s="2028"/>
      <c r="V5171" s="2028"/>
      <c r="W5171" s="2028"/>
      <c r="X5171" s="2028"/>
      <c r="Y5171" s="2028"/>
      <c r="Z5171" s="2028"/>
      <c r="AA5171" s="2028"/>
      <c r="AB5171" s="2028"/>
      <c r="AC5171" s="2028"/>
      <c r="AD5171" s="2028"/>
      <c r="AE5171" s="1041" t="s">
        <v>1836</v>
      </c>
      <c r="AF5171" s="1044">
        <v>1</v>
      </c>
    </row>
    <row r="5172" spans="1:32" ht="15.75" x14ac:dyDescent="0.2">
      <c r="A5172" s="2029"/>
      <c r="B5172" s="2030"/>
      <c r="C5172" s="2030"/>
      <c r="D5172" s="2031"/>
      <c r="E5172" s="2025" t="str">
        <f>'01'!$A$12</f>
        <v>"CONSTRUCCION SISTEMA DE ACUEDUCTO FASE II DEL MUNICIPIO DE TESALIA DPTO DEL HUILA"</v>
      </c>
      <c r="F5172" s="2026"/>
      <c r="G5172" s="2026"/>
      <c r="H5172" s="2026"/>
      <c r="I5172" s="2026"/>
      <c r="J5172" s="2026"/>
      <c r="K5172" s="2026"/>
      <c r="L5172" s="2026"/>
      <c r="M5172" s="2026"/>
      <c r="N5172" s="2026"/>
      <c r="O5172" s="2026"/>
      <c r="P5172" s="2026"/>
      <c r="Q5172" s="2026"/>
      <c r="R5172" s="2026"/>
      <c r="S5172" s="2026"/>
      <c r="T5172" s="2026"/>
      <c r="U5172" s="2026"/>
      <c r="V5172" s="2026"/>
      <c r="W5172" s="2026"/>
      <c r="X5172" s="2026"/>
      <c r="Y5172" s="2026"/>
      <c r="Z5172" s="2026"/>
      <c r="AA5172" s="2026"/>
      <c r="AB5172" s="2026"/>
      <c r="AC5172" s="2026"/>
      <c r="AD5172" s="2035"/>
      <c r="AE5172" s="1041" t="s">
        <v>847</v>
      </c>
      <c r="AF5172" s="1045">
        <f>'01'!$M$13</f>
        <v>0</v>
      </c>
    </row>
    <row r="5173" spans="1:32" ht="16.5" thickBot="1" x14ac:dyDescent="0.25">
      <c r="A5173" s="2032"/>
      <c r="B5173" s="2033"/>
      <c r="C5173" s="2033"/>
      <c r="D5173" s="2034"/>
      <c r="E5173" s="2027"/>
      <c r="F5173" s="2028"/>
      <c r="G5173" s="2028"/>
      <c r="H5173" s="2028"/>
      <c r="I5173" s="2028"/>
      <c r="J5173" s="2028"/>
      <c r="K5173" s="2028"/>
      <c r="L5173" s="2028"/>
      <c r="M5173" s="2028"/>
      <c r="N5173" s="2028"/>
      <c r="O5173" s="2028"/>
      <c r="P5173" s="2028"/>
      <c r="Q5173" s="2028"/>
      <c r="R5173" s="2028"/>
      <c r="S5173" s="2028"/>
      <c r="T5173" s="2028"/>
      <c r="U5173" s="2028"/>
      <c r="V5173" s="2028"/>
      <c r="W5173" s="2028"/>
      <c r="X5173" s="2028"/>
      <c r="Y5173" s="2028"/>
      <c r="Z5173" s="2028"/>
      <c r="AA5173" s="2028"/>
      <c r="AB5173" s="2028"/>
      <c r="AC5173" s="2028"/>
      <c r="AD5173" s="2036"/>
      <c r="AE5173" s="1041" t="s">
        <v>1837</v>
      </c>
      <c r="AF5173" s="1042" t="s">
        <v>1838</v>
      </c>
    </row>
    <row r="5174" spans="1:32" ht="15.75" x14ac:dyDescent="0.25">
      <c r="A5174" s="2037" t="s">
        <v>1860</v>
      </c>
      <c r="B5174" s="2038"/>
      <c r="C5174" s="2038"/>
      <c r="D5174" s="2038"/>
      <c r="E5174" s="2038"/>
      <c r="F5174" s="2038"/>
      <c r="G5174" s="2038"/>
      <c r="H5174" s="2038"/>
      <c r="I5174" s="2038"/>
      <c r="J5174" s="2038"/>
      <c r="K5174" s="2038"/>
      <c r="L5174" s="2038"/>
      <c r="M5174" s="2038"/>
      <c r="N5174" s="2038"/>
      <c r="O5174" s="2038"/>
      <c r="P5174" s="2038"/>
      <c r="Q5174" s="2038"/>
      <c r="R5174" s="2038"/>
      <c r="S5174" s="2038"/>
      <c r="T5174" s="2038"/>
      <c r="U5174" s="2038"/>
      <c r="V5174" s="2038"/>
      <c r="W5174" s="2038"/>
      <c r="X5174" s="2038"/>
      <c r="Y5174" s="2038"/>
      <c r="Z5174" s="2038"/>
      <c r="AA5174" s="2038"/>
      <c r="AB5174" s="2038"/>
      <c r="AC5174" s="2038"/>
      <c r="AD5174" s="2038"/>
      <c r="AE5174" s="2039" t="s">
        <v>1839</v>
      </c>
      <c r="AF5174" s="2040"/>
    </row>
    <row r="5175" spans="1:32" ht="15.75" x14ac:dyDescent="0.25">
      <c r="A5175" s="2041" t="s">
        <v>1840</v>
      </c>
      <c r="B5175" s="2042"/>
      <c r="C5175" s="2042"/>
      <c r="D5175" s="2042"/>
      <c r="E5175" s="2042"/>
      <c r="F5175" s="2042"/>
      <c r="G5175" s="2042"/>
      <c r="H5175" s="2042"/>
      <c r="I5175" s="2042"/>
      <c r="J5175" s="2042"/>
      <c r="K5175" s="2042"/>
      <c r="L5175" s="2042"/>
      <c r="M5175" s="2042"/>
      <c r="N5175" s="2042"/>
      <c r="O5175" s="2042"/>
      <c r="P5175" s="2042"/>
      <c r="Q5175" s="2042"/>
      <c r="R5175" s="2042"/>
      <c r="S5175" s="2042"/>
      <c r="T5175" s="2042"/>
      <c r="U5175" s="2042"/>
      <c r="V5175" s="2042"/>
      <c r="W5175" s="2042"/>
      <c r="X5175" s="2042"/>
      <c r="Y5175" s="2042"/>
      <c r="Z5175" s="2042"/>
      <c r="AA5175" s="2042"/>
      <c r="AB5175" s="2042"/>
      <c r="AC5175" s="2042"/>
      <c r="AD5175" s="2043"/>
      <c r="AE5175" s="2014" t="s">
        <v>1841</v>
      </c>
      <c r="AF5175" s="2044"/>
    </row>
    <row r="5176" spans="1:32" ht="15.75" x14ac:dyDescent="0.25">
      <c r="A5176" s="2045" t="s">
        <v>1853</v>
      </c>
      <c r="B5176" s="2046"/>
      <c r="C5176" s="2046"/>
      <c r="D5176" s="2046"/>
      <c r="E5176" s="2046"/>
      <c r="F5176" s="2046"/>
      <c r="G5176" s="2046"/>
      <c r="H5176" s="2046"/>
      <c r="I5176" s="2046"/>
      <c r="J5176" s="2046"/>
      <c r="K5176" s="2046"/>
      <c r="L5176" s="2046"/>
      <c r="M5176" s="2046"/>
      <c r="N5176" s="2046"/>
      <c r="O5176" s="2046"/>
      <c r="P5176" s="2046"/>
      <c r="Q5176" s="2046"/>
      <c r="R5176" s="2046"/>
      <c r="S5176" s="2046"/>
      <c r="T5176" s="2046"/>
      <c r="U5176" s="2046"/>
      <c r="V5176" s="2046"/>
      <c r="W5176" s="2046"/>
      <c r="X5176" s="2046"/>
      <c r="Y5176" s="2046"/>
      <c r="Z5176" s="2046"/>
      <c r="AA5176" s="2046"/>
      <c r="AB5176" s="2046"/>
      <c r="AC5176" s="2046"/>
      <c r="AD5176" s="2046"/>
      <c r="AE5176" s="2047">
        <f>'01'!$M$13</f>
        <v>0</v>
      </c>
      <c r="AF5176" s="2044"/>
    </row>
    <row r="5177" spans="1:32" x14ac:dyDescent="0.2">
      <c r="A5177" s="1046"/>
      <c r="B5177" s="1047"/>
      <c r="C5177" s="1047"/>
      <c r="D5177" s="1047"/>
      <c r="E5177" s="1047"/>
      <c r="F5177" s="1047"/>
      <c r="G5177" s="1047"/>
      <c r="H5177" s="1047"/>
      <c r="I5177" s="1047"/>
      <c r="J5177" s="1047"/>
      <c r="K5177" s="1047"/>
      <c r="L5177" s="1047"/>
      <c r="M5177" s="1047"/>
      <c r="N5177" s="1047"/>
      <c r="O5177" s="1047"/>
      <c r="P5177" s="1047"/>
      <c r="Q5177" s="1047"/>
      <c r="R5177" s="1047"/>
      <c r="S5177" s="1047"/>
      <c r="T5177" s="1047"/>
      <c r="U5177" s="1047"/>
      <c r="V5177" s="1047"/>
      <c r="W5177" s="1047"/>
      <c r="X5177" s="1047"/>
      <c r="Y5177" s="1047"/>
      <c r="Z5177" s="1047"/>
      <c r="AA5177" s="1047"/>
      <c r="AB5177" s="1047"/>
      <c r="AC5177" s="1047"/>
      <c r="AD5177" s="1047"/>
      <c r="AE5177" s="1047"/>
      <c r="AF5177" s="1048"/>
    </row>
    <row r="5178" spans="1:32" ht="30" customHeight="1" x14ac:dyDescent="0.2">
      <c r="A5178" s="2048" t="s">
        <v>1842</v>
      </c>
      <c r="B5178" s="2049"/>
      <c r="C5178" s="2049"/>
      <c r="D5178" s="2049"/>
      <c r="E5178" s="2049"/>
      <c r="F5178" s="2050" t="str">
        <f>+'01'!$H$201</f>
        <v>H - TANQUE DE ALMACENAMIENTO</v>
      </c>
      <c r="G5178" s="2049"/>
      <c r="H5178" s="2049"/>
      <c r="I5178" s="2049"/>
      <c r="J5178" s="2049"/>
      <c r="K5178" s="2049"/>
      <c r="L5178" s="2049"/>
      <c r="M5178" s="2049"/>
      <c r="N5178" s="2049"/>
      <c r="O5178" s="2049"/>
      <c r="P5178" s="2049"/>
      <c r="Q5178" s="2049"/>
      <c r="R5178" s="2049"/>
      <c r="S5178" s="2049"/>
      <c r="T5178" s="2049"/>
      <c r="U5178" s="2049"/>
      <c r="V5178" s="2049"/>
      <c r="W5178" s="2049"/>
      <c r="X5178" s="2049"/>
      <c r="Y5178" s="2051"/>
      <c r="Z5178" s="2052" t="s">
        <v>1843</v>
      </c>
      <c r="AA5178" s="2053"/>
      <c r="AB5178" s="2058" t="s">
        <v>1844</v>
      </c>
      <c r="AC5178" s="2059"/>
      <c r="AD5178" s="2060"/>
      <c r="AE5178" s="2064" t="s">
        <v>1845</v>
      </c>
      <c r="AF5178" s="2067" t="s">
        <v>1846</v>
      </c>
    </row>
    <row r="5179" spans="1:32" ht="15" customHeight="1" x14ac:dyDescent="0.2">
      <c r="A5179" s="2070" t="str">
        <f>+'01'!A217</f>
        <v>H-06-01</v>
      </c>
      <c r="B5179" s="2071"/>
      <c r="C5179" s="2072"/>
      <c r="D5179" s="2076" t="str">
        <f>VLOOKUP(A5179,'01'!$A$12:$N$299,3,FALSE)</f>
        <v>ACERO DE REFUERZO FIGURADO FY= 420 MPA-60000 PSI, CORRUGADO. INCLUYE TRANSPORTE CON DESCARGA, TRANSPORTE INTERNO, ALAMBRE DE AMARRE, CERTIFICADOS Y TODOS LOS ELEMENTOS NECESARIOS PARA SU CORRECTA INSTALACIÓN, SEGÚN DISEÑO Y RECOMENDACIONES.</v>
      </c>
      <c r="E5179" s="2077"/>
      <c r="F5179" s="2077"/>
      <c r="G5179" s="2077"/>
      <c r="H5179" s="2077"/>
      <c r="I5179" s="2077"/>
      <c r="J5179" s="2077"/>
      <c r="K5179" s="2077"/>
      <c r="L5179" s="2077"/>
      <c r="M5179" s="2077"/>
      <c r="N5179" s="2077"/>
      <c r="O5179" s="2077"/>
      <c r="P5179" s="2077"/>
      <c r="Q5179" s="2077"/>
      <c r="R5179" s="2077"/>
      <c r="S5179" s="2078"/>
      <c r="T5179" s="2082" t="s">
        <v>124</v>
      </c>
      <c r="U5179" s="2083"/>
      <c r="V5179" s="2083"/>
      <c r="W5179" s="2083"/>
      <c r="X5179" s="2052" t="str">
        <f>VLOOKUP(A5179,'01'!$A$12:$N$299,9,FALSE)</f>
        <v>KG</v>
      </c>
      <c r="Y5179" s="2053"/>
      <c r="Z5179" s="2054"/>
      <c r="AA5179" s="2055"/>
      <c r="AB5179" s="2061"/>
      <c r="AC5179" s="2062"/>
      <c r="AD5179" s="2063"/>
      <c r="AE5179" s="2065"/>
      <c r="AF5179" s="2068"/>
    </row>
    <row r="5180" spans="1:32" ht="15" customHeight="1" x14ac:dyDescent="0.25">
      <c r="A5180" s="2073"/>
      <c r="B5180" s="2074"/>
      <c r="C5180" s="2075"/>
      <c r="D5180" s="2079"/>
      <c r="E5180" s="2080"/>
      <c r="F5180" s="2080"/>
      <c r="G5180" s="2080"/>
      <c r="H5180" s="2080"/>
      <c r="I5180" s="2080"/>
      <c r="J5180" s="2080"/>
      <c r="K5180" s="2080"/>
      <c r="L5180" s="2080"/>
      <c r="M5180" s="2080"/>
      <c r="N5180" s="2080"/>
      <c r="O5180" s="2080"/>
      <c r="P5180" s="2080"/>
      <c r="Q5180" s="2080"/>
      <c r="R5180" s="2080"/>
      <c r="S5180" s="2081"/>
      <c r="T5180" s="2084"/>
      <c r="U5180" s="2085"/>
      <c r="V5180" s="2085"/>
      <c r="W5180" s="2085"/>
      <c r="X5180" s="2056"/>
      <c r="Y5180" s="2057"/>
      <c r="Z5180" s="2056"/>
      <c r="AA5180" s="2057"/>
      <c r="AB5180" s="1049" t="s">
        <v>1847</v>
      </c>
      <c r="AC5180" s="1049" t="s">
        <v>1848</v>
      </c>
      <c r="AD5180" s="1049" t="s">
        <v>1861</v>
      </c>
      <c r="AE5180" s="2066"/>
      <c r="AF5180" s="2069"/>
    </row>
    <row r="5181" spans="1:32" ht="15.6" customHeight="1" x14ac:dyDescent="0.25">
      <c r="A5181" s="2017"/>
      <c r="B5181" s="2018"/>
      <c r="C5181" s="2018"/>
      <c r="D5181" s="2018"/>
      <c r="E5181" s="2018"/>
      <c r="F5181" s="2018"/>
      <c r="G5181" s="2018"/>
      <c r="H5181" s="2018"/>
      <c r="I5181" s="2018"/>
      <c r="J5181" s="2018"/>
      <c r="K5181" s="2018"/>
      <c r="L5181" s="2018"/>
      <c r="M5181" s="2018"/>
      <c r="N5181" s="2018"/>
      <c r="O5181" s="2018"/>
      <c r="P5181" s="2018"/>
      <c r="Q5181" s="2018"/>
      <c r="R5181" s="2018"/>
      <c r="S5181" s="2018"/>
      <c r="T5181" s="2018"/>
      <c r="U5181" s="2018"/>
      <c r="V5181" s="2018"/>
      <c r="W5181" s="2018"/>
      <c r="X5181" s="2018"/>
      <c r="Y5181" s="2018"/>
      <c r="Z5181" s="2022"/>
      <c r="AA5181" s="2022"/>
      <c r="AB5181" s="1050"/>
      <c r="AC5181" s="1050"/>
      <c r="AD5181" s="1050"/>
      <c r="AE5181" s="1050"/>
      <c r="AF5181" s="1052">
        <v>38747.43</v>
      </c>
    </row>
    <row r="5182" spans="1:32" ht="15.6" customHeight="1" x14ac:dyDescent="0.25">
      <c r="A5182" s="2017"/>
      <c r="B5182" s="2018"/>
      <c r="C5182" s="2018"/>
      <c r="D5182" s="2018"/>
      <c r="E5182" s="2018"/>
      <c r="F5182" s="2018"/>
      <c r="G5182" s="2018"/>
      <c r="H5182" s="2018"/>
      <c r="I5182" s="2018"/>
      <c r="J5182" s="2018"/>
      <c r="K5182" s="2018"/>
      <c r="L5182" s="2018"/>
      <c r="M5182" s="2018"/>
      <c r="N5182" s="2018"/>
      <c r="O5182" s="2018"/>
      <c r="P5182" s="2018"/>
      <c r="Q5182" s="2018"/>
      <c r="R5182" s="2018"/>
      <c r="S5182" s="2018"/>
      <c r="T5182" s="2018"/>
      <c r="U5182" s="2018"/>
      <c r="V5182" s="2018"/>
      <c r="W5182" s="2018"/>
      <c r="X5182" s="2018"/>
      <c r="Y5182" s="2018"/>
      <c r="Z5182" s="2022"/>
      <c r="AA5182" s="2022"/>
      <c r="AB5182" s="1050"/>
      <c r="AC5182" s="1050"/>
      <c r="AD5182" s="1050"/>
      <c r="AE5182" s="1050"/>
      <c r="AF5182" s="1052"/>
    </row>
    <row r="5183" spans="1:32" ht="15.75" x14ac:dyDescent="0.25">
      <c r="A5183" s="2017"/>
      <c r="B5183" s="2018"/>
      <c r="C5183" s="2018"/>
      <c r="D5183" s="2018"/>
      <c r="E5183" s="2018"/>
      <c r="F5183" s="2018"/>
      <c r="G5183" s="2018"/>
      <c r="H5183" s="2018"/>
      <c r="I5183" s="2018"/>
      <c r="J5183" s="2018"/>
      <c r="K5183" s="2018"/>
      <c r="L5183" s="2018"/>
      <c r="M5183" s="2018"/>
      <c r="N5183" s="2018"/>
      <c r="O5183" s="2018"/>
      <c r="P5183" s="2018"/>
      <c r="Q5183" s="2018"/>
      <c r="R5183" s="2018"/>
      <c r="S5183" s="2018"/>
      <c r="T5183" s="2018"/>
      <c r="U5183" s="2018"/>
      <c r="V5183" s="2018"/>
      <c r="W5183" s="2018"/>
      <c r="X5183" s="2018"/>
      <c r="Y5183" s="2018"/>
      <c r="Z5183" s="2022"/>
      <c r="AA5183" s="2022"/>
      <c r="AB5183" s="1050"/>
      <c r="AC5183" s="1050"/>
      <c r="AD5183" s="1050"/>
      <c r="AE5183" s="1050"/>
      <c r="AF5183" s="1052"/>
    </row>
    <row r="5184" spans="1:32" ht="15.75" x14ac:dyDescent="0.25">
      <c r="A5184" s="2017"/>
      <c r="B5184" s="2018"/>
      <c r="C5184" s="2018"/>
      <c r="D5184" s="2018"/>
      <c r="E5184" s="2018"/>
      <c r="F5184" s="2018"/>
      <c r="G5184" s="2018"/>
      <c r="H5184" s="2018"/>
      <c r="I5184" s="2018"/>
      <c r="J5184" s="2018"/>
      <c r="K5184" s="2018"/>
      <c r="L5184" s="2018"/>
      <c r="M5184" s="2018"/>
      <c r="N5184" s="2018"/>
      <c r="O5184" s="2018"/>
      <c r="P5184" s="2018"/>
      <c r="Q5184" s="2018"/>
      <c r="R5184" s="2018"/>
      <c r="S5184" s="2018"/>
      <c r="T5184" s="2018"/>
      <c r="U5184" s="2018"/>
      <c r="V5184" s="2018"/>
      <c r="W5184" s="2018"/>
      <c r="X5184" s="2018"/>
      <c r="Y5184" s="2018"/>
      <c r="Z5184" s="2022"/>
      <c r="AA5184" s="2022"/>
      <c r="AB5184" s="1050"/>
      <c r="AC5184" s="1050"/>
      <c r="AD5184" s="1050"/>
      <c r="AE5184" s="1050"/>
      <c r="AF5184" s="1052"/>
    </row>
    <row r="5185" spans="1:32" ht="15.6" customHeight="1" x14ac:dyDescent="0.25">
      <c r="A5185" s="2017"/>
      <c r="B5185" s="2018"/>
      <c r="C5185" s="2018"/>
      <c r="D5185" s="2018"/>
      <c r="E5185" s="2018"/>
      <c r="F5185" s="2018"/>
      <c r="G5185" s="2018"/>
      <c r="H5185" s="2018"/>
      <c r="I5185" s="2018"/>
      <c r="J5185" s="2018"/>
      <c r="K5185" s="2018"/>
      <c r="L5185" s="2018"/>
      <c r="M5185" s="2018"/>
      <c r="N5185" s="2018"/>
      <c r="O5185" s="2018"/>
      <c r="P5185" s="2018"/>
      <c r="Q5185" s="2018"/>
      <c r="R5185" s="2018"/>
      <c r="S5185" s="2018"/>
      <c r="T5185" s="2018"/>
      <c r="U5185" s="2018"/>
      <c r="V5185" s="2018"/>
      <c r="W5185" s="2018"/>
      <c r="X5185" s="2018"/>
      <c r="Y5185" s="2018"/>
      <c r="Z5185" s="2022"/>
      <c r="AA5185" s="2022"/>
      <c r="AB5185" s="1050"/>
      <c r="AC5185" s="1050"/>
      <c r="AD5185" s="1050"/>
      <c r="AE5185" s="1050"/>
      <c r="AF5185" s="1052"/>
    </row>
    <row r="5186" spans="1:32" ht="15.75" x14ac:dyDescent="0.25">
      <c r="A5186" s="2017"/>
      <c r="B5186" s="2018"/>
      <c r="C5186" s="2018"/>
      <c r="D5186" s="2018"/>
      <c r="E5186" s="2018"/>
      <c r="F5186" s="2018"/>
      <c r="G5186" s="2018"/>
      <c r="H5186" s="2018"/>
      <c r="I5186" s="2018"/>
      <c r="J5186" s="2018"/>
      <c r="K5186" s="2018"/>
      <c r="L5186" s="2018"/>
      <c r="M5186" s="2018"/>
      <c r="N5186" s="2018"/>
      <c r="O5186" s="2018"/>
      <c r="P5186" s="2018"/>
      <c r="Q5186" s="2018"/>
      <c r="R5186" s="2018"/>
      <c r="S5186" s="2018"/>
      <c r="T5186" s="2018"/>
      <c r="U5186" s="2018"/>
      <c r="V5186" s="2018"/>
      <c r="W5186" s="2018"/>
      <c r="X5186" s="2018"/>
      <c r="Y5186" s="2018"/>
      <c r="Z5186" s="2022"/>
      <c r="AA5186" s="2022"/>
      <c r="AB5186" s="1050"/>
      <c r="AC5186" s="1050"/>
      <c r="AD5186" s="1050"/>
      <c r="AE5186" s="1050"/>
      <c r="AF5186" s="1052"/>
    </row>
    <row r="5187" spans="1:32" ht="15.75" x14ac:dyDescent="0.25">
      <c r="A5187" s="2017"/>
      <c r="B5187" s="2018"/>
      <c r="C5187" s="2018"/>
      <c r="D5187" s="2018"/>
      <c r="E5187" s="2018"/>
      <c r="F5187" s="2018"/>
      <c r="G5187" s="2018"/>
      <c r="H5187" s="2018"/>
      <c r="I5187" s="2018"/>
      <c r="J5187" s="2018"/>
      <c r="K5187" s="2018"/>
      <c r="L5187" s="2018"/>
      <c r="M5187" s="2018"/>
      <c r="N5187" s="2018"/>
      <c r="O5187" s="2018"/>
      <c r="P5187" s="2018"/>
      <c r="Q5187" s="2018"/>
      <c r="R5187" s="2018"/>
      <c r="S5187" s="2018"/>
      <c r="T5187" s="2018"/>
      <c r="U5187" s="2018"/>
      <c r="V5187" s="2018"/>
      <c r="W5187" s="2018"/>
      <c r="X5187" s="2018"/>
      <c r="Y5187" s="2018"/>
      <c r="Z5187" s="2022"/>
      <c r="AA5187" s="2022"/>
      <c r="AB5187" s="1050"/>
      <c r="AC5187" s="1050"/>
      <c r="AD5187" s="1050"/>
      <c r="AE5187" s="1050"/>
      <c r="AF5187" s="1052"/>
    </row>
    <row r="5188" spans="1:32" ht="15.6" customHeight="1" x14ac:dyDescent="0.25">
      <c r="A5188" s="2017"/>
      <c r="B5188" s="2018"/>
      <c r="C5188" s="2018"/>
      <c r="D5188" s="2018"/>
      <c r="E5188" s="2018"/>
      <c r="F5188" s="2018"/>
      <c r="G5188" s="2018"/>
      <c r="H5188" s="2018"/>
      <c r="I5188" s="2018"/>
      <c r="J5188" s="2018"/>
      <c r="K5188" s="2018"/>
      <c r="L5188" s="2018"/>
      <c r="M5188" s="2018"/>
      <c r="N5188" s="2018"/>
      <c r="O5188" s="2018"/>
      <c r="P5188" s="2018"/>
      <c r="Q5188" s="2018"/>
      <c r="R5188" s="2018"/>
      <c r="S5188" s="2018"/>
      <c r="T5188" s="2018"/>
      <c r="U5188" s="2018"/>
      <c r="V5188" s="2018"/>
      <c r="W5188" s="2018"/>
      <c r="X5188" s="2018"/>
      <c r="Y5188" s="2018"/>
      <c r="Z5188" s="2022"/>
      <c r="AA5188" s="2022"/>
      <c r="AB5188" s="1050"/>
      <c r="AC5188" s="1050"/>
      <c r="AD5188" s="1050"/>
      <c r="AE5188" s="1050"/>
      <c r="AF5188" s="1052"/>
    </row>
    <row r="5189" spans="1:32" ht="15.75" x14ac:dyDescent="0.25">
      <c r="A5189" s="2017"/>
      <c r="B5189" s="2018"/>
      <c r="C5189" s="2018"/>
      <c r="D5189" s="2018"/>
      <c r="E5189" s="2018"/>
      <c r="F5189" s="2018"/>
      <c r="G5189" s="2018"/>
      <c r="H5189" s="2018"/>
      <c r="I5189" s="2018"/>
      <c r="J5189" s="2018"/>
      <c r="K5189" s="2018"/>
      <c r="L5189" s="2018"/>
      <c r="M5189" s="2018"/>
      <c r="N5189" s="2018"/>
      <c r="O5189" s="2018"/>
      <c r="P5189" s="2018"/>
      <c r="Q5189" s="2018"/>
      <c r="R5189" s="2018"/>
      <c r="S5189" s="2018"/>
      <c r="T5189" s="2018"/>
      <c r="U5189" s="2018"/>
      <c r="V5189" s="2018"/>
      <c r="W5189" s="2018"/>
      <c r="X5189" s="2018"/>
      <c r="Y5189" s="2018"/>
      <c r="Z5189" s="2022"/>
      <c r="AA5189" s="2022"/>
      <c r="AB5189" s="1050"/>
      <c r="AC5189" s="1050"/>
      <c r="AD5189" s="1050"/>
      <c r="AE5189" s="1050"/>
      <c r="AF5189" s="1052"/>
    </row>
    <row r="5190" spans="1:32" ht="15.75" x14ac:dyDescent="0.25">
      <c r="A5190" s="2017"/>
      <c r="B5190" s="2018"/>
      <c r="C5190" s="2018"/>
      <c r="D5190" s="2018"/>
      <c r="E5190" s="2018"/>
      <c r="F5190" s="2018"/>
      <c r="G5190" s="2018"/>
      <c r="H5190" s="2018"/>
      <c r="I5190" s="2018"/>
      <c r="J5190" s="2018"/>
      <c r="K5190" s="2018"/>
      <c r="L5190" s="2018"/>
      <c r="M5190" s="2018"/>
      <c r="N5190" s="2018"/>
      <c r="O5190" s="2018"/>
      <c r="P5190" s="2018"/>
      <c r="Q5190" s="2018"/>
      <c r="R5190" s="2018"/>
      <c r="S5190" s="2018"/>
      <c r="T5190" s="2018"/>
      <c r="U5190" s="2018"/>
      <c r="V5190" s="2018"/>
      <c r="W5190" s="2018"/>
      <c r="X5190" s="2018"/>
      <c r="Y5190" s="2018"/>
      <c r="Z5190" s="2022"/>
      <c r="AA5190" s="2022"/>
      <c r="AB5190" s="1050"/>
      <c r="AC5190" s="1050"/>
      <c r="AD5190" s="1050"/>
      <c r="AE5190" s="1050"/>
      <c r="AF5190" s="1052"/>
    </row>
    <row r="5191" spans="1:32" ht="15.75" x14ac:dyDescent="0.25">
      <c r="A5191" s="2017"/>
      <c r="B5191" s="2018"/>
      <c r="C5191" s="2018"/>
      <c r="D5191" s="2018"/>
      <c r="E5191" s="2018"/>
      <c r="F5191" s="2018"/>
      <c r="G5191" s="2018"/>
      <c r="H5191" s="2018"/>
      <c r="I5191" s="2018"/>
      <c r="J5191" s="2018"/>
      <c r="K5191" s="2018"/>
      <c r="L5191" s="2018"/>
      <c r="M5191" s="2018"/>
      <c r="N5191" s="2018"/>
      <c r="O5191" s="2018"/>
      <c r="P5191" s="2018"/>
      <c r="Q5191" s="2018"/>
      <c r="R5191" s="2018"/>
      <c r="S5191" s="2018"/>
      <c r="T5191" s="2018"/>
      <c r="U5191" s="2018"/>
      <c r="V5191" s="2018"/>
      <c r="W5191" s="2018"/>
      <c r="X5191" s="2018"/>
      <c r="Y5191" s="2018"/>
      <c r="Z5191" s="2022"/>
      <c r="AA5191" s="2022"/>
      <c r="AB5191" s="1050"/>
      <c r="AC5191" s="1050"/>
      <c r="AD5191" s="1050"/>
      <c r="AE5191" s="1050"/>
      <c r="AF5191" s="1052"/>
    </row>
    <row r="5192" spans="1:32" ht="15.6" customHeight="1" x14ac:dyDescent="0.25">
      <c r="A5192" s="2017"/>
      <c r="B5192" s="2018"/>
      <c r="C5192" s="2018"/>
      <c r="D5192" s="2018"/>
      <c r="E5192" s="2018"/>
      <c r="F5192" s="2018"/>
      <c r="G5192" s="2018"/>
      <c r="H5192" s="2018"/>
      <c r="I5192" s="2018"/>
      <c r="J5192" s="2018"/>
      <c r="K5192" s="2018"/>
      <c r="L5192" s="2018"/>
      <c r="M5192" s="2018"/>
      <c r="N5192" s="2018"/>
      <c r="O5192" s="2018"/>
      <c r="P5192" s="2018"/>
      <c r="Q5192" s="2018"/>
      <c r="R5192" s="2018"/>
      <c r="S5192" s="2018"/>
      <c r="T5192" s="2018"/>
      <c r="U5192" s="2018"/>
      <c r="V5192" s="2018"/>
      <c r="W5192" s="2018"/>
      <c r="X5192" s="2018"/>
      <c r="Y5192" s="2018"/>
      <c r="Z5192" s="2022"/>
      <c r="AA5192" s="2022"/>
      <c r="AB5192" s="1050"/>
      <c r="AC5192" s="1050"/>
      <c r="AD5192" s="1050"/>
      <c r="AE5192" s="1050"/>
      <c r="AF5192" s="1052"/>
    </row>
    <row r="5193" spans="1:32" ht="15.75" x14ac:dyDescent="0.25">
      <c r="A5193" s="2017"/>
      <c r="B5193" s="2018"/>
      <c r="C5193" s="2018"/>
      <c r="D5193" s="2018"/>
      <c r="E5193" s="2018"/>
      <c r="F5193" s="2018"/>
      <c r="G5193" s="2018"/>
      <c r="H5193" s="2018"/>
      <c r="I5193" s="2018"/>
      <c r="J5193" s="2018"/>
      <c r="K5193" s="2018"/>
      <c r="L5193" s="2018"/>
      <c r="M5193" s="2018"/>
      <c r="N5193" s="2018"/>
      <c r="O5193" s="2018"/>
      <c r="P5193" s="2018"/>
      <c r="Q5193" s="2018"/>
      <c r="R5193" s="2018"/>
      <c r="S5193" s="2018"/>
      <c r="T5193" s="2018"/>
      <c r="U5193" s="2018"/>
      <c r="V5193" s="2018"/>
      <c r="W5193" s="2018"/>
      <c r="X5193" s="2018"/>
      <c r="Y5193" s="2018"/>
      <c r="Z5193" s="2022"/>
      <c r="AA5193" s="2022"/>
      <c r="AB5193" s="1050"/>
      <c r="AC5193" s="1050"/>
      <c r="AD5193" s="1050"/>
      <c r="AE5193" s="1050"/>
      <c r="AF5193" s="1052"/>
    </row>
    <row r="5194" spans="1:32" ht="15.75" x14ac:dyDescent="0.25">
      <c r="A5194" s="2017"/>
      <c r="B5194" s="2018"/>
      <c r="C5194" s="2018"/>
      <c r="D5194" s="2018"/>
      <c r="E5194" s="2018"/>
      <c r="F5194" s="2018"/>
      <c r="G5194" s="2018"/>
      <c r="H5194" s="2018"/>
      <c r="I5194" s="2018"/>
      <c r="J5194" s="2018"/>
      <c r="K5194" s="2018"/>
      <c r="L5194" s="2018"/>
      <c r="M5194" s="2018"/>
      <c r="N5194" s="2018"/>
      <c r="O5194" s="2018"/>
      <c r="P5194" s="2018"/>
      <c r="Q5194" s="2018"/>
      <c r="R5194" s="2018"/>
      <c r="S5194" s="2018"/>
      <c r="T5194" s="2018"/>
      <c r="U5194" s="2018"/>
      <c r="V5194" s="2018"/>
      <c r="W5194" s="2018"/>
      <c r="X5194" s="2018"/>
      <c r="Y5194" s="2018"/>
      <c r="Z5194" s="2022"/>
      <c r="AA5194" s="2022"/>
      <c r="AB5194" s="1050"/>
      <c r="AC5194" s="1050"/>
      <c r="AD5194" s="1050"/>
      <c r="AE5194" s="1050"/>
      <c r="AF5194" s="1052"/>
    </row>
    <row r="5195" spans="1:32" ht="15.75" x14ac:dyDescent="0.25">
      <c r="A5195" s="2017"/>
      <c r="B5195" s="2018"/>
      <c r="C5195" s="2018"/>
      <c r="D5195" s="2018"/>
      <c r="E5195" s="2018"/>
      <c r="F5195" s="2018"/>
      <c r="G5195" s="2018"/>
      <c r="H5195" s="2018"/>
      <c r="I5195" s="2018"/>
      <c r="J5195" s="2018"/>
      <c r="K5195" s="2018"/>
      <c r="L5195" s="2018"/>
      <c r="M5195" s="2018"/>
      <c r="N5195" s="2018"/>
      <c r="O5195" s="2018"/>
      <c r="P5195" s="2018"/>
      <c r="Q5195" s="2018"/>
      <c r="R5195" s="2018"/>
      <c r="S5195" s="2018"/>
      <c r="T5195" s="2018"/>
      <c r="U5195" s="2018"/>
      <c r="V5195" s="2018"/>
      <c r="W5195" s="2018"/>
      <c r="X5195" s="2018"/>
      <c r="Y5195" s="2018"/>
      <c r="Z5195" s="2022"/>
      <c r="AA5195" s="2022"/>
      <c r="AB5195" s="1050"/>
      <c r="AC5195" s="1050"/>
      <c r="AD5195" s="1050"/>
      <c r="AE5195" s="1050"/>
      <c r="AF5195" s="1052"/>
    </row>
    <row r="5196" spans="1:32" ht="15.75" x14ac:dyDescent="0.25">
      <c r="A5196" s="2017"/>
      <c r="B5196" s="2018"/>
      <c r="C5196" s="2018"/>
      <c r="D5196" s="2018"/>
      <c r="E5196" s="2018"/>
      <c r="F5196" s="2018"/>
      <c r="G5196" s="2018"/>
      <c r="H5196" s="2018"/>
      <c r="I5196" s="2018"/>
      <c r="J5196" s="2018"/>
      <c r="K5196" s="2018"/>
      <c r="L5196" s="2018"/>
      <c r="M5196" s="2018"/>
      <c r="N5196" s="2018"/>
      <c r="O5196" s="2018"/>
      <c r="P5196" s="2018"/>
      <c r="Q5196" s="2018"/>
      <c r="R5196" s="2018"/>
      <c r="S5196" s="2018"/>
      <c r="T5196" s="2018"/>
      <c r="U5196" s="2018"/>
      <c r="V5196" s="2018"/>
      <c r="W5196" s="2018"/>
      <c r="X5196" s="2018"/>
      <c r="Y5196" s="2018"/>
      <c r="Z5196" s="2022"/>
      <c r="AA5196" s="2022"/>
      <c r="AB5196" s="1050"/>
      <c r="AC5196" s="1050"/>
      <c r="AD5196" s="1050"/>
      <c r="AE5196" s="1050"/>
      <c r="AF5196" s="1052"/>
    </row>
    <row r="5197" spans="1:32" ht="15.75" x14ac:dyDescent="0.25">
      <c r="A5197" s="2017"/>
      <c r="B5197" s="2018"/>
      <c r="C5197" s="2018"/>
      <c r="D5197" s="2018"/>
      <c r="E5197" s="2018"/>
      <c r="F5197" s="2018"/>
      <c r="G5197" s="2018"/>
      <c r="H5197" s="2018"/>
      <c r="I5197" s="2018"/>
      <c r="J5197" s="2018"/>
      <c r="K5197" s="2018"/>
      <c r="L5197" s="2018"/>
      <c r="M5197" s="2018"/>
      <c r="N5197" s="2018"/>
      <c r="O5197" s="2018"/>
      <c r="P5197" s="2018"/>
      <c r="Q5197" s="2018"/>
      <c r="R5197" s="2018"/>
      <c r="S5197" s="2018"/>
      <c r="T5197" s="2018"/>
      <c r="U5197" s="2018"/>
      <c r="V5197" s="2018"/>
      <c r="W5197" s="2018"/>
      <c r="X5197" s="2018"/>
      <c r="Y5197" s="2018"/>
      <c r="Z5197" s="2022"/>
      <c r="AA5197" s="2022"/>
      <c r="AB5197" s="1050"/>
      <c r="AC5197" s="1050"/>
      <c r="AD5197" s="1050"/>
      <c r="AE5197" s="1050"/>
      <c r="AF5197" s="1052"/>
    </row>
    <row r="5198" spans="1:32" ht="15.75" x14ac:dyDescent="0.25">
      <c r="A5198" s="2017"/>
      <c r="B5198" s="2018"/>
      <c r="C5198" s="2018"/>
      <c r="D5198" s="2018"/>
      <c r="E5198" s="2018"/>
      <c r="F5198" s="2018"/>
      <c r="G5198" s="2018"/>
      <c r="H5198" s="2018"/>
      <c r="I5198" s="2018"/>
      <c r="J5198" s="2018"/>
      <c r="K5198" s="2018"/>
      <c r="L5198" s="2018"/>
      <c r="M5198" s="2018"/>
      <c r="N5198" s="2018"/>
      <c r="O5198" s="2018"/>
      <c r="P5198" s="2018"/>
      <c r="Q5198" s="2018"/>
      <c r="R5198" s="2018"/>
      <c r="S5198" s="2018"/>
      <c r="T5198" s="2018"/>
      <c r="U5198" s="2018"/>
      <c r="V5198" s="2018"/>
      <c r="W5198" s="2018"/>
      <c r="X5198" s="2018"/>
      <c r="Y5198" s="2018"/>
      <c r="Z5198" s="2023"/>
      <c r="AA5198" s="2023"/>
      <c r="AB5198" s="1050"/>
      <c r="AC5198" s="1050"/>
      <c r="AD5198" s="1050"/>
      <c r="AE5198" s="1050"/>
      <c r="AF5198" s="1052"/>
    </row>
    <row r="5199" spans="1:32" ht="15.75" x14ac:dyDescent="0.25">
      <c r="A5199" s="2017"/>
      <c r="B5199" s="2018"/>
      <c r="C5199" s="2018"/>
      <c r="D5199" s="2018"/>
      <c r="E5199" s="2018"/>
      <c r="F5199" s="2018"/>
      <c r="G5199" s="2018"/>
      <c r="H5199" s="2018"/>
      <c r="I5199" s="2018"/>
      <c r="J5199" s="2018"/>
      <c r="K5199" s="2018"/>
      <c r="L5199" s="2018"/>
      <c r="M5199" s="2018"/>
      <c r="N5199" s="2018"/>
      <c r="O5199" s="2018"/>
      <c r="P5199" s="2018"/>
      <c r="Q5199" s="2018"/>
      <c r="R5199" s="2018"/>
      <c r="S5199" s="2018"/>
      <c r="T5199" s="2018"/>
      <c r="U5199" s="2018"/>
      <c r="V5199" s="2018"/>
      <c r="W5199" s="2018"/>
      <c r="X5199" s="2018"/>
      <c r="Y5199" s="2018"/>
      <c r="Z5199" s="2023"/>
      <c r="AA5199" s="2023"/>
      <c r="AB5199" s="1050"/>
      <c r="AC5199" s="1050"/>
      <c r="AD5199" s="1050"/>
      <c r="AE5199" s="1050"/>
      <c r="AF5199" s="1052"/>
    </row>
    <row r="5200" spans="1:32" ht="15.75" x14ac:dyDescent="0.25">
      <c r="A5200" s="2017"/>
      <c r="B5200" s="2018"/>
      <c r="C5200" s="2018"/>
      <c r="D5200" s="2018"/>
      <c r="E5200" s="2018"/>
      <c r="F5200" s="2018"/>
      <c r="G5200" s="2018"/>
      <c r="H5200" s="2018"/>
      <c r="I5200" s="2018"/>
      <c r="J5200" s="2018"/>
      <c r="K5200" s="2018"/>
      <c r="L5200" s="2018"/>
      <c r="M5200" s="2018"/>
      <c r="N5200" s="2018"/>
      <c r="O5200" s="2018"/>
      <c r="P5200" s="2018"/>
      <c r="Q5200" s="2018"/>
      <c r="R5200" s="2018"/>
      <c r="S5200" s="2018"/>
      <c r="T5200" s="2018"/>
      <c r="U5200" s="2018"/>
      <c r="V5200" s="2018"/>
      <c r="W5200" s="2018"/>
      <c r="X5200" s="2018"/>
      <c r="Y5200" s="2018"/>
      <c r="Z5200" s="2023"/>
      <c r="AA5200" s="2023"/>
      <c r="AB5200" s="1050"/>
      <c r="AC5200" s="1050"/>
      <c r="AD5200" s="1050"/>
      <c r="AE5200" s="1050"/>
      <c r="AF5200" s="1052"/>
    </row>
    <row r="5201" spans="1:32" ht="15.75" x14ac:dyDescent="0.25">
      <c r="A5201" s="2017"/>
      <c r="B5201" s="2018"/>
      <c r="C5201" s="2018"/>
      <c r="D5201" s="2018"/>
      <c r="E5201" s="2018"/>
      <c r="F5201" s="2018"/>
      <c r="G5201" s="2018"/>
      <c r="H5201" s="2018"/>
      <c r="I5201" s="2018"/>
      <c r="J5201" s="2018"/>
      <c r="K5201" s="2018"/>
      <c r="L5201" s="2018"/>
      <c r="M5201" s="2018"/>
      <c r="N5201" s="2018"/>
      <c r="O5201" s="2018"/>
      <c r="P5201" s="2018"/>
      <c r="Q5201" s="2018"/>
      <c r="R5201" s="2018"/>
      <c r="S5201" s="2018"/>
      <c r="T5201" s="2018"/>
      <c r="U5201" s="2018"/>
      <c r="V5201" s="2018"/>
      <c r="W5201" s="2018"/>
      <c r="X5201" s="2018"/>
      <c r="Y5201" s="2018"/>
      <c r="Z5201" s="2023"/>
      <c r="AA5201" s="2023"/>
      <c r="AB5201" s="1050"/>
      <c r="AC5201" s="1050"/>
      <c r="AD5201" s="1050"/>
      <c r="AE5201" s="1050"/>
      <c r="AF5201" s="1052"/>
    </row>
    <row r="5202" spans="1:32" ht="15.75" x14ac:dyDescent="0.25">
      <c r="A5202" s="2017"/>
      <c r="B5202" s="2018"/>
      <c r="C5202" s="2018"/>
      <c r="D5202" s="2018"/>
      <c r="E5202" s="2018"/>
      <c r="F5202" s="2018"/>
      <c r="G5202" s="2018"/>
      <c r="H5202" s="2018"/>
      <c r="I5202" s="2018"/>
      <c r="J5202" s="2018"/>
      <c r="K5202" s="2018"/>
      <c r="L5202" s="2018"/>
      <c r="M5202" s="2018"/>
      <c r="N5202" s="2018"/>
      <c r="O5202" s="2018"/>
      <c r="P5202" s="2018"/>
      <c r="Q5202" s="2018"/>
      <c r="R5202" s="2018"/>
      <c r="S5202" s="2018"/>
      <c r="T5202" s="2018"/>
      <c r="U5202" s="2018"/>
      <c r="V5202" s="2018"/>
      <c r="W5202" s="2018"/>
      <c r="X5202" s="2018"/>
      <c r="Y5202" s="2018"/>
      <c r="Z5202" s="2023"/>
      <c r="AA5202" s="2023"/>
      <c r="AB5202" s="1050"/>
      <c r="AC5202" s="1050"/>
      <c r="AD5202" s="1050"/>
      <c r="AE5202" s="1050"/>
      <c r="AF5202" s="1052"/>
    </row>
    <row r="5203" spans="1:32" ht="15.75" x14ac:dyDescent="0.25">
      <c r="A5203" s="2017"/>
      <c r="B5203" s="2018"/>
      <c r="C5203" s="2018"/>
      <c r="D5203" s="2018"/>
      <c r="E5203" s="2018"/>
      <c r="F5203" s="2018"/>
      <c r="G5203" s="2018"/>
      <c r="H5203" s="2018"/>
      <c r="I5203" s="2018"/>
      <c r="J5203" s="2018"/>
      <c r="K5203" s="2018"/>
      <c r="L5203" s="2018"/>
      <c r="M5203" s="2018"/>
      <c r="N5203" s="2018"/>
      <c r="O5203" s="2018"/>
      <c r="P5203" s="2018"/>
      <c r="Q5203" s="2018"/>
      <c r="R5203" s="2018"/>
      <c r="S5203" s="2018"/>
      <c r="T5203" s="2018"/>
      <c r="U5203" s="2018"/>
      <c r="V5203" s="2018"/>
      <c r="W5203" s="2018"/>
      <c r="X5203" s="2018"/>
      <c r="Y5203" s="2018"/>
      <c r="Z5203" s="2023"/>
      <c r="AA5203" s="2023"/>
      <c r="AB5203" s="1050"/>
      <c r="AC5203" s="1050"/>
      <c r="AD5203" s="1050"/>
      <c r="AE5203" s="1050"/>
      <c r="AF5203" s="1052"/>
    </row>
    <row r="5204" spans="1:32" ht="16.5" thickBot="1" x14ac:dyDescent="0.3">
      <c r="A5204" s="2019"/>
      <c r="B5204" s="2020"/>
      <c r="C5204" s="2020"/>
      <c r="D5204" s="2020"/>
      <c r="E5204" s="2020"/>
      <c r="F5204" s="2020"/>
      <c r="G5204" s="2020"/>
      <c r="H5204" s="2020"/>
      <c r="I5204" s="2020"/>
      <c r="J5204" s="2020"/>
      <c r="K5204" s="2020"/>
      <c r="L5204" s="2020"/>
      <c r="M5204" s="2020"/>
      <c r="N5204" s="2020"/>
      <c r="O5204" s="2020"/>
      <c r="P5204" s="2020"/>
      <c r="Q5204" s="2020"/>
      <c r="R5204" s="2020"/>
      <c r="S5204" s="2020"/>
      <c r="T5204" s="2020"/>
      <c r="U5204" s="2020"/>
      <c r="V5204" s="2020"/>
      <c r="W5204" s="2020"/>
      <c r="X5204" s="2020"/>
      <c r="Y5204" s="2020"/>
      <c r="Z5204" s="2024"/>
      <c r="AA5204" s="2024"/>
      <c r="AB5204" s="1057"/>
      <c r="AC5204" s="1057"/>
      <c r="AD5204" s="1057"/>
      <c r="AE5204" s="1057"/>
      <c r="AF5204" s="1058"/>
    </row>
    <row r="5205" spans="1:32" ht="15.75" x14ac:dyDescent="0.25">
      <c r="A5205" s="2009" t="s">
        <v>1855</v>
      </c>
      <c r="B5205" s="2010"/>
      <c r="C5205" s="2010"/>
      <c r="D5205" s="2010"/>
      <c r="E5205" s="2010"/>
      <c r="F5205" s="2010"/>
      <c r="G5205" s="2010"/>
      <c r="H5205" s="2010"/>
      <c r="I5205" s="2010"/>
      <c r="J5205" s="2010"/>
      <c r="K5205" s="2010"/>
      <c r="L5205" s="2010"/>
      <c r="M5205" s="2010"/>
      <c r="N5205" s="2010"/>
      <c r="O5205" s="2010"/>
      <c r="P5205" s="2010"/>
      <c r="Q5205" s="2010"/>
      <c r="R5205" s="2010"/>
      <c r="S5205" s="2010"/>
      <c r="T5205" s="2010"/>
      <c r="U5205" s="2010"/>
      <c r="V5205" s="2010"/>
      <c r="W5205" s="2010"/>
      <c r="X5205" s="2010"/>
      <c r="Y5205" s="2010"/>
      <c r="Z5205" s="2013" t="s">
        <v>1850</v>
      </c>
      <c r="AA5205" s="2013"/>
      <c r="AB5205" s="2013"/>
      <c r="AC5205" s="2013"/>
      <c r="AD5205" s="2013"/>
      <c r="AE5205" s="2013"/>
      <c r="AF5205" s="1059">
        <f>SUM(AF5181:AF5204)</f>
        <v>38747.43</v>
      </c>
    </row>
    <row r="5206" spans="1:32" ht="15.75" x14ac:dyDescent="0.25">
      <c r="A5206" s="2011"/>
      <c r="B5206" s="2012"/>
      <c r="C5206" s="2012"/>
      <c r="D5206" s="2012"/>
      <c r="E5206" s="2012"/>
      <c r="F5206" s="2012"/>
      <c r="G5206" s="2012"/>
      <c r="H5206" s="2012"/>
      <c r="I5206" s="2012"/>
      <c r="J5206" s="2012"/>
      <c r="K5206" s="2012"/>
      <c r="L5206" s="2012"/>
      <c r="M5206" s="2012"/>
      <c r="N5206" s="2012"/>
      <c r="O5206" s="2012"/>
      <c r="P5206" s="2012"/>
      <c r="Q5206" s="2012"/>
      <c r="R5206" s="2012"/>
      <c r="S5206" s="2012"/>
      <c r="T5206" s="2012"/>
      <c r="U5206" s="2012"/>
      <c r="V5206" s="2012"/>
      <c r="W5206" s="2012"/>
      <c r="X5206" s="2012"/>
      <c r="Y5206" s="2012"/>
      <c r="Z5206" s="2014" t="s">
        <v>1851</v>
      </c>
      <c r="AA5206" s="2014"/>
      <c r="AB5206" s="2014"/>
      <c r="AC5206" s="2014"/>
      <c r="AD5206" s="2014"/>
      <c r="AE5206" s="2014"/>
      <c r="AF5206" s="1060">
        <v>0</v>
      </c>
    </row>
    <row r="5207" spans="1:32" ht="15.75" x14ac:dyDescent="0.25">
      <c r="A5207" s="2011"/>
      <c r="B5207" s="2012"/>
      <c r="C5207" s="2012"/>
      <c r="D5207" s="2012"/>
      <c r="E5207" s="2012"/>
      <c r="F5207" s="2012"/>
      <c r="G5207" s="2012"/>
      <c r="H5207" s="2012"/>
      <c r="I5207" s="2012"/>
      <c r="J5207" s="2012"/>
      <c r="K5207" s="2012"/>
      <c r="L5207" s="2012"/>
      <c r="M5207" s="2012"/>
      <c r="N5207" s="2012"/>
      <c r="O5207" s="2012"/>
      <c r="P5207" s="2012"/>
      <c r="Q5207" s="2012"/>
      <c r="R5207" s="2012"/>
      <c r="S5207" s="2012"/>
      <c r="T5207" s="2012"/>
      <c r="U5207" s="2012"/>
      <c r="V5207" s="2012"/>
      <c r="W5207" s="2012"/>
      <c r="X5207" s="2012"/>
      <c r="Y5207" s="2012"/>
      <c r="Z5207" s="2015" t="s">
        <v>1833</v>
      </c>
      <c r="AA5207" s="2015"/>
      <c r="AB5207" s="2015"/>
      <c r="AC5207" s="2015"/>
      <c r="AD5207" s="2015"/>
      <c r="AE5207" s="2015"/>
      <c r="AF5207" s="1061">
        <f>SUM(AF5205:AF5206)</f>
        <v>38747.43</v>
      </c>
    </row>
    <row r="5208" spans="1:32" x14ac:dyDescent="0.2">
      <c r="A5208" s="2012" t="s">
        <v>1859</v>
      </c>
      <c r="B5208" s="2012"/>
      <c r="C5208" s="2012"/>
      <c r="D5208" s="2012"/>
      <c r="E5208" s="2012"/>
      <c r="F5208" s="2012"/>
      <c r="G5208" s="2012"/>
      <c r="H5208" s="2012"/>
      <c r="I5208" s="2012"/>
      <c r="J5208" s="2012"/>
      <c r="K5208" s="2012"/>
      <c r="L5208" s="2012"/>
      <c r="M5208" s="2012"/>
      <c r="N5208" s="2012"/>
      <c r="O5208" s="2012"/>
      <c r="P5208" s="2012"/>
      <c r="Q5208" s="2012"/>
      <c r="R5208" s="2012"/>
      <c r="S5208" s="2012"/>
      <c r="T5208" s="2016" t="s">
        <v>1840</v>
      </c>
      <c r="U5208" s="2016"/>
      <c r="V5208" s="2016"/>
      <c r="W5208" s="2016"/>
      <c r="X5208" s="2016"/>
      <c r="Y5208" s="2016"/>
      <c r="Z5208" s="2016"/>
      <c r="AA5208" s="2016"/>
      <c r="AB5208" s="2012" t="s">
        <v>1852</v>
      </c>
      <c r="AC5208" s="2012"/>
      <c r="AD5208" s="2012"/>
      <c r="AE5208" s="2012"/>
      <c r="AF5208" s="2012"/>
    </row>
    <row r="5209" spans="1:32" x14ac:dyDescent="0.2">
      <c r="A5209" s="2012"/>
      <c r="B5209" s="2012"/>
      <c r="C5209" s="2012"/>
      <c r="D5209" s="2012"/>
      <c r="E5209" s="2012"/>
      <c r="F5209" s="2012"/>
      <c r="G5209" s="2012"/>
      <c r="H5209" s="2012"/>
      <c r="I5209" s="2012"/>
      <c r="J5209" s="2012"/>
      <c r="K5209" s="2012"/>
      <c r="L5209" s="2012"/>
      <c r="M5209" s="2012"/>
      <c r="N5209" s="2012"/>
      <c r="O5209" s="2012"/>
      <c r="P5209" s="2012"/>
      <c r="Q5209" s="2012"/>
      <c r="R5209" s="2012"/>
      <c r="S5209" s="2012"/>
      <c r="T5209" s="2016"/>
      <c r="U5209" s="2016"/>
      <c r="V5209" s="2016"/>
      <c r="W5209" s="2016"/>
      <c r="X5209" s="2016"/>
      <c r="Y5209" s="2016"/>
      <c r="Z5209" s="2016"/>
      <c r="AA5209" s="2016"/>
      <c r="AB5209" s="2012"/>
      <c r="AC5209" s="2012"/>
      <c r="AD5209" s="2012"/>
      <c r="AE5209" s="2012"/>
      <c r="AF5209" s="2012"/>
    </row>
    <row r="5210" spans="1:32" ht="13.5" thickBot="1" x14ac:dyDescent="0.25"/>
    <row r="5211" spans="1:32" ht="26.45" customHeight="1" x14ac:dyDescent="0.2">
      <c r="A5211" s="2025" t="s">
        <v>1854</v>
      </c>
      <c r="B5211" s="2026"/>
      <c r="C5211" s="2026"/>
      <c r="D5211" s="2026"/>
      <c r="E5211" s="2026"/>
      <c r="F5211" s="2026"/>
      <c r="G5211" s="2026"/>
      <c r="H5211" s="2026"/>
      <c r="I5211" s="2026"/>
      <c r="J5211" s="2026"/>
      <c r="K5211" s="2026"/>
      <c r="L5211" s="2026"/>
      <c r="M5211" s="2026"/>
      <c r="N5211" s="2026"/>
      <c r="O5211" s="2026"/>
      <c r="P5211" s="2026"/>
      <c r="Q5211" s="2026"/>
      <c r="R5211" s="2026"/>
      <c r="S5211" s="2026"/>
      <c r="T5211" s="2026"/>
      <c r="U5211" s="2026"/>
      <c r="V5211" s="2026"/>
      <c r="W5211" s="2026"/>
      <c r="X5211" s="2026"/>
      <c r="Y5211" s="2026"/>
      <c r="Z5211" s="2026"/>
      <c r="AA5211" s="2026"/>
      <c r="AB5211" s="2026"/>
      <c r="AC5211" s="2026"/>
      <c r="AD5211" s="2026"/>
      <c r="AE5211" s="1041" t="s">
        <v>1834</v>
      </c>
      <c r="AF5211" s="1042" t="s">
        <v>1835</v>
      </c>
    </row>
    <row r="5212" spans="1:32" ht="21" customHeight="1" thickBot="1" x14ac:dyDescent="0.25">
      <c r="A5212" s="2027"/>
      <c r="B5212" s="2028"/>
      <c r="C5212" s="2028"/>
      <c r="D5212" s="2028"/>
      <c r="E5212" s="2028"/>
      <c r="F5212" s="2028"/>
      <c r="G5212" s="2028"/>
      <c r="H5212" s="2028"/>
      <c r="I5212" s="2028"/>
      <c r="J5212" s="2028"/>
      <c r="K5212" s="2028"/>
      <c r="L5212" s="2028"/>
      <c r="M5212" s="2028"/>
      <c r="N5212" s="2028"/>
      <c r="O5212" s="2028"/>
      <c r="P5212" s="2028"/>
      <c r="Q5212" s="2028"/>
      <c r="R5212" s="2028"/>
      <c r="S5212" s="2028"/>
      <c r="T5212" s="2028"/>
      <c r="U5212" s="2028"/>
      <c r="V5212" s="2028"/>
      <c r="W5212" s="2028"/>
      <c r="X5212" s="2028"/>
      <c r="Y5212" s="2028"/>
      <c r="Z5212" s="2028"/>
      <c r="AA5212" s="2028"/>
      <c r="AB5212" s="2028"/>
      <c r="AC5212" s="2028"/>
      <c r="AD5212" s="2028"/>
      <c r="AE5212" s="1041" t="s">
        <v>1836</v>
      </c>
      <c r="AF5212" s="1044">
        <v>1</v>
      </c>
    </row>
    <row r="5213" spans="1:32" ht="15.75" x14ac:dyDescent="0.2">
      <c r="A5213" s="2029"/>
      <c r="B5213" s="2030"/>
      <c r="C5213" s="2030"/>
      <c r="D5213" s="2031"/>
      <c r="E5213" s="2025" t="str">
        <f>'01'!$A$12</f>
        <v>"CONSTRUCCION SISTEMA DE ACUEDUCTO FASE II DEL MUNICIPIO DE TESALIA DPTO DEL HUILA"</v>
      </c>
      <c r="F5213" s="2026"/>
      <c r="G5213" s="2026"/>
      <c r="H5213" s="2026"/>
      <c r="I5213" s="2026"/>
      <c r="J5213" s="2026"/>
      <c r="K5213" s="2026"/>
      <c r="L5213" s="2026"/>
      <c r="M5213" s="2026"/>
      <c r="N5213" s="2026"/>
      <c r="O5213" s="2026"/>
      <c r="P5213" s="2026"/>
      <c r="Q5213" s="2026"/>
      <c r="R5213" s="2026"/>
      <c r="S5213" s="2026"/>
      <c r="T5213" s="2026"/>
      <c r="U5213" s="2026"/>
      <c r="V5213" s="2026"/>
      <c r="W5213" s="2026"/>
      <c r="X5213" s="2026"/>
      <c r="Y5213" s="2026"/>
      <c r="Z5213" s="2026"/>
      <c r="AA5213" s="2026"/>
      <c r="AB5213" s="2026"/>
      <c r="AC5213" s="2026"/>
      <c r="AD5213" s="2035"/>
      <c r="AE5213" s="1041" t="s">
        <v>847</v>
      </c>
      <c r="AF5213" s="1045">
        <f>'01'!$M$13</f>
        <v>0</v>
      </c>
    </row>
    <row r="5214" spans="1:32" ht="16.5" thickBot="1" x14ac:dyDescent="0.25">
      <c r="A5214" s="2032"/>
      <c r="B5214" s="2033"/>
      <c r="C5214" s="2033"/>
      <c r="D5214" s="2034"/>
      <c r="E5214" s="2027"/>
      <c r="F5214" s="2028"/>
      <c r="G5214" s="2028"/>
      <c r="H5214" s="2028"/>
      <c r="I5214" s="2028"/>
      <c r="J5214" s="2028"/>
      <c r="K5214" s="2028"/>
      <c r="L5214" s="2028"/>
      <c r="M5214" s="2028"/>
      <c r="N5214" s="2028"/>
      <c r="O5214" s="2028"/>
      <c r="P5214" s="2028"/>
      <c r="Q5214" s="2028"/>
      <c r="R5214" s="2028"/>
      <c r="S5214" s="2028"/>
      <c r="T5214" s="2028"/>
      <c r="U5214" s="2028"/>
      <c r="V5214" s="2028"/>
      <c r="W5214" s="2028"/>
      <c r="X5214" s="2028"/>
      <c r="Y5214" s="2028"/>
      <c r="Z5214" s="2028"/>
      <c r="AA5214" s="2028"/>
      <c r="AB5214" s="2028"/>
      <c r="AC5214" s="2028"/>
      <c r="AD5214" s="2036"/>
      <c r="AE5214" s="1041" t="s">
        <v>1837</v>
      </c>
      <c r="AF5214" s="1042" t="s">
        <v>1838</v>
      </c>
    </row>
    <row r="5215" spans="1:32" ht="15.75" x14ac:dyDescent="0.25">
      <c r="A5215" s="2037" t="s">
        <v>1860</v>
      </c>
      <c r="B5215" s="2038"/>
      <c r="C5215" s="2038"/>
      <c r="D5215" s="2038"/>
      <c r="E5215" s="2038"/>
      <c r="F5215" s="2038"/>
      <c r="G5215" s="2038"/>
      <c r="H5215" s="2038"/>
      <c r="I5215" s="2038"/>
      <c r="J5215" s="2038"/>
      <c r="K5215" s="2038"/>
      <c r="L5215" s="2038"/>
      <c r="M5215" s="2038"/>
      <c r="N5215" s="2038"/>
      <c r="O5215" s="2038"/>
      <c r="P5215" s="2038"/>
      <c r="Q5215" s="2038"/>
      <c r="R5215" s="2038"/>
      <c r="S5215" s="2038"/>
      <c r="T5215" s="2038"/>
      <c r="U5215" s="2038"/>
      <c r="V5215" s="2038"/>
      <c r="W5215" s="2038"/>
      <c r="X5215" s="2038"/>
      <c r="Y5215" s="2038"/>
      <c r="Z5215" s="2038"/>
      <c r="AA5215" s="2038"/>
      <c r="AB5215" s="2038"/>
      <c r="AC5215" s="2038"/>
      <c r="AD5215" s="2038"/>
      <c r="AE5215" s="2039" t="s">
        <v>1839</v>
      </c>
      <c r="AF5215" s="2040"/>
    </row>
    <row r="5216" spans="1:32" ht="15.75" x14ac:dyDescent="0.25">
      <c r="A5216" s="2041" t="s">
        <v>1840</v>
      </c>
      <c r="B5216" s="2042"/>
      <c r="C5216" s="2042"/>
      <c r="D5216" s="2042"/>
      <c r="E5216" s="2042"/>
      <c r="F5216" s="2042"/>
      <c r="G5216" s="2042"/>
      <c r="H5216" s="2042"/>
      <c r="I5216" s="2042"/>
      <c r="J5216" s="2042"/>
      <c r="K5216" s="2042"/>
      <c r="L5216" s="2042"/>
      <c r="M5216" s="2042"/>
      <c r="N5216" s="2042"/>
      <c r="O5216" s="2042"/>
      <c r="P5216" s="2042"/>
      <c r="Q5216" s="2042"/>
      <c r="R5216" s="2042"/>
      <c r="S5216" s="2042"/>
      <c r="T5216" s="2042"/>
      <c r="U5216" s="2042"/>
      <c r="V5216" s="2042"/>
      <c r="W5216" s="2042"/>
      <c r="X5216" s="2042"/>
      <c r="Y5216" s="2042"/>
      <c r="Z5216" s="2042"/>
      <c r="AA5216" s="2042"/>
      <c r="AB5216" s="2042"/>
      <c r="AC5216" s="2042"/>
      <c r="AD5216" s="2043"/>
      <c r="AE5216" s="2014" t="s">
        <v>1841</v>
      </c>
      <c r="AF5216" s="2044"/>
    </row>
    <row r="5217" spans="1:32" ht="15.75" x14ac:dyDescent="0.25">
      <c r="A5217" s="2045" t="s">
        <v>1853</v>
      </c>
      <c r="B5217" s="2046"/>
      <c r="C5217" s="2046"/>
      <c r="D5217" s="2046"/>
      <c r="E5217" s="2046"/>
      <c r="F5217" s="2046"/>
      <c r="G5217" s="2046"/>
      <c r="H5217" s="2046"/>
      <c r="I5217" s="2046"/>
      <c r="J5217" s="2046"/>
      <c r="K5217" s="2046"/>
      <c r="L5217" s="2046"/>
      <c r="M5217" s="2046"/>
      <c r="N5217" s="2046"/>
      <c r="O5217" s="2046"/>
      <c r="P5217" s="2046"/>
      <c r="Q5217" s="2046"/>
      <c r="R5217" s="2046"/>
      <c r="S5217" s="2046"/>
      <c r="T5217" s="2046"/>
      <c r="U5217" s="2046"/>
      <c r="V5217" s="2046"/>
      <c r="W5217" s="2046"/>
      <c r="X5217" s="2046"/>
      <c r="Y5217" s="2046"/>
      <c r="Z5217" s="2046"/>
      <c r="AA5217" s="2046"/>
      <c r="AB5217" s="2046"/>
      <c r="AC5217" s="2046"/>
      <c r="AD5217" s="2046"/>
      <c r="AE5217" s="2047">
        <f>'01'!$M$13</f>
        <v>0</v>
      </c>
      <c r="AF5217" s="2044"/>
    </row>
    <row r="5218" spans="1:32" x14ac:dyDescent="0.2">
      <c r="A5218" s="1046"/>
      <c r="B5218" s="1047"/>
      <c r="C5218" s="1047"/>
      <c r="D5218" s="1047"/>
      <c r="E5218" s="1047"/>
      <c r="F5218" s="1047"/>
      <c r="G5218" s="1047"/>
      <c r="H5218" s="1047"/>
      <c r="I5218" s="1047"/>
      <c r="J5218" s="1047"/>
      <c r="K5218" s="1047"/>
      <c r="L5218" s="1047"/>
      <c r="M5218" s="1047"/>
      <c r="N5218" s="1047"/>
      <c r="O5218" s="1047"/>
      <c r="P5218" s="1047"/>
      <c r="Q5218" s="1047"/>
      <c r="R5218" s="1047"/>
      <c r="S5218" s="1047"/>
      <c r="T5218" s="1047"/>
      <c r="U5218" s="1047"/>
      <c r="V5218" s="1047"/>
      <c r="W5218" s="1047"/>
      <c r="X5218" s="1047"/>
      <c r="Y5218" s="1047"/>
      <c r="Z5218" s="1047"/>
      <c r="AA5218" s="1047"/>
      <c r="AB5218" s="1047"/>
      <c r="AC5218" s="1047"/>
      <c r="AD5218" s="1047"/>
      <c r="AE5218" s="1047"/>
      <c r="AF5218" s="1048"/>
    </row>
    <row r="5219" spans="1:32" ht="30" customHeight="1" x14ac:dyDescent="0.2">
      <c r="A5219" s="2048" t="s">
        <v>1842</v>
      </c>
      <c r="B5219" s="2049"/>
      <c r="C5219" s="2049"/>
      <c r="D5219" s="2049"/>
      <c r="E5219" s="2049"/>
      <c r="F5219" s="2050" t="str">
        <f>+'01'!$H$201</f>
        <v>H - TANQUE DE ALMACENAMIENTO</v>
      </c>
      <c r="G5219" s="2049"/>
      <c r="H5219" s="2049"/>
      <c r="I5219" s="2049"/>
      <c r="J5219" s="2049"/>
      <c r="K5219" s="2049"/>
      <c r="L5219" s="2049"/>
      <c r="M5219" s="2049"/>
      <c r="N5219" s="2049"/>
      <c r="O5219" s="2049"/>
      <c r="P5219" s="2049"/>
      <c r="Q5219" s="2049"/>
      <c r="R5219" s="2049"/>
      <c r="S5219" s="2049"/>
      <c r="T5219" s="2049"/>
      <c r="U5219" s="2049"/>
      <c r="V5219" s="2049"/>
      <c r="W5219" s="2049"/>
      <c r="X5219" s="2049"/>
      <c r="Y5219" s="2051"/>
      <c r="Z5219" s="2052" t="s">
        <v>1843</v>
      </c>
      <c r="AA5219" s="2053"/>
      <c r="AB5219" s="2058" t="s">
        <v>1844</v>
      </c>
      <c r="AC5219" s="2059"/>
      <c r="AD5219" s="2060"/>
      <c r="AE5219" s="2064" t="s">
        <v>1845</v>
      </c>
      <c r="AF5219" s="2067" t="s">
        <v>1846</v>
      </c>
    </row>
    <row r="5220" spans="1:32" ht="15" customHeight="1" x14ac:dyDescent="0.2">
      <c r="A5220" s="2070" t="str">
        <f>+'01'!A219</f>
        <v>H-07-01</v>
      </c>
      <c r="B5220" s="2071"/>
      <c r="C5220" s="2072"/>
      <c r="D5220" s="2076" t="str">
        <f>VLOOKUP(A5220,'01'!$A$12:$N$299,3,FALSE)</f>
        <v>SUMINISTRO E INSTALACIÓN DE TUBERIA PVC UNION MECANICA DE 8". PRESIÓN DE TRABAJO 200 PSI.</v>
      </c>
      <c r="E5220" s="2077"/>
      <c r="F5220" s="2077"/>
      <c r="G5220" s="2077"/>
      <c r="H5220" s="2077"/>
      <c r="I5220" s="2077"/>
      <c r="J5220" s="2077"/>
      <c r="K5220" s="2077"/>
      <c r="L5220" s="2077"/>
      <c r="M5220" s="2077"/>
      <c r="N5220" s="2077"/>
      <c r="O5220" s="2077"/>
      <c r="P5220" s="2077"/>
      <c r="Q5220" s="2077"/>
      <c r="R5220" s="2077"/>
      <c r="S5220" s="2078"/>
      <c r="T5220" s="2082" t="s">
        <v>124</v>
      </c>
      <c r="U5220" s="2083"/>
      <c r="V5220" s="2083"/>
      <c r="W5220" s="2083"/>
      <c r="X5220" s="2052" t="str">
        <f>VLOOKUP(A5220,'01'!$A$12:$N$299,9,FALSE)</f>
        <v>ML</v>
      </c>
      <c r="Y5220" s="2053"/>
      <c r="Z5220" s="2054"/>
      <c r="AA5220" s="2055"/>
      <c r="AB5220" s="2061"/>
      <c r="AC5220" s="2062"/>
      <c r="AD5220" s="2063"/>
      <c r="AE5220" s="2065"/>
      <c r="AF5220" s="2068"/>
    </row>
    <row r="5221" spans="1:32" ht="15" customHeight="1" x14ac:dyDescent="0.25">
      <c r="A5221" s="2073"/>
      <c r="B5221" s="2074"/>
      <c r="C5221" s="2075"/>
      <c r="D5221" s="2079"/>
      <c r="E5221" s="2080"/>
      <c r="F5221" s="2080"/>
      <c r="G5221" s="2080"/>
      <c r="H5221" s="2080"/>
      <c r="I5221" s="2080"/>
      <c r="J5221" s="2080"/>
      <c r="K5221" s="2080"/>
      <c r="L5221" s="2080"/>
      <c r="M5221" s="2080"/>
      <c r="N5221" s="2080"/>
      <c r="O5221" s="2080"/>
      <c r="P5221" s="2080"/>
      <c r="Q5221" s="2080"/>
      <c r="R5221" s="2080"/>
      <c r="S5221" s="2081"/>
      <c r="T5221" s="2084"/>
      <c r="U5221" s="2085"/>
      <c r="V5221" s="2085"/>
      <c r="W5221" s="2085"/>
      <c r="X5221" s="2056"/>
      <c r="Y5221" s="2057"/>
      <c r="Z5221" s="2056"/>
      <c r="AA5221" s="2057"/>
      <c r="AB5221" s="1049" t="s">
        <v>1847</v>
      </c>
      <c r="AC5221" s="1049" t="s">
        <v>1848</v>
      </c>
      <c r="AD5221" s="1049" t="s">
        <v>1861</v>
      </c>
      <c r="AE5221" s="2066"/>
      <c r="AF5221" s="2069"/>
    </row>
    <row r="5222" spans="1:32" ht="15.6" customHeight="1" x14ac:dyDescent="0.25">
      <c r="A5222" s="2017"/>
      <c r="B5222" s="2018"/>
      <c r="C5222" s="2018"/>
      <c r="D5222" s="2018"/>
      <c r="E5222" s="2018"/>
      <c r="F5222" s="2018"/>
      <c r="G5222" s="2018"/>
      <c r="H5222" s="2018"/>
      <c r="I5222" s="2018"/>
      <c r="J5222" s="2018"/>
      <c r="K5222" s="2018"/>
      <c r="L5222" s="2018"/>
      <c r="M5222" s="2018"/>
      <c r="N5222" s="2018"/>
      <c r="O5222" s="2018"/>
      <c r="P5222" s="2018"/>
      <c r="Q5222" s="2018"/>
      <c r="R5222" s="2018"/>
      <c r="S5222" s="2018"/>
      <c r="T5222" s="2018"/>
      <c r="U5222" s="2018"/>
      <c r="V5222" s="2018"/>
      <c r="W5222" s="2018"/>
      <c r="X5222" s="2018"/>
      <c r="Y5222" s="2018"/>
      <c r="Z5222" s="2021" t="s">
        <v>2525</v>
      </c>
      <c r="AA5222" s="2021"/>
      <c r="AB5222" s="1050">
        <f>35+15</f>
        <v>50</v>
      </c>
      <c r="AC5222" s="1050"/>
      <c r="AD5222" s="1050"/>
      <c r="AE5222" s="1050">
        <v>1</v>
      </c>
      <c r="AF5222" s="1052">
        <f>+ROUND(AB5222*AE5222,2)</f>
        <v>50</v>
      </c>
    </row>
    <row r="5223" spans="1:32" ht="15.6" customHeight="1" x14ac:dyDescent="0.25">
      <c r="A5223" s="2017"/>
      <c r="B5223" s="2018"/>
      <c r="C5223" s="2018"/>
      <c r="D5223" s="2018"/>
      <c r="E5223" s="2018"/>
      <c r="F5223" s="2018"/>
      <c r="G5223" s="2018"/>
      <c r="H5223" s="2018"/>
      <c r="I5223" s="2018"/>
      <c r="J5223" s="2018"/>
      <c r="K5223" s="2018"/>
      <c r="L5223" s="2018"/>
      <c r="M5223" s="2018"/>
      <c r="N5223" s="2018"/>
      <c r="O5223" s="2018"/>
      <c r="P5223" s="2018"/>
      <c r="Q5223" s="2018"/>
      <c r="R5223" s="2018"/>
      <c r="S5223" s="2018"/>
      <c r="T5223" s="2018"/>
      <c r="U5223" s="2018"/>
      <c r="V5223" s="2018"/>
      <c r="W5223" s="2018"/>
      <c r="X5223" s="2018"/>
      <c r="Y5223" s="2018"/>
      <c r="Z5223" s="2021" t="s">
        <v>2457</v>
      </c>
      <c r="AA5223" s="2021"/>
      <c r="AB5223" s="1050">
        <f>20+2</f>
        <v>22</v>
      </c>
      <c r="AC5223" s="1050"/>
      <c r="AD5223" s="1050"/>
      <c r="AE5223" s="1050">
        <v>1</v>
      </c>
      <c r="AF5223" s="1052">
        <f t="shared" ref="AF5223:AF5224" si="70">+ROUND(AB5223*AE5223,2)</f>
        <v>22</v>
      </c>
    </row>
    <row r="5224" spans="1:32" ht="15.75" x14ac:dyDescent="0.25">
      <c r="A5224" s="2017"/>
      <c r="B5224" s="2018"/>
      <c r="C5224" s="2018"/>
      <c r="D5224" s="2018"/>
      <c r="E5224" s="2018"/>
      <c r="F5224" s="2018"/>
      <c r="G5224" s="2018"/>
      <c r="H5224" s="2018"/>
      <c r="I5224" s="2018"/>
      <c r="J5224" s="2018"/>
      <c r="K5224" s="2018"/>
      <c r="L5224" s="2018"/>
      <c r="M5224" s="2018"/>
      <c r="N5224" s="2018"/>
      <c r="O5224" s="2018"/>
      <c r="P5224" s="2018"/>
      <c r="Q5224" s="2018"/>
      <c r="R5224" s="2018"/>
      <c r="S5224" s="2018"/>
      <c r="T5224" s="2018"/>
      <c r="U5224" s="2018"/>
      <c r="V5224" s="2018"/>
      <c r="W5224" s="2018"/>
      <c r="X5224" s="2018"/>
      <c r="Y5224" s="2018"/>
      <c r="Z5224" s="2021" t="s">
        <v>2526</v>
      </c>
      <c r="AA5224" s="2021"/>
      <c r="AB5224" s="1050">
        <f>15+2+1</f>
        <v>18</v>
      </c>
      <c r="AC5224" s="1050"/>
      <c r="AD5224" s="1050"/>
      <c r="AE5224" s="1050">
        <v>1</v>
      </c>
      <c r="AF5224" s="1052">
        <f t="shared" si="70"/>
        <v>18</v>
      </c>
    </row>
    <row r="5225" spans="1:32" ht="15.75" x14ac:dyDescent="0.25">
      <c r="A5225" s="2017"/>
      <c r="B5225" s="2018"/>
      <c r="C5225" s="2018"/>
      <c r="D5225" s="2018"/>
      <c r="E5225" s="2018"/>
      <c r="F5225" s="2018"/>
      <c r="G5225" s="2018"/>
      <c r="H5225" s="2018"/>
      <c r="I5225" s="2018"/>
      <c r="J5225" s="2018"/>
      <c r="K5225" s="2018"/>
      <c r="L5225" s="2018"/>
      <c r="M5225" s="2018"/>
      <c r="N5225" s="2018"/>
      <c r="O5225" s="2018"/>
      <c r="P5225" s="2018"/>
      <c r="Q5225" s="2018"/>
      <c r="R5225" s="2018"/>
      <c r="S5225" s="2018"/>
      <c r="T5225" s="2018"/>
      <c r="U5225" s="2018"/>
      <c r="V5225" s="2018"/>
      <c r="W5225" s="2018"/>
      <c r="X5225" s="2018"/>
      <c r="Y5225" s="2018"/>
      <c r="Z5225" s="2022"/>
      <c r="AA5225" s="2022"/>
      <c r="AB5225" s="1050"/>
      <c r="AC5225" s="1050"/>
      <c r="AD5225" s="1050"/>
      <c r="AE5225" s="1050"/>
      <c r="AF5225" s="1052"/>
    </row>
    <row r="5226" spans="1:32" ht="15.6" customHeight="1" x14ac:dyDescent="0.25">
      <c r="A5226" s="2017"/>
      <c r="B5226" s="2018"/>
      <c r="C5226" s="2018"/>
      <c r="D5226" s="2018"/>
      <c r="E5226" s="2018"/>
      <c r="F5226" s="2018"/>
      <c r="G5226" s="2018"/>
      <c r="H5226" s="2018"/>
      <c r="I5226" s="2018"/>
      <c r="J5226" s="2018"/>
      <c r="K5226" s="2018"/>
      <c r="L5226" s="2018"/>
      <c r="M5226" s="2018"/>
      <c r="N5226" s="2018"/>
      <c r="O5226" s="2018"/>
      <c r="P5226" s="2018"/>
      <c r="Q5226" s="2018"/>
      <c r="R5226" s="2018"/>
      <c r="S5226" s="2018"/>
      <c r="T5226" s="2018"/>
      <c r="U5226" s="2018"/>
      <c r="V5226" s="2018"/>
      <c r="W5226" s="2018"/>
      <c r="X5226" s="2018"/>
      <c r="Y5226" s="2018"/>
      <c r="Z5226" s="2022"/>
      <c r="AA5226" s="2022"/>
      <c r="AB5226" s="1050"/>
      <c r="AC5226" s="1050"/>
      <c r="AD5226" s="1050"/>
      <c r="AE5226" s="1050"/>
      <c r="AF5226" s="1052"/>
    </row>
    <row r="5227" spans="1:32" ht="15.75" x14ac:dyDescent="0.25">
      <c r="A5227" s="2017"/>
      <c r="B5227" s="2018"/>
      <c r="C5227" s="2018"/>
      <c r="D5227" s="2018"/>
      <c r="E5227" s="2018"/>
      <c r="F5227" s="2018"/>
      <c r="G5227" s="2018"/>
      <c r="H5227" s="2018"/>
      <c r="I5227" s="2018"/>
      <c r="J5227" s="2018"/>
      <c r="K5227" s="2018"/>
      <c r="L5227" s="2018"/>
      <c r="M5227" s="2018"/>
      <c r="N5227" s="2018"/>
      <c r="O5227" s="2018"/>
      <c r="P5227" s="2018"/>
      <c r="Q5227" s="2018"/>
      <c r="R5227" s="2018"/>
      <c r="S5227" s="2018"/>
      <c r="T5227" s="2018"/>
      <c r="U5227" s="2018"/>
      <c r="V5227" s="2018"/>
      <c r="W5227" s="2018"/>
      <c r="X5227" s="2018"/>
      <c r="Y5227" s="2018"/>
      <c r="Z5227" s="2022"/>
      <c r="AA5227" s="2022"/>
      <c r="AB5227" s="1050"/>
      <c r="AC5227" s="1050"/>
      <c r="AD5227" s="1050"/>
      <c r="AE5227" s="1050"/>
      <c r="AF5227" s="1052"/>
    </row>
    <row r="5228" spans="1:32" ht="15.75" x14ac:dyDescent="0.25">
      <c r="A5228" s="2017"/>
      <c r="B5228" s="2018"/>
      <c r="C5228" s="2018"/>
      <c r="D5228" s="2018"/>
      <c r="E5228" s="2018"/>
      <c r="F5228" s="2018"/>
      <c r="G5228" s="2018"/>
      <c r="H5228" s="2018"/>
      <c r="I5228" s="2018"/>
      <c r="J5228" s="2018"/>
      <c r="K5228" s="2018"/>
      <c r="L5228" s="2018"/>
      <c r="M5228" s="2018"/>
      <c r="N5228" s="2018"/>
      <c r="O5228" s="2018"/>
      <c r="P5228" s="2018"/>
      <c r="Q5228" s="2018"/>
      <c r="R5228" s="2018"/>
      <c r="S5228" s="2018"/>
      <c r="T5228" s="2018"/>
      <c r="U5228" s="2018"/>
      <c r="V5228" s="2018"/>
      <c r="W5228" s="2018"/>
      <c r="X5228" s="2018"/>
      <c r="Y5228" s="2018"/>
      <c r="Z5228" s="2022"/>
      <c r="AA5228" s="2022"/>
      <c r="AB5228" s="1050"/>
      <c r="AC5228" s="1050"/>
      <c r="AD5228" s="1050"/>
      <c r="AE5228" s="1050"/>
      <c r="AF5228" s="1052"/>
    </row>
    <row r="5229" spans="1:32" ht="15.6" customHeight="1" x14ac:dyDescent="0.25">
      <c r="A5229" s="2017"/>
      <c r="B5229" s="2018"/>
      <c r="C5229" s="2018"/>
      <c r="D5229" s="2018"/>
      <c r="E5229" s="2018"/>
      <c r="F5229" s="2018"/>
      <c r="G5229" s="2018"/>
      <c r="H5229" s="2018"/>
      <c r="I5229" s="2018"/>
      <c r="J5229" s="2018"/>
      <c r="K5229" s="2018"/>
      <c r="L5229" s="2018"/>
      <c r="M5229" s="2018"/>
      <c r="N5229" s="2018"/>
      <c r="O5229" s="2018"/>
      <c r="P5229" s="2018"/>
      <c r="Q5229" s="2018"/>
      <c r="R5229" s="2018"/>
      <c r="S5229" s="2018"/>
      <c r="T5229" s="2018"/>
      <c r="U5229" s="2018"/>
      <c r="V5229" s="2018"/>
      <c r="W5229" s="2018"/>
      <c r="X5229" s="2018"/>
      <c r="Y5229" s="2018"/>
      <c r="Z5229" s="2022"/>
      <c r="AA5229" s="2022"/>
      <c r="AB5229" s="1050"/>
      <c r="AC5229" s="1050"/>
      <c r="AD5229" s="1050"/>
      <c r="AE5229" s="1050"/>
      <c r="AF5229" s="1052"/>
    </row>
    <row r="5230" spans="1:32" ht="15.75" x14ac:dyDescent="0.25">
      <c r="A5230" s="2017"/>
      <c r="B5230" s="2018"/>
      <c r="C5230" s="2018"/>
      <c r="D5230" s="2018"/>
      <c r="E5230" s="2018"/>
      <c r="F5230" s="2018"/>
      <c r="G5230" s="2018"/>
      <c r="H5230" s="2018"/>
      <c r="I5230" s="2018"/>
      <c r="J5230" s="2018"/>
      <c r="K5230" s="2018"/>
      <c r="L5230" s="2018"/>
      <c r="M5230" s="2018"/>
      <c r="N5230" s="2018"/>
      <c r="O5230" s="2018"/>
      <c r="P5230" s="2018"/>
      <c r="Q5230" s="2018"/>
      <c r="R5230" s="2018"/>
      <c r="S5230" s="2018"/>
      <c r="T5230" s="2018"/>
      <c r="U5230" s="2018"/>
      <c r="V5230" s="2018"/>
      <c r="W5230" s="2018"/>
      <c r="X5230" s="2018"/>
      <c r="Y5230" s="2018"/>
      <c r="Z5230" s="2022"/>
      <c r="AA5230" s="2022"/>
      <c r="AB5230" s="1050"/>
      <c r="AC5230" s="1050"/>
      <c r="AD5230" s="1050"/>
      <c r="AE5230" s="1050"/>
      <c r="AF5230" s="1052"/>
    </row>
    <row r="5231" spans="1:32" ht="15.75" x14ac:dyDescent="0.25">
      <c r="A5231" s="2017"/>
      <c r="B5231" s="2018"/>
      <c r="C5231" s="2018"/>
      <c r="D5231" s="2018"/>
      <c r="E5231" s="2018"/>
      <c r="F5231" s="2018"/>
      <c r="G5231" s="2018"/>
      <c r="H5231" s="2018"/>
      <c r="I5231" s="2018"/>
      <c r="J5231" s="2018"/>
      <c r="K5231" s="2018"/>
      <c r="L5231" s="2018"/>
      <c r="M5231" s="2018"/>
      <c r="N5231" s="2018"/>
      <c r="O5231" s="2018"/>
      <c r="P5231" s="2018"/>
      <c r="Q5231" s="2018"/>
      <c r="R5231" s="2018"/>
      <c r="S5231" s="2018"/>
      <c r="T5231" s="2018"/>
      <c r="U5231" s="2018"/>
      <c r="V5231" s="2018"/>
      <c r="W5231" s="2018"/>
      <c r="X5231" s="2018"/>
      <c r="Y5231" s="2018"/>
      <c r="Z5231" s="2022"/>
      <c r="AA5231" s="2022"/>
      <c r="AB5231" s="1050"/>
      <c r="AC5231" s="1050"/>
      <c r="AD5231" s="1050"/>
      <c r="AE5231" s="1050"/>
      <c r="AF5231" s="1052"/>
    </row>
    <row r="5232" spans="1:32" ht="15.75" x14ac:dyDescent="0.25">
      <c r="A5232" s="2017"/>
      <c r="B5232" s="2018"/>
      <c r="C5232" s="2018"/>
      <c r="D5232" s="2018"/>
      <c r="E5232" s="2018"/>
      <c r="F5232" s="2018"/>
      <c r="G5232" s="2018"/>
      <c r="H5232" s="2018"/>
      <c r="I5232" s="2018"/>
      <c r="J5232" s="2018"/>
      <c r="K5232" s="2018"/>
      <c r="L5232" s="2018"/>
      <c r="M5232" s="2018"/>
      <c r="N5232" s="2018"/>
      <c r="O5232" s="2018"/>
      <c r="P5232" s="2018"/>
      <c r="Q5232" s="2018"/>
      <c r="R5232" s="2018"/>
      <c r="S5232" s="2018"/>
      <c r="T5232" s="2018"/>
      <c r="U5232" s="2018"/>
      <c r="V5232" s="2018"/>
      <c r="W5232" s="2018"/>
      <c r="X5232" s="2018"/>
      <c r="Y5232" s="2018"/>
      <c r="Z5232" s="2022"/>
      <c r="AA5232" s="2022"/>
      <c r="AB5232" s="1050"/>
      <c r="AC5232" s="1050"/>
      <c r="AD5232" s="1050"/>
      <c r="AE5232" s="1050"/>
      <c r="AF5232" s="1052"/>
    </row>
    <row r="5233" spans="1:32" ht="15.6" customHeight="1" x14ac:dyDescent="0.25">
      <c r="A5233" s="2017"/>
      <c r="B5233" s="2018"/>
      <c r="C5233" s="2018"/>
      <c r="D5233" s="2018"/>
      <c r="E5233" s="2018"/>
      <c r="F5233" s="2018"/>
      <c r="G5233" s="2018"/>
      <c r="H5233" s="2018"/>
      <c r="I5233" s="2018"/>
      <c r="J5233" s="2018"/>
      <c r="K5233" s="2018"/>
      <c r="L5233" s="2018"/>
      <c r="M5233" s="2018"/>
      <c r="N5233" s="2018"/>
      <c r="O5233" s="2018"/>
      <c r="P5233" s="2018"/>
      <c r="Q5233" s="2018"/>
      <c r="R5233" s="2018"/>
      <c r="S5233" s="2018"/>
      <c r="T5233" s="2018"/>
      <c r="U5233" s="2018"/>
      <c r="V5233" s="2018"/>
      <c r="W5233" s="2018"/>
      <c r="X5233" s="2018"/>
      <c r="Y5233" s="2018"/>
      <c r="Z5233" s="2022"/>
      <c r="AA5233" s="2022"/>
      <c r="AB5233" s="1050"/>
      <c r="AC5233" s="1050"/>
      <c r="AD5233" s="1050"/>
      <c r="AE5233" s="1050"/>
      <c r="AF5233" s="1052"/>
    </row>
    <row r="5234" spans="1:32" ht="15.75" x14ac:dyDescent="0.25">
      <c r="A5234" s="2017"/>
      <c r="B5234" s="2018"/>
      <c r="C5234" s="2018"/>
      <c r="D5234" s="2018"/>
      <c r="E5234" s="2018"/>
      <c r="F5234" s="2018"/>
      <c r="G5234" s="2018"/>
      <c r="H5234" s="2018"/>
      <c r="I5234" s="2018"/>
      <c r="J5234" s="2018"/>
      <c r="K5234" s="2018"/>
      <c r="L5234" s="2018"/>
      <c r="M5234" s="2018"/>
      <c r="N5234" s="2018"/>
      <c r="O5234" s="2018"/>
      <c r="P5234" s="2018"/>
      <c r="Q5234" s="2018"/>
      <c r="R5234" s="2018"/>
      <c r="S5234" s="2018"/>
      <c r="T5234" s="2018"/>
      <c r="U5234" s="2018"/>
      <c r="V5234" s="2018"/>
      <c r="W5234" s="2018"/>
      <c r="X5234" s="2018"/>
      <c r="Y5234" s="2018"/>
      <c r="Z5234" s="2022"/>
      <c r="AA5234" s="2022"/>
      <c r="AB5234" s="1050"/>
      <c r="AC5234" s="1050"/>
      <c r="AD5234" s="1050"/>
      <c r="AE5234" s="1050"/>
      <c r="AF5234" s="1052"/>
    </row>
    <row r="5235" spans="1:32" ht="15.75" x14ac:dyDescent="0.25">
      <c r="A5235" s="2017"/>
      <c r="B5235" s="2018"/>
      <c r="C5235" s="2018"/>
      <c r="D5235" s="2018"/>
      <c r="E5235" s="2018"/>
      <c r="F5235" s="2018"/>
      <c r="G5235" s="2018"/>
      <c r="H5235" s="2018"/>
      <c r="I5235" s="2018"/>
      <c r="J5235" s="2018"/>
      <c r="K5235" s="2018"/>
      <c r="L5235" s="2018"/>
      <c r="M5235" s="2018"/>
      <c r="N5235" s="2018"/>
      <c r="O5235" s="2018"/>
      <c r="P5235" s="2018"/>
      <c r="Q5235" s="2018"/>
      <c r="R5235" s="2018"/>
      <c r="S5235" s="2018"/>
      <c r="T5235" s="2018"/>
      <c r="U5235" s="2018"/>
      <c r="V5235" s="2018"/>
      <c r="W5235" s="2018"/>
      <c r="X5235" s="2018"/>
      <c r="Y5235" s="2018"/>
      <c r="Z5235" s="2022"/>
      <c r="AA5235" s="2022"/>
      <c r="AB5235" s="1050"/>
      <c r="AC5235" s="1050"/>
      <c r="AD5235" s="1050"/>
      <c r="AE5235" s="1050"/>
      <c r="AF5235" s="1052"/>
    </row>
    <row r="5236" spans="1:32" ht="15.75" x14ac:dyDescent="0.25">
      <c r="A5236" s="2017"/>
      <c r="B5236" s="2018"/>
      <c r="C5236" s="2018"/>
      <c r="D5236" s="2018"/>
      <c r="E5236" s="2018"/>
      <c r="F5236" s="2018"/>
      <c r="G5236" s="2018"/>
      <c r="H5236" s="2018"/>
      <c r="I5236" s="2018"/>
      <c r="J5236" s="2018"/>
      <c r="K5236" s="2018"/>
      <c r="L5236" s="2018"/>
      <c r="M5236" s="2018"/>
      <c r="N5236" s="2018"/>
      <c r="O5236" s="2018"/>
      <c r="P5236" s="2018"/>
      <c r="Q5236" s="2018"/>
      <c r="R5236" s="2018"/>
      <c r="S5236" s="2018"/>
      <c r="T5236" s="2018"/>
      <c r="U5236" s="2018"/>
      <c r="V5236" s="2018"/>
      <c r="W5236" s="2018"/>
      <c r="X5236" s="2018"/>
      <c r="Y5236" s="2018"/>
      <c r="Z5236" s="2022"/>
      <c r="AA5236" s="2022"/>
      <c r="AB5236" s="1050"/>
      <c r="AC5236" s="1050"/>
      <c r="AD5236" s="1050"/>
      <c r="AE5236" s="1050"/>
      <c r="AF5236" s="1052"/>
    </row>
    <row r="5237" spans="1:32" ht="15.75" x14ac:dyDescent="0.25">
      <c r="A5237" s="2017"/>
      <c r="B5237" s="2018"/>
      <c r="C5237" s="2018"/>
      <c r="D5237" s="2018"/>
      <c r="E5237" s="2018"/>
      <c r="F5237" s="2018"/>
      <c r="G5237" s="2018"/>
      <c r="H5237" s="2018"/>
      <c r="I5237" s="2018"/>
      <c r="J5237" s="2018"/>
      <c r="K5237" s="2018"/>
      <c r="L5237" s="2018"/>
      <c r="M5237" s="2018"/>
      <c r="N5237" s="2018"/>
      <c r="O5237" s="2018"/>
      <c r="P5237" s="2018"/>
      <c r="Q5237" s="2018"/>
      <c r="R5237" s="2018"/>
      <c r="S5237" s="2018"/>
      <c r="T5237" s="2018"/>
      <c r="U5237" s="2018"/>
      <c r="V5237" s="2018"/>
      <c r="W5237" s="2018"/>
      <c r="X5237" s="2018"/>
      <c r="Y5237" s="2018"/>
      <c r="Z5237" s="2022"/>
      <c r="AA5237" s="2022"/>
      <c r="AB5237" s="1050"/>
      <c r="AC5237" s="1050"/>
      <c r="AD5237" s="1050"/>
      <c r="AE5237" s="1050"/>
      <c r="AF5237" s="1052"/>
    </row>
    <row r="5238" spans="1:32" ht="15.75" x14ac:dyDescent="0.25">
      <c r="A5238" s="2017"/>
      <c r="B5238" s="2018"/>
      <c r="C5238" s="2018"/>
      <c r="D5238" s="2018"/>
      <c r="E5238" s="2018"/>
      <c r="F5238" s="2018"/>
      <c r="G5238" s="2018"/>
      <c r="H5238" s="2018"/>
      <c r="I5238" s="2018"/>
      <c r="J5238" s="2018"/>
      <c r="K5238" s="2018"/>
      <c r="L5238" s="2018"/>
      <c r="M5238" s="2018"/>
      <c r="N5238" s="2018"/>
      <c r="O5238" s="2018"/>
      <c r="P5238" s="2018"/>
      <c r="Q5238" s="2018"/>
      <c r="R5238" s="2018"/>
      <c r="S5238" s="2018"/>
      <c r="T5238" s="2018"/>
      <c r="U5238" s="2018"/>
      <c r="V5238" s="2018"/>
      <c r="W5238" s="2018"/>
      <c r="X5238" s="2018"/>
      <c r="Y5238" s="2018"/>
      <c r="Z5238" s="2022"/>
      <c r="AA5238" s="2022"/>
      <c r="AB5238" s="1050"/>
      <c r="AC5238" s="1050"/>
      <c r="AD5238" s="1050"/>
      <c r="AE5238" s="1050"/>
      <c r="AF5238" s="1052"/>
    </row>
    <row r="5239" spans="1:32" ht="15.75" x14ac:dyDescent="0.25">
      <c r="A5239" s="2017"/>
      <c r="B5239" s="2018"/>
      <c r="C5239" s="2018"/>
      <c r="D5239" s="2018"/>
      <c r="E5239" s="2018"/>
      <c r="F5239" s="2018"/>
      <c r="G5239" s="2018"/>
      <c r="H5239" s="2018"/>
      <c r="I5239" s="2018"/>
      <c r="J5239" s="2018"/>
      <c r="K5239" s="2018"/>
      <c r="L5239" s="2018"/>
      <c r="M5239" s="2018"/>
      <c r="N5239" s="2018"/>
      <c r="O5239" s="2018"/>
      <c r="P5239" s="2018"/>
      <c r="Q5239" s="2018"/>
      <c r="R5239" s="2018"/>
      <c r="S5239" s="2018"/>
      <c r="T5239" s="2018"/>
      <c r="U5239" s="2018"/>
      <c r="V5239" s="2018"/>
      <c r="W5239" s="2018"/>
      <c r="X5239" s="2018"/>
      <c r="Y5239" s="2018"/>
      <c r="Z5239" s="2023"/>
      <c r="AA5239" s="2023"/>
      <c r="AB5239" s="1050"/>
      <c r="AC5239" s="1050"/>
      <c r="AD5239" s="1050"/>
      <c r="AE5239" s="1050"/>
      <c r="AF5239" s="1052"/>
    </row>
    <row r="5240" spans="1:32" ht="15.75" x14ac:dyDescent="0.25">
      <c r="A5240" s="2017"/>
      <c r="B5240" s="2018"/>
      <c r="C5240" s="2018"/>
      <c r="D5240" s="2018"/>
      <c r="E5240" s="2018"/>
      <c r="F5240" s="2018"/>
      <c r="G5240" s="2018"/>
      <c r="H5240" s="2018"/>
      <c r="I5240" s="2018"/>
      <c r="J5240" s="2018"/>
      <c r="K5240" s="2018"/>
      <c r="L5240" s="2018"/>
      <c r="M5240" s="2018"/>
      <c r="N5240" s="2018"/>
      <c r="O5240" s="2018"/>
      <c r="P5240" s="2018"/>
      <c r="Q5240" s="2018"/>
      <c r="R5240" s="2018"/>
      <c r="S5240" s="2018"/>
      <c r="T5240" s="2018"/>
      <c r="U5240" s="2018"/>
      <c r="V5240" s="2018"/>
      <c r="W5240" s="2018"/>
      <c r="X5240" s="2018"/>
      <c r="Y5240" s="2018"/>
      <c r="Z5240" s="2023"/>
      <c r="AA5240" s="2023"/>
      <c r="AB5240" s="1050"/>
      <c r="AC5240" s="1050"/>
      <c r="AD5240" s="1050"/>
      <c r="AE5240" s="1050"/>
      <c r="AF5240" s="1052"/>
    </row>
    <row r="5241" spans="1:32" ht="15.75" x14ac:dyDescent="0.25">
      <c r="A5241" s="2017"/>
      <c r="B5241" s="2018"/>
      <c r="C5241" s="2018"/>
      <c r="D5241" s="2018"/>
      <c r="E5241" s="2018"/>
      <c r="F5241" s="2018"/>
      <c r="G5241" s="2018"/>
      <c r="H5241" s="2018"/>
      <c r="I5241" s="2018"/>
      <c r="J5241" s="2018"/>
      <c r="K5241" s="2018"/>
      <c r="L5241" s="2018"/>
      <c r="M5241" s="2018"/>
      <c r="N5241" s="2018"/>
      <c r="O5241" s="2018"/>
      <c r="P5241" s="2018"/>
      <c r="Q5241" s="2018"/>
      <c r="R5241" s="2018"/>
      <c r="S5241" s="2018"/>
      <c r="T5241" s="2018"/>
      <c r="U5241" s="2018"/>
      <c r="V5241" s="2018"/>
      <c r="W5241" s="2018"/>
      <c r="X5241" s="2018"/>
      <c r="Y5241" s="2018"/>
      <c r="Z5241" s="2023"/>
      <c r="AA5241" s="2023"/>
      <c r="AB5241" s="1050"/>
      <c r="AC5241" s="1050"/>
      <c r="AD5241" s="1050"/>
      <c r="AE5241" s="1050"/>
      <c r="AF5241" s="1052"/>
    </row>
    <row r="5242" spans="1:32" ht="15.75" x14ac:dyDescent="0.25">
      <c r="A5242" s="2017"/>
      <c r="B5242" s="2018"/>
      <c r="C5242" s="2018"/>
      <c r="D5242" s="2018"/>
      <c r="E5242" s="2018"/>
      <c r="F5242" s="2018"/>
      <c r="G5242" s="2018"/>
      <c r="H5242" s="2018"/>
      <c r="I5242" s="2018"/>
      <c r="J5242" s="2018"/>
      <c r="K5242" s="2018"/>
      <c r="L5242" s="2018"/>
      <c r="M5242" s="2018"/>
      <c r="N5242" s="2018"/>
      <c r="O5242" s="2018"/>
      <c r="P5242" s="2018"/>
      <c r="Q5242" s="2018"/>
      <c r="R5242" s="2018"/>
      <c r="S5242" s="2018"/>
      <c r="T5242" s="2018"/>
      <c r="U5242" s="2018"/>
      <c r="V5242" s="2018"/>
      <c r="W5242" s="2018"/>
      <c r="X5242" s="2018"/>
      <c r="Y5242" s="2018"/>
      <c r="Z5242" s="2023"/>
      <c r="AA5242" s="2023"/>
      <c r="AB5242" s="1050"/>
      <c r="AC5242" s="1050"/>
      <c r="AD5242" s="1050"/>
      <c r="AE5242" s="1050"/>
      <c r="AF5242" s="1052"/>
    </row>
    <row r="5243" spans="1:32" ht="15.75" x14ac:dyDescent="0.25">
      <c r="A5243" s="2017"/>
      <c r="B5243" s="2018"/>
      <c r="C5243" s="2018"/>
      <c r="D5243" s="2018"/>
      <c r="E5243" s="2018"/>
      <c r="F5243" s="2018"/>
      <c r="G5243" s="2018"/>
      <c r="H5243" s="2018"/>
      <c r="I5243" s="2018"/>
      <c r="J5243" s="2018"/>
      <c r="K5243" s="2018"/>
      <c r="L5243" s="2018"/>
      <c r="M5243" s="2018"/>
      <c r="N5243" s="2018"/>
      <c r="O5243" s="2018"/>
      <c r="P5243" s="2018"/>
      <c r="Q5243" s="2018"/>
      <c r="R5243" s="2018"/>
      <c r="S5243" s="2018"/>
      <c r="T5243" s="2018"/>
      <c r="U5243" s="2018"/>
      <c r="V5243" s="2018"/>
      <c r="W5243" s="2018"/>
      <c r="X5243" s="2018"/>
      <c r="Y5243" s="2018"/>
      <c r="Z5243" s="2023"/>
      <c r="AA5243" s="2023"/>
      <c r="AB5243" s="1050"/>
      <c r="AC5243" s="1050"/>
      <c r="AD5243" s="1050"/>
      <c r="AE5243" s="1050"/>
      <c r="AF5243" s="1052"/>
    </row>
    <row r="5244" spans="1:32" ht="15.75" x14ac:dyDescent="0.25">
      <c r="A5244" s="2017"/>
      <c r="B5244" s="2018"/>
      <c r="C5244" s="2018"/>
      <c r="D5244" s="2018"/>
      <c r="E5244" s="2018"/>
      <c r="F5244" s="2018"/>
      <c r="G5244" s="2018"/>
      <c r="H5244" s="2018"/>
      <c r="I5244" s="2018"/>
      <c r="J5244" s="2018"/>
      <c r="K5244" s="2018"/>
      <c r="L5244" s="2018"/>
      <c r="M5244" s="2018"/>
      <c r="N5244" s="2018"/>
      <c r="O5244" s="2018"/>
      <c r="P5244" s="2018"/>
      <c r="Q5244" s="2018"/>
      <c r="R5244" s="2018"/>
      <c r="S5244" s="2018"/>
      <c r="T5244" s="2018"/>
      <c r="U5244" s="2018"/>
      <c r="V5244" s="2018"/>
      <c r="W5244" s="2018"/>
      <c r="X5244" s="2018"/>
      <c r="Y5244" s="2018"/>
      <c r="Z5244" s="2023"/>
      <c r="AA5244" s="2023"/>
      <c r="AB5244" s="1050"/>
      <c r="AC5244" s="1050"/>
      <c r="AD5244" s="1050"/>
      <c r="AE5244" s="1050"/>
      <c r="AF5244" s="1052"/>
    </row>
    <row r="5245" spans="1:32" ht="16.5" thickBot="1" x14ac:dyDescent="0.3">
      <c r="A5245" s="2019"/>
      <c r="B5245" s="2020"/>
      <c r="C5245" s="2020"/>
      <c r="D5245" s="2020"/>
      <c r="E5245" s="2020"/>
      <c r="F5245" s="2020"/>
      <c r="G5245" s="2020"/>
      <c r="H5245" s="2020"/>
      <c r="I5245" s="2020"/>
      <c r="J5245" s="2020"/>
      <c r="K5245" s="2020"/>
      <c r="L5245" s="2020"/>
      <c r="M5245" s="2020"/>
      <c r="N5245" s="2020"/>
      <c r="O5245" s="2020"/>
      <c r="P5245" s="2020"/>
      <c r="Q5245" s="2020"/>
      <c r="R5245" s="2020"/>
      <c r="S5245" s="2020"/>
      <c r="T5245" s="2020"/>
      <c r="U5245" s="2020"/>
      <c r="V5245" s="2020"/>
      <c r="W5245" s="2020"/>
      <c r="X5245" s="2020"/>
      <c r="Y5245" s="2020"/>
      <c r="Z5245" s="2024"/>
      <c r="AA5245" s="2024"/>
      <c r="AB5245" s="1057"/>
      <c r="AC5245" s="1057"/>
      <c r="AD5245" s="1057"/>
      <c r="AE5245" s="1057"/>
      <c r="AF5245" s="1058"/>
    </row>
    <row r="5246" spans="1:32" ht="15.75" x14ac:dyDescent="0.25">
      <c r="A5246" s="2009" t="s">
        <v>1855</v>
      </c>
      <c r="B5246" s="2010"/>
      <c r="C5246" s="2010"/>
      <c r="D5246" s="2010"/>
      <c r="E5246" s="2010"/>
      <c r="F5246" s="2010"/>
      <c r="G5246" s="2010"/>
      <c r="H5246" s="2010"/>
      <c r="I5246" s="2010"/>
      <c r="J5246" s="2010"/>
      <c r="K5246" s="2010"/>
      <c r="L5246" s="2010"/>
      <c r="M5246" s="2010"/>
      <c r="N5246" s="2010"/>
      <c r="O5246" s="2010"/>
      <c r="P5246" s="2010"/>
      <c r="Q5246" s="2010"/>
      <c r="R5246" s="2010"/>
      <c r="S5246" s="2010"/>
      <c r="T5246" s="2010"/>
      <c r="U5246" s="2010"/>
      <c r="V5246" s="2010"/>
      <c r="W5246" s="2010"/>
      <c r="X5246" s="2010"/>
      <c r="Y5246" s="2010"/>
      <c r="Z5246" s="2013" t="s">
        <v>1850</v>
      </c>
      <c r="AA5246" s="2013"/>
      <c r="AB5246" s="2013"/>
      <c r="AC5246" s="2013"/>
      <c r="AD5246" s="2013"/>
      <c r="AE5246" s="2013"/>
      <c r="AF5246" s="1059">
        <f>SUM(AF5222:AF5245)</f>
        <v>90</v>
      </c>
    </row>
    <row r="5247" spans="1:32" ht="15.75" x14ac:dyDescent="0.25">
      <c r="A5247" s="2011"/>
      <c r="B5247" s="2012"/>
      <c r="C5247" s="2012"/>
      <c r="D5247" s="2012"/>
      <c r="E5247" s="2012"/>
      <c r="F5247" s="2012"/>
      <c r="G5247" s="2012"/>
      <c r="H5247" s="2012"/>
      <c r="I5247" s="2012"/>
      <c r="J5247" s="2012"/>
      <c r="K5247" s="2012"/>
      <c r="L5247" s="2012"/>
      <c r="M5247" s="2012"/>
      <c r="N5247" s="2012"/>
      <c r="O5247" s="2012"/>
      <c r="P5247" s="2012"/>
      <c r="Q5247" s="2012"/>
      <c r="R5247" s="2012"/>
      <c r="S5247" s="2012"/>
      <c r="T5247" s="2012"/>
      <c r="U5247" s="2012"/>
      <c r="V5247" s="2012"/>
      <c r="W5247" s="2012"/>
      <c r="X5247" s="2012"/>
      <c r="Y5247" s="2012"/>
      <c r="Z5247" s="2014" t="s">
        <v>1851</v>
      </c>
      <c r="AA5247" s="2014"/>
      <c r="AB5247" s="2014"/>
      <c r="AC5247" s="2014"/>
      <c r="AD5247" s="2014"/>
      <c r="AE5247" s="2014"/>
      <c r="AF5247" s="1060">
        <v>0</v>
      </c>
    </row>
    <row r="5248" spans="1:32" ht="15.75" x14ac:dyDescent="0.25">
      <c r="A5248" s="2011"/>
      <c r="B5248" s="2012"/>
      <c r="C5248" s="2012"/>
      <c r="D5248" s="2012"/>
      <c r="E5248" s="2012"/>
      <c r="F5248" s="2012"/>
      <c r="G5248" s="2012"/>
      <c r="H5248" s="2012"/>
      <c r="I5248" s="2012"/>
      <c r="J5248" s="2012"/>
      <c r="K5248" s="2012"/>
      <c r="L5248" s="2012"/>
      <c r="M5248" s="2012"/>
      <c r="N5248" s="2012"/>
      <c r="O5248" s="2012"/>
      <c r="P5248" s="2012"/>
      <c r="Q5248" s="2012"/>
      <c r="R5248" s="2012"/>
      <c r="S5248" s="2012"/>
      <c r="T5248" s="2012"/>
      <c r="U5248" s="2012"/>
      <c r="V5248" s="2012"/>
      <c r="W5248" s="2012"/>
      <c r="X5248" s="2012"/>
      <c r="Y5248" s="2012"/>
      <c r="Z5248" s="2015" t="s">
        <v>1833</v>
      </c>
      <c r="AA5248" s="2015"/>
      <c r="AB5248" s="2015"/>
      <c r="AC5248" s="2015"/>
      <c r="AD5248" s="2015"/>
      <c r="AE5248" s="2015"/>
      <c r="AF5248" s="1061">
        <f>SUM(AF5246:AF5247)</f>
        <v>90</v>
      </c>
    </row>
    <row r="5249" spans="1:32" x14ac:dyDescent="0.2">
      <c r="A5249" s="2012" t="s">
        <v>1859</v>
      </c>
      <c r="B5249" s="2012"/>
      <c r="C5249" s="2012"/>
      <c r="D5249" s="2012"/>
      <c r="E5249" s="2012"/>
      <c r="F5249" s="2012"/>
      <c r="G5249" s="2012"/>
      <c r="H5249" s="2012"/>
      <c r="I5249" s="2012"/>
      <c r="J5249" s="2012"/>
      <c r="K5249" s="2012"/>
      <c r="L5249" s="2012"/>
      <c r="M5249" s="2012"/>
      <c r="N5249" s="2012"/>
      <c r="O5249" s="2012"/>
      <c r="P5249" s="2012"/>
      <c r="Q5249" s="2012"/>
      <c r="R5249" s="2012"/>
      <c r="S5249" s="2012"/>
      <c r="T5249" s="2016" t="s">
        <v>1840</v>
      </c>
      <c r="U5249" s="2016"/>
      <c r="V5249" s="2016"/>
      <c r="W5249" s="2016"/>
      <c r="X5249" s="2016"/>
      <c r="Y5249" s="2016"/>
      <c r="Z5249" s="2016"/>
      <c r="AA5249" s="2016"/>
      <c r="AB5249" s="2012" t="s">
        <v>1852</v>
      </c>
      <c r="AC5249" s="2012"/>
      <c r="AD5249" s="2012"/>
      <c r="AE5249" s="2012"/>
      <c r="AF5249" s="2012"/>
    </row>
    <row r="5250" spans="1:32" x14ac:dyDescent="0.2">
      <c r="A5250" s="2012"/>
      <c r="B5250" s="2012"/>
      <c r="C5250" s="2012"/>
      <c r="D5250" s="2012"/>
      <c r="E5250" s="2012"/>
      <c r="F5250" s="2012"/>
      <c r="G5250" s="2012"/>
      <c r="H5250" s="2012"/>
      <c r="I5250" s="2012"/>
      <c r="J5250" s="2012"/>
      <c r="K5250" s="2012"/>
      <c r="L5250" s="2012"/>
      <c r="M5250" s="2012"/>
      <c r="N5250" s="2012"/>
      <c r="O5250" s="2012"/>
      <c r="P5250" s="2012"/>
      <c r="Q5250" s="2012"/>
      <c r="R5250" s="2012"/>
      <c r="S5250" s="2012"/>
      <c r="T5250" s="2016"/>
      <c r="U5250" s="2016"/>
      <c r="V5250" s="2016"/>
      <c r="W5250" s="2016"/>
      <c r="X5250" s="2016"/>
      <c r="Y5250" s="2016"/>
      <c r="Z5250" s="2016"/>
      <c r="AA5250" s="2016"/>
      <c r="AB5250" s="2012"/>
      <c r="AC5250" s="2012"/>
      <c r="AD5250" s="2012"/>
      <c r="AE5250" s="2012"/>
      <c r="AF5250" s="2012"/>
    </row>
    <row r="5251" spans="1:32" ht="13.5" thickBot="1" x14ac:dyDescent="0.25"/>
    <row r="5252" spans="1:32" ht="26.45" customHeight="1" x14ac:dyDescent="0.2">
      <c r="A5252" s="2025" t="s">
        <v>1854</v>
      </c>
      <c r="B5252" s="2026"/>
      <c r="C5252" s="2026"/>
      <c r="D5252" s="2026"/>
      <c r="E5252" s="2026"/>
      <c r="F5252" s="2026"/>
      <c r="G5252" s="2026"/>
      <c r="H5252" s="2026"/>
      <c r="I5252" s="2026"/>
      <c r="J5252" s="2026"/>
      <c r="K5252" s="2026"/>
      <c r="L5252" s="2026"/>
      <c r="M5252" s="2026"/>
      <c r="N5252" s="2026"/>
      <c r="O5252" s="2026"/>
      <c r="P5252" s="2026"/>
      <c r="Q5252" s="2026"/>
      <c r="R5252" s="2026"/>
      <c r="S5252" s="2026"/>
      <c r="T5252" s="2026"/>
      <c r="U5252" s="2026"/>
      <c r="V5252" s="2026"/>
      <c r="W5252" s="2026"/>
      <c r="X5252" s="2026"/>
      <c r="Y5252" s="2026"/>
      <c r="Z5252" s="2026"/>
      <c r="AA5252" s="2026"/>
      <c r="AB5252" s="2026"/>
      <c r="AC5252" s="2026"/>
      <c r="AD5252" s="2026"/>
      <c r="AE5252" s="1041" t="s">
        <v>1834</v>
      </c>
      <c r="AF5252" s="1042" t="s">
        <v>1835</v>
      </c>
    </row>
    <row r="5253" spans="1:32" ht="21" customHeight="1" thickBot="1" x14ac:dyDescent="0.25">
      <c r="A5253" s="2027"/>
      <c r="B5253" s="2028"/>
      <c r="C5253" s="2028"/>
      <c r="D5253" s="2028"/>
      <c r="E5253" s="2028"/>
      <c r="F5253" s="2028"/>
      <c r="G5253" s="2028"/>
      <c r="H5253" s="2028"/>
      <c r="I5253" s="2028"/>
      <c r="J5253" s="2028"/>
      <c r="K5253" s="2028"/>
      <c r="L5253" s="2028"/>
      <c r="M5253" s="2028"/>
      <c r="N5253" s="2028"/>
      <c r="O5253" s="2028"/>
      <c r="P5253" s="2028"/>
      <c r="Q5253" s="2028"/>
      <c r="R5253" s="2028"/>
      <c r="S5253" s="2028"/>
      <c r="T5253" s="2028"/>
      <c r="U5253" s="2028"/>
      <c r="V5253" s="2028"/>
      <c r="W5253" s="2028"/>
      <c r="X5253" s="2028"/>
      <c r="Y5253" s="2028"/>
      <c r="Z5253" s="2028"/>
      <c r="AA5253" s="2028"/>
      <c r="AB5253" s="2028"/>
      <c r="AC5253" s="2028"/>
      <c r="AD5253" s="2028"/>
      <c r="AE5253" s="1041" t="s">
        <v>1836</v>
      </c>
      <c r="AF5253" s="1044">
        <v>1</v>
      </c>
    </row>
    <row r="5254" spans="1:32" ht="15.75" x14ac:dyDescent="0.2">
      <c r="A5254" s="2029"/>
      <c r="B5254" s="2030"/>
      <c r="C5254" s="2030"/>
      <c r="D5254" s="2031"/>
      <c r="E5254" s="2025" t="str">
        <f>'01'!$A$12</f>
        <v>"CONSTRUCCION SISTEMA DE ACUEDUCTO FASE II DEL MUNICIPIO DE TESALIA DPTO DEL HUILA"</v>
      </c>
      <c r="F5254" s="2026"/>
      <c r="G5254" s="2026"/>
      <c r="H5254" s="2026"/>
      <c r="I5254" s="2026"/>
      <c r="J5254" s="2026"/>
      <c r="K5254" s="2026"/>
      <c r="L5254" s="2026"/>
      <c r="M5254" s="2026"/>
      <c r="N5254" s="2026"/>
      <c r="O5254" s="2026"/>
      <c r="P5254" s="2026"/>
      <c r="Q5254" s="2026"/>
      <c r="R5254" s="2026"/>
      <c r="S5254" s="2026"/>
      <c r="T5254" s="2026"/>
      <c r="U5254" s="2026"/>
      <c r="V5254" s="2026"/>
      <c r="W5254" s="2026"/>
      <c r="X5254" s="2026"/>
      <c r="Y5254" s="2026"/>
      <c r="Z5254" s="2026"/>
      <c r="AA5254" s="2026"/>
      <c r="AB5254" s="2026"/>
      <c r="AC5254" s="2026"/>
      <c r="AD5254" s="2035"/>
      <c r="AE5254" s="1041" t="s">
        <v>847</v>
      </c>
      <c r="AF5254" s="1045">
        <f>'01'!$M$13</f>
        <v>0</v>
      </c>
    </row>
    <row r="5255" spans="1:32" ht="16.5" thickBot="1" x14ac:dyDescent="0.25">
      <c r="A5255" s="2032"/>
      <c r="B5255" s="2033"/>
      <c r="C5255" s="2033"/>
      <c r="D5255" s="2034"/>
      <c r="E5255" s="2027"/>
      <c r="F5255" s="2028"/>
      <c r="G5255" s="2028"/>
      <c r="H5255" s="2028"/>
      <c r="I5255" s="2028"/>
      <c r="J5255" s="2028"/>
      <c r="K5255" s="2028"/>
      <c r="L5255" s="2028"/>
      <c r="M5255" s="2028"/>
      <c r="N5255" s="2028"/>
      <c r="O5255" s="2028"/>
      <c r="P5255" s="2028"/>
      <c r="Q5255" s="2028"/>
      <c r="R5255" s="2028"/>
      <c r="S5255" s="2028"/>
      <c r="T5255" s="2028"/>
      <c r="U5255" s="2028"/>
      <c r="V5255" s="2028"/>
      <c r="W5255" s="2028"/>
      <c r="X5255" s="2028"/>
      <c r="Y5255" s="2028"/>
      <c r="Z5255" s="2028"/>
      <c r="AA5255" s="2028"/>
      <c r="AB5255" s="2028"/>
      <c r="AC5255" s="2028"/>
      <c r="AD5255" s="2036"/>
      <c r="AE5255" s="1041" t="s">
        <v>1837</v>
      </c>
      <c r="AF5255" s="1042" t="s">
        <v>1838</v>
      </c>
    </row>
    <row r="5256" spans="1:32" ht="15.75" x14ac:dyDescent="0.25">
      <c r="A5256" s="2037" t="s">
        <v>1860</v>
      </c>
      <c r="B5256" s="2038"/>
      <c r="C5256" s="2038"/>
      <c r="D5256" s="2038"/>
      <c r="E5256" s="2038"/>
      <c r="F5256" s="2038"/>
      <c r="G5256" s="2038"/>
      <c r="H5256" s="2038"/>
      <c r="I5256" s="2038"/>
      <c r="J5256" s="2038"/>
      <c r="K5256" s="2038"/>
      <c r="L5256" s="2038"/>
      <c r="M5256" s="2038"/>
      <c r="N5256" s="2038"/>
      <c r="O5256" s="2038"/>
      <c r="P5256" s="2038"/>
      <c r="Q5256" s="2038"/>
      <c r="R5256" s="2038"/>
      <c r="S5256" s="2038"/>
      <c r="T5256" s="2038"/>
      <c r="U5256" s="2038"/>
      <c r="V5256" s="2038"/>
      <c r="W5256" s="2038"/>
      <c r="X5256" s="2038"/>
      <c r="Y5256" s="2038"/>
      <c r="Z5256" s="2038"/>
      <c r="AA5256" s="2038"/>
      <c r="AB5256" s="2038"/>
      <c r="AC5256" s="2038"/>
      <c r="AD5256" s="2038"/>
      <c r="AE5256" s="2039" t="s">
        <v>1839</v>
      </c>
      <c r="AF5256" s="2040"/>
    </row>
    <row r="5257" spans="1:32" ht="15.75" x14ac:dyDescent="0.25">
      <c r="A5257" s="2041" t="s">
        <v>1840</v>
      </c>
      <c r="B5257" s="2042"/>
      <c r="C5257" s="2042"/>
      <c r="D5257" s="2042"/>
      <c r="E5257" s="2042"/>
      <c r="F5257" s="2042"/>
      <c r="G5257" s="2042"/>
      <c r="H5257" s="2042"/>
      <c r="I5257" s="2042"/>
      <c r="J5257" s="2042"/>
      <c r="K5257" s="2042"/>
      <c r="L5257" s="2042"/>
      <c r="M5257" s="2042"/>
      <c r="N5257" s="2042"/>
      <c r="O5257" s="2042"/>
      <c r="P5257" s="2042"/>
      <c r="Q5257" s="2042"/>
      <c r="R5257" s="2042"/>
      <c r="S5257" s="2042"/>
      <c r="T5257" s="2042"/>
      <c r="U5257" s="2042"/>
      <c r="V5257" s="2042"/>
      <c r="W5257" s="2042"/>
      <c r="X5257" s="2042"/>
      <c r="Y5257" s="2042"/>
      <c r="Z5257" s="2042"/>
      <c r="AA5257" s="2042"/>
      <c r="AB5257" s="2042"/>
      <c r="AC5257" s="2042"/>
      <c r="AD5257" s="2043"/>
      <c r="AE5257" s="2014" t="s">
        <v>1841</v>
      </c>
      <c r="AF5257" s="2044"/>
    </row>
    <row r="5258" spans="1:32" ht="15.75" x14ac:dyDescent="0.25">
      <c r="A5258" s="2045" t="s">
        <v>1853</v>
      </c>
      <c r="B5258" s="2046"/>
      <c r="C5258" s="2046"/>
      <c r="D5258" s="2046"/>
      <c r="E5258" s="2046"/>
      <c r="F5258" s="2046"/>
      <c r="G5258" s="2046"/>
      <c r="H5258" s="2046"/>
      <c r="I5258" s="2046"/>
      <c r="J5258" s="2046"/>
      <c r="K5258" s="2046"/>
      <c r="L5258" s="2046"/>
      <c r="M5258" s="2046"/>
      <c r="N5258" s="2046"/>
      <c r="O5258" s="2046"/>
      <c r="P5258" s="2046"/>
      <c r="Q5258" s="2046"/>
      <c r="R5258" s="2046"/>
      <c r="S5258" s="2046"/>
      <c r="T5258" s="2046"/>
      <c r="U5258" s="2046"/>
      <c r="V5258" s="2046"/>
      <c r="W5258" s="2046"/>
      <c r="X5258" s="2046"/>
      <c r="Y5258" s="2046"/>
      <c r="Z5258" s="2046"/>
      <c r="AA5258" s="2046"/>
      <c r="AB5258" s="2046"/>
      <c r="AC5258" s="2046"/>
      <c r="AD5258" s="2046"/>
      <c r="AE5258" s="2047">
        <f>'01'!$M$13</f>
        <v>0</v>
      </c>
      <c r="AF5258" s="2044"/>
    </row>
    <row r="5259" spans="1:32" x14ac:dyDescent="0.2">
      <c r="A5259" s="1046"/>
      <c r="B5259" s="1047"/>
      <c r="C5259" s="1047"/>
      <c r="D5259" s="1047"/>
      <c r="E5259" s="1047"/>
      <c r="F5259" s="1047"/>
      <c r="G5259" s="1047"/>
      <c r="H5259" s="1047"/>
      <c r="I5259" s="1047"/>
      <c r="J5259" s="1047"/>
      <c r="K5259" s="1047"/>
      <c r="L5259" s="1047"/>
      <c r="M5259" s="1047"/>
      <c r="N5259" s="1047"/>
      <c r="O5259" s="1047"/>
      <c r="P5259" s="1047"/>
      <c r="Q5259" s="1047"/>
      <c r="R5259" s="1047"/>
      <c r="S5259" s="1047"/>
      <c r="T5259" s="1047"/>
      <c r="U5259" s="1047"/>
      <c r="V5259" s="1047"/>
      <c r="W5259" s="1047"/>
      <c r="X5259" s="1047"/>
      <c r="Y5259" s="1047"/>
      <c r="Z5259" s="1047"/>
      <c r="AA5259" s="1047"/>
      <c r="AB5259" s="1047"/>
      <c r="AC5259" s="1047"/>
      <c r="AD5259" s="1047"/>
      <c r="AE5259" s="1047"/>
      <c r="AF5259" s="1048"/>
    </row>
    <row r="5260" spans="1:32" ht="30" customHeight="1" x14ac:dyDescent="0.2">
      <c r="A5260" s="2048" t="s">
        <v>1842</v>
      </c>
      <c r="B5260" s="2049"/>
      <c r="C5260" s="2049"/>
      <c r="D5260" s="2049"/>
      <c r="E5260" s="2049"/>
      <c r="F5260" s="2050" t="str">
        <f>+'01'!$H$201</f>
        <v>H - TANQUE DE ALMACENAMIENTO</v>
      </c>
      <c r="G5260" s="2049"/>
      <c r="H5260" s="2049"/>
      <c r="I5260" s="2049"/>
      <c r="J5260" s="2049"/>
      <c r="K5260" s="2049"/>
      <c r="L5260" s="2049"/>
      <c r="M5260" s="2049"/>
      <c r="N5260" s="2049"/>
      <c r="O5260" s="2049"/>
      <c r="P5260" s="2049"/>
      <c r="Q5260" s="2049"/>
      <c r="R5260" s="2049"/>
      <c r="S5260" s="2049"/>
      <c r="T5260" s="2049"/>
      <c r="U5260" s="2049"/>
      <c r="V5260" s="2049"/>
      <c r="W5260" s="2049"/>
      <c r="X5260" s="2049"/>
      <c r="Y5260" s="2051"/>
      <c r="Z5260" s="2052" t="s">
        <v>1843</v>
      </c>
      <c r="AA5260" s="2053"/>
      <c r="AB5260" s="2058" t="s">
        <v>1844</v>
      </c>
      <c r="AC5260" s="2059"/>
      <c r="AD5260" s="2060"/>
      <c r="AE5260" s="2064" t="s">
        <v>1845</v>
      </c>
      <c r="AF5260" s="2067" t="s">
        <v>1846</v>
      </c>
    </row>
    <row r="5261" spans="1:32" ht="15" customHeight="1" x14ac:dyDescent="0.2">
      <c r="A5261" s="2070" t="str">
        <f>+'01'!A221</f>
        <v>H-08-01</v>
      </c>
      <c r="B5261" s="2071"/>
      <c r="C5261" s="2072"/>
      <c r="D5261" s="2076" t="str">
        <f>VLOOKUP(A5261,'01'!$A$12:$N$299,3,FALSE)</f>
        <v>SUMINISTRO E INSTALACIÓN DE CINTA PVC DE 0.15 METROS PARA JUNTA DE CONSTRUCCION EN TANQUES.</v>
      </c>
      <c r="E5261" s="2077"/>
      <c r="F5261" s="2077"/>
      <c r="G5261" s="2077"/>
      <c r="H5261" s="2077"/>
      <c r="I5261" s="2077"/>
      <c r="J5261" s="2077"/>
      <c r="K5261" s="2077"/>
      <c r="L5261" s="2077"/>
      <c r="M5261" s="2077"/>
      <c r="N5261" s="2077"/>
      <c r="O5261" s="2077"/>
      <c r="P5261" s="2077"/>
      <c r="Q5261" s="2077"/>
      <c r="R5261" s="2077"/>
      <c r="S5261" s="2078"/>
      <c r="T5261" s="2082" t="s">
        <v>124</v>
      </c>
      <c r="U5261" s="2083"/>
      <c r="V5261" s="2083"/>
      <c r="W5261" s="2083"/>
      <c r="X5261" s="2052" t="str">
        <f>VLOOKUP(A5261,'01'!$A$12:$N$299,9,FALSE)</f>
        <v>ML</v>
      </c>
      <c r="Y5261" s="2053"/>
      <c r="Z5261" s="2054"/>
      <c r="AA5261" s="2055"/>
      <c r="AB5261" s="2061"/>
      <c r="AC5261" s="2062"/>
      <c r="AD5261" s="2063"/>
      <c r="AE5261" s="2065"/>
      <c r="AF5261" s="2068"/>
    </row>
    <row r="5262" spans="1:32" ht="15" customHeight="1" x14ac:dyDescent="0.25">
      <c r="A5262" s="2073"/>
      <c r="B5262" s="2074"/>
      <c r="C5262" s="2075"/>
      <c r="D5262" s="2079"/>
      <c r="E5262" s="2080"/>
      <c r="F5262" s="2080"/>
      <c r="G5262" s="2080"/>
      <c r="H5262" s="2080"/>
      <c r="I5262" s="2080"/>
      <c r="J5262" s="2080"/>
      <c r="K5262" s="2080"/>
      <c r="L5262" s="2080"/>
      <c r="M5262" s="2080"/>
      <c r="N5262" s="2080"/>
      <c r="O5262" s="2080"/>
      <c r="P5262" s="2080"/>
      <c r="Q5262" s="2080"/>
      <c r="R5262" s="2080"/>
      <c r="S5262" s="2081"/>
      <c r="T5262" s="2084"/>
      <c r="U5262" s="2085"/>
      <c r="V5262" s="2085"/>
      <c r="W5262" s="2085"/>
      <c r="X5262" s="2056"/>
      <c r="Y5262" s="2057"/>
      <c r="Z5262" s="2056"/>
      <c r="AA5262" s="2057"/>
      <c r="AB5262" s="1049" t="s">
        <v>1847</v>
      </c>
      <c r="AC5262" s="1049" t="s">
        <v>1848</v>
      </c>
      <c r="AD5262" s="1049" t="s">
        <v>1861</v>
      </c>
      <c r="AE5262" s="2066"/>
      <c r="AF5262" s="2069"/>
    </row>
    <row r="5263" spans="1:32" ht="15.6" customHeight="1" x14ac:dyDescent="0.25">
      <c r="A5263" s="2017"/>
      <c r="B5263" s="2018"/>
      <c r="C5263" s="2018"/>
      <c r="D5263" s="2018"/>
      <c r="E5263" s="2018"/>
      <c r="F5263" s="2018"/>
      <c r="G5263" s="2018"/>
      <c r="H5263" s="2018"/>
      <c r="I5263" s="2018"/>
      <c r="J5263" s="2018"/>
      <c r="K5263" s="2018"/>
      <c r="L5263" s="2018"/>
      <c r="M5263" s="2018"/>
      <c r="N5263" s="2018"/>
      <c r="O5263" s="2018"/>
      <c r="P5263" s="2018"/>
      <c r="Q5263" s="2018"/>
      <c r="R5263" s="2018"/>
      <c r="S5263" s="2018"/>
      <c r="T5263" s="2018"/>
      <c r="U5263" s="2018"/>
      <c r="V5263" s="2018"/>
      <c r="W5263" s="2018"/>
      <c r="X5263" s="2018"/>
      <c r="Y5263" s="2018"/>
      <c r="Z5263" s="2021" t="s">
        <v>2521</v>
      </c>
      <c r="AA5263" s="2021"/>
      <c r="AB5263" s="1050">
        <f>+(22.8*2)+(11.65*3)</f>
        <v>80.550000000000011</v>
      </c>
      <c r="AC5263" s="1050"/>
      <c r="AD5263" s="1050"/>
      <c r="AE5263" s="1050">
        <v>1</v>
      </c>
      <c r="AF5263" s="1052">
        <f>+ROUND(AB5263*AE5263,2)</f>
        <v>80.55</v>
      </c>
    </row>
    <row r="5264" spans="1:32" ht="15.6" customHeight="1" x14ac:dyDescent="0.25">
      <c r="A5264" s="2017"/>
      <c r="B5264" s="2018"/>
      <c r="C5264" s="2018"/>
      <c r="D5264" s="2018"/>
      <c r="E5264" s="2018"/>
      <c r="F5264" s="2018"/>
      <c r="G5264" s="2018"/>
      <c r="H5264" s="2018"/>
      <c r="I5264" s="2018"/>
      <c r="J5264" s="2018"/>
      <c r="K5264" s="2018"/>
      <c r="L5264" s="2018"/>
      <c r="M5264" s="2018"/>
      <c r="N5264" s="2018"/>
      <c r="O5264" s="2018"/>
      <c r="P5264" s="2018"/>
      <c r="Q5264" s="2018"/>
      <c r="R5264" s="2018"/>
      <c r="S5264" s="2018"/>
      <c r="T5264" s="2018"/>
      <c r="U5264" s="2018"/>
      <c r="V5264" s="2018"/>
      <c r="W5264" s="2018"/>
      <c r="X5264" s="2018"/>
      <c r="Y5264" s="2018"/>
      <c r="Z5264" s="2021" t="s">
        <v>2527</v>
      </c>
      <c r="AA5264" s="2021"/>
      <c r="AB5264" s="1050">
        <f>1.9*4</f>
        <v>7.6</v>
      </c>
      <c r="AC5264" s="1050"/>
      <c r="AD5264" s="1050"/>
      <c r="AE5264" s="1050">
        <v>2</v>
      </c>
      <c r="AF5264" s="1052">
        <f t="shared" ref="AF5264:AF5266" si="71">+ROUND(AB5264*AE5264,2)</f>
        <v>15.2</v>
      </c>
    </row>
    <row r="5265" spans="1:32" ht="15.75" x14ac:dyDescent="0.25">
      <c r="A5265" s="2017"/>
      <c r="B5265" s="2018"/>
      <c r="C5265" s="2018"/>
      <c r="D5265" s="2018"/>
      <c r="E5265" s="2018"/>
      <c r="F5265" s="2018"/>
      <c r="G5265" s="2018"/>
      <c r="H5265" s="2018"/>
      <c r="I5265" s="2018"/>
      <c r="J5265" s="2018"/>
      <c r="K5265" s="2018"/>
      <c r="L5265" s="2018"/>
      <c r="M5265" s="2018"/>
      <c r="N5265" s="2018"/>
      <c r="O5265" s="2018"/>
      <c r="P5265" s="2018"/>
      <c r="Q5265" s="2018"/>
      <c r="R5265" s="2018"/>
      <c r="S5265" s="2018"/>
      <c r="T5265" s="2018"/>
      <c r="U5265" s="2018"/>
      <c r="V5265" s="2018"/>
      <c r="W5265" s="2018"/>
      <c r="X5265" s="2018"/>
      <c r="Y5265" s="2018"/>
      <c r="Z5265" s="2021" t="s">
        <v>2495</v>
      </c>
      <c r="AA5265" s="2021"/>
      <c r="AB5265" s="1050">
        <f>+(1.8*2)+2.1</f>
        <v>5.7</v>
      </c>
      <c r="AC5265" s="1050"/>
      <c r="AD5265" s="1050"/>
      <c r="AE5265" s="1050">
        <v>2</v>
      </c>
      <c r="AF5265" s="1052">
        <f t="shared" si="71"/>
        <v>11.4</v>
      </c>
    </row>
    <row r="5266" spans="1:32" ht="15.75" x14ac:dyDescent="0.25">
      <c r="A5266" s="2017"/>
      <c r="B5266" s="2018"/>
      <c r="C5266" s="2018"/>
      <c r="D5266" s="2018"/>
      <c r="E5266" s="2018"/>
      <c r="F5266" s="2018"/>
      <c r="G5266" s="2018"/>
      <c r="H5266" s="2018"/>
      <c r="I5266" s="2018"/>
      <c r="J5266" s="2018"/>
      <c r="K5266" s="2018"/>
      <c r="L5266" s="2018"/>
      <c r="M5266" s="2018"/>
      <c r="N5266" s="2018"/>
      <c r="O5266" s="2018"/>
      <c r="P5266" s="2018"/>
      <c r="Q5266" s="2018"/>
      <c r="R5266" s="2018"/>
      <c r="S5266" s="2018"/>
      <c r="T5266" s="2018"/>
      <c r="U5266" s="2018"/>
      <c r="V5266" s="2018"/>
      <c r="W5266" s="2018"/>
      <c r="X5266" s="2018"/>
      <c r="Y5266" s="2018"/>
      <c r="Z5266" s="2021" t="s">
        <v>2460</v>
      </c>
      <c r="AA5266" s="2021"/>
      <c r="AB5266" s="1050">
        <f>+(1.8*2)+2.6</f>
        <v>6.2</v>
      </c>
      <c r="AC5266" s="1050"/>
      <c r="AD5266" s="1050"/>
      <c r="AE5266" s="1050">
        <v>2</v>
      </c>
      <c r="AF5266" s="1052">
        <f t="shared" si="71"/>
        <v>12.4</v>
      </c>
    </row>
    <row r="5267" spans="1:32" ht="15.6" customHeight="1" x14ac:dyDescent="0.25">
      <c r="A5267" s="2017"/>
      <c r="B5267" s="2018"/>
      <c r="C5267" s="2018"/>
      <c r="D5267" s="2018"/>
      <c r="E5267" s="2018"/>
      <c r="F5267" s="2018"/>
      <c r="G5267" s="2018"/>
      <c r="H5267" s="2018"/>
      <c r="I5267" s="2018"/>
      <c r="J5267" s="2018"/>
      <c r="K5267" s="2018"/>
      <c r="L5267" s="2018"/>
      <c r="M5267" s="2018"/>
      <c r="N5267" s="2018"/>
      <c r="O5267" s="2018"/>
      <c r="P5267" s="2018"/>
      <c r="Q5267" s="2018"/>
      <c r="R5267" s="2018"/>
      <c r="S5267" s="2018"/>
      <c r="T5267" s="2018"/>
      <c r="U5267" s="2018"/>
      <c r="V5267" s="2018"/>
      <c r="W5267" s="2018"/>
      <c r="X5267" s="2018"/>
      <c r="Y5267" s="2018"/>
      <c r="Z5267" s="2022"/>
      <c r="AA5267" s="2022"/>
      <c r="AB5267" s="1050"/>
      <c r="AC5267" s="1050"/>
      <c r="AD5267" s="1050"/>
      <c r="AE5267" s="1050"/>
      <c r="AF5267" s="1052"/>
    </row>
    <row r="5268" spans="1:32" ht="15.75" x14ac:dyDescent="0.25">
      <c r="A5268" s="2017"/>
      <c r="B5268" s="2018"/>
      <c r="C5268" s="2018"/>
      <c r="D5268" s="2018"/>
      <c r="E5268" s="2018"/>
      <c r="F5268" s="2018"/>
      <c r="G5268" s="2018"/>
      <c r="H5268" s="2018"/>
      <c r="I5268" s="2018"/>
      <c r="J5268" s="2018"/>
      <c r="K5268" s="2018"/>
      <c r="L5268" s="2018"/>
      <c r="M5268" s="2018"/>
      <c r="N5268" s="2018"/>
      <c r="O5268" s="2018"/>
      <c r="P5268" s="2018"/>
      <c r="Q5268" s="2018"/>
      <c r="R5268" s="2018"/>
      <c r="S5268" s="2018"/>
      <c r="T5268" s="2018"/>
      <c r="U5268" s="2018"/>
      <c r="V5268" s="2018"/>
      <c r="W5268" s="2018"/>
      <c r="X5268" s="2018"/>
      <c r="Y5268" s="2018"/>
      <c r="Z5268" s="2022"/>
      <c r="AA5268" s="2022"/>
      <c r="AB5268" s="1050"/>
      <c r="AC5268" s="1050"/>
      <c r="AD5268" s="1050"/>
      <c r="AE5268" s="1050"/>
      <c r="AF5268" s="1052"/>
    </row>
    <row r="5269" spans="1:32" ht="15.75" x14ac:dyDescent="0.25">
      <c r="A5269" s="2017"/>
      <c r="B5269" s="2018"/>
      <c r="C5269" s="2018"/>
      <c r="D5269" s="2018"/>
      <c r="E5269" s="2018"/>
      <c r="F5269" s="2018"/>
      <c r="G5269" s="2018"/>
      <c r="H5269" s="2018"/>
      <c r="I5269" s="2018"/>
      <c r="J5269" s="2018"/>
      <c r="K5269" s="2018"/>
      <c r="L5269" s="2018"/>
      <c r="M5269" s="2018"/>
      <c r="N5269" s="2018"/>
      <c r="O5269" s="2018"/>
      <c r="P5269" s="2018"/>
      <c r="Q5269" s="2018"/>
      <c r="R5269" s="2018"/>
      <c r="S5269" s="2018"/>
      <c r="T5269" s="2018"/>
      <c r="U5269" s="2018"/>
      <c r="V5269" s="2018"/>
      <c r="W5269" s="2018"/>
      <c r="X5269" s="2018"/>
      <c r="Y5269" s="2018"/>
      <c r="Z5269" s="2022"/>
      <c r="AA5269" s="2022"/>
      <c r="AB5269" s="1050"/>
      <c r="AC5269" s="1050"/>
      <c r="AD5269" s="1050"/>
      <c r="AE5269" s="1050"/>
      <c r="AF5269" s="1052"/>
    </row>
    <row r="5270" spans="1:32" ht="15.6" customHeight="1" x14ac:dyDescent="0.25">
      <c r="A5270" s="2017"/>
      <c r="B5270" s="2018"/>
      <c r="C5270" s="2018"/>
      <c r="D5270" s="2018"/>
      <c r="E5270" s="2018"/>
      <c r="F5270" s="2018"/>
      <c r="G5270" s="2018"/>
      <c r="H5270" s="2018"/>
      <c r="I5270" s="2018"/>
      <c r="J5270" s="2018"/>
      <c r="K5270" s="2018"/>
      <c r="L5270" s="2018"/>
      <c r="M5270" s="2018"/>
      <c r="N5270" s="2018"/>
      <c r="O5270" s="2018"/>
      <c r="P5270" s="2018"/>
      <c r="Q5270" s="2018"/>
      <c r="R5270" s="2018"/>
      <c r="S5270" s="2018"/>
      <c r="T5270" s="2018"/>
      <c r="U5270" s="2018"/>
      <c r="V5270" s="2018"/>
      <c r="W5270" s="2018"/>
      <c r="X5270" s="2018"/>
      <c r="Y5270" s="2018"/>
      <c r="Z5270" s="2022"/>
      <c r="AA5270" s="2022"/>
      <c r="AB5270" s="1050"/>
      <c r="AC5270" s="1050"/>
      <c r="AD5270" s="1050"/>
      <c r="AE5270" s="1050"/>
      <c r="AF5270" s="1052"/>
    </row>
    <row r="5271" spans="1:32" ht="15.75" x14ac:dyDescent="0.25">
      <c r="A5271" s="2017"/>
      <c r="B5271" s="2018"/>
      <c r="C5271" s="2018"/>
      <c r="D5271" s="2018"/>
      <c r="E5271" s="2018"/>
      <c r="F5271" s="2018"/>
      <c r="G5271" s="2018"/>
      <c r="H5271" s="2018"/>
      <c r="I5271" s="2018"/>
      <c r="J5271" s="2018"/>
      <c r="K5271" s="2018"/>
      <c r="L5271" s="2018"/>
      <c r="M5271" s="2018"/>
      <c r="N5271" s="2018"/>
      <c r="O5271" s="2018"/>
      <c r="P5271" s="2018"/>
      <c r="Q5271" s="2018"/>
      <c r="R5271" s="2018"/>
      <c r="S5271" s="2018"/>
      <c r="T5271" s="2018"/>
      <c r="U5271" s="2018"/>
      <c r="V5271" s="2018"/>
      <c r="W5271" s="2018"/>
      <c r="X5271" s="2018"/>
      <c r="Y5271" s="2018"/>
      <c r="Z5271" s="2022"/>
      <c r="AA5271" s="2022"/>
      <c r="AB5271" s="1050"/>
      <c r="AC5271" s="1050"/>
      <c r="AD5271" s="1050"/>
      <c r="AE5271" s="1050"/>
      <c r="AF5271" s="1052"/>
    </row>
    <row r="5272" spans="1:32" ht="15.75" x14ac:dyDescent="0.25">
      <c r="A5272" s="2017"/>
      <c r="B5272" s="2018"/>
      <c r="C5272" s="2018"/>
      <c r="D5272" s="2018"/>
      <c r="E5272" s="2018"/>
      <c r="F5272" s="2018"/>
      <c r="G5272" s="2018"/>
      <c r="H5272" s="2018"/>
      <c r="I5272" s="2018"/>
      <c r="J5272" s="2018"/>
      <c r="K5272" s="2018"/>
      <c r="L5272" s="2018"/>
      <c r="M5272" s="2018"/>
      <c r="N5272" s="2018"/>
      <c r="O5272" s="2018"/>
      <c r="P5272" s="2018"/>
      <c r="Q5272" s="2018"/>
      <c r="R5272" s="2018"/>
      <c r="S5272" s="2018"/>
      <c r="T5272" s="2018"/>
      <c r="U5272" s="2018"/>
      <c r="V5272" s="2018"/>
      <c r="W5272" s="2018"/>
      <c r="X5272" s="2018"/>
      <c r="Y5272" s="2018"/>
      <c r="Z5272" s="2022"/>
      <c r="AA5272" s="2022"/>
      <c r="AB5272" s="1050"/>
      <c r="AC5272" s="1050"/>
      <c r="AD5272" s="1050"/>
      <c r="AE5272" s="1050"/>
      <c r="AF5272" s="1052"/>
    </row>
    <row r="5273" spans="1:32" ht="15.75" x14ac:dyDescent="0.25">
      <c r="A5273" s="2017"/>
      <c r="B5273" s="2018"/>
      <c r="C5273" s="2018"/>
      <c r="D5273" s="2018"/>
      <c r="E5273" s="2018"/>
      <c r="F5273" s="2018"/>
      <c r="G5273" s="2018"/>
      <c r="H5273" s="2018"/>
      <c r="I5273" s="2018"/>
      <c r="J5273" s="2018"/>
      <c r="K5273" s="2018"/>
      <c r="L5273" s="2018"/>
      <c r="M5273" s="2018"/>
      <c r="N5273" s="2018"/>
      <c r="O5273" s="2018"/>
      <c r="P5273" s="2018"/>
      <c r="Q5273" s="2018"/>
      <c r="R5273" s="2018"/>
      <c r="S5273" s="2018"/>
      <c r="T5273" s="2018"/>
      <c r="U5273" s="2018"/>
      <c r="V5273" s="2018"/>
      <c r="W5273" s="2018"/>
      <c r="X5273" s="2018"/>
      <c r="Y5273" s="2018"/>
      <c r="Z5273" s="2022"/>
      <c r="AA5273" s="2022"/>
      <c r="AB5273" s="1050"/>
      <c r="AC5273" s="1050"/>
      <c r="AD5273" s="1050"/>
      <c r="AE5273" s="1050"/>
      <c r="AF5273" s="1052"/>
    </row>
    <row r="5274" spans="1:32" ht="15.6" customHeight="1" x14ac:dyDescent="0.25">
      <c r="A5274" s="2017"/>
      <c r="B5274" s="2018"/>
      <c r="C5274" s="2018"/>
      <c r="D5274" s="2018"/>
      <c r="E5274" s="2018"/>
      <c r="F5274" s="2018"/>
      <c r="G5274" s="2018"/>
      <c r="H5274" s="2018"/>
      <c r="I5274" s="2018"/>
      <c r="J5274" s="2018"/>
      <c r="K5274" s="2018"/>
      <c r="L5274" s="2018"/>
      <c r="M5274" s="2018"/>
      <c r="N5274" s="2018"/>
      <c r="O5274" s="2018"/>
      <c r="P5274" s="2018"/>
      <c r="Q5274" s="2018"/>
      <c r="R5274" s="2018"/>
      <c r="S5274" s="2018"/>
      <c r="T5274" s="2018"/>
      <c r="U5274" s="2018"/>
      <c r="V5274" s="2018"/>
      <c r="W5274" s="2018"/>
      <c r="X5274" s="2018"/>
      <c r="Y5274" s="2018"/>
      <c r="Z5274" s="2022"/>
      <c r="AA5274" s="2022"/>
      <c r="AB5274" s="1050"/>
      <c r="AC5274" s="1050"/>
      <c r="AD5274" s="1050"/>
      <c r="AE5274" s="1050"/>
      <c r="AF5274" s="1052"/>
    </row>
    <row r="5275" spans="1:32" ht="15.75" x14ac:dyDescent="0.25">
      <c r="A5275" s="2017"/>
      <c r="B5275" s="2018"/>
      <c r="C5275" s="2018"/>
      <c r="D5275" s="2018"/>
      <c r="E5275" s="2018"/>
      <c r="F5275" s="2018"/>
      <c r="G5275" s="2018"/>
      <c r="H5275" s="2018"/>
      <c r="I5275" s="2018"/>
      <c r="J5275" s="2018"/>
      <c r="K5275" s="2018"/>
      <c r="L5275" s="2018"/>
      <c r="M5275" s="2018"/>
      <c r="N5275" s="2018"/>
      <c r="O5275" s="2018"/>
      <c r="P5275" s="2018"/>
      <c r="Q5275" s="2018"/>
      <c r="R5275" s="2018"/>
      <c r="S5275" s="2018"/>
      <c r="T5275" s="2018"/>
      <c r="U5275" s="2018"/>
      <c r="V5275" s="2018"/>
      <c r="W5275" s="2018"/>
      <c r="X5275" s="2018"/>
      <c r="Y5275" s="2018"/>
      <c r="Z5275" s="2022"/>
      <c r="AA5275" s="2022"/>
      <c r="AB5275" s="1050"/>
      <c r="AC5275" s="1050"/>
      <c r="AD5275" s="1050"/>
      <c r="AE5275" s="1050"/>
      <c r="AF5275" s="1052"/>
    </row>
    <row r="5276" spans="1:32" ht="15.75" x14ac:dyDescent="0.25">
      <c r="A5276" s="2017"/>
      <c r="B5276" s="2018"/>
      <c r="C5276" s="2018"/>
      <c r="D5276" s="2018"/>
      <c r="E5276" s="2018"/>
      <c r="F5276" s="2018"/>
      <c r="G5276" s="2018"/>
      <c r="H5276" s="2018"/>
      <c r="I5276" s="2018"/>
      <c r="J5276" s="2018"/>
      <c r="K5276" s="2018"/>
      <c r="L5276" s="2018"/>
      <c r="M5276" s="2018"/>
      <c r="N5276" s="2018"/>
      <c r="O5276" s="2018"/>
      <c r="P5276" s="2018"/>
      <c r="Q5276" s="2018"/>
      <c r="R5276" s="2018"/>
      <c r="S5276" s="2018"/>
      <c r="T5276" s="2018"/>
      <c r="U5276" s="2018"/>
      <c r="V5276" s="2018"/>
      <c r="W5276" s="2018"/>
      <c r="X5276" s="2018"/>
      <c r="Y5276" s="2018"/>
      <c r="Z5276" s="2022"/>
      <c r="AA5276" s="2022"/>
      <c r="AB5276" s="1050"/>
      <c r="AC5276" s="1050"/>
      <c r="AD5276" s="1050"/>
      <c r="AE5276" s="1050"/>
      <c r="AF5276" s="1052"/>
    </row>
    <row r="5277" spans="1:32" ht="15.75" x14ac:dyDescent="0.25">
      <c r="A5277" s="2017"/>
      <c r="B5277" s="2018"/>
      <c r="C5277" s="2018"/>
      <c r="D5277" s="2018"/>
      <c r="E5277" s="2018"/>
      <c r="F5277" s="2018"/>
      <c r="G5277" s="2018"/>
      <c r="H5277" s="2018"/>
      <c r="I5277" s="2018"/>
      <c r="J5277" s="2018"/>
      <c r="K5277" s="2018"/>
      <c r="L5277" s="2018"/>
      <c r="M5277" s="2018"/>
      <c r="N5277" s="2018"/>
      <c r="O5277" s="2018"/>
      <c r="P5277" s="2018"/>
      <c r="Q5277" s="2018"/>
      <c r="R5277" s="2018"/>
      <c r="S5277" s="2018"/>
      <c r="T5277" s="2018"/>
      <c r="U5277" s="2018"/>
      <c r="V5277" s="2018"/>
      <c r="W5277" s="2018"/>
      <c r="X5277" s="2018"/>
      <c r="Y5277" s="2018"/>
      <c r="Z5277" s="2022"/>
      <c r="AA5277" s="2022"/>
      <c r="AB5277" s="1050"/>
      <c r="AC5277" s="1050"/>
      <c r="AD5277" s="1050"/>
      <c r="AE5277" s="1050"/>
      <c r="AF5277" s="1052"/>
    </row>
    <row r="5278" spans="1:32" ht="15.75" x14ac:dyDescent="0.25">
      <c r="A5278" s="2017"/>
      <c r="B5278" s="2018"/>
      <c r="C5278" s="2018"/>
      <c r="D5278" s="2018"/>
      <c r="E5278" s="2018"/>
      <c r="F5278" s="2018"/>
      <c r="G5278" s="2018"/>
      <c r="H5278" s="2018"/>
      <c r="I5278" s="2018"/>
      <c r="J5278" s="2018"/>
      <c r="K5278" s="2018"/>
      <c r="L5278" s="2018"/>
      <c r="M5278" s="2018"/>
      <c r="N5278" s="2018"/>
      <c r="O5278" s="2018"/>
      <c r="P5278" s="2018"/>
      <c r="Q5278" s="2018"/>
      <c r="R5278" s="2018"/>
      <c r="S5278" s="2018"/>
      <c r="T5278" s="2018"/>
      <c r="U5278" s="2018"/>
      <c r="V5278" s="2018"/>
      <c r="W5278" s="2018"/>
      <c r="X5278" s="2018"/>
      <c r="Y5278" s="2018"/>
      <c r="Z5278" s="2022"/>
      <c r="AA5278" s="2022"/>
      <c r="AB5278" s="1050"/>
      <c r="AC5278" s="1050"/>
      <c r="AD5278" s="1050"/>
      <c r="AE5278" s="1050"/>
      <c r="AF5278" s="1052"/>
    </row>
    <row r="5279" spans="1:32" ht="15.75" x14ac:dyDescent="0.25">
      <c r="A5279" s="2017"/>
      <c r="B5279" s="2018"/>
      <c r="C5279" s="2018"/>
      <c r="D5279" s="2018"/>
      <c r="E5279" s="2018"/>
      <c r="F5279" s="2018"/>
      <c r="G5279" s="2018"/>
      <c r="H5279" s="2018"/>
      <c r="I5279" s="2018"/>
      <c r="J5279" s="2018"/>
      <c r="K5279" s="2018"/>
      <c r="L5279" s="2018"/>
      <c r="M5279" s="2018"/>
      <c r="N5279" s="2018"/>
      <c r="O5279" s="2018"/>
      <c r="P5279" s="2018"/>
      <c r="Q5279" s="2018"/>
      <c r="R5279" s="2018"/>
      <c r="S5279" s="2018"/>
      <c r="T5279" s="2018"/>
      <c r="U5279" s="2018"/>
      <c r="V5279" s="2018"/>
      <c r="W5279" s="2018"/>
      <c r="X5279" s="2018"/>
      <c r="Y5279" s="2018"/>
      <c r="Z5279" s="2022"/>
      <c r="AA5279" s="2022"/>
      <c r="AB5279" s="1050"/>
      <c r="AC5279" s="1050"/>
      <c r="AD5279" s="1050"/>
      <c r="AE5279" s="1050"/>
      <c r="AF5279" s="1052"/>
    </row>
    <row r="5280" spans="1:32" ht="15.75" x14ac:dyDescent="0.25">
      <c r="A5280" s="2017"/>
      <c r="B5280" s="2018"/>
      <c r="C5280" s="2018"/>
      <c r="D5280" s="2018"/>
      <c r="E5280" s="2018"/>
      <c r="F5280" s="2018"/>
      <c r="G5280" s="2018"/>
      <c r="H5280" s="2018"/>
      <c r="I5280" s="2018"/>
      <c r="J5280" s="2018"/>
      <c r="K5280" s="2018"/>
      <c r="L5280" s="2018"/>
      <c r="M5280" s="2018"/>
      <c r="N5280" s="2018"/>
      <c r="O5280" s="2018"/>
      <c r="P5280" s="2018"/>
      <c r="Q5280" s="2018"/>
      <c r="R5280" s="2018"/>
      <c r="S5280" s="2018"/>
      <c r="T5280" s="2018"/>
      <c r="U5280" s="2018"/>
      <c r="V5280" s="2018"/>
      <c r="W5280" s="2018"/>
      <c r="X5280" s="2018"/>
      <c r="Y5280" s="2018"/>
      <c r="Z5280" s="2023"/>
      <c r="AA5280" s="2023"/>
      <c r="AB5280" s="1050"/>
      <c r="AC5280" s="1050"/>
      <c r="AD5280" s="1050"/>
      <c r="AE5280" s="1050"/>
      <c r="AF5280" s="1052"/>
    </row>
    <row r="5281" spans="1:32" ht="15.75" x14ac:dyDescent="0.25">
      <c r="A5281" s="2017"/>
      <c r="B5281" s="2018"/>
      <c r="C5281" s="2018"/>
      <c r="D5281" s="2018"/>
      <c r="E5281" s="2018"/>
      <c r="F5281" s="2018"/>
      <c r="G5281" s="2018"/>
      <c r="H5281" s="2018"/>
      <c r="I5281" s="2018"/>
      <c r="J5281" s="2018"/>
      <c r="K5281" s="2018"/>
      <c r="L5281" s="2018"/>
      <c r="M5281" s="2018"/>
      <c r="N5281" s="2018"/>
      <c r="O5281" s="2018"/>
      <c r="P5281" s="2018"/>
      <c r="Q5281" s="2018"/>
      <c r="R5281" s="2018"/>
      <c r="S5281" s="2018"/>
      <c r="T5281" s="2018"/>
      <c r="U5281" s="2018"/>
      <c r="V5281" s="2018"/>
      <c r="W5281" s="2018"/>
      <c r="X5281" s="2018"/>
      <c r="Y5281" s="2018"/>
      <c r="Z5281" s="2023"/>
      <c r="AA5281" s="2023"/>
      <c r="AB5281" s="1050"/>
      <c r="AC5281" s="1050"/>
      <c r="AD5281" s="1050"/>
      <c r="AE5281" s="1050"/>
      <c r="AF5281" s="1052"/>
    </row>
    <row r="5282" spans="1:32" ht="15.75" x14ac:dyDescent="0.25">
      <c r="A5282" s="2017"/>
      <c r="B5282" s="2018"/>
      <c r="C5282" s="2018"/>
      <c r="D5282" s="2018"/>
      <c r="E5282" s="2018"/>
      <c r="F5282" s="2018"/>
      <c r="G5282" s="2018"/>
      <c r="H5282" s="2018"/>
      <c r="I5282" s="2018"/>
      <c r="J5282" s="2018"/>
      <c r="K5282" s="2018"/>
      <c r="L5282" s="2018"/>
      <c r="M5282" s="2018"/>
      <c r="N5282" s="2018"/>
      <c r="O5282" s="2018"/>
      <c r="P5282" s="2018"/>
      <c r="Q5282" s="2018"/>
      <c r="R5282" s="2018"/>
      <c r="S5282" s="2018"/>
      <c r="T5282" s="2018"/>
      <c r="U5282" s="2018"/>
      <c r="V5282" s="2018"/>
      <c r="W5282" s="2018"/>
      <c r="X5282" s="2018"/>
      <c r="Y5282" s="2018"/>
      <c r="Z5282" s="2023"/>
      <c r="AA5282" s="2023"/>
      <c r="AB5282" s="1050"/>
      <c r="AC5282" s="1050"/>
      <c r="AD5282" s="1050"/>
      <c r="AE5282" s="1050"/>
      <c r="AF5282" s="1052"/>
    </row>
    <row r="5283" spans="1:32" ht="15.75" x14ac:dyDescent="0.25">
      <c r="A5283" s="2017"/>
      <c r="B5283" s="2018"/>
      <c r="C5283" s="2018"/>
      <c r="D5283" s="2018"/>
      <c r="E5283" s="2018"/>
      <c r="F5283" s="2018"/>
      <c r="G5283" s="2018"/>
      <c r="H5283" s="2018"/>
      <c r="I5283" s="2018"/>
      <c r="J5283" s="2018"/>
      <c r="K5283" s="2018"/>
      <c r="L5283" s="2018"/>
      <c r="M5283" s="2018"/>
      <c r="N5283" s="2018"/>
      <c r="O5283" s="2018"/>
      <c r="P5283" s="2018"/>
      <c r="Q5283" s="2018"/>
      <c r="R5283" s="2018"/>
      <c r="S5283" s="2018"/>
      <c r="T5283" s="2018"/>
      <c r="U5283" s="2018"/>
      <c r="V5283" s="2018"/>
      <c r="W5283" s="2018"/>
      <c r="X5283" s="2018"/>
      <c r="Y5283" s="2018"/>
      <c r="Z5283" s="2023"/>
      <c r="AA5283" s="2023"/>
      <c r="AB5283" s="1050"/>
      <c r="AC5283" s="1050"/>
      <c r="AD5283" s="1050"/>
      <c r="AE5283" s="1050"/>
      <c r="AF5283" s="1052"/>
    </row>
    <row r="5284" spans="1:32" ht="15.75" x14ac:dyDescent="0.25">
      <c r="A5284" s="2017"/>
      <c r="B5284" s="2018"/>
      <c r="C5284" s="2018"/>
      <c r="D5284" s="2018"/>
      <c r="E5284" s="2018"/>
      <c r="F5284" s="2018"/>
      <c r="G5284" s="2018"/>
      <c r="H5284" s="2018"/>
      <c r="I5284" s="2018"/>
      <c r="J5284" s="2018"/>
      <c r="K5284" s="2018"/>
      <c r="L5284" s="2018"/>
      <c r="M5284" s="2018"/>
      <c r="N5284" s="2018"/>
      <c r="O5284" s="2018"/>
      <c r="P5284" s="2018"/>
      <c r="Q5284" s="2018"/>
      <c r="R5284" s="2018"/>
      <c r="S5284" s="2018"/>
      <c r="T5284" s="2018"/>
      <c r="U5284" s="2018"/>
      <c r="V5284" s="2018"/>
      <c r="W5284" s="2018"/>
      <c r="X5284" s="2018"/>
      <c r="Y5284" s="2018"/>
      <c r="Z5284" s="2023"/>
      <c r="AA5284" s="2023"/>
      <c r="AB5284" s="1050"/>
      <c r="AC5284" s="1050"/>
      <c r="AD5284" s="1050"/>
      <c r="AE5284" s="1050"/>
      <c r="AF5284" s="1052"/>
    </row>
    <row r="5285" spans="1:32" ht="15.75" x14ac:dyDescent="0.25">
      <c r="A5285" s="2017"/>
      <c r="B5285" s="2018"/>
      <c r="C5285" s="2018"/>
      <c r="D5285" s="2018"/>
      <c r="E5285" s="2018"/>
      <c r="F5285" s="2018"/>
      <c r="G5285" s="2018"/>
      <c r="H5285" s="2018"/>
      <c r="I5285" s="2018"/>
      <c r="J5285" s="2018"/>
      <c r="K5285" s="2018"/>
      <c r="L5285" s="2018"/>
      <c r="M5285" s="2018"/>
      <c r="N5285" s="2018"/>
      <c r="O5285" s="2018"/>
      <c r="P5285" s="2018"/>
      <c r="Q5285" s="2018"/>
      <c r="R5285" s="2018"/>
      <c r="S5285" s="2018"/>
      <c r="T5285" s="2018"/>
      <c r="U5285" s="2018"/>
      <c r="V5285" s="2018"/>
      <c r="W5285" s="2018"/>
      <c r="X5285" s="2018"/>
      <c r="Y5285" s="2018"/>
      <c r="Z5285" s="2023"/>
      <c r="AA5285" s="2023"/>
      <c r="AB5285" s="1050"/>
      <c r="AC5285" s="1050"/>
      <c r="AD5285" s="1050"/>
      <c r="AE5285" s="1050"/>
      <c r="AF5285" s="1052"/>
    </row>
    <row r="5286" spans="1:32" ht="16.5" thickBot="1" x14ac:dyDescent="0.3">
      <c r="A5286" s="2019"/>
      <c r="B5286" s="2020"/>
      <c r="C5286" s="2020"/>
      <c r="D5286" s="2020"/>
      <c r="E5286" s="2020"/>
      <c r="F5286" s="2020"/>
      <c r="G5286" s="2020"/>
      <c r="H5286" s="2020"/>
      <c r="I5286" s="2020"/>
      <c r="J5286" s="2020"/>
      <c r="K5286" s="2020"/>
      <c r="L5286" s="2020"/>
      <c r="M5286" s="2020"/>
      <c r="N5286" s="2020"/>
      <c r="O5286" s="2020"/>
      <c r="P5286" s="2020"/>
      <c r="Q5286" s="2020"/>
      <c r="R5286" s="2020"/>
      <c r="S5286" s="2020"/>
      <c r="T5286" s="2020"/>
      <c r="U5286" s="2020"/>
      <c r="V5286" s="2020"/>
      <c r="W5286" s="2020"/>
      <c r="X5286" s="2020"/>
      <c r="Y5286" s="2020"/>
      <c r="Z5286" s="2024"/>
      <c r="AA5286" s="2024"/>
      <c r="AB5286" s="1057"/>
      <c r="AC5286" s="1057"/>
      <c r="AD5286" s="1057"/>
      <c r="AE5286" s="1057"/>
      <c r="AF5286" s="1058"/>
    </row>
    <row r="5287" spans="1:32" ht="15.75" x14ac:dyDescent="0.25">
      <c r="A5287" s="2009" t="s">
        <v>1855</v>
      </c>
      <c r="B5287" s="2010"/>
      <c r="C5287" s="2010"/>
      <c r="D5287" s="2010"/>
      <c r="E5287" s="2010"/>
      <c r="F5287" s="2010"/>
      <c r="G5287" s="2010"/>
      <c r="H5287" s="2010"/>
      <c r="I5287" s="2010"/>
      <c r="J5287" s="2010"/>
      <c r="K5287" s="2010"/>
      <c r="L5287" s="2010"/>
      <c r="M5287" s="2010"/>
      <c r="N5287" s="2010"/>
      <c r="O5287" s="2010"/>
      <c r="P5287" s="2010"/>
      <c r="Q5287" s="2010"/>
      <c r="R5287" s="2010"/>
      <c r="S5287" s="2010"/>
      <c r="T5287" s="2010"/>
      <c r="U5287" s="2010"/>
      <c r="V5287" s="2010"/>
      <c r="W5287" s="2010"/>
      <c r="X5287" s="2010"/>
      <c r="Y5287" s="2010"/>
      <c r="Z5287" s="2013" t="s">
        <v>1850</v>
      </c>
      <c r="AA5287" s="2013"/>
      <c r="AB5287" s="2013"/>
      <c r="AC5287" s="2013"/>
      <c r="AD5287" s="2013"/>
      <c r="AE5287" s="2013"/>
      <c r="AF5287" s="1059">
        <f>SUM(AF5263:AF5286)</f>
        <v>119.55000000000001</v>
      </c>
    </row>
    <row r="5288" spans="1:32" ht="15.75" x14ac:dyDescent="0.25">
      <c r="A5288" s="2011"/>
      <c r="B5288" s="2012"/>
      <c r="C5288" s="2012"/>
      <c r="D5288" s="2012"/>
      <c r="E5288" s="2012"/>
      <c r="F5288" s="2012"/>
      <c r="G5288" s="2012"/>
      <c r="H5288" s="2012"/>
      <c r="I5288" s="2012"/>
      <c r="J5288" s="2012"/>
      <c r="K5288" s="2012"/>
      <c r="L5288" s="2012"/>
      <c r="M5288" s="2012"/>
      <c r="N5288" s="2012"/>
      <c r="O5288" s="2012"/>
      <c r="P5288" s="2012"/>
      <c r="Q5288" s="2012"/>
      <c r="R5288" s="2012"/>
      <c r="S5288" s="2012"/>
      <c r="T5288" s="2012"/>
      <c r="U5288" s="2012"/>
      <c r="V5288" s="2012"/>
      <c r="W5288" s="2012"/>
      <c r="X5288" s="2012"/>
      <c r="Y5288" s="2012"/>
      <c r="Z5288" s="2014" t="s">
        <v>1851</v>
      </c>
      <c r="AA5288" s="2014"/>
      <c r="AB5288" s="2014"/>
      <c r="AC5288" s="2014"/>
      <c r="AD5288" s="2014"/>
      <c r="AE5288" s="2014"/>
      <c r="AF5288" s="1060">
        <v>0</v>
      </c>
    </row>
    <row r="5289" spans="1:32" ht="15.75" x14ac:dyDescent="0.25">
      <c r="A5289" s="2011"/>
      <c r="B5289" s="2012"/>
      <c r="C5289" s="2012"/>
      <c r="D5289" s="2012"/>
      <c r="E5289" s="2012"/>
      <c r="F5289" s="2012"/>
      <c r="G5289" s="2012"/>
      <c r="H5289" s="2012"/>
      <c r="I5289" s="2012"/>
      <c r="J5289" s="2012"/>
      <c r="K5289" s="2012"/>
      <c r="L5289" s="2012"/>
      <c r="M5289" s="2012"/>
      <c r="N5289" s="2012"/>
      <c r="O5289" s="2012"/>
      <c r="P5289" s="2012"/>
      <c r="Q5289" s="2012"/>
      <c r="R5289" s="2012"/>
      <c r="S5289" s="2012"/>
      <c r="T5289" s="2012"/>
      <c r="U5289" s="2012"/>
      <c r="V5289" s="2012"/>
      <c r="W5289" s="2012"/>
      <c r="X5289" s="2012"/>
      <c r="Y5289" s="2012"/>
      <c r="Z5289" s="2015" t="s">
        <v>1833</v>
      </c>
      <c r="AA5289" s="2015"/>
      <c r="AB5289" s="2015"/>
      <c r="AC5289" s="2015"/>
      <c r="AD5289" s="2015"/>
      <c r="AE5289" s="2015"/>
      <c r="AF5289" s="1061">
        <f>SUM(AF5287:AF5288)</f>
        <v>119.55000000000001</v>
      </c>
    </row>
    <row r="5290" spans="1:32" x14ac:dyDescent="0.2">
      <c r="A5290" s="2012" t="s">
        <v>1859</v>
      </c>
      <c r="B5290" s="2012"/>
      <c r="C5290" s="2012"/>
      <c r="D5290" s="2012"/>
      <c r="E5290" s="2012"/>
      <c r="F5290" s="2012"/>
      <c r="G5290" s="2012"/>
      <c r="H5290" s="2012"/>
      <c r="I5290" s="2012"/>
      <c r="J5290" s="2012"/>
      <c r="K5290" s="2012"/>
      <c r="L5290" s="2012"/>
      <c r="M5290" s="2012"/>
      <c r="N5290" s="2012"/>
      <c r="O5290" s="2012"/>
      <c r="P5290" s="2012"/>
      <c r="Q5290" s="2012"/>
      <c r="R5290" s="2012"/>
      <c r="S5290" s="2012"/>
      <c r="T5290" s="2016" t="s">
        <v>1840</v>
      </c>
      <c r="U5290" s="2016"/>
      <c r="V5290" s="2016"/>
      <c r="W5290" s="2016"/>
      <c r="X5290" s="2016"/>
      <c r="Y5290" s="2016"/>
      <c r="Z5290" s="2016"/>
      <c r="AA5290" s="2016"/>
      <c r="AB5290" s="2012" t="s">
        <v>1852</v>
      </c>
      <c r="AC5290" s="2012"/>
      <c r="AD5290" s="2012"/>
      <c r="AE5290" s="2012"/>
      <c r="AF5290" s="2012"/>
    </row>
    <row r="5291" spans="1:32" x14ac:dyDescent="0.2">
      <c r="A5291" s="2012"/>
      <c r="B5291" s="2012"/>
      <c r="C5291" s="2012"/>
      <c r="D5291" s="2012"/>
      <c r="E5291" s="2012"/>
      <c r="F5291" s="2012"/>
      <c r="G5291" s="2012"/>
      <c r="H5291" s="2012"/>
      <c r="I5291" s="2012"/>
      <c r="J5291" s="2012"/>
      <c r="K5291" s="2012"/>
      <c r="L5291" s="2012"/>
      <c r="M5291" s="2012"/>
      <c r="N5291" s="2012"/>
      <c r="O5291" s="2012"/>
      <c r="P5291" s="2012"/>
      <c r="Q5291" s="2012"/>
      <c r="R5291" s="2012"/>
      <c r="S5291" s="2012"/>
      <c r="T5291" s="2016"/>
      <c r="U5291" s="2016"/>
      <c r="V5291" s="2016"/>
      <c r="W5291" s="2016"/>
      <c r="X5291" s="2016"/>
      <c r="Y5291" s="2016"/>
      <c r="Z5291" s="2016"/>
      <c r="AA5291" s="2016"/>
      <c r="AB5291" s="2012"/>
      <c r="AC5291" s="2012"/>
      <c r="AD5291" s="2012"/>
      <c r="AE5291" s="2012"/>
      <c r="AF5291" s="2012"/>
    </row>
    <row r="5292" spans="1:32" ht="13.5" thickBot="1" x14ac:dyDescent="0.25"/>
    <row r="5293" spans="1:32" ht="26.45" customHeight="1" x14ac:dyDescent="0.2">
      <c r="A5293" s="2025" t="s">
        <v>1854</v>
      </c>
      <c r="B5293" s="2026"/>
      <c r="C5293" s="2026"/>
      <c r="D5293" s="2026"/>
      <c r="E5293" s="2026"/>
      <c r="F5293" s="2026"/>
      <c r="G5293" s="2026"/>
      <c r="H5293" s="2026"/>
      <c r="I5293" s="2026"/>
      <c r="J5293" s="2026"/>
      <c r="K5293" s="2026"/>
      <c r="L5293" s="2026"/>
      <c r="M5293" s="2026"/>
      <c r="N5293" s="2026"/>
      <c r="O5293" s="2026"/>
      <c r="P5293" s="2026"/>
      <c r="Q5293" s="2026"/>
      <c r="R5293" s="2026"/>
      <c r="S5293" s="2026"/>
      <c r="T5293" s="2026"/>
      <c r="U5293" s="2026"/>
      <c r="V5293" s="2026"/>
      <c r="W5293" s="2026"/>
      <c r="X5293" s="2026"/>
      <c r="Y5293" s="2026"/>
      <c r="Z5293" s="2026"/>
      <c r="AA5293" s="2026"/>
      <c r="AB5293" s="2026"/>
      <c r="AC5293" s="2026"/>
      <c r="AD5293" s="2026"/>
      <c r="AE5293" s="1041" t="s">
        <v>1834</v>
      </c>
      <c r="AF5293" s="1042" t="s">
        <v>1835</v>
      </c>
    </row>
    <row r="5294" spans="1:32" ht="21" customHeight="1" thickBot="1" x14ac:dyDescent="0.25">
      <c r="A5294" s="2027"/>
      <c r="B5294" s="2028"/>
      <c r="C5294" s="2028"/>
      <c r="D5294" s="2028"/>
      <c r="E5294" s="2028"/>
      <c r="F5294" s="2028"/>
      <c r="G5294" s="2028"/>
      <c r="H5294" s="2028"/>
      <c r="I5294" s="2028"/>
      <c r="J5294" s="2028"/>
      <c r="K5294" s="2028"/>
      <c r="L5294" s="2028"/>
      <c r="M5294" s="2028"/>
      <c r="N5294" s="2028"/>
      <c r="O5294" s="2028"/>
      <c r="P5294" s="2028"/>
      <c r="Q5294" s="2028"/>
      <c r="R5294" s="2028"/>
      <c r="S5294" s="2028"/>
      <c r="T5294" s="2028"/>
      <c r="U5294" s="2028"/>
      <c r="V5294" s="2028"/>
      <c r="W5294" s="2028"/>
      <c r="X5294" s="2028"/>
      <c r="Y5294" s="2028"/>
      <c r="Z5294" s="2028"/>
      <c r="AA5294" s="2028"/>
      <c r="AB5294" s="2028"/>
      <c r="AC5294" s="2028"/>
      <c r="AD5294" s="2028"/>
      <c r="AE5294" s="1041" t="s">
        <v>1836</v>
      </c>
      <c r="AF5294" s="1044">
        <v>1</v>
      </c>
    </row>
    <row r="5295" spans="1:32" ht="15.75" x14ac:dyDescent="0.2">
      <c r="A5295" s="2029"/>
      <c r="B5295" s="2030"/>
      <c r="C5295" s="2030"/>
      <c r="D5295" s="2031"/>
      <c r="E5295" s="2025" t="str">
        <f>'01'!$A$12</f>
        <v>"CONSTRUCCION SISTEMA DE ACUEDUCTO FASE II DEL MUNICIPIO DE TESALIA DPTO DEL HUILA"</v>
      </c>
      <c r="F5295" s="2026"/>
      <c r="G5295" s="2026"/>
      <c r="H5295" s="2026"/>
      <c r="I5295" s="2026"/>
      <c r="J5295" s="2026"/>
      <c r="K5295" s="2026"/>
      <c r="L5295" s="2026"/>
      <c r="M5295" s="2026"/>
      <c r="N5295" s="2026"/>
      <c r="O5295" s="2026"/>
      <c r="P5295" s="2026"/>
      <c r="Q5295" s="2026"/>
      <c r="R5295" s="2026"/>
      <c r="S5295" s="2026"/>
      <c r="T5295" s="2026"/>
      <c r="U5295" s="2026"/>
      <c r="V5295" s="2026"/>
      <c r="W5295" s="2026"/>
      <c r="X5295" s="2026"/>
      <c r="Y5295" s="2026"/>
      <c r="Z5295" s="2026"/>
      <c r="AA5295" s="2026"/>
      <c r="AB5295" s="2026"/>
      <c r="AC5295" s="2026"/>
      <c r="AD5295" s="2035"/>
      <c r="AE5295" s="1041" t="s">
        <v>847</v>
      </c>
      <c r="AF5295" s="1045">
        <f>'01'!$M$13</f>
        <v>0</v>
      </c>
    </row>
    <row r="5296" spans="1:32" ht="16.5" thickBot="1" x14ac:dyDescent="0.25">
      <c r="A5296" s="2032"/>
      <c r="B5296" s="2033"/>
      <c r="C5296" s="2033"/>
      <c r="D5296" s="2034"/>
      <c r="E5296" s="2027"/>
      <c r="F5296" s="2028"/>
      <c r="G5296" s="2028"/>
      <c r="H5296" s="2028"/>
      <c r="I5296" s="2028"/>
      <c r="J5296" s="2028"/>
      <c r="K5296" s="2028"/>
      <c r="L5296" s="2028"/>
      <c r="M5296" s="2028"/>
      <c r="N5296" s="2028"/>
      <c r="O5296" s="2028"/>
      <c r="P5296" s="2028"/>
      <c r="Q5296" s="2028"/>
      <c r="R5296" s="2028"/>
      <c r="S5296" s="2028"/>
      <c r="T5296" s="2028"/>
      <c r="U5296" s="2028"/>
      <c r="V5296" s="2028"/>
      <c r="W5296" s="2028"/>
      <c r="X5296" s="2028"/>
      <c r="Y5296" s="2028"/>
      <c r="Z5296" s="2028"/>
      <c r="AA5296" s="2028"/>
      <c r="AB5296" s="2028"/>
      <c r="AC5296" s="2028"/>
      <c r="AD5296" s="2036"/>
      <c r="AE5296" s="1041" t="s">
        <v>1837</v>
      </c>
      <c r="AF5296" s="1042" t="s">
        <v>1838</v>
      </c>
    </row>
    <row r="5297" spans="1:32" ht="15.75" x14ac:dyDescent="0.25">
      <c r="A5297" s="2037" t="s">
        <v>1860</v>
      </c>
      <c r="B5297" s="2038"/>
      <c r="C5297" s="2038"/>
      <c r="D5297" s="2038"/>
      <c r="E5297" s="2038"/>
      <c r="F5297" s="2038"/>
      <c r="G5297" s="2038"/>
      <c r="H5297" s="2038"/>
      <c r="I5297" s="2038"/>
      <c r="J5297" s="2038"/>
      <c r="K5297" s="2038"/>
      <c r="L5297" s="2038"/>
      <c r="M5297" s="2038"/>
      <c r="N5297" s="2038"/>
      <c r="O5297" s="2038"/>
      <c r="P5297" s="2038"/>
      <c r="Q5297" s="2038"/>
      <c r="R5297" s="2038"/>
      <c r="S5297" s="2038"/>
      <c r="T5297" s="2038"/>
      <c r="U5297" s="2038"/>
      <c r="V5297" s="2038"/>
      <c r="W5297" s="2038"/>
      <c r="X5297" s="2038"/>
      <c r="Y5297" s="2038"/>
      <c r="Z5297" s="2038"/>
      <c r="AA5297" s="2038"/>
      <c r="AB5297" s="2038"/>
      <c r="AC5297" s="2038"/>
      <c r="AD5297" s="2038"/>
      <c r="AE5297" s="2039" t="s">
        <v>1839</v>
      </c>
      <c r="AF5297" s="2040"/>
    </row>
    <row r="5298" spans="1:32" ht="15.75" x14ac:dyDescent="0.25">
      <c r="A5298" s="2041" t="s">
        <v>1840</v>
      </c>
      <c r="B5298" s="2042"/>
      <c r="C5298" s="2042"/>
      <c r="D5298" s="2042"/>
      <c r="E5298" s="2042"/>
      <c r="F5298" s="2042"/>
      <c r="G5298" s="2042"/>
      <c r="H5298" s="2042"/>
      <c r="I5298" s="2042"/>
      <c r="J5298" s="2042"/>
      <c r="K5298" s="2042"/>
      <c r="L5298" s="2042"/>
      <c r="M5298" s="2042"/>
      <c r="N5298" s="2042"/>
      <c r="O5298" s="2042"/>
      <c r="P5298" s="2042"/>
      <c r="Q5298" s="2042"/>
      <c r="R5298" s="2042"/>
      <c r="S5298" s="2042"/>
      <c r="T5298" s="2042"/>
      <c r="U5298" s="2042"/>
      <c r="V5298" s="2042"/>
      <c r="W5298" s="2042"/>
      <c r="X5298" s="2042"/>
      <c r="Y5298" s="2042"/>
      <c r="Z5298" s="2042"/>
      <c r="AA5298" s="2042"/>
      <c r="AB5298" s="2042"/>
      <c r="AC5298" s="2042"/>
      <c r="AD5298" s="2043"/>
      <c r="AE5298" s="2014" t="s">
        <v>1841</v>
      </c>
      <c r="AF5298" s="2044"/>
    </row>
    <row r="5299" spans="1:32" ht="15.75" x14ac:dyDescent="0.25">
      <c r="A5299" s="2045" t="s">
        <v>1853</v>
      </c>
      <c r="B5299" s="2046"/>
      <c r="C5299" s="2046"/>
      <c r="D5299" s="2046"/>
      <c r="E5299" s="2046"/>
      <c r="F5299" s="2046"/>
      <c r="G5299" s="2046"/>
      <c r="H5299" s="2046"/>
      <c r="I5299" s="2046"/>
      <c r="J5299" s="2046"/>
      <c r="K5299" s="2046"/>
      <c r="L5299" s="2046"/>
      <c r="M5299" s="2046"/>
      <c r="N5299" s="2046"/>
      <c r="O5299" s="2046"/>
      <c r="P5299" s="2046"/>
      <c r="Q5299" s="2046"/>
      <c r="R5299" s="2046"/>
      <c r="S5299" s="2046"/>
      <c r="T5299" s="2046"/>
      <c r="U5299" s="2046"/>
      <c r="V5299" s="2046"/>
      <c r="W5299" s="2046"/>
      <c r="X5299" s="2046"/>
      <c r="Y5299" s="2046"/>
      <c r="Z5299" s="2046"/>
      <c r="AA5299" s="2046"/>
      <c r="AB5299" s="2046"/>
      <c r="AC5299" s="2046"/>
      <c r="AD5299" s="2046"/>
      <c r="AE5299" s="2047">
        <f>'01'!$M$13</f>
        <v>0</v>
      </c>
      <c r="AF5299" s="2044"/>
    </row>
    <row r="5300" spans="1:32" x14ac:dyDescent="0.2">
      <c r="A5300" s="1046"/>
      <c r="B5300" s="1047"/>
      <c r="C5300" s="1047"/>
      <c r="D5300" s="1047"/>
      <c r="E5300" s="1047"/>
      <c r="F5300" s="1047"/>
      <c r="G5300" s="1047"/>
      <c r="H5300" s="1047"/>
      <c r="I5300" s="1047"/>
      <c r="J5300" s="1047"/>
      <c r="K5300" s="1047"/>
      <c r="L5300" s="1047"/>
      <c r="M5300" s="1047"/>
      <c r="N5300" s="1047"/>
      <c r="O5300" s="1047"/>
      <c r="P5300" s="1047"/>
      <c r="Q5300" s="1047"/>
      <c r="R5300" s="1047"/>
      <c r="S5300" s="1047"/>
      <c r="T5300" s="1047"/>
      <c r="U5300" s="1047"/>
      <c r="V5300" s="1047"/>
      <c r="W5300" s="1047"/>
      <c r="X5300" s="1047"/>
      <c r="Y5300" s="1047"/>
      <c r="Z5300" s="1047"/>
      <c r="AA5300" s="1047"/>
      <c r="AB5300" s="1047"/>
      <c r="AC5300" s="1047"/>
      <c r="AD5300" s="1047"/>
      <c r="AE5300" s="1047"/>
      <c r="AF5300" s="1048"/>
    </row>
    <row r="5301" spans="1:32" ht="30" customHeight="1" x14ac:dyDescent="0.2">
      <c r="A5301" s="2048" t="s">
        <v>1842</v>
      </c>
      <c r="B5301" s="2049"/>
      <c r="C5301" s="2049"/>
      <c r="D5301" s="2049"/>
      <c r="E5301" s="2049"/>
      <c r="F5301" s="2050" t="str">
        <f>+'01'!$H$201</f>
        <v>H - TANQUE DE ALMACENAMIENTO</v>
      </c>
      <c r="G5301" s="2049"/>
      <c r="H5301" s="2049"/>
      <c r="I5301" s="2049"/>
      <c r="J5301" s="2049"/>
      <c r="K5301" s="2049"/>
      <c r="L5301" s="2049"/>
      <c r="M5301" s="2049"/>
      <c r="N5301" s="2049"/>
      <c r="O5301" s="2049"/>
      <c r="P5301" s="2049"/>
      <c r="Q5301" s="2049"/>
      <c r="R5301" s="2049"/>
      <c r="S5301" s="2049"/>
      <c r="T5301" s="2049"/>
      <c r="U5301" s="2049"/>
      <c r="V5301" s="2049"/>
      <c r="W5301" s="2049"/>
      <c r="X5301" s="2049"/>
      <c r="Y5301" s="2051"/>
      <c r="Z5301" s="2052" t="s">
        <v>1843</v>
      </c>
      <c r="AA5301" s="2053"/>
      <c r="AB5301" s="2058" t="s">
        <v>1844</v>
      </c>
      <c r="AC5301" s="2059"/>
      <c r="AD5301" s="2060"/>
      <c r="AE5301" s="2064" t="s">
        <v>1845</v>
      </c>
      <c r="AF5301" s="2067" t="s">
        <v>1846</v>
      </c>
    </row>
    <row r="5302" spans="1:32" ht="15" customHeight="1" x14ac:dyDescent="0.2">
      <c r="A5302" s="2070" t="str">
        <f>+'01'!A222</f>
        <v>H-08-02</v>
      </c>
      <c r="B5302" s="2071"/>
      <c r="C5302" s="2072"/>
      <c r="D5302" s="2076" t="str">
        <f>VLOOKUP(A5302,'01'!$A$12:$N$299,3,FALSE)</f>
        <v>SUMINISTRO E INSTALACIÓN PASAMURO HD 8" BXB=0,75M Z=0.375 M.</v>
      </c>
      <c r="E5302" s="2077"/>
      <c r="F5302" s="2077"/>
      <c r="G5302" s="2077"/>
      <c r="H5302" s="2077"/>
      <c r="I5302" s="2077"/>
      <c r="J5302" s="2077"/>
      <c r="K5302" s="2077"/>
      <c r="L5302" s="2077"/>
      <c r="M5302" s="2077"/>
      <c r="N5302" s="2077"/>
      <c r="O5302" s="2077"/>
      <c r="P5302" s="2077"/>
      <c r="Q5302" s="2077"/>
      <c r="R5302" s="2077"/>
      <c r="S5302" s="2078"/>
      <c r="T5302" s="2082" t="s">
        <v>124</v>
      </c>
      <c r="U5302" s="2083"/>
      <c r="V5302" s="2083"/>
      <c r="W5302" s="2083"/>
      <c r="X5302" s="2052" t="str">
        <f>VLOOKUP(A5302,'01'!$A$12:$N$299,9,FALSE)</f>
        <v>UND</v>
      </c>
      <c r="Y5302" s="2053"/>
      <c r="Z5302" s="2054"/>
      <c r="AA5302" s="2055"/>
      <c r="AB5302" s="2061"/>
      <c r="AC5302" s="2062"/>
      <c r="AD5302" s="2063"/>
      <c r="AE5302" s="2065"/>
      <c r="AF5302" s="2068"/>
    </row>
    <row r="5303" spans="1:32" ht="15" customHeight="1" x14ac:dyDescent="0.25">
      <c r="A5303" s="2073"/>
      <c r="B5303" s="2074"/>
      <c r="C5303" s="2075"/>
      <c r="D5303" s="2079"/>
      <c r="E5303" s="2080"/>
      <c r="F5303" s="2080"/>
      <c r="G5303" s="2080"/>
      <c r="H5303" s="2080"/>
      <c r="I5303" s="2080"/>
      <c r="J5303" s="2080"/>
      <c r="K5303" s="2080"/>
      <c r="L5303" s="2080"/>
      <c r="M5303" s="2080"/>
      <c r="N5303" s="2080"/>
      <c r="O5303" s="2080"/>
      <c r="P5303" s="2080"/>
      <c r="Q5303" s="2080"/>
      <c r="R5303" s="2080"/>
      <c r="S5303" s="2081"/>
      <c r="T5303" s="2084"/>
      <c r="U5303" s="2085"/>
      <c r="V5303" s="2085"/>
      <c r="W5303" s="2085"/>
      <c r="X5303" s="2056"/>
      <c r="Y5303" s="2057"/>
      <c r="Z5303" s="2056"/>
      <c r="AA5303" s="2057"/>
      <c r="AB5303" s="1049" t="s">
        <v>1847</v>
      </c>
      <c r="AC5303" s="1049" t="s">
        <v>1848</v>
      </c>
      <c r="AD5303" s="1049" t="s">
        <v>1861</v>
      </c>
      <c r="AE5303" s="2066"/>
      <c r="AF5303" s="2069"/>
    </row>
    <row r="5304" spans="1:32" ht="15.6" customHeight="1" x14ac:dyDescent="0.25">
      <c r="A5304" s="2017"/>
      <c r="B5304" s="2018"/>
      <c r="C5304" s="2018"/>
      <c r="D5304" s="2018"/>
      <c r="E5304" s="2018"/>
      <c r="F5304" s="2018"/>
      <c r="G5304" s="2018"/>
      <c r="H5304" s="2018"/>
      <c r="I5304" s="2018"/>
      <c r="J5304" s="2018"/>
      <c r="K5304" s="2018"/>
      <c r="L5304" s="2018"/>
      <c r="M5304" s="2018"/>
      <c r="N5304" s="2018"/>
      <c r="O5304" s="2018"/>
      <c r="P5304" s="2018"/>
      <c r="Q5304" s="2018"/>
      <c r="R5304" s="2018"/>
      <c r="S5304" s="2018"/>
      <c r="T5304" s="2018"/>
      <c r="U5304" s="2018"/>
      <c r="V5304" s="2018"/>
      <c r="W5304" s="2018"/>
      <c r="X5304" s="2018"/>
      <c r="Y5304" s="2018"/>
      <c r="Z5304" s="2021" t="s">
        <v>2521</v>
      </c>
      <c r="AA5304" s="2021"/>
      <c r="AB5304" s="1050"/>
      <c r="AC5304" s="1050"/>
      <c r="AD5304" s="1050"/>
      <c r="AE5304" s="1050">
        <v>6</v>
      </c>
      <c r="AF5304" s="1052">
        <f>+AE5304</f>
        <v>6</v>
      </c>
    </row>
    <row r="5305" spans="1:32" ht="15.6" customHeight="1" x14ac:dyDescent="0.25">
      <c r="A5305" s="2017"/>
      <c r="B5305" s="2018"/>
      <c r="C5305" s="2018"/>
      <c r="D5305" s="2018"/>
      <c r="E5305" s="2018"/>
      <c r="F5305" s="2018"/>
      <c r="G5305" s="2018"/>
      <c r="H5305" s="2018"/>
      <c r="I5305" s="2018"/>
      <c r="J5305" s="2018"/>
      <c r="K5305" s="2018"/>
      <c r="L5305" s="2018"/>
      <c r="M5305" s="2018"/>
      <c r="N5305" s="2018"/>
      <c r="O5305" s="2018"/>
      <c r="P5305" s="2018"/>
      <c r="Q5305" s="2018"/>
      <c r="R5305" s="2018"/>
      <c r="S5305" s="2018"/>
      <c r="T5305" s="2018"/>
      <c r="U5305" s="2018"/>
      <c r="V5305" s="2018"/>
      <c r="W5305" s="2018"/>
      <c r="X5305" s="2018"/>
      <c r="Y5305" s="2018"/>
      <c r="Z5305" s="2021" t="s">
        <v>2527</v>
      </c>
      <c r="AA5305" s="2021"/>
      <c r="AB5305" s="1050"/>
      <c r="AC5305" s="1050"/>
      <c r="AD5305" s="1050"/>
      <c r="AE5305" s="1050">
        <v>8</v>
      </c>
      <c r="AF5305" s="1052">
        <f t="shared" ref="AF5305:AF5307" si="72">+AE5305</f>
        <v>8</v>
      </c>
    </row>
    <row r="5306" spans="1:32" ht="15.75" x14ac:dyDescent="0.25">
      <c r="A5306" s="2017"/>
      <c r="B5306" s="2018"/>
      <c r="C5306" s="2018"/>
      <c r="D5306" s="2018"/>
      <c r="E5306" s="2018"/>
      <c r="F5306" s="2018"/>
      <c r="G5306" s="2018"/>
      <c r="H5306" s="2018"/>
      <c r="I5306" s="2018"/>
      <c r="J5306" s="2018"/>
      <c r="K5306" s="2018"/>
      <c r="L5306" s="2018"/>
      <c r="M5306" s="2018"/>
      <c r="N5306" s="2018"/>
      <c r="O5306" s="2018"/>
      <c r="P5306" s="2018"/>
      <c r="Q5306" s="2018"/>
      <c r="R5306" s="2018"/>
      <c r="S5306" s="2018"/>
      <c r="T5306" s="2018"/>
      <c r="U5306" s="2018"/>
      <c r="V5306" s="2018"/>
      <c r="W5306" s="2018"/>
      <c r="X5306" s="2018"/>
      <c r="Y5306" s="2018"/>
      <c r="Z5306" s="2021" t="s">
        <v>2495</v>
      </c>
      <c r="AA5306" s="2021"/>
      <c r="AB5306" s="1050"/>
      <c r="AC5306" s="1050"/>
      <c r="AD5306" s="1050"/>
      <c r="AE5306" s="1050">
        <v>5</v>
      </c>
      <c r="AF5306" s="1052">
        <f t="shared" si="72"/>
        <v>5</v>
      </c>
    </row>
    <row r="5307" spans="1:32" ht="15.75" x14ac:dyDescent="0.25">
      <c r="A5307" s="2017"/>
      <c r="B5307" s="2018"/>
      <c r="C5307" s="2018"/>
      <c r="D5307" s="2018"/>
      <c r="E5307" s="2018"/>
      <c r="F5307" s="2018"/>
      <c r="G5307" s="2018"/>
      <c r="H5307" s="2018"/>
      <c r="I5307" s="2018"/>
      <c r="J5307" s="2018"/>
      <c r="K5307" s="2018"/>
      <c r="L5307" s="2018"/>
      <c r="M5307" s="2018"/>
      <c r="N5307" s="2018"/>
      <c r="O5307" s="2018"/>
      <c r="P5307" s="2018"/>
      <c r="Q5307" s="2018"/>
      <c r="R5307" s="2018"/>
      <c r="S5307" s="2018"/>
      <c r="T5307" s="2018"/>
      <c r="U5307" s="2018"/>
      <c r="V5307" s="2018"/>
      <c r="W5307" s="2018"/>
      <c r="X5307" s="2018"/>
      <c r="Y5307" s="2018"/>
      <c r="Z5307" s="2021" t="s">
        <v>2460</v>
      </c>
      <c r="AA5307" s="2021"/>
      <c r="AB5307" s="1050"/>
      <c r="AC5307" s="1050"/>
      <c r="AD5307" s="1050"/>
      <c r="AE5307" s="1050">
        <v>1</v>
      </c>
      <c r="AF5307" s="1052">
        <f t="shared" si="72"/>
        <v>1</v>
      </c>
    </row>
    <row r="5308" spans="1:32" ht="15.6" customHeight="1" x14ac:dyDescent="0.25">
      <c r="A5308" s="2017"/>
      <c r="B5308" s="2018"/>
      <c r="C5308" s="2018"/>
      <c r="D5308" s="2018"/>
      <c r="E5308" s="2018"/>
      <c r="F5308" s="2018"/>
      <c r="G5308" s="2018"/>
      <c r="H5308" s="2018"/>
      <c r="I5308" s="2018"/>
      <c r="J5308" s="2018"/>
      <c r="K5308" s="2018"/>
      <c r="L5308" s="2018"/>
      <c r="M5308" s="2018"/>
      <c r="N5308" s="2018"/>
      <c r="O5308" s="2018"/>
      <c r="P5308" s="2018"/>
      <c r="Q5308" s="2018"/>
      <c r="R5308" s="2018"/>
      <c r="S5308" s="2018"/>
      <c r="T5308" s="2018"/>
      <c r="U5308" s="2018"/>
      <c r="V5308" s="2018"/>
      <c r="W5308" s="2018"/>
      <c r="X5308" s="2018"/>
      <c r="Y5308" s="2018"/>
      <c r="Z5308" s="2022"/>
      <c r="AA5308" s="2022"/>
      <c r="AB5308" s="1050"/>
      <c r="AC5308" s="1050"/>
      <c r="AD5308" s="1050"/>
      <c r="AE5308" s="1050"/>
      <c r="AF5308" s="1052"/>
    </row>
    <row r="5309" spans="1:32" ht="15.75" x14ac:dyDescent="0.25">
      <c r="A5309" s="2017"/>
      <c r="B5309" s="2018"/>
      <c r="C5309" s="2018"/>
      <c r="D5309" s="2018"/>
      <c r="E5309" s="2018"/>
      <c r="F5309" s="2018"/>
      <c r="G5309" s="2018"/>
      <c r="H5309" s="2018"/>
      <c r="I5309" s="2018"/>
      <c r="J5309" s="2018"/>
      <c r="K5309" s="2018"/>
      <c r="L5309" s="2018"/>
      <c r="M5309" s="2018"/>
      <c r="N5309" s="2018"/>
      <c r="O5309" s="2018"/>
      <c r="P5309" s="2018"/>
      <c r="Q5309" s="2018"/>
      <c r="R5309" s="2018"/>
      <c r="S5309" s="2018"/>
      <c r="T5309" s="2018"/>
      <c r="U5309" s="2018"/>
      <c r="V5309" s="2018"/>
      <c r="W5309" s="2018"/>
      <c r="X5309" s="2018"/>
      <c r="Y5309" s="2018"/>
      <c r="Z5309" s="2022"/>
      <c r="AA5309" s="2022"/>
      <c r="AB5309" s="1050"/>
      <c r="AC5309" s="1050"/>
      <c r="AD5309" s="1050"/>
      <c r="AE5309" s="1050"/>
      <c r="AF5309" s="1052"/>
    </row>
    <row r="5310" spans="1:32" ht="15.75" x14ac:dyDescent="0.25">
      <c r="A5310" s="2017"/>
      <c r="B5310" s="2018"/>
      <c r="C5310" s="2018"/>
      <c r="D5310" s="2018"/>
      <c r="E5310" s="2018"/>
      <c r="F5310" s="2018"/>
      <c r="G5310" s="2018"/>
      <c r="H5310" s="2018"/>
      <c r="I5310" s="2018"/>
      <c r="J5310" s="2018"/>
      <c r="K5310" s="2018"/>
      <c r="L5310" s="2018"/>
      <c r="M5310" s="2018"/>
      <c r="N5310" s="2018"/>
      <c r="O5310" s="2018"/>
      <c r="P5310" s="2018"/>
      <c r="Q5310" s="2018"/>
      <c r="R5310" s="2018"/>
      <c r="S5310" s="2018"/>
      <c r="T5310" s="2018"/>
      <c r="U5310" s="2018"/>
      <c r="V5310" s="2018"/>
      <c r="W5310" s="2018"/>
      <c r="X5310" s="2018"/>
      <c r="Y5310" s="2018"/>
      <c r="Z5310" s="2022"/>
      <c r="AA5310" s="2022"/>
      <c r="AB5310" s="1050"/>
      <c r="AC5310" s="1050"/>
      <c r="AD5310" s="1050"/>
      <c r="AE5310" s="1050"/>
      <c r="AF5310" s="1052"/>
    </row>
    <row r="5311" spans="1:32" ht="15.6" customHeight="1" x14ac:dyDescent="0.25">
      <c r="A5311" s="2017"/>
      <c r="B5311" s="2018"/>
      <c r="C5311" s="2018"/>
      <c r="D5311" s="2018"/>
      <c r="E5311" s="2018"/>
      <c r="F5311" s="2018"/>
      <c r="G5311" s="2018"/>
      <c r="H5311" s="2018"/>
      <c r="I5311" s="2018"/>
      <c r="J5311" s="2018"/>
      <c r="K5311" s="2018"/>
      <c r="L5311" s="2018"/>
      <c r="M5311" s="2018"/>
      <c r="N5311" s="2018"/>
      <c r="O5311" s="2018"/>
      <c r="P5311" s="2018"/>
      <c r="Q5311" s="2018"/>
      <c r="R5311" s="2018"/>
      <c r="S5311" s="2018"/>
      <c r="T5311" s="2018"/>
      <c r="U5311" s="2018"/>
      <c r="V5311" s="2018"/>
      <c r="W5311" s="2018"/>
      <c r="X5311" s="2018"/>
      <c r="Y5311" s="2018"/>
      <c r="Z5311" s="2022"/>
      <c r="AA5311" s="2022"/>
      <c r="AB5311" s="1050"/>
      <c r="AC5311" s="1050"/>
      <c r="AD5311" s="1050"/>
      <c r="AE5311" s="1050"/>
      <c r="AF5311" s="1052"/>
    </row>
    <row r="5312" spans="1:32" ht="15.75" x14ac:dyDescent="0.25">
      <c r="A5312" s="2017"/>
      <c r="B5312" s="2018"/>
      <c r="C5312" s="2018"/>
      <c r="D5312" s="2018"/>
      <c r="E5312" s="2018"/>
      <c r="F5312" s="2018"/>
      <c r="G5312" s="2018"/>
      <c r="H5312" s="2018"/>
      <c r="I5312" s="2018"/>
      <c r="J5312" s="2018"/>
      <c r="K5312" s="2018"/>
      <c r="L5312" s="2018"/>
      <c r="M5312" s="2018"/>
      <c r="N5312" s="2018"/>
      <c r="O5312" s="2018"/>
      <c r="P5312" s="2018"/>
      <c r="Q5312" s="2018"/>
      <c r="R5312" s="2018"/>
      <c r="S5312" s="2018"/>
      <c r="T5312" s="2018"/>
      <c r="U5312" s="2018"/>
      <c r="V5312" s="2018"/>
      <c r="W5312" s="2018"/>
      <c r="X5312" s="2018"/>
      <c r="Y5312" s="2018"/>
      <c r="Z5312" s="2022"/>
      <c r="AA5312" s="2022"/>
      <c r="AB5312" s="1050"/>
      <c r="AC5312" s="1050"/>
      <c r="AD5312" s="1050"/>
      <c r="AE5312" s="1050"/>
      <c r="AF5312" s="1052"/>
    </row>
    <row r="5313" spans="1:32" ht="15.75" x14ac:dyDescent="0.25">
      <c r="A5313" s="2017"/>
      <c r="B5313" s="2018"/>
      <c r="C5313" s="2018"/>
      <c r="D5313" s="2018"/>
      <c r="E5313" s="2018"/>
      <c r="F5313" s="2018"/>
      <c r="G5313" s="2018"/>
      <c r="H5313" s="2018"/>
      <c r="I5313" s="2018"/>
      <c r="J5313" s="2018"/>
      <c r="K5313" s="2018"/>
      <c r="L5313" s="2018"/>
      <c r="M5313" s="2018"/>
      <c r="N5313" s="2018"/>
      <c r="O5313" s="2018"/>
      <c r="P5313" s="2018"/>
      <c r="Q5313" s="2018"/>
      <c r="R5313" s="2018"/>
      <c r="S5313" s="2018"/>
      <c r="T5313" s="2018"/>
      <c r="U5313" s="2018"/>
      <c r="V5313" s="2018"/>
      <c r="W5313" s="2018"/>
      <c r="X5313" s="2018"/>
      <c r="Y5313" s="2018"/>
      <c r="Z5313" s="2022"/>
      <c r="AA5313" s="2022"/>
      <c r="AB5313" s="1050"/>
      <c r="AC5313" s="1050"/>
      <c r="AD5313" s="1050"/>
      <c r="AE5313" s="1050"/>
      <c r="AF5313" s="1052"/>
    </row>
    <row r="5314" spans="1:32" ht="15.75" x14ac:dyDescent="0.25">
      <c r="A5314" s="2017"/>
      <c r="B5314" s="2018"/>
      <c r="C5314" s="2018"/>
      <c r="D5314" s="2018"/>
      <c r="E5314" s="2018"/>
      <c r="F5314" s="2018"/>
      <c r="G5314" s="2018"/>
      <c r="H5314" s="2018"/>
      <c r="I5314" s="2018"/>
      <c r="J5314" s="2018"/>
      <c r="K5314" s="2018"/>
      <c r="L5314" s="2018"/>
      <c r="M5314" s="2018"/>
      <c r="N5314" s="2018"/>
      <c r="O5314" s="2018"/>
      <c r="P5314" s="2018"/>
      <c r="Q5314" s="2018"/>
      <c r="R5314" s="2018"/>
      <c r="S5314" s="2018"/>
      <c r="T5314" s="2018"/>
      <c r="U5314" s="2018"/>
      <c r="V5314" s="2018"/>
      <c r="W5314" s="2018"/>
      <c r="X5314" s="2018"/>
      <c r="Y5314" s="2018"/>
      <c r="Z5314" s="2022"/>
      <c r="AA5314" s="2022"/>
      <c r="AB5314" s="1050"/>
      <c r="AC5314" s="1050"/>
      <c r="AD5314" s="1050"/>
      <c r="AE5314" s="1050"/>
      <c r="AF5314" s="1052"/>
    </row>
    <row r="5315" spans="1:32" ht="15.6" customHeight="1" x14ac:dyDescent="0.25">
      <c r="A5315" s="2017"/>
      <c r="B5315" s="2018"/>
      <c r="C5315" s="2018"/>
      <c r="D5315" s="2018"/>
      <c r="E5315" s="2018"/>
      <c r="F5315" s="2018"/>
      <c r="G5315" s="2018"/>
      <c r="H5315" s="2018"/>
      <c r="I5315" s="2018"/>
      <c r="J5315" s="2018"/>
      <c r="K5315" s="2018"/>
      <c r="L5315" s="2018"/>
      <c r="M5315" s="2018"/>
      <c r="N5315" s="2018"/>
      <c r="O5315" s="2018"/>
      <c r="P5315" s="2018"/>
      <c r="Q5315" s="2018"/>
      <c r="R5315" s="2018"/>
      <c r="S5315" s="2018"/>
      <c r="T5315" s="2018"/>
      <c r="U5315" s="2018"/>
      <c r="V5315" s="2018"/>
      <c r="W5315" s="2018"/>
      <c r="X5315" s="2018"/>
      <c r="Y5315" s="2018"/>
      <c r="Z5315" s="2022"/>
      <c r="AA5315" s="2022"/>
      <c r="AB5315" s="1050"/>
      <c r="AC5315" s="1050"/>
      <c r="AD5315" s="1050"/>
      <c r="AE5315" s="1050"/>
      <c r="AF5315" s="1052"/>
    </row>
    <row r="5316" spans="1:32" ht="15.75" x14ac:dyDescent="0.25">
      <c r="A5316" s="2017"/>
      <c r="B5316" s="2018"/>
      <c r="C5316" s="2018"/>
      <c r="D5316" s="2018"/>
      <c r="E5316" s="2018"/>
      <c r="F5316" s="2018"/>
      <c r="G5316" s="2018"/>
      <c r="H5316" s="2018"/>
      <c r="I5316" s="2018"/>
      <c r="J5316" s="2018"/>
      <c r="K5316" s="2018"/>
      <c r="L5316" s="2018"/>
      <c r="M5316" s="2018"/>
      <c r="N5316" s="2018"/>
      <c r="O5316" s="2018"/>
      <c r="P5316" s="2018"/>
      <c r="Q5316" s="2018"/>
      <c r="R5316" s="2018"/>
      <c r="S5316" s="2018"/>
      <c r="T5316" s="2018"/>
      <c r="U5316" s="2018"/>
      <c r="V5316" s="2018"/>
      <c r="W5316" s="2018"/>
      <c r="X5316" s="2018"/>
      <c r="Y5316" s="2018"/>
      <c r="Z5316" s="2022"/>
      <c r="AA5316" s="2022"/>
      <c r="AB5316" s="1050"/>
      <c r="AC5316" s="1050"/>
      <c r="AD5316" s="1050"/>
      <c r="AE5316" s="1050"/>
      <c r="AF5316" s="1052"/>
    </row>
    <row r="5317" spans="1:32" ht="15.75" x14ac:dyDescent="0.25">
      <c r="A5317" s="2017"/>
      <c r="B5317" s="2018"/>
      <c r="C5317" s="2018"/>
      <c r="D5317" s="2018"/>
      <c r="E5317" s="2018"/>
      <c r="F5317" s="2018"/>
      <c r="G5317" s="2018"/>
      <c r="H5317" s="2018"/>
      <c r="I5317" s="2018"/>
      <c r="J5317" s="2018"/>
      <c r="K5317" s="2018"/>
      <c r="L5317" s="2018"/>
      <c r="M5317" s="2018"/>
      <c r="N5317" s="2018"/>
      <c r="O5317" s="2018"/>
      <c r="P5317" s="2018"/>
      <c r="Q5317" s="2018"/>
      <c r="R5317" s="2018"/>
      <c r="S5317" s="2018"/>
      <c r="T5317" s="2018"/>
      <c r="U5317" s="2018"/>
      <c r="V5317" s="2018"/>
      <c r="W5317" s="2018"/>
      <c r="X5317" s="2018"/>
      <c r="Y5317" s="2018"/>
      <c r="Z5317" s="2022"/>
      <c r="AA5317" s="2022"/>
      <c r="AB5317" s="1050"/>
      <c r="AC5317" s="1050"/>
      <c r="AD5317" s="1050"/>
      <c r="AE5317" s="1050"/>
      <c r="AF5317" s="1052"/>
    </row>
    <row r="5318" spans="1:32" ht="15.75" x14ac:dyDescent="0.25">
      <c r="A5318" s="2017"/>
      <c r="B5318" s="2018"/>
      <c r="C5318" s="2018"/>
      <c r="D5318" s="2018"/>
      <c r="E5318" s="2018"/>
      <c r="F5318" s="2018"/>
      <c r="G5318" s="2018"/>
      <c r="H5318" s="2018"/>
      <c r="I5318" s="2018"/>
      <c r="J5318" s="2018"/>
      <c r="K5318" s="2018"/>
      <c r="L5318" s="2018"/>
      <c r="M5318" s="2018"/>
      <c r="N5318" s="2018"/>
      <c r="O5318" s="2018"/>
      <c r="P5318" s="2018"/>
      <c r="Q5318" s="2018"/>
      <c r="R5318" s="2018"/>
      <c r="S5318" s="2018"/>
      <c r="T5318" s="2018"/>
      <c r="U5318" s="2018"/>
      <c r="V5318" s="2018"/>
      <c r="W5318" s="2018"/>
      <c r="X5318" s="2018"/>
      <c r="Y5318" s="2018"/>
      <c r="Z5318" s="2022"/>
      <c r="AA5318" s="2022"/>
      <c r="AB5318" s="1050"/>
      <c r="AC5318" s="1050"/>
      <c r="AD5318" s="1050"/>
      <c r="AE5318" s="1050"/>
      <c r="AF5318" s="1052"/>
    </row>
    <row r="5319" spans="1:32" ht="15.75" x14ac:dyDescent="0.25">
      <c r="A5319" s="2017"/>
      <c r="B5319" s="2018"/>
      <c r="C5319" s="2018"/>
      <c r="D5319" s="2018"/>
      <c r="E5319" s="2018"/>
      <c r="F5319" s="2018"/>
      <c r="G5319" s="2018"/>
      <c r="H5319" s="2018"/>
      <c r="I5319" s="2018"/>
      <c r="J5319" s="2018"/>
      <c r="K5319" s="2018"/>
      <c r="L5319" s="2018"/>
      <c r="M5319" s="2018"/>
      <c r="N5319" s="2018"/>
      <c r="O5319" s="2018"/>
      <c r="P5319" s="2018"/>
      <c r="Q5319" s="2018"/>
      <c r="R5319" s="2018"/>
      <c r="S5319" s="2018"/>
      <c r="T5319" s="2018"/>
      <c r="U5319" s="2018"/>
      <c r="V5319" s="2018"/>
      <c r="W5319" s="2018"/>
      <c r="X5319" s="2018"/>
      <c r="Y5319" s="2018"/>
      <c r="Z5319" s="2022"/>
      <c r="AA5319" s="2022"/>
      <c r="AB5319" s="1050"/>
      <c r="AC5319" s="1050"/>
      <c r="AD5319" s="1050"/>
      <c r="AE5319" s="1050"/>
      <c r="AF5319" s="1052"/>
    </row>
    <row r="5320" spans="1:32" ht="15.75" x14ac:dyDescent="0.25">
      <c r="A5320" s="2017"/>
      <c r="B5320" s="2018"/>
      <c r="C5320" s="2018"/>
      <c r="D5320" s="2018"/>
      <c r="E5320" s="2018"/>
      <c r="F5320" s="2018"/>
      <c r="G5320" s="2018"/>
      <c r="H5320" s="2018"/>
      <c r="I5320" s="2018"/>
      <c r="J5320" s="2018"/>
      <c r="K5320" s="2018"/>
      <c r="L5320" s="2018"/>
      <c r="M5320" s="2018"/>
      <c r="N5320" s="2018"/>
      <c r="O5320" s="2018"/>
      <c r="P5320" s="2018"/>
      <c r="Q5320" s="2018"/>
      <c r="R5320" s="2018"/>
      <c r="S5320" s="2018"/>
      <c r="T5320" s="2018"/>
      <c r="U5320" s="2018"/>
      <c r="V5320" s="2018"/>
      <c r="W5320" s="2018"/>
      <c r="X5320" s="2018"/>
      <c r="Y5320" s="2018"/>
      <c r="Z5320" s="2022"/>
      <c r="AA5320" s="2022"/>
      <c r="AB5320" s="1050"/>
      <c r="AC5320" s="1050"/>
      <c r="AD5320" s="1050"/>
      <c r="AE5320" s="1050"/>
      <c r="AF5320" s="1052"/>
    </row>
    <row r="5321" spans="1:32" ht="15.75" x14ac:dyDescent="0.25">
      <c r="A5321" s="2017"/>
      <c r="B5321" s="2018"/>
      <c r="C5321" s="2018"/>
      <c r="D5321" s="2018"/>
      <c r="E5321" s="2018"/>
      <c r="F5321" s="2018"/>
      <c r="G5321" s="2018"/>
      <c r="H5321" s="2018"/>
      <c r="I5321" s="2018"/>
      <c r="J5321" s="2018"/>
      <c r="K5321" s="2018"/>
      <c r="L5321" s="2018"/>
      <c r="M5321" s="2018"/>
      <c r="N5321" s="2018"/>
      <c r="O5321" s="2018"/>
      <c r="P5321" s="2018"/>
      <c r="Q5321" s="2018"/>
      <c r="R5321" s="2018"/>
      <c r="S5321" s="2018"/>
      <c r="T5321" s="2018"/>
      <c r="U5321" s="2018"/>
      <c r="V5321" s="2018"/>
      <c r="W5321" s="2018"/>
      <c r="X5321" s="2018"/>
      <c r="Y5321" s="2018"/>
      <c r="Z5321" s="2023"/>
      <c r="AA5321" s="2023"/>
      <c r="AB5321" s="1050"/>
      <c r="AC5321" s="1050"/>
      <c r="AD5321" s="1050"/>
      <c r="AE5321" s="1050"/>
      <c r="AF5321" s="1052"/>
    </row>
    <row r="5322" spans="1:32" ht="15.75" x14ac:dyDescent="0.25">
      <c r="A5322" s="2017"/>
      <c r="B5322" s="2018"/>
      <c r="C5322" s="2018"/>
      <c r="D5322" s="2018"/>
      <c r="E5322" s="2018"/>
      <c r="F5322" s="2018"/>
      <c r="G5322" s="2018"/>
      <c r="H5322" s="2018"/>
      <c r="I5322" s="2018"/>
      <c r="J5322" s="2018"/>
      <c r="K5322" s="2018"/>
      <c r="L5322" s="2018"/>
      <c r="M5322" s="2018"/>
      <c r="N5322" s="2018"/>
      <c r="O5322" s="2018"/>
      <c r="P5322" s="2018"/>
      <c r="Q5322" s="2018"/>
      <c r="R5322" s="2018"/>
      <c r="S5322" s="2018"/>
      <c r="T5322" s="2018"/>
      <c r="U5322" s="2018"/>
      <c r="V5322" s="2018"/>
      <c r="W5322" s="2018"/>
      <c r="X5322" s="2018"/>
      <c r="Y5322" s="2018"/>
      <c r="Z5322" s="2023"/>
      <c r="AA5322" s="2023"/>
      <c r="AB5322" s="1050"/>
      <c r="AC5322" s="1050"/>
      <c r="AD5322" s="1050"/>
      <c r="AE5322" s="1050"/>
      <c r="AF5322" s="1052"/>
    </row>
    <row r="5323" spans="1:32" ht="15.75" x14ac:dyDescent="0.25">
      <c r="A5323" s="2017"/>
      <c r="B5323" s="2018"/>
      <c r="C5323" s="2018"/>
      <c r="D5323" s="2018"/>
      <c r="E5323" s="2018"/>
      <c r="F5323" s="2018"/>
      <c r="G5323" s="2018"/>
      <c r="H5323" s="2018"/>
      <c r="I5323" s="2018"/>
      <c r="J5323" s="2018"/>
      <c r="K5323" s="2018"/>
      <c r="L5323" s="2018"/>
      <c r="M5323" s="2018"/>
      <c r="N5323" s="2018"/>
      <c r="O5323" s="2018"/>
      <c r="P5323" s="2018"/>
      <c r="Q5323" s="2018"/>
      <c r="R5323" s="2018"/>
      <c r="S5323" s="2018"/>
      <c r="T5323" s="2018"/>
      <c r="U5323" s="2018"/>
      <c r="V5323" s="2018"/>
      <c r="W5323" s="2018"/>
      <c r="X5323" s="2018"/>
      <c r="Y5323" s="2018"/>
      <c r="Z5323" s="2023"/>
      <c r="AA5323" s="2023"/>
      <c r="AB5323" s="1050"/>
      <c r="AC5323" s="1050"/>
      <c r="AD5323" s="1050"/>
      <c r="AE5323" s="1050"/>
      <c r="AF5323" s="1052"/>
    </row>
    <row r="5324" spans="1:32" ht="15.75" x14ac:dyDescent="0.25">
      <c r="A5324" s="2017"/>
      <c r="B5324" s="2018"/>
      <c r="C5324" s="2018"/>
      <c r="D5324" s="2018"/>
      <c r="E5324" s="2018"/>
      <c r="F5324" s="2018"/>
      <c r="G5324" s="2018"/>
      <c r="H5324" s="2018"/>
      <c r="I5324" s="2018"/>
      <c r="J5324" s="2018"/>
      <c r="K5324" s="2018"/>
      <c r="L5324" s="2018"/>
      <c r="M5324" s="2018"/>
      <c r="N5324" s="2018"/>
      <c r="O5324" s="2018"/>
      <c r="P5324" s="2018"/>
      <c r="Q5324" s="2018"/>
      <c r="R5324" s="2018"/>
      <c r="S5324" s="2018"/>
      <c r="T5324" s="2018"/>
      <c r="U5324" s="2018"/>
      <c r="V5324" s="2018"/>
      <c r="W5324" s="2018"/>
      <c r="X5324" s="2018"/>
      <c r="Y5324" s="2018"/>
      <c r="Z5324" s="2023"/>
      <c r="AA5324" s="2023"/>
      <c r="AB5324" s="1050"/>
      <c r="AC5324" s="1050"/>
      <c r="AD5324" s="1050"/>
      <c r="AE5324" s="1050"/>
      <c r="AF5324" s="1052"/>
    </row>
    <row r="5325" spans="1:32" ht="15.75" x14ac:dyDescent="0.25">
      <c r="A5325" s="2017"/>
      <c r="B5325" s="2018"/>
      <c r="C5325" s="2018"/>
      <c r="D5325" s="2018"/>
      <c r="E5325" s="2018"/>
      <c r="F5325" s="2018"/>
      <c r="G5325" s="2018"/>
      <c r="H5325" s="2018"/>
      <c r="I5325" s="2018"/>
      <c r="J5325" s="2018"/>
      <c r="K5325" s="2018"/>
      <c r="L5325" s="2018"/>
      <c r="M5325" s="2018"/>
      <c r="N5325" s="2018"/>
      <c r="O5325" s="2018"/>
      <c r="P5325" s="2018"/>
      <c r="Q5325" s="2018"/>
      <c r="R5325" s="2018"/>
      <c r="S5325" s="2018"/>
      <c r="T5325" s="2018"/>
      <c r="U5325" s="2018"/>
      <c r="V5325" s="2018"/>
      <c r="W5325" s="2018"/>
      <c r="X5325" s="2018"/>
      <c r="Y5325" s="2018"/>
      <c r="Z5325" s="2023"/>
      <c r="AA5325" s="2023"/>
      <c r="AB5325" s="1050"/>
      <c r="AC5325" s="1050"/>
      <c r="AD5325" s="1050"/>
      <c r="AE5325" s="1050"/>
      <c r="AF5325" s="1052"/>
    </row>
    <row r="5326" spans="1:32" ht="15.75" x14ac:dyDescent="0.25">
      <c r="A5326" s="2017"/>
      <c r="B5326" s="2018"/>
      <c r="C5326" s="2018"/>
      <c r="D5326" s="2018"/>
      <c r="E5326" s="2018"/>
      <c r="F5326" s="2018"/>
      <c r="G5326" s="2018"/>
      <c r="H5326" s="2018"/>
      <c r="I5326" s="2018"/>
      <c r="J5326" s="2018"/>
      <c r="K5326" s="2018"/>
      <c r="L5326" s="2018"/>
      <c r="M5326" s="2018"/>
      <c r="N5326" s="2018"/>
      <c r="O5326" s="2018"/>
      <c r="P5326" s="2018"/>
      <c r="Q5326" s="2018"/>
      <c r="R5326" s="2018"/>
      <c r="S5326" s="2018"/>
      <c r="T5326" s="2018"/>
      <c r="U5326" s="2018"/>
      <c r="V5326" s="2018"/>
      <c r="W5326" s="2018"/>
      <c r="X5326" s="2018"/>
      <c r="Y5326" s="2018"/>
      <c r="Z5326" s="2023"/>
      <c r="AA5326" s="2023"/>
      <c r="AB5326" s="1050"/>
      <c r="AC5326" s="1050"/>
      <c r="AD5326" s="1050"/>
      <c r="AE5326" s="1050"/>
      <c r="AF5326" s="1052"/>
    </row>
    <row r="5327" spans="1:32" ht="16.5" thickBot="1" x14ac:dyDescent="0.3">
      <c r="A5327" s="2019"/>
      <c r="B5327" s="2020"/>
      <c r="C5327" s="2020"/>
      <c r="D5327" s="2020"/>
      <c r="E5327" s="2020"/>
      <c r="F5327" s="2020"/>
      <c r="G5327" s="2020"/>
      <c r="H5327" s="2020"/>
      <c r="I5327" s="2020"/>
      <c r="J5327" s="2020"/>
      <c r="K5327" s="2020"/>
      <c r="L5327" s="2020"/>
      <c r="M5327" s="2020"/>
      <c r="N5327" s="2020"/>
      <c r="O5327" s="2020"/>
      <c r="P5327" s="2020"/>
      <c r="Q5327" s="2020"/>
      <c r="R5327" s="2020"/>
      <c r="S5327" s="2020"/>
      <c r="T5327" s="2020"/>
      <c r="U5327" s="2020"/>
      <c r="V5327" s="2020"/>
      <c r="W5327" s="2020"/>
      <c r="X5327" s="2020"/>
      <c r="Y5327" s="2020"/>
      <c r="Z5327" s="2024"/>
      <c r="AA5327" s="2024"/>
      <c r="AB5327" s="1057"/>
      <c r="AC5327" s="1057"/>
      <c r="AD5327" s="1057"/>
      <c r="AE5327" s="1057"/>
      <c r="AF5327" s="1058"/>
    </row>
    <row r="5328" spans="1:32" ht="15.75" x14ac:dyDescent="0.25">
      <c r="A5328" s="2009" t="s">
        <v>1855</v>
      </c>
      <c r="B5328" s="2010"/>
      <c r="C5328" s="2010"/>
      <c r="D5328" s="2010"/>
      <c r="E5328" s="2010"/>
      <c r="F5328" s="2010"/>
      <c r="G5328" s="2010"/>
      <c r="H5328" s="2010"/>
      <c r="I5328" s="2010"/>
      <c r="J5328" s="2010"/>
      <c r="K5328" s="2010"/>
      <c r="L5328" s="2010"/>
      <c r="M5328" s="2010"/>
      <c r="N5328" s="2010"/>
      <c r="O5328" s="2010"/>
      <c r="P5328" s="2010"/>
      <c r="Q5328" s="2010"/>
      <c r="R5328" s="2010"/>
      <c r="S5328" s="2010"/>
      <c r="T5328" s="2010"/>
      <c r="U5328" s="2010"/>
      <c r="V5328" s="2010"/>
      <c r="W5328" s="2010"/>
      <c r="X5328" s="2010"/>
      <c r="Y5328" s="2010"/>
      <c r="Z5328" s="2013" t="s">
        <v>1850</v>
      </c>
      <c r="AA5328" s="2013"/>
      <c r="AB5328" s="2013"/>
      <c r="AC5328" s="2013"/>
      <c r="AD5328" s="2013"/>
      <c r="AE5328" s="2013"/>
      <c r="AF5328" s="1059">
        <f>SUM(AF5304:AF5327)</f>
        <v>20</v>
      </c>
    </row>
    <row r="5329" spans="1:32" ht="15.75" x14ac:dyDescent="0.25">
      <c r="A5329" s="2011"/>
      <c r="B5329" s="2012"/>
      <c r="C5329" s="2012"/>
      <c r="D5329" s="2012"/>
      <c r="E5329" s="2012"/>
      <c r="F5329" s="2012"/>
      <c r="G5329" s="2012"/>
      <c r="H5329" s="2012"/>
      <c r="I5329" s="2012"/>
      <c r="J5329" s="2012"/>
      <c r="K5329" s="2012"/>
      <c r="L5329" s="2012"/>
      <c r="M5329" s="2012"/>
      <c r="N5329" s="2012"/>
      <c r="O5329" s="2012"/>
      <c r="P5329" s="2012"/>
      <c r="Q5329" s="2012"/>
      <c r="R5329" s="2012"/>
      <c r="S5329" s="2012"/>
      <c r="T5329" s="2012"/>
      <c r="U5329" s="2012"/>
      <c r="V5329" s="2012"/>
      <c r="W5329" s="2012"/>
      <c r="X5329" s="2012"/>
      <c r="Y5329" s="2012"/>
      <c r="Z5329" s="2014" t="s">
        <v>1851</v>
      </c>
      <c r="AA5329" s="2014"/>
      <c r="AB5329" s="2014"/>
      <c r="AC5329" s="2014"/>
      <c r="AD5329" s="2014"/>
      <c r="AE5329" s="2014"/>
      <c r="AF5329" s="1060">
        <v>0</v>
      </c>
    </row>
    <row r="5330" spans="1:32" ht="15.75" x14ac:dyDescent="0.25">
      <c r="A5330" s="2011"/>
      <c r="B5330" s="2012"/>
      <c r="C5330" s="2012"/>
      <c r="D5330" s="2012"/>
      <c r="E5330" s="2012"/>
      <c r="F5330" s="2012"/>
      <c r="G5330" s="2012"/>
      <c r="H5330" s="2012"/>
      <c r="I5330" s="2012"/>
      <c r="J5330" s="2012"/>
      <c r="K5330" s="2012"/>
      <c r="L5330" s="2012"/>
      <c r="M5330" s="2012"/>
      <c r="N5330" s="2012"/>
      <c r="O5330" s="2012"/>
      <c r="P5330" s="2012"/>
      <c r="Q5330" s="2012"/>
      <c r="R5330" s="2012"/>
      <c r="S5330" s="2012"/>
      <c r="T5330" s="2012"/>
      <c r="U5330" s="2012"/>
      <c r="V5330" s="2012"/>
      <c r="W5330" s="2012"/>
      <c r="X5330" s="2012"/>
      <c r="Y5330" s="2012"/>
      <c r="Z5330" s="2015" t="s">
        <v>1833</v>
      </c>
      <c r="AA5330" s="2015"/>
      <c r="AB5330" s="2015"/>
      <c r="AC5330" s="2015"/>
      <c r="AD5330" s="2015"/>
      <c r="AE5330" s="2015"/>
      <c r="AF5330" s="1061">
        <f>SUM(AF5328:AF5329)</f>
        <v>20</v>
      </c>
    </row>
    <row r="5331" spans="1:32" x14ac:dyDescent="0.2">
      <c r="A5331" s="2012" t="s">
        <v>1859</v>
      </c>
      <c r="B5331" s="2012"/>
      <c r="C5331" s="2012"/>
      <c r="D5331" s="2012"/>
      <c r="E5331" s="2012"/>
      <c r="F5331" s="2012"/>
      <c r="G5331" s="2012"/>
      <c r="H5331" s="2012"/>
      <c r="I5331" s="2012"/>
      <c r="J5331" s="2012"/>
      <c r="K5331" s="2012"/>
      <c r="L5331" s="2012"/>
      <c r="M5331" s="2012"/>
      <c r="N5331" s="2012"/>
      <c r="O5331" s="2012"/>
      <c r="P5331" s="2012"/>
      <c r="Q5331" s="2012"/>
      <c r="R5331" s="2012"/>
      <c r="S5331" s="2012"/>
      <c r="T5331" s="2016" t="s">
        <v>1840</v>
      </c>
      <c r="U5331" s="2016"/>
      <c r="V5331" s="2016"/>
      <c r="W5331" s="2016"/>
      <c r="X5331" s="2016"/>
      <c r="Y5331" s="2016"/>
      <c r="Z5331" s="2016"/>
      <c r="AA5331" s="2016"/>
      <c r="AB5331" s="2012" t="s">
        <v>1852</v>
      </c>
      <c r="AC5331" s="2012"/>
      <c r="AD5331" s="2012"/>
      <c r="AE5331" s="2012"/>
      <c r="AF5331" s="2012"/>
    </row>
    <row r="5332" spans="1:32" x14ac:dyDescent="0.2">
      <c r="A5332" s="2012"/>
      <c r="B5332" s="2012"/>
      <c r="C5332" s="2012"/>
      <c r="D5332" s="2012"/>
      <c r="E5332" s="2012"/>
      <c r="F5332" s="2012"/>
      <c r="G5332" s="2012"/>
      <c r="H5332" s="2012"/>
      <c r="I5332" s="2012"/>
      <c r="J5332" s="2012"/>
      <c r="K5332" s="2012"/>
      <c r="L5332" s="2012"/>
      <c r="M5332" s="2012"/>
      <c r="N5332" s="2012"/>
      <c r="O5332" s="2012"/>
      <c r="P5332" s="2012"/>
      <c r="Q5332" s="2012"/>
      <c r="R5332" s="2012"/>
      <c r="S5332" s="2012"/>
      <c r="T5332" s="2016"/>
      <c r="U5332" s="2016"/>
      <c r="V5332" s="2016"/>
      <c r="W5332" s="2016"/>
      <c r="X5332" s="2016"/>
      <c r="Y5332" s="2016"/>
      <c r="Z5332" s="2016"/>
      <c r="AA5332" s="2016"/>
      <c r="AB5332" s="2012"/>
      <c r="AC5332" s="2012"/>
      <c r="AD5332" s="2012"/>
      <c r="AE5332" s="2012"/>
      <c r="AF5332" s="2012"/>
    </row>
    <row r="5333" spans="1:32" ht="13.5" thickBot="1" x14ac:dyDescent="0.25"/>
    <row r="5334" spans="1:32" ht="26.45" customHeight="1" x14ac:dyDescent="0.2">
      <c r="A5334" s="2025" t="s">
        <v>1854</v>
      </c>
      <c r="B5334" s="2026"/>
      <c r="C5334" s="2026"/>
      <c r="D5334" s="2026"/>
      <c r="E5334" s="2026"/>
      <c r="F5334" s="2026"/>
      <c r="G5334" s="2026"/>
      <c r="H5334" s="2026"/>
      <c r="I5334" s="2026"/>
      <c r="J5334" s="2026"/>
      <c r="K5334" s="2026"/>
      <c r="L5334" s="2026"/>
      <c r="M5334" s="2026"/>
      <c r="N5334" s="2026"/>
      <c r="O5334" s="2026"/>
      <c r="P5334" s="2026"/>
      <c r="Q5334" s="2026"/>
      <c r="R5334" s="2026"/>
      <c r="S5334" s="2026"/>
      <c r="T5334" s="2026"/>
      <c r="U5334" s="2026"/>
      <c r="V5334" s="2026"/>
      <c r="W5334" s="2026"/>
      <c r="X5334" s="2026"/>
      <c r="Y5334" s="2026"/>
      <c r="Z5334" s="2026"/>
      <c r="AA5334" s="2026"/>
      <c r="AB5334" s="2026"/>
      <c r="AC5334" s="2026"/>
      <c r="AD5334" s="2026"/>
      <c r="AE5334" s="1041" t="s">
        <v>1834</v>
      </c>
      <c r="AF5334" s="1042" t="s">
        <v>1835</v>
      </c>
    </row>
    <row r="5335" spans="1:32" ht="21" customHeight="1" thickBot="1" x14ac:dyDescent="0.25">
      <c r="A5335" s="2027"/>
      <c r="B5335" s="2028"/>
      <c r="C5335" s="2028"/>
      <c r="D5335" s="2028"/>
      <c r="E5335" s="2028"/>
      <c r="F5335" s="2028"/>
      <c r="G5335" s="2028"/>
      <c r="H5335" s="2028"/>
      <c r="I5335" s="2028"/>
      <c r="J5335" s="2028"/>
      <c r="K5335" s="2028"/>
      <c r="L5335" s="2028"/>
      <c r="M5335" s="2028"/>
      <c r="N5335" s="2028"/>
      <c r="O5335" s="2028"/>
      <c r="P5335" s="2028"/>
      <c r="Q5335" s="2028"/>
      <c r="R5335" s="2028"/>
      <c r="S5335" s="2028"/>
      <c r="T5335" s="2028"/>
      <c r="U5335" s="2028"/>
      <c r="V5335" s="2028"/>
      <c r="W5335" s="2028"/>
      <c r="X5335" s="2028"/>
      <c r="Y5335" s="2028"/>
      <c r="Z5335" s="2028"/>
      <c r="AA5335" s="2028"/>
      <c r="AB5335" s="2028"/>
      <c r="AC5335" s="2028"/>
      <c r="AD5335" s="2028"/>
      <c r="AE5335" s="1041" t="s">
        <v>1836</v>
      </c>
      <c r="AF5335" s="1044">
        <v>1</v>
      </c>
    </row>
    <row r="5336" spans="1:32" ht="15.75" x14ac:dyDescent="0.2">
      <c r="A5336" s="2029"/>
      <c r="B5336" s="2030"/>
      <c r="C5336" s="2030"/>
      <c r="D5336" s="2031"/>
      <c r="E5336" s="2025" t="str">
        <f>'01'!$A$12</f>
        <v>"CONSTRUCCION SISTEMA DE ACUEDUCTO FASE II DEL MUNICIPIO DE TESALIA DPTO DEL HUILA"</v>
      </c>
      <c r="F5336" s="2026"/>
      <c r="G5336" s="2026"/>
      <c r="H5336" s="2026"/>
      <c r="I5336" s="2026"/>
      <c r="J5336" s="2026"/>
      <c r="K5336" s="2026"/>
      <c r="L5336" s="2026"/>
      <c r="M5336" s="2026"/>
      <c r="N5336" s="2026"/>
      <c r="O5336" s="2026"/>
      <c r="P5336" s="2026"/>
      <c r="Q5336" s="2026"/>
      <c r="R5336" s="2026"/>
      <c r="S5336" s="2026"/>
      <c r="T5336" s="2026"/>
      <c r="U5336" s="2026"/>
      <c r="V5336" s="2026"/>
      <c r="W5336" s="2026"/>
      <c r="X5336" s="2026"/>
      <c r="Y5336" s="2026"/>
      <c r="Z5336" s="2026"/>
      <c r="AA5336" s="2026"/>
      <c r="AB5336" s="2026"/>
      <c r="AC5336" s="2026"/>
      <c r="AD5336" s="2035"/>
      <c r="AE5336" s="1041" t="s">
        <v>847</v>
      </c>
      <c r="AF5336" s="1045">
        <f>'01'!$M$13</f>
        <v>0</v>
      </c>
    </row>
    <row r="5337" spans="1:32" ht="16.5" thickBot="1" x14ac:dyDescent="0.25">
      <c r="A5337" s="2032"/>
      <c r="B5337" s="2033"/>
      <c r="C5337" s="2033"/>
      <c r="D5337" s="2034"/>
      <c r="E5337" s="2027"/>
      <c r="F5337" s="2028"/>
      <c r="G5337" s="2028"/>
      <c r="H5337" s="2028"/>
      <c r="I5337" s="2028"/>
      <c r="J5337" s="2028"/>
      <c r="K5337" s="2028"/>
      <c r="L5337" s="2028"/>
      <c r="M5337" s="2028"/>
      <c r="N5337" s="2028"/>
      <c r="O5337" s="2028"/>
      <c r="P5337" s="2028"/>
      <c r="Q5337" s="2028"/>
      <c r="R5337" s="2028"/>
      <c r="S5337" s="2028"/>
      <c r="T5337" s="2028"/>
      <c r="U5337" s="2028"/>
      <c r="V5337" s="2028"/>
      <c r="W5337" s="2028"/>
      <c r="X5337" s="2028"/>
      <c r="Y5337" s="2028"/>
      <c r="Z5337" s="2028"/>
      <c r="AA5337" s="2028"/>
      <c r="AB5337" s="2028"/>
      <c r="AC5337" s="2028"/>
      <c r="AD5337" s="2036"/>
      <c r="AE5337" s="1041" t="s">
        <v>1837</v>
      </c>
      <c r="AF5337" s="1042" t="s">
        <v>1838</v>
      </c>
    </row>
    <row r="5338" spans="1:32" ht="15.75" x14ac:dyDescent="0.25">
      <c r="A5338" s="2037" t="s">
        <v>1860</v>
      </c>
      <c r="B5338" s="2038"/>
      <c r="C5338" s="2038"/>
      <c r="D5338" s="2038"/>
      <c r="E5338" s="2038"/>
      <c r="F5338" s="2038"/>
      <c r="G5338" s="2038"/>
      <c r="H5338" s="2038"/>
      <c r="I5338" s="2038"/>
      <c r="J5338" s="2038"/>
      <c r="K5338" s="2038"/>
      <c r="L5338" s="2038"/>
      <c r="M5338" s="2038"/>
      <c r="N5338" s="2038"/>
      <c r="O5338" s="2038"/>
      <c r="P5338" s="2038"/>
      <c r="Q5338" s="2038"/>
      <c r="R5338" s="2038"/>
      <c r="S5338" s="2038"/>
      <c r="T5338" s="2038"/>
      <c r="U5338" s="2038"/>
      <c r="V5338" s="2038"/>
      <c r="W5338" s="2038"/>
      <c r="X5338" s="2038"/>
      <c r="Y5338" s="2038"/>
      <c r="Z5338" s="2038"/>
      <c r="AA5338" s="2038"/>
      <c r="AB5338" s="2038"/>
      <c r="AC5338" s="2038"/>
      <c r="AD5338" s="2038"/>
      <c r="AE5338" s="2039" t="s">
        <v>1839</v>
      </c>
      <c r="AF5338" s="2040"/>
    </row>
    <row r="5339" spans="1:32" ht="15.75" x14ac:dyDescent="0.25">
      <c r="A5339" s="2041" t="s">
        <v>1840</v>
      </c>
      <c r="B5339" s="2042"/>
      <c r="C5339" s="2042"/>
      <c r="D5339" s="2042"/>
      <c r="E5339" s="2042"/>
      <c r="F5339" s="2042"/>
      <c r="G5339" s="2042"/>
      <c r="H5339" s="2042"/>
      <c r="I5339" s="2042"/>
      <c r="J5339" s="2042"/>
      <c r="K5339" s="2042"/>
      <c r="L5339" s="2042"/>
      <c r="M5339" s="2042"/>
      <c r="N5339" s="2042"/>
      <c r="O5339" s="2042"/>
      <c r="P5339" s="2042"/>
      <c r="Q5339" s="2042"/>
      <c r="R5339" s="2042"/>
      <c r="S5339" s="2042"/>
      <c r="T5339" s="2042"/>
      <c r="U5339" s="2042"/>
      <c r="V5339" s="2042"/>
      <c r="W5339" s="2042"/>
      <c r="X5339" s="2042"/>
      <c r="Y5339" s="2042"/>
      <c r="Z5339" s="2042"/>
      <c r="AA5339" s="2042"/>
      <c r="AB5339" s="2042"/>
      <c r="AC5339" s="2042"/>
      <c r="AD5339" s="2043"/>
      <c r="AE5339" s="2014" t="s">
        <v>1841</v>
      </c>
      <c r="AF5339" s="2044"/>
    </row>
    <row r="5340" spans="1:32" ht="15.75" x14ac:dyDescent="0.25">
      <c r="A5340" s="2045" t="s">
        <v>1853</v>
      </c>
      <c r="B5340" s="2046"/>
      <c r="C5340" s="2046"/>
      <c r="D5340" s="2046"/>
      <c r="E5340" s="2046"/>
      <c r="F5340" s="2046"/>
      <c r="G5340" s="2046"/>
      <c r="H5340" s="2046"/>
      <c r="I5340" s="2046"/>
      <c r="J5340" s="2046"/>
      <c r="K5340" s="2046"/>
      <c r="L5340" s="2046"/>
      <c r="M5340" s="2046"/>
      <c r="N5340" s="2046"/>
      <c r="O5340" s="2046"/>
      <c r="P5340" s="2046"/>
      <c r="Q5340" s="2046"/>
      <c r="R5340" s="2046"/>
      <c r="S5340" s="2046"/>
      <c r="T5340" s="2046"/>
      <c r="U5340" s="2046"/>
      <c r="V5340" s="2046"/>
      <c r="W5340" s="2046"/>
      <c r="X5340" s="2046"/>
      <c r="Y5340" s="2046"/>
      <c r="Z5340" s="2046"/>
      <c r="AA5340" s="2046"/>
      <c r="AB5340" s="2046"/>
      <c r="AC5340" s="2046"/>
      <c r="AD5340" s="2046"/>
      <c r="AE5340" s="2047">
        <f>'01'!$M$13</f>
        <v>0</v>
      </c>
      <c r="AF5340" s="2044"/>
    </row>
    <row r="5341" spans="1:32" x14ac:dyDescent="0.2">
      <c r="A5341" s="1046"/>
      <c r="B5341" s="1047"/>
      <c r="C5341" s="1047"/>
      <c r="D5341" s="1047"/>
      <c r="E5341" s="1047"/>
      <c r="F5341" s="1047"/>
      <c r="G5341" s="1047"/>
      <c r="H5341" s="1047"/>
      <c r="I5341" s="1047"/>
      <c r="J5341" s="1047"/>
      <c r="K5341" s="1047"/>
      <c r="L5341" s="1047"/>
      <c r="M5341" s="1047"/>
      <c r="N5341" s="1047"/>
      <c r="O5341" s="1047"/>
      <c r="P5341" s="1047"/>
      <c r="Q5341" s="1047"/>
      <c r="R5341" s="1047"/>
      <c r="S5341" s="1047"/>
      <c r="T5341" s="1047"/>
      <c r="U5341" s="1047"/>
      <c r="V5341" s="1047"/>
      <c r="W5341" s="1047"/>
      <c r="X5341" s="1047"/>
      <c r="Y5341" s="1047"/>
      <c r="Z5341" s="1047"/>
      <c r="AA5341" s="1047"/>
      <c r="AB5341" s="1047"/>
      <c r="AC5341" s="1047"/>
      <c r="AD5341" s="1047"/>
      <c r="AE5341" s="1047"/>
      <c r="AF5341" s="1048"/>
    </row>
    <row r="5342" spans="1:32" ht="30" customHeight="1" x14ac:dyDescent="0.2">
      <c r="A5342" s="2048" t="s">
        <v>1842</v>
      </c>
      <c r="B5342" s="2049"/>
      <c r="C5342" s="2049"/>
      <c r="D5342" s="2049"/>
      <c r="E5342" s="2049"/>
      <c r="F5342" s="2050" t="str">
        <f>+'01'!$H$201</f>
        <v>H - TANQUE DE ALMACENAMIENTO</v>
      </c>
      <c r="G5342" s="2049"/>
      <c r="H5342" s="2049"/>
      <c r="I5342" s="2049"/>
      <c r="J5342" s="2049"/>
      <c r="K5342" s="2049"/>
      <c r="L5342" s="2049"/>
      <c r="M5342" s="2049"/>
      <c r="N5342" s="2049"/>
      <c r="O5342" s="2049"/>
      <c r="P5342" s="2049"/>
      <c r="Q5342" s="2049"/>
      <c r="R5342" s="2049"/>
      <c r="S5342" s="2049"/>
      <c r="T5342" s="2049"/>
      <c r="U5342" s="2049"/>
      <c r="V5342" s="2049"/>
      <c r="W5342" s="2049"/>
      <c r="X5342" s="2049"/>
      <c r="Y5342" s="2051"/>
      <c r="Z5342" s="2052" t="s">
        <v>1843</v>
      </c>
      <c r="AA5342" s="2053"/>
      <c r="AB5342" s="2058" t="s">
        <v>1844</v>
      </c>
      <c r="AC5342" s="2059"/>
      <c r="AD5342" s="2060"/>
      <c r="AE5342" s="2064" t="s">
        <v>1845</v>
      </c>
      <c r="AF5342" s="2067" t="s">
        <v>1846</v>
      </c>
    </row>
    <row r="5343" spans="1:32" ht="15" customHeight="1" x14ac:dyDescent="0.2">
      <c r="A5343" s="2070" t="str">
        <f>+'01'!A223</f>
        <v>H-08-03</v>
      </c>
      <c r="B5343" s="2071"/>
      <c r="C5343" s="2072"/>
      <c r="D5343" s="2076" t="str">
        <f>VLOOKUP(A5343,'01'!$A$12:$N$299,3,FALSE)</f>
        <v>SUMINISTRO E INSTALACIÓN SISTEMA DE ALMENARA PARA TUBERÍA PVC PRESIÓN DE 8".</v>
      </c>
      <c r="E5343" s="2077"/>
      <c r="F5343" s="2077"/>
      <c r="G5343" s="2077"/>
      <c r="H5343" s="2077"/>
      <c r="I5343" s="2077"/>
      <c r="J5343" s="2077"/>
      <c r="K5343" s="2077"/>
      <c r="L5343" s="2077"/>
      <c r="M5343" s="2077"/>
      <c r="N5343" s="2077"/>
      <c r="O5343" s="2077"/>
      <c r="P5343" s="2077"/>
      <c r="Q5343" s="2077"/>
      <c r="R5343" s="2077"/>
      <c r="S5343" s="2078"/>
      <c r="T5343" s="2082" t="s">
        <v>124</v>
      </c>
      <c r="U5343" s="2083"/>
      <c r="V5343" s="2083"/>
      <c r="W5343" s="2083"/>
      <c r="X5343" s="2052" t="str">
        <f>VLOOKUP(A5343,'01'!$A$12:$N$299,9,FALSE)</f>
        <v>UND</v>
      </c>
      <c r="Y5343" s="2053"/>
      <c r="Z5343" s="2054"/>
      <c r="AA5343" s="2055"/>
      <c r="AB5343" s="2061"/>
      <c r="AC5343" s="2062"/>
      <c r="AD5343" s="2063"/>
      <c r="AE5343" s="2065"/>
      <c r="AF5343" s="2068"/>
    </row>
    <row r="5344" spans="1:32" ht="15" customHeight="1" x14ac:dyDescent="0.25">
      <c r="A5344" s="2073"/>
      <c r="B5344" s="2074"/>
      <c r="C5344" s="2075"/>
      <c r="D5344" s="2079"/>
      <c r="E5344" s="2080"/>
      <c r="F5344" s="2080"/>
      <c r="G5344" s="2080"/>
      <c r="H5344" s="2080"/>
      <c r="I5344" s="2080"/>
      <c r="J5344" s="2080"/>
      <c r="K5344" s="2080"/>
      <c r="L5344" s="2080"/>
      <c r="M5344" s="2080"/>
      <c r="N5344" s="2080"/>
      <c r="O5344" s="2080"/>
      <c r="P5344" s="2080"/>
      <c r="Q5344" s="2080"/>
      <c r="R5344" s="2080"/>
      <c r="S5344" s="2081"/>
      <c r="T5344" s="2084"/>
      <c r="U5344" s="2085"/>
      <c r="V5344" s="2085"/>
      <c r="W5344" s="2085"/>
      <c r="X5344" s="2056"/>
      <c r="Y5344" s="2057"/>
      <c r="Z5344" s="2056"/>
      <c r="AA5344" s="2057"/>
      <c r="AB5344" s="1049" t="s">
        <v>1847</v>
      </c>
      <c r="AC5344" s="1049" t="s">
        <v>1848</v>
      </c>
      <c r="AD5344" s="1049" t="s">
        <v>1861</v>
      </c>
      <c r="AE5344" s="2066"/>
      <c r="AF5344" s="2069"/>
    </row>
    <row r="5345" spans="1:32" ht="15.6" customHeight="1" x14ac:dyDescent="0.25">
      <c r="A5345" s="2017"/>
      <c r="B5345" s="2018"/>
      <c r="C5345" s="2018"/>
      <c r="D5345" s="2018"/>
      <c r="E5345" s="2018"/>
      <c r="F5345" s="2018"/>
      <c r="G5345" s="2018"/>
      <c r="H5345" s="2018"/>
      <c r="I5345" s="2018"/>
      <c r="J5345" s="2018"/>
      <c r="K5345" s="2018"/>
      <c r="L5345" s="2018"/>
      <c r="M5345" s="2018"/>
      <c r="N5345" s="2018"/>
      <c r="O5345" s="2018"/>
      <c r="P5345" s="2018"/>
      <c r="Q5345" s="2018"/>
      <c r="R5345" s="2018"/>
      <c r="S5345" s="2018"/>
      <c r="T5345" s="2018"/>
      <c r="U5345" s="2018"/>
      <c r="V5345" s="2018"/>
      <c r="W5345" s="2018"/>
      <c r="X5345" s="2018"/>
      <c r="Y5345" s="2018"/>
      <c r="Z5345" s="2021" t="s">
        <v>2521</v>
      </c>
      <c r="AA5345" s="2021"/>
      <c r="AB5345" s="1050"/>
      <c r="AC5345" s="1050"/>
      <c r="AD5345" s="1050"/>
      <c r="AE5345" s="1050">
        <v>0</v>
      </c>
      <c r="AF5345" s="1052">
        <f>+AE5345</f>
        <v>0</v>
      </c>
    </row>
    <row r="5346" spans="1:32" ht="15.6" customHeight="1" x14ac:dyDescent="0.25">
      <c r="A5346" s="2017"/>
      <c r="B5346" s="2018"/>
      <c r="C5346" s="2018"/>
      <c r="D5346" s="2018"/>
      <c r="E5346" s="2018"/>
      <c r="F5346" s="2018"/>
      <c r="G5346" s="2018"/>
      <c r="H5346" s="2018"/>
      <c r="I5346" s="2018"/>
      <c r="J5346" s="2018"/>
      <c r="K5346" s="2018"/>
      <c r="L5346" s="2018"/>
      <c r="M5346" s="2018"/>
      <c r="N5346" s="2018"/>
      <c r="O5346" s="2018"/>
      <c r="P5346" s="2018"/>
      <c r="Q5346" s="2018"/>
      <c r="R5346" s="2018"/>
      <c r="S5346" s="2018"/>
      <c r="T5346" s="2018"/>
      <c r="U5346" s="2018"/>
      <c r="V5346" s="2018"/>
      <c r="W5346" s="2018"/>
      <c r="X5346" s="2018"/>
      <c r="Y5346" s="2018"/>
      <c r="Z5346" s="2021" t="s">
        <v>2527</v>
      </c>
      <c r="AA5346" s="2021"/>
      <c r="AB5346" s="1050"/>
      <c r="AC5346" s="1050"/>
      <c r="AD5346" s="1050"/>
      <c r="AE5346" s="1050">
        <v>0</v>
      </c>
      <c r="AF5346" s="1052">
        <f t="shared" ref="AF5346:AF5348" si="73">+AE5346</f>
        <v>0</v>
      </c>
    </row>
    <row r="5347" spans="1:32" ht="15.75" x14ac:dyDescent="0.25">
      <c r="A5347" s="2017"/>
      <c r="B5347" s="2018"/>
      <c r="C5347" s="2018"/>
      <c r="D5347" s="2018"/>
      <c r="E5347" s="2018"/>
      <c r="F5347" s="2018"/>
      <c r="G5347" s="2018"/>
      <c r="H5347" s="2018"/>
      <c r="I5347" s="2018"/>
      <c r="J5347" s="2018"/>
      <c r="K5347" s="2018"/>
      <c r="L5347" s="2018"/>
      <c r="M5347" s="2018"/>
      <c r="N5347" s="2018"/>
      <c r="O5347" s="2018"/>
      <c r="P5347" s="2018"/>
      <c r="Q5347" s="2018"/>
      <c r="R5347" s="2018"/>
      <c r="S5347" s="2018"/>
      <c r="T5347" s="2018"/>
      <c r="U5347" s="2018"/>
      <c r="V5347" s="2018"/>
      <c r="W5347" s="2018"/>
      <c r="X5347" s="2018"/>
      <c r="Y5347" s="2018"/>
      <c r="Z5347" s="2021" t="s">
        <v>2495</v>
      </c>
      <c r="AA5347" s="2021"/>
      <c r="AB5347" s="1050"/>
      <c r="AC5347" s="1050"/>
      <c r="AD5347" s="1050"/>
      <c r="AE5347" s="1050">
        <v>2</v>
      </c>
      <c r="AF5347" s="1052">
        <f t="shared" si="73"/>
        <v>2</v>
      </c>
    </row>
    <row r="5348" spans="1:32" ht="15.75" x14ac:dyDescent="0.25">
      <c r="A5348" s="2017"/>
      <c r="B5348" s="2018"/>
      <c r="C5348" s="2018"/>
      <c r="D5348" s="2018"/>
      <c r="E5348" s="2018"/>
      <c r="F5348" s="2018"/>
      <c r="G5348" s="2018"/>
      <c r="H5348" s="2018"/>
      <c r="I5348" s="2018"/>
      <c r="J5348" s="2018"/>
      <c r="K5348" s="2018"/>
      <c r="L5348" s="2018"/>
      <c r="M5348" s="2018"/>
      <c r="N5348" s="2018"/>
      <c r="O5348" s="2018"/>
      <c r="P5348" s="2018"/>
      <c r="Q5348" s="2018"/>
      <c r="R5348" s="2018"/>
      <c r="S5348" s="2018"/>
      <c r="T5348" s="2018"/>
      <c r="U5348" s="2018"/>
      <c r="V5348" s="2018"/>
      <c r="W5348" s="2018"/>
      <c r="X5348" s="2018"/>
      <c r="Y5348" s="2018"/>
      <c r="Z5348" s="2021" t="s">
        <v>2460</v>
      </c>
      <c r="AA5348" s="2021"/>
      <c r="AB5348" s="1050"/>
      <c r="AC5348" s="1050"/>
      <c r="AD5348" s="1050"/>
      <c r="AE5348" s="1050">
        <v>2</v>
      </c>
      <c r="AF5348" s="1052">
        <f t="shared" si="73"/>
        <v>2</v>
      </c>
    </row>
    <row r="5349" spans="1:32" ht="15.6" customHeight="1" x14ac:dyDescent="0.25">
      <c r="A5349" s="2017"/>
      <c r="B5349" s="2018"/>
      <c r="C5349" s="2018"/>
      <c r="D5349" s="2018"/>
      <c r="E5349" s="2018"/>
      <c r="F5349" s="2018"/>
      <c r="G5349" s="2018"/>
      <c r="H5349" s="2018"/>
      <c r="I5349" s="2018"/>
      <c r="J5349" s="2018"/>
      <c r="K5349" s="2018"/>
      <c r="L5349" s="2018"/>
      <c r="M5349" s="2018"/>
      <c r="N5349" s="2018"/>
      <c r="O5349" s="2018"/>
      <c r="P5349" s="2018"/>
      <c r="Q5349" s="2018"/>
      <c r="R5349" s="2018"/>
      <c r="S5349" s="2018"/>
      <c r="T5349" s="2018"/>
      <c r="U5349" s="2018"/>
      <c r="V5349" s="2018"/>
      <c r="W5349" s="2018"/>
      <c r="X5349" s="2018"/>
      <c r="Y5349" s="2018"/>
      <c r="Z5349" s="2022"/>
      <c r="AA5349" s="2022"/>
      <c r="AB5349" s="1050"/>
      <c r="AC5349" s="1050"/>
      <c r="AD5349" s="1050"/>
      <c r="AE5349" s="1050"/>
      <c r="AF5349" s="1052"/>
    </row>
    <row r="5350" spans="1:32" ht="15.75" x14ac:dyDescent="0.25">
      <c r="A5350" s="2017"/>
      <c r="B5350" s="2018"/>
      <c r="C5350" s="2018"/>
      <c r="D5350" s="2018"/>
      <c r="E5350" s="2018"/>
      <c r="F5350" s="2018"/>
      <c r="G5350" s="2018"/>
      <c r="H5350" s="2018"/>
      <c r="I5350" s="2018"/>
      <c r="J5350" s="2018"/>
      <c r="K5350" s="2018"/>
      <c r="L5350" s="2018"/>
      <c r="M5350" s="2018"/>
      <c r="N5350" s="2018"/>
      <c r="O5350" s="2018"/>
      <c r="P5350" s="2018"/>
      <c r="Q5350" s="2018"/>
      <c r="R5350" s="2018"/>
      <c r="S5350" s="2018"/>
      <c r="T5350" s="2018"/>
      <c r="U5350" s="2018"/>
      <c r="V5350" s="2018"/>
      <c r="W5350" s="2018"/>
      <c r="X5350" s="2018"/>
      <c r="Y5350" s="2018"/>
      <c r="Z5350" s="2022"/>
      <c r="AA5350" s="2022"/>
      <c r="AB5350" s="1050"/>
      <c r="AC5350" s="1050"/>
      <c r="AD5350" s="1050"/>
      <c r="AE5350" s="1050"/>
      <c r="AF5350" s="1052"/>
    </row>
    <row r="5351" spans="1:32" ht="15.75" x14ac:dyDescent="0.25">
      <c r="A5351" s="2017"/>
      <c r="B5351" s="2018"/>
      <c r="C5351" s="2018"/>
      <c r="D5351" s="2018"/>
      <c r="E5351" s="2018"/>
      <c r="F5351" s="2018"/>
      <c r="G5351" s="2018"/>
      <c r="H5351" s="2018"/>
      <c r="I5351" s="2018"/>
      <c r="J5351" s="2018"/>
      <c r="K5351" s="2018"/>
      <c r="L5351" s="2018"/>
      <c r="M5351" s="2018"/>
      <c r="N5351" s="2018"/>
      <c r="O5351" s="2018"/>
      <c r="P5351" s="2018"/>
      <c r="Q5351" s="2018"/>
      <c r="R5351" s="2018"/>
      <c r="S5351" s="2018"/>
      <c r="T5351" s="2018"/>
      <c r="U5351" s="2018"/>
      <c r="V5351" s="2018"/>
      <c r="W5351" s="2018"/>
      <c r="X5351" s="2018"/>
      <c r="Y5351" s="2018"/>
      <c r="Z5351" s="2022"/>
      <c r="AA5351" s="2022"/>
      <c r="AB5351" s="1050"/>
      <c r="AC5351" s="1050"/>
      <c r="AD5351" s="1050"/>
      <c r="AE5351" s="1050"/>
      <c r="AF5351" s="1052"/>
    </row>
    <row r="5352" spans="1:32" ht="15.6" customHeight="1" x14ac:dyDescent="0.25">
      <c r="A5352" s="2017"/>
      <c r="B5352" s="2018"/>
      <c r="C5352" s="2018"/>
      <c r="D5352" s="2018"/>
      <c r="E5352" s="2018"/>
      <c r="F5352" s="2018"/>
      <c r="G5352" s="2018"/>
      <c r="H5352" s="2018"/>
      <c r="I5352" s="2018"/>
      <c r="J5352" s="2018"/>
      <c r="K5352" s="2018"/>
      <c r="L5352" s="2018"/>
      <c r="M5352" s="2018"/>
      <c r="N5352" s="2018"/>
      <c r="O5352" s="2018"/>
      <c r="P5352" s="2018"/>
      <c r="Q5352" s="2018"/>
      <c r="R5352" s="2018"/>
      <c r="S5352" s="2018"/>
      <c r="T5352" s="2018"/>
      <c r="U5352" s="2018"/>
      <c r="V5352" s="2018"/>
      <c r="W5352" s="2018"/>
      <c r="X5352" s="2018"/>
      <c r="Y5352" s="2018"/>
      <c r="Z5352" s="2022"/>
      <c r="AA5352" s="2022"/>
      <c r="AB5352" s="1050"/>
      <c r="AC5352" s="1050"/>
      <c r="AD5352" s="1050"/>
      <c r="AE5352" s="1050"/>
      <c r="AF5352" s="1052"/>
    </row>
    <row r="5353" spans="1:32" ht="15.75" x14ac:dyDescent="0.25">
      <c r="A5353" s="2017"/>
      <c r="B5353" s="2018"/>
      <c r="C5353" s="2018"/>
      <c r="D5353" s="2018"/>
      <c r="E5353" s="2018"/>
      <c r="F5353" s="2018"/>
      <c r="G5353" s="2018"/>
      <c r="H5353" s="2018"/>
      <c r="I5353" s="2018"/>
      <c r="J5353" s="2018"/>
      <c r="K5353" s="2018"/>
      <c r="L5353" s="2018"/>
      <c r="M5353" s="2018"/>
      <c r="N5353" s="2018"/>
      <c r="O5353" s="2018"/>
      <c r="P5353" s="2018"/>
      <c r="Q5353" s="2018"/>
      <c r="R5353" s="2018"/>
      <c r="S5353" s="2018"/>
      <c r="T5353" s="2018"/>
      <c r="U5353" s="2018"/>
      <c r="V5353" s="2018"/>
      <c r="W5353" s="2018"/>
      <c r="X5353" s="2018"/>
      <c r="Y5353" s="2018"/>
      <c r="Z5353" s="2022"/>
      <c r="AA5353" s="2022"/>
      <c r="AB5353" s="1050"/>
      <c r="AC5353" s="1050"/>
      <c r="AD5353" s="1050"/>
      <c r="AE5353" s="1050"/>
      <c r="AF5353" s="1052"/>
    </row>
    <row r="5354" spans="1:32" ht="15.75" x14ac:dyDescent="0.25">
      <c r="A5354" s="2017"/>
      <c r="B5354" s="2018"/>
      <c r="C5354" s="2018"/>
      <c r="D5354" s="2018"/>
      <c r="E5354" s="2018"/>
      <c r="F5354" s="2018"/>
      <c r="G5354" s="2018"/>
      <c r="H5354" s="2018"/>
      <c r="I5354" s="2018"/>
      <c r="J5354" s="2018"/>
      <c r="K5354" s="2018"/>
      <c r="L5354" s="2018"/>
      <c r="M5354" s="2018"/>
      <c r="N5354" s="2018"/>
      <c r="O5354" s="2018"/>
      <c r="P5354" s="2018"/>
      <c r="Q5354" s="2018"/>
      <c r="R5354" s="2018"/>
      <c r="S5354" s="2018"/>
      <c r="T5354" s="2018"/>
      <c r="U5354" s="2018"/>
      <c r="V5354" s="2018"/>
      <c r="W5354" s="2018"/>
      <c r="X5354" s="2018"/>
      <c r="Y5354" s="2018"/>
      <c r="Z5354" s="2022"/>
      <c r="AA5354" s="2022"/>
      <c r="AB5354" s="1050"/>
      <c r="AC5354" s="1050"/>
      <c r="AD5354" s="1050"/>
      <c r="AE5354" s="1050"/>
      <c r="AF5354" s="1052"/>
    </row>
    <row r="5355" spans="1:32" ht="15.75" x14ac:dyDescent="0.25">
      <c r="A5355" s="2017"/>
      <c r="B5355" s="2018"/>
      <c r="C5355" s="2018"/>
      <c r="D5355" s="2018"/>
      <c r="E5355" s="2018"/>
      <c r="F5355" s="2018"/>
      <c r="G5355" s="2018"/>
      <c r="H5355" s="2018"/>
      <c r="I5355" s="2018"/>
      <c r="J5355" s="2018"/>
      <c r="K5355" s="2018"/>
      <c r="L5355" s="2018"/>
      <c r="M5355" s="2018"/>
      <c r="N5355" s="2018"/>
      <c r="O5355" s="2018"/>
      <c r="P5355" s="2018"/>
      <c r="Q5355" s="2018"/>
      <c r="R5355" s="2018"/>
      <c r="S5355" s="2018"/>
      <c r="T5355" s="2018"/>
      <c r="U5355" s="2018"/>
      <c r="V5355" s="2018"/>
      <c r="W5355" s="2018"/>
      <c r="X5355" s="2018"/>
      <c r="Y5355" s="2018"/>
      <c r="Z5355" s="2022"/>
      <c r="AA5355" s="2022"/>
      <c r="AB5355" s="1050"/>
      <c r="AC5355" s="1050"/>
      <c r="AD5355" s="1050"/>
      <c r="AE5355" s="1050"/>
      <c r="AF5355" s="1052"/>
    </row>
    <row r="5356" spans="1:32" ht="15.6" customHeight="1" x14ac:dyDescent="0.25">
      <c r="A5356" s="2017"/>
      <c r="B5356" s="2018"/>
      <c r="C5356" s="2018"/>
      <c r="D5356" s="2018"/>
      <c r="E5356" s="2018"/>
      <c r="F5356" s="2018"/>
      <c r="G5356" s="2018"/>
      <c r="H5356" s="2018"/>
      <c r="I5356" s="2018"/>
      <c r="J5356" s="2018"/>
      <c r="K5356" s="2018"/>
      <c r="L5356" s="2018"/>
      <c r="M5356" s="2018"/>
      <c r="N5356" s="2018"/>
      <c r="O5356" s="2018"/>
      <c r="P5356" s="2018"/>
      <c r="Q5356" s="2018"/>
      <c r="R5356" s="2018"/>
      <c r="S5356" s="2018"/>
      <c r="T5356" s="2018"/>
      <c r="U5356" s="2018"/>
      <c r="V5356" s="2018"/>
      <c r="W5356" s="2018"/>
      <c r="X5356" s="2018"/>
      <c r="Y5356" s="2018"/>
      <c r="Z5356" s="2022"/>
      <c r="AA5356" s="2022"/>
      <c r="AB5356" s="1050"/>
      <c r="AC5356" s="1050"/>
      <c r="AD5356" s="1050"/>
      <c r="AE5356" s="1050"/>
      <c r="AF5356" s="1052"/>
    </row>
    <row r="5357" spans="1:32" ht="15.75" x14ac:dyDescent="0.25">
      <c r="A5357" s="2017"/>
      <c r="B5357" s="2018"/>
      <c r="C5357" s="2018"/>
      <c r="D5357" s="2018"/>
      <c r="E5357" s="2018"/>
      <c r="F5357" s="2018"/>
      <c r="G5357" s="2018"/>
      <c r="H5357" s="2018"/>
      <c r="I5357" s="2018"/>
      <c r="J5357" s="2018"/>
      <c r="K5357" s="2018"/>
      <c r="L5357" s="2018"/>
      <c r="M5357" s="2018"/>
      <c r="N5357" s="2018"/>
      <c r="O5357" s="2018"/>
      <c r="P5357" s="2018"/>
      <c r="Q5357" s="2018"/>
      <c r="R5357" s="2018"/>
      <c r="S5357" s="2018"/>
      <c r="T5357" s="2018"/>
      <c r="U5357" s="2018"/>
      <c r="V5357" s="2018"/>
      <c r="W5357" s="2018"/>
      <c r="X5357" s="2018"/>
      <c r="Y5357" s="2018"/>
      <c r="Z5357" s="2022"/>
      <c r="AA5357" s="2022"/>
      <c r="AB5357" s="1050"/>
      <c r="AC5357" s="1050"/>
      <c r="AD5357" s="1050"/>
      <c r="AE5357" s="1050"/>
      <c r="AF5357" s="1052"/>
    </row>
    <row r="5358" spans="1:32" ht="15.75" x14ac:dyDescent="0.25">
      <c r="A5358" s="2017"/>
      <c r="B5358" s="2018"/>
      <c r="C5358" s="2018"/>
      <c r="D5358" s="2018"/>
      <c r="E5358" s="2018"/>
      <c r="F5358" s="2018"/>
      <c r="G5358" s="2018"/>
      <c r="H5358" s="2018"/>
      <c r="I5358" s="2018"/>
      <c r="J5358" s="2018"/>
      <c r="K5358" s="2018"/>
      <c r="L5358" s="2018"/>
      <c r="M5358" s="2018"/>
      <c r="N5358" s="2018"/>
      <c r="O5358" s="2018"/>
      <c r="P5358" s="2018"/>
      <c r="Q5358" s="2018"/>
      <c r="R5358" s="2018"/>
      <c r="S5358" s="2018"/>
      <c r="T5358" s="2018"/>
      <c r="U5358" s="2018"/>
      <c r="V5358" s="2018"/>
      <c r="W5358" s="2018"/>
      <c r="X5358" s="2018"/>
      <c r="Y5358" s="2018"/>
      <c r="Z5358" s="2022"/>
      <c r="AA5358" s="2022"/>
      <c r="AB5358" s="1050"/>
      <c r="AC5358" s="1050"/>
      <c r="AD5358" s="1050"/>
      <c r="AE5358" s="1050"/>
      <c r="AF5358" s="1052"/>
    </row>
    <row r="5359" spans="1:32" ht="15.75" x14ac:dyDescent="0.25">
      <c r="A5359" s="2017"/>
      <c r="B5359" s="2018"/>
      <c r="C5359" s="2018"/>
      <c r="D5359" s="2018"/>
      <c r="E5359" s="2018"/>
      <c r="F5359" s="2018"/>
      <c r="G5359" s="2018"/>
      <c r="H5359" s="2018"/>
      <c r="I5359" s="2018"/>
      <c r="J5359" s="2018"/>
      <c r="K5359" s="2018"/>
      <c r="L5359" s="2018"/>
      <c r="M5359" s="2018"/>
      <c r="N5359" s="2018"/>
      <c r="O5359" s="2018"/>
      <c r="P5359" s="2018"/>
      <c r="Q5359" s="2018"/>
      <c r="R5359" s="2018"/>
      <c r="S5359" s="2018"/>
      <c r="T5359" s="2018"/>
      <c r="U5359" s="2018"/>
      <c r="V5359" s="2018"/>
      <c r="W5359" s="2018"/>
      <c r="X5359" s="2018"/>
      <c r="Y5359" s="2018"/>
      <c r="Z5359" s="2022"/>
      <c r="AA5359" s="2022"/>
      <c r="AB5359" s="1050"/>
      <c r="AC5359" s="1050"/>
      <c r="AD5359" s="1050"/>
      <c r="AE5359" s="1050"/>
      <c r="AF5359" s="1052"/>
    </row>
    <row r="5360" spans="1:32" ht="15.75" x14ac:dyDescent="0.25">
      <c r="A5360" s="2017"/>
      <c r="B5360" s="2018"/>
      <c r="C5360" s="2018"/>
      <c r="D5360" s="2018"/>
      <c r="E5360" s="2018"/>
      <c r="F5360" s="2018"/>
      <c r="G5360" s="2018"/>
      <c r="H5360" s="2018"/>
      <c r="I5360" s="2018"/>
      <c r="J5360" s="2018"/>
      <c r="K5360" s="2018"/>
      <c r="L5360" s="2018"/>
      <c r="M5360" s="2018"/>
      <c r="N5360" s="2018"/>
      <c r="O5360" s="2018"/>
      <c r="P5360" s="2018"/>
      <c r="Q5360" s="2018"/>
      <c r="R5360" s="2018"/>
      <c r="S5360" s="2018"/>
      <c r="T5360" s="2018"/>
      <c r="U5360" s="2018"/>
      <c r="V5360" s="2018"/>
      <c r="W5360" s="2018"/>
      <c r="X5360" s="2018"/>
      <c r="Y5360" s="2018"/>
      <c r="Z5360" s="2022"/>
      <c r="AA5360" s="2022"/>
      <c r="AB5360" s="1050"/>
      <c r="AC5360" s="1050"/>
      <c r="AD5360" s="1050"/>
      <c r="AE5360" s="1050"/>
      <c r="AF5360" s="1052"/>
    </row>
    <row r="5361" spans="1:32" ht="15.75" x14ac:dyDescent="0.25">
      <c r="A5361" s="2017"/>
      <c r="B5361" s="2018"/>
      <c r="C5361" s="2018"/>
      <c r="D5361" s="2018"/>
      <c r="E5361" s="2018"/>
      <c r="F5361" s="2018"/>
      <c r="G5361" s="2018"/>
      <c r="H5361" s="2018"/>
      <c r="I5361" s="2018"/>
      <c r="J5361" s="2018"/>
      <c r="K5361" s="2018"/>
      <c r="L5361" s="2018"/>
      <c r="M5361" s="2018"/>
      <c r="N5361" s="2018"/>
      <c r="O5361" s="2018"/>
      <c r="P5361" s="2018"/>
      <c r="Q5361" s="2018"/>
      <c r="R5361" s="2018"/>
      <c r="S5361" s="2018"/>
      <c r="T5361" s="2018"/>
      <c r="U5361" s="2018"/>
      <c r="V5361" s="2018"/>
      <c r="W5361" s="2018"/>
      <c r="X5361" s="2018"/>
      <c r="Y5361" s="2018"/>
      <c r="Z5361" s="2022"/>
      <c r="AA5361" s="2022"/>
      <c r="AB5361" s="1050"/>
      <c r="AC5361" s="1050"/>
      <c r="AD5361" s="1050"/>
      <c r="AE5361" s="1050"/>
      <c r="AF5361" s="1052"/>
    </row>
    <row r="5362" spans="1:32" ht="15.75" x14ac:dyDescent="0.25">
      <c r="A5362" s="2017"/>
      <c r="B5362" s="2018"/>
      <c r="C5362" s="2018"/>
      <c r="D5362" s="2018"/>
      <c r="E5362" s="2018"/>
      <c r="F5362" s="2018"/>
      <c r="G5362" s="2018"/>
      <c r="H5362" s="2018"/>
      <c r="I5362" s="2018"/>
      <c r="J5362" s="2018"/>
      <c r="K5362" s="2018"/>
      <c r="L5362" s="2018"/>
      <c r="M5362" s="2018"/>
      <c r="N5362" s="2018"/>
      <c r="O5362" s="2018"/>
      <c r="P5362" s="2018"/>
      <c r="Q5362" s="2018"/>
      <c r="R5362" s="2018"/>
      <c r="S5362" s="2018"/>
      <c r="T5362" s="2018"/>
      <c r="U5362" s="2018"/>
      <c r="V5362" s="2018"/>
      <c r="W5362" s="2018"/>
      <c r="X5362" s="2018"/>
      <c r="Y5362" s="2018"/>
      <c r="Z5362" s="2023"/>
      <c r="AA5362" s="2023"/>
      <c r="AB5362" s="1050"/>
      <c r="AC5362" s="1050"/>
      <c r="AD5362" s="1050"/>
      <c r="AE5362" s="1050"/>
      <c r="AF5362" s="1052"/>
    </row>
    <row r="5363" spans="1:32" ht="15.75" x14ac:dyDescent="0.25">
      <c r="A5363" s="2017"/>
      <c r="B5363" s="2018"/>
      <c r="C5363" s="2018"/>
      <c r="D5363" s="2018"/>
      <c r="E5363" s="2018"/>
      <c r="F5363" s="2018"/>
      <c r="G5363" s="2018"/>
      <c r="H5363" s="2018"/>
      <c r="I5363" s="2018"/>
      <c r="J5363" s="2018"/>
      <c r="K5363" s="2018"/>
      <c r="L5363" s="2018"/>
      <c r="M5363" s="2018"/>
      <c r="N5363" s="2018"/>
      <c r="O5363" s="2018"/>
      <c r="P5363" s="2018"/>
      <c r="Q5363" s="2018"/>
      <c r="R5363" s="2018"/>
      <c r="S5363" s="2018"/>
      <c r="T5363" s="2018"/>
      <c r="U5363" s="2018"/>
      <c r="V5363" s="2018"/>
      <c r="W5363" s="2018"/>
      <c r="X5363" s="2018"/>
      <c r="Y5363" s="2018"/>
      <c r="Z5363" s="2023"/>
      <c r="AA5363" s="2023"/>
      <c r="AB5363" s="1050"/>
      <c r="AC5363" s="1050"/>
      <c r="AD5363" s="1050"/>
      <c r="AE5363" s="1050"/>
      <c r="AF5363" s="1052"/>
    </row>
    <row r="5364" spans="1:32" ht="15.75" x14ac:dyDescent="0.25">
      <c r="A5364" s="2017"/>
      <c r="B5364" s="2018"/>
      <c r="C5364" s="2018"/>
      <c r="D5364" s="2018"/>
      <c r="E5364" s="2018"/>
      <c r="F5364" s="2018"/>
      <c r="G5364" s="2018"/>
      <c r="H5364" s="2018"/>
      <c r="I5364" s="2018"/>
      <c r="J5364" s="2018"/>
      <c r="K5364" s="2018"/>
      <c r="L5364" s="2018"/>
      <c r="M5364" s="2018"/>
      <c r="N5364" s="2018"/>
      <c r="O5364" s="2018"/>
      <c r="P5364" s="2018"/>
      <c r="Q5364" s="2018"/>
      <c r="R5364" s="2018"/>
      <c r="S5364" s="2018"/>
      <c r="T5364" s="2018"/>
      <c r="U5364" s="2018"/>
      <c r="V5364" s="2018"/>
      <c r="W5364" s="2018"/>
      <c r="X5364" s="2018"/>
      <c r="Y5364" s="2018"/>
      <c r="Z5364" s="2023"/>
      <c r="AA5364" s="2023"/>
      <c r="AB5364" s="1050"/>
      <c r="AC5364" s="1050"/>
      <c r="AD5364" s="1050"/>
      <c r="AE5364" s="1050"/>
      <c r="AF5364" s="1052"/>
    </row>
    <row r="5365" spans="1:32" ht="15.75" x14ac:dyDescent="0.25">
      <c r="A5365" s="2017"/>
      <c r="B5365" s="2018"/>
      <c r="C5365" s="2018"/>
      <c r="D5365" s="2018"/>
      <c r="E5365" s="2018"/>
      <c r="F5365" s="2018"/>
      <c r="G5365" s="2018"/>
      <c r="H5365" s="2018"/>
      <c r="I5365" s="2018"/>
      <c r="J5365" s="2018"/>
      <c r="K5365" s="2018"/>
      <c r="L5365" s="2018"/>
      <c r="M5365" s="2018"/>
      <c r="N5365" s="2018"/>
      <c r="O5365" s="2018"/>
      <c r="P5365" s="2018"/>
      <c r="Q5365" s="2018"/>
      <c r="R5365" s="2018"/>
      <c r="S5365" s="2018"/>
      <c r="T5365" s="2018"/>
      <c r="U5365" s="2018"/>
      <c r="V5365" s="2018"/>
      <c r="W5365" s="2018"/>
      <c r="X5365" s="2018"/>
      <c r="Y5365" s="2018"/>
      <c r="Z5365" s="2023"/>
      <c r="AA5365" s="2023"/>
      <c r="AB5365" s="1050"/>
      <c r="AC5365" s="1050"/>
      <c r="AD5365" s="1050"/>
      <c r="AE5365" s="1050"/>
      <c r="AF5365" s="1052"/>
    </row>
    <row r="5366" spans="1:32" ht="15.75" x14ac:dyDescent="0.25">
      <c r="A5366" s="2017"/>
      <c r="B5366" s="2018"/>
      <c r="C5366" s="2018"/>
      <c r="D5366" s="2018"/>
      <c r="E5366" s="2018"/>
      <c r="F5366" s="2018"/>
      <c r="G5366" s="2018"/>
      <c r="H5366" s="2018"/>
      <c r="I5366" s="2018"/>
      <c r="J5366" s="2018"/>
      <c r="K5366" s="2018"/>
      <c r="L5366" s="2018"/>
      <c r="M5366" s="2018"/>
      <c r="N5366" s="2018"/>
      <c r="O5366" s="2018"/>
      <c r="P5366" s="2018"/>
      <c r="Q5366" s="2018"/>
      <c r="R5366" s="2018"/>
      <c r="S5366" s="2018"/>
      <c r="T5366" s="2018"/>
      <c r="U5366" s="2018"/>
      <c r="V5366" s="2018"/>
      <c r="W5366" s="2018"/>
      <c r="X5366" s="2018"/>
      <c r="Y5366" s="2018"/>
      <c r="Z5366" s="2023"/>
      <c r="AA5366" s="2023"/>
      <c r="AB5366" s="1050"/>
      <c r="AC5366" s="1050"/>
      <c r="AD5366" s="1050"/>
      <c r="AE5366" s="1050"/>
      <c r="AF5366" s="1052"/>
    </row>
    <row r="5367" spans="1:32" ht="15.75" x14ac:dyDescent="0.25">
      <c r="A5367" s="2017"/>
      <c r="B5367" s="2018"/>
      <c r="C5367" s="2018"/>
      <c r="D5367" s="2018"/>
      <c r="E5367" s="2018"/>
      <c r="F5367" s="2018"/>
      <c r="G5367" s="2018"/>
      <c r="H5367" s="2018"/>
      <c r="I5367" s="2018"/>
      <c r="J5367" s="2018"/>
      <c r="K5367" s="2018"/>
      <c r="L5367" s="2018"/>
      <c r="M5367" s="2018"/>
      <c r="N5367" s="2018"/>
      <c r="O5367" s="2018"/>
      <c r="P5367" s="2018"/>
      <c r="Q5367" s="2018"/>
      <c r="R5367" s="2018"/>
      <c r="S5367" s="2018"/>
      <c r="T5367" s="2018"/>
      <c r="U5367" s="2018"/>
      <c r="V5367" s="2018"/>
      <c r="W5367" s="2018"/>
      <c r="X5367" s="2018"/>
      <c r="Y5367" s="2018"/>
      <c r="Z5367" s="2023"/>
      <c r="AA5367" s="2023"/>
      <c r="AB5367" s="1050"/>
      <c r="AC5367" s="1050"/>
      <c r="AD5367" s="1050"/>
      <c r="AE5367" s="1050"/>
      <c r="AF5367" s="1052"/>
    </row>
    <row r="5368" spans="1:32" ht="16.5" thickBot="1" x14ac:dyDescent="0.3">
      <c r="A5368" s="2019"/>
      <c r="B5368" s="2020"/>
      <c r="C5368" s="2020"/>
      <c r="D5368" s="2020"/>
      <c r="E5368" s="2020"/>
      <c r="F5368" s="2020"/>
      <c r="G5368" s="2020"/>
      <c r="H5368" s="2020"/>
      <c r="I5368" s="2020"/>
      <c r="J5368" s="2020"/>
      <c r="K5368" s="2020"/>
      <c r="L5368" s="2020"/>
      <c r="M5368" s="2020"/>
      <c r="N5368" s="2020"/>
      <c r="O5368" s="2020"/>
      <c r="P5368" s="2020"/>
      <c r="Q5368" s="2020"/>
      <c r="R5368" s="2020"/>
      <c r="S5368" s="2020"/>
      <c r="T5368" s="2020"/>
      <c r="U5368" s="2020"/>
      <c r="V5368" s="2020"/>
      <c r="W5368" s="2020"/>
      <c r="X5368" s="2020"/>
      <c r="Y5368" s="2020"/>
      <c r="Z5368" s="2024"/>
      <c r="AA5368" s="2024"/>
      <c r="AB5368" s="1057"/>
      <c r="AC5368" s="1057"/>
      <c r="AD5368" s="1057"/>
      <c r="AE5368" s="1057"/>
      <c r="AF5368" s="1058"/>
    </row>
    <row r="5369" spans="1:32" ht="15.75" x14ac:dyDescent="0.25">
      <c r="A5369" s="2009" t="s">
        <v>1855</v>
      </c>
      <c r="B5369" s="2010"/>
      <c r="C5369" s="2010"/>
      <c r="D5369" s="2010"/>
      <c r="E5369" s="2010"/>
      <c r="F5369" s="2010"/>
      <c r="G5369" s="2010"/>
      <c r="H5369" s="2010"/>
      <c r="I5369" s="2010"/>
      <c r="J5369" s="2010"/>
      <c r="K5369" s="2010"/>
      <c r="L5369" s="2010"/>
      <c r="M5369" s="2010"/>
      <c r="N5369" s="2010"/>
      <c r="O5369" s="2010"/>
      <c r="P5369" s="2010"/>
      <c r="Q5369" s="2010"/>
      <c r="R5369" s="2010"/>
      <c r="S5369" s="2010"/>
      <c r="T5369" s="2010"/>
      <c r="U5369" s="2010"/>
      <c r="V5369" s="2010"/>
      <c r="W5369" s="2010"/>
      <c r="X5369" s="2010"/>
      <c r="Y5369" s="2010"/>
      <c r="Z5369" s="2013" t="s">
        <v>1850</v>
      </c>
      <c r="AA5369" s="2013"/>
      <c r="AB5369" s="2013"/>
      <c r="AC5369" s="2013"/>
      <c r="AD5369" s="2013"/>
      <c r="AE5369" s="2013"/>
      <c r="AF5369" s="1059">
        <f>SUM(AF5345:AF5368)</f>
        <v>4</v>
      </c>
    </row>
    <row r="5370" spans="1:32" ht="15.75" x14ac:dyDescent="0.25">
      <c r="A5370" s="2011"/>
      <c r="B5370" s="2012"/>
      <c r="C5370" s="2012"/>
      <c r="D5370" s="2012"/>
      <c r="E5370" s="2012"/>
      <c r="F5370" s="2012"/>
      <c r="G5370" s="2012"/>
      <c r="H5370" s="2012"/>
      <c r="I5370" s="2012"/>
      <c r="J5370" s="2012"/>
      <c r="K5370" s="2012"/>
      <c r="L5370" s="2012"/>
      <c r="M5370" s="2012"/>
      <c r="N5370" s="2012"/>
      <c r="O5370" s="2012"/>
      <c r="P5370" s="2012"/>
      <c r="Q5370" s="2012"/>
      <c r="R5370" s="2012"/>
      <c r="S5370" s="2012"/>
      <c r="T5370" s="2012"/>
      <c r="U5370" s="2012"/>
      <c r="V5370" s="2012"/>
      <c r="W5370" s="2012"/>
      <c r="X5370" s="2012"/>
      <c r="Y5370" s="2012"/>
      <c r="Z5370" s="2014" t="s">
        <v>1851</v>
      </c>
      <c r="AA5370" s="2014"/>
      <c r="AB5370" s="2014"/>
      <c r="AC5370" s="2014"/>
      <c r="AD5370" s="2014"/>
      <c r="AE5370" s="2014"/>
      <c r="AF5370" s="1060">
        <v>0</v>
      </c>
    </row>
    <row r="5371" spans="1:32" ht="15.75" x14ac:dyDescent="0.25">
      <c r="A5371" s="2011"/>
      <c r="B5371" s="2012"/>
      <c r="C5371" s="2012"/>
      <c r="D5371" s="2012"/>
      <c r="E5371" s="2012"/>
      <c r="F5371" s="2012"/>
      <c r="G5371" s="2012"/>
      <c r="H5371" s="2012"/>
      <c r="I5371" s="2012"/>
      <c r="J5371" s="2012"/>
      <c r="K5371" s="2012"/>
      <c r="L5371" s="2012"/>
      <c r="M5371" s="2012"/>
      <c r="N5371" s="2012"/>
      <c r="O5371" s="2012"/>
      <c r="P5371" s="2012"/>
      <c r="Q5371" s="2012"/>
      <c r="R5371" s="2012"/>
      <c r="S5371" s="2012"/>
      <c r="T5371" s="2012"/>
      <c r="U5371" s="2012"/>
      <c r="V5371" s="2012"/>
      <c r="W5371" s="2012"/>
      <c r="X5371" s="2012"/>
      <c r="Y5371" s="2012"/>
      <c r="Z5371" s="2015" t="s">
        <v>1833</v>
      </c>
      <c r="AA5371" s="2015"/>
      <c r="AB5371" s="2015"/>
      <c r="AC5371" s="2015"/>
      <c r="AD5371" s="2015"/>
      <c r="AE5371" s="2015"/>
      <c r="AF5371" s="1061">
        <f>SUM(AF5369:AF5370)</f>
        <v>4</v>
      </c>
    </row>
    <row r="5372" spans="1:32" x14ac:dyDescent="0.2">
      <c r="A5372" s="2012" t="s">
        <v>1859</v>
      </c>
      <c r="B5372" s="2012"/>
      <c r="C5372" s="2012"/>
      <c r="D5372" s="2012"/>
      <c r="E5372" s="2012"/>
      <c r="F5372" s="2012"/>
      <c r="G5372" s="2012"/>
      <c r="H5372" s="2012"/>
      <c r="I5372" s="2012"/>
      <c r="J5372" s="2012"/>
      <c r="K5372" s="2012"/>
      <c r="L5372" s="2012"/>
      <c r="M5372" s="2012"/>
      <c r="N5372" s="2012"/>
      <c r="O5372" s="2012"/>
      <c r="P5372" s="2012"/>
      <c r="Q5372" s="2012"/>
      <c r="R5372" s="2012"/>
      <c r="S5372" s="2012"/>
      <c r="T5372" s="2016" t="s">
        <v>1840</v>
      </c>
      <c r="U5372" s="2016"/>
      <c r="V5372" s="2016"/>
      <c r="W5372" s="2016"/>
      <c r="X5372" s="2016"/>
      <c r="Y5372" s="2016"/>
      <c r="Z5372" s="2016"/>
      <c r="AA5372" s="2016"/>
      <c r="AB5372" s="2012" t="s">
        <v>1852</v>
      </c>
      <c r="AC5372" s="2012"/>
      <c r="AD5372" s="2012"/>
      <c r="AE5372" s="2012"/>
      <c r="AF5372" s="2012"/>
    </row>
    <row r="5373" spans="1:32" x14ac:dyDescent="0.2">
      <c r="A5373" s="2012"/>
      <c r="B5373" s="2012"/>
      <c r="C5373" s="2012"/>
      <c r="D5373" s="2012"/>
      <c r="E5373" s="2012"/>
      <c r="F5373" s="2012"/>
      <c r="G5373" s="2012"/>
      <c r="H5373" s="2012"/>
      <c r="I5373" s="2012"/>
      <c r="J5373" s="2012"/>
      <c r="K5373" s="2012"/>
      <c r="L5373" s="2012"/>
      <c r="M5373" s="2012"/>
      <c r="N5373" s="2012"/>
      <c r="O5373" s="2012"/>
      <c r="P5373" s="2012"/>
      <c r="Q5373" s="2012"/>
      <c r="R5373" s="2012"/>
      <c r="S5373" s="2012"/>
      <c r="T5373" s="2016"/>
      <c r="U5373" s="2016"/>
      <c r="V5373" s="2016"/>
      <c r="W5373" s="2016"/>
      <c r="X5373" s="2016"/>
      <c r="Y5373" s="2016"/>
      <c r="Z5373" s="2016"/>
      <c r="AA5373" s="2016"/>
      <c r="AB5373" s="2012"/>
      <c r="AC5373" s="2012"/>
      <c r="AD5373" s="2012"/>
      <c r="AE5373" s="2012"/>
      <c r="AF5373" s="2012"/>
    </row>
    <row r="5374" spans="1:32" ht="13.5" thickBot="1" x14ac:dyDescent="0.25"/>
    <row r="5375" spans="1:32" ht="26.45" customHeight="1" x14ac:dyDescent="0.2">
      <c r="A5375" s="2025" t="s">
        <v>1854</v>
      </c>
      <c r="B5375" s="2026"/>
      <c r="C5375" s="2026"/>
      <c r="D5375" s="2026"/>
      <c r="E5375" s="2026"/>
      <c r="F5375" s="2026"/>
      <c r="G5375" s="2026"/>
      <c r="H5375" s="2026"/>
      <c r="I5375" s="2026"/>
      <c r="J5375" s="2026"/>
      <c r="K5375" s="2026"/>
      <c r="L5375" s="2026"/>
      <c r="M5375" s="2026"/>
      <c r="N5375" s="2026"/>
      <c r="O5375" s="2026"/>
      <c r="P5375" s="2026"/>
      <c r="Q5375" s="2026"/>
      <c r="R5375" s="2026"/>
      <c r="S5375" s="2026"/>
      <c r="T5375" s="2026"/>
      <c r="U5375" s="2026"/>
      <c r="V5375" s="2026"/>
      <c r="W5375" s="2026"/>
      <c r="X5375" s="2026"/>
      <c r="Y5375" s="2026"/>
      <c r="Z5375" s="2026"/>
      <c r="AA5375" s="2026"/>
      <c r="AB5375" s="2026"/>
      <c r="AC5375" s="2026"/>
      <c r="AD5375" s="2026"/>
      <c r="AE5375" s="1041" t="s">
        <v>1834</v>
      </c>
      <c r="AF5375" s="1042" t="s">
        <v>1835</v>
      </c>
    </row>
    <row r="5376" spans="1:32" ht="21" customHeight="1" thickBot="1" x14ac:dyDescent="0.25">
      <c r="A5376" s="2027"/>
      <c r="B5376" s="2028"/>
      <c r="C5376" s="2028"/>
      <c r="D5376" s="2028"/>
      <c r="E5376" s="2028"/>
      <c r="F5376" s="2028"/>
      <c r="G5376" s="2028"/>
      <c r="H5376" s="2028"/>
      <c r="I5376" s="2028"/>
      <c r="J5376" s="2028"/>
      <c r="K5376" s="2028"/>
      <c r="L5376" s="2028"/>
      <c r="M5376" s="2028"/>
      <c r="N5376" s="2028"/>
      <c r="O5376" s="2028"/>
      <c r="P5376" s="2028"/>
      <c r="Q5376" s="2028"/>
      <c r="R5376" s="2028"/>
      <c r="S5376" s="2028"/>
      <c r="T5376" s="2028"/>
      <c r="U5376" s="2028"/>
      <c r="V5376" s="2028"/>
      <c r="W5376" s="2028"/>
      <c r="X5376" s="2028"/>
      <c r="Y5376" s="2028"/>
      <c r="Z5376" s="2028"/>
      <c r="AA5376" s="2028"/>
      <c r="AB5376" s="2028"/>
      <c r="AC5376" s="2028"/>
      <c r="AD5376" s="2028"/>
      <c r="AE5376" s="1041" t="s">
        <v>1836</v>
      </c>
      <c r="AF5376" s="1044">
        <v>1</v>
      </c>
    </row>
    <row r="5377" spans="1:32" ht="15.75" x14ac:dyDescent="0.2">
      <c r="A5377" s="2029"/>
      <c r="B5377" s="2030"/>
      <c r="C5377" s="2030"/>
      <c r="D5377" s="2031"/>
      <c r="E5377" s="2025" t="str">
        <f>'01'!$A$12</f>
        <v>"CONSTRUCCION SISTEMA DE ACUEDUCTO FASE II DEL MUNICIPIO DE TESALIA DPTO DEL HUILA"</v>
      </c>
      <c r="F5377" s="2026"/>
      <c r="G5377" s="2026"/>
      <c r="H5377" s="2026"/>
      <c r="I5377" s="2026"/>
      <c r="J5377" s="2026"/>
      <c r="K5377" s="2026"/>
      <c r="L5377" s="2026"/>
      <c r="M5377" s="2026"/>
      <c r="N5377" s="2026"/>
      <c r="O5377" s="2026"/>
      <c r="P5377" s="2026"/>
      <c r="Q5377" s="2026"/>
      <c r="R5377" s="2026"/>
      <c r="S5377" s="2026"/>
      <c r="T5377" s="2026"/>
      <c r="U5377" s="2026"/>
      <c r="V5377" s="2026"/>
      <c r="W5377" s="2026"/>
      <c r="X5377" s="2026"/>
      <c r="Y5377" s="2026"/>
      <c r="Z5377" s="2026"/>
      <c r="AA5377" s="2026"/>
      <c r="AB5377" s="2026"/>
      <c r="AC5377" s="2026"/>
      <c r="AD5377" s="2035"/>
      <c r="AE5377" s="1041" t="s">
        <v>847</v>
      </c>
      <c r="AF5377" s="1045">
        <f>'01'!$M$13</f>
        <v>0</v>
      </c>
    </row>
    <row r="5378" spans="1:32" ht="16.5" thickBot="1" x14ac:dyDescent="0.25">
      <c r="A5378" s="2032"/>
      <c r="B5378" s="2033"/>
      <c r="C5378" s="2033"/>
      <c r="D5378" s="2034"/>
      <c r="E5378" s="2027"/>
      <c r="F5378" s="2028"/>
      <c r="G5378" s="2028"/>
      <c r="H5378" s="2028"/>
      <c r="I5378" s="2028"/>
      <c r="J5378" s="2028"/>
      <c r="K5378" s="2028"/>
      <c r="L5378" s="2028"/>
      <c r="M5378" s="2028"/>
      <c r="N5378" s="2028"/>
      <c r="O5378" s="2028"/>
      <c r="P5378" s="2028"/>
      <c r="Q5378" s="2028"/>
      <c r="R5378" s="2028"/>
      <c r="S5378" s="2028"/>
      <c r="T5378" s="2028"/>
      <c r="U5378" s="2028"/>
      <c r="V5378" s="2028"/>
      <c r="W5378" s="2028"/>
      <c r="X5378" s="2028"/>
      <c r="Y5378" s="2028"/>
      <c r="Z5378" s="2028"/>
      <c r="AA5378" s="2028"/>
      <c r="AB5378" s="2028"/>
      <c r="AC5378" s="2028"/>
      <c r="AD5378" s="2036"/>
      <c r="AE5378" s="1041" t="s">
        <v>1837</v>
      </c>
      <c r="AF5378" s="1042" t="s">
        <v>1838</v>
      </c>
    </row>
    <row r="5379" spans="1:32" ht="15.75" x14ac:dyDescent="0.25">
      <c r="A5379" s="2037" t="s">
        <v>1860</v>
      </c>
      <c r="B5379" s="2038"/>
      <c r="C5379" s="2038"/>
      <c r="D5379" s="2038"/>
      <c r="E5379" s="2038"/>
      <c r="F5379" s="2038"/>
      <c r="G5379" s="2038"/>
      <c r="H5379" s="2038"/>
      <c r="I5379" s="2038"/>
      <c r="J5379" s="2038"/>
      <c r="K5379" s="2038"/>
      <c r="L5379" s="2038"/>
      <c r="M5379" s="2038"/>
      <c r="N5379" s="2038"/>
      <c r="O5379" s="2038"/>
      <c r="P5379" s="2038"/>
      <c r="Q5379" s="2038"/>
      <c r="R5379" s="2038"/>
      <c r="S5379" s="2038"/>
      <c r="T5379" s="2038"/>
      <c r="U5379" s="2038"/>
      <c r="V5379" s="2038"/>
      <c r="W5379" s="2038"/>
      <c r="X5379" s="2038"/>
      <c r="Y5379" s="2038"/>
      <c r="Z5379" s="2038"/>
      <c r="AA5379" s="2038"/>
      <c r="AB5379" s="2038"/>
      <c r="AC5379" s="2038"/>
      <c r="AD5379" s="2038"/>
      <c r="AE5379" s="2039" t="s">
        <v>1839</v>
      </c>
      <c r="AF5379" s="2040"/>
    </row>
    <row r="5380" spans="1:32" ht="15.75" x14ac:dyDescent="0.25">
      <c r="A5380" s="2041" t="s">
        <v>1840</v>
      </c>
      <c r="B5380" s="2042"/>
      <c r="C5380" s="2042"/>
      <c r="D5380" s="2042"/>
      <c r="E5380" s="2042"/>
      <c r="F5380" s="2042"/>
      <c r="G5380" s="2042"/>
      <c r="H5380" s="2042"/>
      <c r="I5380" s="2042"/>
      <c r="J5380" s="2042"/>
      <c r="K5380" s="2042"/>
      <c r="L5380" s="2042"/>
      <c r="M5380" s="2042"/>
      <c r="N5380" s="2042"/>
      <c r="O5380" s="2042"/>
      <c r="P5380" s="2042"/>
      <c r="Q5380" s="2042"/>
      <c r="R5380" s="2042"/>
      <c r="S5380" s="2042"/>
      <c r="T5380" s="2042"/>
      <c r="U5380" s="2042"/>
      <c r="V5380" s="2042"/>
      <c r="W5380" s="2042"/>
      <c r="X5380" s="2042"/>
      <c r="Y5380" s="2042"/>
      <c r="Z5380" s="2042"/>
      <c r="AA5380" s="2042"/>
      <c r="AB5380" s="2042"/>
      <c r="AC5380" s="2042"/>
      <c r="AD5380" s="2043"/>
      <c r="AE5380" s="2014" t="s">
        <v>1841</v>
      </c>
      <c r="AF5380" s="2044"/>
    </row>
    <row r="5381" spans="1:32" ht="15.75" x14ac:dyDescent="0.25">
      <c r="A5381" s="2045" t="s">
        <v>1853</v>
      </c>
      <c r="B5381" s="2046"/>
      <c r="C5381" s="2046"/>
      <c r="D5381" s="2046"/>
      <c r="E5381" s="2046"/>
      <c r="F5381" s="2046"/>
      <c r="G5381" s="2046"/>
      <c r="H5381" s="2046"/>
      <c r="I5381" s="2046"/>
      <c r="J5381" s="2046"/>
      <c r="K5381" s="2046"/>
      <c r="L5381" s="2046"/>
      <c r="M5381" s="2046"/>
      <c r="N5381" s="2046"/>
      <c r="O5381" s="2046"/>
      <c r="P5381" s="2046"/>
      <c r="Q5381" s="2046"/>
      <c r="R5381" s="2046"/>
      <c r="S5381" s="2046"/>
      <c r="T5381" s="2046"/>
      <c r="U5381" s="2046"/>
      <c r="V5381" s="2046"/>
      <c r="W5381" s="2046"/>
      <c r="X5381" s="2046"/>
      <c r="Y5381" s="2046"/>
      <c r="Z5381" s="2046"/>
      <c r="AA5381" s="2046"/>
      <c r="AB5381" s="2046"/>
      <c r="AC5381" s="2046"/>
      <c r="AD5381" s="2046"/>
      <c r="AE5381" s="2047">
        <f>'01'!$M$13</f>
        <v>0</v>
      </c>
      <c r="AF5381" s="2044"/>
    </row>
    <row r="5382" spans="1:32" x14ac:dyDescent="0.2">
      <c r="A5382" s="1046"/>
      <c r="B5382" s="1047"/>
      <c r="C5382" s="1047"/>
      <c r="D5382" s="1047"/>
      <c r="E5382" s="1047"/>
      <c r="F5382" s="1047"/>
      <c r="G5382" s="1047"/>
      <c r="H5382" s="1047"/>
      <c r="I5382" s="1047"/>
      <c r="J5382" s="1047"/>
      <c r="K5382" s="1047"/>
      <c r="L5382" s="1047"/>
      <c r="M5382" s="1047"/>
      <c r="N5382" s="1047"/>
      <c r="O5382" s="1047"/>
      <c r="P5382" s="1047"/>
      <c r="Q5382" s="1047"/>
      <c r="R5382" s="1047"/>
      <c r="S5382" s="1047"/>
      <c r="T5382" s="1047"/>
      <c r="U5382" s="1047"/>
      <c r="V5382" s="1047"/>
      <c r="W5382" s="1047"/>
      <c r="X5382" s="1047"/>
      <c r="Y5382" s="1047"/>
      <c r="Z5382" s="1047"/>
      <c r="AA5382" s="1047"/>
      <c r="AB5382" s="1047"/>
      <c r="AC5382" s="1047"/>
      <c r="AD5382" s="1047"/>
      <c r="AE5382" s="1047"/>
      <c r="AF5382" s="1048"/>
    </row>
    <row r="5383" spans="1:32" ht="30" customHeight="1" x14ac:dyDescent="0.2">
      <c r="A5383" s="2048" t="s">
        <v>1842</v>
      </c>
      <c r="B5383" s="2049"/>
      <c r="C5383" s="2049"/>
      <c r="D5383" s="2049"/>
      <c r="E5383" s="2049"/>
      <c r="F5383" s="2050" t="str">
        <f>+'01'!$H$201</f>
        <v>H - TANQUE DE ALMACENAMIENTO</v>
      </c>
      <c r="G5383" s="2049"/>
      <c r="H5383" s="2049"/>
      <c r="I5383" s="2049"/>
      <c r="J5383" s="2049"/>
      <c r="K5383" s="2049"/>
      <c r="L5383" s="2049"/>
      <c r="M5383" s="2049"/>
      <c r="N5383" s="2049"/>
      <c r="O5383" s="2049"/>
      <c r="P5383" s="2049"/>
      <c r="Q5383" s="2049"/>
      <c r="R5383" s="2049"/>
      <c r="S5383" s="2049"/>
      <c r="T5383" s="2049"/>
      <c r="U5383" s="2049"/>
      <c r="V5383" s="2049"/>
      <c r="W5383" s="2049"/>
      <c r="X5383" s="2049"/>
      <c r="Y5383" s="2051"/>
      <c r="Z5383" s="2052" t="s">
        <v>1843</v>
      </c>
      <c r="AA5383" s="2053"/>
      <c r="AB5383" s="2058" t="s">
        <v>1844</v>
      </c>
      <c r="AC5383" s="2059"/>
      <c r="AD5383" s="2060"/>
      <c r="AE5383" s="2064" t="s">
        <v>1845</v>
      </c>
      <c r="AF5383" s="2067" t="s">
        <v>1846</v>
      </c>
    </row>
    <row r="5384" spans="1:32" ht="15" customHeight="1" x14ac:dyDescent="0.2">
      <c r="A5384" s="2070" t="str">
        <f>+'01'!A224</f>
        <v>H-08-04</v>
      </c>
      <c r="B5384" s="2071"/>
      <c r="C5384" s="2072"/>
      <c r="D5384" s="2076" t="str">
        <f>VLOOKUP(A5384,'01'!$A$12:$N$299,3,FALSE)</f>
        <v>SUMINISTRO E INSTALACIÓN VÁLVULA DE COMPUERTA ELASTICA VASTAGO NO ASCENDENTE EXTREMO BRIDADO PARA PVC DIAMETRO 8".</v>
      </c>
      <c r="E5384" s="2077"/>
      <c r="F5384" s="2077"/>
      <c r="G5384" s="2077"/>
      <c r="H5384" s="2077"/>
      <c r="I5384" s="2077"/>
      <c r="J5384" s="2077"/>
      <c r="K5384" s="2077"/>
      <c r="L5384" s="2077"/>
      <c r="M5384" s="2077"/>
      <c r="N5384" s="2077"/>
      <c r="O5384" s="2077"/>
      <c r="P5384" s="2077"/>
      <c r="Q5384" s="2077"/>
      <c r="R5384" s="2077"/>
      <c r="S5384" s="2078"/>
      <c r="T5384" s="2082" t="s">
        <v>124</v>
      </c>
      <c r="U5384" s="2083"/>
      <c r="V5384" s="2083"/>
      <c r="W5384" s="2083"/>
      <c r="X5384" s="2052" t="str">
        <f>VLOOKUP(A5384,'01'!$A$12:$N$299,9,FALSE)</f>
        <v>UND</v>
      </c>
      <c r="Y5384" s="2053"/>
      <c r="Z5384" s="2054"/>
      <c r="AA5384" s="2055"/>
      <c r="AB5384" s="2061"/>
      <c r="AC5384" s="2062"/>
      <c r="AD5384" s="2063"/>
      <c r="AE5384" s="2065"/>
      <c r="AF5384" s="2068"/>
    </row>
    <row r="5385" spans="1:32" ht="15" customHeight="1" x14ac:dyDescent="0.25">
      <c r="A5385" s="2073"/>
      <c r="B5385" s="2074"/>
      <c r="C5385" s="2075"/>
      <c r="D5385" s="2079"/>
      <c r="E5385" s="2080"/>
      <c r="F5385" s="2080"/>
      <c r="G5385" s="2080"/>
      <c r="H5385" s="2080"/>
      <c r="I5385" s="2080"/>
      <c r="J5385" s="2080"/>
      <c r="K5385" s="2080"/>
      <c r="L5385" s="2080"/>
      <c r="M5385" s="2080"/>
      <c r="N5385" s="2080"/>
      <c r="O5385" s="2080"/>
      <c r="P5385" s="2080"/>
      <c r="Q5385" s="2080"/>
      <c r="R5385" s="2080"/>
      <c r="S5385" s="2081"/>
      <c r="T5385" s="2084"/>
      <c r="U5385" s="2085"/>
      <c r="V5385" s="2085"/>
      <c r="W5385" s="2085"/>
      <c r="X5385" s="2056"/>
      <c r="Y5385" s="2057"/>
      <c r="Z5385" s="2056"/>
      <c r="AA5385" s="2057"/>
      <c r="AB5385" s="1049" t="s">
        <v>1847</v>
      </c>
      <c r="AC5385" s="1049" t="s">
        <v>1848</v>
      </c>
      <c r="AD5385" s="1049" t="s">
        <v>1861</v>
      </c>
      <c r="AE5385" s="2066"/>
      <c r="AF5385" s="2069"/>
    </row>
    <row r="5386" spans="1:32" ht="15.6" customHeight="1" x14ac:dyDescent="0.25">
      <c r="A5386" s="2017"/>
      <c r="B5386" s="2018"/>
      <c r="C5386" s="2018"/>
      <c r="D5386" s="2018"/>
      <c r="E5386" s="2018"/>
      <c r="F5386" s="2018"/>
      <c r="G5386" s="2018"/>
      <c r="H5386" s="2018"/>
      <c r="I5386" s="2018"/>
      <c r="J5386" s="2018"/>
      <c r="K5386" s="2018"/>
      <c r="L5386" s="2018"/>
      <c r="M5386" s="2018"/>
      <c r="N5386" s="2018"/>
      <c r="O5386" s="2018"/>
      <c r="P5386" s="2018"/>
      <c r="Q5386" s="2018"/>
      <c r="R5386" s="2018"/>
      <c r="S5386" s="2018"/>
      <c r="T5386" s="2018"/>
      <c r="U5386" s="2018"/>
      <c r="V5386" s="2018"/>
      <c r="W5386" s="2018"/>
      <c r="X5386" s="2018"/>
      <c r="Y5386" s="2018"/>
      <c r="Z5386" s="2021" t="s">
        <v>2521</v>
      </c>
      <c r="AA5386" s="2021"/>
      <c r="AB5386" s="1050"/>
      <c r="AC5386" s="1050"/>
      <c r="AD5386" s="1050"/>
      <c r="AE5386" s="1050">
        <v>0</v>
      </c>
      <c r="AF5386" s="1052">
        <f>+AE5386</f>
        <v>0</v>
      </c>
    </row>
    <row r="5387" spans="1:32" ht="15.6" customHeight="1" x14ac:dyDescent="0.25">
      <c r="A5387" s="2017"/>
      <c r="B5387" s="2018"/>
      <c r="C5387" s="2018"/>
      <c r="D5387" s="2018"/>
      <c r="E5387" s="2018"/>
      <c r="F5387" s="2018"/>
      <c r="G5387" s="2018"/>
      <c r="H5387" s="2018"/>
      <c r="I5387" s="2018"/>
      <c r="J5387" s="2018"/>
      <c r="K5387" s="2018"/>
      <c r="L5387" s="2018"/>
      <c r="M5387" s="2018"/>
      <c r="N5387" s="2018"/>
      <c r="O5387" s="2018"/>
      <c r="P5387" s="2018"/>
      <c r="Q5387" s="2018"/>
      <c r="R5387" s="2018"/>
      <c r="S5387" s="2018"/>
      <c r="T5387" s="2018"/>
      <c r="U5387" s="2018"/>
      <c r="V5387" s="2018"/>
      <c r="W5387" s="2018"/>
      <c r="X5387" s="2018"/>
      <c r="Y5387" s="2018"/>
      <c r="Z5387" s="2021" t="s">
        <v>2527</v>
      </c>
      <c r="AA5387" s="2021"/>
      <c r="AB5387" s="1050"/>
      <c r="AC5387" s="1050"/>
      <c r="AD5387" s="1050"/>
      <c r="AE5387" s="1050">
        <v>3</v>
      </c>
      <c r="AF5387" s="1052">
        <f t="shared" ref="AF5387:AF5389" si="74">+AE5387</f>
        <v>3</v>
      </c>
    </row>
    <row r="5388" spans="1:32" ht="15.75" x14ac:dyDescent="0.25">
      <c r="A5388" s="2017"/>
      <c r="B5388" s="2018"/>
      <c r="C5388" s="2018"/>
      <c r="D5388" s="2018"/>
      <c r="E5388" s="2018"/>
      <c r="F5388" s="2018"/>
      <c r="G5388" s="2018"/>
      <c r="H5388" s="2018"/>
      <c r="I5388" s="2018"/>
      <c r="J5388" s="2018"/>
      <c r="K5388" s="2018"/>
      <c r="L5388" s="2018"/>
      <c r="M5388" s="2018"/>
      <c r="N5388" s="2018"/>
      <c r="O5388" s="2018"/>
      <c r="P5388" s="2018"/>
      <c r="Q5388" s="2018"/>
      <c r="R5388" s="2018"/>
      <c r="S5388" s="2018"/>
      <c r="T5388" s="2018"/>
      <c r="U5388" s="2018"/>
      <c r="V5388" s="2018"/>
      <c r="W5388" s="2018"/>
      <c r="X5388" s="2018"/>
      <c r="Y5388" s="2018"/>
      <c r="Z5388" s="2021" t="s">
        <v>2495</v>
      </c>
      <c r="AA5388" s="2021"/>
      <c r="AB5388" s="1050"/>
      <c r="AC5388" s="1050"/>
      <c r="AD5388" s="1050"/>
      <c r="AE5388" s="1050">
        <v>2</v>
      </c>
      <c r="AF5388" s="1052">
        <f t="shared" si="74"/>
        <v>2</v>
      </c>
    </row>
    <row r="5389" spans="1:32" ht="15.75" x14ac:dyDescent="0.25">
      <c r="A5389" s="2017"/>
      <c r="B5389" s="2018"/>
      <c r="C5389" s="2018"/>
      <c r="D5389" s="2018"/>
      <c r="E5389" s="2018"/>
      <c r="F5389" s="2018"/>
      <c r="G5389" s="2018"/>
      <c r="H5389" s="2018"/>
      <c r="I5389" s="2018"/>
      <c r="J5389" s="2018"/>
      <c r="K5389" s="2018"/>
      <c r="L5389" s="2018"/>
      <c r="M5389" s="2018"/>
      <c r="N5389" s="2018"/>
      <c r="O5389" s="2018"/>
      <c r="P5389" s="2018"/>
      <c r="Q5389" s="2018"/>
      <c r="R5389" s="2018"/>
      <c r="S5389" s="2018"/>
      <c r="T5389" s="2018"/>
      <c r="U5389" s="2018"/>
      <c r="V5389" s="2018"/>
      <c r="W5389" s="2018"/>
      <c r="X5389" s="2018"/>
      <c r="Y5389" s="2018"/>
      <c r="Z5389" s="2021" t="s">
        <v>2460</v>
      </c>
      <c r="AA5389" s="2021"/>
      <c r="AB5389" s="1050"/>
      <c r="AC5389" s="1050"/>
      <c r="AD5389" s="1050"/>
      <c r="AE5389" s="1050">
        <v>2</v>
      </c>
      <c r="AF5389" s="1052">
        <f t="shared" si="74"/>
        <v>2</v>
      </c>
    </row>
    <row r="5390" spans="1:32" ht="15.6" customHeight="1" x14ac:dyDescent="0.25">
      <c r="A5390" s="2017"/>
      <c r="B5390" s="2018"/>
      <c r="C5390" s="2018"/>
      <c r="D5390" s="2018"/>
      <c r="E5390" s="2018"/>
      <c r="F5390" s="2018"/>
      <c r="G5390" s="2018"/>
      <c r="H5390" s="2018"/>
      <c r="I5390" s="2018"/>
      <c r="J5390" s="2018"/>
      <c r="K5390" s="2018"/>
      <c r="L5390" s="2018"/>
      <c r="M5390" s="2018"/>
      <c r="N5390" s="2018"/>
      <c r="O5390" s="2018"/>
      <c r="P5390" s="2018"/>
      <c r="Q5390" s="2018"/>
      <c r="R5390" s="2018"/>
      <c r="S5390" s="2018"/>
      <c r="T5390" s="2018"/>
      <c r="U5390" s="2018"/>
      <c r="V5390" s="2018"/>
      <c r="W5390" s="2018"/>
      <c r="X5390" s="2018"/>
      <c r="Y5390" s="2018"/>
      <c r="Z5390" s="2022"/>
      <c r="AA5390" s="2022"/>
      <c r="AB5390" s="1050"/>
      <c r="AC5390" s="1050"/>
      <c r="AD5390" s="1050"/>
      <c r="AE5390" s="1050"/>
      <c r="AF5390" s="1052"/>
    </row>
    <row r="5391" spans="1:32" ht="15.75" x14ac:dyDescent="0.25">
      <c r="A5391" s="2017"/>
      <c r="B5391" s="2018"/>
      <c r="C5391" s="2018"/>
      <c r="D5391" s="2018"/>
      <c r="E5391" s="2018"/>
      <c r="F5391" s="2018"/>
      <c r="G5391" s="2018"/>
      <c r="H5391" s="2018"/>
      <c r="I5391" s="2018"/>
      <c r="J5391" s="2018"/>
      <c r="K5391" s="2018"/>
      <c r="L5391" s="2018"/>
      <c r="M5391" s="2018"/>
      <c r="N5391" s="2018"/>
      <c r="O5391" s="2018"/>
      <c r="P5391" s="2018"/>
      <c r="Q5391" s="2018"/>
      <c r="R5391" s="2018"/>
      <c r="S5391" s="2018"/>
      <c r="T5391" s="2018"/>
      <c r="U5391" s="2018"/>
      <c r="V5391" s="2018"/>
      <c r="W5391" s="2018"/>
      <c r="X5391" s="2018"/>
      <c r="Y5391" s="2018"/>
      <c r="Z5391" s="2022"/>
      <c r="AA5391" s="2022"/>
      <c r="AB5391" s="1050"/>
      <c r="AC5391" s="1050"/>
      <c r="AD5391" s="1050"/>
      <c r="AE5391" s="1050"/>
      <c r="AF5391" s="1052"/>
    </row>
    <row r="5392" spans="1:32" ht="15.75" x14ac:dyDescent="0.25">
      <c r="A5392" s="2017"/>
      <c r="B5392" s="2018"/>
      <c r="C5392" s="2018"/>
      <c r="D5392" s="2018"/>
      <c r="E5392" s="2018"/>
      <c r="F5392" s="2018"/>
      <c r="G5392" s="2018"/>
      <c r="H5392" s="2018"/>
      <c r="I5392" s="2018"/>
      <c r="J5392" s="2018"/>
      <c r="K5392" s="2018"/>
      <c r="L5392" s="2018"/>
      <c r="M5392" s="2018"/>
      <c r="N5392" s="2018"/>
      <c r="O5392" s="2018"/>
      <c r="P5392" s="2018"/>
      <c r="Q5392" s="2018"/>
      <c r="R5392" s="2018"/>
      <c r="S5392" s="2018"/>
      <c r="T5392" s="2018"/>
      <c r="U5392" s="2018"/>
      <c r="V5392" s="2018"/>
      <c r="W5392" s="2018"/>
      <c r="X5392" s="2018"/>
      <c r="Y5392" s="2018"/>
      <c r="Z5392" s="2022"/>
      <c r="AA5392" s="2022"/>
      <c r="AB5392" s="1050"/>
      <c r="AC5392" s="1050"/>
      <c r="AD5392" s="1050"/>
      <c r="AE5392" s="1050"/>
      <c r="AF5392" s="1052"/>
    </row>
    <row r="5393" spans="1:32" ht="15.6" customHeight="1" x14ac:dyDescent="0.25">
      <c r="A5393" s="2017"/>
      <c r="B5393" s="2018"/>
      <c r="C5393" s="2018"/>
      <c r="D5393" s="2018"/>
      <c r="E5393" s="2018"/>
      <c r="F5393" s="2018"/>
      <c r="G5393" s="2018"/>
      <c r="H5393" s="2018"/>
      <c r="I5393" s="2018"/>
      <c r="J5393" s="2018"/>
      <c r="K5393" s="2018"/>
      <c r="L5393" s="2018"/>
      <c r="M5393" s="2018"/>
      <c r="N5393" s="2018"/>
      <c r="O5393" s="2018"/>
      <c r="P5393" s="2018"/>
      <c r="Q5393" s="2018"/>
      <c r="R5393" s="2018"/>
      <c r="S5393" s="2018"/>
      <c r="T5393" s="2018"/>
      <c r="U5393" s="2018"/>
      <c r="V5393" s="2018"/>
      <c r="W5393" s="2018"/>
      <c r="X5393" s="2018"/>
      <c r="Y5393" s="2018"/>
      <c r="Z5393" s="2022"/>
      <c r="AA5393" s="2022"/>
      <c r="AB5393" s="1050"/>
      <c r="AC5393" s="1050"/>
      <c r="AD5393" s="1050"/>
      <c r="AE5393" s="1050"/>
      <c r="AF5393" s="1052"/>
    </row>
    <row r="5394" spans="1:32" ht="15.75" x14ac:dyDescent="0.25">
      <c r="A5394" s="2017"/>
      <c r="B5394" s="2018"/>
      <c r="C5394" s="2018"/>
      <c r="D5394" s="2018"/>
      <c r="E5394" s="2018"/>
      <c r="F5394" s="2018"/>
      <c r="G5394" s="2018"/>
      <c r="H5394" s="2018"/>
      <c r="I5394" s="2018"/>
      <c r="J5394" s="2018"/>
      <c r="K5394" s="2018"/>
      <c r="L5394" s="2018"/>
      <c r="M5394" s="2018"/>
      <c r="N5394" s="2018"/>
      <c r="O5394" s="2018"/>
      <c r="P5394" s="2018"/>
      <c r="Q5394" s="2018"/>
      <c r="R5394" s="2018"/>
      <c r="S5394" s="2018"/>
      <c r="T5394" s="2018"/>
      <c r="U5394" s="2018"/>
      <c r="V5394" s="2018"/>
      <c r="W5394" s="2018"/>
      <c r="X5394" s="2018"/>
      <c r="Y5394" s="2018"/>
      <c r="Z5394" s="2022"/>
      <c r="AA5394" s="2022"/>
      <c r="AB5394" s="1050"/>
      <c r="AC5394" s="1050"/>
      <c r="AD5394" s="1050"/>
      <c r="AE5394" s="1050"/>
      <c r="AF5394" s="1052"/>
    </row>
    <row r="5395" spans="1:32" ht="15.75" x14ac:dyDescent="0.25">
      <c r="A5395" s="2017"/>
      <c r="B5395" s="2018"/>
      <c r="C5395" s="2018"/>
      <c r="D5395" s="2018"/>
      <c r="E5395" s="2018"/>
      <c r="F5395" s="2018"/>
      <c r="G5395" s="2018"/>
      <c r="H5395" s="2018"/>
      <c r="I5395" s="2018"/>
      <c r="J5395" s="2018"/>
      <c r="K5395" s="2018"/>
      <c r="L5395" s="2018"/>
      <c r="M5395" s="2018"/>
      <c r="N5395" s="2018"/>
      <c r="O5395" s="2018"/>
      <c r="P5395" s="2018"/>
      <c r="Q5395" s="2018"/>
      <c r="R5395" s="2018"/>
      <c r="S5395" s="2018"/>
      <c r="T5395" s="2018"/>
      <c r="U5395" s="2018"/>
      <c r="V5395" s="2018"/>
      <c r="W5395" s="2018"/>
      <c r="X5395" s="2018"/>
      <c r="Y5395" s="2018"/>
      <c r="Z5395" s="2022"/>
      <c r="AA5395" s="2022"/>
      <c r="AB5395" s="1050"/>
      <c r="AC5395" s="1050"/>
      <c r="AD5395" s="1050"/>
      <c r="AE5395" s="1050"/>
      <c r="AF5395" s="1052"/>
    </row>
    <row r="5396" spans="1:32" ht="15.75" x14ac:dyDescent="0.25">
      <c r="A5396" s="2017"/>
      <c r="B5396" s="2018"/>
      <c r="C5396" s="2018"/>
      <c r="D5396" s="2018"/>
      <c r="E5396" s="2018"/>
      <c r="F5396" s="2018"/>
      <c r="G5396" s="2018"/>
      <c r="H5396" s="2018"/>
      <c r="I5396" s="2018"/>
      <c r="J5396" s="2018"/>
      <c r="K5396" s="2018"/>
      <c r="L5396" s="2018"/>
      <c r="M5396" s="2018"/>
      <c r="N5396" s="2018"/>
      <c r="O5396" s="2018"/>
      <c r="P5396" s="2018"/>
      <c r="Q5396" s="2018"/>
      <c r="R5396" s="2018"/>
      <c r="S5396" s="2018"/>
      <c r="T5396" s="2018"/>
      <c r="U5396" s="2018"/>
      <c r="V5396" s="2018"/>
      <c r="W5396" s="2018"/>
      <c r="X5396" s="2018"/>
      <c r="Y5396" s="2018"/>
      <c r="Z5396" s="2022"/>
      <c r="AA5396" s="2022"/>
      <c r="AB5396" s="1050"/>
      <c r="AC5396" s="1050"/>
      <c r="AD5396" s="1050"/>
      <c r="AE5396" s="1050"/>
      <c r="AF5396" s="1052"/>
    </row>
    <row r="5397" spans="1:32" ht="15.6" customHeight="1" x14ac:dyDescent="0.25">
      <c r="A5397" s="2017"/>
      <c r="B5397" s="2018"/>
      <c r="C5397" s="2018"/>
      <c r="D5397" s="2018"/>
      <c r="E5397" s="2018"/>
      <c r="F5397" s="2018"/>
      <c r="G5397" s="2018"/>
      <c r="H5397" s="2018"/>
      <c r="I5397" s="2018"/>
      <c r="J5397" s="2018"/>
      <c r="K5397" s="2018"/>
      <c r="L5397" s="2018"/>
      <c r="M5397" s="2018"/>
      <c r="N5397" s="2018"/>
      <c r="O5397" s="2018"/>
      <c r="P5397" s="2018"/>
      <c r="Q5397" s="2018"/>
      <c r="R5397" s="2018"/>
      <c r="S5397" s="2018"/>
      <c r="T5397" s="2018"/>
      <c r="U5397" s="2018"/>
      <c r="V5397" s="2018"/>
      <c r="W5397" s="2018"/>
      <c r="X5397" s="2018"/>
      <c r="Y5397" s="2018"/>
      <c r="Z5397" s="2022"/>
      <c r="AA5397" s="2022"/>
      <c r="AB5397" s="1050"/>
      <c r="AC5397" s="1050"/>
      <c r="AD5397" s="1050"/>
      <c r="AE5397" s="1050"/>
      <c r="AF5397" s="1052"/>
    </row>
    <row r="5398" spans="1:32" ht="15.75" x14ac:dyDescent="0.25">
      <c r="A5398" s="2017"/>
      <c r="B5398" s="2018"/>
      <c r="C5398" s="2018"/>
      <c r="D5398" s="2018"/>
      <c r="E5398" s="2018"/>
      <c r="F5398" s="2018"/>
      <c r="G5398" s="2018"/>
      <c r="H5398" s="2018"/>
      <c r="I5398" s="2018"/>
      <c r="J5398" s="2018"/>
      <c r="K5398" s="2018"/>
      <c r="L5398" s="2018"/>
      <c r="M5398" s="2018"/>
      <c r="N5398" s="2018"/>
      <c r="O5398" s="2018"/>
      <c r="P5398" s="2018"/>
      <c r="Q5398" s="2018"/>
      <c r="R5398" s="2018"/>
      <c r="S5398" s="2018"/>
      <c r="T5398" s="2018"/>
      <c r="U5398" s="2018"/>
      <c r="V5398" s="2018"/>
      <c r="W5398" s="2018"/>
      <c r="X5398" s="2018"/>
      <c r="Y5398" s="2018"/>
      <c r="Z5398" s="2022"/>
      <c r="AA5398" s="2022"/>
      <c r="AB5398" s="1050"/>
      <c r="AC5398" s="1050"/>
      <c r="AD5398" s="1050"/>
      <c r="AE5398" s="1050"/>
      <c r="AF5398" s="1052"/>
    </row>
    <row r="5399" spans="1:32" ht="15.75" x14ac:dyDescent="0.25">
      <c r="A5399" s="2017"/>
      <c r="B5399" s="2018"/>
      <c r="C5399" s="2018"/>
      <c r="D5399" s="2018"/>
      <c r="E5399" s="2018"/>
      <c r="F5399" s="2018"/>
      <c r="G5399" s="2018"/>
      <c r="H5399" s="2018"/>
      <c r="I5399" s="2018"/>
      <c r="J5399" s="2018"/>
      <c r="K5399" s="2018"/>
      <c r="L5399" s="2018"/>
      <c r="M5399" s="2018"/>
      <c r="N5399" s="2018"/>
      <c r="O5399" s="2018"/>
      <c r="P5399" s="2018"/>
      <c r="Q5399" s="2018"/>
      <c r="R5399" s="2018"/>
      <c r="S5399" s="2018"/>
      <c r="T5399" s="2018"/>
      <c r="U5399" s="2018"/>
      <c r="V5399" s="2018"/>
      <c r="W5399" s="2018"/>
      <c r="X5399" s="2018"/>
      <c r="Y5399" s="2018"/>
      <c r="Z5399" s="2022"/>
      <c r="AA5399" s="2022"/>
      <c r="AB5399" s="1050"/>
      <c r="AC5399" s="1050"/>
      <c r="AD5399" s="1050"/>
      <c r="AE5399" s="1050"/>
      <c r="AF5399" s="1052"/>
    </row>
    <row r="5400" spans="1:32" ht="15.75" x14ac:dyDescent="0.25">
      <c r="A5400" s="2017"/>
      <c r="B5400" s="2018"/>
      <c r="C5400" s="2018"/>
      <c r="D5400" s="2018"/>
      <c r="E5400" s="2018"/>
      <c r="F5400" s="2018"/>
      <c r="G5400" s="2018"/>
      <c r="H5400" s="2018"/>
      <c r="I5400" s="2018"/>
      <c r="J5400" s="2018"/>
      <c r="K5400" s="2018"/>
      <c r="L5400" s="2018"/>
      <c r="M5400" s="2018"/>
      <c r="N5400" s="2018"/>
      <c r="O5400" s="2018"/>
      <c r="P5400" s="2018"/>
      <c r="Q5400" s="2018"/>
      <c r="R5400" s="2018"/>
      <c r="S5400" s="2018"/>
      <c r="T5400" s="2018"/>
      <c r="U5400" s="2018"/>
      <c r="V5400" s="2018"/>
      <c r="W5400" s="2018"/>
      <c r="X5400" s="2018"/>
      <c r="Y5400" s="2018"/>
      <c r="Z5400" s="2022"/>
      <c r="AA5400" s="2022"/>
      <c r="AB5400" s="1050"/>
      <c r="AC5400" s="1050"/>
      <c r="AD5400" s="1050"/>
      <c r="AE5400" s="1050"/>
      <c r="AF5400" s="1052"/>
    </row>
    <row r="5401" spans="1:32" ht="15.75" x14ac:dyDescent="0.25">
      <c r="A5401" s="2017"/>
      <c r="B5401" s="2018"/>
      <c r="C5401" s="2018"/>
      <c r="D5401" s="2018"/>
      <c r="E5401" s="2018"/>
      <c r="F5401" s="2018"/>
      <c r="G5401" s="2018"/>
      <c r="H5401" s="2018"/>
      <c r="I5401" s="2018"/>
      <c r="J5401" s="2018"/>
      <c r="K5401" s="2018"/>
      <c r="L5401" s="2018"/>
      <c r="M5401" s="2018"/>
      <c r="N5401" s="2018"/>
      <c r="O5401" s="2018"/>
      <c r="P5401" s="2018"/>
      <c r="Q5401" s="2018"/>
      <c r="R5401" s="2018"/>
      <c r="S5401" s="2018"/>
      <c r="T5401" s="2018"/>
      <c r="U5401" s="2018"/>
      <c r="V5401" s="2018"/>
      <c r="W5401" s="2018"/>
      <c r="X5401" s="2018"/>
      <c r="Y5401" s="2018"/>
      <c r="Z5401" s="2022"/>
      <c r="AA5401" s="2022"/>
      <c r="AB5401" s="1050"/>
      <c r="AC5401" s="1050"/>
      <c r="AD5401" s="1050"/>
      <c r="AE5401" s="1050"/>
      <c r="AF5401" s="1052"/>
    </row>
    <row r="5402" spans="1:32" ht="15.75" x14ac:dyDescent="0.25">
      <c r="A5402" s="2017"/>
      <c r="B5402" s="2018"/>
      <c r="C5402" s="2018"/>
      <c r="D5402" s="2018"/>
      <c r="E5402" s="2018"/>
      <c r="F5402" s="2018"/>
      <c r="G5402" s="2018"/>
      <c r="H5402" s="2018"/>
      <c r="I5402" s="2018"/>
      <c r="J5402" s="2018"/>
      <c r="K5402" s="2018"/>
      <c r="L5402" s="2018"/>
      <c r="M5402" s="2018"/>
      <c r="N5402" s="2018"/>
      <c r="O5402" s="2018"/>
      <c r="P5402" s="2018"/>
      <c r="Q5402" s="2018"/>
      <c r="R5402" s="2018"/>
      <c r="S5402" s="2018"/>
      <c r="T5402" s="2018"/>
      <c r="U5402" s="2018"/>
      <c r="V5402" s="2018"/>
      <c r="W5402" s="2018"/>
      <c r="X5402" s="2018"/>
      <c r="Y5402" s="2018"/>
      <c r="Z5402" s="2022"/>
      <c r="AA5402" s="2022"/>
      <c r="AB5402" s="1050"/>
      <c r="AC5402" s="1050"/>
      <c r="AD5402" s="1050"/>
      <c r="AE5402" s="1050"/>
      <c r="AF5402" s="1052"/>
    </row>
    <row r="5403" spans="1:32" ht="15.75" x14ac:dyDescent="0.25">
      <c r="A5403" s="2017"/>
      <c r="B5403" s="2018"/>
      <c r="C5403" s="2018"/>
      <c r="D5403" s="2018"/>
      <c r="E5403" s="2018"/>
      <c r="F5403" s="2018"/>
      <c r="G5403" s="2018"/>
      <c r="H5403" s="2018"/>
      <c r="I5403" s="2018"/>
      <c r="J5403" s="2018"/>
      <c r="K5403" s="2018"/>
      <c r="L5403" s="2018"/>
      <c r="M5403" s="2018"/>
      <c r="N5403" s="2018"/>
      <c r="O5403" s="2018"/>
      <c r="P5403" s="2018"/>
      <c r="Q5403" s="2018"/>
      <c r="R5403" s="2018"/>
      <c r="S5403" s="2018"/>
      <c r="T5403" s="2018"/>
      <c r="U5403" s="2018"/>
      <c r="V5403" s="2018"/>
      <c r="W5403" s="2018"/>
      <c r="X5403" s="2018"/>
      <c r="Y5403" s="2018"/>
      <c r="Z5403" s="2023"/>
      <c r="AA5403" s="2023"/>
      <c r="AB5403" s="1050"/>
      <c r="AC5403" s="1050"/>
      <c r="AD5403" s="1050"/>
      <c r="AE5403" s="1050"/>
      <c r="AF5403" s="1052"/>
    </row>
    <row r="5404" spans="1:32" ht="15.75" x14ac:dyDescent="0.25">
      <c r="A5404" s="2017"/>
      <c r="B5404" s="2018"/>
      <c r="C5404" s="2018"/>
      <c r="D5404" s="2018"/>
      <c r="E5404" s="2018"/>
      <c r="F5404" s="2018"/>
      <c r="G5404" s="2018"/>
      <c r="H5404" s="2018"/>
      <c r="I5404" s="2018"/>
      <c r="J5404" s="2018"/>
      <c r="K5404" s="2018"/>
      <c r="L5404" s="2018"/>
      <c r="M5404" s="2018"/>
      <c r="N5404" s="2018"/>
      <c r="O5404" s="2018"/>
      <c r="P5404" s="2018"/>
      <c r="Q5404" s="2018"/>
      <c r="R5404" s="2018"/>
      <c r="S5404" s="2018"/>
      <c r="T5404" s="2018"/>
      <c r="U5404" s="2018"/>
      <c r="V5404" s="2018"/>
      <c r="W5404" s="2018"/>
      <c r="X5404" s="2018"/>
      <c r="Y5404" s="2018"/>
      <c r="Z5404" s="2023"/>
      <c r="AA5404" s="2023"/>
      <c r="AB5404" s="1050"/>
      <c r="AC5404" s="1050"/>
      <c r="AD5404" s="1050"/>
      <c r="AE5404" s="1050"/>
      <c r="AF5404" s="1052"/>
    </row>
    <row r="5405" spans="1:32" ht="15.75" x14ac:dyDescent="0.25">
      <c r="A5405" s="2017"/>
      <c r="B5405" s="2018"/>
      <c r="C5405" s="2018"/>
      <c r="D5405" s="2018"/>
      <c r="E5405" s="2018"/>
      <c r="F5405" s="2018"/>
      <c r="G5405" s="2018"/>
      <c r="H5405" s="2018"/>
      <c r="I5405" s="2018"/>
      <c r="J5405" s="2018"/>
      <c r="K5405" s="2018"/>
      <c r="L5405" s="2018"/>
      <c r="M5405" s="2018"/>
      <c r="N5405" s="2018"/>
      <c r="O5405" s="2018"/>
      <c r="P5405" s="2018"/>
      <c r="Q5405" s="2018"/>
      <c r="R5405" s="2018"/>
      <c r="S5405" s="2018"/>
      <c r="T5405" s="2018"/>
      <c r="U5405" s="2018"/>
      <c r="V5405" s="2018"/>
      <c r="W5405" s="2018"/>
      <c r="X5405" s="2018"/>
      <c r="Y5405" s="2018"/>
      <c r="Z5405" s="2023"/>
      <c r="AA5405" s="2023"/>
      <c r="AB5405" s="1050"/>
      <c r="AC5405" s="1050"/>
      <c r="AD5405" s="1050"/>
      <c r="AE5405" s="1050"/>
      <c r="AF5405" s="1052"/>
    </row>
    <row r="5406" spans="1:32" ht="15.75" x14ac:dyDescent="0.25">
      <c r="A5406" s="2017"/>
      <c r="B5406" s="2018"/>
      <c r="C5406" s="2018"/>
      <c r="D5406" s="2018"/>
      <c r="E5406" s="2018"/>
      <c r="F5406" s="2018"/>
      <c r="G5406" s="2018"/>
      <c r="H5406" s="2018"/>
      <c r="I5406" s="2018"/>
      <c r="J5406" s="2018"/>
      <c r="K5406" s="2018"/>
      <c r="L5406" s="2018"/>
      <c r="M5406" s="2018"/>
      <c r="N5406" s="2018"/>
      <c r="O5406" s="2018"/>
      <c r="P5406" s="2018"/>
      <c r="Q5406" s="2018"/>
      <c r="R5406" s="2018"/>
      <c r="S5406" s="2018"/>
      <c r="T5406" s="2018"/>
      <c r="U5406" s="2018"/>
      <c r="V5406" s="2018"/>
      <c r="W5406" s="2018"/>
      <c r="X5406" s="2018"/>
      <c r="Y5406" s="2018"/>
      <c r="Z5406" s="2023"/>
      <c r="AA5406" s="2023"/>
      <c r="AB5406" s="1050"/>
      <c r="AC5406" s="1050"/>
      <c r="AD5406" s="1050"/>
      <c r="AE5406" s="1050"/>
      <c r="AF5406" s="1052"/>
    </row>
    <row r="5407" spans="1:32" ht="15.75" x14ac:dyDescent="0.25">
      <c r="A5407" s="2017"/>
      <c r="B5407" s="2018"/>
      <c r="C5407" s="2018"/>
      <c r="D5407" s="2018"/>
      <c r="E5407" s="2018"/>
      <c r="F5407" s="2018"/>
      <c r="G5407" s="2018"/>
      <c r="H5407" s="2018"/>
      <c r="I5407" s="2018"/>
      <c r="J5407" s="2018"/>
      <c r="K5407" s="2018"/>
      <c r="L5407" s="2018"/>
      <c r="M5407" s="2018"/>
      <c r="N5407" s="2018"/>
      <c r="O5407" s="2018"/>
      <c r="P5407" s="2018"/>
      <c r="Q5407" s="2018"/>
      <c r="R5407" s="2018"/>
      <c r="S5407" s="2018"/>
      <c r="T5407" s="2018"/>
      <c r="U5407" s="2018"/>
      <c r="V5407" s="2018"/>
      <c r="W5407" s="2018"/>
      <c r="X5407" s="2018"/>
      <c r="Y5407" s="2018"/>
      <c r="Z5407" s="2023"/>
      <c r="AA5407" s="2023"/>
      <c r="AB5407" s="1050"/>
      <c r="AC5407" s="1050"/>
      <c r="AD5407" s="1050"/>
      <c r="AE5407" s="1050"/>
      <c r="AF5407" s="1052"/>
    </row>
    <row r="5408" spans="1:32" ht="15.75" x14ac:dyDescent="0.25">
      <c r="A5408" s="2017"/>
      <c r="B5408" s="2018"/>
      <c r="C5408" s="2018"/>
      <c r="D5408" s="2018"/>
      <c r="E5408" s="2018"/>
      <c r="F5408" s="2018"/>
      <c r="G5408" s="2018"/>
      <c r="H5408" s="2018"/>
      <c r="I5408" s="2018"/>
      <c r="J5408" s="2018"/>
      <c r="K5408" s="2018"/>
      <c r="L5408" s="2018"/>
      <c r="M5408" s="2018"/>
      <c r="N5408" s="2018"/>
      <c r="O5408" s="2018"/>
      <c r="P5408" s="2018"/>
      <c r="Q5408" s="2018"/>
      <c r="R5408" s="2018"/>
      <c r="S5408" s="2018"/>
      <c r="T5408" s="2018"/>
      <c r="U5408" s="2018"/>
      <c r="V5408" s="2018"/>
      <c r="W5408" s="2018"/>
      <c r="X5408" s="2018"/>
      <c r="Y5408" s="2018"/>
      <c r="Z5408" s="2023"/>
      <c r="AA5408" s="2023"/>
      <c r="AB5408" s="1050"/>
      <c r="AC5408" s="1050"/>
      <c r="AD5408" s="1050"/>
      <c r="AE5408" s="1050"/>
      <c r="AF5408" s="1052"/>
    </row>
    <row r="5409" spans="1:32" ht="16.5" thickBot="1" x14ac:dyDescent="0.3">
      <c r="A5409" s="2019"/>
      <c r="B5409" s="2020"/>
      <c r="C5409" s="2020"/>
      <c r="D5409" s="2020"/>
      <c r="E5409" s="2020"/>
      <c r="F5409" s="2020"/>
      <c r="G5409" s="2020"/>
      <c r="H5409" s="2020"/>
      <c r="I5409" s="2020"/>
      <c r="J5409" s="2020"/>
      <c r="K5409" s="2020"/>
      <c r="L5409" s="2020"/>
      <c r="M5409" s="2020"/>
      <c r="N5409" s="2020"/>
      <c r="O5409" s="2020"/>
      <c r="P5409" s="2020"/>
      <c r="Q5409" s="2020"/>
      <c r="R5409" s="2020"/>
      <c r="S5409" s="2020"/>
      <c r="T5409" s="2020"/>
      <c r="U5409" s="2020"/>
      <c r="V5409" s="2020"/>
      <c r="W5409" s="2020"/>
      <c r="X5409" s="2020"/>
      <c r="Y5409" s="2020"/>
      <c r="Z5409" s="2024"/>
      <c r="AA5409" s="2024"/>
      <c r="AB5409" s="1057"/>
      <c r="AC5409" s="1057"/>
      <c r="AD5409" s="1057"/>
      <c r="AE5409" s="1057"/>
      <c r="AF5409" s="1058"/>
    </row>
    <row r="5410" spans="1:32" ht="15.75" x14ac:dyDescent="0.25">
      <c r="A5410" s="2009" t="s">
        <v>1855</v>
      </c>
      <c r="B5410" s="2010"/>
      <c r="C5410" s="2010"/>
      <c r="D5410" s="2010"/>
      <c r="E5410" s="2010"/>
      <c r="F5410" s="2010"/>
      <c r="G5410" s="2010"/>
      <c r="H5410" s="2010"/>
      <c r="I5410" s="2010"/>
      <c r="J5410" s="2010"/>
      <c r="K5410" s="2010"/>
      <c r="L5410" s="2010"/>
      <c r="M5410" s="2010"/>
      <c r="N5410" s="2010"/>
      <c r="O5410" s="2010"/>
      <c r="P5410" s="2010"/>
      <c r="Q5410" s="2010"/>
      <c r="R5410" s="2010"/>
      <c r="S5410" s="2010"/>
      <c r="T5410" s="2010"/>
      <c r="U5410" s="2010"/>
      <c r="V5410" s="2010"/>
      <c r="W5410" s="2010"/>
      <c r="X5410" s="2010"/>
      <c r="Y5410" s="2010"/>
      <c r="Z5410" s="2013" t="s">
        <v>1850</v>
      </c>
      <c r="AA5410" s="2013"/>
      <c r="AB5410" s="2013"/>
      <c r="AC5410" s="2013"/>
      <c r="AD5410" s="2013"/>
      <c r="AE5410" s="2013"/>
      <c r="AF5410" s="1059">
        <f>SUM(AF5386:AF5409)</f>
        <v>7</v>
      </c>
    </row>
    <row r="5411" spans="1:32" ht="15.75" x14ac:dyDescent="0.25">
      <c r="A5411" s="2011"/>
      <c r="B5411" s="2012"/>
      <c r="C5411" s="2012"/>
      <c r="D5411" s="2012"/>
      <c r="E5411" s="2012"/>
      <c r="F5411" s="2012"/>
      <c r="G5411" s="2012"/>
      <c r="H5411" s="2012"/>
      <c r="I5411" s="2012"/>
      <c r="J5411" s="2012"/>
      <c r="K5411" s="2012"/>
      <c r="L5411" s="2012"/>
      <c r="M5411" s="2012"/>
      <c r="N5411" s="2012"/>
      <c r="O5411" s="2012"/>
      <c r="P5411" s="2012"/>
      <c r="Q5411" s="2012"/>
      <c r="R5411" s="2012"/>
      <c r="S5411" s="2012"/>
      <c r="T5411" s="2012"/>
      <c r="U5411" s="2012"/>
      <c r="V5411" s="2012"/>
      <c r="W5411" s="2012"/>
      <c r="X5411" s="2012"/>
      <c r="Y5411" s="2012"/>
      <c r="Z5411" s="2014" t="s">
        <v>1851</v>
      </c>
      <c r="AA5411" s="2014"/>
      <c r="AB5411" s="2014"/>
      <c r="AC5411" s="2014"/>
      <c r="AD5411" s="2014"/>
      <c r="AE5411" s="2014"/>
      <c r="AF5411" s="1060">
        <v>0</v>
      </c>
    </row>
    <row r="5412" spans="1:32" ht="15.75" x14ac:dyDescent="0.25">
      <c r="A5412" s="2011"/>
      <c r="B5412" s="2012"/>
      <c r="C5412" s="2012"/>
      <c r="D5412" s="2012"/>
      <c r="E5412" s="2012"/>
      <c r="F5412" s="2012"/>
      <c r="G5412" s="2012"/>
      <c r="H5412" s="2012"/>
      <c r="I5412" s="2012"/>
      <c r="J5412" s="2012"/>
      <c r="K5412" s="2012"/>
      <c r="L5412" s="2012"/>
      <c r="M5412" s="2012"/>
      <c r="N5412" s="2012"/>
      <c r="O5412" s="2012"/>
      <c r="P5412" s="2012"/>
      <c r="Q5412" s="2012"/>
      <c r="R5412" s="2012"/>
      <c r="S5412" s="2012"/>
      <c r="T5412" s="2012"/>
      <c r="U5412" s="2012"/>
      <c r="V5412" s="2012"/>
      <c r="W5412" s="2012"/>
      <c r="X5412" s="2012"/>
      <c r="Y5412" s="2012"/>
      <c r="Z5412" s="2015" t="s">
        <v>1833</v>
      </c>
      <c r="AA5412" s="2015"/>
      <c r="AB5412" s="2015"/>
      <c r="AC5412" s="2015"/>
      <c r="AD5412" s="2015"/>
      <c r="AE5412" s="2015"/>
      <c r="AF5412" s="1061">
        <f>SUM(AF5410:AF5411)</f>
        <v>7</v>
      </c>
    </row>
    <row r="5413" spans="1:32" x14ac:dyDescent="0.2">
      <c r="A5413" s="2012" t="s">
        <v>1859</v>
      </c>
      <c r="B5413" s="2012"/>
      <c r="C5413" s="2012"/>
      <c r="D5413" s="2012"/>
      <c r="E5413" s="2012"/>
      <c r="F5413" s="2012"/>
      <c r="G5413" s="2012"/>
      <c r="H5413" s="2012"/>
      <c r="I5413" s="2012"/>
      <c r="J5413" s="2012"/>
      <c r="K5413" s="2012"/>
      <c r="L5413" s="2012"/>
      <c r="M5413" s="2012"/>
      <c r="N5413" s="2012"/>
      <c r="O5413" s="2012"/>
      <c r="P5413" s="2012"/>
      <c r="Q5413" s="2012"/>
      <c r="R5413" s="2012"/>
      <c r="S5413" s="2012"/>
      <c r="T5413" s="2016" t="s">
        <v>1840</v>
      </c>
      <c r="U5413" s="2016"/>
      <c r="V5413" s="2016"/>
      <c r="W5413" s="2016"/>
      <c r="X5413" s="2016"/>
      <c r="Y5413" s="2016"/>
      <c r="Z5413" s="2016"/>
      <c r="AA5413" s="2016"/>
      <c r="AB5413" s="2012" t="s">
        <v>1852</v>
      </c>
      <c r="AC5413" s="2012"/>
      <c r="AD5413" s="2012"/>
      <c r="AE5413" s="2012"/>
      <c r="AF5413" s="2012"/>
    </row>
    <row r="5414" spans="1:32" x14ac:dyDescent="0.2">
      <c r="A5414" s="2012"/>
      <c r="B5414" s="2012"/>
      <c r="C5414" s="2012"/>
      <c r="D5414" s="2012"/>
      <c r="E5414" s="2012"/>
      <c r="F5414" s="2012"/>
      <c r="G5414" s="2012"/>
      <c r="H5414" s="2012"/>
      <c r="I5414" s="2012"/>
      <c r="J5414" s="2012"/>
      <c r="K5414" s="2012"/>
      <c r="L5414" s="2012"/>
      <c r="M5414" s="2012"/>
      <c r="N5414" s="2012"/>
      <c r="O5414" s="2012"/>
      <c r="P5414" s="2012"/>
      <c r="Q5414" s="2012"/>
      <c r="R5414" s="2012"/>
      <c r="S5414" s="2012"/>
      <c r="T5414" s="2016"/>
      <c r="U5414" s="2016"/>
      <c r="V5414" s="2016"/>
      <c r="W5414" s="2016"/>
      <c r="X5414" s="2016"/>
      <c r="Y5414" s="2016"/>
      <c r="Z5414" s="2016"/>
      <c r="AA5414" s="2016"/>
      <c r="AB5414" s="2012"/>
      <c r="AC5414" s="2012"/>
      <c r="AD5414" s="2012"/>
      <c r="AE5414" s="2012"/>
      <c r="AF5414" s="2012"/>
    </row>
    <row r="5415" spans="1:32" ht="13.5" thickBot="1" x14ac:dyDescent="0.25"/>
    <row r="5416" spans="1:32" ht="26.45" customHeight="1" x14ac:dyDescent="0.2">
      <c r="A5416" s="2025" t="s">
        <v>1854</v>
      </c>
      <c r="B5416" s="2026"/>
      <c r="C5416" s="2026"/>
      <c r="D5416" s="2026"/>
      <c r="E5416" s="2026"/>
      <c r="F5416" s="2026"/>
      <c r="G5416" s="2026"/>
      <c r="H5416" s="2026"/>
      <c r="I5416" s="2026"/>
      <c r="J5416" s="2026"/>
      <c r="K5416" s="2026"/>
      <c r="L5416" s="2026"/>
      <c r="M5416" s="2026"/>
      <c r="N5416" s="2026"/>
      <c r="O5416" s="2026"/>
      <c r="P5416" s="2026"/>
      <c r="Q5416" s="2026"/>
      <c r="R5416" s="2026"/>
      <c r="S5416" s="2026"/>
      <c r="T5416" s="2026"/>
      <c r="U5416" s="2026"/>
      <c r="V5416" s="2026"/>
      <c r="W5416" s="2026"/>
      <c r="X5416" s="2026"/>
      <c r="Y5416" s="2026"/>
      <c r="Z5416" s="2026"/>
      <c r="AA5416" s="2026"/>
      <c r="AB5416" s="2026"/>
      <c r="AC5416" s="2026"/>
      <c r="AD5416" s="2026"/>
      <c r="AE5416" s="1041" t="s">
        <v>1834</v>
      </c>
      <c r="AF5416" s="1042" t="s">
        <v>1835</v>
      </c>
    </row>
    <row r="5417" spans="1:32" ht="21" customHeight="1" thickBot="1" x14ac:dyDescent="0.25">
      <c r="A5417" s="2027"/>
      <c r="B5417" s="2028"/>
      <c r="C5417" s="2028"/>
      <c r="D5417" s="2028"/>
      <c r="E5417" s="2028"/>
      <c r="F5417" s="2028"/>
      <c r="G5417" s="2028"/>
      <c r="H5417" s="2028"/>
      <c r="I5417" s="2028"/>
      <c r="J5417" s="2028"/>
      <c r="K5417" s="2028"/>
      <c r="L5417" s="2028"/>
      <c r="M5417" s="2028"/>
      <c r="N5417" s="2028"/>
      <c r="O5417" s="2028"/>
      <c r="P5417" s="2028"/>
      <c r="Q5417" s="2028"/>
      <c r="R5417" s="2028"/>
      <c r="S5417" s="2028"/>
      <c r="T5417" s="2028"/>
      <c r="U5417" s="2028"/>
      <c r="V5417" s="2028"/>
      <c r="W5417" s="2028"/>
      <c r="X5417" s="2028"/>
      <c r="Y5417" s="2028"/>
      <c r="Z5417" s="2028"/>
      <c r="AA5417" s="2028"/>
      <c r="AB5417" s="2028"/>
      <c r="AC5417" s="2028"/>
      <c r="AD5417" s="2028"/>
      <c r="AE5417" s="1041" t="s">
        <v>1836</v>
      </c>
      <c r="AF5417" s="1044">
        <v>1</v>
      </c>
    </row>
    <row r="5418" spans="1:32" ht="15.75" x14ac:dyDescent="0.2">
      <c r="A5418" s="2029"/>
      <c r="B5418" s="2030"/>
      <c r="C5418" s="2030"/>
      <c r="D5418" s="2031"/>
      <c r="E5418" s="2025" t="str">
        <f>'01'!$A$12</f>
        <v>"CONSTRUCCION SISTEMA DE ACUEDUCTO FASE II DEL MUNICIPIO DE TESALIA DPTO DEL HUILA"</v>
      </c>
      <c r="F5418" s="2026"/>
      <c r="G5418" s="2026"/>
      <c r="H5418" s="2026"/>
      <c r="I5418" s="2026"/>
      <c r="J5418" s="2026"/>
      <c r="K5418" s="2026"/>
      <c r="L5418" s="2026"/>
      <c r="M5418" s="2026"/>
      <c r="N5418" s="2026"/>
      <c r="O5418" s="2026"/>
      <c r="P5418" s="2026"/>
      <c r="Q5418" s="2026"/>
      <c r="R5418" s="2026"/>
      <c r="S5418" s="2026"/>
      <c r="T5418" s="2026"/>
      <c r="U5418" s="2026"/>
      <c r="V5418" s="2026"/>
      <c r="W5418" s="2026"/>
      <c r="X5418" s="2026"/>
      <c r="Y5418" s="2026"/>
      <c r="Z5418" s="2026"/>
      <c r="AA5418" s="2026"/>
      <c r="AB5418" s="2026"/>
      <c r="AC5418" s="2026"/>
      <c r="AD5418" s="2035"/>
      <c r="AE5418" s="1041" t="s">
        <v>847</v>
      </c>
      <c r="AF5418" s="1045">
        <f>'01'!$M$13</f>
        <v>0</v>
      </c>
    </row>
    <row r="5419" spans="1:32" ht="16.5" thickBot="1" x14ac:dyDescent="0.25">
      <c r="A5419" s="2032"/>
      <c r="B5419" s="2033"/>
      <c r="C5419" s="2033"/>
      <c r="D5419" s="2034"/>
      <c r="E5419" s="2027"/>
      <c r="F5419" s="2028"/>
      <c r="G5419" s="2028"/>
      <c r="H5419" s="2028"/>
      <c r="I5419" s="2028"/>
      <c r="J5419" s="2028"/>
      <c r="K5419" s="2028"/>
      <c r="L5419" s="2028"/>
      <c r="M5419" s="2028"/>
      <c r="N5419" s="2028"/>
      <c r="O5419" s="2028"/>
      <c r="P5419" s="2028"/>
      <c r="Q5419" s="2028"/>
      <c r="R5419" s="2028"/>
      <c r="S5419" s="2028"/>
      <c r="T5419" s="2028"/>
      <c r="U5419" s="2028"/>
      <c r="V5419" s="2028"/>
      <c r="W5419" s="2028"/>
      <c r="X5419" s="2028"/>
      <c r="Y5419" s="2028"/>
      <c r="Z5419" s="2028"/>
      <c r="AA5419" s="2028"/>
      <c r="AB5419" s="2028"/>
      <c r="AC5419" s="2028"/>
      <c r="AD5419" s="2036"/>
      <c r="AE5419" s="1041" t="s">
        <v>1837</v>
      </c>
      <c r="AF5419" s="1042" t="s">
        <v>1838</v>
      </c>
    </row>
    <row r="5420" spans="1:32" ht="15.75" x14ac:dyDescent="0.25">
      <c r="A5420" s="2037" t="s">
        <v>1860</v>
      </c>
      <c r="B5420" s="2038"/>
      <c r="C5420" s="2038"/>
      <c r="D5420" s="2038"/>
      <c r="E5420" s="2038"/>
      <c r="F5420" s="2038"/>
      <c r="G5420" s="2038"/>
      <c r="H5420" s="2038"/>
      <c r="I5420" s="2038"/>
      <c r="J5420" s="2038"/>
      <c r="K5420" s="2038"/>
      <c r="L5420" s="2038"/>
      <c r="M5420" s="2038"/>
      <c r="N5420" s="2038"/>
      <c r="O5420" s="2038"/>
      <c r="P5420" s="2038"/>
      <c r="Q5420" s="2038"/>
      <c r="R5420" s="2038"/>
      <c r="S5420" s="2038"/>
      <c r="T5420" s="2038"/>
      <c r="U5420" s="2038"/>
      <c r="V5420" s="2038"/>
      <c r="W5420" s="2038"/>
      <c r="X5420" s="2038"/>
      <c r="Y5420" s="2038"/>
      <c r="Z5420" s="2038"/>
      <c r="AA5420" s="2038"/>
      <c r="AB5420" s="2038"/>
      <c r="AC5420" s="2038"/>
      <c r="AD5420" s="2038"/>
      <c r="AE5420" s="2039" t="s">
        <v>1839</v>
      </c>
      <c r="AF5420" s="2040"/>
    </row>
    <row r="5421" spans="1:32" ht="15.75" x14ac:dyDescent="0.25">
      <c r="A5421" s="2041" t="s">
        <v>1840</v>
      </c>
      <c r="B5421" s="2042"/>
      <c r="C5421" s="2042"/>
      <c r="D5421" s="2042"/>
      <c r="E5421" s="2042"/>
      <c r="F5421" s="2042"/>
      <c r="G5421" s="2042"/>
      <c r="H5421" s="2042"/>
      <c r="I5421" s="2042"/>
      <c r="J5421" s="2042"/>
      <c r="K5421" s="2042"/>
      <c r="L5421" s="2042"/>
      <c r="M5421" s="2042"/>
      <c r="N5421" s="2042"/>
      <c r="O5421" s="2042"/>
      <c r="P5421" s="2042"/>
      <c r="Q5421" s="2042"/>
      <c r="R5421" s="2042"/>
      <c r="S5421" s="2042"/>
      <c r="T5421" s="2042"/>
      <c r="U5421" s="2042"/>
      <c r="V5421" s="2042"/>
      <c r="W5421" s="2042"/>
      <c r="X5421" s="2042"/>
      <c r="Y5421" s="2042"/>
      <c r="Z5421" s="2042"/>
      <c r="AA5421" s="2042"/>
      <c r="AB5421" s="2042"/>
      <c r="AC5421" s="2042"/>
      <c r="AD5421" s="2043"/>
      <c r="AE5421" s="2014" t="s">
        <v>1841</v>
      </c>
      <c r="AF5421" s="2044"/>
    </row>
    <row r="5422" spans="1:32" ht="15.75" x14ac:dyDescent="0.25">
      <c r="A5422" s="2045" t="s">
        <v>1853</v>
      </c>
      <c r="B5422" s="2046"/>
      <c r="C5422" s="2046"/>
      <c r="D5422" s="2046"/>
      <c r="E5422" s="2046"/>
      <c r="F5422" s="2046"/>
      <c r="G5422" s="2046"/>
      <c r="H5422" s="2046"/>
      <c r="I5422" s="2046"/>
      <c r="J5422" s="2046"/>
      <c r="K5422" s="2046"/>
      <c r="L5422" s="2046"/>
      <c r="M5422" s="2046"/>
      <c r="N5422" s="2046"/>
      <c r="O5422" s="2046"/>
      <c r="P5422" s="2046"/>
      <c r="Q5422" s="2046"/>
      <c r="R5422" s="2046"/>
      <c r="S5422" s="2046"/>
      <c r="T5422" s="2046"/>
      <c r="U5422" s="2046"/>
      <c r="V5422" s="2046"/>
      <c r="W5422" s="2046"/>
      <c r="X5422" s="2046"/>
      <c r="Y5422" s="2046"/>
      <c r="Z5422" s="2046"/>
      <c r="AA5422" s="2046"/>
      <c r="AB5422" s="2046"/>
      <c r="AC5422" s="2046"/>
      <c r="AD5422" s="2046"/>
      <c r="AE5422" s="2047">
        <f>'01'!$M$13</f>
        <v>0</v>
      </c>
      <c r="AF5422" s="2044"/>
    </row>
    <row r="5423" spans="1:32" x14ac:dyDescent="0.2">
      <c r="A5423" s="1046"/>
      <c r="B5423" s="1047"/>
      <c r="C5423" s="1047"/>
      <c r="D5423" s="1047"/>
      <c r="E5423" s="1047"/>
      <c r="F5423" s="1047"/>
      <c r="G5423" s="1047"/>
      <c r="H5423" s="1047"/>
      <c r="I5423" s="1047"/>
      <c r="J5423" s="1047"/>
      <c r="K5423" s="1047"/>
      <c r="L5423" s="1047"/>
      <c r="M5423" s="1047"/>
      <c r="N5423" s="1047"/>
      <c r="O5423" s="1047"/>
      <c r="P5423" s="1047"/>
      <c r="Q5423" s="1047"/>
      <c r="R5423" s="1047"/>
      <c r="S5423" s="1047"/>
      <c r="T5423" s="1047"/>
      <c r="U5423" s="1047"/>
      <c r="V5423" s="1047"/>
      <c r="W5423" s="1047"/>
      <c r="X5423" s="1047"/>
      <c r="Y5423" s="1047"/>
      <c r="Z5423" s="1047"/>
      <c r="AA5423" s="1047"/>
      <c r="AB5423" s="1047"/>
      <c r="AC5423" s="1047"/>
      <c r="AD5423" s="1047"/>
      <c r="AE5423" s="1047"/>
      <c r="AF5423" s="1048"/>
    </row>
    <row r="5424" spans="1:32" ht="30" customHeight="1" x14ac:dyDescent="0.2">
      <c r="A5424" s="2048" t="s">
        <v>1842</v>
      </c>
      <c r="B5424" s="2049"/>
      <c r="C5424" s="2049"/>
      <c r="D5424" s="2049"/>
      <c r="E5424" s="2049"/>
      <c r="F5424" s="2050" t="str">
        <f>+'01'!$H$201</f>
        <v>H - TANQUE DE ALMACENAMIENTO</v>
      </c>
      <c r="G5424" s="2049"/>
      <c r="H5424" s="2049"/>
      <c r="I5424" s="2049"/>
      <c r="J5424" s="2049"/>
      <c r="K5424" s="2049"/>
      <c r="L5424" s="2049"/>
      <c r="M5424" s="2049"/>
      <c r="N5424" s="2049"/>
      <c r="O5424" s="2049"/>
      <c r="P5424" s="2049"/>
      <c r="Q5424" s="2049"/>
      <c r="R5424" s="2049"/>
      <c r="S5424" s="2049"/>
      <c r="T5424" s="2049"/>
      <c r="U5424" s="2049"/>
      <c r="V5424" s="2049"/>
      <c r="W5424" s="2049"/>
      <c r="X5424" s="2049"/>
      <c r="Y5424" s="2051"/>
      <c r="Z5424" s="2052" t="s">
        <v>1843</v>
      </c>
      <c r="AA5424" s="2053"/>
      <c r="AB5424" s="2058" t="s">
        <v>1844</v>
      </c>
      <c r="AC5424" s="2059"/>
      <c r="AD5424" s="2060"/>
      <c r="AE5424" s="2064" t="s">
        <v>1845</v>
      </c>
      <c r="AF5424" s="2067" t="s">
        <v>1846</v>
      </c>
    </row>
    <row r="5425" spans="1:32" ht="15" customHeight="1" x14ac:dyDescent="0.2">
      <c r="A5425" s="2070" t="str">
        <f>+'01'!A225</f>
        <v>H-08-05</v>
      </c>
      <c r="B5425" s="2071"/>
      <c r="C5425" s="2072"/>
      <c r="D5425" s="2076" t="str">
        <f>VLOOKUP(A5425,'01'!$A$12:$N$299,3,FALSE)</f>
        <v xml:space="preserve">SUMINISTRO E INSTALACIÓN CODO PVC DE 90 GRADOS PRESIÓN DE 8". INCLUYE UNIÓN DE REPARACIÓN. </v>
      </c>
      <c r="E5425" s="2077"/>
      <c r="F5425" s="2077"/>
      <c r="G5425" s="2077"/>
      <c r="H5425" s="2077"/>
      <c r="I5425" s="2077"/>
      <c r="J5425" s="2077"/>
      <c r="K5425" s="2077"/>
      <c r="L5425" s="2077"/>
      <c r="M5425" s="2077"/>
      <c r="N5425" s="2077"/>
      <c r="O5425" s="2077"/>
      <c r="P5425" s="2077"/>
      <c r="Q5425" s="2077"/>
      <c r="R5425" s="2077"/>
      <c r="S5425" s="2078"/>
      <c r="T5425" s="2082" t="s">
        <v>124</v>
      </c>
      <c r="U5425" s="2083"/>
      <c r="V5425" s="2083"/>
      <c r="W5425" s="2083"/>
      <c r="X5425" s="2052" t="str">
        <f>VLOOKUP(A5425,'01'!$A$12:$N$299,9,FALSE)</f>
        <v>UND</v>
      </c>
      <c r="Y5425" s="2053"/>
      <c r="Z5425" s="2054"/>
      <c r="AA5425" s="2055"/>
      <c r="AB5425" s="2061"/>
      <c r="AC5425" s="2062"/>
      <c r="AD5425" s="2063"/>
      <c r="AE5425" s="2065"/>
      <c r="AF5425" s="2068"/>
    </row>
    <row r="5426" spans="1:32" ht="15" customHeight="1" x14ac:dyDescent="0.25">
      <c r="A5426" s="2073"/>
      <c r="B5426" s="2074"/>
      <c r="C5426" s="2075"/>
      <c r="D5426" s="2079"/>
      <c r="E5426" s="2080"/>
      <c r="F5426" s="2080"/>
      <c r="G5426" s="2080"/>
      <c r="H5426" s="2080"/>
      <c r="I5426" s="2080"/>
      <c r="J5426" s="2080"/>
      <c r="K5426" s="2080"/>
      <c r="L5426" s="2080"/>
      <c r="M5426" s="2080"/>
      <c r="N5426" s="2080"/>
      <c r="O5426" s="2080"/>
      <c r="P5426" s="2080"/>
      <c r="Q5426" s="2080"/>
      <c r="R5426" s="2080"/>
      <c r="S5426" s="2081"/>
      <c r="T5426" s="2084"/>
      <c r="U5426" s="2085"/>
      <c r="V5426" s="2085"/>
      <c r="W5426" s="2085"/>
      <c r="X5426" s="2056"/>
      <c r="Y5426" s="2057"/>
      <c r="Z5426" s="2056"/>
      <c r="AA5426" s="2057"/>
      <c r="AB5426" s="1049" t="s">
        <v>1847</v>
      </c>
      <c r="AC5426" s="1049" t="s">
        <v>1848</v>
      </c>
      <c r="AD5426" s="1049" t="s">
        <v>1861</v>
      </c>
      <c r="AE5426" s="2066"/>
      <c r="AF5426" s="2069"/>
    </row>
    <row r="5427" spans="1:32" ht="15.6" customHeight="1" x14ac:dyDescent="0.25">
      <c r="A5427" s="2017"/>
      <c r="B5427" s="2018"/>
      <c r="C5427" s="2018"/>
      <c r="D5427" s="2018"/>
      <c r="E5427" s="2018"/>
      <c r="F5427" s="2018"/>
      <c r="G5427" s="2018"/>
      <c r="H5427" s="2018"/>
      <c r="I5427" s="2018"/>
      <c r="J5427" s="2018"/>
      <c r="K5427" s="2018"/>
      <c r="L5427" s="2018"/>
      <c r="M5427" s="2018"/>
      <c r="N5427" s="2018"/>
      <c r="O5427" s="2018"/>
      <c r="P5427" s="2018"/>
      <c r="Q5427" s="2018"/>
      <c r="R5427" s="2018"/>
      <c r="S5427" s="2018"/>
      <c r="T5427" s="2018"/>
      <c r="U5427" s="2018"/>
      <c r="V5427" s="2018"/>
      <c r="W5427" s="2018"/>
      <c r="X5427" s="2018"/>
      <c r="Y5427" s="2018"/>
      <c r="Z5427" s="2021" t="s">
        <v>2521</v>
      </c>
      <c r="AA5427" s="2021"/>
      <c r="AB5427" s="1050"/>
      <c r="AC5427" s="1050"/>
      <c r="AD5427" s="1050"/>
      <c r="AE5427" s="1050">
        <v>0</v>
      </c>
      <c r="AF5427" s="1052">
        <f>+AE5427</f>
        <v>0</v>
      </c>
    </row>
    <row r="5428" spans="1:32" ht="15.6" customHeight="1" x14ac:dyDescent="0.25">
      <c r="A5428" s="2017"/>
      <c r="B5428" s="2018"/>
      <c r="C5428" s="2018"/>
      <c r="D5428" s="2018"/>
      <c r="E5428" s="2018"/>
      <c r="F5428" s="2018"/>
      <c r="G5428" s="2018"/>
      <c r="H5428" s="2018"/>
      <c r="I5428" s="2018"/>
      <c r="J5428" s="2018"/>
      <c r="K5428" s="2018"/>
      <c r="L5428" s="2018"/>
      <c r="M5428" s="2018"/>
      <c r="N5428" s="2018"/>
      <c r="O5428" s="2018"/>
      <c r="P5428" s="2018"/>
      <c r="Q5428" s="2018"/>
      <c r="R5428" s="2018"/>
      <c r="S5428" s="2018"/>
      <c r="T5428" s="2018"/>
      <c r="U5428" s="2018"/>
      <c r="V5428" s="2018"/>
      <c r="W5428" s="2018"/>
      <c r="X5428" s="2018"/>
      <c r="Y5428" s="2018"/>
      <c r="Z5428" s="2021" t="s">
        <v>2527</v>
      </c>
      <c r="AA5428" s="2021"/>
      <c r="AB5428" s="1050"/>
      <c r="AC5428" s="1050"/>
      <c r="AD5428" s="1050"/>
      <c r="AE5428" s="1050">
        <v>1</v>
      </c>
      <c r="AF5428" s="1052">
        <f t="shared" ref="AF5428:AF5431" si="75">+AE5428</f>
        <v>1</v>
      </c>
    </row>
    <row r="5429" spans="1:32" ht="15.75" x14ac:dyDescent="0.25">
      <c r="A5429" s="2017"/>
      <c r="B5429" s="2018"/>
      <c r="C5429" s="2018"/>
      <c r="D5429" s="2018"/>
      <c r="E5429" s="2018"/>
      <c r="F5429" s="2018"/>
      <c r="G5429" s="2018"/>
      <c r="H5429" s="2018"/>
      <c r="I5429" s="2018"/>
      <c r="J5429" s="2018"/>
      <c r="K5429" s="2018"/>
      <c r="L5429" s="2018"/>
      <c r="M5429" s="2018"/>
      <c r="N5429" s="2018"/>
      <c r="O5429" s="2018"/>
      <c r="P5429" s="2018"/>
      <c r="Q5429" s="2018"/>
      <c r="R5429" s="2018"/>
      <c r="S5429" s="2018"/>
      <c r="T5429" s="2018"/>
      <c r="U5429" s="2018"/>
      <c r="V5429" s="2018"/>
      <c r="W5429" s="2018"/>
      <c r="X5429" s="2018"/>
      <c r="Y5429" s="2018"/>
      <c r="Z5429" s="2021" t="s">
        <v>2495</v>
      </c>
      <c r="AA5429" s="2021"/>
      <c r="AB5429" s="1050"/>
      <c r="AC5429" s="1050"/>
      <c r="AD5429" s="1050"/>
      <c r="AE5429" s="1050">
        <v>1</v>
      </c>
      <c r="AF5429" s="1052">
        <f t="shared" si="75"/>
        <v>1</v>
      </c>
    </row>
    <row r="5430" spans="1:32" ht="15.75" x14ac:dyDescent="0.25">
      <c r="A5430" s="2017"/>
      <c r="B5430" s="2018"/>
      <c r="C5430" s="2018"/>
      <c r="D5430" s="2018"/>
      <c r="E5430" s="2018"/>
      <c r="F5430" s="2018"/>
      <c r="G5430" s="2018"/>
      <c r="H5430" s="2018"/>
      <c r="I5430" s="2018"/>
      <c r="J5430" s="2018"/>
      <c r="K5430" s="2018"/>
      <c r="L5430" s="2018"/>
      <c r="M5430" s="2018"/>
      <c r="N5430" s="2018"/>
      <c r="O5430" s="2018"/>
      <c r="P5430" s="2018"/>
      <c r="Q5430" s="2018"/>
      <c r="R5430" s="2018"/>
      <c r="S5430" s="2018"/>
      <c r="T5430" s="2018"/>
      <c r="U5430" s="2018"/>
      <c r="V5430" s="2018"/>
      <c r="W5430" s="2018"/>
      <c r="X5430" s="2018"/>
      <c r="Y5430" s="2018"/>
      <c r="Z5430" s="2021" t="s">
        <v>2460</v>
      </c>
      <c r="AA5430" s="2021"/>
      <c r="AB5430" s="1050"/>
      <c r="AC5430" s="1050"/>
      <c r="AD5430" s="1050"/>
      <c r="AE5430" s="1050">
        <v>1</v>
      </c>
      <c r="AF5430" s="1052">
        <f t="shared" si="75"/>
        <v>1</v>
      </c>
    </row>
    <row r="5431" spans="1:32" ht="15.6" customHeight="1" x14ac:dyDescent="0.25">
      <c r="A5431" s="2017"/>
      <c r="B5431" s="2018"/>
      <c r="C5431" s="2018"/>
      <c r="D5431" s="2018"/>
      <c r="E5431" s="2018"/>
      <c r="F5431" s="2018"/>
      <c r="G5431" s="2018"/>
      <c r="H5431" s="2018"/>
      <c r="I5431" s="2018"/>
      <c r="J5431" s="2018"/>
      <c r="K5431" s="2018"/>
      <c r="L5431" s="2018"/>
      <c r="M5431" s="2018"/>
      <c r="N5431" s="2018"/>
      <c r="O5431" s="2018"/>
      <c r="P5431" s="2018"/>
      <c r="Q5431" s="2018"/>
      <c r="R5431" s="2018"/>
      <c r="S5431" s="2018"/>
      <c r="T5431" s="2018"/>
      <c r="U5431" s="2018"/>
      <c r="V5431" s="2018"/>
      <c r="W5431" s="2018"/>
      <c r="X5431" s="2018"/>
      <c r="Y5431" s="2018"/>
      <c r="Z5431" s="2021" t="s">
        <v>2528</v>
      </c>
      <c r="AA5431" s="2021"/>
      <c r="AB5431" s="1050"/>
      <c r="AC5431" s="1050"/>
      <c r="AD5431" s="1050"/>
      <c r="AE5431" s="1050">
        <v>1</v>
      </c>
      <c r="AF5431" s="1052">
        <f t="shared" si="75"/>
        <v>1</v>
      </c>
    </row>
    <row r="5432" spans="1:32" ht="15.75" x14ac:dyDescent="0.25">
      <c r="A5432" s="2017"/>
      <c r="B5432" s="2018"/>
      <c r="C5432" s="2018"/>
      <c r="D5432" s="2018"/>
      <c r="E5432" s="2018"/>
      <c r="F5432" s="2018"/>
      <c r="G5432" s="2018"/>
      <c r="H5432" s="2018"/>
      <c r="I5432" s="2018"/>
      <c r="J5432" s="2018"/>
      <c r="K5432" s="2018"/>
      <c r="L5432" s="2018"/>
      <c r="M5432" s="2018"/>
      <c r="N5432" s="2018"/>
      <c r="O5432" s="2018"/>
      <c r="P5432" s="2018"/>
      <c r="Q5432" s="2018"/>
      <c r="R5432" s="2018"/>
      <c r="S5432" s="2018"/>
      <c r="T5432" s="2018"/>
      <c r="U5432" s="2018"/>
      <c r="V5432" s="2018"/>
      <c r="W5432" s="2018"/>
      <c r="X5432" s="2018"/>
      <c r="Y5432" s="2018"/>
      <c r="Z5432" s="2022"/>
      <c r="AA5432" s="2022"/>
      <c r="AB5432" s="1050"/>
      <c r="AC5432" s="1050"/>
      <c r="AD5432" s="1050"/>
      <c r="AE5432" s="1050"/>
      <c r="AF5432" s="1052"/>
    </row>
    <row r="5433" spans="1:32" ht="15.75" x14ac:dyDescent="0.25">
      <c r="A5433" s="2017"/>
      <c r="B5433" s="2018"/>
      <c r="C5433" s="2018"/>
      <c r="D5433" s="2018"/>
      <c r="E5433" s="2018"/>
      <c r="F5433" s="2018"/>
      <c r="G5433" s="2018"/>
      <c r="H5433" s="2018"/>
      <c r="I5433" s="2018"/>
      <c r="J5433" s="2018"/>
      <c r="K5433" s="2018"/>
      <c r="L5433" s="2018"/>
      <c r="M5433" s="2018"/>
      <c r="N5433" s="2018"/>
      <c r="O5433" s="2018"/>
      <c r="P5433" s="2018"/>
      <c r="Q5433" s="2018"/>
      <c r="R5433" s="2018"/>
      <c r="S5433" s="2018"/>
      <c r="T5433" s="2018"/>
      <c r="U5433" s="2018"/>
      <c r="V5433" s="2018"/>
      <c r="W5433" s="2018"/>
      <c r="X5433" s="2018"/>
      <c r="Y5433" s="2018"/>
      <c r="Z5433" s="2022"/>
      <c r="AA5433" s="2022"/>
      <c r="AB5433" s="1050"/>
      <c r="AC5433" s="1050"/>
      <c r="AD5433" s="1050"/>
      <c r="AE5433" s="1050"/>
      <c r="AF5433" s="1052"/>
    </row>
    <row r="5434" spans="1:32" ht="15.6" customHeight="1" x14ac:dyDescent="0.25">
      <c r="A5434" s="2017"/>
      <c r="B5434" s="2018"/>
      <c r="C5434" s="2018"/>
      <c r="D5434" s="2018"/>
      <c r="E5434" s="2018"/>
      <c r="F5434" s="2018"/>
      <c r="G5434" s="2018"/>
      <c r="H5434" s="2018"/>
      <c r="I5434" s="2018"/>
      <c r="J5434" s="2018"/>
      <c r="K5434" s="2018"/>
      <c r="L5434" s="2018"/>
      <c r="M5434" s="2018"/>
      <c r="N5434" s="2018"/>
      <c r="O5434" s="2018"/>
      <c r="P5434" s="2018"/>
      <c r="Q5434" s="2018"/>
      <c r="R5434" s="2018"/>
      <c r="S5434" s="2018"/>
      <c r="T5434" s="2018"/>
      <c r="U5434" s="2018"/>
      <c r="V5434" s="2018"/>
      <c r="W5434" s="2018"/>
      <c r="X5434" s="2018"/>
      <c r="Y5434" s="2018"/>
      <c r="Z5434" s="2022"/>
      <c r="AA5434" s="2022"/>
      <c r="AB5434" s="1050"/>
      <c r="AC5434" s="1050"/>
      <c r="AD5434" s="1050"/>
      <c r="AE5434" s="1050"/>
      <c r="AF5434" s="1052"/>
    </row>
    <row r="5435" spans="1:32" ht="15.75" x14ac:dyDescent="0.25">
      <c r="A5435" s="2017"/>
      <c r="B5435" s="2018"/>
      <c r="C5435" s="2018"/>
      <c r="D5435" s="2018"/>
      <c r="E5435" s="2018"/>
      <c r="F5435" s="2018"/>
      <c r="G5435" s="2018"/>
      <c r="H5435" s="2018"/>
      <c r="I5435" s="2018"/>
      <c r="J5435" s="2018"/>
      <c r="K5435" s="2018"/>
      <c r="L5435" s="2018"/>
      <c r="M5435" s="2018"/>
      <c r="N5435" s="2018"/>
      <c r="O5435" s="2018"/>
      <c r="P5435" s="2018"/>
      <c r="Q5435" s="2018"/>
      <c r="R5435" s="2018"/>
      <c r="S5435" s="2018"/>
      <c r="T5435" s="2018"/>
      <c r="U5435" s="2018"/>
      <c r="V5435" s="2018"/>
      <c r="W5435" s="2018"/>
      <c r="X5435" s="2018"/>
      <c r="Y5435" s="2018"/>
      <c r="Z5435" s="2022"/>
      <c r="AA5435" s="2022"/>
      <c r="AB5435" s="1050"/>
      <c r="AC5435" s="1050"/>
      <c r="AD5435" s="1050"/>
      <c r="AE5435" s="1050"/>
      <c r="AF5435" s="1052"/>
    </row>
    <row r="5436" spans="1:32" ht="15.75" x14ac:dyDescent="0.25">
      <c r="A5436" s="2017"/>
      <c r="B5436" s="2018"/>
      <c r="C5436" s="2018"/>
      <c r="D5436" s="2018"/>
      <c r="E5436" s="2018"/>
      <c r="F5436" s="2018"/>
      <c r="G5436" s="2018"/>
      <c r="H5436" s="2018"/>
      <c r="I5436" s="2018"/>
      <c r="J5436" s="2018"/>
      <c r="K5436" s="2018"/>
      <c r="L5436" s="2018"/>
      <c r="M5436" s="2018"/>
      <c r="N5436" s="2018"/>
      <c r="O5436" s="2018"/>
      <c r="P5436" s="2018"/>
      <c r="Q5436" s="2018"/>
      <c r="R5436" s="2018"/>
      <c r="S5436" s="2018"/>
      <c r="T5436" s="2018"/>
      <c r="U5436" s="2018"/>
      <c r="V5436" s="2018"/>
      <c r="W5436" s="2018"/>
      <c r="X5436" s="2018"/>
      <c r="Y5436" s="2018"/>
      <c r="Z5436" s="2022"/>
      <c r="AA5436" s="2022"/>
      <c r="AB5436" s="1050"/>
      <c r="AC5436" s="1050"/>
      <c r="AD5436" s="1050"/>
      <c r="AE5436" s="1050"/>
      <c r="AF5436" s="1052"/>
    </row>
    <row r="5437" spans="1:32" ht="15.75" x14ac:dyDescent="0.25">
      <c r="A5437" s="2017"/>
      <c r="B5437" s="2018"/>
      <c r="C5437" s="2018"/>
      <c r="D5437" s="2018"/>
      <c r="E5437" s="2018"/>
      <c r="F5437" s="2018"/>
      <c r="G5437" s="2018"/>
      <c r="H5437" s="2018"/>
      <c r="I5437" s="2018"/>
      <c r="J5437" s="2018"/>
      <c r="K5437" s="2018"/>
      <c r="L5437" s="2018"/>
      <c r="M5437" s="2018"/>
      <c r="N5437" s="2018"/>
      <c r="O5437" s="2018"/>
      <c r="P5437" s="2018"/>
      <c r="Q5437" s="2018"/>
      <c r="R5437" s="2018"/>
      <c r="S5437" s="2018"/>
      <c r="T5437" s="2018"/>
      <c r="U5437" s="2018"/>
      <c r="V5437" s="2018"/>
      <c r="W5437" s="2018"/>
      <c r="X5437" s="2018"/>
      <c r="Y5437" s="2018"/>
      <c r="Z5437" s="2022"/>
      <c r="AA5437" s="2022"/>
      <c r="AB5437" s="1050"/>
      <c r="AC5437" s="1050"/>
      <c r="AD5437" s="1050"/>
      <c r="AE5437" s="1050"/>
      <c r="AF5437" s="1052"/>
    </row>
    <row r="5438" spans="1:32" ht="15.6" customHeight="1" x14ac:dyDescent="0.25">
      <c r="A5438" s="2017"/>
      <c r="B5438" s="2018"/>
      <c r="C5438" s="2018"/>
      <c r="D5438" s="2018"/>
      <c r="E5438" s="2018"/>
      <c r="F5438" s="2018"/>
      <c r="G5438" s="2018"/>
      <c r="H5438" s="2018"/>
      <c r="I5438" s="2018"/>
      <c r="J5438" s="2018"/>
      <c r="K5438" s="2018"/>
      <c r="L5438" s="2018"/>
      <c r="M5438" s="2018"/>
      <c r="N5438" s="2018"/>
      <c r="O5438" s="2018"/>
      <c r="P5438" s="2018"/>
      <c r="Q5438" s="2018"/>
      <c r="R5438" s="2018"/>
      <c r="S5438" s="2018"/>
      <c r="T5438" s="2018"/>
      <c r="U5438" s="2018"/>
      <c r="V5438" s="2018"/>
      <c r="W5438" s="2018"/>
      <c r="X5438" s="2018"/>
      <c r="Y5438" s="2018"/>
      <c r="Z5438" s="2022"/>
      <c r="AA5438" s="2022"/>
      <c r="AB5438" s="1050"/>
      <c r="AC5438" s="1050"/>
      <c r="AD5438" s="1050"/>
      <c r="AE5438" s="1050"/>
      <c r="AF5438" s="1052"/>
    </row>
    <row r="5439" spans="1:32" ht="15.75" x14ac:dyDescent="0.25">
      <c r="A5439" s="2017"/>
      <c r="B5439" s="2018"/>
      <c r="C5439" s="2018"/>
      <c r="D5439" s="2018"/>
      <c r="E5439" s="2018"/>
      <c r="F5439" s="2018"/>
      <c r="G5439" s="2018"/>
      <c r="H5439" s="2018"/>
      <c r="I5439" s="2018"/>
      <c r="J5439" s="2018"/>
      <c r="K5439" s="2018"/>
      <c r="L5439" s="2018"/>
      <c r="M5439" s="2018"/>
      <c r="N5439" s="2018"/>
      <c r="O5439" s="2018"/>
      <c r="P5439" s="2018"/>
      <c r="Q5439" s="2018"/>
      <c r="R5439" s="2018"/>
      <c r="S5439" s="2018"/>
      <c r="T5439" s="2018"/>
      <c r="U5439" s="2018"/>
      <c r="V5439" s="2018"/>
      <c r="W5439" s="2018"/>
      <c r="X5439" s="2018"/>
      <c r="Y5439" s="2018"/>
      <c r="Z5439" s="2022"/>
      <c r="AA5439" s="2022"/>
      <c r="AB5439" s="1050"/>
      <c r="AC5439" s="1050"/>
      <c r="AD5439" s="1050"/>
      <c r="AE5439" s="1050"/>
      <c r="AF5439" s="1052"/>
    </row>
    <row r="5440" spans="1:32" ht="15.75" x14ac:dyDescent="0.25">
      <c r="A5440" s="2017"/>
      <c r="B5440" s="2018"/>
      <c r="C5440" s="2018"/>
      <c r="D5440" s="2018"/>
      <c r="E5440" s="2018"/>
      <c r="F5440" s="2018"/>
      <c r="G5440" s="2018"/>
      <c r="H5440" s="2018"/>
      <c r="I5440" s="2018"/>
      <c r="J5440" s="2018"/>
      <c r="K5440" s="2018"/>
      <c r="L5440" s="2018"/>
      <c r="M5440" s="2018"/>
      <c r="N5440" s="2018"/>
      <c r="O5440" s="2018"/>
      <c r="P5440" s="2018"/>
      <c r="Q5440" s="2018"/>
      <c r="R5440" s="2018"/>
      <c r="S5440" s="2018"/>
      <c r="T5440" s="2018"/>
      <c r="U5440" s="2018"/>
      <c r="V5440" s="2018"/>
      <c r="W5440" s="2018"/>
      <c r="X5440" s="2018"/>
      <c r="Y5440" s="2018"/>
      <c r="Z5440" s="2022"/>
      <c r="AA5440" s="2022"/>
      <c r="AB5440" s="1050"/>
      <c r="AC5440" s="1050"/>
      <c r="AD5440" s="1050"/>
      <c r="AE5440" s="1050"/>
      <c r="AF5440" s="1052"/>
    </row>
    <row r="5441" spans="1:32" ht="15.75" x14ac:dyDescent="0.25">
      <c r="A5441" s="2017"/>
      <c r="B5441" s="2018"/>
      <c r="C5441" s="2018"/>
      <c r="D5441" s="2018"/>
      <c r="E5441" s="2018"/>
      <c r="F5441" s="2018"/>
      <c r="G5441" s="2018"/>
      <c r="H5441" s="2018"/>
      <c r="I5441" s="2018"/>
      <c r="J5441" s="2018"/>
      <c r="K5441" s="2018"/>
      <c r="L5441" s="2018"/>
      <c r="M5441" s="2018"/>
      <c r="N5441" s="2018"/>
      <c r="O5441" s="2018"/>
      <c r="P5441" s="2018"/>
      <c r="Q5441" s="2018"/>
      <c r="R5441" s="2018"/>
      <c r="S5441" s="2018"/>
      <c r="T5441" s="2018"/>
      <c r="U5441" s="2018"/>
      <c r="V5441" s="2018"/>
      <c r="W5441" s="2018"/>
      <c r="X5441" s="2018"/>
      <c r="Y5441" s="2018"/>
      <c r="Z5441" s="2022"/>
      <c r="AA5441" s="2022"/>
      <c r="AB5441" s="1050"/>
      <c r="AC5441" s="1050"/>
      <c r="AD5441" s="1050"/>
      <c r="AE5441" s="1050"/>
      <c r="AF5441" s="1052"/>
    </row>
    <row r="5442" spans="1:32" ht="15.75" x14ac:dyDescent="0.25">
      <c r="A5442" s="2017"/>
      <c r="B5442" s="2018"/>
      <c r="C5442" s="2018"/>
      <c r="D5442" s="2018"/>
      <c r="E5442" s="2018"/>
      <c r="F5442" s="2018"/>
      <c r="G5442" s="2018"/>
      <c r="H5442" s="2018"/>
      <c r="I5442" s="2018"/>
      <c r="J5442" s="2018"/>
      <c r="K5442" s="2018"/>
      <c r="L5442" s="2018"/>
      <c r="M5442" s="2018"/>
      <c r="N5442" s="2018"/>
      <c r="O5442" s="2018"/>
      <c r="P5442" s="2018"/>
      <c r="Q5442" s="2018"/>
      <c r="R5442" s="2018"/>
      <c r="S5442" s="2018"/>
      <c r="T5442" s="2018"/>
      <c r="U5442" s="2018"/>
      <c r="V5442" s="2018"/>
      <c r="W5442" s="2018"/>
      <c r="X5442" s="2018"/>
      <c r="Y5442" s="2018"/>
      <c r="Z5442" s="2022"/>
      <c r="AA5442" s="2022"/>
      <c r="AB5442" s="1050"/>
      <c r="AC5442" s="1050"/>
      <c r="AD5442" s="1050"/>
      <c r="AE5442" s="1050"/>
      <c r="AF5442" s="1052"/>
    </row>
    <row r="5443" spans="1:32" ht="15.75" x14ac:dyDescent="0.25">
      <c r="A5443" s="2017"/>
      <c r="B5443" s="2018"/>
      <c r="C5443" s="2018"/>
      <c r="D5443" s="2018"/>
      <c r="E5443" s="2018"/>
      <c r="F5443" s="2018"/>
      <c r="G5443" s="2018"/>
      <c r="H5443" s="2018"/>
      <c r="I5443" s="2018"/>
      <c r="J5443" s="2018"/>
      <c r="K5443" s="2018"/>
      <c r="L5443" s="2018"/>
      <c r="M5443" s="2018"/>
      <c r="N5443" s="2018"/>
      <c r="O5443" s="2018"/>
      <c r="P5443" s="2018"/>
      <c r="Q5443" s="2018"/>
      <c r="R5443" s="2018"/>
      <c r="S5443" s="2018"/>
      <c r="T5443" s="2018"/>
      <c r="U5443" s="2018"/>
      <c r="V5443" s="2018"/>
      <c r="W5443" s="2018"/>
      <c r="X5443" s="2018"/>
      <c r="Y5443" s="2018"/>
      <c r="Z5443" s="2022"/>
      <c r="AA5443" s="2022"/>
      <c r="AB5443" s="1050"/>
      <c r="AC5443" s="1050"/>
      <c r="AD5443" s="1050"/>
      <c r="AE5443" s="1050"/>
      <c r="AF5443" s="1052"/>
    </row>
    <row r="5444" spans="1:32" ht="15.75" x14ac:dyDescent="0.25">
      <c r="A5444" s="2017"/>
      <c r="B5444" s="2018"/>
      <c r="C5444" s="2018"/>
      <c r="D5444" s="2018"/>
      <c r="E5444" s="2018"/>
      <c r="F5444" s="2018"/>
      <c r="G5444" s="2018"/>
      <c r="H5444" s="2018"/>
      <c r="I5444" s="2018"/>
      <c r="J5444" s="2018"/>
      <c r="K5444" s="2018"/>
      <c r="L5444" s="2018"/>
      <c r="M5444" s="2018"/>
      <c r="N5444" s="2018"/>
      <c r="O5444" s="2018"/>
      <c r="P5444" s="2018"/>
      <c r="Q5444" s="2018"/>
      <c r="R5444" s="2018"/>
      <c r="S5444" s="2018"/>
      <c r="T5444" s="2018"/>
      <c r="U5444" s="2018"/>
      <c r="V5444" s="2018"/>
      <c r="W5444" s="2018"/>
      <c r="X5444" s="2018"/>
      <c r="Y5444" s="2018"/>
      <c r="Z5444" s="2023"/>
      <c r="AA5444" s="2023"/>
      <c r="AB5444" s="1050"/>
      <c r="AC5444" s="1050"/>
      <c r="AD5444" s="1050"/>
      <c r="AE5444" s="1050"/>
      <c r="AF5444" s="1052"/>
    </row>
    <row r="5445" spans="1:32" ht="15.75" x14ac:dyDescent="0.25">
      <c r="A5445" s="2017"/>
      <c r="B5445" s="2018"/>
      <c r="C5445" s="2018"/>
      <c r="D5445" s="2018"/>
      <c r="E5445" s="2018"/>
      <c r="F5445" s="2018"/>
      <c r="G5445" s="2018"/>
      <c r="H5445" s="2018"/>
      <c r="I5445" s="2018"/>
      <c r="J5445" s="2018"/>
      <c r="K5445" s="2018"/>
      <c r="L5445" s="2018"/>
      <c r="M5445" s="2018"/>
      <c r="N5445" s="2018"/>
      <c r="O5445" s="2018"/>
      <c r="P5445" s="2018"/>
      <c r="Q5445" s="2018"/>
      <c r="R5445" s="2018"/>
      <c r="S5445" s="2018"/>
      <c r="T5445" s="2018"/>
      <c r="U5445" s="2018"/>
      <c r="V5445" s="2018"/>
      <c r="W5445" s="2018"/>
      <c r="X5445" s="2018"/>
      <c r="Y5445" s="2018"/>
      <c r="Z5445" s="2023"/>
      <c r="AA5445" s="2023"/>
      <c r="AB5445" s="1050"/>
      <c r="AC5445" s="1050"/>
      <c r="AD5445" s="1050"/>
      <c r="AE5445" s="1050"/>
      <c r="AF5445" s="1052"/>
    </row>
    <row r="5446" spans="1:32" ht="15.75" x14ac:dyDescent="0.25">
      <c r="A5446" s="2017"/>
      <c r="B5446" s="2018"/>
      <c r="C5446" s="2018"/>
      <c r="D5446" s="2018"/>
      <c r="E5446" s="2018"/>
      <c r="F5446" s="2018"/>
      <c r="G5446" s="2018"/>
      <c r="H5446" s="2018"/>
      <c r="I5446" s="2018"/>
      <c r="J5446" s="2018"/>
      <c r="K5446" s="2018"/>
      <c r="L5446" s="2018"/>
      <c r="M5446" s="2018"/>
      <c r="N5446" s="2018"/>
      <c r="O5446" s="2018"/>
      <c r="P5446" s="2018"/>
      <c r="Q5446" s="2018"/>
      <c r="R5446" s="2018"/>
      <c r="S5446" s="2018"/>
      <c r="T5446" s="2018"/>
      <c r="U5446" s="2018"/>
      <c r="V5446" s="2018"/>
      <c r="W5446" s="2018"/>
      <c r="X5446" s="2018"/>
      <c r="Y5446" s="2018"/>
      <c r="Z5446" s="2023"/>
      <c r="AA5446" s="2023"/>
      <c r="AB5446" s="1050"/>
      <c r="AC5446" s="1050"/>
      <c r="AD5446" s="1050"/>
      <c r="AE5446" s="1050"/>
      <c r="AF5446" s="1052"/>
    </row>
    <row r="5447" spans="1:32" ht="15.75" x14ac:dyDescent="0.25">
      <c r="A5447" s="2017"/>
      <c r="B5447" s="2018"/>
      <c r="C5447" s="2018"/>
      <c r="D5447" s="2018"/>
      <c r="E5447" s="2018"/>
      <c r="F5447" s="2018"/>
      <c r="G5447" s="2018"/>
      <c r="H5447" s="2018"/>
      <c r="I5447" s="2018"/>
      <c r="J5447" s="2018"/>
      <c r="K5447" s="2018"/>
      <c r="L5447" s="2018"/>
      <c r="M5447" s="2018"/>
      <c r="N5447" s="2018"/>
      <c r="O5447" s="2018"/>
      <c r="P5447" s="2018"/>
      <c r="Q5447" s="2018"/>
      <c r="R5447" s="2018"/>
      <c r="S5447" s="2018"/>
      <c r="T5447" s="2018"/>
      <c r="U5447" s="2018"/>
      <c r="V5447" s="2018"/>
      <c r="W5447" s="2018"/>
      <c r="X5447" s="2018"/>
      <c r="Y5447" s="2018"/>
      <c r="Z5447" s="2023"/>
      <c r="AA5447" s="2023"/>
      <c r="AB5447" s="1050"/>
      <c r="AC5447" s="1050"/>
      <c r="AD5447" s="1050"/>
      <c r="AE5447" s="1050"/>
      <c r="AF5447" s="1052"/>
    </row>
    <row r="5448" spans="1:32" ht="15.75" x14ac:dyDescent="0.25">
      <c r="A5448" s="2017"/>
      <c r="B5448" s="2018"/>
      <c r="C5448" s="2018"/>
      <c r="D5448" s="2018"/>
      <c r="E5448" s="2018"/>
      <c r="F5448" s="2018"/>
      <c r="G5448" s="2018"/>
      <c r="H5448" s="2018"/>
      <c r="I5448" s="2018"/>
      <c r="J5448" s="2018"/>
      <c r="K5448" s="2018"/>
      <c r="L5448" s="2018"/>
      <c r="M5448" s="2018"/>
      <c r="N5448" s="2018"/>
      <c r="O5448" s="2018"/>
      <c r="P5448" s="2018"/>
      <c r="Q5448" s="2018"/>
      <c r="R5448" s="2018"/>
      <c r="S5448" s="2018"/>
      <c r="T5448" s="2018"/>
      <c r="U5448" s="2018"/>
      <c r="V5448" s="2018"/>
      <c r="W5448" s="2018"/>
      <c r="X5448" s="2018"/>
      <c r="Y5448" s="2018"/>
      <c r="Z5448" s="2023"/>
      <c r="AA5448" s="2023"/>
      <c r="AB5448" s="1050"/>
      <c r="AC5448" s="1050"/>
      <c r="AD5448" s="1050"/>
      <c r="AE5448" s="1050"/>
      <c r="AF5448" s="1052"/>
    </row>
    <row r="5449" spans="1:32" ht="15.75" x14ac:dyDescent="0.25">
      <c r="A5449" s="2017"/>
      <c r="B5449" s="2018"/>
      <c r="C5449" s="2018"/>
      <c r="D5449" s="2018"/>
      <c r="E5449" s="2018"/>
      <c r="F5449" s="2018"/>
      <c r="G5449" s="2018"/>
      <c r="H5449" s="2018"/>
      <c r="I5449" s="2018"/>
      <c r="J5449" s="2018"/>
      <c r="K5449" s="2018"/>
      <c r="L5449" s="2018"/>
      <c r="M5449" s="2018"/>
      <c r="N5449" s="2018"/>
      <c r="O5449" s="2018"/>
      <c r="P5449" s="2018"/>
      <c r="Q5449" s="2018"/>
      <c r="R5449" s="2018"/>
      <c r="S5449" s="2018"/>
      <c r="T5449" s="2018"/>
      <c r="U5449" s="2018"/>
      <c r="V5449" s="2018"/>
      <c r="W5449" s="2018"/>
      <c r="X5449" s="2018"/>
      <c r="Y5449" s="2018"/>
      <c r="Z5449" s="2023"/>
      <c r="AA5449" s="2023"/>
      <c r="AB5449" s="1050"/>
      <c r="AC5449" s="1050"/>
      <c r="AD5449" s="1050"/>
      <c r="AE5449" s="1050"/>
      <c r="AF5449" s="1052"/>
    </row>
    <row r="5450" spans="1:32" ht="16.5" thickBot="1" x14ac:dyDescent="0.3">
      <c r="A5450" s="2019"/>
      <c r="B5450" s="2020"/>
      <c r="C5450" s="2020"/>
      <c r="D5450" s="2020"/>
      <c r="E5450" s="2020"/>
      <c r="F5450" s="2020"/>
      <c r="G5450" s="2020"/>
      <c r="H5450" s="2020"/>
      <c r="I5450" s="2020"/>
      <c r="J5450" s="2020"/>
      <c r="K5450" s="2020"/>
      <c r="L5450" s="2020"/>
      <c r="M5450" s="2020"/>
      <c r="N5450" s="2020"/>
      <c r="O5450" s="2020"/>
      <c r="P5450" s="2020"/>
      <c r="Q5450" s="2020"/>
      <c r="R5450" s="2020"/>
      <c r="S5450" s="2020"/>
      <c r="T5450" s="2020"/>
      <c r="U5450" s="2020"/>
      <c r="V5450" s="2020"/>
      <c r="W5450" s="2020"/>
      <c r="X5450" s="2020"/>
      <c r="Y5450" s="2020"/>
      <c r="Z5450" s="2024"/>
      <c r="AA5450" s="2024"/>
      <c r="AB5450" s="1057"/>
      <c r="AC5450" s="1057"/>
      <c r="AD5450" s="1057"/>
      <c r="AE5450" s="1057"/>
      <c r="AF5450" s="1058"/>
    </row>
    <row r="5451" spans="1:32" ht="15.75" x14ac:dyDescent="0.25">
      <c r="A5451" s="2009" t="s">
        <v>1855</v>
      </c>
      <c r="B5451" s="2010"/>
      <c r="C5451" s="2010"/>
      <c r="D5451" s="2010"/>
      <c r="E5451" s="2010"/>
      <c r="F5451" s="2010"/>
      <c r="G5451" s="2010"/>
      <c r="H5451" s="2010"/>
      <c r="I5451" s="2010"/>
      <c r="J5451" s="2010"/>
      <c r="K5451" s="2010"/>
      <c r="L5451" s="2010"/>
      <c r="M5451" s="2010"/>
      <c r="N5451" s="2010"/>
      <c r="O5451" s="2010"/>
      <c r="P5451" s="2010"/>
      <c r="Q5451" s="2010"/>
      <c r="R5451" s="2010"/>
      <c r="S5451" s="2010"/>
      <c r="T5451" s="2010"/>
      <c r="U5451" s="2010"/>
      <c r="V5451" s="2010"/>
      <c r="W5451" s="2010"/>
      <c r="X5451" s="2010"/>
      <c r="Y5451" s="2010"/>
      <c r="Z5451" s="2013" t="s">
        <v>1850</v>
      </c>
      <c r="AA5451" s="2013"/>
      <c r="AB5451" s="2013"/>
      <c r="AC5451" s="2013"/>
      <c r="AD5451" s="2013"/>
      <c r="AE5451" s="2013"/>
      <c r="AF5451" s="1059">
        <f>SUM(AF5427:AF5450)</f>
        <v>4</v>
      </c>
    </row>
    <row r="5452" spans="1:32" ht="15.75" x14ac:dyDescent="0.25">
      <c r="A5452" s="2011"/>
      <c r="B5452" s="2012"/>
      <c r="C5452" s="2012"/>
      <c r="D5452" s="2012"/>
      <c r="E5452" s="2012"/>
      <c r="F5452" s="2012"/>
      <c r="G5452" s="2012"/>
      <c r="H5452" s="2012"/>
      <c r="I5452" s="2012"/>
      <c r="J5452" s="2012"/>
      <c r="K5452" s="2012"/>
      <c r="L5452" s="2012"/>
      <c r="M5452" s="2012"/>
      <c r="N5452" s="2012"/>
      <c r="O5452" s="2012"/>
      <c r="P5452" s="2012"/>
      <c r="Q5452" s="2012"/>
      <c r="R5452" s="2012"/>
      <c r="S5452" s="2012"/>
      <c r="T5452" s="2012"/>
      <c r="U5452" s="2012"/>
      <c r="V5452" s="2012"/>
      <c r="W5452" s="2012"/>
      <c r="X5452" s="2012"/>
      <c r="Y5452" s="2012"/>
      <c r="Z5452" s="2014" t="s">
        <v>1851</v>
      </c>
      <c r="AA5452" s="2014"/>
      <c r="AB5452" s="2014"/>
      <c r="AC5452" s="2014"/>
      <c r="AD5452" s="2014"/>
      <c r="AE5452" s="2014"/>
      <c r="AF5452" s="1060">
        <v>0</v>
      </c>
    </row>
    <row r="5453" spans="1:32" ht="15.75" x14ac:dyDescent="0.25">
      <c r="A5453" s="2011"/>
      <c r="B5453" s="2012"/>
      <c r="C5453" s="2012"/>
      <c r="D5453" s="2012"/>
      <c r="E5453" s="2012"/>
      <c r="F5453" s="2012"/>
      <c r="G5453" s="2012"/>
      <c r="H5453" s="2012"/>
      <c r="I5453" s="2012"/>
      <c r="J5453" s="2012"/>
      <c r="K5453" s="2012"/>
      <c r="L5453" s="2012"/>
      <c r="M5453" s="2012"/>
      <c r="N5453" s="2012"/>
      <c r="O5453" s="2012"/>
      <c r="P5453" s="2012"/>
      <c r="Q5453" s="2012"/>
      <c r="R5453" s="2012"/>
      <c r="S5453" s="2012"/>
      <c r="T5453" s="2012"/>
      <c r="U5453" s="2012"/>
      <c r="V5453" s="2012"/>
      <c r="W5453" s="2012"/>
      <c r="X5453" s="2012"/>
      <c r="Y5453" s="2012"/>
      <c r="Z5453" s="2015" t="s">
        <v>1833</v>
      </c>
      <c r="AA5453" s="2015"/>
      <c r="AB5453" s="2015"/>
      <c r="AC5453" s="2015"/>
      <c r="AD5453" s="2015"/>
      <c r="AE5453" s="2015"/>
      <c r="AF5453" s="1061">
        <f>SUM(AF5451:AF5452)</f>
        <v>4</v>
      </c>
    </row>
    <row r="5454" spans="1:32" x14ac:dyDescent="0.2">
      <c r="A5454" s="2012" t="s">
        <v>1859</v>
      </c>
      <c r="B5454" s="2012"/>
      <c r="C5454" s="2012"/>
      <c r="D5454" s="2012"/>
      <c r="E5454" s="2012"/>
      <c r="F5454" s="2012"/>
      <c r="G5454" s="2012"/>
      <c r="H5454" s="2012"/>
      <c r="I5454" s="2012"/>
      <c r="J5454" s="2012"/>
      <c r="K5454" s="2012"/>
      <c r="L5454" s="2012"/>
      <c r="M5454" s="2012"/>
      <c r="N5454" s="2012"/>
      <c r="O5454" s="2012"/>
      <c r="P5454" s="2012"/>
      <c r="Q5454" s="2012"/>
      <c r="R5454" s="2012"/>
      <c r="S5454" s="2012"/>
      <c r="T5454" s="2016" t="s">
        <v>1840</v>
      </c>
      <c r="U5454" s="2016"/>
      <c r="V5454" s="2016"/>
      <c r="W5454" s="2016"/>
      <c r="X5454" s="2016"/>
      <c r="Y5454" s="2016"/>
      <c r="Z5454" s="2016"/>
      <c r="AA5454" s="2016"/>
      <c r="AB5454" s="2012" t="s">
        <v>1852</v>
      </c>
      <c r="AC5454" s="2012"/>
      <c r="AD5454" s="2012"/>
      <c r="AE5454" s="2012"/>
      <c r="AF5454" s="2012"/>
    </row>
    <row r="5455" spans="1:32" x14ac:dyDescent="0.2">
      <c r="A5455" s="2012"/>
      <c r="B5455" s="2012"/>
      <c r="C5455" s="2012"/>
      <c r="D5455" s="2012"/>
      <c r="E5455" s="2012"/>
      <c r="F5455" s="2012"/>
      <c r="G5455" s="2012"/>
      <c r="H5455" s="2012"/>
      <c r="I5455" s="2012"/>
      <c r="J5455" s="2012"/>
      <c r="K5455" s="2012"/>
      <c r="L5455" s="2012"/>
      <c r="M5455" s="2012"/>
      <c r="N5455" s="2012"/>
      <c r="O5455" s="2012"/>
      <c r="P5455" s="2012"/>
      <c r="Q5455" s="2012"/>
      <c r="R5455" s="2012"/>
      <c r="S5455" s="2012"/>
      <c r="T5455" s="2016"/>
      <c r="U5455" s="2016"/>
      <c r="V5455" s="2016"/>
      <c r="W5455" s="2016"/>
      <c r="X5455" s="2016"/>
      <c r="Y5455" s="2016"/>
      <c r="Z5455" s="2016"/>
      <c r="AA5455" s="2016"/>
      <c r="AB5455" s="2012"/>
      <c r="AC5455" s="2012"/>
      <c r="AD5455" s="2012"/>
      <c r="AE5455" s="2012"/>
      <c r="AF5455" s="2012"/>
    </row>
    <row r="5456" spans="1:32" ht="13.5" thickBot="1" x14ac:dyDescent="0.25"/>
    <row r="5457" spans="1:32" ht="26.45" customHeight="1" x14ac:dyDescent="0.2">
      <c r="A5457" s="2025" t="s">
        <v>1854</v>
      </c>
      <c r="B5457" s="2026"/>
      <c r="C5457" s="2026"/>
      <c r="D5457" s="2026"/>
      <c r="E5457" s="2026"/>
      <c r="F5457" s="2026"/>
      <c r="G5457" s="2026"/>
      <c r="H5457" s="2026"/>
      <c r="I5457" s="2026"/>
      <c r="J5457" s="2026"/>
      <c r="K5457" s="2026"/>
      <c r="L5457" s="2026"/>
      <c r="M5457" s="2026"/>
      <c r="N5457" s="2026"/>
      <c r="O5457" s="2026"/>
      <c r="P5457" s="2026"/>
      <c r="Q5457" s="2026"/>
      <c r="R5457" s="2026"/>
      <c r="S5457" s="2026"/>
      <c r="T5457" s="2026"/>
      <c r="U5457" s="2026"/>
      <c r="V5457" s="2026"/>
      <c r="W5457" s="2026"/>
      <c r="X5457" s="2026"/>
      <c r="Y5457" s="2026"/>
      <c r="Z5457" s="2026"/>
      <c r="AA5457" s="2026"/>
      <c r="AB5457" s="2026"/>
      <c r="AC5457" s="2026"/>
      <c r="AD5457" s="2026"/>
      <c r="AE5457" s="1041" t="s">
        <v>1834</v>
      </c>
      <c r="AF5457" s="1042" t="s">
        <v>1835</v>
      </c>
    </row>
    <row r="5458" spans="1:32" ht="21" customHeight="1" thickBot="1" x14ac:dyDescent="0.25">
      <c r="A5458" s="2027"/>
      <c r="B5458" s="2028"/>
      <c r="C5458" s="2028"/>
      <c r="D5458" s="2028"/>
      <c r="E5458" s="2028"/>
      <c r="F5458" s="2028"/>
      <c r="G5458" s="2028"/>
      <c r="H5458" s="2028"/>
      <c r="I5458" s="2028"/>
      <c r="J5458" s="2028"/>
      <c r="K5458" s="2028"/>
      <c r="L5458" s="2028"/>
      <c r="M5458" s="2028"/>
      <c r="N5458" s="2028"/>
      <c r="O5458" s="2028"/>
      <c r="P5458" s="2028"/>
      <c r="Q5458" s="2028"/>
      <c r="R5458" s="2028"/>
      <c r="S5458" s="2028"/>
      <c r="T5458" s="2028"/>
      <c r="U5458" s="2028"/>
      <c r="V5458" s="2028"/>
      <c r="W5458" s="2028"/>
      <c r="X5458" s="2028"/>
      <c r="Y5458" s="2028"/>
      <c r="Z5458" s="2028"/>
      <c r="AA5458" s="2028"/>
      <c r="AB5458" s="2028"/>
      <c r="AC5458" s="2028"/>
      <c r="AD5458" s="2028"/>
      <c r="AE5458" s="1041" t="s">
        <v>1836</v>
      </c>
      <c r="AF5458" s="1044">
        <v>1</v>
      </c>
    </row>
    <row r="5459" spans="1:32" ht="15.75" x14ac:dyDescent="0.2">
      <c r="A5459" s="2029"/>
      <c r="B5459" s="2030"/>
      <c r="C5459" s="2030"/>
      <c r="D5459" s="2031"/>
      <c r="E5459" s="2025" t="str">
        <f>'01'!$A$12</f>
        <v>"CONSTRUCCION SISTEMA DE ACUEDUCTO FASE II DEL MUNICIPIO DE TESALIA DPTO DEL HUILA"</v>
      </c>
      <c r="F5459" s="2026"/>
      <c r="G5459" s="2026"/>
      <c r="H5459" s="2026"/>
      <c r="I5459" s="2026"/>
      <c r="J5459" s="2026"/>
      <c r="K5459" s="2026"/>
      <c r="L5459" s="2026"/>
      <c r="M5459" s="2026"/>
      <c r="N5459" s="2026"/>
      <c r="O5459" s="2026"/>
      <c r="P5459" s="2026"/>
      <c r="Q5459" s="2026"/>
      <c r="R5459" s="2026"/>
      <c r="S5459" s="2026"/>
      <c r="T5459" s="2026"/>
      <c r="U5459" s="2026"/>
      <c r="V5459" s="2026"/>
      <c r="W5459" s="2026"/>
      <c r="X5459" s="2026"/>
      <c r="Y5459" s="2026"/>
      <c r="Z5459" s="2026"/>
      <c r="AA5459" s="2026"/>
      <c r="AB5459" s="2026"/>
      <c r="AC5459" s="2026"/>
      <c r="AD5459" s="2035"/>
      <c r="AE5459" s="1041" t="s">
        <v>847</v>
      </c>
      <c r="AF5459" s="1045">
        <f>'01'!$M$13</f>
        <v>0</v>
      </c>
    </row>
    <row r="5460" spans="1:32" ht="16.5" thickBot="1" x14ac:dyDescent="0.25">
      <c r="A5460" s="2032"/>
      <c r="B5460" s="2033"/>
      <c r="C5460" s="2033"/>
      <c r="D5460" s="2034"/>
      <c r="E5460" s="2027"/>
      <c r="F5460" s="2028"/>
      <c r="G5460" s="2028"/>
      <c r="H5460" s="2028"/>
      <c r="I5460" s="2028"/>
      <c r="J5460" s="2028"/>
      <c r="K5460" s="2028"/>
      <c r="L5460" s="2028"/>
      <c r="M5460" s="2028"/>
      <c r="N5460" s="2028"/>
      <c r="O5460" s="2028"/>
      <c r="P5460" s="2028"/>
      <c r="Q5460" s="2028"/>
      <c r="R5460" s="2028"/>
      <c r="S5460" s="2028"/>
      <c r="T5460" s="2028"/>
      <c r="U5460" s="2028"/>
      <c r="V5460" s="2028"/>
      <c r="W5460" s="2028"/>
      <c r="X5460" s="2028"/>
      <c r="Y5460" s="2028"/>
      <c r="Z5460" s="2028"/>
      <c r="AA5460" s="2028"/>
      <c r="AB5460" s="2028"/>
      <c r="AC5460" s="2028"/>
      <c r="AD5460" s="2036"/>
      <c r="AE5460" s="1041" t="s">
        <v>1837</v>
      </c>
      <c r="AF5460" s="1042" t="s">
        <v>1838</v>
      </c>
    </row>
    <row r="5461" spans="1:32" ht="15.75" x14ac:dyDescent="0.25">
      <c r="A5461" s="2037" t="s">
        <v>1860</v>
      </c>
      <c r="B5461" s="2038"/>
      <c r="C5461" s="2038"/>
      <c r="D5461" s="2038"/>
      <c r="E5461" s="2038"/>
      <c r="F5461" s="2038"/>
      <c r="G5461" s="2038"/>
      <c r="H5461" s="2038"/>
      <c r="I5461" s="2038"/>
      <c r="J5461" s="2038"/>
      <c r="K5461" s="2038"/>
      <c r="L5461" s="2038"/>
      <c r="M5461" s="2038"/>
      <c r="N5461" s="2038"/>
      <c r="O5461" s="2038"/>
      <c r="P5461" s="2038"/>
      <c r="Q5461" s="2038"/>
      <c r="R5461" s="2038"/>
      <c r="S5461" s="2038"/>
      <c r="T5461" s="2038"/>
      <c r="U5461" s="2038"/>
      <c r="V5461" s="2038"/>
      <c r="W5461" s="2038"/>
      <c r="X5461" s="2038"/>
      <c r="Y5461" s="2038"/>
      <c r="Z5461" s="2038"/>
      <c r="AA5461" s="2038"/>
      <c r="AB5461" s="2038"/>
      <c r="AC5461" s="2038"/>
      <c r="AD5461" s="2038"/>
      <c r="AE5461" s="2039" t="s">
        <v>1839</v>
      </c>
      <c r="AF5461" s="2040"/>
    </row>
    <row r="5462" spans="1:32" ht="15.75" x14ac:dyDescent="0.25">
      <c r="A5462" s="2041" t="s">
        <v>1840</v>
      </c>
      <c r="B5462" s="2042"/>
      <c r="C5462" s="2042"/>
      <c r="D5462" s="2042"/>
      <c r="E5462" s="2042"/>
      <c r="F5462" s="2042"/>
      <c r="G5462" s="2042"/>
      <c r="H5462" s="2042"/>
      <c r="I5462" s="2042"/>
      <c r="J5462" s="2042"/>
      <c r="K5462" s="2042"/>
      <c r="L5462" s="2042"/>
      <c r="M5462" s="2042"/>
      <c r="N5462" s="2042"/>
      <c r="O5462" s="2042"/>
      <c r="P5462" s="2042"/>
      <c r="Q5462" s="2042"/>
      <c r="R5462" s="2042"/>
      <c r="S5462" s="2042"/>
      <c r="T5462" s="2042"/>
      <c r="U5462" s="2042"/>
      <c r="V5462" s="2042"/>
      <c r="W5462" s="2042"/>
      <c r="X5462" s="2042"/>
      <c r="Y5462" s="2042"/>
      <c r="Z5462" s="2042"/>
      <c r="AA5462" s="2042"/>
      <c r="AB5462" s="2042"/>
      <c r="AC5462" s="2042"/>
      <c r="AD5462" s="2043"/>
      <c r="AE5462" s="2014" t="s">
        <v>1841</v>
      </c>
      <c r="AF5462" s="2044"/>
    </row>
    <row r="5463" spans="1:32" ht="15.75" x14ac:dyDescent="0.25">
      <c r="A5463" s="2045" t="s">
        <v>1853</v>
      </c>
      <c r="B5463" s="2046"/>
      <c r="C5463" s="2046"/>
      <c r="D5463" s="2046"/>
      <c r="E5463" s="2046"/>
      <c r="F5463" s="2046"/>
      <c r="G5463" s="2046"/>
      <c r="H5463" s="2046"/>
      <c r="I5463" s="2046"/>
      <c r="J5463" s="2046"/>
      <c r="K5463" s="2046"/>
      <c r="L5463" s="2046"/>
      <c r="M5463" s="2046"/>
      <c r="N5463" s="2046"/>
      <c r="O5463" s="2046"/>
      <c r="P5463" s="2046"/>
      <c r="Q5463" s="2046"/>
      <c r="R5463" s="2046"/>
      <c r="S5463" s="2046"/>
      <c r="T5463" s="2046"/>
      <c r="U5463" s="2046"/>
      <c r="V5463" s="2046"/>
      <c r="W5463" s="2046"/>
      <c r="X5463" s="2046"/>
      <c r="Y5463" s="2046"/>
      <c r="Z5463" s="2046"/>
      <c r="AA5463" s="2046"/>
      <c r="AB5463" s="2046"/>
      <c r="AC5463" s="2046"/>
      <c r="AD5463" s="2046"/>
      <c r="AE5463" s="2047">
        <f>'01'!$M$13</f>
        <v>0</v>
      </c>
      <c r="AF5463" s="2044"/>
    </row>
    <row r="5464" spans="1:32" x14ac:dyDescent="0.2">
      <c r="A5464" s="1046"/>
      <c r="B5464" s="1047"/>
      <c r="C5464" s="1047"/>
      <c r="D5464" s="1047"/>
      <c r="E5464" s="1047"/>
      <c r="F5464" s="1047"/>
      <c r="G5464" s="1047"/>
      <c r="H5464" s="1047"/>
      <c r="I5464" s="1047"/>
      <c r="J5464" s="1047"/>
      <c r="K5464" s="1047"/>
      <c r="L5464" s="1047"/>
      <c r="M5464" s="1047"/>
      <c r="N5464" s="1047"/>
      <c r="O5464" s="1047"/>
      <c r="P5464" s="1047"/>
      <c r="Q5464" s="1047"/>
      <c r="R5464" s="1047"/>
      <c r="S5464" s="1047"/>
      <c r="T5464" s="1047"/>
      <c r="U5464" s="1047"/>
      <c r="V5464" s="1047"/>
      <c r="W5464" s="1047"/>
      <c r="X5464" s="1047"/>
      <c r="Y5464" s="1047"/>
      <c r="Z5464" s="1047"/>
      <c r="AA5464" s="1047"/>
      <c r="AB5464" s="1047"/>
      <c r="AC5464" s="1047"/>
      <c r="AD5464" s="1047"/>
      <c r="AE5464" s="1047"/>
      <c r="AF5464" s="1048"/>
    </row>
    <row r="5465" spans="1:32" ht="30" customHeight="1" x14ac:dyDescent="0.2">
      <c r="A5465" s="2048" t="s">
        <v>1842</v>
      </c>
      <c r="B5465" s="2049"/>
      <c r="C5465" s="2049"/>
      <c r="D5465" s="2049"/>
      <c r="E5465" s="2049"/>
      <c r="F5465" s="2050" t="str">
        <f>+'01'!$H$201</f>
        <v>H - TANQUE DE ALMACENAMIENTO</v>
      </c>
      <c r="G5465" s="2049"/>
      <c r="H5465" s="2049"/>
      <c r="I5465" s="2049"/>
      <c r="J5465" s="2049"/>
      <c r="K5465" s="2049"/>
      <c r="L5465" s="2049"/>
      <c r="M5465" s="2049"/>
      <c r="N5465" s="2049"/>
      <c r="O5465" s="2049"/>
      <c r="P5465" s="2049"/>
      <c r="Q5465" s="2049"/>
      <c r="R5465" s="2049"/>
      <c r="S5465" s="2049"/>
      <c r="T5465" s="2049"/>
      <c r="U5465" s="2049"/>
      <c r="V5465" s="2049"/>
      <c r="W5465" s="2049"/>
      <c r="X5465" s="2049"/>
      <c r="Y5465" s="2051"/>
      <c r="Z5465" s="2052" t="s">
        <v>1843</v>
      </c>
      <c r="AA5465" s="2053"/>
      <c r="AB5465" s="2058" t="s">
        <v>1844</v>
      </c>
      <c r="AC5465" s="2059"/>
      <c r="AD5465" s="2060"/>
      <c r="AE5465" s="2064" t="s">
        <v>1845</v>
      </c>
      <c r="AF5465" s="2067" t="s">
        <v>1846</v>
      </c>
    </row>
    <row r="5466" spans="1:32" ht="15" customHeight="1" x14ac:dyDescent="0.2">
      <c r="A5466" s="2070" t="str">
        <f>+'01'!A226</f>
        <v>H-08-06</v>
      </c>
      <c r="B5466" s="2071"/>
      <c r="C5466" s="2072"/>
      <c r="D5466" s="2076" t="str">
        <f>VLOOKUP(A5466,'01'!$A$12:$N$299,3,FALSE)</f>
        <v xml:space="preserve"> SUMINISTRO E INSTALACIÓN DE TEE HF DE 8"X8" EXTREMO BRIDAS PARA CONEXIÓN DE TUBERÍA PVC.</v>
      </c>
      <c r="E5466" s="2077"/>
      <c r="F5466" s="2077"/>
      <c r="G5466" s="2077"/>
      <c r="H5466" s="2077"/>
      <c r="I5466" s="2077"/>
      <c r="J5466" s="2077"/>
      <c r="K5466" s="2077"/>
      <c r="L5466" s="2077"/>
      <c r="M5466" s="2077"/>
      <c r="N5466" s="2077"/>
      <c r="O5466" s="2077"/>
      <c r="P5466" s="2077"/>
      <c r="Q5466" s="2077"/>
      <c r="R5466" s="2077"/>
      <c r="S5466" s="2078"/>
      <c r="T5466" s="2082" t="s">
        <v>124</v>
      </c>
      <c r="U5466" s="2083"/>
      <c r="V5466" s="2083"/>
      <c r="W5466" s="2083"/>
      <c r="X5466" s="2052" t="str">
        <f>VLOOKUP(A5466,'01'!$A$12:$N$299,9,FALSE)</f>
        <v>UND</v>
      </c>
      <c r="Y5466" s="2053"/>
      <c r="Z5466" s="2054"/>
      <c r="AA5466" s="2055"/>
      <c r="AB5466" s="2061"/>
      <c r="AC5466" s="2062"/>
      <c r="AD5466" s="2063"/>
      <c r="AE5466" s="2065"/>
      <c r="AF5466" s="2068"/>
    </row>
    <row r="5467" spans="1:32" ht="15" customHeight="1" x14ac:dyDescent="0.25">
      <c r="A5467" s="2073"/>
      <c r="B5467" s="2074"/>
      <c r="C5467" s="2075"/>
      <c r="D5467" s="2079"/>
      <c r="E5467" s="2080"/>
      <c r="F5467" s="2080"/>
      <c r="G5467" s="2080"/>
      <c r="H5467" s="2080"/>
      <c r="I5467" s="2080"/>
      <c r="J5467" s="2080"/>
      <c r="K5467" s="2080"/>
      <c r="L5467" s="2080"/>
      <c r="M5467" s="2080"/>
      <c r="N5467" s="2080"/>
      <c r="O5467" s="2080"/>
      <c r="P5467" s="2080"/>
      <c r="Q5467" s="2080"/>
      <c r="R5467" s="2080"/>
      <c r="S5467" s="2081"/>
      <c r="T5467" s="2084"/>
      <c r="U5467" s="2085"/>
      <c r="V5467" s="2085"/>
      <c r="W5467" s="2085"/>
      <c r="X5467" s="2056"/>
      <c r="Y5467" s="2057"/>
      <c r="Z5467" s="2056"/>
      <c r="AA5467" s="2057"/>
      <c r="AB5467" s="1049" t="s">
        <v>1847</v>
      </c>
      <c r="AC5467" s="1049" t="s">
        <v>1848</v>
      </c>
      <c r="AD5467" s="1049" t="s">
        <v>1861</v>
      </c>
      <c r="AE5467" s="2066"/>
      <c r="AF5467" s="2069"/>
    </row>
    <row r="5468" spans="1:32" ht="15.6" customHeight="1" x14ac:dyDescent="0.25">
      <c r="A5468" s="2017"/>
      <c r="B5468" s="2018"/>
      <c r="C5468" s="2018"/>
      <c r="D5468" s="2018"/>
      <c r="E5468" s="2018"/>
      <c r="F5468" s="2018"/>
      <c r="G5468" s="2018"/>
      <c r="H5468" s="2018"/>
      <c r="I5468" s="2018"/>
      <c r="J5468" s="2018"/>
      <c r="K5468" s="2018"/>
      <c r="L5468" s="2018"/>
      <c r="M5468" s="2018"/>
      <c r="N5468" s="2018"/>
      <c r="O5468" s="2018"/>
      <c r="P5468" s="2018"/>
      <c r="Q5468" s="2018"/>
      <c r="R5468" s="2018"/>
      <c r="S5468" s="2018"/>
      <c r="T5468" s="2018"/>
      <c r="U5468" s="2018"/>
      <c r="V5468" s="2018"/>
      <c r="W5468" s="2018"/>
      <c r="X5468" s="2018"/>
      <c r="Y5468" s="2018"/>
      <c r="Z5468" s="2021" t="s">
        <v>2521</v>
      </c>
      <c r="AA5468" s="2021"/>
      <c r="AB5468" s="1050"/>
      <c r="AC5468" s="1050"/>
      <c r="AD5468" s="1050"/>
      <c r="AE5468" s="1050">
        <v>0</v>
      </c>
      <c r="AF5468" s="1052">
        <f>+AE5468</f>
        <v>0</v>
      </c>
    </row>
    <row r="5469" spans="1:32" ht="15.6" customHeight="1" x14ac:dyDescent="0.25">
      <c r="A5469" s="2017"/>
      <c r="B5469" s="2018"/>
      <c r="C5469" s="2018"/>
      <c r="D5469" s="2018"/>
      <c r="E5469" s="2018"/>
      <c r="F5469" s="2018"/>
      <c r="G5469" s="2018"/>
      <c r="H5469" s="2018"/>
      <c r="I5469" s="2018"/>
      <c r="J5469" s="2018"/>
      <c r="K5469" s="2018"/>
      <c r="L5469" s="2018"/>
      <c r="M5469" s="2018"/>
      <c r="N5469" s="2018"/>
      <c r="O5469" s="2018"/>
      <c r="P5469" s="2018"/>
      <c r="Q5469" s="2018"/>
      <c r="R5469" s="2018"/>
      <c r="S5469" s="2018"/>
      <c r="T5469" s="2018"/>
      <c r="U5469" s="2018"/>
      <c r="V5469" s="2018"/>
      <c r="W5469" s="2018"/>
      <c r="X5469" s="2018"/>
      <c r="Y5469" s="2018"/>
      <c r="Z5469" s="2021" t="s">
        <v>2527</v>
      </c>
      <c r="AA5469" s="2021"/>
      <c r="AB5469" s="1050"/>
      <c r="AC5469" s="1050"/>
      <c r="AD5469" s="1050"/>
      <c r="AE5469" s="1050">
        <v>2</v>
      </c>
      <c r="AF5469" s="1052">
        <f t="shared" ref="AF5469:AF5472" si="76">+AE5469</f>
        <v>2</v>
      </c>
    </row>
    <row r="5470" spans="1:32" ht="15.75" x14ac:dyDescent="0.25">
      <c r="A5470" s="2017"/>
      <c r="B5470" s="2018"/>
      <c r="C5470" s="2018"/>
      <c r="D5470" s="2018"/>
      <c r="E5470" s="2018"/>
      <c r="F5470" s="2018"/>
      <c r="G5470" s="2018"/>
      <c r="H5470" s="2018"/>
      <c r="I5470" s="2018"/>
      <c r="J5470" s="2018"/>
      <c r="K5470" s="2018"/>
      <c r="L5470" s="2018"/>
      <c r="M5470" s="2018"/>
      <c r="N5470" s="2018"/>
      <c r="O5470" s="2018"/>
      <c r="P5470" s="2018"/>
      <c r="Q5470" s="2018"/>
      <c r="R5470" s="2018"/>
      <c r="S5470" s="2018"/>
      <c r="T5470" s="2018"/>
      <c r="U5470" s="2018"/>
      <c r="V5470" s="2018"/>
      <c r="W5470" s="2018"/>
      <c r="X5470" s="2018"/>
      <c r="Y5470" s="2018"/>
      <c r="Z5470" s="2021" t="s">
        <v>2495</v>
      </c>
      <c r="AA5470" s="2021"/>
      <c r="AB5470" s="1050"/>
      <c r="AC5470" s="1050"/>
      <c r="AD5470" s="1050"/>
      <c r="AE5470" s="1050">
        <v>3</v>
      </c>
      <c r="AF5470" s="1052">
        <f t="shared" si="76"/>
        <v>3</v>
      </c>
    </row>
    <row r="5471" spans="1:32" ht="15.75" x14ac:dyDescent="0.25">
      <c r="A5471" s="2017"/>
      <c r="B5471" s="2018"/>
      <c r="C5471" s="2018"/>
      <c r="D5471" s="2018"/>
      <c r="E5471" s="2018"/>
      <c r="F5471" s="2018"/>
      <c r="G5471" s="2018"/>
      <c r="H5471" s="2018"/>
      <c r="I5471" s="2018"/>
      <c r="J5471" s="2018"/>
      <c r="K5471" s="2018"/>
      <c r="L5471" s="2018"/>
      <c r="M5471" s="2018"/>
      <c r="N5471" s="2018"/>
      <c r="O5471" s="2018"/>
      <c r="P5471" s="2018"/>
      <c r="Q5471" s="2018"/>
      <c r="R5471" s="2018"/>
      <c r="S5471" s="2018"/>
      <c r="T5471" s="2018"/>
      <c r="U5471" s="2018"/>
      <c r="V5471" s="2018"/>
      <c r="W5471" s="2018"/>
      <c r="X5471" s="2018"/>
      <c r="Y5471" s="2018"/>
      <c r="Z5471" s="2021" t="s">
        <v>2460</v>
      </c>
      <c r="AA5471" s="2021"/>
      <c r="AB5471" s="1050"/>
      <c r="AC5471" s="1050"/>
      <c r="AD5471" s="1050"/>
      <c r="AE5471" s="1050">
        <v>3</v>
      </c>
      <c r="AF5471" s="1052">
        <f t="shared" si="76"/>
        <v>3</v>
      </c>
    </row>
    <row r="5472" spans="1:32" ht="15.6" customHeight="1" x14ac:dyDescent="0.25">
      <c r="A5472" s="2017"/>
      <c r="B5472" s="2018"/>
      <c r="C5472" s="2018"/>
      <c r="D5472" s="2018"/>
      <c r="E5472" s="2018"/>
      <c r="F5472" s="2018"/>
      <c r="G5472" s="2018"/>
      <c r="H5472" s="2018"/>
      <c r="I5472" s="2018"/>
      <c r="J5472" s="2018"/>
      <c r="K5472" s="2018"/>
      <c r="L5472" s="2018"/>
      <c r="M5472" s="2018"/>
      <c r="N5472" s="2018"/>
      <c r="O5472" s="2018"/>
      <c r="P5472" s="2018"/>
      <c r="Q5472" s="2018"/>
      <c r="R5472" s="2018"/>
      <c r="S5472" s="2018"/>
      <c r="T5472" s="2018"/>
      <c r="U5472" s="2018"/>
      <c r="V5472" s="2018"/>
      <c r="W5472" s="2018"/>
      <c r="X5472" s="2018"/>
      <c r="Y5472" s="2018"/>
      <c r="Z5472" s="2021" t="s">
        <v>2528</v>
      </c>
      <c r="AA5472" s="2021"/>
      <c r="AB5472" s="1050"/>
      <c r="AC5472" s="1050"/>
      <c r="AD5472" s="1050"/>
      <c r="AE5472" s="1050">
        <v>1</v>
      </c>
      <c r="AF5472" s="1052">
        <f t="shared" si="76"/>
        <v>1</v>
      </c>
    </row>
    <row r="5473" spans="1:32" ht="15.75" x14ac:dyDescent="0.25">
      <c r="A5473" s="2017"/>
      <c r="B5473" s="2018"/>
      <c r="C5473" s="2018"/>
      <c r="D5473" s="2018"/>
      <c r="E5473" s="2018"/>
      <c r="F5473" s="2018"/>
      <c r="G5473" s="2018"/>
      <c r="H5473" s="2018"/>
      <c r="I5473" s="2018"/>
      <c r="J5473" s="2018"/>
      <c r="K5473" s="2018"/>
      <c r="L5473" s="2018"/>
      <c r="M5473" s="2018"/>
      <c r="N5473" s="2018"/>
      <c r="O5473" s="2018"/>
      <c r="P5473" s="2018"/>
      <c r="Q5473" s="2018"/>
      <c r="R5473" s="2018"/>
      <c r="S5473" s="2018"/>
      <c r="T5473" s="2018"/>
      <c r="U5473" s="2018"/>
      <c r="V5473" s="2018"/>
      <c r="W5473" s="2018"/>
      <c r="X5473" s="2018"/>
      <c r="Y5473" s="2018"/>
      <c r="Z5473" s="2022"/>
      <c r="AA5473" s="2022"/>
      <c r="AB5473" s="1050"/>
      <c r="AC5473" s="1050"/>
      <c r="AD5473" s="1050"/>
      <c r="AE5473" s="1050"/>
      <c r="AF5473" s="1052"/>
    </row>
    <row r="5474" spans="1:32" ht="15.75" x14ac:dyDescent="0.25">
      <c r="A5474" s="2017"/>
      <c r="B5474" s="2018"/>
      <c r="C5474" s="2018"/>
      <c r="D5474" s="2018"/>
      <c r="E5474" s="2018"/>
      <c r="F5474" s="2018"/>
      <c r="G5474" s="2018"/>
      <c r="H5474" s="2018"/>
      <c r="I5474" s="2018"/>
      <c r="J5474" s="2018"/>
      <c r="K5474" s="2018"/>
      <c r="L5474" s="2018"/>
      <c r="M5474" s="2018"/>
      <c r="N5474" s="2018"/>
      <c r="O5474" s="2018"/>
      <c r="P5474" s="2018"/>
      <c r="Q5474" s="2018"/>
      <c r="R5474" s="2018"/>
      <c r="S5474" s="2018"/>
      <c r="T5474" s="2018"/>
      <c r="U5474" s="2018"/>
      <c r="V5474" s="2018"/>
      <c r="W5474" s="2018"/>
      <c r="X5474" s="2018"/>
      <c r="Y5474" s="2018"/>
      <c r="Z5474" s="2022"/>
      <c r="AA5474" s="2022"/>
      <c r="AB5474" s="1050"/>
      <c r="AC5474" s="1050"/>
      <c r="AD5474" s="1050"/>
      <c r="AE5474" s="1050"/>
      <c r="AF5474" s="1052"/>
    </row>
    <row r="5475" spans="1:32" ht="15.6" customHeight="1" x14ac:dyDescent="0.25">
      <c r="A5475" s="2017"/>
      <c r="B5475" s="2018"/>
      <c r="C5475" s="2018"/>
      <c r="D5475" s="2018"/>
      <c r="E5475" s="2018"/>
      <c r="F5475" s="2018"/>
      <c r="G5475" s="2018"/>
      <c r="H5475" s="2018"/>
      <c r="I5475" s="2018"/>
      <c r="J5475" s="2018"/>
      <c r="K5475" s="2018"/>
      <c r="L5475" s="2018"/>
      <c r="M5475" s="2018"/>
      <c r="N5475" s="2018"/>
      <c r="O5475" s="2018"/>
      <c r="P5475" s="2018"/>
      <c r="Q5475" s="2018"/>
      <c r="R5475" s="2018"/>
      <c r="S5475" s="2018"/>
      <c r="T5475" s="2018"/>
      <c r="U5475" s="2018"/>
      <c r="V5475" s="2018"/>
      <c r="W5475" s="2018"/>
      <c r="X5475" s="2018"/>
      <c r="Y5475" s="2018"/>
      <c r="Z5475" s="2022"/>
      <c r="AA5475" s="2022"/>
      <c r="AB5475" s="1050"/>
      <c r="AC5475" s="1050"/>
      <c r="AD5475" s="1050"/>
      <c r="AE5475" s="1050"/>
      <c r="AF5475" s="1052"/>
    </row>
    <row r="5476" spans="1:32" ht="15.75" x14ac:dyDescent="0.25">
      <c r="A5476" s="2017"/>
      <c r="B5476" s="2018"/>
      <c r="C5476" s="2018"/>
      <c r="D5476" s="2018"/>
      <c r="E5476" s="2018"/>
      <c r="F5476" s="2018"/>
      <c r="G5476" s="2018"/>
      <c r="H5476" s="2018"/>
      <c r="I5476" s="2018"/>
      <c r="J5476" s="2018"/>
      <c r="K5476" s="2018"/>
      <c r="L5476" s="2018"/>
      <c r="M5476" s="2018"/>
      <c r="N5476" s="2018"/>
      <c r="O5476" s="2018"/>
      <c r="P5476" s="2018"/>
      <c r="Q5476" s="2018"/>
      <c r="R5476" s="2018"/>
      <c r="S5476" s="2018"/>
      <c r="T5476" s="2018"/>
      <c r="U5476" s="2018"/>
      <c r="V5476" s="2018"/>
      <c r="W5476" s="2018"/>
      <c r="X5476" s="2018"/>
      <c r="Y5476" s="2018"/>
      <c r="Z5476" s="2022"/>
      <c r="AA5476" s="2022"/>
      <c r="AB5476" s="1050"/>
      <c r="AC5476" s="1050"/>
      <c r="AD5476" s="1050"/>
      <c r="AE5476" s="1050"/>
      <c r="AF5476" s="1052"/>
    </row>
    <row r="5477" spans="1:32" ht="15.75" x14ac:dyDescent="0.25">
      <c r="A5477" s="2017"/>
      <c r="B5477" s="2018"/>
      <c r="C5477" s="2018"/>
      <c r="D5477" s="2018"/>
      <c r="E5477" s="2018"/>
      <c r="F5477" s="2018"/>
      <c r="G5477" s="2018"/>
      <c r="H5477" s="2018"/>
      <c r="I5477" s="2018"/>
      <c r="J5477" s="2018"/>
      <c r="K5477" s="2018"/>
      <c r="L5477" s="2018"/>
      <c r="M5477" s="2018"/>
      <c r="N5477" s="2018"/>
      <c r="O5477" s="2018"/>
      <c r="P5477" s="2018"/>
      <c r="Q5477" s="2018"/>
      <c r="R5477" s="2018"/>
      <c r="S5477" s="2018"/>
      <c r="T5477" s="2018"/>
      <c r="U5477" s="2018"/>
      <c r="V5477" s="2018"/>
      <c r="W5477" s="2018"/>
      <c r="X5477" s="2018"/>
      <c r="Y5477" s="2018"/>
      <c r="Z5477" s="2022"/>
      <c r="AA5477" s="2022"/>
      <c r="AB5477" s="1050"/>
      <c r="AC5477" s="1050"/>
      <c r="AD5477" s="1050"/>
      <c r="AE5477" s="1050"/>
      <c r="AF5477" s="1052"/>
    </row>
    <row r="5478" spans="1:32" ht="15.75" x14ac:dyDescent="0.25">
      <c r="A5478" s="2017"/>
      <c r="B5478" s="2018"/>
      <c r="C5478" s="2018"/>
      <c r="D5478" s="2018"/>
      <c r="E5478" s="2018"/>
      <c r="F5478" s="2018"/>
      <c r="G5478" s="2018"/>
      <c r="H5478" s="2018"/>
      <c r="I5478" s="2018"/>
      <c r="J5478" s="2018"/>
      <c r="K5478" s="2018"/>
      <c r="L5478" s="2018"/>
      <c r="M5478" s="2018"/>
      <c r="N5478" s="2018"/>
      <c r="O5478" s="2018"/>
      <c r="P5478" s="2018"/>
      <c r="Q5478" s="2018"/>
      <c r="R5478" s="2018"/>
      <c r="S5478" s="2018"/>
      <c r="T5478" s="2018"/>
      <c r="U5478" s="2018"/>
      <c r="V5478" s="2018"/>
      <c r="W5478" s="2018"/>
      <c r="X5478" s="2018"/>
      <c r="Y5478" s="2018"/>
      <c r="Z5478" s="2022"/>
      <c r="AA5478" s="2022"/>
      <c r="AB5478" s="1050"/>
      <c r="AC5478" s="1050"/>
      <c r="AD5478" s="1050"/>
      <c r="AE5478" s="1050"/>
      <c r="AF5478" s="1052"/>
    </row>
    <row r="5479" spans="1:32" ht="15.6" customHeight="1" x14ac:dyDescent="0.25">
      <c r="A5479" s="2017"/>
      <c r="B5479" s="2018"/>
      <c r="C5479" s="2018"/>
      <c r="D5479" s="2018"/>
      <c r="E5479" s="2018"/>
      <c r="F5479" s="2018"/>
      <c r="G5479" s="2018"/>
      <c r="H5479" s="2018"/>
      <c r="I5479" s="2018"/>
      <c r="J5479" s="2018"/>
      <c r="K5479" s="2018"/>
      <c r="L5479" s="2018"/>
      <c r="M5479" s="2018"/>
      <c r="N5479" s="2018"/>
      <c r="O5479" s="2018"/>
      <c r="P5479" s="2018"/>
      <c r="Q5479" s="2018"/>
      <c r="R5479" s="2018"/>
      <c r="S5479" s="2018"/>
      <c r="T5479" s="2018"/>
      <c r="U5479" s="2018"/>
      <c r="V5479" s="2018"/>
      <c r="W5479" s="2018"/>
      <c r="X5479" s="2018"/>
      <c r="Y5479" s="2018"/>
      <c r="Z5479" s="2022"/>
      <c r="AA5479" s="2022"/>
      <c r="AB5479" s="1050"/>
      <c r="AC5479" s="1050"/>
      <c r="AD5479" s="1050"/>
      <c r="AE5479" s="1050"/>
      <c r="AF5479" s="1052"/>
    </row>
    <row r="5480" spans="1:32" ht="15.75" x14ac:dyDescent="0.25">
      <c r="A5480" s="2017"/>
      <c r="B5480" s="2018"/>
      <c r="C5480" s="2018"/>
      <c r="D5480" s="2018"/>
      <c r="E5480" s="2018"/>
      <c r="F5480" s="2018"/>
      <c r="G5480" s="2018"/>
      <c r="H5480" s="2018"/>
      <c r="I5480" s="2018"/>
      <c r="J5480" s="2018"/>
      <c r="K5480" s="2018"/>
      <c r="L5480" s="2018"/>
      <c r="M5480" s="2018"/>
      <c r="N5480" s="2018"/>
      <c r="O5480" s="2018"/>
      <c r="P5480" s="2018"/>
      <c r="Q5480" s="2018"/>
      <c r="R5480" s="2018"/>
      <c r="S5480" s="2018"/>
      <c r="T5480" s="2018"/>
      <c r="U5480" s="2018"/>
      <c r="V5480" s="2018"/>
      <c r="W5480" s="2018"/>
      <c r="X5480" s="2018"/>
      <c r="Y5480" s="2018"/>
      <c r="Z5480" s="2022"/>
      <c r="AA5480" s="2022"/>
      <c r="AB5480" s="1050"/>
      <c r="AC5480" s="1050"/>
      <c r="AD5480" s="1050"/>
      <c r="AE5480" s="1050"/>
      <c r="AF5480" s="1052"/>
    </row>
    <row r="5481" spans="1:32" ht="15.75" x14ac:dyDescent="0.25">
      <c r="A5481" s="2017"/>
      <c r="B5481" s="2018"/>
      <c r="C5481" s="2018"/>
      <c r="D5481" s="2018"/>
      <c r="E5481" s="2018"/>
      <c r="F5481" s="2018"/>
      <c r="G5481" s="2018"/>
      <c r="H5481" s="2018"/>
      <c r="I5481" s="2018"/>
      <c r="J5481" s="2018"/>
      <c r="K5481" s="2018"/>
      <c r="L5481" s="2018"/>
      <c r="M5481" s="2018"/>
      <c r="N5481" s="2018"/>
      <c r="O5481" s="2018"/>
      <c r="P5481" s="2018"/>
      <c r="Q5481" s="2018"/>
      <c r="R5481" s="2018"/>
      <c r="S5481" s="2018"/>
      <c r="T5481" s="2018"/>
      <c r="U5481" s="2018"/>
      <c r="V5481" s="2018"/>
      <c r="W5481" s="2018"/>
      <c r="X5481" s="2018"/>
      <c r="Y5481" s="2018"/>
      <c r="Z5481" s="2022"/>
      <c r="AA5481" s="2022"/>
      <c r="AB5481" s="1050"/>
      <c r="AC5481" s="1050"/>
      <c r="AD5481" s="1050"/>
      <c r="AE5481" s="1050"/>
      <c r="AF5481" s="1052"/>
    </row>
    <row r="5482" spans="1:32" ht="15.75" x14ac:dyDescent="0.25">
      <c r="A5482" s="2017"/>
      <c r="B5482" s="2018"/>
      <c r="C5482" s="2018"/>
      <c r="D5482" s="2018"/>
      <c r="E5482" s="2018"/>
      <c r="F5482" s="2018"/>
      <c r="G5482" s="2018"/>
      <c r="H5482" s="2018"/>
      <c r="I5482" s="2018"/>
      <c r="J5482" s="2018"/>
      <c r="K5482" s="2018"/>
      <c r="L5482" s="2018"/>
      <c r="M5482" s="2018"/>
      <c r="N5482" s="2018"/>
      <c r="O5482" s="2018"/>
      <c r="P5482" s="2018"/>
      <c r="Q5482" s="2018"/>
      <c r="R5482" s="2018"/>
      <c r="S5482" s="2018"/>
      <c r="T5482" s="2018"/>
      <c r="U5482" s="2018"/>
      <c r="V5482" s="2018"/>
      <c r="W5482" s="2018"/>
      <c r="X5482" s="2018"/>
      <c r="Y5482" s="2018"/>
      <c r="Z5482" s="2022"/>
      <c r="AA5482" s="2022"/>
      <c r="AB5482" s="1050"/>
      <c r="AC5482" s="1050"/>
      <c r="AD5482" s="1050"/>
      <c r="AE5482" s="1050"/>
      <c r="AF5482" s="1052"/>
    </row>
    <row r="5483" spans="1:32" ht="15.75" x14ac:dyDescent="0.25">
      <c r="A5483" s="2017"/>
      <c r="B5483" s="2018"/>
      <c r="C5483" s="2018"/>
      <c r="D5483" s="2018"/>
      <c r="E5483" s="2018"/>
      <c r="F5483" s="2018"/>
      <c r="G5483" s="2018"/>
      <c r="H5483" s="2018"/>
      <c r="I5483" s="2018"/>
      <c r="J5483" s="2018"/>
      <c r="K5483" s="2018"/>
      <c r="L5483" s="2018"/>
      <c r="M5483" s="2018"/>
      <c r="N5483" s="2018"/>
      <c r="O5483" s="2018"/>
      <c r="P5483" s="2018"/>
      <c r="Q5483" s="2018"/>
      <c r="R5483" s="2018"/>
      <c r="S5483" s="2018"/>
      <c r="T5483" s="2018"/>
      <c r="U5483" s="2018"/>
      <c r="V5483" s="2018"/>
      <c r="W5483" s="2018"/>
      <c r="X5483" s="2018"/>
      <c r="Y5483" s="2018"/>
      <c r="Z5483" s="2022"/>
      <c r="AA5483" s="2022"/>
      <c r="AB5483" s="1050"/>
      <c r="AC5483" s="1050"/>
      <c r="AD5483" s="1050"/>
      <c r="AE5483" s="1050"/>
      <c r="AF5483" s="1052"/>
    </row>
    <row r="5484" spans="1:32" ht="15.75" x14ac:dyDescent="0.25">
      <c r="A5484" s="2017"/>
      <c r="B5484" s="2018"/>
      <c r="C5484" s="2018"/>
      <c r="D5484" s="2018"/>
      <c r="E5484" s="2018"/>
      <c r="F5484" s="2018"/>
      <c r="G5484" s="2018"/>
      <c r="H5484" s="2018"/>
      <c r="I5484" s="2018"/>
      <c r="J5484" s="2018"/>
      <c r="K5484" s="2018"/>
      <c r="L5484" s="2018"/>
      <c r="M5484" s="2018"/>
      <c r="N5484" s="2018"/>
      <c r="O5484" s="2018"/>
      <c r="P5484" s="2018"/>
      <c r="Q5484" s="2018"/>
      <c r="R5484" s="2018"/>
      <c r="S5484" s="2018"/>
      <c r="T5484" s="2018"/>
      <c r="U5484" s="2018"/>
      <c r="V5484" s="2018"/>
      <c r="W5484" s="2018"/>
      <c r="X5484" s="2018"/>
      <c r="Y5484" s="2018"/>
      <c r="Z5484" s="2022"/>
      <c r="AA5484" s="2022"/>
      <c r="AB5484" s="1050"/>
      <c r="AC5484" s="1050"/>
      <c r="AD5484" s="1050"/>
      <c r="AE5484" s="1050"/>
      <c r="AF5484" s="1052"/>
    </row>
    <row r="5485" spans="1:32" ht="15.75" x14ac:dyDescent="0.25">
      <c r="A5485" s="2017"/>
      <c r="B5485" s="2018"/>
      <c r="C5485" s="2018"/>
      <c r="D5485" s="2018"/>
      <c r="E5485" s="2018"/>
      <c r="F5485" s="2018"/>
      <c r="G5485" s="2018"/>
      <c r="H5485" s="2018"/>
      <c r="I5485" s="2018"/>
      <c r="J5485" s="2018"/>
      <c r="K5485" s="2018"/>
      <c r="L5485" s="2018"/>
      <c r="M5485" s="2018"/>
      <c r="N5485" s="2018"/>
      <c r="O5485" s="2018"/>
      <c r="P5485" s="2018"/>
      <c r="Q5485" s="2018"/>
      <c r="R5485" s="2018"/>
      <c r="S5485" s="2018"/>
      <c r="T5485" s="2018"/>
      <c r="U5485" s="2018"/>
      <c r="V5485" s="2018"/>
      <c r="W5485" s="2018"/>
      <c r="X5485" s="2018"/>
      <c r="Y5485" s="2018"/>
      <c r="Z5485" s="2023"/>
      <c r="AA5485" s="2023"/>
      <c r="AB5485" s="1050"/>
      <c r="AC5485" s="1050"/>
      <c r="AD5485" s="1050"/>
      <c r="AE5485" s="1050"/>
      <c r="AF5485" s="1052"/>
    </row>
    <row r="5486" spans="1:32" ht="15.75" x14ac:dyDescent="0.25">
      <c r="A5486" s="2017"/>
      <c r="B5486" s="2018"/>
      <c r="C5486" s="2018"/>
      <c r="D5486" s="2018"/>
      <c r="E5486" s="2018"/>
      <c r="F5486" s="2018"/>
      <c r="G5486" s="2018"/>
      <c r="H5486" s="2018"/>
      <c r="I5486" s="2018"/>
      <c r="J5486" s="2018"/>
      <c r="K5486" s="2018"/>
      <c r="L5486" s="2018"/>
      <c r="M5486" s="2018"/>
      <c r="N5486" s="2018"/>
      <c r="O5486" s="2018"/>
      <c r="P5486" s="2018"/>
      <c r="Q5486" s="2018"/>
      <c r="R5486" s="2018"/>
      <c r="S5486" s="2018"/>
      <c r="T5486" s="2018"/>
      <c r="U5486" s="2018"/>
      <c r="V5486" s="2018"/>
      <c r="W5486" s="2018"/>
      <c r="X5486" s="2018"/>
      <c r="Y5486" s="2018"/>
      <c r="Z5486" s="2023"/>
      <c r="AA5486" s="2023"/>
      <c r="AB5486" s="1050"/>
      <c r="AC5486" s="1050"/>
      <c r="AD5486" s="1050"/>
      <c r="AE5486" s="1050"/>
      <c r="AF5486" s="1052"/>
    </row>
    <row r="5487" spans="1:32" ht="15.75" x14ac:dyDescent="0.25">
      <c r="A5487" s="2017"/>
      <c r="B5487" s="2018"/>
      <c r="C5487" s="2018"/>
      <c r="D5487" s="2018"/>
      <c r="E5487" s="2018"/>
      <c r="F5487" s="2018"/>
      <c r="G5487" s="2018"/>
      <c r="H5487" s="2018"/>
      <c r="I5487" s="2018"/>
      <c r="J5487" s="2018"/>
      <c r="K5487" s="2018"/>
      <c r="L5487" s="2018"/>
      <c r="M5487" s="2018"/>
      <c r="N5487" s="2018"/>
      <c r="O5487" s="2018"/>
      <c r="P5487" s="2018"/>
      <c r="Q5487" s="2018"/>
      <c r="R5487" s="2018"/>
      <c r="S5487" s="2018"/>
      <c r="T5487" s="2018"/>
      <c r="U5487" s="2018"/>
      <c r="V5487" s="2018"/>
      <c r="W5487" s="2018"/>
      <c r="X5487" s="2018"/>
      <c r="Y5487" s="2018"/>
      <c r="Z5487" s="2023"/>
      <c r="AA5487" s="2023"/>
      <c r="AB5487" s="1050"/>
      <c r="AC5487" s="1050"/>
      <c r="AD5487" s="1050"/>
      <c r="AE5487" s="1050"/>
      <c r="AF5487" s="1052"/>
    </row>
    <row r="5488" spans="1:32" ht="15.75" x14ac:dyDescent="0.25">
      <c r="A5488" s="2017"/>
      <c r="B5488" s="2018"/>
      <c r="C5488" s="2018"/>
      <c r="D5488" s="2018"/>
      <c r="E5488" s="2018"/>
      <c r="F5488" s="2018"/>
      <c r="G5488" s="2018"/>
      <c r="H5488" s="2018"/>
      <c r="I5488" s="2018"/>
      <c r="J5488" s="2018"/>
      <c r="K5488" s="2018"/>
      <c r="L5488" s="2018"/>
      <c r="M5488" s="2018"/>
      <c r="N5488" s="2018"/>
      <c r="O5488" s="2018"/>
      <c r="P5488" s="2018"/>
      <c r="Q5488" s="2018"/>
      <c r="R5488" s="2018"/>
      <c r="S5488" s="2018"/>
      <c r="T5488" s="2018"/>
      <c r="U5488" s="2018"/>
      <c r="V5488" s="2018"/>
      <c r="W5488" s="2018"/>
      <c r="X5488" s="2018"/>
      <c r="Y5488" s="2018"/>
      <c r="Z5488" s="2023"/>
      <c r="AA5488" s="2023"/>
      <c r="AB5488" s="1050"/>
      <c r="AC5488" s="1050"/>
      <c r="AD5488" s="1050"/>
      <c r="AE5488" s="1050"/>
      <c r="AF5488" s="1052"/>
    </row>
    <row r="5489" spans="1:32" ht="15.75" x14ac:dyDescent="0.25">
      <c r="A5489" s="2017"/>
      <c r="B5489" s="2018"/>
      <c r="C5489" s="2018"/>
      <c r="D5489" s="2018"/>
      <c r="E5489" s="2018"/>
      <c r="F5489" s="2018"/>
      <c r="G5489" s="2018"/>
      <c r="H5489" s="2018"/>
      <c r="I5489" s="2018"/>
      <c r="J5489" s="2018"/>
      <c r="K5489" s="2018"/>
      <c r="L5489" s="2018"/>
      <c r="M5489" s="2018"/>
      <c r="N5489" s="2018"/>
      <c r="O5489" s="2018"/>
      <c r="P5489" s="2018"/>
      <c r="Q5489" s="2018"/>
      <c r="R5489" s="2018"/>
      <c r="S5489" s="2018"/>
      <c r="T5489" s="2018"/>
      <c r="U5489" s="2018"/>
      <c r="V5489" s="2018"/>
      <c r="W5489" s="2018"/>
      <c r="X5489" s="2018"/>
      <c r="Y5489" s="2018"/>
      <c r="Z5489" s="2023"/>
      <c r="AA5489" s="2023"/>
      <c r="AB5489" s="1050"/>
      <c r="AC5489" s="1050"/>
      <c r="AD5489" s="1050"/>
      <c r="AE5489" s="1050"/>
      <c r="AF5489" s="1052"/>
    </row>
    <row r="5490" spans="1:32" ht="15.75" x14ac:dyDescent="0.25">
      <c r="A5490" s="2017"/>
      <c r="B5490" s="2018"/>
      <c r="C5490" s="2018"/>
      <c r="D5490" s="2018"/>
      <c r="E5490" s="2018"/>
      <c r="F5490" s="2018"/>
      <c r="G5490" s="2018"/>
      <c r="H5490" s="2018"/>
      <c r="I5490" s="2018"/>
      <c r="J5490" s="2018"/>
      <c r="K5490" s="2018"/>
      <c r="L5490" s="2018"/>
      <c r="M5490" s="2018"/>
      <c r="N5490" s="2018"/>
      <c r="O5490" s="2018"/>
      <c r="P5490" s="2018"/>
      <c r="Q5490" s="2018"/>
      <c r="R5490" s="2018"/>
      <c r="S5490" s="2018"/>
      <c r="T5490" s="2018"/>
      <c r="U5490" s="2018"/>
      <c r="V5490" s="2018"/>
      <c r="W5490" s="2018"/>
      <c r="X5490" s="2018"/>
      <c r="Y5490" s="2018"/>
      <c r="Z5490" s="2023"/>
      <c r="AA5490" s="2023"/>
      <c r="AB5490" s="1050"/>
      <c r="AC5490" s="1050"/>
      <c r="AD5490" s="1050"/>
      <c r="AE5490" s="1050"/>
      <c r="AF5490" s="1052"/>
    </row>
    <row r="5491" spans="1:32" ht="16.5" thickBot="1" x14ac:dyDescent="0.3">
      <c r="A5491" s="2019"/>
      <c r="B5491" s="2020"/>
      <c r="C5491" s="2020"/>
      <c r="D5491" s="2020"/>
      <c r="E5491" s="2020"/>
      <c r="F5491" s="2020"/>
      <c r="G5491" s="2020"/>
      <c r="H5491" s="2020"/>
      <c r="I5491" s="2020"/>
      <c r="J5491" s="2020"/>
      <c r="K5491" s="2020"/>
      <c r="L5491" s="2020"/>
      <c r="M5491" s="2020"/>
      <c r="N5491" s="2020"/>
      <c r="O5491" s="2020"/>
      <c r="P5491" s="2020"/>
      <c r="Q5491" s="2020"/>
      <c r="R5491" s="2020"/>
      <c r="S5491" s="2020"/>
      <c r="T5491" s="2020"/>
      <c r="U5491" s="2020"/>
      <c r="V5491" s="2020"/>
      <c r="W5491" s="2020"/>
      <c r="X5491" s="2020"/>
      <c r="Y5491" s="2020"/>
      <c r="Z5491" s="2024"/>
      <c r="AA5491" s="2024"/>
      <c r="AB5491" s="1057"/>
      <c r="AC5491" s="1057"/>
      <c r="AD5491" s="1057"/>
      <c r="AE5491" s="1057"/>
      <c r="AF5491" s="1058"/>
    </row>
    <row r="5492" spans="1:32" ht="15.75" x14ac:dyDescent="0.25">
      <c r="A5492" s="2009" t="s">
        <v>1855</v>
      </c>
      <c r="B5492" s="2010"/>
      <c r="C5492" s="2010"/>
      <c r="D5492" s="2010"/>
      <c r="E5492" s="2010"/>
      <c r="F5492" s="2010"/>
      <c r="G5492" s="2010"/>
      <c r="H5492" s="2010"/>
      <c r="I5492" s="2010"/>
      <c r="J5492" s="2010"/>
      <c r="K5492" s="2010"/>
      <c r="L5492" s="2010"/>
      <c r="M5492" s="2010"/>
      <c r="N5492" s="2010"/>
      <c r="O5492" s="2010"/>
      <c r="P5492" s="2010"/>
      <c r="Q5492" s="2010"/>
      <c r="R5492" s="2010"/>
      <c r="S5492" s="2010"/>
      <c r="T5492" s="2010"/>
      <c r="U5492" s="2010"/>
      <c r="V5492" s="2010"/>
      <c r="W5492" s="2010"/>
      <c r="X5492" s="2010"/>
      <c r="Y5492" s="2010"/>
      <c r="Z5492" s="2013" t="s">
        <v>1850</v>
      </c>
      <c r="AA5492" s="2013"/>
      <c r="AB5492" s="2013"/>
      <c r="AC5492" s="2013"/>
      <c r="AD5492" s="2013"/>
      <c r="AE5492" s="2013"/>
      <c r="AF5492" s="1059">
        <f>SUM(AF5468:AF5491)</f>
        <v>9</v>
      </c>
    </row>
    <row r="5493" spans="1:32" ht="15.75" x14ac:dyDescent="0.25">
      <c r="A5493" s="2011"/>
      <c r="B5493" s="2012"/>
      <c r="C5493" s="2012"/>
      <c r="D5493" s="2012"/>
      <c r="E5493" s="2012"/>
      <c r="F5493" s="2012"/>
      <c r="G5493" s="2012"/>
      <c r="H5493" s="2012"/>
      <c r="I5493" s="2012"/>
      <c r="J5493" s="2012"/>
      <c r="K5493" s="2012"/>
      <c r="L5493" s="2012"/>
      <c r="M5493" s="2012"/>
      <c r="N5493" s="2012"/>
      <c r="O5493" s="2012"/>
      <c r="P5493" s="2012"/>
      <c r="Q5493" s="2012"/>
      <c r="R5493" s="2012"/>
      <c r="S5493" s="2012"/>
      <c r="T5493" s="2012"/>
      <c r="U5493" s="2012"/>
      <c r="V5493" s="2012"/>
      <c r="W5493" s="2012"/>
      <c r="X5493" s="2012"/>
      <c r="Y5493" s="2012"/>
      <c r="Z5493" s="2014" t="s">
        <v>1851</v>
      </c>
      <c r="AA5493" s="2014"/>
      <c r="AB5493" s="2014"/>
      <c r="AC5493" s="2014"/>
      <c r="AD5493" s="2014"/>
      <c r="AE5493" s="2014"/>
      <c r="AF5493" s="1060">
        <v>0</v>
      </c>
    </row>
    <row r="5494" spans="1:32" ht="15.75" x14ac:dyDescent="0.25">
      <c r="A5494" s="2011"/>
      <c r="B5494" s="2012"/>
      <c r="C5494" s="2012"/>
      <c r="D5494" s="2012"/>
      <c r="E5494" s="2012"/>
      <c r="F5494" s="2012"/>
      <c r="G5494" s="2012"/>
      <c r="H5494" s="2012"/>
      <c r="I5494" s="2012"/>
      <c r="J5494" s="2012"/>
      <c r="K5494" s="2012"/>
      <c r="L5494" s="2012"/>
      <c r="M5494" s="2012"/>
      <c r="N5494" s="2012"/>
      <c r="O5494" s="2012"/>
      <c r="P5494" s="2012"/>
      <c r="Q5494" s="2012"/>
      <c r="R5494" s="2012"/>
      <c r="S5494" s="2012"/>
      <c r="T5494" s="2012"/>
      <c r="U5494" s="2012"/>
      <c r="V5494" s="2012"/>
      <c r="W5494" s="2012"/>
      <c r="X5494" s="2012"/>
      <c r="Y5494" s="2012"/>
      <c r="Z5494" s="2015" t="s">
        <v>1833</v>
      </c>
      <c r="AA5494" s="2015"/>
      <c r="AB5494" s="2015"/>
      <c r="AC5494" s="2015"/>
      <c r="AD5494" s="2015"/>
      <c r="AE5494" s="2015"/>
      <c r="AF5494" s="1061">
        <f>SUM(AF5492:AF5493)</f>
        <v>9</v>
      </c>
    </row>
    <row r="5495" spans="1:32" x14ac:dyDescent="0.2">
      <c r="A5495" s="2012" t="s">
        <v>1859</v>
      </c>
      <c r="B5495" s="2012"/>
      <c r="C5495" s="2012"/>
      <c r="D5495" s="2012"/>
      <c r="E5495" s="2012"/>
      <c r="F5495" s="2012"/>
      <c r="G5495" s="2012"/>
      <c r="H5495" s="2012"/>
      <c r="I5495" s="2012"/>
      <c r="J5495" s="2012"/>
      <c r="K5495" s="2012"/>
      <c r="L5495" s="2012"/>
      <c r="M5495" s="2012"/>
      <c r="N5495" s="2012"/>
      <c r="O5495" s="2012"/>
      <c r="P5495" s="2012"/>
      <c r="Q5495" s="2012"/>
      <c r="R5495" s="2012"/>
      <c r="S5495" s="2012"/>
      <c r="T5495" s="2016" t="s">
        <v>1840</v>
      </c>
      <c r="U5495" s="2016"/>
      <c r="V5495" s="2016"/>
      <c r="W5495" s="2016"/>
      <c r="X5495" s="2016"/>
      <c r="Y5495" s="2016"/>
      <c r="Z5495" s="2016"/>
      <c r="AA5495" s="2016"/>
      <c r="AB5495" s="2012" t="s">
        <v>1852</v>
      </c>
      <c r="AC5495" s="2012"/>
      <c r="AD5495" s="2012"/>
      <c r="AE5495" s="2012"/>
      <c r="AF5495" s="2012"/>
    </row>
    <row r="5496" spans="1:32" x14ac:dyDescent="0.2">
      <c r="A5496" s="2012"/>
      <c r="B5496" s="2012"/>
      <c r="C5496" s="2012"/>
      <c r="D5496" s="2012"/>
      <c r="E5496" s="2012"/>
      <c r="F5496" s="2012"/>
      <c r="G5496" s="2012"/>
      <c r="H5496" s="2012"/>
      <c r="I5496" s="2012"/>
      <c r="J5496" s="2012"/>
      <c r="K5496" s="2012"/>
      <c r="L5496" s="2012"/>
      <c r="M5496" s="2012"/>
      <c r="N5496" s="2012"/>
      <c r="O5496" s="2012"/>
      <c r="P5496" s="2012"/>
      <c r="Q5496" s="2012"/>
      <c r="R5496" s="2012"/>
      <c r="S5496" s="2012"/>
      <c r="T5496" s="2016"/>
      <c r="U5496" s="2016"/>
      <c r="V5496" s="2016"/>
      <c r="W5496" s="2016"/>
      <c r="X5496" s="2016"/>
      <c r="Y5496" s="2016"/>
      <c r="Z5496" s="2016"/>
      <c r="AA5496" s="2016"/>
      <c r="AB5496" s="2012"/>
      <c r="AC5496" s="2012"/>
      <c r="AD5496" s="2012"/>
      <c r="AE5496" s="2012"/>
      <c r="AF5496" s="2012"/>
    </row>
    <row r="5497" spans="1:32" ht="13.5" thickBot="1" x14ac:dyDescent="0.25"/>
    <row r="5498" spans="1:32" ht="26.45" customHeight="1" x14ac:dyDescent="0.2">
      <c r="A5498" s="2025" t="s">
        <v>1854</v>
      </c>
      <c r="B5498" s="2026"/>
      <c r="C5498" s="2026"/>
      <c r="D5498" s="2026"/>
      <c r="E5498" s="2026"/>
      <c r="F5498" s="2026"/>
      <c r="G5498" s="2026"/>
      <c r="H5498" s="2026"/>
      <c r="I5498" s="2026"/>
      <c r="J5498" s="2026"/>
      <c r="K5498" s="2026"/>
      <c r="L5498" s="2026"/>
      <c r="M5498" s="2026"/>
      <c r="N5498" s="2026"/>
      <c r="O5498" s="2026"/>
      <c r="P5498" s="2026"/>
      <c r="Q5498" s="2026"/>
      <c r="R5498" s="2026"/>
      <c r="S5498" s="2026"/>
      <c r="T5498" s="2026"/>
      <c r="U5498" s="2026"/>
      <c r="V5498" s="2026"/>
      <c r="W5498" s="2026"/>
      <c r="X5498" s="2026"/>
      <c r="Y5498" s="2026"/>
      <c r="Z5498" s="2026"/>
      <c r="AA5498" s="2026"/>
      <c r="AB5498" s="2026"/>
      <c r="AC5498" s="2026"/>
      <c r="AD5498" s="2026"/>
      <c r="AE5498" s="1041" t="s">
        <v>1834</v>
      </c>
      <c r="AF5498" s="1042" t="s">
        <v>1835</v>
      </c>
    </row>
    <row r="5499" spans="1:32" ht="21" customHeight="1" thickBot="1" x14ac:dyDescent="0.25">
      <c r="A5499" s="2027"/>
      <c r="B5499" s="2028"/>
      <c r="C5499" s="2028"/>
      <c r="D5499" s="2028"/>
      <c r="E5499" s="2028"/>
      <c r="F5499" s="2028"/>
      <c r="G5499" s="2028"/>
      <c r="H5499" s="2028"/>
      <c r="I5499" s="2028"/>
      <c r="J5499" s="2028"/>
      <c r="K5499" s="2028"/>
      <c r="L5499" s="2028"/>
      <c r="M5499" s="2028"/>
      <c r="N5499" s="2028"/>
      <c r="O5499" s="2028"/>
      <c r="P5499" s="2028"/>
      <c r="Q5499" s="2028"/>
      <c r="R5499" s="2028"/>
      <c r="S5499" s="2028"/>
      <c r="T5499" s="2028"/>
      <c r="U5499" s="2028"/>
      <c r="V5499" s="2028"/>
      <c r="W5499" s="2028"/>
      <c r="X5499" s="2028"/>
      <c r="Y5499" s="2028"/>
      <c r="Z5499" s="2028"/>
      <c r="AA5499" s="2028"/>
      <c r="AB5499" s="2028"/>
      <c r="AC5499" s="2028"/>
      <c r="AD5499" s="2028"/>
      <c r="AE5499" s="1041" t="s">
        <v>1836</v>
      </c>
      <c r="AF5499" s="1044">
        <v>1</v>
      </c>
    </row>
    <row r="5500" spans="1:32" ht="15.75" x14ac:dyDescent="0.2">
      <c r="A5500" s="2029"/>
      <c r="B5500" s="2030"/>
      <c r="C5500" s="2030"/>
      <c r="D5500" s="2031"/>
      <c r="E5500" s="2025" t="str">
        <f>'01'!$A$12</f>
        <v>"CONSTRUCCION SISTEMA DE ACUEDUCTO FASE II DEL MUNICIPIO DE TESALIA DPTO DEL HUILA"</v>
      </c>
      <c r="F5500" s="2026"/>
      <c r="G5500" s="2026"/>
      <c r="H5500" s="2026"/>
      <c r="I5500" s="2026"/>
      <c r="J5500" s="2026"/>
      <c r="K5500" s="2026"/>
      <c r="L5500" s="2026"/>
      <c r="M5500" s="2026"/>
      <c r="N5500" s="2026"/>
      <c r="O5500" s="2026"/>
      <c r="P5500" s="2026"/>
      <c r="Q5500" s="2026"/>
      <c r="R5500" s="2026"/>
      <c r="S5500" s="2026"/>
      <c r="T5500" s="2026"/>
      <c r="U5500" s="2026"/>
      <c r="V5500" s="2026"/>
      <c r="W5500" s="2026"/>
      <c r="X5500" s="2026"/>
      <c r="Y5500" s="2026"/>
      <c r="Z5500" s="2026"/>
      <c r="AA5500" s="2026"/>
      <c r="AB5500" s="2026"/>
      <c r="AC5500" s="2026"/>
      <c r="AD5500" s="2035"/>
      <c r="AE5500" s="1041" t="s">
        <v>847</v>
      </c>
      <c r="AF5500" s="1045">
        <f>'01'!$M$13</f>
        <v>0</v>
      </c>
    </row>
    <row r="5501" spans="1:32" ht="16.5" thickBot="1" x14ac:dyDescent="0.25">
      <c r="A5501" s="2032"/>
      <c r="B5501" s="2033"/>
      <c r="C5501" s="2033"/>
      <c r="D5501" s="2034"/>
      <c r="E5501" s="2027"/>
      <c r="F5501" s="2028"/>
      <c r="G5501" s="2028"/>
      <c r="H5501" s="2028"/>
      <c r="I5501" s="2028"/>
      <c r="J5501" s="2028"/>
      <c r="K5501" s="2028"/>
      <c r="L5501" s="2028"/>
      <c r="M5501" s="2028"/>
      <c r="N5501" s="2028"/>
      <c r="O5501" s="2028"/>
      <c r="P5501" s="2028"/>
      <c r="Q5501" s="2028"/>
      <c r="R5501" s="2028"/>
      <c r="S5501" s="2028"/>
      <c r="T5501" s="2028"/>
      <c r="U5501" s="2028"/>
      <c r="V5501" s="2028"/>
      <c r="W5501" s="2028"/>
      <c r="X5501" s="2028"/>
      <c r="Y5501" s="2028"/>
      <c r="Z5501" s="2028"/>
      <c r="AA5501" s="2028"/>
      <c r="AB5501" s="2028"/>
      <c r="AC5501" s="2028"/>
      <c r="AD5501" s="2036"/>
      <c r="AE5501" s="1041" t="s">
        <v>1837</v>
      </c>
      <c r="AF5501" s="1042" t="s">
        <v>1838</v>
      </c>
    </row>
    <row r="5502" spans="1:32" ht="15.75" x14ac:dyDescent="0.25">
      <c r="A5502" s="2037" t="s">
        <v>1860</v>
      </c>
      <c r="B5502" s="2038"/>
      <c r="C5502" s="2038"/>
      <c r="D5502" s="2038"/>
      <c r="E5502" s="2038"/>
      <c r="F5502" s="2038"/>
      <c r="G5502" s="2038"/>
      <c r="H5502" s="2038"/>
      <c r="I5502" s="2038"/>
      <c r="J5502" s="2038"/>
      <c r="K5502" s="2038"/>
      <c r="L5502" s="2038"/>
      <c r="M5502" s="2038"/>
      <c r="N5502" s="2038"/>
      <c r="O5502" s="2038"/>
      <c r="P5502" s="2038"/>
      <c r="Q5502" s="2038"/>
      <c r="R5502" s="2038"/>
      <c r="S5502" s="2038"/>
      <c r="T5502" s="2038"/>
      <c r="U5502" s="2038"/>
      <c r="V5502" s="2038"/>
      <c r="W5502" s="2038"/>
      <c r="X5502" s="2038"/>
      <c r="Y5502" s="2038"/>
      <c r="Z5502" s="2038"/>
      <c r="AA5502" s="2038"/>
      <c r="AB5502" s="2038"/>
      <c r="AC5502" s="2038"/>
      <c r="AD5502" s="2038"/>
      <c r="AE5502" s="2039" t="s">
        <v>1839</v>
      </c>
      <c r="AF5502" s="2040"/>
    </row>
    <row r="5503" spans="1:32" ht="15.75" x14ac:dyDescent="0.25">
      <c r="A5503" s="2041" t="s">
        <v>1840</v>
      </c>
      <c r="B5503" s="2042"/>
      <c r="C5503" s="2042"/>
      <c r="D5503" s="2042"/>
      <c r="E5503" s="2042"/>
      <c r="F5503" s="2042"/>
      <c r="G5503" s="2042"/>
      <c r="H5503" s="2042"/>
      <c r="I5503" s="2042"/>
      <c r="J5503" s="2042"/>
      <c r="K5503" s="2042"/>
      <c r="L5503" s="2042"/>
      <c r="M5503" s="2042"/>
      <c r="N5503" s="2042"/>
      <c r="O5503" s="2042"/>
      <c r="P5503" s="2042"/>
      <c r="Q5503" s="2042"/>
      <c r="R5503" s="2042"/>
      <c r="S5503" s="2042"/>
      <c r="T5503" s="2042"/>
      <c r="U5503" s="2042"/>
      <c r="V5503" s="2042"/>
      <c r="W5503" s="2042"/>
      <c r="X5503" s="2042"/>
      <c r="Y5503" s="2042"/>
      <c r="Z5503" s="2042"/>
      <c r="AA5503" s="2042"/>
      <c r="AB5503" s="2042"/>
      <c r="AC5503" s="2042"/>
      <c r="AD5503" s="2043"/>
      <c r="AE5503" s="2014" t="s">
        <v>1841</v>
      </c>
      <c r="AF5503" s="2044"/>
    </row>
    <row r="5504" spans="1:32" ht="15.75" x14ac:dyDescent="0.25">
      <c r="A5504" s="2045" t="s">
        <v>1853</v>
      </c>
      <c r="B5504" s="2046"/>
      <c r="C5504" s="2046"/>
      <c r="D5504" s="2046"/>
      <c r="E5504" s="2046"/>
      <c r="F5504" s="2046"/>
      <c r="G5504" s="2046"/>
      <c r="H5504" s="2046"/>
      <c r="I5504" s="2046"/>
      <c r="J5504" s="2046"/>
      <c r="K5504" s="2046"/>
      <c r="L5504" s="2046"/>
      <c r="M5504" s="2046"/>
      <c r="N5504" s="2046"/>
      <c r="O5504" s="2046"/>
      <c r="P5504" s="2046"/>
      <c r="Q5504" s="2046"/>
      <c r="R5504" s="2046"/>
      <c r="S5504" s="2046"/>
      <c r="T5504" s="2046"/>
      <c r="U5504" s="2046"/>
      <c r="V5504" s="2046"/>
      <c r="W5504" s="2046"/>
      <c r="X5504" s="2046"/>
      <c r="Y5504" s="2046"/>
      <c r="Z5504" s="2046"/>
      <c r="AA5504" s="2046"/>
      <c r="AB5504" s="2046"/>
      <c r="AC5504" s="2046"/>
      <c r="AD5504" s="2046"/>
      <c r="AE5504" s="2047">
        <f>'01'!$M$13</f>
        <v>0</v>
      </c>
      <c r="AF5504" s="2044"/>
    </row>
    <row r="5505" spans="1:32" x14ac:dyDescent="0.2">
      <c r="A5505" s="1046"/>
      <c r="B5505" s="1047"/>
      <c r="C5505" s="1047"/>
      <c r="D5505" s="1047"/>
      <c r="E5505" s="1047"/>
      <c r="F5505" s="1047"/>
      <c r="G5505" s="1047"/>
      <c r="H5505" s="1047"/>
      <c r="I5505" s="1047"/>
      <c r="J5505" s="1047"/>
      <c r="K5505" s="1047"/>
      <c r="L5505" s="1047"/>
      <c r="M5505" s="1047"/>
      <c r="N5505" s="1047"/>
      <c r="O5505" s="1047"/>
      <c r="P5505" s="1047"/>
      <c r="Q5505" s="1047"/>
      <c r="R5505" s="1047"/>
      <c r="S5505" s="1047"/>
      <c r="T5505" s="1047"/>
      <c r="U5505" s="1047"/>
      <c r="V5505" s="1047"/>
      <c r="W5505" s="1047"/>
      <c r="X5505" s="1047"/>
      <c r="Y5505" s="1047"/>
      <c r="Z5505" s="1047"/>
      <c r="AA5505" s="1047"/>
      <c r="AB5505" s="1047"/>
      <c r="AC5505" s="1047"/>
      <c r="AD5505" s="1047"/>
      <c r="AE5505" s="1047"/>
      <c r="AF5505" s="1048"/>
    </row>
    <row r="5506" spans="1:32" ht="30" customHeight="1" x14ac:dyDescent="0.2">
      <c r="A5506" s="2048" t="s">
        <v>1842</v>
      </c>
      <c r="B5506" s="2049"/>
      <c r="C5506" s="2049"/>
      <c r="D5506" s="2049"/>
      <c r="E5506" s="2049"/>
      <c r="F5506" s="2050" t="str">
        <f>+'01'!$H$201</f>
        <v>H - TANQUE DE ALMACENAMIENTO</v>
      </c>
      <c r="G5506" s="2049"/>
      <c r="H5506" s="2049"/>
      <c r="I5506" s="2049"/>
      <c r="J5506" s="2049"/>
      <c r="K5506" s="2049"/>
      <c r="L5506" s="2049"/>
      <c r="M5506" s="2049"/>
      <c r="N5506" s="2049"/>
      <c r="O5506" s="2049"/>
      <c r="P5506" s="2049"/>
      <c r="Q5506" s="2049"/>
      <c r="R5506" s="2049"/>
      <c r="S5506" s="2049"/>
      <c r="T5506" s="2049"/>
      <c r="U5506" s="2049"/>
      <c r="V5506" s="2049"/>
      <c r="W5506" s="2049"/>
      <c r="X5506" s="2049"/>
      <c r="Y5506" s="2051"/>
      <c r="Z5506" s="2052" t="s">
        <v>1843</v>
      </c>
      <c r="AA5506" s="2053"/>
      <c r="AB5506" s="2058" t="s">
        <v>1844</v>
      </c>
      <c r="AC5506" s="2059"/>
      <c r="AD5506" s="2060"/>
      <c r="AE5506" s="2064" t="s">
        <v>1845</v>
      </c>
      <c r="AF5506" s="2067" t="s">
        <v>1846</v>
      </c>
    </row>
    <row r="5507" spans="1:32" ht="15" customHeight="1" x14ac:dyDescent="0.2">
      <c r="A5507" s="2070" t="str">
        <f>+'01'!A227</f>
        <v>H-08-07</v>
      </c>
      <c r="B5507" s="2071"/>
      <c r="C5507" s="2072"/>
      <c r="D5507" s="2076" t="str">
        <f>VLOOKUP(A5507,'01'!$A$12:$N$299,3,FALSE)</f>
        <v>SUMINISTRO E INSTALACIÓN TUBERÍA DE VENTILACIÓN DE 6". INCLUYE CODOS. PASAMURO. ACCESORIOS DE ENTREGA E INSTALACIÓN.</v>
      </c>
      <c r="E5507" s="2077"/>
      <c r="F5507" s="2077"/>
      <c r="G5507" s="2077"/>
      <c r="H5507" s="2077"/>
      <c r="I5507" s="2077"/>
      <c r="J5507" s="2077"/>
      <c r="K5507" s="2077"/>
      <c r="L5507" s="2077"/>
      <c r="M5507" s="2077"/>
      <c r="N5507" s="2077"/>
      <c r="O5507" s="2077"/>
      <c r="P5507" s="2077"/>
      <c r="Q5507" s="2077"/>
      <c r="R5507" s="2077"/>
      <c r="S5507" s="2078"/>
      <c r="T5507" s="2082" t="s">
        <v>124</v>
      </c>
      <c r="U5507" s="2083"/>
      <c r="V5507" s="2083"/>
      <c r="W5507" s="2083"/>
      <c r="X5507" s="2052" t="str">
        <f>VLOOKUP(A5507,'01'!$A$12:$N$299,9,FALSE)</f>
        <v>UND</v>
      </c>
      <c r="Y5507" s="2053"/>
      <c r="Z5507" s="2054"/>
      <c r="AA5507" s="2055"/>
      <c r="AB5507" s="2061"/>
      <c r="AC5507" s="2062"/>
      <c r="AD5507" s="2063"/>
      <c r="AE5507" s="2065"/>
      <c r="AF5507" s="2068"/>
    </row>
    <row r="5508" spans="1:32" ht="15" customHeight="1" x14ac:dyDescent="0.25">
      <c r="A5508" s="2073"/>
      <c r="B5508" s="2074"/>
      <c r="C5508" s="2075"/>
      <c r="D5508" s="2079"/>
      <c r="E5508" s="2080"/>
      <c r="F5508" s="2080"/>
      <c r="G5508" s="2080"/>
      <c r="H5508" s="2080"/>
      <c r="I5508" s="2080"/>
      <c r="J5508" s="2080"/>
      <c r="K5508" s="2080"/>
      <c r="L5508" s="2080"/>
      <c r="M5508" s="2080"/>
      <c r="N5508" s="2080"/>
      <c r="O5508" s="2080"/>
      <c r="P5508" s="2080"/>
      <c r="Q5508" s="2080"/>
      <c r="R5508" s="2080"/>
      <c r="S5508" s="2081"/>
      <c r="T5508" s="2084"/>
      <c r="U5508" s="2085"/>
      <c r="V5508" s="2085"/>
      <c r="W5508" s="2085"/>
      <c r="X5508" s="2056"/>
      <c r="Y5508" s="2057"/>
      <c r="Z5508" s="2056"/>
      <c r="AA5508" s="2057"/>
      <c r="AB5508" s="1049" t="s">
        <v>1847</v>
      </c>
      <c r="AC5508" s="1049" t="s">
        <v>1848</v>
      </c>
      <c r="AD5508" s="1049" t="s">
        <v>1861</v>
      </c>
      <c r="AE5508" s="2066"/>
      <c r="AF5508" s="2069"/>
    </row>
    <row r="5509" spans="1:32" ht="15.6" customHeight="1" x14ac:dyDescent="0.25">
      <c r="A5509" s="2017"/>
      <c r="B5509" s="2018"/>
      <c r="C5509" s="2018"/>
      <c r="D5509" s="2018"/>
      <c r="E5509" s="2018"/>
      <c r="F5509" s="2018"/>
      <c r="G5509" s="2018"/>
      <c r="H5509" s="2018"/>
      <c r="I5509" s="2018"/>
      <c r="J5509" s="2018"/>
      <c r="K5509" s="2018"/>
      <c r="L5509" s="2018"/>
      <c r="M5509" s="2018"/>
      <c r="N5509" s="2018"/>
      <c r="O5509" s="2018"/>
      <c r="P5509" s="2018"/>
      <c r="Q5509" s="2018"/>
      <c r="R5509" s="2018"/>
      <c r="S5509" s="2018"/>
      <c r="T5509" s="2018"/>
      <c r="U5509" s="2018"/>
      <c r="V5509" s="2018"/>
      <c r="W5509" s="2018"/>
      <c r="X5509" s="2018"/>
      <c r="Y5509" s="2018"/>
      <c r="Z5509" s="2021" t="s">
        <v>2521</v>
      </c>
      <c r="AA5509" s="2021"/>
      <c r="AB5509" s="1050"/>
      <c r="AC5509" s="1050"/>
      <c r="AD5509" s="1050"/>
      <c r="AE5509" s="1050">
        <v>24</v>
      </c>
      <c r="AF5509" s="1052">
        <f>+AE5509</f>
        <v>24</v>
      </c>
    </row>
    <row r="5510" spans="1:32" ht="15.6" customHeight="1" x14ac:dyDescent="0.25">
      <c r="A5510" s="2017"/>
      <c r="B5510" s="2018"/>
      <c r="C5510" s="2018"/>
      <c r="D5510" s="2018"/>
      <c r="E5510" s="2018"/>
      <c r="F5510" s="2018"/>
      <c r="G5510" s="2018"/>
      <c r="H5510" s="2018"/>
      <c r="I5510" s="2018"/>
      <c r="J5510" s="2018"/>
      <c r="K5510" s="2018"/>
      <c r="L5510" s="2018"/>
      <c r="M5510" s="2018"/>
      <c r="N5510" s="2018"/>
      <c r="O5510" s="2018"/>
      <c r="P5510" s="2018"/>
      <c r="Q5510" s="2018"/>
      <c r="R5510" s="2018"/>
      <c r="S5510" s="2018"/>
      <c r="T5510" s="2018"/>
      <c r="U5510" s="2018"/>
      <c r="V5510" s="2018"/>
      <c r="W5510" s="2018"/>
      <c r="X5510" s="2018"/>
      <c r="Y5510" s="2018"/>
      <c r="Z5510" s="2021" t="s">
        <v>2527</v>
      </c>
      <c r="AA5510" s="2021"/>
      <c r="AB5510" s="1050"/>
      <c r="AC5510" s="1050"/>
      <c r="AD5510" s="1050"/>
      <c r="AE5510" s="1050">
        <v>0</v>
      </c>
      <c r="AF5510" s="1052">
        <f t="shared" ref="AF5510:AF5513" si="77">+AE5510</f>
        <v>0</v>
      </c>
    </row>
    <row r="5511" spans="1:32" ht="15.75" x14ac:dyDescent="0.25">
      <c r="A5511" s="2017"/>
      <c r="B5511" s="2018"/>
      <c r="C5511" s="2018"/>
      <c r="D5511" s="2018"/>
      <c r="E5511" s="2018"/>
      <c r="F5511" s="2018"/>
      <c r="G5511" s="2018"/>
      <c r="H5511" s="2018"/>
      <c r="I5511" s="2018"/>
      <c r="J5511" s="2018"/>
      <c r="K5511" s="2018"/>
      <c r="L5511" s="2018"/>
      <c r="M5511" s="2018"/>
      <c r="N5511" s="2018"/>
      <c r="O5511" s="2018"/>
      <c r="P5511" s="2018"/>
      <c r="Q5511" s="2018"/>
      <c r="R5511" s="2018"/>
      <c r="S5511" s="2018"/>
      <c r="T5511" s="2018"/>
      <c r="U5511" s="2018"/>
      <c r="V5511" s="2018"/>
      <c r="W5511" s="2018"/>
      <c r="X5511" s="2018"/>
      <c r="Y5511" s="2018"/>
      <c r="Z5511" s="2021" t="s">
        <v>2495</v>
      </c>
      <c r="AA5511" s="2021"/>
      <c r="AB5511" s="1050"/>
      <c r="AC5511" s="1050"/>
      <c r="AD5511" s="1050"/>
      <c r="AE5511" s="1050">
        <v>0</v>
      </c>
      <c r="AF5511" s="1052">
        <f t="shared" si="77"/>
        <v>0</v>
      </c>
    </row>
    <row r="5512" spans="1:32" ht="15.75" x14ac:dyDescent="0.25">
      <c r="A5512" s="2017"/>
      <c r="B5512" s="2018"/>
      <c r="C5512" s="2018"/>
      <c r="D5512" s="2018"/>
      <c r="E5512" s="2018"/>
      <c r="F5512" s="2018"/>
      <c r="G5512" s="2018"/>
      <c r="H5512" s="2018"/>
      <c r="I5512" s="2018"/>
      <c r="J5512" s="2018"/>
      <c r="K5512" s="2018"/>
      <c r="L5512" s="2018"/>
      <c r="M5512" s="2018"/>
      <c r="N5512" s="2018"/>
      <c r="O5512" s="2018"/>
      <c r="P5512" s="2018"/>
      <c r="Q5512" s="2018"/>
      <c r="R5512" s="2018"/>
      <c r="S5512" s="2018"/>
      <c r="T5512" s="2018"/>
      <c r="U5512" s="2018"/>
      <c r="V5512" s="2018"/>
      <c r="W5512" s="2018"/>
      <c r="X5512" s="2018"/>
      <c r="Y5512" s="2018"/>
      <c r="Z5512" s="2021" t="s">
        <v>2460</v>
      </c>
      <c r="AA5512" s="2021"/>
      <c r="AB5512" s="1050"/>
      <c r="AC5512" s="1050"/>
      <c r="AD5512" s="1050"/>
      <c r="AE5512" s="1050">
        <v>0</v>
      </c>
      <c r="AF5512" s="1052">
        <f t="shared" si="77"/>
        <v>0</v>
      </c>
    </row>
    <row r="5513" spans="1:32" ht="15.6" customHeight="1" x14ac:dyDescent="0.25">
      <c r="A5513" s="2017"/>
      <c r="B5513" s="2018"/>
      <c r="C5513" s="2018"/>
      <c r="D5513" s="2018"/>
      <c r="E5513" s="2018"/>
      <c r="F5513" s="2018"/>
      <c r="G5513" s="2018"/>
      <c r="H5513" s="2018"/>
      <c r="I5513" s="2018"/>
      <c r="J5513" s="2018"/>
      <c r="K5513" s="2018"/>
      <c r="L5513" s="2018"/>
      <c r="M5513" s="2018"/>
      <c r="N5513" s="2018"/>
      <c r="O5513" s="2018"/>
      <c r="P5513" s="2018"/>
      <c r="Q5513" s="2018"/>
      <c r="R5513" s="2018"/>
      <c r="S5513" s="2018"/>
      <c r="T5513" s="2018"/>
      <c r="U5513" s="2018"/>
      <c r="V5513" s="2018"/>
      <c r="W5513" s="2018"/>
      <c r="X5513" s="2018"/>
      <c r="Y5513" s="2018"/>
      <c r="Z5513" s="2021" t="s">
        <v>2528</v>
      </c>
      <c r="AA5513" s="2021"/>
      <c r="AB5513" s="1050"/>
      <c r="AC5513" s="1050"/>
      <c r="AD5513" s="1050"/>
      <c r="AE5513" s="1050">
        <v>0</v>
      </c>
      <c r="AF5513" s="1052">
        <f t="shared" si="77"/>
        <v>0</v>
      </c>
    </row>
    <row r="5514" spans="1:32" ht="15.75" x14ac:dyDescent="0.25">
      <c r="A5514" s="2017"/>
      <c r="B5514" s="2018"/>
      <c r="C5514" s="2018"/>
      <c r="D5514" s="2018"/>
      <c r="E5514" s="2018"/>
      <c r="F5514" s="2018"/>
      <c r="G5514" s="2018"/>
      <c r="H5514" s="2018"/>
      <c r="I5514" s="2018"/>
      <c r="J5514" s="2018"/>
      <c r="K5514" s="2018"/>
      <c r="L5514" s="2018"/>
      <c r="M5514" s="2018"/>
      <c r="N5514" s="2018"/>
      <c r="O5514" s="2018"/>
      <c r="P5514" s="2018"/>
      <c r="Q5514" s="2018"/>
      <c r="R5514" s="2018"/>
      <c r="S5514" s="2018"/>
      <c r="T5514" s="2018"/>
      <c r="U5514" s="2018"/>
      <c r="V5514" s="2018"/>
      <c r="W5514" s="2018"/>
      <c r="X5514" s="2018"/>
      <c r="Y5514" s="2018"/>
      <c r="Z5514" s="2022"/>
      <c r="AA5514" s="2022"/>
      <c r="AB5514" s="1050"/>
      <c r="AC5514" s="1050"/>
      <c r="AD5514" s="1050"/>
      <c r="AE5514" s="1050"/>
      <c r="AF5514" s="1052"/>
    </row>
    <row r="5515" spans="1:32" ht="15.75" x14ac:dyDescent="0.25">
      <c r="A5515" s="2017"/>
      <c r="B5515" s="2018"/>
      <c r="C5515" s="2018"/>
      <c r="D5515" s="2018"/>
      <c r="E5515" s="2018"/>
      <c r="F5515" s="2018"/>
      <c r="G5515" s="2018"/>
      <c r="H5515" s="2018"/>
      <c r="I5515" s="2018"/>
      <c r="J5515" s="2018"/>
      <c r="K5515" s="2018"/>
      <c r="L5515" s="2018"/>
      <c r="M5515" s="2018"/>
      <c r="N5515" s="2018"/>
      <c r="O5515" s="2018"/>
      <c r="P5515" s="2018"/>
      <c r="Q5515" s="2018"/>
      <c r="R5515" s="2018"/>
      <c r="S5515" s="2018"/>
      <c r="T5515" s="2018"/>
      <c r="U5515" s="2018"/>
      <c r="V5515" s="2018"/>
      <c r="W5515" s="2018"/>
      <c r="X5515" s="2018"/>
      <c r="Y5515" s="2018"/>
      <c r="Z5515" s="2022"/>
      <c r="AA5515" s="2022"/>
      <c r="AB5515" s="1050"/>
      <c r="AC5515" s="1050"/>
      <c r="AD5515" s="1050"/>
      <c r="AE5515" s="1050"/>
      <c r="AF5515" s="1052"/>
    </row>
    <row r="5516" spans="1:32" ht="15.6" customHeight="1" x14ac:dyDescent="0.25">
      <c r="A5516" s="2017"/>
      <c r="B5516" s="2018"/>
      <c r="C5516" s="2018"/>
      <c r="D5516" s="2018"/>
      <c r="E5516" s="2018"/>
      <c r="F5516" s="2018"/>
      <c r="G5516" s="2018"/>
      <c r="H5516" s="2018"/>
      <c r="I5516" s="2018"/>
      <c r="J5516" s="2018"/>
      <c r="K5516" s="2018"/>
      <c r="L5516" s="2018"/>
      <c r="M5516" s="2018"/>
      <c r="N5516" s="2018"/>
      <c r="O5516" s="2018"/>
      <c r="P5516" s="2018"/>
      <c r="Q5516" s="2018"/>
      <c r="R5516" s="2018"/>
      <c r="S5516" s="2018"/>
      <c r="T5516" s="2018"/>
      <c r="U5516" s="2018"/>
      <c r="V5516" s="2018"/>
      <c r="W5516" s="2018"/>
      <c r="X5516" s="2018"/>
      <c r="Y5516" s="2018"/>
      <c r="Z5516" s="2022"/>
      <c r="AA5516" s="2022"/>
      <c r="AB5516" s="1050"/>
      <c r="AC5516" s="1050"/>
      <c r="AD5516" s="1050"/>
      <c r="AE5516" s="1050"/>
      <c r="AF5516" s="1052"/>
    </row>
    <row r="5517" spans="1:32" ht="15.75" x14ac:dyDescent="0.25">
      <c r="A5517" s="2017"/>
      <c r="B5517" s="2018"/>
      <c r="C5517" s="2018"/>
      <c r="D5517" s="2018"/>
      <c r="E5517" s="2018"/>
      <c r="F5517" s="2018"/>
      <c r="G5517" s="2018"/>
      <c r="H5517" s="2018"/>
      <c r="I5517" s="2018"/>
      <c r="J5517" s="2018"/>
      <c r="K5517" s="2018"/>
      <c r="L5517" s="2018"/>
      <c r="M5517" s="2018"/>
      <c r="N5517" s="2018"/>
      <c r="O5517" s="2018"/>
      <c r="P5517" s="2018"/>
      <c r="Q5517" s="2018"/>
      <c r="R5517" s="2018"/>
      <c r="S5517" s="2018"/>
      <c r="T5517" s="2018"/>
      <c r="U5517" s="2018"/>
      <c r="V5517" s="2018"/>
      <c r="W5517" s="2018"/>
      <c r="X5517" s="2018"/>
      <c r="Y5517" s="2018"/>
      <c r="Z5517" s="2022"/>
      <c r="AA5517" s="2022"/>
      <c r="AB5517" s="1050"/>
      <c r="AC5517" s="1050"/>
      <c r="AD5517" s="1050"/>
      <c r="AE5517" s="1050"/>
      <c r="AF5517" s="1052"/>
    </row>
    <row r="5518" spans="1:32" ht="15.75" x14ac:dyDescent="0.25">
      <c r="A5518" s="2017"/>
      <c r="B5518" s="2018"/>
      <c r="C5518" s="2018"/>
      <c r="D5518" s="2018"/>
      <c r="E5518" s="2018"/>
      <c r="F5518" s="2018"/>
      <c r="G5518" s="2018"/>
      <c r="H5518" s="2018"/>
      <c r="I5518" s="2018"/>
      <c r="J5518" s="2018"/>
      <c r="K5518" s="2018"/>
      <c r="L5518" s="2018"/>
      <c r="M5518" s="2018"/>
      <c r="N5518" s="2018"/>
      <c r="O5518" s="2018"/>
      <c r="P5518" s="2018"/>
      <c r="Q5518" s="2018"/>
      <c r="R5518" s="2018"/>
      <c r="S5518" s="2018"/>
      <c r="T5518" s="2018"/>
      <c r="U5518" s="2018"/>
      <c r="V5518" s="2018"/>
      <c r="W5518" s="2018"/>
      <c r="X5518" s="2018"/>
      <c r="Y5518" s="2018"/>
      <c r="Z5518" s="2022"/>
      <c r="AA5518" s="2022"/>
      <c r="AB5518" s="1050"/>
      <c r="AC5518" s="1050"/>
      <c r="AD5518" s="1050"/>
      <c r="AE5518" s="1050"/>
      <c r="AF5518" s="1052"/>
    </row>
    <row r="5519" spans="1:32" ht="15.75" x14ac:dyDescent="0.25">
      <c r="A5519" s="2017"/>
      <c r="B5519" s="2018"/>
      <c r="C5519" s="2018"/>
      <c r="D5519" s="2018"/>
      <c r="E5519" s="2018"/>
      <c r="F5519" s="2018"/>
      <c r="G5519" s="2018"/>
      <c r="H5519" s="2018"/>
      <c r="I5519" s="2018"/>
      <c r="J5519" s="2018"/>
      <c r="K5519" s="2018"/>
      <c r="L5519" s="2018"/>
      <c r="M5519" s="2018"/>
      <c r="N5519" s="2018"/>
      <c r="O5519" s="2018"/>
      <c r="P5519" s="2018"/>
      <c r="Q5519" s="2018"/>
      <c r="R5519" s="2018"/>
      <c r="S5519" s="2018"/>
      <c r="T5519" s="2018"/>
      <c r="U5519" s="2018"/>
      <c r="V5519" s="2018"/>
      <c r="W5519" s="2018"/>
      <c r="X5519" s="2018"/>
      <c r="Y5519" s="2018"/>
      <c r="Z5519" s="2022"/>
      <c r="AA5519" s="2022"/>
      <c r="AB5519" s="1050"/>
      <c r="AC5519" s="1050"/>
      <c r="AD5519" s="1050"/>
      <c r="AE5519" s="1050"/>
      <c r="AF5519" s="1052"/>
    </row>
    <row r="5520" spans="1:32" ht="15.6" customHeight="1" x14ac:dyDescent="0.25">
      <c r="A5520" s="2017"/>
      <c r="B5520" s="2018"/>
      <c r="C5520" s="2018"/>
      <c r="D5520" s="2018"/>
      <c r="E5520" s="2018"/>
      <c r="F5520" s="2018"/>
      <c r="G5520" s="2018"/>
      <c r="H5520" s="2018"/>
      <c r="I5520" s="2018"/>
      <c r="J5520" s="2018"/>
      <c r="K5520" s="2018"/>
      <c r="L5520" s="2018"/>
      <c r="M5520" s="2018"/>
      <c r="N5520" s="2018"/>
      <c r="O5520" s="2018"/>
      <c r="P5520" s="2018"/>
      <c r="Q5520" s="2018"/>
      <c r="R5520" s="2018"/>
      <c r="S5520" s="2018"/>
      <c r="T5520" s="2018"/>
      <c r="U5520" s="2018"/>
      <c r="V5520" s="2018"/>
      <c r="W5520" s="2018"/>
      <c r="X5520" s="2018"/>
      <c r="Y5520" s="2018"/>
      <c r="Z5520" s="2022"/>
      <c r="AA5520" s="2022"/>
      <c r="AB5520" s="1050"/>
      <c r="AC5520" s="1050"/>
      <c r="AD5520" s="1050"/>
      <c r="AE5520" s="1050"/>
      <c r="AF5520" s="1052"/>
    </row>
    <row r="5521" spans="1:32" ht="15.75" x14ac:dyDescent="0.25">
      <c r="A5521" s="2017"/>
      <c r="B5521" s="2018"/>
      <c r="C5521" s="2018"/>
      <c r="D5521" s="2018"/>
      <c r="E5521" s="2018"/>
      <c r="F5521" s="2018"/>
      <c r="G5521" s="2018"/>
      <c r="H5521" s="2018"/>
      <c r="I5521" s="2018"/>
      <c r="J5521" s="2018"/>
      <c r="K5521" s="2018"/>
      <c r="L5521" s="2018"/>
      <c r="M5521" s="2018"/>
      <c r="N5521" s="2018"/>
      <c r="O5521" s="2018"/>
      <c r="P5521" s="2018"/>
      <c r="Q5521" s="2018"/>
      <c r="R5521" s="2018"/>
      <c r="S5521" s="2018"/>
      <c r="T5521" s="2018"/>
      <c r="U5521" s="2018"/>
      <c r="V5521" s="2018"/>
      <c r="W5521" s="2018"/>
      <c r="X5521" s="2018"/>
      <c r="Y5521" s="2018"/>
      <c r="Z5521" s="2022"/>
      <c r="AA5521" s="2022"/>
      <c r="AB5521" s="1050"/>
      <c r="AC5521" s="1050"/>
      <c r="AD5521" s="1050"/>
      <c r="AE5521" s="1050"/>
      <c r="AF5521" s="1052"/>
    </row>
    <row r="5522" spans="1:32" ht="15.75" x14ac:dyDescent="0.25">
      <c r="A5522" s="2017"/>
      <c r="B5522" s="2018"/>
      <c r="C5522" s="2018"/>
      <c r="D5522" s="2018"/>
      <c r="E5522" s="2018"/>
      <c r="F5522" s="2018"/>
      <c r="G5522" s="2018"/>
      <c r="H5522" s="2018"/>
      <c r="I5522" s="2018"/>
      <c r="J5522" s="2018"/>
      <c r="K5522" s="2018"/>
      <c r="L5522" s="2018"/>
      <c r="M5522" s="2018"/>
      <c r="N5522" s="2018"/>
      <c r="O5522" s="2018"/>
      <c r="P5522" s="2018"/>
      <c r="Q5522" s="2018"/>
      <c r="R5522" s="2018"/>
      <c r="S5522" s="2018"/>
      <c r="T5522" s="2018"/>
      <c r="U5522" s="2018"/>
      <c r="V5522" s="2018"/>
      <c r="W5522" s="2018"/>
      <c r="X5522" s="2018"/>
      <c r="Y5522" s="2018"/>
      <c r="Z5522" s="2022"/>
      <c r="AA5522" s="2022"/>
      <c r="AB5522" s="1050"/>
      <c r="AC5522" s="1050"/>
      <c r="AD5522" s="1050"/>
      <c r="AE5522" s="1050"/>
      <c r="AF5522" s="1052"/>
    </row>
    <row r="5523" spans="1:32" ht="15.75" x14ac:dyDescent="0.25">
      <c r="A5523" s="2017"/>
      <c r="B5523" s="2018"/>
      <c r="C5523" s="2018"/>
      <c r="D5523" s="2018"/>
      <c r="E5523" s="2018"/>
      <c r="F5523" s="2018"/>
      <c r="G5523" s="2018"/>
      <c r="H5523" s="2018"/>
      <c r="I5523" s="2018"/>
      <c r="J5523" s="2018"/>
      <c r="K5523" s="2018"/>
      <c r="L5523" s="2018"/>
      <c r="M5523" s="2018"/>
      <c r="N5523" s="2018"/>
      <c r="O5523" s="2018"/>
      <c r="P5523" s="2018"/>
      <c r="Q5523" s="2018"/>
      <c r="R5523" s="2018"/>
      <c r="S5523" s="2018"/>
      <c r="T5523" s="2018"/>
      <c r="U5523" s="2018"/>
      <c r="V5523" s="2018"/>
      <c r="W5523" s="2018"/>
      <c r="X5523" s="2018"/>
      <c r="Y5523" s="2018"/>
      <c r="Z5523" s="2022"/>
      <c r="AA5523" s="2022"/>
      <c r="AB5523" s="1050"/>
      <c r="AC5523" s="1050"/>
      <c r="AD5523" s="1050"/>
      <c r="AE5523" s="1050"/>
      <c r="AF5523" s="1052"/>
    </row>
    <row r="5524" spans="1:32" ht="15.75" x14ac:dyDescent="0.25">
      <c r="A5524" s="2017"/>
      <c r="B5524" s="2018"/>
      <c r="C5524" s="2018"/>
      <c r="D5524" s="2018"/>
      <c r="E5524" s="2018"/>
      <c r="F5524" s="2018"/>
      <c r="G5524" s="2018"/>
      <c r="H5524" s="2018"/>
      <c r="I5524" s="2018"/>
      <c r="J5524" s="2018"/>
      <c r="K5524" s="2018"/>
      <c r="L5524" s="2018"/>
      <c r="M5524" s="2018"/>
      <c r="N5524" s="2018"/>
      <c r="O5524" s="2018"/>
      <c r="P5524" s="2018"/>
      <c r="Q5524" s="2018"/>
      <c r="R5524" s="2018"/>
      <c r="S5524" s="2018"/>
      <c r="T5524" s="2018"/>
      <c r="U5524" s="2018"/>
      <c r="V5524" s="2018"/>
      <c r="W5524" s="2018"/>
      <c r="X5524" s="2018"/>
      <c r="Y5524" s="2018"/>
      <c r="Z5524" s="2022"/>
      <c r="AA5524" s="2022"/>
      <c r="AB5524" s="1050"/>
      <c r="AC5524" s="1050"/>
      <c r="AD5524" s="1050"/>
      <c r="AE5524" s="1050"/>
      <c r="AF5524" s="1052"/>
    </row>
    <row r="5525" spans="1:32" ht="15.75" x14ac:dyDescent="0.25">
      <c r="A5525" s="2017"/>
      <c r="B5525" s="2018"/>
      <c r="C5525" s="2018"/>
      <c r="D5525" s="2018"/>
      <c r="E5525" s="2018"/>
      <c r="F5525" s="2018"/>
      <c r="G5525" s="2018"/>
      <c r="H5525" s="2018"/>
      <c r="I5525" s="2018"/>
      <c r="J5525" s="2018"/>
      <c r="K5525" s="2018"/>
      <c r="L5525" s="2018"/>
      <c r="M5525" s="2018"/>
      <c r="N5525" s="2018"/>
      <c r="O5525" s="2018"/>
      <c r="P5525" s="2018"/>
      <c r="Q5525" s="2018"/>
      <c r="R5525" s="2018"/>
      <c r="S5525" s="2018"/>
      <c r="T5525" s="2018"/>
      <c r="U5525" s="2018"/>
      <c r="V5525" s="2018"/>
      <c r="W5525" s="2018"/>
      <c r="X5525" s="2018"/>
      <c r="Y5525" s="2018"/>
      <c r="Z5525" s="2022"/>
      <c r="AA5525" s="2022"/>
      <c r="AB5525" s="1050"/>
      <c r="AC5525" s="1050"/>
      <c r="AD5525" s="1050"/>
      <c r="AE5525" s="1050"/>
      <c r="AF5525" s="1052"/>
    </row>
    <row r="5526" spans="1:32" ht="15.75" x14ac:dyDescent="0.25">
      <c r="A5526" s="2017"/>
      <c r="B5526" s="2018"/>
      <c r="C5526" s="2018"/>
      <c r="D5526" s="2018"/>
      <c r="E5526" s="2018"/>
      <c r="F5526" s="2018"/>
      <c r="G5526" s="2018"/>
      <c r="H5526" s="2018"/>
      <c r="I5526" s="2018"/>
      <c r="J5526" s="2018"/>
      <c r="K5526" s="2018"/>
      <c r="L5526" s="2018"/>
      <c r="M5526" s="2018"/>
      <c r="N5526" s="2018"/>
      <c r="O5526" s="2018"/>
      <c r="P5526" s="2018"/>
      <c r="Q5526" s="2018"/>
      <c r="R5526" s="2018"/>
      <c r="S5526" s="2018"/>
      <c r="T5526" s="2018"/>
      <c r="U5526" s="2018"/>
      <c r="V5526" s="2018"/>
      <c r="W5526" s="2018"/>
      <c r="X5526" s="2018"/>
      <c r="Y5526" s="2018"/>
      <c r="Z5526" s="2023"/>
      <c r="AA5526" s="2023"/>
      <c r="AB5526" s="1050"/>
      <c r="AC5526" s="1050"/>
      <c r="AD5526" s="1050"/>
      <c r="AE5526" s="1050"/>
      <c r="AF5526" s="1052"/>
    </row>
    <row r="5527" spans="1:32" ht="15.75" x14ac:dyDescent="0.25">
      <c r="A5527" s="2017"/>
      <c r="B5527" s="2018"/>
      <c r="C5527" s="2018"/>
      <c r="D5527" s="2018"/>
      <c r="E5527" s="2018"/>
      <c r="F5527" s="2018"/>
      <c r="G5527" s="2018"/>
      <c r="H5527" s="2018"/>
      <c r="I5527" s="2018"/>
      <c r="J5527" s="2018"/>
      <c r="K5527" s="2018"/>
      <c r="L5527" s="2018"/>
      <c r="M5527" s="2018"/>
      <c r="N5527" s="2018"/>
      <c r="O5527" s="2018"/>
      <c r="P5527" s="2018"/>
      <c r="Q5527" s="2018"/>
      <c r="R5527" s="2018"/>
      <c r="S5527" s="2018"/>
      <c r="T5527" s="2018"/>
      <c r="U5527" s="2018"/>
      <c r="V5527" s="2018"/>
      <c r="W5527" s="2018"/>
      <c r="X5527" s="2018"/>
      <c r="Y5527" s="2018"/>
      <c r="Z5527" s="2023"/>
      <c r="AA5527" s="2023"/>
      <c r="AB5527" s="1050"/>
      <c r="AC5527" s="1050"/>
      <c r="AD5527" s="1050"/>
      <c r="AE5527" s="1050"/>
      <c r="AF5527" s="1052"/>
    </row>
    <row r="5528" spans="1:32" ht="15.75" x14ac:dyDescent="0.25">
      <c r="A5528" s="2017"/>
      <c r="B5528" s="2018"/>
      <c r="C5528" s="2018"/>
      <c r="D5528" s="2018"/>
      <c r="E5528" s="2018"/>
      <c r="F5528" s="2018"/>
      <c r="G5528" s="2018"/>
      <c r="H5528" s="2018"/>
      <c r="I5528" s="2018"/>
      <c r="J5528" s="2018"/>
      <c r="K5528" s="2018"/>
      <c r="L5528" s="2018"/>
      <c r="M5528" s="2018"/>
      <c r="N5528" s="2018"/>
      <c r="O5528" s="2018"/>
      <c r="P5528" s="2018"/>
      <c r="Q5528" s="2018"/>
      <c r="R5528" s="2018"/>
      <c r="S5528" s="2018"/>
      <c r="T5528" s="2018"/>
      <c r="U5528" s="2018"/>
      <c r="V5528" s="2018"/>
      <c r="W5528" s="2018"/>
      <c r="X5528" s="2018"/>
      <c r="Y5528" s="2018"/>
      <c r="Z5528" s="2023"/>
      <c r="AA5528" s="2023"/>
      <c r="AB5528" s="1050"/>
      <c r="AC5528" s="1050"/>
      <c r="AD5528" s="1050"/>
      <c r="AE5528" s="1050"/>
      <c r="AF5528" s="1052"/>
    </row>
    <row r="5529" spans="1:32" ht="15.75" x14ac:dyDescent="0.25">
      <c r="A5529" s="2017"/>
      <c r="B5529" s="2018"/>
      <c r="C5529" s="2018"/>
      <c r="D5529" s="2018"/>
      <c r="E5529" s="2018"/>
      <c r="F5529" s="2018"/>
      <c r="G5529" s="2018"/>
      <c r="H5529" s="2018"/>
      <c r="I5529" s="2018"/>
      <c r="J5529" s="2018"/>
      <c r="K5529" s="2018"/>
      <c r="L5529" s="2018"/>
      <c r="M5529" s="2018"/>
      <c r="N5529" s="2018"/>
      <c r="O5529" s="2018"/>
      <c r="P5529" s="2018"/>
      <c r="Q5529" s="2018"/>
      <c r="R5529" s="2018"/>
      <c r="S5529" s="2018"/>
      <c r="T5529" s="2018"/>
      <c r="U5529" s="2018"/>
      <c r="V5529" s="2018"/>
      <c r="W5529" s="2018"/>
      <c r="X5529" s="2018"/>
      <c r="Y5529" s="2018"/>
      <c r="Z5529" s="2023"/>
      <c r="AA5529" s="2023"/>
      <c r="AB5529" s="1050"/>
      <c r="AC5529" s="1050"/>
      <c r="AD5529" s="1050"/>
      <c r="AE5529" s="1050"/>
      <c r="AF5529" s="1052"/>
    </row>
    <row r="5530" spans="1:32" ht="15.75" x14ac:dyDescent="0.25">
      <c r="A5530" s="2017"/>
      <c r="B5530" s="2018"/>
      <c r="C5530" s="2018"/>
      <c r="D5530" s="2018"/>
      <c r="E5530" s="2018"/>
      <c r="F5530" s="2018"/>
      <c r="G5530" s="2018"/>
      <c r="H5530" s="2018"/>
      <c r="I5530" s="2018"/>
      <c r="J5530" s="2018"/>
      <c r="K5530" s="2018"/>
      <c r="L5530" s="2018"/>
      <c r="M5530" s="2018"/>
      <c r="N5530" s="2018"/>
      <c r="O5530" s="2018"/>
      <c r="P5530" s="2018"/>
      <c r="Q5530" s="2018"/>
      <c r="R5530" s="2018"/>
      <c r="S5530" s="2018"/>
      <c r="T5530" s="2018"/>
      <c r="U5530" s="2018"/>
      <c r="V5530" s="2018"/>
      <c r="W5530" s="2018"/>
      <c r="X5530" s="2018"/>
      <c r="Y5530" s="2018"/>
      <c r="Z5530" s="2023"/>
      <c r="AA5530" s="2023"/>
      <c r="AB5530" s="1050"/>
      <c r="AC5530" s="1050"/>
      <c r="AD5530" s="1050"/>
      <c r="AE5530" s="1050"/>
      <c r="AF5530" s="1052"/>
    </row>
    <row r="5531" spans="1:32" ht="15.75" x14ac:dyDescent="0.25">
      <c r="A5531" s="2017"/>
      <c r="B5531" s="2018"/>
      <c r="C5531" s="2018"/>
      <c r="D5531" s="2018"/>
      <c r="E5531" s="2018"/>
      <c r="F5531" s="2018"/>
      <c r="G5531" s="2018"/>
      <c r="H5531" s="2018"/>
      <c r="I5531" s="2018"/>
      <c r="J5531" s="2018"/>
      <c r="K5531" s="2018"/>
      <c r="L5531" s="2018"/>
      <c r="M5531" s="2018"/>
      <c r="N5531" s="2018"/>
      <c r="O5531" s="2018"/>
      <c r="P5531" s="2018"/>
      <c r="Q5531" s="2018"/>
      <c r="R5531" s="2018"/>
      <c r="S5531" s="2018"/>
      <c r="T5531" s="2018"/>
      <c r="U5531" s="2018"/>
      <c r="V5531" s="2018"/>
      <c r="W5531" s="2018"/>
      <c r="X5531" s="2018"/>
      <c r="Y5531" s="2018"/>
      <c r="Z5531" s="2023"/>
      <c r="AA5531" s="2023"/>
      <c r="AB5531" s="1050"/>
      <c r="AC5531" s="1050"/>
      <c r="AD5531" s="1050"/>
      <c r="AE5531" s="1050"/>
      <c r="AF5531" s="1052"/>
    </row>
    <row r="5532" spans="1:32" ht="16.5" thickBot="1" x14ac:dyDescent="0.3">
      <c r="A5532" s="2019"/>
      <c r="B5532" s="2020"/>
      <c r="C5532" s="2020"/>
      <c r="D5532" s="2020"/>
      <c r="E5532" s="2020"/>
      <c r="F5532" s="2020"/>
      <c r="G5532" s="2020"/>
      <c r="H5532" s="2020"/>
      <c r="I5532" s="2020"/>
      <c r="J5532" s="2020"/>
      <c r="K5532" s="2020"/>
      <c r="L5532" s="2020"/>
      <c r="M5532" s="2020"/>
      <c r="N5532" s="2020"/>
      <c r="O5532" s="2020"/>
      <c r="P5532" s="2020"/>
      <c r="Q5532" s="2020"/>
      <c r="R5532" s="2020"/>
      <c r="S5532" s="2020"/>
      <c r="T5532" s="2020"/>
      <c r="U5532" s="2020"/>
      <c r="V5532" s="2020"/>
      <c r="W5532" s="2020"/>
      <c r="X5532" s="2020"/>
      <c r="Y5532" s="2020"/>
      <c r="Z5532" s="2024"/>
      <c r="AA5532" s="2024"/>
      <c r="AB5532" s="1057"/>
      <c r="AC5532" s="1057"/>
      <c r="AD5532" s="1057"/>
      <c r="AE5532" s="1057"/>
      <c r="AF5532" s="1058"/>
    </row>
    <row r="5533" spans="1:32" ht="15.75" x14ac:dyDescent="0.25">
      <c r="A5533" s="2009" t="s">
        <v>1855</v>
      </c>
      <c r="B5533" s="2010"/>
      <c r="C5533" s="2010"/>
      <c r="D5533" s="2010"/>
      <c r="E5533" s="2010"/>
      <c r="F5533" s="2010"/>
      <c r="G5533" s="2010"/>
      <c r="H5533" s="2010"/>
      <c r="I5533" s="2010"/>
      <c r="J5533" s="2010"/>
      <c r="K5533" s="2010"/>
      <c r="L5533" s="2010"/>
      <c r="M5533" s="2010"/>
      <c r="N5533" s="2010"/>
      <c r="O5533" s="2010"/>
      <c r="P5533" s="2010"/>
      <c r="Q5533" s="2010"/>
      <c r="R5533" s="2010"/>
      <c r="S5533" s="2010"/>
      <c r="T5533" s="2010"/>
      <c r="U5533" s="2010"/>
      <c r="V5533" s="2010"/>
      <c r="W5533" s="2010"/>
      <c r="X5533" s="2010"/>
      <c r="Y5533" s="2010"/>
      <c r="Z5533" s="2013" t="s">
        <v>1850</v>
      </c>
      <c r="AA5533" s="2013"/>
      <c r="AB5533" s="2013"/>
      <c r="AC5533" s="2013"/>
      <c r="AD5533" s="2013"/>
      <c r="AE5533" s="2013"/>
      <c r="AF5533" s="1059">
        <f>SUM(AF5509:AF5532)</f>
        <v>24</v>
      </c>
    </row>
    <row r="5534" spans="1:32" ht="15.75" x14ac:dyDescent="0.25">
      <c r="A5534" s="2011"/>
      <c r="B5534" s="2012"/>
      <c r="C5534" s="2012"/>
      <c r="D5534" s="2012"/>
      <c r="E5534" s="2012"/>
      <c r="F5534" s="2012"/>
      <c r="G5534" s="2012"/>
      <c r="H5534" s="2012"/>
      <c r="I5534" s="2012"/>
      <c r="J5534" s="2012"/>
      <c r="K5534" s="2012"/>
      <c r="L5534" s="2012"/>
      <c r="M5534" s="2012"/>
      <c r="N5534" s="2012"/>
      <c r="O5534" s="2012"/>
      <c r="P5534" s="2012"/>
      <c r="Q5534" s="2012"/>
      <c r="R5534" s="2012"/>
      <c r="S5534" s="2012"/>
      <c r="T5534" s="2012"/>
      <c r="U5534" s="2012"/>
      <c r="V5534" s="2012"/>
      <c r="W5534" s="2012"/>
      <c r="X5534" s="2012"/>
      <c r="Y5534" s="2012"/>
      <c r="Z5534" s="2014" t="s">
        <v>1851</v>
      </c>
      <c r="AA5534" s="2014"/>
      <c r="AB5534" s="2014"/>
      <c r="AC5534" s="2014"/>
      <c r="AD5534" s="2014"/>
      <c r="AE5534" s="2014"/>
      <c r="AF5534" s="1060">
        <v>0</v>
      </c>
    </row>
    <row r="5535" spans="1:32" ht="15.75" x14ac:dyDescent="0.25">
      <c r="A5535" s="2011"/>
      <c r="B5535" s="2012"/>
      <c r="C5535" s="2012"/>
      <c r="D5535" s="2012"/>
      <c r="E5535" s="2012"/>
      <c r="F5535" s="2012"/>
      <c r="G5535" s="2012"/>
      <c r="H5535" s="2012"/>
      <c r="I5535" s="2012"/>
      <c r="J5535" s="2012"/>
      <c r="K5535" s="2012"/>
      <c r="L5535" s="2012"/>
      <c r="M5535" s="2012"/>
      <c r="N5535" s="2012"/>
      <c r="O5535" s="2012"/>
      <c r="P5535" s="2012"/>
      <c r="Q5535" s="2012"/>
      <c r="R5535" s="2012"/>
      <c r="S5535" s="2012"/>
      <c r="T5535" s="2012"/>
      <c r="U5535" s="2012"/>
      <c r="V5535" s="2012"/>
      <c r="W5535" s="2012"/>
      <c r="X5535" s="2012"/>
      <c r="Y5535" s="2012"/>
      <c r="Z5535" s="2015" t="s">
        <v>1833</v>
      </c>
      <c r="AA5535" s="2015"/>
      <c r="AB5535" s="2015"/>
      <c r="AC5535" s="2015"/>
      <c r="AD5535" s="2015"/>
      <c r="AE5535" s="2015"/>
      <c r="AF5535" s="1061">
        <f>SUM(AF5533:AF5534)</f>
        <v>24</v>
      </c>
    </row>
    <row r="5536" spans="1:32" x14ac:dyDescent="0.2">
      <c r="A5536" s="2012" t="s">
        <v>1859</v>
      </c>
      <c r="B5536" s="2012"/>
      <c r="C5536" s="2012"/>
      <c r="D5536" s="2012"/>
      <c r="E5536" s="2012"/>
      <c r="F5536" s="2012"/>
      <c r="G5536" s="2012"/>
      <c r="H5536" s="2012"/>
      <c r="I5536" s="2012"/>
      <c r="J5536" s="2012"/>
      <c r="K5536" s="2012"/>
      <c r="L5536" s="2012"/>
      <c r="M5536" s="2012"/>
      <c r="N5536" s="2012"/>
      <c r="O5536" s="2012"/>
      <c r="P5536" s="2012"/>
      <c r="Q5536" s="2012"/>
      <c r="R5536" s="2012"/>
      <c r="S5536" s="2012"/>
      <c r="T5536" s="2016" t="s">
        <v>1840</v>
      </c>
      <c r="U5536" s="2016"/>
      <c r="V5536" s="2016"/>
      <c r="W5536" s="2016"/>
      <c r="X5536" s="2016"/>
      <c r="Y5536" s="2016"/>
      <c r="Z5536" s="2016"/>
      <c r="AA5536" s="2016"/>
      <c r="AB5536" s="2012" t="s">
        <v>1852</v>
      </c>
      <c r="AC5536" s="2012"/>
      <c r="AD5536" s="2012"/>
      <c r="AE5536" s="2012"/>
      <c r="AF5536" s="2012"/>
    </row>
    <row r="5537" spans="1:32" x14ac:dyDescent="0.2">
      <c r="A5537" s="2012"/>
      <c r="B5537" s="2012"/>
      <c r="C5537" s="2012"/>
      <c r="D5537" s="2012"/>
      <c r="E5537" s="2012"/>
      <c r="F5537" s="2012"/>
      <c r="G5537" s="2012"/>
      <c r="H5537" s="2012"/>
      <c r="I5537" s="2012"/>
      <c r="J5537" s="2012"/>
      <c r="K5537" s="2012"/>
      <c r="L5537" s="2012"/>
      <c r="M5537" s="2012"/>
      <c r="N5537" s="2012"/>
      <c r="O5537" s="2012"/>
      <c r="P5537" s="2012"/>
      <c r="Q5537" s="2012"/>
      <c r="R5537" s="2012"/>
      <c r="S5537" s="2012"/>
      <c r="T5537" s="2016"/>
      <c r="U5537" s="2016"/>
      <c r="V5537" s="2016"/>
      <c r="W5537" s="2016"/>
      <c r="X5537" s="2016"/>
      <c r="Y5537" s="2016"/>
      <c r="Z5537" s="2016"/>
      <c r="AA5537" s="2016"/>
      <c r="AB5537" s="2012"/>
      <c r="AC5537" s="2012"/>
      <c r="AD5537" s="2012"/>
      <c r="AE5537" s="2012"/>
      <c r="AF5537" s="2012"/>
    </row>
    <row r="5538" spans="1:32" ht="13.5" thickBot="1" x14ac:dyDescent="0.25"/>
    <row r="5539" spans="1:32" ht="26.45" customHeight="1" x14ac:dyDescent="0.2">
      <c r="A5539" s="2025" t="s">
        <v>1854</v>
      </c>
      <c r="B5539" s="2026"/>
      <c r="C5539" s="2026"/>
      <c r="D5539" s="2026"/>
      <c r="E5539" s="2026"/>
      <c r="F5539" s="2026"/>
      <c r="G5539" s="2026"/>
      <c r="H5539" s="2026"/>
      <c r="I5539" s="2026"/>
      <c r="J5539" s="2026"/>
      <c r="K5539" s="2026"/>
      <c r="L5539" s="2026"/>
      <c r="M5539" s="2026"/>
      <c r="N5539" s="2026"/>
      <c r="O5539" s="2026"/>
      <c r="P5539" s="2026"/>
      <c r="Q5539" s="2026"/>
      <c r="R5539" s="2026"/>
      <c r="S5539" s="2026"/>
      <c r="T5539" s="2026"/>
      <c r="U5539" s="2026"/>
      <c r="V5539" s="2026"/>
      <c r="W5539" s="2026"/>
      <c r="X5539" s="2026"/>
      <c r="Y5539" s="2026"/>
      <c r="Z5539" s="2026"/>
      <c r="AA5539" s="2026"/>
      <c r="AB5539" s="2026"/>
      <c r="AC5539" s="2026"/>
      <c r="AD5539" s="2026"/>
      <c r="AE5539" s="1041" t="s">
        <v>1834</v>
      </c>
      <c r="AF5539" s="1042" t="s">
        <v>1835</v>
      </c>
    </row>
    <row r="5540" spans="1:32" ht="21" customHeight="1" thickBot="1" x14ac:dyDescent="0.25">
      <c r="A5540" s="2027"/>
      <c r="B5540" s="2028"/>
      <c r="C5540" s="2028"/>
      <c r="D5540" s="2028"/>
      <c r="E5540" s="2028"/>
      <c r="F5540" s="2028"/>
      <c r="G5540" s="2028"/>
      <c r="H5540" s="2028"/>
      <c r="I5540" s="2028"/>
      <c r="J5540" s="2028"/>
      <c r="K5540" s="2028"/>
      <c r="L5540" s="2028"/>
      <c r="M5540" s="2028"/>
      <c r="N5540" s="2028"/>
      <c r="O5540" s="2028"/>
      <c r="P5540" s="2028"/>
      <c r="Q5540" s="2028"/>
      <c r="R5540" s="2028"/>
      <c r="S5540" s="2028"/>
      <c r="T5540" s="2028"/>
      <c r="U5540" s="2028"/>
      <c r="V5540" s="2028"/>
      <c r="W5540" s="2028"/>
      <c r="X5540" s="2028"/>
      <c r="Y5540" s="2028"/>
      <c r="Z5540" s="2028"/>
      <c r="AA5540" s="2028"/>
      <c r="AB5540" s="2028"/>
      <c r="AC5540" s="2028"/>
      <c r="AD5540" s="2028"/>
      <c r="AE5540" s="1041" t="s">
        <v>1836</v>
      </c>
      <c r="AF5540" s="1044">
        <v>1</v>
      </c>
    </row>
    <row r="5541" spans="1:32" ht="15.75" x14ac:dyDescent="0.2">
      <c r="A5541" s="2029"/>
      <c r="B5541" s="2030"/>
      <c r="C5541" s="2030"/>
      <c r="D5541" s="2031"/>
      <c r="E5541" s="2025" t="str">
        <f>'01'!$A$12</f>
        <v>"CONSTRUCCION SISTEMA DE ACUEDUCTO FASE II DEL MUNICIPIO DE TESALIA DPTO DEL HUILA"</v>
      </c>
      <c r="F5541" s="2026"/>
      <c r="G5541" s="2026"/>
      <c r="H5541" s="2026"/>
      <c r="I5541" s="2026"/>
      <c r="J5541" s="2026"/>
      <c r="K5541" s="2026"/>
      <c r="L5541" s="2026"/>
      <c r="M5541" s="2026"/>
      <c r="N5541" s="2026"/>
      <c r="O5541" s="2026"/>
      <c r="P5541" s="2026"/>
      <c r="Q5541" s="2026"/>
      <c r="R5541" s="2026"/>
      <c r="S5541" s="2026"/>
      <c r="T5541" s="2026"/>
      <c r="U5541" s="2026"/>
      <c r="V5541" s="2026"/>
      <c r="W5541" s="2026"/>
      <c r="X5541" s="2026"/>
      <c r="Y5541" s="2026"/>
      <c r="Z5541" s="2026"/>
      <c r="AA5541" s="2026"/>
      <c r="AB5541" s="2026"/>
      <c r="AC5541" s="2026"/>
      <c r="AD5541" s="2035"/>
      <c r="AE5541" s="1041" t="s">
        <v>847</v>
      </c>
      <c r="AF5541" s="1045">
        <f>'01'!$M$13</f>
        <v>0</v>
      </c>
    </row>
    <row r="5542" spans="1:32" ht="16.5" thickBot="1" x14ac:dyDescent="0.25">
      <c r="A5542" s="2032"/>
      <c r="B5542" s="2033"/>
      <c r="C5542" s="2033"/>
      <c r="D5542" s="2034"/>
      <c r="E5542" s="2027"/>
      <c r="F5542" s="2028"/>
      <c r="G5542" s="2028"/>
      <c r="H5542" s="2028"/>
      <c r="I5542" s="2028"/>
      <c r="J5542" s="2028"/>
      <c r="K5542" s="2028"/>
      <c r="L5542" s="2028"/>
      <c r="M5542" s="2028"/>
      <c r="N5542" s="2028"/>
      <c r="O5542" s="2028"/>
      <c r="P5542" s="2028"/>
      <c r="Q5542" s="2028"/>
      <c r="R5542" s="2028"/>
      <c r="S5542" s="2028"/>
      <c r="T5542" s="2028"/>
      <c r="U5542" s="2028"/>
      <c r="V5542" s="2028"/>
      <c r="W5542" s="2028"/>
      <c r="X5542" s="2028"/>
      <c r="Y5542" s="2028"/>
      <c r="Z5542" s="2028"/>
      <c r="AA5542" s="2028"/>
      <c r="AB5542" s="2028"/>
      <c r="AC5542" s="2028"/>
      <c r="AD5542" s="2036"/>
      <c r="AE5542" s="1041" t="s">
        <v>1837</v>
      </c>
      <c r="AF5542" s="1042" t="s">
        <v>1838</v>
      </c>
    </row>
    <row r="5543" spans="1:32" ht="15.75" x14ac:dyDescent="0.25">
      <c r="A5543" s="2037" t="s">
        <v>1860</v>
      </c>
      <c r="B5543" s="2038"/>
      <c r="C5543" s="2038"/>
      <c r="D5543" s="2038"/>
      <c r="E5543" s="2038"/>
      <c r="F5543" s="2038"/>
      <c r="G5543" s="2038"/>
      <c r="H5543" s="2038"/>
      <c r="I5543" s="2038"/>
      <c r="J5543" s="2038"/>
      <c r="K5543" s="2038"/>
      <c r="L5543" s="2038"/>
      <c r="M5543" s="2038"/>
      <c r="N5543" s="2038"/>
      <c r="O5543" s="2038"/>
      <c r="P5543" s="2038"/>
      <c r="Q5543" s="2038"/>
      <c r="R5543" s="2038"/>
      <c r="S5543" s="2038"/>
      <c r="T5543" s="2038"/>
      <c r="U5543" s="2038"/>
      <c r="V5543" s="2038"/>
      <c r="W5543" s="2038"/>
      <c r="X5543" s="2038"/>
      <c r="Y5543" s="2038"/>
      <c r="Z5543" s="2038"/>
      <c r="AA5543" s="2038"/>
      <c r="AB5543" s="2038"/>
      <c r="AC5543" s="2038"/>
      <c r="AD5543" s="2038"/>
      <c r="AE5543" s="2039" t="s">
        <v>1839</v>
      </c>
      <c r="AF5543" s="2040"/>
    </row>
    <row r="5544" spans="1:32" ht="15.75" x14ac:dyDescent="0.25">
      <c r="A5544" s="2041" t="s">
        <v>1840</v>
      </c>
      <c r="B5544" s="2042"/>
      <c r="C5544" s="2042"/>
      <c r="D5544" s="2042"/>
      <c r="E5544" s="2042"/>
      <c r="F5544" s="2042"/>
      <c r="G5544" s="2042"/>
      <c r="H5544" s="2042"/>
      <c r="I5544" s="2042"/>
      <c r="J5544" s="2042"/>
      <c r="K5544" s="2042"/>
      <c r="L5544" s="2042"/>
      <c r="M5544" s="2042"/>
      <c r="N5544" s="2042"/>
      <c r="O5544" s="2042"/>
      <c r="P5544" s="2042"/>
      <c r="Q5544" s="2042"/>
      <c r="R5544" s="2042"/>
      <c r="S5544" s="2042"/>
      <c r="T5544" s="2042"/>
      <c r="U5544" s="2042"/>
      <c r="V5544" s="2042"/>
      <c r="W5544" s="2042"/>
      <c r="X5544" s="2042"/>
      <c r="Y5544" s="2042"/>
      <c r="Z5544" s="2042"/>
      <c r="AA5544" s="2042"/>
      <c r="AB5544" s="2042"/>
      <c r="AC5544" s="2042"/>
      <c r="AD5544" s="2043"/>
      <c r="AE5544" s="2014" t="s">
        <v>1841</v>
      </c>
      <c r="AF5544" s="2044"/>
    </row>
    <row r="5545" spans="1:32" ht="15.75" x14ac:dyDescent="0.25">
      <c r="A5545" s="2045" t="s">
        <v>1853</v>
      </c>
      <c r="B5545" s="2046"/>
      <c r="C5545" s="2046"/>
      <c r="D5545" s="2046"/>
      <c r="E5545" s="2046"/>
      <c r="F5545" s="2046"/>
      <c r="G5545" s="2046"/>
      <c r="H5545" s="2046"/>
      <c r="I5545" s="2046"/>
      <c r="J5545" s="2046"/>
      <c r="K5545" s="2046"/>
      <c r="L5545" s="2046"/>
      <c r="M5545" s="2046"/>
      <c r="N5545" s="2046"/>
      <c r="O5545" s="2046"/>
      <c r="P5545" s="2046"/>
      <c r="Q5545" s="2046"/>
      <c r="R5545" s="2046"/>
      <c r="S5545" s="2046"/>
      <c r="T5545" s="2046"/>
      <c r="U5545" s="2046"/>
      <c r="V5545" s="2046"/>
      <c r="W5545" s="2046"/>
      <c r="X5545" s="2046"/>
      <c r="Y5545" s="2046"/>
      <c r="Z5545" s="2046"/>
      <c r="AA5545" s="2046"/>
      <c r="AB5545" s="2046"/>
      <c r="AC5545" s="2046"/>
      <c r="AD5545" s="2046"/>
      <c r="AE5545" s="2047">
        <f>'01'!$M$13</f>
        <v>0</v>
      </c>
      <c r="AF5545" s="2044"/>
    </row>
    <row r="5546" spans="1:32" x14ac:dyDescent="0.2">
      <c r="A5546" s="1046"/>
      <c r="B5546" s="1047"/>
      <c r="C5546" s="1047"/>
      <c r="D5546" s="1047"/>
      <c r="E5546" s="1047"/>
      <c r="F5546" s="1047"/>
      <c r="G5546" s="1047"/>
      <c r="H5546" s="1047"/>
      <c r="I5546" s="1047"/>
      <c r="J5546" s="1047"/>
      <c r="K5546" s="1047"/>
      <c r="L5546" s="1047"/>
      <c r="M5546" s="1047"/>
      <c r="N5546" s="1047"/>
      <c r="O5546" s="1047"/>
      <c r="P5546" s="1047"/>
      <c r="Q5546" s="1047"/>
      <c r="R5546" s="1047"/>
      <c r="S5546" s="1047"/>
      <c r="T5546" s="1047"/>
      <c r="U5546" s="1047"/>
      <c r="V5546" s="1047"/>
      <c r="W5546" s="1047"/>
      <c r="X5546" s="1047"/>
      <c r="Y5546" s="1047"/>
      <c r="Z5546" s="1047"/>
      <c r="AA5546" s="1047"/>
      <c r="AB5546" s="1047"/>
      <c r="AC5546" s="1047"/>
      <c r="AD5546" s="1047"/>
      <c r="AE5546" s="1047"/>
      <c r="AF5546" s="1048"/>
    </row>
    <row r="5547" spans="1:32" ht="30" customHeight="1" x14ac:dyDescent="0.2">
      <c r="A5547" s="2048" t="s">
        <v>1842</v>
      </c>
      <c r="B5547" s="2049"/>
      <c r="C5547" s="2049"/>
      <c r="D5547" s="2049"/>
      <c r="E5547" s="2049"/>
      <c r="F5547" s="2050" t="str">
        <f>+'01'!$H$201</f>
        <v>H - TANQUE DE ALMACENAMIENTO</v>
      </c>
      <c r="G5547" s="2049"/>
      <c r="H5547" s="2049"/>
      <c r="I5547" s="2049"/>
      <c r="J5547" s="2049"/>
      <c r="K5547" s="2049"/>
      <c r="L5547" s="2049"/>
      <c r="M5547" s="2049"/>
      <c r="N5547" s="2049"/>
      <c r="O5547" s="2049"/>
      <c r="P5547" s="2049"/>
      <c r="Q5547" s="2049"/>
      <c r="R5547" s="2049"/>
      <c r="S5547" s="2049"/>
      <c r="T5547" s="2049"/>
      <c r="U5547" s="2049"/>
      <c r="V5547" s="2049"/>
      <c r="W5547" s="2049"/>
      <c r="X5547" s="2049"/>
      <c r="Y5547" s="2051"/>
      <c r="Z5547" s="2052" t="s">
        <v>1843</v>
      </c>
      <c r="AA5547" s="2053"/>
      <c r="AB5547" s="2058" t="s">
        <v>1844</v>
      </c>
      <c r="AC5547" s="2059"/>
      <c r="AD5547" s="2060"/>
      <c r="AE5547" s="2064" t="s">
        <v>1845</v>
      </c>
      <c r="AF5547" s="2067" t="s">
        <v>1846</v>
      </c>
    </row>
    <row r="5548" spans="1:32" ht="15" customHeight="1" x14ac:dyDescent="0.2">
      <c r="A5548" s="2070" t="str">
        <f>+'01'!A228</f>
        <v>H-08-08</v>
      </c>
      <c r="B5548" s="2071"/>
      <c r="C5548" s="2072"/>
      <c r="D5548" s="2076" t="str">
        <f>VLOOKUP(A5548,'01'!$A$12:$N$299,3,FALSE)</f>
        <v>SUMINISTRO E INSTALACIÓN DE ESCALERA GATO PARA INSPECCIÓN DE ESTRUCTURAS.</v>
      </c>
      <c r="E5548" s="2077"/>
      <c r="F5548" s="2077"/>
      <c r="G5548" s="2077"/>
      <c r="H5548" s="2077"/>
      <c r="I5548" s="2077"/>
      <c r="J5548" s="2077"/>
      <c r="K5548" s="2077"/>
      <c r="L5548" s="2077"/>
      <c r="M5548" s="2077"/>
      <c r="N5548" s="2077"/>
      <c r="O5548" s="2077"/>
      <c r="P5548" s="2077"/>
      <c r="Q5548" s="2077"/>
      <c r="R5548" s="2077"/>
      <c r="S5548" s="2078"/>
      <c r="T5548" s="2082" t="s">
        <v>124</v>
      </c>
      <c r="U5548" s="2083"/>
      <c r="V5548" s="2083"/>
      <c r="W5548" s="2083"/>
      <c r="X5548" s="2052" t="str">
        <f>VLOOKUP(A5548,'01'!$A$12:$N$299,9,FALSE)</f>
        <v>UND</v>
      </c>
      <c r="Y5548" s="2053"/>
      <c r="Z5548" s="2054"/>
      <c r="AA5548" s="2055"/>
      <c r="AB5548" s="2061"/>
      <c r="AC5548" s="2062"/>
      <c r="AD5548" s="2063"/>
      <c r="AE5548" s="2065"/>
      <c r="AF5548" s="2068"/>
    </row>
    <row r="5549" spans="1:32" ht="15" customHeight="1" x14ac:dyDescent="0.25">
      <c r="A5549" s="2073"/>
      <c r="B5549" s="2074"/>
      <c r="C5549" s="2075"/>
      <c r="D5549" s="2079"/>
      <c r="E5549" s="2080"/>
      <c r="F5549" s="2080"/>
      <c r="G5549" s="2080"/>
      <c r="H5549" s="2080"/>
      <c r="I5549" s="2080"/>
      <c r="J5549" s="2080"/>
      <c r="K5549" s="2080"/>
      <c r="L5549" s="2080"/>
      <c r="M5549" s="2080"/>
      <c r="N5549" s="2080"/>
      <c r="O5549" s="2080"/>
      <c r="P5549" s="2080"/>
      <c r="Q5549" s="2080"/>
      <c r="R5549" s="2080"/>
      <c r="S5549" s="2081"/>
      <c r="T5549" s="2084"/>
      <c r="U5549" s="2085"/>
      <c r="V5549" s="2085"/>
      <c r="W5549" s="2085"/>
      <c r="X5549" s="2056"/>
      <c r="Y5549" s="2057"/>
      <c r="Z5549" s="2056"/>
      <c r="AA5549" s="2057"/>
      <c r="AB5549" s="1049" t="s">
        <v>1847</v>
      </c>
      <c r="AC5549" s="1049" t="s">
        <v>1848</v>
      </c>
      <c r="AD5549" s="1049" t="s">
        <v>1861</v>
      </c>
      <c r="AE5549" s="2066"/>
      <c r="AF5549" s="2069"/>
    </row>
    <row r="5550" spans="1:32" ht="15.6" customHeight="1" x14ac:dyDescent="0.25">
      <c r="A5550" s="2017"/>
      <c r="B5550" s="2018"/>
      <c r="C5550" s="2018"/>
      <c r="D5550" s="2018"/>
      <c r="E5550" s="2018"/>
      <c r="F5550" s="2018"/>
      <c r="G5550" s="2018"/>
      <c r="H5550" s="2018"/>
      <c r="I5550" s="2018"/>
      <c r="J5550" s="2018"/>
      <c r="K5550" s="2018"/>
      <c r="L5550" s="2018"/>
      <c r="M5550" s="2018"/>
      <c r="N5550" s="2018"/>
      <c r="O5550" s="2018"/>
      <c r="P5550" s="2018"/>
      <c r="Q5550" s="2018"/>
      <c r="R5550" s="2018"/>
      <c r="S5550" s="2018"/>
      <c r="T5550" s="2018"/>
      <c r="U5550" s="2018"/>
      <c r="V5550" s="2018"/>
      <c r="W5550" s="2018"/>
      <c r="X5550" s="2018"/>
      <c r="Y5550" s="2018"/>
      <c r="Z5550" s="2021" t="s">
        <v>2521</v>
      </c>
      <c r="AA5550" s="2021"/>
      <c r="AB5550" s="1050"/>
      <c r="AC5550" s="1050"/>
      <c r="AD5550" s="1050"/>
      <c r="AE5550" s="1050"/>
      <c r="AF5550" s="1052">
        <f>+AE5550</f>
        <v>0</v>
      </c>
    </row>
    <row r="5551" spans="1:32" ht="15.6" customHeight="1" x14ac:dyDescent="0.25">
      <c r="A5551" s="2017"/>
      <c r="B5551" s="2018"/>
      <c r="C5551" s="2018"/>
      <c r="D5551" s="2018"/>
      <c r="E5551" s="2018"/>
      <c r="F5551" s="2018"/>
      <c r="G5551" s="2018"/>
      <c r="H5551" s="2018"/>
      <c r="I5551" s="2018"/>
      <c r="J5551" s="2018"/>
      <c r="K5551" s="2018"/>
      <c r="L5551" s="2018"/>
      <c r="M5551" s="2018"/>
      <c r="N5551" s="2018"/>
      <c r="O5551" s="2018"/>
      <c r="P5551" s="2018"/>
      <c r="Q5551" s="2018"/>
      <c r="R5551" s="2018"/>
      <c r="S5551" s="2018"/>
      <c r="T5551" s="2018"/>
      <c r="U5551" s="2018"/>
      <c r="V5551" s="2018"/>
      <c r="W5551" s="2018"/>
      <c r="X5551" s="2018"/>
      <c r="Y5551" s="2018"/>
      <c r="Z5551" s="2021" t="s">
        <v>2536</v>
      </c>
      <c r="AA5551" s="2021"/>
      <c r="AB5551" s="1050">
        <v>0.3</v>
      </c>
      <c r="AC5551" s="1050"/>
      <c r="AD5551" s="1050">
        <v>3.6</v>
      </c>
      <c r="AE5551" s="1050">
        <f>+AD5551/AB5551</f>
        <v>12</v>
      </c>
      <c r="AF5551" s="1052">
        <f t="shared" ref="AF5551:AF5554" si="78">+AE5551</f>
        <v>12</v>
      </c>
    </row>
    <row r="5552" spans="1:32" ht="15.6" customHeight="1" x14ac:dyDescent="0.25">
      <c r="A5552" s="2017"/>
      <c r="B5552" s="2018"/>
      <c r="C5552" s="2018"/>
      <c r="D5552" s="2018"/>
      <c r="E5552" s="2018"/>
      <c r="F5552" s="2018"/>
      <c r="G5552" s="2018"/>
      <c r="H5552" s="2018"/>
      <c r="I5552" s="2018"/>
      <c r="J5552" s="2018"/>
      <c r="K5552" s="2018"/>
      <c r="L5552" s="2018"/>
      <c r="M5552" s="2018"/>
      <c r="N5552" s="2018"/>
      <c r="O5552" s="2018"/>
      <c r="P5552" s="2018"/>
      <c r="Q5552" s="2018"/>
      <c r="R5552" s="2018"/>
      <c r="S5552" s="2018"/>
      <c r="T5552" s="2018"/>
      <c r="U5552" s="2018"/>
      <c r="V5552" s="2018"/>
      <c r="W5552" s="2018"/>
      <c r="X5552" s="2018"/>
      <c r="Y5552" s="2018"/>
      <c r="Z5552" s="2021" t="s">
        <v>2537</v>
      </c>
      <c r="AA5552" s="2021"/>
      <c r="AB5552" s="1050">
        <v>0.3</v>
      </c>
      <c r="AC5552" s="1050"/>
      <c r="AD5552" s="1050">
        <v>3.6</v>
      </c>
      <c r="AE5552" s="1050">
        <f t="shared" ref="AE5552:AE5553" si="79">+AD5552/AB5552</f>
        <v>12</v>
      </c>
      <c r="AF5552" s="1052">
        <f t="shared" si="78"/>
        <v>12</v>
      </c>
    </row>
    <row r="5553" spans="1:32" ht="15.75" x14ac:dyDescent="0.25">
      <c r="A5553" s="2017"/>
      <c r="B5553" s="2018"/>
      <c r="C5553" s="2018"/>
      <c r="D5553" s="2018"/>
      <c r="E5553" s="2018"/>
      <c r="F5553" s="2018"/>
      <c r="G5553" s="2018"/>
      <c r="H5553" s="2018"/>
      <c r="I5553" s="2018"/>
      <c r="J5553" s="2018"/>
      <c r="K5553" s="2018"/>
      <c r="L5553" s="2018"/>
      <c r="M5553" s="2018"/>
      <c r="N5553" s="2018"/>
      <c r="O5553" s="2018"/>
      <c r="P5553" s="2018"/>
      <c r="Q5553" s="2018"/>
      <c r="R5553" s="2018"/>
      <c r="S5553" s="2018"/>
      <c r="T5553" s="2018"/>
      <c r="U5553" s="2018"/>
      <c r="V5553" s="2018"/>
      <c r="W5553" s="2018"/>
      <c r="X5553" s="2018"/>
      <c r="Y5553" s="2018"/>
      <c r="Z5553" s="2021" t="s">
        <v>2460</v>
      </c>
      <c r="AA5553" s="2021"/>
      <c r="AB5553" s="1050">
        <v>0.3</v>
      </c>
      <c r="AC5553" s="1050"/>
      <c r="AD5553" s="1050">
        <v>3.6</v>
      </c>
      <c r="AE5553" s="1050">
        <f t="shared" si="79"/>
        <v>12</v>
      </c>
      <c r="AF5553" s="1052">
        <f t="shared" si="78"/>
        <v>12</v>
      </c>
    </row>
    <row r="5554" spans="1:32" ht="15.6" customHeight="1" x14ac:dyDescent="0.25">
      <c r="A5554" s="2017"/>
      <c r="B5554" s="2018"/>
      <c r="C5554" s="2018"/>
      <c r="D5554" s="2018"/>
      <c r="E5554" s="2018"/>
      <c r="F5554" s="2018"/>
      <c r="G5554" s="2018"/>
      <c r="H5554" s="2018"/>
      <c r="I5554" s="2018"/>
      <c r="J5554" s="2018"/>
      <c r="K5554" s="2018"/>
      <c r="L5554" s="2018"/>
      <c r="M5554" s="2018"/>
      <c r="N5554" s="2018"/>
      <c r="O5554" s="2018"/>
      <c r="P5554" s="2018"/>
      <c r="Q5554" s="2018"/>
      <c r="R5554" s="2018"/>
      <c r="S5554" s="2018"/>
      <c r="T5554" s="2018"/>
      <c r="U5554" s="2018"/>
      <c r="V5554" s="2018"/>
      <c r="W5554" s="2018"/>
      <c r="X5554" s="2018"/>
      <c r="Y5554" s="2018"/>
      <c r="Z5554" s="2021" t="s">
        <v>2528</v>
      </c>
      <c r="AA5554" s="2021"/>
      <c r="AB5554" s="1050"/>
      <c r="AC5554" s="1050"/>
      <c r="AD5554" s="1050"/>
      <c r="AE5554" s="1050"/>
      <c r="AF5554" s="1052">
        <f t="shared" si="78"/>
        <v>0</v>
      </c>
    </row>
    <row r="5555" spans="1:32" ht="15.75" x14ac:dyDescent="0.25">
      <c r="A5555" s="2017"/>
      <c r="B5555" s="2018"/>
      <c r="C5555" s="2018"/>
      <c r="D5555" s="2018"/>
      <c r="E5555" s="2018"/>
      <c r="F5555" s="2018"/>
      <c r="G5555" s="2018"/>
      <c r="H5555" s="2018"/>
      <c r="I5555" s="2018"/>
      <c r="J5555" s="2018"/>
      <c r="K5555" s="2018"/>
      <c r="L5555" s="2018"/>
      <c r="M5555" s="2018"/>
      <c r="N5555" s="2018"/>
      <c r="O5555" s="2018"/>
      <c r="P5555" s="2018"/>
      <c r="Q5555" s="2018"/>
      <c r="R5555" s="2018"/>
      <c r="S5555" s="2018"/>
      <c r="T5555" s="2018"/>
      <c r="U5555" s="2018"/>
      <c r="V5555" s="2018"/>
      <c r="W5555" s="2018"/>
      <c r="X5555" s="2018"/>
      <c r="Y5555" s="2018"/>
      <c r="Z5555" s="2022"/>
      <c r="AA5555" s="2022"/>
      <c r="AB5555" s="1050"/>
      <c r="AC5555" s="1050"/>
      <c r="AD5555" s="1050"/>
      <c r="AE5555" s="1050"/>
      <c r="AF5555" s="1052"/>
    </row>
    <row r="5556" spans="1:32" ht="15.75" x14ac:dyDescent="0.25">
      <c r="A5556" s="2017"/>
      <c r="B5556" s="2018"/>
      <c r="C5556" s="2018"/>
      <c r="D5556" s="2018"/>
      <c r="E5556" s="2018"/>
      <c r="F5556" s="2018"/>
      <c r="G5556" s="2018"/>
      <c r="H5556" s="2018"/>
      <c r="I5556" s="2018"/>
      <c r="J5556" s="2018"/>
      <c r="K5556" s="2018"/>
      <c r="L5556" s="2018"/>
      <c r="M5556" s="2018"/>
      <c r="N5556" s="2018"/>
      <c r="O5556" s="2018"/>
      <c r="P5556" s="2018"/>
      <c r="Q5556" s="2018"/>
      <c r="R5556" s="2018"/>
      <c r="S5556" s="2018"/>
      <c r="T5556" s="2018"/>
      <c r="U5556" s="2018"/>
      <c r="V5556" s="2018"/>
      <c r="W5556" s="2018"/>
      <c r="X5556" s="2018"/>
      <c r="Y5556" s="2018"/>
      <c r="Z5556" s="2022"/>
      <c r="AA5556" s="2022"/>
      <c r="AB5556" s="1050"/>
      <c r="AC5556" s="1050"/>
      <c r="AD5556" s="1050"/>
      <c r="AE5556" s="1050"/>
      <c r="AF5556" s="1052"/>
    </row>
    <row r="5557" spans="1:32" ht="15.6" customHeight="1" x14ac:dyDescent="0.25">
      <c r="A5557" s="2017"/>
      <c r="B5557" s="2018"/>
      <c r="C5557" s="2018"/>
      <c r="D5557" s="2018"/>
      <c r="E5557" s="2018"/>
      <c r="F5557" s="2018"/>
      <c r="G5557" s="2018"/>
      <c r="H5557" s="2018"/>
      <c r="I5557" s="2018"/>
      <c r="J5557" s="2018"/>
      <c r="K5557" s="2018"/>
      <c r="L5557" s="2018"/>
      <c r="M5557" s="2018"/>
      <c r="N5557" s="2018"/>
      <c r="O5557" s="2018"/>
      <c r="P5557" s="2018"/>
      <c r="Q5557" s="2018"/>
      <c r="R5557" s="2018"/>
      <c r="S5557" s="2018"/>
      <c r="T5557" s="2018"/>
      <c r="U5557" s="2018"/>
      <c r="V5557" s="2018"/>
      <c r="W5557" s="2018"/>
      <c r="X5557" s="2018"/>
      <c r="Y5557" s="2018"/>
      <c r="Z5557" s="2022"/>
      <c r="AA5557" s="2022"/>
      <c r="AB5557" s="1050"/>
      <c r="AC5557" s="1050"/>
      <c r="AD5557" s="1050"/>
      <c r="AE5557" s="1050"/>
      <c r="AF5557" s="1052"/>
    </row>
    <row r="5558" spans="1:32" ht="15.75" x14ac:dyDescent="0.25">
      <c r="A5558" s="2017"/>
      <c r="B5558" s="2018"/>
      <c r="C5558" s="2018"/>
      <c r="D5558" s="2018"/>
      <c r="E5558" s="2018"/>
      <c r="F5558" s="2018"/>
      <c r="G5558" s="2018"/>
      <c r="H5558" s="2018"/>
      <c r="I5558" s="2018"/>
      <c r="J5558" s="2018"/>
      <c r="K5558" s="2018"/>
      <c r="L5558" s="2018"/>
      <c r="M5558" s="2018"/>
      <c r="N5558" s="2018"/>
      <c r="O5558" s="2018"/>
      <c r="P5558" s="2018"/>
      <c r="Q5558" s="2018"/>
      <c r="R5558" s="2018"/>
      <c r="S5558" s="2018"/>
      <c r="T5558" s="2018"/>
      <c r="U5558" s="2018"/>
      <c r="V5558" s="2018"/>
      <c r="W5558" s="2018"/>
      <c r="X5558" s="2018"/>
      <c r="Y5558" s="2018"/>
      <c r="Z5558" s="2022"/>
      <c r="AA5558" s="2022"/>
      <c r="AB5558" s="1050"/>
      <c r="AC5558" s="1050"/>
      <c r="AD5558" s="1050"/>
      <c r="AE5558" s="1050"/>
      <c r="AF5558" s="1052"/>
    </row>
    <row r="5559" spans="1:32" ht="15.75" x14ac:dyDescent="0.25">
      <c r="A5559" s="2017"/>
      <c r="B5559" s="2018"/>
      <c r="C5559" s="2018"/>
      <c r="D5559" s="2018"/>
      <c r="E5559" s="2018"/>
      <c r="F5559" s="2018"/>
      <c r="G5559" s="2018"/>
      <c r="H5559" s="2018"/>
      <c r="I5559" s="2018"/>
      <c r="J5559" s="2018"/>
      <c r="K5559" s="2018"/>
      <c r="L5559" s="2018"/>
      <c r="M5559" s="2018"/>
      <c r="N5559" s="2018"/>
      <c r="O5559" s="2018"/>
      <c r="P5559" s="2018"/>
      <c r="Q5559" s="2018"/>
      <c r="R5559" s="2018"/>
      <c r="S5559" s="2018"/>
      <c r="T5559" s="2018"/>
      <c r="U5559" s="2018"/>
      <c r="V5559" s="2018"/>
      <c r="W5559" s="2018"/>
      <c r="X5559" s="2018"/>
      <c r="Y5559" s="2018"/>
      <c r="Z5559" s="2022"/>
      <c r="AA5559" s="2022"/>
      <c r="AB5559" s="1050"/>
      <c r="AC5559" s="1050"/>
      <c r="AD5559" s="1050"/>
      <c r="AE5559" s="1050"/>
      <c r="AF5559" s="1052"/>
    </row>
    <row r="5560" spans="1:32" ht="15.75" x14ac:dyDescent="0.25">
      <c r="A5560" s="2017"/>
      <c r="B5560" s="2018"/>
      <c r="C5560" s="2018"/>
      <c r="D5560" s="2018"/>
      <c r="E5560" s="2018"/>
      <c r="F5560" s="2018"/>
      <c r="G5560" s="2018"/>
      <c r="H5560" s="2018"/>
      <c r="I5560" s="2018"/>
      <c r="J5560" s="2018"/>
      <c r="K5560" s="2018"/>
      <c r="L5560" s="2018"/>
      <c r="M5560" s="2018"/>
      <c r="N5560" s="2018"/>
      <c r="O5560" s="2018"/>
      <c r="P5560" s="2018"/>
      <c r="Q5560" s="2018"/>
      <c r="R5560" s="2018"/>
      <c r="S5560" s="2018"/>
      <c r="T5560" s="2018"/>
      <c r="U5560" s="2018"/>
      <c r="V5560" s="2018"/>
      <c r="W5560" s="2018"/>
      <c r="X5560" s="2018"/>
      <c r="Y5560" s="2018"/>
      <c r="Z5560" s="2022"/>
      <c r="AA5560" s="2022"/>
      <c r="AB5560" s="1050"/>
      <c r="AC5560" s="1050"/>
      <c r="AD5560" s="1050"/>
      <c r="AE5560" s="1050"/>
      <c r="AF5560" s="1052"/>
    </row>
    <row r="5561" spans="1:32" ht="15.6" customHeight="1" x14ac:dyDescent="0.25">
      <c r="A5561" s="2017"/>
      <c r="B5561" s="2018"/>
      <c r="C5561" s="2018"/>
      <c r="D5561" s="2018"/>
      <c r="E5561" s="2018"/>
      <c r="F5561" s="2018"/>
      <c r="G5561" s="2018"/>
      <c r="H5561" s="2018"/>
      <c r="I5561" s="2018"/>
      <c r="J5561" s="2018"/>
      <c r="K5561" s="2018"/>
      <c r="L5561" s="2018"/>
      <c r="M5561" s="2018"/>
      <c r="N5561" s="2018"/>
      <c r="O5561" s="2018"/>
      <c r="P5561" s="2018"/>
      <c r="Q5561" s="2018"/>
      <c r="R5561" s="2018"/>
      <c r="S5561" s="2018"/>
      <c r="T5561" s="2018"/>
      <c r="U5561" s="2018"/>
      <c r="V5561" s="2018"/>
      <c r="W5561" s="2018"/>
      <c r="X5561" s="2018"/>
      <c r="Y5561" s="2018"/>
      <c r="Z5561" s="2022"/>
      <c r="AA5561" s="2022"/>
      <c r="AB5561" s="1050"/>
      <c r="AC5561" s="1050"/>
      <c r="AD5561" s="1050"/>
      <c r="AE5561" s="1050"/>
      <c r="AF5561" s="1052"/>
    </row>
    <row r="5562" spans="1:32" ht="15.75" x14ac:dyDescent="0.25">
      <c r="A5562" s="2017"/>
      <c r="B5562" s="2018"/>
      <c r="C5562" s="2018"/>
      <c r="D5562" s="2018"/>
      <c r="E5562" s="2018"/>
      <c r="F5562" s="2018"/>
      <c r="G5562" s="2018"/>
      <c r="H5562" s="2018"/>
      <c r="I5562" s="2018"/>
      <c r="J5562" s="2018"/>
      <c r="K5562" s="2018"/>
      <c r="L5562" s="2018"/>
      <c r="M5562" s="2018"/>
      <c r="N5562" s="2018"/>
      <c r="O5562" s="2018"/>
      <c r="P5562" s="2018"/>
      <c r="Q5562" s="2018"/>
      <c r="R5562" s="2018"/>
      <c r="S5562" s="2018"/>
      <c r="T5562" s="2018"/>
      <c r="U5562" s="2018"/>
      <c r="V5562" s="2018"/>
      <c r="W5562" s="2018"/>
      <c r="X5562" s="2018"/>
      <c r="Y5562" s="2018"/>
      <c r="Z5562" s="2022"/>
      <c r="AA5562" s="2022"/>
      <c r="AB5562" s="1050"/>
      <c r="AC5562" s="1050"/>
      <c r="AD5562" s="1050"/>
      <c r="AE5562" s="1050"/>
      <c r="AF5562" s="1052"/>
    </row>
    <row r="5563" spans="1:32" ht="15.75" x14ac:dyDescent="0.25">
      <c r="A5563" s="2017"/>
      <c r="B5563" s="2018"/>
      <c r="C5563" s="2018"/>
      <c r="D5563" s="2018"/>
      <c r="E5563" s="2018"/>
      <c r="F5563" s="2018"/>
      <c r="G5563" s="2018"/>
      <c r="H5563" s="2018"/>
      <c r="I5563" s="2018"/>
      <c r="J5563" s="2018"/>
      <c r="K5563" s="2018"/>
      <c r="L5563" s="2018"/>
      <c r="M5563" s="2018"/>
      <c r="N5563" s="2018"/>
      <c r="O5563" s="2018"/>
      <c r="P5563" s="2018"/>
      <c r="Q5563" s="2018"/>
      <c r="R5563" s="2018"/>
      <c r="S5563" s="2018"/>
      <c r="T5563" s="2018"/>
      <c r="U5563" s="2018"/>
      <c r="V5563" s="2018"/>
      <c r="W5563" s="2018"/>
      <c r="X5563" s="2018"/>
      <c r="Y5563" s="2018"/>
      <c r="Z5563" s="2022"/>
      <c r="AA5563" s="2022"/>
      <c r="AB5563" s="1050"/>
      <c r="AC5563" s="1050"/>
      <c r="AD5563" s="1050"/>
      <c r="AE5563" s="1050"/>
      <c r="AF5563" s="1052"/>
    </row>
    <row r="5564" spans="1:32" ht="15.75" x14ac:dyDescent="0.25">
      <c r="A5564" s="2017"/>
      <c r="B5564" s="2018"/>
      <c r="C5564" s="2018"/>
      <c r="D5564" s="2018"/>
      <c r="E5564" s="2018"/>
      <c r="F5564" s="2018"/>
      <c r="G5564" s="2018"/>
      <c r="H5564" s="2018"/>
      <c r="I5564" s="2018"/>
      <c r="J5564" s="2018"/>
      <c r="K5564" s="2018"/>
      <c r="L5564" s="2018"/>
      <c r="M5564" s="2018"/>
      <c r="N5564" s="2018"/>
      <c r="O5564" s="2018"/>
      <c r="P5564" s="2018"/>
      <c r="Q5564" s="2018"/>
      <c r="R5564" s="2018"/>
      <c r="S5564" s="2018"/>
      <c r="T5564" s="2018"/>
      <c r="U5564" s="2018"/>
      <c r="V5564" s="2018"/>
      <c r="W5564" s="2018"/>
      <c r="X5564" s="2018"/>
      <c r="Y5564" s="2018"/>
      <c r="Z5564" s="2022"/>
      <c r="AA5564" s="2022"/>
      <c r="AB5564" s="1050"/>
      <c r="AC5564" s="1050"/>
      <c r="AD5564" s="1050"/>
      <c r="AE5564" s="1050"/>
      <c r="AF5564" s="1052"/>
    </row>
    <row r="5565" spans="1:32" ht="15.75" x14ac:dyDescent="0.25">
      <c r="A5565" s="2017"/>
      <c r="B5565" s="2018"/>
      <c r="C5565" s="2018"/>
      <c r="D5565" s="2018"/>
      <c r="E5565" s="2018"/>
      <c r="F5565" s="2018"/>
      <c r="G5565" s="2018"/>
      <c r="H5565" s="2018"/>
      <c r="I5565" s="2018"/>
      <c r="J5565" s="2018"/>
      <c r="K5565" s="2018"/>
      <c r="L5565" s="2018"/>
      <c r="M5565" s="2018"/>
      <c r="N5565" s="2018"/>
      <c r="O5565" s="2018"/>
      <c r="P5565" s="2018"/>
      <c r="Q5565" s="2018"/>
      <c r="R5565" s="2018"/>
      <c r="S5565" s="2018"/>
      <c r="T5565" s="2018"/>
      <c r="U5565" s="2018"/>
      <c r="V5565" s="2018"/>
      <c r="W5565" s="2018"/>
      <c r="X5565" s="2018"/>
      <c r="Y5565" s="2018"/>
      <c r="Z5565" s="2022"/>
      <c r="AA5565" s="2022"/>
      <c r="AB5565" s="1050"/>
      <c r="AC5565" s="1050"/>
      <c r="AD5565" s="1050"/>
      <c r="AE5565" s="1050"/>
      <c r="AF5565" s="1052"/>
    </row>
    <row r="5566" spans="1:32" ht="15.75" x14ac:dyDescent="0.25">
      <c r="A5566" s="2017"/>
      <c r="B5566" s="2018"/>
      <c r="C5566" s="2018"/>
      <c r="D5566" s="2018"/>
      <c r="E5566" s="2018"/>
      <c r="F5566" s="2018"/>
      <c r="G5566" s="2018"/>
      <c r="H5566" s="2018"/>
      <c r="I5566" s="2018"/>
      <c r="J5566" s="2018"/>
      <c r="K5566" s="2018"/>
      <c r="L5566" s="2018"/>
      <c r="M5566" s="2018"/>
      <c r="N5566" s="2018"/>
      <c r="O5566" s="2018"/>
      <c r="P5566" s="2018"/>
      <c r="Q5566" s="2018"/>
      <c r="R5566" s="2018"/>
      <c r="S5566" s="2018"/>
      <c r="T5566" s="2018"/>
      <c r="U5566" s="2018"/>
      <c r="V5566" s="2018"/>
      <c r="W5566" s="2018"/>
      <c r="X5566" s="2018"/>
      <c r="Y5566" s="2018"/>
      <c r="Z5566" s="2022"/>
      <c r="AA5566" s="2022"/>
      <c r="AB5566" s="1050"/>
      <c r="AC5566" s="1050"/>
      <c r="AD5566" s="1050"/>
      <c r="AE5566" s="1050"/>
      <c r="AF5566" s="1052"/>
    </row>
    <row r="5567" spans="1:32" ht="15.75" x14ac:dyDescent="0.25">
      <c r="A5567" s="2017"/>
      <c r="B5567" s="2018"/>
      <c r="C5567" s="2018"/>
      <c r="D5567" s="2018"/>
      <c r="E5567" s="2018"/>
      <c r="F5567" s="2018"/>
      <c r="G5567" s="2018"/>
      <c r="H5567" s="2018"/>
      <c r="I5567" s="2018"/>
      <c r="J5567" s="2018"/>
      <c r="K5567" s="2018"/>
      <c r="L5567" s="2018"/>
      <c r="M5567" s="2018"/>
      <c r="N5567" s="2018"/>
      <c r="O5567" s="2018"/>
      <c r="P5567" s="2018"/>
      <c r="Q5567" s="2018"/>
      <c r="R5567" s="2018"/>
      <c r="S5567" s="2018"/>
      <c r="T5567" s="2018"/>
      <c r="U5567" s="2018"/>
      <c r="V5567" s="2018"/>
      <c r="W5567" s="2018"/>
      <c r="X5567" s="2018"/>
      <c r="Y5567" s="2018"/>
      <c r="Z5567" s="2023"/>
      <c r="AA5567" s="2023"/>
      <c r="AB5567" s="1050"/>
      <c r="AC5567" s="1050"/>
      <c r="AD5567" s="1050"/>
      <c r="AE5567" s="1050"/>
      <c r="AF5567" s="1052"/>
    </row>
    <row r="5568" spans="1:32" ht="15.75" x14ac:dyDescent="0.25">
      <c r="A5568" s="2017"/>
      <c r="B5568" s="2018"/>
      <c r="C5568" s="2018"/>
      <c r="D5568" s="2018"/>
      <c r="E5568" s="2018"/>
      <c r="F5568" s="2018"/>
      <c r="G5568" s="2018"/>
      <c r="H5568" s="2018"/>
      <c r="I5568" s="2018"/>
      <c r="J5568" s="2018"/>
      <c r="K5568" s="2018"/>
      <c r="L5568" s="2018"/>
      <c r="M5568" s="2018"/>
      <c r="N5568" s="2018"/>
      <c r="O5568" s="2018"/>
      <c r="P5568" s="2018"/>
      <c r="Q5568" s="2018"/>
      <c r="R5568" s="2018"/>
      <c r="S5568" s="2018"/>
      <c r="T5568" s="2018"/>
      <c r="U5568" s="2018"/>
      <c r="V5568" s="2018"/>
      <c r="W5568" s="2018"/>
      <c r="X5568" s="2018"/>
      <c r="Y5568" s="2018"/>
      <c r="Z5568" s="2023"/>
      <c r="AA5568" s="2023"/>
      <c r="AB5568" s="1050"/>
      <c r="AC5568" s="1050"/>
      <c r="AD5568" s="1050"/>
      <c r="AE5568" s="1050"/>
      <c r="AF5568" s="1052"/>
    </row>
    <row r="5569" spans="1:32" ht="15.75" x14ac:dyDescent="0.25">
      <c r="A5569" s="2017"/>
      <c r="B5569" s="2018"/>
      <c r="C5569" s="2018"/>
      <c r="D5569" s="2018"/>
      <c r="E5569" s="2018"/>
      <c r="F5569" s="2018"/>
      <c r="G5569" s="2018"/>
      <c r="H5569" s="2018"/>
      <c r="I5569" s="2018"/>
      <c r="J5569" s="2018"/>
      <c r="K5569" s="2018"/>
      <c r="L5569" s="2018"/>
      <c r="M5569" s="2018"/>
      <c r="N5569" s="2018"/>
      <c r="O5569" s="2018"/>
      <c r="P5569" s="2018"/>
      <c r="Q5569" s="2018"/>
      <c r="R5569" s="2018"/>
      <c r="S5569" s="2018"/>
      <c r="T5569" s="2018"/>
      <c r="U5569" s="2018"/>
      <c r="V5569" s="2018"/>
      <c r="W5569" s="2018"/>
      <c r="X5569" s="2018"/>
      <c r="Y5569" s="2018"/>
      <c r="Z5569" s="2023"/>
      <c r="AA5569" s="2023"/>
      <c r="AB5569" s="1050"/>
      <c r="AC5569" s="1050"/>
      <c r="AD5569" s="1050"/>
      <c r="AE5569" s="1050"/>
      <c r="AF5569" s="1052"/>
    </row>
    <row r="5570" spans="1:32" ht="15.75" x14ac:dyDescent="0.25">
      <c r="A5570" s="2017"/>
      <c r="B5570" s="2018"/>
      <c r="C5570" s="2018"/>
      <c r="D5570" s="2018"/>
      <c r="E5570" s="2018"/>
      <c r="F5570" s="2018"/>
      <c r="G5570" s="2018"/>
      <c r="H5570" s="2018"/>
      <c r="I5570" s="2018"/>
      <c r="J5570" s="2018"/>
      <c r="K5570" s="2018"/>
      <c r="L5570" s="2018"/>
      <c r="M5570" s="2018"/>
      <c r="N5570" s="2018"/>
      <c r="O5570" s="2018"/>
      <c r="P5570" s="2018"/>
      <c r="Q5570" s="2018"/>
      <c r="R5570" s="2018"/>
      <c r="S5570" s="2018"/>
      <c r="T5570" s="2018"/>
      <c r="U5570" s="2018"/>
      <c r="V5570" s="2018"/>
      <c r="W5570" s="2018"/>
      <c r="X5570" s="2018"/>
      <c r="Y5570" s="2018"/>
      <c r="Z5570" s="2023"/>
      <c r="AA5570" s="2023"/>
      <c r="AB5570" s="1050"/>
      <c r="AC5570" s="1050"/>
      <c r="AD5570" s="1050"/>
      <c r="AE5570" s="1050"/>
      <c r="AF5570" s="1052"/>
    </row>
    <row r="5571" spans="1:32" ht="15.75" x14ac:dyDescent="0.25">
      <c r="A5571" s="2017"/>
      <c r="B5571" s="2018"/>
      <c r="C5571" s="2018"/>
      <c r="D5571" s="2018"/>
      <c r="E5571" s="2018"/>
      <c r="F5571" s="2018"/>
      <c r="G5571" s="2018"/>
      <c r="H5571" s="2018"/>
      <c r="I5571" s="2018"/>
      <c r="J5571" s="2018"/>
      <c r="K5571" s="2018"/>
      <c r="L5571" s="2018"/>
      <c r="M5571" s="2018"/>
      <c r="N5571" s="2018"/>
      <c r="O5571" s="2018"/>
      <c r="P5571" s="2018"/>
      <c r="Q5571" s="2018"/>
      <c r="R5571" s="2018"/>
      <c r="S5571" s="2018"/>
      <c r="T5571" s="2018"/>
      <c r="U5571" s="2018"/>
      <c r="V5571" s="2018"/>
      <c r="W5571" s="2018"/>
      <c r="X5571" s="2018"/>
      <c r="Y5571" s="2018"/>
      <c r="Z5571" s="2023"/>
      <c r="AA5571" s="2023"/>
      <c r="AB5571" s="1050"/>
      <c r="AC5571" s="1050"/>
      <c r="AD5571" s="1050"/>
      <c r="AE5571" s="1050"/>
      <c r="AF5571" s="1052"/>
    </row>
    <row r="5572" spans="1:32" ht="15.75" x14ac:dyDescent="0.25">
      <c r="A5572" s="2017"/>
      <c r="B5572" s="2018"/>
      <c r="C5572" s="2018"/>
      <c r="D5572" s="2018"/>
      <c r="E5572" s="2018"/>
      <c r="F5572" s="2018"/>
      <c r="G5572" s="2018"/>
      <c r="H5572" s="2018"/>
      <c r="I5572" s="2018"/>
      <c r="J5572" s="2018"/>
      <c r="K5572" s="2018"/>
      <c r="L5572" s="2018"/>
      <c r="M5572" s="2018"/>
      <c r="N5572" s="2018"/>
      <c r="O5572" s="2018"/>
      <c r="P5572" s="2018"/>
      <c r="Q5572" s="2018"/>
      <c r="R5572" s="2018"/>
      <c r="S5572" s="2018"/>
      <c r="T5572" s="2018"/>
      <c r="U5572" s="2018"/>
      <c r="V5572" s="2018"/>
      <c r="W5572" s="2018"/>
      <c r="X5572" s="2018"/>
      <c r="Y5572" s="2018"/>
      <c r="Z5572" s="2023"/>
      <c r="AA5572" s="2023"/>
      <c r="AB5572" s="1050"/>
      <c r="AC5572" s="1050"/>
      <c r="AD5572" s="1050"/>
      <c r="AE5572" s="1050"/>
      <c r="AF5572" s="1052"/>
    </row>
    <row r="5573" spans="1:32" ht="16.5" thickBot="1" x14ac:dyDescent="0.3">
      <c r="A5573" s="2019"/>
      <c r="B5573" s="2020"/>
      <c r="C5573" s="2020"/>
      <c r="D5573" s="2020"/>
      <c r="E5573" s="2020"/>
      <c r="F5573" s="2020"/>
      <c r="G5573" s="2020"/>
      <c r="H5573" s="2020"/>
      <c r="I5573" s="2020"/>
      <c r="J5573" s="2020"/>
      <c r="K5573" s="2020"/>
      <c r="L5573" s="2020"/>
      <c r="M5573" s="2020"/>
      <c r="N5573" s="2020"/>
      <c r="O5573" s="2020"/>
      <c r="P5573" s="2020"/>
      <c r="Q5573" s="2020"/>
      <c r="R5573" s="2020"/>
      <c r="S5573" s="2020"/>
      <c r="T5573" s="2020"/>
      <c r="U5573" s="2020"/>
      <c r="V5573" s="2020"/>
      <c r="W5573" s="2020"/>
      <c r="X5573" s="2020"/>
      <c r="Y5573" s="2020"/>
      <c r="Z5573" s="2024"/>
      <c r="AA5573" s="2024"/>
      <c r="AB5573" s="1057"/>
      <c r="AC5573" s="1057"/>
      <c r="AD5573" s="1057"/>
      <c r="AE5573" s="1057"/>
      <c r="AF5573" s="1058"/>
    </row>
    <row r="5574" spans="1:32" ht="15.75" x14ac:dyDescent="0.25">
      <c r="A5574" s="2009" t="s">
        <v>1855</v>
      </c>
      <c r="B5574" s="2010"/>
      <c r="C5574" s="2010"/>
      <c r="D5574" s="2010"/>
      <c r="E5574" s="2010"/>
      <c r="F5574" s="2010"/>
      <c r="G5574" s="2010"/>
      <c r="H5574" s="2010"/>
      <c r="I5574" s="2010"/>
      <c r="J5574" s="2010"/>
      <c r="K5574" s="2010"/>
      <c r="L5574" s="2010"/>
      <c r="M5574" s="2010"/>
      <c r="N5574" s="2010"/>
      <c r="O5574" s="2010"/>
      <c r="P5574" s="2010"/>
      <c r="Q5574" s="2010"/>
      <c r="R5574" s="2010"/>
      <c r="S5574" s="2010"/>
      <c r="T5574" s="2010"/>
      <c r="U5574" s="2010"/>
      <c r="V5574" s="2010"/>
      <c r="W5574" s="2010"/>
      <c r="X5574" s="2010"/>
      <c r="Y5574" s="2010"/>
      <c r="Z5574" s="2013" t="s">
        <v>1850</v>
      </c>
      <c r="AA5574" s="2013"/>
      <c r="AB5574" s="2013"/>
      <c r="AC5574" s="2013"/>
      <c r="AD5574" s="2013"/>
      <c r="AE5574" s="2013"/>
      <c r="AF5574" s="1059">
        <f>SUM(AF5550:AF5573)</f>
        <v>36</v>
      </c>
    </row>
    <row r="5575" spans="1:32" ht="15.75" x14ac:dyDescent="0.25">
      <c r="A5575" s="2011"/>
      <c r="B5575" s="2012"/>
      <c r="C5575" s="2012"/>
      <c r="D5575" s="2012"/>
      <c r="E5575" s="2012"/>
      <c r="F5575" s="2012"/>
      <c r="G5575" s="2012"/>
      <c r="H5575" s="2012"/>
      <c r="I5575" s="2012"/>
      <c r="J5575" s="2012"/>
      <c r="K5575" s="2012"/>
      <c r="L5575" s="2012"/>
      <c r="M5575" s="2012"/>
      <c r="N5575" s="2012"/>
      <c r="O5575" s="2012"/>
      <c r="P5575" s="2012"/>
      <c r="Q5575" s="2012"/>
      <c r="R5575" s="2012"/>
      <c r="S5575" s="2012"/>
      <c r="T5575" s="2012"/>
      <c r="U5575" s="2012"/>
      <c r="V5575" s="2012"/>
      <c r="W5575" s="2012"/>
      <c r="X5575" s="2012"/>
      <c r="Y5575" s="2012"/>
      <c r="Z5575" s="2014" t="s">
        <v>1851</v>
      </c>
      <c r="AA5575" s="2014"/>
      <c r="AB5575" s="2014"/>
      <c r="AC5575" s="2014"/>
      <c r="AD5575" s="2014"/>
      <c r="AE5575" s="2014"/>
      <c r="AF5575" s="1060">
        <v>0</v>
      </c>
    </row>
    <row r="5576" spans="1:32" ht="15.75" x14ac:dyDescent="0.25">
      <c r="A5576" s="2011"/>
      <c r="B5576" s="2012"/>
      <c r="C5576" s="2012"/>
      <c r="D5576" s="2012"/>
      <c r="E5576" s="2012"/>
      <c r="F5576" s="2012"/>
      <c r="G5576" s="2012"/>
      <c r="H5576" s="2012"/>
      <c r="I5576" s="2012"/>
      <c r="J5576" s="2012"/>
      <c r="K5576" s="2012"/>
      <c r="L5576" s="2012"/>
      <c r="M5576" s="2012"/>
      <c r="N5576" s="2012"/>
      <c r="O5576" s="2012"/>
      <c r="P5576" s="2012"/>
      <c r="Q5576" s="2012"/>
      <c r="R5576" s="2012"/>
      <c r="S5576" s="2012"/>
      <c r="T5576" s="2012"/>
      <c r="U5576" s="2012"/>
      <c r="V5576" s="2012"/>
      <c r="W5576" s="2012"/>
      <c r="X5576" s="2012"/>
      <c r="Y5576" s="2012"/>
      <c r="Z5576" s="2015" t="s">
        <v>1833</v>
      </c>
      <c r="AA5576" s="2015"/>
      <c r="AB5576" s="2015"/>
      <c r="AC5576" s="2015"/>
      <c r="AD5576" s="2015"/>
      <c r="AE5576" s="2015"/>
      <c r="AF5576" s="1061">
        <f>SUM(AF5574:AF5575)</f>
        <v>36</v>
      </c>
    </row>
    <row r="5577" spans="1:32" x14ac:dyDescent="0.2">
      <c r="A5577" s="2012" t="s">
        <v>1859</v>
      </c>
      <c r="B5577" s="2012"/>
      <c r="C5577" s="2012"/>
      <c r="D5577" s="2012"/>
      <c r="E5577" s="2012"/>
      <c r="F5577" s="2012"/>
      <c r="G5577" s="2012"/>
      <c r="H5577" s="2012"/>
      <c r="I5577" s="2012"/>
      <c r="J5577" s="2012"/>
      <c r="K5577" s="2012"/>
      <c r="L5577" s="2012"/>
      <c r="M5577" s="2012"/>
      <c r="N5577" s="2012"/>
      <c r="O5577" s="2012"/>
      <c r="P5577" s="2012"/>
      <c r="Q5577" s="2012"/>
      <c r="R5577" s="2012"/>
      <c r="S5577" s="2012"/>
      <c r="T5577" s="2016" t="s">
        <v>1840</v>
      </c>
      <c r="U5577" s="2016"/>
      <c r="V5577" s="2016"/>
      <c r="W5577" s="2016"/>
      <c r="X5577" s="2016"/>
      <c r="Y5577" s="2016"/>
      <c r="Z5577" s="2016"/>
      <c r="AA5577" s="2016"/>
      <c r="AB5577" s="2012" t="s">
        <v>1852</v>
      </c>
      <c r="AC5577" s="2012"/>
      <c r="AD5577" s="2012"/>
      <c r="AE5577" s="2012"/>
      <c r="AF5577" s="2012"/>
    </row>
    <row r="5578" spans="1:32" x14ac:dyDescent="0.2">
      <c r="A5578" s="2012"/>
      <c r="B5578" s="2012"/>
      <c r="C5578" s="2012"/>
      <c r="D5578" s="2012"/>
      <c r="E5578" s="2012"/>
      <c r="F5578" s="2012"/>
      <c r="G5578" s="2012"/>
      <c r="H5578" s="2012"/>
      <c r="I5578" s="2012"/>
      <c r="J5578" s="2012"/>
      <c r="K5578" s="2012"/>
      <c r="L5578" s="2012"/>
      <c r="M5578" s="2012"/>
      <c r="N5578" s="2012"/>
      <c r="O5578" s="2012"/>
      <c r="P5578" s="2012"/>
      <c r="Q5578" s="2012"/>
      <c r="R5578" s="2012"/>
      <c r="S5578" s="2012"/>
      <c r="T5578" s="2016"/>
      <c r="U5578" s="2016"/>
      <c r="V5578" s="2016"/>
      <c r="W5578" s="2016"/>
      <c r="X5578" s="2016"/>
      <c r="Y5578" s="2016"/>
      <c r="Z5578" s="2016"/>
      <c r="AA5578" s="2016"/>
      <c r="AB5578" s="2012"/>
      <c r="AC5578" s="2012"/>
      <c r="AD5578" s="2012"/>
      <c r="AE5578" s="2012"/>
      <c r="AF5578" s="2012"/>
    </row>
    <row r="5579" spans="1:32" ht="13.5" thickBot="1" x14ac:dyDescent="0.25"/>
    <row r="5580" spans="1:32" ht="26.45" customHeight="1" x14ac:dyDescent="0.2">
      <c r="A5580" s="2025" t="s">
        <v>1854</v>
      </c>
      <c r="B5580" s="2026"/>
      <c r="C5580" s="2026"/>
      <c r="D5580" s="2026"/>
      <c r="E5580" s="2026"/>
      <c r="F5580" s="2026"/>
      <c r="G5580" s="2026"/>
      <c r="H5580" s="2026"/>
      <c r="I5580" s="2026"/>
      <c r="J5580" s="2026"/>
      <c r="K5580" s="2026"/>
      <c r="L5580" s="2026"/>
      <c r="M5580" s="2026"/>
      <c r="N5580" s="2026"/>
      <c r="O5580" s="2026"/>
      <c r="P5580" s="2026"/>
      <c r="Q5580" s="2026"/>
      <c r="R5580" s="2026"/>
      <c r="S5580" s="2026"/>
      <c r="T5580" s="2026"/>
      <c r="U5580" s="2026"/>
      <c r="V5580" s="2026"/>
      <c r="W5580" s="2026"/>
      <c r="X5580" s="2026"/>
      <c r="Y5580" s="2026"/>
      <c r="Z5580" s="2026"/>
      <c r="AA5580" s="2026"/>
      <c r="AB5580" s="2026"/>
      <c r="AC5580" s="2026"/>
      <c r="AD5580" s="2026"/>
      <c r="AE5580" s="1041" t="s">
        <v>1834</v>
      </c>
      <c r="AF5580" s="1042" t="s">
        <v>1835</v>
      </c>
    </row>
    <row r="5581" spans="1:32" ht="21" customHeight="1" thickBot="1" x14ac:dyDescent="0.25">
      <c r="A5581" s="2027"/>
      <c r="B5581" s="2028"/>
      <c r="C5581" s="2028"/>
      <c r="D5581" s="2028"/>
      <c r="E5581" s="2028"/>
      <c r="F5581" s="2028"/>
      <c r="G5581" s="2028"/>
      <c r="H5581" s="2028"/>
      <c r="I5581" s="2028"/>
      <c r="J5581" s="2028"/>
      <c r="K5581" s="2028"/>
      <c r="L5581" s="2028"/>
      <c r="M5581" s="2028"/>
      <c r="N5581" s="2028"/>
      <c r="O5581" s="2028"/>
      <c r="P5581" s="2028"/>
      <c r="Q5581" s="2028"/>
      <c r="R5581" s="2028"/>
      <c r="S5581" s="2028"/>
      <c r="T5581" s="2028"/>
      <c r="U5581" s="2028"/>
      <c r="V5581" s="2028"/>
      <c r="W5581" s="2028"/>
      <c r="X5581" s="2028"/>
      <c r="Y5581" s="2028"/>
      <c r="Z5581" s="2028"/>
      <c r="AA5581" s="2028"/>
      <c r="AB5581" s="2028"/>
      <c r="AC5581" s="2028"/>
      <c r="AD5581" s="2028"/>
      <c r="AE5581" s="1041" t="s">
        <v>1836</v>
      </c>
      <c r="AF5581" s="1044">
        <v>1</v>
      </c>
    </row>
    <row r="5582" spans="1:32" ht="15.75" x14ac:dyDescent="0.2">
      <c r="A5582" s="2029"/>
      <c r="B5582" s="2030"/>
      <c r="C5582" s="2030"/>
      <c r="D5582" s="2031"/>
      <c r="E5582" s="2025" t="str">
        <f>'01'!$A$12</f>
        <v>"CONSTRUCCION SISTEMA DE ACUEDUCTO FASE II DEL MUNICIPIO DE TESALIA DPTO DEL HUILA"</v>
      </c>
      <c r="F5582" s="2026"/>
      <c r="G5582" s="2026"/>
      <c r="H5582" s="2026"/>
      <c r="I5582" s="2026"/>
      <c r="J5582" s="2026"/>
      <c r="K5582" s="2026"/>
      <c r="L5582" s="2026"/>
      <c r="M5582" s="2026"/>
      <c r="N5582" s="2026"/>
      <c r="O5582" s="2026"/>
      <c r="P5582" s="2026"/>
      <c r="Q5582" s="2026"/>
      <c r="R5582" s="2026"/>
      <c r="S5582" s="2026"/>
      <c r="T5582" s="2026"/>
      <c r="U5582" s="2026"/>
      <c r="V5582" s="2026"/>
      <c r="W5582" s="2026"/>
      <c r="X5582" s="2026"/>
      <c r="Y5582" s="2026"/>
      <c r="Z5582" s="2026"/>
      <c r="AA5582" s="2026"/>
      <c r="AB5582" s="2026"/>
      <c r="AC5582" s="2026"/>
      <c r="AD5582" s="2035"/>
      <c r="AE5582" s="1041" t="s">
        <v>847</v>
      </c>
      <c r="AF5582" s="1045">
        <f>'01'!$M$13</f>
        <v>0</v>
      </c>
    </row>
    <row r="5583" spans="1:32" ht="16.5" thickBot="1" x14ac:dyDescent="0.25">
      <c r="A5583" s="2032"/>
      <c r="B5583" s="2033"/>
      <c r="C5583" s="2033"/>
      <c r="D5583" s="2034"/>
      <c r="E5583" s="2027"/>
      <c r="F5583" s="2028"/>
      <c r="G5583" s="2028"/>
      <c r="H5583" s="2028"/>
      <c r="I5583" s="2028"/>
      <c r="J5583" s="2028"/>
      <c r="K5583" s="2028"/>
      <c r="L5583" s="2028"/>
      <c r="M5583" s="2028"/>
      <c r="N5583" s="2028"/>
      <c r="O5583" s="2028"/>
      <c r="P5583" s="2028"/>
      <c r="Q5583" s="2028"/>
      <c r="R5583" s="2028"/>
      <c r="S5583" s="2028"/>
      <c r="T5583" s="2028"/>
      <c r="U5583" s="2028"/>
      <c r="V5583" s="2028"/>
      <c r="W5583" s="2028"/>
      <c r="X5583" s="2028"/>
      <c r="Y5583" s="2028"/>
      <c r="Z5583" s="2028"/>
      <c r="AA5583" s="2028"/>
      <c r="AB5583" s="2028"/>
      <c r="AC5583" s="2028"/>
      <c r="AD5583" s="2036"/>
      <c r="AE5583" s="1041" t="s">
        <v>1837</v>
      </c>
      <c r="AF5583" s="1042" t="s">
        <v>1838</v>
      </c>
    </row>
    <row r="5584" spans="1:32" ht="15.75" x14ac:dyDescent="0.25">
      <c r="A5584" s="2037" t="s">
        <v>1860</v>
      </c>
      <c r="B5584" s="2038"/>
      <c r="C5584" s="2038"/>
      <c r="D5584" s="2038"/>
      <c r="E5584" s="2038"/>
      <c r="F5584" s="2038"/>
      <c r="G5584" s="2038"/>
      <c r="H5584" s="2038"/>
      <c r="I5584" s="2038"/>
      <c r="J5584" s="2038"/>
      <c r="K5584" s="2038"/>
      <c r="L5584" s="2038"/>
      <c r="M5584" s="2038"/>
      <c r="N5584" s="2038"/>
      <c r="O5584" s="2038"/>
      <c r="P5584" s="2038"/>
      <c r="Q5584" s="2038"/>
      <c r="R5584" s="2038"/>
      <c r="S5584" s="2038"/>
      <c r="T5584" s="2038"/>
      <c r="U5584" s="2038"/>
      <c r="V5584" s="2038"/>
      <c r="W5584" s="2038"/>
      <c r="X5584" s="2038"/>
      <c r="Y5584" s="2038"/>
      <c r="Z5584" s="2038"/>
      <c r="AA5584" s="2038"/>
      <c r="AB5584" s="2038"/>
      <c r="AC5584" s="2038"/>
      <c r="AD5584" s="2038"/>
      <c r="AE5584" s="2039" t="s">
        <v>1839</v>
      </c>
      <c r="AF5584" s="2040"/>
    </row>
    <row r="5585" spans="1:32" ht="15.75" x14ac:dyDescent="0.25">
      <c r="A5585" s="2041" t="s">
        <v>1840</v>
      </c>
      <c r="B5585" s="2042"/>
      <c r="C5585" s="2042"/>
      <c r="D5585" s="2042"/>
      <c r="E5585" s="2042"/>
      <c r="F5585" s="2042"/>
      <c r="G5585" s="2042"/>
      <c r="H5585" s="2042"/>
      <c r="I5585" s="2042"/>
      <c r="J5585" s="2042"/>
      <c r="K5585" s="2042"/>
      <c r="L5585" s="2042"/>
      <c r="M5585" s="2042"/>
      <c r="N5585" s="2042"/>
      <c r="O5585" s="2042"/>
      <c r="P5585" s="2042"/>
      <c r="Q5585" s="2042"/>
      <c r="R5585" s="2042"/>
      <c r="S5585" s="2042"/>
      <c r="T5585" s="2042"/>
      <c r="U5585" s="2042"/>
      <c r="V5585" s="2042"/>
      <c r="W5585" s="2042"/>
      <c r="X5585" s="2042"/>
      <c r="Y5585" s="2042"/>
      <c r="Z5585" s="2042"/>
      <c r="AA5585" s="2042"/>
      <c r="AB5585" s="2042"/>
      <c r="AC5585" s="2042"/>
      <c r="AD5585" s="2043"/>
      <c r="AE5585" s="2014" t="s">
        <v>1841</v>
      </c>
      <c r="AF5585" s="2044"/>
    </row>
    <row r="5586" spans="1:32" ht="15.75" x14ac:dyDescent="0.25">
      <c r="A5586" s="2045" t="s">
        <v>1853</v>
      </c>
      <c r="B5586" s="2046"/>
      <c r="C5586" s="2046"/>
      <c r="D5586" s="2046"/>
      <c r="E5586" s="2046"/>
      <c r="F5586" s="2046"/>
      <c r="G5586" s="2046"/>
      <c r="H5586" s="2046"/>
      <c r="I5586" s="2046"/>
      <c r="J5586" s="2046"/>
      <c r="K5586" s="2046"/>
      <c r="L5586" s="2046"/>
      <c r="M5586" s="2046"/>
      <c r="N5586" s="2046"/>
      <c r="O5586" s="2046"/>
      <c r="P5586" s="2046"/>
      <c r="Q5586" s="2046"/>
      <c r="R5586" s="2046"/>
      <c r="S5586" s="2046"/>
      <c r="T5586" s="2046"/>
      <c r="U5586" s="2046"/>
      <c r="V5586" s="2046"/>
      <c r="W5586" s="2046"/>
      <c r="X5586" s="2046"/>
      <c r="Y5586" s="2046"/>
      <c r="Z5586" s="2046"/>
      <c r="AA5586" s="2046"/>
      <c r="AB5586" s="2046"/>
      <c r="AC5586" s="2046"/>
      <c r="AD5586" s="2046"/>
      <c r="AE5586" s="2047">
        <f>'01'!$M$13</f>
        <v>0</v>
      </c>
      <c r="AF5586" s="2044"/>
    </row>
    <row r="5587" spans="1:32" x14ac:dyDescent="0.2">
      <c r="A5587" s="1046"/>
      <c r="B5587" s="1047"/>
      <c r="C5587" s="1047"/>
      <c r="D5587" s="1047"/>
      <c r="E5587" s="1047"/>
      <c r="F5587" s="1047"/>
      <c r="G5587" s="1047"/>
      <c r="H5587" s="1047"/>
      <c r="I5587" s="1047"/>
      <c r="J5587" s="1047"/>
      <c r="K5587" s="1047"/>
      <c r="L5587" s="1047"/>
      <c r="M5587" s="1047"/>
      <c r="N5587" s="1047"/>
      <c r="O5587" s="1047"/>
      <c r="P5587" s="1047"/>
      <c r="Q5587" s="1047"/>
      <c r="R5587" s="1047"/>
      <c r="S5587" s="1047"/>
      <c r="T5587" s="1047"/>
      <c r="U5587" s="1047"/>
      <c r="V5587" s="1047"/>
      <c r="W5587" s="1047"/>
      <c r="X5587" s="1047"/>
      <c r="Y5587" s="1047"/>
      <c r="Z5587" s="1047"/>
      <c r="AA5587" s="1047"/>
      <c r="AB5587" s="1047"/>
      <c r="AC5587" s="1047"/>
      <c r="AD5587" s="1047"/>
      <c r="AE5587" s="1047"/>
      <c r="AF5587" s="1048"/>
    </row>
    <row r="5588" spans="1:32" ht="30" customHeight="1" x14ac:dyDescent="0.2">
      <c r="A5588" s="2048" t="s">
        <v>1842</v>
      </c>
      <c r="B5588" s="2049"/>
      <c r="C5588" s="2049"/>
      <c r="D5588" s="2049"/>
      <c r="E5588" s="2049"/>
      <c r="F5588" s="2050" t="str">
        <f>+'01'!$H$230</f>
        <v>I - TUBERÍA DE INTERCONEXIÓN</v>
      </c>
      <c r="G5588" s="2049"/>
      <c r="H5588" s="2049"/>
      <c r="I5588" s="2049"/>
      <c r="J5588" s="2049"/>
      <c r="K5588" s="2049"/>
      <c r="L5588" s="2049"/>
      <c r="M5588" s="2049"/>
      <c r="N5588" s="2049"/>
      <c r="O5588" s="2049"/>
      <c r="P5588" s="2049"/>
      <c r="Q5588" s="2049"/>
      <c r="R5588" s="2049"/>
      <c r="S5588" s="2049"/>
      <c r="T5588" s="2049"/>
      <c r="U5588" s="2049"/>
      <c r="V5588" s="2049"/>
      <c r="W5588" s="2049"/>
      <c r="X5588" s="2049"/>
      <c r="Y5588" s="2051"/>
      <c r="Z5588" s="2052" t="s">
        <v>1843</v>
      </c>
      <c r="AA5588" s="2053"/>
      <c r="AB5588" s="2058" t="s">
        <v>1844</v>
      </c>
      <c r="AC5588" s="2059"/>
      <c r="AD5588" s="2060"/>
      <c r="AE5588" s="2064" t="s">
        <v>1845</v>
      </c>
      <c r="AF5588" s="2067" t="s">
        <v>1846</v>
      </c>
    </row>
    <row r="5589" spans="1:32" ht="15" customHeight="1" x14ac:dyDescent="0.2">
      <c r="A5589" s="2070" t="str">
        <f>+'01'!A232</f>
        <v>I-01-01</v>
      </c>
      <c r="B5589" s="2071"/>
      <c r="C5589" s="2072"/>
      <c r="D5589" s="2076" t="str">
        <f>VLOOKUP(A5589,'01'!$A$12:$N$299,3,FALSE)</f>
        <v>LOCALIZACIÓN Y REPLANTEO DE REDES (NO INCLUYE EQUIPO DE TOPOGRAFÍA)</v>
      </c>
      <c r="E5589" s="2077"/>
      <c r="F5589" s="2077"/>
      <c r="G5589" s="2077"/>
      <c r="H5589" s="2077"/>
      <c r="I5589" s="2077"/>
      <c r="J5589" s="2077"/>
      <c r="K5589" s="2077"/>
      <c r="L5589" s="2077"/>
      <c r="M5589" s="2077"/>
      <c r="N5589" s="2077"/>
      <c r="O5589" s="2077"/>
      <c r="P5589" s="2077"/>
      <c r="Q5589" s="2077"/>
      <c r="R5589" s="2077"/>
      <c r="S5589" s="2078"/>
      <c r="T5589" s="2082" t="s">
        <v>124</v>
      </c>
      <c r="U5589" s="2083"/>
      <c r="V5589" s="2083"/>
      <c r="W5589" s="2083"/>
      <c r="X5589" s="2052" t="str">
        <f>VLOOKUP(A5589,'01'!$A$12:$N$299,9,FALSE)</f>
        <v>M</v>
      </c>
      <c r="Y5589" s="2053"/>
      <c r="Z5589" s="2054"/>
      <c r="AA5589" s="2055"/>
      <c r="AB5589" s="2061"/>
      <c r="AC5589" s="2062"/>
      <c r="AD5589" s="2063"/>
      <c r="AE5589" s="2065"/>
      <c r="AF5589" s="2068"/>
    </row>
    <row r="5590" spans="1:32" ht="15" customHeight="1" x14ac:dyDescent="0.25">
      <c r="A5590" s="2073"/>
      <c r="B5590" s="2074"/>
      <c r="C5590" s="2075"/>
      <c r="D5590" s="2079"/>
      <c r="E5590" s="2080"/>
      <c r="F5590" s="2080"/>
      <c r="G5590" s="2080"/>
      <c r="H5590" s="2080"/>
      <c r="I5590" s="2080"/>
      <c r="J5590" s="2080"/>
      <c r="K5590" s="2080"/>
      <c r="L5590" s="2080"/>
      <c r="M5590" s="2080"/>
      <c r="N5590" s="2080"/>
      <c r="O5590" s="2080"/>
      <c r="P5590" s="2080"/>
      <c r="Q5590" s="2080"/>
      <c r="R5590" s="2080"/>
      <c r="S5590" s="2081"/>
      <c r="T5590" s="2084"/>
      <c r="U5590" s="2085"/>
      <c r="V5590" s="2085"/>
      <c r="W5590" s="2085"/>
      <c r="X5590" s="2056"/>
      <c r="Y5590" s="2057"/>
      <c r="Z5590" s="2056"/>
      <c r="AA5590" s="2057"/>
      <c r="AB5590" s="1049" t="s">
        <v>1847</v>
      </c>
      <c r="AC5590" s="1049" t="s">
        <v>1848</v>
      </c>
      <c r="AD5590" s="1049" t="s">
        <v>1861</v>
      </c>
      <c r="AE5590" s="2066"/>
      <c r="AF5590" s="2069"/>
    </row>
    <row r="5591" spans="1:32" ht="30" customHeight="1" x14ac:dyDescent="0.25">
      <c r="A5591" s="2017"/>
      <c r="B5591" s="2018"/>
      <c r="C5591" s="2018"/>
      <c r="D5591" s="2018"/>
      <c r="E5591" s="2018"/>
      <c r="F5591" s="2018"/>
      <c r="G5591" s="2018"/>
      <c r="H5591" s="2018"/>
      <c r="I5591" s="2018"/>
      <c r="J5591" s="2018"/>
      <c r="K5591" s="2018"/>
      <c r="L5591" s="2018"/>
      <c r="M5591" s="2018"/>
      <c r="N5591" s="2018"/>
      <c r="O5591" s="2018"/>
      <c r="P5591" s="2018"/>
      <c r="Q5591" s="2018"/>
      <c r="R5591" s="2018"/>
      <c r="S5591" s="2018"/>
      <c r="T5591" s="2018"/>
      <c r="U5591" s="2018"/>
      <c r="V5591" s="2018"/>
      <c r="W5591" s="2018"/>
      <c r="X5591" s="2018"/>
      <c r="Y5591" s="2018"/>
      <c r="Z5591" s="2021" t="s">
        <v>2552</v>
      </c>
      <c r="AA5591" s="2021"/>
      <c r="AB5591" s="1050">
        <v>30</v>
      </c>
      <c r="AC5591" s="1050"/>
      <c r="AD5591" s="1050"/>
      <c r="AE5591" s="1050">
        <v>2</v>
      </c>
      <c r="AF5591" s="1052">
        <f>+ROUND(AB5591*AE5591,2)</f>
        <v>60</v>
      </c>
    </row>
    <row r="5592" spans="1:32" ht="15.6" customHeight="1" x14ac:dyDescent="0.25">
      <c r="A5592" s="2017"/>
      <c r="B5592" s="2018"/>
      <c r="C5592" s="2018"/>
      <c r="D5592" s="2018"/>
      <c r="E5592" s="2018"/>
      <c r="F5592" s="2018"/>
      <c r="G5592" s="2018"/>
      <c r="H5592" s="2018"/>
      <c r="I5592" s="2018"/>
      <c r="J5592" s="2018"/>
      <c r="K5592" s="2018"/>
      <c r="L5592" s="2018"/>
      <c r="M5592" s="2018"/>
      <c r="N5592" s="2018"/>
      <c r="O5592" s="2018"/>
      <c r="P5592" s="2018"/>
      <c r="Q5592" s="2018"/>
      <c r="R5592" s="2018"/>
      <c r="S5592" s="2018"/>
      <c r="T5592" s="2018"/>
      <c r="U5592" s="2018"/>
      <c r="V5592" s="2018"/>
      <c r="W5592" s="2018"/>
      <c r="X5592" s="2018"/>
      <c r="Y5592" s="2018"/>
      <c r="Z5592" s="2021" t="s">
        <v>2553</v>
      </c>
      <c r="AA5592" s="2021"/>
      <c r="AB5592" s="1050">
        <v>10</v>
      </c>
      <c r="AC5592" s="1050"/>
      <c r="AD5592" s="1050"/>
      <c r="AE5592" s="1050">
        <v>1</v>
      </c>
      <c r="AF5592" s="1052">
        <f>+ROUND(AB5592*AE5592,2)</f>
        <v>10</v>
      </c>
    </row>
    <row r="5593" spans="1:32" ht="15.6" customHeight="1" x14ac:dyDescent="0.25">
      <c r="A5593" s="2017"/>
      <c r="B5593" s="2018"/>
      <c r="C5593" s="2018"/>
      <c r="D5593" s="2018"/>
      <c r="E5593" s="2018"/>
      <c r="F5593" s="2018"/>
      <c r="G5593" s="2018"/>
      <c r="H5593" s="2018"/>
      <c r="I5593" s="2018"/>
      <c r="J5593" s="2018"/>
      <c r="K5593" s="2018"/>
      <c r="L5593" s="2018"/>
      <c r="M5593" s="2018"/>
      <c r="N5593" s="2018"/>
      <c r="O5593" s="2018"/>
      <c r="P5593" s="2018"/>
      <c r="Q5593" s="2018"/>
      <c r="R5593" s="2018"/>
      <c r="S5593" s="2018"/>
      <c r="T5593" s="2018"/>
      <c r="U5593" s="2018"/>
      <c r="V5593" s="2018"/>
      <c r="W5593" s="2018"/>
      <c r="X5593" s="2018"/>
      <c r="Y5593" s="2018"/>
      <c r="Z5593" s="2021" t="s">
        <v>2554</v>
      </c>
      <c r="AA5593" s="2021"/>
      <c r="AB5593" s="1050">
        <v>15</v>
      </c>
      <c r="AC5593" s="1050"/>
      <c r="AD5593" s="1050"/>
      <c r="AE5593" s="1050">
        <v>1</v>
      </c>
      <c r="AF5593" s="1052">
        <f>+ROUND(AB5593*AE5593,2)</f>
        <v>15</v>
      </c>
    </row>
    <row r="5594" spans="1:32" ht="15.75" x14ac:dyDescent="0.25">
      <c r="A5594" s="2017"/>
      <c r="B5594" s="2018"/>
      <c r="C5594" s="2018"/>
      <c r="D5594" s="2018"/>
      <c r="E5594" s="2018"/>
      <c r="F5594" s="2018"/>
      <c r="G5594" s="2018"/>
      <c r="H5594" s="2018"/>
      <c r="I5594" s="2018"/>
      <c r="J5594" s="2018"/>
      <c r="K5594" s="2018"/>
      <c r="L5594" s="2018"/>
      <c r="M5594" s="2018"/>
      <c r="N5594" s="2018"/>
      <c r="O5594" s="2018"/>
      <c r="P5594" s="2018"/>
      <c r="Q5594" s="2018"/>
      <c r="R5594" s="2018"/>
      <c r="S5594" s="2018"/>
      <c r="T5594" s="2018"/>
      <c r="U5594" s="2018"/>
      <c r="V5594" s="2018"/>
      <c r="W5594" s="2018"/>
      <c r="X5594" s="2018"/>
      <c r="Y5594" s="2018"/>
      <c r="Z5594" s="2021" t="s">
        <v>2555</v>
      </c>
      <c r="AA5594" s="2021"/>
      <c r="AB5594" s="1050">
        <v>20</v>
      </c>
      <c r="AC5594" s="1050"/>
      <c r="AD5594" s="1050"/>
      <c r="AE5594" s="1050">
        <v>1</v>
      </c>
      <c r="AF5594" s="1052">
        <f t="shared" ref="AF5594:AF5598" si="80">+ROUND(AB5594*AE5594,2)</f>
        <v>20</v>
      </c>
    </row>
    <row r="5595" spans="1:32" ht="15.6" customHeight="1" x14ac:dyDescent="0.25">
      <c r="A5595" s="2017"/>
      <c r="B5595" s="2018"/>
      <c r="C5595" s="2018"/>
      <c r="D5595" s="2018"/>
      <c r="E5595" s="2018"/>
      <c r="F5595" s="2018"/>
      <c r="G5595" s="2018"/>
      <c r="H5595" s="2018"/>
      <c r="I5595" s="2018"/>
      <c r="J5595" s="2018"/>
      <c r="K5595" s="2018"/>
      <c r="L5595" s="2018"/>
      <c r="M5595" s="2018"/>
      <c r="N5595" s="2018"/>
      <c r="O5595" s="2018"/>
      <c r="P5595" s="2018"/>
      <c r="Q5595" s="2018"/>
      <c r="R5595" s="2018"/>
      <c r="S5595" s="2018"/>
      <c r="T5595" s="2018"/>
      <c r="U5595" s="2018"/>
      <c r="V5595" s="2018"/>
      <c r="W5595" s="2018"/>
      <c r="X5595" s="2018"/>
      <c r="Y5595" s="2018"/>
      <c r="Z5595" s="2021" t="s">
        <v>2556</v>
      </c>
      <c r="AA5595" s="2021"/>
      <c r="AB5595" s="1050">
        <v>10</v>
      </c>
      <c r="AC5595" s="1050"/>
      <c r="AD5595" s="1050"/>
      <c r="AE5595" s="1050">
        <v>1</v>
      </c>
      <c r="AF5595" s="1052">
        <f t="shared" si="80"/>
        <v>10</v>
      </c>
    </row>
    <row r="5596" spans="1:32" ht="15.75" x14ac:dyDescent="0.25">
      <c r="A5596" s="2017"/>
      <c r="B5596" s="2018"/>
      <c r="C5596" s="2018"/>
      <c r="D5596" s="2018"/>
      <c r="E5596" s="2018"/>
      <c r="F5596" s="2018"/>
      <c r="G5596" s="2018"/>
      <c r="H5596" s="2018"/>
      <c r="I5596" s="2018"/>
      <c r="J5596" s="2018"/>
      <c r="K5596" s="2018"/>
      <c r="L5596" s="2018"/>
      <c r="M5596" s="2018"/>
      <c r="N5596" s="2018"/>
      <c r="O5596" s="2018"/>
      <c r="P5596" s="2018"/>
      <c r="Q5596" s="2018"/>
      <c r="R5596" s="2018"/>
      <c r="S5596" s="2018"/>
      <c r="T5596" s="2018"/>
      <c r="U5596" s="2018"/>
      <c r="V5596" s="2018"/>
      <c r="W5596" s="2018"/>
      <c r="X5596" s="2018"/>
      <c r="Y5596" s="2018"/>
      <c r="Z5596" s="2021" t="s">
        <v>2557</v>
      </c>
      <c r="AA5596" s="2021"/>
      <c r="AB5596" s="1050">
        <v>10</v>
      </c>
      <c r="AC5596" s="1050"/>
      <c r="AD5596" s="1050"/>
      <c r="AE5596" s="1050">
        <v>1</v>
      </c>
      <c r="AF5596" s="1052">
        <f t="shared" si="80"/>
        <v>10</v>
      </c>
    </row>
    <row r="5597" spans="1:32" ht="15.75" x14ac:dyDescent="0.25">
      <c r="A5597" s="2017"/>
      <c r="B5597" s="2018"/>
      <c r="C5597" s="2018"/>
      <c r="D5597" s="2018"/>
      <c r="E5597" s="2018"/>
      <c r="F5597" s="2018"/>
      <c r="G5597" s="2018"/>
      <c r="H5597" s="2018"/>
      <c r="I5597" s="2018"/>
      <c r="J5597" s="2018"/>
      <c r="K5597" s="2018"/>
      <c r="L5597" s="2018"/>
      <c r="M5597" s="2018"/>
      <c r="N5597" s="2018"/>
      <c r="O5597" s="2018"/>
      <c r="P5597" s="2018"/>
      <c r="Q5597" s="2018"/>
      <c r="R5597" s="2018"/>
      <c r="S5597" s="2018"/>
      <c r="T5597" s="2018"/>
      <c r="U5597" s="2018"/>
      <c r="V5597" s="2018"/>
      <c r="W5597" s="2018"/>
      <c r="X5597" s="2018"/>
      <c r="Y5597" s="2018"/>
      <c r="Z5597" s="2021" t="s">
        <v>2558</v>
      </c>
      <c r="AA5597" s="2021"/>
      <c r="AB5597" s="1050">
        <v>10</v>
      </c>
      <c r="AC5597" s="1050"/>
      <c r="AD5597" s="1050"/>
      <c r="AE5597" s="1050">
        <v>1</v>
      </c>
      <c r="AF5597" s="1052">
        <f t="shared" si="80"/>
        <v>10</v>
      </c>
    </row>
    <row r="5598" spans="1:32" ht="15.6" customHeight="1" x14ac:dyDescent="0.25">
      <c r="A5598" s="2017"/>
      <c r="B5598" s="2018"/>
      <c r="C5598" s="2018"/>
      <c r="D5598" s="2018"/>
      <c r="E5598" s="2018"/>
      <c r="F5598" s="2018"/>
      <c r="G5598" s="2018"/>
      <c r="H5598" s="2018"/>
      <c r="I5598" s="2018"/>
      <c r="J5598" s="2018"/>
      <c r="K5598" s="2018"/>
      <c r="L5598" s="2018"/>
      <c r="M5598" s="2018"/>
      <c r="N5598" s="2018"/>
      <c r="O5598" s="2018"/>
      <c r="P5598" s="2018"/>
      <c r="Q5598" s="2018"/>
      <c r="R5598" s="2018"/>
      <c r="S5598" s="2018"/>
      <c r="T5598" s="2018"/>
      <c r="U5598" s="2018"/>
      <c r="V5598" s="2018"/>
      <c r="W5598" s="2018"/>
      <c r="X5598" s="2018"/>
      <c r="Y5598" s="2018"/>
      <c r="Z5598" s="2021" t="s">
        <v>2559</v>
      </c>
      <c r="AA5598" s="2021"/>
      <c r="AB5598" s="1050">
        <v>10</v>
      </c>
      <c r="AC5598" s="1050"/>
      <c r="AD5598" s="1050"/>
      <c r="AE5598" s="1050">
        <v>1</v>
      </c>
      <c r="AF5598" s="1052">
        <f t="shared" si="80"/>
        <v>10</v>
      </c>
    </row>
    <row r="5599" spans="1:32" ht="15.75" x14ac:dyDescent="0.25">
      <c r="A5599" s="2017"/>
      <c r="B5599" s="2018"/>
      <c r="C5599" s="2018"/>
      <c r="D5599" s="2018"/>
      <c r="E5599" s="2018"/>
      <c r="F5599" s="2018"/>
      <c r="G5599" s="2018"/>
      <c r="H5599" s="2018"/>
      <c r="I5599" s="2018"/>
      <c r="J5599" s="2018"/>
      <c r="K5599" s="2018"/>
      <c r="L5599" s="2018"/>
      <c r="M5599" s="2018"/>
      <c r="N5599" s="2018"/>
      <c r="O5599" s="2018"/>
      <c r="P5599" s="2018"/>
      <c r="Q5599" s="2018"/>
      <c r="R5599" s="2018"/>
      <c r="S5599" s="2018"/>
      <c r="T5599" s="2018"/>
      <c r="U5599" s="2018"/>
      <c r="V5599" s="2018"/>
      <c r="W5599" s="2018"/>
      <c r="X5599" s="2018"/>
      <c r="Y5599" s="2018"/>
      <c r="Z5599" s="2022"/>
      <c r="AA5599" s="2022"/>
      <c r="AB5599" s="1050"/>
      <c r="AC5599" s="1050"/>
      <c r="AD5599" s="1050"/>
      <c r="AE5599" s="1050"/>
      <c r="AF5599" s="1052"/>
    </row>
    <row r="5600" spans="1:32" ht="15.75" x14ac:dyDescent="0.25">
      <c r="A5600" s="2017"/>
      <c r="B5600" s="2018"/>
      <c r="C5600" s="2018"/>
      <c r="D5600" s="2018"/>
      <c r="E5600" s="2018"/>
      <c r="F5600" s="2018"/>
      <c r="G5600" s="2018"/>
      <c r="H5600" s="2018"/>
      <c r="I5600" s="2018"/>
      <c r="J5600" s="2018"/>
      <c r="K5600" s="2018"/>
      <c r="L5600" s="2018"/>
      <c r="M5600" s="2018"/>
      <c r="N5600" s="2018"/>
      <c r="O5600" s="2018"/>
      <c r="P5600" s="2018"/>
      <c r="Q5600" s="2018"/>
      <c r="R5600" s="2018"/>
      <c r="S5600" s="2018"/>
      <c r="T5600" s="2018"/>
      <c r="U5600" s="2018"/>
      <c r="V5600" s="2018"/>
      <c r="W5600" s="2018"/>
      <c r="X5600" s="2018"/>
      <c r="Y5600" s="2018"/>
      <c r="Z5600" s="2022"/>
      <c r="AA5600" s="2022"/>
      <c r="AB5600" s="1050"/>
      <c r="AC5600" s="1050"/>
      <c r="AD5600" s="1050"/>
      <c r="AE5600" s="1050"/>
      <c r="AF5600" s="1052"/>
    </row>
    <row r="5601" spans="1:32" ht="15.75" x14ac:dyDescent="0.25">
      <c r="A5601" s="2017"/>
      <c r="B5601" s="2018"/>
      <c r="C5601" s="2018"/>
      <c r="D5601" s="2018"/>
      <c r="E5601" s="2018"/>
      <c r="F5601" s="2018"/>
      <c r="G5601" s="2018"/>
      <c r="H5601" s="2018"/>
      <c r="I5601" s="2018"/>
      <c r="J5601" s="2018"/>
      <c r="K5601" s="2018"/>
      <c r="L5601" s="2018"/>
      <c r="M5601" s="2018"/>
      <c r="N5601" s="2018"/>
      <c r="O5601" s="2018"/>
      <c r="P5601" s="2018"/>
      <c r="Q5601" s="2018"/>
      <c r="R5601" s="2018"/>
      <c r="S5601" s="2018"/>
      <c r="T5601" s="2018"/>
      <c r="U5601" s="2018"/>
      <c r="V5601" s="2018"/>
      <c r="W5601" s="2018"/>
      <c r="X5601" s="2018"/>
      <c r="Y5601" s="2018"/>
      <c r="Z5601" s="2022"/>
      <c r="AA5601" s="2022"/>
      <c r="AB5601" s="1050"/>
      <c r="AC5601" s="1050"/>
      <c r="AD5601" s="1050"/>
      <c r="AE5601" s="1050"/>
      <c r="AF5601" s="1052"/>
    </row>
    <row r="5602" spans="1:32" ht="15.6" customHeight="1" x14ac:dyDescent="0.25">
      <c r="A5602" s="2017"/>
      <c r="B5602" s="2018"/>
      <c r="C5602" s="2018"/>
      <c r="D5602" s="2018"/>
      <c r="E5602" s="2018"/>
      <c r="F5602" s="2018"/>
      <c r="G5602" s="2018"/>
      <c r="H5602" s="2018"/>
      <c r="I5602" s="2018"/>
      <c r="J5602" s="2018"/>
      <c r="K5602" s="2018"/>
      <c r="L5602" s="2018"/>
      <c r="M5602" s="2018"/>
      <c r="N5602" s="2018"/>
      <c r="O5602" s="2018"/>
      <c r="P5602" s="2018"/>
      <c r="Q5602" s="2018"/>
      <c r="R5602" s="2018"/>
      <c r="S5602" s="2018"/>
      <c r="T5602" s="2018"/>
      <c r="U5602" s="2018"/>
      <c r="V5602" s="2018"/>
      <c r="W5602" s="2018"/>
      <c r="X5602" s="2018"/>
      <c r="Y5602" s="2018"/>
      <c r="Z5602" s="2022"/>
      <c r="AA5602" s="2022"/>
      <c r="AB5602" s="1050"/>
      <c r="AC5602" s="1050"/>
      <c r="AD5602" s="1050"/>
      <c r="AE5602" s="1050"/>
      <c r="AF5602" s="1052"/>
    </row>
    <row r="5603" spans="1:32" ht="15.75" x14ac:dyDescent="0.25">
      <c r="A5603" s="2017"/>
      <c r="B5603" s="2018"/>
      <c r="C5603" s="2018"/>
      <c r="D5603" s="2018"/>
      <c r="E5603" s="2018"/>
      <c r="F5603" s="2018"/>
      <c r="G5603" s="2018"/>
      <c r="H5603" s="2018"/>
      <c r="I5603" s="2018"/>
      <c r="J5603" s="2018"/>
      <c r="K5603" s="2018"/>
      <c r="L5603" s="2018"/>
      <c r="M5603" s="2018"/>
      <c r="N5603" s="2018"/>
      <c r="O5603" s="2018"/>
      <c r="P5603" s="2018"/>
      <c r="Q5603" s="2018"/>
      <c r="R5603" s="2018"/>
      <c r="S5603" s="2018"/>
      <c r="T5603" s="2018"/>
      <c r="U5603" s="2018"/>
      <c r="V5603" s="2018"/>
      <c r="W5603" s="2018"/>
      <c r="X5603" s="2018"/>
      <c r="Y5603" s="2018"/>
      <c r="Z5603" s="2022"/>
      <c r="AA5603" s="2022"/>
      <c r="AB5603" s="1050"/>
      <c r="AC5603" s="1050"/>
      <c r="AD5603" s="1050"/>
      <c r="AE5603" s="1050"/>
      <c r="AF5603" s="1052"/>
    </row>
    <row r="5604" spans="1:32" ht="15.75" x14ac:dyDescent="0.25">
      <c r="A5604" s="2017"/>
      <c r="B5604" s="2018"/>
      <c r="C5604" s="2018"/>
      <c r="D5604" s="2018"/>
      <c r="E5604" s="2018"/>
      <c r="F5604" s="2018"/>
      <c r="G5604" s="2018"/>
      <c r="H5604" s="2018"/>
      <c r="I5604" s="2018"/>
      <c r="J5604" s="2018"/>
      <c r="K5604" s="2018"/>
      <c r="L5604" s="2018"/>
      <c r="M5604" s="2018"/>
      <c r="N5604" s="2018"/>
      <c r="O5604" s="2018"/>
      <c r="P5604" s="2018"/>
      <c r="Q5604" s="2018"/>
      <c r="R5604" s="2018"/>
      <c r="S5604" s="2018"/>
      <c r="T5604" s="2018"/>
      <c r="U5604" s="2018"/>
      <c r="V5604" s="2018"/>
      <c r="W5604" s="2018"/>
      <c r="X5604" s="2018"/>
      <c r="Y5604" s="2018"/>
      <c r="Z5604" s="2022"/>
      <c r="AA5604" s="2022"/>
      <c r="AB5604" s="1050"/>
      <c r="AC5604" s="1050"/>
      <c r="AD5604" s="1050"/>
      <c r="AE5604" s="1050"/>
      <c r="AF5604" s="1052"/>
    </row>
    <row r="5605" spans="1:32" ht="15.75" x14ac:dyDescent="0.25">
      <c r="A5605" s="2017"/>
      <c r="B5605" s="2018"/>
      <c r="C5605" s="2018"/>
      <c r="D5605" s="2018"/>
      <c r="E5605" s="2018"/>
      <c r="F5605" s="2018"/>
      <c r="G5605" s="2018"/>
      <c r="H5605" s="2018"/>
      <c r="I5605" s="2018"/>
      <c r="J5605" s="2018"/>
      <c r="K5605" s="2018"/>
      <c r="L5605" s="2018"/>
      <c r="M5605" s="2018"/>
      <c r="N5605" s="2018"/>
      <c r="O5605" s="2018"/>
      <c r="P5605" s="2018"/>
      <c r="Q5605" s="2018"/>
      <c r="R5605" s="2018"/>
      <c r="S5605" s="2018"/>
      <c r="T5605" s="2018"/>
      <c r="U5605" s="2018"/>
      <c r="V5605" s="2018"/>
      <c r="W5605" s="2018"/>
      <c r="X5605" s="2018"/>
      <c r="Y5605" s="2018"/>
      <c r="Z5605" s="2022"/>
      <c r="AA5605" s="2022"/>
      <c r="AB5605" s="1050"/>
      <c r="AC5605" s="1050"/>
      <c r="AD5605" s="1050"/>
      <c r="AE5605" s="1050"/>
      <c r="AF5605" s="1052"/>
    </row>
    <row r="5606" spans="1:32" ht="15.75" x14ac:dyDescent="0.25">
      <c r="A5606" s="2017"/>
      <c r="B5606" s="2018"/>
      <c r="C5606" s="2018"/>
      <c r="D5606" s="2018"/>
      <c r="E5606" s="2018"/>
      <c r="F5606" s="2018"/>
      <c r="G5606" s="2018"/>
      <c r="H5606" s="2018"/>
      <c r="I5606" s="2018"/>
      <c r="J5606" s="2018"/>
      <c r="K5606" s="2018"/>
      <c r="L5606" s="2018"/>
      <c r="M5606" s="2018"/>
      <c r="N5606" s="2018"/>
      <c r="O5606" s="2018"/>
      <c r="P5606" s="2018"/>
      <c r="Q5606" s="2018"/>
      <c r="R5606" s="2018"/>
      <c r="S5606" s="2018"/>
      <c r="T5606" s="2018"/>
      <c r="U5606" s="2018"/>
      <c r="V5606" s="2018"/>
      <c r="W5606" s="2018"/>
      <c r="X5606" s="2018"/>
      <c r="Y5606" s="2018"/>
      <c r="Z5606" s="2022"/>
      <c r="AA5606" s="2022"/>
      <c r="AB5606" s="1050"/>
      <c r="AC5606" s="1050"/>
      <c r="AD5606" s="1050"/>
      <c r="AE5606" s="1050"/>
      <c r="AF5606" s="1052"/>
    </row>
    <row r="5607" spans="1:32" ht="15.75" x14ac:dyDescent="0.25">
      <c r="A5607" s="2017"/>
      <c r="B5607" s="2018"/>
      <c r="C5607" s="2018"/>
      <c r="D5607" s="2018"/>
      <c r="E5607" s="2018"/>
      <c r="F5607" s="2018"/>
      <c r="G5607" s="2018"/>
      <c r="H5607" s="2018"/>
      <c r="I5607" s="2018"/>
      <c r="J5607" s="2018"/>
      <c r="K5607" s="2018"/>
      <c r="L5607" s="2018"/>
      <c r="M5607" s="2018"/>
      <c r="N5607" s="2018"/>
      <c r="O5607" s="2018"/>
      <c r="P5607" s="2018"/>
      <c r="Q5607" s="2018"/>
      <c r="R5607" s="2018"/>
      <c r="S5607" s="2018"/>
      <c r="T5607" s="2018"/>
      <c r="U5607" s="2018"/>
      <c r="V5607" s="2018"/>
      <c r="W5607" s="2018"/>
      <c r="X5607" s="2018"/>
      <c r="Y5607" s="2018"/>
      <c r="Z5607" s="2022"/>
      <c r="AA5607" s="2022"/>
      <c r="AB5607" s="1050"/>
      <c r="AC5607" s="1050"/>
      <c r="AD5607" s="1050"/>
      <c r="AE5607" s="1050"/>
      <c r="AF5607" s="1052"/>
    </row>
    <row r="5608" spans="1:32" ht="15.75" x14ac:dyDescent="0.25">
      <c r="A5608" s="2017"/>
      <c r="B5608" s="2018"/>
      <c r="C5608" s="2018"/>
      <c r="D5608" s="2018"/>
      <c r="E5608" s="2018"/>
      <c r="F5608" s="2018"/>
      <c r="G5608" s="2018"/>
      <c r="H5608" s="2018"/>
      <c r="I5608" s="2018"/>
      <c r="J5608" s="2018"/>
      <c r="K5608" s="2018"/>
      <c r="L5608" s="2018"/>
      <c r="M5608" s="2018"/>
      <c r="N5608" s="2018"/>
      <c r="O5608" s="2018"/>
      <c r="P5608" s="2018"/>
      <c r="Q5608" s="2018"/>
      <c r="R5608" s="2018"/>
      <c r="S5608" s="2018"/>
      <c r="T5608" s="2018"/>
      <c r="U5608" s="2018"/>
      <c r="V5608" s="2018"/>
      <c r="W5608" s="2018"/>
      <c r="X5608" s="2018"/>
      <c r="Y5608" s="2018"/>
      <c r="Z5608" s="2023"/>
      <c r="AA5608" s="2023"/>
      <c r="AB5608" s="1050"/>
      <c r="AC5608" s="1050"/>
      <c r="AD5608" s="1050"/>
      <c r="AE5608" s="1050"/>
      <c r="AF5608" s="1052"/>
    </row>
    <row r="5609" spans="1:32" ht="15.75" x14ac:dyDescent="0.25">
      <c r="A5609" s="2017"/>
      <c r="B5609" s="2018"/>
      <c r="C5609" s="2018"/>
      <c r="D5609" s="2018"/>
      <c r="E5609" s="2018"/>
      <c r="F5609" s="2018"/>
      <c r="G5609" s="2018"/>
      <c r="H5609" s="2018"/>
      <c r="I5609" s="2018"/>
      <c r="J5609" s="2018"/>
      <c r="K5609" s="2018"/>
      <c r="L5609" s="2018"/>
      <c r="M5609" s="2018"/>
      <c r="N5609" s="2018"/>
      <c r="O5609" s="2018"/>
      <c r="P5609" s="2018"/>
      <c r="Q5609" s="2018"/>
      <c r="R5609" s="2018"/>
      <c r="S5609" s="2018"/>
      <c r="T5609" s="2018"/>
      <c r="U5609" s="2018"/>
      <c r="V5609" s="2018"/>
      <c r="W5609" s="2018"/>
      <c r="X5609" s="2018"/>
      <c r="Y5609" s="2018"/>
      <c r="Z5609" s="2023"/>
      <c r="AA5609" s="2023"/>
      <c r="AB5609" s="1050"/>
      <c r="AC5609" s="1050"/>
      <c r="AD5609" s="1050"/>
      <c r="AE5609" s="1050"/>
      <c r="AF5609" s="1052"/>
    </row>
    <row r="5610" spans="1:32" ht="15.75" x14ac:dyDescent="0.25">
      <c r="A5610" s="2017"/>
      <c r="B5610" s="2018"/>
      <c r="C5610" s="2018"/>
      <c r="D5610" s="2018"/>
      <c r="E5610" s="2018"/>
      <c r="F5610" s="2018"/>
      <c r="G5610" s="2018"/>
      <c r="H5610" s="2018"/>
      <c r="I5610" s="2018"/>
      <c r="J5610" s="2018"/>
      <c r="K5610" s="2018"/>
      <c r="L5610" s="2018"/>
      <c r="M5610" s="2018"/>
      <c r="N5610" s="2018"/>
      <c r="O5610" s="2018"/>
      <c r="P5610" s="2018"/>
      <c r="Q5610" s="2018"/>
      <c r="R5610" s="2018"/>
      <c r="S5610" s="2018"/>
      <c r="T5610" s="2018"/>
      <c r="U5610" s="2018"/>
      <c r="V5610" s="2018"/>
      <c r="W5610" s="2018"/>
      <c r="X5610" s="2018"/>
      <c r="Y5610" s="2018"/>
      <c r="Z5610" s="2023"/>
      <c r="AA5610" s="2023"/>
      <c r="AB5610" s="1050"/>
      <c r="AC5610" s="1050"/>
      <c r="AD5610" s="1050"/>
      <c r="AE5610" s="1050"/>
      <c r="AF5610" s="1052"/>
    </row>
    <row r="5611" spans="1:32" ht="15.75" x14ac:dyDescent="0.25">
      <c r="A5611" s="2017"/>
      <c r="B5611" s="2018"/>
      <c r="C5611" s="2018"/>
      <c r="D5611" s="2018"/>
      <c r="E5611" s="2018"/>
      <c r="F5611" s="2018"/>
      <c r="G5611" s="2018"/>
      <c r="H5611" s="2018"/>
      <c r="I5611" s="2018"/>
      <c r="J5611" s="2018"/>
      <c r="K5611" s="2018"/>
      <c r="L5611" s="2018"/>
      <c r="M5611" s="2018"/>
      <c r="N5611" s="2018"/>
      <c r="O5611" s="2018"/>
      <c r="P5611" s="2018"/>
      <c r="Q5611" s="2018"/>
      <c r="R5611" s="2018"/>
      <c r="S5611" s="2018"/>
      <c r="T5611" s="2018"/>
      <c r="U5611" s="2018"/>
      <c r="V5611" s="2018"/>
      <c r="W5611" s="2018"/>
      <c r="X5611" s="2018"/>
      <c r="Y5611" s="2018"/>
      <c r="Z5611" s="2023"/>
      <c r="AA5611" s="2023"/>
      <c r="AB5611" s="1050"/>
      <c r="AC5611" s="1050"/>
      <c r="AD5611" s="1050"/>
      <c r="AE5611" s="1050"/>
      <c r="AF5611" s="1052"/>
    </row>
    <row r="5612" spans="1:32" ht="15.75" x14ac:dyDescent="0.25">
      <c r="A5612" s="2017"/>
      <c r="B5612" s="2018"/>
      <c r="C5612" s="2018"/>
      <c r="D5612" s="2018"/>
      <c r="E5612" s="2018"/>
      <c r="F5612" s="2018"/>
      <c r="G5612" s="2018"/>
      <c r="H5612" s="2018"/>
      <c r="I5612" s="2018"/>
      <c r="J5612" s="2018"/>
      <c r="K5612" s="2018"/>
      <c r="L5612" s="2018"/>
      <c r="M5612" s="2018"/>
      <c r="N5612" s="2018"/>
      <c r="O5612" s="2018"/>
      <c r="P5612" s="2018"/>
      <c r="Q5612" s="2018"/>
      <c r="R5612" s="2018"/>
      <c r="S5612" s="2018"/>
      <c r="T5612" s="2018"/>
      <c r="U5612" s="2018"/>
      <c r="V5612" s="2018"/>
      <c r="W5612" s="2018"/>
      <c r="X5612" s="2018"/>
      <c r="Y5612" s="2018"/>
      <c r="Z5612" s="2023"/>
      <c r="AA5612" s="2023"/>
      <c r="AB5612" s="1050"/>
      <c r="AC5612" s="1050"/>
      <c r="AD5612" s="1050"/>
      <c r="AE5612" s="1050"/>
      <c r="AF5612" s="1052"/>
    </row>
    <row r="5613" spans="1:32" ht="15.75" x14ac:dyDescent="0.25">
      <c r="A5613" s="2017"/>
      <c r="B5613" s="2018"/>
      <c r="C5613" s="2018"/>
      <c r="D5613" s="2018"/>
      <c r="E5613" s="2018"/>
      <c r="F5613" s="2018"/>
      <c r="G5613" s="2018"/>
      <c r="H5613" s="2018"/>
      <c r="I5613" s="2018"/>
      <c r="J5613" s="2018"/>
      <c r="K5613" s="2018"/>
      <c r="L5613" s="2018"/>
      <c r="M5613" s="2018"/>
      <c r="N5613" s="2018"/>
      <c r="O5613" s="2018"/>
      <c r="P5613" s="2018"/>
      <c r="Q5613" s="2018"/>
      <c r="R5613" s="2018"/>
      <c r="S5613" s="2018"/>
      <c r="T5613" s="2018"/>
      <c r="U5613" s="2018"/>
      <c r="V5613" s="2018"/>
      <c r="W5613" s="2018"/>
      <c r="X5613" s="2018"/>
      <c r="Y5613" s="2018"/>
      <c r="Z5613" s="2023"/>
      <c r="AA5613" s="2023"/>
      <c r="AB5613" s="1050"/>
      <c r="AC5613" s="1050"/>
      <c r="AD5613" s="1050"/>
      <c r="AE5613" s="1050"/>
      <c r="AF5613" s="1052"/>
    </row>
    <row r="5614" spans="1:32" ht="16.5" thickBot="1" x14ac:dyDescent="0.3">
      <c r="A5614" s="2019"/>
      <c r="B5614" s="2020"/>
      <c r="C5614" s="2020"/>
      <c r="D5614" s="2020"/>
      <c r="E5614" s="2020"/>
      <c r="F5614" s="2020"/>
      <c r="G5614" s="2020"/>
      <c r="H5614" s="2020"/>
      <c r="I5614" s="2020"/>
      <c r="J5614" s="2020"/>
      <c r="K5614" s="2020"/>
      <c r="L5614" s="2020"/>
      <c r="M5614" s="2020"/>
      <c r="N5614" s="2020"/>
      <c r="O5614" s="2020"/>
      <c r="P5614" s="2020"/>
      <c r="Q5614" s="2020"/>
      <c r="R5614" s="2020"/>
      <c r="S5614" s="2020"/>
      <c r="T5614" s="2020"/>
      <c r="U5614" s="2020"/>
      <c r="V5614" s="2020"/>
      <c r="W5614" s="2020"/>
      <c r="X5614" s="2020"/>
      <c r="Y5614" s="2020"/>
      <c r="Z5614" s="2024"/>
      <c r="AA5614" s="2024"/>
      <c r="AB5614" s="1057"/>
      <c r="AC5614" s="1057"/>
      <c r="AD5614" s="1057"/>
      <c r="AE5614" s="1057"/>
      <c r="AF5614" s="1058"/>
    </row>
    <row r="5615" spans="1:32" ht="15.75" x14ac:dyDescent="0.25">
      <c r="A5615" s="2009" t="s">
        <v>1855</v>
      </c>
      <c r="B5615" s="2010"/>
      <c r="C5615" s="2010"/>
      <c r="D5615" s="2010"/>
      <c r="E5615" s="2010"/>
      <c r="F5615" s="2010"/>
      <c r="G5615" s="2010"/>
      <c r="H5615" s="2010"/>
      <c r="I5615" s="2010"/>
      <c r="J5615" s="2010"/>
      <c r="K5615" s="2010"/>
      <c r="L5615" s="2010"/>
      <c r="M5615" s="2010"/>
      <c r="N5615" s="2010"/>
      <c r="O5615" s="2010"/>
      <c r="P5615" s="2010"/>
      <c r="Q5615" s="2010"/>
      <c r="R5615" s="2010"/>
      <c r="S5615" s="2010"/>
      <c r="T5615" s="2010"/>
      <c r="U5615" s="2010"/>
      <c r="V5615" s="2010"/>
      <c r="W5615" s="2010"/>
      <c r="X5615" s="2010"/>
      <c r="Y5615" s="2010"/>
      <c r="Z5615" s="2013" t="s">
        <v>1850</v>
      </c>
      <c r="AA5615" s="2013"/>
      <c r="AB5615" s="2013"/>
      <c r="AC5615" s="2013"/>
      <c r="AD5615" s="2013"/>
      <c r="AE5615" s="2013"/>
      <c r="AF5615" s="1059">
        <f>SUM(AF5591:AF5614)</f>
        <v>145</v>
      </c>
    </row>
    <row r="5616" spans="1:32" ht="15.75" x14ac:dyDescent="0.25">
      <c r="A5616" s="2011"/>
      <c r="B5616" s="2012"/>
      <c r="C5616" s="2012"/>
      <c r="D5616" s="2012"/>
      <c r="E5616" s="2012"/>
      <c r="F5616" s="2012"/>
      <c r="G5616" s="2012"/>
      <c r="H5616" s="2012"/>
      <c r="I5616" s="2012"/>
      <c r="J5616" s="2012"/>
      <c r="K5616" s="2012"/>
      <c r="L5616" s="2012"/>
      <c r="M5616" s="2012"/>
      <c r="N5616" s="2012"/>
      <c r="O5616" s="2012"/>
      <c r="P5616" s="2012"/>
      <c r="Q5616" s="2012"/>
      <c r="R5616" s="2012"/>
      <c r="S5616" s="2012"/>
      <c r="T5616" s="2012"/>
      <c r="U5616" s="2012"/>
      <c r="V5616" s="2012"/>
      <c r="W5616" s="2012"/>
      <c r="X5616" s="2012"/>
      <c r="Y5616" s="2012"/>
      <c r="Z5616" s="2014" t="s">
        <v>1851</v>
      </c>
      <c r="AA5616" s="2014"/>
      <c r="AB5616" s="2014"/>
      <c r="AC5616" s="2014"/>
      <c r="AD5616" s="2014"/>
      <c r="AE5616" s="2014"/>
      <c r="AF5616" s="1060">
        <v>0</v>
      </c>
    </row>
    <row r="5617" spans="1:32" ht="15.75" x14ac:dyDescent="0.25">
      <c r="A5617" s="2011"/>
      <c r="B5617" s="2012"/>
      <c r="C5617" s="2012"/>
      <c r="D5617" s="2012"/>
      <c r="E5617" s="2012"/>
      <c r="F5617" s="2012"/>
      <c r="G5617" s="2012"/>
      <c r="H5617" s="2012"/>
      <c r="I5617" s="2012"/>
      <c r="J5617" s="2012"/>
      <c r="K5617" s="2012"/>
      <c r="L5617" s="2012"/>
      <c r="M5617" s="2012"/>
      <c r="N5617" s="2012"/>
      <c r="O5617" s="2012"/>
      <c r="P5617" s="2012"/>
      <c r="Q5617" s="2012"/>
      <c r="R5617" s="2012"/>
      <c r="S5617" s="2012"/>
      <c r="T5617" s="2012"/>
      <c r="U5617" s="2012"/>
      <c r="V5617" s="2012"/>
      <c r="W5617" s="2012"/>
      <c r="X5617" s="2012"/>
      <c r="Y5617" s="2012"/>
      <c r="Z5617" s="2015" t="s">
        <v>1833</v>
      </c>
      <c r="AA5617" s="2015"/>
      <c r="AB5617" s="2015"/>
      <c r="AC5617" s="2015"/>
      <c r="AD5617" s="2015"/>
      <c r="AE5617" s="2015"/>
      <c r="AF5617" s="1061">
        <f>SUM(AF5615:AF5616)</f>
        <v>145</v>
      </c>
    </row>
    <row r="5618" spans="1:32" x14ac:dyDescent="0.2">
      <c r="A5618" s="2012" t="s">
        <v>1859</v>
      </c>
      <c r="B5618" s="2012"/>
      <c r="C5618" s="2012"/>
      <c r="D5618" s="2012"/>
      <c r="E5618" s="2012"/>
      <c r="F5618" s="2012"/>
      <c r="G5618" s="2012"/>
      <c r="H5618" s="2012"/>
      <c r="I5618" s="2012"/>
      <c r="J5618" s="2012"/>
      <c r="K5618" s="2012"/>
      <c r="L5618" s="2012"/>
      <c r="M5618" s="2012"/>
      <c r="N5618" s="2012"/>
      <c r="O5618" s="2012"/>
      <c r="P5618" s="2012"/>
      <c r="Q5618" s="2012"/>
      <c r="R5618" s="2012"/>
      <c r="S5618" s="2012"/>
      <c r="T5618" s="2016" t="s">
        <v>1840</v>
      </c>
      <c r="U5618" s="2016"/>
      <c r="V5618" s="2016"/>
      <c r="W5618" s="2016"/>
      <c r="X5618" s="2016"/>
      <c r="Y5618" s="2016"/>
      <c r="Z5618" s="2016"/>
      <c r="AA5618" s="2016"/>
      <c r="AB5618" s="2012" t="s">
        <v>1852</v>
      </c>
      <c r="AC5618" s="2012"/>
      <c r="AD5618" s="2012"/>
      <c r="AE5618" s="2012"/>
      <c r="AF5618" s="2012"/>
    </row>
    <row r="5619" spans="1:32" x14ac:dyDescent="0.2">
      <c r="A5619" s="2012"/>
      <c r="B5619" s="2012"/>
      <c r="C5619" s="2012"/>
      <c r="D5619" s="2012"/>
      <c r="E5619" s="2012"/>
      <c r="F5619" s="2012"/>
      <c r="G5619" s="2012"/>
      <c r="H5619" s="2012"/>
      <c r="I5619" s="2012"/>
      <c r="J5619" s="2012"/>
      <c r="K5619" s="2012"/>
      <c r="L5619" s="2012"/>
      <c r="M5619" s="2012"/>
      <c r="N5619" s="2012"/>
      <c r="O5619" s="2012"/>
      <c r="P5619" s="2012"/>
      <c r="Q5619" s="2012"/>
      <c r="R5619" s="2012"/>
      <c r="S5619" s="2012"/>
      <c r="T5619" s="2016"/>
      <c r="U5619" s="2016"/>
      <c r="V5619" s="2016"/>
      <c r="W5619" s="2016"/>
      <c r="X5619" s="2016"/>
      <c r="Y5619" s="2016"/>
      <c r="Z5619" s="2016"/>
      <c r="AA5619" s="2016"/>
      <c r="AB5619" s="2012"/>
      <c r="AC5619" s="2012"/>
      <c r="AD5619" s="2012"/>
      <c r="AE5619" s="2012"/>
      <c r="AF5619" s="2012"/>
    </row>
    <row r="5620" spans="1:32" ht="13.5" thickBot="1" x14ac:dyDescent="0.25"/>
    <row r="5621" spans="1:32" ht="26.45" customHeight="1" x14ac:dyDescent="0.2">
      <c r="A5621" s="2025" t="s">
        <v>1854</v>
      </c>
      <c r="B5621" s="2026"/>
      <c r="C5621" s="2026"/>
      <c r="D5621" s="2026"/>
      <c r="E5621" s="2026"/>
      <c r="F5621" s="2026"/>
      <c r="G5621" s="2026"/>
      <c r="H5621" s="2026"/>
      <c r="I5621" s="2026"/>
      <c r="J5621" s="2026"/>
      <c r="K5621" s="2026"/>
      <c r="L5621" s="2026"/>
      <c r="M5621" s="2026"/>
      <c r="N5621" s="2026"/>
      <c r="O5621" s="2026"/>
      <c r="P5621" s="2026"/>
      <c r="Q5621" s="2026"/>
      <c r="R5621" s="2026"/>
      <c r="S5621" s="2026"/>
      <c r="T5621" s="2026"/>
      <c r="U5621" s="2026"/>
      <c r="V5621" s="2026"/>
      <c r="W5621" s="2026"/>
      <c r="X5621" s="2026"/>
      <c r="Y5621" s="2026"/>
      <c r="Z5621" s="2026"/>
      <c r="AA5621" s="2026"/>
      <c r="AB5621" s="2026"/>
      <c r="AC5621" s="2026"/>
      <c r="AD5621" s="2026"/>
      <c r="AE5621" s="1041" t="s">
        <v>1834</v>
      </c>
      <c r="AF5621" s="1042" t="s">
        <v>1835</v>
      </c>
    </row>
    <row r="5622" spans="1:32" ht="21" customHeight="1" thickBot="1" x14ac:dyDescent="0.25">
      <c r="A5622" s="2027"/>
      <c r="B5622" s="2028"/>
      <c r="C5622" s="2028"/>
      <c r="D5622" s="2028"/>
      <c r="E5622" s="2028"/>
      <c r="F5622" s="2028"/>
      <c r="G5622" s="2028"/>
      <c r="H5622" s="2028"/>
      <c r="I5622" s="2028"/>
      <c r="J5622" s="2028"/>
      <c r="K5622" s="2028"/>
      <c r="L5622" s="2028"/>
      <c r="M5622" s="2028"/>
      <c r="N5622" s="2028"/>
      <c r="O5622" s="2028"/>
      <c r="P5622" s="2028"/>
      <c r="Q5622" s="2028"/>
      <c r="R5622" s="2028"/>
      <c r="S5622" s="2028"/>
      <c r="T5622" s="2028"/>
      <c r="U5622" s="2028"/>
      <c r="V5622" s="2028"/>
      <c r="W5622" s="2028"/>
      <c r="X5622" s="2028"/>
      <c r="Y5622" s="2028"/>
      <c r="Z5622" s="2028"/>
      <c r="AA5622" s="2028"/>
      <c r="AB5622" s="2028"/>
      <c r="AC5622" s="2028"/>
      <c r="AD5622" s="2028"/>
      <c r="AE5622" s="1041" t="s">
        <v>1836</v>
      </c>
      <c r="AF5622" s="1044">
        <v>1</v>
      </c>
    </row>
    <row r="5623" spans="1:32" ht="15.75" x14ac:dyDescent="0.2">
      <c r="A5623" s="2029"/>
      <c r="B5623" s="2030"/>
      <c r="C5623" s="2030"/>
      <c r="D5623" s="2031"/>
      <c r="E5623" s="2025" t="str">
        <f>'01'!$A$12</f>
        <v>"CONSTRUCCION SISTEMA DE ACUEDUCTO FASE II DEL MUNICIPIO DE TESALIA DPTO DEL HUILA"</v>
      </c>
      <c r="F5623" s="2026"/>
      <c r="G5623" s="2026"/>
      <c r="H5623" s="2026"/>
      <c r="I5623" s="2026"/>
      <c r="J5623" s="2026"/>
      <c r="K5623" s="2026"/>
      <c r="L5623" s="2026"/>
      <c r="M5623" s="2026"/>
      <c r="N5623" s="2026"/>
      <c r="O5623" s="2026"/>
      <c r="P5623" s="2026"/>
      <c r="Q5623" s="2026"/>
      <c r="R5623" s="2026"/>
      <c r="S5623" s="2026"/>
      <c r="T5623" s="2026"/>
      <c r="U5623" s="2026"/>
      <c r="V5623" s="2026"/>
      <c r="W5623" s="2026"/>
      <c r="X5623" s="2026"/>
      <c r="Y5623" s="2026"/>
      <c r="Z5623" s="2026"/>
      <c r="AA5623" s="2026"/>
      <c r="AB5623" s="2026"/>
      <c r="AC5623" s="2026"/>
      <c r="AD5623" s="2035"/>
      <c r="AE5623" s="1041" t="s">
        <v>847</v>
      </c>
      <c r="AF5623" s="1045">
        <f>'01'!$M$13</f>
        <v>0</v>
      </c>
    </row>
    <row r="5624" spans="1:32" ht="16.5" thickBot="1" x14ac:dyDescent="0.25">
      <c r="A5624" s="2032"/>
      <c r="B5624" s="2033"/>
      <c r="C5624" s="2033"/>
      <c r="D5624" s="2034"/>
      <c r="E5624" s="2027"/>
      <c r="F5624" s="2028"/>
      <c r="G5624" s="2028"/>
      <c r="H5624" s="2028"/>
      <c r="I5624" s="2028"/>
      <c r="J5624" s="2028"/>
      <c r="K5624" s="2028"/>
      <c r="L5624" s="2028"/>
      <c r="M5624" s="2028"/>
      <c r="N5624" s="2028"/>
      <c r="O5624" s="2028"/>
      <c r="P5624" s="2028"/>
      <c r="Q5624" s="2028"/>
      <c r="R5624" s="2028"/>
      <c r="S5624" s="2028"/>
      <c r="T5624" s="2028"/>
      <c r="U5624" s="2028"/>
      <c r="V5624" s="2028"/>
      <c r="W5624" s="2028"/>
      <c r="X5624" s="2028"/>
      <c r="Y5624" s="2028"/>
      <c r="Z5624" s="2028"/>
      <c r="AA5624" s="2028"/>
      <c r="AB5624" s="2028"/>
      <c r="AC5624" s="2028"/>
      <c r="AD5624" s="2036"/>
      <c r="AE5624" s="1041" t="s">
        <v>1837</v>
      </c>
      <c r="AF5624" s="1042" t="s">
        <v>1838</v>
      </c>
    </row>
    <row r="5625" spans="1:32" ht="15.75" x14ac:dyDescent="0.25">
      <c r="A5625" s="2037" t="s">
        <v>1860</v>
      </c>
      <c r="B5625" s="2038"/>
      <c r="C5625" s="2038"/>
      <c r="D5625" s="2038"/>
      <c r="E5625" s="2038"/>
      <c r="F5625" s="2038"/>
      <c r="G5625" s="2038"/>
      <c r="H5625" s="2038"/>
      <c r="I5625" s="2038"/>
      <c r="J5625" s="2038"/>
      <c r="K5625" s="2038"/>
      <c r="L5625" s="2038"/>
      <c r="M5625" s="2038"/>
      <c r="N5625" s="2038"/>
      <c r="O5625" s="2038"/>
      <c r="P5625" s="2038"/>
      <c r="Q5625" s="2038"/>
      <c r="R5625" s="2038"/>
      <c r="S5625" s="2038"/>
      <c r="T5625" s="2038"/>
      <c r="U5625" s="2038"/>
      <c r="V5625" s="2038"/>
      <c r="W5625" s="2038"/>
      <c r="X5625" s="2038"/>
      <c r="Y5625" s="2038"/>
      <c r="Z5625" s="2038"/>
      <c r="AA5625" s="2038"/>
      <c r="AB5625" s="2038"/>
      <c r="AC5625" s="2038"/>
      <c r="AD5625" s="2038"/>
      <c r="AE5625" s="2039" t="s">
        <v>1839</v>
      </c>
      <c r="AF5625" s="2040"/>
    </row>
    <row r="5626" spans="1:32" ht="15.75" x14ac:dyDescent="0.25">
      <c r="A5626" s="2041" t="s">
        <v>1840</v>
      </c>
      <c r="B5626" s="2042"/>
      <c r="C5626" s="2042"/>
      <c r="D5626" s="2042"/>
      <c r="E5626" s="2042"/>
      <c r="F5626" s="2042"/>
      <c r="G5626" s="2042"/>
      <c r="H5626" s="2042"/>
      <c r="I5626" s="2042"/>
      <c r="J5626" s="2042"/>
      <c r="K5626" s="2042"/>
      <c r="L5626" s="2042"/>
      <c r="M5626" s="2042"/>
      <c r="N5626" s="2042"/>
      <c r="O5626" s="2042"/>
      <c r="P5626" s="2042"/>
      <c r="Q5626" s="2042"/>
      <c r="R5626" s="2042"/>
      <c r="S5626" s="2042"/>
      <c r="T5626" s="2042"/>
      <c r="U5626" s="2042"/>
      <c r="V5626" s="2042"/>
      <c r="W5626" s="2042"/>
      <c r="X5626" s="2042"/>
      <c r="Y5626" s="2042"/>
      <c r="Z5626" s="2042"/>
      <c r="AA5626" s="2042"/>
      <c r="AB5626" s="2042"/>
      <c r="AC5626" s="2042"/>
      <c r="AD5626" s="2043"/>
      <c r="AE5626" s="2014" t="s">
        <v>1841</v>
      </c>
      <c r="AF5626" s="2044"/>
    </row>
    <row r="5627" spans="1:32" ht="15.75" x14ac:dyDescent="0.25">
      <c r="A5627" s="2045" t="s">
        <v>1853</v>
      </c>
      <c r="B5627" s="2046"/>
      <c r="C5627" s="2046"/>
      <c r="D5627" s="2046"/>
      <c r="E5627" s="2046"/>
      <c r="F5627" s="2046"/>
      <c r="G5627" s="2046"/>
      <c r="H5627" s="2046"/>
      <c r="I5627" s="2046"/>
      <c r="J5627" s="2046"/>
      <c r="K5627" s="2046"/>
      <c r="L5627" s="2046"/>
      <c r="M5627" s="2046"/>
      <c r="N5627" s="2046"/>
      <c r="O5627" s="2046"/>
      <c r="P5627" s="2046"/>
      <c r="Q5627" s="2046"/>
      <c r="R5627" s="2046"/>
      <c r="S5627" s="2046"/>
      <c r="T5627" s="2046"/>
      <c r="U5627" s="2046"/>
      <c r="V5627" s="2046"/>
      <c r="W5627" s="2046"/>
      <c r="X5627" s="2046"/>
      <c r="Y5627" s="2046"/>
      <c r="Z5627" s="2046"/>
      <c r="AA5627" s="2046"/>
      <c r="AB5627" s="2046"/>
      <c r="AC5627" s="2046"/>
      <c r="AD5627" s="2046"/>
      <c r="AE5627" s="2047">
        <f>'01'!$M$13</f>
        <v>0</v>
      </c>
      <c r="AF5627" s="2044"/>
    </row>
    <row r="5628" spans="1:32" x14ac:dyDescent="0.2">
      <c r="A5628" s="1046"/>
      <c r="B5628" s="1047"/>
      <c r="C5628" s="1047"/>
      <c r="D5628" s="1047"/>
      <c r="E5628" s="1047"/>
      <c r="F5628" s="1047"/>
      <c r="G5628" s="1047"/>
      <c r="H5628" s="1047"/>
      <c r="I5628" s="1047"/>
      <c r="J5628" s="1047"/>
      <c r="K5628" s="1047"/>
      <c r="L5628" s="1047"/>
      <c r="M5628" s="1047"/>
      <c r="N5628" s="1047"/>
      <c r="O5628" s="1047"/>
      <c r="P5628" s="1047"/>
      <c r="Q5628" s="1047"/>
      <c r="R5628" s="1047"/>
      <c r="S5628" s="1047"/>
      <c r="T5628" s="1047"/>
      <c r="U5628" s="1047"/>
      <c r="V5628" s="1047"/>
      <c r="W5628" s="1047"/>
      <c r="X5628" s="1047"/>
      <c r="Y5628" s="1047"/>
      <c r="Z5628" s="1047"/>
      <c r="AA5628" s="1047"/>
      <c r="AB5628" s="1047"/>
      <c r="AC5628" s="1047"/>
      <c r="AD5628" s="1047"/>
      <c r="AE5628" s="1047"/>
      <c r="AF5628" s="1048"/>
    </row>
    <row r="5629" spans="1:32" ht="30" customHeight="1" x14ac:dyDescent="0.2">
      <c r="A5629" s="2048" t="s">
        <v>1842</v>
      </c>
      <c r="B5629" s="2049"/>
      <c r="C5629" s="2049"/>
      <c r="D5629" s="2049"/>
      <c r="E5629" s="2049"/>
      <c r="F5629" s="2050" t="str">
        <f>+'01'!$H$230</f>
        <v>I - TUBERÍA DE INTERCONEXIÓN</v>
      </c>
      <c r="G5629" s="2049"/>
      <c r="H5629" s="2049"/>
      <c r="I5629" s="2049"/>
      <c r="J5629" s="2049"/>
      <c r="K5629" s="2049"/>
      <c r="L5629" s="2049"/>
      <c r="M5629" s="2049"/>
      <c r="N5629" s="2049"/>
      <c r="O5629" s="2049"/>
      <c r="P5629" s="2049"/>
      <c r="Q5629" s="2049"/>
      <c r="R5629" s="2049"/>
      <c r="S5629" s="2049"/>
      <c r="T5629" s="2049"/>
      <c r="U5629" s="2049"/>
      <c r="V5629" s="2049"/>
      <c r="W5629" s="2049"/>
      <c r="X5629" s="2049"/>
      <c r="Y5629" s="2051"/>
      <c r="Z5629" s="2052" t="s">
        <v>1843</v>
      </c>
      <c r="AA5629" s="2053"/>
      <c r="AB5629" s="2058" t="s">
        <v>1844</v>
      </c>
      <c r="AC5629" s="2059"/>
      <c r="AD5629" s="2060"/>
      <c r="AE5629" s="2064" t="s">
        <v>1845</v>
      </c>
      <c r="AF5629" s="2067" t="s">
        <v>1846</v>
      </c>
    </row>
    <row r="5630" spans="1:32" ht="15" customHeight="1" x14ac:dyDescent="0.2">
      <c r="A5630" s="2070" t="str">
        <f>+'01'!A234</f>
        <v>I-02-01</v>
      </c>
      <c r="B5630" s="2071"/>
      <c r="C5630" s="2072"/>
      <c r="D5630" s="2076" t="str">
        <f>VLOOKUP(A5630,'01'!$A$12:$N$299,3,FALSE)</f>
        <v>EXCAVACIÓN MANUAL EN TIERRA</v>
      </c>
      <c r="E5630" s="2077"/>
      <c r="F5630" s="2077"/>
      <c r="G5630" s="2077"/>
      <c r="H5630" s="2077"/>
      <c r="I5630" s="2077"/>
      <c r="J5630" s="2077"/>
      <c r="K5630" s="2077"/>
      <c r="L5630" s="2077"/>
      <c r="M5630" s="2077"/>
      <c r="N5630" s="2077"/>
      <c r="O5630" s="2077"/>
      <c r="P5630" s="2077"/>
      <c r="Q5630" s="2077"/>
      <c r="R5630" s="2077"/>
      <c r="S5630" s="2078"/>
      <c r="T5630" s="2082" t="s">
        <v>124</v>
      </c>
      <c r="U5630" s="2083"/>
      <c r="V5630" s="2083"/>
      <c r="W5630" s="2083"/>
      <c r="X5630" s="2052" t="str">
        <f>VLOOKUP(A5630,'01'!$A$12:$N$299,9,FALSE)</f>
        <v>M3</v>
      </c>
      <c r="Y5630" s="2053"/>
      <c r="Z5630" s="2054"/>
      <c r="AA5630" s="2055"/>
      <c r="AB5630" s="2061"/>
      <c r="AC5630" s="2062"/>
      <c r="AD5630" s="2063"/>
      <c r="AE5630" s="2065"/>
      <c r="AF5630" s="2068"/>
    </row>
    <row r="5631" spans="1:32" ht="15" customHeight="1" x14ac:dyDescent="0.25">
      <c r="A5631" s="2073"/>
      <c r="B5631" s="2074"/>
      <c r="C5631" s="2075"/>
      <c r="D5631" s="2079"/>
      <c r="E5631" s="2080"/>
      <c r="F5631" s="2080"/>
      <c r="G5631" s="2080"/>
      <c r="H5631" s="2080"/>
      <c r="I5631" s="2080"/>
      <c r="J5631" s="2080"/>
      <c r="K5631" s="2080"/>
      <c r="L5631" s="2080"/>
      <c r="M5631" s="2080"/>
      <c r="N5631" s="2080"/>
      <c r="O5631" s="2080"/>
      <c r="P5631" s="2080"/>
      <c r="Q5631" s="2080"/>
      <c r="R5631" s="2080"/>
      <c r="S5631" s="2081"/>
      <c r="T5631" s="2084"/>
      <c r="U5631" s="2085"/>
      <c r="V5631" s="2085"/>
      <c r="W5631" s="2085"/>
      <c r="X5631" s="2056"/>
      <c r="Y5631" s="2057"/>
      <c r="Z5631" s="2056"/>
      <c r="AA5631" s="2057"/>
      <c r="AB5631" s="1049" t="s">
        <v>1847</v>
      </c>
      <c r="AC5631" s="1049" t="s">
        <v>1848</v>
      </c>
      <c r="AD5631" s="1049" t="s">
        <v>1861</v>
      </c>
      <c r="AE5631" s="2066"/>
      <c r="AF5631" s="2069"/>
    </row>
    <row r="5632" spans="1:32" ht="30" customHeight="1" x14ac:dyDescent="0.25">
      <c r="A5632" s="2017"/>
      <c r="B5632" s="2018"/>
      <c r="C5632" s="2018"/>
      <c r="D5632" s="2018"/>
      <c r="E5632" s="2018"/>
      <c r="F5632" s="2018"/>
      <c r="G5632" s="2018"/>
      <c r="H5632" s="2018"/>
      <c r="I5632" s="2018"/>
      <c r="J5632" s="2018"/>
      <c r="K5632" s="2018"/>
      <c r="L5632" s="2018"/>
      <c r="M5632" s="2018"/>
      <c r="N5632" s="2018"/>
      <c r="O5632" s="2018"/>
      <c r="P5632" s="2018"/>
      <c r="Q5632" s="2018"/>
      <c r="R5632" s="2018"/>
      <c r="S5632" s="2018"/>
      <c r="T5632" s="2018"/>
      <c r="U5632" s="2018"/>
      <c r="V5632" s="2018"/>
      <c r="W5632" s="2018"/>
      <c r="X5632" s="2018"/>
      <c r="Y5632" s="2018"/>
      <c r="Z5632" s="2021" t="s">
        <v>2552</v>
      </c>
      <c r="AA5632" s="2021"/>
      <c r="AB5632" s="1050">
        <v>30</v>
      </c>
      <c r="AC5632" s="1050">
        <v>0.5</v>
      </c>
      <c r="AD5632" s="1050">
        <v>0.9</v>
      </c>
      <c r="AE5632" s="1050">
        <v>2</v>
      </c>
      <c r="AF5632" s="1052">
        <f>+ROUND(AB5632*AC5632*AD5632*AE5632,2)</f>
        <v>27</v>
      </c>
    </row>
    <row r="5633" spans="1:32" ht="15.6" customHeight="1" x14ac:dyDescent="0.25">
      <c r="A5633" s="2017"/>
      <c r="B5633" s="2018"/>
      <c r="C5633" s="2018"/>
      <c r="D5633" s="2018"/>
      <c r="E5633" s="2018"/>
      <c r="F5633" s="2018"/>
      <c r="G5633" s="2018"/>
      <c r="H5633" s="2018"/>
      <c r="I5633" s="2018"/>
      <c r="J5633" s="2018"/>
      <c r="K5633" s="2018"/>
      <c r="L5633" s="2018"/>
      <c r="M5633" s="2018"/>
      <c r="N5633" s="2018"/>
      <c r="O5633" s="2018"/>
      <c r="P5633" s="2018"/>
      <c r="Q5633" s="2018"/>
      <c r="R5633" s="2018"/>
      <c r="S5633" s="2018"/>
      <c r="T5633" s="2018"/>
      <c r="U5633" s="2018"/>
      <c r="V5633" s="2018"/>
      <c r="W5633" s="2018"/>
      <c r="X5633" s="2018"/>
      <c r="Y5633" s="2018"/>
      <c r="Z5633" s="2021" t="s">
        <v>2553</v>
      </c>
      <c r="AA5633" s="2021"/>
      <c r="AB5633" s="1050">
        <v>10</v>
      </c>
      <c r="AC5633" s="1050">
        <v>0.5</v>
      </c>
      <c r="AD5633" s="1050">
        <v>0.9</v>
      </c>
      <c r="AE5633" s="1050">
        <v>1</v>
      </c>
      <c r="AF5633" s="1052">
        <f t="shared" ref="AF5633:AF5639" si="81">+ROUND(AB5633*AC5633*AD5633*AE5633,2)</f>
        <v>4.5</v>
      </c>
    </row>
    <row r="5634" spans="1:32" ht="15.6" customHeight="1" x14ac:dyDescent="0.25">
      <c r="A5634" s="2017"/>
      <c r="B5634" s="2018"/>
      <c r="C5634" s="2018"/>
      <c r="D5634" s="2018"/>
      <c r="E5634" s="2018"/>
      <c r="F5634" s="2018"/>
      <c r="G5634" s="2018"/>
      <c r="H5634" s="2018"/>
      <c r="I5634" s="2018"/>
      <c r="J5634" s="2018"/>
      <c r="K5634" s="2018"/>
      <c r="L5634" s="2018"/>
      <c r="M5634" s="2018"/>
      <c r="N5634" s="2018"/>
      <c r="O5634" s="2018"/>
      <c r="P5634" s="2018"/>
      <c r="Q5634" s="2018"/>
      <c r="R5634" s="2018"/>
      <c r="S5634" s="2018"/>
      <c r="T5634" s="2018"/>
      <c r="U5634" s="2018"/>
      <c r="V5634" s="2018"/>
      <c r="W5634" s="2018"/>
      <c r="X5634" s="2018"/>
      <c r="Y5634" s="2018"/>
      <c r="Z5634" s="2021" t="s">
        <v>2554</v>
      </c>
      <c r="AA5634" s="2021"/>
      <c r="AB5634" s="1050">
        <v>15</v>
      </c>
      <c r="AC5634" s="1050">
        <v>0.5</v>
      </c>
      <c r="AD5634" s="1050">
        <v>0.9</v>
      </c>
      <c r="AE5634" s="1050">
        <v>1</v>
      </c>
      <c r="AF5634" s="1052">
        <f t="shared" si="81"/>
        <v>6.75</v>
      </c>
    </row>
    <row r="5635" spans="1:32" ht="15.75" x14ac:dyDescent="0.25">
      <c r="A5635" s="2017"/>
      <c r="B5635" s="2018"/>
      <c r="C5635" s="2018"/>
      <c r="D5635" s="2018"/>
      <c r="E5635" s="2018"/>
      <c r="F5635" s="2018"/>
      <c r="G5635" s="2018"/>
      <c r="H5635" s="2018"/>
      <c r="I5635" s="2018"/>
      <c r="J5635" s="2018"/>
      <c r="K5635" s="2018"/>
      <c r="L5635" s="2018"/>
      <c r="M5635" s="2018"/>
      <c r="N5635" s="2018"/>
      <c r="O5635" s="2018"/>
      <c r="P5635" s="2018"/>
      <c r="Q5635" s="2018"/>
      <c r="R5635" s="2018"/>
      <c r="S5635" s="2018"/>
      <c r="T5635" s="2018"/>
      <c r="U5635" s="2018"/>
      <c r="V5635" s="2018"/>
      <c r="W5635" s="2018"/>
      <c r="X5635" s="2018"/>
      <c r="Y5635" s="2018"/>
      <c r="Z5635" s="2021" t="s">
        <v>2555</v>
      </c>
      <c r="AA5635" s="2021"/>
      <c r="AB5635" s="1050">
        <v>20</v>
      </c>
      <c r="AC5635" s="1050">
        <v>0.5</v>
      </c>
      <c r="AD5635" s="1050">
        <v>0.9</v>
      </c>
      <c r="AE5635" s="1050">
        <v>1</v>
      </c>
      <c r="AF5635" s="1052">
        <f t="shared" si="81"/>
        <v>9</v>
      </c>
    </row>
    <row r="5636" spans="1:32" ht="15.6" customHeight="1" x14ac:dyDescent="0.25">
      <c r="A5636" s="2017"/>
      <c r="B5636" s="2018"/>
      <c r="C5636" s="2018"/>
      <c r="D5636" s="2018"/>
      <c r="E5636" s="2018"/>
      <c r="F5636" s="2018"/>
      <c r="G5636" s="2018"/>
      <c r="H5636" s="2018"/>
      <c r="I5636" s="2018"/>
      <c r="J5636" s="2018"/>
      <c r="K5636" s="2018"/>
      <c r="L5636" s="2018"/>
      <c r="M5636" s="2018"/>
      <c r="N5636" s="2018"/>
      <c r="O5636" s="2018"/>
      <c r="P5636" s="2018"/>
      <c r="Q5636" s="2018"/>
      <c r="R5636" s="2018"/>
      <c r="S5636" s="2018"/>
      <c r="T5636" s="2018"/>
      <c r="U5636" s="2018"/>
      <c r="V5636" s="2018"/>
      <c r="W5636" s="2018"/>
      <c r="X5636" s="2018"/>
      <c r="Y5636" s="2018"/>
      <c r="Z5636" s="2021" t="s">
        <v>2556</v>
      </c>
      <c r="AA5636" s="2021"/>
      <c r="AB5636" s="1050">
        <v>10</v>
      </c>
      <c r="AC5636" s="1050">
        <v>0.5</v>
      </c>
      <c r="AD5636" s="1050">
        <v>0.9</v>
      </c>
      <c r="AE5636" s="1050">
        <v>1</v>
      </c>
      <c r="AF5636" s="1052">
        <f t="shared" si="81"/>
        <v>4.5</v>
      </c>
    </row>
    <row r="5637" spans="1:32" ht="15.75" x14ac:dyDescent="0.25">
      <c r="A5637" s="2017"/>
      <c r="B5637" s="2018"/>
      <c r="C5637" s="2018"/>
      <c r="D5637" s="2018"/>
      <c r="E5637" s="2018"/>
      <c r="F5637" s="2018"/>
      <c r="G5637" s="2018"/>
      <c r="H5637" s="2018"/>
      <c r="I5637" s="2018"/>
      <c r="J5637" s="2018"/>
      <c r="K5637" s="2018"/>
      <c r="L5637" s="2018"/>
      <c r="M5637" s="2018"/>
      <c r="N5637" s="2018"/>
      <c r="O5637" s="2018"/>
      <c r="P5637" s="2018"/>
      <c r="Q5637" s="2018"/>
      <c r="R5637" s="2018"/>
      <c r="S5637" s="2018"/>
      <c r="T5637" s="2018"/>
      <c r="U5637" s="2018"/>
      <c r="V5637" s="2018"/>
      <c r="W5637" s="2018"/>
      <c r="X5637" s="2018"/>
      <c r="Y5637" s="2018"/>
      <c r="Z5637" s="2021" t="s">
        <v>2557</v>
      </c>
      <c r="AA5637" s="2021"/>
      <c r="AB5637" s="1050">
        <v>10</v>
      </c>
      <c r="AC5637" s="1050">
        <v>0.5</v>
      </c>
      <c r="AD5637" s="1050">
        <v>0.9</v>
      </c>
      <c r="AE5637" s="1050">
        <v>1</v>
      </c>
      <c r="AF5637" s="1052">
        <f t="shared" si="81"/>
        <v>4.5</v>
      </c>
    </row>
    <row r="5638" spans="1:32" ht="15.75" x14ac:dyDescent="0.25">
      <c r="A5638" s="2017"/>
      <c r="B5638" s="2018"/>
      <c r="C5638" s="2018"/>
      <c r="D5638" s="2018"/>
      <c r="E5638" s="2018"/>
      <c r="F5638" s="2018"/>
      <c r="G5638" s="2018"/>
      <c r="H5638" s="2018"/>
      <c r="I5638" s="2018"/>
      <c r="J5638" s="2018"/>
      <c r="K5638" s="2018"/>
      <c r="L5638" s="2018"/>
      <c r="M5638" s="2018"/>
      <c r="N5638" s="2018"/>
      <c r="O5638" s="2018"/>
      <c r="P5638" s="2018"/>
      <c r="Q5638" s="2018"/>
      <c r="R5638" s="2018"/>
      <c r="S5638" s="2018"/>
      <c r="T5638" s="2018"/>
      <c r="U5638" s="2018"/>
      <c r="V5638" s="2018"/>
      <c r="W5638" s="2018"/>
      <c r="X5638" s="2018"/>
      <c r="Y5638" s="2018"/>
      <c r="Z5638" s="2021" t="s">
        <v>2558</v>
      </c>
      <c r="AA5638" s="2021"/>
      <c r="AB5638" s="1050">
        <v>10</v>
      </c>
      <c r="AC5638" s="1050">
        <v>0.5</v>
      </c>
      <c r="AD5638" s="1050">
        <v>0.9</v>
      </c>
      <c r="AE5638" s="1050">
        <v>1</v>
      </c>
      <c r="AF5638" s="1052">
        <f t="shared" si="81"/>
        <v>4.5</v>
      </c>
    </row>
    <row r="5639" spans="1:32" ht="15.6" customHeight="1" x14ac:dyDescent="0.25">
      <c r="A5639" s="2017"/>
      <c r="B5639" s="2018"/>
      <c r="C5639" s="2018"/>
      <c r="D5639" s="2018"/>
      <c r="E5639" s="2018"/>
      <c r="F5639" s="2018"/>
      <c r="G5639" s="2018"/>
      <c r="H5639" s="2018"/>
      <c r="I5639" s="2018"/>
      <c r="J5639" s="2018"/>
      <c r="K5639" s="2018"/>
      <c r="L5639" s="2018"/>
      <c r="M5639" s="2018"/>
      <c r="N5639" s="2018"/>
      <c r="O5639" s="2018"/>
      <c r="P5639" s="2018"/>
      <c r="Q5639" s="2018"/>
      <c r="R5639" s="2018"/>
      <c r="S5639" s="2018"/>
      <c r="T5639" s="2018"/>
      <c r="U5639" s="2018"/>
      <c r="V5639" s="2018"/>
      <c r="W5639" s="2018"/>
      <c r="X5639" s="2018"/>
      <c r="Y5639" s="2018"/>
      <c r="Z5639" s="2021" t="s">
        <v>2559</v>
      </c>
      <c r="AA5639" s="2021"/>
      <c r="AB5639" s="1050">
        <v>10</v>
      </c>
      <c r="AC5639" s="1050">
        <v>0.5</v>
      </c>
      <c r="AD5639" s="1050">
        <v>0.9</v>
      </c>
      <c r="AE5639" s="1050">
        <v>1</v>
      </c>
      <c r="AF5639" s="1052">
        <f t="shared" si="81"/>
        <v>4.5</v>
      </c>
    </row>
    <row r="5640" spans="1:32" ht="15.75" x14ac:dyDescent="0.25">
      <c r="A5640" s="2017"/>
      <c r="B5640" s="2018"/>
      <c r="C5640" s="2018"/>
      <c r="D5640" s="2018"/>
      <c r="E5640" s="2018"/>
      <c r="F5640" s="2018"/>
      <c r="G5640" s="2018"/>
      <c r="H5640" s="2018"/>
      <c r="I5640" s="2018"/>
      <c r="J5640" s="2018"/>
      <c r="K5640" s="2018"/>
      <c r="L5640" s="2018"/>
      <c r="M5640" s="2018"/>
      <c r="N5640" s="2018"/>
      <c r="O5640" s="2018"/>
      <c r="P5640" s="2018"/>
      <c r="Q5640" s="2018"/>
      <c r="R5640" s="2018"/>
      <c r="S5640" s="2018"/>
      <c r="T5640" s="2018"/>
      <c r="U5640" s="2018"/>
      <c r="V5640" s="2018"/>
      <c r="W5640" s="2018"/>
      <c r="X5640" s="2018"/>
      <c r="Y5640" s="2018"/>
      <c r="Z5640" s="2022"/>
      <c r="AA5640" s="2022"/>
      <c r="AB5640" s="1050"/>
      <c r="AC5640" s="1050"/>
      <c r="AD5640" s="1050"/>
      <c r="AE5640" s="1050"/>
      <c r="AF5640" s="1052"/>
    </row>
    <row r="5641" spans="1:32" ht="15.75" x14ac:dyDescent="0.25">
      <c r="A5641" s="2017"/>
      <c r="B5641" s="2018"/>
      <c r="C5641" s="2018"/>
      <c r="D5641" s="2018"/>
      <c r="E5641" s="2018"/>
      <c r="F5641" s="2018"/>
      <c r="G5641" s="2018"/>
      <c r="H5641" s="2018"/>
      <c r="I5641" s="2018"/>
      <c r="J5641" s="2018"/>
      <c r="K5641" s="2018"/>
      <c r="L5641" s="2018"/>
      <c r="M5641" s="2018"/>
      <c r="N5641" s="2018"/>
      <c r="O5641" s="2018"/>
      <c r="P5641" s="2018"/>
      <c r="Q5641" s="2018"/>
      <c r="R5641" s="2018"/>
      <c r="S5641" s="2018"/>
      <c r="T5641" s="2018"/>
      <c r="U5641" s="2018"/>
      <c r="V5641" s="2018"/>
      <c r="W5641" s="2018"/>
      <c r="X5641" s="2018"/>
      <c r="Y5641" s="2018"/>
      <c r="Z5641" s="2022"/>
      <c r="AA5641" s="2022"/>
      <c r="AB5641" s="1050"/>
      <c r="AC5641" s="1050"/>
      <c r="AD5641" s="1050"/>
      <c r="AE5641" s="1050"/>
      <c r="AF5641" s="1052"/>
    </row>
    <row r="5642" spans="1:32" ht="15.75" x14ac:dyDescent="0.25">
      <c r="A5642" s="2017"/>
      <c r="B5642" s="2018"/>
      <c r="C5642" s="2018"/>
      <c r="D5642" s="2018"/>
      <c r="E5642" s="2018"/>
      <c r="F5642" s="2018"/>
      <c r="G5642" s="2018"/>
      <c r="H5642" s="2018"/>
      <c r="I5642" s="2018"/>
      <c r="J5642" s="2018"/>
      <c r="K5642" s="2018"/>
      <c r="L5642" s="2018"/>
      <c r="M5642" s="2018"/>
      <c r="N5642" s="2018"/>
      <c r="O5642" s="2018"/>
      <c r="P5642" s="2018"/>
      <c r="Q5642" s="2018"/>
      <c r="R5642" s="2018"/>
      <c r="S5642" s="2018"/>
      <c r="T5642" s="2018"/>
      <c r="U5642" s="2018"/>
      <c r="V5642" s="2018"/>
      <c r="W5642" s="2018"/>
      <c r="X5642" s="2018"/>
      <c r="Y5642" s="2018"/>
      <c r="Z5642" s="2022"/>
      <c r="AA5642" s="2022"/>
      <c r="AB5642" s="1050"/>
      <c r="AC5642" s="1050"/>
      <c r="AD5642" s="1050"/>
      <c r="AE5642" s="1050"/>
      <c r="AF5642" s="1052"/>
    </row>
    <row r="5643" spans="1:32" ht="15.6" customHeight="1" x14ac:dyDescent="0.25">
      <c r="A5643" s="2017"/>
      <c r="B5643" s="2018"/>
      <c r="C5643" s="2018"/>
      <c r="D5643" s="2018"/>
      <c r="E5643" s="2018"/>
      <c r="F5643" s="2018"/>
      <c r="G5643" s="2018"/>
      <c r="H5643" s="2018"/>
      <c r="I5643" s="2018"/>
      <c r="J5643" s="2018"/>
      <c r="K5643" s="2018"/>
      <c r="L5643" s="2018"/>
      <c r="M5643" s="2018"/>
      <c r="N5643" s="2018"/>
      <c r="O5643" s="2018"/>
      <c r="P5643" s="2018"/>
      <c r="Q5643" s="2018"/>
      <c r="R5643" s="2018"/>
      <c r="S5643" s="2018"/>
      <c r="T5643" s="2018"/>
      <c r="U5643" s="2018"/>
      <c r="V5643" s="2018"/>
      <c r="W5643" s="2018"/>
      <c r="X5643" s="2018"/>
      <c r="Y5643" s="2018"/>
      <c r="Z5643" s="2022"/>
      <c r="AA5643" s="2022"/>
      <c r="AB5643" s="1050"/>
      <c r="AC5643" s="1050"/>
      <c r="AD5643" s="1050"/>
      <c r="AE5643" s="1050"/>
      <c r="AF5643" s="1052"/>
    </row>
    <row r="5644" spans="1:32" ht="15.75" x14ac:dyDescent="0.25">
      <c r="A5644" s="2017"/>
      <c r="B5644" s="2018"/>
      <c r="C5644" s="2018"/>
      <c r="D5644" s="2018"/>
      <c r="E5644" s="2018"/>
      <c r="F5644" s="2018"/>
      <c r="G5644" s="2018"/>
      <c r="H5644" s="2018"/>
      <c r="I5644" s="2018"/>
      <c r="J5644" s="2018"/>
      <c r="K5644" s="2018"/>
      <c r="L5644" s="2018"/>
      <c r="M5644" s="2018"/>
      <c r="N5644" s="2018"/>
      <c r="O5644" s="2018"/>
      <c r="P5644" s="2018"/>
      <c r="Q5644" s="2018"/>
      <c r="R5644" s="2018"/>
      <c r="S5644" s="2018"/>
      <c r="T5644" s="2018"/>
      <c r="U5644" s="2018"/>
      <c r="V5644" s="2018"/>
      <c r="W5644" s="2018"/>
      <c r="X5644" s="2018"/>
      <c r="Y5644" s="2018"/>
      <c r="Z5644" s="2022"/>
      <c r="AA5644" s="2022"/>
      <c r="AB5644" s="1050"/>
      <c r="AC5644" s="1050"/>
      <c r="AD5644" s="1050"/>
      <c r="AE5644" s="1050"/>
      <c r="AF5644" s="1052"/>
    </row>
    <row r="5645" spans="1:32" ht="15.75" x14ac:dyDescent="0.25">
      <c r="A5645" s="2017"/>
      <c r="B5645" s="2018"/>
      <c r="C5645" s="2018"/>
      <c r="D5645" s="2018"/>
      <c r="E5645" s="2018"/>
      <c r="F5645" s="2018"/>
      <c r="G5645" s="2018"/>
      <c r="H5645" s="2018"/>
      <c r="I5645" s="2018"/>
      <c r="J5645" s="2018"/>
      <c r="K5645" s="2018"/>
      <c r="L5645" s="2018"/>
      <c r="M5645" s="2018"/>
      <c r="N5645" s="2018"/>
      <c r="O5645" s="2018"/>
      <c r="P5645" s="2018"/>
      <c r="Q5645" s="2018"/>
      <c r="R5645" s="2018"/>
      <c r="S5645" s="2018"/>
      <c r="T5645" s="2018"/>
      <c r="U5645" s="2018"/>
      <c r="V5645" s="2018"/>
      <c r="W5645" s="2018"/>
      <c r="X5645" s="2018"/>
      <c r="Y5645" s="2018"/>
      <c r="Z5645" s="2022"/>
      <c r="AA5645" s="2022"/>
      <c r="AB5645" s="1050"/>
      <c r="AC5645" s="1050"/>
      <c r="AD5645" s="1050"/>
      <c r="AE5645" s="1050"/>
      <c r="AF5645" s="1052"/>
    </row>
    <row r="5646" spans="1:32" ht="15.75" x14ac:dyDescent="0.25">
      <c r="A5646" s="2017"/>
      <c r="B5646" s="2018"/>
      <c r="C5646" s="2018"/>
      <c r="D5646" s="2018"/>
      <c r="E5646" s="2018"/>
      <c r="F5646" s="2018"/>
      <c r="G5646" s="2018"/>
      <c r="H5646" s="2018"/>
      <c r="I5646" s="2018"/>
      <c r="J5646" s="2018"/>
      <c r="K5646" s="2018"/>
      <c r="L5646" s="2018"/>
      <c r="M5646" s="2018"/>
      <c r="N5646" s="2018"/>
      <c r="O5646" s="2018"/>
      <c r="P5646" s="2018"/>
      <c r="Q5646" s="2018"/>
      <c r="R5646" s="2018"/>
      <c r="S5646" s="2018"/>
      <c r="T5646" s="2018"/>
      <c r="U5646" s="2018"/>
      <c r="V5646" s="2018"/>
      <c r="W5646" s="2018"/>
      <c r="X5646" s="2018"/>
      <c r="Y5646" s="2018"/>
      <c r="Z5646" s="2022"/>
      <c r="AA5646" s="2022"/>
      <c r="AB5646" s="1050"/>
      <c r="AC5646" s="1050"/>
      <c r="AD5646" s="1050"/>
      <c r="AE5646" s="1050"/>
      <c r="AF5646" s="1052"/>
    </row>
    <row r="5647" spans="1:32" ht="15.75" x14ac:dyDescent="0.25">
      <c r="A5647" s="2017"/>
      <c r="B5647" s="2018"/>
      <c r="C5647" s="2018"/>
      <c r="D5647" s="2018"/>
      <c r="E5647" s="2018"/>
      <c r="F5647" s="2018"/>
      <c r="G5647" s="2018"/>
      <c r="H5647" s="2018"/>
      <c r="I5647" s="2018"/>
      <c r="J5647" s="2018"/>
      <c r="K5647" s="2018"/>
      <c r="L5647" s="2018"/>
      <c r="M5647" s="2018"/>
      <c r="N5647" s="2018"/>
      <c r="O5647" s="2018"/>
      <c r="P5647" s="2018"/>
      <c r="Q5647" s="2018"/>
      <c r="R5647" s="2018"/>
      <c r="S5647" s="2018"/>
      <c r="T5647" s="2018"/>
      <c r="U5647" s="2018"/>
      <c r="V5647" s="2018"/>
      <c r="W5647" s="2018"/>
      <c r="X5647" s="2018"/>
      <c r="Y5647" s="2018"/>
      <c r="Z5647" s="2022"/>
      <c r="AA5647" s="2022"/>
      <c r="AB5647" s="1050"/>
      <c r="AC5647" s="1050"/>
      <c r="AD5647" s="1050"/>
      <c r="AE5647" s="1050"/>
      <c r="AF5647" s="1052"/>
    </row>
    <row r="5648" spans="1:32" ht="15.75" x14ac:dyDescent="0.25">
      <c r="A5648" s="2017"/>
      <c r="B5648" s="2018"/>
      <c r="C5648" s="2018"/>
      <c r="D5648" s="2018"/>
      <c r="E5648" s="2018"/>
      <c r="F5648" s="2018"/>
      <c r="G5648" s="2018"/>
      <c r="H5648" s="2018"/>
      <c r="I5648" s="2018"/>
      <c r="J5648" s="2018"/>
      <c r="K5648" s="2018"/>
      <c r="L5648" s="2018"/>
      <c r="M5648" s="2018"/>
      <c r="N5648" s="2018"/>
      <c r="O5648" s="2018"/>
      <c r="P5648" s="2018"/>
      <c r="Q5648" s="2018"/>
      <c r="R5648" s="2018"/>
      <c r="S5648" s="2018"/>
      <c r="T5648" s="2018"/>
      <c r="U5648" s="2018"/>
      <c r="V5648" s="2018"/>
      <c r="W5648" s="2018"/>
      <c r="X5648" s="2018"/>
      <c r="Y5648" s="2018"/>
      <c r="Z5648" s="2022"/>
      <c r="AA5648" s="2022"/>
      <c r="AB5648" s="1050"/>
      <c r="AC5648" s="1050"/>
      <c r="AD5648" s="1050"/>
      <c r="AE5648" s="1050"/>
      <c r="AF5648" s="1052"/>
    </row>
    <row r="5649" spans="1:32" ht="15.75" x14ac:dyDescent="0.25">
      <c r="A5649" s="2017"/>
      <c r="B5649" s="2018"/>
      <c r="C5649" s="2018"/>
      <c r="D5649" s="2018"/>
      <c r="E5649" s="2018"/>
      <c r="F5649" s="2018"/>
      <c r="G5649" s="2018"/>
      <c r="H5649" s="2018"/>
      <c r="I5649" s="2018"/>
      <c r="J5649" s="2018"/>
      <c r="K5649" s="2018"/>
      <c r="L5649" s="2018"/>
      <c r="M5649" s="2018"/>
      <c r="N5649" s="2018"/>
      <c r="O5649" s="2018"/>
      <c r="P5649" s="2018"/>
      <c r="Q5649" s="2018"/>
      <c r="R5649" s="2018"/>
      <c r="S5649" s="2018"/>
      <c r="T5649" s="2018"/>
      <c r="U5649" s="2018"/>
      <c r="V5649" s="2018"/>
      <c r="W5649" s="2018"/>
      <c r="X5649" s="2018"/>
      <c r="Y5649" s="2018"/>
      <c r="Z5649" s="2023"/>
      <c r="AA5649" s="2023"/>
      <c r="AB5649" s="1050"/>
      <c r="AC5649" s="1050"/>
      <c r="AD5649" s="1050"/>
      <c r="AE5649" s="1050"/>
      <c r="AF5649" s="1052"/>
    </row>
    <row r="5650" spans="1:32" ht="15.75" x14ac:dyDescent="0.25">
      <c r="A5650" s="2017"/>
      <c r="B5650" s="2018"/>
      <c r="C5650" s="2018"/>
      <c r="D5650" s="2018"/>
      <c r="E5650" s="2018"/>
      <c r="F5650" s="2018"/>
      <c r="G5650" s="2018"/>
      <c r="H5650" s="2018"/>
      <c r="I5650" s="2018"/>
      <c r="J5650" s="2018"/>
      <c r="K5650" s="2018"/>
      <c r="L5650" s="2018"/>
      <c r="M5650" s="2018"/>
      <c r="N5650" s="2018"/>
      <c r="O5650" s="2018"/>
      <c r="P5650" s="2018"/>
      <c r="Q5650" s="2018"/>
      <c r="R5650" s="2018"/>
      <c r="S5650" s="2018"/>
      <c r="T5650" s="2018"/>
      <c r="U5650" s="2018"/>
      <c r="V5650" s="2018"/>
      <c r="W5650" s="2018"/>
      <c r="X5650" s="2018"/>
      <c r="Y5650" s="2018"/>
      <c r="Z5650" s="2023"/>
      <c r="AA5650" s="2023"/>
      <c r="AB5650" s="1050"/>
      <c r="AC5650" s="1050"/>
      <c r="AD5650" s="1050"/>
      <c r="AE5650" s="1050"/>
      <c r="AF5650" s="1052"/>
    </row>
    <row r="5651" spans="1:32" ht="15.75" x14ac:dyDescent="0.25">
      <c r="A5651" s="2017"/>
      <c r="B5651" s="2018"/>
      <c r="C5651" s="2018"/>
      <c r="D5651" s="2018"/>
      <c r="E5651" s="2018"/>
      <c r="F5651" s="2018"/>
      <c r="G5651" s="2018"/>
      <c r="H5651" s="2018"/>
      <c r="I5651" s="2018"/>
      <c r="J5651" s="2018"/>
      <c r="K5651" s="2018"/>
      <c r="L5651" s="2018"/>
      <c r="M5651" s="2018"/>
      <c r="N5651" s="2018"/>
      <c r="O5651" s="2018"/>
      <c r="P5651" s="2018"/>
      <c r="Q5651" s="2018"/>
      <c r="R5651" s="2018"/>
      <c r="S5651" s="2018"/>
      <c r="T5651" s="2018"/>
      <c r="U5651" s="2018"/>
      <c r="V5651" s="2018"/>
      <c r="W5651" s="2018"/>
      <c r="X5651" s="2018"/>
      <c r="Y5651" s="2018"/>
      <c r="Z5651" s="2023"/>
      <c r="AA5651" s="2023"/>
      <c r="AB5651" s="1050"/>
      <c r="AC5651" s="1050"/>
      <c r="AD5651" s="1050"/>
      <c r="AE5651" s="1050"/>
      <c r="AF5651" s="1052"/>
    </row>
    <row r="5652" spans="1:32" ht="15.75" x14ac:dyDescent="0.25">
      <c r="A5652" s="2017"/>
      <c r="B5652" s="2018"/>
      <c r="C5652" s="2018"/>
      <c r="D5652" s="2018"/>
      <c r="E5652" s="2018"/>
      <c r="F5652" s="2018"/>
      <c r="G5652" s="2018"/>
      <c r="H5652" s="2018"/>
      <c r="I5652" s="2018"/>
      <c r="J5652" s="2018"/>
      <c r="K5652" s="2018"/>
      <c r="L5652" s="2018"/>
      <c r="M5652" s="2018"/>
      <c r="N5652" s="2018"/>
      <c r="O5652" s="2018"/>
      <c r="P5652" s="2018"/>
      <c r="Q5652" s="2018"/>
      <c r="R5652" s="2018"/>
      <c r="S5652" s="2018"/>
      <c r="T5652" s="2018"/>
      <c r="U5652" s="2018"/>
      <c r="V5652" s="2018"/>
      <c r="W5652" s="2018"/>
      <c r="X5652" s="2018"/>
      <c r="Y5652" s="2018"/>
      <c r="Z5652" s="2023"/>
      <c r="AA5652" s="2023"/>
      <c r="AB5652" s="1050"/>
      <c r="AC5652" s="1050"/>
      <c r="AD5652" s="1050"/>
      <c r="AE5652" s="1050"/>
      <c r="AF5652" s="1052"/>
    </row>
    <row r="5653" spans="1:32" ht="15.75" x14ac:dyDescent="0.25">
      <c r="A5653" s="2017"/>
      <c r="B5653" s="2018"/>
      <c r="C5653" s="2018"/>
      <c r="D5653" s="2018"/>
      <c r="E5653" s="2018"/>
      <c r="F5653" s="2018"/>
      <c r="G5653" s="2018"/>
      <c r="H5653" s="2018"/>
      <c r="I5653" s="2018"/>
      <c r="J5653" s="2018"/>
      <c r="K5653" s="2018"/>
      <c r="L5653" s="2018"/>
      <c r="M5653" s="2018"/>
      <c r="N5653" s="2018"/>
      <c r="O5653" s="2018"/>
      <c r="P5653" s="2018"/>
      <c r="Q5653" s="2018"/>
      <c r="R5653" s="2018"/>
      <c r="S5653" s="2018"/>
      <c r="T5653" s="2018"/>
      <c r="U5653" s="2018"/>
      <c r="V5653" s="2018"/>
      <c r="W5653" s="2018"/>
      <c r="X5653" s="2018"/>
      <c r="Y5653" s="2018"/>
      <c r="Z5653" s="2023"/>
      <c r="AA5653" s="2023"/>
      <c r="AB5653" s="1050"/>
      <c r="AC5653" s="1050"/>
      <c r="AD5653" s="1050"/>
      <c r="AE5653" s="1050"/>
      <c r="AF5653" s="1052"/>
    </row>
    <row r="5654" spans="1:32" ht="15.75" x14ac:dyDescent="0.25">
      <c r="A5654" s="2017"/>
      <c r="B5654" s="2018"/>
      <c r="C5654" s="2018"/>
      <c r="D5654" s="2018"/>
      <c r="E5654" s="2018"/>
      <c r="F5654" s="2018"/>
      <c r="G5654" s="2018"/>
      <c r="H5654" s="2018"/>
      <c r="I5654" s="2018"/>
      <c r="J5654" s="2018"/>
      <c r="K5654" s="2018"/>
      <c r="L5654" s="2018"/>
      <c r="M5654" s="2018"/>
      <c r="N5654" s="2018"/>
      <c r="O5654" s="2018"/>
      <c r="P5654" s="2018"/>
      <c r="Q5654" s="2018"/>
      <c r="R5654" s="2018"/>
      <c r="S5654" s="2018"/>
      <c r="T5654" s="2018"/>
      <c r="U5654" s="2018"/>
      <c r="V5654" s="2018"/>
      <c r="W5654" s="2018"/>
      <c r="X5654" s="2018"/>
      <c r="Y5654" s="2018"/>
      <c r="Z5654" s="2023"/>
      <c r="AA5654" s="2023"/>
      <c r="AB5654" s="1050"/>
      <c r="AC5654" s="1050"/>
      <c r="AD5654" s="1050"/>
      <c r="AE5654" s="1050"/>
      <c r="AF5654" s="1052"/>
    </row>
    <row r="5655" spans="1:32" ht="16.5" thickBot="1" x14ac:dyDescent="0.3">
      <c r="A5655" s="2019"/>
      <c r="B5655" s="2020"/>
      <c r="C5655" s="2020"/>
      <c r="D5655" s="2020"/>
      <c r="E5655" s="2020"/>
      <c r="F5655" s="2020"/>
      <c r="G5655" s="2020"/>
      <c r="H5655" s="2020"/>
      <c r="I5655" s="2020"/>
      <c r="J5655" s="2020"/>
      <c r="K5655" s="2020"/>
      <c r="L5655" s="2020"/>
      <c r="M5655" s="2020"/>
      <c r="N5655" s="2020"/>
      <c r="O5655" s="2020"/>
      <c r="P5655" s="2020"/>
      <c r="Q5655" s="2020"/>
      <c r="R5655" s="2020"/>
      <c r="S5655" s="2020"/>
      <c r="T5655" s="2020"/>
      <c r="U5655" s="2020"/>
      <c r="V5655" s="2020"/>
      <c r="W5655" s="2020"/>
      <c r="X5655" s="2020"/>
      <c r="Y5655" s="2020"/>
      <c r="Z5655" s="2024"/>
      <c r="AA5655" s="2024"/>
      <c r="AB5655" s="1057"/>
      <c r="AC5655" s="1057"/>
      <c r="AD5655" s="1057"/>
      <c r="AE5655" s="1057"/>
      <c r="AF5655" s="1058"/>
    </row>
    <row r="5656" spans="1:32" ht="15.75" x14ac:dyDescent="0.25">
      <c r="A5656" s="2009" t="s">
        <v>1855</v>
      </c>
      <c r="B5656" s="2010"/>
      <c r="C5656" s="2010"/>
      <c r="D5656" s="2010"/>
      <c r="E5656" s="2010"/>
      <c r="F5656" s="2010"/>
      <c r="G5656" s="2010"/>
      <c r="H5656" s="2010"/>
      <c r="I5656" s="2010"/>
      <c r="J5656" s="2010"/>
      <c r="K5656" s="2010"/>
      <c r="L5656" s="2010"/>
      <c r="M5656" s="2010"/>
      <c r="N5656" s="2010"/>
      <c r="O5656" s="2010"/>
      <c r="P5656" s="2010"/>
      <c r="Q5656" s="2010"/>
      <c r="R5656" s="2010"/>
      <c r="S5656" s="2010"/>
      <c r="T5656" s="2010"/>
      <c r="U5656" s="2010"/>
      <c r="V5656" s="2010"/>
      <c r="W5656" s="2010"/>
      <c r="X5656" s="2010"/>
      <c r="Y5656" s="2010"/>
      <c r="Z5656" s="2013" t="s">
        <v>1850</v>
      </c>
      <c r="AA5656" s="2013"/>
      <c r="AB5656" s="2013"/>
      <c r="AC5656" s="2013"/>
      <c r="AD5656" s="2013"/>
      <c r="AE5656" s="2013"/>
      <c r="AF5656" s="1059">
        <f>SUM(AF5632:AF5655)</f>
        <v>65.25</v>
      </c>
    </row>
    <row r="5657" spans="1:32" ht="15.75" x14ac:dyDescent="0.25">
      <c r="A5657" s="2011"/>
      <c r="B5657" s="2012"/>
      <c r="C5657" s="2012"/>
      <c r="D5657" s="2012"/>
      <c r="E5657" s="2012"/>
      <c r="F5657" s="2012"/>
      <c r="G5657" s="2012"/>
      <c r="H5657" s="2012"/>
      <c r="I5657" s="2012"/>
      <c r="J5657" s="2012"/>
      <c r="K5657" s="2012"/>
      <c r="L5657" s="2012"/>
      <c r="M5657" s="2012"/>
      <c r="N5657" s="2012"/>
      <c r="O5657" s="2012"/>
      <c r="P5657" s="2012"/>
      <c r="Q5657" s="2012"/>
      <c r="R5657" s="2012"/>
      <c r="S5657" s="2012"/>
      <c r="T5657" s="2012"/>
      <c r="U5657" s="2012"/>
      <c r="V5657" s="2012"/>
      <c r="W5657" s="2012"/>
      <c r="X5657" s="2012"/>
      <c r="Y5657" s="2012"/>
      <c r="Z5657" s="2014" t="s">
        <v>1851</v>
      </c>
      <c r="AA5657" s="2014"/>
      <c r="AB5657" s="2014"/>
      <c r="AC5657" s="2014"/>
      <c r="AD5657" s="2014"/>
      <c r="AE5657" s="2014"/>
      <c r="AF5657" s="1060">
        <v>0</v>
      </c>
    </row>
    <row r="5658" spans="1:32" ht="15.75" x14ac:dyDescent="0.25">
      <c r="A5658" s="2011"/>
      <c r="B5658" s="2012"/>
      <c r="C5658" s="2012"/>
      <c r="D5658" s="2012"/>
      <c r="E5658" s="2012"/>
      <c r="F5658" s="2012"/>
      <c r="G5658" s="2012"/>
      <c r="H5658" s="2012"/>
      <c r="I5658" s="2012"/>
      <c r="J5658" s="2012"/>
      <c r="K5658" s="2012"/>
      <c r="L5658" s="2012"/>
      <c r="M5658" s="2012"/>
      <c r="N5658" s="2012"/>
      <c r="O5658" s="2012"/>
      <c r="P5658" s="2012"/>
      <c r="Q5658" s="2012"/>
      <c r="R5658" s="2012"/>
      <c r="S5658" s="2012"/>
      <c r="T5658" s="2012"/>
      <c r="U5658" s="2012"/>
      <c r="V5658" s="2012"/>
      <c r="W5658" s="2012"/>
      <c r="X5658" s="2012"/>
      <c r="Y5658" s="2012"/>
      <c r="Z5658" s="2015" t="s">
        <v>1833</v>
      </c>
      <c r="AA5658" s="2015"/>
      <c r="AB5658" s="2015"/>
      <c r="AC5658" s="2015"/>
      <c r="AD5658" s="2015"/>
      <c r="AE5658" s="2015"/>
      <c r="AF5658" s="1061">
        <f>SUM(AF5656:AF5657)</f>
        <v>65.25</v>
      </c>
    </row>
    <row r="5659" spans="1:32" x14ac:dyDescent="0.2">
      <c r="A5659" s="2012" t="s">
        <v>1859</v>
      </c>
      <c r="B5659" s="2012"/>
      <c r="C5659" s="2012"/>
      <c r="D5659" s="2012"/>
      <c r="E5659" s="2012"/>
      <c r="F5659" s="2012"/>
      <c r="G5659" s="2012"/>
      <c r="H5659" s="2012"/>
      <c r="I5659" s="2012"/>
      <c r="J5659" s="2012"/>
      <c r="K5659" s="2012"/>
      <c r="L5659" s="2012"/>
      <c r="M5659" s="2012"/>
      <c r="N5659" s="2012"/>
      <c r="O5659" s="2012"/>
      <c r="P5659" s="2012"/>
      <c r="Q5659" s="2012"/>
      <c r="R5659" s="2012"/>
      <c r="S5659" s="2012"/>
      <c r="T5659" s="2016" t="s">
        <v>1840</v>
      </c>
      <c r="U5659" s="2016"/>
      <c r="V5659" s="2016"/>
      <c r="W5659" s="2016"/>
      <c r="X5659" s="2016"/>
      <c r="Y5659" s="2016"/>
      <c r="Z5659" s="2016"/>
      <c r="AA5659" s="2016"/>
      <c r="AB5659" s="2012" t="s">
        <v>1852</v>
      </c>
      <c r="AC5659" s="2012"/>
      <c r="AD5659" s="2012"/>
      <c r="AE5659" s="2012"/>
      <c r="AF5659" s="2012"/>
    </row>
    <row r="5660" spans="1:32" x14ac:dyDescent="0.2">
      <c r="A5660" s="2012"/>
      <c r="B5660" s="2012"/>
      <c r="C5660" s="2012"/>
      <c r="D5660" s="2012"/>
      <c r="E5660" s="2012"/>
      <c r="F5660" s="2012"/>
      <c r="G5660" s="2012"/>
      <c r="H5660" s="2012"/>
      <c r="I5660" s="2012"/>
      <c r="J5660" s="2012"/>
      <c r="K5660" s="2012"/>
      <c r="L5660" s="2012"/>
      <c r="M5660" s="2012"/>
      <c r="N5660" s="2012"/>
      <c r="O5660" s="2012"/>
      <c r="P5660" s="2012"/>
      <c r="Q5660" s="2012"/>
      <c r="R5660" s="2012"/>
      <c r="S5660" s="2012"/>
      <c r="T5660" s="2016"/>
      <c r="U5660" s="2016"/>
      <c r="V5660" s="2016"/>
      <c r="W5660" s="2016"/>
      <c r="X5660" s="2016"/>
      <c r="Y5660" s="2016"/>
      <c r="Z5660" s="2016"/>
      <c r="AA5660" s="2016"/>
      <c r="AB5660" s="2012"/>
      <c r="AC5660" s="2012"/>
      <c r="AD5660" s="2012"/>
      <c r="AE5660" s="2012"/>
      <c r="AF5660" s="2012"/>
    </row>
    <row r="5661" spans="1:32" ht="13.5" thickBot="1" x14ac:dyDescent="0.25"/>
    <row r="5662" spans="1:32" ht="26.45" customHeight="1" x14ac:dyDescent="0.2">
      <c r="A5662" s="2025" t="s">
        <v>1854</v>
      </c>
      <c r="B5662" s="2026"/>
      <c r="C5662" s="2026"/>
      <c r="D5662" s="2026"/>
      <c r="E5662" s="2026"/>
      <c r="F5662" s="2026"/>
      <c r="G5662" s="2026"/>
      <c r="H5662" s="2026"/>
      <c r="I5662" s="2026"/>
      <c r="J5662" s="2026"/>
      <c r="K5662" s="2026"/>
      <c r="L5662" s="2026"/>
      <c r="M5662" s="2026"/>
      <c r="N5662" s="2026"/>
      <c r="O5662" s="2026"/>
      <c r="P5662" s="2026"/>
      <c r="Q5662" s="2026"/>
      <c r="R5662" s="2026"/>
      <c r="S5662" s="2026"/>
      <c r="T5662" s="2026"/>
      <c r="U5662" s="2026"/>
      <c r="V5662" s="2026"/>
      <c r="W5662" s="2026"/>
      <c r="X5662" s="2026"/>
      <c r="Y5662" s="2026"/>
      <c r="Z5662" s="2026"/>
      <c r="AA5662" s="2026"/>
      <c r="AB5662" s="2026"/>
      <c r="AC5662" s="2026"/>
      <c r="AD5662" s="2026"/>
      <c r="AE5662" s="1041" t="s">
        <v>1834</v>
      </c>
      <c r="AF5662" s="1042" t="s">
        <v>1835</v>
      </c>
    </row>
    <row r="5663" spans="1:32" ht="21" customHeight="1" thickBot="1" x14ac:dyDescent="0.25">
      <c r="A5663" s="2027"/>
      <c r="B5663" s="2028"/>
      <c r="C5663" s="2028"/>
      <c r="D5663" s="2028"/>
      <c r="E5663" s="2028"/>
      <c r="F5663" s="2028"/>
      <c r="G5663" s="2028"/>
      <c r="H5663" s="2028"/>
      <c r="I5663" s="2028"/>
      <c r="J5663" s="2028"/>
      <c r="K5663" s="2028"/>
      <c r="L5663" s="2028"/>
      <c r="M5663" s="2028"/>
      <c r="N5663" s="2028"/>
      <c r="O5663" s="2028"/>
      <c r="P5663" s="2028"/>
      <c r="Q5663" s="2028"/>
      <c r="R5663" s="2028"/>
      <c r="S5663" s="2028"/>
      <c r="T5663" s="2028"/>
      <c r="U5663" s="2028"/>
      <c r="V5663" s="2028"/>
      <c r="W5663" s="2028"/>
      <c r="X5663" s="2028"/>
      <c r="Y5663" s="2028"/>
      <c r="Z5663" s="2028"/>
      <c r="AA5663" s="2028"/>
      <c r="AB5663" s="2028"/>
      <c r="AC5663" s="2028"/>
      <c r="AD5663" s="2028"/>
      <c r="AE5663" s="1041" t="s">
        <v>1836</v>
      </c>
      <c r="AF5663" s="1044">
        <v>1</v>
      </c>
    </row>
    <row r="5664" spans="1:32" ht="15.75" x14ac:dyDescent="0.2">
      <c r="A5664" s="2029"/>
      <c r="B5664" s="2030"/>
      <c r="C5664" s="2030"/>
      <c r="D5664" s="2031"/>
      <c r="E5664" s="2025" t="str">
        <f>'01'!$A$12</f>
        <v>"CONSTRUCCION SISTEMA DE ACUEDUCTO FASE II DEL MUNICIPIO DE TESALIA DPTO DEL HUILA"</v>
      </c>
      <c r="F5664" s="2026"/>
      <c r="G5664" s="2026"/>
      <c r="H5664" s="2026"/>
      <c r="I5664" s="2026"/>
      <c r="J5664" s="2026"/>
      <c r="K5664" s="2026"/>
      <c r="L5664" s="2026"/>
      <c r="M5664" s="2026"/>
      <c r="N5664" s="2026"/>
      <c r="O5664" s="2026"/>
      <c r="P5664" s="2026"/>
      <c r="Q5664" s="2026"/>
      <c r="R5664" s="2026"/>
      <c r="S5664" s="2026"/>
      <c r="T5664" s="2026"/>
      <c r="U5664" s="2026"/>
      <c r="V5664" s="2026"/>
      <c r="W5664" s="2026"/>
      <c r="X5664" s="2026"/>
      <c r="Y5664" s="2026"/>
      <c r="Z5664" s="2026"/>
      <c r="AA5664" s="2026"/>
      <c r="AB5664" s="2026"/>
      <c r="AC5664" s="2026"/>
      <c r="AD5664" s="2035"/>
      <c r="AE5664" s="1041" t="s">
        <v>847</v>
      </c>
      <c r="AF5664" s="1045">
        <f>'01'!$M$13</f>
        <v>0</v>
      </c>
    </row>
    <row r="5665" spans="1:32" ht="16.5" thickBot="1" x14ac:dyDescent="0.25">
      <c r="A5665" s="2032"/>
      <c r="B5665" s="2033"/>
      <c r="C5665" s="2033"/>
      <c r="D5665" s="2034"/>
      <c r="E5665" s="2027"/>
      <c r="F5665" s="2028"/>
      <c r="G5665" s="2028"/>
      <c r="H5665" s="2028"/>
      <c r="I5665" s="2028"/>
      <c r="J5665" s="2028"/>
      <c r="K5665" s="2028"/>
      <c r="L5665" s="2028"/>
      <c r="M5665" s="2028"/>
      <c r="N5665" s="2028"/>
      <c r="O5665" s="2028"/>
      <c r="P5665" s="2028"/>
      <c r="Q5665" s="2028"/>
      <c r="R5665" s="2028"/>
      <c r="S5665" s="2028"/>
      <c r="T5665" s="2028"/>
      <c r="U5665" s="2028"/>
      <c r="V5665" s="2028"/>
      <c r="W5665" s="2028"/>
      <c r="X5665" s="2028"/>
      <c r="Y5665" s="2028"/>
      <c r="Z5665" s="2028"/>
      <c r="AA5665" s="2028"/>
      <c r="AB5665" s="2028"/>
      <c r="AC5665" s="2028"/>
      <c r="AD5665" s="2036"/>
      <c r="AE5665" s="1041" t="s">
        <v>1837</v>
      </c>
      <c r="AF5665" s="1042" t="s">
        <v>1838</v>
      </c>
    </row>
    <row r="5666" spans="1:32" ht="15.75" x14ac:dyDescent="0.25">
      <c r="A5666" s="2037" t="s">
        <v>1860</v>
      </c>
      <c r="B5666" s="2038"/>
      <c r="C5666" s="2038"/>
      <c r="D5666" s="2038"/>
      <c r="E5666" s="2038"/>
      <c r="F5666" s="2038"/>
      <c r="G5666" s="2038"/>
      <c r="H5666" s="2038"/>
      <c r="I5666" s="2038"/>
      <c r="J5666" s="2038"/>
      <c r="K5666" s="2038"/>
      <c r="L5666" s="2038"/>
      <c r="M5666" s="2038"/>
      <c r="N5666" s="2038"/>
      <c r="O5666" s="2038"/>
      <c r="P5666" s="2038"/>
      <c r="Q5666" s="2038"/>
      <c r="R5666" s="2038"/>
      <c r="S5666" s="2038"/>
      <c r="T5666" s="2038"/>
      <c r="U5666" s="2038"/>
      <c r="V5666" s="2038"/>
      <c r="W5666" s="2038"/>
      <c r="X5666" s="2038"/>
      <c r="Y5666" s="2038"/>
      <c r="Z5666" s="2038"/>
      <c r="AA5666" s="2038"/>
      <c r="AB5666" s="2038"/>
      <c r="AC5666" s="2038"/>
      <c r="AD5666" s="2038"/>
      <c r="AE5666" s="2039" t="s">
        <v>1839</v>
      </c>
      <c r="AF5666" s="2040"/>
    </row>
    <row r="5667" spans="1:32" ht="15.75" x14ac:dyDescent="0.25">
      <c r="A5667" s="2041" t="s">
        <v>1840</v>
      </c>
      <c r="B5667" s="2042"/>
      <c r="C5667" s="2042"/>
      <c r="D5667" s="2042"/>
      <c r="E5667" s="2042"/>
      <c r="F5667" s="2042"/>
      <c r="G5667" s="2042"/>
      <c r="H5667" s="2042"/>
      <c r="I5667" s="2042"/>
      <c r="J5667" s="2042"/>
      <c r="K5667" s="2042"/>
      <c r="L5667" s="2042"/>
      <c r="M5667" s="2042"/>
      <c r="N5667" s="2042"/>
      <c r="O5667" s="2042"/>
      <c r="P5667" s="2042"/>
      <c r="Q5667" s="2042"/>
      <c r="R5667" s="2042"/>
      <c r="S5667" s="2042"/>
      <c r="T5667" s="2042"/>
      <c r="U5667" s="2042"/>
      <c r="V5667" s="2042"/>
      <c r="W5667" s="2042"/>
      <c r="X5667" s="2042"/>
      <c r="Y5667" s="2042"/>
      <c r="Z5667" s="2042"/>
      <c r="AA5667" s="2042"/>
      <c r="AB5667" s="2042"/>
      <c r="AC5667" s="2042"/>
      <c r="AD5667" s="2043"/>
      <c r="AE5667" s="2014" t="s">
        <v>1841</v>
      </c>
      <c r="AF5667" s="2044"/>
    </row>
    <row r="5668" spans="1:32" ht="15.75" x14ac:dyDescent="0.25">
      <c r="A5668" s="2045" t="s">
        <v>1853</v>
      </c>
      <c r="B5668" s="2046"/>
      <c r="C5668" s="2046"/>
      <c r="D5668" s="2046"/>
      <c r="E5668" s="2046"/>
      <c r="F5668" s="2046"/>
      <c r="G5668" s="2046"/>
      <c r="H5668" s="2046"/>
      <c r="I5668" s="2046"/>
      <c r="J5668" s="2046"/>
      <c r="K5668" s="2046"/>
      <c r="L5668" s="2046"/>
      <c r="M5668" s="2046"/>
      <c r="N5668" s="2046"/>
      <c r="O5668" s="2046"/>
      <c r="P5668" s="2046"/>
      <c r="Q5668" s="2046"/>
      <c r="R5668" s="2046"/>
      <c r="S5668" s="2046"/>
      <c r="T5668" s="2046"/>
      <c r="U5668" s="2046"/>
      <c r="V5668" s="2046"/>
      <c r="W5668" s="2046"/>
      <c r="X5668" s="2046"/>
      <c r="Y5668" s="2046"/>
      <c r="Z5668" s="2046"/>
      <c r="AA5668" s="2046"/>
      <c r="AB5668" s="2046"/>
      <c r="AC5668" s="2046"/>
      <c r="AD5668" s="2046"/>
      <c r="AE5668" s="2047">
        <f>'01'!$M$13</f>
        <v>0</v>
      </c>
      <c r="AF5668" s="2044"/>
    </row>
    <row r="5669" spans="1:32" x14ac:dyDescent="0.2">
      <c r="A5669" s="1046"/>
      <c r="B5669" s="1047"/>
      <c r="C5669" s="1047"/>
      <c r="D5669" s="1047"/>
      <c r="E5669" s="1047"/>
      <c r="F5669" s="1047"/>
      <c r="G5669" s="1047"/>
      <c r="H5669" s="1047"/>
      <c r="I5669" s="1047"/>
      <c r="J5669" s="1047"/>
      <c r="K5669" s="1047"/>
      <c r="L5669" s="1047"/>
      <c r="M5669" s="1047"/>
      <c r="N5669" s="1047"/>
      <c r="O5669" s="1047"/>
      <c r="P5669" s="1047"/>
      <c r="Q5669" s="1047"/>
      <c r="R5669" s="1047"/>
      <c r="S5669" s="1047"/>
      <c r="T5669" s="1047"/>
      <c r="U5669" s="1047"/>
      <c r="V5669" s="1047"/>
      <c r="W5669" s="1047"/>
      <c r="X5669" s="1047"/>
      <c r="Y5669" s="1047"/>
      <c r="Z5669" s="1047"/>
      <c r="AA5669" s="1047"/>
      <c r="AB5669" s="1047"/>
      <c r="AC5669" s="1047"/>
      <c r="AD5669" s="1047"/>
      <c r="AE5669" s="1047"/>
      <c r="AF5669" s="1048"/>
    </row>
    <row r="5670" spans="1:32" ht="30" customHeight="1" x14ac:dyDescent="0.2">
      <c r="A5670" s="2048" t="s">
        <v>1842</v>
      </c>
      <c r="B5670" s="2049"/>
      <c r="C5670" s="2049"/>
      <c r="D5670" s="2049"/>
      <c r="E5670" s="2049"/>
      <c r="F5670" s="2050" t="str">
        <f>+'01'!$H$230</f>
        <v>I - TUBERÍA DE INTERCONEXIÓN</v>
      </c>
      <c r="G5670" s="2049"/>
      <c r="H5670" s="2049"/>
      <c r="I5670" s="2049"/>
      <c r="J5670" s="2049"/>
      <c r="K5670" s="2049"/>
      <c r="L5670" s="2049"/>
      <c r="M5670" s="2049"/>
      <c r="N5670" s="2049"/>
      <c r="O5670" s="2049"/>
      <c r="P5670" s="2049"/>
      <c r="Q5670" s="2049"/>
      <c r="R5670" s="2049"/>
      <c r="S5670" s="2049"/>
      <c r="T5670" s="2049"/>
      <c r="U5670" s="2049"/>
      <c r="V5670" s="2049"/>
      <c r="W5670" s="2049"/>
      <c r="X5670" s="2049"/>
      <c r="Y5670" s="2051"/>
      <c r="Z5670" s="2052" t="s">
        <v>1843</v>
      </c>
      <c r="AA5670" s="2053"/>
      <c r="AB5670" s="2058" t="s">
        <v>1844</v>
      </c>
      <c r="AC5670" s="2059"/>
      <c r="AD5670" s="2060"/>
      <c r="AE5670" s="2064" t="s">
        <v>1845</v>
      </c>
      <c r="AF5670" s="2067" t="s">
        <v>1846</v>
      </c>
    </row>
    <row r="5671" spans="1:32" ht="15" customHeight="1" x14ac:dyDescent="0.2">
      <c r="A5671" s="2070" t="str">
        <f>+'01'!A236</f>
        <v>I-03-01</v>
      </c>
      <c r="B5671" s="2071"/>
      <c r="C5671" s="2072"/>
      <c r="D5671" s="2076" t="str">
        <f>VLOOKUP(A5671,'01'!$A$12:$N$299,3,FALSE)</f>
        <v>RELLENO CON ARENA PARA BASE DE TUBERÍA</v>
      </c>
      <c r="E5671" s="2077"/>
      <c r="F5671" s="2077"/>
      <c r="G5671" s="2077"/>
      <c r="H5671" s="2077"/>
      <c r="I5671" s="2077"/>
      <c r="J5671" s="2077"/>
      <c r="K5671" s="2077"/>
      <c r="L5671" s="2077"/>
      <c r="M5671" s="2077"/>
      <c r="N5671" s="2077"/>
      <c r="O5671" s="2077"/>
      <c r="P5671" s="2077"/>
      <c r="Q5671" s="2077"/>
      <c r="R5671" s="2077"/>
      <c r="S5671" s="2078"/>
      <c r="T5671" s="2082" t="s">
        <v>124</v>
      </c>
      <c r="U5671" s="2083"/>
      <c r="V5671" s="2083"/>
      <c r="W5671" s="2083"/>
      <c r="X5671" s="2052" t="str">
        <f>VLOOKUP(A5671,'01'!$A$12:$N$299,9,FALSE)</f>
        <v>M3</v>
      </c>
      <c r="Y5671" s="2053"/>
      <c r="Z5671" s="2054"/>
      <c r="AA5671" s="2055"/>
      <c r="AB5671" s="2061"/>
      <c r="AC5671" s="2062"/>
      <c r="AD5671" s="2063"/>
      <c r="AE5671" s="2065"/>
      <c r="AF5671" s="2068"/>
    </row>
    <row r="5672" spans="1:32" ht="15" customHeight="1" x14ac:dyDescent="0.25">
      <c r="A5672" s="2073"/>
      <c r="B5672" s="2074"/>
      <c r="C5672" s="2075"/>
      <c r="D5672" s="2079"/>
      <c r="E5672" s="2080"/>
      <c r="F5672" s="2080"/>
      <c r="G5672" s="2080"/>
      <c r="H5672" s="2080"/>
      <c r="I5672" s="2080"/>
      <c r="J5672" s="2080"/>
      <c r="K5672" s="2080"/>
      <c r="L5672" s="2080"/>
      <c r="M5672" s="2080"/>
      <c r="N5672" s="2080"/>
      <c r="O5672" s="2080"/>
      <c r="P5672" s="2080"/>
      <c r="Q5672" s="2080"/>
      <c r="R5672" s="2080"/>
      <c r="S5672" s="2081"/>
      <c r="T5672" s="2084"/>
      <c r="U5672" s="2085"/>
      <c r="V5672" s="2085"/>
      <c r="W5672" s="2085"/>
      <c r="X5672" s="2056"/>
      <c r="Y5672" s="2057"/>
      <c r="Z5672" s="2056"/>
      <c r="AA5672" s="2057"/>
      <c r="AB5672" s="1049" t="s">
        <v>1847</v>
      </c>
      <c r="AC5672" s="1049" t="s">
        <v>1848</v>
      </c>
      <c r="AD5672" s="1049" t="s">
        <v>1861</v>
      </c>
      <c r="AE5672" s="2066"/>
      <c r="AF5672" s="2069"/>
    </row>
    <row r="5673" spans="1:32" ht="30" customHeight="1" x14ac:dyDescent="0.25">
      <c r="A5673" s="2017"/>
      <c r="B5673" s="2018"/>
      <c r="C5673" s="2018"/>
      <c r="D5673" s="2018"/>
      <c r="E5673" s="2018"/>
      <c r="F5673" s="2018"/>
      <c r="G5673" s="2018"/>
      <c r="H5673" s="2018"/>
      <c r="I5673" s="2018"/>
      <c r="J5673" s="2018"/>
      <c r="K5673" s="2018"/>
      <c r="L5673" s="2018"/>
      <c r="M5673" s="2018"/>
      <c r="N5673" s="2018"/>
      <c r="O5673" s="2018"/>
      <c r="P5673" s="2018"/>
      <c r="Q5673" s="2018"/>
      <c r="R5673" s="2018"/>
      <c r="S5673" s="2018"/>
      <c r="T5673" s="2018"/>
      <c r="U5673" s="2018"/>
      <c r="V5673" s="2018"/>
      <c r="W5673" s="2018"/>
      <c r="X5673" s="2018"/>
      <c r="Y5673" s="2018"/>
      <c r="Z5673" s="2021" t="s">
        <v>2552</v>
      </c>
      <c r="AA5673" s="2021"/>
      <c r="AB5673" s="1050">
        <v>30</v>
      </c>
      <c r="AC5673" s="1050">
        <v>0.5</v>
      </c>
      <c r="AD5673" s="1050">
        <v>0.1</v>
      </c>
      <c r="AE5673" s="1050">
        <v>2</v>
      </c>
      <c r="AF5673" s="1052">
        <f>+ROUND(AB5673*AC5673*AD5673*AE5673,2)</f>
        <v>3</v>
      </c>
    </row>
    <row r="5674" spans="1:32" ht="15.6" customHeight="1" x14ac:dyDescent="0.25">
      <c r="A5674" s="2017"/>
      <c r="B5674" s="2018"/>
      <c r="C5674" s="2018"/>
      <c r="D5674" s="2018"/>
      <c r="E5674" s="2018"/>
      <c r="F5674" s="2018"/>
      <c r="G5674" s="2018"/>
      <c r="H5674" s="2018"/>
      <c r="I5674" s="2018"/>
      <c r="J5674" s="2018"/>
      <c r="K5674" s="2018"/>
      <c r="L5674" s="2018"/>
      <c r="M5674" s="2018"/>
      <c r="N5674" s="2018"/>
      <c r="O5674" s="2018"/>
      <c r="P5674" s="2018"/>
      <c r="Q5674" s="2018"/>
      <c r="R5674" s="2018"/>
      <c r="S5674" s="2018"/>
      <c r="T5674" s="2018"/>
      <c r="U5674" s="2018"/>
      <c r="V5674" s="2018"/>
      <c r="W5674" s="2018"/>
      <c r="X5674" s="2018"/>
      <c r="Y5674" s="2018"/>
      <c r="Z5674" s="2021" t="s">
        <v>2553</v>
      </c>
      <c r="AA5674" s="2021"/>
      <c r="AB5674" s="1050">
        <v>10</v>
      </c>
      <c r="AC5674" s="1050">
        <v>0.5</v>
      </c>
      <c r="AD5674" s="1050">
        <v>0.1</v>
      </c>
      <c r="AE5674" s="1050">
        <v>1</v>
      </c>
      <c r="AF5674" s="1052">
        <f t="shared" ref="AF5674:AF5680" si="82">+ROUND(AB5674*AC5674*AD5674*AE5674,2)</f>
        <v>0.5</v>
      </c>
    </row>
    <row r="5675" spans="1:32" ht="15.6" customHeight="1" x14ac:dyDescent="0.25">
      <c r="A5675" s="2017"/>
      <c r="B5675" s="2018"/>
      <c r="C5675" s="2018"/>
      <c r="D5675" s="2018"/>
      <c r="E5675" s="2018"/>
      <c r="F5675" s="2018"/>
      <c r="G5675" s="2018"/>
      <c r="H5675" s="2018"/>
      <c r="I5675" s="2018"/>
      <c r="J5675" s="2018"/>
      <c r="K5675" s="2018"/>
      <c r="L5675" s="2018"/>
      <c r="M5675" s="2018"/>
      <c r="N5675" s="2018"/>
      <c r="O5675" s="2018"/>
      <c r="P5675" s="2018"/>
      <c r="Q5675" s="2018"/>
      <c r="R5675" s="2018"/>
      <c r="S5675" s="2018"/>
      <c r="T5675" s="2018"/>
      <c r="U5675" s="2018"/>
      <c r="V5675" s="2018"/>
      <c r="W5675" s="2018"/>
      <c r="X5675" s="2018"/>
      <c r="Y5675" s="2018"/>
      <c r="Z5675" s="2021" t="s">
        <v>2554</v>
      </c>
      <c r="AA5675" s="2021"/>
      <c r="AB5675" s="1050">
        <v>15</v>
      </c>
      <c r="AC5675" s="1050">
        <v>0.5</v>
      </c>
      <c r="AD5675" s="1050">
        <v>0.1</v>
      </c>
      <c r="AE5675" s="1050">
        <v>1</v>
      </c>
      <c r="AF5675" s="1052">
        <f t="shared" si="82"/>
        <v>0.75</v>
      </c>
    </row>
    <row r="5676" spans="1:32" ht="15.75" x14ac:dyDescent="0.25">
      <c r="A5676" s="2017"/>
      <c r="B5676" s="2018"/>
      <c r="C5676" s="2018"/>
      <c r="D5676" s="2018"/>
      <c r="E5676" s="2018"/>
      <c r="F5676" s="2018"/>
      <c r="G5676" s="2018"/>
      <c r="H5676" s="2018"/>
      <c r="I5676" s="2018"/>
      <c r="J5676" s="2018"/>
      <c r="K5676" s="2018"/>
      <c r="L5676" s="2018"/>
      <c r="M5676" s="2018"/>
      <c r="N5676" s="2018"/>
      <c r="O5676" s="2018"/>
      <c r="P5676" s="2018"/>
      <c r="Q5676" s="2018"/>
      <c r="R5676" s="2018"/>
      <c r="S5676" s="2018"/>
      <c r="T5676" s="2018"/>
      <c r="U5676" s="2018"/>
      <c r="V5676" s="2018"/>
      <c r="W5676" s="2018"/>
      <c r="X5676" s="2018"/>
      <c r="Y5676" s="2018"/>
      <c r="Z5676" s="2021" t="s">
        <v>2555</v>
      </c>
      <c r="AA5676" s="2021"/>
      <c r="AB5676" s="1050">
        <v>20</v>
      </c>
      <c r="AC5676" s="1050">
        <v>0.5</v>
      </c>
      <c r="AD5676" s="1050">
        <v>0.1</v>
      </c>
      <c r="AE5676" s="1050">
        <v>1</v>
      </c>
      <c r="AF5676" s="1052">
        <f t="shared" si="82"/>
        <v>1</v>
      </c>
    </row>
    <row r="5677" spans="1:32" ht="15.6" customHeight="1" x14ac:dyDescent="0.25">
      <c r="A5677" s="2017"/>
      <c r="B5677" s="2018"/>
      <c r="C5677" s="2018"/>
      <c r="D5677" s="2018"/>
      <c r="E5677" s="2018"/>
      <c r="F5677" s="2018"/>
      <c r="G5677" s="2018"/>
      <c r="H5677" s="2018"/>
      <c r="I5677" s="2018"/>
      <c r="J5677" s="2018"/>
      <c r="K5677" s="2018"/>
      <c r="L5677" s="2018"/>
      <c r="M5677" s="2018"/>
      <c r="N5677" s="2018"/>
      <c r="O5677" s="2018"/>
      <c r="P5677" s="2018"/>
      <c r="Q5677" s="2018"/>
      <c r="R5677" s="2018"/>
      <c r="S5677" s="2018"/>
      <c r="T5677" s="2018"/>
      <c r="U5677" s="2018"/>
      <c r="V5677" s="2018"/>
      <c r="W5677" s="2018"/>
      <c r="X5677" s="2018"/>
      <c r="Y5677" s="2018"/>
      <c r="Z5677" s="2021" t="s">
        <v>2556</v>
      </c>
      <c r="AA5677" s="2021"/>
      <c r="AB5677" s="1050">
        <v>10</v>
      </c>
      <c r="AC5677" s="1050">
        <v>0.5</v>
      </c>
      <c r="AD5677" s="1050">
        <v>0.1</v>
      </c>
      <c r="AE5677" s="1050">
        <v>1</v>
      </c>
      <c r="AF5677" s="1052">
        <f t="shared" si="82"/>
        <v>0.5</v>
      </c>
    </row>
    <row r="5678" spans="1:32" ht="15.75" x14ac:dyDescent="0.25">
      <c r="A5678" s="2017"/>
      <c r="B5678" s="2018"/>
      <c r="C5678" s="2018"/>
      <c r="D5678" s="2018"/>
      <c r="E5678" s="2018"/>
      <c r="F5678" s="2018"/>
      <c r="G5678" s="2018"/>
      <c r="H5678" s="2018"/>
      <c r="I5678" s="2018"/>
      <c r="J5678" s="2018"/>
      <c r="K5678" s="2018"/>
      <c r="L5678" s="2018"/>
      <c r="M5678" s="2018"/>
      <c r="N5678" s="2018"/>
      <c r="O5678" s="2018"/>
      <c r="P5678" s="2018"/>
      <c r="Q5678" s="2018"/>
      <c r="R5678" s="2018"/>
      <c r="S5678" s="2018"/>
      <c r="T5678" s="2018"/>
      <c r="U5678" s="2018"/>
      <c r="V5678" s="2018"/>
      <c r="W5678" s="2018"/>
      <c r="X5678" s="2018"/>
      <c r="Y5678" s="2018"/>
      <c r="Z5678" s="2021" t="s">
        <v>2557</v>
      </c>
      <c r="AA5678" s="2021"/>
      <c r="AB5678" s="1050">
        <v>10</v>
      </c>
      <c r="AC5678" s="1050">
        <v>0.5</v>
      </c>
      <c r="AD5678" s="1050">
        <v>0.1</v>
      </c>
      <c r="AE5678" s="1050">
        <v>1</v>
      </c>
      <c r="AF5678" s="1052">
        <f t="shared" si="82"/>
        <v>0.5</v>
      </c>
    </row>
    <row r="5679" spans="1:32" ht="15.75" x14ac:dyDescent="0.25">
      <c r="A5679" s="2017"/>
      <c r="B5679" s="2018"/>
      <c r="C5679" s="2018"/>
      <c r="D5679" s="2018"/>
      <c r="E5679" s="2018"/>
      <c r="F5679" s="2018"/>
      <c r="G5679" s="2018"/>
      <c r="H5679" s="2018"/>
      <c r="I5679" s="2018"/>
      <c r="J5679" s="2018"/>
      <c r="K5679" s="2018"/>
      <c r="L5679" s="2018"/>
      <c r="M5679" s="2018"/>
      <c r="N5679" s="2018"/>
      <c r="O5679" s="2018"/>
      <c r="P5679" s="2018"/>
      <c r="Q5679" s="2018"/>
      <c r="R5679" s="2018"/>
      <c r="S5679" s="2018"/>
      <c r="T5679" s="2018"/>
      <c r="U5679" s="2018"/>
      <c r="V5679" s="2018"/>
      <c r="W5679" s="2018"/>
      <c r="X5679" s="2018"/>
      <c r="Y5679" s="2018"/>
      <c r="Z5679" s="2021" t="s">
        <v>2558</v>
      </c>
      <c r="AA5679" s="2021"/>
      <c r="AB5679" s="1050">
        <v>10</v>
      </c>
      <c r="AC5679" s="1050">
        <v>0.5</v>
      </c>
      <c r="AD5679" s="1050">
        <v>0.1</v>
      </c>
      <c r="AE5679" s="1050">
        <v>1</v>
      </c>
      <c r="AF5679" s="1052">
        <f t="shared" si="82"/>
        <v>0.5</v>
      </c>
    </row>
    <row r="5680" spans="1:32" ht="15.6" customHeight="1" x14ac:dyDescent="0.25">
      <c r="A5680" s="2017"/>
      <c r="B5680" s="2018"/>
      <c r="C5680" s="2018"/>
      <c r="D5680" s="2018"/>
      <c r="E5680" s="2018"/>
      <c r="F5680" s="2018"/>
      <c r="G5680" s="2018"/>
      <c r="H5680" s="2018"/>
      <c r="I5680" s="2018"/>
      <c r="J5680" s="2018"/>
      <c r="K5680" s="2018"/>
      <c r="L5680" s="2018"/>
      <c r="M5680" s="2018"/>
      <c r="N5680" s="2018"/>
      <c r="O5680" s="2018"/>
      <c r="P5680" s="2018"/>
      <c r="Q5680" s="2018"/>
      <c r="R5680" s="2018"/>
      <c r="S5680" s="2018"/>
      <c r="T5680" s="2018"/>
      <c r="U5680" s="2018"/>
      <c r="V5680" s="2018"/>
      <c r="W5680" s="2018"/>
      <c r="X5680" s="2018"/>
      <c r="Y5680" s="2018"/>
      <c r="Z5680" s="2021" t="s">
        <v>2559</v>
      </c>
      <c r="AA5680" s="2021"/>
      <c r="AB5680" s="1050">
        <v>10</v>
      </c>
      <c r="AC5680" s="1050">
        <v>0.5</v>
      </c>
      <c r="AD5680" s="1050">
        <v>0.1</v>
      </c>
      <c r="AE5680" s="1050">
        <v>1</v>
      </c>
      <c r="AF5680" s="1052">
        <f t="shared" si="82"/>
        <v>0.5</v>
      </c>
    </row>
    <row r="5681" spans="1:32" ht="15.75" x14ac:dyDescent="0.25">
      <c r="A5681" s="2017"/>
      <c r="B5681" s="2018"/>
      <c r="C5681" s="2018"/>
      <c r="D5681" s="2018"/>
      <c r="E5681" s="2018"/>
      <c r="F5681" s="2018"/>
      <c r="G5681" s="2018"/>
      <c r="H5681" s="2018"/>
      <c r="I5681" s="2018"/>
      <c r="J5681" s="2018"/>
      <c r="K5681" s="2018"/>
      <c r="L5681" s="2018"/>
      <c r="M5681" s="2018"/>
      <c r="N5681" s="2018"/>
      <c r="O5681" s="2018"/>
      <c r="P5681" s="2018"/>
      <c r="Q5681" s="2018"/>
      <c r="R5681" s="2018"/>
      <c r="S5681" s="2018"/>
      <c r="T5681" s="2018"/>
      <c r="U5681" s="2018"/>
      <c r="V5681" s="2018"/>
      <c r="W5681" s="2018"/>
      <c r="X5681" s="2018"/>
      <c r="Y5681" s="2018"/>
      <c r="Z5681" s="2022"/>
      <c r="AA5681" s="2022"/>
      <c r="AB5681" s="1050"/>
      <c r="AC5681" s="1050"/>
      <c r="AD5681" s="1050"/>
      <c r="AE5681" s="1050"/>
      <c r="AF5681" s="1052"/>
    </row>
    <row r="5682" spans="1:32" ht="15.75" x14ac:dyDescent="0.25">
      <c r="A5682" s="2017"/>
      <c r="B5682" s="2018"/>
      <c r="C5682" s="2018"/>
      <c r="D5682" s="2018"/>
      <c r="E5682" s="2018"/>
      <c r="F5682" s="2018"/>
      <c r="G5682" s="2018"/>
      <c r="H5682" s="2018"/>
      <c r="I5682" s="2018"/>
      <c r="J5682" s="2018"/>
      <c r="K5682" s="2018"/>
      <c r="L5682" s="2018"/>
      <c r="M5682" s="2018"/>
      <c r="N5682" s="2018"/>
      <c r="O5682" s="2018"/>
      <c r="P5682" s="2018"/>
      <c r="Q5682" s="2018"/>
      <c r="R5682" s="2018"/>
      <c r="S5682" s="2018"/>
      <c r="T5682" s="2018"/>
      <c r="U5682" s="2018"/>
      <c r="V5682" s="2018"/>
      <c r="W5682" s="2018"/>
      <c r="X5682" s="2018"/>
      <c r="Y5682" s="2018"/>
      <c r="Z5682" s="2022"/>
      <c r="AA5682" s="2022"/>
      <c r="AB5682" s="1050"/>
      <c r="AC5682" s="1050"/>
      <c r="AD5682" s="1050"/>
      <c r="AE5682" s="1050"/>
      <c r="AF5682" s="1052"/>
    </row>
    <row r="5683" spans="1:32" ht="15.75" x14ac:dyDescent="0.25">
      <c r="A5683" s="2017"/>
      <c r="B5683" s="2018"/>
      <c r="C5683" s="2018"/>
      <c r="D5683" s="2018"/>
      <c r="E5683" s="2018"/>
      <c r="F5683" s="2018"/>
      <c r="G5683" s="2018"/>
      <c r="H5683" s="2018"/>
      <c r="I5683" s="2018"/>
      <c r="J5683" s="2018"/>
      <c r="K5683" s="2018"/>
      <c r="L5683" s="2018"/>
      <c r="M5683" s="2018"/>
      <c r="N5683" s="2018"/>
      <c r="O5683" s="2018"/>
      <c r="P5683" s="2018"/>
      <c r="Q5683" s="2018"/>
      <c r="R5683" s="2018"/>
      <c r="S5683" s="2018"/>
      <c r="T5683" s="2018"/>
      <c r="U5683" s="2018"/>
      <c r="V5683" s="2018"/>
      <c r="W5683" s="2018"/>
      <c r="X5683" s="2018"/>
      <c r="Y5683" s="2018"/>
      <c r="Z5683" s="2022"/>
      <c r="AA5683" s="2022"/>
      <c r="AB5683" s="1050"/>
      <c r="AC5683" s="1050"/>
      <c r="AD5683" s="1050"/>
      <c r="AE5683" s="1050"/>
      <c r="AF5683" s="1052"/>
    </row>
    <row r="5684" spans="1:32" ht="15.6" customHeight="1" x14ac:dyDescent="0.25">
      <c r="A5684" s="2017"/>
      <c r="B5684" s="2018"/>
      <c r="C5684" s="2018"/>
      <c r="D5684" s="2018"/>
      <c r="E5684" s="2018"/>
      <c r="F5684" s="2018"/>
      <c r="G5684" s="2018"/>
      <c r="H5684" s="2018"/>
      <c r="I5684" s="2018"/>
      <c r="J5684" s="2018"/>
      <c r="K5684" s="2018"/>
      <c r="L5684" s="2018"/>
      <c r="M5684" s="2018"/>
      <c r="N5684" s="2018"/>
      <c r="O5684" s="2018"/>
      <c r="P5684" s="2018"/>
      <c r="Q5684" s="2018"/>
      <c r="R5684" s="2018"/>
      <c r="S5684" s="2018"/>
      <c r="T5684" s="2018"/>
      <c r="U5684" s="2018"/>
      <c r="V5684" s="2018"/>
      <c r="W5684" s="2018"/>
      <c r="X5684" s="2018"/>
      <c r="Y5684" s="2018"/>
      <c r="Z5684" s="2022"/>
      <c r="AA5684" s="2022"/>
      <c r="AB5684" s="1050"/>
      <c r="AC5684" s="1050"/>
      <c r="AD5684" s="1050"/>
      <c r="AE5684" s="1050"/>
      <c r="AF5684" s="1052"/>
    </row>
    <row r="5685" spans="1:32" ht="15.75" x14ac:dyDescent="0.25">
      <c r="A5685" s="2017"/>
      <c r="B5685" s="2018"/>
      <c r="C5685" s="2018"/>
      <c r="D5685" s="2018"/>
      <c r="E5685" s="2018"/>
      <c r="F5685" s="2018"/>
      <c r="G5685" s="2018"/>
      <c r="H5685" s="2018"/>
      <c r="I5685" s="2018"/>
      <c r="J5685" s="2018"/>
      <c r="K5685" s="2018"/>
      <c r="L5685" s="2018"/>
      <c r="M5685" s="2018"/>
      <c r="N5685" s="2018"/>
      <c r="O5685" s="2018"/>
      <c r="P5685" s="2018"/>
      <c r="Q5685" s="2018"/>
      <c r="R5685" s="2018"/>
      <c r="S5685" s="2018"/>
      <c r="T5685" s="2018"/>
      <c r="U5685" s="2018"/>
      <c r="V5685" s="2018"/>
      <c r="W5685" s="2018"/>
      <c r="X5685" s="2018"/>
      <c r="Y5685" s="2018"/>
      <c r="Z5685" s="2022"/>
      <c r="AA5685" s="2022"/>
      <c r="AB5685" s="1050"/>
      <c r="AC5685" s="1050"/>
      <c r="AD5685" s="1050"/>
      <c r="AE5685" s="1050"/>
      <c r="AF5685" s="1052"/>
    </row>
    <row r="5686" spans="1:32" ht="15.75" x14ac:dyDescent="0.25">
      <c r="A5686" s="2017"/>
      <c r="B5686" s="2018"/>
      <c r="C5686" s="2018"/>
      <c r="D5686" s="2018"/>
      <c r="E5686" s="2018"/>
      <c r="F5686" s="2018"/>
      <c r="G5686" s="2018"/>
      <c r="H5686" s="2018"/>
      <c r="I5686" s="2018"/>
      <c r="J5686" s="2018"/>
      <c r="K5686" s="2018"/>
      <c r="L5686" s="2018"/>
      <c r="M5686" s="2018"/>
      <c r="N5686" s="2018"/>
      <c r="O5686" s="2018"/>
      <c r="P5686" s="2018"/>
      <c r="Q5686" s="2018"/>
      <c r="R5686" s="2018"/>
      <c r="S5686" s="2018"/>
      <c r="T5686" s="2018"/>
      <c r="U5686" s="2018"/>
      <c r="V5686" s="2018"/>
      <c r="W5686" s="2018"/>
      <c r="X5686" s="2018"/>
      <c r="Y5686" s="2018"/>
      <c r="Z5686" s="2022"/>
      <c r="AA5686" s="2022"/>
      <c r="AB5686" s="1050"/>
      <c r="AC5686" s="1050"/>
      <c r="AD5686" s="1050"/>
      <c r="AE5686" s="1050"/>
      <c r="AF5686" s="1052"/>
    </row>
    <row r="5687" spans="1:32" ht="15.75" x14ac:dyDescent="0.25">
      <c r="A5687" s="2017"/>
      <c r="B5687" s="2018"/>
      <c r="C5687" s="2018"/>
      <c r="D5687" s="2018"/>
      <c r="E5687" s="2018"/>
      <c r="F5687" s="2018"/>
      <c r="G5687" s="2018"/>
      <c r="H5687" s="2018"/>
      <c r="I5687" s="2018"/>
      <c r="J5687" s="2018"/>
      <c r="K5687" s="2018"/>
      <c r="L5687" s="2018"/>
      <c r="M5687" s="2018"/>
      <c r="N5687" s="2018"/>
      <c r="O5687" s="2018"/>
      <c r="P5687" s="2018"/>
      <c r="Q5687" s="2018"/>
      <c r="R5687" s="2018"/>
      <c r="S5687" s="2018"/>
      <c r="T5687" s="2018"/>
      <c r="U5687" s="2018"/>
      <c r="V5687" s="2018"/>
      <c r="W5687" s="2018"/>
      <c r="X5687" s="2018"/>
      <c r="Y5687" s="2018"/>
      <c r="Z5687" s="2022"/>
      <c r="AA5687" s="2022"/>
      <c r="AB5687" s="1050"/>
      <c r="AC5687" s="1050"/>
      <c r="AD5687" s="1050"/>
      <c r="AE5687" s="1050"/>
      <c r="AF5687" s="1052"/>
    </row>
    <row r="5688" spans="1:32" ht="15.75" x14ac:dyDescent="0.25">
      <c r="A5688" s="2017"/>
      <c r="B5688" s="2018"/>
      <c r="C5688" s="2018"/>
      <c r="D5688" s="2018"/>
      <c r="E5688" s="2018"/>
      <c r="F5688" s="2018"/>
      <c r="G5688" s="2018"/>
      <c r="H5688" s="2018"/>
      <c r="I5688" s="2018"/>
      <c r="J5688" s="2018"/>
      <c r="K5688" s="2018"/>
      <c r="L5688" s="2018"/>
      <c r="M5688" s="2018"/>
      <c r="N5688" s="2018"/>
      <c r="O5688" s="2018"/>
      <c r="P5688" s="2018"/>
      <c r="Q5688" s="2018"/>
      <c r="R5688" s="2018"/>
      <c r="S5688" s="2018"/>
      <c r="T5688" s="2018"/>
      <c r="U5688" s="2018"/>
      <c r="V5688" s="2018"/>
      <c r="W5688" s="2018"/>
      <c r="X5688" s="2018"/>
      <c r="Y5688" s="2018"/>
      <c r="Z5688" s="2022"/>
      <c r="AA5688" s="2022"/>
      <c r="AB5688" s="1050"/>
      <c r="AC5688" s="1050"/>
      <c r="AD5688" s="1050"/>
      <c r="AE5688" s="1050"/>
      <c r="AF5688" s="1052"/>
    </row>
    <row r="5689" spans="1:32" ht="15.75" x14ac:dyDescent="0.25">
      <c r="A5689" s="2017"/>
      <c r="B5689" s="2018"/>
      <c r="C5689" s="2018"/>
      <c r="D5689" s="2018"/>
      <c r="E5689" s="2018"/>
      <c r="F5689" s="2018"/>
      <c r="G5689" s="2018"/>
      <c r="H5689" s="2018"/>
      <c r="I5689" s="2018"/>
      <c r="J5689" s="2018"/>
      <c r="K5689" s="2018"/>
      <c r="L5689" s="2018"/>
      <c r="M5689" s="2018"/>
      <c r="N5689" s="2018"/>
      <c r="O5689" s="2018"/>
      <c r="P5689" s="2018"/>
      <c r="Q5689" s="2018"/>
      <c r="R5689" s="2018"/>
      <c r="S5689" s="2018"/>
      <c r="T5689" s="2018"/>
      <c r="U5689" s="2018"/>
      <c r="V5689" s="2018"/>
      <c r="W5689" s="2018"/>
      <c r="X5689" s="2018"/>
      <c r="Y5689" s="2018"/>
      <c r="Z5689" s="2022"/>
      <c r="AA5689" s="2022"/>
      <c r="AB5689" s="1050"/>
      <c r="AC5689" s="1050"/>
      <c r="AD5689" s="1050"/>
      <c r="AE5689" s="1050"/>
      <c r="AF5689" s="1052"/>
    </row>
    <row r="5690" spans="1:32" ht="15.75" x14ac:dyDescent="0.25">
      <c r="A5690" s="2017"/>
      <c r="B5690" s="2018"/>
      <c r="C5690" s="2018"/>
      <c r="D5690" s="2018"/>
      <c r="E5690" s="2018"/>
      <c r="F5690" s="2018"/>
      <c r="G5690" s="2018"/>
      <c r="H5690" s="2018"/>
      <c r="I5690" s="2018"/>
      <c r="J5690" s="2018"/>
      <c r="K5690" s="2018"/>
      <c r="L5690" s="2018"/>
      <c r="M5690" s="2018"/>
      <c r="N5690" s="2018"/>
      <c r="O5690" s="2018"/>
      <c r="P5690" s="2018"/>
      <c r="Q5690" s="2018"/>
      <c r="R5690" s="2018"/>
      <c r="S5690" s="2018"/>
      <c r="T5690" s="2018"/>
      <c r="U5690" s="2018"/>
      <c r="V5690" s="2018"/>
      <c r="W5690" s="2018"/>
      <c r="X5690" s="2018"/>
      <c r="Y5690" s="2018"/>
      <c r="Z5690" s="2023"/>
      <c r="AA5690" s="2023"/>
      <c r="AB5690" s="1050"/>
      <c r="AC5690" s="1050"/>
      <c r="AD5690" s="1050"/>
      <c r="AE5690" s="1050"/>
      <c r="AF5690" s="1052"/>
    </row>
    <row r="5691" spans="1:32" ht="15.75" x14ac:dyDescent="0.25">
      <c r="A5691" s="2017"/>
      <c r="B5691" s="2018"/>
      <c r="C5691" s="2018"/>
      <c r="D5691" s="2018"/>
      <c r="E5691" s="2018"/>
      <c r="F5691" s="2018"/>
      <c r="G5691" s="2018"/>
      <c r="H5691" s="2018"/>
      <c r="I5691" s="2018"/>
      <c r="J5691" s="2018"/>
      <c r="K5691" s="2018"/>
      <c r="L5691" s="2018"/>
      <c r="M5691" s="2018"/>
      <c r="N5691" s="2018"/>
      <c r="O5691" s="2018"/>
      <c r="P5691" s="2018"/>
      <c r="Q5691" s="2018"/>
      <c r="R5691" s="2018"/>
      <c r="S5691" s="2018"/>
      <c r="T5691" s="2018"/>
      <c r="U5691" s="2018"/>
      <c r="V5691" s="2018"/>
      <c r="W5691" s="2018"/>
      <c r="X5691" s="2018"/>
      <c r="Y5691" s="2018"/>
      <c r="Z5691" s="2023"/>
      <c r="AA5691" s="2023"/>
      <c r="AB5691" s="1050"/>
      <c r="AC5691" s="1050"/>
      <c r="AD5691" s="1050"/>
      <c r="AE5691" s="1050"/>
      <c r="AF5691" s="1052"/>
    </row>
    <row r="5692" spans="1:32" ht="15.75" x14ac:dyDescent="0.25">
      <c r="A5692" s="2017"/>
      <c r="B5692" s="2018"/>
      <c r="C5692" s="2018"/>
      <c r="D5692" s="2018"/>
      <c r="E5692" s="2018"/>
      <c r="F5692" s="2018"/>
      <c r="G5692" s="2018"/>
      <c r="H5692" s="2018"/>
      <c r="I5692" s="2018"/>
      <c r="J5692" s="2018"/>
      <c r="K5692" s="2018"/>
      <c r="L5692" s="2018"/>
      <c r="M5692" s="2018"/>
      <c r="N5692" s="2018"/>
      <c r="O5692" s="2018"/>
      <c r="P5692" s="2018"/>
      <c r="Q5692" s="2018"/>
      <c r="R5692" s="2018"/>
      <c r="S5692" s="2018"/>
      <c r="T5692" s="2018"/>
      <c r="U5692" s="2018"/>
      <c r="V5692" s="2018"/>
      <c r="W5692" s="2018"/>
      <c r="X5692" s="2018"/>
      <c r="Y5692" s="2018"/>
      <c r="Z5692" s="2023"/>
      <c r="AA5692" s="2023"/>
      <c r="AB5692" s="1050"/>
      <c r="AC5692" s="1050"/>
      <c r="AD5692" s="1050"/>
      <c r="AE5692" s="1050"/>
      <c r="AF5692" s="1052"/>
    </row>
    <row r="5693" spans="1:32" ht="15.75" x14ac:dyDescent="0.25">
      <c r="A5693" s="2017"/>
      <c r="B5693" s="2018"/>
      <c r="C5693" s="2018"/>
      <c r="D5693" s="2018"/>
      <c r="E5693" s="2018"/>
      <c r="F5693" s="2018"/>
      <c r="G5693" s="2018"/>
      <c r="H5693" s="2018"/>
      <c r="I5693" s="2018"/>
      <c r="J5693" s="2018"/>
      <c r="K5693" s="2018"/>
      <c r="L5693" s="2018"/>
      <c r="M5693" s="2018"/>
      <c r="N5693" s="2018"/>
      <c r="O5693" s="2018"/>
      <c r="P5693" s="2018"/>
      <c r="Q5693" s="2018"/>
      <c r="R5693" s="2018"/>
      <c r="S5693" s="2018"/>
      <c r="T5693" s="2018"/>
      <c r="U5693" s="2018"/>
      <c r="V5693" s="2018"/>
      <c r="W5693" s="2018"/>
      <c r="X5693" s="2018"/>
      <c r="Y5693" s="2018"/>
      <c r="Z5693" s="2023"/>
      <c r="AA5693" s="2023"/>
      <c r="AB5693" s="1050"/>
      <c r="AC5693" s="1050"/>
      <c r="AD5693" s="1050"/>
      <c r="AE5693" s="1050"/>
      <c r="AF5693" s="1052"/>
    </row>
    <row r="5694" spans="1:32" ht="15.75" x14ac:dyDescent="0.25">
      <c r="A5694" s="2017"/>
      <c r="B5694" s="2018"/>
      <c r="C5694" s="2018"/>
      <c r="D5694" s="2018"/>
      <c r="E5694" s="2018"/>
      <c r="F5694" s="2018"/>
      <c r="G5694" s="2018"/>
      <c r="H5694" s="2018"/>
      <c r="I5694" s="2018"/>
      <c r="J5694" s="2018"/>
      <c r="K5694" s="2018"/>
      <c r="L5694" s="2018"/>
      <c r="M5694" s="2018"/>
      <c r="N5694" s="2018"/>
      <c r="O5694" s="2018"/>
      <c r="P5694" s="2018"/>
      <c r="Q5694" s="2018"/>
      <c r="R5694" s="2018"/>
      <c r="S5694" s="2018"/>
      <c r="T5694" s="2018"/>
      <c r="U5694" s="2018"/>
      <c r="V5694" s="2018"/>
      <c r="W5694" s="2018"/>
      <c r="X5694" s="2018"/>
      <c r="Y5694" s="2018"/>
      <c r="Z5694" s="2023"/>
      <c r="AA5694" s="2023"/>
      <c r="AB5694" s="1050"/>
      <c r="AC5694" s="1050"/>
      <c r="AD5694" s="1050"/>
      <c r="AE5694" s="1050"/>
      <c r="AF5694" s="1052"/>
    </row>
    <row r="5695" spans="1:32" ht="15.75" x14ac:dyDescent="0.25">
      <c r="A5695" s="2017"/>
      <c r="B5695" s="2018"/>
      <c r="C5695" s="2018"/>
      <c r="D5695" s="2018"/>
      <c r="E5695" s="2018"/>
      <c r="F5695" s="2018"/>
      <c r="G5695" s="2018"/>
      <c r="H5695" s="2018"/>
      <c r="I5695" s="2018"/>
      <c r="J5695" s="2018"/>
      <c r="K5695" s="2018"/>
      <c r="L5695" s="2018"/>
      <c r="M5695" s="2018"/>
      <c r="N5695" s="2018"/>
      <c r="O5695" s="2018"/>
      <c r="P5695" s="2018"/>
      <c r="Q5695" s="2018"/>
      <c r="R5695" s="2018"/>
      <c r="S5695" s="2018"/>
      <c r="T5695" s="2018"/>
      <c r="U5695" s="2018"/>
      <c r="V5695" s="2018"/>
      <c r="W5695" s="2018"/>
      <c r="X5695" s="2018"/>
      <c r="Y5695" s="2018"/>
      <c r="Z5695" s="2023"/>
      <c r="AA5695" s="2023"/>
      <c r="AB5695" s="1050"/>
      <c r="AC5695" s="1050"/>
      <c r="AD5695" s="1050"/>
      <c r="AE5695" s="1050"/>
      <c r="AF5695" s="1052"/>
    </row>
    <row r="5696" spans="1:32" ht="16.5" thickBot="1" x14ac:dyDescent="0.3">
      <c r="A5696" s="2019"/>
      <c r="B5696" s="2020"/>
      <c r="C5696" s="2020"/>
      <c r="D5696" s="2020"/>
      <c r="E5696" s="2020"/>
      <c r="F5696" s="2020"/>
      <c r="G5696" s="2020"/>
      <c r="H5696" s="2020"/>
      <c r="I5696" s="2020"/>
      <c r="J5696" s="2020"/>
      <c r="K5696" s="2020"/>
      <c r="L5696" s="2020"/>
      <c r="M5696" s="2020"/>
      <c r="N5696" s="2020"/>
      <c r="O5696" s="2020"/>
      <c r="P5696" s="2020"/>
      <c r="Q5696" s="2020"/>
      <c r="R5696" s="2020"/>
      <c r="S5696" s="2020"/>
      <c r="T5696" s="2020"/>
      <c r="U5696" s="2020"/>
      <c r="V5696" s="2020"/>
      <c r="W5696" s="2020"/>
      <c r="X5696" s="2020"/>
      <c r="Y5696" s="2020"/>
      <c r="Z5696" s="2024"/>
      <c r="AA5696" s="2024"/>
      <c r="AB5696" s="1057"/>
      <c r="AC5696" s="1057"/>
      <c r="AD5696" s="1057"/>
      <c r="AE5696" s="1057"/>
      <c r="AF5696" s="1058"/>
    </row>
    <row r="5697" spans="1:32" ht="15.75" x14ac:dyDescent="0.25">
      <c r="A5697" s="2009" t="s">
        <v>1855</v>
      </c>
      <c r="B5697" s="2010"/>
      <c r="C5697" s="2010"/>
      <c r="D5697" s="2010"/>
      <c r="E5697" s="2010"/>
      <c r="F5697" s="2010"/>
      <c r="G5697" s="2010"/>
      <c r="H5697" s="2010"/>
      <c r="I5697" s="2010"/>
      <c r="J5697" s="2010"/>
      <c r="K5697" s="2010"/>
      <c r="L5697" s="2010"/>
      <c r="M5697" s="2010"/>
      <c r="N5697" s="2010"/>
      <c r="O5697" s="2010"/>
      <c r="P5697" s="2010"/>
      <c r="Q5697" s="2010"/>
      <c r="R5697" s="2010"/>
      <c r="S5697" s="2010"/>
      <c r="T5697" s="2010"/>
      <c r="U5697" s="2010"/>
      <c r="V5697" s="2010"/>
      <c r="W5697" s="2010"/>
      <c r="X5697" s="2010"/>
      <c r="Y5697" s="2010"/>
      <c r="Z5697" s="2013" t="s">
        <v>1850</v>
      </c>
      <c r="AA5697" s="2013"/>
      <c r="AB5697" s="2013"/>
      <c r="AC5697" s="2013"/>
      <c r="AD5697" s="2013"/>
      <c r="AE5697" s="2013"/>
      <c r="AF5697" s="1059">
        <f>SUM(AF5673:AF5696)</f>
        <v>7.25</v>
      </c>
    </row>
    <row r="5698" spans="1:32" ht="15.75" x14ac:dyDescent="0.25">
      <c r="A5698" s="2011"/>
      <c r="B5698" s="2012"/>
      <c r="C5698" s="2012"/>
      <c r="D5698" s="2012"/>
      <c r="E5698" s="2012"/>
      <c r="F5698" s="2012"/>
      <c r="G5698" s="2012"/>
      <c r="H5698" s="2012"/>
      <c r="I5698" s="2012"/>
      <c r="J5698" s="2012"/>
      <c r="K5698" s="2012"/>
      <c r="L5698" s="2012"/>
      <c r="M5698" s="2012"/>
      <c r="N5698" s="2012"/>
      <c r="O5698" s="2012"/>
      <c r="P5698" s="2012"/>
      <c r="Q5698" s="2012"/>
      <c r="R5698" s="2012"/>
      <c r="S5698" s="2012"/>
      <c r="T5698" s="2012"/>
      <c r="U5698" s="2012"/>
      <c r="V5698" s="2012"/>
      <c r="W5698" s="2012"/>
      <c r="X5698" s="2012"/>
      <c r="Y5698" s="2012"/>
      <c r="Z5698" s="2014" t="s">
        <v>1851</v>
      </c>
      <c r="AA5698" s="2014"/>
      <c r="AB5698" s="2014"/>
      <c r="AC5698" s="2014"/>
      <c r="AD5698" s="2014"/>
      <c r="AE5698" s="2014"/>
      <c r="AF5698" s="1060">
        <v>0</v>
      </c>
    </row>
    <row r="5699" spans="1:32" ht="15.75" x14ac:dyDescent="0.25">
      <c r="A5699" s="2011"/>
      <c r="B5699" s="2012"/>
      <c r="C5699" s="2012"/>
      <c r="D5699" s="2012"/>
      <c r="E5699" s="2012"/>
      <c r="F5699" s="2012"/>
      <c r="G5699" s="2012"/>
      <c r="H5699" s="2012"/>
      <c r="I5699" s="2012"/>
      <c r="J5699" s="2012"/>
      <c r="K5699" s="2012"/>
      <c r="L5699" s="2012"/>
      <c r="M5699" s="2012"/>
      <c r="N5699" s="2012"/>
      <c r="O5699" s="2012"/>
      <c r="P5699" s="2012"/>
      <c r="Q5699" s="2012"/>
      <c r="R5699" s="2012"/>
      <c r="S5699" s="2012"/>
      <c r="T5699" s="2012"/>
      <c r="U5699" s="2012"/>
      <c r="V5699" s="2012"/>
      <c r="W5699" s="2012"/>
      <c r="X5699" s="2012"/>
      <c r="Y5699" s="2012"/>
      <c r="Z5699" s="2015" t="s">
        <v>1833</v>
      </c>
      <c r="AA5699" s="2015"/>
      <c r="AB5699" s="2015"/>
      <c r="AC5699" s="2015"/>
      <c r="AD5699" s="2015"/>
      <c r="AE5699" s="2015"/>
      <c r="AF5699" s="1061">
        <f>SUM(AF5697:AF5698)</f>
        <v>7.25</v>
      </c>
    </row>
    <row r="5700" spans="1:32" x14ac:dyDescent="0.2">
      <c r="A5700" s="2012" t="s">
        <v>1859</v>
      </c>
      <c r="B5700" s="2012"/>
      <c r="C5700" s="2012"/>
      <c r="D5700" s="2012"/>
      <c r="E5700" s="2012"/>
      <c r="F5700" s="2012"/>
      <c r="G5700" s="2012"/>
      <c r="H5700" s="2012"/>
      <c r="I5700" s="2012"/>
      <c r="J5700" s="2012"/>
      <c r="K5700" s="2012"/>
      <c r="L5700" s="2012"/>
      <c r="M5700" s="2012"/>
      <c r="N5700" s="2012"/>
      <c r="O5700" s="2012"/>
      <c r="P5700" s="2012"/>
      <c r="Q5700" s="2012"/>
      <c r="R5700" s="2012"/>
      <c r="S5700" s="2012"/>
      <c r="T5700" s="2016" t="s">
        <v>1840</v>
      </c>
      <c r="U5700" s="2016"/>
      <c r="V5700" s="2016"/>
      <c r="W5700" s="2016"/>
      <c r="X5700" s="2016"/>
      <c r="Y5700" s="2016"/>
      <c r="Z5700" s="2016"/>
      <c r="AA5700" s="2016"/>
      <c r="AB5700" s="2012" t="s">
        <v>1852</v>
      </c>
      <c r="AC5700" s="2012"/>
      <c r="AD5700" s="2012"/>
      <c r="AE5700" s="2012"/>
      <c r="AF5700" s="2012"/>
    </row>
    <row r="5701" spans="1:32" x14ac:dyDescent="0.2">
      <c r="A5701" s="2012"/>
      <c r="B5701" s="2012"/>
      <c r="C5701" s="2012"/>
      <c r="D5701" s="2012"/>
      <c r="E5701" s="2012"/>
      <c r="F5701" s="2012"/>
      <c r="G5701" s="2012"/>
      <c r="H5701" s="2012"/>
      <c r="I5701" s="2012"/>
      <c r="J5701" s="2012"/>
      <c r="K5701" s="2012"/>
      <c r="L5701" s="2012"/>
      <c r="M5701" s="2012"/>
      <c r="N5701" s="2012"/>
      <c r="O5701" s="2012"/>
      <c r="P5701" s="2012"/>
      <c r="Q5701" s="2012"/>
      <c r="R5701" s="2012"/>
      <c r="S5701" s="2012"/>
      <c r="T5701" s="2016"/>
      <c r="U5701" s="2016"/>
      <c r="V5701" s="2016"/>
      <c r="W5701" s="2016"/>
      <c r="X5701" s="2016"/>
      <c r="Y5701" s="2016"/>
      <c r="Z5701" s="2016"/>
      <c r="AA5701" s="2016"/>
      <c r="AB5701" s="2012"/>
      <c r="AC5701" s="2012"/>
      <c r="AD5701" s="2012"/>
      <c r="AE5701" s="2012"/>
      <c r="AF5701" s="2012"/>
    </row>
    <row r="5702" spans="1:32" ht="13.5" thickBot="1" x14ac:dyDescent="0.25"/>
    <row r="5703" spans="1:32" ht="26.45" customHeight="1" x14ac:dyDescent="0.2">
      <c r="A5703" s="2025" t="s">
        <v>1854</v>
      </c>
      <c r="B5703" s="2026"/>
      <c r="C5703" s="2026"/>
      <c r="D5703" s="2026"/>
      <c r="E5703" s="2026"/>
      <c r="F5703" s="2026"/>
      <c r="G5703" s="2026"/>
      <c r="H5703" s="2026"/>
      <c r="I5703" s="2026"/>
      <c r="J5703" s="2026"/>
      <c r="K5703" s="2026"/>
      <c r="L5703" s="2026"/>
      <c r="M5703" s="2026"/>
      <c r="N5703" s="2026"/>
      <c r="O5703" s="2026"/>
      <c r="P5703" s="2026"/>
      <c r="Q5703" s="2026"/>
      <c r="R5703" s="2026"/>
      <c r="S5703" s="2026"/>
      <c r="T5703" s="2026"/>
      <c r="U5703" s="2026"/>
      <c r="V5703" s="2026"/>
      <c r="W5703" s="2026"/>
      <c r="X5703" s="2026"/>
      <c r="Y5703" s="2026"/>
      <c r="Z5703" s="2026"/>
      <c r="AA5703" s="2026"/>
      <c r="AB5703" s="2026"/>
      <c r="AC5703" s="2026"/>
      <c r="AD5703" s="2026"/>
      <c r="AE5703" s="1041" t="s">
        <v>1834</v>
      </c>
      <c r="AF5703" s="1042" t="s">
        <v>1835</v>
      </c>
    </row>
    <row r="5704" spans="1:32" ht="21" customHeight="1" thickBot="1" x14ac:dyDescent="0.25">
      <c r="A5704" s="2027"/>
      <c r="B5704" s="2028"/>
      <c r="C5704" s="2028"/>
      <c r="D5704" s="2028"/>
      <c r="E5704" s="2028"/>
      <c r="F5704" s="2028"/>
      <c r="G5704" s="2028"/>
      <c r="H5704" s="2028"/>
      <c r="I5704" s="2028"/>
      <c r="J5704" s="2028"/>
      <c r="K5704" s="2028"/>
      <c r="L5704" s="2028"/>
      <c r="M5704" s="2028"/>
      <c r="N5704" s="2028"/>
      <c r="O5704" s="2028"/>
      <c r="P5704" s="2028"/>
      <c r="Q5704" s="2028"/>
      <c r="R5704" s="2028"/>
      <c r="S5704" s="2028"/>
      <c r="T5704" s="2028"/>
      <c r="U5704" s="2028"/>
      <c r="V5704" s="2028"/>
      <c r="W5704" s="2028"/>
      <c r="X5704" s="2028"/>
      <c r="Y5704" s="2028"/>
      <c r="Z5704" s="2028"/>
      <c r="AA5704" s="2028"/>
      <c r="AB5704" s="2028"/>
      <c r="AC5704" s="2028"/>
      <c r="AD5704" s="2028"/>
      <c r="AE5704" s="1041" t="s">
        <v>1836</v>
      </c>
      <c r="AF5704" s="1044">
        <v>1</v>
      </c>
    </row>
    <row r="5705" spans="1:32" ht="15.75" x14ac:dyDescent="0.2">
      <c r="A5705" s="2029"/>
      <c r="B5705" s="2030"/>
      <c r="C5705" s="2030"/>
      <c r="D5705" s="2031"/>
      <c r="E5705" s="2025" t="str">
        <f>'01'!$A$12</f>
        <v>"CONSTRUCCION SISTEMA DE ACUEDUCTO FASE II DEL MUNICIPIO DE TESALIA DPTO DEL HUILA"</v>
      </c>
      <c r="F5705" s="2026"/>
      <c r="G5705" s="2026"/>
      <c r="H5705" s="2026"/>
      <c r="I5705" s="2026"/>
      <c r="J5705" s="2026"/>
      <c r="K5705" s="2026"/>
      <c r="L5705" s="2026"/>
      <c r="M5705" s="2026"/>
      <c r="N5705" s="2026"/>
      <c r="O5705" s="2026"/>
      <c r="P5705" s="2026"/>
      <c r="Q5705" s="2026"/>
      <c r="R5705" s="2026"/>
      <c r="S5705" s="2026"/>
      <c r="T5705" s="2026"/>
      <c r="U5705" s="2026"/>
      <c r="V5705" s="2026"/>
      <c r="W5705" s="2026"/>
      <c r="X5705" s="2026"/>
      <c r="Y5705" s="2026"/>
      <c r="Z5705" s="2026"/>
      <c r="AA5705" s="2026"/>
      <c r="AB5705" s="2026"/>
      <c r="AC5705" s="2026"/>
      <c r="AD5705" s="2035"/>
      <c r="AE5705" s="1041" t="s">
        <v>847</v>
      </c>
      <c r="AF5705" s="1045">
        <f>'01'!$M$13</f>
        <v>0</v>
      </c>
    </row>
    <row r="5706" spans="1:32" ht="16.5" thickBot="1" x14ac:dyDescent="0.25">
      <c r="A5706" s="2032"/>
      <c r="B5706" s="2033"/>
      <c r="C5706" s="2033"/>
      <c r="D5706" s="2034"/>
      <c r="E5706" s="2027"/>
      <c r="F5706" s="2028"/>
      <c r="G5706" s="2028"/>
      <c r="H5706" s="2028"/>
      <c r="I5706" s="2028"/>
      <c r="J5706" s="2028"/>
      <c r="K5706" s="2028"/>
      <c r="L5706" s="2028"/>
      <c r="M5706" s="2028"/>
      <c r="N5706" s="2028"/>
      <c r="O5706" s="2028"/>
      <c r="P5706" s="2028"/>
      <c r="Q5706" s="2028"/>
      <c r="R5706" s="2028"/>
      <c r="S5706" s="2028"/>
      <c r="T5706" s="2028"/>
      <c r="U5706" s="2028"/>
      <c r="V5706" s="2028"/>
      <c r="W5706" s="2028"/>
      <c r="X5706" s="2028"/>
      <c r="Y5706" s="2028"/>
      <c r="Z5706" s="2028"/>
      <c r="AA5706" s="2028"/>
      <c r="AB5706" s="2028"/>
      <c r="AC5706" s="2028"/>
      <c r="AD5706" s="2036"/>
      <c r="AE5706" s="1041" t="s">
        <v>1837</v>
      </c>
      <c r="AF5706" s="1042" t="s">
        <v>1838</v>
      </c>
    </row>
    <row r="5707" spans="1:32" ht="15.75" x14ac:dyDescent="0.25">
      <c r="A5707" s="2037" t="s">
        <v>1860</v>
      </c>
      <c r="B5707" s="2038"/>
      <c r="C5707" s="2038"/>
      <c r="D5707" s="2038"/>
      <c r="E5707" s="2038"/>
      <c r="F5707" s="2038"/>
      <c r="G5707" s="2038"/>
      <c r="H5707" s="2038"/>
      <c r="I5707" s="2038"/>
      <c r="J5707" s="2038"/>
      <c r="K5707" s="2038"/>
      <c r="L5707" s="2038"/>
      <c r="M5707" s="2038"/>
      <c r="N5707" s="2038"/>
      <c r="O5707" s="2038"/>
      <c r="P5707" s="2038"/>
      <c r="Q5707" s="2038"/>
      <c r="R5707" s="2038"/>
      <c r="S5707" s="2038"/>
      <c r="T5707" s="2038"/>
      <c r="U5707" s="2038"/>
      <c r="V5707" s="2038"/>
      <c r="W5707" s="2038"/>
      <c r="X5707" s="2038"/>
      <c r="Y5707" s="2038"/>
      <c r="Z5707" s="2038"/>
      <c r="AA5707" s="2038"/>
      <c r="AB5707" s="2038"/>
      <c r="AC5707" s="2038"/>
      <c r="AD5707" s="2038"/>
      <c r="AE5707" s="2039" t="s">
        <v>1839</v>
      </c>
      <c r="AF5707" s="2040"/>
    </row>
    <row r="5708" spans="1:32" ht="15.75" x14ac:dyDescent="0.25">
      <c r="A5708" s="2041" t="s">
        <v>1840</v>
      </c>
      <c r="B5708" s="2042"/>
      <c r="C5708" s="2042"/>
      <c r="D5708" s="2042"/>
      <c r="E5708" s="2042"/>
      <c r="F5708" s="2042"/>
      <c r="G5708" s="2042"/>
      <c r="H5708" s="2042"/>
      <c r="I5708" s="2042"/>
      <c r="J5708" s="2042"/>
      <c r="K5708" s="2042"/>
      <c r="L5708" s="2042"/>
      <c r="M5708" s="2042"/>
      <c r="N5708" s="2042"/>
      <c r="O5708" s="2042"/>
      <c r="P5708" s="2042"/>
      <c r="Q5708" s="2042"/>
      <c r="R5708" s="2042"/>
      <c r="S5708" s="2042"/>
      <c r="T5708" s="2042"/>
      <c r="U5708" s="2042"/>
      <c r="V5708" s="2042"/>
      <c r="W5708" s="2042"/>
      <c r="X5708" s="2042"/>
      <c r="Y5708" s="2042"/>
      <c r="Z5708" s="2042"/>
      <c r="AA5708" s="2042"/>
      <c r="AB5708" s="2042"/>
      <c r="AC5708" s="2042"/>
      <c r="AD5708" s="2043"/>
      <c r="AE5708" s="2014" t="s">
        <v>1841</v>
      </c>
      <c r="AF5708" s="2044"/>
    </row>
    <row r="5709" spans="1:32" ht="15.75" x14ac:dyDescent="0.25">
      <c r="A5709" s="2045" t="s">
        <v>1853</v>
      </c>
      <c r="B5709" s="2046"/>
      <c r="C5709" s="2046"/>
      <c r="D5709" s="2046"/>
      <c r="E5709" s="2046"/>
      <c r="F5709" s="2046"/>
      <c r="G5709" s="2046"/>
      <c r="H5709" s="2046"/>
      <c r="I5709" s="2046"/>
      <c r="J5709" s="2046"/>
      <c r="K5709" s="2046"/>
      <c r="L5709" s="2046"/>
      <c r="M5709" s="2046"/>
      <c r="N5709" s="2046"/>
      <c r="O5709" s="2046"/>
      <c r="P5709" s="2046"/>
      <c r="Q5709" s="2046"/>
      <c r="R5709" s="2046"/>
      <c r="S5709" s="2046"/>
      <c r="T5709" s="2046"/>
      <c r="U5709" s="2046"/>
      <c r="V5709" s="2046"/>
      <c r="W5709" s="2046"/>
      <c r="X5709" s="2046"/>
      <c r="Y5709" s="2046"/>
      <c r="Z5709" s="2046"/>
      <c r="AA5709" s="2046"/>
      <c r="AB5709" s="2046"/>
      <c r="AC5709" s="2046"/>
      <c r="AD5709" s="2046"/>
      <c r="AE5709" s="2047">
        <f>'01'!$M$13</f>
        <v>0</v>
      </c>
      <c r="AF5709" s="2044"/>
    </row>
    <row r="5710" spans="1:32" x14ac:dyDescent="0.2">
      <c r="A5710" s="1046"/>
      <c r="B5710" s="1047"/>
      <c r="C5710" s="1047"/>
      <c r="D5710" s="1047"/>
      <c r="E5710" s="1047"/>
      <c r="F5710" s="1047"/>
      <c r="G5710" s="1047"/>
      <c r="H5710" s="1047"/>
      <c r="I5710" s="1047"/>
      <c r="J5710" s="1047"/>
      <c r="K5710" s="1047"/>
      <c r="L5710" s="1047"/>
      <c r="M5710" s="1047"/>
      <c r="N5710" s="1047"/>
      <c r="O5710" s="1047"/>
      <c r="P5710" s="1047"/>
      <c r="Q5710" s="1047"/>
      <c r="R5710" s="1047"/>
      <c r="S5710" s="1047"/>
      <c r="T5710" s="1047"/>
      <c r="U5710" s="1047"/>
      <c r="V5710" s="1047"/>
      <c r="W5710" s="1047"/>
      <c r="X5710" s="1047"/>
      <c r="Y5710" s="1047"/>
      <c r="Z5710" s="1047"/>
      <c r="AA5710" s="1047"/>
      <c r="AB5710" s="1047"/>
      <c r="AC5710" s="1047"/>
      <c r="AD5710" s="1047"/>
      <c r="AE5710" s="1047"/>
      <c r="AF5710" s="1048"/>
    </row>
    <row r="5711" spans="1:32" ht="30" customHeight="1" x14ac:dyDescent="0.2">
      <c r="A5711" s="2048" t="s">
        <v>1842</v>
      </c>
      <c r="B5711" s="2049"/>
      <c r="C5711" s="2049"/>
      <c r="D5711" s="2049"/>
      <c r="E5711" s="2049"/>
      <c r="F5711" s="2050" t="str">
        <f>+'01'!$H$230</f>
        <v>I - TUBERÍA DE INTERCONEXIÓN</v>
      </c>
      <c r="G5711" s="2049"/>
      <c r="H5711" s="2049"/>
      <c r="I5711" s="2049"/>
      <c r="J5711" s="2049"/>
      <c r="K5711" s="2049"/>
      <c r="L5711" s="2049"/>
      <c r="M5711" s="2049"/>
      <c r="N5711" s="2049"/>
      <c r="O5711" s="2049"/>
      <c r="P5711" s="2049"/>
      <c r="Q5711" s="2049"/>
      <c r="R5711" s="2049"/>
      <c r="S5711" s="2049"/>
      <c r="T5711" s="2049"/>
      <c r="U5711" s="2049"/>
      <c r="V5711" s="2049"/>
      <c r="W5711" s="2049"/>
      <c r="X5711" s="2049"/>
      <c r="Y5711" s="2051"/>
      <c r="Z5711" s="2052" t="s">
        <v>1843</v>
      </c>
      <c r="AA5711" s="2053"/>
      <c r="AB5711" s="2058" t="s">
        <v>1844</v>
      </c>
      <c r="AC5711" s="2059"/>
      <c r="AD5711" s="2060"/>
      <c r="AE5711" s="2064" t="s">
        <v>1845</v>
      </c>
      <c r="AF5711" s="2067" t="s">
        <v>1846</v>
      </c>
    </row>
    <row r="5712" spans="1:32" ht="15" customHeight="1" x14ac:dyDescent="0.2">
      <c r="A5712" s="2070" t="str">
        <f>+'01'!A237</f>
        <v>I-03-02</v>
      </c>
      <c r="B5712" s="2071"/>
      <c r="C5712" s="2072"/>
      <c r="D5712" s="2076" t="str">
        <f>VLOOKUP(A5712,'01'!$A$12:$N$299,3,FALSE)</f>
        <v>RELLENO CON TRITURADO PASANTE DE 3/4"</v>
      </c>
      <c r="E5712" s="2077"/>
      <c r="F5712" s="2077"/>
      <c r="G5712" s="2077"/>
      <c r="H5712" s="2077"/>
      <c r="I5712" s="2077"/>
      <c r="J5712" s="2077"/>
      <c r="K5712" s="2077"/>
      <c r="L5712" s="2077"/>
      <c r="M5712" s="2077"/>
      <c r="N5712" s="2077"/>
      <c r="O5712" s="2077"/>
      <c r="P5712" s="2077"/>
      <c r="Q5712" s="2077"/>
      <c r="R5712" s="2077"/>
      <c r="S5712" s="2078"/>
      <c r="T5712" s="2082" t="s">
        <v>124</v>
      </c>
      <c r="U5712" s="2083"/>
      <c r="V5712" s="2083"/>
      <c r="W5712" s="2083"/>
      <c r="X5712" s="2052" t="str">
        <f>VLOOKUP(A5712,'01'!$A$12:$N$299,9,FALSE)</f>
        <v>M3</v>
      </c>
      <c r="Y5712" s="2053"/>
      <c r="Z5712" s="2054"/>
      <c r="AA5712" s="2055"/>
      <c r="AB5712" s="2061"/>
      <c r="AC5712" s="2062"/>
      <c r="AD5712" s="2063"/>
      <c r="AE5712" s="2065"/>
      <c r="AF5712" s="2068"/>
    </row>
    <row r="5713" spans="1:32" ht="15" customHeight="1" x14ac:dyDescent="0.25">
      <c r="A5713" s="2073"/>
      <c r="B5713" s="2074"/>
      <c r="C5713" s="2075"/>
      <c r="D5713" s="2079"/>
      <c r="E5713" s="2080"/>
      <c r="F5713" s="2080"/>
      <c r="G5713" s="2080"/>
      <c r="H5713" s="2080"/>
      <c r="I5713" s="2080"/>
      <c r="J5713" s="2080"/>
      <c r="K5713" s="2080"/>
      <c r="L5713" s="2080"/>
      <c r="M5713" s="2080"/>
      <c r="N5713" s="2080"/>
      <c r="O5713" s="2080"/>
      <c r="P5713" s="2080"/>
      <c r="Q5713" s="2080"/>
      <c r="R5713" s="2080"/>
      <c r="S5713" s="2081"/>
      <c r="T5713" s="2084"/>
      <c r="U5713" s="2085"/>
      <c r="V5713" s="2085"/>
      <c r="W5713" s="2085"/>
      <c r="X5713" s="2056"/>
      <c r="Y5713" s="2057"/>
      <c r="Z5713" s="2056"/>
      <c r="AA5713" s="2057"/>
      <c r="AB5713" s="1049" t="s">
        <v>1847</v>
      </c>
      <c r="AC5713" s="1049" t="s">
        <v>1848</v>
      </c>
      <c r="AD5713" s="1049" t="s">
        <v>1861</v>
      </c>
      <c r="AE5713" s="2066"/>
      <c r="AF5713" s="2069"/>
    </row>
    <row r="5714" spans="1:32" ht="30" customHeight="1" x14ac:dyDescent="0.25">
      <c r="A5714" s="2017"/>
      <c r="B5714" s="2018"/>
      <c r="C5714" s="2018"/>
      <c r="D5714" s="2018"/>
      <c r="E5714" s="2018"/>
      <c r="F5714" s="2018"/>
      <c r="G5714" s="2018"/>
      <c r="H5714" s="2018"/>
      <c r="I5714" s="2018"/>
      <c r="J5714" s="2018"/>
      <c r="K5714" s="2018"/>
      <c r="L5714" s="2018"/>
      <c r="M5714" s="2018"/>
      <c r="N5714" s="2018"/>
      <c r="O5714" s="2018"/>
      <c r="P5714" s="2018"/>
      <c r="Q5714" s="2018"/>
      <c r="R5714" s="2018"/>
      <c r="S5714" s="2018"/>
      <c r="T5714" s="2018"/>
      <c r="U5714" s="2018"/>
      <c r="V5714" s="2018"/>
      <c r="W5714" s="2018"/>
      <c r="X5714" s="2018"/>
      <c r="Y5714" s="2018"/>
      <c r="Z5714" s="2021" t="s">
        <v>2552</v>
      </c>
      <c r="AA5714" s="2021"/>
      <c r="AB5714" s="1050">
        <v>30</v>
      </c>
      <c r="AC5714" s="1050">
        <v>0.5</v>
      </c>
      <c r="AD5714" s="1050">
        <v>0.1</v>
      </c>
      <c r="AE5714" s="1050">
        <v>2</v>
      </c>
      <c r="AF5714" s="1052">
        <f>+ROUND(AB5714*AC5714*AD5714*AE5714,2)</f>
        <v>3</v>
      </c>
    </row>
    <row r="5715" spans="1:32" ht="15.6" customHeight="1" x14ac:dyDescent="0.25">
      <c r="A5715" s="2017"/>
      <c r="B5715" s="2018"/>
      <c r="C5715" s="2018"/>
      <c r="D5715" s="2018"/>
      <c r="E5715" s="2018"/>
      <c r="F5715" s="2018"/>
      <c r="G5715" s="2018"/>
      <c r="H5715" s="2018"/>
      <c r="I5715" s="2018"/>
      <c r="J5715" s="2018"/>
      <c r="K5715" s="2018"/>
      <c r="L5715" s="2018"/>
      <c r="M5715" s="2018"/>
      <c r="N5715" s="2018"/>
      <c r="O5715" s="2018"/>
      <c r="P5715" s="2018"/>
      <c r="Q5715" s="2018"/>
      <c r="R5715" s="2018"/>
      <c r="S5715" s="2018"/>
      <c r="T5715" s="2018"/>
      <c r="U5715" s="2018"/>
      <c r="V5715" s="2018"/>
      <c r="W5715" s="2018"/>
      <c r="X5715" s="2018"/>
      <c r="Y5715" s="2018"/>
      <c r="Z5715" s="2021" t="s">
        <v>2553</v>
      </c>
      <c r="AA5715" s="2021"/>
      <c r="AB5715" s="1050">
        <v>10</v>
      </c>
      <c r="AC5715" s="1050">
        <v>0.5</v>
      </c>
      <c r="AD5715" s="1050">
        <v>0.1</v>
      </c>
      <c r="AE5715" s="1050">
        <v>1</v>
      </c>
      <c r="AF5715" s="1052">
        <f t="shared" ref="AF5715:AF5721" si="83">+ROUND(AB5715*AC5715*AD5715*AE5715,2)</f>
        <v>0.5</v>
      </c>
    </row>
    <row r="5716" spans="1:32" ht="15.6" customHeight="1" x14ac:dyDescent="0.25">
      <c r="A5716" s="2017"/>
      <c r="B5716" s="2018"/>
      <c r="C5716" s="2018"/>
      <c r="D5716" s="2018"/>
      <c r="E5716" s="2018"/>
      <c r="F5716" s="2018"/>
      <c r="G5716" s="2018"/>
      <c r="H5716" s="2018"/>
      <c r="I5716" s="2018"/>
      <c r="J5716" s="2018"/>
      <c r="K5716" s="2018"/>
      <c r="L5716" s="2018"/>
      <c r="M5716" s="2018"/>
      <c r="N5716" s="2018"/>
      <c r="O5716" s="2018"/>
      <c r="P5716" s="2018"/>
      <c r="Q5716" s="2018"/>
      <c r="R5716" s="2018"/>
      <c r="S5716" s="2018"/>
      <c r="T5716" s="2018"/>
      <c r="U5716" s="2018"/>
      <c r="V5716" s="2018"/>
      <c r="W5716" s="2018"/>
      <c r="X5716" s="2018"/>
      <c r="Y5716" s="2018"/>
      <c r="Z5716" s="2021" t="s">
        <v>2554</v>
      </c>
      <c r="AA5716" s="2021"/>
      <c r="AB5716" s="1050">
        <v>15</v>
      </c>
      <c r="AC5716" s="1050">
        <v>0.5</v>
      </c>
      <c r="AD5716" s="1050">
        <v>0.1</v>
      </c>
      <c r="AE5716" s="1050">
        <v>1</v>
      </c>
      <c r="AF5716" s="1052">
        <f t="shared" si="83"/>
        <v>0.75</v>
      </c>
    </row>
    <row r="5717" spans="1:32" ht="15.75" x14ac:dyDescent="0.25">
      <c r="A5717" s="2017"/>
      <c r="B5717" s="2018"/>
      <c r="C5717" s="2018"/>
      <c r="D5717" s="2018"/>
      <c r="E5717" s="2018"/>
      <c r="F5717" s="2018"/>
      <c r="G5717" s="2018"/>
      <c r="H5717" s="2018"/>
      <c r="I5717" s="2018"/>
      <c r="J5717" s="2018"/>
      <c r="K5717" s="2018"/>
      <c r="L5717" s="2018"/>
      <c r="M5717" s="2018"/>
      <c r="N5717" s="2018"/>
      <c r="O5717" s="2018"/>
      <c r="P5717" s="2018"/>
      <c r="Q5717" s="2018"/>
      <c r="R5717" s="2018"/>
      <c r="S5717" s="2018"/>
      <c r="T5717" s="2018"/>
      <c r="U5717" s="2018"/>
      <c r="V5717" s="2018"/>
      <c r="W5717" s="2018"/>
      <c r="X5717" s="2018"/>
      <c r="Y5717" s="2018"/>
      <c r="Z5717" s="2021" t="s">
        <v>2555</v>
      </c>
      <c r="AA5717" s="2021"/>
      <c r="AB5717" s="1050">
        <v>20</v>
      </c>
      <c r="AC5717" s="1050">
        <v>0.5</v>
      </c>
      <c r="AD5717" s="1050">
        <v>0.1</v>
      </c>
      <c r="AE5717" s="1050">
        <v>1</v>
      </c>
      <c r="AF5717" s="1052">
        <f t="shared" si="83"/>
        <v>1</v>
      </c>
    </row>
    <row r="5718" spans="1:32" ht="15.6" customHeight="1" x14ac:dyDescent="0.25">
      <c r="A5718" s="2017"/>
      <c r="B5718" s="2018"/>
      <c r="C5718" s="2018"/>
      <c r="D5718" s="2018"/>
      <c r="E5718" s="2018"/>
      <c r="F5718" s="2018"/>
      <c r="G5718" s="2018"/>
      <c r="H5718" s="2018"/>
      <c r="I5718" s="2018"/>
      <c r="J5718" s="2018"/>
      <c r="K5718" s="2018"/>
      <c r="L5718" s="2018"/>
      <c r="M5718" s="2018"/>
      <c r="N5718" s="2018"/>
      <c r="O5718" s="2018"/>
      <c r="P5718" s="2018"/>
      <c r="Q5718" s="2018"/>
      <c r="R5718" s="2018"/>
      <c r="S5718" s="2018"/>
      <c r="T5718" s="2018"/>
      <c r="U5718" s="2018"/>
      <c r="V5718" s="2018"/>
      <c r="W5718" s="2018"/>
      <c r="X5718" s="2018"/>
      <c r="Y5718" s="2018"/>
      <c r="Z5718" s="2021" t="s">
        <v>2556</v>
      </c>
      <c r="AA5718" s="2021"/>
      <c r="AB5718" s="1050">
        <v>10</v>
      </c>
      <c r="AC5718" s="1050">
        <v>0.5</v>
      </c>
      <c r="AD5718" s="1050">
        <v>0.1</v>
      </c>
      <c r="AE5718" s="1050">
        <v>1</v>
      </c>
      <c r="AF5718" s="1052">
        <f t="shared" si="83"/>
        <v>0.5</v>
      </c>
    </row>
    <row r="5719" spans="1:32" ht="15.75" x14ac:dyDescent="0.25">
      <c r="A5719" s="2017"/>
      <c r="B5719" s="2018"/>
      <c r="C5719" s="2018"/>
      <c r="D5719" s="2018"/>
      <c r="E5719" s="2018"/>
      <c r="F5719" s="2018"/>
      <c r="G5719" s="2018"/>
      <c r="H5719" s="2018"/>
      <c r="I5719" s="2018"/>
      <c r="J5719" s="2018"/>
      <c r="K5719" s="2018"/>
      <c r="L5719" s="2018"/>
      <c r="M5719" s="2018"/>
      <c r="N5719" s="2018"/>
      <c r="O5719" s="2018"/>
      <c r="P5719" s="2018"/>
      <c r="Q5719" s="2018"/>
      <c r="R5719" s="2018"/>
      <c r="S5719" s="2018"/>
      <c r="T5719" s="2018"/>
      <c r="U5719" s="2018"/>
      <c r="V5719" s="2018"/>
      <c r="W5719" s="2018"/>
      <c r="X5719" s="2018"/>
      <c r="Y5719" s="2018"/>
      <c r="Z5719" s="2021" t="s">
        <v>2557</v>
      </c>
      <c r="AA5719" s="2021"/>
      <c r="AB5719" s="1050">
        <v>10</v>
      </c>
      <c r="AC5719" s="1050">
        <v>0.5</v>
      </c>
      <c r="AD5719" s="1050">
        <v>0.1</v>
      </c>
      <c r="AE5719" s="1050">
        <v>1</v>
      </c>
      <c r="AF5719" s="1052">
        <f t="shared" si="83"/>
        <v>0.5</v>
      </c>
    </row>
    <row r="5720" spans="1:32" ht="15.75" x14ac:dyDescent="0.25">
      <c r="A5720" s="2017"/>
      <c r="B5720" s="2018"/>
      <c r="C5720" s="2018"/>
      <c r="D5720" s="2018"/>
      <c r="E5720" s="2018"/>
      <c r="F5720" s="2018"/>
      <c r="G5720" s="2018"/>
      <c r="H5720" s="2018"/>
      <c r="I5720" s="2018"/>
      <c r="J5720" s="2018"/>
      <c r="K5720" s="2018"/>
      <c r="L5720" s="2018"/>
      <c r="M5720" s="2018"/>
      <c r="N5720" s="2018"/>
      <c r="O5720" s="2018"/>
      <c r="P5720" s="2018"/>
      <c r="Q5720" s="2018"/>
      <c r="R5720" s="2018"/>
      <c r="S5720" s="2018"/>
      <c r="T5720" s="2018"/>
      <c r="U5720" s="2018"/>
      <c r="V5720" s="2018"/>
      <c r="W5720" s="2018"/>
      <c r="X5720" s="2018"/>
      <c r="Y5720" s="2018"/>
      <c r="Z5720" s="2021" t="s">
        <v>2558</v>
      </c>
      <c r="AA5720" s="2021"/>
      <c r="AB5720" s="1050">
        <v>10</v>
      </c>
      <c r="AC5720" s="1050">
        <v>0.5</v>
      </c>
      <c r="AD5720" s="1050">
        <v>0.1</v>
      </c>
      <c r="AE5720" s="1050">
        <v>1</v>
      </c>
      <c r="AF5720" s="1052">
        <f t="shared" si="83"/>
        <v>0.5</v>
      </c>
    </row>
    <row r="5721" spans="1:32" ht="15.6" customHeight="1" x14ac:dyDescent="0.25">
      <c r="A5721" s="2017"/>
      <c r="B5721" s="2018"/>
      <c r="C5721" s="2018"/>
      <c r="D5721" s="2018"/>
      <c r="E5721" s="2018"/>
      <c r="F5721" s="2018"/>
      <c r="G5721" s="2018"/>
      <c r="H5721" s="2018"/>
      <c r="I5721" s="2018"/>
      <c r="J5721" s="2018"/>
      <c r="K5721" s="2018"/>
      <c r="L5721" s="2018"/>
      <c r="M5721" s="2018"/>
      <c r="N5721" s="2018"/>
      <c r="O5721" s="2018"/>
      <c r="P5721" s="2018"/>
      <c r="Q5721" s="2018"/>
      <c r="R5721" s="2018"/>
      <c r="S5721" s="2018"/>
      <c r="T5721" s="2018"/>
      <c r="U5721" s="2018"/>
      <c r="V5721" s="2018"/>
      <c r="W5721" s="2018"/>
      <c r="X5721" s="2018"/>
      <c r="Y5721" s="2018"/>
      <c r="Z5721" s="2021" t="s">
        <v>2559</v>
      </c>
      <c r="AA5721" s="2021"/>
      <c r="AB5721" s="1050">
        <v>10</v>
      </c>
      <c r="AC5721" s="1050">
        <v>0.5</v>
      </c>
      <c r="AD5721" s="1050">
        <v>0.1</v>
      </c>
      <c r="AE5721" s="1050">
        <v>1</v>
      </c>
      <c r="AF5721" s="1052">
        <f t="shared" si="83"/>
        <v>0.5</v>
      </c>
    </row>
    <row r="5722" spans="1:32" ht="15.75" x14ac:dyDescent="0.25">
      <c r="A5722" s="2017"/>
      <c r="B5722" s="2018"/>
      <c r="C5722" s="2018"/>
      <c r="D5722" s="2018"/>
      <c r="E5722" s="2018"/>
      <c r="F5722" s="2018"/>
      <c r="G5722" s="2018"/>
      <c r="H5722" s="2018"/>
      <c r="I5722" s="2018"/>
      <c r="J5722" s="2018"/>
      <c r="K5722" s="2018"/>
      <c r="L5722" s="2018"/>
      <c r="M5722" s="2018"/>
      <c r="N5722" s="2018"/>
      <c r="O5722" s="2018"/>
      <c r="P5722" s="2018"/>
      <c r="Q5722" s="2018"/>
      <c r="R5722" s="2018"/>
      <c r="S5722" s="2018"/>
      <c r="T5722" s="2018"/>
      <c r="U5722" s="2018"/>
      <c r="V5722" s="2018"/>
      <c r="W5722" s="2018"/>
      <c r="X5722" s="2018"/>
      <c r="Y5722" s="2018"/>
      <c r="Z5722" s="2022"/>
      <c r="AA5722" s="2022"/>
      <c r="AB5722" s="1050"/>
      <c r="AC5722" s="1050"/>
      <c r="AD5722" s="1050"/>
      <c r="AE5722" s="1050"/>
      <c r="AF5722" s="1052"/>
    </row>
    <row r="5723" spans="1:32" ht="15.75" x14ac:dyDescent="0.25">
      <c r="A5723" s="2017"/>
      <c r="B5723" s="2018"/>
      <c r="C5723" s="2018"/>
      <c r="D5723" s="2018"/>
      <c r="E5723" s="2018"/>
      <c r="F5723" s="2018"/>
      <c r="G5723" s="2018"/>
      <c r="H5723" s="2018"/>
      <c r="I5723" s="2018"/>
      <c r="J5723" s="2018"/>
      <c r="K5723" s="2018"/>
      <c r="L5723" s="2018"/>
      <c r="M5723" s="2018"/>
      <c r="N5723" s="2018"/>
      <c r="O5723" s="2018"/>
      <c r="P5723" s="2018"/>
      <c r="Q5723" s="2018"/>
      <c r="R5723" s="2018"/>
      <c r="S5723" s="2018"/>
      <c r="T5723" s="2018"/>
      <c r="U5723" s="2018"/>
      <c r="V5723" s="2018"/>
      <c r="W5723" s="2018"/>
      <c r="X5723" s="2018"/>
      <c r="Y5723" s="2018"/>
      <c r="Z5723" s="2022"/>
      <c r="AA5723" s="2022"/>
      <c r="AB5723" s="1050"/>
      <c r="AC5723" s="1050"/>
      <c r="AD5723" s="1050"/>
      <c r="AE5723" s="1050"/>
      <c r="AF5723" s="1052"/>
    </row>
    <row r="5724" spans="1:32" ht="15.75" x14ac:dyDescent="0.25">
      <c r="A5724" s="2017"/>
      <c r="B5724" s="2018"/>
      <c r="C5724" s="2018"/>
      <c r="D5724" s="2018"/>
      <c r="E5724" s="2018"/>
      <c r="F5724" s="2018"/>
      <c r="G5724" s="2018"/>
      <c r="H5724" s="2018"/>
      <c r="I5724" s="2018"/>
      <c r="J5724" s="2018"/>
      <c r="K5724" s="2018"/>
      <c r="L5724" s="2018"/>
      <c r="M5724" s="2018"/>
      <c r="N5724" s="2018"/>
      <c r="O5724" s="2018"/>
      <c r="P5724" s="2018"/>
      <c r="Q5724" s="2018"/>
      <c r="R5724" s="2018"/>
      <c r="S5724" s="2018"/>
      <c r="T5724" s="2018"/>
      <c r="U5724" s="2018"/>
      <c r="V5724" s="2018"/>
      <c r="W5724" s="2018"/>
      <c r="X5724" s="2018"/>
      <c r="Y5724" s="2018"/>
      <c r="Z5724" s="2022"/>
      <c r="AA5724" s="2022"/>
      <c r="AB5724" s="1050"/>
      <c r="AC5724" s="1050"/>
      <c r="AD5724" s="1050"/>
      <c r="AE5724" s="1050"/>
      <c r="AF5724" s="1052"/>
    </row>
    <row r="5725" spans="1:32" ht="15.6" customHeight="1" x14ac:dyDescent="0.25">
      <c r="A5725" s="2017"/>
      <c r="B5725" s="2018"/>
      <c r="C5725" s="2018"/>
      <c r="D5725" s="2018"/>
      <c r="E5725" s="2018"/>
      <c r="F5725" s="2018"/>
      <c r="G5725" s="2018"/>
      <c r="H5725" s="2018"/>
      <c r="I5725" s="2018"/>
      <c r="J5725" s="2018"/>
      <c r="K5725" s="2018"/>
      <c r="L5725" s="2018"/>
      <c r="M5725" s="2018"/>
      <c r="N5725" s="2018"/>
      <c r="O5725" s="2018"/>
      <c r="P5725" s="2018"/>
      <c r="Q5725" s="2018"/>
      <c r="R5725" s="2018"/>
      <c r="S5725" s="2018"/>
      <c r="T5725" s="2018"/>
      <c r="U5725" s="2018"/>
      <c r="V5725" s="2018"/>
      <c r="W5725" s="2018"/>
      <c r="X5725" s="2018"/>
      <c r="Y5725" s="2018"/>
      <c r="Z5725" s="2022"/>
      <c r="AA5725" s="2022"/>
      <c r="AB5725" s="1050"/>
      <c r="AC5725" s="1050"/>
      <c r="AD5725" s="1050"/>
      <c r="AE5725" s="1050"/>
      <c r="AF5725" s="1052"/>
    </row>
    <row r="5726" spans="1:32" ht="15.75" x14ac:dyDescent="0.25">
      <c r="A5726" s="2017"/>
      <c r="B5726" s="2018"/>
      <c r="C5726" s="2018"/>
      <c r="D5726" s="2018"/>
      <c r="E5726" s="2018"/>
      <c r="F5726" s="2018"/>
      <c r="G5726" s="2018"/>
      <c r="H5726" s="2018"/>
      <c r="I5726" s="2018"/>
      <c r="J5726" s="2018"/>
      <c r="K5726" s="2018"/>
      <c r="L5726" s="2018"/>
      <c r="M5726" s="2018"/>
      <c r="N5726" s="2018"/>
      <c r="O5726" s="2018"/>
      <c r="P5726" s="2018"/>
      <c r="Q5726" s="2018"/>
      <c r="R5726" s="2018"/>
      <c r="S5726" s="2018"/>
      <c r="T5726" s="2018"/>
      <c r="U5726" s="2018"/>
      <c r="V5726" s="2018"/>
      <c r="W5726" s="2018"/>
      <c r="X5726" s="2018"/>
      <c r="Y5726" s="2018"/>
      <c r="Z5726" s="2022"/>
      <c r="AA5726" s="2022"/>
      <c r="AB5726" s="1050"/>
      <c r="AC5726" s="1050"/>
      <c r="AD5726" s="1050"/>
      <c r="AE5726" s="1050"/>
      <c r="AF5726" s="1052"/>
    </row>
    <row r="5727" spans="1:32" ht="15.75" x14ac:dyDescent="0.25">
      <c r="A5727" s="2017"/>
      <c r="B5727" s="2018"/>
      <c r="C5727" s="2018"/>
      <c r="D5727" s="2018"/>
      <c r="E5727" s="2018"/>
      <c r="F5727" s="2018"/>
      <c r="G5727" s="2018"/>
      <c r="H5727" s="2018"/>
      <c r="I5727" s="2018"/>
      <c r="J5727" s="2018"/>
      <c r="K5727" s="2018"/>
      <c r="L5727" s="2018"/>
      <c r="M5727" s="2018"/>
      <c r="N5727" s="2018"/>
      <c r="O5727" s="2018"/>
      <c r="P5727" s="2018"/>
      <c r="Q5727" s="2018"/>
      <c r="R5727" s="2018"/>
      <c r="S5727" s="2018"/>
      <c r="T5727" s="2018"/>
      <c r="U5727" s="2018"/>
      <c r="V5727" s="2018"/>
      <c r="W5727" s="2018"/>
      <c r="X5727" s="2018"/>
      <c r="Y5727" s="2018"/>
      <c r="Z5727" s="2022"/>
      <c r="AA5727" s="2022"/>
      <c r="AB5727" s="1050"/>
      <c r="AC5727" s="1050"/>
      <c r="AD5727" s="1050"/>
      <c r="AE5727" s="1050"/>
      <c r="AF5727" s="1052"/>
    </row>
    <row r="5728" spans="1:32" ht="15.75" x14ac:dyDescent="0.25">
      <c r="A5728" s="2017"/>
      <c r="B5728" s="2018"/>
      <c r="C5728" s="2018"/>
      <c r="D5728" s="2018"/>
      <c r="E5728" s="2018"/>
      <c r="F5728" s="2018"/>
      <c r="G5728" s="2018"/>
      <c r="H5728" s="2018"/>
      <c r="I5728" s="2018"/>
      <c r="J5728" s="2018"/>
      <c r="K5728" s="2018"/>
      <c r="L5728" s="2018"/>
      <c r="M5728" s="2018"/>
      <c r="N5728" s="2018"/>
      <c r="O5728" s="2018"/>
      <c r="P5728" s="2018"/>
      <c r="Q5728" s="2018"/>
      <c r="R5728" s="2018"/>
      <c r="S5728" s="2018"/>
      <c r="T5728" s="2018"/>
      <c r="U5728" s="2018"/>
      <c r="V5728" s="2018"/>
      <c r="W5728" s="2018"/>
      <c r="X5728" s="2018"/>
      <c r="Y5728" s="2018"/>
      <c r="Z5728" s="2022"/>
      <c r="AA5728" s="2022"/>
      <c r="AB5728" s="1050"/>
      <c r="AC5728" s="1050"/>
      <c r="AD5728" s="1050"/>
      <c r="AE5728" s="1050"/>
      <c r="AF5728" s="1052"/>
    </row>
    <row r="5729" spans="1:32" ht="15.75" x14ac:dyDescent="0.25">
      <c r="A5729" s="2017"/>
      <c r="B5729" s="2018"/>
      <c r="C5729" s="2018"/>
      <c r="D5729" s="2018"/>
      <c r="E5729" s="2018"/>
      <c r="F5729" s="2018"/>
      <c r="G5729" s="2018"/>
      <c r="H5729" s="2018"/>
      <c r="I5729" s="2018"/>
      <c r="J5729" s="2018"/>
      <c r="K5729" s="2018"/>
      <c r="L5729" s="2018"/>
      <c r="M5729" s="2018"/>
      <c r="N5729" s="2018"/>
      <c r="O5729" s="2018"/>
      <c r="P5729" s="2018"/>
      <c r="Q5729" s="2018"/>
      <c r="R5729" s="2018"/>
      <c r="S5729" s="2018"/>
      <c r="T5729" s="2018"/>
      <c r="U5729" s="2018"/>
      <c r="V5729" s="2018"/>
      <c r="W5729" s="2018"/>
      <c r="X5729" s="2018"/>
      <c r="Y5729" s="2018"/>
      <c r="Z5729" s="2022"/>
      <c r="AA5729" s="2022"/>
      <c r="AB5729" s="1050"/>
      <c r="AC5729" s="1050"/>
      <c r="AD5729" s="1050"/>
      <c r="AE5729" s="1050"/>
      <c r="AF5729" s="1052"/>
    </row>
    <row r="5730" spans="1:32" ht="15.75" x14ac:dyDescent="0.25">
      <c r="A5730" s="2017"/>
      <c r="B5730" s="2018"/>
      <c r="C5730" s="2018"/>
      <c r="D5730" s="2018"/>
      <c r="E5730" s="2018"/>
      <c r="F5730" s="2018"/>
      <c r="G5730" s="2018"/>
      <c r="H5730" s="2018"/>
      <c r="I5730" s="2018"/>
      <c r="J5730" s="2018"/>
      <c r="K5730" s="2018"/>
      <c r="L5730" s="2018"/>
      <c r="M5730" s="2018"/>
      <c r="N5730" s="2018"/>
      <c r="O5730" s="2018"/>
      <c r="P5730" s="2018"/>
      <c r="Q5730" s="2018"/>
      <c r="R5730" s="2018"/>
      <c r="S5730" s="2018"/>
      <c r="T5730" s="2018"/>
      <c r="U5730" s="2018"/>
      <c r="V5730" s="2018"/>
      <c r="W5730" s="2018"/>
      <c r="X5730" s="2018"/>
      <c r="Y5730" s="2018"/>
      <c r="Z5730" s="2022"/>
      <c r="AA5730" s="2022"/>
      <c r="AB5730" s="1050"/>
      <c r="AC5730" s="1050"/>
      <c r="AD5730" s="1050"/>
      <c r="AE5730" s="1050"/>
      <c r="AF5730" s="1052"/>
    </row>
    <row r="5731" spans="1:32" ht="15.75" x14ac:dyDescent="0.25">
      <c r="A5731" s="2017"/>
      <c r="B5731" s="2018"/>
      <c r="C5731" s="2018"/>
      <c r="D5731" s="2018"/>
      <c r="E5731" s="2018"/>
      <c r="F5731" s="2018"/>
      <c r="G5731" s="2018"/>
      <c r="H5731" s="2018"/>
      <c r="I5731" s="2018"/>
      <c r="J5731" s="2018"/>
      <c r="K5731" s="2018"/>
      <c r="L5731" s="2018"/>
      <c r="M5731" s="2018"/>
      <c r="N5731" s="2018"/>
      <c r="O5731" s="2018"/>
      <c r="P5731" s="2018"/>
      <c r="Q5731" s="2018"/>
      <c r="R5731" s="2018"/>
      <c r="S5731" s="2018"/>
      <c r="T5731" s="2018"/>
      <c r="U5731" s="2018"/>
      <c r="V5731" s="2018"/>
      <c r="W5731" s="2018"/>
      <c r="X5731" s="2018"/>
      <c r="Y5731" s="2018"/>
      <c r="Z5731" s="2023"/>
      <c r="AA5731" s="2023"/>
      <c r="AB5731" s="1050"/>
      <c r="AC5731" s="1050"/>
      <c r="AD5731" s="1050"/>
      <c r="AE5731" s="1050"/>
      <c r="AF5731" s="1052"/>
    </row>
    <row r="5732" spans="1:32" ht="15.75" x14ac:dyDescent="0.25">
      <c r="A5732" s="2017"/>
      <c r="B5732" s="2018"/>
      <c r="C5732" s="2018"/>
      <c r="D5732" s="2018"/>
      <c r="E5732" s="2018"/>
      <c r="F5732" s="2018"/>
      <c r="G5732" s="2018"/>
      <c r="H5732" s="2018"/>
      <c r="I5732" s="2018"/>
      <c r="J5732" s="2018"/>
      <c r="K5732" s="2018"/>
      <c r="L5732" s="2018"/>
      <c r="M5732" s="2018"/>
      <c r="N5732" s="2018"/>
      <c r="O5732" s="2018"/>
      <c r="P5732" s="2018"/>
      <c r="Q5732" s="2018"/>
      <c r="R5732" s="2018"/>
      <c r="S5732" s="2018"/>
      <c r="T5732" s="2018"/>
      <c r="U5732" s="2018"/>
      <c r="V5732" s="2018"/>
      <c r="W5732" s="2018"/>
      <c r="X5732" s="2018"/>
      <c r="Y5732" s="2018"/>
      <c r="Z5732" s="2023"/>
      <c r="AA5732" s="2023"/>
      <c r="AB5732" s="1050"/>
      <c r="AC5732" s="1050"/>
      <c r="AD5732" s="1050"/>
      <c r="AE5732" s="1050"/>
      <c r="AF5732" s="1052"/>
    </row>
    <row r="5733" spans="1:32" ht="15.75" x14ac:dyDescent="0.25">
      <c r="A5733" s="2017"/>
      <c r="B5733" s="2018"/>
      <c r="C5733" s="2018"/>
      <c r="D5733" s="2018"/>
      <c r="E5733" s="2018"/>
      <c r="F5733" s="2018"/>
      <c r="G5733" s="2018"/>
      <c r="H5733" s="2018"/>
      <c r="I5733" s="2018"/>
      <c r="J5733" s="2018"/>
      <c r="K5733" s="2018"/>
      <c r="L5733" s="2018"/>
      <c r="M5733" s="2018"/>
      <c r="N5733" s="2018"/>
      <c r="O5733" s="2018"/>
      <c r="P5733" s="2018"/>
      <c r="Q5733" s="2018"/>
      <c r="R5733" s="2018"/>
      <c r="S5733" s="2018"/>
      <c r="T5733" s="2018"/>
      <c r="U5733" s="2018"/>
      <c r="V5733" s="2018"/>
      <c r="W5733" s="2018"/>
      <c r="X5733" s="2018"/>
      <c r="Y5733" s="2018"/>
      <c r="Z5733" s="2023"/>
      <c r="AA5733" s="2023"/>
      <c r="AB5733" s="1050"/>
      <c r="AC5733" s="1050"/>
      <c r="AD5733" s="1050"/>
      <c r="AE5733" s="1050"/>
      <c r="AF5733" s="1052"/>
    </row>
    <row r="5734" spans="1:32" ht="15.75" x14ac:dyDescent="0.25">
      <c r="A5734" s="2017"/>
      <c r="B5734" s="2018"/>
      <c r="C5734" s="2018"/>
      <c r="D5734" s="2018"/>
      <c r="E5734" s="2018"/>
      <c r="F5734" s="2018"/>
      <c r="G5734" s="2018"/>
      <c r="H5734" s="2018"/>
      <c r="I5734" s="2018"/>
      <c r="J5734" s="2018"/>
      <c r="K5734" s="2018"/>
      <c r="L5734" s="2018"/>
      <c r="M5734" s="2018"/>
      <c r="N5734" s="2018"/>
      <c r="O5734" s="2018"/>
      <c r="P5734" s="2018"/>
      <c r="Q5734" s="2018"/>
      <c r="R5734" s="2018"/>
      <c r="S5734" s="2018"/>
      <c r="T5734" s="2018"/>
      <c r="U5734" s="2018"/>
      <c r="V5734" s="2018"/>
      <c r="W5734" s="2018"/>
      <c r="X5734" s="2018"/>
      <c r="Y5734" s="2018"/>
      <c r="Z5734" s="2023"/>
      <c r="AA5734" s="2023"/>
      <c r="AB5734" s="1050"/>
      <c r="AC5734" s="1050"/>
      <c r="AD5734" s="1050"/>
      <c r="AE5734" s="1050"/>
      <c r="AF5734" s="1052"/>
    </row>
    <row r="5735" spans="1:32" ht="15.75" x14ac:dyDescent="0.25">
      <c r="A5735" s="2017"/>
      <c r="B5735" s="2018"/>
      <c r="C5735" s="2018"/>
      <c r="D5735" s="2018"/>
      <c r="E5735" s="2018"/>
      <c r="F5735" s="2018"/>
      <c r="G5735" s="2018"/>
      <c r="H5735" s="2018"/>
      <c r="I5735" s="2018"/>
      <c r="J5735" s="2018"/>
      <c r="K5735" s="2018"/>
      <c r="L5735" s="2018"/>
      <c r="M5735" s="2018"/>
      <c r="N5735" s="2018"/>
      <c r="O5735" s="2018"/>
      <c r="P5735" s="2018"/>
      <c r="Q5735" s="2018"/>
      <c r="R5735" s="2018"/>
      <c r="S5735" s="2018"/>
      <c r="T5735" s="2018"/>
      <c r="U5735" s="2018"/>
      <c r="V5735" s="2018"/>
      <c r="W5735" s="2018"/>
      <c r="X5735" s="2018"/>
      <c r="Y5735" s="2018"/>
      <c r="Z5735" s="2023"/>
      <c r="AA5735" s="2023"/>
      <c r="AB5735" s="1050"/>
      <c r="AC5735" s="1050"/>
      <c r="AD5735" s="1050"/>
      <c r="AE5735" s="1050"/>
      <c r="AF5735" s="1052"/>
    </row>
    <row r="5736" spans="1:32" ht="15.75" x14ac:dyDescent="0.25">
      <c r="A5736" s="2017"/>
      <c r="B5736" s="2018"/>
      <c r="C5736" s="2018"/>
      <c r="D5736" s="2018"/>
      <c r="E5736" s="2018"/>
      <c r="F5736" s="2018"/>
      <c r="G5736" s="2018"/>
      <c r="H5736" s="2018"/>
      <c r="I5736" s="2018"/>
      <c r="J5736" s="2018"/>
      <c r="K5736" s="2018"/>
      <c r="L5736" s="2018"/>
      <c r="M5736" s="2018"/>
      <c r="N5736" s="2018"/>
      <c r="O5736" s="2018"/>
      <c r="P5736" s="2018"/>
      <c r="Q5736" s="2018"/>
      <c r="R5736" s="2018"/>
      <c r="S5736" s="2018"/>
      <c r="T5736" s="2018"/>
      <c r="U5736" s="2018"/>
      <c r="V5736" s="2018"/>
      <c r="W5736" s="2018"/>
      <c r="X5736" s="2018"/>
      <c r="Y5736" s="2018"/>
      <c r="Z5736" s="2023"/>
      <c r="AA5736" s="2023"/>
      <c r="AB5736" s="1050"/>
      <c r="AC5736" s="1050"/>
      <c r="AD5736" s="1050"/>
      <c r="AE5736" s="1050"/>
      <c r="AF5736" s="1052"/>
    </row>
    <row r="5737" spans="1:32" ht="16.5" thickBot="1" x14ac:dyDescent="0.3">
      <c r="A5737" s="2019"/>
      <c r="B5737" s="2020"/>
      <c r="C5737" s="2020"/>
      <c r="D5737" s="2020"/>
      <c r="E5737" s="2020"/>
      <c r="F5737" s="2020"/>
      <c r="G5737" s="2020"/>
      <c r="H5737" s="2020"/>
      <c r="I5737" s="2020"/>
      <c r="J5737" s="2020"/>
      <c r="K5737" s="2020"/>
      <c r="L5737" s="2020"/>
      <c r="M5737" s="2020"/>
      <c r="N5737" s="2020"/>
      <c r="O5737" s="2020"/>
      <c r="P5737" s="2020"/>
      <c r="Q5737" s="2020"/>
      <c r="R5737" s="2020"/>
      <c r="S5737" s="2020"/>
      <c r="T5737" s="2020"/>
      <c r="U5737" s="2020"/>
      <c r="V5737" s="2020"/>
      <c r="W5737" s="2020"/>
      <c r="X5737" s="2020"/>
      <c r="Y5737" s="2020"/>
      <c r="Z5737" s="2024"/>
      <c r="AA5737" s="2024"/>
      <c r="AB5737" s="1057"/>
      <c r="AC5737" s="1057"/>
      <c r="AD5737" s="1057"/>
      <c r="AE5737" s="1057"/>
      <c r="AF5737" s="1058"/>
    </row>
    <row r="5738" spans="1:32" ht="15.75" x14ac:dyDescent="0.25">
      <c r="A5738" s="2009" t="s">
        <v>1855</v>
      </c>
      <c r="B5738" s="2010"/>
      <c r="C5738" s="2010"/>
      <c r="D5738" s="2010"/>
      <c r="E5738" s="2010"/>
      <c r="F5738" s="2010"/>
      <c r="G5738" s="2010"/>
      <c r="H5738" s="2010"/>
      <c r="I5738" s="2010"/>
      <c r="J5738" s="2010"/>
      <c r="K5738" s="2010"/>
      <c r="L5738" s="2010"/>
      <c r="M5738" s="2010"/>
      <c r="N5738" s="2010"/>
      <c r="O5738" s="2010"/>
      <c r="P5738" s="2010"/>
      <c r="Q5738" s="2010"/>
      <c r="R5738" s="2010"/>
      <c r="S5738" s="2010"/>
      <c r="T5738" s="2010"/>
      <c r="U5738" s="2010"/>
      <c r="V5738" s="2010"/>
      <c r="W5738" s="2010"/>
      <c r="X5738" s="2010"/>
      <c r="Y5738" s="2010"/>
      <c r="Z5738" s="2013" t="s">
        <v>1850</v>
      </c>
      <c r="AA5738" s="2013"/>
      <c r="AB5738" s="2013"/>
      <c r="AC5738" s="2013"/>
      <c r="AD5738" s="2013"/>
      <c r="AE5738" s="2013"/>
      <c r="AF5738" s="1059">
        <f>SUM(AF5714:AF5737)</f>
        <v>7.25</v>
      </c>
    </row>
    <row r="5739" spans="1:32" ht="15.75" x14ac:dyDescent="0.25">
      <c r="A5739" s="2011"/>
      <c r="B5739" s="2012"/>
      <c r="C5739" s="2012"/>
      <c r="D5739" s="2012"/>
      <c r="E5739" s="2012"/>
      <c r="F5739" s="2012"/>
      <c r="G5739" s="2012"/>
      <c r="H5739" s="2012"/>
      <c r="I5739" s="2012"/>
      <c r="J5739" s="2012"/>
      <c r="K5739" s="2012"/>
      <c r="L5739" s="2012"/>
      <c r="M5739" s="2012"/>
      <c r="N5739" s="2012"/>
      <c r="O5739" s="2012"/>
      <c r="P5739" s="2012"/>
      <c r="Q5739" s="2012"/>
      <c r="R5739" s="2012"/>
      <c r="S5739" s="2012"/>
      <c r="T5739" s="2012"/>
      <c r="U5739" s="2012"/>
      <c r="V5739" s="2012"/>
      <c r="W5739" s="2012"/>
      <c r="X5739" s="2012"/>
      <c r="Y5739" s="2012"/>
      <c r="Z5739" s="2014" t="s">
        <v>1851</v>
      </c>
      <c r="AA5739" s="2014"/>
      <c r="AB5739" s="2014"/>
      <c r="AC5739" s="2014"/>
      <c r="AD5739" s="2014"/>
      <c r="AE5739" s="2014"/>
      <c r="AF5739" s="1060">
        <v>0</v>
      </c>
    </row>
    <row r="5740" spans="1:32" ht="15.75" x14ac:dyDescent="0.25">
      <c r="A5740" s="2011"/>
      <c r="B5740" s="2012"/>
      <c r="C5740" s="2012"/>
      <c r="D5740" s="2012"/>
      <c r="E5740" s="2012"/>
      <c r="F5740" s="2012"/>
      <c r="G5740" s="2012"/>
      <c r="H5740" s="2012"/>
      <c r="I5740" s="2012"/>
      <c r="J5740" s="2012"/>
      <c r="K5740" s="2012"/>
      <c r="L5740" s="2012"/>
      <c r="M5740" s="2012"/>
      <c r="N5740" s="2012"/>
      <c r="O5740" s="2012"/>
      <c r="P5740" s="2012"/>
      <c r="Q5740" s="2012"/>
      <c r="R5740" s="2012"/>
      <c r="S5740" s="2012"/>
      <c r="T5740" s="2012"/>
      <c r="U5740" s="2012"/>
      <c r="V5740" s="2012"/>
      <c r="W5740" s="2012"/>
      <c r="X5740" s="2012"/>
      <c r="Y5740" s="2012"/>
      <c r="Z5740" s="2015" t="s">
        <v>1833</v>
      </c>
      <c r="AA5740" s="2015"/>
      <c r="AB5740" s="2015"/>
      <c r="AC5740" s="2015"/>
      <c r="AD5740" s="2015"/>
      <c r="AE5740" s="2015"/>
      <c r="AF5740" s="1061">
        <f>SUM(AF5738:AF5739)</f>
        <v>7.25</v>
      </c>
    </row>
    <row r="5741" spans="1:32" x14ac:dyDescent="0.2">
      <c r="A5741" s="2012" t="s">
        <v>1859</v>
      </c>
      <c r="B5741" s="2012"/>
      <c r="C5741" s="2012"/>
      <c r="D5741" s="2012"/>
      <c r="E5741" s="2012"/>
      <c r="F5741" s="2012"/>
      <c r="G5741" s="2012"/>
      <c r="H5741" s="2012"/>
      <c r="I5741" s="2012"/>
      <c r="J5741" s="2012"/>
      <c r="K5741" s="2012"/>
      <c r="L5741" s="2012"/>
      <c r="M5741" s="2012"/>
      <c r="N5741" s="2012"/>
      <c r="O5741" s="2012"/>
      <c r="P5741" s="2012"/>
      <c r="Q5741" s="2012"/>
      <c r="R5741" s="2012"/>
      <c r="S5741" s="2012"/>
      <c r="T5741" s="2016" t="s">
        <v>1840</v>
      </c>
      <c r="U5741" s="2016"/>
      <c r="V5741" s="2016"/>
      <c r="W5741" s="2016"/>
      <c r="X5741" s="2016"/>
      <c r="Y5741" s="2016"/>
      <c r="Z5741" s="2016"/>
      <c r="AA5741" s="2016"/>
      <c r="AB5741" s="2012" t="s">
        <v>1852</v>
      </c>
      <c r="AC5741" s="2012"/>
      <c r="AD5741" s="2012"/>
      <c r="AE5741" s="2012"/>
      <c r="AF5741" s="2012"/>
    </row>
    <row r="5742" spans="1:32" x14ac:dyDescent="0.2">
      <c r="A5742" s="2012"/>
      <c r="B5742" s="2012"/>
      <c r="C5742" s="2012"/>
      <c r="D5742" s="2012"/>
      <c r="E5742" s="2012"/>
      <c r="F5742" s="2012"/>
      <c r="G5742" s="2012"/>
      <c r="H5742" s="2012"/>
      <c r="I5742" s="2012"/>
      <c r="J5742" s="2012"/>
      <c r="K5742" s="2012"/>
      <c r="L5742" s="2012"/>
      <c r="M5742" s="2012"/>
      <c r="N5742" s="2012"/>
      <c r="O5742" s="2012"/>
      <c r="P5742" s="2012"/>
      <c r="Q5742" s="2012"/>
      <c r="R5742" s="2012"/>
      <c r="S5742" s="2012"/>
      <c r="T5742" s="2016"/>
      <c r="U5742" s="2016"/>
      <c r="V5742" s="2016"/>
      <c r="W5742" s="2016"/>
      <c r="X5742" s="2016"/>
      <c r="Y5742" s="2016"/>
      <c r="Z5742" s="2016"/>
      <c r="AA5742" s="2016"/>
      <c r="AB5742" s="2012"/>
      <c r="AC5742" s="2012"/>
      <c r="AD5742" s="2012"/>
      <c r="AE5742" s="2012"/>
      <c r="AF5742" s="2012"/>
    </row>
    <row r="5743" spans="1:32" ht="13.5" thickBot="1" x14ac:dyDescent="0.25"/>
    <row r="5744" spans="1:32" ht="26.45" customHeight="1" x14ac:dyDescent="0.2">
      <c r="A5744" s="2025" t="s">
        <v>1854</v>
      </c>
      <c r="B5744" s="2026"/>
      <c r="C5744" s="2026"/>
      <c r="D5744" s="2026"/>
      <c r="E5744" s="2026"/>
      <c r="F5744" s="2026"/>
      <c r="G5744" s="2026"/>
      <c r="H5744" s="2026"/>
      <c r="I5744" s="2026"/>
      <c r="J5744" s="2026"/>
      <c r="K5744" s="2026"/>
      <c r="L5744" s="2026"/>
      <c r="M5744" s="2026"/>
      <c r="N5744" s="2026"/>
      <c r="O5744" s="2026"/>
      <c r="P5744" s="2026"/>
      <c r="Q5744" s="2026"/>
      <c r="R5744" s="2026"/>
      <c r="S5744" s="2026"/>
      <c r="T5744" s="2026"/>
      <c r="U5744" s="2026"/>
      <c r="V5744" s="2026"/>
      <c r="W5744" s="2026"/>
      <c r="X5744" s="2026"/>
      <c r="Y5744" s="2026"/>
      <c r="Z5744" s="2026"/>
      <c r="AA5744" s="2026"/>
      <c r="AB5744" s="2026"/>
      <c r="AC5744" s="2026"/>
      <c r="AD5744" s="2026"/>
      <c r="AE5744" s="1041" t="s">
        <v>1834</v>
      </c>
      <c r="AF5744" s="1042" t="s">
        <v>1835</v>
      </c>
    </row>
    <row r="5745" spans="1:32" ht="21" customHeight="1" thickBot="1" x14ac:dyDescent="0.25">
      <c r="A5745" s="2027"/>
      <c r="B5745" s="2028"/>
      <c r="C5745" s="2028"/>
      <c r="D5745" s="2028"/>
      <c r="E5745" s="2028"/>
      <c r="F5745" s="2028"/>
      <c r="G5745" s="2028"/>
      <c r="H5745" s="2028"/>
      <c r="I5745" s="2028"/>
      <c r="J5745" s="2028"/>
      <c r="K5745" s="2028"/>
      <c r="L5745" s="2028"/>
      <c r="M5745" s="2028"/>
      <c r="N5745" s="2028"/>
      <c r="O5745" s="2028"/>
      <c r="P5745" s="2028"/>
      <c r="Q5745" s="2028"/>
      <c r="R5745" s="2028"/>
      <c r="S5745" s="2028"/>
      <c r="T5745" s="2028"/>
      <c r="U5745" s="2028"/>
      <c r="V5745" s="2028"/>
      <c r="W5745" s="2028"/>
      <c r="X5745" s="2028"/>
      <c r="Y5745" s="2028"/>
      <c r="Z5745" s="2028"/>
      <c r="AA5745" s="2028"/>
      <c r="AB5745" s="2028"/>
      <c r="AC5745" s="2028"/>
      <c r="AD5745" s="2028"/>
      <c r="AE5745" s="1041" t="s">
        <v>1836</v>
      </c>
      <c r="AF5745" s="1044">
        <v>1</v>
      </c>
    </row>
    <row r="5746" spans="1:32" ht="15.75" x14ac:dyDescent="0.2">
      <c r="A5746" s="2029"/>
      <c r="B5746" s="2030"/>
      <c r="C5746" s="2030"/>
      <c r="D5746" s="2031"/>
      <c r="E5746" s="2025" t="str">
        <f>'01'!$A$12</f>
        <v>"CONSTRUCCION SISTEMA DE ACUEDUCTO FASE II DEL MUNICIPIO DE TESALIA DPTO DEL HUILA"</v>
      </c>
      <c r="F5746" s="2026"/>
      <c r="G5746" s="2026"/>
      <c r="H5746" s="2026"/>
      <c r="I5746" s="2026"/>
      <c r="J5746" s="2026"/>
      <c r="K5746" s="2026"/>
      <c r="L5746" s="2026"/>
      <c r="M5746" s="2026"/>
      <c r="N5746" s="2026"/>
      <c r="O5746" s="2026"/>
      <c r="P5746" s="2026"/>
      <c r="Q5746" s="2026"/>
      <c r="R5746" s="2026"/>
      <c r="S5746" s="2026"/>
      <c r="T5746" s="2026"/>
      <c r="U5746" s="2026"/>
      <c r="V5746" s="2026"/>
      <c r="W5746" s="2026"/>
      <c r="X5746" s="2026"/>
      <c r="Y5746" s="2026"/>
      <c r="Z5746" s="2026"/>
      <c r="AA5746" s="2026"/>
      <c r="AB5746" s="2026"/>
      <c r="AC5746" s="2026"/>
      <c r="AD5746" s="2035"/>
      <c r="AE5746" s="1041" t="s">
        <v>847</v>
      </c>
      <c r="AF5746" s="1045">
        <f>'01'!$M$13</f>
        <v>0</v>
      </c>
    </row>
    <row r="5747" spans="1:32" ht="16.5" thickBot="1" x14ac:dyDescent="0.25">
      <c r="A5747" s="2032"/>
      <c r="B5747" s="2033"/>
      <c r="C5747" s="2033"/>
      <c r="D5747" s="2034"/>
      <c r="E5747" s="2027"/>
      <c r="F5747" s="2028"/>
      <c r="G5747" s="2028"/>
      <c r="H5747" s="2028"/>
      <c r="I5747" s="2028"/>
      <c r="J5747" s="2028"/>
      <c r="K5747" s="2028"/>
      <c r="L5747" s="2028"/>
      <c r="M5747" s="2028"/>
      <c r="N5747" s="2028"/>
      <c r="O5747" s="2028"/>
      <c r="P5747" s="2028"/>
      <c r="Q5747" s="2028"/>
      <c r="R5747" s="2028"/>
      <c r="S5747" s="2028"/>
      <c r="T5747" s="2028"/>
      <c r="U5747" s="2028"/>
      <c r="V5747" s="2028"/>
      <c r="W5747" s="2028"/>
      <c r="X5747" s="2028"/>
      <c r="Y5747" s="2028"/>
      <c r="Z5747" s="2028"/>
      <c r="AA5747" s="2028"/>
      <c r="AB5747" s="2028"/>
      <c r="AC5747" s="2028"/>
      <c r="AD5747" s="2036"/>
      <c r="AE5747" s="1041" t="s">
        <v>1837</v>
      </c>
      <c r="AF5747" s="1042" t="s">
        <v>1838</v>
      </c>
    </row>
    <row r="5748" spans="1:32" ht="15.75" x14ac:dyDescent="0.25">
      <c r="A5748" s="2037" t="s">
        <v>1860</v>
      </c>
      <c r="B5748" s="2038"/>
      <c r="C5748" s="2038"/>
      <c r="D5748" s="2038"/>
      <c r="E5748" s="2038"/>
      <c r="F5748" s="2038"/>
      <c r="G5748" s="2038"/>
      <c r="H5748" s="2038"/>
      <c r="I5748" s="2038"/>
      <c r="J5748" s="2038"/>
      <c r="K5748" s="2038"/>
      <c r="L5748" s="2038"/>
      <c r="M5748" s="2038"/>
      <c r="N5748" s="2038"/>
      <c r="O5748" s="2038"/>
      <c r="P5748" s="2038"/>
      <c r="Q5748" s="2038"/>
      <c r="R5748" s="2038"/>
      <c r="S5748" s="2038"/>
      <c r="T5748" s="2038"/>
      <c r="U5748" s="2038"/>
      <c r="V5748" s="2038"/>
      <c r="W5748" s="2038"/>
      <c r="X5748" s="2038"/>
      <c r="Y5748" s="2038"/>
      <c r="Z5748" s="2038"/>
      <c r="AA5748" s="2038"/>
      <c r="AB5748" s="2038"/>
      <c r="AC5748" s="2038"/>
      <c r="AD5748" s="2038"/>
      <c r="AE5748" s="2039" t="s">
        <v>1839</v>
      </c>
      <c r="AF5748" s="2040"/>
    </row>
    <row r="5749" spans="1:32" ht="15.75" x14ac:dyDescent="0.25">
      <c r="A5749" s="2041" t="s">
        <v>1840</v>
      </c>
      <c r="B5749" s="2042"/>
      <c r="C5749" s="2042"/>
      <c r="D5749" s="2042"/>
      <c r="E5749" s="2042"/>
      <c r="F5749" s="2042"/>
      <c r="G5749" s="2042"/>
      <c r="H5749" s="2042"/>
      <c r="I5749" s="2042"/>
      <c r="J5749" s="2042"/>
      <c r="K5749" s="2042"/>
      <c r="L5749" s="2042"/>
      <c r="M5749" s="2042"/>
      <c r="N5749" s="2042"/>
      <c r="O5749" s="2042"/>
      <c r="P5749" s="2042"/>
      <c r="Q5749" s="2042"/>
      <c r="R5749" s="2042"/>
      <c r="S5749" s="2042"/>
      <c r="T5749" s="2042"/>
      <c r="U5749" s="2042"/>
      <c r="V5749" s="2042"/>
      <c r="W5749" s="2042"/>
      <c r="X5749" s="2042"/>
      <c r="Y5749" s="2042"/>
      <c r="Z5749" s="2042"/>
      <c r="AA5749" s="2042"/>
      <c r="AB5749" s="2042"/>
      <c r="AC5749" s="2042"/>
      <c r="AD5749" s="2043"/>
      <c r="AE5749" s="2014" t="s">
        <v>1841</v>
      </c>
      <c r="AF5749" s="2044"/>
    </row>
    <row r="5750" spans="1:32" ht="15.75" x14ac:dyDescent="0.25">
      <c r="A5750" s="2045" t="s">
        <v>1853</v>
      </c>
      <c r="B5750" s="2046"/>
      <c r="C5750" s="2046"/>
      <c r="D5750" s="2046"/>
      <c r="E5750" s="2046"/>
      <c r="F5750" s="2046"/>
      <c r="G5750" s="2046"/>
      <c r="H5750" s="2046"/>
      <c r="I5750" s="2046"/>
      <c r="J5750" s="2046"/>
      <c r="K5750" s="2046"/>
      <c r="L5750" s="2046"/>
      <c r="M5750" s="2046"/>
      <c r="N5750" s="2046"/>
      <c r="O5750" s="2046"/>
      <c r="P5750" s="2046"/>
      <c r="Q5750" s="2046"/>
      <c r="R5750" s="2046"/>
      <c r="S5750" s="2046"/>
      <c r="T5750" s="2046"/>
      <c r="U5750" s="2046"/>
      <c r="V5750" s="2046"/>
      <c r="W5750" s="2046"/>
      <c r="X5750" s="2046"/>
      <c r="Y5750" s="2046"/>
      <c r="Z5750" s="2046"/>
      <c r="AA5750" s="2046"/>
      <c r="AB5750" s="2046"/>
      <c r="AC5750" s="2046"/>
      <c r="AD5750" s="2046"/>
      <c r="AE5750" s="2047">
        <f>'01'!$M$13</f>
        <v>0</v>
      </c>
      <c r="AF5750" s="2044"/>
    </row>
    <row r="5751" spans="1:32" x14ac:dyDescent="0.2">
      <c r="A5751" s="1046"/>
      <c r="B5751" s="1047"/>
      <c r="C5751" s="1047"/>
      <c r="D5751" s="1047"/>
      <c r="E5751" s="1047"/>
      <c r="F5751" s="1047"/>
      <c r="G5751" s="1047"/>
      <c r="H5751" s="1047"/>
      <c r="I5751" s="1047"/>
      <c r="J5751" s="1047"/>
      <c r="K5751" s="1047"/>
      <c r="L5751" s="1047"/>
      <c r="M5751" s="1047"/>
      <c r="N5751" s="1047"/>
      <c r="O5751" s="1047"/>
      <c r="P5751" s="1047"/>
      <c r="Q5751" s="1047"/>
      <c r="R5751" s="1047"/>
      <c r="S5751" s="1047"/>
      <c r="T5751" s="1047"/>
      <c r="U5751" s="1047"/>
      <c r="V5751" s="1047"/>
      <c r="W5751" s="1047"/>
      <c r="X5751" s="1047"/>
      <c r="Y5751" s="1047"/>
      <c r="Z5751" s="1047"/>
      <c r="AA5751" s="1047"/>
      <c r="AB5751" s="1047"/>
      <c r="AC5751" s="1047"/>
      <c r="AD5751" s="1047"/>
      <c r="AE5751" s="1047"/>
      <c r="AF5751" s="1048"/>
    </row>
    <row r="5752" spans="1:32" ht="30" customHeight="1" x14ac:dyDescent="0.2">
      <c r="A5752" s="2048" t="s">
        <v>1842</v>
      </c>
      <c r="B5752" s="2049"/>
      <c r="C5752" s="2049"/>
      <c r="D5752" s="2049"/>
      <c r="E5752" s="2049"/>
      <c r="F5752" s="2050" t="str">
        <f>+'01'!$H$230</f>
        <v>I - TUBERÍA DE INTERCONEXIÓN</v>
      </c>
      <c r="G5752" s="2049"/>
      <c r="H5752" s="2049"/>
      <c r="I5752" s="2049"/>
      <c r="J5752" s="2049"/>
      <c r="K5752" s="2049"/>
      <c r="L5752" s="2049"/>
      <c r="M5752" s="2049"/>
      <c r="N5752" s="2049"/>
      <c r="O5752" s="2049"/>
      <c r="P5752" s="2049"/>
      <c r="Q5752" s="2049"/>
      <c r="R5752" s="2049"/>
      <c r="S5752" s="2049"/>
      <c r="T5752" s="2049"/>
      <c r="U5752" s="2049"/>
      <c r="V5752" s="2049"/>
      <c r="W5752" s="2049"/>
      <c r="X5752" s="2049"/>
      <c r="Y5752" s="2051"/>
      <c r="Z5752" s="2052" t="s">
        <v>1843</v>
      </c>
      <c r="AA5752" s="2053"/>
      <c r="AB5752" s="2058" t="s">
        <v>1844</v>
      </c>
      <c r="AC5752" s="2059"/>
      <c r="AD5752" s="2060"/>
      <c r="AE5752" s="2064" t="s">
        <v>1845</v>
      </c>
      <c r="AF5752" s="2067" t="s">
        <v>1846</v>
      </c>
    </row>
    <row r="5753" spans="1:32" ht="15" customHeight="1" x14ac:dyDescent="0.2">
      <c r="A5753" s="2070" t="str">
        <f>+'01'!A238</f>
        <v>I-03-03</v>
      </c>
      <c r="B5753" s="2071"/>
      <c r="C5753" s="2072"/>
      <c r="D5753" s="2076" t="str">
        <f>VLOOKUP(A5753,'01'!$A$12:$N$299,3,FALSE)</f>
        <v>RELLENO CON MATERIAL SELECCIONADO DE LA EXCAVACIÓN, COMPACTADO CON EQUIPO MECÁNICO EN CAPAS DE 0,20 m</v>
      </c>
      <c r="E5753" s="2077"/>
      <c r="F5753" s="2077"/>
      <c r="G5753" s="2077"/>
      <c r="H5753" s="2077"/>
      <c r="I5753" s="2077"/>
      <c r="J5753" s="2077"/>
      <c r="K5753" s="2077"/>
      <c r="L5753" s="2077"/>
      <c r="M5753" s="2077"/>
      <c r="N5753" s="2077"/>
      <c r="O5753" s="2077"/>
      <c r="P5753" s="2077"/>
      <c r="Q5753" s="2077"/>
      <c r="R5753" s="2077"/>
      <c r="S5753" s="2078"/>
      <c r="T5753" s="2082" t="s">
        <v>124</v>
      </c>
      <c r="U5753" s="2083"/>
      <c r="V5753" s="2083"/>
      <c r="W5753" s="2083"/>
      <c r="X5753" s="2052" t="str">
        <f>VLOOKUP(A5753,'01'!$A$12:$N$299,9,FALSE)</f>
        <v>M3</v>
      </c>
      <c r="Y5753" s="2053"/>
      <c r="Z5753" s="2054"/>
      <c r="AA5753" s="2055"/>
      <c r="AB5753" s="2061"/>
      <c r="AC5753" s="2062"/>
      <c r="AD5753" s="2063"/>
      <c r="AE5753" s="2065"/>
      <c r="AF5753" s="2068"/>
    </row>
    <row r="5754" spans="1:32" ht="15" customHeight="1" x14ac:dyDescent="0.25">
      <c r="A5754" s="2073"/>
      <c r="B5754" s="2074"/>
      <c r="C5754" s="2075"/>
      <c r="D5754" s="2079"/>
      <c r="E5754" s="2080"/>
      <c r="F5754" s="2080"/>
      <c r="G5754" s="2080"/>
      <c r="H5754" s="2080"/>
      <c r="I5754" s="2080"/>
      <c r="J5754" s="2080"/>
      <c r="K5754" s="2080"/>
      <c r="L5754" s="2080"/>
      <c r="M5754" s="2080"/>
      <c r="N5754" s="2080"/>
      <c r="O5754" s="2080"/>
      <c r="P5754" s="2080"/>
      <c r="Q5754" s="2080"/>
      <c r="R5754" s="2080"/>
      <c r="S5754" s="2081"/>
      <c r="T5754" s="2084"/>
      <c r="U5754" s="2085"/>
      <c r="V5754" s="2085"/>
      <c r="W5754" s="2085"/>
      <c r="X5754" s="2056"/>
      <c r="Y5754" s="2057"/>
      <c r="Z5754" s="2056"/>
      <c r="AA5754" s="2057"/>
      <c r="AB5754" s="1049" t="s">
        <v>2417</v>
      </c>
      <c r="AC5754" s="1049" t="s">
        <v>2418</v>
      </c>
      <c r="AD5754" s="1049" t="s">
        <v>2419</v>
      </c>
      <c r="AE5754" s="2066"/>
      <c r="AF5754" s="2069"/>
    </row>
    <row r="5755" spans="1:32" ht="30" customHeight="1" x14ac:dyDescent="0.25">
      <c r="A5755" s="2017"/>
      <c r="B5755" s="2018"/>
      <c r="C5755" s="2018"/>
      <c r="D5755" s="2018"/>
      <c r="E5755" s="2018"/>
      <c r="F5755" s="2018"/>
      <c r="G5755" s="2018"/>
      <c r="H5755" s="2018"/>
      <c r="I5755" s="2018"/>
      <c r="J5755" s="2018"/>
      <c r="K5755" s="2018"/>
      <c r="L5755" s="2018"/>
      <c r="M5755" s="2018"/>
      <c r="N5755" s="2018"/>
      <c r="O5755" s="2018"/>
      <c r="P5755" s="2018"/>
      <c r="Q5755" s="2018"/>
      <c r="R5755" s="2018"/>
      <c r="S5755" s="2018"/>
      <c r="T5755" s="2018"/>
      <c r="U5755" s="2018"/>
      <c r="V5755" s="2018"/>
      <c r="W5755" s="2018"/>
      <c r="X5755" s="2018"/>
      <c r="Y5755" s="2018"/>
      <c r="Z5755" s="2021" t="s">
        <v>2552</v>
      </c>
      <c r="AA5755" s="2021"/>
      <c r="AB5755" s="1050">
        <f>+AF5632</f>
        <v>27</v>
      </c>
      <c r="AC5755" s="1050">
        <f>+AF5673+AF5714</f>
        <v>6</v>
      </c>
      <c r="AD5755" s="1050">
        <f>+ROUND(PI()*(0.2^2)/4*AF5591,2)</f>
        <v>1.88</v>
      </c>
      <c r="AE5755" s="1050"/>
      <c r="AF5755" s="1052">
        <f>+ROUND(AB5755-AC5755-AD5755,2)</f>
        <v>19.12</v>
      </c>
    </row>
    <row r="5756" spans="1:32" ht="15.6" customHeight="1" x14ac:dyDescent="0.25">
      <c r="A5756" s="2017"/>
      <c r="B5756" s="2018"/>
      <c r="C5756" s="2018"/>
      <c r="D5756" s="2018"/>
      <c r="E5756" s="2018"/>
      <c r="F5756" s="2018"/>
      <c r="G5756" s="2018"/>
      <c r="H5756" s="2018"/>
      <c r="I5756" s="2018"/>
      <c r="J5756" s="2018"/>
      <c r="K5756" s="2018"/>
      <c r="L5756" s="2018"/>
      <c r="M5756" s="2018"/>
      <c r="N5756" s="2018"/>
      <c r="O5756" s="2018"/>
      <c r="P5756" s="2018"/>
      <c r="Q5756" s="2018"/>
      <c r="R5756" s="2018"/>
      <c r="S5756" s="2018"/>
      <c r="T5756" s="2018"/>
      <c r="U5756" s="2018"/>
      <c r="V5756" s="2018"/>
      <c r="W5756" s="2018"/>
      <c r="X5756" s="2018"/>
      <c r="Y5756" s="2018"/>
      <c r="Z5756" s="2021" t="s">
        <v>2553</v>
      </c>
      <c r="AA5756" s="2021"/>
      <c r="AB5756" s="1050">
        <f t="shared" ref="AB5756:AB5762" si="84">+AF5633</f>
        <v>4.5</v>
      </c>
      <c r="AC5756" s="1050">
        <f t="shared" ref="AC5756:AC5762" si="85">+AF5674+AF5715</f>
        <v>1</v>
      </c>
      <c r="AD5756" s="1050">
        <f>+ROUND(PI()*(0.2^2)/4*AF5592,2)</f>
        <v>0.31</v>
      </c>
      <c r="AE5756" s="1050"/>
      <c r="AF5756" s="1052">
        <f t="shared" ref="AF5756:AF5762" si="86">+ROUND(AB5756-AC5756-AD5756,2)</f>
        <v>3.19</v>
      </c>
    </row>
    <row r="5757" spans="1:32" ht="15.6" customHeight="1" x14ac:dyDescent="0.25">
      <c r="A5757" s="2017"/>
      <c r="B5757" s="2018"/>
      <c r="C5757" s="2018"/>
      <c r="D5757" s="2018"/>
      <c r="E5757" s="2018"/>
      <c r="F5757" s="2018"/>
      <c r="G5757" s="2018"/>
      <c r="H5757" s="2018"/>
      <c r="I5757" s="2018"/>
      <c r="J5757" s="2018"/>
      <c r="K5757" s="2018"/>
      <c r="L5757" s="2018"/>
      <c r="M5757" s="2018"/>
      <c r="N5757" s="2018"/>
      <c r="O5757" s="2018"/>
      <c r="P5757" s="2018"/>
      <c r="Q5757" s="2018"/>
      <c r="R5757" s="2018"/>
      <c r="S5757" s="2018"/>
      <c r="T5757" s="2018"/>
      <c r="U5757" s="2018"/>
      <c r="V5757" s="2018"/>
      <c r="W5757" s="2018"/>
      <c r="X5757" s="2018"/>
      <c r="Y5757" s="2018"/>
      <c r="Z5757" s="2021" t="s">
        <v>2554</v>
      </c>
      <c r="AA5757" s="2021"/>
      <c r="AB5757" s="1050">
        <f t="shared" si="84"/>
        <v>6.75</v>
      </c>
      <c r="AC5757" s="1050">
        <f t="shared" si="85"/>
        <v>1.5</v>
      </c>
      <c r="AD5757" s="1050">
        <f>+ROUND(PI()*(0.2^2)/4*AF5593,2)</f>
        <v>0.47</v>
      </c>
      <c r="AE5757" s="1050"/>
      <c r="AF5757" s="1052">
        <f t="shared" si="86"/>
        <v>4.78</v>
      </c>
    </row>
    <row r="5758" spans="1:32" ht="15.75" x14ac:dyDescent="0.25">
      <c r="A5758" s="2017"/>
      <c r="B5758" s="2018"/>
      <c r="C5758" s="2018"/>
      <c r="D5758" s="2018"/>
      <c r="E5758" s="2018"/>
      <c r="F5758" s="2018"/>
      <c r="G5758" s="2018"/>
      <c r="H5758" s="2018"/>
      <c r="I5758" s="2018"/>
      <c r="J5758" s="2018"/>
      <c r="K5758" s="2018"/>
      <c r="L5758" s="2018"/>
      <c r="M5758" s="2018"/>
      <c r="N5758" s="2018"/>
      <c r="O5758" s="2018"/>
      <c r="P5758" s="2018"/>
      <c r="Q5758" s="2018"/>
      <c r="R5758" s="2018"/>
      <c r="S5758" s="2018"/>
      <c r="T5758" s="2018"/>
      <c r="U5758" s="2018"/>
      <c r="V5758" s="2018"/>
      <c r="W5758" s="2018"/>
      <c r="X5758" s="2018"/>
      <c r="Y5758" s="2018"/>
      <c r="Z5758" s="2021" t="s">
        <v>2555</v>
      </c>
      <c r="AA5758" s="2021"/>
      <c r="AB5758" s="1050">
        <f t="shared" si="84"/>
        <v>9</v>
      </c>
      <c r="AC5758" s="1050">
        <f t="shared" si="85"/>
        <v>2</v>
      </c>
      <c r="AD5758" s="1050">
        <f>+ROUND(PI()*(0.2^2)/4*AF5594,2)</f>
        <v>0.63</v>
      </c>
      <c r="AE5758" s="1050"/>
      <c r="AF5758" s="1052">
        <f t="shared" si="86"/>
        <v>6.37</v>
      </c>
    </row>
    <row r="5759" spans="1:32" ht="15.6" customHeight="1" x14ac:dyDescent="0.25">
      <c r="A5759" s="2017"/>
      <c r="B5759" s="2018"/>
      <c r="C5759" s="2018"/>
      <c r="D5759" s="2018"/>
      <c r="E5759" s="2018"/>
      <c r="F5759" s="2018"/>
      <c r="G5759" s="2018"/>
      <c r="H5759" s="2018"/>
      <c r="I5759" s="2018"/>
      <c r="J5759" s="2018"/>
      <c r="K5759" s="2018"/>
      <c r="L5759" s="2018"/>
      <c r="M5759" s="2018"/>
      <c r="N5759" s="2018"/>
      <c r="O5759" s="2018"/>
      <c r="P5759" s="2018"/>
      <c r="Q5759" s="2018"/>
      <c r="R5759" s="2018"/>
      <c r="S5759" s="2018"/>
      <c r="T5759" s="2018"/>
      <c r="U5759" s="2018"/>
      <c r="V5759" s="2018"/>
      <c r="W5759" s="2018"/>
      <c r="X5759" s="2018"/>
      <c r="Y5759" s="2018"/>
      <c r="Z5759" s="2021" t="s">
        <v>2560</v>
      </c>
      <c r="AA5759" s="2021"/>
      <c r="AB5759" s="1050">
        <f t="shared" si="84"/>
        <v>4.5</v>
      </c>
      <c r="AC5759" s="1050">
        <f t="shared" si="85"/>
        <v>1</v>
      </c>
      <c r="AD5759" s="1050">
        <f>+ROUND(PI()*(0.2^2)/4*AF5595,2)</f>
        <v>0.31</v>
      </c>
      <c r="AE5759" s="1050"/>
      <c r="AF5759" s="1052">
        <f t="shared" si="86"/>
        <v>3.19</v>
      </c>
    </row>
    <row r="5760" spans="1:32" ht="15.75" x14ac:dyDescent="0.25">
      <c r="A5760" s="2017"/>
      <c r="B5760" s="2018"/>
      <c r="C5760" s="2018"/>
      <c r="D5760" s="2018"/>
      <c r="E5760" s="2018"/>
      <c r="F5760" s="2018"/>
      <c r="G5760" s="2018"/>
      <c r="H5760" s="2018"/>
      <c r="I5760" s="2018"/>
      <c r="J5760" s="2018"/>
      <c r="K5760" s="2018"/>
      <c r="L5760" s="2018"/>
      <c r="M5760" s="2018"/>
      <c r="N5760" s="2018"/>
      <c r="O5760" s="2018"/>
      <c r="P5760" s="2018"/>
      <c r="Q5760" s="2018"/>
      <c r="R5760" s="2018"/>
      <c r="S5760" s="2018"/>
      <c r="T5760" s="2018"/>
      <c r="U5760" s="2018"/>
      <c r="V5760" s="2018"/>
      <c r="W5760" s="2018"/>
      <c r="X5760" s="2018"/>
      <c r="Y5760" s="2018"/>
      <c r="Z5760" s="2021" t="s">
        <v>2557</v>
      </c>
      <c r="AA5760" s="2021"/>
      <c r="AB5760" s="1050">
        <f t="shared" si="84"/>
        <v>4.5</v>
      </c>
      <c r="AC5760" s="1050">
        <f t="shared" si="85"/>
        <v>1</v>
      </c>
      <c r="AD5760" s="1050">
        <f t="shared" ref="AD5760:AD5762" si="87">+ROUND(PI()*(0.15^2)/4*AF5596,2)</f>
        <v>0.18</v>
      </c>
      <c r="AE5760" s="1050"/>
      <c r="AF5760" s="1052">
        <f t="shared" si="86"/>
        <v>3.32</v>
      </c>
    </row>
    <row r="5761" spans="1:32" ht="15.75" x14ac:dyDescent="0.25">
      <c r="A5761" s="2017"/>
      <c r="B5761" s="2018"/>
      <c r="C5761" s="2018"/>
      <c r="D5761" s="2018"/>
      <c r="E5761" s="2018"/>
      <c r="F5761" s="2018"/>
      <c r="G5761" s="2018"/>
      <c r="H5761" s="2018"/>
      <c r="I5761" s="2018"/>
      <c r="J5761" s="2018"/>
      <c r="K5761" s="2018"/>
      <c r="L5761" s="2018"/>
      <c r="M5761" s="2018"/>
      <c r="N5761" s="2018"/>
      <c r="O5761" s="2018"/>
      <c r="P5761" s="2018"/>
      <c r="Q5761" s="2018"/>
      <c r="R5761" s="2018"/>
      <c r="S5761" s="2018"/>
      <c r="T5761" s="2018"/>
      <c r="U5761" s="2018"/>
      <c r="V5761" s="2018"/>
      <c r="W5761" s="2018"/>
      <c r="X5761" s="2018"/>
      <c r="Y5761" s="2018"/>
      <c r="Z5761" s="2021" t="s">
        <v>2558</v>
      </c>
      <c r="AA5761" s="2021"/>
      <c r="AB5761" s="1050">
        <f t="shared" si="84"/>
        <v>4.5</v>
      </c>
      <c r="AC5761" s="1050">
        <f t="shared" si="85"/>
        <v>1</v>
      </c>
      <c r="AD5761" s="1050">
        <f>+ROUND(PI()*(0.1^2)/4*AF5597,2)</f>
        <v>0.08</v>
      </c>
      <c r="AE5761" s="1050"/>
      <c r="AF5761" s="1052">
        <f t="shared" si="86"/>
        <v>3.42</v>
      </c>
    </row>
    <row r="5762" spans="1:32" ht="15.6" customHeight="1" x14ac:dyDescent="0.25">
      <c r="A5762" s="2017"/>
      <c r="B5762" s="2018"/>
      <c r="C5762" s="2018"/>
      <c r="D5762" s="2018"/>
      <c r="E5762" s="2018"/>
      <c r="F5762" s="2018"/>
      <c r="G5762" s="2018"/>
      <c r="H5762" s="2018"/>
      <c r="I5762" s="2018"/>
      <c r="J5762" s="2018"/>
      <c r="K5762" s="2018"/>
      <c r="L5762" s="2018"/>
      <c r="M5762" s="2018"/>
      <c r="N5762" s="2018"/>
      <c r="O5762" s="2018"/>
      <c r="P5762" s="2018"/>
      <c r="Q5762" s="2018"/>
      <c r="R5762" s="2018"/>
      <c r="S5762" s="2018"/>
      <c r="T5762" s="2018"/>
      <c r="U5762" s="2018"/>
      <c r="V5762" s="2018"/>
      <c r="W5762" s="2018"/>
      <c r="X5762" s="2018"/>
      <c r="Y5762" s="2018"/>
      <c r="Z5762" s="2021" t="s">
        <v>2559</v>
      </c>
      <c r="AA5762" s="2021"/>
      <c r="AB5762" s="1050">
        <f t="shared" si="84"/>
        <v>4.5</v>
      </c>
      <c r="AC5762" s="1050">
        <f t="shared" si="85"/>
        <v>1</v>
      </c>
      <c r="AD5762" s="1050">
        <f t="shared" si="87"/>
        <v>0.18</v>
      </c>
      <c r="AE5762" s="1050"/>
      <c r="AF5762" s="1052">
        <f t="shared" si="86"/>
        <v>3.32</v>
      </c>
    </row>
    <row r="5763" spans="1:32" ht="15.75" x14ac:dyDescent="0.25">
      <c r="A5763" s="2017"/>
      <c r="B5763" s="2018"/>
      <c r="C5763" s="2018"/>
      <c r="D5763" s="2018"/>
      <c r="E5763" s="2018"/>
      <c r="F5763" s="2018"/>
      <c r="G5763" s="2018"/>
      <c r="H5763" s="2018"/>
      <c r="I5763" s="2018"/>
      <c r="J5763" s="2018"/>
      <c r="K5763" s="2018"/>
      <c r="L5763" s="2018"/>
      <c r="M5763" s="2018"/>
      <c r="N5763" s="2018"/>
      <c r="O5763" s="2018"/>
      <c r="P5763" s="2018"/>
      <c r="Q5763" s="2018"/>
      <c r="R5763" s="2018"/>
      <c r="S5763" s="2018"/>
      <c r="T5763" s="2018"/>
      <c r="U5763" s="2018"/>
      <c r="V5763" s="2018"/>
      <c r="W5763" s="2018"/>
      <c r="X5763" s="2018"/>
      <c r="Y5763" s="2018"/>
      <c r="Z5763" s="2022"/>
      <c r="AA5763" s="2022"/>
      <c r="AB5763" s="1050"/>
      <c r="AC5763" s="1050"/>
      <c r="AD5763" s="1050"/>
      <c r="AE5763" s="1050"/>
      <c r="AF5763" s="1052"/>
    </row>
    <row r="5764" spans="1:32" ht="15.75" x14ac:dyDescent="0.25">
      <c r="A5764" s="2017"/>
      <c r="B5764" s="2018"/>
      <c r="C5764" s="2018"/>
      <c r="D5764" s="2018"/>
      <c r="E5764" s="2018"/>
      <c r="F5764" s="2018"/>
      <c r="G5764" s="2018"/>
      <c r="H5764" s="2018"/>
      <c r="I5764" s="2018"/>
      <c r="J5764" s="2018"/>
      <c r="K5764" s="2018"/>
      <c r="L5764" s="2018"/>
      <c r="M5764" s="2018"/>
      <c r="N5764" s="2018"/>
      <c r="O5764" s="2018"/>
      <c r="P5764" s="2018"/>
      <c r="Q5764" s="2018"/>
      <c r="R5764" s="2018"/>
      <c r="S5764" s="2018"/>
      <c r="T5764" s="2018"/>
      <c r="U5764" s="2018"/>
      <c r="V5764" s="2018"/>
      <c r="W5764" s="2018"/>
      <c r="X5764" s="2018"/>
      <c r="Y5764" s="2018"/>
      <c r="Z5764" s="2022"/>
      <c r="AA5764" s="2022"/>
      <c r="AB5764" s="1050"/>
      <c r="AC5764" s="1050"/>
      <c r="AD5764" s="1050"/>
      <c r="AE5764" s="1050"/>
      <c r="AF5764" s="1052"/>
    </row>
    <row r="5765" spans="1:32" ht="15.75" x14ac:dyDescent="0.25">
      <c r="A5765" s="2017"/>
      <c r="B5765" s="2018"/>
      <c r="C5765" s="2018"/>
      <c r="D5765" s="2018"/>
      <c r="E5765" s="2018"/>
      <c r="F5765" s="2018"/>
      <c r="G5765" s="2018"/>
      <c r="H5765" s="2018"/>
      <c r="I5765" s="2018"/>
      <c r="J5765" s="2018"/>
      <c r="K5765" s="2018"/>
      <c r="L5765" s="2018"/>
      <c r="M5765" s="2018"/>
      <c r="N5765" s="2018"/>
      <c r="O5765" s="2018"/>
      <c r="P5765" s="2018"/>
      <c r="Q5765" s="2018"/>
      <c r="R5765" s="2018"/>
      <c r="S5765" s="2018"/>
      <c r="T5765" s="2018"/>
      <c r="U5765" s="2018"/>
      <c r="V5765" s="2018"/>
      <c r="W5765" s="2018"/>
      <c r="X5765" s="2018"/>
      <c r="Y5765" s="2018"/>
      <c r="Z5765" s="2022"/>
      <c r="AA5765" s="2022"/>
      <c r="AB5765" s="1050"/>
      <c r="AC5765" s="1050"/>
      <c r="AD5765" s="1050"/>
      <c r="AE5765" s="1050"/>
      <c r="AF5765" s="1052"/>
    </row>
    <row r="5766" spans="1:32" ht="15.6" customHeight="1" x14ac:dyDescent="0.25">
      <c r="A5766" s="2017"/>
      <c r="B5766" s="2018"/>
      <c r="C5766" s="2018"/>
      <c r="D5766" s="2018"/>
      <c r="E5766" s="2018"/>
      <c r="F5766" s="2018"/>
      <c r="G5766" s="2018"/>
      <c r="H5766" s="2018"/>
      <c r="I5766" s="2018"/>
      <c r="J5766" s="2018"/>
      <c r="K5766" s="2018"/>
      <c r="L5766" s="2018"/>
      <c r="M5766" s="2018"/>
      <c r="N5766" s="2018"/>
      <c r="O5766" s="2018"/>
      <c r="P5766" s="2018"/>
      <c r="Q5766" s="2018"/>
      <c r="R5766" s="2018"/>
      <c r="S5766" s="2018"/>
      <c r="T5766" s="2018"/>
      <c r="U5766" s="2018"/>
      <c r="V5766" s="2018"/>
      <c r="W5766" s="2018"/>
      <c r="X5766" s="2018"/>
      <c r="Y5766" s="2018"/>
      <c r="Z5766" s="2022"/>
      <c r="AA5766" s="2022"/>
      <c r="AB5766" s="1050"/>
      <c r="AC5766" s="1050"/>
      <c r="AD5766" s="1050"/>
      <c r="AE5766" s="1050"/>
      <c r="AF5766" s="1052"/>
    </row>
    <row r="5767" spans="1:32" ht="15.75" x14ac:dyDescent="0.25">
      <c r="A5767" s="2017"/>
      <c r="B5767" s="2018"/>
      <c r="C5767" s="2018"/>
      <c r="D5767" s="2018"/>
      <c r="E5767" s="2018"/>
      <c r="F5767" s="2018"/>
      <c r="G5767" s="2018"/>
      <c r="H5767" s="2018"/>
      <c r="I5767" s="2018"/>
      <c r="J5767" s="2018"/>
      <c r="K5767" s="2018"/>
      <c r="L5767" s="2018"/>
      <c r="M5767" s="2018"/>
      <c r="N5767" s="2018"/>
      <c r="O5767" s="2018"/>
      <c r="P5767" s="2018"/>
      <c r="Q5767" s="2018"/>
      <c r="R5767" s="2018"/>
      <c r="S5767" s="2018"/>
      <c r="T5767" s="2018"/>
      <c r="U5767" s="2018"/>
      <c r="V5767" s="2018"/>
      <c r="W5767" s="2018"/>
      <c r="X5767" s="2018"/>
      <c r="Y5767" s="2018"/>
      <c r="Z5767" s="2022"/>
      <c r="AA5767" s="2022"/>
      <c r="AB5767" s="1050"/>
      <c r="AC5767" s="1050"/>
      <c r="AD5767" s="1050"/>
      <c r="AE5767" s="1050"/>
      <c r="AF5767" s="1052"/>
    </row>
    <row r="5768" spans="1:32" ht="15.75" x14ac:dyDescent="0.25">
      <c r="A5768" s="2017"/>
      <c r="B5768" s="2018"/>
      <c r="C5768" s="2018"/>
      <c r="D5768" s="2018"/>
      <c r="E5768" s="2018"/>
      <c r="F5768" s="2018"/>
      <c r="G5768" s="2018"/>
      <c r="H5768" s="2018"/>
      <c r="I5768" s="2018"/>
      <c r="J5768" s="2018"/>
      <c r="K5768" s="2018"/>
      <c r="L5768" s="2018"/>
      <c r="M5768" s="2018"/>
      <c r="N5768" s="2018"/>
      <c r="O5768" s="2018"/>
      <c r="P5768" s="2018"/>
      <c r="Q5768" s="2018"/>
      <c r="R5768" s="2018"/>
      <c r="S5768" s="2018"/>
      <c r="T5768" s="2018"/>
      <c r="U5768" s="2018"/>
      <c r="V5768" s="2018"/>
      <c r="W5768" s="2018"/>
      <c r="X5768" s="2018"/>
      <c r="Y5768" s="2018"/>
      <c r="Z5768" s="2022"/>
      <c r="AA5768" s="2022"/>
      <c r="AB5768" s="1050"/>
      <c r="AC5768" s="1050"/>
      <c r="AD5768" s="1050"/>
      <c r="AE5768" s="1050"/>
      <c r="AF5768" s="1052"/>
    </row>
    <row r="5769" spans="1:32" ht="15.75" x14ac:dyDescent="0.25">
      <c r="A5769" s="2017"/>
      <c r="B5769" s="2018"/>
      <c r="C5769" s="2018"/>
      <c r="D5769" s="2018"/>
      <c r="E5769" s="2018"/>
      <c r="F5769" s="2018"/>
      <c r="G5769" s="2018"/>
      <c r="H5769" s="2018"/>
      <c r="I5769" s="2018"/>
      <c r="J5769" s="2018"/>
      <c r="K5769" s="2018"/>
      <c r="L5769" s="2018"/>
      <c r="M5769" s="2018"/>
      <c r="N5769" s="2018"/>
      <c r="O5769" s="2018"/>
      <c r="P5769" s="2018"/>
      <c r="Q5769" s="2018"/>
      <c r="R5769" s="2018"/>
      <c r="S5769" s="2018"/>
      <c r="T5769" s="2018"/>
      <c r="U5769" s="2018"/>
      <c r="V5769" s="2018"/>
      <c r="W5769" s="2018"/>
      <c r="X5769" s="2018"/>
      <c r="Y5769" s="2018"/>
      <c r="Z5769" s="2022"/>
      <c r="AA5769" s="2022"/>
      <c r="AB5769" s="1050"/>
      <c r="AC5769" s="1050"/>
      <c r="AD5769" s="1050"/>
      <c r="AE5769" s="1050"/>
      <c r="AF5769" s="1052"/>
    </row>
    <row r="5770" spans="1:32" ht="15.75" x14ac:dyDescent="0.25">
      <c r="A5770" s="2017"/>
      <c r="B5770" s="2018"/>
      <c r="C5770" s="2018"/>
      <c r="D5770" s="2018"/>
      <c r="E5770" s="2018"/>
      <c r="F5770" s="2018"/>
      <c r="G5770" s="2018"/>
      <c r="H5770" s="2018"/>
      <c r="I5770" s="2018"/>
      <c r="J5770" s="2018"/>
      <c r="K5770" s="2018"/>
      <c r="L5770" s="2018"/>
      <c r="M5770" s="2018"/>
      <c r="N5770" s="2018"/>
      <c r="O5770" s="2018"/>
      <c r="P5770" s="2018"/>
      <c r="Q5770" s="2018"/>
      <c r="R5770" s="2018"/>
      <c r="S5770" s="2018"/>
      <c r="T5770" s="2018"/>
      <c r="U5770" s="2018"/>
      <c r="V5770" s="2018"/>
      <c r="W5770" s="2018"/>
      <c r="X5770" s="2018"/>
      <c r="Y5770" s="2018"/>
      <c r="Z5770" s="2022"/>
      <c r="AA5770" s="2022"/>
      <c r="AB5770" s="1050"/>
      <c r="AC5770" s="1050"/>
      <c r="AD5770" s="1050"/>
      <c r="AE5770" s="1050"/>
      <c r="AF5770" s="1052"/>
    </row>
    <row r="5771" spans="1:32" ht="15.75" x14ac:dyDescent="0.25">
      <c r="A5771" s="2017"/>
      <c r="B5771" s="2018"/>
      <c r="C5771" s="2018"/>
      <c r="D5771" s="2018"/>
      <c r="E5771" s="2018"/>
      <c r="F5771" s="2018"/>
      <c r="G5771" s="2018"/>
      <c r="H5771" s="2018"/>
      <c r="I5771" s="2018"/>
      <c r="J5771" s="2018"/>
      <c r="K5771" s="2018"/>
      <c r="L5771" s="2018"/>
      <c r="M5771" s="2018"/>
      <c r="N5771" s="2018"/>
      <c r="O5771" s="2018"/>
      <c r="P5771" s="2018"/>
      <c r="Q5771" s="2018"/>
      <c r="R5771" s="2018"/>
      <c r="S5771" s="2018"/>
      <c r="T5771" s="2018"/>
      <c r="U5771" s="2018"/>
      <c r="V5771" s="2018"/>
      <c r="W5771" s="2018"/>
      <c r="X5771" s="2018"/>
      <c r="Y5771" s="2018"/>
      <c r="Z5771" s="2022"/>
      <c r="AA5771" s="2022"/>
      <c r="AB5771" s="1050"/>
      <c r="AC5771" s="1050"/>
      <c r="AD5771" s="1050"/>
      <c r="AE5771" s="1050"/>
      <c r="AF5771" s="1052"/>
    </row>
    <row r="5772" spans="1:32" ht="15.75" x14ac:dyDescent="0.25">
      <c r="A5772" s="2017"/>
      <c r="B5772" s="2018"/>
      <c r="C5772" s="2018"/>
      <c r="D5772" s="2018"/>
      <c r="E5772" s="2018"/>
      <c r="F5772" s="2018"/>
      <c r="G5772" s="2018"/>
      <c r="H5772" s="2018"/>
      <c r="I5772" s="2018"/>
      <c r="J5772" s="2018"/>
      <c r="K5772" s="2018"/>
      <c r="L5772" s="2018"/>
      <c r="M5772" s="2018"/>
      <c r="N5772" s="2018"/>
      <c r="O5772" s="2018"/>
      <c r="P5772" s="2018"/>
      <c r="Q5772" s="2018"/>
      <c r="R5772" s="2018"/>
      <c r="S5772" s="2018"/>
      <c r="T5772" s="2018"/>
      <c r="U5772" s="2018"/>
      <c r="V5772" s="2018"/>
      <c r="W5772" s="2018"/>
      <c r="X5772" s="2018"/>
      <c r="Y5772" s="2018"/>
      <c r="Z5772" s="2023"/>
      <c r="AA5772" s="2023"/>
      <c r="AB5772" s="1050"/>
      <c r="AC5772" s="1050"/>
      <c r="AD5772" s="1050"/>
      <c r="AE5772" s="1050"/>
      <c r="AF5772" s="1052"/>
    </row>
    <row r="5773" spans="1:32" ht="15.75" x14ac:dyDescent="0.25">
      <c r="A5773" s="2017"/>
      <c r="B5773" s="2018"/>
      <c r="C5773" s="2018"/>
      <c r="D5773" s="2018"/>
      <c r="E5773" s="2018"/>
      <c r="F5773" s="2018"/>
      <c r="G5773" s="2018"/>
      <c r="H5773" s="2018"/>
      <c r="I5773" s="2018"/>
      <c r="J5773" s="2018"/>
      <c r="K5773" s="2018"/>
      <c r="L5773" s="2018"/>
      <c r="M5773" s="2018"/>
      <c r="N5773" s="2018"/>
      <c r="O5773" s="2018"/>
      <c r="P5773" s="2018"/>
      <c r="Q5773" s="2018"/>
      <c r="R5773" s="2018"/>
      <c r="S5773" s="2018"/>
      <c r="T5773" s="2018"/>
      <c r="U5773" s="2018"/>
      <c r="V5773" s="2018"/>
      <c r="W5773" s="2018"/>
      <c r="X5773" s="2018"/>
      <c r="Y5773" s="2018"/>
      <c r="Z5773" s="2023"/>
      <c r="AA5773" s="2023"/>
      <c r="AB5773" s="1050"/>
      <c r="AC5773" s="1050"/>
      <c r="AD5773" s="1050"/>
      <c r="AE5773" s="1050"/>
      <c r="AF5773" s="1052"/>
    </row>
    <row r="5774" spans="1:32" ht="15.75" x14ac:dyDescent="0.25">
      <c r="A5774" s="2017"/>
      <c r="B5774" s="2018"/>
      <c r="C5774" s="2018"/>
      <c r="D5774" s="2018"/>
      <c r="E5774" s="2018"/>
      <c r="F5774" s="2018"/>
      <c r="G5774" s="2018"/>
      <c r="H5774" s="2018"/>
      <c r="I5774" s="2018"/>
      <c r="J5774" s="2018"/>
      <c r="K5774" s="2018"/>
      <c r="L5774" s="2018"/>
      <c r="M5774" s="2018"/>
      <c r="N5774" s="2018"/>
      <c r="O5774" s="2018"/>
      <c r="P5774" s="2018"/>
      <c r="Q5774" s="2018"/>
      <c r="R5774" s="2018"/>
      <c r="S5774" s="2018"/>
      <c r="T5774" s="2018"/>
      <c r="U5774" s="2018"/>
      <c r="V5774" s="2018"/>
      <c r="W5774" s="2018"/>
      <c r="X5774" s="2018"/>
      <c r="Y5774" s="2018"/>
      <c r="Z5774" s="2023"/>
      <c r="AA5774" s="2023"/>
      <c r="AB5774" s="1050"/>
      <c r="AC5774" s="1050"/>
      <c r="AD5774" s="1050"/>
      <c r="AE5774" s="1050"/>
      <c r="AF5774" s="1052"/>
    </row>
    <row r="5775" spans="1:32" ht="15.75" x14ac:dyDescent="0.25">
      <c r="A5775" s="2017"/>
      <c r="B5775" s="2018"/>
      <c r="C5775" s="2018"/>
      <c r="D5775" s="2018"/>
      <c r="E5775" s="2018"/>
      <c r="F5775" s="2018"/>
      <c r="G5775" s="2018"/>
      <c r="H5775" s="2018"/>
      <c r="I5775" s="2018"/>
      <c r="J5775" s="2018"/>
      <c r="K5775" s="2018"/>
      <c r="L5775" s="2018"/>
      <c r="M5775" s="2018"/>
      <c r="N5775" s="2018"/>
      <c r="O5775" s="2018"/>
      <c r="P5775" s="2018"/>
      <c r="Q5775" s="2018"/>
      <c r="R5775" s="2018"/>
      <c r="S5775" s="2018"/>
      <c r="T5775" s="2018"/>
      <c r="U5775" s="2018"/>
      <c r="V5775" s="2018"/>
      <c r="W5775" s="2018"/>
      <c r="X5775" s="2018"/>
      <c r="Y5775" s="2018"/>
      <c r="Z5775" s="2023"/>
      <c r="AA5775" s="2023"/>
      <c r="AB5775" s="1050"/>
      <c r="AC5775" s="1050"/>
      <c r="AD5775" s="1050"/>
      <c r="AE5775" s="1050"/>
      <c r="AF5775" s="1052"/>
    </row>
    <row r="5776" spans="1:32" ht="15.75" x14ac:dyDescent="0.25">
      <c r="A5776" s="2017"/>
      <c r="B5776" s="2018"/>
      <c r="C5776" s="2018"/>
      <c r="D5776" s="2018"/>
      <c r="E5776" s="2018"/>
      <c r="F5776" s="2018"/>
      <c r="G5776" s="2018"/>
      <c r="H5776" s="2018"/>
      <c r="I5776" s="2018"/>
      <c r="J5776" s="2018"/>
      <c r="K5776" s="2018"/>
      <c r="L5776" s="2018"/>
      <c r="M5776" s="2018"/>
      <c r="N5776" s="2018"/>
      <c r="O5776" s="2018"/>
      <c r="P5776" s="2018"/>
      <c r="Q5776" s="2018"/>
      <c r="R5776" s="2018"/>
      <c r="S5776" s="2018"/>
      <c r="T5776" s="2018"/>
      <c r="U5776" s="2018"/>
      <c r="V5776" s="2018"/>
      <c r="W5776" s="2018"/>
      <c r="X5776" s="2018"/>
      <c r="Y5776" s="2018"/>
      <c r="Z5776" s="2023"/>
      <c r="AA5776" s="2023"/>
      <c r="AB5776" s="1050"/>
      <c r="AC5776" s="1050"/>
      <c r="AD5776" s="1050"/>
      <c r="AE5776" s="1050"/>
      <c r="AF5776" s="1052"/>
    </row>
    <row r="5777" spans="1:32" ht="15.75" x14ac:dyDescent="0.25">
      <c r="A5777" s="2017"/>
      <c r="B5777" s="2018"/>
      <c r="C5777" s="2018"/>
      <c r="D5777" s="2018"/>
      <c r="E5777" s="2018"/>
      <c r="F5777" s="2018"/>
      <c r="G5777" s="2018"/>
      <c r="H5777" s="2018"/>
      <c r="I5777" s="2018"/>
      <c r="J5777" s="2018"/>
      <c r="K5777" s="2018"/>
      <c r="L5777" s="2018"/>
      <c r="M5777" s="2018"/>
      <c r="N5777" s="2018"/>
      <c r="O5777" s="2018"/>
      <c r="P5777" s="2018"/>
      <c r="Q5777" s="2018"/>
      <c r="R5777" s="2018"/>
      <c r="S5777" s="2018"/>
      <c r="T5777" s="2018"/>
      <c r="U5777" s="2018"/>
      <c r="V5777" s="2018"/>
      <c r="W5777" s="2018"/>
      <c r="X5777" s="2018"/>
      <c r="Y5777" s="2018"/>
      <c r="Z5777" s="2023"/>
      <c r="AA5777" s="2023"/>
      <c r="AB5777" s="1050"/>
      <c r="AC5777" s="1050"/>
      <c r="AD5777" s="1050"/>
      <c r="AE5777" s="1050"/>
      <c r="AF5777" s="1052"/>
    </row>
    <row r="5778" spans="1:32" ht="16.5" thickBot="1" x14ac:dyDescent="0.3">
      <c r="A5778" s="2019"/>
      <c r="B5778" s="2020"/>
      <c r="C5778" s="2020"/>
      <c r="D5778" s="2020"/>
      <c r="E5778" s="2020"/>
      <c r="F5778" s="2020"/>
      <c r="G5778" s="2020"/>
      <c r="H5778" s="2020"/>
      <c r="I5778" s="2020"/>
      <c r="J5778" s="2020"/>
      <c r="K5778" s="2020"/>
      <c r="L5778" s="2020"/>
      <c r="M5778" s="2020"/>
      <c r="N5778" s="2020"/>
      <c r="O5778" s="2020"/>
      <c r="P5778" s="2020"/>
      <c r="Q5778" s="2020"/>
      <c r="R5778" s="2020"/>
      <c r="S5778" s="2020"/>
      <c r="T5778" s="2020"/>
      <c r="U5778" s="2020"/>
      <c r="V5778" s="2020"/>
      <c r="W5778" s="2020"/>
      <c r="X5778" s="2020"/>
      <c r="Y5778" s="2020"/>
      <c r="Z5778" s="2024"/>
      <c r="AA5778" s="2024"/>
      <c r="AB5778" s="1057"/>
      <c r="AC5778" s="1057"/>
      <c r="AD5778" s="1057"/>
      <c r="AE5778" s="1057"/>
      <c r="AF5778" s="1058"/>
    </row>
    <row r="5779" spans="1:32" ht="15.75" x14ac:dyDescent="0.25">
      <c r="A5779" s="2009" t="s">
        <v>1855</v>
      </c>
      <c r="B5779" s="2010"/>
      <c r="C5779" s="2010"/>
      <c r="D5779" s="2010"/>
      <c r="E5779" s="2010"/>
      <c r="F5779" s="2010"/>
      <c r="G5779" s="2010"/>
      <c r="H5779" s="2010"/>
      <c r="I5779" s="2010"/>
      <c r="J5779" s="2010"/>
      <c r="K5779" s="2010"/>
      <c r="L5779" s="2010"/>
      <c r="M5779" s="2010"/>
      <c r="N5779" s="2010"/>
      <c r="O5779" s="2010"/>
      <c r="P5779" s="2010"/>
      <c r="Q5779" s="2010"/>
      <c r="R5779" s="2010"/>
      <c r="S5779" s="2010"/>
      <c r="T5779" s="2010"/>
      <c r="U5779" s="2010"/>
      <c r="V5779" s="2010"/>
      <c r="W5779" s="2010"/>
      <c r="X5779" s="2010"/>
      <c r="Y5779" s="2010"/>
      <c r="Z5779" s="2013" t="s">
        <v>1850</v>
      </c>
      <c r="AA5779" s="2013"/>
      <c r="AB5779" s="2013"/>
      <c r="AC5779" s="2013"/>
      <c r="AD5779" s="2013"/>
      <c r="AE5779" s="2013"/>
      <c r="AF5779" s="1059">
        <f>SUM(AF5755:AF5778)</f>
        <v>46.71</v>
      </c>
    </row>
    <row r="5780" spans="1:32" ht="15.75" x14ac:dyDescent="0.25">
      <c r="A5780" s="2011"/>
      <c r="B5780" s="2012"/>
      <c r="C5780" s="2012"/>
      <c r="D5780" s="2012"/>
      <c r="E5780" s="2012"/>
      <c r="F5780" s="2012"/>
      <c r="G5780" s="2012"/>
      <c r="H5780" s="2012"/>
      <c r="I5780" s="2012"/>
      <c r="J5780" s="2012"/>
      <c r="K5780" s="2012"/>
      <c r="L5780" s="2012"/>
      <c r="M5780" s="2012"/>
      <c r="N5780" s="2012"/>
      <c r="O5780" s="2012"/>
      <c r="P5780" s="2012"/>
      <c r="Q5780" s="2012"/>
      <c r="R5780" s="2012"/>
      <c r="S5780" s="2012"/>
      <c r="T5780" s="2012"/>
      <c r="U5780" s="2012"/>
      <c r="V5780" s="2012"/>
      <c r="W5780" s="2012"/>
      <c r="X5780" s="2012"/>
      <c r="Y5780" s="2012"/>
      <c r="Z5780" s="2014" t="s">
        <v>1851</v>
      </c>
      <c r="AA5780" s="2014"/>
      <c r="AB5780" s="2014"/>
      <c r="AC5780" s="2014"/>
      <c r="AD5780" s="2014"/>
      <c r="AE5780" s="2014"/>
      <c r="AF5780" s="1060">
        <v>0</v>
      </c>
    </row>
    <row r="5781" spans="1:32" ht="15.75" x14ac:dyDescent="0.25">
      <c r="A5781" s="2011"/>
      <c r="B5781" s="2012"/>
      <c r="C5781" s="2012"/>
      <c r="D5781" s="2012"/>
      <c r="E5781" s="2012"/>
      <c r="F5781" s="2012"/>
      <c r="G5781" s="2012"/>
      <c r="H5781" s="2012"/>
      <c r="I5781" s="2012"/>
      <c r="J5781" s="2012"/>
      <c r="K5781" s="2012"/>
      <c r="L5781" s="2012"/>
      <c r="M5781" s="2012"/>
      <c r="N5781" s="2012"/>
      <c r="O5781" s="2012"/>
      <c r="P5781" s="2012"/>
      <c r="Q5781" s="2012"/>
      <c r="R5781" s="2012"/>
      <c r="S5781" s="2012"/>
      <c r="T5781" s="2012"/>
      <c r="U5781" s="2012"/>
      <c r="V5781" s="2012"/>
      <c r="W5781" s="2012"/>
      <c r="X5781" s="2012"/>
      <c r="Y5781" s="2012"/>
      <c r="Z5781" s="2015" t="s">
        <v>1833</v>
      </c>
      <c r="AA5781" s="2015"/>
      <c r="AB5781" s="2015"/>
      <c r="AC5781" s="2015"/>
      <c r="AD5781" s="2015"/>
      <c r="AE5781" s="2015"/>
      <c r="AF5781" s="1061">
        <f>SUM(AF5779:AF5780)</f>
        <v>46.71</v>
      </c>
    </row>
    <row r="5782" spans="1:32" x14ac:dyDescent="0.2">
      <c r="A5782" s="2012" t="s">
        <v>1859</v>
      </c>
      <c r="B5782" s="2012"/>
      <c r="C5782" s="2012"/>
      <c r="D5782" s="2012"/>
      <c r="E5782" s="2012"/>
      <c r="F5782" s="2012"/>
      <c r="G5782" s="2012"/>
      <c r="H5782" s="2012"/>
      <c r="I5782" s="2012"/>
      <c r="J5782" s="2012"/>
      <c r="K5782" s="2012"/>
      <c r="L5782" s="2012"/>
      <c r="M5782" s="2012"/>
      <c r="N5782" s="2012"/>
      <c r="O5782" s="2012"/>
      <c r="P5782" s="2012"/>
      <c r="Q5782" s="2012"/>
      <c r="R5782" s="2012"/>
      <c r="S5782" s="2012"/>
      <c r="T5782" s="2016" t="s">
        <v>1840</v>
      </c>
      <c r="U5782" s="2016"/>
      <c r="V5782" s="2016"/>
      <c r="W5782" s="2016"/>
      <c r="X5782" s="2016"/>
      <c r="Y5782" s="2016"/>
      <c r="Z5782" s="2016"/>
      <c r="AA5782" s="2016"/>
      <c r="AB5782" s="2012" t="s">
        <v>1852</v>
      </c>
      <c r="AC5782" s="2012"/>
      <c r="AD5782" s="2012"/>
      <c r="AE5782" s="2012"/>
      <c r="AF5782" s="2012"/>
    </row>
    <row r="5783" spans="1:32" x14ac:dyDescent="0.2">
      <c r="A5783" s="2012"/>
      <c r="B5783" s="2012"/>
      <c r="C5783" s="2012"/>
      <c r="D5783" s="2012"/>
      <c r="E5783" s="2012"/>
      <c r="F5783" s="2012"/>
      <c r="G5783" s="2012"/>
      <c r="H5783" s="2012"/>
      <c r="I5783" s="2012"/>
      <c r="J5783" s="2012"/>
      <c r="K5783" s="2012"/>
      <c r="L5783" s="2012"/>
      <c r="M5783" s="2012"/>
      <c r="N5783" s="2012"/>
      <c r="O5783" s="2012"/>
      <c r="P5783" s="2012"/>
      <c r="Q5783" s="2012"/>
      <c r="R5783" s="2012"/>
      <c r="S5783" s="2012"/>
      <c r="T5783" s="2016"/>
      <c r="U5783" s="2016"/>
      <c r="V5783" s="2016"/>
      <c r="W5783" s="2016"/>
      <c r="X5783" s="2016"/>
      <c r="Y5783" s="2016"/>
      <c r="Z5783" s="2016"/>
      <c r="AA5783" s="2016"/>
      <c r="AB5783" s="2012"/>
      <c r="AC5783" s="2012"/>
      <c r="AD5783" s="2012"/>
      <c r="AE5783" s="2012"/>
      <c r="AF5783" s="2012"/>
    </row>
    <row r="5784" spans="1:32" ht="13.5" thickBot="1" x14ac:dyDescent="0.25"/>
    <row r="5785" spans="1:32" ht="21.6" customHeight="1" x14ac:dyDescent="0.2">
      <c r="A5785" s="2025" t="s">
        <v>1854</v>
      </c>
      <c r="B5785" s="2026"/>
      <c r="C5785" s="2026"/>
      <c r="D5785" s="2026"/>
      <c r="E5785" s="2026"/>
      <c r="F5785" s="2026"/>
      <c r="G5785" s="2026"/>
      <c r="H5785" s="2026"/>
      <c r="I5785" s="2026"/>
      <c r="J5785" s="2026"/>
      <c r="K5785" s="2026"/>
      <c r="L5785" s="2026"/>
      <c r="M5785" s="2026"/>
      <c r="N5785" s="2026"/>
      <c r="O5785" s="2026"/>
      <c r="P5785" s="2026"/>
      <c r="Q5785" s="2026"/>
      <c r="R5785" s="2026"/>
      <c r="S5785" s="2026"/>
      <c r="T5785" s="2026"/>
      <c r="U5785" s="2026"/>
      <c r="V5785" s="2026"/>
      <c r="W5785" s="2026"/>
      <c r="X5785" s="2026"/>
      <c r="Y5785" s="2026"/>
      <c r="Z5785" s="2026"/>
      <c r="AA5785" s="2026"/>
      <c r="AB5785" s="2026"/>
      <c r="AC5785" s="2026"/>
      <c r="AD5785" s="2026"/>
      <c r="AE5785" s="1041" t="s">
        <v>1834</v>
      </c>
      <c r="AF5785" s="1042" t="s">
        <v>1835</v>
      </c>
    </row>
    <row r="5786" spans="1:32" ht="22.15" customHeight="1" thickBot="1" x14ac:dyDescent="0.25">
      <c r="A5786" s="2027"/>
      <c r="B5786" s="2028"/>
      <c r="C5786" s="2028"/>
      <c r="D5786" s="2028"/>
      <c r="E5786" s="2028"/>
      <c r="F5786" s="2028"/>
      <c r="G5786" s="2028"/>
      <c r="H5786" s="2028"/>
      <c r="I5786" s="2028"/>
      <c r="J5786" s="2028"/>
      <c r="K5786" s="2028"/>
      <c r="L5786" s="2028"/>
      <c r="M5786" s="2028"/>
      <c r="N5786" s="2028"/>
      <c r="O5786" s="2028"/>
      <c r="P5786" s="2028"/>
      <c r="Q5786" s="2028"/>
      <c r="R5786" s="2028"/>
      <c r="S5786" s="2028"/>
      <c r="T5786" s="2028"/>
      <c r="U5786" s="2028"/>
      <c r="V5786" s="2028"/>
      <c r="W5786" s="2028"/>
      <c r="X5786" s="2028"/>
      <c r="Y5786" s="2028"/>
      <c r="Z5786" s="2028"/>
      <c r="AA5786" s="2028"/>
      <c r="AB5786" s="2028"/>
      <c r="AC5786" s="2028"/>
      <c r="AD5786" s="2028"/>
      <c r="AE5786" s="1041" t="s">
        <v>1836</v>
      </c>
      <c r="AF5786" s="1044">
        <v>1</v>
      </c>
    </row>
    <row r="5787" spans="1:32" ht="15.75" x14ac:dyDescent="0.2">
      <c r="A5787" s="2029"/>
      <c r="B5787" s="2030"/>
      <c r="C5787" s="2030"/>
      <c r="D5787" s="2031"/>
      <c r="E5787" s="2025" t="str">
        <f>'01'!$A$12</f>
        <v>"CONSTRUCCION SISTEMA DE ACUEDUCTO FASE II DEL MUNICIPIO DE TESALIA DPTO DEL HUILA"</v>
      </c>
      <c r="F5787" s="2026"/>
      <c r="G5787" s="2026"/>
      <c r="H5787" s="2026"/>
      <c r="I5787" s="2026"/>
      <c r="J5787" s="2026"/>
      <c r="K5787" s="2026"/>
      <c r="L5787" s="2026"/>
      <c r="M5787" s="2026"/>
      <c r="N5787" s="2026"/>
      <c r="O5787" s="2026"/>
      <c r="P5787" s="2026"/>
      <c r="Q5787" s="2026"/>
      <c r="R5787" s="2026"/>
      <c r="S5787" s="2026"/>
      <c r="T5787" s="2026"/>
      <c r="U5787" s="2026"/>
      <c r="V5787" s="2026"/>
      <c r="W5787" s="2026"/>
      <c r="X5787" s="2026"/>
      <c r="Y5787" s="2026"/>
      <c r="Z5787" s="2026"/>
      <c r="AA5787" s="2026"/>
      <c r="AB5787" s="2026"/>
      <c r="AC5787" s="2026"/>
      <c r="AD5787" s="2035"/>
      <c r="AE5787" s="1041" t="s">
        <v>847</v>
      </c>
      <c r="AF5787" s="1045">
        <f>'01'!$M$13</f>
        <v>0</v>
      </c>
    </row>
    <row r="5788" spans="1:32" ht="16.5" thickBot="1" x14ac:dyDescent="0.25">
      <c r="A5788" s="2032"/>
      <c r="B5788" s="2033"/>
      <c r="C5788" s="2033"/>
      <c r="D5788" s="2034"/>
      <c r="E5788" s="2027"/>
      <c r="F5788" s="2028"/>
      <c r="G5788" s="2028"/>
      <c r="H5788" s="2028"/>
      <c r="I5788" s="2028"/>
      <c r="J5788" s="2028"/>
      <c r="K5788" s="2028"/>
      <c r="L5788" s="2028"/>
      <c r="M5788" s="2028"/>
      <c r="N5788" s="2028"/>
      <c r="O5788" s="2028"/>
      <c r="P5788" s="2028"/>
      <c r="Q5788" s="2028"/>
      <c r="R5788" s="2028"/>
      <c r="S5788" s="2028"/>
      <c r="T5788" s="2028"/>
      <c r="U5788" s="2028"/>
      <c r="V5788" s="2028"/>
      <c r="W5788" s="2028"/>
      <c r="X5788" s="2028"/>
      <c r="Y5788" s="2028"/>
      <c r="Z5788" s="2028"/>
      <c r="AA5788" s="2028"/>
      <c r="AB5788" s="2028"/>
      <c r="AC5788" s="2028"/>
      <c r="AD5788" s="2036"/>
      <c r="AE5788" s="1041" t="s">
        <v>1837</v>
      </c>
      <c r="AF5788" s="1042" t="s">
        <v>1838</v>
      </c>
    </row>
    <row r="5789" spans="1:32" ht="15.75" x14ac:dyDescent="0.25">
      <c r="A5789" s="2037" t="s">
        <v>1860</v>
      </c>
      <c r="B5789" s="2038"/>
      <c r="C5789" s="2038"/>
      <c r="D5789" s="2038"/>
      <c r="E5789" s="2038"/>
      <c r="F5789" s="2038"/>
      <c r="G5789" s="2038"/>
      <c r="H5789" s="2038"/>
      <c r="I5789" s="2038"/>
      <c r="J5789" s="2038"/>
      <c r="K5789" s="2038"/>
      <c r="L5789" s="2038"/>
      <c r="M5789" s="2038"/>
      <c r="N5789" s="2038"/>
      <c r="O5789" s="2038"/>
      <c r="P5789" s="2038"/>
      <c r="Q5789" s="2038"/>
      <c r="R5789" s="2038"/>
      <c r="S5789" s="2038"/>
      <c r="T5789" s="2038"/>
      <c r="U5789" s="2038"/>
      <c r="V5789" s="2038"/>
      <c r="W5789" s="2038"/>
      <c r="X5789" s="2038"/>
      <c r="Y5789" s="2038"/>
      <c r="Z5789" s="2038"/>
      <c r="AA5789" s="2038"/>
      <c r="AB5789" s="2038"/>
      <c r="AC5789" s="2038"/>
      <c r="AD5789" s="2038"/>
      <c r="AE5789" s="2039" t="s">
        <v>1839</v>
      </c>
      <c r="AF5789" s="2040"/>
    </row>
    <row r="5790" spans="1:32" ht="15.75" x14ac:dyDescent="0.25">
      <c r="A5790" s="2041" t="s">
        <v>1840</v>
      </c>
      <c r="B5790" s="2042"/>
      <c r="C5790" s="2042"/>
      <c r="D5790" s="2042"/>
      <c r="E5790" s="2042"/>
      <c r="F5790" s="2042"/>
      <c r="G5790" s="2042"/>
      <c r="H5790" s="2042"/>
      <c r="I5790" s="2042"/>
      <c r="J5790" s="2042"/>
      <c r="K5790" s="2042"/>
      <c r="L5790" s="2042"/>
      <c r="M5790" s="2042"/>
      <c r="N5790" s="2042"/>
      <c r="O5790" s="2042"/>
      <c r="P5790" s="2042"/>
      <c r="Q5790" s="2042"/>
      <c r="R5790" s="2042"/>
      <c r="S5790" s="2042"/>
      <c r="T5790" s="2042"/>
      <c r="U5790" s="2042"/>
      <c r="V5790" s="2042"/>
      <c r="W5790" s="2042"/>
      <c r="X5790" s="2042"/>
      <c r="Y5790" s="2042"/>
      <c r="Z5790" s="2042"/>
      <c r="AA5790" s="2042"/>
      <c r="AB5790" s="2042"/>
      <c r="AC5790" s="2042"/>
      <c r="AD5790" s="2043"/>
      <c r="AE5790" s="2014" t="s">
        <v>1841</v>
      </c>
      <c r="AF5790" s="2044"/>
    </row>
    <row r="5791" spans="1:32" ht="15.75" x14ac:dyDescent="0.25">
      <c r="A5791" s="2045" t="s">
        <v>1853</v>
      </c>
      <c r="B5791" s="2046"/>
      <c r="C5791" s="2046"/>
      <c r="D5791" s="2046"/>
      <c r="E5791" s="2046"/>
      <c r="F5791" s="2046"/>
      <c r="G5791" s="2046"/>
      <c r="H5791" s="2046"/>
      <c r="I5791" s="2046"/>
      <c r="J5791" s="2046"/>
      <c r="K5791" s="2046"/>
      <c r="L5791" s="2046"/>
      <c r="M5791" s="2046"/>
      <c r="N5791" s="2046"/>
      <c r="O5791" s="2046"/>
      <c r="P5791" s="2046"/>
      <c r="Q5791" s="2046"/>
      <c r="R5791" s="2046"/>
      <c r="S5791" s="2046"/>
      <c r="T5791" s="2046"/>
      <c r="U5791" s="2046"/>
      <c r="V5791" s="2046"/>
      <c r="W5791" s="2046"/>
      <c r="X5791" s="2046"/>
      <c r="Y5791" s="2046"/>
      <c r="Z5791" s="2046"/>
      <c r="AA5791" s="2046"/>
      <c r="AB5791" s="2046"/>
      <c r="AC5791" s="2046"/>
      <c r="AD5791" s="2046"/>
      <c r="AE5791" s="2047">
        <f>'01'!$M$13</f>
        <v>0</v>
      </c>
      <c r="AF5791" s="2044"/>
    </row>
    <row r="5792" spans="1:32" x14ac:dyDescent="0.2">
      <c r="A5792" s="1046"/>
      <c r="B5792" s="1047"/>
      <c r="C5792" s="1047"/>
      <c r="D5792" s="1047"/>
      <c r="E5792" s="1047"/>
      <c r="F5792" s="1047"/>
      <c r="G5792" s="1047"/>
      <c r="H5792" s="1047"/>
      <c r="I5792" s="1047"/>
      <c r="J5792" s="1047"/>
      <c r="K5792" s="1047"/>
      <c r="L5792" s="1047"/>
      <c r="M5792" s="1047"/>
      <c r="N5792" s="1047"/>
      <c r="O5792" s="1047"/>
      <c r="P5792" s="1047"/>
      <c r="Q5792" s="1047"/>
      <c r="R5792" s="1047"/>
      <c r="S5792" s="1047"/>
      <c r="T5792" s="1047"/>
      <c r="U5792" s="1047"/>
      <c r="V5792" s="1047"/>
      <c r="W5792" s="1047"/>
      <c r="X5792" s="1047"/>
      <c r="Y5792" s="1047"/>
      <c r="Z5792" s="1047"/>
      <c r="AA5792" s="1047"/>
      <c r="AB5792" s="1047"/>
      <c r="AC5792" s="1047"/>
      <c r="AD5792" s="1047"/>
      <c r="AE5792" s="1047"/>
      <c r="AF5792" s="1048"/>
    </row>
    <row r="5793" spans="1:33" ht="15.6" customHeight="1" x14ac:dyDescent="0.2">
      <c r="A5793" s="2048" t="s">
        <v>1842</v>
      </c>
      <c r="B5793" s="2049"/>
      <c r="C5793" s="2049"/>
      <c r="D5793" s="2049"/>
      <c r="E5793" s="2049"/>
      <c r="F5793" s="2050" t="str">
        <f>+'01'!$H$230</f>
        <v>I - TUBERÍA DE INTERCONEXIÓN</v>
      </c>
      <c r="G5793" s="2049"/>
      <c r="H5793" s="2049"/>
      <c r="I5793" s="2049"/>
      <c r="J5793" s="2049"/>
      <c r="K5793" s="2049"/>
      <c r="L5793" s="2049"/>
      <c r="M5793" s="2049"/>
      <c r="N5793" s="2049"/>
      <c r="O5793" s="2049"/>
      <c r="P5793" s="2049"/>
      <c r="Q5793" s="2049"/>
      <c r="R5793" s="2049"/>
      <c r="S5793" s="2049"/>
      <c r="T5793" s="2049"/>
      <c r="U5793" s="2049"/>
      <c r="V5793" s="2049"/>
      <c r="W5793" s="2049"/>
      <c r="X5793" s="2049"/>
      <c r="Y5793" s="2051"/>
      <c r="Z5793" s="2052" t="s">
        <v>1843</v>
      </c>
      <c r="AA5793" s="2053"/>
      <c r="AB5793" s="2058" t="s">
        <v>1844</v>
      </c>
      <c r="AC5793" s="2059"/>
      <c r="AD5793" s="2060"/>
      <c r="AE5793" s="2064" t="s">
        <v>2184</v>
      </c>
      <c r="AF5793" s="2067" t="s">
        <v>1846</v>
      </c>
    </row>
    <row r="5794" spans="1:33" x14ac:dyDescent="0.2">
      <c r="A5794" s="2070" t="str">
        <f>+'01'!A240</f>
        <v>I-04-01</v>
      </c>
      <c r="B5794" s="2071"/>
      <c r="C5794" s="2072"/>
      <c r="D5794" s="2076" t="str">
        <f>VLOOKUP(A5794,'01'!$A$12:$N$299,3,FALSE)</f>
        <v>RETIRO DE MATERIAL SOBRANTE HASTA BOTADERO AUTORIZADO (INCLUYE FACTOR DE EXPANSIÓN)</v>
      </c>
      <c r="E5794" s="2077"/>
      <c r="F5794" s="2077"/>
      <c r="G5794" s="2077"/>
      <c r="H5794" s="2077"/>
      <c r="I5794" s="2077"/>
      <c r="J5794" s="2077"/>
      <c r="K5794" s="2077"/>
      <c r="L5794" s="2077"/>
      <c r="M5794" s="2077"/>
      <c r="N5794" s="2077"/>
      <c r="O5794" s="2077"/>
      <c r="P5794" s="2077"/>
      <c r="Q5794" s="2077"/>
      <c r="R5794" s="2077"/>
      <c r="S5794" s="2078"/>
      <c r="T5794" s="2082" t="s">
        <v>124</v>
      </c>
      <c r="U5794" s="2083"/>
      <c r="V5794" s="2083"/>
      <c r="W5794" s="2083"/>
      <c r="X5794" s="2052" t="str">
        <f>VLOOKUP(A5794,'01'!$A$12:$N$299,9,FALSE)</f>
        <v>M3-KM</v>
      </c>
      <c r="Y5794" s="2053"/>
      <c r="Z5794" s="2054"/>
      <c r="AA5794" s="2055"/>
      <c r="AB5794" s="2061"/>
      <c r="AC5794" s="2062"/>
      <c r="AD5794" s="2063"/>
      <c r="AE5794" s="2065"/>
      <c r="AF5794" s="2068"/>
    </row>
    <row r="5795" spans="1:33" ht="31.5" x14ac:dyDescent="0.25">
      <c r="A5795" s="2073"/>
      <c r="B5795" s="2074"/>
      <c r="C5795" s="2075"/>
      <c r="D5795" s="2079"/>
      <c r="E5795" s="2080"/>
      <c r="F5795" s="2080"/>
      <c r="G5795" s="2080"/>
      <c r="H5795" s="2080"/>
      <c r="I5795" s="2080"/>
      <c r="J5795" s="2080"/>
      <c r="K5795" s="2080"/>
      <c r="L5795" s="2080"/>
      <c r="M5795" s="2080"/>
      <c r="N5795" s="2080"/>
      <c r="O5795" s="2080"/>
      <c r="P5795" s="2080"/>
      <c r="Q5795" s="2080"/>
      <c r="R5795" s="2080"/>
      <c r="S5795" s="2081"/>
      <c r="T5795" s="2084"/>
      <c r="U5795" s="2085"/>
      <c r="V5795" s="2085"/>
      <c r="W5795" s="2085"/>
      <c r="X5795" s="2056"/>
      <c r="Y5795" s="2057"/>
      <c r="Z5795" s="2056"/>
      <c r="AA5795" s="2057"/>
      <c r="AB5795" s="1122" t="s">
        <v>2180</v>
      </c>
      <c r="AC5795" s="1122" t="s">
        <v>2181</v>
      </c>
      <c r="AD5795" s="1122" t="s">
        <v>1869</v>
      </c>
      <c r="AE5795" s="2066"/>
      <c r="AF5795" s="2069"/>
    </row>
    <row r="5796" spans="1:33" ht="15.75" x14ac:dyDescent="0.25">
      <c r="A5796" s="2017"/>
      <c r="B5796" s="2018"/>
      <c r="C5796" s="2018"/>
      <c r="D5796" s="2018"/>
      <c r="E5796" s="2018"/>
      <c r="F5796" s="2018"/>
      <c r="G5796" s="2018"/>
      <c r="H5796" s="2018"/>
      <c r="I5796" s="2018"/>
      <c r="J5796" s="2018"/>
      <c r="K5796" s="2018"/>
      <c r="L5796" s="2018"/>
      <c r="M5796" s="2018"/>
      <c r="N5796" s="2018"/>
      <c r="O5796" s="2018"/>
      <c r="P5796" s="2018"/>
      <c r="Q5796" s="2018"/>
      <c r="R5796" s="2018"/>
      <c r="S5796" s="2018"/>
      <c r="T5796" s="2018"/>
      <c r="U5796" s="2018"/>
      <c r="V5796" s="2018"/>
      <c r="W5796" s="2018"/>
      <c r="X5796" s="2018"/>
      <c r="Y5796" s="2094"/>
      <c r="Z5796" s="2096"/>
      <c r="AA5796" s="2097"/>
      <c r="AB5796" s="1050">
        <f>+AF5658</f>
        <v>65.25</v>
      </c>
      <c r="AC5796" s="1050">
        <f>+AF5781</f>
        <v>46.71</v>
      </c>
      <c r="AD5796" s="1050">
        <v>1.25</v>
      </c>
      <c r="AE5796" s="1051">
        <f>+'01'!E15</f>
        <v>5</v>
      </c>
      <c r="AF5796" s="1052">
        <f>ROUND((AB5796-AC5796)*AD5796*AE5796,2)</f>
        <v>115.88</v>
      </c>
      <c r="AG5796" s="481"/>
    </row>
    <row r="5797" spans="1:33" ht="15.75" x14ac:dyDescent="0.25">
      <c r="A5797" s="2017"/>
      <c r="B5797" s="2018"/>
      <c r="C5797" s="2018"/>
      <c r="D5797" s="2018"/>
      <c r="E5797" s="2018"/>
      <c r="F5797" s="2018"/>
      <c r="G5797" s="2018"/>
      <c r="H5797" s="2018"/>
      <c r="I5797" s="2018"/>
      <c r="J5797" s="2018"/>
      <c r="K5797" s="2018"/>
      <c r="L5797" s="2018"/>
      <c r="M5797" s="2018"/>
      <c r="N5797" s="2018"/>
      <c r="O5797" s="2018"/>
      <c r="P5797" s="2018"/>
      <c r="Q5797" s="2018"/>
      <c r="R5797" s="2018"/>
      <c r="S5797" s="2018"/>
      <c r="T5797" s="2018"/>
      <c r="U5797" s="2018"/>
      <c r="V5797" s="2018"/>
      <c r="W5797" s="2018"/>
      <c r="X5797" s="2018"/>
      <c r="Y5797" s="2094"/>
      <c r="Z5797" s="2096"/>
      <c r="AA5797" s="2097"/>
      <c r="AB5797" s="1050"/>
      <c r="AC5797" s="1050"/>
      <c r="AD5797" s="1050"/>
      <c r="AE5797" s="1051"/>
      <c r="AF5797" s="1052"/>
    </row>
    <row r="5798" spans="1:33" ht="15.75" x14ac:dyDescent="0.25">
      <c r="A5798" s="2017"/>
      <c r="B5798" s="2018"/>
      <c r="C5798" s="2018"/>
      <c r="D5798" s="2018"/>
      <c r="E5798" s="2018"/>
      <c r="F5798" s="2018"/>
      <c r="G5798" s="2018"/>
      <c r="H5798" s="2018"/>
      <c r="I5798" s="2018"/>
      <c r="J5798" s="2018"/>
      <c r="K5798" s="2018"/>
      <c r="L5798" s="2018"/>
      <c r="M5798" s="2018"/>
      <c r="N5798" s="2018"/>
      <c r="O5798" s="2018"/>
      <c r="P5798" s="2018"/>
      <c r="Q5798" s="2018"/>
      <c r="R5798" s="2018"/>
      <c r="S5798" s="2018"/>
      <c r="T5798" s="2018"/>
      <c r="U5798" s="2018"/>
      <c r="V5798" s="2018"/>
      <c r="W5798" s="2018"/>
      <c r="X5798" s="2018"/>
      <c r="Y5798" s="2094"/>
      <c r="Z5798" s="2096"/>
      <c r="AA5798" s="2097"/>
      <c r="AB5798" s="1050"/>
      <c r="AC5798" s="1050"/>
      <c r="AD5798" s="1050"/>
      <c r="AE5798" s="1051"/>
      <c r="AF5798" s="1052"/>
    </row>
    <row r="5799" spans="1:33" ht="15.75" x14ac:dyDescent="0.25">
      <c r="A5799" s="2017"/>
      <c r="B5799" s="2018"/>
      <c r="C5799" s="2018"/>
      <c r="D5799" s="2018"/>
      <c r="E5799" s="2018"/>
      <c r="F5799" s="2018"/>
      <c r="G5799" s="2018"/>
      <c r="H5799" s="2018"/>
      <c r="I5799" s="2018"/>
      <c r="J5799" s="2018"/>
      <c r="K5799" s="2018"/>
      <c r="L5799" s="2018"/>
      <c r="M5799" s="2018"/>
      <c r="N5799" s="2018"/>
      <c r="O5799" s="2018"/>
      <c r="P5799" s="2018"/>
      <c r="Q5799" s="2018"/>
      <c r="R5799" s="2018"/>
      <c r="S5799" s="2018"/>
      <c r="T5799" s="2018"/>
      <c r="U5799" s="2018"/>
      <c r="V5799" s="2018"/>
      <c r="W5799" s="2018"/>
      <c r="X5799" s="2018"/>
      <c r="Y5799" s="2094"/>
      <c r="Z5799" s="2096"/>
      <c r="AA5799" s="2097"/>
      <c r="AB5799" s="1050"/>
      <c r="AC5799" s="1050"/>
      <c r="AD5799" s="1050"/>
      <c r="AE5799" s="1051"/>
      <c r="AF5799" s="1052"/>
    </row>
    <row r="5800" spans="1:33" ht="15.75" x14ac:dyDescent="0.25">
      <c r="A5800" s="2017"/>
      <c r="B5800" s="2018"/>
      <c r="C5800" s="2018"/>
      <c r="D5800" s="2018"/>
      <c r="E5800" s="2018"/>
      <c r="F5800" s="2018"/>
      <c r="G5800" s="2018"/>
      <c r="H5800" s="2018"/>
      <c r="I5800" s="2018"/>
      <c r="J5800" s="2018"/>
      <c r="K5800" s="2018"/>
      <c r="L5800" s="2018"/>
      <c r="M5800" s="2018"/>
      <c r="N5800" s="2018"/>
      <c r="O5800" s="2018"/>
      <c r="P5800" s="2018"/>
      <c r="Q5800" s="2018"/>
      <c r="R5800" s="2018"/>
      <c r="S5800" s="2018"/>
      <c r="T5800" s="2018"/>
      <c r="U5800" s="2018"/>
      <c r="V5800" s="2018"/>
      <c r="W5800" s="2018"/>
      <c r="X5800" s="2018"/>
      <c r="Y5800" s="2094"/>
      <c r="Z5800" s="2096"/>
      <c r="AA5800" s="2097"/>
      <c r="AB5800" s="1050"/>
      <c r="AC5800" s="1050"/>
      <c r="AD5800" s="1050"/>
      <c r="AE5800" s="1051"/>
      <c r="AF5800" s="1052"/>
    </row>
    <row r="5801" spans="1:33" ht="15.75" x14ac:dyDescent="0.25">
      <c r="A5801" s="2017"/>
      <c r="B5801" s="2018"/>
      <c r="C5801" s="2018"/>
      <c r="D5801" s="2018"/>
      <c r="E5801" s="2018"/>
      <c r="F5801" s="2018"/>
      <c r="G5801" s="2018"/>
      <c r="H5801" s="2018"/>
      <c r="I5801" s="2018"/>
      <c r="J5801" s="2018"/>
      <c r="K5801" s="2018"/>
      <c r="L5801" s="2018"/>
      <c r="M5801" s="2018"/>
      <c r="N5801" s="2018"/>
      <c r="O5801" s="2018"/>
      <c r="P5801" s="2018"/>
      <c r="Q5801" s="2018"/>
      <c r="R5801" s="2018"/>
      <c r="S5801" s="2018"/>
      <c r="T5801" s="2018"/>
      <c r="U5801" s="2018"/>
      <c r="V5801" s="2018"/>
      <c r="W5801" s="2018"/>
      <c r="X5801" s="2018"/>
      <c r="Y5801" s="2094"/>
      <c r="Z5801" s="2096"/>
      <c r="AA5801" s="2097"/>
      <c r="AB5801" s="1050"/>
      <c r="AC5801" s="1050"/>
      <c r="AD5801" s="1050"/>
      <c r="AE5801" s="1051"/>
      <c r="AF5801" s="1052"/>
    </row>
    <row r="5802" spans="1:33" ht="15.75" x14ac:dyDescent="0.25">
      <c r="A5802" s="2017"/>
      <c r="B5802" s="2018"/>
      <c r="C5802" s="2018"/>
      <c r="D5802" s="2018"/>
      <c r="E5802" s="2018"/>
      <c r="F5802" s="2018"/>
      <c r="G5802" s="2018"/>
      <c r="H5802" s="2018"/>
      <c r="I5802" s="2018"/>
      <c r="J5802" s="2018"/>
      <c r="K5802" s="2018"/>
      <c r="L5802" s="2018"/>
      <c r="M5802" s="2018"/>
      <c r="N5802" s="2018"/>
      <c r="O5802" s="2018"/>
      <c r="P5802" s="2018"/>
      <c r="Q5802" s="2018"/>
      <c r="R5802" s="2018"/>
      <c r="S5802" s="2018"/>
      <c r="T5802" s="2018"/>
      <c r="U5802" s="2018"/>
      <c r="V5802" s="2018"/>
      <c r="W5802" s="2018"/>
      <c r="X5802" s="2018"/>
      <c r="Y5802" s="2094"/>
      <c r="Z5802" s="2096"/>
      <c r="AA5802" s="2097"/>
      <c r="AB5802" s="1050"/>
      <c r="AC5802" s="1050"/>
      <c r="AD5802" s="1050"/>
      <c r="AE5802" s="1051"/>
      <c r="AF5802" s="1052"/>
    </row>
    <row r="5803" spans="1:33" ht="15.75" x14ac:dyDescent="0.25">
      <c r="A5803" s="2017"/>
      <c r="B5803" s="2018"/>
      <c r="C5803" s="2018"/>
      <c r="D5803" s="2018"/>
      <c r="E5803" s="2018"/>
      <c r="F5803" s="2018"/>
      <c r="G5803" s="2018"/>
      <c r="H5803" s="2018"/>
      <c r="I5803" s="2018"/>
      <c r="J5803" s="2018"/>
      <c r="K5803" s="2018"/>
      <c r="L5803" s="2018"/>
      <c r="M5803" s="2018"/>
      <c r="N5803" s="2018"/>
      <c r="O5803" s="2018"/>
      <c r="P5803" s="2018"/>
      <c r="Q5803" s="2018"/>
      <c r="R5803" s="2018"/>
      <c r="S5803" s="2018"/>
      <c r="T5803" s="2018"/>
      <c r="U5803" s="2018"/>
      <c r="V5803" s="2018"/>
      <c r="W5803" s="2018"/>
      <c r="X5803" s="2018"/>
      <c r="Y5803" s="2094"/>
      <c r="Z5803" s="2096"/>
      <c r="AA5803" s="2097"/>
      <c r="AB5803" s="1053"/>
      <c r="AC5803" s="1053"/>
      <c r="AD5803" s="1053"/>
      <c r="AE5803" s="1051"/>
      <c r="AF5803" s="1052"/>
    </row>
    <row r="5804" spans="1:33" ht="15.75" x14ac:dyDescent="0.25">
      <c r="A5804" s="2017"/>
      <c r="B5804" s="2018"/>
      <c r="C5804" s="2018"/>
      <c r="D5804" s="2018"/>
      <c r="E5804" s="2018"/>
      <c r="F5804" s="2018"/>
      <c r="G5804" s="2018"/>
      <c r="H5804" s="2018"/>
      <c r="I5804" s="2018"/>
      <c r="J5804" s="2018"/>
      <c r="K5804" s="2018"/>
      <c r="L5804" s="2018"/>
      <c r="M5804" s="2018"/>
      <c r="N5804" s="2018"/>
      <c r="O5804" s="2018"/>
      <c r="P5804" s="2018"/>
      <c r="Q5804" s="2018"/>
      <c r="R5804" s="2018"/>
      <c r="S5804" s="2018"/>
      <c r="T5804" s="2018"/>
      <c r="U5804" s="2018"/>
      <c r="V5804" s="2018"/>
      <c r="W5804" s="2018"/>
      <c r="X5804" s="2018"/>
      <c r="Y5804" s="2094"/>
      <c r="Z5804" s="2096"/>
      <c r="AA5804" s="2097"/>
      <c r="AB5804" s="1053"/>
      <c r="AC5804" s="1053"/>
      <c r="AD5804" s="1053"/>
      <c r="AE5804" s="1050"/>
      <c r="AF5804" s="1054"/>
    </row>
    <row r="5805" spans="1:33" ht="15.75" x14ac:dyDescent="0.25">
      <c r="A5805" s="2017"/>
      <c r="B5805" s="2018"/>
      <c r="C5805" s="2018"/>
      <c r="D5805" s="2018"/>
      <c r="E5805" s="2018"/>
      <c r="F5805" s="2018"/>
      <c r="G5805" s="2018"/>
      <c r="H5805" s="2018"/>
      <c r="I5805" s="2018"/>
      <c r="J5805" s="2018"/>
      <c r="K5805" s="2018"/>
      <c r="L5805" s="2018"/>
      <c r="M5805" s="2018"/>
      <c r="N5805" s="2018"/>
      <c r="O5805" s="2018"/>
      <c r="P5805" s="2018"/>
      <c r="Q5805" s="2018"/>
      <c r="R5805" s="2018"/>
      <c r="S5805" s="2018"/>
      <c r="T5805" s="2018"/>
      <c r="U5805" s="2018"/>
      <c r="V5805" s="2018"/>
      <c r="W5805" s="2018"/>
      <c r="X5805" s="2018"/>
      <c r="Y5805" s="2094"/>
      <c r="Z5805" s="2096"/>
      <c r="AA5805" s="2097"/>
      <c r="AB5805" s="1053"/>
      <c r="AC5805" s="1053"/>
      <c r="AD5805" s="1053"/>
      <c r="AE5805" s="1051"/>
      <c r="AF5805" s="1054"/>
    </row>
    <row r="5806" spans="1:33" ht="15.75" x14ac:dyDescent="0.25">
      <c r="A5806" s="2017"/>
      <c r="B5806" s="2018"/>
      <c r="C5806" s="2018"/>
      <c r="D5806" s="2018"/>
      <c r="E5806" s="2018"/>
      <c r="F5806" s="2018"/>
      <c r="G5806" s="2018"/>
      <c r="H5806" s="2018"/>
      <c r="I5806" s="2018"/>
      <c r="J5806" s="2018"/>
      <c r="K5806" s="2018"/>
      <c r="L5806" s="2018"/>
      <c r="M5806" s="2018"/>
      <c r="N5806" s="2018"/>
      <c r="O5806" s="2018"/>
      <c r="P5806" s="2018"/>
      <c r="Q5806" s="2018"/>
      <c r="R5806" s="2018"/>
      <c r="S5806" s="2018"/>
      <c r="T5806" s="2018"/>
      <c r="U5806" s="2018"/>
      <c r="V5806" s="2018"/>
      <c r="W5806" s="2018"/>
      <c r="X5806" s="2018"/>
      <c r="Y5806" s="2094"/>
      <c r="Z5806" s="2096"/>
      <c r="AA5806" s="2097"/>
      <c r="AB5806" s="1053"/>
      <c r="AC5806" s="1053"/>
      <c r="AD5806" s="1053"/>
      <c r="AE5806" s="1051"/>
      <c r="AF5806" s="1054"/>
    </row>
    <row r="5807" spans="1:33" ht="15.75" x14ac:dyDescent="0.25">
      <c r="A5807" s="2017"/>
      <c r="B5807" s="2018"/>
      <c r="C5807" s="2018"/>
      <c r="D5807" s="2018"/>
      <c r="E5807" s="2018"/>
      <c r="F5807" s="2018"/>
      <c r="G5807" s="2018"/>
      <c r="H5807" s="2018"/>
      <c r="I5807" s="2018"/>
      <c r="J5807" s="2018"/>
      <c r="K5807" s="2018"/>
      <c r="L5807" s="2018"/>
      <c r="M5807" s="2018"/>
      <c r="N5807" s="2018"/>
      <c r="O5807" s="2018"/>
      <c r="P5807" s="2018"/>
      <c r="Q5807" s="2018"/>
      <c r="R5807" s="2018"/>
      <c r="S5807" s="2018"/>
      <c r="T5807" s="2018"/>
      <c r="U5807" s="2018"/>
      <c r="V5807" s="2018"/>
      <c r="W5807" s="2018"/>
      <c r="X5807" s="2018"/>
      <c r="Y5807" s="2094"/>
      <c r="Z5807" s="2096"/>
      <c r="AA5807" s="2097"/>
      <c r="AB5807" s="1053"/>
      <c r="AC5807" s="1053"/>
      <c r="AD5807" s="1053"/>
      <c r="AE5807" s="1051"/>
      <c r="AF5807" s="1054"/>
    </row>
    <row r="5808" spans="1:33" ht="15.75" x14ac:dyDescent="0.25">
      <c r="A5808" s="2017"/>
      <c r="B5808" s="2018"/>
      <c r="C5808" s="2018"/>
      <c r="D5808" s="2018"/>
      <c r="E5808" s="2018"/>
      <c r="F5808" s="2018"/>
      <c r="G5808" s="2018"/>
      <c r="H5808" s="2018"/>
      <c r="I5808" s="2018"/>
      <c r="J5808" s="2018"/>
      <c r="K5808" s="2018"/>
      <c r="L5808" s="2018"/>
      <c r="M5808" s="2018"/>
      <c r="N5808" s="2018"/>
      <c r="O5808" s="2018"/>
      <c r="P5808" s="2018"/>
      <c r="Q5808" s="2018"/>
      <c r="R5808" s="2018"/>
      <c r="S5808" s="2018"/>
      <c r="T5808" s="2018"/>
      <c r="U5808" s="2018"/>
      <c r="V5808" s="2018"/>
      <c r="W5808" s="2018"/>
      <c r="X5808" s="2018"/>
      <c r="Y5808" s="2094"/>
      <c r="Z5808" s="2096"/>
      <c r="AA5808" s="2097"/>
      <c r="AB5808" s="1053"/>
      <c r="AC5808" s="1053"/>
      <c r="AD5808" s="1053"/>
      <c r="AE5808" s="1051"/>
      <c r="AF5808" s="1054"/>
    </row>
    <row r="5809" spans="1:32" ht="15.75" x14ac:dyDescent="0.25">
      <c r="A5809" s="2017"/>
      <c r="B5809" s="2018"/>
      <c r="C5809" s="2018"/>
      <c r="D5809" s="2018"/>
      <c r="E5809" s="2018"/>
      <c r="F5809" s="2018"/>
      <c r="G5809" s="2018"/>
      <c r="H5809" s="2018"/>
      <c r="I5809" s="2018"/>
      <c r="J5809" s="2018"/>
      <c r="K5809" s="2018"/>
      <c r="L5809" s="2018"/>
      <c r="M5809" s="2018"/>
      <c r="N5809" s="2018"/>
      <c r="O5809" s="2018"/>
      <c r="P5809" s="2018"/>
      <c r="Q5809" s="2018"/>
      <c r="R5809" s="2018"/>
      <c r="S5809" s="2018"/>
      <c r="T5809" s="2018"/>
      <c r="U5809" s="2018"/>
      <c r="V5809" s="2018"/>
      <c r="W5809" s="2018"/>
      <c r="X5809" s="2018"/>
      <c r="Y5809" s="2094"/>
      <c r="Z5809" s="2096"/>
      <c r="AA5809" s="2097"/>
      <c r="AB5809" s="1053"/>
      <c r="AC5809" s="1053"/>
      <c r="AD5809" s="1053"/>
      <c r="AE5809" s="1051"/>
      <c r="AF5809" s="1054"/>
    </row>
    <row r="5810" spans="1:32" ht="15.75" x14ac:dyDescent="0.25">
      <c r="A5810" s="2017"/>
      <c r="B5810" s="2018"/>
      <c r="C5810" s="2018"/>
      <c r="D5810" s="2018"/>
      <c r="E5810" s="2018"/>
      <c r="F5810" s="2018"/>
      <c r="G5810" s="2018"/>
      <c r="H5810" s="2018"/>
      <c r="I5810" s="2018"/>
      <c r="J5810" s="2018"/>
      <c r="K5810" s="2018"/>
      <c r="L5810" s="2018"/>
      <c r="M5810" s="2018"/>
      <c r="N5810" s="2018"/>
      <c r="O5810" s="2018"/>
      <c r="P5810" s="2018"/>
      <c r="Q5810" s="2018"/>
      <c r="R5810" s="2018"/>
      <c r="S5810" s="2018"/>
      <c r="T5810" s="2018"/>
      <c r="U5810" s="2018"/>
      <c r="V5810" s="2018"/>
      <c r="W5810" s="2018"/>
      <c r="X5810" s="2018"/>
      <c r="Y5810" s="2094"/>
      <c r="Z5810" s="2096"/>
      <c r="AA5810" s="2097"/>
      <c r="AB5810" s="1055"/>
      <c r="AC5810" s="1055"/>
      <c r="AD5810" s="1055"/>
      <c r="AE5810" s="1051"/>
      <c r="AF5810" s="1056"/>
    </row>
    <row r="5811" spans="1:32" ht="15.75" x14ac:dyDescent="0.25">
      <c r="A5811" s="2017"/>
      <c r="B5811" s="2018"/>
      <c r="C5811" s="2018"/>
      <c r="D5811" s="2018"/>
      <c r="E5811" s="2018"/>
      <c r="F5811" s="2018"/>
      <c r="G5811" s="2018"/>
      <c r="H5811" s="2018"/>
      <c r="I5811" s="2018"/>
      <c r="J5811" s="2018"/>
      <c r="K5811" s="2018"/>
      <c r="L5811" s="2018"/>
      <c r="M5811" s="2018"/>
      <c r="N5811" s="2018"/>
      <c r="O5811" s="2018"/>
      <c r="P5811" s="2018"/>
      <c r="Q5811" s="2018"/>
      <c r="R5811" s="2018"/>
      <c r="S5811" s="2018"/>
      <c r="T5811" s="2018"/>
      <c r="U5811" s="2018"/>
      <c r="V5811" s="2018"/>
      <c r="W5811" s="2018"/>
      <c r="X5811" s="2018"/>
      <c r="Y5811" s="2094"/>
      <c r="Z5811" s="2096"/>
      <c r="AA5811" s="2097"/>
      <c r="AB5811" s="1055"/>
      <c r="AC5811" s="1055"/>
      <c r="AD5811" s="1055"/>
      <c r="AE5811" s="1055"/>
      <c r="AF5811" s="1056"/>
    </row>
    <row r="5812" spans="1:32" ht="15.75" x14ac:dyDescent="0.25">
      <c r="A5812" s="2017"/>
      <c r="B5812" s="2018"/>
      <c r="C5812" s="2018"/>
      <c r="D5812" s="2018"/>
      <c r="E5812" s="2018"/>
      <c r="F5812" s="2018"/>
      <c r="G5812" s="2018"/>
      <c r="H5812" s="2018"/>
      <c r="I5812" s="2018"/>
      <c r="J5812" s="2018"/>
      <c r="K5812" s="2018"/>
      <c r="L5812" s="2018"/>
      <c r="M5812" s="2018"/>
      <c r="N5812" s="2018"/>
      <c r="O5812" s="2018"/>
      <c r="P5812" s="2018"/>
      <c r="Q5812" s="2018"/>
      <c r="R5812" s="2018"/>
      <c r="S5812" s="2018"/>
      <c r="T5812" s="2018"/>
      <c r="U5812" s="2018"/>
      <c r="V5812" s="2018"/>
      <c r="W5812" s="2018"/>
      <c r="X5812" s="2018"/>
      <c r="Y5812" s="2094"/>
      <c r="Z5812" s="2096"/>
      <c r="AA5812" s="2097"/>
      <c r="AB5812" s="1055"/>
      <c r="AC5812" s="1055"/>
      <c r="AD5812" s="1055"/>
      <c r="AE5812" s="1055"/>
      <c r="AF5812" s="1056"/>
    </row>
    <row r="5813" spans="1:32" ht="15.75" x14ac:dyDescent="0.25">
      <c r="A5813" s="2017"/>
      <c r="B5813" s="2018"/>
      <c r="C5813" s="2018"/>
      <c r="D5813" s="2018"/>
      <c r="E5813" s="2018"/>
      <c r="F5813" s="2018"/>
      <c r="G5813" s="2018"/>
      <c r="H5813" s="2018"/>
      <c r="I5813" s="2018"/>
      <c r="J5813" s="2018"/>
      <c r="K5813" s="2018"/>
      <c r="L5813" s="2018"/>
      <c r="M5813" s="2018"/>
      <c r="N5813" s="2018"/>
      <c r="O5813" s="2018"/>
      <c r="P5813" s="2018"/>
      <c r="Q5813" s="2018"/>
      <c r="R5813" s="2018"/>
      <c r="S5813" s="2018"/>
      <c r="T5813" s="2018"/>
      <c r="U5813" s="2018"/>
      <c r="V5813" s="2018"/>
      <c r="W5813" s="2018"/>
      <c r="X5813" s="2018"/>
      <c r="Y5813" s="2094"/>
      <c r="Z5813" s="2096"/>
      <c r="AA5813" s="2097"/>
      <c r="AB5813" s="1055"/>
      <c r="AC5813" s="1055"/>
      <c r="AD5813" s="1055"/>
      <c r="AE5813" s="1055"/>
      <c r="AF5813" s="1056"/>
    </row>
    <row r="5814" spans="1:32" ht="15.75" x14ac:dyDescent="0.25">
      <c r="A5814" s="2017"/>
      <c r="B5814" s="2018"/>
      <c r="C5814" s="2018"/>
      <c r="D5814" s="2018"/>
      <c r="E5814" s="2018"/>
      <c r="F5814" s="2018"/>
      <c r="G5814" s="2018"/>
      <c r="H5814" s="2018"/>
      <c r="I5814" s="2018"/>
      <c r="J5814" s="2018"/>
      <c r="K5814" s="2018"/>
      <c r="L5814" s="2018"/>
      <c r="M5814" s="2018"/>
      <c r="N5814" s="2018"/>
      <c r="O5814" s="2018"/>
      <c r="P5814" s="2018"/>
      <c r="Q5814" s="2018"/>
      <c r="R5814" s="2018"/>
      <c r="S5814" s="2018"/>
      <c r="T5814" s="2018"/>
      <c r="U5814" s="2018"/>
      <c r="V5814" s="2018"/>
      <c r="W5814" s="2018"/>
      <c r="X5814" s="2018"/>
      <c r="Y5814" s="2094"/>
      <c r="Z5814" s="2096"/>
      <c r="AA5814" s="2097"/>
      <c r="AB5814" s="1055"/>
      <c r="AC5814" s="1055"/>
      <c r="AD5814" s="1055"/>
      <c r="AE5814" s="1055"/>
      <c r="AF5814" s="1056"/>
    </row>
    <row r="5815" spans="1:32" ht="15.75" x14ac:dyDescent="0.25">
      <c r="A5815" s="2017"/>
      <c r="B5815" s="2018"/>
      <c r="C5815" s="2018"/>
      <c r="D5815" s="2018"/>
      <c r="E5815" s="2018"/>
      <c r="F5815" s="2018"/>
      <c r="G5815" s="2018"/>
      <c r="H5815" s="2018"/>
      <c r="I5815" s="2018"/>
      <c r="J5815" s="2018"/>
      <c r="K5815" s="2018"/>
      <c r="L5815" s="2018"/>
      <c r="M5815" s="2018"/>
      <c r="N5815" s="2018"/>
      <c r="O5815" s="2018"/>
      <c r="P5815" s="2018"/>
      <c r="Q5815" s="2018"/>
      <c r="R5815" s="2018"/>
      <c r="S5815" s="2018"/>
      <c r="T5815" s="2018"/>
      <c r="U5815" s="2018"/>
      <c r="V5815" s="2018"/>
      <c r="W5815" s="2018"/>
      <c r="X5815" s="2018"/>
      <c r="Y5815" s="2094"/>
      <c r="Z5815" s="2096"/>
      <c r="AA5815" s="2097"/>
      <c r="AB5815" s="1055"/>
      <c r="AC5815" s="1055"/>
      <c r="AD5815" s="1055"/>
      <c r="AE5815" s="1055"/>
      <c r="AF5815" s="1056"/>
    </row>
    <row r="5816" spans="1:32" ht="16.5" thickBot="1" x14ac:dyDescent="0.3">
      <c r="A5816" s="2019"/>
      <c r="B5816" s="2020"/>
      <c r="C5816" s="2020"/>
      <c r="D5816" s="2020"/>
      <c r="E5816" s="2020"/>
      <c r="F5816" s="2020"/>
      <c r="G5816" s="2020"/>
      <c r="H5816" s="2020"/>
      <c r="I5816" s="2020"/>
      <c r="J5816" s="2020"/>
      <c r="K5816" s="2020"/>
      <c r="L5816" s="2020"/>
      <c r="M5816" s="2020"/>
      <c r="N5816" s="2020"/>
      <c r="O5816" s="2020"/>
      <c r="P5816" s="2020"/>
      <c r="Q5816" s="2020"/>
      <c r="R5816" s="2020"/>
      <c r="S5816" s="2020"/>
      <c r="T5816" s="2020"/>
      <c r="U5816" s="2020"/>
      <c r="V5816" s="2020"/>
      <c r="W5816" s="2020"/>
      <c r="X5816" s="2020"/>
      <c r="Y5816" s="2095"/>
      <c r="Z5816" s="2098"/>
      <c r="AA5816" s="2099"/>
      <c r="AB5816" s="1057"/>
      <c r="AC5816" s="1057"/>
      <c r="AD5816" s="1057"/>
      <c r="AE5816" s="1057"/>
      <c r="AF5816" s="1058"/>
    </row>
    <row r="5817" spans="1:32" ht="15.75" x14ac:dyDescent="0.25">
      <c r="A5817" s="2009" t="s">
        <v>2411</v>
      </c>
      <c r="B5817" s="2010"/>
      <c r="C5817" s="2010"/>
      <c r="D5817" s="2010"/>
      <c r="E5817" s="2010"/>
      <c r="F5817" s="2010"/>
      <c r="G5817" s="2010"/>
      <c r="H5817" s="2010"/>
      <c r="I5817" s="2010"/>
      <c r="J5817" s="2010"/>
      <c r="K5817" s="2010"/>
      <c r="L5817" s="2010"/>
      <c r="M5817" s="2010"/>
      <c r="N5817" s="2010"/>
      <c r="O5817" s="2010"/>
      <c r="P5817" s="2010"/>
      <c r="Q5817" s="2010"/>
      <c r="R5817" s="2010"/>
      <c r="S5817" s="2010"/>
      <c r="T5817" s="2010"/>
      <c r="U5817" s="2010"/>
      <c r="V5817" s="2010"/>
      <c r="W5817" s="2010"/>
      <c r="X5817" s="2010"/>
      <c r="Y5817" s="2010"/>
      <c r="Z5817" s="2013" t="s">
        <v>1850</v>
      </c>
      <c r="AA5817" s="2013"/>
      <c r="AB5817" s="2013"/>
      <c r="AC5817" s="2013"/>
      <c r="AD5817" s="2013"/>
      <c r="AE5817" s="2013"/>
      <c r="AF5817" s="1059">
        <f>SUM(AF5796:AF5816)</f>
        <v>115.88</v>
      </c>
    </row>
    <row r="5818" spans="1:32" ht="15.75" x14ac:dyDescent="0.25">
      <c r="A5818" s="2011"/>
      <c r="B5818" s="2012"/>
      <c r="C5818" s="2012"/>
      <c r="D5818" s="2012"/>
      <c r="E5818" s="2012"/>
      <c r="F5818" s="2012"/>
      <c r="G5818" s="2012"/>
      <c r="H5818" s="2012"/>
      <c r="I5818" s="2012"/>
      <c r="J5818" s="2012"/>
      <c r="K5818" s="2012"/>
      <c r="L5818" s="2012"/>
      <c r="M5818" s="2012"/>
      <c r="N5818" s="2012"/>
      <c r="O5818" s="2012"/>
      <c r="P5818" s="2012"/>
      <c r="Q5818" s="2012"/>
      <c r="R5818" s="2012"/>
      <c r="S5818" s="2012"/>
      <c r="T5818" s="2012"/>
      <c r="U5818" s="2012"/>
      <c r="V5818" s="2012"/>
      <c r="W5818" s="2012"/>
      <c r="X5818" s="2012"/>
      <c r="Y5818" s="2012"/>
      <c r="Z5818" s="2014" t="s">
        <v>1851</v>
      </c>
      <c r="AA5818" s="2014"/>
      <c r="AB5818" s="2014"/>
      <c r="AC5818" s="2014"/>
      <c r="AD5818" s="2014"/>
      <c r="AE5818" s="2014"/>
      <c r="AF5818" s="1060">
        <v>0</v>
      </c>
    </row>
    <row r="5819" spans="1:32" ht="15.75" x14ac:dyDescent="0.25">
      <c r="A5819" s="2011"/>
      <c r="B5819" s="2012"/>
      <c r="C5819" s="2012"/>
      <c r="D5819" s="2012"/>
      <c r="E5819" s="2012"/>
      <c r="F5819" s="2012"/>
      <c r="G5819" s="2012"/>
      <c r="H5819" s="2012"/>
      <c r="I5819" s="2012"/>
      <c r="J5819" s="2012"/>
      <c r="K5819" s="2012"/>
      <c r="L5819" s="2012"/>
      <c r="M5819" s="2012"/>
      <c r="N5819" s="2012"/>
      <c r="O5819" s="2012"/>
      <c r="P5819" s="2012"/>
      <c r="Q5819" s="2012"/>
      <c r="R5819" s="2012"/>
      <c r="S5819" s="2012"/>
      <c r="T5819" s="2012"/>
      <c r="U5819" s="2012"/>
      <c r="V5819" s="2012"/>
      <c r="W5819" s="2012"/>
      <c r="X5819" s="2012"/>
      <c r="Y5819" s="2012"/>
      <c r="Z5819" s="2015" t="s">
        <v>1833</v>
      </c>
      <c r="AA5819" s="2015"/>
      <c r="AB5819" s="2015"/>
      <c r="AC5819" s="2015"/>
      <c r="AD5819" s="2015"/>
      <c r="AE5819" s="2015"/>
      <c r="AF5819" s="1061">
        <f>SUM(AF5817:AF5818)</f>
        <v>115.88</v>
      </c>
    </row>
    <row r="5820" spans="1:32" x14ac:dyDescent="0.2">
      <c r="A5820" s="2012" t="s">
        <v>1859</v>
      </c>
      <c r="B5820" s="2012"/>
      <c r="C5820" s="2012"/>
      <c r="D5820" s="2012"/>
      <c r="E5820" s="2012"/>
      <c r="F5820" s="2012"/>
      <c r="G5820" s="2012"/>
      <c r="H5820" s="2012"/>
      <c r="I5820" s="2012"/>
      <c r="J5820" s="2012"/>
      <c r="K5820" s="2012"/>
      <c r="L5820" s="2012"/>
      <c r="M5820" s="2012"/>
      <c r="N5820" s="2012"/>
      <c r="O5820" s="2012"/>
      <c r="P5820" s="2012"/>
      <c r="Q5820" s="2012"/>
      <c r="R5820" s="2012"/>
      <c r="S5820" s="2012"/>
      <c r="T5820" s="2016" t="s">
        <v>1840</v>
      </c>
      <c r="U5820" s="2016"/>
      <c r="V5820" s="2016"/>
      <c r="W5820" s="2016"/>
      <c r="X5820" s="2016"/>
      <c r="Y5820" s="2016"/>
      <c r="Z5820" s="2016"/>
      <c r="AA5820" s="2016"/>
      <c r="AB5820" s="2012" t="s">
        <v>1852</v>
      </c>
      <c r="AC5820" s="2012"/>
      <c r="AD5820" s="2012"/>
      <c r="AE5820" s="2012"/>
      <c r="AF5820" s="2012"/>
    </row>
    <row r="5821" spans="1:32" x14ac:dyDescent="0.2">
      <c r="A5821" s="2012"/>
      <c r="B5821" s="2012"/>
      <c r="C5821" s="2012"/>
      <c r="D5821" s="2012"/>
      <c r="E5821" s="2012"/>
      <c r="F5821" s="2012"/>
      <c r="G5821" s="2012"/>
      <c r="H5821" s="2012"/>
      <c r="I5821" s="2012"/>
      <c r="J5821" s="2012"/>
      <c r="K5821" s="2012"/>
      <c r="L5821" s="2012"/>
      <c r="M5821" s="2012"/>
      <c r="N5821" s="2012"/>
      <c r="O5821" s="2012"/>
      <c r="P5821" s="2012"/>
      <c r="Q5821" s="2012"/>
      <c r="R5821" s="2012"/>
      <c r="S5821" s="2012"/>
      <c r="T5821" s="2016"/>
      <c r="U5821" s="2016"/>
      <c r="V5821" s="2016"/>
      <c r="W5821" s="2016"/>
      <c r="X5821" s="2016"/>
      <c r="Y5821" s="2016"/>
      <c r="Z5821" s="2016"/>
      <c r="AA5821" s="2016"/>
      <c r="AB5821" s="2012"/>
      <c r="AC5821" s="2012"/>
      <c r="AD5821" s="2012"/>
      <c r="AE5821" s="2012"/>
      <c r="AF5821" s="2012"/>
    </row>
    <row r="5822" spans="1:32" ht="16.5" thickBot="1" x14ac:dyDescent="0.25">
      <c r="A5822" s="1062"/>
      <c r="B5822" s="1062"/>
      <c r="C5822" s="1062"/>
      <c r="D5822" s="1062"/>
      <c r="E5822" s="1062"/>
      <c r="F5822" s="1062"/>
      <c r="G5822" s="1062"/>
      <c r="H5822" s="1062"/>
      <c r="I5822" s="1062"/>
      <c r="J5822" s="1062"/>
      <c r="K5822" s="1062"/>
      <c r="L5822" s="1062"/>
      <c r="M5822" s="1062"/>
      <c r="N5822" s="1062"/>
      <c r="O5822" s="1062"/>
      <c r="P5822" s="1062"/>
      <c r="Q5822" s="1062"/>
      <c r="R5822" s="1062"/>
      <c r="S5822" s="1062"/>
      <c r="T5822" s="1063"/>
      <c r="U5822" s="1063"/>
      <c r="V5822" s="1063"/>
      <c r="W5822" s="1063"/>
      <c r="X5822" s="1063"/>
      <c r="Y5822" s="1063"/>
      <c r="Z5822" s="1063"/>
      <c r="AA5822" s="1063"/>
      <c r="AB5822" s="1062"/>
      <c r="AC5822" s="1062"/>
      <c r="AD5822" s="1062"/>
      <c r="AE5822" s="1064"/>
      <c r="AF5822" s="1065"/>
    </row>
    <row r="5823" spans="1:32" ht="22.15" customHeight="1" x14ac:dyDescent="0.2">
      <c r="A5823" s="2025" t="s">
        <v>1854</v>
      </c>
      <c r="B5823" s="2026"/>
      <c r="C5823" s="2026"/>
      <c r="D5823" s="2026"/>
      <c r="E5823" s="2026"/>
      <c r="F5823" s="2026"/>
      <c r="G5823" s="2026"/>
      <c r="H5823" s="2026"/>
      <c r="I5823" s="2026"/>
      <c r="J5823" s="2026"/>
      <c r="K5823" s="2026"/>
      <c r="L5823" s="2026"/>
      <c r="M5823" s="2026"/>
      <c r="N5823" s="2026"/>
      <c r="O5823" s="2026"/>
      <c r="P5823" s="2026"/>
      <c r="Q5823" s="2026"/>
      <c r="R5823" s="2026"/>
      <c r="S5823" s="2026"/>
      <c r="T5823" s="2026"/>
      <c r="U5823" s="2026"/>
      <c r="V5823" s="2026"/>
      <c r="W5823" s="2026"/>
      <c r="X5823" s="2026"/>
      <c r="Y5823" s="2026"/>
      <c r="Z5823" s="2026"/>
      <c r="AA5823" s="2026"/>
      <c r="AB5823" s="2026"/>
      <c r="AC5823" s="2026"/>
      <c r="AD5823" s="2026"/>
      <c r="AE5823" s="1041" t="s">
        <v>1834</v>
      </c>
      <c r="AF5823" s="1042" t="s">
        <v>1835</v>
      </c>
    </row>
    <row r="5824" spans="1:32" ht="24" customHeight="1" thickBot="1" x14ac:dyDescent="0.25">
      <c r="A5824" s="2027"/>
      <c r="B5824" s="2028"/>
      <c r="C5824" s="2028"/>
      <c r="D5824" s="2028"/>
      <c r="E5824" s="2028"/>
      <c r="F5824" s="2028"/>
      <c r="G5824" s="2028"/>
      <c r="H5824" s="2028"/>
      <c r="I5824" s="2028"/>
      <c r="J5824" s="2028"/>
      <c r="K5824" s="2028"/>
      <c r="L5824" s="2028"/>
      <c r="M5824" s="2028"/>
      <c r="N5824" s="2028"/>
      <c r="O5824" s="2028"/>
      <c r="P5824" s="2028"/>
      <c r="Q5824" s="2028"/>
      <c r="R5824" s="2028"/>
      <c r="S5824" s="2028"/>
      <c r="T5824" s="2028"/>
      <c r="U5824" s="2028"/>
      <c r="V5824" s="2028"/>
      <c r="W5824" s="2028"/>
      <c r="X5824" s="2028"/>
      <c r="Y5824" s="2028"/>
      <c r="Z5824" s="2028"/>
      <c r="AA5824" s="2028"/>
      <c r="AB5824" s="2028"/>
      <c r="AC5824" s="2028"/>
      <c r="AD5824" s="2028"/>
      <c r="AE5824" s="1041" t="s">
        <v>1836</v>
      </c>
      <c r="AF5824" s="1044">
        <v>1</v>
      </c>
    </row>
    <row r="5825" spans="1:32" ht="15.75" x14ac:dyDescent="0.2">
      <c r="A5825" s="2029"/>
      <c r="B5825" s="2030"/>
      <c r="C5825" s="2030"/>
      <c r="D5825" s="2031"/>
      <c r="E5825" s="2025" t="str">
        <f>'01'!$A$12</f>
        <v>"CONSTRUCCION SISTEMA DE ACUEDUCTO FASE II DEL MUNICIPIO DE TESALIA DPTO DEL HUILA"</v>
      </c>
      <c r="F5825" s="2026"/>
      <c r="G5825" s="2026"/>
      <c r="H5825" s="2026"/>
      <c r="I5825" s="2026"/>
      <c r="J5825" s="2026"/>
      <c r="K5825" s="2026"/>
      <c r="L5825" s="2026"/>
      <c r="M5825" s="2026"/>
      <c r="N5825" s="2026"/>
      <c r="O5825" s="2026"/>
      <c r="P5825" s="2026"/>
      <c r="Q5825" s="2026"/>
      <c r="R5825" s="2026"/>
      <c r="S5825" s="2026"/>
      <c r="T5825" s="2026"/>
      <c r="U5825" s="2026"/>
      <c r="V5825" s="2026"/>
      <c r="W5825" s="2026"/>
      <c r="X5825" s="2026"/>
      <c r="Y5825" s="2026"/>
      <c r="Z5825" s="2026"/>
      <c r="AA5825" s="2026"/>
      <c r="AB5825" s="2026"/>
      <c r="AC5825" s="2026"/>
      <c r="AD5825" s="2035"/>
      <c r="AE5825" s="1041" t="s">
        <v>847</v>
      </c>
      <c r="AF5825" s="1045">
        <f>'01'!$M$13</f>
        <v>0</v>
      </c>
    </row>
    <row r="5826" spans="1:32" ht="16.5" thickBot="1" x14ac:dyDescent="0.25">
      <c r="A5826" s="2032"/>
      <c r="B5826" s="2033"/>
      <c r="C5826" s="2033"/>
      <c r="D5826" s="2034"/>
      <c r="E5826" s="2027"/>
      <c r="F5826" s="2028"/>
      <c r="G5826" s="2028"/>
      <c r="H5826" s="2028"/>
      <c r="I5826" s="2028"/>
      <c r="J5826" s="2028"/>
      <c r="K5826" s="2028"/>
      <c r="L5826" s="2028"/>
      <c r="M5826" s="2028"/>
      <c r="N5826" s="2028"/>
      <c r="O5826" s="2028"/>
      <c r="P5826" s="2028"/>
      <c r="Q5826" s="2028"/>
      <c r="R5826" s="2028"/>
      <c r="S5826" s="2028"/>
      <c r="T5826" s="2028"/>
      <c r="U5826" s="2028"/>
      <c r="V5826" s="2028"/>
      <c r="W5826" s="2028"/>
      <c r="X5826" s="2028"/>
      <c r="Y5826" s="2028"/>
      <c r="Z5826" s="2028"/>
      <c r="AA5826" s="2028"/>
      <c r="AB5826" s="2028"/>
      <c r="AC5826" s="2028"/>
      <c r="AD5826" s="2036"/>
      <c r="AE5826" s="1041" t="s">
        <v>1837</v>
      </c>
      <c r="AF5826" s="1042" t="s">
        <v>1838</v>
      </c>
    </row>
    <row r="5827" spans="1:32" ht="15.75" x14ac:dyDescent="0.25">
      <c r="A5827" s="2037" t="s">
        <v>1860</v>
      </c>
      <c r="B5827" s="2038"/>
      <c r="C5827" s="2038"/>
      <c r="D5827" s="2038"/>
      <c r="E5827" s="2038"/>
      <c r="F5827" s="2038"/>
      <c r="G5827" s="2038"/>
      <c r="H5827" s="2038"/>
      <c r="I5827" s="2038"/>
      <c r="J5827" s="2038"/>
      <c r="K5827" s="2038"/>
      <c r="L5827" s="2038"/>
      <c r="M5827" s="2038"/>
      <c r="N5827" s="2038"/>
      <c r="O5827" s="2038"/>
      <c r="P5827" s="2038"/>
      <c r="Q5827" s="2038"/>
      <c r="R5827" s="2038"/>
      <c r="S5827" s="2038"/>
      <c r="T5827" s="2038"/>
      <c r="U5827" s="2038"/>
      <c r="V5827" s="2038"/>
      <c r="W5827" s="2038"/>
      <c r="X5827" s="2038"/>
      <c r="Y5827" s="2038"/>
      <c r="Z5827" s="2038"/>
      <c r="AA5827" s="2038"/>
      <c r="AB5827" s="2038"/>
      <c r="AC5827" s="2038"/>
      <c r="AD5827" s="2038"/>
      <c r="AE5827" s="2039" t="s">
        <v>1839</v>
      </c>
      <c r="AF5827" s="2040"/>
    </row>
    <row r="5828" spans="1:32" ht="15.75" x14ac:dyDescent="0.25">
      <c r="A5828" s="2041" t="s">
        <v>1840</v>
      </c>
      <c r="B5828" s="2042"/>
      <c r="C5828" s="2042"/>
      <c r="D5828" s="2042"/>
      <c r="E5828" s="2042"/>
      <c r="F5828" s="2042"/>
      <c r="G5828" s="2042"/>
      <c r="H5828" s="2042"/>
      <c r="I5828" s="2042"/>
      <c r="J5828" s="2042"/>
      <c r="K5828" s="2042"/>
      <c r="L5828" s="2042"/>
      <c r="M5828" s="2042"/>
      <c r="N5828" s="2042"/>
      <c r="O5828" s="2042"/>
      <c r="P5828" s="2042"/>
      <c r="Q5828" s="2042"/>
      <c r="R5828" s="2042"/>
      <c r="S5828" s="2042"/>
      <c r="T5828" s="2042"/>
      <c r="U5828" s="2042"/>
      <c r="V5828" s="2042"/>
      <c r="W5828" s="2042"/>
      <c r="X5828" s="2042"/>
      <c r="Y5828" s="2042"/>
      <c r="Z5828" s="2042"/>
      <c r="AA5828" s="2042"/>
      <c r="AB5828" s="2042"/>
      <c r="AC5828" s="2042"/>
      <c r="AD5828" s="2043"/>
      <c r="AE5828" s="2014" t="s">
        <v>1841</v>
      </c>
      <c r="AF5828" s="2044"/>
    </row>
    <row r="5829" spans="1:32" ht="15.75" x14ac:dyDescent="0.25">
      <c r="A5829" s="2045" t="s">
        <v>1853</v>
      </c>
      <c r="B5829" s="2046"/>
      <c r="C5829" s="2046"/>
      <c r="D5829" s="2046"/>
      <c r="E5829" s="2046"/>
      <c r="F5829" s="2046"/>
      <c r="G5829" s="2046"/>
      <c r="H5829" s="2046"/>
      <c r="I5829" s="2046"/>
      <c r="J5829" s="2046"/>
      <c r="K5829" s="2046"/>
      <c r="L5829" s="2046"/>
      <c r="M5829" s="2046"/>
      <c r="N5829" s="2046"/>
      <c r="O5829" s="2046"/>
      <c r="P5829" s="2046"/>
      <c r="Q5829" s="2046"/>
      <c r="R5829" s="2046"/>
      <c r="S5829" s="2046"/>
      <c r="T5829" s="2046"/>
      <c r="U5829" s="2046"/>
      <c r="V5829" s="2046"/>
      <c r="W5829" s="2046"/>
      <c r="X5829" s="2046"/>
      <c r="Y5829" s="2046"/>
      <c r="Z5829" s="2046"/>
      <c r="AA5829" s="2046"/>
      <c r="AB5829" s="2046"/>
      <c r="AC5829" s="2046"/>
      <c r="AD5829" s="2046"/>
      <c r="AE5829" s="2047">
        <f>'01'!$M$13</f>
        <v>0</v>
      </c>
      <c r="AF5829" s="2044"/>
    </row>
    <row r="5830" spans="1:32" x14ac:dyDescent="0.2">
      <c r="A5830" s="1046"/>
      <c r="B5830" s="1047"/>
      <c r="C5830" s="1047"/>
      <c r="D5830" s="1047"/>
      <c r="E5830" s="1047"/>
      <c r="F5830" s="1047"/>
      <c r="G5830" s="1047"/>
      <c r="H5830" s="1047"/>
      <c r="I5830" s="1047"/>
      <c r="J5830" s="1047"/>
      <c r="K5830" s="1047"/>
      <c r="L5830" s="1047"/>
      <c r="M5830" s="1047"/>
      <c r="N5830" s="1047"/>
      <c r="O5830" s="1047"/>
      <c r="P5830" s="1047"/>
      <c r="Q5830" s="1047"/>
      <c r="R5830" s="1047"/>
      <c r="S5830" s="1047"/>
      <c r="T5830" s="1047"/>
      <c r="U5830" s="1047"/>
      <c r="V5830" s="1047"/>
      <c r="W5830" s="1047"/>
      <c r="X5830" s="1047"/>
      <c r="Y5830" s="1047"/>
      <c r="Z5830" s="1047"/>
      <c r="AA5830" s="1047"/>
      <c r="AB5830" s="1047"/>
      <c r="AC5830" s="1047"/>
      <c r="AD5830" s="1047"/>
      <c r="AE5830" s="1047"/>
      <c r="AF5830" s="1048"/>
    </row>
    <row r="5831" spans="1:32" ht="15.6" customHeight="1" x14ac:dyDescent="0.2">
      <c r="A5831" s="2048" t="s">
        <v>1842</v>
      </c>
      <c r="B5831" s="2049"/>
      <c r="C5831" s="2049"/>
      <c r="D5831" s="2049"/>
      <c r="E5831" s="2049"/>
      <c r="F5831" s="2050" t="str">
        <f>+'01'!$H$230</f>
        <v>I - TUBERÍA DE INTERCONEXIÓN</v>
      </c>
      <c r="G5831" s="2049"/>
      <c r="H5831" s="2049"/>
      <c r="I5831" s="2049"/>
      <c r="J5831" s="2049"/>
      <c r="K5831" s="2049"/>
      <c r="L5831" s="2049"/>
      <c r="M5831" s="2049"/>
      <c r="N5831" s="2049"/>
      <c r="O5831" s="2049"/>
      <c r="P5831" s="2049"/>
      <c r="Q5831" s="2049"/>
      <c r="R5831" s="2049"/>
      <c r="S5831" s="2049"/>
      <c r="T5831" s="2049"/>
      <c r="U5831" s="2049"/>
      <c r="V5831" s="2049"/>
      <c r="W5831" s="2049"/>
      <c r="X5831" s="2049"/>
      <c r="Y5831" s="2051"/>
      <c r="Z5831" s="2052" t="s">
        <v>1843</v>
      </c>
      <c r="AA5831" s="2053"/>
      <c r="AB5831" s="2058" t="s">
        <v>1844</v>
      </c>
      <c r="AC5831" s="2059"/>
      <c r="AD5831" s="2060"/>
      <c r="AE5831" s="2064" t="s">
        <v>2184</v>
      </c>
      <c r="AF5831" s="2067" t="s">
        <v>1846</v>
      </c>
    </row>
    <row r="5832" spans="1:32" x14ac:dyDescent="0.2">
      <c r="A5832" s="2070" t="str">
        <f>+'01'!A241</f>
        <v>I-04-02</v>
      </c>
      <c r="B5832" s="2071"/>
      <c r="C5832" s="2072"/>
      <c r="D5832" s="2076" t="str">
        <f>VLOOKUP(A5832,'01'!$A$12:$N$299,3,FALSE)</f>
        <v>DISPOSICIÓN DE MATERIAL PROVENIENTE DE EXCAVACIÓN (NO INCLUYE TRANSPORTE)</v>
      </c>
      <c r="E5832" s="2077"/>
      <c r="F5832" s="2077"/>
      <c r="G5832" s="2077"/>
      <c r="H5832" s="2077"/>
      <c r="I5832" s="2077"/>
      <c r="J5832" s="2077"/>
      <c r="K5832" s="2077"/>
      <c r="L5832" s="2077"/>
      <c r="M5832" s="2077"/>
      <c r="N5832" s="2077"/>
      <c r="O5832" s="2077"/>
      <c r="P5832" s="2077"/>
      <c r="Q5832" s="2077"/>
      <c r="R5832" s="2077"/>
      <c r="S5832" s="2078"/>
      <c r="T5832" s="2082" t="s">
        <v>124</v>
      </c>
      <c r="U5832" s="2083"/>
      <c r="V5832" s="2083"/>
      <c r="W5832" s="2083"/>
      <c r="X5832" s="2052" t="str">
        <f>VLOOKUP(A5832,'01'!$A$12:$N$299,9,FALSE)</f>
        <v>M3</v>
      </c>
      <c r="Y5832" s="2053"/>
      <c r="Z5832" s="2054"/>
      <c r="AA5832" s="2055"/>
      <c r="AB5832" s="2061"/>
      <c r="AC5832" s="2062"/>
      <c r="AD5832" s="2063"/>
      <c r="AE5832" s="2065"/>
      <c r="AF5832" s="2068"/>
    </row>
    <row r="5833" spans="1:32" ht="31.5" x14ac:dyDescent="0.25">
      <c r="A5833" s="2073"/>
      <c r="B5833" s="2074"/>
      <c r="C5833" s="2075"/>
      <c r="D5833" s="2079"/>
      <c r="E5833" s="2080"/>
      <c r="F5833" s="2080"/>
      <c r="G5833" s="2080"/>
      <c r="H5833" s="2080"/>
      <c r="I5833" s="2080"/>
      <c r="J5833" s="2080"/>
      <c r="K5833" s="2080"/>
      <c r="L5833" s="2080"/>
      <c r="M5833" s="2080"/>
      <c r="N5833" s="2080"/>
      <c r="O5833" s="2080"/>
      <c r="P5833" s="2080"/>
      <c r="Q5833" s="2080"/>
      <c r="R5833" s="2080"/>
      <c r="S5833" s="2081"/>
      <c r="T5833" s="2084"/>
      <c r="U5833" s="2085"/>
      <c r="V5833" s="2085"/>
      <c r="W5833" s="2085"/>
      <c r="X5833" s="2056"/>
      <c r="Y5833" s="2057"/>
      <c r="Z5833" s="2056"/>
      <c r="AA5833" s="2057"/>
      <c r="AB5833" s="1122" t="s">
        <v>2180</v>
      </c>
      <c r="AC5833" s="1122" t="s">
        <v>2181</v>
      </c>
      <c r="AD5833" s="1122" t="s">
        <v>1869</v>
      </c>
      <c r="AE5833" s="2066"/>
      <c r="AF5833" s="2069"/>
    </row>
    <row r="5834" spans="1:32" ht="15.75" x14ac:dyDescent="0.25">
      <c r="A5834" s="2017"/>
      <c r="B5834" s="2018"/>
      <c r="C5834" s="2018"/>
      <c r="D5834" s="2018"/>
      <c r="E5834" s="2018"/>
      <c r="F5834" s="2018"/>
      <c r="G5834" s="2018"/>
      <c r="H5834" s="2018"/>
      <c r="I5834" s="2018"/>
      <c r="J5834" s="2018"/>
      <c r="K5834" s="2018"/>
      <c r="L5834" s="2018"/>
      <c r="M5834" s="2018"/>
      <c r="N5834" s="2018"/>
      <c r="O5834" s="2018"/>
      <c r="P5834" s="2018"/>
      <c r="Q5834" s="2018"/>
      <c r="R5834" s="2018"/>
      <c r="S5834" s="2018"/>
      <c r="T5834" s="2018"/>
      <c r="U5834" s="2018"/>
      <c r="V5834" s="2018"/>
      <c r="W5834" s="2018"/>
      <c r="X5834" s="2018"/>
      <c r="Y5834" s="2094"/>
      <c r="Z5834" s="2096"/>
      <c r="AA5834" s="2097"/>
      <c r="AB5834" s="1050">
        <f>+AB5796</f>
        <v>65.25</v>
      </c>
      <c r="AC5834" s="1050">
        <f>+AC5796</f>
        <v>46.71</v>
      </c>
      <c r="AD5834" s="1050">
        <f>+AD5796</f>
        <v>1.25</v>
      </c>
      <c r="AE5834" s="1051">
        <f>+'01'!E15</f>
        <v>5</v>
      </c>
      <c r="AF5834" s="1052">
        <f>ROUND((AB5834-AC5834)*AD5834,2)</f>
        <v>23.18</v>
      </c>
    </row>
    <row r="5835" spans="1:32" ht="15.75" x14ac:dyDescent="0.25">
      <c r="A5835" s="2017"/>
      <c r="B5835" s="2018"/>
      <c r="C5835" s="2018"/>
      <c r="D5835" s="2018"/>
      <c r="E5835" s="2018"/>
      <c r="F5835" s="2018"/>
      <c r="G5835" s="2018"/>
      <c r="H5835" s="2018"/>
      <c r="I5835" s="2018"/>
      <c r="J5835" s="2018"/>
      <c r="K5835" s="2018"/>
      <c r="L5835" s="2018"/>
      <c r="M5835" s="2018"/>
      <c r="N5835" s="2018"/>
      <c r="O5835" s="2018"/>
      <c r="P5835" s="2018"/>
      <c r="Q5835" s="2018"/>
      <c r="R5835" s="2018"/>
      <c r="S5835" s="2018"/>
      <c r="T5835" s="2018"/>
      <c r="U5835" s="2018"/>
      <c r="V5835" s="2018"/>
      <c r="W5835" s="2018"/>
      <c r="X5835" s="2018"/>
      <c r="Y5835" s="2094"/>
      <c r="Z5835" s="2096"/>
      <c r="AA5835" s="2097"/>
      <c r="AB5835" s="1050"/>
      <c r="AC5835" s="1050"/>
      <c r="AD5835" s="1050"/>
      <c r="AE5835" s="1051"/>
      <c r="AF5835" s="1052"/>
    </row>
    <row r="5836" spans="1:32" ht="15.75" x14ac:dyDescent="0.25">
      <c r="A5836" s="2017"/>
      <c r="B5836" s="2018"/>
      <c r="C5836" s="2018"/>
      <c r="D5836" s="2018"/>
      <c r="E5836" s="2018"/>
      <c r="F5836" s="2018"/>
      <c r="G5836" s="2018"/>
      <c r="H5836" s="2018"/>
      <c r="I5836" s="2018"/>
      <c r="J5836" s="2018"/>
      <c r="K5836" s="2018"/>
      <c r="L5836" s="2018"/>
      <c r="M5836" s="2018"/>
      <c r="N5836" s="2018"/>
      <c r="O5836" s="2018"/>
      <c r="P5836" s="2018"/>
      <c r="Q5836" s="2018"/>
      <c r="R5836" s="2018"/>
      <c r="S5836" s="2018"/>
      <c r="T5836" s="2018"/>
      <c r="U5836" s="2018"/>
      <c r="V5836" s="2018"/>
      <c r="W5836" s="2018"/>
      <c r="X5836" s="2018"/>
      <c r="Y5836" s="2094"/>
      <c r="Z5836" s="2096"/>
      <c r="AA5836" s="2097"/>
      <c r="AB5836" s="1050"/>
      <c r="AC5836" s="1050"/>
      <c r="AD5836" s="1050"/>
      <c r="AE5836" s="1051"/>
      <c r="AF5836" s="1052"/>
    </row>
    <row r="5837" spans="1:32" ht="15.75" x14ac:dyDescent="0.25">
      <c r="A5837" s="2017"/>
      <c r="B5837" s="2018"/>
      <c r="C5837" s="2018"/>
      <c r="D5837" s="2018"/>
      <c r="E5837" s="2018"/>
      <c r="F5837" s="2018"/>
      <c r="G5837" s="2018"/>
      <c r="H5837" s="2018"/>
      <c r="I5837" s="2018"/>
      <c r="J5837" s="2018"/>
      <c r="K5837" s="2018"/>
      <c r="L5837" s="2018"/>
      <c r="M5837" s="2018"/>
      <c r="N5837" s="2018"/>
      <c r="O5837" s="2018"/>
      <c r="P5837" s="2018"/>
      <c r="Q5837" s="2018"/>
      <c r="R5837" s="2018"/>
      <c r="S5837" s="2018"/>
      <c r="T5837" s="2018"/>
      <c r="U5837" s="2018"/>
      <c r="V5837" s="2018"/>
      <c r="W5837" s="2018"/>
      <c r="X5837" s="2018"/>
      <c r="Y5837" s="2094"/>
      <c r="Z5837" s="2096"/>
      <c r="AA5837" s="2097"/>
      <c r="AB5837" s="1050"/>
      <c r="AC5837" s="1050"/>
      <c r="AD5837" s="1050"/>
      <c r="AE5837" s="1051"/>
      <c r="AF5837" s="1052"/>
    </row>
    <row r="5838" spans="1:32" ht="15.75" x14ac:dyDescent="0.25">
      <c r="A5838" s="2017"/>
      <c r="B5838" s="2018"/>
      <c r="C5838" s="2018"/>
      <c r="D5838" s="2018"/>
      <c r="E5838" s="2018"/>
      <c r="F5838" s="2018"/>
      <c r="G5838" s="2018"/>
      <c r="H5838" s="2018"/>
      <c r="I5838" s="2018"/>
      <c r="J5838" s="2018"/>
      <c r="K5838" s="2018"/>
      <c r="L5838" s="2018"/>
      <c r="M5838" s="2018"/>
      <c r="N5838" s="2018"/>
      <c r="O5838" s="2018"/>
      <c r="P5838" s="2018"/>
      <c r="Q5838" s="2018"/>
      <c r="R5838" s="2018"/>
      <c r="S5838" s="2018"/>
      <c r="T5838" s="2018"/>
      <c r="U5838" s="2018"/>
      <c r="V5838" s="2018"/>
      <c r="W5838" s="2018"/>
      <c r="X5838" s="2018"/>
      <c r="Y5838" s="2094"/>
      <c r="Z5838" s="2096"/>
      <c r="AA5838" s="2097"/>
      <c r="AB5838" s="1050"/>
      <c r="AC5838" s="1050"/>
      <c r="AD5838" s="1050"/>
      <c r="AE5838" s="1051"/>
      <c r="AF5838" s="1052"/>
    </row>
    <row r="5839" spans="1:32" ht="15.75" x14ac:dyDescent="0.25">
      <c r="A5839" s="2017"/>
      <c r="B5839" s="2018"/>
      <c r="C5839" s="2018"/>
      <c r="D5839" s="2018"/>
      <c r="E5839" s="2018"/>
      <c r="F5839" s="2018"/>
      <c r="G5839" s="2018"/>
      <c r="H5839" s="2018"/>
      <c r="I5839" s="2018"/>
      <c r="J5839" s="2018"/>
      <c r="K5839" s="2018"/>
      <c r="L5839" s="2018"/>
      <c r="M5839" s="2018"/>
      <c r="N5839" s="2018"/>
      <c r="O5839" s="2018"/>
      <c r="P5839" s="2018"/>
      <c r="Q5839" s="2018"/>
      <c r="R5839" s="2018"/>
      <c r="S5839" s="2018"/>
      <c r="T5839" s="2018"/>
      <c r="U5839" s="2018"/>
      <c r="V5839" s="2018"/>
      <c r="W5839" s="2018"/>
      <c r="X5839" s="2018"/>
      <c r="Y5839" s="2094"/>
      <c r="Z5839" s="2096"/>
      <c r="AA5839" s="2097"/>
      <c r="AB5839" s="1050"/>
      <c r="AC5839" s="1050"/>
      <c r="AD5839" s="1050"/>
      <c r="AE5839" s="1051"/>
      <c r="AF5839" s="1052"/>
    </row>
    <row r="5840" spans="1:32" ht="15.75" x14ac:dyDescent="0.25">
      <c r="A5840" s="2017"/>
      <c r="B5840" s="2018"/>
      <c r="C5840" s="2018"/>
      <c r="D5840" s="2018"/>
      <c r="E5840" s="2018"/>
      <c r="F5840" s="2018"/>
      <c r="G5840" s="2018"/>
      <c r="H5840" s="2018"/>
      <c r="I5840" s="2018"/>
      <c r="J5840" s="2018"/>
      <c r="K5840" s="2018"/>
      <c r="L5840" s="2018"/>
      <c r="M5840" s="2018"/>
      <c r="N5840" s="2018"/>
      <c r="O5840" s="2018"/>
      <c r="P5840" s="2018"/>
      <c r="Q5840" s="2018"/>
      <c r="R5840" s="2018"/>
      <c r="S5840" s="2018"/>
      <c r="T5840" s="2018"/>
      <c r="U5840" s="2018"/>
      <c r="V5840" s="2018"/>
      <c r="W5840" s="2018"/>
      <c r="X5840" s="2018"/>
      <c r="Y5840" s="2094"/>
      <c r="Z5840" s="2096"/>
      <c r="AA5840" s="2097"/>
      <c r="AB5840" s="1050"/>
      <c r="AC5840" s="1050"/>
      <c r="AD5840" s="1050"/>
      <c r="AE5840" s="1051"/>
      <c r="AF5840" s="1052"/>
    </row>
    <row r="5841" spans="1:32" ht="15.75" x14ac:dyDescent="0.25">
      <c r="A5841" s="2017"/>
      <c r="B5841" s="2018"/>
      <c r="C5841" s="2018"/>
      <c r="D5841" s="2018"/>
      <c r="E5841" s="2018"/>
      <c r="F5841" s="2018"/>
      <c r="G5841" s="2018"/>
      <c r="H5841" s="2018"/>
      <c r="I5841" s="2018"/>
      <c r="J5841" s="2018"/>
      <c r="K5841" s="2018"/>
      <c r="L5841" s="2018"/>
      <c r="M5841" s="2018"/>
      <c r="N5841" s="2018"/>
      <c r="O5841" s="2018"/>
      <c r="P5841" s="2018"/>
      <c r="Q5841" s="2018"/>
      <c r="R5841" s="2018"/>
      <c r="S5841" s="2018"/>
      <c r="T5841" s="2018"/>
      <c r="U5841" s="2018"/>
      <c r="V5841" s="2018"/>
      <c r="W5841" s="2018"/>
      <c r="X5841" s="2018"/>
      <c r="Y5841" s="2094"/>
      <c r="Z5841" s="2096"/>
      <c r="AA5841" s="2097"/>
      <c r="AB5841" s="1053"/>
      <c r="AC5841" s="1053"/>
      <c r="AD5841" s="1053"/>
      <c r="AE5841" s="1051"/>
      <c r="AF5841" s="1052"/>
    </row>
    <row r="5842" spans="1:32" ht="15.75" x14ac:dyDescent="0.25">
      <c r="A5842" s="2017"/>
      <c r="B5842" s="2018"/>
      <c r="C5842" s="2018"/>
      <c r="D5842" s="2018"/>
      <c r="E5842" s="2018"/>
      <c r="F5842" s="2018"/>
      <c r="G5842" s="2018"/>
      <c r="H5842" s="2018"/>
      <c r="I5842" s="2018"/>
      <c r="J5842" s="2018"/>
      <c r="K5842" s="2018"/>
      <c r="L5842" s="2018"/>
      <c r="M5842" s="2018"/>
      <c r="N5842" s="2018"/>
      <c r="O5842" s="2018"/>
      <c r="P5842" s="2018"/>
      <c r="Q5842" s="2018"/>
      <c r="R5842" s="2018"/>
      <c r="S5842" s="2018"/>
      <c r="T5842" s="2018"/>
      <c r="U5842" s="2018"/>
      <c r="V5842" s="2018"/>
      <c r="W5842" s="2018"/>
      <c r="X5842" s="2018"/>
      <c r="Y5842" s="2094"/>
      <c r="Z5842" s="2096"/>
      <c r="AA5842" s="2097"/>
      <c r="AB5842" s="1053"/>
      <c r="AC5842" s="1053"/>
      <c r="AD5842" s="1053"/>
      <c r="AE5842" s="1050"/>
      <c r="AF5842" s="1054"/>
    </row>
    <row r="5843" spans="1:32" ht="15.75" x14ac:dyDescent="0.25">
      <c r="A5843" s="2017"/>
      <c r="B5843" s="2018"/>
      <c r="C5843" s="2018"/>
      <c r="D5843" s="2018"/>
      <c r="E5843" s="2018"/>
      <c r="F5843" s="2018"/>
      <c r="G5843" s="2018"/>
      <c r="H5843" s="2018"/>
      <c r="I5843" s="2018"/>
      <c r="J5843" s="2018"/>
      <c r="K5843" s="2018"/>
      <c r="L5843" s="2018"/>
      <c r="M5843" s="2018"/>
      <c r="N5843" s="2018"/>
      <c r="O5843" s="2018"/>
      <c r="P5843" s="2018"/>
      <c r="Q5843" s="2018"/>
      <c r="R5843" s="2018"/>
      <c r="S5843" s="2018"/>
      <c r="T5843" s="2018"/>
      <c r="U5843" s="2018"/>
      <c r="V5843" s="2018"/>
      <c r="W5843" s="2018"/>
      <c r="X5843" s="2018"/>
      <c r="Y5843" s="2094"/>
      <c r="Z5843" s="2096"/>
      <c r="AA5843" s="2097"/>
      <c r="AB5843" s="1053"/>
      <c r="AC5843" s="1053"/>
      <c r="AD5843" s="1053"/>
      <c r="AE5843" s="1051"/>
      <c r="AF5843" s="1054"/>
    </row>
    <row r="5844" spans="1:32" ht="15.75" x14ac:dyDescent="0.25">
      <c r="A5844" s="2017"/>
      <c r="B5844" s="2018"/>
      <c r="C5844" s="2018"/>
      <c r="D5844" s="2018"/>
      <c r="E5844" s="2018"/>
      <c r="F5844" s="2018"/>
      <c r="G5844" s="2018"/>
      <c r="H5844" s="2018"/>
      <c r="I5844" s="2018"/>
      <c r="J5844" s="2018"/>
      <c r="K5844" s="2018"/>
      <c r="L5844" s="2018"/>
      <c r="M5844" s="2018"/>
      <c r="N5844" s="2018"/>
      <c r="O5844" s="2018"/>
      <c r="P5844" s="2018"/>
      <c r="Q5844" s="2018"/>
      <c r="R5844" s="2018"/>
      <c r="S5844" s="2018"/>
      <c r="T5844" s="2018"/>
      <c r="U5844" s="2018"/>
      <c r="V5844" s="2018"/>
      <c r="W5844" s="2018"/>
      <c r="X5844" s="2018"/>
      <c r="Y5844" s="2094"/>
      <c r="Z5844" s="2096"/>
      <c r="AA5844" s="2097"/>
      <c r="AB5844" s="1053"/>
      <c r="AC5844" s="1053"/>
      <c r="AD5844" s="1053"/>
      <c r="AE5844" s="1051"/>
      <c r="AF5844" s="1054"/>
    </row>
    <row r="5845" spans="1:32" ht="15.75" x14ac:dyDescent="0.25">
      <c r="A5845" s="2017"/>
      <c r="B5845" s="2018"/>
      <c r="C5845" s="2018"/>
      <c r="D5845" s="2018"/>
      <c r="E5845" s="2018"/>
      <c r="F5845" s="2018"/>
      <c r="G5845" s="2018"/>
      <c r="H5845" s="2018"/>
      <c r="I5845" s="2018"/>
      <c r="J5845" s="2018"/>
      <c r="K5845" s="2018"/>
      <c r="L5845" s="2018"/>
      <c r="M5845" s="2018"/>
      <c r="N5845" s="2018"/>
      <c r="O5845" s="2018"/>
      <c r="P5845" s="2018"/>
      <c r="Q5845" s="2018"/>
      <c r="R5845" s="2018"/>
      <c r="S5845" s="2018"/>
      <c r="T5845" s="2018"/>
      <c r="U5845" s="2018"/>
      <c r="V5845" s="2018"/>
      <c r="W5845" s="2018"/>
      <c r="X5845" s="2018"/>
      <c r="Y5845" s="2094"/>
      <c r="Z5845" s="2096"/>
      <c r="AA5845" s="2097"/>
      <c r="AB5845" s="1053"/>
      <c r="AC5845" s="1053"/>
      <c r="AD5845" s="1053"/>
      <c r="AE5845" s="1051"/>
      <c r="AF5845" s="1054"/>
    </row>
    <row r="5846" spans="1:32" ht="15.75" x14ac:dyDescent="0.25">
      <c r="A5846" s="2017"/>
      <c r="B5846" s="2018"/>
      <c r="C5846" s="2018"/>
      <c r="D5846" s="2018"/>
      <c r="E5846" s="2018"/>
      <c r="F5846" s="2018"/>
      <c r="G5846" s="2018"/>
      <c r="H5846" s="2018"/>
      <c r="I5846" s="2018"/>
      <c r="J5846" s="2018"/>
      <c r="K5846" s="2018"/>
      <c r="L5846" s="2018"/>
      <c r="M5846" s="2018"/>
      <c r="N5846" s="2018"/>
      <c r="O5846" s="2018"/>
      <c r="P5846" s="2018"/>
      <c r="Q5846" s="2018"/>
      <c r="R5846" s="2018"/>
      <c r="S5846" s="2018"/>
      <c r="T5846" s="2018"/>
      <c r="U5846" s="2018"/>
      <c r="V5846" s="2018"/>
      <c r="W5846" s="2018"/>
      <c r="X5846" s="2018"/>
      <c r="Y5846" s="2094"/>
      <c r="Z5846" s="2096"/>
      <c r="AA5846" s="2097"/>
      <c r="AB5846" s="1053"/>
      <c r="AC5846" s="1053"/>
      <c r="AD5846" s="1053"/>
      <c r="AE5846" s="1051"/>
      <c r="AF5846" s="1054"/>
    </row>
    <row r="5847" spans="1:32" ht="15.75" x14ac:dyDescent="0.25">
      <c r="A5847" s="2017"/>
      <c r="B5847" s="2018"/>
      <c r="C5847" s="2018"/>
      <c r="D5847" s="2018"/>
      <c r="E5847" s="2018"/>
      <c r="F5847" s="2018"/>
      <c r="G5847" s="2018"/>
      <c r="H5847" s="2018"/>
      <c r="I5847" s="2018"/>
      <c r="J5847" s="2018"/>
      <c r="K5847" s="2018"/>
      <c r="L5847" s="2018"/>
      <c r="M5847" s="2018"/>
      <c r="N5847" s="2018"/>
      <c r="O5847" s="2018"/>
      <c r="P5847" s="2018"/>
      <c r="Q5847" s="2018"/>
      <c r="R5847" s="2018"/>
      <c r="S5847" s="2018"/>
      <c r="T5847" s="2018"/>
      <c r="U5847" s="2018"/>
      <c r="V5847" s="2018"/>
      <c r="W5847" s="2018"/>
      <c r="X5847" s="2018"/>
      <c r="Y5847" s="2094"/>
      <c r="Z5847" s="2096"/>
      <c r="AA5847" s="2097"/>
      <c r="AB5847" s="1053"/>
      <c r="AC5847" s="1053"/>
      <c r="AD5847" s="1053"/>
      <c r="AE5847" s="1051"/>
      <c r="AF5847" s="1054"/>
    </row>
    <row r="5848" spans="1:32" ht="15.75" x14ac:dyDescent="0.25">
      <c r="A5848" s="2017"/>
      <c r="B5848" s="2018"/>
      <c r="C5848" s="2018"/>
      <c r="D5848" s="2018"/>
      <c r="E5848" s="2018"/>
      <c r="F5848" s="2018"/>
      <c r="G5848" s="2018"/>
      <c r="H5848" s="2018"/>
      <c r="I5848" s="2018"/>
      <c r="J5848" s="2018"/>
      <c r="K5848" s="2018"/>
      <c r="L5848" s="2018"/>
      <c r="M5848" s="2018"/>
      <c r="N5848" s="2018"/>
      <c r="O5848" s="2018"/>
      <c r="P5848" s="2018"/>
      <c r="Q5848" s="2018"/>
      <c r="R5848" s="2018"/>
      <c r="S5848" s="2018"/>
      <c r="T5848" s="2018"/>
      <c r="U5848" s="2018"/>
      <c r="V5848" s="2018"/>
      <c r="W5848" s="2018"/>
      <c r="X5848" s="2018"/>
      <c r="Y5848" s="2094"/>
      <c r="Z5848" s="2096"/>
      <c r="AA5848" s="2097"/>
      <c r="AB5848" s="1055"/>
      <c r="AC5848" s="1055"/>
      <c r="AD5848" s="1055"/>
      <c r="AE5848" s="1051"/>
      <c r="AF5848" s="1056"/>
    </row>
    <row r="5849" spans="1:32" ht="15.75" x14ac:dyDescent="0.25">
      <c r="A5849" s="2017"/>
      <c r="B5849" s="2018"/>
      <c r="C5849" s="2018"/>
      <c r="D5849" s="2018"/>
      <c r="E5849" s="2018"/>
      <c r="F5849" s="2018"/>
      <c r="G5849" s="2018"/>
      <c r="H5849" s="2018"/>
      <c r="I5849" s="2018"/>
      <c r="J5849" s="2018"/>
      <c r="K5849" s="2018"/>
      <c r="L5849" s="2018"/>
      <c r="M5849" s="2018"/>
      <c r="N5849" s="2018"/>
      <c r="O5849" s="2018"/>
      <c r="P5849" s="2018"/>
      <c r="Q5849" s="2018"/>
      <c r="R5849" s="2018"/>
      <c r="S5849" s="2018"/>
      <c r="T5849" s="2018"/>
      <c r="U5849" s="2018"/>
      <c r="V5849" s="2018"/>
      <c r="W5849" s="2018"/>
      <c r="X5849" s="2018"/>
      <c r="Y5849" s="2094"/>
      <c r="Z5849" s="2096"/>
      <c r="AA5849" s="2097"/>
      <c r="AB5849" s="1055"/>
      <c r="AC5849" s="1055"/>
      <c r="AD5849" s="1055"/>
      <c r="AE5849" s="1055"/>
      <c r="AF5849" s="1056"/>
    </row>
    <row r="5850" spans="1:32" ht="15.75" x14ac:dyDescent="0.25">
      <c r="A5850" s="2017"/>
      <c r="B5850" s="2018"/>
      <c r="C5850" s="2018"/>
      <c r="D5850" s="2018"/>
      <c r="E5850" s="2018"/>
      <c r="F5850" s="2018"/>
      <c r="G5850" s="2018"/>
      <c r="H5850" s="2018"/>
      <c r="I5850" s="2018"/>
      <c r="J5850" s="2018"/>
      <c r="K5850" s="2018"/>
      <c r="L5850" s="2018"/>
      <c r="M5850" s="2018"/>
      <c r="N5850" s="2018"/>
      <c r="O5850" s="2018"/>
      <c r="P5850" s="2018"/>
      <c r="Q5850" s="2018"/>
      <c r="R5850" s="2018"/>
      <c r="S5850" s="2018"/>
      <c r="T5850" s="2018"/>
      <c r="U5850" s="2018"/>
      <c r="V5850" s="2018"/>
      <c r="W5850" s="2018"/>
      <c r="X5850" s="2018"/>
      <c r="Y5850" s="2094"/>
      <c r="Z5850" s="2096"/>
      <c r="AA5850" s="2097"/>
      <c r="AB5850" s="1055"/>
      <c r="AC5850" s="1055"/>
      <c r="AD5850" s="1055"/>
      <c r="AE5850" s="1055"/>
      <c r="AF5850" s="1056"/>
    </row>
    <row r="5851" spans="1:32" ht="15.75" x14ac:dyDescent="0.25">
      <c r="A5851" s="2017"/>
      <c r="B5851" s="2018"/>
      <c r="C5851" s="2018"/>
      <c r="D5851" s="2018"/>
      <c r="E5851" s="2018"/>
      <c r="F5851" s="2018"/>
      <c r="G5851" s="2018"/>
      <c r="H5851" s="2018"/>
      <c r="I5851" s="2018"/>
      <c r="J5851" s="2018"/>
      <c r="K5851" s="2018"/>
      <c r="L5851" s="2018"/>
      <c r="M5851" s="2018"/>
      <c r="N5851" s="2018"/>
      <c r="O5851" s="2018"/>
      <c r="P5851" s="2018"/>
      <c r="Q5851" s="2018"/>
      <c r="R5851" s="2018"/>
      <c r="S5851" s="2018"/>
      <c r="T5851" s="2018"/>
      <c r="U5851" s="2018"/>
      <c r="V5851" s="2018"/>
      <c r="W5851" s="2018"/>
      <c r="X5851" s="2018"/>
      <c r="Y5851" s="2094"/>
      <c r="Z5851" s="2096"/>
      <c r="AA5851" s="2097"/>
      <c r="AB5851" s="1055"/>
      <c r="AC5851" s="1055"/>
      <c r="AD5851" s="1055"/>
      <c r="AE5851" s="1055"/>
      <c r="AF5851" s="1056"/>
    </row>
    <row r="5852" spans="1:32" ht="15.75" x14ac:dyDescent="0.25">
      <c r="A5852" s="2017"/>
      <c r="B5852" s="2018"/>
      <c r="C5852" s="2018"/>
      <c r="D5852" s="2018"/>
      <c r="E5852" s="2018"/>
      <c r="F5852" s="2018"/>
      <c r="G5852" s="2018"/>
      <c r="H5852" s="2018"/>
      <c r="I5852" s="2018"/>
      <c r="J5852" s="2018"/>
      <c r="K5852" s="2018"/>
      <c r="L5852" s="2018"/>
      <c r="M5852" s="2018"/>
      <c r="N5852" s="2018"/>
      <c r="O5852" s="2018"/>
      <c r="P5852" s="2018"/>
      <c r="Q5852" s="2018"/>
      <c r="R5852" s="2018"/>
      <c r="S5852" s="2018"/>
      <c r="T5852" s="2018"/>
      <c r="U5852" s="2018"/>
      <c r="V5852" s="2018"/>
      <c r="W5852" s="2018"/>
      <c r="X5852" s="2018"/>
      <c r="Y5852" s="2094"/>
      <c r="Z5852" s="2096"/>
      <c r="AA5852" s="2097"/>
      <c r="AB5852" s="1055"/>
      <c r="AC5852" s="1055"/>
      <c r="AD5852" s="1055"/>
      <c r="AE5852" s="1055"/>
      <c r="AF5852" s="1056"/>
    </row>
    <row r="5853" spans="1:32" ht="15.75" x14ac:dyDescent="0.25">
      <c r="A5853" s="2017"/>
      <c r="B5853" s="2018"/>
      <c r="C5853" s="2018"/>
      <c r="D5853" s="2018"/>
      <c r="E5853" s="2018"/>
      <c r="F5853" s="2018"/>
      <c r="G5853" s="2018"/>
      <c r="H5853" s="2018"/>
      <c r="I5853" s="2018"/>
      <c r="J5853" s="2018"/>
      <c r="K5853" s="2018"/>
      <c r="L5853" s="2018"/>
      <c r="M5853" s="2018"/>
      <c r="N5853" s="2018"/>
      <c r="O5853" s="2018"/>
      <c r="P5853" s="2018"/>
      <c r="Q5853" s="2018"/>
      <c r="R5853" s="2018"/>
      <c r="S5853" s="2018"/>
      <c r="T5853" s="2018"/>
      <c r="U5853" s="2018"/>
      <c r="V5853" s="2018"/>
      <c r="W5853" s="2018"/>
      <c r="X5853" s="2018"/>
      <c r="Y5853" s="2094"/>
      <c r="Z5853" s="2096"/>
      <c r="AA5853" s="2097"/>
      <c r="AB5853" s="1055"/>
      <c r="AC5853" s="1055"/>
      <c r="AD5853" s="1055"/>
      <c r="AE5853" s="1055"/>
      <c r="AF5853" s="1056"/>
    </row>
    <row r="5854" spans="1:32" ht="16.5" thickBot="1" x14ac:dyDescent="0.3">
      <c r="A5854" s="2019"/>
      <c r="B5854" s="2020"/>
      <c r="C5854" s="2020"/>
      <c r="D5854" s="2020"/>
      <c r="E5854" s="2020"/>
      <c r="F5854" s="2020"/>
      <c r="G5854" s="2020"/>
      <c r="H5854" s="2020"/>
      <c r="I5854" s="2020"/>
      <c r="J5854" s="2020"/>
      <c r="K5854" s="2020"/>
      <c r="L5854" s="2020"/>
      <c r="M5854" s="2020"/>
      <c r="N5854" s="2020"/>
      <c r="O5854" s="2020"/>
      <c r="P5854" s="2020"/>
      <c r="Q5854" s="2020"/>
      <c r="R5854" s="2020"/>
      <c r="S5854" s="2020"/>
      <c r="T5854" s="2020"/>
      <c r="U5854" s="2020"/>
      <c r="V5854" s="2020"/>
      <c r="W5854" s="2020"/>
      <c r="X5854" s="2020"/>
      <c r="Y5854" s="2095"/>
      <c r="Z5854" s="2098"/>
      <c r="AA5854" s="2099"/>
      <c r="AB5854" s="1057"/>
      <c r="AC5854" s="1057"/>
      <c r="AD5854" s="1057"/>
      <c r="AE5854" s="1057"/>
      <c r="AF5854" s="1058"/>
    </row>
    <row r="5855" spans="1:32" ht="15.75" x14ac:dyDescent="0.25">
      <c r="A5855" s="2009" t="s">
        <v>2411</v>
      </c>
      <c r="B5855" s="2010"/>
      <c r="C5855" s="2010"/>
      <c r="D5855" s="2010"/>
      <c r="E5855" s="2010"/>
      <c r="F5855" s="2010"/>
      <c r="G5855" s="2010"/>
      <c r="H5855" s="2010"/>
      <c r="I5855" s="2010"/>
      <c r="J5855" s="2010"/>
      <c r="K5855" s="2010"/>
      <c r="L5855" s="2010"/>
      <c r="M5855" s="2010"/>
      <c r="N5855" s="2010"/>
      <c r="O5855" s="2010"/>
      <c r="P5855" s="2010"/>
      <c r="Q5855" s="2010"/>
      <c r="R5855" s="2010"/>
      <c r="S5855" s="2010"/>
      <c r="T5855" s="2010"/>
      <c r="U5855" s="2010"/>
      <c r="V5855" s="2010"/>
      <c r="W5855" s="2010"/>
      <c r="X5855" s="2010"/>
      <c r="Y5855" s="2010"/>
      <c r="Z5855" s="2013" t="s">
        <v>1850</v>
      </c>
      <c r="AA5855" s="2013"/>
      <c r="AB5855" s="2013"/>
      <c r="AC5855" s="2013"/>
      <c r="AD5855" s="2013"/>
      <c r="AE5855" s="2013"/>
      <c r="AF5855" s="1059">
        <f>SUM(AF5834:AF5854)</f>
        <v>23.18</v>
      </c>
    </row>
    <row r="5856" spans="1:32" ht="15.75" x14ac:dyDescent="0.25">
      <c r="A5856" s="2011"/>
      <c r="B5856" s="2012"/>
      <c r="C5856" s="2012"/>
      <c r="D5856" s="2012"/>
      <c r="E5856" s="2012"/>
      <c r="F5856" s="2012"/>
      <c r="G5856" s="2012"/>
      <c r="H5856" s="2012"/>
      <c r="I5856" s="2012"/>
      <c r="J5856" s="2012"/>
      <c r="K5856" s="2012"/>
      <c r="L5856" s="2012"/>
      <c r="M5856" s="2012"/>
      <c r="N5856" s="2012"/>
      <c r="O5856" s="2012"/>
      <c r="P5856" s="2012"/>
      <c r="Q5856" s="2012"/>
      <c r="R5856" s="2012"/>
      <c r="S5856" s="2012"/>
      <c r="T5856" s="2012"/>
      <c r="U5856" s="2012"/>
      <c r="V5856" s="2012"/>
      <c r="W5856" s="2012"/>
      <c r="X5856" s="2012"/>
      <c r="Y5856" s="2012"/>
      <c r="Z5856" s="2014" t="s">
        <v>1851</v>
      </c>
      <c r="AA5856" s="2014"/>
      <c r="AB5856" s="2014"/>
      <c r="AC5856" s="2014"/>
      <c r="AD5856" s="2014"/>
      <c r="AE5856" s="2014"/>
      <c r="AF5856" s="1060">
        <v>0</v>
      </c>
    </row>
    <row r="5857" spans="1:32" ht="15.75" x14ac:dyDescent="0.25">
      <c r="A5857" s="2011"/>
      <c r="B5857" s="2012"/>
      <c r="C5857" s="2012"/>
      <c r="D5857" s="2012"/>
      <c r="E5857" s="2012"/>
      <c r="F5857" s="2012"/>
      <c r="G5857" s="2012"/>
      <c r="H5857" s="2012"/>
      <c r="I5857" s="2012"/>
      <c r="J5857" s="2012"/>
      <c r="K5857" s="2012"/>
      <c r="L5857" s="2012"/>
      <c r="M5857" s="2012"/>
      <c r="N5857" s="2012"/>
      <c r="O5857" s="2012"/>
      <c r="P5857" s="2012"/>
      <c r="Q5857" s="2012"/>
      <c r="R5857" s="2012"/>
      <c r="S5857" s="2012"/>
      <c r="T5857" s="2012"/>
      <c r="U5857" s="2012"/>
      <c r="V5857" s="2012"/>
      <c r="W5857" s="2012"/>
      <c r="X5857" s="2012"/>
      <c r="Y5857" s="2012"/>
      <c r="Z5857" s="2015" t="s">
        <v>1833</v>
      </c>
      <c r="AA5857" s="2015"/>
      <c r="AB5857" s="2015"/>
      <c r="AC5857" s="2015"/>
      <c r="AD5857" s="2015"/>
      <c r="AE5857" s="2015"/>
      <c r="AF5857" s="1061">
        <f>SUM(AF5855:AF5856)</f>
        <v>23.18</v>
      </c>
    </row>
    <row r="5858" spans="1:32" x14ac:dyDescent="0.2">
      <c r="A5858" s="2012" t="s">
        <v>1859</v>
      </c>
      <c r="B5858" s="2012"/>
      <c r="C5858" s="2012"/>
      <c r="D5858" s="2012"/>
      <c r="E5858" s="2012"/>
      <c r="F5858" s="2012"/>
      <c r="G5858" s="2012"/>
      <c r="H5858" s="2012"/>
      <c r="I5858" s="2012"/>
      <c r="J5858" s="2012"/>
      <c r="K5858" s="2012"/>
      <c r="L5858" s="2012"/>
      <c r="M5858" s="2012"/>
      <c r="N5858" s="2012"/>
      <c r="O5858" s="2012"/>
      <c r="P5858" s="2012"/>
      <c r="Q5858" s="2012"/>
      <c r="R5858" s="2012"/>
      <c r="S5858" s="2012"/>
      <c r="T5858" s="2016" t="s">
        <v>1840</v>
      </c>
      <c r="U5858" s="2016"/>
      <c r="V5858" s="2016"/>
      <c r="W5858" s="2016"/>
      <c r="X5858" s="2016"/>
      <c r="Y5858" s="2016"/>
      <c r="Z5858" s="2016"/>
      <c r="AA5858" s="2016"/>
      <c r="AB5858" s="2012" t="s">
        <v>1852</v>
      </c>
      <c r="AC5858" s="2012"/>
      <c r="AD5858" s="2012"/>
      <c r="AE5858" s="2012"/>
      <c r="AF5858" s="2012"/>
    </row>
    <row r="5859" spans="1:32" x14ac:dyDescent="0.2">
      <c r="A5859" s="2012"/>
      <c r="B5859" s="2012"/>
      <c r="C5859" s="2012"/>
      <c r="D5859" s="2012"/>
      <c r="E5859" s="2012"/>
      <c r="F5859" s="2012"/>
      <c r="G5859" s="2012"/>
      <c r="H5859" s="2012"/>
      <c r="I5859" s="2012"/>
      <c r="J5859" s="2012"/>
      <c r="K5859" s="2012"/>
      <c r="L5859" s="2012"/>
      <c r="M5859" s="2012"/>
      <c r="N5859" s="2012"/>
      <c r="O5859" s="2012"/>
      <c r="P5859" s="2012"/>
      <c r="Q5859" s="2012"/>
      <c r="R5859" s="2012"/>
      <c r="S5859" s="2012"/>
      <c r="T5859" s="2016"/>
      <c r="U5859" s="2016"/>
      <c r="V5859" s="2016"/>
      <c r="W5859" s="2016"/>
      <c r="X5859" s="2016"/>
      <c r="Y5859" s="2016"/>
      <c r="Z5859" s="2016"/>
      <c r="AA5859" s="2016"/>
      <c r="AB5859" s="2012"/>
      <c r="AC5859" s="2012"/>
      <c r="AD5859" s="2012"/>
      <c r="AE5859" s="2012"/>
      <c r="AF5859" s="2012"/>
    </row>
    <row r="5860" spans="1:32" ht="13.5" thickBot="1" x14ac:dyDescent="0.25"/>
    <row r="5861" spans="1:32" ht="26.45" customHeight="1" x14ac:dyDescent="0.2">
      <c r="A5861" s="2025" t="s">
        <v>1854</v>
      </c>
      <c r="B5861" s="2026"/>
      <c r="C5861" s="2026"/>
      <c r="D5861" s="2026"/>
      <c r="E5861" s="2026"/>
      <c r="F5861" s="2026"/>
      <c r="G5861" s="2026"/>
      <c r="H5861" s="2026"/>
      <c r="I5861" s="2026"/>
      <c r="J5861" s="2026"/>
      <c r="K5861" s="2026"/>
      <c r="L5861" s="2026"/>
      <c r="M5861" s="2026"/>
      <c r="N5861" s="2026"/>
      <c r="O5861" s="2026"/>
      <c r="P5861" s="2026"/>
      <c r="Q5861" s="2026"/>
      <c r="R5861" s="2026"/>
      <c r="S5861" s="2026"/>
      <c r="T5861" s="2026"/>
      <c r="U5861" s="2026"/>
      <c r="V5861" s="2026"/>
      <c r="W5861" s="2026"/>
      <c r="X5861" s="2026"/>
      <c r="Y5861" s="2026"/>
      <c r="Z5861" s="2026"/>
      <c r="AA5861" s="2026"/>
      <c r="AB5861" s="2026"/>
      <c r="AC5861" s="2026"/>
      <c r="AD5861" s="2026"/>
      <c r="AE5861" s="1041" t="s">
        <v>1834</v>
      </c>
      <c r="AF5861" s="1042" t="s">
        <v>1835</v>
      </c>
    </row>
    <row r="5862" spans="1:32" ht="21" customHeight="1" thickBot="1" x14ac:dyDescent="0.25">
      <c r="A5862" s="2027"/>
      <c r="B5862" s="2028"/>
      <c r="C5862" s="2028"/>
      <c r="D5862" s="2028"/>
      <c r="E5862" s="2028"/>
      <c r="F5862" s="2028"/>
      <c r="G5862" s="2028"/>
      <c r="H5862" s="2028"/>
      <c r="I5862" s="2028"/>
      <c r="J5862" s="2028"/>
      <c r="K5862" s="2028"/>
      <c r="L5862" s="2028"/>
      <c r="M5862" s="2028"/>
      <c r="N5862" s="2028"/>
      <c r="O5862" s="2028"/>
      <c r="P5862" s="2028"/>
      <c r="Q5862" s="2028"/>
      <c r="R5862" s="2028"/>
      <c r="S5862" s="2028"/>
      <c r="T5862" s="2028"/>
      <c r="U5862" s="2028"/>
      <c r="V5862" s="2028"/>
      <c r="W5862" s="2028"/>
      <c r="X5862" s="2028"/>
      <c r="Y5862" s="2028"/>
      <c r="Z5862" s="2028"/>
      <c r="AA5862" s="2028"/>
      <c r="AB5862" s="2028"/>
      <c r="AC5862" s="2028"/>
      <c r="AD5862" s="2028"/>
      <c r="AE5862" s="1041" t="s">
        <v>1836</v>
      </c>
      <c r="AF5862" s="1044">
        <v>1</v>
      </c>
    </row>
    <row r="5863" spans="1:32" ht="15.75" x14ac:dyDescent="0.2">
      <c r="A5863" s="2029"/>
      <c r="B5863" s="2030"/>
      <c r="C5863" s="2030"/>
      <c r="D5863" s="2031"/>
      <c r="E5863" s="2025" t="str">
        <f>'01'!$A$12</f>
        <v>"CONSTRUCCION SISTEMA DE ACUEDUCTO FASE II DEL MUNICIPIO DE TESALIA DPTO DEL HUILA"</v>
      </c>
      <c r="F5863" s="2026"/>
      <c r="G5863" s="2026"/>
      <c r="H5863" s="2026"/>
      <c r="I5863" s="2026"/>
      <c r="J5863" s="2026"/>
      <c r="K5863" s="2026"/>
      <c r="L5863" s="2026"/>
      <c r="M5863" s="2026"/>
      <c r="N5863" s="2026"/>
      <c r="O5863" s="2026"/>
      <c r="P5863" s="2026"/>
      <c r="Q5863" s="2026"/>
      <c r="R5863" s="2026"/>
      <c r="S5863" s="2026"/>
      <c r="T5863" s="2026"/>
      <c r="U5863" s="2026"/>
      <c r="V5863" s="2026"/>
      <c r="W5863" s="2026"/>
      <c r="X5863" s="2026"/>
      <c r="Y5863" s="2026"/>
      <c r="Z5863" s="2026"/>
      <c r="AA5863" s="2026"/>
      <c r="AB5863" s="2026"/>
      <c r="AC5863" s="2026"/>
      <c r="AD5863" s="2035"/>
      <c r="AE5863" s="1041" t="s">
        <v>847</v>
      </c>
      <c r="AF5863" s="1045">
        <f>'01'!$M$13</f>
        <v>0</v>
      </c>
    </row>
    <row r="5864" spans="1:32" ht="16.5" thickBot="1" x14ac:dyDescent="0.25">
      <c r="A5864" s="2032"/>
      <c r="B5864" s="2033"/>
      <c r="C5864" s="2033"/>
      <c r="D5864" s="2034"/>
      <c r="E5864" s="2027"/>
      <c r="F5864" s="2028"/>
      <c r="G5864" s="2028"/>
      <c r="H5864" s="2028"/>
      <c r="I5864" s="2028"/>
      <c r="J5864" s="2028"/>
      <c r="K5864" s="2028"/>
      <c r="L5864" s="2028"/>
      <c r="M5864" s="2028"/>
      <c r="N5864" s="2028"/>
      <c r="O5864" s="2028"/>
      <c r="P5864" s="2028"/>
      <c r="Q5864" s="2028"/>
      <c r="R5864" s="2028"/>
      <c r="S5864" s="2028"/>
      <c r="T5864" s="2028"/>
      <c r="U5864" s="2028"/>
      <c r="V5864" s="2028"/>
      <c r="W5864" s="2028"/>
      <c r="X5864" s="2028"/>
      <c r="Y5864" s="2028"/>
      <c r="Z5864" s="2028"/>
      <c r="AA5864" s="2028"/>
      <c r="AB5864" s="2028"/>
      <c r="AC5864" s="2028"/>
      <c r="AD5864" s="2036"/>
      <c r="AE5864" s="1041" t="s">
        <v>1837</v>
      </c>
      <c r="AF5864" s="1042" t="s">
        <v>1838</v>
      </c>
    </row>
    <row r="5865" spans="1:32" ht="15.75" x14ac:dyDescent="0.25">
      <c r="A5865" s="2037" t="s">
        <v>1860</v>
      </c>
      <c r="B5865" s="2038"/>
      <c r="C5865" s="2038"/>
      <c r="D5865" s="2038"/>
      <c r="E5865" s="2038"/>
      <c r="F5865" s="2038"/>
      <c r="G5865" s="2038"/>
      <c r="H5865" s="2038"/>
      <c r="I5865" s="2038"/>
      <c r="J5865" s="2038"/>
      <c r="K5865" s="2038"/>
      <c r="L5865" s="2038"/>
      <c r="M5865" s="2038"/>
      <c r="N5865" s="2038"/>
      <c r="O5865" s="2038"/>
      <c r="P5865" s="2038"/>
      <c r="Q5865" s="2038"/>
      <c r="R5865" s="2038"/>
      <c r="S5865" s="2038"/>
      <c r="T5865" s="2038"/>
      <c r="U5865" s="2038"/>
      <c r="V5865" s="2038"/>
      <c r="W5865" s="2038"/>
      <c r="X5865" s="2038"/>
      <c r="Y5865" s="2038"/>
      <c r="Z5865" s="2038"/>
      <c r="AA5865" s="2038"/>
      <c r="AB5865" s="2038"/>
      <c r="AC5865" s="2038"/>
      <c r="AD5865" s="2038"/>
      <c r="AE5865" s="2039" t="s">
        <v>1839</v>
      </c>
      <c r="AF5865" s="2040"/>
    </row>
    <row r="5866" spans="1:32" ht="15.75" x14ac:dyDescent="0.25">
      <c r="A5866" s="2041" t="s">
        <v>1840</v>
      </c>
      <c r="B5866" s="2042"/>
      <c r="C5866" s="2042"/>
      <c r="D5866" s="2042"/>
      <c r="E5866" s="2042"/>
      <c r="F5866" s="2042"/>
      <c r="G5866" s="2042"/>
      <c r="H5866" s="2042"/>
      <c r="I5866" s="2042"/>
      <c r="J5866" s="2042"/>
      <c r="K5866" s="2042"/>
      <c r="L5866" s="2042"/>
      <c r="M5866" s="2042"/>
      <c r="N5866" s="2042"/>
      <c r="O5866" s="2042"/>
      <c r="P5866" s="2042"/>
      <c r="Q5866" s="2042"/>
      <c r="R5866" s="2042"/>
      <c r="S5866" s="2042"/>
      <c r="T5866" s="2042"/>
      <c r="U5866" s="2042"/>
      <c r="V5866" s="2042"/>
      <c r="W5866" s="2042"/>
      <c r="X5866" s="2042"/>
      <c r="Y5866" s="2042"/>
      <c r="Z5866" s="2042"/>
      <c r="AA5866" s="2042"/>
      <c r="AB5866" s="2042"/>
      <c r="AC5866" s="2042"/>
      <c r="AD5866" s="2043"/>
      <c r="AE5866" s="2014" t="s">
        <v>1841</v>
      </c>
      <c r="AF5866" s="2044"/>
    </row>
    <row r="5867" spans="1:32" ht="15.75" x14ac:dyDescent="0.25">
      <c r="A5867" s="2045" t="s">
        <v>1853</v>
      </c>
      <c r="B5867" s="2046"/>
      <c r="C5867" s="2046"/>
      <c r="D5867" s="2046"/>
      <c r="E5867" s="2046"/>
      <c r="F5867" s="2046"/>
      <c r="G5867" s="2046"/>
      <c r="H5867" s="2046"/>
      <c r="I5867" s="2046"/>
      <c r="J5867" s="2046"/>
      <c r="K5867" s="2046"/>
      <c r="L5867" s="2046"/>
      <c r="M5867" s="2046"/>
      <c r="N5867" s="2046"/>
      <c r="O5867" s="2046"/>
      <c r="P5867" s="2046"/>
      <c r="Q5867" s="2046"/>
      <c r="R5867" s="2046"/>
      <c r="S5867" s="2046"/>
      <c r="T5867" s="2046"/>
      <c r="U5867" s="2046"/>
      <c r="V5867" s="2046"/>
      <c r="W5867" s="2046"/>
      <c r="X5867" s="2046"/>
      <c r="Y5867" s="2046"/>
      <c r="Z5867" s="2046"/>
      <c r="AA5867" s="2046"/>
      <c r="AB5867" s="2046"/>
      <c r="AC5867" s="2046"/>
      <c r="AD5867" s="2046"/>
      <c r="AE5867" s="2047">
        <f>'01'!$M$13</f>
        <v>0</v>
      </c>
      <c r="AF5867" s="2044"/>
    </row>
    <row r="5868" spans="1:32" x14ac:dyDescent="0.2">
      <c r="A5868" s="1046"/>
      <c r="B5868" s="1047"/>
      <c r="C5868" s="1047"/>
      <c r="D5868" s="1047"/>
      <c r="E5868" s="1047"/>
      <c r="F5868" s="1047"/>
      <c r="G5868" s="1047"/>
      <c r="H5868" s="1047"/>
      <c r="I5868" s="1047"/>
      <c r="J5868" s="1047"/>
      <c r="K5868" s="1047"/>
      <c r="L5868" s="1047"/>
      <c r="M5868" s="1047"/>
      <c r="N5868" s="1047"/>
      <c r="O5868" s="1047"/>
      <c r="P5868" s="1047"/>
      <c r="Q5868" s="1047"/>
      <c r="R5868" s="1047"/>
      <c r="S5868" s="1047"/>
      <c r="T5868" s="1047"/>
      <c r="U5868" s="1047"/>
      <c r="V5868" s="1047"/>
      <c r="W5868" s="1047"/>
      <c r="X5868" s="1047"/>
      <c r="Y5868" s="1047"/>
      <c r="Z5868" s="1047"/>
      <c r="AA5868" s="1047"/>
      <c r="AB5868" s="1047"/>
      <c r="AC5868" s="1047"/>
      <c r="AD5868" s="1047"/>
      <c r="AE5868" s="1047"/>
      <c r="AF5868" s="1048"/>
    </row>
    <row r="5869" spans="1:32" ht="30" customHeight="1" x14ac:dyDescent="0.2">
      <c r="A5869" s="2048" t="s">
        <v>1842</v>
      </c>
      <c r="B5869" s="2049"/>
      <c r="C5869" s="2049"/>
      <c r="D5869" s="2049"/>
      <c r="E5869" s="2049"/>
      <c r="F5869" s="2050" t="str">
        <f>+'01'!$H$230</f>
        <v>I - TUBERÍA DE INTERCONEXIÓN</v>
      </c>
      <c r="G5869" s="2049"/>
      <c r="H5869" s="2049"/>
      <c r="I5869" s="2049"/>
      <c r="J5869" s="2049"/>
      <c r="K5869" s="2049"/>
      <c r="L5869" s="2049"/>
      <c r="M5869" s="2049"/>
      <c r="N5869" s="2049"/>
      <c r="O5869" s="2049"/>
      <c r="P5869" s="2049"/>
      <c r="Q5869" s="2049"/>
      <c r="R5869" s="2049"/>
      <c r="S5869" s="2049"/>
      <c r="T5869" s="2049"/>
      <c r="U5869" s="2049"/>
      <c r="V5869" s="2049"/>
      <c r="W5869" s="2049"/>
      <c r="X5869" s="2049"/>
      <c r="Y5869" s="2051"/>
      <c r="Z5869" s="2052" t="s">
        <v>1843</v>
      </c>
      <c r="AA5869" s="2053"/>
      <c r="AB5869" s="2058" t="s">
        <v>1844</v>
      </c>
      <c r="AC5869" s="2059"/>
      <c r="AD5869" s="2060"/>
      <c r="AE5869" s="2064" t="s">
        <v>1845</v>
      </c>
      <c r="AF5869" s="2067" t="s">
        <v>1846</v>
      </c>
    </row>
    <row r="5870" spans="1:32" ht="15" customHeight="1" x14ac:dyDescent="0.2">
      <c r="A5870" s="2070" t="str">
        <f>+'01'!A243</f>
        <v>I-05-01</v>
      </c>
      <c r="B5870" s="2071"/>
      <c r="C5870" s="2072"/>
      <c r="D5870" s="2076" t="str">
        <f>VLOOKUP(A5870,'01'!$A$12:$N$299,3,FALSE)</f>
        <v xml:space="preserve">SUMINISTRO E INSTALACIÓN DE TUBERIA PVC UNION MECANICA DE 4". PRESIÓN DE TRABAJO 200 PSI.  </v>
      </c>
      <c r="E5870" s="2077"/>
      <c r="F5870" s="2077"/>
      <c r="G5870" s="2077"/>
      <c r="H5870" s="2077"/>
      <c r="I5870" s="2077"/>
      <c r="J5870" s="2077"/>
      <c r="K5870" s="2077"/>
      <c r="L5870" s="2077"/>
      <c r="M5870" s="2077"/>
      <c r="N5870" s="2077"/>
      <c r="O5870" s="2077"/>
      <c r="P5870" s="2077"/>
      <c r="Q5870" s="2077"/>
      <c r="R5870" s="2077"/>
      <c r="S5870" s="2078"/>
      <c r="T5870" s="2082" t="s">
        <v>124</v>
      </c>
      <c r="U5870" s="2083"/>
      <c r="V5870" s="2083"/>
      <c r="W5870" s="2083"/>
      <c r="X5870" s="2052" t="str">
        <f>VLOOKUP(A5870,'01'!$A$12:$N$299,9,FALSE)</f>
        <v>ML</v>
      </c>
      <c r="Y5870" s="2053"/>
      <c r="Z5870" s="2054"/>
      <c r="AA5870" s="2055"/>
      <c r="AB5870" s="2061"/>
      <c r="AC5870" s="2062"/>
      <c r="AD5870" s="2063"/>
      <c r="AE5870" s="2065"/>
      <c r="AF5870" s="2068"/>
    </row>
    <row r="5871" spans="1:32" ht="15" customHeight="1" x14ac:dyDescent="0.25">
      <c r="A5871" s="2073"/>
      <c r="B5871" s="2074"/>
      <c r="C5871" s="2075"/>
      <c r="D5871" s="2079"/>
      <c r="E5871" s="2080"/>
      <c r="F5871" s="2080"/>
      <c r="G5871" s="2080"/>
      <c r="H5871" s="2080"/>
      <c r="I5871" s="2080"/>
      <c r="J5871" s="2080"/>
      <c r="K5871" s="2080"/>
      <c r="L5871" s="2080"/>
      <c r="M5871" s="2080"/>
      <c r="N5871" s="2080"/>
      <c r="O5871" s="2080"/>
      <c r="P5871" s="2080"/>
      <c r="Q5871" s="2080"/>
      <c r="R5871" s="2080"/>
      <c r="S5871" s="2081"/>
      <c r="T5871" s="2084"/>
      <c r="U5871" s="2085"/>
      <c r="V5871" s="2085"/>
      <c r="W5871" s="2085"/>
      <c r="X5871" s="2056"/>
      <c r="Y5871" s="2057"/>
      <c r="Z5871" s="2056"/>
      <c r="AA5871" s="2057"/>
      <c r="AB5871" s="1049" t="s">
        <v>1847</v>
      </c>
      <c r="AC5871" s="1049" t="s">
        <v>1848</v>
      </c>
      <c r="AD5871" s="1049" t="s">
        <v>1861</v>
      </c>
      <c r="AE5871" s="2066"/>
      <c r="AF5871" s="2069"/>
    </row>
    <row r="5872" spans="1:32" ht="30" customHeight="1" x14ac:dyDescent="0.25">
      <c r="A5872" s="2017"/>
      <c r="B5872" s="2018"/>
      <c r="C5872" s="2018"/>
      <c r="D5872" s="2018"/>
      <c r="E5872" s="2018"/>
      <c r="F5872" s="2018"/>
      <c r="G5872" s="2018"/>
      <c r="H5872" s="2018"/>
      <c r="I5872" s="2018"/>
      <c r="J5872" s="2018"/>
      <c r="K5872" s="2018"/>
      <c r="L5872" s="2018"/>
      <c r="M5872" s="2018"/>
      <c r="N5872" s="2018"/>
      <c r="O5872" s="2018"/>
      <c r="P5872" s="2018"/>
      <c r="Q5872" s="2018"/>
      <c r="R5872" s="2018"/>
      <c r="S5872" s="2018"/>
      <c r="T5872" s="2018"/>
      <c r="U5872" s="2018"/>
      <c r="V5872" s="2018"/>
      <c r="W5872" s="2018"/>
      <c r="X5872" s="2018"/>
      <c r="Y5872" s="2018"/>
      <c r="Z5872" s="2021" t="s">
        <v>2552</v>
      </c>
      <c r="AA5872" s="2021"/>
      <c r="AB5872" s="1050">
        <v>30</v>
      </c>
      <c r="AC5872" s="1050"/>
      <c r="AD5872" s="1050"/>
      <c r="AE5872" s="1050">
        <v>0</v>
      </c>
      <c r="AF5872" s="1052">
        <f>+ROUND(AB5872*AE5872,2)</f>
        <v>0</v>
      </c>
    </row>
    <row r="5873" spans="1:32" ht="15.6" customHeight="1" x14ac:dyDescent="0.25">
      <c r="A5873" s="2017"/>
      <c r="B5873" s="2018"/>
      <c r="C5873" s="2018"/>
      <c r="D5873" s="2018"/>
      <c r="E5873" s="2018"/>
      <c r="F5873" s="2018"/>
      <c r="G5873" s="2018"/>
      <c r="H5873" s="2018"/>
      <c r="I5873" s="2018"/>
      <c r="J5873" s="2018"/>
      <c r="K5873" s="2018"/>
      <c r="L5873" s="2018"/>
      <c r="M5873" s="2018"/>
      <c r="N5873" s="2018"/>
      <c r="O5873" s="2018"/>
      <c r="P5873" s="2018"/>
      <c r="Q5873" s="2018"/>
      <c r="R5873" s="2018"/>
      <c r="S5873" s="2018"/>
      <c r="T5873" s="2018"/>
      <c r="U5873" s="2018"/>
      <c r="V5873" s="2018"/>
      <c r="W5873" s="2018"/>
      <c r="X5873" s="2018"/>
      <c r="Y5873" s="2018"/>
      <c r="Z5873" s="2021" t="s">
        <v>2553</v>
      </c>
      <c r="AA5873" s="2021"/>
      <c r="AB5873" s="1050">
        <v>10</v>
      </c>
      <c r="AC5873" s="1050"/>
      <c r="AD5873" s="1050"/>
      <c r="AE5873" s="1050">
        <v>0</v>
      </c>
      <c r="AF5873" s="1052">
        <f>+ROUND(AB5873*AE5873,2)</f>
        <v>0</v>
      </c>
    </row>
    <row r="5874" spans="1:32" ht="15.6" customHeight="1" x14ac:dyDescent="0.25">
      <c r="A5874" s="2017"/>
      <c r="B5874" s="2018"/>
      <c r="C5874" s="2018"/>
      <c r="D5874" s="2018"/>
      <c r="E5874" s="2018"/>
      <c r="F5874" s="2018"/>
      <c r="G5874" s="2018"/>
      <c r="H5874" s="2018"/>
      <c r="I5874" s="2018"/>
      <c r="J5874" s="2018"/>
      <c r="K5874" s="2018"/>
      <c r="L5874" s="2018"/>
      <c r="M5874" s="2018"/>
      <c r="N5874" s="2018"/>
      <c r="O5874" s="2018"/>
      <c r="P5874" s="2018"/>
      <c r="Q5874" s="2018"/>
      <c r="R5874" s="2018"/>
      <c r="S5874" s="2018"/>
      <c r="T5874" s="2018"/>
      <c r="U5874" s="2018"/>
      <c r="V5874" s="2018"/>
      <c r="W5874" s="2018"/>
      <c r="X5874" s="2018"/>
      <c r="Y5874" s="2018"/>
      <c r="Z5874" s="2021" t="s">
        <v>2554</v>
      </c>
      <c r="AA5874" s="2021"/>
      <c r="AB5874" s="1050">
        <v>15</v>
      </c>
      <c r="AC5874" s="1050"/>
      <c r="AD5874" s="1050"/>
      <c r="AE5874" s="1050">
        <v>0</v>
      </c>
      <c r="AF5874" s="1052">
        <f>+ROUND(AB5874*AE5874,2)</f>
        <v>0</v>
      </c>
    </row>
    <row r="5875" spans="1:32" ht="15.75" x14ac:dyDescent="0.25">
      <c r="A5875" s="2017"/>
      <c r="B5875" s="2018"/>
      <c r="C5875" s="2018"/>
      <c r="D5875" s="2018"/>
      <c r="E5875" s="2018"/>
      <c r="F5875" s="2018"/>
      <c r="G5875" s="2018"/>
      <c r="H5875" s="2018"/>
      <c r="I5875" s="2018"/>
      <c r="J5875" s="2018"/>
      <c r="K5875" s="2018"/>
      <c r="L5875" s="2018"/>
      <c r="M5875" s="2018"/>
      <c r="N5875" s="2018"/>
      <c r="O5875" s="2018"/>
      <c r="P5875" s="2018"/>
      <c r="Q5875" s="2018"/>
      <c r="R5875" s="2018"/>
      <c r="S5875" s="2018"/>
      <c r="T5875" s="2018"/>
      <c r="U5875" s="2018"/>
      <c r="V5875" s="2018"/>
      <c r="W5875" s="2018"/>
      <c r="X5875" s="2018"/>
      <c r="Y5875" s="2018"/>
      <c r="Z5875" s="2021" t="s">
        <v>2555</v>
      </c>
      <c r="AA5875" s="2021"/>
      <c r="AB5875" s="1050">
        <v>20</v>
      </c>
      <c r="AC5875" s="1050"/>
      <c r="AD5875" s="1050"/>
      <c r="AE5875" s="1050">
        <v>0</v>
      </c>
      <c r="AF5875" s="1052">
        <f t="shared" ref="AF5875:AF5879" si="88">+ROUND(AB5875*AE5875,2)</f>
        <v>0</v>
      </c>
    </row>
    <row r="5876" spans="1:32" ht="15.6" customHeight="1" x14ac:dyDescent="0.25">
      <c r="A5876" s="2017"/>
      <c r="B5876" s="2018"/>
      <c r="C5876" s="2018"/>
      <c r="D5876" s="2018"/>
      <c r="E5876" s="2018"/>
      <c r="F5876" s="2018"/>
      <c r="G5876" s="2018"/>
      <c r="H5876" s="2018"/>
      <c r="I5876" s="2018"/>
      <c r="J5876" s="2018"/>
      <c r="K5876" s="2018"/>
      <c r="L5876" s="2018"/>
      <c r="M5876" s="2018"/>
      <c r="N5876" s="2018"/>
      <c r="O5876" s="2018"/>
      <c r="P5876" s="2018"/>
      <c r="Q5876" s="2018"/>
      <c r="R5876" s="2018"/>
      <c r="S5876" s="2018"/>
      <c r="T5876" s="2018"/>
      <c r="U5876" s="2018"/>
      <c r="V5876" s="2018"/>
      <c r="W5876" s="2018"/>
      <c r="X5876" s="2018"/>
      <c r="Y5876" s="2018"/>
      <c r="Z5876" s="2021" t="s">
        <v>2560</v>
      </c>
      <c r="AA5876" s="2021"/>
      <c r="AB5876" s="1050">
        <v>10</v>
      </c>
      <c r="AC5876" s="1050"/>
      <c r="AD5876" s="1050"/>
      <c r="AE5876" s="1050">
        <v>0</v>
      </c>
      <c r="AF5876" s="1052">
        <f t="shared" si="88"/>
        <v>0</v>
      </c>
    </row>
    <row r="5877" spans="1:32" ht="15.75" x14ac:dyDescent="0.25">
      <c r="A5877" s="2017"/>
      <c r="B5877" s="2018"/>
      <c r="C5877" s="2018"/>
      <c r="D5877" s="2018"/>
      <c r="E5877" s="2018"/>
      <c r="F5877" s="2018"/>
      <c r="G5877" s="2018"/>
      <c r="H5877" s="2018"/>
      <c r="I5877" s="2018"/>
      <c r="J5877" s="2018"/>
      <c r="K5877" s="2018"/>
      <c r="L5877" s="2018"/>
      <c r="M5877" s="2018"/>
      <c r="N5877" s="2018"/>
      <c r="O5877" s="2018"/>
      <c r="P5877" s="2018"/>
      <c r="Q5877" s="2018"/>
      <c r="R5877" s="2018"/>
      <c r="S5877" s="2018"/>
      <c r="T5877" s="2018"/>
      <c r="U5877" s="2018"/>
      <c r="V5877" s="2018"/>
      <c r="W5877" s="2018"/>
      <c r="X5877" s="2018"/>
      <c r="Y5877" s="2018"/>
      <c r="Z5877" s="2021" t="s">
        <v>2557</v>
      </c>
      <c r="AA5877" s="2021"/>
      <c r="AB5877" s="1050">
        <v>10</v>
      </c>
      <c r="AC5877" s="1050"/>
      <c r="AD5877" s="1050"/>
      <c r="AE5877" s="1050">
        <v>0</v>
      </c>
      <c r="AF5877" s="1052">
        <f t="shared" si="88"/>
        <v>0</v>
      </c>
    </row>
    <row r="5878" spans="1:32" ht="15.75" x14ac:dyDescent="0.25">
      <c r="A5878" s="2017"/>
      <c r="B5878" s="2018"/>
      <c r="C5878" s="2018"/>
      <c r="D5878" s="2018"/>
      <c r="E5878" s="2018"/>
      <c r="F5878" s="2018"/>
      <c r="G5878" s="2018"/>
      <c r="H5878" s="2018"/>
      <c r="I5878" s="2018"/>
      <c r="J5878" s="2018"/>
      <c r="K5878" s="2018"/>
      <c r="L5878" s="2018"/>
      <c r="M5878" s="2018"/>
      <c r="N5878" s="2018"/>
      <c r="O5878" s="2018"/>
      <c r="P5878" s="2018"/>
      <c r="Q5878" s="2018"/>
      <c r="R5878" s="2018"/>
      <c r="S5878" s="2018"/>
      <c r="T5878" s="2018"/>
      <c r="U5878" s="2018"/>
      <c r="V5878" s="2018"/>
      <c r="W5878" s="2018"/>
      <c r="X5878" s="2018"/>
      <c r="Y5878" s="2018"/>
      <c r="Z5878" s="2021" t="s">
        <v>2558</v>
      </c>
      <c r="AA5878" s="2021"/>
      <c r="AB5878" s="1050">
        <v>10</v>
      </c>
      <c r="AC5878" s="1050"/>
      <c r="AD5878" s="1050"/>
      <c r="AE5878" s="1050">
        <v>1</v>
      </c>
      <c r="AF5878" s="1052">
        <f t="shared" si="88"/>
        <v>10</v>
      </c>
    </row>
    <row r="5879" spans="1:32" ht="15.6" customHeight="1" x14ac:dyDescent="0.25">
      <c r="A5879" s="2017"/>
      <c r="B5879" s="2018"/>
      <c r="C5879" s="2018"/>
      <c r="D5879" s="2018"/>
      <c r="E5879" s="2018"/>
      <c r="F5879" s="2018"/>
      <c r="G5879" s="2018"/>
      <c r="H5879" s="2018"/>
      <c r="I5879" s="2018"/>
      <c r="J5879" s="2018"/>
      <c r="K5879" s="2018"/>
      <c r="L5879" s="2018"/>
      <c r="M5879" s="2018"/>
      <c r="N5879" s="2018"/>
      <c r="O5879" s="2018"/>
      <c r="P5879" s="2018"/>
      <c r="Q5879" s="2018"/>
      <c r="R5879" s="2018"/>
      <c r="S5879" s="2018"/>
      <c r="T5879" s="2018"/>
      <c r="U5879" s="2018"/>
      <c r="V5879" s="2018"/>
      <c r="W5879" s="2018"/>
      <c r="X5879" s="2018"/>
      <c r="Y5879" s="2018"/>
      <c r="Z5879" s="2021" t="s">
        <v>2559</v>
      </c>
      <c r="AA5879" s="2021"/>
      <c r="AB5879" s="1050">
        <v>10</v>
      </c>
      <c r="AC5879" s="1050"/>
      <c r="AD5879" s="1050"/>
      <c r="AE5879" s="1050">
        <v>0</v>
      </c>
      <c r="AF5879" s="1052">
        <f t="shared" si="88"/>
        <v>0</v>
      </c>
    </row>
    <row r="5880" spans="1:32" ht="15.75" x14ac:dyDescent="0.25">
      <c r="A5880" s="2017"/>
      <c r="B5880" s="2018"/>
      <c r="C5880" s="2018"/>
      <c r="D5880" s="2018"/>
      <c r="E5880" s="2018"/>
      <c r="F5880" s="2018"/>
      <c r="G5880" s="2018"/>
      <c r="H5880" s="2018"/>
      <c r="I5880" s="2018"/>
      <c r="J5880" s="2018"/>
      <c r="K5880" s="2018"/>
      <c r="L5880" s="2018"/>
      <c r="M5880" s="2018"/>
      <c r="N5880" s="2018"/>
      <c r="O5880" s="2018"/>
      <c r="P5880" s="2018"/>
      <c r="Q5880" s="2018"/>
      <c r="R5880" s="2018"/>
      <c r="S5880" s="2018"/>
      <c r="T5880" s="2018"/>
      <c r="U5880" s="2018"/>
      <c r="V5880" s="2018"/>
      <c r="W5880" s="2018"/>
      <c r="X5880" s="2018"/>
      <c r="Y5880" s="2018"/>
      <c r="Z5880" s="2022"/>
      <c r="AA5880" s="2022"/>
      <c r="AB5880" s="1050"/>
      <c r="AC5880" s="1050"/>
      <c r="AD5880" s="1050"/>
      <c r="AE5880" s="1050"/>
      <c r="AF5880" s="1052"/>
    </row>
    <row r="5881" spans="1:32" ht="15.75" x14ac:dyDescent="0.25">
      <c r="A5881" s="2017"/>
      <c r="B5881" s="2018"/>
      <c r="C5881" s="2018"/>
      <c r="D5881" s="2018"/>
      <c r="E5881" s="2018"/>
      <c r="F5881" s="2018"/>
      <c r="G5881" s="2018"/>
      <c r="H5881" s="2018"/>
      <c r="I5881" s="2018"/>
      <c r="J5881" s="2018"/>
      <c r="K5881" s="2018"/>
      <c r="L5881" s="2018"/>
      <c r="M5881" s="2018"/>
      <c r="N5881" s="2018"/>
      <c r="O5881" s="2018"/>
      <c r="P5881" s="2018"/>
      <c r="Q5881" s="2018"/>
      <c r="R5881" s="2018"/>
      <c r="S5881" s="2018"/>
      <c r="T5881" s="2018"/>
      <c r="U5881" s="2018"/>
      <c r="V5881" s="2018"/>
      <c r="W5881" s="2018"/>
      <c r="X5881" s="2018"/>
      <c r="Y5881" s="2018"/>
      <c r="Z5881" s="2022"/>
      <c r="AA5881" s="2022"/>
      <c r="AB5881" s="1050"/>
      <c r="AC5881" s="1050"/>
      <c r="AD5881" s="1050"/>
      <c r="AE5881" s="1050"/>
      <c r="AF5881" s="1052"/>
    </row>
    <row r="5882" spans="1:32" ht="15.75" x14ac:dyDescent="0.25">
      <c r="A5882" s="2017"/>
      <c r="B5882" s="2018"/>
      <c r="C5882" s="2018"/>
      <c r="D5882" s="2018"/>
      <c r="E5882" s="2018"/>
      <c r="F5882" s="2018"/>
      <c r="G5882" s="2018"/>
      <c r="H5882" s="2018"/>
      <c r="I5882" s="2018"/>
      <c r="J5882" s="2018"/>
      <c r="K5882" s="2018"/>
      <c r="L5882" s="2018"/>
      <c r="M5882" s="2018"/>
      <c r="N5882" s="2018"/>
      <c r="O5882" s="2018"/>
      <c r="P5882" s="2018"/>
      <c r="Q5882" s="2018"/>
      <c r="R5882" s="2018"/>
      <c r="S5882" s="2018"/>
      <c r="T5882" s="2018"/>
      <c r="U5882" s="2018"/>
      <c r="V5882" s="2018"/>
      <c r="W5882" s="2018"/>
      <c r="X5882" s="2018"/>
      <c r="Y5882" s="2018"/>
      <c r="Z5882" s="2022"/>
      <c r="AA5882" s="2022"/>
      <c r="AB5882" s="1050"/>
      <c r="AC5882" s="1050"/>
      <c r="AD5882" s="1050"/>
      <c r="AE5882" s="1050"/>
      <c r="AF5882" s="1052"/>
    </row>
    <row r="5883" spans="1:32" ht="15.6" customHeight="1" x14ac:dyDescent="0.25">
      <c r="A5883" s="2017"/>
      <c r="B5883" s="2018"/>
      <c r="C5883" s="2018"/>
      <c r="D5883" s="2018"/>
      <c r="E5883" s="2018"/>
      <c r="F5883" s="2018"/>
      <c r="G5883" s="2018"/>
      <c r="H5883" s="2018"/>
      <c r="I5883" s="2018"/>
      <c r="J5883" s="2018"/>
      <c r="K5883" s="2018"/>
      <c r="L5883" s="2018"/>
      <c r="M5883" s="2018"/>
      <c r="N5883" s="2018"/>
      <c r="O5883" s="2018"/>
      <c r="P5883" s="2018"/>
      <c r="Q5883" s="2018"/>
      <c r="R5883" s="2018"/>
      <c r="S5883" s="2018"/>
      <c r="T5883" s="2018"/>
      <c r="U5883" s="2018"/>
      <c r="V5883" s="2018"/>
      <c r="W5883" s="2018"/>
      <c r="X5883" s="2018"/>
      <c r="Y5883" s="2018"/>
      <c r="Z5883" s="2022"/>
      <c r="AA5883" s="2022"/>
      <c r="AB5883" s="1050"/>
      <c r="AC5883" s="1050"/>
      <c r="AD5883" s="1050"/>
      <c r="AE5883" s="1050"/>
      <c r="AF5883" s="1052"/>
    </row>
    <row r="5884" spans="1:32" ht="15.75" x14ac:dyDescent="0.25">
      <c r="A5884" s="2017"/>
      <c r="B5884" s="2018"/>
      <c r="C5884" s="2018"/>
      <c r="D5884" s="2018"/>
      <c r="E5884" s="2018"/>
      <c r="F5884" s="2018"/>
      <c r="G5884" s="2018"/>
      <c r="H5884" s="2018"/>
      <c r="I5884" s="2018"/>
      <c r="J5884" s="2018"/>
      <c r="K5884" s="2018"/>
      <c r="L5884" s="2018"/>
      <c r="M5884" s="2018"/>
      <c r="N5884" s="2018"/>
      <c r="O5884" s="2018"/>
      <c r="P5884" s="2018"/>
      <c r="Q5884" s="2018"/>
      <c r="R5884" s="2018"/>
      <c r="S5884" s="2018"/>
      <c r="T5884" s="2018"/>
      <c r="U5884" s="2018"/>
      <c r="V5884" s="2018"/>
      <c r="W5884" s="2018"/>
      <c r="X5884" s="2018"/>
      <c r="Y5884" s="2018"/>
      <c r="Z5884" s="2022"/>
      <c r="AA5884" s="2022"/>
      <c r="AB5884" s="1050"/>
      <c r="AC5884" s="1050"/>
      <c r="AD5884" s="1050"/>
      <c r="AE5884" s="1050"/>
      <c r="AF5884" s="1052"/>
    </row>
    <row r="5885" spans="1:32" ht="15.75" x14ac:dyDescent="0.25">
      <c r="A5885" s="2017"/>
      <c r="B5885" s="2018"/>
      <c r="C5885" s="2018"/>
      <c r="D5885" s="2018"/>
      <c r="E5885" s="2018"/>
      <c r="F5885" s="2018"/>
      <c r="G5885" s="2018"/>
      <c r="H5885" s="2018"/>
      <c r="I5885" s="2018"/>
      <c r="J5885" s="2018"/>
      <c r="K5885" s="2018"/>
      <c r="L5885" s="2018"/>
      <c r="M5885" s="2018"/>
      <c r="N5885" s="2018"/>
      <c r="O5885" s="2018"/>
      <c r="P5885" s="2018"/>
      <c r="Q5885" s="2018"/>
      <c r="R5885" s="2018"/>
      <c r="S5885" s="2018"/>
      <c r="T5885" s="2018"/>
      <c r="U5885" s="2018"/>
      <c r="V5885" s="2018"/>
      <c r="W5885" s="2018"/>
      <c r="X5885" s="2018"/>
      <c r="Y5885" s="2018"/>
      <c r="Z5885" s="2022"/>
      <c r="AA5885" s="2022"/>
      <c r="AB5885" s="1050"/>
      <c r="AC5885" s="1050"/>
      <c r="AD5885" s="1050"/>
      <c r="AE5885" s="1050"/>
      <c r="AF5885" s="1052"/>
    </row>
    <row r="5886" spans="1:32" ht="15.75" x14ac:dyDescent="0.25">
      <c r="A5886" s="2017"/>
      <c r="B5886" s="2018"/>
      <c r="C5886" s="2018"/>
      <c r="D5886" s="2018"/>
      <c r="E5886" s="2018"/>
      <c r="F5886" s="2018"/>
      <c r="G5886" s="2018"/>
      <c r="H5886" s="2018"/>
      <c r="I5886" s="2018"/>
      <c r="J5886" s="2018"/>
      <c r="K5886" s="2018"/>
      <c r="L5886" s="2018"/>
      <c r="M5886" s="2018"/>
      <c r="N5886" s="2018"/>
      <c r="O5886" s="2018"/>
      <c r="P5886" s="2018"/>
      <c r="Q5886" s="2018"/>
      <c r="R5886" s="2018"/>
      <c r="S5886" s="2018"/>
      <c r="T5886" s="2018"/>
      <c r="U5886" s="2018"/>
      <c r="V5886" s="2018"/>
      <c r="W5886" s="2018"/>
      <c r="X5886" s="2018"/>
      <c r="Y5886" s="2018"/>
      <c r="Z5886" s="2022"/>
      <c r="AA5886" s="2022"/>
      <c r="AB5886" s="1050"/>
      <c r="AC5886" s="1050"/>
      <c r="AD5886" s="1050"/>
      <c r="AE5886" s="1050"/>
      <c r="AF5886" s="1052"/>
    </row>
    <row r="5887" spans="1:32" ht="15.75" x14ac:dyDescent="0.25">
      <c r="A5887" s="2017"/>
      <c r="B5887" s="2018"/>
      <c r="C5887" s="2018"/>
      <c r="D5887" s="2018"/>
      <c r="E5887" s="2018"/>
      <c r="F5887" s="2018"/>
      <c r="G5887" s="2018"/>
      <c r="H5887" s="2018"/>
      <c r="I5887" s="2018"/>
      <c r="J5887" s="2018"/>
      <c r="K5887" s="2018"/>
      <c r="L5887" s="2018"/>
      <c r="M5887" s="2018"/>
      <c r="N5887" s="2018"/>
      <c r="O5887" s="2018"/>
      <c r="P5887" s="2018"/>
      <c r="Q5887" s="2018"/>
      <c r="R5887" s="2018"/>
      <c r="S5887" s="2018"/>
      <c r="T5887" s="2018"/>
      <c r="U5887" s="2018"/>
      <c r="V5887" s="2018"/>
      <c r="W5887" s="2018"/>
      <c r="X5887" s="2018"/>
      <c r="Y5887" s="2018"/>
      <c r="Z5887" s="2022"/>
      <c r="AA5887" s="2022"/>
      <c r="AB5887" s="1050"/>
      <c r="AC5887" s="1050"/>
      <c r="AD5887" s="1050"/>
      <c r="AE5887" s="1050"/>
      <c r="AF5887" s="1052"/>
    </row>
    <row r="5888" spans="1:32" ht="15.75" x14ac:dyDescent="0.25">
      <c r="A5888" s="2017"/>
      <c r="B5888" s="2018"/>
      <c r="C5888" s="2018"/>
      <c r="D5888" s="2018"/>
      <c r="E5888" s="2018"/>
      <c r="F5888" s="2018"/>
      <c r="G5888" s="2018"/>
      <c r="H5888" s="2018"/>
      <c r="I5888" s="2018"/>
      <c r="J5888" s="2018"/>
      <c r="K5888" s="2018"/>
      <c r="L5888" s="2018"/>
      <c r="M5888" s="2018"/>
      <c r="N5888" s="2018"/>
      <c r="O5888" s="2018"/>
      <c r="P5888" s="2018"/>
      <c r="Q5888" s="2018"/>
      <c r="R5888" s="2018"/>
      <c r="S5888" s="2018"/>
      <c r="T5888" s="2018"/>
      <c r="U5888" s="2018"/>
      <c r="V5888" s="2018"/>
      <c r="W5888" s="2018"/>
      <c r="X5888" s="2018"/>
      <c r="Y5888" s="2018"/>
      <c r="Z5888" s="2022"/>
      <c r="AA5888" s="2022"/>
      <c r="AB5888" s="1050"/>
      <c r="AC5888" s="1050"/>
      <c r="AD5888" s="1050"/>
      <c r="AE5888" s="1050"/>
      <c r="AF5888" s="1052"/>
    </row>
    <row r="5889" spans="1:32" ht="15.75" x14ac:dyDescent="0.25">
      <c r="A5889" s="2017"/>
      <c r="B5889" s="2018"/>
      <c r="C5889" s="2018"/>
      <c r="D5889" s="2018"/>
      <c r="E5889" s="2018"/>
      <c r="F5889" s="2018"/>
      <c r="G5889" s="2018"/>
      <c r="H5889" s="2018"/>
      <c r="I5889" s="2018"/>
      <c r="J5889" s="2018"/>
      <c r="K5889" s="2018"/>
      <c r="L5889" s="2018"/>
      <c r="M5889" s="2018"/>
      <c r="N5889" s="2018"/>
      <c r="O5889" s="2018"/>
      <c r="P5889" s="2018"/>
      <c r="Q5889" s="2018"/>
      <c r="R5889" s="2018"/>
      <c r="S5889" s="2018"/>
      <c r="T5889" s="2018"/>
      <c r="U5889" s="2018"/>
      <c r="V5889" s="2018"/>
      <c r="W5889" s="2018"/>
      <c r="X5889" s="2018"/>
      <c r="Y5889" s="2018"/>
      <c r="Z5889" s="2023"/>
      <c r="AA5889" s="2023"/>
      <c r="AB5889" s="1050"/>
      <c r="AC5889" s="1050"/>
      <c r="AD5889" s="1050"/>
      <c r="AE5889" s="1050"/>
      <c r="AF5889" s="1052"/>
    </row>
    <row r="5890" spans="1:32" ht="15.75" x14ac:dyDescent="0.25">
      <c r="A5890" s="2017"/>
      <c r="B5890" s="2018"/>
      <c r="C5890" s="2018"/>
      <c r="D5890" s="2018"/>
      <c r="E5890" s="2018"/>
      <c r="F5890" s="2018"/>
      <c r="G5890" s="2018"/>
      <c r="H5890" s="2018"/>
      <c r="I5890" s="2018"/>
      <c r="J5890" s="2018"/>
      <c r="K5890" s="2018"/>
      <c r="L5890" s="2018"/>
      <c r="M5890" s="2018"/>
      <c r="N5890" s="2018"/>
      <c r="O5890" s="2018"/>
      <c r="P5890" s="2018"/>
      <c r="Q5890" s="2018"/>
      <c r="R5890" s="2018"/>
      <c r="S5890" s="2018"/>
      <c r="T5890" s="2018"/>
      <c r="U5890" s="2018"/>
      <c r="V5890" s="2018"/>
      <c r="W5890" s="2018"/>
      <c r="X5890" s="2018"/>
      <c r="Y5890" s="2018"/>
      <c r="Z5890" s="2023"/>
      <c r="AA5890" s="2023"/>
      <c r="AB5890" s="1050"/>
      <c r="AC5890" s="1050"/>
      <c r="AD5890" s="1050"/>
      <c r="AE5890" s="1050"/>
      <c r="AF5890" s="1052"/>
    </row>
    <row r="5891" spans="1:32" ht="15.75" x14ac:dyDescent="0.25">
      <c r="A5891" s="2017"/>
      <c r="B5891" s="2018"/>
      <c r="C5891" s="2018"/>
      <c r="D5891" s="2018"/>
      <c r="E5891" s="2018"/>
      <c r="F5891" s="2018"/>
      <c r="G5891" s="2018"/>
      <c r="H5891" s="2018"/>
      <c r="I5891" s="2018"/>
      <c r="J5891" s="2018"/>
      <c r="K5891" s="2018"/>
      <c r="L5891" s="2018"/>
      <c r="M5891" s="2018"/>
      <c r="N5891" s="2018"/>
      <c r="O5891" s="2018"/>
      <c r="P5891" s="2018"/>
      <c r="Q5891" s="2018"/>
      <c r="R5891" s="2018"/>
      <c r="S5891" s="2018"/>
      <c r="T5891" s="2018"/>
      <c r="U5891" s="2018"/>
      <c r="V5891" s="2018"/>
      <c r="W5891" s="2018"/>
      <c r="X5891" s="2018"/>
      <c r="Y5891" s="2018"/>
      <c r="Z5891" s="2023"/>
      <c r="AA5891" s="2023"/>
      <c r="AB5891" s="1050"/>
      <c r="AC5891" s="1050"/>
      <c r="AD5891" s="1050"/>
      <c r="AE5891" s="1050"/>
      <c r="AF5891" s="1052"/>
    </row>
    <row r="5892" spans="1:32" ht="15.75" x14ac:dyDescent="0.25">
      <c r="A5892" s="2017"/>
      <c r="B5892" s="2018"/>
      <c r="C5892" s="2018"/>
      <c r="D5892" s="2018"/>
      <c r="E5892" s="2018"/>
      <c r="F5892" s="2018"/>
      <c r="G5892" s="2018"/>
      <c r="H5892" s="2018"/>
      <c r="I5892" s="2018"/>
      <c r="J5892" s="2018"/>
      <c r="K5892" s="2018"/>
      <c r="L5892" s="2018"/>
      <c r="M5892" s="2018"/>
      <c r="N5892" s="2018"/>
      <c r="O5892" s="2018"/>
      <c r="P5892" s="2018"/>
      <c r="Q5892" s="2018"/>
      <c r="R5892" s="2018"/>
      <c r="S5892" s="2018"/>
      <c r="T5892" s="2018"/>
      <c r="U5892" s="2018"/>
      <c r="V5892" s="2018"/>
      <c r="W5892" s="2018"/>
      <c r="X5892" s="2018"/>
      <c r="Y5892" s="2018"/>
      <c r="Z5892" s="2023"/>
      <c r="AA5892" s="2023"/>
      <c r="AB5892" s="1050"/>
      <c r="AC5892" s="1050"/>
      <c r="AD5892" s="1050"/>
      <c r="AE5892" s="1050"/>
      <c r="AF5892" s="1052"/>
    </row>
    <row r="5893" spans="1:32" ht="15.75" x14ac:dyDescent="0.25">
      <c r="A5893" s="2017"/>
      <c r="B5893" s="2018"/>
      <c r="C5893" s="2018"/>
      <c r="D5893" s="2018"/>
      <c r="E5893" s="2018"/>
      <c r="F5893" s="2018"/>
      <c r="G5893" s="2018"/>
      <c r="H5893" s="2018"/>
      <c r="I5893" s="2018"/>
      <c r="J5893" s="2018"/>
      <c r="K5893" s="2018"/>
      <c r="L5893" s="2018"/>
      <c r="M5893" s="2018"/>
      <c r="N5893" s="2018"/>
      <c r="O5893" s="2018"/>
      <c r="P5893" s="2018"/>
      <c r="Q5893" s="2018"/>
      <c r="R5893" s="2018"/>
      <c r="S5893" s="2018"/>
      <c r="T5893" s="2018"/>
      <c r="U5893" s="2018"/>
      <c r="V5893" s="2018"/>
      <c r="W5893" s="2018"/>
      <c r="X5893" s="2018"/>
      <c r="Y5893" s="2018"/>
      <c r="Z5893" s="2023"/>
      <c r="AA5893" s="2023"/>
      <c r="AB5893" s="1050"/>
      <c r="AC5893" s="1050"/>
      <c r="AD5893" s="1050"/>
      <c r="AE5893" s="1050"/>
      <c r="AF5893" s="1052"/>
    </row>
    <row r="5894" spans="1:32" ht="15.75" x14ac:dyDescent="0.25">
      <c r="A5894" s="2017"/>
      <c r="B5894" s="2018"/>
      <c r="C5894" s="2018"/>
      <c r="D5894" s="2018"/>
      <c r="E5894" s="2018"/>
      <c r="F5894" s="2018"/>
      <c r="G5894" s="2018"/>
      <c r="H5894" s="2018"/>
      <c r="I5894" s="2018"/>
      <c r="J5894" s="2018"/>
      <c r="K5894" s="2018"/>
      <c r="L5894" s="2018"/>
      <c r="M5894" s="2018"/>
      <c r="N5894" s="2018"/>
      <c r="O5894" s="2018"/>
      <c r="P5894" s="2018"/>
      <c r="Q5894" s="2018"/>
      <c r="R5894" s="2018"/>
      <c r="S5894" s="2018"/>
      <c r="T5894" s="2018"/>
      <c r="U5894" s="2018"/>
      <c r="V5894" s="2018"/>
      <c r="W5894" s="2018"/>
      <c r="X5894" s="2018"/>
      <c r="Y5894" s="2018"/>
      <c r="Z5894" s="2023"/>
      <c r="AA5894" s="2023"/>
      <c r="AB5894" s="1050"/>
      <c r="AC5894" s="1050"/>
      <c r="AD5894" s="1050"/>
      <c r="AE5894" s="1050"/>
      <c r="AF5894" s="1052"/>
    </row>
    <row r="5895" spans="1:32" ht="16.5" thickBot="1" x14ac:dyDescent="0.3">
      <c r="A5895" s="2019"/>
      <c r="B5895" s="2020"/>
      <c r="C5895" s="2020"/>
      <c r="D5895" s="2020"/>
      <c r="E5895" s="2020"/>
      <c r="F5895" s="2020"/>
      <c r="G5895" s="2020"/>
      <c r="H5895" s="2020"/>
      <c r="I5895" s="2020"/>
      <c r="J5895" s="2020"/>
      <c r="K5895" s="2020"/>
      <c r="L5895" s="2020"/>
      <c r="M5895" s="2020"/>
      <c r="N5895" s="2020"/>
      <c r="O5895" s="2020"/>
      <c r="P5895" s="2020"/>
      <c r="Q5895" s="2020"/>
      <c r="R5895" s="2020"/>
      <c r="S5895" s="2020"/>
      <c r="T5895" s="2020"/>
      <c r="U5895" s="2020"/>
      <c r="V5895" s="2020"/>
      <c r="W5895" s="2020"/>
      <c r="X5895" s="2020"/>
      <c r="Y5895" s="2020"/>
      <c r="Z5895" s="2024"/>
      <c r="AA5895" s="2024"/>
      <c r="AB5895" s="1057"/>
      <c r="AC5895" s="1057"/>
      <c r="AD5895" s="1057"/>
      <c r="AE5895" s="1057"/>
      <c r="AF5895" s="1058"/>
    </row>
    <row r="5896" spans="1:32" ht="15.75" x14ac:dyDescent="0.25">
      <c r="A5896" s="2009" t="s">
        <v>1855</v>
      </c>
      <c r="B5896" s="2010"/>
      <c r="C5896" s="2010"/>
      <c r="D5896" s="2010"/>
      <c r="E5896" s="2010"/>
      <c r="F5896" s="2010"/>
      <c r="G5896" s="2010"/>
      <c r="H5896" s="2010"/>
      <c r="I5896" s="2010"/>
      <c r="J5896" s="2010"/>
      <c r="K5896" s="2010"/>
      <c r="L5896" s="2010"/>
      <c r="M5896" s="2010"/>
      <c r="N5896" s="2010"/>
      <c r="O5896" s="2010"/>
      <c r="P5896" s="2010"/>
      <c r="Q5896" s="2010"/>
      <c r="R5896" s="2010"/>
      <c r="S5896" s="2010"/>
      <c r="T5896" s="2010"/>
      <c r="U5896" s="2010"/>
      <c r="V5896" s="2010"/>
      <c r="W5896" s="2010"/>
      <c r="X5896" s="2010"/>
      <c r="Y5896" s="2010"/>
      <c r="Z5896" s="2013" t="s">
        <v>1850</v>
      </c>
      <c r="AA5896" s="2013"/>
      <c r="AB5896" s="2013"/>
      <c r="AC5896" s="2013"/>
      <c r="AD5896" s="2013"/>
      <c r="AE5896" s="2013"/>
      <c r="AF5896" s="1059">
        <f>SUM(AF5872:AF5895)</f>
        <v>10</v>
      </c>
    </row>
    <row r="5897" spans="1:32" ht="15.75" x14ac:dyDescent="0.25">
      <c r="A5897" s="2011"/>
      <c r="B5897" s="2012"/>
      <c r="C5897" s="2012"/>
      <c r="D5897" s="2012"/>
      <c r="E5897" s="2012"/>
      <c r="F5897" s="2012"/>
      <c r="G5897" s="2012"/>
      <c r="H5897" s="2012"/>
      <c r="I5897" s="2012"/>
      <c r="J5897" s="2012"/>
      <c r="K5897" s="2012"/>
      <c r="L5897" s="2012"/>
      <c r="M5897" s="2012"/>
      <c r="N5897" s="2012"/>
      <c r="O5897" s="2012"/>
      <c r="P5897" s="2012"/>
      <c r="Q5897" s="2012"/>
      <c r="R5897" s="2012"/>
      <c r="S5897" s="2012"/>
      <c r="T5897" s="2012"/>
      <c r="U5897" s="2012"/>
      <c r="V5897" s="2012"/>
      <c r="W5897" s="2012"/>
      <c r="X5897" s="2012"/>
      <c r="Y5897" s="2012"/>
      <c r="Z5897" s="2014" t="s">
        <v>1851</v>
      </c>
      <c r="AA5897" s="2014"/>
      <c r="AB5897" s="2014"/>
      <c r="AC5897" s="2014"/>
      <c r="AD5897" s="2014"/>
      <c r="AE5897" s="2014"/>
      <c r="AF5897" s="1060">
        <v>0</v>
      </c>
    </row>
    <row r="5898" spans="1:32" ht="15.75" x14ac:dyDescent="0.25">
      <c r="A5898" s="2011"/>
      <c r="B5898" s="2012"/>
      <c r="C5898" s="2012"/>
      <c r="D5898" s="2012"/>
      <c r="E5898" s="2012"/>
      <c r="F5898" s="2012"/>
      <c r="G5898" s="2012"/>
      <c r="H5898" s="2012"/>
      <c r="I5898" s="2012"/>
      <c r="J5898" s="2012"/>
      <c r="K5898" s="2012"/>
      <c r="L5898" s="2012"/>
      <c r="M5898" s="2012"/>
      <c r="N5898" s="2012"/>
      <c r="O5898" s="2012"/>
      <c r="P5898" s="2012"/>
      <c r="Q5898" s="2012"/>
      <c r="R5898" s="2012"/>
      <c r="S5898" s="2012"/>
      <c r="T5898" s="2012"/>
      <c r="U5898" s="2012"/>
      <c r="V5898" s="2012"/>
      <c r="W5898" s="2012"/>
      <c r="X5898" s="2012"/>
      <c r="Y5898" s="2012"/>
      <c r="Z5898" s="2015" t="s">
        <v>1833</v>
      </c>
      <c r="AA5898" s="2015"/>
      <c r="AB5898" s="2015"/>
      <c r="AC5898" s="2015"/>
      <c r="AD5898" s="2015"/>
      <c r="AE5898" s="2015"/>
      <c r="AF5898" s="1061">
        <f>SUM(AF5896:AF5897)</f>
        <v>10</v>
      </c>
    </row>
    <row r="5899" spans="1:32" x14ac:dyDescent="0.2">
      <c r="A5899" s="2012" t="s">
        <v>1859</v>
      </c>
      <c r="B5899" s="2012"/>
      <c r="C5899" s="2012"/>
      <c r="D5899" s="2012"/>
      <c r="E5899" s="2012"/>
      <c r="F5899" s="2012"/>
      <c r="G5899" s="2012"/>
      <c r="H5899" s="2012"/>
      <c r="I5899" s="2012"/>
      <c r="J5899" s="2012"/>
      <c r="K5899" s="2012"/>
      <c r="L5899" s="2012"/>
      <c r="M5899" s="2012"/>
      <c r="N5899" s="2012"/>
      <c r="O5899" s="2012"/>
      <c r="P5899" s="2012"/>
      <c r="Q5899" s="2012"/>
      <c r="R5899" s="2012"/>
      <c r="S5899" s="2012"/>
      <c r="T5899" s="2016" t="s">
        <v>1840</v>
      </c>
      <c r="U5899" s="2016"/>
      <c r="V5899" s="2016"/>
      <c r="W5899" s="2016"/>
      <c r="X5899" s="2016"/>
      <c r="Y5899" s="2016"/>
      <c r="Z5899" s="2016"/>
      <c r="AA5899" s="2016"/>
      <c r="AB5899" s="2012" t="s">
        <v>1852</v>
      </c>
      <c r="AC5899" s="2012"/>
      <c r="AD5899" s="2012"/>
      <c r="AE5899" s="2012"/>
      <c r="AF5899" s="2012"/>
    </row>
    <row r="5900" spans="1:32" x14ac:dyDescent="0.2">
      <c r="A5900" s="2012"/>
      <c r="B5900" s="2012"/>
      <c r="C5900" s="2012"/>
      <c r="D5900" s="2012"/>
      <c r="E5900" s="2012"/>
      <c r="F5900" s="2012"/>
      <c r="G5900" s="2012"/>
      <c r="H5900" s="2012"/>
      <c r="I5900" s="2012"/>
      <c r="J5900" s="2012"/>
      <c r="K5900" s="2012"/>
      <c r="L5900" s="2012"/>
      <c r="M5900" s="2012"/>
      <c r="N5900" s="2012"/>
      <c r="O5900" s="2012"/>
      <c r="P5900" s="2012"/>
      <c r="Q5900" s="2012"/>
      <c r="R5900" s="2012"/>
      <c r="S5900" s="2012"/>
      <c r="T5900" s="2016"/>
      <c r="U5900" s="2016"/>
      <c r="V5900" s="2016"/>
      <c r="W5900" s="2016"/>
      <c r="X5900" s="2016"/>
      <c r="Y5900" s="2016"/>
      <c r="Z5900" s="2016"/>
      <c r="AA5900" s="2016"/>
      <c r="AB5900" s="2012"/>
      <c r="AC5900" s="2012"/>
      <c r="AD5900" s="2012"/>
      <c r="AE5900" s="2012"/>
      <c r="AF5900" s="2012"/>
    </row>
    <row r="5901" spans="1:32" ht="13.5" thickBot="1" x14ac:dyDescent="0.25"/>
    <row r="5902" spans="1:32" ht="26.45" customHeight="1" x14ac:dyDescent="0.2">
      <c r="A5902" s="2025" t="s">
        <v>1854</v>
      </c>
      <c r="B5902" s="2026"/>
      <c r="C5902" s="2026"/>
      <c r="D5902" s="2026"/>
      <c r="E5902" s="2026"/>
      <c r="F5902" s="2026"/>
      <c r="G5902" s="2026"/>
      <c r="H5902" s="2026"/>
      <c r="I5902" s="2026"/>
      <c r="J5902" s="2026"/>
      <c r="K5902" s="2026"/>
      <c r="L5902" s="2026"/>
      <c r="M5902" s="2026"/>
      <c r="N5902" s="2026"/>
      <c r="O5902" s="2026"/>
      <c r="P5902" s="2026"/>
      <c r="Q5902" s="2026"/>
      <c r="R5902" s="2026"/>
      <c r="S5902" s="2026"/>
      <c r="T5902" s="2026"/>
      <c r="U5902" s="2026"/>
      <c r="V5902" s="2026"/>
      <c r="W5902" s="2026"/>
      <c r="X5902" s="2026"/>
      <c r="Y5902" s="2026"/>
      <c r="Z5902" s="2026"/>
      <c r="AA5902" s="2026"/>
      <c r="AB5902" s="2026"/>
      <c r="AC5902" s="2026"/>
      <c r="AD5902" s="2026"/>
      <c r="AE5902" s="1041" t="s">
        <v>1834</v>
      </c>
      <c r="AF5902" s="1042" t="s">
        <v>1835</v>
      </c>
    </row>
    <row r="5903" spans="1:32" ht="21" customHeight="1" thickBot="1" x14ac:dyDescent="0.25">
      <c r="A5903" s="2027"/>
      <c r="B5903" s="2028"/>
      <c r="C5903" s="2028"/>
      <c r="D5903" s="2028"/>
      <c r="E5903" s="2028"/>
      <c r="F5903" s="2028"/>
      <c r="G5903" s="2028"/>
      <c r="H5903" s="2028"/>
      <c r="I5903" s="2028"/>
      <c r="J5903" s="2028"/>
      <c r="K5903" s="2028"/>
      <c r="L5903" s="2028"/>
      <c r="M5903" s="2028"/>
      <c r="N5903" s="2028"/>
      <c r="O5903" s="2028"/>
      <c r="P5903" s="2028"/>
      <c r="Q5903" s="2028"/>
      <c r="R5903" s="2028"/>
      <c r="S5903" s="2028"/>
      <c r="T5903" s="2028"/>
      <c r="U5903" s="2028"/>
      <c r="V5903" s="2028"/>
      <c r="W5903" s="2028"/>
      <c r="X5903" s="2028"/>
      <c r="Y5903" s="2028"/>
      <c r="Z5903" s="2028"/>
      <c r="AA5903" s="2028"/>
      <c r="AB5903" s="2028"/>
      <c r="AC5903" s="2028"/>
      <c r="AD5903" s="2028"/>
      <c r="AE5903" s="1041" t="s">
        <v>1836</v>
      </c>
      <c r="AF5903" s="1044">
        <v>1</v>
      </c>
    </row>
    <row r="5904" spans="1:32" ht="15.75" x14ac:dyDescent="0.2">
      <c r="A5904" s="2029"/>
      <c r="B5904" s="2030"/>
      <c r="C5904" s="2030"/>
      <c r="D5904" s="2031"/>
      <c r="E5904" s="2025" t="str">
        <f>'01'!$A$12</f>
        <v>"CONSTRUCCION SISTEMA DE ACUEDUCTO FASE II DEL MUNICIPIO DE TESALIA DPTO DEL HUILA"</v>
      </c>
      <c r="F5904" s="2026"/>
      <c r="G5904" s="2026"/>
      <c r="H5904" s="2026"/>
      <c r="I5904" s="2026"/>
      <c r="J5904" s="2026"/>
      <c r="K5904" s="2026"/>
      <c r="L5904" s="2026"/>
      <c r="M5904" s="2026"/>
      <c r="N5904" s="2026"/>
      <c r="O5904" s="2026"/>
      <c r="P5904" s="2026"/>
      <c r="Q5904" s="2026"/>
      <c r="R5904" s="2026"/>
      <c r="S5904" s="2026"/>
      <c r="T5904" s="2026"/>
      <c r="U5904" s="2026"/>
      <c r="V5904" s="2026"/>
      <c r="W5904" s="2026"/>
      <c r="X5904" s="2026"/>
      <c r="Y5904" s="2026"/>
      <c r="Z5904" s="2026"/>
      <c r="AA5904" s="2026"/>
      <c r="AB5904" s="2026"/>
      <c r="AC5904" s="2026"/>
      <c r="AD5904" s="2035"/>
      <c r="AE5904" s="1041" t="s">
        <v>847</v>
      </c>
      <c r="AF5904" s="1045">
        <f>'01'!$M$13</f>
        <v>0</v>
      </c>
    </row>
    <row r="5905" spans="1:32" ht="16.5" thickBot="1" x14ac:dyDescent="0.25">
      <c r="A5905" s="2032"/>
      <c r="B5905" s="2033"/>
      <c r="C5905" s="2033"/>
      <c r="D5905" s="2034"/>
      <c r="E5905" s="2027"/>
      <c r="F5905" s="2028"/>
      <c r="G5905" s="2028"/>
      <c r="H5905" s="2028"/>
      <c r="I5905" s="2028"/>
      <c r="J5905" s="2028"/>
      <c r="K5905" s="2028"/>
      <c r="L5905" s="2028"/>
      <c r="M5905" s="2028"/>
      <c r="N5905" s="2028"/>
      <c r="O5905" s="2028"/>
      <c r="P5905" s="2028"/>
      <c r="Q5905" s="2028"/>
      <c r="R5905" s="2028"/>
      <c r="S5905" s="2028"/>
      <c r="T5905" s="2028"/>
      <c r="U5905" s="2028"/>
      <c r="V5905" s="2028"/>
      <c r="W5905" s="2028"/>
      <c r="X5905" s="2028"/>
      <c r="Y5905" s="2028"/>
      <c r="Z5905" s="2028"/>
      <c r="AA5905" s="2028"/>
      <c r="AB5905" s="2028"/>
      <c r="AC5905" s="2028"/>
      <c r="AD5905" s="2036"/>
      <c r="AE5905" s="1041" t="s">
        <v>1837</v>
      </c>
      <c r="AF5905" s="1042" t="s">
        <v>1838</v>
      </c>
    </row>
    <row r="5906" spans="1:32" ht="15.75" x14ac:dyDescent="0.25">
      <c r="A5906" s="2037" t="s">
        <v>1860</v>
      </c>
      <c r="B5906" s="2038"/>
      <c r="C5906" s="2038"/>
      <c r="D5906" s="2038"/>
      <c r="E5906" s="2038"/>
      <c r="F5906" s="2038"/>
      <c r="G5906" s="2038"/>
      <c r="H5906" s="2038"/>
      <c r="I5906" s="2038"/>
      <c r="J5906" s="2038"/>
      <c r="K5906" s="2038"/>
      <c r="L5906" s="2038"/>
      <c r="M5906" s="2038"/>
      <c r="N5906" s="2038"/>
      <c r="O5906" s="2038"/>
      <c r="P5906" s="2038"/>
      <c r="Q5906" s="2038"/>
      <c r="R5906" s="2038"/>
      <c r="S5906" s="2038"/>
      <c r="T5906" s="2038"/>
      <c r="U5906" s="2038"/>
      <c r="V5906" s="2038"/>
      <c r="W5906" s="2038"/>
      <c r="X5906" s="2038"/>
      <c r="Y5906" s="2038"/>
      <c r="Z5906" s="2038"/>
      <c r="AA5906" s="2038"/>
      <c r="AB5906" s="2038"/>
      <c r="AC5906" s="2038"/>
      <c r="AD5906" s="2038"/>
      <c r="AE5906" s="2039" t="s">
        <v>1839</v>
      </c>
      <c r="AF5906" s="2040"/>
    </row>
    <row r="5907" spans="1:32" ht="15.75" x14ac:dyDescent="0.25">
      <c r="A5907" s="2041" t="s">
        <v>1840</v>
      </c>
      <c r="B5907" s="2042"/>
      <c r="C5907" s="2042"/>
      <c r="D5907" s="2042"/>
      <c r="E5907" s="2042"/>
      <c r="F5907" s="2042"/>
      <c r="G5907" s="2042"/>
      <c r="H5907" s="2042"/>
      <c r="I5907" s="2042"/>
      <c r="J5907" s="2042"/>
      <c r="K5907" s="2042"/>
      <c r="L5907" s="2042"/>
      <c r="M5907" s="2042"/>
      <c r="N5907" s="2042"/>
      <c r="O5907" s="2042"/>
      <c r="P5907" s="2042"/>
      <c r="Q5907" s="2042"/>
      <c r="R5907" s="2042"/>
      <c r="S5907" s="2042"/>
      <c r="T5907" s="2042"/>
      <c r="U5907" s="2042"/>
      <c r="V5907" s="2042"/>
      <c r="W5907" s="2042"/>
      <c r="X5907" s="2042"/>
      <c r="Y5907" s="2042"/>
      <c r="Z5907" s="2042"/>
      <c r="AA5907" s="2042"/>
      <c r="AB5907" s="2042"/>
      <c r="AC5907" s="2042"/>
      <c r="AD5907" s="2043"/>
      <c r="AE5907" s="2014" t="s">
        <v>1841</v>
      </c>
      <c r="AF5907" s="2044"/>
    </row>
    <row r="5908" spans="1:32" ht="15.75" x14ac:dyDescent="0.25">
      <c r="A5908" s="2045" t="s">
        <v>1853</v>
      </c>
      <c r="B5908" s="2046"/>
      <c r="C5908" s="2046"/>
      <c r="D5908" s="2046"/>
      <c r="E5908" s="2046"/>
      <c r="F5908" s="2046"/>
      <c r="G5908" s="2046"/>
      <c r="H5908" s="2046"/>
      <c r="I5908" s="2046"/>
      <c r="J5908" s="2046"/>
      <c r="K5908" s="2046"/>
      <c r="L5908" s="2046"/>
      <c r="M5908" s="2046"/>
      <c r="N5908" s="2046"/>
      <c r="O5908" s="2046"/>
      <c r="P5908" s="2046"/>
      <c r="Q5908" s="2046"/>
      <c r="R5908" s="2046"/>
      <c r="S5908" s="2046"/>
      <c r="T5908" s="2046"/>
      <c r="U5908" s="2046"/>
      <c r="V5908" s="2046"/>
      <c r="W5908" s="2046"/>
      <c r="X5908" s="2046"/>
      <c r="Y5908" s="2046"/>
      <c r="Z5908" s="2046"/>
      <c r="AA5908" s="2046"/>
      <c r="AB5908" s="2046"/>
      <c r="AC5908" s="2046"/>
      <c r="AD5908" s="2046"/>
      <c r="AE5908" s="2047">
        <f>'01'!$M$13</f>
        <v>0</v>
      </c>
      <c r="AF5908" s="2044"/>
    </row>
    <row r="5909" spans="1:32" x14ac:dyDescent="0.2">
      <c r="A5909" s="1046"/>
      <c r="B5909" s="1047"/>
      <c r="C5909" s="1047"/>
      <c r="D5909" s="1047"/>
      <c r="E5909" s="1047"/>
      <c r="F5909" s="1047"/>
      <c r="G5909" s="1047"/>
      <c r="H5909" s="1047"/>
      <c r="I5909" s="1047"/>
      <c r="J5909" s="1047"/>
      <c r="K5909" s="1047"/>
      <c r="L5909" s="1047"/>
      <c r="M5909" s="1047"/>
      <c r="N5909" s="1047"/>
      <c r="O5909" s="1047"/>
      <c r="P5909" s="1047"/>
      <c r="Q5909" s="1047"/>
      <c r="R5909" s="1047"/>
      <c r="S5909" s="1047"/>
      <c r="T5909" s="1047"/>
      <c r="U5909" s="1047"/>
      <c r="V5909" s="1047"/>
      <c r="W5909" s="1047"/>
      <c r="X5909" s="1047"/>
      <c r="Y5909" s="1047"/>
      <c r="Z5909" s="1047"/>
      <c r="AA5909" s="1047"/>
      <c r="AB5909" s="1047"/>
      <c r="AC5909" s="1047"/>
      <c r="AD5909" s="1047"/>
      <c r="AE5909" s="1047"/>
      <c r="AF5909" s="1048"/>
    </row>
    <row r="5910" spans="1:32" ht="30" customHeight="1" x14ac:dyDescent="0.2">
      <c r="A5910" s="2048" t="s">
        <v>1842</v>
      </c>
      <c r="B5910" s="2049"/>
      <c r="C5910" s="2049"/>
      <c r="D5910" s="2049"/>
      <c r="E5910" s="2049"/>
      <c r="F5910" s="2050" t="str">
        <f>+'01'!$H$230</f>
        <v>I - TUBERÍA DE INTERCONEXIÓN</v>
      </c>
      <c r="G5910" s="2049"/>
      <c r="H5910" s="2049"/>
      <c r="I5910" s="2049"/>
      <c r="J5910" s="2049"/>
      <c r="K5910" s="2049"/>
      <c r="L5910" s="2049"/>
      <c r="M5910" s="2049"/>
      <c r="N5910" s="2049"/>
      <c r="O5910" s="2049"/>
      <c r="P5910" s="2049"/>
      <c r="Q5910" s="2049"/>
      <c r="R5910" s="2049"/>
      <c r="S5910" s="2049"/>
      <c r="T5910" s="2049"/>
      <c r="U5910" s="2049"/>
      <c r="V5910" s="2049"/>
      <c r="W5910" s="2049"/>
      <c r="X5910" s="2049"/>
      <c r="Y5910" s="2051"/>
      <c r="Z5910" s="2052" t="s">
        <v>1843</v>
      </c>
      <c r="AA5910" s="2053"/>
      <c r="AB5910" s="2058" t="s">
        <v>1844</v>
      </c>
      <c r="AC5910" s="2059"/>
      <c r="AD5910" s="2060"/>
      <c r="AE5910" s="2064" t="s">
        <v>1845</v>
      </c>
      <c r="AF5910" s="2067" t="s">
        <v>1846</v>
      </c>
    </row>
    <row r="5911" spans="1:32" ht="15" customHeight="1" x14ac:dyDescent="0.2">
      <c r="A5911" s="2070" t="str">
        <f>+'01'!A244</f>
        <v>I-05-02</v>
      </c>
      <c r="B5911" s="2071"/>
      <c r="C5911" s="2072"/>
      <c r="D5911" s="2076" t="str">
        <f>VLOOKUP(A5911,'01'!$A$12:$N$299,3,FALSE)</f>
        <v>SUMINISTRO E INSTALACIÓN DE TUBERIA PVC UNION MECANICA DE 6". PRESIÓN DE TRABAJO 200 PSI.</v>
      </c>
      <c r="E5911" s="2077"/>
      <c r="F5911" s="2077"/>
      <c r="G5911" s="2077"/>
      <c r="H5911" s="2077"/>
      <c r="I5911" s="2077"/>
      <c r="J5911" s="2077"/>
      <c r="K5911" s="2077"/>
      <c r="L5911" s="2077"/>
      <c r="M5911" s="2077"/>
      <c r="N5911" s="2077"/>
      <c r="O5911" s="2077"/>
      <c r="P5911" s="2077"/>
      <c r="Q5911" s="2077"/>
      <c r="R5911" s="2077"/>
      <c r="S5911" s="2078"/>
      <c r="T5911" s="2082" t="s">
        <v>124</v>
      </c>
      <c r="U5911" s="2083"/>
      <c r="V5911" s="2083"/>
      <c r="W5911" s="2083"/>
      <c r="X5911" s="2052" t="str">
        <f>VLOOKUP(A5911,'01'!$A$12:$N$299,9,FALSE)</f>
        <v>ML</v>
      </c>
      <c r="Y5911" s="2053"/>
      <c r="Z5911" s="2054"/>
      <c r="AA5911" s="2055"/>
      <c r="AB5911" s="2061"/>
      <c r="AC5911" s="2062"/>
      <c r="AD5911" s="2063"/>
      <c r="AE5911" s="2065"/>
      <c r="AF5911" s="2068"/>
    </row>
    <row r="5912" spans="1:32" ht="15" customHeight="1" x14ac:dyDescent="0.25">
      <c r="A5912" s="2073"/>
      <c r="B5912" s="2074"/>
      <c r="C5912" s="2075"/>
      <c r="D5912" s="2079"/>
      <c r="E5912" s="2080"/>
      <c r="F5912" s="2080"/>
      <c r="G5912" s="2080"/>
      <c r="H5912" s="2080"/>
      <c r="I5912" s="2080"/>
      <c r="J5912" s="2080"/>
      <c r="K5912" s="2080"/>
      <c r="L5912" s="2080"/>
      <c r="M5912" s="2080"/>
      <c r="N5912" s="2080"/>
      <c r="O5912" s="2080"/>
      <c r="P5912" s="2080"/>
      <c r="Q5912" s="2080"/>
      <c r="R5912" s="2080"/>
      <c r="S5912" s="2081"/>
      <c r="T5912" s="2084"/>
      <c r="U5912" s="2085"/>
      <c r="V5912" s="2085"/>
      <c r="W5912" s="2085"/>
      <c r="X5912" s="2056"/>
      <c r="Y5912" s="2057"/>
      <c r="Z5912" s="2056"/>
      <c r="AA5912" s="2057"/>
      <c r="AB5912" s="1049" t="s">
        <v>1847</v>
      </c>
      <c r="AC5912" s="1049" t="s">
        <v>1848</v>
      </c>
      <c r="AD5912" s="1049" t="s">
        <v>1861</v>
      </c>
      <c r="AE5912" s="2066"/>
      <c r="AF5912" s="2069"/>
    </row>
    <row r="5913" spans="1:32" ht="30" customHeight="1" x14ac:dyDescent="0.25">
      <c r="A5913" s="2017"/>
      <c r="B5913" s="2018"/>
      <c r="C5913" s="2018"/>
      <c r="D5913" s="2018"/>
      <c r="E5913" s="2018"/>
      <c r="F5913" s="2018"/>
      <c r="G5913" s="2018"/>
      <c r="H5913" s="2018"/>
      <c r="I5913" s="2018"/>
      <c r="J5913" s="2018"/>
      <c r="K5913" s="2018"/>
      <c r="L5913" s="2018"/>
      <c r="M5913" s="2018"/>
      <c r="N5913" s="2018"/>
      <c r="O5913" s="2018"/>
      <c r="P5913" s="2018"/>
      <c r="Q5913" s="2018"/>
      <c r="R5913" s="2018"/>
      <c r="S5913" s="2018"/>
      <c r="T5913" s="2018"/>
      <c r="U5913" s="2018"/>
      <c r="V5913" s="2018"/>
      <c r="W5913" s="2018"/>
      <c r="X5913" s="2018"/>
      <c r="Y5913" s="2018"/>
      <c r="Z5913" s="2021" t="s">
        <v>2552</v>
      </c>
      <c r="AA5913" s="2021"/>
      <c r="AB5913" s="1050">
        <v>30</v>
      </c>
      <c r="AC5913" s="1050"/>
      <c r="AD5913" s="1050"/>
      <c r="AE5913" s="1050">
        <v>0</v>
      </c>
      <c r="AF5913" s="1052">
        <f>+ROUND(AB5913*AE5913,2)</f>
        <v>0</v>
      </c>
    </row>
    <row r="5914" spans="1:32" ht="15.6" customHeight="1" x14ac:dyDescent="0.25">
      <c r="A5914" s="2017"/>
      <c r="B5914" s="2018"/>
      <c r="C5914" s="2018"/>
      <c r="D5914" s="2018"/>
      <c r="E5914" s="2018"/>
      <c r="F5914" s="2018"/>
      <c r="G5914" s="2018"/>
      <c r="H5914" s="2018"/>
      <c r="I5914" s="2018"/>
      <c r="J5914" s="2018"/>
      <c r="K5914" s="2018"/>
      <c r="L5914" s="2018"/>
      <c r="M5914" s="2018"/>
      <c r="N5914" s="2018"/>
      <c r="O5914" s="2018"/>
      <c r="P5914" s="2018"/>
      <c r="Q5914" s="2018"/>
      <c r="R5914" s="2018"/>
      <c r="S5914" s="2018"/>
      <c r="T5914" s="2018"/>
      <c r="U5914" s="2018"/>
      <c r="V5914" s="2018"/>
      <c r="W5914" s="2018"/>
      <c r="X5914" s="2018"/>
      <c r="Y5914" s="2018"/>
      <c r="Z5914" s="2021" t="s">
        <v>2553</v>
      </c>
      <c r="AA5914" s="2021"/>
      <c r="AB5914" s="1050">
        <v>10</v>
      </c>
      <c r="AC5914" s="1050"/>
      <c r="AD5914" s="1050"/>
      <c r="AE5914" s="1050">
        <v>0</v>
      </c>
      <c r="AF5914" s="1052">
        <f>+ROUND(AB5914*AE5914,2)</f>
        <v>0</v>
      </c>
    </row>
    <row r="5915" spans="1:32" ht="15.6" customHeight="1" x14ac:dyDescent="0.25">
      <c r="A5915" s="2017"/>
      <c r="B5915" s="2018"/>
      <c r="C5915" s="2018"/>
      <c r="D5915" s="2018"/>
      <c r="E5915" s="2018"/>
      <c r="F5915" s="2018"/>
      <c r="G5915" s="2018"/>
      <c r="H5915" s="2018"/>
      <c r="I5915" s="2018"/>
      <c r="J5915" s="2018"/>
      <c r="K5915" s="2018"/>
      <c r="L5915" s="2018"/>
      <c r="M5915" s="2018"/>
      <c r="N5915" s="2018"/>
      <c r="O5915" s="2018"/>
      <c r="P5915" s="2018"/>
      <c r="Q5915" s="2018"/>
      <c r="R5915" s="2018"/>
      <c r="S5915" s="2018"/>
      <c r="T5915" s="2018"/>
      <c r="U5915" s="2018"/>
      <c r="V5915" s="2018"/>
      <c r="W5915" s="2018"/>
      <c r="X5915" s="2018"/>
      <c r="Y5915" s="2018"/>
      <c r="Z5915" s="2021" t="s">
        <v>2554</v>
      </c>
      <c r="AA5915" s="2021"/>
      <c r="AB5915" s="1050">
        <v>15</v>
      </c>
      <c r="AC5915" s="1050"/>
      <c r="AD5915" s="1050"/>
      <c r="AE5915" s="1050">
        <v>0</v>
      </c>
      <c r="AF5915" s="1052">
        <f>+ROUND(AB5915*AE5915,2)</f>
        <v>0</v>
      </c>
    </row>
    <row r="5916" spans="1:32" ht="15.75" x14ac:dyDescent="0.25">
      <c r="A5916" s="2017"/>
      <c r="B5916" s="2018"/>
      <c r="C5916" s="2018"/>
      <c r="D5916" s="2018"/>
      <c r="E5916" s="2018"/>
      <c r="F5916" s="2018"/>
      <c r="G5916" s="2018"/>
      <c r="H5916" s="2018"/>
      <c r="I5916" s="2018"/>
      <c r="J5916" s="2018"/>
      <c r="K5916" s="2018"/>
      <c r="L5916" s="2018"/>
      <c r="M5916" s="2018"/>
      <c r="N5916" s="2018"/>
      <c r="O5916" s="2018"/>
      <c r="P5916" s="2018"/>
      <c r="Q5916" s="2018"/>
      <c r="R5916" s="2018"/>
      <c r="S5916" s="2018"/>
      <c r="T5916" s="2018"/>
      <c r="U5916" s="2018"/>
      <c r="V5916" s="2018"/>
      <c r="W5916" s="2018"/>
      <c r="X5916" s="2018"/>
      <c r="Y5916" s="2018"/>
      <c r="Z5916" s="2021" t="s">
        <v>2555</v>
      </c>
      <c r="AA5916" s="2021"/>
      <c r="AB5916" s="1050">
        <v>20</v>
      </c>
      <c r="AC5916" s="1050"/>
      <c r="AD5916" s="1050"/>
      <c r="AE5916" s="1050">
        <v>0</v>
      </c>
      <c r="AF5916" s="1052">
        <f t="shared" ref="AF5916:AF5920" si="89">+ROUND(AB5916*AE5916,2)</f>
        <v>0</v>
      </c>
    </row>
    <row r="5917" spans="1:32" ht="15.6" customHeight="1" x14ac:dyDescent="0.25">
      <c r="A5917" s="2017"/>
      <c r="B5917" s="2018"/>
      <c r="C5917" s="2018"/>
      <c r="D5917" s="2018"/>
      <c r="E5917" s="2018"/>
      <c r="F5917" s="2018"/>
      <c r="G5917" s="2018"/>
      <c r="H5917" s="2018"/>
      <c r="I5917" s="2018"/>
      <c r="J5917" s="2018"/>
      <c r="K5917" s="2018"/>
      <c r="L5917" s="2018"/>
      <c r="M5917" s="2018"/>
      <c r="N5917" s="2018"/>
      <c r="O5917" s="2018"/>
      <c r="P5917" s="2018"/>
      <c r="Q5917" s="2018"/>
      <c r="R5917" s="2018"/>
      <c r="S5917" s="2018"/>
      <c r="T5917" s="2018"/>
      <c r="U5917" s="2018"/>
      <c r="V5917" s="2018"/>
      <c r="W5917" s="2018"/>
      <c r="X5917" s="2018"/>
      <c r="Y5917" s="2018"/>
      <c r="Z5917" s="2021" t="s">
        <v>2560</v>
      </c>
      <c r="AA5917" s="2021"/>
      <c r="AB5917" s="1050">
        <v>10</v>
      </c>
      <c r="AC5917" s="1050"/>
      <c r="AD5917" s="1050"/>
      <c r="AE5917" s="1050">
        <v>0</v>
      </c>
      <c r="AF5917" s="1052">
        <f t="shared" si="89"/>
        <v>0</v>
      </c>
    </row>
    <row r="5918" spans="1:32" ht="15.75" x14ac:dyDescent="0.25">
      <c r="A5918" s="2017"/>
      <c r="B5918" s="2018"/>
      <c r="C5918" s="2018"/>
      <c r="D5918" s="2018"/>
      <c r="E5918" s="2018"/>
      <c r="F5918" s="2018"/>
      <c r="G5918" s="2018"/>
      <c r="H5918" s="2018"/>
      <c r="I5918" s="2018"/>
      <c r="J5918" s="2018"/>
      <c r="K5918" s="2018"/>
      <c r="L5918" s="2018"/>
      <c r="M5918" s="2018"/>
      <c r="N5918" s="2018"/>
      <c r="O5918" s="2018"/>
      <c r="P5918" s="2018"/>
      <c r="Q5918" s="2018"/>
      <c r="R5918" s="2018"/>
      <c r="S5918" s="2018"/>
      <c r="T5918" s="2018"/>
      <c r="U5918" s="2018"/>
      <c r="V5918" s="2018"/>
      <c r="W5918" s="2018"/>
      <c r="X5918" s="2018"/>
      <c r="Y5918" s="2018"/>
      <c r="Z5918" s="2021" t="s">
        <v>2557</v>
      </c>
      <c r="AA5918" s="2021"/>
      <c r="AB5918" s="1050">
        <v>10</v>
      </c>
      <c r="AC5918" s="1050"/>
      <c r="AD5918" s="1050"/>
      <c r="AE5918" s="1050">
        <v>1</v>
      </c>
      <c r="AF5918" s="1052">
        <f t="shared" si="89"/>
        <v>10</v>
      </c>
    </row>
    <row r="5919" spans="1:32" ht="15.75" x14ac:dyDescent="0.25">
      <c r="A5919" s="2017"/>
      <c r="B5919" s="2018"/>
      <c r="C5919" s="2018"/>
      <c r="D5919" s="2018"/>
      <c r="E5919" s="2018"/>
      <c r="F5919" s="2018"/>
      <c r="G5919" s="2018"/>
      <c r="H5919" s="2018"/>
      <c r="I5919" s="2018"/>
      <c r="J5919" s="2018"/>
      <c r="K5919" s="2018"/>
      <c r="L5919" s="2018"/>
      <c r="M5919" s="2018"/>
      <c r="N5919" s="2018"/>
      <c r="O5919" s="2018"/>
      <c r="P5919" s="2018"/>
      <c r="Q5919" s="2018"/>
      <c r="R5919" s="2018"/>
      <c r="S5919" s="2018"/>
      <c r="T5919" s="2018"/>
      <c r="U5919" s="2018"/>
      <c r="V5919" s="2018"/>
      <c r="W5919" s="2018"/>
      <c r="X5919" s="2018"/>
      <c r="Y5919" s="2018"/>
      <c r="Z5919" s="2021" t="s">
        <v>2558</v>
      </c>
      <c r="AA5919" s="2021"/>
      <c r="AB5919" s="1050">
        <v>10</v>
      </c>
      <c r="AC5919" s="1050"/>
      <c r="AD5919" s="1050"/>
      <c r="AE5919" s="1050">
        <v>0</v>
      </c>
      <c r="AF5919" s="1052">
        <f t="shared" si="89"/>
        <v>0</v>
      </c>
    </row>
    <row r="5920" spans="1:32" ht="15.6" customHeight="1" x14ac:dyDescent="0.25">
      <c r="A5920" s="2017"/>
      <c r="B5920" s="2018"/>
      <c r="C5920" s="2018"/>
      <c r="D5920" s="2018"/>
      <c r="E5920" s="2018"/>
      <c r="F5920" s="2018"/>
      <c r="G5920" s="2018"/>
      <c r="H5920" s="2018"/>
      <c r="I5920" s="2018"/>
      <c r="J5920" s="2018"/>
      <c r="K5920" s="2018"/>
      <c r="L5920" s="2018"/>
      <c r="M5920" s="2018"/>
      <c r="N5920" s="2018"/>
      <c r="O5920" s="2018"/>
      <c r="P5920" s="2018"/>
      <c r="Q5920" s="2018"/>
      <c r="R5920" s="2018"/>
      <c r="S5920" s="2018"/>
      <c r="T5920" s="2018"/>
      <c r="U5920" s="2018"/>
      <c r="V5920" s="2018"/>
      <c r="W5920" s="2018"/>
      <c r="X5920" s="2018"/>
      <c r="Y5920" s="2018"/>
      <c r="Z5920" s="2021" t="s">
        <v>2559</v>
      </c>
      <c r="AA5920" s="2021"/>
      <c r="AB5920" s="1050">
        <v>10</v>
      </c>
      <c r="AC5920" s="1050"/>
      <c r="AD5920" s="1050"/>
      <c r="AE5920" s="1050">
        <v>1</v>
      </c>
      <c r="AF5920" s="1052">
        <f t="shared" si="89"/>
        <v>10</v>
      </c>
    </row>
    <row r="5921" spans="1:32" ht="15.75" x14ac:dyDescent="0.25">
      <c r="A5921" s="2017"/>
      <c r="B5921" s="2018"/>
      <c r="C5921" s="2018"/>
      <c r="D5921" s="2018"/>
      <c r="E5921" s="2018"/>
      <c r="F5921" s="2018"/>
      <c r="G5921" s="2018"/>
      <c r="H5921" s="2018"/>
      <c r="I5921" s="2018"/>
      <c r="J5921" s="2018"/>
      <c r="K5921" s="2018"/>
      <c r="L5921" s="2018"/>
      <c r="M5921" s="2018"/>
      <c r="N5921" s="2018"/>
      <c r="O5921" s="2018"/>
      <c r="P5921" s="2018"/>
      <c r="Q5921" s="2018"/>
      <c r="R5921" s="2018"/>
      <c r="S5921" s="2018"/>
      <c r="T5921" s="2018"/>
      <c r="U5921" s="2018"/>
      <c r="V5921" s="2018"/>
      <c r="W5921" s="2018"/>
      <c r="X5921" s="2018"/>
      <c r="Y5921" s="2018"/>
      <c r="Z5921" s="2022"/>
      <c r="AA5921" s="2022"/>
      <c r="AB5921" s="1050"/>
      <c r="AC5921" s="1050"/>
      <c r="AD5921" s="1050"/>
      <c r="AE5921" s="1050"/>
      <c r="AF5921" s="1052"/>
    </row>
    <row r="5922" spans="1:32" ht="15.75" x14ac:dyDescent="0.25">
      <c r="A5922" s="2017"/>
      <c r="B5922" s="2018"/>
      <c r="C5922" s="2018"/>
      <c r="D5922" s="2018"/>
      <c r="E5922" s="2018"/>
      <c r="F5922" s="2018"/>
      <c r="G5922" s="2018"/>
      <c r="H5922" s="2018"/>
      <c r="I5922" s="2018"/>
      <c r="J5922" s="2018"/>
      <c r="K5922" s="2018"/>
      <c r="L5922" s="2018"/>
      <c r="M5922" s="2018"/>
      <c r="N5922" s="2018"/>
      <c r="O5922" s="2018"/>
      <c r="P5922" s="2018"/>
      <c r="Q5922" s="2018"/>
      <c r="R5922" s="2018"/>
      <c r="S5922" s="2018"/>
      <c r="T5922" s="2018"/>
      <c r="U5922" s="2018"/>
      <c r="V5922" s="2018"/>
      <c r="W5922" s="2018"/>
      <c r="X5922" s="2018"/>
      <c r="Y5922" s="2018"/>
      <c r="Z5922" s="2022"/>
      <c r="AA5922" s="2022"/>
      <c r="AB5922" s="1050"/>
      <c r="AC5922" s="1050"/>
      <c r="AD5922" s="1050"/>
      <c r="AE5922" s="1050"/>
      <c r="AF5922" s="1052"/>
    </row>
    <row r="5923" spans="1:32" ht="15.75" x14ac:dyDescent="0.25">
      <c r="A5923" s="2017"/>
      <c r="B5923" s="2018"/>
      <c r="C5923" s="2018"/>
      <c r="D5923" s="2018"/>
      <c r="E5923" s="2018"/>
      <c r="F5923" s="2018"/>
      <c r="G5923" s="2018"/>
      <c r="H5923" s="2018"/>
      <c r="I5923" s="2018"/>
      <c r="J5923" s="2018"/>
      <c r="K5923" s="2018"/>
      <c r="L5923" s="2018"/>
      <c r="M5923" s="2018"/>
      <c r="N5923" s="2018"/>
      <c r="O5923" s="2018"/>
      <c r="P5923" s="2018"/>
      <c r="Q5923" s="2018"/>
      <c r="R5923" s="2018"/>
      <c r="S5923" s="2018"/>
      <c r="T5923" s="2018"/>
      <c r="U5923" s="2018"/>
      <c r="V5923" s="2018"/>
      <c r="W5923" s="2018"/>
      <c r="X5923" s="2018"/>
      <c r="Y5923" s="2018"/>
      <c r="Z5923" s="2022"/>
      <c r="AA5923" s="2022"/>
      <c r="AB5923" s="1050"/>
      <c r="AC5923" s="1050"/>
      <c r="AD5923" s="1050"/>
      <c r="AE5923" s="1050"/>
      <c r="AF5923" s="1052"/>
    </row>
    <row r="5924" spans="1:32" ht="15.6" customHeight="1" x14ac:dyDescent="0.25">
      <c r="A5924" s="2017"/>
      <c r="B5924" s="2018"/>
      <c r="C5924" s="2018"/>
      <c r="D5924" s="2018"/>
      <c r="E5924" s="2018"/>
      <c r="F5924" s="2018"/>
      <c r="G5924" s="2018"/>
      <c r="H5924" s="2018"/>
      <c r="I5924" s="2018"/>
      <c r="J5924" s="2018"/>
      <c r="K5924" s="2018"/>
      <c r="L5924" s="2018"/>
      <c r="M5924" s="2018"/>
      <c r="N5924" s="2018"/>
      <c r="O5924" s="2018"/>
      <c r="P5924" s="2018"/>
      <c r="Q5924" s="2018"/>
      <c r="R5924" s="2018"/>
      <c r="S5924" s="2018"/>
      <c r="T5924" s="2018"/>
      <c r="U5924" s="2018"/>
      <c r="V5924" s="2018"/>
      <c r="W5924" s="2018"/>
      <c r="X5924" s="2018"/>
      <c r="Y5924" s="2018"/>
      <c r="Z5924" s="2022"/>
      <c r="AA5924" s="2022"/>
      <c r="AB5924" s="1050"/>
      <c r="AC5924" s="1050"/>
      <c r="AD5924" s="1050"/>
      <c r="AE5924" s="1050"/>
      <c r="AF5924" s="1052"/>
    </row>
    <row r="5925" spans="1:32" ht="15.75" x14ac:dyDescent="0.25">
      <c r="A5925" s="2017"/>
      <c r="B5925" s="2018"/>
      <c r="C5925" s="2018"/>
      <c r="D5925" s="2018"/>
      <c r="E5925" s="2018"/>
      <c r="F5925" s="2018"/>
      <c r="G5925" s="2018"/>
      <c r="H5925" s="2018"/>
      <c r="I5925" s="2018"/>
      <c r="J5925" s="2018"/>
      <c r="K5925" s="2018"/>
      <c r="L5925" s="2018"/>
      <c r="M5925" s="2018"/>
      <c r="N5925" s="2018"/>
      <c r="O5925" s="2018"/>
      <c r="P5925" s="2018"/>
      <c r="Q5925" s="2018"/>
      <c r="R5925" s="2018"/>
      <c r="S5925" s="2018"/>
      <c r="T5925" s="2018"/>
      <c r="U5925" s="2018"/>
      <c r="V5925" s="2018"/>
      <c r="W5925" s="2018"/>
      <c r="X5925" s="2018"/>
      <c r="Y5925" s="2018"/>
      <c r="Z5925" s="2022"/>
      <c r="AA5925" s="2022"/>
      <c r="AB5925" s="1050"/>
      <c r="AC5925" s="1050"/>
      <c r="AD5925" s="1050"/>
      <c r="AE5925" s="1050"/>
      <c r="AF5925" s="1052"/>
    </row>
    <row r="5926" spans="1:32" ht="15.75" x14ac:dyDescent="0.25">
      <c r="A5926" s="2017"/>
      <c r="B5926" s="2018"/>
      <c r="C5926" s="2018"/>
      <c r="D5926" s="2018"/>
      <c r="E5926" s="2018"/>
      <c r="F5926" s="2018"/>
      <c r="G5926" s="2018"/>
      <c r="H5926" s="2018"/>
      <c r="I5926" s="2018"/>
      <c r="J5926" s="2018"/>
      <c r="K5926" s="2018"/>
      <c r="L5926" s="2018"/>
      <c r="M5926" s="2018"/>
      <c r="N5926" s="2018"/>
      <c r="O5926" s="2018"/>
      <c r="P5926" s="2018"/>
      <c r="Q5926" s="2018"/>
      <c r="R5926" s="2018"/>
      <c r="S5926" s="2018"/>
      <c r="T5926" s="2018"/>
      <c r="U5926" s="2018"/>
      <c r="V5926" s="2018"/>
      <c r="W5926" s="2018"/>
      <c r="X5926" s="2018"/>
      <c r="Y5926" s="2018"/>
      <c r="Z5926" s="2022"/>
      <c r="AA5926" s="2022"/>
      <c r="AB5926" s="1050"/>
      <c r="AC5926" s="1050"/>
      <c r="AD5926" s="1050"/>
      <c r="AE5926" s="1050"/>
      <c r="AF5926" s="1052"/>
    </row>
    <row r="5927" spans="1:32" ht="15.75" x14ac:dyDescent="0.25">
      <c r="A5927" s="2017"/>
      <c r="B5927" s="2018"/>
      <c r="C5927" s="2018"/>
      <c r="D5927" s="2018"/>
      <c r="E5927" s="2018"/>
      <c r="F5927" s="2018"/>
      <c r="G5927" s="2018"/>
      <c r="H5927" s="2018"/>
      <c r="I5927" s="2018"/>
      <c r="J5927" s="2018"/>
      <c r="K5927" s="2018"/>
      <c r="L5927" s="2018"/>
      <c r="M5927" s="2018"/>
      <c r="N5927" s="2018"/>
      <c r="O5927" s="2018"/>
      <c r="P5927" s="2018"/>
      <c r="Q5927" s="2018"/>
      <c r="R5927" s="2018"/>
      <c r="S5927" s="2018"/>
      <c r="T5927" s="2018"/>
      <c r="U5927" s="2018"/>
      <c r="V5927" s="2018"/>
      <c r="W5927" s="2018"/>
      <c r="X5927" s="2018"/>
      <c r="Y5927" s="2018"/>
      <c r="Z5927" s="2022"/>
      <c r="AA5927" s="2022"/>
      <c r="AB5927" s="1050"/>
      <c r="AC5927" s="1050"/>
      <c r="AD5927" s="1050"/>
      <c r="AE5927" s="1050"/>
      <c r="AF5927" s="1052"/>
    </row>
    <row r="5928" spans="1:32" ht="15.75" x14ac:dyDescent="0.25">
      <c r="A5928" s="2017"/>
      <c r="B5928" s="2018"/>
      <c r="C5928" s="2018"/>
      <c r="D5928" s="2018"/>
      <c r="E5928" s="2018"/>
      <c r="F5928" s="2018"/>
      <c r="G5928" s="2018"/>
      <c r="H5928" s="2018"/>
      <c r="I5928" s="2018"/>
      <c r="J5928" s="2018"/>
      <c r="K5928" s="2018"/>
      <c r="L5928" s="2018"/>
      <c r="M5928" s="2018"/>
      <c r="N5928" s="2018"/>
      <c r="O5928" s="2018"/>
      <c r="P5928" s="2018"/>
      <c r="Q5928" s="2018"/>
      <c r="R5928" s="2018"/>
      <c r="S5928" s="2018"/>
      <c r="T5928" s="2018"/>
      <c r="U5928" s="2018"/>
      <c r="V5928" s="2018"/>
      <c r="W5928" s="2018"/>
      <c r="X5928" s="2018"/>
      <c r="Y5928" s="2018"/>
      <c r="Z5928" s="2022"/>
      <c r="AA5928" s="2022"/>
      <c r="AB5928" s="1050"/>
      <c r="AC5928" s="1050"/>
      <c r="AD5928" s="1050"/>
      <c r="AE5928" s="1050"/>
      <c r="AF5928" s="1052"/>
    </row>
    <row r="5929" spans="1:32" ht="15.75" x14ac:dyDescent="0.25">
      <c r="A5929" s="2017"/>
      <c r="B5929" s="2018"/>
      <c r="C5929" s="2018"/>
      <c r="D5929" s="2018"/>
      <c r="E5929" s="2018"/>
      <c r="F5929" s="2018"/>
      <c r="G5929" s="2018"/>
      <c r="H5929" s="2018"/>
      <c r="I5929" s="2018"/>
      <c r="J5929" s="2018"/>
      <c r="K5929" s="2018"/>
      <c r="L5929" s="2018"/>
      <c r="M5929" s="2018"/>
      <c r="N5929" s="2018"/>
      <c r="O5929" s="2018"/>
      <c r="P5929" s="2018"/>
      <c r="Q5929" s="2018"/>
      <c r="R5929" s="2018"/>
      <c r="S5929" s="2018"/>
      <c r="T5929" s="2018"/>
      <c r="U5929" s="2018"/>
      <c r="V5929" s="2018"/>
      <c r="W5929" s="2018"/>
      <c r="X5929" s="2018"/>
      <c r="Y5929" s="2018"/>
      <c r="Z5929" s="2022"/>
      <c r="AA5929" s="2022"/>
      <c r="AB5929" s="1050"/>
      <c r="AC5929" s="1050"/>
      <c r="AD5929" s="1050"/>
      <c r="AE5929" s="1050"/>
      <c r="AF5929" s="1052"/>
    </row>
    <row r="5930" spans="1:32" ht="15.75" x14ac:dyDescent="0.25">
      <c r="A5930" s="2017"/>
      <c r="B5930" s="2018"/>
      <c r="C5930" s="2018"/>
      <c r="D5930" s="2018"/>
      <c r="E5930" s="2018"/>
      <c r="F5930" s="2018"/>
      <c r="G5930" s="2018"/>
      <c r="H5930" s="2018"/>
      <c r="I5930" s="2018"/>
      <c r="J5930" s="2018"/>
      <c r="K5930" s="2018"/>
      <c r="L5930" s="2018"/>
      <c r="M5930" s="2018"/>
      <c r="N5930" s="2018"/>
      <c r="O5930" s="2018"/>
      <c r="P5930" s="2018"/>
      <c r="Q5930" s="2018"/>
      <c r="R5930" s="2018"/>
      <c r="S5930" s="2018"/>
      <c r="T5930" s="2018"/>
      <c r="U5930" s="2018"/>
      <c r="V5930" s="2018"/>
      <c r="W5930" s="2018"/>
      <c r="X5930" s="2018"/>
      <c r="Y5930" s="2018"/>
      <c r="Z5930" s="2023"/>
      <c r="AA5930" s="2023"/>
      <c r="AB5930" s="1050"/>
      <c r="AC5930" s="1050"/>
      <c r="AD5930" s="1050"/>
      <c r="AE5930" s="1050"/>
      <c r="AF5930" s="1052"/>
    </row>
    <row r="5931" spans="1:32" ht="15.75" x14ac:dyDescent="0.25">
      <c r="A5931" s="2017"/>
      <c r="B5931" s="2018"/>
      <c r="C5931" s="2018"/>
      <c r="D5931" s="2018"/>
      <c r="E5931" s="2018"/>
      <c r="F5931" s="2018"/>
      <c r="G5931" s="2018"/>
      <c r="H5931" s="2018"/>
      <c r="I5931" s="2018"/>
      <c r="J5931" s="2018"/>
      <c r="K5931" s="2018"/>
      <c r="L5931" s="2018"/>
      <c r="M5931" s="2018"/>
      <c r="N5931" s="2018"/>
      <c r="O5931" s="2018"/>
      <c r="P5931" s="2018"/>
      <c r="Q5931" s="2018"/>
      <c r="R5931" s="2018"/>
      <c r="S5931" s="2018"/>
      <c r="T5931" s="2018"/>
      <c r="U5931" s="2018"/>
      <c r="V5931" s="2018"/>
      <c r="W5931" s="2018"/>
      <c r="X5931" s="2018"/>
      <c r="Y5931" s="2018"/>
      <c r="Z5931" s="2023"/>
      <c r="AA5931" s="2023"/>
      <c r="AB5931" s="1050"/>
      <c r="AC5931" s="1050"/>
      <c r="AD5931" s="1050"/>
      <c r="AE5931" s="1050"/>
      <c r="AF5931" s="1052"/>
    </row>
    <row r="5932" spans="1:32" ht="15.75" x14ac:dyDescent="0.25">
      <c r="A5932" s="2017"/>
      <c r="B5932" s="2018"/>
      <c r="C5932" s="2018"/>
      <c r="D5932" s="2018"/>
      <c r="E5932" s="2018"/>
      <c r="F5932" s="2018"/>
      <c r="G5932" s="2018"/>
      <c r="H5932" s="2018"/>
      <c r="I5932" s="2018"/>
      <c r="J5932" s="2018"/>
      <c r="K5932" s="2018"/>
      <c r="L5932" s="2018"/>
      <c r="M5932" s="2018"/>
      <c r="N5932" s="2018"/>
      <c r="O5932" s="2018"/>
      <c r="P5932" s="2018"/>
      <c r="Q5932" s="2018"/>
      <c r="R5932" s="2018"/>
      <c r="S5932" s="2018"/>
      <c r="T5932" s="2018"/>
      <c r="U5932" s="2018"/>
      <c r="V5932" s="2018"/>
      <c r="W5932" s="2018"/>
      <c r="X5932" s="2018"/>
      <c r="Y5932" s="2018"/>
      <c r="Z5932" s="2023"/>
      <c r="AA5932" s="2023"/>
      <c r="AB5932" s="1050"/>
      <c r="AC5932" s="1050"/>
      <c r="AD5932" s="1050"/>
      <c r="AE5932" s="1050"/>
      <c r="AF5932" s="1052"/>
    </row>
    <row r="5933" spans="1:32" ht="15.75" x14ac:dyDescent="0.25">
      <c r="A5933" s="2017"/>
      <c r="B5933" s="2018"/>
      <c r="C5933" s="2018"/>
      <c r="D5933" s="2018"/>
      <c r="E5933" s="2018"/>
      <c r="F5933" s="2018"/>
      <c r="G5933" s="2018"/>
      <c r="H5933" s="2018"/>
      <c r="I5933" s="2018"/>
      <c r="J5933" s="2018"/>
      <c r="K5933" s="2018"/>
      <c r="L5933" s="2018"/>
      <c r="M5933" s="2018"/>
      <c r="N5933" s="2018"/>
      <c r="O5933" s="2018"/>
      <c r="P5933" s="2018"/>
      <c r="Q5933" s="2018"/>
      <c r="R5933" s="2018"/>
      <c r="S5933" s="2018"/>
      <c r="T5933" s="2018"/>
      <c r="U5933" s="2018"/>
      <c r="V5933" s="2018"/>
      <c r="W5933" s="2018"/>
      <c r="X5933" s="2018"/>
      <c r="Y5933" s="2018"/>
      <c r="Z5933" s="2023"/>
      <c r="AA5933" s="2023"/>
      <c r="AB5933" s="1050"/>
      <c r="AC5933" s="1050"/>
      <c r="AD5933" s="1050"/>
      <c r="AE5933" s="1050"/>
      <c r="AF5933" s="1052"/>
    </row>
    <row r="5934" spans="1:32" ht="15.75" x14ac:dyDescent="0.25">
      <c r="A5934" s="2017"/>
      <c r="B5934" s="2018"/>
      <c r="C5934" s="2018"/>
      <c r="D5934" s="2018"/>
      <c r="E5934" s="2018"/>
      <c r="F5934" s="2018"/>
      <c r="G5934" s="2018"/>
      <c r="H5934" s="2018"/>
      <c r="I5934" s="2018"/>
      <c r="J5934" s="2018"/>
      <c r="K5934" s="2018"/>
      <c r="L5934" s="2018"/>
      <c r="M5934" s="2018"/>
      <c r="N5934" s="2018"/>
      <c r="O5934" s="2018"/>
      <c r="P5934" s="2018"/>
      <c r="Q5934" s="2018"/>
      <c r="R5934" s="2018"/>
      <c r="S5934" s="2018"/>
      <c r="T5934" s="2018"/>
      <c r="U5934" s="2018"/>
      <c r="V5934" s="2018"/>
      <c r="W5934" s="2018"/>
      <c r="X5934" s="2018"/>
      <c r="Y5934" s="2018"/>
      <c r="Z5934" s="2023"/>
      <c r="AA5934" s="2023"/>
      <c r="AB5934" s="1050"/>
      <c r="AC5934" s="1050"/>
      <c r="AD5934" s="1050"/>
      <c r="AE5934" s="1050"/>
      <c r="AF5934" s="1052"/>
    </row>
    <row r="5935" spans="1:32" ht="15.75" x14ac:dyDescent="0.25">
      <c r="A5935" s="2017"/>
      <c r="B5935" s="2018"/>
      <c r="C5935" s="2018"/>
      <c r="D5935" s="2018"/>
      <c r="E5935" s="2018"/>
      <c r="F5935" s="2018"/>
      <c r="G5935" s="2018"/>
      <c r="H5935" s="2018"/>
      <c r="I5935" s="2018"/>
      <c r="J5935" s="2018"/>
      <c r="K5935" s="2018"/>
      <c r="L5935" s="2018"/>
      <c r="M5935" s="2018"/>
      <c r="N5935" s="2018"/>
      <c r="O5935" s="2018"/>
      <c r="P5935" s="2018"/>
      <c r="Q5935" s="2018"/>
      <c r="R5935" s="2018"/>
      <c r="S5935" s="2018"/>
      <c r="T5935" s="2018"/>
      <c r="U5935" s="2018"/>
      <c r="V5935" s="2018"/>
      <c r="W5935" s="2018"/>
      <c r="X5935" s="2018"/>
      <c r="Y5935" s="2018"/>
      <c r="Z5935" s="2023"/>
      <c r="AA5935" s="2023"/>
      <c r="AB5935" s="1050"/>
      <c r="AC5935" s="1050"/>
      <c r="AD5935" s="1050"/>
      <c r="AE5935" s="1050"/>
      <c r="AF5935" s="1052"/>
    </row>
    <row r="5936" spans="1:32" ht="16.5" thickBot="1" x14ac:dyDescent="0.3">
      <c r="A5936" s="2019"/>
      <c r="B5936" s="2020"/>
      <c r="C5936" s="2020"/>
      <c r="D5936" s="2020"/>
      <c r="E5936" s="2020"/>
      <c r="F5936" s="2020"/>
      <c r="G5936" s="2020"/>
      <c r="H5936" s="2020"/>
      <c r="I5936" s="2020"/>
      <c r="J5936" s="2020"/>
      <c r="K5936" s="2020"/>
      <c r="L5936" s="2020"/>
      <c r="M5936" s="2020"/>
      <c r="N5936" s="2020"/>
      <c r="O5936" s="2020"/>
      <c r="P5936" s="2020"/>
      <c r="Q5936" s="2020"/>
      <c r="R5936" s="2020"/>
      <c r="S5936" s="2020"/>
      <c r="T5936" s="2020"/>
      <c r="U5936" s="2020"/>
      <c r="V5936" s="2020"/>
      <c r="W5936" s="2020"/>
      <c r="X5936" s="2020"/>
      <c r="Y5936" s="2020"/>
      <c r="Z5936" s="2024"/>
      <c r="AA5936" s="2024"/>
      <c r="AB5936" s="1057"/>
      <c r="AC5936" s="1057"/>
      <c r="AD5936" s="1057"/>
      <c r="AE5936" s="1057"/>
      <c r="AF5936" s="1058"/>
    </row>
    <row r="5937" spans="1:32" ht="15.75" x14ac:dyDescent="0.25">
      <c r="A5937" s="2009" t="s">
        <v>1855</v>
      </c>
      <c r="B5937" s="2010"/>
      <c r="C5937" s="2010"/>
      <c r="D5937" s="2010"/>
      <c r="E5937" s="2010"/>
      <c r="F5937" s="2010"/>
      <c r="G5937" s="2010"/>
      <c r="H5937" s="2010"/>
      <c r="I5937" s="2010"/>
      <c r="J5937" s="2010"/>
      <c r="K5937" s="2010"/>
      <c r="L5937" s="2010"/>
      <c r="M5937" s="2010"/>
      <c r="N5937" s="2010"/>
      <c r="O5937" s="2010"/>
      <c r="P5937" s="2010"/>
      <c r="Q5937" s="2010"/>
      <c r="R5937" s="2010"/>
      <c r="S5937" s="2010"/>
      <c r="T5937" s="2010"/>
      <c r="U5937" s="2010"/>
      <c r="V5937" s="2010"/>
      <c r="W5937" s="2010"/>
      <c r="X5937" s="2010"/>
      <c r="Y5937" s="2010"/>
      <c r="Z5937" s="2013" t="s">
        <v>1850</v>
      </c>
      <c r="AA5937" s="2013"/>
      <c r="AB5937" s="2013"/>
      <c r="AC5937" s="2013"/>
      <c r="AD5937" s="2013"/>
      <c r="AE5937" s="2013"/>
      <c r="AF5937" s="1059">
        <f>SUM(AF5913:AF5936)</f>
        <v>20</v>
      </c>
    </row>
    <row r="5938" spans="1:32" ht="15.75" x14ac:dyDescent="0.25">
      <c r="A5938" s="2011"/>
      <c r="B5938" s="2012"/>
      <c r="C5938" s="2012"/>
      <c r="D5938" s="2012"/>
      <c r="E5938" s="2012"/>
      <c r="F5938" s="2012"/>
      <c r="G5938" s="2012"/>
      <c r="H5938" s="2012"/>
      <c r="I5938" s="2012"/>
      <c r="J5938" s="2012"/>
      <c r="K5938" s="2012"/>
      <c r="L5938" s="2012"/>
      <c r="M5938" s="2012"/>
      <c r="N5938" s="2012"/>
      <c r="O5938" s="2012"/>
      <c r="P5938" s="2012"/>
      <c r="Q5938" s="2012"/>
      <c r="R5938" s="2012"/>
      <c r="S5938" s="2012"/>
      <c r="T5938" s="2012"/>
      <c r="U5938" s="2012"/>
      <c r="V5938" s="2012"/>
      <c r="W5938" s="2012"/>
      <c r="X5938" s="2012"/>
      <c r="Y5938" s="2012"/>
      <c r="Z5938" s="2014" t="s">
        <v>1851</v>
      </c>
      <c r="AA5938" s="2014"/>
      <c r="AB5938" s="2014"/>
      <c r="AC5938" s="2014"/>
      <c r="AD5938" s="2014"/>
      <c r="AE5938" s="2014"/>
      <c r="AF5938" s="1060">
        <v>0</v>
      </c>
    </row>
    <row r="5939" spans="1:32" ht="15.75" x14ac:dyDescent="0.25">
      <c r="A5939" s="2011"/>
      <c r="B5939" s="2012"/>
      <c r="C5939" s="2012"/>
      <c r="D5939" s="2012"/>
      <c r="E5939" s="2012"/>
      <c r="F5939" s="2012"/>
      <c r="G5939" s="2012"/>
      <c r="H5939" s="2012"/>
      <c r="I5939" s="2012"/>
      <c r="J5939" s="2012"/>
      <c r="K5939" s="2012"/>
      <c r="L5939" s="2012"/>
      <c r="M5939" s="2012"/>
      <c r="N5939" s="2012"/>
      <c r="O5939" s="2012"/>
      <c r="P5939" s="2012"/>
      <c r="Q5939" s="2012"/>
      <c r="R5939" s="2012"/>
      <c r="S5939" s="2012"/>
      <c r="T5939" s="2012"/>
      <c r="U5939" s="2012"/>
      <c r="V5939" s="2012"/>
      <c r="W5939" s="2012"/>
      <c r="X5939" s="2012"/>
      <c r="Y5939" s="2012"/>
      <c r="Z5939" s="2015" t="s">
        <v>1833</v>
      </c>
      <c r="AA5939" s="2015"/>
      <c r="AB5939" s="2015"/>
      <c r="AC5939" s="2015"/>
      <c r="AD5939" s="2015"/>
      <c r="AE5939" s="2015"/>
      <c r="AF5939" s="1061">
        <f>SUM(AF5937:AF5938)</f>
        <v>20</v>
      </c>
    </row>
    <row r="5940" spans="1:32" x14ac:dyDescent="0.2">
      <c r="A5940" s="2012" t="s">
        <v>1859</v>
      </c>
      <c r="B5940" s="2012"/>
      <c r="C5940" s="2012"/>
      <c r="D5940" s="2012"/>
      <c r="E5940" s="2012"/>
      <c r="F5940" s="2012"/>
      <c r="G5940" s="2012"/>
      <c r="H5940" s="2012"/>
      <c r="I5940" s="2012"/>
      <c r="J5940" s="2012"/>
      <c r="K5940" s="2012"/>
      <c r="L5940" s="2012"/>
      <c r="M5940" s="2012"/>
      <c r="N5940" s="2012"/>
      <c r="O5940" s="2012"/>
      <c r="P5940" s="2012"/>
      <c r="Q5940" s="2012"/>
      <c r="R5940" s="2012"/>
      <c r="S5940" s="2012"/>
      <c r="T5940" s="2016" t="s">
        <v>1840</v>
      </c>
      <c r="U5940" s="2016"/>
      <c r="V5940" s="2016"/>
      <c r="W5940" s="2016"/>
      <c r="X5940" s="2016"/>
      <c r="Y5940" s="2016"/>
      <c r="Z5940" s="2016"/>
      <c r="AA5940" s="2016"/>
      <c r="AB5940" s="2012" t="s">
        <v>1852</v>
      </c>
      <c r="AC5940" s="2012"/>
      <c r="AD5940" s="2012"/>
      <c r="AE5940" s="2012"/>
      <c r="AF5940" s="2012"/>
    </row>
    <row r="5941" spans="1:32" x14ac:dyDescent="0.2">
      <c r="A5941" s="2012"/>
      <c r="B5941" s="2012"/>
      <c r="C5941" s="2012"/>
      <c r="D5941" s="2012"/>
      <c r="E5941" s="2012"/>
      <c r="F5941" s="2012"/>
      <c r="G5941" s="2012"/>
      <c r="H5941" s="2012"/>
      <c r="I5941" s="2012"/>
      <c r="J5941" s="2012"/>
      <c r="K5941" s="2012"/>
      <c r="L5941" s="2012"/>
      <c r="M5941" s="2012"/>
      <c r="N5941" s="2012"/>
      <c r="O5941" s="2012"/>
      <c r="P5941" s="2012"/>
      <c r="Q5941" s="2012"/>
      <c r="R5941" s="2012"/>
      <c r="S5941" s="2012"/>
      <c r="T5941" s="2016"/>
      <c r="U5941" s="2016"/>
      <c r="V5941" s="2016"/>
      <c r="W5941" s="2016"/>
      <c r="X5941" s="2016"/>
      <c r="Y5941" s="2016"/>
      <c r="Z5941" s="2016"/>
      <c r="AA5941" s="2016"/>
      <c r="AB5941" s="2012"/>
      <c r="AC5941" s="2012"/>
      <c r="AD5941" s="2012"/>
      <c r="AE5941" s="2012"/>
      <c r="AF5941" s="2012"/>
    </row>
    <row r="5942" spans="1:32" ht="13.5" thickBot="1" x14ac:dyDescent="0.25"/>
    <row r="5943" spans="1:32" ht="26.45" customHeight="1" x14ac:dyDescent="0.2">
      <c r="A5943" s="2025" t="s">
        <v>1854</v>
      </c>
      <c r="B5943" s="2026"/>
      <c r="C5943" s="2026"/>
      <c r="D5943" s="2026"/>
      <c r="E5943" s="2026"/>
      <c r="F5943" s="2026"/>
      <c r="G5943" s="2026"/>
      <c r="H5943" s="2026"/>
      <c r="I5943" s="2026"/>
      <c r="J5943" s="2026"/>
      <c r="K5943" s="2026"/>
      <c r="L5943" s="2026"/>
      <c r="M5943" s="2026"/>
      <c r="N5943" s="2026"/>
      <c r="O5943" s="2026"/>
      <c r="P5943" s="2026"/>
      <c r="Q5943" s="2026"/>
      <c r="R5943" s="2026"/>
      <c r="S5943" s="2026"/>
      <c r="T5943" s="2026"/>
      <c r="U5943" s="2026"/>
      <c r="V5943" s="2026"/>
      <c r="W5943" s="2026"/>
      <c r="X5943" s="2026"/>
      <c r="Y5943" s="2026"/>
      <c r="Z5943" s="2026"/>
      <c r="AA5943" s="2026"/>
      <c r="AB5943" s="2026"/>
      <c r="AC5943" s="2026"/>
      <c r="AD5943" s="2026"/>
      <c r="AE5943" s="1041" t="s">
        <v>1834</v>
      </c>
      <c r="AF5943" s="1042" t="s">
        <v>1835</v>
      </c>
    </row>
    <row r="5944" spans="1:32" ht="21" customHeight="1" thickBot="1" x14ac:dyDescent="0.25">
      <c r="A5944" s="2027"/>
      <c r="B5944" s="2028"/>
      <c r="C5944" s="2028"/>
      <c r="D5944" s="2028"/>
      <c r="E5944" s="2028"/>
      <c r="F5944" s="2028"/>
      <c r="G5944" s="2028"/>
      <c r="H5944" s="2028"/>
      <c r="I5944" s="2028"/>
      <c r="J5944" s="2028"/>
      <c r="K5944" s="2028"/>
      <c r="L5944" s="2028"/>
      <c r="M5944" s="2028"/>
      <c r="N5944" s="2028"/>
      <c r="O5944" s="2028"/>
      <c r="P5944" s="2028"/>
      <c r="Q5944" s="2028"/>
      <c r="R5944" s="2028"/>
      <c r="S5944" s="2028"/>
      <c r="T5944" s="2028"/>
      <c r="U5944" s="2028"/>
      <c r="V5944" s="2028"/>
      <c r="W5944" s="2028"/>
      <c r="X5944" s="2028"/>
      <c r="Y5944" s="2028"/>
      <c r="Z5944" s="2028"/>
      <c r="AA5944" s="2028"/>
      <c r="AB5944" s="2028"/>
      <c r="AC5944" s="2028"/>
      <c r="AD5944" s="2028"/>
      <c r="AE5944" s="1041" t="s">
        <v>1836</v>
      </c>
      <c r="AF5944" s="1044">
        <v>1</v>
      </c>
    </row>
    <row r="5945" spans="1:32" ht="15.75" x14ac:dyDescent="0.2">
      <c r="A5945" s="2029"/>
      <c r="B5945" s="2030"/>
      <c r="C5945" s="2030"/>
      <c r="D5945" s="2031"/>
      <c r="E5945" s="2025" t="str">
        <f>'01'!$A$12</f>
        <v>"CONSTRUCCION SISTEMA DE ACUEDUCTO FASE II DEL MUNICIPIO DE TESALIA DPTO DEL HUILA"</v>
      </c>
      <c r="F5945" s="2026"/>
      <c r="G5945" s="2026"/>
      <c r="H5945" s="2026"/>
      <c r="I5945" s="2026"/>
      <c r="J5945" s="2026"/>
      <c r="K5945" s="2026"/>
      <c r="L5945" s="2026"/>
      <c r="M5945" s="2026"/>
      <c r="N5945" s="2026"/>
      <c r="O5945" s="2026"/>
      <c r="P5945" s="2026"/>
      <c r="Q5945" s="2026"/>
      <c r="R5945" s="2026"/>
      <c r="S5945" s="2026"/>
      <c r="T5945" s="2026"/>
      <c r="U5945" s="2026"/>
      <c r="V5945" s="2026"/>
      <c r="W5945" s="2026"/>
      <c r="X5945" s="2026"/>
      <c r="Y5945" s="2026"/>
      <c r="Z5945" s="2026"/>
      <c r="AA5945" s="2026"/>
      <c r="AB5945" s="2026"/>
      <c r="AC5945" s="2026"/>
      <c r="AD5945" s="2035"/>
      <c r="AE5945" s="1041" t="s">
        <v>847</v>
      </c>
      <c r="AF5945" s="1045">
        <f>'01'!$M$13</f>
        <v>0</v>
      </c>
    </row>
    <row r="5946" spans="1:32" ht="16.5" thickBot="1" x14ac:dyDescent="0.25">
      <c r="A5946" s="2032"/>
      <c r="B5946" s="2033"/>
      <c r="C5946" s="2033"/>
      <c r="D5946" s="2034"/>
      <c r="E5946" s="2027"/>
      <c r="F5946" s="2028"/>
      <c r="G5946" s="2028"/>
      <c r="H5946" s="2028"/>
      <c r="I5946" s="2028"/>
      <c r="J5946" s="2028"/>
      <c r="K5946" s="2028"/>
      <c r="L5946" s="2028"/>
      <c r="M5946" s="2028"/>
      <c r="N5946" s="2028"/>
      <c r="O5946" s="2028"/>
      <c r="P5946" s="2028"/>
      <c r="Q5946" s="2028"/>
      <c r="R5946" s="2028"/>
      <c r="S5946" s="2028"/>
      <c r="T5946" s="2028"/>
      <c r="U5946" s="2028"/>
      <c r="V5946" s="2028"/>
      <c r="W5946" s="2028"/>
      <c r="X5946" s="2028"/>
      <c r="Y5946" s="2028"/>
      <c r="Z5946" s="2028"/>
      <c r="AA5946" s="2028"/>
      <c r="AB5946" s="2028"/>
      <c r="AC5946" s="2028"/>
      <c r="AD5946" s="2036"/>
      <c r="AE5946" s="1041" t="s">
        <v>1837</v>
      </c>
      <c r="AF5946" s="1042" t="s">
        <v>1838</v>
      </c>
    </row>
    <row r="5947" spans="1:32" ht="15.75" x14ac:dyDescent="0.25">
      <c r="A5947" s="2037" t="s">
        <v>1860</v>
      </c>
      <c r="B5947" s="2038"/>
      <c r="C5947" s="2038"/>
      <c r="D5947" s="2038"/>
      <c r="E5947" s="2038"/>
      <c r="F5947" s="2038"/>
      <c r="G5947" s="2038"/>
      <c r="H5947" s="2038"/>
      <c r="I5947" s="2038"/>
      <c r="J5947" s="2038"/>
      <c r="K5947" s="2038"/>
      <c r="L5947" s="2038"/>
      <c r="M5947" s="2038"/>
      <c r="N5947" s="2038"/>
      <c r="O5947" s="2038"/>
      <c r="P5947" s="2038"/>
      <c r="Q5947" s="2038"/>
      <c r="R5947" s="2038"/>
      <c r="S5947" s="2038"/>
      <c r="T5947" s="2038"/>
      <c r="U5947" s="2038"/>
      <c r="V5947" s="2038"/>
      <c r="W5947" s="2038"/>
      <c r="X5947" s="2038"/>
      <c r="Y5947" s="2038"/>
      <c r="Z5947" s="2038"/>
      <c r="AA5947" s="2038"/>
      <c r="AB5947" s="2038"/>
      <c r="AC5947" s="2038"/>
      <c r="AD5947" s="2038"/>
      <c r="AE5947" s="2039" t="s">
        <v>1839</v>
      </c>
      <c r="AF5947" s="2040"/>
    </row>
    <row r="5948" spans="1:32" ht="15.75" x14ac:dyDescent="0.25">
      <c r="A5948" s="2041" t="s">
        <v>1840</v>
      </c>
      <c r="B5948" s="2042"/>
      <c r="C5948" s="2042"/>
      <c r="D5948" s="2042"/>
      <c r="E5948" s="2042"/>
      <c r="F5948" s="2042"/>
      <c r="G5948" s="2042"/>
      <c r="H5948" s="2042"/>
      <c r="I5948" s="2042"/>
      <c r="J5948" s="2042"/>
      <c r="K5948" s="2042"/>
      <c r="L5948" s="2042"/>
      <c r="M5948" s="2042"/>
      <c r="N5948" s="2042"/>
      <c r="O5948" s="2042"/>
      <c r="P5948" s="2042"/>
      <c r="Q5948" s="2042"/>
      <c r="R5948" s="2042"/>
      <c r="S5948" s="2042"/>
      <c r="T5948" s="2042"/>
      <c r="U5948" s="2042"/>
      <c r="V5948" s="2042"/>
      <c r="W5948" s="2042"/>
      <c r="X5948" s="2042"/>
      <c r="Y5948" s="2042"/>
      <c r="Z5948" s="2042"/>
      <c r="AA5948" s="2042"/>
      <c r="AB5948" s="2042"/>
      <c r="AC5948" s="2042"/>
      <c r="AD5948" s="2043"/>
      <c r="AE5948" s="2014" t="s">
        <v>1841</v>
      </c>
      <c r="AF5948" s="2044"/>
    </row>
    <row r="5949" spans="1:32" ht="15.75" x14ac:dyDescent="0.25">
      <c r="A5949" s="2045" t="s">
        <v>1853</v>
      </c>
      <c r="B5949" s="2046"/>
      <c r="C5949" s="2046"/>
      <c r="D5949" s="2046"/>
      <c r="E5949" s="2046"/>
      <c r="F5949" s="2046"/>
      <c r="G5949" s="2046"/>
      <c r="H5949" s="2046"/>
      <c r="I5949" s="2046"/>
      <c r="J5949" s="2046"/>
      <c r="K5949" s="2046"/>
      <c r="L5949" s="2046"/>
      <c r="M5949" s="2046"/>
      <c r="N5949" s="2046"/>
      <c r="O5949" s="2046"/>
      <c r="P5949" s="2046"/>
      <c r="Q5949" s="2046"/>
      <c r="R5949" s="2046"/>
      <c r="S5949" s="2046"/>
      <c r="T5949" s="2046"/>
      <c r="U5949" s="2046"/>
      <c r="V5949" s="2046"/>
      <c r="W5949" s="2046"/>
      <c r="X5949" s="2046"/>
      <c r="Y5949" s="2046"/>
      <c r="Z5949" s="2046"/>
      <c r="AA5949" s="2046"/>
      <c r="AB5949" s="2046"/>
      <c r="AC5949" s="2046"/>
      <c r="AD5949" s="2046"/>
      <c r="AE5949" s="2047">
        <f>'01'!$M$13</f>
        <v>0</v>
      </c>
      <c r="AF5949" s="2044"/>
    </row>
    <row r="5950" spans="1:32" x14ac:dyDescent="0.2">
      <c r="A5950" s="1046"/>
      <c r="B5950" s="1047"/>
      <c r="C5950" s="1047"/>
      <c r="D5950" s="1047"/>
      <c r="E5950" s="1047"/>
      <c r="F5950" s="1047"/>
      <c r="G5950" s="1047"/>
      <c r="H5950" s="1047"/>
      <c r="I5950" s="1047"/>
      <c r="J5950" s="1047"/>
      <c r="K5950" s="1047"/>
      <c r="L5950" s="1047"/>
      <c r="M5950" s="1047"/>
      <c r="N5950" s="1047"/>
      <c r="O5950" s="1047"/>
      <c r="P5950" s="1047"/>
      <c r="Q5950" s="1047"/>
      <c r="R5950" s="1047"/>
      <c r="S5950" s="1047"/>
      <c r="T5950" s="1047"/>
      <c r="U5950" s="1047"/>
      <c r="V5950" s="1047"/>
      <c r="W5950" s="1047"/>
      <c r="X5950" s="1047"/>
      <c r="Y5950" s="1047"/>
      <c r="Z5950" s="1047"/>
      <c r="AA5950" s="1047"/>
      <c r="AB5950" s="1047"/>
      <c r="AC5950" s="1047"/>
      <c r="AD5950" s="1047"/>
      <c r="AE5950" s="1047"/>
      <c r="AF5950" s="1048"/>
    </row>
    <row r="5951" spans="1:32" ht="30" customHeight="1" x14ac:dyDescent="0.2">
      <c r="A5951" s="2048" t="s">
        <v>1842</v>
      </c>
      <c r="B5951" s="2049"/>
      <c r="C5951" s="2049"/>
      <c r="D5951" s="2049"/>
      <c r="E5951" s="2049"/>
      <c r="F5951" s="2050" t="str">
        <f>+'01'!$H$230</f>
        <v>I - TUBERÍA DE INTERCONEXIÓN</v>
      </c>
      <c r="G5951" s="2049"/>
      <c r="H5951" s="2049"/>
      <c r="I5951" s="2049"/>
      <c r="J5951" s="2049"/>
      <c r="K5951" s="2049"/>
      <c r="L5951" s="2049"/>
      <c r="M5951" s="2049"/>
      <c r="N5951" s="2049"/>
      <c r="O5951" s="2049"/>
      <c r="P5951" s="2049"/>
      <c r="Q5951" s="2049"/>
      <c r="R5951" s="2049"/>
      <c r="S5951" s="2049"/>
      <c r="T5951" s="2049"/>
      <c r="U5951" s="2049"/>
      <c r="V5951" s="2049"/>
      <c r="W5951" s="2049"/>
      <c r="X5951" s="2049"/>
      <c r="Y5951" s="2051"/>
      <c r="Z5951" s="2052" t="s">
        <v>1843</v>
      </c>
      <c r="AA5951" s="2053"/>
      <c r="AB5951" s="2058" t="s">
        <v>1844</v>
      </c>
      <c r="AC5951" s="2059"/>
      <c r="AD5951" s="2060"/>
      <c r="AE5951" s="2064" t="s">
        <v>1845</v>
      </c>
      <c r="AF5951" s="2067" t="s">
        <v>1846</v>
      </c>
    </row>
    <row r="5952" spans="1:32" ht="15" customHeight="1" x14ac:dyDescent="0.2">
      <c r="A5952" s="2070" t="str">
        <f>+'01'!A245</f>
        <v>I-05-03</v>
      </c>
      <c r="B5952" s="2071"/>
      <c r="C5952" s="2072"/>
      <c r="D5952" s="2076" t="str">
        <f>VLOOKUP(A5952,'01'!$A$12:$N$299,3,FALSE)</f>
        <v>SUMINISTRO E INSTALACIÓN DE TUBERIA PVC UNION MECANICA DE 8". PRESIÓN DE TRABAJO 200 PSI.</v>
      </c>
      <c r="E5952" s="2077"/>
      <c r="F5952" s="2077"/>
      <c r="G5952" s="2077"/>
      <c r="H5952" s="2077"/>
      <c r="I5952" s="2077"/>
      <c r="J5952" s="2077"/>
      <c r="K5952" s="2077"/>
      <c r="L5952" s="2077"/>
      <c r="M5952" s="2077"/>
      <c r="N5952" s="2077"/>
      <c r="O5952" s="2077"/>
      <c r="P5952" s="2077"/>
      <c r="Q5952" s="2077"/>
      <c r="R5952" s="2077"/>
      <c r="S5952" s="2078"/>
      <c r="T5952" s="2082" t="s">
        <v>124</v>
      </c>
      <c r="U5952" s="2083"/>
      <c r="V5952" s="2083"/>
      <c r="W5952" s="2083"/>
      <c r="X5952" s="2052" t="str">
        <f>VLOOKUP(A5952,'01'!$A$12:$N$299,9,FALSE)</f>
        <v>ML</v>
      </c>
      <c r="Y5952" s="2053"/>
      <c r="Z5952" s="2054"/>
      <c r="AA5952" s="2055"/>
      <c r="AB5952" s="2061"/>
      <c r="AC5952" s="2062"/>
      <c r="AD5952" s="2063"/>
      <c r="AE5952" s="2065"/>
      <c r="AF5952" s="2068"/>
    </row>
    <row r="5953" spans="1:32" ht="15" customHeight="1" x14ac:dyDescent="0.25">
      <c r="A5953" s="2073"/>
      <c r="B5953" s="2074"/>
      <c r="C5953" s="2075"/>
      <c r="D5953" s="2079"/>
      <c r="E5953" s="2080"/>
      <c r="F5953" s="2080"/>
      <c r="G5953" s="2080"/>
      <c r="H5953" s="2080"/>
      <c r="I5953" s="2080"/>
      <c r="J5953" s="2080"/>
      <c r="K5953" s="2080"/>
      <c r="L5953" s="2080"/>
      <c r="M5953" s="2080"/>
      <c r="N5953" s="2080"/>
      <c r="O5953" s="2080"/>
      <c r="P5953" s="2080"/>
      <c r="Q5953" s="2080"/>
      <c r="R5953" s="2080"/>
      <c r="S5953" s="2081"/>
      <c r="T5953" s="2084"/>
      <c r="U5953" s="2085"/>
      <c r="V5953" s="2085"/>
      <c r="W5953" s="2085"/>
      <c r="X5953" s="2056"/>
      <c r="Y5953" s="2057"/>
      <c r="Z5953" s="2056"/>
      <c r="AA5953" s="2057"/>
      <c r="AB5953" s="1049" t="s">
        <v>1847</v>
      </c>
      <c r="AC5953" s="1049" t="s">
        <v>1848</v>
      </c>
      <c r="AD5953" s="1049" t="s">
        <v>1861</v>
      </c>
      <c r="AE5953" s="2066"/>
      <c r="AF5953" s="2069"/>
    </row>
    <row r="5954" spans="1:32" ht="30" customHeight="1" x14ac:dyDescent="0.25">
      <c r="A5954" s="2017"/>
      <c r="B5954" s="2018"/>
      <c r="C5954" s="2018"/>
      <c r="D5954" s="2018"/>
      <c r="E5954" s="2018"/>
      <c r="F5954" s="2018"/>
      <c r="G5954" s="2018"/>
      <c r="H5954" s="2018"/>
      <c r="I5954" s="2018"/>
      <c r="J5954" s="2018"/>
      <c r="K5954" s="2018"/>
      <c r="L5954" s="2018"/>
      <c r="M5954" s="2018"/>
      <c r="N5954" s="2018"/>
      <c r="O5954" s="2018"/>
      <c r="P5954" s="2018"/>
      <c r="Q5954" s="2018"/>
      <c r="R5954" s="2018"/>
      <c r="S5954" s="2018"/>
      <c r="T5954" s="2018"/>
      <c r="U5954" s="2018"/>
      <c r="V5954" s="2018"/>
      <c r="W5954" s="2018"/>
      <c r="X5954" s="2018"/>
      <c r="Y5954" s="2018"/>
      <c r="Z5954" s="2021" t="s">
        <v>2552</v>
      </c>
      <c r="AA5954" s="2021"/>
      <c r="AB5954" s="1050">
        <v>30</v>
      </c>
      <c r="AC5954" s="1050"/>
      <c r="AD5954" s="1050"/>
      <c r="AE5954" s="1050">
        <v>2</v>
      </c>
      <c r="AF5954" s="1052">
        <f>+ROUND(AB5954*AE5954,2)</f>
        <v>60</v>
      </c>
    </row>
    <row r="5955" spans="1:32" ht="15.6" customHeight="1" x14ac:dyDescent="0.25">
      <c r="A5955" s="2017"/>
      <c r="B5955" s="2018"/>
      <c r="C5955" s="2018"/>
      <c r="D5955" s="2018"/>
      <c r="E5955" s="2018"/>
      <c r="F5955" s="2018"/>
      <c r="G5955" s="2018"/>
      <c r="H5955" s="2018"/>
      <c r="I5955" s="2018"/>
      <c r="J5955" s="2018"/>
      <c r="K5955" s="2018"/>
      <c r="L5955" s="2018"/>
      <c r="M5955" s="2018"/>
      <c r="N5955" s="2018"/>
      <c r="O5955" s="2018"/>
      <c r="P5955" s="2018"/>
      <c r="Q5955" s="2018"/>
      <c r="R5955" s="2018"/>
      <c r="S5955" s="2018"/>
      <c r="T5955" s="2018"/>
      <c r="U5955" s="2018"/>
      <c r="V5955" s="2018"/>
      <c r="W5955" s="2018"/>
      <c r="X5955" s="2018"/>
      <c r="Y5955" s="2018"/>
      <c r="Z5955" s="2021" t="s">
        <v>2553</v>
      </c>
      <c r="AA5955" s="2021"/>
      <c r="AB5955" s="1050">
        <v>10</v>
      </c>
      <c r="AC5955" s="1050"/>
      <c r="AD5955" s="1050"/>
      <c r="AE5955" s="1050">
        <v>1</v>
      </c>
      <c r="AF5955" s="1052">
        <f>+ROUND(AB5955*AE5955,2)</f>
        <v>10</v>
      </c>
    </row>
    <row r="5956" spans="1:32" ht="15.6" customHeight="1" x14ac:dyDescent="0.25">
      <c r="A5956" s="2017"/>
      <c r="B5956" s="2018"/>
      <c r="C5956" s="2018"/>
      <c r="D5956" s="2018"/>
      <c r="E5956" s="2018"/>
      <c r="F5956" s="2018"/>
      <c r="G5956" s="2018"/>
      <c r="H5956" s="2018"/>
      <c r="I5956" s="2018"/>
      <c r="J5956" s="2018"/>
      <c r="K5956" s="2018"/>
      <c r="L5956" s="2018"/>
      <c r="M5956" s="2018"/>
      <c r="N5956" s="2018"/>
      <c r="O5956" s="2018"/>
      <c r="P5956" s="2018"/>
      <c r="Q5956" s="2018"/>
      <c r="R5956" s="2018"/>
      <c r="S5956" s="2018"/>
      <c r="T5956" s="2018"/>
      <c r="U5956" s="2018"/>
      <c r="V5956" s="2018"/>
      <c r="W5956" s="2018"/>
      <c r="X5956" s="2018"/>
      <c r="Y5956" s="2018"/>
      <c r="Z5956" s="2021" t="s">
        <v>2554</v>
      </c>
      <c r="AA5956" s="2021"/>
      <c r="AB5956" s="1050">
        <v>15</v>
      </c>
      <c r="AC5956" s="1050"/>
      <c r="AD5956" s="1050"/>
      <c r="AE5956" s="1050">
        <v>1</v>
      </c>
      <c r="AF5956" s="1052">
        <f>+ROUND(AB5956*AE5956,2)</f>
        <v>15</v>
      </c>
    </row>
    <row r="5957" spans="1:32" ht="15.75" x14ac:dyDescent="0.25">
      <c r="A5957" s="2017"/>
      <c r="B5957" s="2018"/>
      <c r="C5957" s="2018"/>
      <c r="D5957" s="2018"/>
      <c r="E5957" s="2018"/>
      <c r="F5957" s="2018"/>
      <c r="G5957" s="2018"/>
      <c r="H5957" s="2018"/>
      <c r="I5957" s="2018"/>
      <c r="J5957" s="2018"/>
      <c r="K5957" s="2018"/>
      <c r="L5957" s="2018"/>
      <c r="M5957" s="2018"/>
      <c r="N5957" s="2018"/>
      <c r="O5957" s="2018"/>
      <c r="P5957" s="2018"/>
      <c r="Q5957" s="2018"/>
      <c r="R5957" s="2018"/>
      <c r="S5957" s="2018"/>
      <c r="T5957" s="2018"/>
      <c r="U5957" s="2018"/>
      <c r="V5957" s="2018"/>
      <c r="W5957" s="2018"/>
      <c r="X5957" s="2018"/>
      <c r="Y5957" s="2018"/>
      <c r="Z5957" s="2021" t="s">
        <v>2555</v>
      </c>
      <c r="AA5957" s="2021"/>
      <c r="AB5957" s="1050">
        <v>20</v>
      </c>
      <c r="AC5957" s="1050"/>
      <c r="AD5957" s="1050"/>
      <c r="AE5957" s="1050">
        <v>1</v>
      </c>
      <c r="AF5957" s="1052">
        <f t="shared" ref="AF5957:AF5961" si="90">+ROUND(AB5957*AE5957,2)</f>
        <v>20</v>
      </c>
    </row>
    <row r="5958" spans="1:32" ht="15.6" customHeight="1" x14ac:dyDescent="0.25">
      <c r="A5958" s="2017"/>
      <c r="B5958" s="2018"/>
      <c r="C5958" s="2018"/>
      <c r="D5958" s="2018"/>
      <c r="E5958" s="2018"/>
      <c r="F5958" s="2018"/>
      <c r="G5958" s="2018"/>
      <c r="H5958" s="2018"/>
      <c r="I5958" s="2018"/>
      <c r="J5958" s="2018"/>
      <c r="K5958" s="2018"/>
      <c r="L5958" s="2018"/>
      <c r="M5958" s="2018"/>
      <c r="N5958" s="2018"/>
      <c r="O5958" s="2018"/>
      <c r="P5958" s="2018"/>
      <c r="Q5958" s="2018"/>
      <c r="R5958" s="2018"/>
      <c r="S5958" s="2018"/>
      <c r="T5958" s="2018"/>
      <c r="U5958" s="2018"/>
      <c r="V5958" s="2018"/>
      <c r="W5958" s="2018"/>
      <c r="X5958" s="2018"/>
      <c r="Y5958" s="2018"/>
      <c r="Z5958" s="2021" t="s">
        <v>2560</v>
      </c>
      <c r="AA5958" s="2021"/>
      <c r="AB5958" s="1050">
        <v>10</v>
      </c>
      <c r="AC5958" s="1050"/>
      <c r="AD5958" s="1050"/>
      <c r="AE5958" s="1050">
        <v>1</v>
      </c>
      <c r="AF5958" s="1052">
        <f t="shared" si="90"/>
        <v>10</v>
      </c>
    </row>
    <row r="5959" spans="1:32" ht="15.75" x14ac:dyDescent="0.25">
      <c r="A5959" s="2017"/>
      <c r="B5959" s="2018"/>
      <c r="C5959" s="2018"/>
      <c r="D5959" s="2018"/>
      <c r="E5959" s="2018"/>
      <c r="F5959" s="2018"/>
      <c r="G5959" s="2018"/>
      <c r="H5959" s="2018"/>
      <c r="I5959" s="2018"/>
      <c r="J5959" s="2018"/>
      <c r="K5959" s="2018"/>
      <c r="L5959" s="2018"/>
      <c r="M5959" s="2018"/>
      <c r="N5959" s="2018"/>
      <c r="O5959" s="2018"/>
      <c r="P5959" s="2018"/>
      <c r="Q5959" s="2018"/>
      <c r="R5959" s="2018"/>
      <c r="S5959" s="2018"/>
      <c r="T5959" s="2018"/>
      <c r="U5959" s="2018"/>
      <c r="V5959" s="2018"/>
      <c r="W5959" s="2018"/>
      <c r="X5959" s="2018"/>
      <c r="Y5959" s="2018"/>
      <c r="Z5959" s="2021" t="s">
        <v>2557</v>
      </c>
      <c r="AA5959" s="2021"/>
      <c r="AB5959" s="1050">
        <v>10</v>
      </c>
      <c r="AC5959" s="1050"/>
      <c r="AD5959" s="1050"/>
      <c r="AE5959" s="1050">
        <v>0</v>
      </c>
      <c r="AF5959" s="1052">
        <f t="shared" si="90"/>
        <v>0</v>
      </c>
    </row>
    <row r="5960" spans="1:32" ht="15.75" x14ac:dyDescent="0.25">
      <c r="A5960" s="2017"/>
      <c r="B5960" s="2018"/>
      <c r="C5960" s="2018"/>
      <c r="D5960" s="2018"/>
      <c r="E5960" s="2018"/>
      <c r="F5960" s="2018"/>
      <c r="G5960" s="2018"/>
      <c r="H5960" s="2018"/>
      <c r="I5960" s="2018"/>
      <c r="J5960" s="2018"/>
      <c r="K5960" s="2018"/>
      <c r="L5960" s="2018"/>
      <c r="M5960" s="2018"/>
      <c r="N5960" s="2018"/>
      <c r="O5960" s="2018"/>
      <c r="P5960" s="2018"/>
      <c r="Q5960" s="2018"/>
      <c r="R5960" s="2018"/>
      <c r="S5960" s="2018"/>
      <c r="T5960" s="2018"/>
      <c r="U5960" s="2018"/>
      <c r="V5960" s="2018"/>
      <c r="W5960" s="2018"/>
      <c r="X5960" s="2018"/>
      <c r="Y5960" s="2018"/>
      <c r="Z5960" s="2021" t="s">
        <v>2558</v>
      </c>
      <c r="AA5960" s="2021"/>
      <c r="AB5960" s="1050">
        <v>10</v>
      </c>
      <c r="AC5960" s="1050"/>
      <c r="AD5960" s="1050"/>
      <c r="AE5960" s="1050">
        <v>0</v>
      </c>
      <c r="AF5960" s="1052">
        <f t="shared" si="90"/>
        <v>0</v>
      </c>
    </row>
    <row r="5961" spans="1:32" ht="15.6" customHeight="1" x14ac:dyDescent="0.25">
      <c r="A5961" s="2017"/>
      <c r="B5961" s="2018"/>
      <c r="C5961" s="2018"/>
      <c r="D5961" s="2018"/>
      <c r="E5961" s="2018"/>
      <c r="F5961" s="2018"/>
      <c r="G5961" s="2018"/>
      <c r="H5961" s="2018"/>
      <c r="I5961" s="2018"/>
      <c r="J5961" s="2018"/>
      <c r="K5961" s="2018"/>
      <c r="L5961" s="2018"/>
      <c r="M5961" s="2018"/>
      <c r="N5961" s="2018"/>
      <c r="O5961" s="2018"/>
      <c r="P5961" s="2018"/>
      <c r="Q5961" s="2018"/>
      <c r="R5961" s="2018"/>
      <c r="S5961" s="2018"/>
      <c r="T5961" s="2018"/>
      <c r="U5961" s="2018"/>
      <c r="V5961" s="2018"/>
      <c r="W5961" s="2018"/>
      <c r="X5961" s="2018"/>
      <c r="Y5961" s="2018"/>
      <c r="Z5961" s="2021" t="s">
        <v>2559</v>
      </c>
      <c r="AA5961" s="2021"/>
      <c r="AB5961" s="1050">
        <v>10</v>
      </c>
      <c r="AC5961" s="1050"/>
      <c r="AD5961" s="1050"/>
      <c r="AE5961" s="1050">
        <v>0</v>
      </c>
      <c r="AF5961" s="1052">
        <f t="shared" si="90"/>
        <v>0</v>
      </c>
    </row>
    <row r="5962" spans="1:32" ht="15.75" x14ac:dyDescent="0.25">
      <c r="A5962" s="2017"/>
      <c r="B5962" s="2018"/>
      <c r="C5962" s="2018"/>
      <c r="D5962" s="2018"/>
      <c r="E5962" s="2018"/>
      <c r="F5962" s="2018"/>
      <c r="G5962" s="2018"/>
      <c r="H5962" s="2018"/>
      <c r="I5962" s="2018"/>
      <c r="J5962" s="2018"/>
      <c r="K5962" s="2018"/>
      <c r="L5962" s="2018"/>
      <c r="M5962" s="2018"/>
      <c r="N5962" s="2018"/>
      <c r="O5962" s="2018"/>
      <c r="P5962" s="2018"/>
      <c r="Q5962" s="2018"/>
      <c r="R5962" s="2018"/>
      <c r="S5962" s="2018"/>
      <c r="T5962" s="2018"/>
      <c r="U5962" s="2018"/>
      <c r="V5962" s="2018"/>
      <c r="W5962" s="2018"/>
      <c r="X5962" s="2018"/>
      <c r="Y5962" s="2018"/>
      <c r="Z5962" s="2022"/>
      <c r="AA5962" s="2022"/>
      <c r="AB5962" s="1050"/>
      <c r="AC5962" s="1050"/>
      <c r="AD5962" s="1050"/>
      <c r="AE5962" s="1050"/>
      <c r="AF5962" s="1052"/>
    </row>
    <row r="5963" spans="1:32" ht="15.75" x14ac:dyDescent="0.25">
      <c r="A5963" s="2017"/>
      <c r="B5963" s="2018"/>
      <c r="C5963" s="2018"/>
      <c r="D5963" s="2018"/>
      <c r="E5963" s="2018"/>
      <c r="F5963" s="2018"/>
      <c r="G5963" s="2018"/>
      <c r="H5963" s="2018"/>
      <c r="I5963" s="2018"/>
      <c r="J5963" s="2018"/>
      <c r="K5963" s="2018"/>
      <c r="L5963" s="2018"/>
      <c r="M5963" s="2018"/>
      <c r="N5963" s="2018"/>
      <c r="O5963" s="2018"/>
      <c r="P5963" s="2018"/>
      <c r="Q5963" s="2018"/>
      <c r="R5963" s="2018"/>
      <c r="S5963" s="2018"/>
      <c r="T5963" s="2018"/>
      <c r="U5963" s="2018"/>
      <c r="V5963" s="2018"/>
      <c r="W5963" s="2018"/>
      <c r="X5963" s="2018"/>
      <c r="Y5963" s="2018"/>
      <c r="Z5963" s="2022"/>
      <c r="AA5963" s="2022"/>
      <c r="AB5963" s="1050"/>
      <c r="AC5963" s="1050"/>
      <c r="AD5963" s="1050"/>
      <c r="AE5963" s="1050"/>
      <c r="AF5963" s="1052"/>
    </row>
    <row r="5964" spans="1:32" ht="15.75" x14ac:dyDescent="0.25">
      <c r="A5964" s="2017"/>
      <c r="B5964" s="2018"/>
      <c r="C5964" s="2018"/>
      <c r="D5964" s="2018"/>
      <c r="E5964" s="2018"/>
      <c r="F5964" s="2018"/>
      <c r="G5964" s="2018"/>
      <c r="H5964" s="2018"/>
      <c r="I5964" s="2018"/>
      <c r="J5964" s="2018"/>
      <c r="K5964" s="2018"/>
      <c r="L5964" s="2018"/>
      <c r="M5964" s="2018"/>
      <c r="N5964" s="2018"/>
      <c r="O5964" s="2018"/>
      <c r="P5964" s="2018"/>
      <c r="Q5964" s="2018"/>
      <c r="R5964" s="2018"/>
      <c r="S5964" s="2018"/>
      <c r="T5964" s="2018"/>
      <c r="U5964" s="2018"/>
      <c r="V5964" s="2018"/>
      <c r="W5964" s="2018"/>
      <c r="X5964" s="2018"/>
      <c r="Y5964" s="2018"/>
      <c r="Z5964" s="2022"/>
      <c r="AA5964" s="2022"/>
      <c r="AB5964" s="1050"/>
      <c r="AC5964" s="1050"/>
      <c r="AD5964" s="1050"/>
      <c r="AE5964" s="1050"/>
      <c r="AF5964" s="1052"/>
    </row>
    <row r="5965" spans="1:32" ht="15.6" customHeight="1" x14ac:dyDescent="0.25">
      <c r="A5965" s="2017"/>
      <c r="B5965" s="2018"/>
      <c r="C5965" s="2018"/>
      <c r="D5965" s="2018"/>
      <c r="E5965" s="2018"/>
      <c r="F5965" s="2018"/>
      <c r="G5965" s="2018"/>
      <c r="H5965" s="2018"/>
      <c r="I5965" s="2018"/>
      <c r="J5965" s="2018"/>
      <c r="K5965" s="2018"/>
      <c r="L5965" s="2018"/>
      <c r="M5965" s="2018"/>
      <c r="N5965" s="2018"/>
      <c r="O5965" s="2018"/>
      <c r="P5965" s="2018"/>
      <c r="Q5965" s="2018"/>
      <c r="R5965" s="2018"/>
      <c r="S5965" s="2018"/>
      <c r="T5965" s="2018"/>
      <c r="U5965" s="2018"/>
      <c r="V5965" s="2018"/>
      <c r="W5965" s="2018"/>
      <c r="X5965" s="2018"/>
      <c r="Y5965" s="2018"/>
      <c r="Z5965" s="2022"/>
      <c r="AA5965" s="2022"/>
      <c r="AB5965" s="1050"/>
      <c r="AC5965" s="1050"/>
      <c r="AD5965" s="1050"/>
      <c r="AE5965" s="1050"/>
      <c r="AF5965" s="1052"/>
    </row>
    <row r="5966" spans="1:32" ht="15.75" x14ac:dyDescent="0.25">
      <c r="A5966" s="2017"/>
      <c r="B5966" s="2018"/>
      <c r="C5966" s="2018"/>
      <c r="D5966" s="2018"/>
      <c r="E5966" s="2018"/>
      <c r="F5966" s="2018"/>
      <c r="G5966" s="2018"/>
      <c r="H5966" s="2018"/>
      <c r="I5966" s="2018"/>
      <c r="J5966" s="2018"/>
      <c r="K5966" s="2018"/>
      <c r="L5966" s="2018"/>
      <c r="M5966" s="2018"/>
      <c r="N5966" s="2018"/>
      <c r="O5966" s="2018"/>
      <c r="P5966" s="2018"/>
      <c r="Q5966" s="2018"/>
      <c r="R5966" s="2018"/>
      <c r="S5966" s="2018"/>
      <c r="T5966" s="2018"/>
      <c r="U5966" s="2018"/>
      <c r="V5966" s="2018"/>
      <c r="W5966" s="2018"/>
      <c r="X5966" s="2018"/>
      <c r="Y5966" s="2018"/>
      <c r="Z5966" s="2022"/>
      <c r="AA5966" s="2022"/>
      <c r="AB5966" s="1050"/>
      <c r="AC5966" s="1050"/>
      <c r="AD5966" s="1050"/>
      <c r="AE5966" s="1050"/>
      <c r="AF5966" s="1052"/>
    </row>
    <row r="5967" spans="1:32" ht="15.75" x14ac:dyDescent="0.25">
      <c r="A5967" s="2017"/>
      <c r="B5967" s="2018"/>
      <c r="C5967" s="2018"/>
      <c r="D5967" s="2018"/>
      <c r="E5967" s="2018"/>
      <c r="F5967" s="2018"/>
      <c r="G5967" s="2018"/>
      <c r="H5967" s="2018"/>
      <c r="I5967" s="2018"/>
      <c r="J5967" s="2018"/>
      <c r="K5967" s="2018"/>
      <c r="L5967" s="2018"/>
      <c r="M5967" s="2018"/>
      <c r="N5967" s="2018"/>
      <c r="O5967" s="2018"/>
      <c r="P5967" s="2018"/>
      <c r="Q5967" s="2018"/>
      <c r="R5967" s="2018"/>
      <c r="S5967" s="2018"/>
      <c r="T5967" s="2018"/>
      <c r="U5967" s="2018"/>
      <c r="V5967" s="2018"/>
      <c r="W5967" s="2018"/>
      <c r="X5967" s="2018"/>
      <c r="Y5967" s="2018"/>
      <c r="Z5967" s="2022"/>
      <c r="AA5967" s="2022"/>
      <c r="AB5967" s="1050"/>
      <c r="AC5967" s="1050"/>
      <c r="AD5967" s="1050"/>
      <c r="AE5967" s="1050"/>
      <c r="AF5967" s="1052"/>
    </row>
    <row r="5968" spans="1:32" ht="15.75" x14ac:dyDescent="0.25">
      <c r="A5968" s="2017"/>
      <c r="B5968" s="2018"/>
      <c r="C5968" s="2018"/>
      <c r="D5968" s="2018"/>
      <c r="E5968" s="2018"/>
      <c r="F5968" s="2018"/>
      <c r="G5968" s="2018"/>
      <c r="H5968" s="2018"/>
      <c r="I5968" s="2018"/>
      <c r="J5968" s="2018"/>
      <c r="K5968" s="2018"/>
      <c r="L5968" s="2018"/>
      <c r="M5968" s="2018"/>
      <c r="N5968" s="2018"/>
      <c r="O5968" s="2018"/>
      <c r="P5968" s="2018"/>
      <c r="Q5968" s="2018"/>
      <c r="R5968" s="2018"/>
      <c r="S5968" s="2018"/>
      <c r="T5968" s="2018"/>
      <c r="U5968" s="2018"/>
      <c r="V5968" s="2018"/>
      <c r="W5968" s="2018"/>
      <c r="X5968" s="2018"/>
      <c r="Y5968" s="2018"/>
      <c r="Z5968" s="2022"/>
      <c r="AA5968" s="2022"/>
      <c r="AB5968" s="1050"/>
      <c r="AC5968" s="1050"/>
      <c r="AD5968" s="1050"/>
      <c r="AE5968" s="1050"/>
      <c r="AF5968" s="1052"/>
    </row>
    <row r="5969" spans="1:32" ht="15.75" x14ac:dyDescent="0.25">
      <c r="A5969" s="2017"/>
      <c r="B5969" s="2018"/>
      <c r="C5969" s="2018"/>
      <c r="D5969" s="2018"/>
      <c r="E5969" s="2018"/>
      <c r="F5969" s="2018"/>
      <c r="G5969" s="2018"/>
      <c r="H5969" s="2018"/>
      <c r="I5969" s="2018"/>
      <c r="J5969" s="2018"/>
      <c r="K5969" s="2018"/>
      <c r="L5969" s="2018"/>
      <c r="M5969" s="2018"/>
      <c r="N5969" s="2018"/>
      <c r="O5969" s="2018"/>
      <c r="P5969" s="2018"/>
      <c r="Q5969" s="2018"/>
      <c r="R5969" s="2018"/>
      <c r="S5969" s="2018"/>
      <c r="T5969" s="2018"/>
      <c r="U5969" s="2018"/>
      <c r="V5969" s="2018"/>
      <c r="W5969" s="2018"/>
      <c r="X5969" s="2018"/>
      <c r="Y5969" s="2018"/>
      <c r="Z5969" s="2022"/>
      <c r="AA5969" s="2022"/>
      <c r="AB5969" s="1050"/>
      <c r="AC5969" s="1050"/>
      <c r="AD5969" s="1050"/>
      <c r="AE5969" s="1050"/>
      <c r="AF5969" s="1052"/>
    </row>
    <row r="5970" spans="1:32" ht="15.75" x14ac:dyDescent="0.25">
      <c r="A5970" s="2017"/>
      <c r="B5970" s="2018"/>
      <c r="C5970" s="2018"/>
      <c r="D5970" s="2018"/>
      <c r="E5970" s="2018"/>
      <c r="F5970" s="2018"/>
      <c r="G5970" s="2018"/>
      <c r="H5970" s="2018"/>
      <c r="I5970" s="2018"/>
      <c r="J5970" s="2018"/>
      <c r="K5970" s="2018"/>
      <c r="L5970" s="2018"/>
      <c r="M5970" s="2018"/>
      <c r="N5970" s="2018"/>
      <c r="O5970" s="2018"/>
      <c r="P5970" s="2018"/>
      <c r="Q5970" s="2018"/>
      <c r="R5970" s="2018"/>
      <c r="S5970" s="2018"/>
      <c r="T5970" s="2018"/>
      <c r="U5970" s="2018"/>
      <c r="V5970" s="2018"/>
      <c r="W5970" s="2018"/>
      <c r="X5970" s="2018"/>
      <c r="Y5970" s="2018"/>
      <c r="Z5970" s="2022"/>
      <c r="AA5970" s="2022"/>
      <c r="AB5970" s="1050"/>
      <c r="AC5970" s="1050"/>
      <c r="AD5970" s="1050"/>
      <c r="AE5970" s="1050"/>
      <c r="AF5970" s="1052"/>
    </row>
    <row r="5971" spans="1:32" ht="15.75" x14ac:dyDescent="0.25">
      <c r="A5971" s="2017"/>
      <c r="B5971" s="2018"/>
      <c r="C5971" s="2018"/>
      <c r="D5971" s="2018"/>
      <c r="E5971" s="2018"/>
      <c r="F5971" s="2018"/>
      <c r="G5971" s="2018"/>
      <c r="H5971" s="2018"/>
      <c r="I5971" s="2018"/>
      <c r="J5971" s="2018"/>
      <c r="K5971" s="2018"/>
      <c r="L5971" s="2018"/>
      <c r="M5971" s="2018"/>
      <c r="N5971" s="2018"/>
      <c r="O5971" s="2018"/>
      <c r="P5971" s="2018"/>
      <c r="Q5971" s="2018"/>
      <c r="R5971" s="2018"/>
      <c r="S5971" s="2018"/>
      <c r="T5971" s="2018"/>
      <c r="U5971" s="2018"/>
      <c r="V5971" s="2018"/>
      <c r="W5971" s="2018"/>
      <c r="X5971" s="2018"/>
      <c r="Y5971" s="2018"/>
      <c r="Z5971" s="2023"/>
      <c r="AA5971" s="2023"/>
      <c r="AB5971" s="1050"/>
      <c r="AC5971" s="1050"/>
      <c r="AD5971" s="1050"/>
      <c r="AE5971" s="1050"/>
      <c r="AF5971" s="1052"/>
    </row>
    <row r="5972" spans="1:32" ht="15.75" x14ac:dyDescent="0.25">
      <c r="A5972" s="2017"/>
      <c r="B5972" s="2018"/>
      <c r="C5972" s="2018"/>
      <c r="D5972" s="2018"/>
      <c r="E5972" s="2018"/>
      <c r="F5972" s="2018"/>
      <c r="G5972" s="2018"/>
      <c r="H5972" s="2018"/>
      <c r="I5972" s="2018"/>
      <c r="J5972" s="2018"/>
      <c r="K5972" s="2018"/>
      <c r="L5972" s="2018"/>
      <c r="M5972" s="2018"/>
      <c r="N5972" s="2018"/>
      <c r="O5972" s="2018"/>
      <c r="P5972" s="2018"/>
      <c r="Q5972" s="2018"/>
      <c r="R5972" s="2018"/>
      <c r="S5972" s="2018"/>
      <c r="T5972" s="2018"/>
      <c r="U5972" s="2018"/>
      <c r="V5972" s="2018"/>
      <c r="W5972" s="2018"/>
      <c r="X5972" s="2018"/>
      <c r="Y5972" s="2018"/>
      <c r="Z5972" s="2023"/>
      <c r="AA5972" s="2023"/>
      <c r="AB5972" s="1050"/>
      <c r="AC5972" s="1050"/>
      <c r="AD5972" s="1050"/>
      <c r="AE5972" s="1050"/>
      <c r="AF5972" s="1052"/>
    </row>
    <row r="5973" spans="1:32" ht="15.75" x14ac:dyDescent="0.25">
      <c r="A5973" s="2017"/>
      <c r="B5973" s="2018"/>
      <c r="C5973" s="2018"/>
      <c r="D5973" s="2018"/>
      <c r="E5973" s="2018"/>
      <c r="F5973" s="2018"/>
      <c r="G5973" s="2018"/>
      <c r="H5973" s="2018"/>
      <c r="I5973" s="2018"/>
      <c r="J5973" s="2018"/>
      <c r="K5973" s="2018"/>
      <c r="L5973" s="2018"/>
      <c r="M5973" s="2018"/>
      <c r="N5973" s="2018"/>
      <c r="O5973" s="2018"/>
      <c r="P5973" s="2018"/>
      <c r="Q5973" s="2018"/>
      <c r="R5973" s="2018"/>
      <c r="S5973" s="2018"/>
      <c r="T5973" s="2018"/>
      <c r="U5973" s="2018"/>
      <c r="V5973" s="2018"/>
      <c r="W5973" s="2018"/>
      <c r="X5973" s="2018"/>
      <c r="Y5973" s="2018"/>
      <c r="Z5973" s="2023"/>
      <c r="AA5973" s="2023"/>
      <c r="AB5973" s="1050"/>
      <c r="AC5973" s="1050"/>
      <c r="AD5973" s="1050"/>
      <c r="AE5973" s="1050"/>
      <c r="AF5973" s="1052"/>
    </row>
    <row r="5974" spans="1:32" ht="15.75" x14ac:dyDescent="0.25">
      <c r="A5974" s="2017"/>
      <c r="B5974" s="2018"/>
      <c r="C5974" s="2018"/>
      <c r="D5974" s="2018"/>
      <c r="E5974" s="2018"/>
      <c r="F5974" s="2018"/>
      <c r="G5974" s="2018"/>
      <c r="H5974" s="2018"/>
      <c r="I5974" s="2018"/>
      <c r="J5974" s="2018"/>
      <c r="K5974" s="2018"/>
      <c r="L5974" s="2018"/>
      <c r="M5974" s="2018"/>
      <c r="N5974" s="2018"/>
      <c r="O5974" s="2018"/>
      <c r="P5974" s="2018"/>
      <c r="Q5974" s="2018"/>
      <c r="R5974" s="2018"/>
      <c r="S5974" s="2018"/>
      <c r="T5974" s="2018"/>
      <c r="U5974" s="2018"/>
      <c r="V5974" s="2018"/>
      <c r="W5974" s="2018"/>
      <c r="X5974" s="2018"/>
      <c r="Y5974" s="2018"/>
      <c r="Z5974" s="2023"/>
      <c r="AA5974" s="2023"/>
      <c r="AB5974" s="1050"/>
      <c r="AC5974" s="1050"/>
      <c r="AD5974" s="1050"/>
      <c r="AE5974" s="1050"/>
      <c r="AF5974" s="1052"/>
    </row>
    <row r="5975" spans="1:32" ht="15.75" x14ac:dyDescent="0.25">
      <c r="A5975" s="2017"/>
      <c r="B5975" s="2018"/>
      <c r="C5975" s="2018"/>
      <c r="D5975" s="2018"/>
      <c r="E5975" s="2018"/>
      <c r="F5975" s="2018"/>
      <c r="G5975" s="2018"/>
      <c r="H5975" s="2018"/>
      <c r="I5975" s="2018"/>
      <c r="J5975" s="2018"/>
      <c r="K5975" s="2018"/>
      <c r="L5975" s="2018"/>
      <c r="M5975" s="2018"/>
      <c r="N5975" s="2018"/>
      <c r="O5975" s="2018"/>
      <c r="P5975" s="2018"/>
      <c r="Q5975" s="2018"/>
      <c r="R5975" s="2018"/>
      <c r="S5975" s="2018"/>
      <c r="T5975" s="2018"/>
      <c r="U5975" s="2018"/>
      <c r="V5975" s="2018"/>
      <c r="W5975" s="2018"/>
      <c r="X5975" s="2018"/>
      <c r="Y5975" s="2018"/>
      <c r="Z5975" s="2023"/>
      <c r="AA5975" s="2023"/>
      <c r="AB5975" s="1050"/>
      <c r="AC5975" s="1050"/>
      <c r="AD5975" s="1050"/>
      <c r="AE5975" s="1050"/>
      <c r="AF5975" s="1052"/>
    </row>
    <row r="5976" spans="1:32" ht="15.75" x14ac:dyDescent="0.25">
      <c r="A5976" s="2017"/>
      <c r="B5976" s="2018"/>
      <c r="C5976" s="2018"/>
      <c r="D5976" s="2018"/>
      <c r="E5976" s="2018"/>
      <c r="F5976" s="2018"/>
      <c r="G5976" s="2018"/>
      <c r="H5976" s="2018"/>
      <c r="I5976" s="2018"/>
      <c r="J5976" s="2018"/>
      <c r="K5976" s="2018"/>
      <c r="L5976" s="2018"/>
      <c r="M5976" s="2018"/>
      <c r="N5976" s="2018"/>
      <c r="O5976" s="2018"/>
      <c r="P5976" s="2018"/>
      <c r="Q5976" s="2018"/>
      <c r="R5976" s="2018"/>
      <c r="S5976" s="2018"/>
      <c r="T5976" s="2018"/>
      <c r="U5976" s="2018"/>
      <c r="V5976" s="2018"/>
      <c r="W5976" s="2018"/>
      <c r="X5976" s="2018"/>
      <c r="Y5976" s="2018"/>
      <c r="Z5976" s="2023"/>
      <c r="AA5976" s="2023"/>
      <c r="AB5976" s="1050"/>
      <c r="AC5976" s="1050"/>
      <c r="AD5976" s="1050"/>
      <c r="AE5976" s="1050"/>
      <c r="AF5976" s="1052"/>
    </row>
    <row r="5977" spans="1:32" ht="16.5" thickBot="1" x14ac:dyDescent="0.3">
      <c r="A5977" s="2019"/>
      <c r="B5977" s="2020"/>
      <c r="C5977" s="2020"/>
      <c r="D5977" s="2020"/>
      <c r="E5977" s="2020"/>
      <c r="F5977" s="2020"/>
      <c r="G5977" s="2020"/>
      <c r="H5977" s="2020"/>
      <c r="I5977" s="2020"/>
      <c r="J5977" s="2020"/>
      <c r="K5977" s="2020"/>
      <c r="L5977" s="2020"/>
      <c r="M5977" s="2020"/>
      <c r="N5977" s="2020"/>
      <c r="O5977" s="2020"/>
      <c r="P5977" s="2020"/>
      <c r="Q5977" s="2020"/>
      <c r="R5977" s="2020"/>
      <c r="S5977" s="2020"/>
      <c r="T5977" s="2020"/>
      <c r="U5977" s="2020"/>
      <c r="V5977" s="2020"/>
      <c r="W5977" s="2020"/>
      <c r="X5977" s="2020"/>
      <c r="Y5977" s="2020"/>
      <c r="Z5977" s="2024"/>
      <c r="AA5977" s="2024"/>
      <c r="AB5977" s="1057"/>
      <c r="AC5977" s="1057"/>
      <c r="AD5977" s="1057"/>
      <c r="AE5977" s="1057"/>
      <c r="AF5977" s="1058"/>
    </row>
    <row r="5978" spans="1:32" ht="15.75" x14ac:dyDescent="0.25">
      <c r="A5978" s="2009" t="s">
        <v>1855</v>
      </c>
      <c r="B5978" s="2010"/>
      <c r="C5978" s="2010"/>
      <c r="D5978" s="2010"/>
      <c r="E5978" s="2010"/>
      <c r="F5978" s="2010"/>
      <c r="G5978" s="2010"/>
      <c r="H5978" s="2010"/>
      <c r="I5978" s="2010"/>
      <c r="J5978" s="2010"/>
      <c r="K5978" s="2010"/>
      <c r="L5978" s="2010"/>
      <c r="M5978" s="2010"/>
      <c r="N5978" s="2010"/>
      <c r="O5978" s="2010"/>
      <c r="P5978" s="2010"/>
      <c r="Q5978" s="2010"/>
      <c r="R5978" s="2010"/>
      <c r="S5978" s="2010"/>
      <c r="T5978" s="2010"/>
      <c r="U5978" s="2010"/>
      <c r="V5978" s="2010"/>
      <c r="W5978" s="2010"/>
      <c r="X5978" s="2010"/>
      <c r="Y5978" s="2010"/>
      <c r="Z5978" s="2013" t="s">
        <v>1850</v>
      </c>
      <c r="AA5978" s="2013"/>
      <c r="AB5978" s="2013"/>
      <c r="AC5978" s="2013"/>
      <c r="AD5978" s="2013"/>
      <c r="AE5978" s="2013"/>
      <c r="AF5978" s="1059">
        <f>SUM(AF5954:AF5977)</f>
        <v>115</v>
      </c>
    </row>
    <row r="5979" spans="1:32" ht="15.75" x14ac:dyDescent="0.25">
      <c r="A5979" s="2011"/>
      <c r="B5979" s="2012"/>
      <c r="C5979" s="2012"/>
      <c r="D5979" s="2012"/>
      <c r="E5979" s="2012"/>
      <c r="F5979" s="2012"/>
      <c r="G5979" s="2012"/>
      <c r="H5979" s="2012"/>
      <c r="I5979" s="2012"/>
      <c r="J5979" s="2012"/>
      <c r="K5979" s="2012"/>
      <c r="L5979" s="2012"/>
      <c r="M5979" s="2012"/>
      <c r="N5979" s="2012"/>
      <c r="O5979" s="2012"/>
      <c r="P5979" s="2012"/>
      <c r="Q5979" s="2012"/>
      <c r="R5979" s="2012"/>
      <c r="S5979" s="2012"/>
      <c r="T5979" s="2012"/>
      <c r="U5979" s="2012"/>
      <c r="V5979" s="2012"/>
      <c r="W5979" s="2012"/>
      <c r="X5979" s="2012"/>
      <c r="Y5979" s="2012"/>
      <c r="Z5979" s="2014" t="s">
        <v>1851</v>
      </c>
      <c r="AA5979" s="2014"/>
      <c r="AB5979" s="2014"/>
      <c r="AC5979" s="2014"/>
      <c r="AD5979" s="2014"/>
      <c r="AE5979" s="2014"/>
      <c r="AF5979" s="1060">
        <v>0</v>
      </c>
    </row>
    <row r="5980" spans="1:32" ht="15.75" x14ac:dyDescent="0.25">
      <c r="A5980" s="2011"/>
      <c r="B5980" s="2012"/>
      <c r="C5980" s="2012"/>
      <c r="D5980" s="2012"/>
      <c r="E5980" s="2012"/>
      <c r="F5980" s="2012"/>
      <c r="G5980" s="2012"/>
      <c r="H5980" s="2012"/>
      <c r="I5980" s="2012"/>
      <c r="J5980" s="2012"/>
      <c r="K5980" s="2012"/>
      <c r="L5980" s="2012"/>
      <c r="M5980" s="2012"/>
      <c r="N5980" s="2012"/>
      <c r="O5980" s="2012"/>
      <c r="P5980" s="2012"/>
      <c r="Q5980" s="2012"/>
      <c r="R5980" s="2012"/>
      <c r="S5980" s="2012"/>
      <c r="T5980" s="2012"/>
      <c r="U5980" s="2012"/>
      <c r="V5980" s="2012"/>
      <c r="W5980" s="2012"/>
      <c r="X5980" s="2012"/>
      <c r="Y5980" s="2012"/>
      <c r="Z5980" s="2015" t="s">
        <v>1833</v>
      </c>
      <c r="AA5980" s="2015"/>
      <c r="AB5980" s="2015"/>
      <c r="AC5980" s="2015"/>
      <c r="AD5980" s="2015"/>
      <c r="AE5980" s="2015"/>
      <c r="AF5980" s="1061">
        <f>SUM(AF5978:AF5979)</f>
        <v>115</v>
      </c>
    </row>
    <row r="5981" spans="1:32" x14ac:dyDescent="0.2">
      <c r="A5981" s="2012" t="s">
        <v>1859</v>
      </c>
      <c r="B5981" s="2012"/>
      <c r="C5981" s="2012"/>
      <c r="D5981" s="2012"/>
      <c r="E5981" s="2012"/>
      <c r="F5981" s="2012"/>
      <c r="G5981" s="2012"/>
      <c r="H5981" s="2012"/>
      <c r="I5981" s="2012"/>
      <c r="J5981" s="2012"/>
      <c r="K5981" s="2012"/>
      <c r="L5981" s="2012"/>
      <c r="M5981" s="2012"/>
      <c r="N5981" s="2012"/>
      <c r="O5981" s="2012"/>
      <c r="P5981" s="2012"/>
      <c r="Q5981" s="2012"/>
      <c r="R5981" s="2012"/>
      <c r="S5981" s="2012"/>
      <c r="T5981" s="2016" t="s">
        <v>1840</v>
      </c>
      <c r="U5981" s="2016"/>
      <c r="V5981" s="2016"/>
      <c r="W5981" s="2016"/>
      <c r="X5981" s="2016"/>
      <c r="Y5981" s="2016"/>
      <c r="Z5981" s="2016"/>
      <c r="AA5981" s="2016"/>
      <c r="AB5981" s="2012" t="s">
        <v>1852</v>
      </c>
      <c r="AC5981" s="2012"/>
      <c r="AD5981" s="2012"/>
      <c r="AE5981" s="2012"/>
      <c r="AF5981" s="2012"/>
    </row>
    <row r="5982" spans="1:32" x14ac:dyDescent="0.2">
      <c r="A5982" s="2012"/>
      <c r="B5982" s="2012"/>
      <c r="C5982" s="2012"/>
      <c r="D5982" s="2012"/>
      <c r="E5982" s="2012"/>
      <c r="F5982" s="2012"/>
      <c r="G5982" s="2012"/>
      <c r="H5982" s="2012"/>
      <c r="I5982" s="2012"/>
      <c r="J5982" s="2012"/>
      <c r="K5982" s="2012"/>
      <c r="L5982" s="2012"/>
      <c r="M5982" s="2012"/>
      <c r="N5982" s="2012"/>
      <c r="O5982" s="2012"/>
      <c r="P5982" s="2012"/>
      <c r="Q5982" s="2012"/>
      <c r="R5982" s="2012"/>
      <c r="S5982" s="2012"/>
      <c r="T5982" s="2016"/>
      <c r="U5982" s="2016"/>
      <c r="V5982" s="2016"/>
      <c r="W5982" s="2016"/>
      <c r="X5982" s="2016"/>
      <c r="Y5982" s="2016"/>
      <c r="Z5982" s="2016"/>
      <c r="AA5982" s="2016"/>
      <c r="AB5982" s="2012"/>
      <c r="AC5982" s="2012"/>
      <c r="AD5982" s="2012"/>
      <c r="AE5982" s="2012"/>
      <c r="AF5982" s="2012"/>
    </row>
    <row r="5983" spans="1:32" ht="13.5" thickBot="1" x14ac:dyDescent="0.25"/>
    <row r="5984" spans="1:32" ht="26.45" customHeight="1" x14ac:dyDescent="0.2">
      <c r="A5984" s="2025" t="s">
        <v>1854</v>
      </c>
      <c r="B5984" s="2026"/>
      <c r="C5984" s="2026"/>
      <c r="D5984" s="2026"/>
      <c r="E5984" s="2026"/>
      <c r="F5984" s="2026"/>
      <c r="G5984" s="2026"/>
      <c r="H5984" s="2026"/>
      <c r="I5984" s="2026"/>
      <c r="J5984" s="2026"/>
      <c r="K5984" s="2026"/>
      <c r="L5984" s="2026"/>
      <c r="M5984" s="2026"/>
      <c r="N5984" s="2026"/>
      <c r="O5984" s="2026"/>
      <c r="P5984" s="2026"/>
      <c r="Q5984" s="2026"/>
      <c r="R5984" s="2026"/>
      <c r="S5984" s="2026"/>
      <c r="T5984" s="2026"/>
      <c r="U5984" s="2026"/>
      <c r="V5984" s="2026"/>
      <c r="W5984" s="2026"/>
      <c r="X5984" s="2026"/>
      <c r="Y5984" s="2026"/>
      <c r="Z5984" s="2026"/>
      <c r="AA5984" s="2026"/>
      <c r="AB5984" s="2026"/>
      <c r="AC5984" s="2026"/>
      <c r="AD5984" s="2026"/>
      <c r="AE5984" s="1041" t="s">
        <v>1834</v>
      </c>
      <c r="AF5984" s="1042" t="s">
        <v>1835</v>
      </c>
    </row>
    <row r="5985" spans="1:32" ht="21" customHeight="1" thickBot="1" x14ac:dyDescent="0.25">
      <c r="A5985" s="2027"/>
      <c r="B5985" s="2028"/>
      <c r="C5985" s="2028"/>
      <c r="D5985" s="2028"/>
      <c r="E5985" s="2028"/>
      <c r="F5985" s="2028"/>
      <c r="G5985" s="2028"/>
      <c r="H5985" s="2028"/>
      <c r="I5985" s="2028"/>
      <c r="J5985" s="2028"/>
      <c r="K5985" s="2028"/>
      <c r="L5985" s="2028"/>
      <c r="M5985" s="2028"/>
      <c r="N5985" s="2028"/>
      <c r="O5985" s="2028"/>
      <c r="P5985" s="2028"/>
      <c r="Q5985" s="2028"/>
      <c r="R5985" s="2028"/>
      <c r="S5985" s="2028"/>
      <c r="T5985" s="2028"/>
      <c r="U5985" s="2028"/>
      <c r="V5985" s="2028"/>
      <c r="W5985" s="2028"/>
      <c r="X5985" s="2028"/>
      <c r="Y5985" s="2028"/>
      <c r="Z5985" s="2028"/>
      <c r="AA5985" s="2028"/>
      <c r="AB5985" s="2028"/>
      <c r="AC5985" s="2028"/>
      <c r="AD5985" s="2028"/>
      <c r="AE5985" s="1041" t="s">
        <v>1836</v>
      </c>
      <c r="AF5985" s="1044">
        <v>1</v>
      </c>
    </row>
    <row r="5986" spans="1:32" ht="15.75" x14ac:dyDescent="0.2">
      <c r="A5986" s="2029"/>
      <c r="B5986" s="2030"/>
      <c r="C5986" s="2030"/>
      <c r="D5986" s="2031"/>
      <c r="E5986" s="2025" t="str">
        <f>'01'!$A$12</f>
        <v>"CONSTRUCCION SISTEMA DE ACUEDUCTO FASE II DEL MUNICIPIO DE TESALIA DPTO DEL HUILA"</v>
      </c>
      <c r="F5986" s="2026"/>
      <c r="G5986" s="2026"/>
      <c r="H5986" s="2026"/>
      <c r="I5986" s="2026"/>
      <c r="J5986" s="2026"/>
      <c r="K5986" s="2026"/>
      <c r="L5986" s="2026"/>
      <c r="M5986" s="2026"/>
      <c r="N5986" s="2026"/>
      <c r="O5986" s="2026"/>
      <c r="P5986" s="2026"/>
      <c r="Q5986" s="2026"/>
      <c r="R5986" s="2026"/>
      <c r="S5986" s="2026"/>
      <c r="T5986" s="2026"/>
      <c r="U5986" s="2026"/>
      <c r="V5986" s="2026"/>
      <c r="W5986" s="2026"/>
      <c r="X5986" s="2026"/>
      <c r="Y5986" s="2026"/>
      <c r="Z5986" s="2026"/>
      <c r="AA5986" s="2026"/>
      <c r="AB5986" s="2026"/>
      <c r="AC5986" s="2026"/>
      <c r="AD5986" s="2035"/>
      <c r="AE5986" s="1041" t="s">
        <v>847</v>
      </c>
      <c r="AF5986" s="1045">
        <f>'01'!$M$13</f>
        <v>0</v>
      </c>
    </row>
    <row r="5987" spans="1:32" ht="16.5" thickBot="1" x14ac:dyDescent="0.25">
      <c r="A5987" s="2032"/>
      <c r="B5987" s="2033"/>
      <c r="C5987" s="2033"/>
      <c r="D5987" s="2034"/>
      <c r="E5987" s="2027"/>
      <c r="F5987" s="2028"/>
      <c r="G5987" s="2028"/>
      <c r="H5987" s="2028"/>
      <c r="I5987" s="2028"/>
      <c r="J5987" s="2028"/>
      <c r="K5987" s="2028"/>
      <c r="L5987" s="2028"/>
      <c r="M5987" s="2028"/>
      <c r="N5987" s="2028"/>
      <c r="O5987" s="2028"/>
      <c r="P5987" s="2028"/>
      <c r="Q5987" s="2028"/>
      <c r="R5987" s="2028"/>
      <c r="S5987" s="2028"/>
      <c r="T5987" s="2028"/>
      <c r="U5987" s="2028"/>
      <c r="V5987" s="2028"/>
      <c r="W5987" s="2028"/>
      <c r="X5987" s="2028"/>
      <c r="Y5987" s="2028"/>
      <c r="Z5987" s="2028"/>
      <c r="AA5987" s="2028"/>
      <c r="AB5987" s="2028"/>
      <c r="AC5987" s="2028"/>
      <c r="AD5987" s="2036"/>
      <c r="AE5987" s="1041" t="s">
        <v>1837</v>
      </c>
      <c r="AF5987" s="1042" t="s">
        <v>1838</v>
      </c>
    </row>
    <row r="5988" spans="1:32" ht="15.75" x14ac:dyDescent="0.25">
      <c r="A5988" s="2037" t="s">
        <v>1860</v>
      </c>
      <c r="B5988" s="2038"/>
      <c r="C5988" s="2038"/>
      <c r="D5988" s="2038"/>
      <c r="E5988" s="2038"/>
      <c r="F5988" s="2038"/>
      <c r="G5988" s="2038"/>
      <c r="H5988" s="2038"/>
      <c r="I5988" s="2038"/>
      <c r="J5988" s="2038"/>
      <c r="K5988" s="2038"/>
      <c r="L5988" s="2038"/>
      <c r="M5988" s="2038"/>
      <c r="N5988" s="2038"/>
      <c r="O5988" s="2038"/>
      <c r="P5988" s="2038"/>
      <c r="Q5988" s="2038"/>
      <c r="R5988" s="2038"/>
      <c r="S5988" s="2038"/>
      <c r="T5988" s="2038"/>
      <c r="U5988" s="2038"/>
      <c r="V5988" s="2038"/>
      <c r="W5988" s="2038"/>
      <c r="X5988" s="2038"/>
      <c r="Y5988" s="2038"/>
      <c r="Z5988" s="2038"/>
      <c r="AA5988" s="2038"/>
      <c r="AB5988" s="2038"/>
      <c r="AC5988" s="2038"/>
      <c r="AD5988" s="2038"/>
      <c r="AE5988" s="2039" t="s">
        <v>1839</v>
      </c>
      <c r="AF5988" s="2040"/>
    </row>
    <row r="5989" spans="1:32" ht="15.75" x14ac:dyDescent="0.25">
      <c r="A5989" s="2041" t="s">
        <v>1840</v>
      </c>
      <c r="B5989" s="2042"/>
      <c r="C5989" s="2042"/>
      <c r="D5989" s="2042"/>
      <c r="E5989" s="2042"/>
      <c r="F5989" s="2042"/>
      <c r="G5989" s="2042"/>
      <c r="H5989" s="2042"/>
      <c r="I5989" s="2042"/>
      <c r="J5989" s="2042"/>
      <c r="K5989" s="2042"/>
      <c r="L5989" s="2042"/>
      <c r="M5989" s="2042"/>
      <c r="N5989" s="2042"/>
      <c r="O5989" s="2042"/>
      <c r="P5989" s="2042"/>
      <c r="Q5989" s="2042"/>
      <c r="R5989" s="2042"/>
      <c r="S5989" s="2042"/>
      <c r="T5989" s="2042"/>
      <c r="U5989" s="2042"/>
      <c r="V5989" s="2042"/>
      <c r="W5989" s="2042"/>
      <c r="X5989" s="2042"/>
      <c r="Y5989" s="2042"/>
      <c r="Z5989" s="2042"/>
      <c r="AA5989" s="2042"/>
      <c r="AB5989" s="2042"/>
      <c r="AC5989" s="2042"/>
      <c r="AD5989" s="2043"/>
      <c r="AE5989" s="2014" t="s">
        <v>1841</v>
      </c>
      <c r="AF5989" s="2044"/>
    </row>
    <row r="5990" spans="1:32" ht="15.75" x14ac:dyDescent="0.25">
      <c r="A5990" s="2045" t="s">
        <v>1853</v>
      </c>
      <c r="B5990" s="2046"/>
      <c r="C5990" s="2046"/>
      <c r="D5990" s="2046"/>
      <c r="E5990" s="2046"/>
      <c r="F5990" s="2046"/>
      <c r="G5990" s="2046"/>
      <c r="H5990" s="2046"/>
      <c r="I5990" s="2046"/>
      <c r="J5990" s="2046"/>
      <c r="K5990" s="2046"/>
      <c r="L5990" s="2046"/>
      <c r="M5990" s="2046"/>
      <c r="N5990" s="2046"/>
      <c r="O5990" s="2046"/>
      <c r="P5990" s="2046"/>
      <c r="Q5990" s="2046"/>
      <c r="R5990" s="2046"/>
      <c r="S5990" s="2046"/>
      <c r="T5990" s="2046"/>
      <c r="U5990" s="2046"/>
      <c r="V5990" s="2046"/>
      <c r="W5990" s="2046"/>
      <c r="X5990" s="2046"/>
      <c r="Y5990" s="2046"/>
      <c r="Z5990" s="2046"/>
      <c r="AA5990" s="2046"/>
      <c r="AB5990" s="2046"/>
      <c r="AC5990" s="2046"/>
      <c r="AD5990" s="2046"/>
      <c r="AE5990" s="2047">
        <f>'01'!$M$13</f>
        <v>0</v>
      </c>
      <c r="AF5990" s="2044"/>
    </row>
    <row r="5991" spans="1:32" x14ac:dyDescent="0.2">
      <c r="A5991" s="1046"/>
      <c r="B5991" s="1047"/>
      <c r="C5991" s="1047"/>
      <c r="D5991" s="1047"/>
      <c r="E5991" s="1047"/>
      <c r="F5991" s="1047"/>
      <c r="G5991" s="1047"/>
      <c r="H5991" s="1047"/>
      <c r="I5991" s="1047"/>
      <c r="J5991" s="1047"/>
      <c r="K5991" s="1047"/>
      <c r="L5991" s="1047"/>
      <c r="M5991" s="1047"/>
      <c r="N5991" s="1047"/>
      <c r="O5991" s="1047"/>
      <c r="P5991" s="1047"/>
      <c r="Q5991" s="1047"/>
      <c r="R5991" s="1047"/>
      <c r="S5991" s="1047"/>
      <c r="T5991" s="1047"/>
      <c r="U5991" s="1047"/>
      <c r="V5991" s="1047"/>
      <c r="W5991" s="1047"/>
      <c r="X5991" s="1047"/>
      <c r="Y5991" s="1047"/>
      <c r="Z5991" s="1047"/>
      <c r="AA5991" s="1047"/>
      <c r="AB5991" s="1047"/>
      <c r="AC5991" s="1047"/>
      <c r="AD5991" s="1047"/>
      <c r="AE5991" s="1047"/>
      <c r="AF5991" s="1048"/>
    </row>
    <row r="5992" spans="1:32" ht="30" customHeight="1" x14ac:dyDescent="0.2">
      <c r="A5992" s="2048" t="s">
        <v>1842</v>
      </c>
      <c r="B5992" s="2049"/>
      <c r="C5992" s="2049"/>
      <c r="D5992" s="2049"/>
      <c r="E5992" s="2049"/>
      <c r="F5992" s="2050" t="str">
        <f>+'01'!$H$247</f>
        <v>J - CASETA DE OPERACIONES</v>
      </c>
      <c r="G5992" s="2049"/>
      <c r="H5992" s="2049"/>
      <c r="I5992" s="2049"/>
      <c r="J5992" s="2049"/>
      <c r="K5992" s="2049"/>
      <c r="L5992" s="2049"/>
      <c r="M5992" s="2049"/>
      <c r="N5992" s="2049"/>
      <c r="O5992" s="2049"/>
      <c r="P5992" s="2049"/>
      <c r="Q5992" s="2049"/>
      <c r="R5992" s="2049"/>
      <c r="S5992" s="2049"/>
      <c r="T5992" s="2049"/>
      <c r="U5992" s="2049"/>
      <c r="V5992" s="2049"/>
      <c r="W5992" s="2049"/>
      <c r="X5992" s="2049"/>
      <c r="Y5992" s="2051"/>
      <c r="Z5992" s="2052" t="s">
        <v>1843</v>
      </c>
      <c r="AA5992" s="2053"/>
      <c r="AB5992" s="2058" t="s">
        <v>1844</v>
      </c>
      <c r="AC5992" s="2059"/>
      <c r="AD5992" s="2060"/>
      <c r="AE5992" s="2064" t="s">
        <v>1845</v>
      </c>
      <c r="AF5992" s="2067" t="s">
        <v>1846</v>
      </c>
    </row>
    <row r="5993" spans="1:32" ht="15" customHeight="1" x14ac:dyDescent="0.2">
      <c r="A5993" s="2070" t="str">
        <f>+'01'!A249</f>
        <v>J-01-01</v>
      </c>
      <c r="B5993" s="2071"/>
      <c r="C5993" s="2072"/>
      <c r="D5993" s="2076" t="str">
        <f>VLOOKUP(A5993,'01'!$A$12:$N$299,3,FALSE)</f>
        <v>LOCALIZACIÓN Y REPLANTEO. INCLUYE: MATERIALES, EQUIPOS, COMISIÓN TOPOGRÁFICA PARA CONTROL DE NIVELES PERMANENTES Y PLANOS RECORD.</v>
      </c>
      <c r="E5993" s="2077"/>
      <c r="F5993" s="2077"/>
      <c r="G5993" s="2077"/>
      <c r="H5993" s="2077"/>
      <c r="I5993" s="2077"/>
      <c r="J5993" s="2077"/>
      <c r="K5993" s="2077"/>
      <c r="L5993" s="2077"/>
      <c r="M5993" s="2077"/>
      <c r="N5993" s="2077"/>
      <c r="O5993" s="2077"/>
      <c r="P5993" s="2077"/>
      <c r="Q5993" s="2077"/>
      <c r="R5993" s="2077"/>
      <c r="S5993" s="2078"/>
      <c r="T5993" s="2082" t="s">
        <v>124</v>
      </c>
      <c r="U5993" s="2083"/>
      <c r="V5993" s="2083"/>
      <c r="W5993" s="2083"/>
      <c r="X5993" s="2052" t="str">
        <f>VLOOKUP(A5993,'01'!$A$12:$N$299,9,FALSE)</f>
        <v>M2</v>
      </c>
      <c r="Y5993" s="2053"/>
      <c r="Z5993" s="2054"/>
      <c r="AA5993" s="2055"/>
      <c r="AB5993" s="2061"/>
      <c r="AC5993" s="2062"/>
      <c r="AD5993" s="2063"/>
      <c r="AE5993" s="2065"/>
      <c r="AF5993" s="2068"/>
    </row>
    <row r="5994" spans="1:32" ht="15" customHeight="1" x14ac:dyDescent="0.25">
      <c r="A5994" s="2073"/>
      <c r="B5994" s="2074"/>
      <c r="C5994" s="2075"/>
      <c r="D5994" s="2079"/>
      <c r="E5994" s="2080"/>
      <c r="F5994" s="2080"/>
      <c r="G5994" s="2080"/>
      <c r="H5994" s="2080"/>
      <c r="I5994" s="2080"/>
      <c r="J5994" s="2080"/>
      <c r="K5994" s="2080"/>
      <c r="L5994" s="2080"/>
      <c r="M5994" s="2080"/>
      <c r="N5994" s="2080"/>
      <c r="O5994" s="2080"/>
      <c r="P5994" s="2080"/>
      <c r="Q5994" s="2080"/>
      <c r="R5994" s="2080"/>
      <c r="S5994" s="2081"/>
      <c r="T5994" s="2084"/>
      <c r="U5994" s="2085"/>
      <c r="V5994" s="2085"/>
      <c r="W5994" s="2085"/>
      <c r="X5994" s="2056"/>
      <c r="Y5994" s="2057"/>
      <c r="Z5994" s="2056"/>
      <c r="AA5994" s="2057"/>
      <c r="AB5994" s="1049" t="s">
        <v>1847</v>
      </c>
      <c r="AC5994" s="1049" t="s">
        <v>1848</v>
      </c>
      <c r="AD5994" s="1049" t="s">
        <v>1861</v>
      </c>
      <c r="AE5994" s="2066"/>
      <c r="AF5994" s="2069"/>
    </row>
    <row r="5995" spans="1:32" ht="30" customHeight="1" x14ac:dyDescent="0.25">
      <c r="A5995" s="2017"/>
      <c r="B5995" s="2018"/>
      <c r="C5995" s="2018"/>
      <c r="D5995" s="2018"/>
      <c r="E5995" s="2018"/>
      <c r="F5995" s="2018"/>
      <c r="G5995" s="2018"/>
      <c r="H5995" s="2018"/>
      <c r="I5995" s="2018"/>
      <c r="J5995" s="2018"/>
      <c r="K5995" s="2018"/>
      <c r="L5995" s="2018"/>
      <c r="M5995" s="2018"/>
      <c r="N5995" s="2018"/>
      <c r="O5995" s="2018"/>
      <c r="P5995" s="2018"/>
      <c r="Q5995" s="2018"/>
      <c r="R5995" s="2018"/>
      <c r="S5995" s="2018"/>
      <c r="T5995" s="2018"/>
      <c r="U5995" s="2018"/>
      <c r="V5995" s="2018"/>
      <c r="W5995" s="2018"/>
      <c r="X5995" s="2018"/>
      <c r="Y5995" s="2018"/>
      <c r="Z5995" s="2021" t="s">
        <v>2573</v>
      </c>
      <c r="AA5995" s="2021"/>
      <c r="AB5995" s="1050">
        <v>8.3000000000000007</v>
      </c>
      <c r="AC5995" s="1050">
        <v>6.8</v>
      </c>
      <c r="AD5995" s="1050"/>
      <c r="AE5995" s="1050">
        <v>1</v>
      </c>
      <c r="AF5995" s="1052">
        <f>+ROUND(AB5995*AC5995,2)</f>
        <v>56.44</v>
      </c>
    </row>
    <row r="5996" spans="1:32" ht="15.6" customHeight="1" x14ac:dyDescent="0.25">
      <c r="A5996" s="2017"/>
      <c r="B5996" s="2018"/>
      <c r="C5996" s="2018"/>
      <c r="D5996" s="2018"/>
      <c r="E5996" s="2018"/>
      <c r="F5996" s="2018"/>
      <c r="G5996" s="2018"/>
      <c r="H5996" s="2018"/>
      <c r="I5996" s="2018"/>
      <c r="J5996" s="2018"/>
      <c r="K5996" s="2018"/>
      <c r="L5996" s="2018"/>
      <c r="M5996" s="2018"/>
      <c r="N5996" s="2018"/>
      <c r="O5996" s="2018"/>
      <c r="P5996" s="2018"/>
      <c r="Q5996" s="2018"/>
      <c r="R5996" s="2018"/>
      <c r="S5996" s="2018"/>
      <c r="T5996" s="2018"/>
      <c r="U5996" s="2018"/>
      <c r="V5996" s="2018"/>
      <c r="W5996" s="2018"/>
      <c r="X5996" s="2018"/>
      <c r="Y5996" s="2018"/>
      <c r="Z5996" s="2021"/>
      <c r="AA5996" s="2021"/>
      <c r="AB5996" s="1050"/>
      <c r="AC5996" s="1050"/>
      <c r="AD5996" s="1050"/>
      <c r="AE5996" s="1050"/>
      <c r="AF5996" s="1052"/>
    </row>
    <row r="5997" spans="1:32" ht="15.6" customHeight="1" x14ac:dyDescent="0.25">
      <c r="A5997" s="2017"/>
      <c r="B5997" s="2018"/>
      <c r="C5997" s="2018"/>
      <c r="D5997" s="2018"/>
      <c r="E5997" s="2018"/>
      <c r="F5997" s="2018"/>
      <c r="G5997" s="2018"/>
      <c r="H5997" s="2018"/>
      <c r="I5997" s="2018"/>
      <c r="J5997" s="2018"/>
      <c r="K5997" s="2018"/>
      <c r="L5997" s="2018"/>
      <c r="M5997" s="2018"/>
      <c r="N5997" s="2018"/>
      <c r="O5997" s="2018"/>
      <c r="P5997" s="2018"/>
      <c r="Q5997" s="2018"/>
      <c r="R5997" s="2018"/>
      <c r="S5997" s="2018"/>
      <c r="T5997" s="2018"/>
      <c r="U5997" s="2018"/>
      <c r="V5997" s="2018"/>
      <c r="W5997" s="2018"/>
      <c r="X5997" s="2018"/>
      <c r="Y5997" s="2018"/>
      <c r="Z5997" s="2021"/>
      <c r="AA5997" s="2021"/>
      <c r="AB5997" s="1050"/>
      <c r="AC5997" s="1050"/>
      <c r="AD5997" s="1050"/>
      <c r="AE5997" s="1050"/>
      <c r="AF5997" s="1052"/>
    </row>
    <row r="5998" spans="1:32" ht="15.75" x14ac:dyDescent="0.25">
      <c r="A5998" s="2017"/>
      <c r="B5998" s="2018"/>
      <c r="C5998" s="2018"/>
      <c r="D5998" s="2018"/>
      <c r="E5998" s="2018"/>
      <c r="F5998" s="2018"/>
      <c r="G5998" s="2018"/>
      <c r="H5998" s="2018"/>
      <c r="I5998" s="2018"/>
      <c r="J5998" s="2018"/>
      <c r="K5998" s="2018"/>
      <c r="L5998" s="2018"/>
      <c r="M5998" s="2018"/>
      <c r="N5998" s="2018"/>
      <c r="O5998" s="2018"/>
      <c r="P5998" s="2018"/>
      <c r="Q5998" s="2018"/>
      <c r="R5998" s="2018"/>
      <c r="S5998" s="2018"/>
      <c r="T5998" s="2018"/>
      <c r="U5998" s="2018"/>
      <c r="V5998" s="2018"/>
      <c r="W5998" s="2018"/>
      <c r="X5998" s="2018"/>
      <c r="Y5998" s="2018"/>
      <c r="Z5998" s="2021"/>
      <c r="AA5998" s="2021"/>
      <c r="AB5998" s="1050"/>
      <c r="AC5998" s="1050"/>
      <c r="AD5998" s="1050"/>
      <c r="AE5998" s="1050"/>
      <c r="AF5998" s="1052"/>
    </row>
    <row r="5999" spans="1:32" ht="15.6" customHeight="1" x14ac:dyDescent="0.25">
      <c r="A5999" s="2017"/>
      <c r="B5999" s="2018"/>
      <c r="C5999" s="2018"/>
      <c r="D5999" s="2018"/>
      <c r="E5999" s="2018"/>
      <c r="F5999" s="2018"/>
      <c r="G5999" s="2018"/>
      <c r="H5999" s="2018"/>
      <c r="I5999" s="2018"/>
      <c r="J5999" s="2018"/>
      <c r="K5999" s="2018"/>
      <c r="L5999" s="2018"/>
      <c r="M5999" s="2018"/>
      <c r="N5999" s="2018"/>
      <c r="O5999" s="2018"/>
      <c r="P5999" s="2018"/>
      <c r="Q5999" s="2018"/>
      <c r="R5999" s="2018"/>
      <c r="S5999" s="2018"/>
      <c r="T5999" s="2018"/>
      <c r="U5999" s="2018"/>
      <c r="V5999" s="2018"/>
      <c r="W5999" s="2018"/>
      <c r="X5999" s="2018"/>
      <c r="Y5999" s="2018"/>
      <c r="Z5999" s="2021"/>
      <c r="AA5999" s="2021"/>
      <c r="AB5999" s="1050"/>
      <c r="AC5999" s="1050"/>
      <c r="AD5999" s="1050"/>
      <c r="AE5999" s="1050"/>
      <c r="AF5999" s="1052"/>
    </row>
    <row r="6000" spans="1:32" ht="15.75" x14ac:dyDescent="0.25">
      <c r="A6000" s="2017"/>
      <c r="B6000" s="2018"/>
      <c r="C6000" s="2018"/>
      <c r="D6000" s="2018"/>
      <c r="E6000" s="2018"/>
      <c r="F6000" s="2018"/>
      <c r="G6000" s="2018"/>
      <c r="H6000" s="2018"/>
      <c r="I6000" s="2018"/>
      <c r="J6000" s="2018"/>
      <c r="K6000" s="2018"/>
      <c r="L6000" s="2018"/>
      <c r="M6000" s="2018"/>
      <c r="N6000" s="2018"/>
      <c r="O6000" s="2018"/>
      <c r="P6000" s="2018"/>
      <c r="Q6000" s="2018"/>
      <c r="R6000" s="2018"/>
      <c r="S6000" s="2018"/>
      <c r="T6000" s="2018"/>
      <c r="U6000" s="2018"/>
      <c r="V6000" s="2018"/>
      <c r="W6000" s="2018"/>
      <c r="X6000" s="2018"/>
      <c r="Y6000" s="2018"/>
      <c r="Z6000" s="2021"/>
      <c r="AA6000" s="2021"/>
      <c r="AB6000" s="1050"/>
      <c r="AC6000" s="1050"/>
      <c r="AD6000" s="1050"/>
      <c r="AE6000" s="1050"/>
      <c r="AF6000" s="1052"/>
    </row>
    <row r="6001" spans="1:32" ht="15.75" x14ac:dyDescent="0.25">
      <c r="A6001" s="2017"/>
      <c r="B6001" s="2018"/>
      <c r="C6001" s="2018"/>
      <c r="D6001" s="2018"/>
      <c r="E6001" s="2018"/>
      <c r="F6001" s="2018"/>
      <c r="G6001" s="2018"/>
      <c r="H6001" s="2018"/>
      <c r="I6001" s="2018"/>
      <c r="J6001" s="2018"/>
      <c r="K6001" s="2018"/>
      <c r="L6001" s="2018"/>
      <c r="M6001" s="2018"/>
      <c r="N6001" s="2018"/>
      <c r="O6001" s="2018"/>
      <c r="P6001" s="2018"/>
      <c r="Q6001" s="2018"/>
      <c r="R6001" s="2018"/>
      <c r="S6001" s="2018"/>
      <c r="T6001" s="2018"/>
      <c r="U6001" s="2018"/>
      <c r="V6001" s="2018"/>
      <c r="W6001" s="2018"/>
      <c r="X6001" s="2018"/>
      <c r="Y6001" s="2018"/>
      <c r="Z6001" s="2021"/>
      <c r="AA6001" s="2021"/>
      <c r="AB6001" s="1050"/>
      <c r="AC6001" s="1050"/>
      <c r="AD6001" s="1050"/>
      <c r="AE6001" s="1050"/>
      <c r="AF6001" s="1052"/>
    </row>
    <row r="6002" spans="1:32" ht="15.6" customHeight="1" x14ac:dyDescent="0.25">
      <c r="A6002" s="2017"/>
      <c r="B6002" s="2018"/>
      <c r="C6002" s="2018"/>
      <c r="D6002" s="2018"/>
      <c r="E6002" s="2018"/>
      <c r="F6002" s="2018"/>
      <c r="G6002" s="2018"/>
      <c r="H6002" s="2018"/>
      <c r="I6002" s="2018"/>
      <c r="J6002" s="2018"/>
      <c r="K6002" s="2018"/>
      <c r="L6002" s="2018"/>
      <c r="M6002" s="2018"/>
      <c r="N6002" s="2018"/>
      <c r="O6002" s="2018"/>
      <c r="P6002" s="2018"/>
      <c r="Q6002" s="2018"/>
      <c r="R6002" s="2018"/>
      <c r="S6002" s="2018"/>
      <c r="T6002" s="2018"/>
      <c r="U6002" s="2018"/>
      <c r="V6002" s="2018"/>
      <c r="W6002" s="2018"/>
      <c r="X6002" s="2018"/>
      <c r="Y6002" s="2018"/>
      <c r="Z6002" s="2021"/>
      <c r="AA6002" s="2021"/>
      <c r="AB6002" s="1050"/>
      <c r="AC6002" s="1050"/>
      <c r="AD6002" s="1050"/>
      <c r="AE6002" s="1050"/>
      <c r="AF6002" s="1052"/>
    </row>
    <row r="6003" spans="1:32" ht="15.75" x14ac:dyDescent="0.25">
      <c r="A6003" s="2017"/>
      <c r="B6003" s="2018"/>
      <c r="C6003" s="2018"/>
      <c r="D6003" s="2018"/>
      <c r="E6003" s="2018"/>
      <c r="F6003" s="2018"/>
      <c r="G6003" s="2018"/>
      <c r="H6003" s="2018"/>
      <c r="I6003" s="2018"/>
      <c r="J6003" s="2018"/>
      <c r="K6003" s="2018"/>
      <c r="L6003" s="2018"/>
      <c r="M6003" s="2018"/>
      <c r="N6003" s="2018"/>
      <c r="O6003" s="2018"/>
      <c r="P6003" s="2018"/>
      <c r="Q6003" s="2018"/>
      <c r="R6003" s="2018"/>
      <c r="S6003" s="2018"/>
      <c r="T6003" s="2018"/>
      <c r="U6003" s="2018"/>
      <c r="V6003" s="2018"/>
      <c r="W6003" s="2018"/>
      <c r="X6003" s="2018"/>
      <c r="Y6003" s="2018"/>
      <c r="Z6003" s="2022"/>
      <c r="AA6003" s="2022"/>
      <c r="AB6003" s="1050"/>
      <c r="AC6003" s="1050"/>
      <c r="AD6003" s="1050"/>
      <c r="AE6003" s="1050"/>
      <c r="AF6003" s="1052"/>
    </row>
    <row r="6004" spans="1:32" ht="15.75" x14ac:dyDescent="0.25">
      <c r="A6004" s="2017"/>
      <c r="B6004" s="2018"/>
      <c r="C6004" s="2018"/>
      <c r="D6004" s="2018"/>
      <c r="E6004" s="2018"/>
      <c r="F6004" s="2018"/>
      <c r="G6004" s="2018"/>
      <c r="H6004" s="2018"/>
      <c r="I6004" s="2018"/>
      <c r="J6004" s="2018"/>
      <c r="K6004" s="2018"/>
      <c r="L6004" s="2018"/>
      <c r="M6004" s="2018"/>
      <c r="N6004" s="2018"/>
      <c r="O6004" s="2018"/>
      <c r="P6004" s="2018"/>
      <c r="Q6004" s="2018"/>
      <c r="R6004" s="2018"/>
      <c r="S6004" s="2018"/>
      <c r="T6004" s="2018"/>
      <c r="U6004" s="2018"/>
      <c r="V6004" s="2018"/>
      <c r="W6004" s="2018"/>
      <c r="X6004" s="2018"/>
      <c r="Y6004" s="2018"/>
      <c r="Z6004" s="2022"/>
      <c r="AA6004" s="2022"/>
      <c r="AB6004" s="1050"/>
      <c r="AC6004" s="1050"/>
      <c r="AD6004" s="1050"/>
      <c r="AE6004" s="1050"/>
      <c r="AF6004" s="1052"/>
    </row>
    <row r="6005" spans="1:32" ht="15.75" x14ac:dyDescent="0.25">
      <c r="A6005" s="2017"/>
      <c r="B6005" s="2018"/>
      <c r="C6005" s="2018"/>
      <c r="D6005" s="2018"/>
      <c r="E6005" s="2018"/>
      <c r="F6005" s="2018"/>
      <c r="G6005" s="2018"/>
      <c r="H6005" s="2018"/>
      <c r="I6005" s="2018"/>
      <c r="J6005" s="2018"/>
      <c r="K6005" s="2018"/>
      <c r="L6005" s="2018"/>
      <c r="M6005" s="2018"/>
      <c r="N6005" s="2018"/>
      <c r="O6005" s="2018"/>
      <c r="P6005" s="2018"/>
      <c r="Q6005" s="2018"/>
      <c r="R6005" s="2018"/>
      <c r="S6005" s="2018"/>
      <c r="T6005" s="2018"/>
      <c r="U6005" s="2018"/>
      <c r="V6005" s="2018"/>
      <c r="W6005" s="2018"/>
      <c r="X6005" s="2018"/>
      <c r="Y6005" s="2018"/>
      <c r="Z6005" s="2022"/>
      <c r="AA6005" s="2022"/>
      <c r="AB6005" s="1050"/>
      <c r="AC6005" s="1050"/>
      <c r="AD6005" s="1050"/>
      <c r="AE6005" s="1050"/>
      <c r="AF6005" s="1052"/>
    </row>
    <row r="6006" spans="1:32" ht="15.6" customHeight="1" x14ac:dyDescent="0.25">
      <c r="A6006" s="2017"/>
      <c r="B6006" s="2018"/>
      <c r="C6006" s="2018"/>
      <c r="D6006" s="2018"/>
      <c r="E6006" s="2018"/>
      <c r="F6006" s="2018"/>
      <c r="G6006" s="2018"/>
      <c r="H6006" s="2018"/>
      <c r="I6006" s="2018"/>
      <c r="J6006" s="2018"/>
      <c r="K6006" s="2018"/>
      <c r="L6006" s="2018"/>
      <c r="M6006" s="2018"/>
      <c r="N6006" s="2018"/>
      <c r="O6006" s="2018"/>
      <c r="P6006" s="2018"/>
      <c r="Q6006" s="2018"/>
      <c r="R6006" s="2018"/>
      <c r="S6006" s="2018"/>
      <c r="T6006" s="2018"/>
      <c r="U6006" s="2018"/>
      <c r="V6006" s="2018"/>
      <c r="W6006" s="2018"/>
      <c r="X6006" s="2018"/>
      <c r="Y6006" s="2018"/>
      <c r="Z6006" s="2022"/>
      <c r="AA6006" s="2022"/>
      <c r="AB6006" s="1050"/>
      <c r="AC6006" s="1050"/>
      <c r="AD6006" s="1050"/>
      <c r="AE6006" s="1050"/>
      <c r="AF6006" s="1052"/>
    </row>
    <row r="6007" spans="1:32" ht="15.75" x14ac:dyDescent="0.25">
      <c r="A6007" s="2017"/>
      <c r="B6007" s="2018"/>
      <c r="C6007" s="2018"/>
      <c r="D6007" s="2018"/>
      <c r="E6007" s="2018"/>
      <c r="F6007" s="2018"/>
      <c r="G6007" s="2018"/>
      <c r="H6007" s="2018"/>
      <c r="I6007" s="2018"/>
      <c r="J6007" s="2018"/>
      <c r="K6007" s="2018"/>
      <c r="L6007" s="2018"/>
      <c r="M6007" s="2018"/>
      <c r="N6007" s="2018"/>
      <c r="O6007" s="2018"/>
      <c r="P6007" s="2018"/>
      <c r="Q6007" s="2018"/>
      <c r="R6007" s="2018"/>
      <c r="S6007" s="2018"/>
      <c r="T6007" s="2018"/>
      <c r="U6007" s="2018"/>
      <c r="V6007" s="2018"/>
      <c r="W6007" s="2018"/>
      <c r="X6007" s="2018"/>
      <c r="Y6007" s="2018"/>
      <c r="Z6007" s="2022"/>
      <c r="AA6007" s="2022"/>
      <c r="AB6007" s="1050"/>
      <c r="AC6007" s="1050"/>
      <c r="AD6007" s="1050"/>
      <c r="AE6007" s="1050"/>
      <c r="AF6007" s="1052"/>
    </row>
    <row r="6008" spans="1:32" ht="15.75" x14ac:dyDescent="0.25">
      <c r="A6008" s="2017"/>
      <c r="B6008" s="2018"/>
      <c r="C6008" s="2018"/>
      <c r="D6008" s="2018"/>
      <c r="E6008" s="2018"/>
      <c r="F6008" s="2018"/>
      <c r="G6008" s="2018"/>
      <c r="H6008" s="2018"/>
      <c r="I6008" s="2018"/>
      <c r="J6008" s="2018"/>
      <c r="K6008" s="2018"/>
      <c r="L6008" s="2018"/>
      <c r="M6008" s="2018"/>
      <c r="N6008" s="2018"/>
      <c r="O6008" s="2018"/>
      <c r="P6008" s="2018"/>
      <c r="Q6008" s="2018"/>
      <c r="R6008" s="2018"/>
      <c r="S6008" s="2018"/>
      <c r="T6008" s="2018"/>
      <c r="U6008" s="2018"/>
      <c r="V6008" s="2018"/>
      <c r="W6008" s="2018"/>
      <c r="X6008" s="2018"/>
      <c r="Y6008" s="2018"/>
      <c r="Z6008" s="2022"/>
      <c r="AA6008" s="2022"/>
      <c r="AB6008" s="1050"/>
      <c r="AC6008" s="1050"/>
      <c r="AD6008" s="1050"/>
      <c r="AE6008" s="1050"/>
      <c r="AF6008" s="1052"/>
    </row>
    <row r="6009" spans="1:32" ht="15.75" x14ac:dyDescent="0.25">
      <c r="A6009" s="2017"/>
      <c r="B6009" s="2018"/>
      <c r="C6009" s="2018"/>
      <c r="D6009" s="2018"/>
      <c r="E6009" s="2018"/>
      <c r="F6009" s="2018"/>
      <c r="G6009" s="2018"/>
      <c r="H6009" s="2018"/>
      <c r="I6009" s="2018"/>
      <c r="J6009" s="2018"/>
      <c r="K6009" s="2018"/>
      <c r="L6009" s="2018"/>
      <c r="M6009" s="2018"/>
      <c r="N6009" s="2018"/>
      <c r="O6009" s="2018"/>
      <c r="P6009" s="2018"/>
      <c r="Q6009" s="2018"/>
      <c r="R6009" s="2018"/>
      <c r="S6009" s="2018"/>
      <c r="T6009" s="2018"/>
      <c r="U6009" s="2018"/>
      <c r="V6009" s="2018"/>
      <c r="W6009" s="2018"/>
      <c r="X6009" s="2018"/>
      <c r="Y6009" s="2018"/>
      <c r="Z6009" s="2022"/>
      <c r="AA6009" s="2022"/>
      <c r="AB6009" s="1050"/>
      <c r="AC6009" s="1050"/>
      <c r="AD6009" s="1050"/>
      <c r="AE6009" s="1050"/>
      <c r="AF6009" s="1052"/>
    </row>
    <row r="6010" spans="1:32" ht="15.75" x14ac:dyDescent="0.25">
      <c r="A6010" s="2017"/>
      <c r="B6010" s="2018"/>
      <c r="C6010" s="2018"/>
      <c r="D6010" s="2018"/>
      <c r="E6010" s="2018"/>
      <c r="F6010" s="2018"/>
      <c r="G6010" s="2018"/>
      <c r="H6010" s="2018"/>
      <c r="I6010" s="2018"/>
      <c r="J6010" s="2018"/>
      <c r="K6010" s="2018"/>
      <c r="L6010" s="2018"/>
      <c r="M6010" s="2018"/>
      <c r="N6010" s="2018"/>
      <c r="O6010" s="2018"/>
      <c r="P6010" s="2018"/>
      <c r="Q6010" s="2018"/>
      <c r="R6010" s="2018"/>
      <c r="S6010" s="2018"/>
      <c r="T6010" s="2018"/>
      <c r="U6010" s="2018"/>
      <c r="V6010" s="2018"/>
      <c r="W6010" s="2018"/>
      <c r="X6010" s="2018"/>
      <c r="Y6010" s="2018"/>
      <c r="Z6010" s="2022"/>
      <c r="AA6010" s="2022"/>
      <c r="AB6010" s="1050"/>
      <c r="AC6010" s="1050"/>
      <c r="AD6010" s="1050"/>
      <c r="AE6010" s="1050"/>
      <c r="AF6010" s="1052"/>
    </row>
    <row r="6011" spans="1:32" ht="15.75" x14ac:dyDescent="0.25">
      <c r="A6011" s="2017"/>
      <c r="B6011" s="2018"/>
      <c r="C6011" s="2018"/>
      <c r="D6011" s="2018"/>
      <c r="E6011" s="2018"/>
      <c r="F6011" s="2018"/>
      <c r="G6011" s="2018"/>
      <c r="H6011" s="2018"/>
      <c r="I6011" s="2018"/>
      <c r="J6011" s="2018"/>
      <c r="K6011" s="2018"/>
      <c r="L6011" s="2018"/>
      <c r="M6011" s="2018"/>
      <c r="N6011" s="2018"/>
      <c r="O6011" s="2018"/>
      <c r="P6011" s="2018"/>
      <c r="Q6011" s="2018"/>
      <c r="R6011" s="2018"/>
      <c r="S6011" s="2018"/>
      <c r="T6011" s="2018"/>
      <c r="U6011" s="2018"/>
      <c r="V6011" s="2018"/>
      <c r="W6011" s="2018"/>
      <c r="X6011" s="2018"/>
      <c r="Y6011" s="2018"/>
      <c r="Z6011" s="2022"/>
      <c r="AA6011" s="2022"/>
      <c r="AB6011" s="1050"/>
      <c r="AC6011" s="1050"/>
      <c r="AD6011" s="1050"/>
      <c r="AE6011" s="1050"/>
      <c r="AF6011" s="1052"/>
    </row>
    <row r="6012" spans="1:32" ht="15.75" x14ac:dyDescent="0.25">
      <c r="A6012" s="2017"/>
      <c r="B6012" s="2018"/>
      <c r="C6012" s="2018"/>
      <c r="D6012" s="2018"/>
      <c r="E6012" s="2018"/>
      <c r="F6012" s="2018"/>
      <c r="G6012" s="2018"/>
      <c r="H6012" s="2018"/>
      <c r="I6012" s="2018"/>
      <c r="J6012" s="2018"/>
      <c r="K6012" s="2018"/>
      <c r="L6012" s="2018"/>
      <c r="M6012" s="2018"/>
      <c r="N6012" s="2018"/>
      <c r="O6012" s="2018"/>
      <c r="P6012" s="2018"/>
      <c r="Q6012" s="2018"/>
      <c r="R6012" s="2018"/>
      <c r="S6012" s="2018"/>
      <c r="T6012" s="2018"/>
      <c r="U6012" s="2018"/>
      <c r="V6012" s="2018"/>
      <c r="W6012" s="2018"/>
      <c r="X6012" s="2018"/>
      <c r="Y6012" s="2018"/>
      <c r="Z6012" s="2023"/>
      <c r="AA6012" s="2023"/>
      <c r="AB6012" s="1050"/>
      <c r="AC6012" s="1050"/>
      <c r="AD6012" s="1050"/>
      <c r="AE6012" s="1050"/>
      <c r="AF6012" s="1052"/>
    </row>
    <row r="6013" spans="1:32" ht="15.75" x14ac:dyDescent="0.25">
      <c r="A6013" s="2017"/>
      <c r="B6013" s="2018"/>
      <c r="C6013" s="2018"/>
      <c r="D6013" s="2018"/>
      <c r="E6013" s="2018"/>
      <c r="F6013" s="2018"/>
      <c r="G6013" s="2018"/>
      <c r="H6013" s="2018"/>
      <c r="I6013" s="2018"/>
      <c r="J6013" s="2018"/>
      <c r="K6013" s="2018"/>
      <c r="L6013" s="2018"/>
      <c r="M6013" s="2018"/>
      <c r="N6013" s="2018"/>
      <c r="O6013" s="2018"/>
      <c r="P6013" s="2018"/>
      <c r="Q6013" s="2018"/>
      <c r="R6013" s="2018"/>
      <c r="S6013" s="2018"/>
      <c r="T6013" s="2018"/>
      <c r="U6013" s="2018"/>
      <c r="V6013" s="2018"/>
      <c r="W6013" s="2018"/>
      <c r="X6013" s="2018"/>
      <c r="Y6013" s="2018"/>
      <c r="Z6013" s="2023"/>
      <c r="AA6013" s="2023"/>
      <c r="AB6013" s="1050"/>
      <c r="AC6013" s="1050"/>
      <c r="AD6013" s="1050"/>
      <c r="AE6013" s="1050"/>
      <c r="AF6013" s="1052"/>
    </row>
    <row r="6014" spans="1:32" ht="15.75" x14ac:dyDescent="0.25">
      <c r="A6014" s="2017"/>
      <c r="B6014" s="2018"/>
      <c r="C6014" s="2018"/>
      <c r="D6014" s="2018"/>
      <c r="E6014" s="2018"/>
      <c r="F6014" s="2018"/>
      <c r="G6014" s="2018"/>
      <c r="H6014" s="2018"/>
      <c r="I6014" s="2018"/>
      <c r="J6014" s="2018"/>
      <c r="K6014" s="2018"/>
      <c r="L6014" s="2018"/>
      <c r="M6014" s="2018"/>
      <c r="N6014" s="2018"/>
      <c r="O6014" s="2018"/>
      <c r="P6014" s="2018"/>
      <c r="Q6014" s="2018"/>
      <c r="R6014" s="2018"/>
      <c r="S6014" s="2018"/>
      <c r="T6014" s="2018"/>
      <c r="U6014" s="2018"/>
      <c r="V6014" s="2018"/>
      <c r="W6014" s="2018"/>
      <c r="X6014" s="2018"/>
      <c r="Y6014" s="2018"/>
      <c r="Z6014" s="2023"/>
      <c r="AA6014" s="2023"/>
      <c r="AB6014" s="1050"/>
      <c r="AC6014" s="1050"/>
      <c r="AD6014" s="1050"/>
      <c r="AE6014" s="1050"/>
      <c r="AF6014" s="1052"/>
    </row>
    <row r="6015" spans="1:32" ht="15.75" x14ac:dyDescent="0.25">
      <c r="A6015" s="2017"/>
      <c r="B6015" s="2018"/>
      <c r="C6015" s="2018"/>
      <c r="D6015" s="2018"/>
      <c r="E6015" s="2018"/>
      <c r="F6015" s="2018"/>
      <c r="G6015" s="2018"/>
      <c r="H6015" s="2018"/>
      <c r="I6015" s="2018"/>
      <c r="J6015" s="2018"/>
      <c r="K6015" s="2018"/>
      <c r="L6015" s="2018"/>
      <c r="M6015" s="2018"/>
      <c r="N6015" s="2018"/>
      <c r="O6015" s="2018"/>
      <c r="P6015" s="2018"/>
      <c r="Q6015" s="2018"/>
      <c r="R6015" s="2018"/>
      <c r="S6015" s="2018"/>
      <c r="T6015" s="2018"/>
      <c r="U6015" s="2018"/>
      <c r="V6015" s="2018"/>
      <c r="W6015" s="2018"/>
      <c r="X6015" s="2018"/>
      <c r="Y6015" s="2018"/>
      <c r="Z6015" s="2023"/>
      <c r="AA6015" s="2023"/>
      <c r="AB6015" s="1050"/>
      <c r="AC6015" s="1050"/>
      <c r="AD6015" s="1050"/>
      <c r="AE6015" s="1050"/>
      <c r="AF6015" s="1052"/>
    </row>
    <row r="6016" spans="1:32" ht="15.75" x14ac:dyDescent="0.25">
      <c r="A6016" s="2017"/>
      <c r="B6016" s="2018"/>
      <c r="C6016" s="2018"/>
      <c r="D6016" s="2018"/>
      <c r="E6016" s="2018"/>
      <c r="F6016" s="2018"/>
      <c r="G6016" s="2018"/>
      <c r="H6016" s="2018"/>
      <c r="I6016" s="2018"/>
      <c r="J6016" s="2018"/>
      <c r="K6016" s="2018"/>
      <c r="L6016" s="2018"/>
      <c r="M6016" s="2018"/>
      <c r="N6016" s="2018"/>
      <c r="O6016" s="2018"/>
      <c r="P6016" s="2018"/>
      <c r="Q6016" s="2018"/>
      <c r="R6016" s="2018"/>
      <c r="S6016" s="2018"/>
      <c r="T6016" s="2018"/>
      <c r="U6016" s="2018"/>
      <c r="V6016" s="2018"/>
      <c r="W6016" s="2018"/>
      <c r="X6016" s="2018"/>
      <c r="Y6016" s="2018"/>
      <c r="Z6016" s="2023"/>
      <c r="AA6016" s="2023"/>
      <c r="AB6016" s="1050"/>
      <c r="AC6016" s="1050"/>
      <c r="AD6016" s="1050"/>
      <c r="AE6016" s="1050"/>
      <c r="AF6016" s="1052"/>
    </row>
    <row r="6017" spans="1:32" ht="15.75" x14ac:dyDescent="0.25">
      <c r="A6017" s="2017"/>
      <c r="B6017" s="2018"/>
      <c r="C6017" s="2018"/>
      <c r="D6017" s="2018"/>
      <c r="E6017" s="2018"/>
      <c r="F6017" s="2018"/>
      <c r="G6017" s="2018"/>
      <c r="H6017" s="2018"/>
      <c r="I6017" s="2018"/>
      <c r="J6017" s="2018"/>
      <c r="K6017" s="2018"/>
      <c r="L6017" s="2018"/>
      <c r="M6017" s="2018"/>
      <c r="N6017" s="2018"/>
      <c r="O6017" s="2018"/>
      <c r="P6017" s="2018"/>
      <c r="Q6017" s="2018"/>
      <c r="R6017" s="2018"/>
      <c r="S6017" s="2018"/>
      <c r="T6017" s="2018"/>
      <c r="U6017" s="2018"/>
      <c r="V6017" s="2018"/>
      <c r="W6017" s="2018"/>
      <c r="X6017" s="2018"/>
      <c r="Y6017" s="2018"/>
      <c r="Z6017" s="2023"/>
      <c r="AA6017" s="2023"/>
      <c r="AB6017" s="1050"/>
      <c r="AC6017" s="1050"/>
      <c r="AD6017" s="1050"/>
      <c r="AE6017" s="1050"/>
      <c r="AF6017" s="1052"/>
    </row>
    <row r="6018" spans="1:32" ht="16.5" thickBot="1" x14ac:dyDescent="0.3">
      <c r="A6018" s="2019"/>
      <c r="B6018" s="2020"/>
      <c r="C6018" s="2020"/>
      <c r="D6018" s="2020"/>
      <c r="E6018" s="2020"/>
      <c r="F6018" s="2020"/>
      <c r="G6018" s="2020"/>
      <c r="H6018" s="2020"/>
      <c r="I6018" s="2020"/>
      <c r="J6018" s="2020"/>
      <c r="K6018" s="2020"/>
      <c r="L6018" s="2020"/>
      <c r="M6018" s="2020"/>
      <c r="N6018" s="2020"/>
      <c r="O6018" s="2020"/>
      <c r="P6018" s="2020"/>
      <c r="Q6018" s="2020"/>
      <c r="R6018" s="2020"/>
      <c r="S6018" s="2020"/>
      <c r="T6018" s="2020"/>
      <c r="U6018" s="2020"/>
      <c r="V6018" s="2020"/>
      <c r="W6018" s="2020"/>
      <c r="X6018" s="2020"/>
      <c r="Y6018" s="2020"/>
      <c r="Z6018" s="2024"/>
      <c r="AA6018" s="2024"/>
      <c r="AB6018" s="1057"/>
      <c r="AC6018" s="1057"/>
      <c r="AD6018" s="1057"/>
      <c r="AE6018" s="1057"/>
      <c r="AF6018" s="1058"/>
    </row>
    <row r="6019" spans="1:32" ht="15.75" x14ac:dyDescent="0.25">
      <c r="A6019" s="2009" t="s">
        <v>1855</v>
      </c>
      <c r="B6019" s="2010"/>
      <c r="C6019" s="2010"/>
      <c r="D6019" s="2010"/>
      <c r="E6019" s="2010"/>
      <c r="F6019" s="2010"/>
      <c r="G6019" s="2010"/>
      <c r="H6019" s="2010"/>
      <c r="I6019" s="2010"/>
      <c r="J6019" s="2010"/>
      <c r="K6019" s="2010"/>
      <c r="L6019" s="2010"/>
      <c r="M6019" s="2010"/>
      <c r="N6019" s="2010"/>
      <c r="O6019" s="2010"/>
      <c r="P6019" s="2010"/>
      <c r="Q6019" s="2010"/>
      <c r="R6019" s="2010"/>
      <c r="S6019" s="2010"/>
      <c r="T6019" s="2010"/>
      <c r="U6019" s="2010"/>
      <c r="V6019" s="2010"/>
      <c r="W6019" s="2010"/>
      <c r="X6019" s="2010"/>
      <c r="Y6019" s="2010"/>
      <c r="Z6019" s="2013" t="s">
        <v>1850</v>
      </c>
      <c r="AA6019" s="2013"/>
      <c r="AB6019" s="2013"/>
      <c r="AC6019" s="2013"/>
      <c r="AD6019" s="2013"/>
      <c r="AE6019" s="2013"/>
      <c r="AF6019" s="1059">
        <f>SUM(AF5995:AF6018)</f>
        <v>56.44</v>
      </c>
    </row>
    <row r="6020" spans="1:32" ht="15.75" x14ac:dyDescent="0.25">
      <c r="A6020" s="2011"/>
      <c r="B6020" s="2012"/>
      <c r="C6020" s="2012"/>
      <c r="D6020" s="2012"/>
      <c r="E6020" s="2012"/>
      <c r="F6020" s="2012"/>
      <c r="G6020" s="2012"/>
      <c r="H6020" s="2012"/>
      <c r="I6020" s="2012"/>
      <c r="J6020" s="2012"/>
      <c r="K6020" s="2012"/>
      <c r="L6020" s="2012"/>
      <c r="M6020" s="2012"/>
      <c r="N6020" s="2012"/>
      <c r="O6020" s="2012"/>
      <c r="P6020" s="2012"/>
      <c r="Q6020" s="2012"/>
      <c r="R6020" s="2012"/>
      <c r="S6020" s="2012"/>
      <c r="T6020" s="2012"/>
      <c r="U6020" s="2012"/>
      <c r="V6020" s="2012"/>
      <c r="W6020" s="2012"/>
      <c r="X6020" s="2012"/>
      <c r="Y6020" s="2012"/>
      <c r="Z6020" s="2014" t="s">
        <v>1851</v>
      </c>
      <c r="AA6020" s="2014"/>
      <c r="AB6020" s="2014"/>
      <c r="AC6020" s="2014"/>
      <c r="AD6020" s="2014"/>
      <c r="AE6020" s="2014"/>
      <c r="AF6020" s="1060">
        <v>0</v>
      </c>
    </row>
    <row r="6021" spans="1:32" ht="15.75" x14ac:dyDescent="0.25">
      <c r="A6021" s="2011"/>
      <c r="B6021" s="2012"/>
      <c r="C6021" s="2012"/>
      <c r="D6021" s="2012"/>
      <c r="E6021" s="2012"/>
      <c r="F6021" s="2012"/>
      <c r="G6021" s="2012"/>
      <c r="H6021" s="2012"/>
      <c r="I6021" s="2012"/>
      <c r="J6021" s="2012"/>
      <c r="K6021" s="2012"/>
      <c r="L6021" s="2012"/>
      <c r="M6021" s="2012"/>
      <c r="N6021" s="2012"/>
      <c r="O6021" s="2012"/>
      <c r="P6021" s="2012"/>
      <c r="Q6021" s="2012"/>
      <c r="R6021" s="2012"/>
      <c r="S6021" s="2012"/>
      <c r="T6021" s="2012"/>
      <c r="U6021" s="2012"/>
      <c r="V6021" s="2012"/>
      <c r="W6021" s="2012"/>
      <c r="X6021" s="2012"/>
      <c r="Y6021" s="2012"/>
      <c r="Z6021" s="2015" t="s">
        <v>1833</v>
      </c>
      <c r="AA6021" s="2015"/>
      <c r="AB6021" s="2015"/>
      <c r="AC6021" s="2015"/>
      <c r="AD6021" s="2015"/>
      <c r="AE6021" s="2015"/>
      <c r="AF6021" s="1061">
        <f>SUM(AF6019:AF6020)</f>
        <v>56.44</v>
      </c>
    </row>
    <row r="6022" spans="1:32" x14ac:dyDescent="0.2">
      <c r="A6022" s="2012" t="s">
        <v>1859</v>
      </c>
      <c r="B6022" s="2012"/>
      <c r="C6022" s="2012"/>
      <c r="D6022" s="2012"/>
      <c r="E6022" s="2012"/>
      <c r="F6022" s="2012"/>
      <c r="G6022" s="2012"/>
      <c r="H6022" s="2012"/>
      <c r="I6022" s="2012"/>
      <c r="J6022" s="2012"/>
      <c r="K6022" s="2012"/>
      <c r="L6022" s="2012"/>
      <c r="M6022" s="2012"/>
      <c r="N6022" s="2012"/>
      <c r="O6022" s="2012"/>
      <c r="P6022" s="2012"/>
      <c r="Q6022" s="2012"/>
      <c r="R6022" s="2012"/>
      <c r="S6022" s="2012"/>
      <c r="T6022" s="2016" t="s">
        <v>1840</v>
      </c>
      <c r="U6022" s="2016"/>
      <c r="V6022" s="2016"/>
      <c r="W6022" s="2016"/>
      <c r="X6022" s="2016"/>
      <c r="Y6022" s="2016"/>
      <c r="Z6022" s="2016"/>
      <c r="AA6022" s="2016"/>
      <c r="AB6022" s="2012" t="s">
        <v>1852</v>
      </c>
      <c r="AC6022" s="2012"/>
      <c r="AD6022" s="2012"/>
      <c r="AE6022" s="2012"/>
      <c r="AF6022" s="2012"/>
    </row>
    <row r="6023" spans="1:32" x14ac:dyDescent="0.2">
      <c r="A6023" s="2012"/>
      <c r="B6023" s="2012"/>
      <c r="C6023" s="2012"/>
      <c r="D6023" s="2012"/>
      <c r="E6023" s="2012"/>
      <c r="F6023" s="2012"/>
      <c r="G6023" s="2012"/>
      <c r="H6023" s="2012"/>
      <c r="I6023" s="2012"/>
      <c r="J6023" s="2012"/>
      <c r="K6023" s="2012"/>
      <c r="L6023" s="2012"/>
      <c r="M6023" s="2012"/>
      <c r="N6023" s="2012"/>
      <c r="O6023" s="2012"/>
      <c r="P6023" s="2012"/>
      <c r="Q6023" s="2012"/>
      <c r="R6023" s="2012"/>
      <c r="S6023" s="2012"/>
      <c r="T6023" s="2016"/>
      <c r="U6023" s="2016"/>
      <c r="V6023" s="2016"/>
      <c r="W6023" s="2016"/>
      <c r="X6023" s="2016"/>
      <c r="Y6023" s="2016"/>
      <c r="Z6023" s="2016"/>
      <c r="AA6023" s="2016"/>
      <c r="AB6023" s="2012"/>
      <c r="AC6023" s="2012"/>
      <c r="AD6023" s="2012"/>
      <c r="AE6023" s="2012"/>
      <c r="AF6023" s="2012"/>
    </row>
    <row r="6024" spans="1:32" ht="13.5" thickBot="1" x14ac:dyDescent="0.25"/>
    <row r="6025" spans="1:32" ht="26.45" customHeight="1" x14ac:dyDescent="0.2">
      <c r="A6025" s="2025" t="s">
        <v>1854</v>
      </c>
      <c r="B6025" s="2026"/>
      <c r="C6025" s="2026"/>
      <c r="D6025" s="2026"/>
      <c r="E6025" s="2026"/>
      <c r="F6025" s="2026"/>
      <c r="G6025" s="2026"/>
      <c r="H6025" s="2026"/>
      <c r="I6025" s="2026"/>
      <c r="J6025" s="2026"/>
      <c r="K6025" s="2026"/>
      <c r="L6025" s="2026"/>
      <c r="M6025" s="2026"/>
      <c r="N6025" s="2026"/>
      <c r="O6025" s="2026"/>
      <c r="P6025" s="2026"/>
      <c r="Q6025" s="2026"/>
      <c r="R6025" s="2026"/>
      <c r="S6025" s="2026"/>
      <c r="T6025" s="2026"/>
      <c r="U6025" s="2026"/>
      <c r="V6025" s="2026"/>
      <c r="W6025" s="2026"/>
      <c r="X6025" s="2026"/>
      <c r="Y6025" s="2026"/>
      <c r="Z6025" s="2026"/>
      <c r="AA6025" s="2026"/>
      <c r="AB6025" s="2026"/>
      <c r="AC6025" s="2026"/>
      <c r="AD6025" s="2026"/>
      <c r="AE6025" s="1041" t="s">
        <v>1834</v>
      </c>
      <c r="AF6025" s="1042" t="s">
        <v>1835</v>
      </c>
    </row>
    <row r="6026" spans="1:32" ht="21" customHeight="1" thickBot="1" x14ac:dyDescent="0.25">
      <c r="A6026" s="2027"/>
      <c r="B6026" s="2028"/>
      <c r="C6026" s="2028"/>
      <c r="D6026" s="2028"/>
      <c r="E6026" s="2028"/>
      <c r="F6026" s="2028"/>
      <c r="G6026" s="2028"/>
      <c r="H6026" s="2028"/>
      <c r="I6026" s="2028"/>
      <c r="J6026" s="2028"/>
      <c r="K6026" s="2028"/>
      <c r="L6026" s="2028"/>
      <c r="M6026" s="2028"/>
      <c r="N6026" s="2028"/>
      <c r="O6026" s="2028"/>
      <c r="P6026" s="2028"/>
      <c r="Q6026" s="2028"/>
      <c r="R6026" s="2028"/>
      <c r="S6026" s="2028"/>
      <c r="T6026" s="2028"/>
      <c r="U6026" s="2028"/>
      <c r="V6026" s="2028"/>
      <c r="W6026" s="2028"/>
      <c r="X6026" s="2028"/>
      <c r="Y6026" s="2028"/>
      <c r="Z6026" s="2028"/>
      <c r="AA6026" s="2028"/>
      <c r="AB6026" s="2028"/>
      <c r="AC6026" s="2028"/>
      <c r="AD6026" s="2028"/>
      <c r="AE6026" s="1041" t="s">
        <v>1836</v>
      </c>
      <c r="AF6026" s="1044">
        <v>1</v>
      </c>
    </row>
    <row r="6027" spans="1:32" ht="15.75" x14ac:dyDescent="0.2">
      <c r="A6027" s="2029"/>
      <c r="B6027" s="2030"/>
      <c r="C6027" s="2030"/>
      <c r="D6027" s="2031"/>
      <c r="E6027" s="2025" t="str">
        <f>'01'!$A$12</f>
        <v>"CONSTRUCCION SISTEMA DE ACUEDUCTO FASE II DEL MUNICIPIO DE TESALIA DPTO DEL HUILA"</v>
      </c>
      <c r="F6027" s="2026"/>
      <c r="G6027" s="2026"/>
      <c r="H6027" s="2026"/>
      <c r="I6027" s="2026"/>
      <c r="J6027" s="2026"/>
      <c r="K6027" s="2026"/>
      <c r="L6027" s="2026"/>
      <c r="M6027" s="2026"/>
      <c r="N6027" s="2026"/>
      <c r="O6027" s="2026"/>
      <c r="P6027" s="2026"/>
      <c r="Q6027" s="2026"/>
      <c r="R6027" s="2026"/>
      <c r="S6027" s="2026"/>
      <c r="T6027" s="2026"/>
      <c r="U6027" s="2026"/>
      <c r="V6027" s="2026"/>
      <c r="W6027" s="2026"/>
      <c r="X6027" s="2026"/>
      <c r="Y6027" s="2026"/>
      <c r="Z6027" s="2026"/>
      <c r="AA6027" s="2026"/>
      <c r="AB6027" s="2026"/>
      <c r="AC6027" s="2026"/>
      <c r="AD6027" s="2035"/>
      <c r="AE6027" s="1041" t="s">
        <v>847</v>
      </c>
      <c r="AF6027" s="1045">
        <f>'01'!$M$13</f>
        <v>0</v>
      </c>
    </row>
    <row r="6028" spans="1:32" ht="16.5" thickBot="1" x14ac:dyDescent="0.25">
      <c r="A6028" s="2032"/>
      <c r="B6028" s="2033"/>
      <c r="C6028" s="2033"/>
      <c r="D6028" s="2034"/>
      <c r="E6028" s="2027"/>
      <c r="F6028" s="2028"/>
      <c r="G6028" s="2028"/>
      <c r="H6028" s="2028"/>
      <c r="I6028" s="2028"/>
      <c r="J6028" s="2028"/>
      <c r="K6028" s="2028"/>
      <c r="L6028" s="2028"/>
      <c r="M6028" s="2028"/>
      <c r="N6028" s="2028"/>
      <c r="O6028" s="2028"/>
      <c r="P6028" s="2028"/>
      <c r="Q6028" s="2028"/>
      <c r="R6028" s="2028"/>
      <c r="S6028" s="2028"/>
      <c r="T6028" s="2028"/>
      <c r="U6028" s="2028"/>
      <c r="V6028" s="2028"/>
      <c r="W6028" s="2028"/>
      <c r="X6028" s="2028"/>
      <c r="Y6028" s="2028"/>
      <c r="Z6028" s="2028"/>
      <c r="AA6028" s="2028"/>
      <c r="AB6028" s="2028"/>
      <c r="AC6028" s="2028"/>
      <c r="AD6028" s="2036"/>
      <c r="AE6028" s="1041" t="s">
        <v>1837</v>
      </c>
      <c r="AF6028" s="1042" t="s">
        <v>1838</v>
      </c>
    </row>
    <row r="6029" spans="1:32" ht="15.75" x14ac:dyDescent="0.25">
      <c r="A6029" s="2037" t="s">
        <v>1860</v>
      </c>
      <c r="B6029" s="2038"/>
      <c r="C6029" s="2038"/>
      <c r="D6029" s="2038"/>
      <c r="E6029" s="2038"/>
      <c r="F6029" s="2038"/>
      <c r="G6029" s="2038"/>
      <c r="H6029" s="2038"/>
      <c r="I6029" s="2038"/>
      <c r="J6029" s="2038"/>
      <c r="K6029" s="2038"/>
      <c r="L6029" s="2038"/>
      <c r="M6029" s="2038"/>
      <c r="N6029" s="2038"/>
      <c r="O6029" s="2038"/>
      <c r="P6029" s="2038"/>
      <c r="Q6029" s="2038"/>
      <c r="R6029" s="2038"/>
      <c r="S6029" s="2038"/>
      <c r="T6029" s="2038"/>
      <c r="U6029" s="2038"/>
      <c r="V6029" s="2038"/>
      <c r="W6029" s="2038"/>
      <c r="X6029" s="2038"/>
      <c r="Y6029" s="2038"/>
      <c r="Z6029" s="2038"/>
      <c r="AA6029" s="2038"/>
      <c r="AB6029" s="2038"/>
      <c r="AC6029" s="2038"/>
      <c r="AD6029" s="2038"/>
      <c r="AE6029" s="2039" t="s">
        <v>1839</v>
      </c>
      <c r="AF6029" s="2040"/>
    </row>
    <row r="6030" spans="1:32" ht="15.75" x14ac:dyDescent="0.25">
      <c r="A6030" s="2041" t="s">
        <v>1840</v>
      </c>
      <c r="B6030" s="2042"/>
      <c r="C6030" s="2042"/>
      <c r="D6030" s="2042"/>
      <c r="E6030" s="2042"/>
      <c r="F6030" s="2042"/>
      <c r="G6030" s="2042"/>
      <c r="H6030" s="2042"/>
      <c r="I6030" s="2042"/>
      <c r="J6030" s="2042"/>
      <c r="K6030" s="2042"/>
      <c r="L6030" s="2042"/>
      <c r="M6030" s="2042"/>
      <c r="N6030" s="2042"/>
      <c r="O6030" s="2042"/>
      <c r="P6030" s="2042"/>
      <c r="Q6030" s="2042"/>
      <c r="R6030" s="2042"/>
      <c r="S6030" s="2042"/>
      <c r="T6030" s="2042"/>
      <c r="U6030" s="2042"/>
      <c r="V6030" s="2042"/>
      <c r="W6030" s="2042"/>
      <c r="X6030" s="2042"/>
      <c r="Y6030" s="2042"/>
      <c r="Z6030" s="2042"/>
      <c r="AA6030" s="2042"/>
      <c r="AB6030" s="2042"/>
      <c r="AC6030" s="2042"/>
      <c r="AD6030" s="2043"/>
      <c r="AE6030" s="2014" t="s">
        <v>1841</v>
      </c>
      <c r="AF6030" s="2044"/>
    </row>
    <row r="6031" spans="1:32" ht="15.75" x14ac:dyDescent="0.25">
      <c r="A6031" s="2045" t="s">
        <v>1853</v>
      </c>
      <c r="B6031" s="2046"/>
      <c r="C6031" s="2046"/>
      <c r="D6031" s="2046"/>
      <c r="E6031" s="2046"/>
      <c r="F6031" s="2046"/>
      <c r="G6031" s="2046"/>
      <c r="H6031" s="2046"/>
      <c r="I6031" s="2046"/>
      <c r="J6031" s="2046"/>
      <c r="K6031" s="2046"/>
      <c r="L6031" s="2046"/>
      <c r="M6031" s="2046"/>
      <c r="N6031" s="2046"/>
      <c r="O6031" s="2046"/>
      <c r="P6031" s="2046"/>
      <c r="Q6031" s="2046"/>
      <c r="R6031" s="2046"/>
      <c r="S6031" s="2046"/>
      <c r="T6031" s="2046"/>
      <c r="U6031" s="2046"/>
      <c r="V6031" s="2046"/>
      <c r="W6031" s="2046"/>
      <c r="X6031" s="2046"/>
      <c r="Y6031" s="2046"/>
      <c r="Z6031" s="2046"/>
      <c r="AA6031" s="2046"/>
      <c r="AB6031" s="2046"/>
      <c r="AC6031" s="2046"/>
      <c r="AD6031" s="2046"/>
      <c r="AE6031" s="2047">
        <f>'01'!$M$13</f>
        <v>0</v>
      </c>
      <c r="AF6031" s="2044"/>
    </row>
    <row r="6032" spans="1:32" x14ac:dyDescent="0.2">
      <c r="A6032" s="1046"/>
      <c r="B6032" s="1047"/>
      <c r="C6032" s="1047"/>
      <c r="D6032" s="1047"/>
      <c r="E6032" s="1047"/>
      <c r="F6032" s="1047"/>
      <c r="G6032" s="1047"/>
      <c r="H6032" s="1047"/>
      <c r="I6032" s="1047"/>
      <c r="J6032" s="1047"/>
      <c r="K6032" s="1047"/>
      <c r="L6032" s="1047"/>
      <c r="M6032" s="1047"/>
      <c r="N6032" s="1047"/>
      <c r="O6032" s="1047"/>
      <c r="P6032" s="1047"/>
      <c r="Q6032" s="1047"/>
      <c r="R6032" s="1047"/>
      <c r="S6032" s="1047"/>
      <c r="T6032" s="1047"/>
      <c r="U6032" s="1047"/>
      <c r="V6032" s="1047"/>
      <c r="W6032" s="1047"/>
      <c r="X6032" s="1047"/>
      <c r="Y6032" s="1047"/>
      <c r="Z6032" s="1047"/>
      <c r="AA6032" s="1047"/>
      <c r="AB6032" s="1047"/>
      <c r="AC6032" s="1047"/>
      <c r="AD6032" s="1047"/>
      <c r="AE6032" s="1047"/>
      <c r="AF6032" s="1048"/>
    </row>
    <row r="6033" spans="1:32" ht="30" customHeight="1" x14ac:dyDescent="0.2">
      <c r="A6033" s="2048" t="s">
        <v>1842</v>
      </c>
      <c r="B6033" s="2049"/>
      <c r="C6033" s="2049"/>
      <c r="D6033" s="2049"/>
      <c r="E6033" s="2049"/>
      <c r="F6033" s="2050" t="str">
        <f>+'01'!$H$247</f>
        <v>J - CASETA DE OPERACIONES</v>
      </c>
      <c r="G6033" s="2049"/>
      <c r="H6033" s="2049"/>
      <c r="I6033" s="2049"/>
      <c r="J6033" s="2049"/>
      <c r="K6033" s="2049"/>
      <c r="L6033" s="2049"/>
      <c r="M6033" s="2049"/>
      <c r="N6033" s="2049"/>
      <c r="O6033" s="2049"/>
      <c r="P6033" s="2049"/>
      <c r="Q6033" s="2049"/>
      <c r="R6033" s="2049"/>
      <c r="S6033" s="2049"/>
      <c r="T6033" s="2049"/>
      <c r="U6033" s="2049"/>
      <c r="V6033" s="2049"/>
      <c r="W6033" s="2049"/>
      <c r="X6033" s="2049"/>
      <c r="Y6033" s="2051"/>
      <c r="Z6033" s="2052" t="s">
        <v>1843</v>
      </c>
      <c r="AA6033" s="2053"/>
      <c r="AB6033" s="2058" t="s">
        <v>1844</v>
      </c>
      <c r="AC6033" s="2059"/>
      <c r="AD6033" s="2060"/>
      <c r="AE6033" s="2064" t="s">
        <v>1845</v>
      </c>
      <c r="AF6033" s="2067" t="s">
        <v>1846</v>
      </c>
    </row>
    <row r="6034" spans="1:32" ht="15" customHeight="1" x14ac:dyDescent="0.2">
      <c r="A6034" s="2070" t="str">
        <f>+'01'!A251</f>
        <v>J-02-01</v>
      </c>
      <c r="B6034" s="2071"/>
      <c r="C6034" s="2072"/>
      <c r="D6034" s="2076" t="str">
        <f>VLOOKUP(A6034,'01'!$A$12:$N$299,3,FALSE)</f>
        <v>EXCAVACIÓN MANUAL EN TIERRA</v>
      </c>
      <c r="E6034" s="2077"/>
      <c r="F6034" s="2077"/>
      <c r="G6034" s="2077"/>
      <c r="H6034" s="2077"/>
      <c r="I6034" s="2077"/>
      <c r="J6034" s="2077"/>
      <c r="K6034" s="2077"/>
      <c r="L6034" s="2077"/>
      <c r="M6034" s="2077"/>
      <c r="N6034" s="2077"/>
      <c r="O6034" s="2077"/>
      <c r="P6034" s="2077"/>
      <c r="Q6034" s="2077"/>
      <c r="R6034" s="2077"/>
      <c r="S6034" s="2078"/>
      <c r="T6034" s="2082" t="s">
        <v>124</v>
      </c>
      <c r="U6034" s="2083"/>
      <c r="V6034" s="2083"/>
      <c r="W6034" s="2083"/>
      <c r="X6034" s="2052" t="str">
        <f>VLOOKUP(A6034,'01'!$A$12:$N$299,9,FALSE)</f>
        <v>M3</v>
      </c>
      <c r="Y6034" s="2053"/>
      <c r="Z6034" s="2054"/>
      <c r="AA6034" s="2055"/>
      <c r="AB6034" s="2061"/>
      <c r="AC6034" s="2062"/>
      <c r="AD6034" s="2063"/>
      <c r="AE6034" s="2065"/>
      <c r="AF6034" s="2068"/>
    </row>
    <row r="6035" spans="1:32" ht="15" customHeight="1" x14ac:dyDescent="0.25">
      <c r="A6035" s="2073"/>
      <c r="B6035" s="2074"/>
      <c r="C6035" s="2075"/>
      <c r="D6035" s="2079"/>
      <c r="E6035" s="2080"/>
      <c r="F6035" s="2080"/>
      <c r="G6035" s="2080"/>
      <c r="H6035" s="2080"/>
      <c r="I6035" s="2080"/>
      <c r="J6035" s="2080"/>
      <c r="K6035" s="2080"/>
      <c r="L6035" s="2080"/>
      <c r="M6035" s="2080"/>
      <c r="N6035" s="2080"/>
      <c r="O6035" s="2080"/>
      <c r="P6035" s="2080"/>
      <c r="Q6035" s="2080"/>
      <c r="R6035" s="2080"/>
      <c r="S6035" s="2081"/>
      <c r="T6035" s="2084"/>
      <c r="U6035" s="2085"/>
      <c r="V6035" s="2085"/>
      <c r="W6035" s="2085"/>
      <c r="X6035" s="2056"/>
      <c r="Y6035" s="2057"/>
      <c r="Z6035" s="2056"/>
      <c r="AA6035" s="2057"/>
      <c r="AB6035" s="1049" t="s">
        <v>1847</v>
      </c>
      <c r="AC6035" s="1049" t="s">
        <v>1848</v>
      </c>
      <c r="AD6035" s="1049" t="s">
        <v>1861</v>
      </c>
      <c r="AE6035" s="2066"/>
      <c r="AF6035" s="2069"/>
    </row>
    <row r="6036" spans="1:32" ht="30" customHeight="1" x14ac:dyDescent="0.25">
      <c r="A6036" s="2017"/>
      <c r="B6036" s="2018"/>
      <c r="C6036" s="2018"/>
      <c r="D6036" s="2018"/>
      <c r="E6036" s="2018"/>
      <c r="F6036" s="2018"/>
      <c r="G6036" s="2018"/>
      <c r="H6036" s="2018"/>
      <c r="I6036" s="2018"/>
      <c r="J6036" s="2018"/>
      <c r="K6036" s="2018"/>
      <c r="L6036" s="2018"/>
      <c r="M6036" s="2018"/>
      <c r="N6036" s="2018"/>
      <c r="O6036" s="2018"/>
      <c r="P6036" s="2018"/>
      <c r="Q6036" s="2018"/>
      <c r="R6036" s="2018"/>
      <c r="S6036" s="2018"/>
      <c r="T6036" s="2018"/>
      <c r="U6036" s="2018"/>
      <c r="V6036" s="2018"/>
      <c r="W6036" s="2018"/>
      <c r="X6036" s="2018"/>
      <c r="Y6036" s="2018"/>
      <c r="Z6036" s="2021"/>
      <c r="AA6036" s="2021"/>
      <c r="AB6036" s="1050"/>
      <c r="AC6036" s="1050"/>
      <c r="AD6036" s="1050"/>
      <c r="AE6036" s="1050"/>
      <c r="AF6036" s="1052"/>
    </row>
    <row r="6037" spans="1:32" ht="15.6" customHeight="1" x14ac:dyDescent="0.25">
      <c r="A6037" s="2017"/>
      <c r="B6037" s="2018"/>
      <c r="C6037" s="2018"/>
      <c r="D6037" s="2018"/>
      <c r="E6037" s="2018"/>
      <c r="F6037" s="2018"/>
      <c r="G6037" s="2018"/>
      <c r="H6037" s="2018"/>
      <c r="I6037" s="2018"/>
      <c r="J6037" s="2018"/>
      <c r="K6037" s="2018"/>
      <c r="L6037" s="2018"/>
      <c r="M6037" s="2018"/>
      <c r="N6037" s="2018"/>
      <c r="O6037" s="2018"/>
      <c r="P6037" s="2018"/>
      <c r="Q6037" s="2018"/>
      <c r="R6037" s="2018"/>
      <c r="S6037" s="2018"/>
      <c r="T6037" s="2018"/>
      <c r="U6037" s="2018"/>
      <c r="V6037" s="2018"/>
      <c r="W6037" s="2018"/>
      <c r="X6037" s="2018"/>
      <c r="Y6037" s="2018"/>
      <c r="Z6037" s="2021"/>
      <c r="AA6037" s="2021"/>
      <c r="AB6037" s="1050"/>
      <c r="AC6037" s="1050"/>
      <c r="AD6037" s="1050"/>
      <c r="AE6037" s="1050"/>
      <c r="AF6037" s="1052"/>
    </row>
    <row r="6038" spans="1:32" ht="15.6" customHeight="1" x14ac:dyDescent="0.25">
      <c r="A6038" s="2017"/>
      <c r="B6038" s="2018"/>
      <c r="C6038" s="2018"/>
      <c r="D6038" s="2018"/>
      <c r="E6038" s="2018"/>
      <c r="F6038" s="2018"/>
      <c r="G6038" s="2018"/>
      <c r="H6038" s="2018"/>
      <c r="I6038" s="2018"/>
      <c r="J6038" s="2018"/>
      <c r="K6038" s="2018"/>
      <c r="L6038" s="2018"/>
      <c r="M6038" s="2018"/>
      <c r="N6038" s="2018"/>
      <c r="O6038" s="2018"/>
      <c r="P6038" s="2018"/>
      <c r="Q6038" s="2018"/>
      <c r="R6038" s="2018"/>
      <c r="S6038" s="2018"/>
      <c r="T6038" s="2018"/>
      <c r="U6038" s="2018"/>
      <c r="V6038" s="2018"/>
      <c r="W6038" s="2018"/>
      <c r="X6038" s="2018"/>
      <c r="Y6038" s="2018"/>
      <c r="Z6038" s="2021"/>
      <c r="AA6038" s="2021"/>
      <c r="AB6038" s="1050"/>
      <c r="AC6038" s="1050"/>
      <c r="AD6038" s="1050"/>
      <c r="AE6038" s="1050"/>
      <c r="AF6038" s="1052"/>
    </row>
    <row r="6039" spans="1:32" ht="15.75" x14ac:dyDescent="0.25">
      <c r="A6039" s="2017"/>
      <c r="B6039" s="2018"/>
      <c r="C6039" s="2018"/>
      <c r="D6039" s="2018"/>
      <c r="E6039" s="2018"/>
      <c r="F6039" s="2018"/>
      <c r="G6039" s="2018"/>
      <c r="H6039" s="2018"/>
      <c r="I6039" s="2018"/>
      <c r="J6039" s="2018"/>
      <c r="K6039" s="2018"/>
      <c r="L6039" s="2018"/>
      <c r="M6039" s="2018"/>
      <c r="N6039" s="2018"/>
      <c r="O6039" s="2018"/>
      <c r="P6039" s="2018"/>
      <c r="Q6039" s="2018"/>
      <c r="R6039" s="2018"/>
      <c r="S6039" s="2018"/>
      <c r="T6039" s="2018"/>
      <c r="U6039" s="2018"/>
      <c r="V6039" s="2018"/>
      <c r="W6039" s="2018"/>
      <c r="X6039" s="2018"/>
      <c r="Y6039" s="2018"/>
      <c r="Z6039" s="2021"/>
      <c r="AA6039" s="2021"/>
      <c r="AB6039" s="1050"/>
      <c r="AC6039" s="1050"/>
      <c r="AD6039" s="1050"/>
      <c r="AE6039" s="1050"/>
      <c r="AF6039" s="1052"/>
    </row>
    <row r="6040" spans="1:32" ht="15.6" customHeight="1" x14ac:dyDescent="0.25">
      <c r="A6040" s="2017"/>
      <c r="B6040" s="2018"/>
      <c r="C6040" s="2018"/>
      <c r="D6040" s="2018"/>
      <c r="E6040" s="2018"/>
      <c r="F6040" s="2018"/>
      <c r="G6040" s="2018"/>
      <c r="H6040" s="2018"/>
      <c r="I6040" s="2018"/>
      <c r="J6040" s="2018"/>
      <c r="K6040" s="2018"/>
      <c r="L6040" s="2018"/>
      <c r="M6040" s="2018"/>
      <c r="N6040" s="2018"/>
      <c r="O6040" s="2018"/>
      <c r="P6040" s="2018"/>
      <c r="Q6040" s="2018"/>
      <c r="R6040" s="2018"/>
      <c r="S6040" s="2018"/>
      <c r="T6040" s="2018"/>
      <c r="U6040" s="2018"/>
      <c r="V6040" s="2018"/>
      <c r="W6040" s="2018"/>
      <c r="X6040" s="2018"/>
      <c r="Y6040" s="2018"/>
      <c r="Z6040" s="2021"/>
      <c r="AA6040" s="2021"/>
      <c r="AB6040" s="1050"/>
      <c r="AC6040" s="1050"/>
      <c r="AD6040" s="1050"/>
      <c r="AE6040" s="1050"/>
      <c r="AF6040" s="1052"/>
    </row>
    <row r="6041" spans="1:32" ht="15.75" x14ac:dyDescent="0.25">
      <c r="A6041" s="2017"/>
      <c r="B6041" s="2018"/>
      <c r="C6041" s="2018"/>
      <c r="D6041" s="2018"/>
      <c r="E6041" s="2018"/>
      <c r="F6041" s="2018"/>
      <c r="G6041" s="2018"/>
      <c r="H6041" s="2018"/>
      <c r="I6041" s="2018"/>
      <c r="J6041" s="2018"/>
      <c r="K6041" s="2018"/>
      <c r="L6041" s="2018"/>
      <c r="M6041" s="2018"/>
      <c r="N6041" s="2018"/>
      <c r="O6041" s="2018"/>
      <c r="P6041" s="2018"/>
      <c r="Q6041" s="2018"/>
      <c r="R6041" s="2018"/>
      <c r="S6041" s="2018"/>
      <c r="T6041" s="2018"/>
      <c r="U6041" s="2018"/>
      <c r="V6041" s="2018"/>
      <c r="W6041" s="2018"/>
      <c r="X6041" s="2018"/>
      <c r="Y6041" s="2018"/>
      <c r="Z6041" s="2021"/>
      <c r="AA6041" s="2021"/>
      <c r="AB6041" s="1050"/>
      <c r="AC6041" s="1050"/>
      <c r="AD6041" s="1050"/>
      <c r="AE6041" s="1050"/>
      <c r="AF6041" s="1052"/>
    </row>
    <row r="6042" spans="1:32" ht="15.75" x14ac:dyDescent="0.25">
      <c r="A6042" s="2017"/>
      <c r="B6042" s="2018"/>
      <c r="C6042" s="2018"/>
      <c r="D6042" s="2018"/>
      <c r="E6042" s="2018"/>
      <c r="F6042" s="2018"/>
      <c r="G6042" s="2018"/>
      <c r="H6042" s="2018"/>
      <c r="I6042" s="2018"/>
      <c r="J6042" s="2018"/>
      <c r="K6042" s="2018"/>
      <c r="L6042" s="2018"/>
      <c r="M6042" s="2018"/>
      <c r="N6042" s="2018"/>
      <c r="O6042" s="2018"/>
      <c r="P6042" s="2018"/>
      <c r="Q6042" s="2018"/>
      <c r="R6042" s="2018"/>
      <c r="S6042" s="2018"/>
      <c r="T6042" s="2018"/>
      <c r="U6042" s="2018"/>
      <c r="V6042" s="2018"/>
      <c r="W6042" s="2018"/>
      <c r="X6042" s="2018"/>
      <c r="Y6042" s="2018"/>
      <c r="Z6042" s="2021"/>
      <c r="AA6042" s="2021"/>
      <c r="AB6042" s="1050"/>
      <c r="AC6042" s="1050"/>
      <c r="AD6042" s="1050"/>
      <c r="AE6042" s="1050"/>
      <c r="AF6042" s="1052"/>
    </row>
    <row r="6043" spans="1:32" ht="15.6" customHeight="1" x14ac:dyDescent="0.25">
      <c r="A6043" s="2017"/>
      <c r="B6043" s="2018"/>
      <c r="C6043" s="2018"/>
      <c r="D6043" s="2018"/>
      <c r="E6043" s="2018"/>
      <c r="F6043" s="2018"/>
      <c r="G6043" s="2018"/>
      <c r="H6043" s="2018"/>
      <c r="I6043" s="2018"/>
      <c r="J6043" s="2018"/>
      <c r="K6043" s="2018"/>
      <c r="L6043" s="2018"/>
      <c r="M6043" s="2018"/>
      <c r="N6043" s="2018"/>
      <c r="O6043" s="2018"/>
      <c r="P6043" s="2018"/>
      <c r="Q6043" s="2018"/>
      <c r="R6043" s="2018"/>
      <c r="S6043" s="2018"/>
      <c r="T6043" s="2018"/>
      <c r="U6043" s="2018"/>
      <c r="V6043" s="2018"/>
      <c r="W6043" s="2018"/>
      <c r="X6043" s="2018"/>
      <c r="Y6043" s="2018"/>
      <c r="Z6043" s="2021"/>
      <c r="AA6043" s="2021"/>
      <c r="AB6043" s="1050"/>
      <c r="AC6043" s="1050"/>
      <c r="AD6043" s="1050"/>
      <c r="AE6043" s="1050"/>
      <c r="AF6043" s="1052"/>
    </row>
    <row r="6044" spans="1:32" ht="15.75" x14ac:dyDescent="0.25">
      <c r="A6044" s="2017"/>
      <c r="B6044" s="2018"/>
      <c r="C6044" s="2018"/>
      <c r="D6044" s="2018"/>
      <c r="E6044" s="2018"/>
      <c r="F6044" s="2018"/>
      <c r="G6044" s="2018"/>
      <c r="H6044" s="2018"/>
      <c r="I6044" s="2018"/>
      <c r="J6044" s="2018"/>
      <c r="K6044" s="2018"/>
      <c r="L6044" s="2018"/>
      <c r="M6044" s="2018"/>
      <c r="N6044" s="2018"/>
      <c r="O6044" s="2018"/>
      <c r="P6044" s="2018"/>
      <c r="Q6044" s="2018"/>
      <c r="R6044" s="2018"/>
      <c r="S6044" s="2018"/>
      <c r="T6044" s="2018"/>
      <c r="U6044" s="2018"/>
      <c r="V6044" s="2018"/>
      <c r="W6044" s="2018"/>
      <c r="X6044" s="2018"/>
      <c r="Y6044" s="2018"/>
      <c r="Z6044" s="2022"/>
      <c r="AA6044" s="2022"/>
      <c r="AB6044" s="1050"/>
      <c r="AC6044" s="1050"/>
      <c r="AD6044" s="1050"/>
      <c r="AE6044" s="1050"/>
      <c r="AF6044" s="1052"/>
    </row>
    <row r="6045" spans="1:32" ht="15.75" x14ac:dyDescent="0.25">
      <c r="A6045" s="2017"/>
      <c r="B6045" s="2018"/>
      <c r="C6045" s="2018"/>
      <c r="D6045" s="2018"/>
      <c r="E6045" s="2018"/>
      <c r="F6045" s="2018"/>
      <c r="G6045" s="2018"/>
      <c r="H6045" s="2018"/>
      <c r="I6045" s="2018"/>
      <c r="J6045" s="2018"/>
      <c r="K6045" s="2018"/>
      <c r="L6045" s="2018"/>
      <c r="M6045" s="2018"/>
      <c r="N6045" s="2018"/>
      <c r="O6045" s="2018"/>
      <c r="P6045" s="2018"/>
      <c r="Q6045" s="2018"/>
      <c r="R6045" s="2018"/>
      <c r="S6045" s="2018"/>
      <c r="T6045" s="2018"/>
      <c r="U6045" s="2018"/>
      <c r="V6045" s="2018"/>
      <c r="W6045" s="2018"/>
      <c r="X6045" s="2018"/>
      <c r="Y6045" s="2018"/>
      <c r="Z6045" s="2022"/>
      <c r="AA6045" s="2022"/>
      <c r="AB6045" s="1050"/>
      <c r="AC6045" s="1050"/>
      <c r="AD6045" s="1050"/>
      <c r="AE6045" s="1050"/>
      <c r="AF6045" s="1052"/>
    </row>
    <row r="6046" spans="1:32" ht="15.75" x14ac:dyDescent="0.25">
      <c r="A6046" s="2017"/>
      <c r="B6046" s="2018"/>
      <c r="C6046" s="2018"/>
      <c r="D6046" s="2018"/>
      <c r="E6046" s="2018"/>
      <c r="F6046" s="2018"/>
      <c r="G6046" s="2018"/>
      <c r="H6046" s="2018"/>
      <c r="I6046" s="2018"/>
      <c r="J6046" s="2018"/>
      <c r="K6046" s="2018"/>
      <c r="L6046" s="2018"/>
      <c r="M6046" s="2018"/>
      <c r="N6046" s="2018"/>
      <c r="O6046" s="2018"/>
      <c r="P6046" s="2018"/>
      <c r="Q6046" s="2018"/>
      <c r="R6046" s="2018"/>
      <c r="S6046" s="2018"/>
      <c r="T6046" s="2018"/>
      <c r="U6046" s="2018"/>
      <c r="V6046" s="2018"/>
      <c r="W6046" s="2018"/>
      <c r="X6046" s="2018"/>
      <c r="Y6046" s="2018"/>
      <c r="Z6046" s="2022"/>
      <c r="AA6046" s="2022"/>
      <c r="AB6046" s="1050"/>
      <c r="AC6046" s="1050"/>
      <c r="AD6046" s="1050"/>
      <c r="AE6046" s="1050"/>
      <c r="AF6046" s="1052"/>
    </row>
    <row r="6047" spans="1:32" ht="15.6" customHeight="1" x14ac:dyDescent="0.25">
      <c r="A6047" s="2017"/>
      <c r="B6047" s="2018"/>
      <c r="C6047" s="2018"/>
      <c r="D6047" s="2018"/>
      <c r="E6047" s="2018"/>
      <c r="F6047" s="2018"/>
      <c r="G6047" s="2018"/>
      <c r="H6047" s="2018"/>
      <c r="I6047" s="2018"/>
      <c r="J6047" s="2018"/>
      <c r="K6047" s="2018"/>
      <c r="L6047" s="2018"/>
      <c r="M6047" s="2018"/>
      <c r="N6047" s="2018"/>
      <c r="O6047" s="2018"/>
      <c r="P6047" s="2018"/>
      <c r="Q6047" s="2018"/>
      <c r="R6047" s="2018"/>
      <c r="S6047" s="2018"/>
      <c r="T6047" s="2018"/>
      <c r="U6047" s="2018"/>
      <c r="V6047" s="2018"/>
      <c r="W6047" s="2018"/>
      <c r="X6047" s="2018"/>
      <c r="Y6047" s="2018"/>
      <c r="Z6047" s="2022"/>
      <c r="AA6047" s="2022"/>
      <c r="AB6047" s="1050"/>
      <c r="AC6047" s="1050"/>
      <c r="AD6047" s="1050"/>
      <c r="AE6047" s="1050"/>
      <c r="AF6047" s="1052"/>
    </row>
    <row r="6048" spans="1:32" ht="15.75" x14ac:dyDescent="0.25">
      <c r="A6048" s="2017"/>
      <c r="B6048" s="2018"/>
      <c r="C6048" s="2018"/>
      <c r="D6048" s="2018"/>
      <c r="E6048" s="2018"/>
      <c r="F6048" s="2018"/>
      <c r="G6048" s="2018"/>
      <c r="H6048" s="2018"/>
      <c r="I6048" s="2018"/>
      <c r="J6048" s="2018"/>
      <c r="K6048" s="2018"/>
      <c r="L6048" s="2018"/>
      <c r="M6048" s="2018"/>
      <c r="N6048" s="2018"/>
      <c r="O6048" s="2018"/>
      <c r="P6048" s="2018"/>
      <c r="Q6048" s="2018"/>
      <c r="R6048" s="2018"/>
      <c r="S6048" s="2018"/>
      <c r="T6048" s="2018"/>
      <c r="U6048" s="2018"/>
      <c r="V6048" s="2018"/>
      <c r="W6048" s="2018"/>
      <c r="X6048" s="2018"/>
      <c r="Y6048" s="2018"/>
      <c r="Z6048" s="2022"/>
      <c r="AA6048" s="2022"/>
      <c r="AB6048" s="1050"/>
      <c r="AC6048" s="1050"/>
      <c r="AD6048" s="1050"/>
      <c r="AE6048" s="1050"/>
      <c r="AF6048" s="1052"/>
    </row>
    <row r="6049" spans="1:32" ht="15.75" x14ac:dyDescent="0.25">
      <c r="A6049" s="2017"/>
      <c r="B6049" s="2018"/>
      <c r="C6049" s="2018"/>
      <c r="D6049" s="2018"/>
      <c r="E6049" s="2018"/>
      <c r="F6049" s="2018"/>
      <c r="G6049" s="2018"/>
      <c r="H6049" s="2018"/>
      <c r="I6049" s="2018"/>
      <c r="J6049" s="2018"/>
      <c r="K6049" s="2018"/>
      <c r="L6049" s="2018"/>
      <c r="M6049" s="2018"/>
      <c r="N6049" s="2018"/>
      <c r="O6049" s="2018"/>
      <c r="P6049" s="2018"/>
      <c r="Q6049" s="2018"/>
      <c r="R6049" s="2018"/>
      <c r="S6049" s="2018"/>
      <c r="T6049" s="2018"/>
      <c r="U6049" s="2018"/>
      <c r="V6049" s="2018"/>
      <c r="W6049" s="2018"/>
      <c r="X6049" s="2018"/>
      <c r="Y6049" s="2018"/>
      <c r="Z6049" s="2022"/>
      <c r="AA6049" s="2022"/>
      <c r="AB6049" s="1050"/>
      <c r="AC6049" s="1050"/>
      <c r="AD6049" s="1050"/>
      <c r="AE6049" s="1050"/>
      <c r="AF6049" s="1052"/>
    </row>
    <row r="6050" spans="1:32" ht="15.75" x14ac:dyDescent="0.25">
      <c r="A6050" s="2017"/>
      <c r="B6050" s="2018"/>
      <c r="C6050" s="2018"/>
      <c r="D6050" s="2018"/>
      <c r="E6050" s="2018"/>
      <c r="F6050" s="2018"/>
      <c r="G6050" s="2018"/>
      <c r="H6050" s="2018"/>
      <c r="I6050" s="2018"/>
      <c r="J6050" s="2018"/>
      <c r="K6050" s="2018"/>
      <c r="L6050" s="2018"/>
      <c r="M6050" s="2018"/>
      <c r="N6050" s="2018"/>
      <c r="O6050" s="2018"/>
      <c r="P6050" s="2018"/>
      <c r="Q6050" s="2018"/>
      <c r="R6050" s="2018"/>
      <c r="S6050" s="2018"/>
      <c r="T6050" s="2018"/>
      <c r="U6050" s="2018"/>
      <c r="V6050" s="2018"/>
      <c r="W6050" s="2018"/>
      <c r="X6050" s="2018"/>
      <c r="Y6050" s="2018"/>
      <c r="Z6050" s="2022"/>
      <c r="AA6050" s="2022"/>
      <c r="AB6050" s="1050"/>
      <c r="AC6050" s="1050"/>
      <c r="AD6050" s="1050"/>
      <c r="AE6050" s="1050"/>
      <c r="AF6050" s="1052"/>
    </row>
    <row r="6051" spans="1:32" ht="15.75" x14ac:dyDescent="0.25">
      <c r="A6051" s="2017"/>
      <c r="B6051" s="2018"/>
      <c r="C6051" s="2018"/>
      <c r="D6051" s="2018"/>
      <c r="E6051" s="2018"/>
      <c r="F6051" s="2018"/>
      <c r="G6051" s="2018"/>
      <c r="H6051" s="2018"/>
      <c r="I6051" s="2018"/>
      <c r="J6051" s="2018"/>
      <c r="K6051" s="2018"/>
      <c r="L6051" s="2018"/>
      <c r="M6051" s="2018"/>
      <c r="N6051" s="2018"/>
      <c r="O6051" s="2018"/>
      <c r="P6051" s="2018"/>
      <c r="Q6051" s="2018"/>
      <c r="R6051" s="2018"/>
      <c r="S6051" s="2018"/>
      <c r="T6051" s="2018"/>
      <c r="U6051" s="2018"/>
      <c r="V6051" s="2018"/>
      <c r="W6051" s="2018"/>
      <c r="X6051" s="2018"/>
      <c r="Y6051" s="2018"/>
      <c r="Z6051" s="2022"/>
      <c r="AA6051" s="2022"/>
      <c r="AB6051" s="1050"/>
      <c r="AC6051" s="1050"/>
      <c r="AD6051" s="1050"/>
      <c r="AE6051" s="1050"/>
      <c r="AF6051" s="1052"/>
    </row>
    <row r="6052" spans="1:32" ht="15.75" x14ac:dyDescent="0.25">
      <c r="A6052" s="2017"/>
      <c r="B6052" s="2018"/>
      <c r="C6052" s="2018"/>
      <c r="D6052" s="2018"/>
      <c r="E6052" s="2018"/>
      <c r="F6052" s="2018"/>
      <c r="G6052" s="2018"/>
      <c r="H6052" s="2018"/>
      <c r="I6052" s="2018"/>
      <c r="J6052" s="2018"/>
      <c r="K6052" s="2018"/>
      <c r="L6052" s="2018"/>
      <c r="M6052" s="2018"/>
      <c r="N6052" s="2018"/>
      <c r="O6052" s="2018"/>
      <c r="P6052" s="2018"/>
      <c r="Q6052" s="2018"/>
      <c r="R6052" s="2018"/>
      <c r="S6052" s="2018"/>
      <c r="T6052" s="2018"/>
      <c r="U6052" s="2018"/>
      <c r="V6052" s="2018"/>
      <c r="W6052" s="2018"/>
      <c r="X6052" s="2018"/>
      <c r="Y6052" s="2018"/>
      <c r="Z6052" s="2022"/>
      <c r="AA6052" s="2022"/>
      <c r="AB6052" s="1050"/>
      <c r="AC6052" s="1050"/>
      <c r="AD6052" s="1050"/>
      <c r="AE6052" s="1050"/>
      <c r="AF6052" s="1052"/>
    </row>
    <row r="6053" spans="1:32" ht="15.75" x14ac:dyDescent="0.25">
      <c r="A6053" s="2017"/>
      <c r="B6053" s="2018"/>
      <c r="C6053" s="2018"/>
      <c r="D6053" s="2018"/>
      <c r="E6053" s="2018"/>
      <c r="F6053" s="2018"/>
      <c r="G6053" s="2018"/>
      <c r="H6053" s="2018"/>
      <c r="I6053" s="2018"/>
      <c r="J6053" s="2018"/>
      <c r="K6053" s="2018"/>
      <c r="L6053" s="2018"/>
      <c r="M6053" s="2018"/>
      <c r="N6053" s="2018"/>
      <c r="O6053" s="2018"/>
      <c r="P6053" s="2018"/>
      <c r="Q6053" s="2018"/>
      <c r="R6053" s="2018"/>
      <c r="S6053" s="2018"/>
      <c r="T6053" s="2018"/>
      <c r="U6053" s="2018"/>
      <c r="V6053" s="2018"/>
      <c r="W6053" s="2018"/>
      <c r="X6053" s="2018"/>
      <c r="Y6053" s="2018"/>
      <c r="Z6053" s="2023"/>
      <c r="AA6053" s="2023"/>
      <c r="AB6053" s="1050"/>
      <c r="AC6053" s="1050"/>
      <c r="AD6053" s="1050"/>
      <c r="AE6053" s="1050"/>
      <c r="AF6053" s="1052"/>
    </row>
    <row r="6054" spans="1:32" ht="15.75" x14ac:dyDescent="0.25">
      <c r="A6054" s="2017"/>
      <c r="B6054" s="2018"/>
      <c r="C6054" s="2018"/>
      <c r="D6054" s="2018"/>
      <c r="E6054" s="2018"/>
      <c r="F6054" s="2018"/>
      <c r="G6054" s="2018"/>
      <c r="H6054" s="2018"/>
      <c r="I6054" s="2018"/>
      <c r="J6054" s="2018"/>
      <c r="K6054" s="2018"/>
      <c r="L6054" s="2018"/>
      <c r="M6054" s="2018"/>
      <c r="N6054" s="2018"/>
      <c r="O6054" s="2018"/>
      <c r="P6054" s="2018"/>
      <c r="Q6054" s="2018"/>
      <c r="R6054" s="2018"/>
      <c r="S6054" s="2018"/>
      <c r="T6054" s="2018"/>
      <c r="U6054" s="2018"/>
      <c r="V6054" s="2018"/>
      <c r="W6054" s="2018"/>
      <c r="X6054" s="2018"/>
      <c r="Y6054" s="2018"/>
      <c r="Z6054" s="2023"/>
      <c r="AA6054" s="2023"/>
      <c r="AB6054" s="1050"/>
      <c r="AC6054" s="1050"/>
      <c r="AD6054" s="1050"/>
      <c r="AE6054" s="1050"/>
      <c r="AF6054" s="1052"/>
    </row>
    <row r="6055" spans="1:32" ht="15.75" x14ac:dyDescent="0.25">
      <c r="A6055" s="2017"/>
      <c r="B6055" s="2018"/>
      <c r="C6055" s="2018"/>
      <c r="D6055" s="2018"/>
      <c r="E6055" s="2018"/>
      <c r="F6055" s="2018"/>
      <c r="G6055" s="2018"/>
      <c r="H6055" s="2018"/>
      <c r="I6055" s="2018"/>
      <c r="J6055" s="2018"/>
      <c r="K6055" s="2018"/>
      <c r="L6055" s="2018"/>
      <c r="M6055" s="2018"/>
      <c r="N6055" s="2018"/>
      <c r="O6055" s="2018"/>
      <c r="P6055" s="2018"/>
      <c r="Q6055" s="2018"/>
      <c r="R6055" s="2018"/>
      <c r="S6055" s="2018"/>
      <c r="T6055" s="2018"/>
      <c r="U6055" s="2018"/>
      <c r="V6055" s="2018"/>
      <c r="W6055" s="2018"/>
      <c r="X6055" s="2018"/>
      <c r="Y6055" s="2018"/>
      <c r="Z6055" s="2023"/>
      <c r="AA6055" s="2023"/>
      <c r="AB6055" s="1050"/>
      <c r="AC6055" s="1050"/>
      <c r="AD6055" s="1050"/>
      <c r="AE6055" s="1050"/>
      <c r="AF6055" s="1052"/>
    </row>
    <row r="6056" spans="1:32" ht="15.75" x14ac:dyDescent="0.25">
      <c r="A6056" s="2017"/>
      <c r="B6056" s="2018"/>
      <c r="C6056" s="2018"/>
      <c r="D6056" s="2018"/>
      <c r="E6056" s="2018"/>
      <c r="F6056" s="2018"/>
      <c r="G6056" s="2018"/>
      <c r="H6056" s="2018"/>
      <c r="I6056" s="2018"/>
      <c r="J6056" s="2018"/>
      <c r="K6056" s="2018"/>
      <c r="L6056" s="2018"/>
      <c r="M6056" s="2018"/>
      <c r="N6056" s="2018"/>
      <c r="O6056" s="2018"/>
      <c r="P6056" s="2018"/>
      <c r="Q6056" s="2018"/>
      <c r="R6056" s="2018"/>
      <c r="S6056" s="2018"/>
      <c r="T6056" s="2018"/>
      <c r="U6056" s="2018"/>
      <c r="V6056" s="2018"/>
      <c r="W6056" s="2018"/>
      <c r="X6056" s="2018"/>
      <c r="Y6056" s="2018"/>
      <c r="Z6056" s="2023"/>
      <c r="AA6056" s="2023"/>
      <c r="AB6056" s="1050"/>
      <c r="AC6056" s="1050"/>
      <c r="AD6056" s="1050"/>
      <c r="AE6056" s="1050"/>
      <c r="AF6056" s="1052"/>
    </row>
    <row r="6057" spans="1:32" ht="15.75" x14ac:dyDescent="0.25">
      <c r="A6057" s="2017"/>
      <c r="B6057" s="2018"/>
      <c r="C6057" s="2018"/>
      <c r="D6057" s="2018"/>
      <c r="E6057" s="2018"/>
      <c r="F6057" s="2018"/>
      <c r="G6057" s="2018"/>
      <c r="H6057" s="2018"/>
      <c r="I6057" s="2018"/>
      <c r="J6057" s="2018"/>
      <c r="K6057" s="2018"/>
      <c r="L6057" s="2018"/>
      <c r="M6057" s="2018"/>
      <c r="N6057" s="2018"/>
      <c r="O6057" s="2018"/>
      <c r="P6057" s="2018"/>
      <c r="Q6057" s="2018"/>
      <c r="R6057" s="2018"/>
      <c r="S6057" s="2018"/>
      <c r="T6057" s="2018"/>
      <c r="U6057" s="2018"/>
      <c r="V6057" s="2018"/>
      <c r="W6057" s="2018"/>
      <c r="X6057" s="2018"/>
      <c r="Y6057" s="2018"/>
      <c r="Z6057" s="2023"/>
      <c r="AA6057" s="2023"/>
      <c r="AB6057" s="1050"/>
      <c r="AC6057" s="1050"/>
      <c r="AD6057" s="1050"/>
      <c r="AE6057" s="1050"/>
      <c r="AF6057" s="1052"/>
    </row>
    <row r="6058" spans="1:32" ht="15.75" x14ac:dyDescent="0.25">
      <c r="A6058" s="2017"/>
      <c r="B6058" s="2018"/>
      <c r="C6058" s="2018"/>
      <c r="D6058" s="2018"/>
      <c r="E6058" s="2018"/>
      <c r="F6058" s="2018"/>
      <c r="G6058" s="2018"/>
      <c r="H6058" s="2018"/>
      <c r="I6058" s="2018"/>
      <c r="J6058" s="2018"/>
      <c r="K6058" s="2018"/>
      <c r="L6058" s="2018"/>
      <c r="M6058" s="2018"/>
      <c r="N6058" s="2018"/>
      <c r="O6058" s="2018"/>
      <c r="P6058" s="2018"/>
      <c r="Q6058" s="2018"/>
      <c r="R6058" s="2018"/>
      <c r="S6058" s="2018"/>
      <c r="T6058" s="2018"/>
      <c r="U6058" s="2018"/>
      <c r="V6058" s="2018"/>
      <c r="W6058" s="2018"/>
      <c r="X6058" s="2018"/>
      <c r="Y6058" s="2018"/>
      <c r="Z6058" s="2023"/>
      <c r="AA6058" s="2023"/>
      <c r="AB6058" s="1050"/>
      <c r="AC6058" s="1050"/>
      <c r="AD6058" s="1050"/>
      <c r="AE6058" s="1050"/>
      <c r="AF6058" s="1052"/>
    </row>
    <row r="6059" spans="1:32" ht="16.5" thickBot="1" x14ac:dyDescent="0.3">
      <c r="A6059" s="2019"/>
      <c r="B6059" s="2020"/>
      <c r="C6059" s="2020"/>
      <c r="D6059" s="2020"/>
      <c r="E6059" s="2020"/>
      <c r="F6059" s="2020"/>
      <c r="G6059" s="2020"/>
      <c r="H6059" s="2020"/>
      <c r="I6059" s="2020"/>
      <c r="J6059" s="2020"/>
      <c r="K6059" s="2020"/>
      <c r="L6059" s="2020"/>
      <c r="M6059" s="2020"/>
      <c r="N6059" s="2020"/>
      <c r="O6059" s="2020"/>
      <c r="P6059" s="2020"/>
      <c r="Q6059" s="2020"/>
      <c r="R6059" s="2020"/>
      <c r="S6059" s="2020"/>
      <c r="T6059" s="2020"/>
      <c r="U6059" s="2020"/>
      <c r="V6059" s="2020"/>
      <c r="W6059" s="2020"/>
      <c r="X6059" s="2020"/>
      <c r="Y6059" s="2020"/>
      <c r="Z6059" s="2024"/>
      <c r="AA6059" s="2024"/>
      <c r="AB6059" s="1057"/>
      <c r="AC6059" s="1057"/>
      <c r="AD6059" s="1057"/>
      <c r="AE6059" s="1057"/>
      <c r="AF6059" s="1058"/>
    </row>
    <row r="6060" spans="1:32" ht="15.75" x14ac:dyDescent="0.25">
      <c r="A6060" s="2009" t="s">
        <v>1855</v>
      </c>
      <c r="B6060" s="2010"/>
      <c r="C6060" s="2010"/>
      <c r="D6060" s="2010"/>
      <c r="E6060" s="2010"/>
      <c r="F6060" s="2010"/>
      <c r="G6060" s="2010"/>
      <c r="H6060" s="2010"/>
      <c r="I6060" s="2010"/>
      <c r="J6060" s="2010"/>
      <c r="K6060" s="2010"/>
      <c r="L6060" s="2010"/>
      <c r="M6060" s="2010"/>
      <c r="N6060" s="2010"/>
      <c r="O6060" s="2010"/>
      <c r="P6060" s="2010"/>
      <c r="Q6060" s="2010"/>
      <c r="R6060" s="2010"/>
      <c r="S6060" s="2010"/>
      <c r="T6060" s="2010"/>
      <c r="U6060" s="2010"/>
      <c r="V6060" s="2010"/>
      <c r="W6060" s="2010"/>
      <c r="X6060" s="2010"/>
      <c r="Y6060" s="2010"/>
      <c r="Z6060" s="2013" t="s">
        <v>1850</v>
      </c>
      <c r="AA6060" s="2013"/>
      <c r="AB6060" s="2013"/>
      <c r="AC6060" s="2013"/>
      <c r="AD6060" s="2013"/>
      <c r="AE6060" s="2013"/>
      <c r="AF6060" s="1059">
        <f>SUM(AF6036:AF6059)</f>
        <v>0</v>
      </c>
    </row>
    <row r="6061" spans="1:32" ht="15.75" x14ac:dyDescent="0.25">
      <c r="A6061" s="2011"/>
      <c r="B6061" s="2012"/>
      <c r="C6061" s="2012"/>
      <c r="D6061" s="2012"/>
      <c r="E6061" s="2012"/>
      <c r="F6061" s="2012"/>
      <c r="G6061" s="2012"/>
      <c r="H6061" s="2012"/>
      <c r="I6061" s="2012"/>
      <c r="J6061" s="2012"/>
      <c r="K6061" s="2012"/>
      <c r="L6061" s="2012"/>
      <c r="M6061" s="2012"/>
      <c r="N6061" s="2012"/>
      <c r="O6061" s="2012"/>
      <c r="P6061" s="2012"/>
      <c r="Q6061" s="2012"/>
      <c r="R6061" s="2012"/>
      <c r="S6061" s="2012"/>
      <c r="T6061" s="2012"/>
      <c r="U6061" s="2012"/>
      <c r="V6061" s="2012"/>
      <c r="W6061" s="2012"/>
      <c r="X6061" s="2012"/>
      <c r="Y6061" s="2012"/>
      <c r="Z6061" s="2014" t="s">
        <v>1851</v>
      </c>
      <c r="AA6061" s="2014"/>
      <c r="AB6061" s="2014"/>
      <c r="AC6061" s="2014"/>
      <c r="AD6061" s="2014"/>
      <c r="AE6061" s="2014"/>
      <c r="AF6061" s="1060">
        <v>0</v>
      </c>
    </row>
    <row r="6062" spans="1:32" ht="15.75" x14ac:dyDescent="0.25">
      <c r="A6062" s="2011"/>
      <c r="B6062" s="2012"/>
      <c r="C6062" s="2012"/>
      <c r="D6062" s="2012"/>
      <c r="E6062" s="2012"/>
      <c r="F6062" s="2012"/>
      <c r="G6062" s="2012"/>
      <c r="H6062" s="2012"/>
      <c r="I6062" s="2012"/>
      <c r="J6062" s="2012"/>
      <c r="K6062" s="2012"/>
      <c r="L6062" s="2012"/>
      <c r="M6062" s="2012"/>
      <c r="N6062" s="2012"/>
      <c r="O6062" s="2012"/>
      <c r="P6062" s="2012"/>
      <c r="Q6062" s="2012"/>
      <c r="R6062" s="2012"/>
      <c r="S6062" s="2012"/>
      <c r="T6062" s="2012"/>
      <c r="U6062" s="2012"/>
      <c r="V6062" s="2012"/>
      <c r="W6062" s="2012"/>
      <c r="X6062" s="2012"/>
      <c r="Y6062" s="2012"/>
      <c r="Z6062" s="2015" t="s">
        <v>1833</v>
      </c>
      <c r="AA6062" s="2015"/>
      <c r="AB6062" s="2015"/>
      <c r="AC6062" s="2015"/>
      <c r="AD6062" s="2015"/>
      <c r="AE6062" s="2015"/>
      <c r="AF6062" s="1061">
        <f>SUM(AF6060:AF6061)</f>
        <v>0</v>
      </c>
    </row>
    <row r="6063" spans="1:32" x14ac:dyDescent="0.2">
      <c r="A6063" s="2012" t="s">
        <v>1859</v>
      </c>
      <c r="B6063" s="2012"/>
      <c r="C6063" s="2012"/>
      <c r="D6063" s="2012"/>
      <c r="E6063" s="2012"/>
      <c r="F6063" s="2012"/>
      <c r="G6063" s="2012"/>
      <c r="H6063" s="2012"/>
      <c r="I6063" s="2012"/>
      <c r="J6063" s="2012"/>
      <c r="K6063" s="2012"/>
      <c r="L6063" s="2012"/>
      <c r="M6063" s="2012"/>
      <c r="N6063" s="2012"/>
      <c r="O6063" s="2012"/>
      <c r="P6063" s="2012"/>
      <c r="Q6063" s="2012"/>
      <c r="R6063" s="2012"/>
      <c r="S6063" s="2012"/>
      <c r="T6063" s="2016" t="s">
        <v>1840</v>
      </c>
      <c r="U6063" s="2016"/>
      <c r="V6063" s="2016"/>
      <c r="W6063" s="2016"/>
      <c r="X6063" s="2016"/>
      <c r="Y6063" s="2016"/>
      <c r="Z6063" s="2016"/>
      <c r="AA6063" s="2016"/>
      <c r="AB6063" s="2012" t="s">
        <v>1852</v>
      </c>
      <c r="AC6063" s="2012"/>
      <c r="AD6063" s="2012"/>
      <c r="AE6063" s="2012"/>
      <c r="AF6063" s="2012"/>
    </row>
    <row r="6064" spans="1:32" x14ac:dyDescent="0.2">
      <c r="A6064" s="2012"/>
      <c r="B6064" s="2012"/>
      <c r="C6064" s="2012"/>
      <c r="D6064" s="2012"/>
      <c r="E6064" s="2012"/>
      <c r="F6064" s="2012"/>
      <c r="G6064" s="2012"/>
      <c r="H6064" s="2012"/>
      <c r="I6064" s="2012"/>
      <c r="J6064" s="2012"/>
      <c r="K6064" s="2012"/>
      <c r="L6064" s="2012"/>
      <c r="M6064" s="2012"/>
      <c r="N6064" s="2012"/>
      <c r="O6064" s="2012"/>
      <c r="P6064" s="2012"/>
      <c r="Q6064" s="2012"/>
      <c r="R6064" s="2012"/>
      <c r="S6064" s="2012"/>
      <c r="T6064" s="2016"/>
      <c r="U6064" s="2016"/>
      <c r="V6064" s="2016"/>
      <c r="W6064" s="2016"/>
      <c r="X6064" s="2016"/>
      <c r="Y6064" s="2016"/>
      <c r="Z6064" s="2016"/>
      <c r="AA6064" s="2016"/>
      <c r="AB6064" s="2012"/>
      <c r="AC6064" s="2012"/>
      <c r="AD6064" s="2012"/>
      <c r="AE6064" s="2012"/>
      <c r="AF6064" s="2012"/>
    </row>
    <row r="6065" spans="1:32" ht="13.5" thickBot="1" x14ac:dyDescent="0.25"/>
    <row r="6066" spans="1:32" ht="26.45" customHeight="1" x14ac:dyDescent="0.2">
      <c r="A6066" s="2025" t="s">
        <v>1854</v>
      </c>
      <c r="B6066" s="2026"/>
      <c r="C6066" s="2026"/>
      <c r="D6066" s="2026"/>
      <c r="E6066" s="2026"/>
      <c r="F6066" s="2026"/>
      <c r="G6066" s="2026"/>
      <c r="H6066" s="2026"/>
      <c r="I6066" s="2026"/>
      <c r="J6066" s="2026"/>
      <c r="K6066" s="2026"/>
      <c r="L6066" s="2026"/>
      <c r="M6066" s="2026"/>
      <c r="N6066" s="2026"/>
      <c r="O6066" s="2026"/>
      <c r="P6066" s="2026"/>
      <c r="Q6066" s="2026"/>
      <c r="R6066" s="2026"/>
      <c r="S6066" s="2026"/>
      <c r="T6066" s="2026"/>
      <c r="U6066" s="2026"/>
      <c r="V6066" s="2026"/>
      <c r="W6066" s="2026"/>
      <c r="X6066" s="2026"/>
      <c r="Y6066" s="2026"/>
      <c r="Z6066" s="2026"/>
      <c r="AA6066" s="2026"/>
      <c r="AB6066" s="2026"/>
      <c r="AC6066" s="2026"/>
      <c r="AD6066" s="2026"/>
      <c r="AE6066" s="1041" t="s">
        <v>1834</v>
      </c>
      <c r="AF6066" s="1042" t="s">
        <v>1835</v>
      </c>
    </row>
    <row r="6067" spans="1:32" ht="21" customHeight="1" thickBot="1" x14ac:dyDescent="0.25">
      <c r="A6067" s="2027"/>
      <c r="B6067" s="2028"/>
      <c r="C6067" s="2028"/>
      <c r="D6067" s="2028"/>
      <c r="E6067" s="2028"/>
      <c r="F6067" s="2028"/>
      <c r="G6067" s="2028"/>
      <c r="H6067" s="2028"/>
      <c r="I6067" s="2028"/>
      <c r="J6067" s="2028"/>
      <c r="K6067" s="2028"/>
      <c r="L6067" s="2028"/>
      <c r="M6067" s="2028"/>
      <c r="N6067" s="2028"/>
      <c r="O6067" s="2028"/>
      <c r="P6067" s="2028"/>
      <c r="Q6067" s="2028"/>
      <c r="R6067" s="2028"/>
      <c r="S6067" s="2028"/>
      <c r="T6067" s="2028"/>
      <c r="U6067" s="2028"/>
      <c r="V6067" s="2028"/>
      <c r="W6067" s="2028"/>
      <c r="X6067" s="2028"/>
      <c r="Y6067" s="2028"/>
      <c r="Z6067" s="2028"/>
      <c r="AA6067" s="2028"/>
      <c r="AB6067" s="2028"/>
      <c r="AC6067" s="2028"/>
      <c r="AD6067" s="2028"/>
      <c r="AE6067" s="1041" t="s">
        <v>1836</v>
      </c>
      <c r="AF6067" s="1044">
        <v>1</v>
      </c>
    </row>
    <row r="6068" spans="1:32" ht="15.75" x14ac:dyDescent="0.2">
      <c r="A6068" s="2029"/>
      <c r="B6068" s="2030"/>
      <c r="C6068" s="2030"/>
      <c r="D6068" s="2031"/>
      <c r="E6068" s="2025" t="str">
        <f>'01'!$A$12</f>
        <v>"CONSTRUCCION SISTEMA DE ACUEDUCTO FASE II DEL MUNICIPIO DE TESALIA DPTO DEL HUILA"</v>
      </c>
      <c r="F6068" s="2026"/>
      <c r="G6068" s="2026"/>
      <c r="H6068" s="2026"/>
      <c r="I6068" s="2026"/>
      <c r="J6068" s="2026"/>
      <c r="K6068" s="2026"/>
      <c r="L6068" s="2026"/>
      <c r="M6068" s="2026"/>
      <c r="N6068" s="2026"/>
      <c r="O6068" s="2026"/>
      <c r="P6068" s="2026"/>
      <c r="Q6068" s="2026"/>
      <c r="R6068" s="2026"/>
      <c r="S6068" s="2026"/>
      <c r="T6068" s="2026"/>
      <c r="U6068" s="2026"/>
      <c r="V6068" s="2026"/>
      <c r="W6068" s="2026"/>
      <c r="X6068" s="2026"/>
      <c r="Y6068" s="2026"/>
      <c r="Z6068" s="2026"/>
      <c r="AA6068" s="2026"/>
      <c r="AB6068" s="2026"/>
      <c r="AC6068" s="2026"/>
      <c r="AD6068" s="2035"/>
      <c r="AE6068" s="1041" t="s">
        <v>847</v>
      </c>
      <c r="AF6068" s="1045">
        <f>'01'!$M$13</f>
        <v>0</v>
      </c>
    </row>
    <row r="6069" spans="1:32" ht="16.5" thickBot="1" x14ac:dyDescent="0.25">
      <c r="A6069" s="2032"/>
      <c r="B6069" s="2033"/>
      <c r="C6069" s="2033"/>
      <c r="D6069" s="2034"/>
      <c r="E6069" s="2027"/>
      <c r="F6069" s="2028"/>
      <c r="G6069" s="2028"/>
      <c r="H6069" s="2028"/>
      <c r="I6069" s="2028"/>
      <c r="J6069" s="2028"/>
      <c r="K6069" s="2028"/>
      <c r="L6069" s="2028"/>
      <c r="M6069" s="2028"/>
      <c r="N6069" s="2028"/>
      <c r="O6069" s="2028"/>
      <c r="P6069" s="2028"/>
      <c r="Q6069" s="2028"/>
      <c r="R6069" s="2028"/>
      <c r="S6069" s="2028"/>
      <c r="T6069" s="2028"/>
      <c r="U6069" s="2028"/>
      <c r="V6069" s="2028"/>
      <c r="W6069" s="2028"/>
      <c r="X6069" s="2028"/>
      <c r="Y6069" s="2028"/>
      <c r="Z6069" s="2028"/>
      <c r="AA6069" s="2028"/>
      <c r="AB6069" s="2028"/>
      <c r="AC6069" s="2028"/>
      <c r="AD6069" s="2036"/>
      <c r="AE6069" s="1041" t="s">
        <v>1837</v>
      </c>
      <c r="AF6069" s="1042" t="s">
        <v>1838</v>
      </c>
    </row>
    <row r="6070" spans="1:32" ht="15.75" x14ac:dyDescent="0.25">
      <c r="A6070" s="2037" t="s">
        <v>1860</v>
      </c>
      <c r="B6070" s="2038"/>
      <c r="C6070" s="2038"/>
      <c r="D6070" s="2038"/>
      <c r="E6070" s="2038"/>
      <c r="F6070" s="2038"/>
      <c r="G6070" s="2038"/>
      <c r="H6070" s="2038"/>
      <c r="I6070" s="2038"/>
      <c r="J6070" s="2038"/>
      <c r="K6070" s="2038"/>
      <c r="L6070" s="2038"/>
      <c r="M6070" s="2038"/>
      <c r="N6070" s="2038"/>
      <c r="O6070" s="2038"/>
      <c r="P6070" s="2038"/>
      <c r="Q6070" s="2038"/>
      <c r="R6070" s="2038"/>
      <c r="S6070" s="2038"/>
      <c r="T6070" s="2038"/>
      <c r="U6070" s="2038"/>
      <c r="V6070" s="2038"/>
      <c r="W6070" s="2038"/>
      <c r="X6070" s="2038"/>
      <c r="Y6070" s="2038"/>
      <c r="Z6070" s="2038"/>
      <c r="AA6070" s="2038"/>
      <c r="AB6070" s="2038"/>
      <c r="AC6070" s="2038"/>
      <c r="AD6070" s="2038"/>
      <c r="AE6070" s="2039" t="s">
        <v>1839</v>
      </c>
      <c r="AF6070" s="2040"/>
    </row>
    <row r="6071" spans="1:32" ht="15.75" x14ac:dyDescent="0.25">
      <c r="A6071" s="2041" t="s">
        <v>1840</v>
      </c>
      <c r="B6071" s="2042"/>
      <c r="C6071" s="2042"/>
      <c r="D6071" s="2042"/>
      <c r="E6071" s="2042"/>
      <c r="F6071" s="2042"/>
      <c r="G6071" s="2042"/>
      <c r="H6071" s="2042"/>
      <c r="I6071" s="2042"/>
      <c r="J6071" s="2042"/>
      <c r="K6071" s="2042"/>
      <c r="L6071" s="2042"/>
      <c r="M6071" s="2042"/>
      <c r="N6071" s="2042"/>
      <c r="O6071" s="2042"/>
      <c r="P6071" s="2042"/>
      <c r="Q6071" s="2042"/>
      <c r="R6071" s="2042"/>
      <c r="S6071" s="2042"/>
      <c r="T6071" s="2042"/>
      <c r="U6071" s="2042"/>
      <c r="V6071" s="2042"/>
      <c r="W6071" s="2042"/>
      <c r="X6071" s="2042"/>
      <c r="Y6071" s="2042"/>
      <c r="Z6071" s="2042"/>
      <c r="AA6071" s="2042"/>
      <c r="AB6071" s="2042"/>
      <c r="AC6071" s="2042"/>
      <c r="AD6071" s="2043"/>
      <c r="AE6071" s="2014" t="s">
        <v>1841</v>
      </c>
      <c r="AF6071" s="2044"/>
    </row>
    <row r="6072" spans="1:32" ht="15.75" x14ac:dyDescent="0.25">
      <c r="A6072" s="2045" t="s">
        <v>1853</v>
      </c>
      <c r="B6072" s="2046"/>
      <c r="C6072" s="2046"/>
      <c r="D6072" s="2046"/>
      <c r="E6072" s="2046"/>
      <c r="F6072" s="2046"/>
      <c r="G6072" s="2046"/>
      <c r="H6072" s="2046"/>
      <c r="I6072" s="2046"/>
      <c r="J6072" s="2046"/>
      <c r="K6072" s="2046"/>
      <c r="L6072" s="2046"/>
      <c r="M6072" s="2046"/>
      <c r="N6072" s="2046"/>
      <c r="O6072" s="2046"/>
      <c r="P6072" s="2046"/>
      <c r="Q6072" s="2046"/>
      <c r="R6072" s="2046"/>
      <c r="S6072" s="2046"/>
      <c r="T6072" s="2046"/>
      <c r="U6072" s="2046"/>
      <c r="V6072" s="2046"/>
      <c r="W6072" s="2046"/>
      <c r="X6072" s="2046"/>
      <c r="Y6072" s="2046"/>
      <c r="Z6072" s="2046"/>
      <c r="AA6072" s="2046"/>
      <c r="AB6072" s="2046"/>
      <c r="AC6072" s="2046"/>
      <c r="AD6072" s="2046"/>
      <c r="AE6072" s="2047">
        <f>'01'!$M$13</f>
        <v>0</v>
      </c>
      <c r="AF6072" s="2044"/>
    </row>
    <row r="6073" spans="1:32" x14ac:dyDescent="0.2">
      <c r="A6073" s="1046"/>
      <c r="B6073" s="1047"/>
      <c r="C6073" s="1047"/>
      <c r="D6073" s="1047"/>
      <c r="E6073" s="1047"/>
      <c r="F6073" s="1047"/>
      <c r="G6073" s="1047"/>
      <c r="H6073" s="1047"/>
      <c r="I6073" s="1047"/>
      <c r="J6073" s="1047"/>
      <c r="K6073" s="1047"/>
      <c r="L6073" s="1047"/>
      <c r="M6073" s="1047"/>
      <c r="N6073" s="1047"/>
      <c r="O6073" s="1047"/>
      <c r="P6073" s="1047"/>
      <c r="Q6073" s="1047"/>
      <c r="R6073" s="1047"/>
      <c r="S6073" s="1047"/>
      <c r="T6073" s="1047"/>
      <c r="U6073" s="1047"/>
      <c r="V6073" s="1047"/>
      <c r="W6073" s="1047"/>
      <c r="X6073" s="1047"/>
      <c r="Y6073" s="1047"/>
      <c r="Z6073" s="1047"/>
      <c r="AA6073" s="1047"/>
      <c r="AB6073" s="1047"/>
      <c r="AC6073" s="1047"/>
      <c r="AD6073" s="1047"/>
      <c r="AE6073" s="1047"/>
      <c r="AF6073" s="1048"/>
    </row>
    <row r="6074" spans="1:32" ht="30" customHeight="1" x14ac:dyDescent="0.2">
      <c r="A6074" s="2048" t="s">
        <v>1842</v>
      </c>
      <c r="B6074" s="2049"/>
      <c r="C6074" s="2049"/>
      <c r="D6074" s="2049"/>
      <c r="E6074" s="2049"/>
      <c r="F6074" s="2050" t="str">
        <f>+'01'!$H$247</f>
        <v>J - CASETA DE OPERACIONES</v>
      </c>
      <c r="G6074" s="2049"/>
      <c r="H6074" s="2049"/>
      <c r="I6074" s="2049"/>
      <c r="J6074" s="2049"/>
      <c r="K6074" s="2049"/>
      <c r="L6074" s="2049"/>
      <c r="M6074" s="2049"/>
      <c r="N6074" s="2049"/>
      <c r="O6074" s="2049"/>
      <c r="P6074" s="2049"/>
      <c r="Q6074" s="2049"/>
      <c r="R6074" s="2049"/>
      <c r="S6074" s="2049"/>
      <c r="T6074" s="2049"/>
      <c r="U6074" s="2049"/>
      <c r="V6074" s="2049"/>
      <c r="W6074" s="2049"/>
      <c r="X6074" s="2049"/>
      <c r="Y6074" s="2051"/>
      <c r="Z6074" s="2052" t="s">
        <v>1843</v>
      </c>
      <c r="AA6074" s="2053"/>
      <c r="AB6074" s="2058" t="s">
        <v>1844</v>
      </c>
      <c r="AC6074" s="2059"/>
      <c r="AD6074" s="2060"/>
      <c r="AE6074" s="2064" t="s">
        <v>1845</v>
      </c>
      <c r="AF6074" s="2067" t="s">
        <v>1846</v>
      </c>
    </row>
    <row r="6075" spans="1:32" ht="15" customHeight="1" x14ac:dyDescent="0.2">
      <c r="A6075" s="2070" t="str">
        <f>+'01'!A253</f>
        <v>J-03-01</v>
      </c>
      <c r="B6075" s="2071"/>
      <c r="C6075" s="2072"/>
      <c r="D6075" s="2076" t="str">
        <f>VLOOKUP(A6075,'01'!$A$12:$N$299,3,FALSE)</f>
        <v>RELLENO EN RECEBO COMUN PROVENIENTE DE MATERIAL DE PRESTAMO, COMPACTADO MECANICAMENTE.</v>
      </c>
      <c r="E6075" s="2077"/>
      <c r="F6075" s="2077"/>
      <c r="G6075" s="2077"/>
      <c r="H6075" s="2077"/>
      <c r="I6075" s="2077"/>
      <c r="J6075" s="2077"/>
      <c r="K6075" s="2077"/>
      <c r="L6075" s="2077"/>
      <c r="M6075" s="2077"/>
      <c r="N6075" s="2077"/>
      <c r="O6075" s="2077"/>
      <c r="P6075" s="2077"/>
      <c r="Q6075" s="2077"/>
      <c r="R6075" s="2077"/>
      <c r="S6075" s="2078"/>
      <c r="T6075" s="2082" t="s">
        <v>124</v>
      </c>
      <c r="U6075" s="2083"/>
      <c r="V6075" s="2083"/>
      <c r="W6075" s="2083"/>
      <c r="X6075" s="2052" t="str">
        <f>VLOOKUP(A6075,'01'!$A$12:$N$299,9,FALSE)</f>
        <v>M3</v>
      </c>
      <c r="Y6075" s="2053"/>
      <c r="Z6075" s="2054"/>
      <c r="AA6075" s="2055"/>
      <c r="AB6075" s="2061"/>
      <c r="AC6075" s="2062"/>
      <c r="AD6075" s="2063"/>
      <c r="AE6075" s="2065"/>
      <c r="AF6075" s="2068"/>
    </row>
    <row r="6076" spans="1:32" ht="15" customHeight="1" x14ac:dyDescent="0.25">
      <c r="A6076" s="2073"/>
      <c r="B6076" s="2074"/>
      <c r="C6076" s="2075"/>
      <c r="D6076" s="2079"/>
      <c r="E6076" s="2080"/>
      <c r="F6076" s="2080"/>
      <c r="G6076" s="2080"/>
      <c r="H6076" s="2080"/>
      <c r="I6076" s="2080"/>
      <c r="J6076" s="2080"/>
      <c r="K6076" s="2080"/>
      <c r="L6076" s="2080"/>
      <c r="M6076" s="2080"/>
      <c r="N6076" s="2080"/>
      <c r="O6076" s="2080"/>
      <c r="P6076" s="2080"/>
      <c r="Q6076" s="2080"/>
      <c r="R6076" s="2080"/>
      <c r="S6076" s="2081"/>
      <c r="T6076" s="2084"/>
      <c r="U6076" s="2085"/>
      <c r="V6076" s="2085"/>
      <c r="W6076" s="2085"/>
      <c r="X6076" s="2056"/>
      <c r="Y6076" s="2057"/>
      <c r="Z6076" s="2056"/>
      <c r="AA6076" s="2057"/>
      <c r="AB6076" s="1049" t="s">
        <v>1847</v>
      </c>
      <c r="AC6076" s="1049" t="s">
        <v>1848</v>
      </c>
      <c r="AD6076" s="1049" t="s">
        <v>1861</v>
      </c>
      <c r="AE6076" s="2066"/>
      <c r="AF6076" s="2069"/>
    </row>
    <row r="6077" spans="1:32" ht="30" customHeight="1" x14ac:dyDescent="0.25">
      <c r="A6077" s="2017"/>
      <c r="B6077" s="2018"/>
      <c r="C6077" s="2018"/>
      <c r="D6077" s="2018"/>
      <c r="E6077" s="2018"/>
      <c r="F6077" s="2018"/>
      <c r="G6077" s="2018"/>
      <c r="H6077" s="2018"/>
      <c r="I6077" s="2018"/>
      <c r="J6077" s="2018"/>
      <c r="K6077" s="2018"/>
      <c r="L6077" s="2018"/>
      <c r="M6077" s="2018"/>
      <c r="N6077" s="2018"/>
      <c r="O6077" s="2018"/>
      <c r="P6077" s="2018"/>
      <c r="Q6077" s="2018"/>
      <c r="R6077" s="2018"/>
      <c r="S6077" s="2018"/>
      <c r="T6077" s="2018"/>
      <c r="U6077" s="2018"/>
      <c r="V6077" s="2018"/>
      <c r="W6077" s="2018"/>
      <c r="X6077" s="2018"/>
      <c r="Y6077" s="2018"/>
      <c r="Z6077" s="2021"/>
      <c r="AA6077" s="2021"/>
      <c r="AB6077" s="1050"/>
      <c r="AC6077" s="1050"/>
      <c r="AD6077" s="1050"/>
      <c r="AE6077" s="1050"/>
      <c r="AF6077" s="1052"/>
    </row>
    <row r="6078" spans="1:32" ht="15.6" customHeight="1" x14ac:dyDescent="0.25">
      <c r="A6078" s="2017"/>
      <c r="B6078" s="2018"/>
      <c r="C6078" s="2018"/>
      <c r="D6078" s="2018"/>
      <c r="E6078" s="2018"/>
      <c r="F6078" s="2018"/>
      <c r="G6078" s="2018"/>
      <c r="H6078" s="2018"/>
      <c r="I6078" s="2018"/>
      <c r="J6078" s="2018"/>
      <c r="K6078" s="2018"/>
      <c r="L6078" s="2018"/>
      <c r="M6078" s="2018"/>
      <c r="N6078" s="2018"/>
      <c r="O6078" s="2018"/>
      <c r="P6078" s="2018"/>
      <c r="Q6078" s="2018"/>
      <c r="R6078" s="2018"/>
      <c r="S6078" s="2018"/>
      <c r="T6078" s="2018"/>
      <c r="U6078" s="2018"/>
      <c r="V6078" s="2018"/>
      <c r="W6078" s="2018"/>
      <c r="X6078" s="2018"/>
      <c r="Y6078" s="2018"/>
      <c r="Z6078" s="2021"/>
      <c r="AA6078" s="2021"/>
      <c r="AB6078" s="1050"/>
      <c r="AC6078" s="1050"/>
      <c r="AD6078" s="1050"/>
      <c r="AE6078" s="1050"/>
      <c r="AF6078" s="1052"/>
    </row>
    <row r="6079" spans="1:32" ht="15.6" customHeight="1" x14ac:dyDescent="0.25">
      <c r="A6079" s="2017"/>
      <c r="B6079" s="2018"/>
      <c r="C6079" s="2018"/>
      <c r="D6079" s="2018"/>
      <c r="E6079" s="2018"/>
      <c r="F6079" s="2018"/>
      <c r="G6079" s="2018"/>
      <c r="H6079" s="2018"/>
      <c r="I6079" s="2018"/>
      <c r="J6079" s="2018"/>
      <c r="K6079" s="2018"/>
      <c r="L6079" s="2018"/>
      <c r="M6079" s="2018"/>
      <c r="N6079" s="2018"/>
      <c r="O6079" s="2018"/>
      <c r="P6079" s="2018"/>
      <c r="Q6079" s="2018"/>
      <c r="R6079" s="2018"/>
      <c r="S6079" s="2018"/>
      <c r="T6079" s="2018"/>
      <c r="U6079" s="2018"/>
      <c r="V6079" s="2018"/>
      <c r="W6079" s="2018"/>
      <c r="X6079" s="2018"/>
      <c r="Y6079" s="2018"/>
      <c r="Z6079" s="2021"/>
      <c r="AA6079" s="2021"/>
      <c r="AB6079" s="1050"/>
      <c r="AC6079" s="1050"/>
      <c r="AD6079" s="1050"/>
      <c r="AE6079" s="1050"/>
      <c r="AF6079" s="1052"/>
    </row>
    <row r="6080" spans="1:32" ht="15.75" x14ac:dyDescent="0.25">
      <c r="A6080" s="2017"/>
      <c r="B6080" s="2018"/>
      <c r="C6080" s="2018"/>
      <c r="D6080" s="2018"/>
      <c r="E6080" s="2018"/>
      <c r="F6080" s="2018"/>
      <c r="G6080" s="2018"/>
      <c r="H6080" s="2018"/>
      <c r="I6080" s="2018"/>
      <c r="J6080" s="2018"/>
      <c r="K6080" s="2018"/>
      <c r="L6080" s="2018"/>
      <c r="M6080" s="2018"/>
      <c r="N6080" s="2018"/>
      <c r="O6080" s="2018"/>
      <c r="P6080" s="2018"/>
      <c r="Q6080" s="2018"/>
      <c r="R6080" s="2018"/>
      <c r="S6080" s="2018"/>
      <c r="T6080" s="2018"/>
      <c r="U6080" s="2018"/>
      <c r="V6080" s="2018"/>
      <c r="W6080" s="2018"/>
      <c r="X6080" s="2018"/>
      <c r="Y6080" s="2018"/>
      <c r="Z6080" s="2021"/>
      <c r="AA6080" s="2021"/>
      <c r="AB6080" s="1050"/>
      <c r="AC6080" s="1050"/>
      <c r="AD6080" s="1050"/>
      <c r="AE6080" s="1050"/>
      <c r="AF6080" s="1052"/>
    </row>
    <row r="6081" spans="1:32" ht="15.6" customHeight="1" x14ac:dyDescent="0.25">
      <c r="A6081" s="2017"/>
      <c r="B6081" s="2018"/>
      <c r="C6081" s="2018"/>
      <c r="D6081" s="2018"/>
      <c r="E6081" s="2018"/>
      <c r="F6081" s="2018"/>
      <c r="G6081" s="2018"/>
      <c r="H6081" s="2018"/>
      <c r="I6081" s="2018"/>
      <c r="J6081" s="2018"/>
      <c r="K6081" s="2018"/>
      <c r="L6081" s="2018"/>
      <c r="M6081" s="2018"/>
      <c r="N6081" s="2018"/>
      <c r="O6081" s="2018"/>
      <c r="P6081" s="2018"/>
      <c r="Q6081" s="2018"/>
      <c r="R6081" s="2018"/>
      <c r="S6081" s="2018"/>
      <c r="T6081" s="2018"/>
      <c r="U6081" s="2018"/>
      <c r="V6081" s="2018"/>
      <c r="W6081" s="2018"/>
      <c r="X6081" s="2018"/>
      <c r="Y6081" s="2018"/>
      <c r="Z6081" s="2021"/>
      <c r="AA6081" s="2021"/>
      <c r="AB6081" s="1050"/>
      <c r="AC6081" s="1050"/>
      <c r="AD6081" s="1050"/>
      <c r="AE6081" s="1050"/>
      <c r="AF6081" s="1052"/>
    </row>
    <row r="6082" spans="1:32" ht="15.75" x14ac:dyDescent="0.25">
      <c r="A6082" s="2017"/>
      <c r="B6082" s="2018"/>
      <c r="C6082" s="2018"/>
      <c r="D6082" s="2018"/>
      <c r="E6082" s="2018"/>
      <c r="F6082" s="2018"/>
      <c r="G6082" s="2018"/>
      <c r="H6082" s="2018"/>
      <c r="I6082" s="2018"/>
      <c r="J6082" s="2018"/>
      <c r="K6082" s="2018"/>
      <c r="L6082" s="2018"/>
      <c r="M6082" s="2018"/>
      <c r="N6082" s="2018"/>
      <c r="O6082" s="2018"/>
      <c r="P6082" s="2018"/>
      <c r="Q6082" s="2018"/>
      <c r="R6082" s="2018"/>
      <c r="S6082" s="2018"/>
      <c r="T6082" s="2018"/>
      <c r="U6082" s="2018"/>
      <c r="V6082" s="2018"/>
      <c r="W6082" s="2018"/>
      <c r="X6082" s="2018"/>
      <c r="Y6082" s="2018"/>
      <c r="Z6082" s="2021"/>
      <c r="AA6082" s="2021"/>
      <c r="AB6082" s="1050"/>
      <c r="AC6082" s="1050"/>
      <c r="AD6082" s="1050"/>
      <c r="AE6082" s="1050"/>
      <c r="AF6082" s="1052"/>
    </row>
    <row r="6083" spans="1:32" ht="15.75" x14ac:dyDescent="0.25">
      <c r="A6083" s="2017"/>
      <c r="B6083" s="2018"/>
      <c r="C6083" s="2018"/>
      <c r="D6083" s="2018"/>
      <c r="E6083" s="2018"/>
      <c r="F6083" s="2018"/>
      <c r="G6083" s="2018"/>
      <c r="H6083" s="2018"/>
      <c r="I6083" s="2018"/>
      <c r="J6083" s="2018"/>
      <c r="K6083" s="2018"/>
      <c r="L6083" s="2018"/>
      <c r="M6083" s="2018"/>
      <c r="N6083" s="2018"/>
      <c r="O6083" s="2018"/>
      <c r="P6083" s="2018"/>
      <c r="Q6083" s="2018"/>
      <c r="R6083" s="2018"/>
      <c r="S6083" s="2018"/>
      <c r="T6083" s="2018"/>
      <c r="U6083" s="2018"/>
      <c r="V6083" s="2018"/>
      <c r="W6083" s="2018"/>
      <c r="X6083" s="2018"/>
      <c r="Y6083" s="2018"/>
      <c r="Z6083" s="2021"/>
      <c r="AA6083" s="2021"/>
      <c r="AB6083" s="1050"/>
      <c r="AC6083" s="1050"/>
      <c r="AD6083" s="1050"/>
      <c r="AE6083" s="1050"/>
      <c r="AF6083" s="1052"/>
    </row>
    <row r="6084" spans="1:32" ht="15.6" customHeight="1" x14ac:dyDescent="0.25">
      <c r="A6084" s="2017"/>
      <c r="B6084" s="2018"/>
      <c r="C6084" s="2018"/>
      <c r="D6084" s="2018"/>
      <c r="E6084" s="2018"/>
      <c r="F6084" s="2018"/>
      <c r="G6084" s="2018"/>
      <c r="H6084" s="2018"/>
      <c r="I6084" s="2018"/>
      <c r="J6084" s="2018"/>
      <c r="K6084" s="2018"/>
      <c r="L6084" s="2018"/>
      <c r="M6084" s="2018"/>
      <c r="N6084" s="2018"/>
      <c r="O6084" s="2018"/>
      <c r="P6084" s="2018"/>
      <c r="Q6084" s="2018"/>
      <c r="R6084" s="2018"/>
      <c r="S6084" s="2018"/>
      <c r="T6084" s="2018"/>
      <c r="U6084" s="2018"/>
      <c r="V6084" s="2018"/>
      <c r="W6084" s="2018"/>
      <c r="X6084" s="2018"/>
      <c r="Y6084" s="2018"/>
      <c r="Z6084" s="2021"/>
      <c r="AA6084" s="2021"/>
      <c r="AB6084" s="1050"/>
      <c r="AC6084" s="1050"/>
      <c r="AD6084" s="1050"/>
      <c r="AE6084" s="1050"/>
      <c r="AF6084" s="1052"/>
    </row>
    <row r="6085" spans="1:32" ht="15.75" x14ac:dyDescent="0.25">
      <c r="A6085" s="2017"/>
      <c r="B6085" s="2018"/>
      <c r="C6085" s="2018"/>
      <c r="D6085" s="2018"/>
      <c r="E6085" s="2018"/>
      <c r="F6085" s="2018"/>
      <c r="G6085" s="2018"/>
      <c r="H6085" s="2018"/>
      <c r="I6085" s="2018"/>
      <c r="J6085" s="2018"/>
      <c r="K6085" s="2018"/>
      <c r="L6085" s="2018"/>
      <c r="M6085" s="2018"/>
      <c r="N6085" s="2018"/>
      <c r="O6085" s="2018"/>
      <c r="P6085" s="2018"/>
      <c r="Q6085" s="2018"/>
      <c r="R6085" s="2018"/>
      <c r="S6085" s="2018"/>
      <c r="T6085" s="2018"/>
      <c r="U6085" s="2018"/>
      <c r="V6085" s="2018"/>
      <c r="W6085" s="2018"/>
      <c r="X6085" s="2018"/>
      <c r="Y6085" s="2018"/>
      <c r="Z6085" s="2022"/>
      <c r="AA6085" s="2022"/>
      <c r="AB6085" s="1050"/>
      <c r="AC6085" s="1050"/>
      <c r="AD6085" s="1050"/>
      <c r="AE6085" s="1050"/>
      <c r="AF6085" s="1052"/>
    </row>
    <row r="6086" spans="1:32" ht="15.75" x14ac:dyDescent="0.25">
      <c r="A6086" s="2017"/>
      <c r="B6086" s="2018"/>
      <c r="C6086" s="2018"/>
      <c r="D6086" s="2018"/>
      <c r="E6086" s="2018"/>
      <c r="F6086" s="2018"/>
      <c r="G6086" s="2018"/>
      <c r="H6086" s="2018"/>
      <c r="I6086" s="2018"/>
      <c r="J6086" s="2018"/>
      <c r="K6086" s="2018"/>
      <c r="L6086" s="2018"/>
      <c r="M6086" s="2018"/>
      <c r="N6086" s="2018"/>
      <c r="O6086" s="2018"/>
      <c r="P6086" s="2018"/>
      <c r="Q6086" s="2018"/>
      <c r="R6086" s="2018"/>
      <c r="S6086" s="2018"/>
      <c r="T6086" s="2018"/>
      <c r="U6086" s="2018"/>
      <c r="V6086" s="2018"/>
      <c r="W6086" s="2018"/>
      <c r="X6086" s="2018"/>
      <c r="Y6086" s="2018"/>
      <c r="Z6086" s="2022"/>
      <c r="AA6086" s="2022"/>
      <c r="AB6086" s="1050"/>
      <c r="AC6086" s="1050"/>
      <c r="AD6086" s="1050"/>
      <c r="AE6086" s="1050"/>
      <c r="AF6086" s="1052"/>
    </row>
    <row r="6087" spans="1:32" ht="15.75" x14ac:dyDescent="0.25">
      <c r="A6087" s="2017"/>
      <c r="B6087" s="2018"/>
      <c r="C6087" s="2018"/>
      <c r="D6087" s="2018"/>
      <c r="E6087" s="2018"/>
      <c r="F6087" s="2018"/>
      <c r="G6087" s="2018"/>
      <c r="H6087" s="2018"/>
      <c r="I6087" s="2018"/>
      <c r="J6087" s="2018"/>
      <c r="K6087" s="2018"/>
      <c r="L6087" s="2018"/>
      <c r="M6087" s="2018"/>
      <c r="N6087" s="2018"/>
      <c r="O6087" s="2018"/>
      <c r="P6087" s="2018"/>
      <c r="Q6087" s="2018"/>
      <c r="R6087" s="2018"/>
      <c r="S6087" s="2018"/>
      <c r="T6087" s="2018"/>
      <c r="U6087" s="2018"/>
      <c r="V6087" s="2018"/>
      <c r="W6087" s="2018"/>
      <c r="X6087" s="2018"/>
      <c r="Y6087" s="2018"/>
      <c r="Z6087" s="2022"/>
      <c r="AA6087" s="2022"/>
      <c r="AB6087" s="1050"/>
      <c r="AC6087" s="1050"/>
      <c r="AD6087" s="1050"/>
      <c r="AE6087" s="1050"/>
      <c r="AF6087" s="1052"/>
    </row>
    <row r="6088" spans="1:32" ht="15.6" customHeight="1" x14ac:dyDescent="0.25">
      <c r="A6088" s="2017"/>
      <c r="B6088" s="2018"/>
      <c r="C6088" s="2018"/>
      <c r="D6088" s="2018"/>
      <c r="E6088" s="2018"/>
      <c r="F6088" s="2018"/>
      <c r="G6088" s="2018"/>
      <c r="H6088" s="2018"/>
      <c r="I6088" s="2018"/>
      <c r="J6088" s="2018"/>
      <c r="K6088" s="2018"/>
      <c r="L6088" s="2018"/>
      <c r="M6088" s="2018"/>
      <c r="N6088" s="2018"/>
      <c r="O6088" s="2018"/>
      <c r="P6088" s="2018"/>
      <c r="Q6088" s="2018"/>
      <c r="R6088" s="2018"/>
      <c r="S6088" s="2018"/>
      <c r="T6088" s="2018"/>
      <c r="U6088" s="2018"/>
      <c r="V6088" s="2018"/>
      <c r="W6088" s="2018"/>
      <c r="X6088" s="2018"/>
      <c r="Y6088" s="2018"/>
      <c r="Z6088" s="2022"/>
      <c r="AA6088" s="2022"/>
      <c r="AB6088" s="1050"/>
      <c r="AC6088" s="1050"/>
      <c r="AD6088" s="1050"/>
      <c r="AE6088" s="1050"/>
      <c r="AF6088" s="1052"/>
    </row>
    <row r="6089" spans="1:32" ht="15.75" x14ac:dyDescent="0.25">
      <c r="A6089" s="2017"/>
      <c r="B6089" s="2018"/>
      <c r="C6089" s="2018"/>
      <c r="D6089" s="2018"/>
      <c r="E6089" s="2018"/>
      <c r="F6089" s="2018"/>
      <c r="G6089" s="2018"/>
      <c r="H6089" s="2018"/>
      <c r="I6089" s="2018"/>
      <c r="J6089" s="2018"/>
      <c r="K6089" s="2018"/>
      <c r="L6089" s="2018"/>
      <c r="M6089" s="2018"/>
      <c r="N6089" s="2018"/>
      <c r="O6089" s="2018"/>
      <c r="P6089" s="2018"/>
      <c r="Q6089" s="2018"/>
      <c r="R6089" s="2018"/>
      <c r="S6089" s="2018"/>
      <c r="T6089" s="2018"/>
      <c r="U6089" s="2018"/>
      <c r="V6089" s="2018"/>
      <c r="W6089" s="2018"/>
      <c r="X6089" s="2018"/>
      <c r="Y6089" s="2018"/>
      <c r="Z6089" s="2022"/>
      <c r="AA6089" s="2022"/>
      <c r="AB6089" s="1050"/>
      <c r="AC6089" s="1050"/>
      <c r="AD6089" s="1050"/>
      <c r="AE6089" s="1050"/>
      <c r="AF6089" s="1052"/>
    </row>
    <row r="6090" spans="1:32" ht="15.75" x14ac:dyDescent="0.25">
      <c r="A6090" s="2017"/>
      <c r="B6090" s="2018"/>
      <c r="C6090" s="2018"/>
      <c r="D6090" s="2018"/>
      <c r="E6090" s="2018"/>
      <c r="F6090" s="2018"/>
      <c r="G6090" s="2018"/>
      <c r="H6090" s="2018"/>
      <c r="I6090" s="2018"/>
      <c r="J6090" s="2018"/>
      <c r="K6090" s="2018"/>
      <c r="L6090" s="2018"/>
      <c r="M6090" s="2018"/>
      <c r="N6090" s="2018"/>
      <c r="O6090" s="2018"/>
      <c r="P6090" s="2018"/>
      <c r="Q6090" s="2018"/>
      <c r="R6090" s="2018"/>
      <c r="S6090" s="2018"/>
      <c r="T6090" s="2018"/>
      <c r="U6090" s="2018"/>
      <c r="V6090" s="2018"/>
      <c r="W6090" s="2018"/>
      <c r="X6090" s="2018"/>
      <c r="Y6090" s="2018"/>
      <c r="Z6090" s="2022"/>
      <c r="AA6090" s="2022"/>
      <c r="AB6090" s="1050"/>
      <c r="AC6090" s="1050"/>
      <c r="AD6090" s="1050"/>
      <c r="AE6090" s="1050"/>
      <c r="AF6090" s="1052"/>
    </row>
    <row r="6091" spans="1:32" ht="15.75" x14ac:dyDescent="0.25">
      <c r="A6091" s="2017"/>
      <c r="B6091" s="2018"/>
      <c r="C6091" s="2018"/>
      <c r="D6091" s="2018"/>
      <c r="E6091" s="2018"/>
      <c r="F6091" s="2018"/>
      <c r="G6091" s="2018"/>
      <c r="H6091" s="2018"/>
      <c r="I6091" s="2018"/>
      <c r="J6091" s="2018"/>
      <c r="K6091" s="2018"/>
      <c r="L6091" s="2018"/>
      <c r="M6091" s="2018"/>
      <c r="N6091" s="2018"/>
      <c r="O6091" s="2018"/>
      <c r="P6091" s="2018"/>
      <c r="Q6091" s="2018"/>
      <c r="R6091" s="2018"/>
      <c r="S6091" s="2018"/>
      <c r="T6091" s="2018"/>
      <c r="U6091" s="2018"/>
      <c r="V6091" s="2018"/>
      <c r="W6091" s="2018"/>
      <c r="X6091" s="2018"/>
      <c r="Y6091" s="2018"/>
      <c r="Z6091" s="2022"/>
      <c r="AA6091" s="2022"/>
      <c r="AB6091" s="1050"/>
      <c r="AC6091" s="1050"/>
      <c r="AD6091" s="1050"/>
      <c r="AE6091" s="1050"/>
      <c r="AF6091" s="1052"/>
    </row>
    <row r="6092" spans="1:32" ht="15.75" x14ac:dyDescent="0.25">
      <c r="A6092" s="2017"/>
      <c r="B6092" s="2018"/>
      <c r="C6092" s="2018"/>
      <c r="D6092" s="2018"/>
      <c r="E6092" s="2018"/>
      <c r="F6092" s="2018"/>
      <c r="G6092" s="2018"/>
      <c r="H6092" s="2018"/>
      <c r="I6092" s="2018"/>
      <c r="J6092" s="2018"/>
      <c r="K6092" s="2018"/>
      <c r="L6092" s="2018"/>
      <c r="M6092" s="2018"/>
      <c r="N6092" s="2018"/>
      <c r="O6092" s="2018"/>
      <c r="P6092" s="2018"/>
      <c r="Q6092" s="2018"/>
      <c r="R6092" s="2018"/>
      <c r="S6092" s="2018"/>
      <c r="T6092" s="2018"/>
      <c r="U6092" s="2018"/>
      <c r="V6092" s="2018"/>
      <c r="W6092" s="2018"/>
      <c r="X6092" s="2018"/>
      <c r="Y6092" s="2018"/>
      <c r="Z6092" s="2022"/>
      <c r="AA6092" s="2022"/>
      <c r="AB6092" s="1050"/>
      <c r="AC6092" s="1050"/>
      <c r="AD6092" s="1050"/>
      <c r="AE6092" s="1050"/>
      <c r="AF6092" s="1052"/>
    </row>
    <row r="6093" spans="1:32" ht="15.75" x14ac:dyDescent="0.25">
      <c r="A6093" s="2017"/>
      <c r="B6093" s="2018"/>
      <c r="C6093" s="2018"/>
      <c r="D6093" s="2018"/>
      <c r="E6093" s="2018"/>
      <c r="F6093" s="2018"/>
      <c r="G6093" s="2018"/>
      <c r="H6093" s="2018"/>
      <c r="I6093" s="2018"/>
      <c r="J6093" s="2018"/>
      <c r="K6093" s="2018"/>
      <c r="L6093" s="2018"/>
      <c r="M6093" s="2018"/>
      <c r="N6093" s="2018"/>
      <c r="O6093" s="2018"/>
      <c r="P6093" s="2018"/>
      <c r="Q6093" s="2018"/>
      <c r="R6093" s="2018"/>
      <c r="S6093" s="2018"/>
      <c r="T6093" s="2018"/>
      <c r="U6093" s="2018"/>
      <c r="V6093" s="2018"/>
      <c r="W6093" s="2018"/>
      <c r="X6093" s="2018"/>
      <c r="Y6093" s="2018"/>
      <c r="Z6093" s="2022"/>
      <c r="AA6093" s="2022"/>
      <c r="AB6093" s="1050"/>
      <c r="AC6093" s="1050"/>
      <c r="AD6093" s="1050"/>
      <c r="AE6093" s="1050"/>
      <c r="AF6093" s="1052"/>
    </row>
    <row r="6094" spans="1:32" ht="15.75" x14ac:dyDescent="0.25">
      <c r="A6094" s="2017"/>
      <c r="B6094" s="2018"/>
      <c r="C6094" s="2018"/>
      <c r="D6094" s="2018"/>
      <c r="E6094" s="2018"/>
      <c r="F6094" s="2018"/>
      <c r="G6094" s="2018"/>
      <c r="H6094" s="2018"/>
      <c r="I6094" s="2018"/>
      <c r="J6094" s="2018"/>
      <c r="K6094" s="2018"/>
      <c r="L6094" s="2018"/>
      <c r="M6094" s="2018"/>
      <c r="N6094" s="2018"/>
      <c r="O6094" s="2018"/>
      <c r="P6094" s="2018"/>
      <c r="Q6094" s="2018"/>
      <c r="R6094" s="2018"/>
      <c r="S6094" s="2018"/>
      <c r="T6094" s="2018"/>
      <c r="U6094" s="2018"/>
      <c r="V6094" s="2018"/>
      <c r="W6094" s="2018"/>
      <c r="X6094" s="2018"/>
      <c r="Y6094" s="2018"/>
      <c r="Z6094" s="2023"/>
      <c r="AA6094" s="2023"/>
      <c r="AB6094" s="1050"/>
      <c r="AC6094" s="1050"/>
      <c r="AD6094" s="1050"/>
      <c r="AE6094" s="1050"/>
      <c r="AF6094" s="1052"/>
    </row>
    <row r="6095" spans="1:32" ht="15.75" x14ac:dyDescent="0.25">
      <c r="A6095" s="2017"/>
      <c r="B6095" s="2018"/>
      <c r="C6095" s="2018"/>
      <c r="D6095" s="2018"/>
      <c r="E6095" s="2018"/>
      <c r="F6095" s="2018"/>
      <c r="G6095" s="2018"/>
      <c r="H6095" s="2018"/>
      <c r="I6095" s="2018"/>
      <c r="J6095" s="2018"/>
      <c r="K6095" s="2018"/>
      <c r="L6095" s="2018"/>
      <c r="M6095" s="2018"/>
      <c r="N6095" s="2018"/>
      <c r="O6095" s="2018"/>
      <c r="P6095" s="2018"/>
      <c r="Q6095" s="2018"/>
      <c r="R6095" s="2018"/>
      <c r="S6095" s="2018"/>
      <c r="T6095" s="2018"/>
      <c r="U6095" s="2018"/>
      <c r="V6095" s="2018"/>
      <c r="W6095" s="2018"/>
      <c r="X6095" s="2018"/>
      <c r="Y6095" s="2018"/>
      <c r="Z6095" s="2023"/>
      <c r="AA6095" s="2023"/>
      <c r="AB6095" s="1050"/>
      <c r="AC6095" s="1050"/>
      <c r="AD6095" s="1050"/>
      <c r="AE6095" s="1050"/>
      <c r="AF6095" s="1052"/>
    </row>
    <row r="6096" spans="1:32" ht="15.75" x14ac:dyDescent="0.25">
      <c r="A6096" s="2017"/>
      <c r="B6096" s="2018"/>
      <c r="C6096" s="2018"/>
      <c r="D6096" s="2018"/>
      <c r="E6096" s="2018"/>
      <c r="F6096" s="2018"/>
      <c r="G6096" s="2018"/>
      <c r="H6096" s="2018"/>
      <c r="I6096" s="2018"/>
      <c r="J6096" s="2018"/>
      <c r="K6096" s="2018"/>
      <c r="L6096" s="2018"/>
      <c r="M6096" s="2018"/>
      <c r="N6096" s="2018"/>
      <c r="O6096" s="2018"/>
      <c r="P6096" s="2018"/>
      <c r="Q6096" s="2018"/>
      <c r="R6096" s="2018"/>
      <c r="S6096" s="2018"/>
      <c r="T6096" s="2018"/>
      <c r="U6096" s="2018"/>
      <c r="V6096" s="2018"/>
      <c r="W6096" s="2018"/>
      <c r="X6096" s="2018"/>
      <c r="Y6096" s="2018"/>
      <c r="Z6096" s="2023"/>
      <c r="AA6096" s="2023"/>
      <c r="AB6096" s="1050"/>
      <c r="AC6096" s="1050"/>
      <c r="AD6096" s="1050"/>
      <c r="AE6096" s="1050"/>
      <c r="AF6096" s="1052"/>
    </row>
    <row r="6097" spans="1:32" ht="15.75" x14ac:dyDescent="0.25">
      <c r="A6097" s="2017"/>
      <c r="B6097" s="2018"/>
      <c r="C6097" s="2018"/>
      <c r="D6097" s="2018"/>
      <c r="E6097" s="2018"/>
      <c r="F6097" s="2018"/>
      <c r="G6097" s="2018"/>
      <c r="H6097" s="2018"/>
      <c r="I6097" s="2018"/>
      <c r="J6097" s="2018"/>
      <c r="K6097" s="2018"/>
      <c r="L6097" s="2018"/>
      <c r="M6097" s="2018"/>
      <c r="N6097" s="2018"/>
      <c r="O6097" s="2018"/>
      <c r="P6097" s="2018"/>
      <c r="Q6097" s="2018"/>
      <c r="R6097" s="2018"/>
      <c r="S6097" s="2018"/>
      <c r="T6097" s="2018"/>
      <c r="U6097" s="2018"/>
      <c r="V6097" s="2018"/>
      <c r="W6097" s="2018"/>
      <c r="X6097" s="2018"/>
      <c r="Y6097" s="2018"/>
      <c r="Z6097" s="2023"/>
      <c r="AA6097" s="2023"/>
      <c r="AB6097" s="1050"/>
      <c r="AC6097" s="1050"/>
      <c r="AD6097" s="1050"/>
      <c r="AE6097" s="1050"/>
      <c r="AF6097" s="1052"/>
    </row>
    <row r="6098" spans="1:32" ht="15.75" x14ac:dyDescent="0.25">
      <c r="A6098" s="2017"/>
      <c r="B6098" s="2018"/>
      <c r="C6098" s="2018"/>
      <c r="D6098" s="2018"/>
      <c r="E6098" s="2018"/>
      <c r="F6098" s="2018"/>
      <c r="G6098" s="2018"/>
      <c r="H6098" s="2018"/>
      <c r="I6098" s="2018"/>
      <c r="J6098" s="2018"/>
      <c r="K6098" s="2018"/>
      <c r="L6098" s="2018"/>
      <c r="M6098" s="2018"/>
      <c r="N6098" s="2018"/>
      <c r="O6098" s="2018"/>
      <c r="P6098" s="2018"/>
      <c r="Q6098" s="2018"/>
      <c r="R6098" s="2018"/>
      <c r="S6098" s="2018"/>
      <c r="T6098" s="2018"/>
      <c r="U6098" s="2018"/>
      <c r="V6098" s="2018"/>
      <c r="W6098" s="2018"/>
      <c r="X6098" s="2018"/>
      <c r="Y6098" s="2018"/>
      <c r="Z6098" s="2023"/>
      <c r="AA6098" s="2023"/>
      <c r="AB6098" s="1050"/>
      <c r="AC6098" s="1050"/>
      <c r="AD6098" s="1050"/>
      <c r="AE6098" s="1050"/>
      <c r="AF6098" s="1052"/>
    </row>
    <row r="6099" spans="1:32" ht="15.75" x14ac:dyDescent="0.25">
      <c r="A6099" s="2017"/>
      <c r="B6099" s="2018"/>
      <c r="C6099" s="2018"/>
      <c r="D6099" s="2018"/>
      <c r="E6099" s="2018"/>
      <c r="F6099" s="2018"/>
      <c r="G6099" s="2018"/>
      <c r="H6099" s="2018"/>
      <c r="I6099" s="2018"/>
      <c r="J6099" s="2018"/>
      <c r="K6099" s="2018"/>
      <c r="L6099" s="2018"/>
      <c r="M6099" s="2018"/>
      <c r="N6099" s="2018"/>
      <c r="O6099" s="2018"/>
      <c r="P6099" s="2018"/>
      <c r="Q6099" s="2018"/>
      <c r="R6099" s="2018"/>
      <c r="S6099" s="2018"/>
      <c r="T6099" s="2018"/>
      <c r="U6099" s="2018"/>
      <c r="V6099" s="2018"/>
      <c r="W6099" s="2018"/>
      <c r="X6099" s="2018"/>
      <c r="Y6099" s="2018"/>
      <c r="Z6099" s="2023"/>
      <c r="AA6099" s="2023"/>
      <c r="AB6099" s="1050"/>
      <c r="AC6099" s="1050"/>
      <c r="AD6099" s="1050"/>
      <c r="AE6099" s="1050"/>
      <c r="AF6099" s="1052"/>
    </row>
    <row r="6100" spans="1:32" ht="16.5" thickBot="1" x14ac:dyDescent="0.3">
      <c r="A6100" s="2019"/>
      <c r="B6100" s="2020"/>
      <c r="C6100" s="2020"/>
      <c r="D6100" s="2020"/>
      <c r="E6100" s="2020"/>
      <c r="F6100" s="2020"/>
      <c r="G6100" s="2020"/>
      <c r="H6100" s="2020"/>
      <c r="I6100" s="2020"/>
      <c r="J6100" s="2020"/>
      <c r="K6100" s="2020"/>
      <c r="L6100" s="2020"/>
      <c r="M6100" s="2020"/>
      <c r="N6100" s="2020"/>
      <c r="O6100" s="2020"/>
      <c r="P6100" s="2020"/>
      <c r="Q6100" s="2020"/>
      <c r="R6100" s="2020"/>
      <c r="S6100" s="2020"/>
      <c r="T6100" s="2020"/>
      <c r="U6100" s="2020"/>
      <c r="V6100" s="2020"/>
      <c r="W6100" s="2020"/>
      <c r="X6100" s="2020"/>
      <c r="Y6100" s="2020"/>
      <c r="Z6100" s="2024"/>
      <c r="AA6100" s="2024"/>
      <c r="AB6100" s="1057"/>
      <c r="AC6100" s="1057"/>
      <c r="AD6100" s="1057"/>
      <c r="AE6100" s="1057"/>
      <c r="AF6100" s="1058"/>
    </row>
    <row r="6101" spans="1:32" ht="15.75" x14ac:dyDescent="0.25">
      <c r="A6101" s="2009" t="s">
        <v>1855</v>
      </c>
      <c r="B6101" s="2010"/>
      <c r="C6101" s="2010"/>
      <c r="D6101" s="2010"/>
      <c r="E6101" s="2010"/>
      <c r="F6101" s="2010"/>
      <c r="G6101" s="2010"/>
      <c r="H6101" s="2010"/>
      <c r="I6101" s="2010"/>
      <c r="J6101" s="2010"/>
      <c r="K6101" s="2010"/>
      <c r="L6101" s="2010"/>
      <c r="M6101" s="2010"/>
      <c r="N6101" s="2010"/>
      <c r="O6101" s="2010"/>
      <c r="P6101" s="2010"/>
      <c r="Q6101" s="2010"/>
      <c r="R6101" s="2010"/>
      <c r="S6101" s="2010"/>
      <c r="T6101" s="2010"/>
      <c r="U6101" s="2010"/>
      <c r="V6101" s="2010"/>
      <c r="W6101" s="2010"/>
      <c r="X6101" s="2010"/>
      <c r="Y6101" s="2010"/>
      <c r="Z6101" s="2013" t="s">
        <v>1850</v>
      </c>
      <c r="AA6101" s="2013"/>
      <c r="AB6101" s="2013"/>
      <c r="AC6101" s="2013"/>
      <c r="AD6101" s="2013"/>
      <c r="AE6101" s="2013"/>
      <c r="AF6101" s="1059">
        <f>SUM(AF6077:AF6100)</f>
        <v>0</v>
      </c>
    </row>
    <row r="6102" spans="1:32" ht="15.75" x14ac:dyDescent="0.25">
      <c r="A6102" s="2011"/>
      <c r="B6102" s="2012"/>
      <c r="C6102" s="2012"/>
      <c r="D6102" s="2012"/>
      <c r="E6102" s="2012"/>
      <c r="F6102" s="2012"/>
      <c r="G6102" s="2012"/>
      <c r="H6102" s="2012"/>
      <c r="I6102" s="2012"/>
      <c r="J6102" s="2012"/>
      <c r="K6102" s="2012"/>
      <c r="L6102" s="2012"/>
      <c r="M6102" s="2012"/>
      <c r="N6102" s="2012"/>
      <c r="O6102" s="2012"/>
      <c r="P6102" s="2012"/>
      <c r="Q6102" s="2012"/>
      <c r="R6102" s="2012"/>
      <c r="S6102" s="2012"/>
      <c r="T6102" s="2012"/>
      <c r="U6102" s="2012"/>
      <c r="V6102" s="2012"/>
      <c r="W6102" s="2012"/>
      <c r="X6102" s="2012"/>
      <c r="Y6102" s="2012"/>
      <c r="Z6102" s="2014" t="s">
        <v>1851</v>
      </c>
      <c r="AA6102" s="2014"/>
      <c r="AB6102" s="2014"/>
      <c r="AC6102" s="2014"/>
      <c r="AD6102" s="2014"/>
      <c r="AE6102" s="2014"/>
      <c r="AF6102" s="1060">
        <v>0</v>
      </c>
    </row>
    <row r="6103" spans="1:32" ht="15.75" x14ac:dyDescent="0.25">
      <c r="A6103" s="2011"/>
      <c r="B6103" s="2012"/>
      <c r="C6103" s="2012"/>
      <c r="D6103" s="2012"/>
      <c r="E6103" s="2012"/>
      <c r="F6103" s="2012"/>
      <c r="G6103" s="2012"/>
      <c r="H6103" s="2012"/>
      <c r="I6103" s="2012"/>
      <c r="J6103" s="2012"/>
      <c r="K6103" s="2012"/>
      <c r="L6103" s="2012"/>
      <c r="M6103" s="2012"/>
      <c r="N6103" s="2012"/>
      <c r="O6103" s="2012"/>
      <c r="P6103" s="2012"/>
      <c r="Q6103" s="2012"/>
      <c r="R6103" s="2012"/>
      <c r="S6103" s="2012"/>
      <c r="T6103" s="2012"/>
      <c r="U6103" s="2012"/>
      <c r="V6103" s="2012"/>
      <c r="W6103" s="2012"/>
      <c r="X6103" s="2012"/>
      <c r="Y6103" s="2012"/>
      <c r="Z6103" s="2015" t="s">
        <v>1833</v>
      </c>
      <c r="AA6103" s="2015"/>
      <c r="AB6103" s="2015"/>
      <c r="AC6103" s="2015"/>
      <c r="AD6103" s="2015"/>
      <c r="AE6103" s="2015"/>
      <c r="AF6103" s="1061">
        <f>SUM(AF6101:AF6102)</f>
        <v>0</v>
      </c>
    </row>
    <row r="6104" spans="1:32" x14ac:dyDescent="0.2">
      <c r="A6104" s="2012" t="s">
        <v>1859</v>
      </c>
      <c r="B6104" s="2012"/>
      <c r="C6104" s="2012"/>
      <c r="D6104" s="2012"/>
      <c r="E6104" s="2012"/>
      <c r="F6104" s="2012"/>
      <c r="G6104" s="2012"/>
      <c r="H6104" s="2012"/>
      <c r="I6104" s="2012"/>
      <c r="J6104" s="2012"/>
      <c r="K6104" s="2012"/>
      <c r="L6104" s="2012"/>
      <c r="M6104" s="2012"/>
      <c r="N6104" s="2012"/>
      <c r="O6104" s="2012"/>
      <c r="P6104" s="2012"/>
      <c r="Q6104" s="2012"/>
      <c r="R6104" s="2012"/>
      <c r="S6104" s="2012"/>
      <c r="T6104" s="2016" t="s">
        <v>1840</v>
      </c>
      <c r="U6104" s="2016"/>
      <c r="V6104" s="2016"/>
      <c r="W6104" s="2016"/>
      <c r="X6104" s="2016"/>
      <c r="Y6104" s="2016"/>
      <c r="Z6104" s="2016"/>
      <c r="AA6104" s="2016"/>
      <c r="AB6104" s="2012" t="s">
        <v>1852</v>
      </c>
      <c r="AC6104" s="2012"/>
      <c r="AD6104" s="2012"/>
      <c r="AE6104" s="2012"/>
      <c r="AF6104" s="2012"/>
    </row>
    <row r="6105" spans="1:32" x14ac:dyDescent="0.2">
      <c r="A6105" s="2012"/>
      <c r="B6105" s="2012"/>
      <c r="C6105" s="2012"/>
      <c r="D6105" s="2012"/>
      <c r="E6105" s="2012"/>
      <c r="F6105" s="2012"/>
      <c r="G6105" s="2012"/>
      <c r="H6105" s="2012"/>
      <c r="I6105" s="2012"/>
      <c r="J6105" s="2012"/>
      <c r="K6105" s="2012"/>
      <c r="L6105" s="2012"/>
      <c r="M6105" s="2012"/>
      <c r="N6105" s="2012"/>
      <c r="O6105" s="2012"/>
      <c r="P6105" s="2012"/>
      <c r="Q6105" s="2012"/>
      <c r="R6105" s="2012"/>
      <c r="S6105" s="2012"/>
      <c r="T6105" s="2016"/>
      <c r="U6105" s="2016"/>
      <c r="V6105" s="2016"/>
      <c r="W6105" s="2016"/>
      <c r="X6105" s="2016"/>
      <c r="Y6105" s="2016"/>
      <c r="Z6105" s="2016"/>
      <c r="AA6105" s="2016"/>
      <c r="AB6105" s="2012"/>
      <c r="AC6105" s="2012"/>
      <c r="AD6105" s="2012"/>
      <c r="AE6105" s="2012"/>
      <c r="AF6105" s="2012"/>
    </row>
    <row r="6106" spans="1:32" ht="13.5" thickBot="1" x14ac:dyDescent="0.25"/>
    <row r="6107" spans="1:32" ht="26.45" customHeight="1" x14ac:dyDescent="0.2">
      <c r="A6107" s="2025" t="s">
        <v>1854</v>
      </c>
      <c r="B6107" s="2026"/>
      <c r="C6107" s="2026"/>
      <c r="D6107" s="2026"/>
      <c r="E6107" s="2026"/>
      <c r="F6107" s="2026"/>
      <c r="G6107" s="2026"/>
      <c r="H6107" s="2026"/>
      <c r="I6107" s="2026"/>
      <c r="J6107" s="2026"/>
      <c r="K6107" s="2026"/>
      <c r="L6107" s="2026"/>
      <c r="M6107" s="2026"/>
      <c r="N6107" s="2026"/>
      <c r="O6107" s="2026"/>
      <c r="P6107" s="2026"/>
      <c r="Q6107" s="2026"/>
      <c r="R6107" s="2026"/>
      <c r="S6107" s="2026"/>
      <c r="T6107" s="2026"/>
      <c r="U6107" s="2026"/>
      <c r="V6107" s="2026"/>
      <c r="W6107" s="2026"/>
      <c r="X6107" s="2026"/>
      <c r="Y6107" s="2026"/>
      <c r="Z6107" s="2026"/>
      <c r="AA6107" s="2026"/>
      <c r="AB6107" s="2026"/>
      <c r="AC6107" s="2026"/>
      <c r="AD6107" s="2026"/>
      <c r="AE6107" s="1041" t="s">
        <v>1834</v>
      </c>
      <c r="AF6107" s="1042" t="s">
        <v>1835</v>
      </c>
    </row>
    <row r="6108" spans="1:32" ht="21" customHeight="1" thickBot="1" x14ac:dyDescent="0.25">
      <c r="A6108" s="2027"/>
      <c r="B6108" s="2028"/>
      <c r="C6108" s="2028"/>
      <c r="D6108" s="2028"/>
      <c r="E6108" s="2028"/>
      <c r="F6108" s="2028"/>
      <c r="G6108" s="2028"/>
      <c r="H6108" s="2028"/>
      <c r="I6108" s="2028"/>
      <c r="J6108" s="2028"/>
      <c r="K6108" s="2028"/>
      <c r="L6108" s="2028"/>
      <c r="M6108" s="2028"/>
      <c r="N6108" s="2028"/>
      <c r="O6108" s="2028"/>
      <c r="P6108" s="2028"/>
      <c r="Q6108" s="2028"/>
      <c r="R6108" s="2028"/>
      <c r="S6108" s="2028"/>
      <c r="T6108" s="2028"/>
      <c r="U6108" s="2028"/>
      <c r="V6108" s="2028"/>
      <c r="W6108" s="2028"/>
      <c r="X6108" s="2028"/>
      <c r="Y6108" s="2028"/>
      <c r="Z6108" s="2028"/>
      <c r="AA6108" s="2028"/>
      <c r="AB6108" s="2028"/>
      <c r="AC6108" s="2028"/>
      <c r="AD6108" s="2028"/>
      <c r="AE6108" s="1041" t="s">
        <v>1836</v>
      </c>
      <c r="AF6108" s="1044">
        <v>1</v>
      </c>
    </row>
    <row r="6109" spans="1:32" ht="15.75" x14ac:dyDescent="0.2">
      <c r="A6109" s="2029"/>
      <c r="B6109" s="2030"/>
      <c r="C6109" s="2030"/>
      <c r="D6109" s="2031"/>
      <c r="E6109" s="2025" t="str">
        <f>'01'!$A$12</f>
        <v>"CONSTRUCCION SISTEMA DE ACUEDUCTO FASE II DEL MUNICIPIO DE TESALIA DPTO DEL HUILA"</v>
      </c>
      <c r="F6109" s="2026"/>
      <c r="G6109" s="2026"/>
      <c r="H6109" s="2026"/>
      <c r="I6109" s="2026"/>
      <c r="J6109" s="2026"/>
      <c r="K6109" s="2026"/>
      <c r="L6109" s="2026"/>
      <c r="M6109" s="2026"/>
      <c r="N6109" s="2026"/>
      <c r="O6109" s="2026"/>
      <c r="P6109" s="2026"/>
      <c r="Q6109" s="2026"/>
      <c r="R6109" s="2026"/>
      <c r="S6109" s="2026"/>
      <c r="T6109" s="2026"/>
      <c r="U6109" s="2026"/>
      <c r="V6109" s="2026"/>
      <c r="W6109" s="2026"/>
      <c r="X6109" s="2026"/>
      <c r="Y6109" s="2026"/>
      <c r="Z6109" s="2026"/>
      <c r="AA6109" s="2026"/>
      <c r="AB6109" s="2026"/>
      <c r="AC6109" s="2026"/>
      <c r="AD6109" s="2035"/>
      <c r="AE6109" s="1041" t="s">
        <v>847</v>
      </c>
      <c r="AF6109" s="1045">
        <f>'01'!$M$13</f>
        <v>0</v>
      </c>
    </row>
    <row r="6110" spans="1:32" ht="16.5" thickBot="1" x14ac:dyDescent="0.25">
      <c r="A6110" s="2032"/>
      <c r="B6110" s="2033"/>
      <c r="C6110" s="2033"/>
      <c r="D6110" s="2034"/>
      <c r="E6110" s="2027"/>
      <c r="F6110" s="2028"/>
      <c r="G6110" s="2028"/>
      <c r="H6110" s="2028"/>
      <c r="I6110" s="2028"/>
      <c r="J6110" s="2028"/>
      <c r="K6110" s="2028"/>
      <c r="L6110" s="2028"/>
      <c r="M6110" s="2028"/>
      <c r="N6110" s="2028"/>
      <c r="O6110" s="2028"/>
      <c r="P6110" s="2028"/>
      <c r="Q6110" s="2028"/>
      <c r="R6110" s="2028"/>
      <c r="S6110" s="2028"/>
      <c r="T6110" s="2028"/>
      <c r="U6110" s="2028"/>
      <c r="V6110" s="2028"/>
      <c r="W6110" s="2028"/>
      <c r="X6110" s="2028"/>
      <c r="Y6110" s="2028"/>
      <c r="Z6110" s="2028"/>
      <c r="AA6110" s="2028"/>
      <c r="AB6110" s="2028"/>
      <c r="AC6110" s="2028"/>
      <c r="AD6110" s="2036"/>
      <c r="AE6110" s="1041" t="s">
        <v>1837</v>
      </c>
      <c r="AF6110" s="1042" t="s">
        <v>1838</v>
      </c>
    </row>
    <row r="6111" spans="1:32" ht="15.75" x14ac:dyDescent="0.25">
      <c r="A6111" s="2037" t="s">
        <v>1860</v>
      </c>
      <c r="B6111" s="2038"/>
      <c r="C6111" s="2038"/>
      <c r="D6111" s="2038"/>
      <c r="E6111" s="2038"/>
      <c r="F6111" s="2038"/>
      <c r="G6111" s="2038"/>
      <c r="H6111" s="2038"/>
      <c r="I6111" s="2038"/>
      <c r="J6111" s="2038"/>
      <c r="K6111" s="2038"/>
      <c r="L6111" s="2038"/>
      <c r="M6111" s="2038"/>
      <c r="N6111" s="2038"/>
      <c r="O6111" s="2038"/>
      <c r="P6111" s="2038"/>
      <c r="Q6111" s="2038"/>
      <c r="R6111" s="2038"/>
      <c r="S6111" s="2038"/>
      <c r="T6111" s="2038"/>
      <c r="U6111" s="2038"/>
      <c r="V6111" s="2038"/>
      <c r="W6111" s="2038"/>
      <c r="X6111" s="2038"/>
      <c r="Y6111" s="2038"/>
      <c r="Z6111" s="2038"/>
      <c r="AA6111" s="2038"/>
      <c r="AB6111" s="2038"/>
      <c r="AC6111" s="2038"/>
      <c r="AD6111" s="2038"/>
      <c r="AE6111" s="2039" t="s">
        <v>1839</v>
      </c>
      <c r="AF6111" s="2040"/>
    </row>
    <row r="6112" spans="1:32" ht="15.75" x14ac:dyDescent="0.25">
      <c r="A6112" s="2041" t="s">
        <v>1840</v>
      </c>
      <c r="B6112" s="2042"/>
      <c r="C6112" s="2042"/>
      <c r="D6112" s="2042"/>
      <c r="E6112" s="2042"/>
      <c r="F6112" s="2042"/>
      <c r="G6112" s="2042"/>
      <c r="H6112" s="2042"/>
      <c r="I6112" s="2042"/>
      <c r="J6112" s="2042"/>
      <c r="K6112" s="2042"/>
      <c r="L6112" s="2042"/>
      <c r="M6112" s="2042"/>
      <c r="N6112" s="2042"/>
      <c r="O6112" s="2042"/>
      <c r="P6112" s="2042"/>
      <c r="Q6112" s="2042"/>
      <c r="R6112" s="2042"/>
      <c r="S6112" s="2042"/>
      <c r="T6112" s="2042"/>
      <c r="U6112" s="2042"/>
      <c r="V6112" s="2042"/>
      <c r="W6112" s="2042"/>
      <c r="X6112" s="2042"/>
      <c r="Y6112" s="2042"/>
      <c r="Z6112" s="2042"/>
      <c r="AA6112" s="2042"/>
      <c r="AB6112" s="2042"/>
      <c r="AC6112" s="2042"/>
      <c r="AD6112" s="2043"/>
      <c r="AE6112" s="2014" t="s">
        <v>1841</v>
      </c>
      <c r="AF6112" s="2044"/>
    </row>
    <row r="6113" spans="1:32" ht="15.75" x14ac:dyDescent="0.25">
      <c r="A6113" s="2045" t="s">
        <v>1853</v>
      </c>
      <c r="B6113" s="2046"/>
      <c r="C6113" s="2046"/>
      <c r="D6113" s="2046"/>
      <c r="E6113" s="2046"/>
      <c r="F6113" s="2046"/>
      <c r="G6113" s="2046"/>
      <c r="H6113" s="2046"/>
      <c r="I6113" s="2046"/>
      <c r="J6113" s="2046"/>
      <c r="K6113" s="2046"/>
      <c r="L6113" s="2046"/>
      <c r="M6113" s="2046"/>
      <c r="N6113" s="2046"/>
      <c r="O6113" s="2046"/>
      <c r="P6113" s="2046"/>
      <c r="Q6113" s="2046"/>
      <c r="R6113" s="2046"/>
      <c r="S6113" s="2046"/>
      <c r="T6113" s="2046"/>
      <c r="U6113" s="2046"/>
      <c r="V6113" s="2046"/>
      <c r="W6113" s="2046"/>
      <c r="X6113" s="2046"/>
      <c r="Y6113" s="2046"/>
      <c r="Z6113" s="2046"/>
      <c r="AA6113" s="2046"/>
      <c r="AB6113" s="2046"/>
      <c r="AC6113" s="2046"/>
      <c r="AD6113" s="2046"/>
      <c r="AE6113" s="2047">
        <f>'01'!$M$13</f>
        <v>0</v>
      </c>
      <c r="AF6113" s="2044"/>
    </row>
    <row r="6114" spans="1:32" x14ac:dyDescent="0.2">
      <c r="A6114" s="1046"/>
      <c r="B6114" s="1047"/>
      <c r="C6114" s="1047"/>
      <c r="D6114" s="1047"/>
      <c r="E6114" s="1047"/>
      <c r="F6114" s="1047"/>
      <c r="G6114" s="1047"/>
      <c r="H6114" s="1047"/>
      <c r="I6114" s="1047"/>
      <c r="J6114" s="1047"/>
      <c r="K6114" s="1047"/>
      <c r="L6114" s="1047"/>
      <c r="M6114" s="1047"/>
      <c r="N6114" s="1047"/>
      <c r="O6114" s="1047"/>
      <c r="P6114" s="1047"/>
      <c r="Q6114" s="1047"/>
      <c r="R6114" s="1047"/>
      <c r="S6114" s="1047"/>
      <c r="T6114" s="1047"/>
      <c r="U6114" s="1047"/>
      <c r="V6114" s="1047"/>
      <c r="W6114" s="1047"/>
      <c r="X6114" s="1047"/>
      <c r="Y6114" s="1047"/>
      <c r="Z6114" s="1047"/>
      <c r="AA6114" s="1047"/>
      <c r="AB6114" s="1047"/>
      <c r="AC6114" s="1047"/>
      <c r="AD6114" s="1047"/>
      <c r="AE6114" s="1047"/>
      <c r="AF6114" s="1048"/>
    </row>
    <row r="6115" spans="1:32" ht="30" customHeight="1" x14ac:dyDescent="0.2">
      <c r="A6115" s="2048" t="s">
        <v>1842</v>
      </c>
      <c r="B6115" s="2049"/>
      <c r="C6115" s="2049"/>
      <c r="D6115" s="2049"/>
      <c r="E6115" s="2049"/>
      <c r="F6115" s="2050" t="str">
        <f>+'01'!$H$247</f>
        <v>J - CASETA DE OPERACIONES</v>
      </c>
      <c r="G6115" s="2049"/>
      <c r="H6115" s="2049"/>
      <c r="I6115" s="2049"/>
      <c r="J6115" s="2049"/>
      <c r="K6115" s="2049"/>
      <c r="L6115" s="2049"/>
      <c r="M6115" s="2049"/>
      <c r="N6115" s="2049"/>
      <c r="O6115" s="2049"/>
      <c r="P6115" s="2049"/>
      <c r="Q6115" s="2049"/>
      <c r="R6115" s="2049"/>
      <c r="S6115" s="2049"/>
      <c r="T6115" s="2049"/>
      <c r="U6115" s="2049"/>
      <c r="V6115" s="2049"/>
      <c r="W6115" s="2049"/>
      <c r="X6115" s="2049"/>
      <c r="Y6115" s="2051"/>
      <c r="Z6115" s="2052" t="s">
        <v>1843</v>
      </c>
      <c r="AA6115" s="2053"/>
      <c r="AB6115" s="2058" t="s">
        <v>1844</v>
      </c>
      <c r="AC6115" s="2059"/>
      <c r="AD6115" s="2060"/>
      <c r="AE6115" s="2064" t="s">
        <v>1845</v>
      </c>
      <c r="AF6115" s="2067" t="s">
        <v>1846</v>
      </c>
    </row>
    <row r="6116" spans="1:32" ht="15" customHeight="1" x14ac:dyDescent="0.2">
      <c r="A6116" s="2070" t="str">
        <f>+'01'!A254</f>
        <v>J-03-02</v>
      </c>
      <c r="B6116" s="2071"/>
      <c r="C6116" s="2072"/>
      <c r="D6116" s="2076" t="str">
        <f>VLOOKUP(A6116,'01'!$A$12:$N$299,3,FALSE)</f>
        <v>RELLENO CON MATERIAL SELECCIONADO DE LA EXCAVACIÓN, COMPACTADO CON EQUIPO MECÁNICO EN CAPAS DE 0,20 m</v>
      </c>
      <c r="E6116" s="2077"/>
      <c r="F6116" s="2077"/>
      <c r="G6116" s="2077"/>
      <c r="H6116" s="2077"/>
      <c r="I6116" s="2077"/>
      <c r="J6116" s="2077"/>
      <c r="K6116" s="2077"/>
      <c r="L6116" s="2077"/>
      <c r="M6116" s="2077"/>
      <c r="N6116" s="2077"/>
      <c r="O6116" s="2077"/>
      <c r="P6116" s="2077"/>
      <c r="Q6116" s="2077"/>
      <c r="R6116" s="2077"/>
      <c r="S6116" s="2078"/>
      <c r="T6116" s="2082" t="s">
        <v>124</v>
      </c>
      <c r="U6116" s="2083"/>
      <c r="V6116" s="2083"/>
      <c r="W6116" s="2083"/>
      <c r="X6116" s="2052" t="str">
        <f>VLOOKUP(A6116,'01'!$A$12:$N$299,9,FALSE)</f>
        <v>M3</v>
      </c>
      <c r="Y6116" s="2053"/>
      <c r="Z6116" s="2054"/>
      <c r="AA6116" s="2055"/>
      <c r="AB6116" s="2061"/>
      <c r="AC6116" s="2062"/>
      <c r="AD6116" s="2063"/>
      <c r="AE6116" s="2065"/>
      <c r="AF6116" s="2068"/>
    </row>
    <row r="6117" spans="1:32" ht="15" customHeight="1" x14ac:dyDescent="0.25">
      <c r="A6117" s="2073"/>
      <c r="B6117" s="2074"/>
      <c r="C6117" s="2075"/>
      <c r="D6117" s="2079"/>
      <c r="E6117" s="2080"/>
      <c r="F6117" s="2080"/>
      <c r="G6117" s="2080"/>
      <c r="H6117" s="2080"/>
      <c r="I6117" s="2080"/>
      <c r="J6117" s="2080"/>
      <c r="K6117" s="2080"/>
      <c r="L6117" s="2080"/>
      <c r="M6117" s="2080"/>
      <c r="N6117" s="2080"/>
      <c r="O6117" s="2080"/>
      <c r="P6117" s="2080"/>
      <c r="Q6117" s="2080"/>
      <c r="R6117" s="2080"/>
      <c r="S6117" s="2081"/>
      <c r="T6117" s="2084"/>
      <c r="U6117" s="2085"/>
      <c r="V6117" s="2085"/>
      <c r="W6117" s="2085"/>
      <c r="X6117" s="2056"/>
      <c r="Y6117" s="2057"/>
      <c r="Z6117" s="2056"/>
      <c r="AA6117" s="2057"/>
      <c r="AB6117" s="1049" t="s">
        <v>1847</v>
      </c>
      <c r="AC6117" s="1049" t="s">
        <v>1848</v>
      </c>
      <c r="AD6117" s="1049" t="s">
        <v>1861</v>
      </c>
      <c r="AE6117" s="2066"/>
      <c r="AF6117" s="2069"/>
    </row>
    <row r="6118" spans="1:32" ht="30" customHeight="1" x14ac:dyDescent="0.25">
      <c r="A6118" s="2017"/>
      <c r="B6118" s="2018"/>
      <c r="C6118" s="2018"/>
      <c r="D6118" s="2018"/>
      <c r="E6118" s="2018"/>
      <c r="F6118" s="2018"/>
      <c r="G6118" s="2018"/>
      <c r="H6118" s="2018"/>
      <c r="I6118" s="2018"/>
      <c r="J6118" s="2018"/>
      <c r="K6118" s="2018"/>
      <c r="L6118" s="2018"/>
      <c r="M6118" s="2018"/>
      <c r="N6118" s="2018"/>
      <c r="O6118" s="2018"/>
      <c r="P6118" s="2018"/>
      <c r="Q6118" s="2018"/>
      <c r="R6118" s="2018"/>
      <c r="S6118" s="2018"/>
      <c r="T6118" s="2018"/>
      <c r="U6118" s="2018"/>
      <c r="V6118" s="2018"/>
      <c r="W6118" s="2018"/>
      <c r="X6118" s="2018"/>
      <c r="Y6118" s="2018"/>
      <c r="Z6118" s="2021"/>
      <c r="AA6118" s="2021"/>
      <c r="AB6118" s="1050"/>
      <c r="AC6118" s="1050"/>
      <c r="AD6118" s="1050"/>
      <c r="AE6118" s="1050"/>
      <c r="AF6118" s="1052"/>
    </row>
    <row r="6119" spans="1:32" ht="15.6" customHeight="1" x14ac:dyDescent="0.25">
      <c r="A6119" s="2017"/>
      <c r="B6119" s="2018"/>
      <c r="C6119" s="2018"/>
      <c r="D6119" s="2018"/>
      <c r="E6119" s="2018"/>
      <c r="F6119" s="2018"/>
      <c r="G6119" s="2018"/>
      <c r="H6119" s="2018"/>
      <c r="I6119" s="2018"/>
      <c r="J6119" s="2018"/>
      <c r="K6119" s="2018"/>
      <c r="L6119" s="2018"/>
      <c r="M6119" s="2018"/>
      <c r="N6119" s="2018"/>
      <c r="O6119" s="2018"/>
      <c r="P6119" s="2018"/>
      <c r="Q6119" s="2018"/>
      <c r="R6119" s="2018"/>
      <c r="S6119" s="2018"/>
      <c r="T6119" s="2018"/>
      <c r="U6119" s="2018"/>
      <c r="V6119" s="2018"/>
      <c r="W6119" s="2018"/>
      <c r="X6119" s="2018"/>
      <c r="Y6119" s="2018"/>
      <c r="Z6119" s="2021"/>
      <c r="AA6119" s="2021"/>
      <c r="AB6119" s="1050"/>
      <c r="AC6119" s="1050"/>
      <c r="AD6119" s="1050"/>
      <c r="AE6119" s="1050"/>
      <c r="AF6119" s="1052"/>
    </row>
    <row r="6120" spans="1:32" ht="15.6" customHeight="1" x14ac:dyDescent="0.25">
      <c r="A6120" s="2017"/>
      <c r="B6120" s="2018"/>
      <c r="C6120" s="2018"/>
      <c r="D6120" s="2018"/>
      <c r="E6120" s="2018"/>
      <c r="F6120" s="2018"/>
      <c r="G6120" s="2018"/>
      <c r="H6120" s="2018"/>
      <c r="I6120" s="2018"/>
      <c r="J6120" s="2018"/>
      <c r="K6120" s="2018"/>
      <c r="L6120" s="2018"/>
      <c r="M6120" s="2018"/>
      <c r="N6120" s="2018"/>
      <c r="O6120" s="2018"/>
      <c r="P6120" s="2018"/>
      <c r="Q6120" s="2018"/>
      <c r="R6120" s="2018"/>
      <c r="S6120" s="2018"/>
      <c r="T6120" s="2018"/>
      <c r="U6120" s="2018"/>
      <c r="V6120" s="2018"/>
      <c r="W6120" s="2018"/>
      <c r="X6120" s="2018"/>
      <c r="Y6120" s="2018"/>
      <c r="Z6120" s="2021"/>
      <c r="AA6120" s="2021"/>
      <c r="AB6120" s="1050"/>
      <c r="AC6120" s="1050"/>
      <c r="AD6120" s="1050"/>
      <c r="AE6120" s="1050"/>
      <c r="AF6120" s="1052"/>
    </row>
    <row r="6121" spans="1:32" ht="15.75" x14ac:dyDescent="0.25">
      <c r="A6121" s="2017"/>
      <c r="B6121" s="2018"/>
      <c r="C6121" s="2018"/>
      <c r="D6121" s="2018"/>
      <c r="E6121" s="2018"/>
      <c r="F6121" s="2018"/>
      <c r="G6121" s="2018"/>
      <c r="H6121" s="2018"/>
      <c r="I6121" s="2018"/>
      <c r="J6121" s="2018"/>
      <c r="K6121" s="2018"/>
      <c r="L6121" s="2018"/>
      <c r="M6121" s="2018"/>
      <c r="N6121" s="2018"/>
      <c r="O6121" s="2018"/>
      <c r="P6121" s="2018"/>
      <c r="Q6121" s="2018"/>
      <c r="R6121" s="2018"/>
      <c r="S6121" s="2018"/>
      <c r="T6121" s="2018"/>
      <c r="U6121" s="2018"/>
      <c r="V6121" s="2018"/>
      <c r="W6121" s="2018"/>
      <c r="X6121" s="2018"/>
      <c r="Y6121" s="2018"/>
      <c r="Z6121" s="2021"/>
      <c r="AA6121" s="2021"/>
      <c r="AB6121" s="1050"/>
      <c r="AC6121" s="1050"/>
      <c r="AD6121" s="1050"/>
      <c r="AE6121" s="1050"/>
      <c r="AF6121" s="1052"/>
    </row>
    <row r="6122" spans="1:32" ht="15.6" customHeight="1" x14ac:dyDescent="0.25">
      <c r="A6122" s="2017"/>
      <c r="B6122" s="2018"/>
      <c r="C6122" s="2018"/>
      <c r="D6122" s="2018"/>
      <c r="E6122" s="2018"/>
      <c r="F6122" s="2018"/>
      <c r="G6122" s="2018"/>
      <c r="H6122" s="2018"/>
      <c r="I6122" s="2018"/>
      <c r="J6122" s="2018"/>
      <c r="K6122" s="2018"/>
      <c r="L6122" s="2018"/>
      <c r="M6122" s="2018"/>
      <c r="N6122" s="2018"/>
      <c r="O6122" s="2018"/>
      <c r="P6122" s="2018"/>
      <c r="Q6122" s="2018"/>
      <c r="R6122" s="2018"/>
      <c r="S6122" s="2018"/>
      <c r="T6122" s="2018"/>
      <c r="U6122" s="2018"/>
      <c r="V6122" s="2018"/>
      <c r="W6122" s="2018"/>
      <c r="X6122" s="2018"/>
      <c r="Y6122" s="2018"/>
      <c r="Z6122" s="2021"/>
      <c r="AA6122" s="2021"/>
      <c r="AB6122" s="1050"/>
      <c r="AC6122" s="1050"/>
      <c r="AD6122" s="1050"/>
      <c r="AE6122" s="1050"/>
      <c r="AF6122" s="1052"/>
    </row>
    <row r="6123" spans="1:32" ht="15.75" x14ac:dyDescent="0.25">
      <c r="A6123" s="2017"/>
      <c r="B6123" s="2018"/>
      <c r="C6123" s="2018"/>
      <c r="D6123" s="2018"/>
      <c r="E6123" s="2018"/>
      <c r="F6123" s="2018"/>
      <c r="G6123" s="2018"/>
      <c r="H6123" s="2018"/>
      <c r="I6123" s="2018"/>
      <c r="J6123" s="2018"/>
      <c r="K6123" s="2018"/>
      <c r="L6123" s="2018"/>
      <c r="M6123" s="2018"/>
      <c r="N6123" s="2018"/>
      <c r="O6123" s="2018"/>
      <c r="P6123" s="2018"/>
      <c r="Q6123" s="2018"/>
      <c r="R6123" s="2018"/>
      <c r="S6123" s="2018"/>
      <c r="T6123" s="2018"/>
      <c r="U6123" s="2018"/>
      <c r="V6123" s="2018"/>
      <c r="W6123" s="2018"/>
      <c r="X6123" s="2018"/>
      <c r="Y6123" s="2018"/>
      <c r="Z6123" s="2021"/>
      <c r="AA6123" s="2021"/>
      <c r="AB6123" s="1050"/>
      <c r="AC6123" s="1050"/>
      <c r="AD6123" s="1050"/>
      <c r="AE6123" s="1050"/>
      <c r="AF6123" s="1052"/>
    </row>
    <row r="6124" spans="1:32" ht="15.75" x14ac:dyDescent="0.25">
      <c r="A6124" s="2017"/>
      <c r="B6124" s="2018"/>
      <c r="C6124" s="2018"/>
      <c r="D6124" s="2018"/>
      <c r="E6124" s="2018"/>
      <c r="F6124" s="2018"/>
      <c r="G6124" s="2018"/>
      <c r="H6124" s="2018"/>
      <c r="I6124" s="2018"/>
      <c r="J6124" s="2018"/>
      <c r="K6124" s="2018"/>
      <c r="L6124" s="2018"/>
      <c r="M6124" s="2018"/>
      <c r="N6124" s="2018"/>
      <c r="O6124" s="2018"/>
      <c r="P6124" s="2018"/>
      <c r="Q6124" s="2018"/>
      <c r="R6124" s="2018"/>
      <c r="S6124" s="2018"/>
      <c r="T6124" s="2018"/>
      <c r="U6124" s="2018"/>
      <c r="V6124" s="2018"/>
      <c r="W6124" s="2018"/>
      <c r="X6124" s="2018"/>
      <c r="Y6124" s="2018"/>
      <c r="Z6124" s="2021"/>
      <c r="AA6124" s="2021"/>
      <c r="AB6124" s="1050"/>
      <c r="AC6124" s="1050"/>
      <c r="AD6124" s="1050"/>
      <c r="AE6124" s="1050"/>
      <c r="AF6124" s="1052"/>
    </row>
    <row r="6125" spans="1:32" ht="15.6" customHeight="1" x14ac:dyDescent="0.25">
      <c r="A6125" s="2017"/>
      <c r="B6125" s="2018"/>
      <c r="C6125" s="2018"/>
      <c r="D6125" s="2018"/>
      <c r="E6125" s="2018"/>
      <c r="F6125" s="2018"/>
      <c r="G6125" s="2018"/>
      <c r="H6125" s="2018"/>
      <c r="I6125" s="2018"/>
      <c r="J6125" s="2018"/>
      <c r="K6125" s="2018"/>
      <c r="L6125" s="2018"/>
      <c r="M6125" s="2018"/>
      <c r="N6125" s="2018"/>
      <c r="O6125" s="2018"/>
      <c r="P6125" s="2018"/>
      <c r="Q6125" s="2018"/>
      <c r="R6125" s="2018"/>
      <c r="S6125" s="2018"/>
      <c r="T6125" s="2018"/>
      <c r="U6125" s="2018"/>
      <c r="V6125" s="2018"/>
      <c r="W6125" s="2018"/>
      <c r="X6125" s="2018"/>
      <c r="Y6125" s="2018"/>
      <c r="Z6125" s="2021"/>
      <c r="AA6125" s="2021"/>
      <c r="AB6125" s="1050"/>
      <c r="AC6125" s="1050"/>
      <c r="AD6125" s="1050"/>
      <c r="AE6125" s="1050"/>
      <c r="AF6125" s="1052"/>
    </row>
    <row r="6126" spans="1:32" ht="15.75" x14ac:dyDescent="0.25">
      <c r="A6126" s="2017"/>
      <c r="B6126" s="2018"/>
      <c r="C6126" s="2018"/>
      <c r="D6126" s="2018"/>
      <c r="E6126" s="2018"/>
      <c r="F6126" s="2018"/>
      <c r="G6126" s="2018"/>
      <c r="H6126" s="2018"/>
      <c r="I6126" s="2018"/>
      <c r="J6126" s="2018"/>
      <c r="K6126" s="2018"/>
      <c r="L6126" s="2018"/>
      <c r="M6126" s="2018"/>
      <c r="N6126" s="2018"/>
      <c r="O6126" s="2018"/>
      <c r="P6126" s="2018"/>
      <c r="Q6126" s="2018"/>
      <c r="R6126" s="2018"/>
      <c r="S6126" s="2018"/>
      <c r="T6126" s="2018"/>
      <c r="U6126" s="2018"/>
      <c r="V6126" s="2018"/>
      <c r="W6126" s="2018"/>
      <c r="X6126" s="2018"/>
      <c r="Y6126" s="2018"/>
      <c r="Z6126" s="2022"/>
      <c r="AA6126" s="2022"/>
      <c r="AB6126" s="1050"/>
      <c r="AC6126" s="1050"/>
      <c r="AD6126" s="1050"/>
      <c r="AE6126" s="1050"/>
      <c r="AF6126" s="1052"/>
    </row>
    <row r="6127" spans="1:32" ht="15.75" x14ac:dyDescent="0.25">
      <c r="A6127" s="2017"/>
      <c r="B6127" s="2018"/>
      <c r="C6127" s="2018"/>
      <c r="D6127" s="2018"/>
      <c r="E6127" s="2018"/>
      <c r="F6127" s="2018"/>
      <c r="G6127" s="2018"/>
      <c r="H6127" s="2018"/>
      <c r="I6127" s="2018"/>
      <c r="J6127" s="2018"/>
      <c r="K6127" s="2018"/>
      <c r="L6127" s="2018"/>
      <c r="M6127" s="2018"/>
      <c r="N6127" s="2018"/>
      <c r="O6127" s="2018"/>
      <c r="P6127" s="2018"/>
      <c r="Q6127" s="2018"/>
      <c r="R6127" s="2018"/>
      <c r="S6127" s="2018"/>
      <c r="T6127" s="2018"/>
      <c r="U6127" s="2018"/>
      <c r="V6127" s="2018"/>
      <c r="W6127" s="2018"/>
      <c r="X6127" s="2018"/>
      <c r="Y6127" s="2018"/>
      <c r="Z6127" s="2022"/>
      <c r="AA6127" s="2022"/>
      <c r="AB6127" s="1050"/>
      <c r="AC6127" s="1050"/>
      <c r="AD6127" s="1050"/>
      <c r="AE6127" s="1050"/>
      <c r="AF6127" s="1052"/>
    </row>
    <row r="6128" spans="1:32" ht="15.75" x14ac:dyDescent="0.25">
      <c r="A6128" s="2017"/>
      <c r="B6128" s="2018"/>
      <c r="C6128" s="2018"/>
      <c r="D6128" s="2018"/>
      <c r="E6128" s="2018"/>
      <c r="F6128" s="2018"/>
      <c r="G6128" s="2018"/>
      <c r="H6128" s="2018"/>
      <c r="I6128" s="2018"/>
      <c r="J6128" s="2018"/>
      <c r="K6128" s="2018"/>
      <c r="L6128" s="2018"/>
      <c r="M6128" s="2018"/>
      <c r="N6128" s="2018"/>
      <c r="O6128" s="2018"/>
      <c r="P6128" s="2018"/>
      <c r="Q6128" s="2018"/>
      <c r="R6128" s="2018"/>
      <c r="S6128" s="2018"/>
      <c r="T6128" s="2018"/>
      <c r="U6128" s="2018"/>
      <c r="V6128" s="2018"/>
      <c r="W6128" s="2018"/>
      <c r="X6128" s="2018"/>
      <c r="Y6128" s="2018"/>
      <c r="Z6128" s="2022"/>
      <c r="AA6128" s="2022"/>
      <c r="AB6128" s="1050"/>
      <c r="AC6128" s="1050"/>
      <c r="AD6128" s="1050"/>
      <c r="AE6128" s="1050"/>
      <c r="AF6128" s="1052"/>
    </row>
    <row r="6129" spans="1:32" ht="15.6" customHeight="1" x14ac:dyDescent="0.25">
      <c r="A6129" s="2017"/>
      <c r="B6129" s="2018"/>
      <c r="C6129" s="2018"/>
      <c r="D6129" s="2018"/>
      <c r="E6129" s="2018"/>
      <c r="F6129" s="2018"/>
      <c r="G6129" s="2018"/>
      <c r="H6129" s="2018"/>
      <c r="I6129" s="2018"/>
      <c r="J6129" s="2018"/>
      <c r="K6129" s="2018"/>
      <c r="L6129" s="2018"/>
      <c r="M6129" s="2018"/>
      <c r="N6129" s="2018"/>
      <c r="O6129" s="2018"/>
      <c r="P6129" s="2018"/>
      <c r="Q6129" s="2018"/>
      <c r="R6129" s="2018"/>
      <c r="S6129" s="2018"/>
      <c r="T6129" s="2018"/>
      <c r="U6129" s="2018"/>
      <c r="V6129" s="2018"/>
      <c r="W6129" s="2018"/>
      <c r="X6129" s="2018"/>
      <c r="Y6129" s="2018"/>
      <c r="Z6129" s="2022"/>
      <c r="AA6129" s="2022"/>
      <c r="AB6129" s="1050"/>
      <c r="AC6129" s="1050"/>
      <c r="AD6129" s="1050"/>
      <c r="AE6129" s="1050"/>
      <c r="AF6129" s="1052"/>
    </row>
    <row r="6130" spans="1:32" ht="15.75" x14ac:dyDescent="0.25">
      <c r="A6130" s="2017"/>
      <c r="B6130" s="2018"/>
      <c r="C6130" s="2018"/>
      <c r="D6130" s="2018"/>
      <c r="E6130" s="2018"/>
      <c r="F6130" s="2018"/>
      <c r="G6130" s="2018"/>
      <c r="H6130" s="2018"/>
      <c r="I6130" s="2018"/>
      <c r="J6130" s="2018"/>
      <c r="K6130" s="2018"/>
      <c r="L6130" s="2018"/>
      <c r="M6130" s="2018"/>
      <c r="N6130" s="2018"/>
      <c r="O6130" s="2018"/>
      <c r="P6130" s="2018"/>
      <c r="Q6130" s="2018"/>
      <c r="R6130" s="2018"/>
      <c r="S6130" s="2018"/>
      <c r="T6130" s="2018"/>
      <c r="U6130" s="2018"/>
      <c r="V6130" s="2018"/>
      <c r="W6130" s="2018"/>
      <c r="X6130" s="2018"/>
      <c r="Y6130" s="2018"/>
      <c r="Z6130" s="2022"/>
      <c r="AA6130" s="2022"/>
      <c r="AB6130" s="1050"/>
      <c r="AC6130" s="1050"/>
      <c r="AD6130" s="1050"/>
      <c r="AE6130" s="1050"/>
      <c r="AF6130" s="1052"/>
    </row>
    <row r="6131" spans="1:32" ht="15.75" x14ac:dyDescent="0.25">
      <c r="A6131" s="2017"/>
      <c r="B6131" s="2018"/>
      <c r="C6131" s="2018"/>
      <c r="D6131" s="2018"/>
      <c r="E6131" s="2018"/>
      <c r="F6131" s="2018"/>
      <c r="G6131" s="2018"/>
      <c r="H6131" s="2018"/>
      <c r="I6131" s="2018"/>
      <c r="J6131" s="2018"/>
      <c r="K6131" s="2018"/>
      <c r="L6131" s="2018"/>
      <c r="M6131" s="2018"/>
      <c r="N6131" s="2018"/>
      <c r="O6131" s="2018"/>
      <c r="P6131" s="2018"/>
      <c r="Q6131" s="2018"/>
      <c r="R6131" s="2018"/>
      <c r="S6131" s="2018"/>
      <c r="T6131" s="2018"/>
      <c r="U6131" s="2018"/>
      <c r="V6131" s="2018"/>
      <c r="W6131" s="2018"/>
      <c r="X6131" s="2018"/>
      <c r="Y6131" s="2018"/>
      <c r="Z6131" s="2022"/>
      <c r="AA6131" s="2022"/>
      <c r="AB6131" s="1050"/>
      <c r="AC6131" s="1050"/>
      <c r="AD6131" s="1050"/>
      <c r="AE6131" s="1050"/>
      <c r="AF6131" s="1052"/>
    </row>
    <row r="6132" spans="1:32" ht="15.75" x14ac:dyDescent="0.25">
      <c r="A6132" s="2017"/>
      <c r="B6132" s="2018"/>
      <c r="C6132" s="2018"/>
      <c r="D6132" s="2018"/>
      <c r="E6132" s="2018"/>
      <c r="F6132" s="2018"/>
      <c r="G6132" s="2018"/>
      <c r="H6132" s="2018"/>
      <c r="I6132" s="2018"/>
      <c r="J6132" s="2018"/>
      <c r="K6132" s="2018"/>
      <c r="L6132" s="2018"/>
      <c r="M6132" s="2018"/>
      <c r="N6132" s="2018"/>
      <c r="O6132" s="2018"/>
      <c r="P6132" s="2018"/>
      <c r="Q6132" s="2018"/>
      <c r="R6132" s="2018"/>
      <c r="S6132" s="2018"/>
      <c r="T6132" s="2018"/>
      <c r="U6132" s="2018"/>
      <c r="V6132" s="2018"/>
      <c r="W6132" s="2018"/>
      <c r="X6132" s="2018"/>
      <c r="Y6132" s="2018"/>
      <c r="Z6132" s="2022"/>
      <c r="AA6132" s="2022"/>
      <c r="AB6132" s="1050"/>
      <c r="AC6132" s="1050"/>
      <c r="AD6132" s="1050"/>
      <c r="AE6132" s="1050"/>
      <c r="AF6132" s="1052"/>
    </row>
    <row r="6133" spans="1:32" ht="15.75" x14ac:dyDescent="0.25">
      <c r="A6133" s="2017"/>
      <c r="B6133" s="2018"/>
      <c r="C6133" s="2018"/>
      <c r="D6133" s="2018"/>
      <c r="E6133" s="2018"/>
      <c r="F6133" s="2018"/>
      <c r="G6133" s="2018"/>
      <c r="H6133" s="2018"/>
      <c r="I6133" s="2018"/>
      <c r="J6133" s="2018"/>
      <c r="K6133" s="2018"/>
      <c r="L6133" s="2018"/>
      <c r="M6133" s="2018"/>
      <c r="N6133" s="2018"/>
      <c r="O6133" s="2018"/>
      <c r="P6133" s="2018"/>
      <c r="Q6133" s="2018"/>
      <c r="R6133" s="2018"/>
      <c r="S6133" s="2018"/>
      <c r="T6133" s="2018"/>
      <c r="U6133" s="2018"/>
      <c r="V6133" s="2018"/>
      <c r="W6133" s="2018"/>
      <c r="X6133" s="2018"/>
      <c r="Y6133" s="2018"/>
      <c r="Z6133" s="2022"/>
      <c r="AA6133" s="2022"/>
      <c r="AB6133" s="1050"/>
      <c r="AC6133" s="1050"/>
      <c r="AD6133" s="1050"/>
      <c r="AE6133" s="1050"/>
      <c r="AF6133" s="1052"/>
    </row>
    <row r="6134" spans="1:32" ht="15.75" x14ac:dyDescent="0.25">
      <c r="A6134" s="2017"/>
      <c r="B6134" s="2018"/>
      <c r="C6134" s="2018"/>
      <c r="D6134" s="2018"/>
      <c r="E6134" s="2018"/>
      <c r="F6134" s="2018"/>
      <c r="G6134" s="2018"/>
      <c r="H6134" s="2018"/>
      <c r="I6134" s="2018"/>
      <c r="J6134" s="2018"/>
      <c r="K6134" s="2018"/>
      <c r="L6134" s="2018"/>
      <c r="M6134" s="2018"/>
      <c r="N6134" s="2018"/>
      <c r="O6134" s="2018"/>
      <c r="P6134" s="2018"/>
      <c r="Q6134" s="2018"/>
      <c r="R6134" s="2018"/>
      <c r="S6134" s="2018"/>
      <c r="T6134" s="2018"/>
      <c r="U6134" s="2018"/>
      <c r="V6134" s="2018"/>
      <c r="W6134" s="2018"/>
      <c r="X6134" s="2018"/>
      <c r="Y6134" s="2018"/>
      <c r="Z6134" s="2022"/>
      <c r="AA6134" s="2022"/>
      <c r="AB6134" s="1050"/>
      <c r="AC6134" s="1050"/>
      <c r="AD6134" s="1050"/>
      <c r="AE6134" s="1050"/>
      <c r="AF6134" s="1052"/>
    </row>
    <row r="6135" spans="1:32" ht="15.75" x14ac:dyDescent="0.25">
      <c r="A6135" s="2017"/>
      <c r="B6135" s="2018"/>
      <c r="C6135" s="2018"/>
      <c r="D6135" s="2018"/>
      <c r="E6135" s="2018"/>
      <c r="F6135" s="2018"/>
      <c r="G6135" s="2018"/>
      <c r="H6135" s="2018"/>
      <c r="I6135" s="2018"/>
      <c r="J6135" s="2018"/>
      <c r="K6135" s="2018"/>
      <c r="L6135" s="2018"/>
      <c r="M6135" s="2018"/>
      <c r="N6135" s="2018"/>
      <c r="O6135" s="2018"/>
      <c r="P6135" s="2018"/>
      <c r="Q6135" s="2018"/>
      <c r="R6135" s="2018"/>
      <c r="S6135" s="2018"/>
      <c r="T6135" s="2018"/>
      <c r="U6135" s="2018"/>
      <c r="V6135" s="2018"/>
      <c r="W6135" s="2018"/>
      <c r="X6135" s="2018"/>
      <c r="Y6135" s="2018"/>
      <c r="Z6135" s="2023"/>
      <c r="AA6135" s="2023"/>
      <c r="AB6135" s="1050"/>
      <c r="AC6135" s="1050"/>
      <c r="AD6135" s="1050"/>
      <c r="AE6135" s="1050"/>
      <c r="AF6135" s="1052"/>
    </row>
    <row r="6136" spans="1:32" ht="15.75" x14ac:dyDescent="0.25">
      <c r="A6136" s="2017"/>
      <c r="B6136" s="2018"/>
      <c r="C6136" s="2018"/>
      <c r="D6136" s="2018"/>
      <c r="E6136" s="2018"/>
      <c r="F6136" s="2018"/>
      <c r="G6136" s="2018"/>
      <c r="H6136" s="2018"/>
      <c r="I6136" s="2018"/>
      <c r="J6136" s="2018"/>
      <c r="K6136" s="2018"/>
      <c r="L6136" s="2018"/>
      <c r="M6136" s="2018"/>
      <c r="N6136" s="2018"/>
      <c r="O6136" s="2018"/>
      <c r="P6136" s="2018"/>
      <c r="Q6136" s="2018"/>
      <c r="R6136" s="2018"/>
      <c r="S6136" s="2018"/>
      <c r="T6136" s="2018"/>
      <c r="U6136" s="2018"/>
      <c r="V6136" s="2018"/>
      <c r="W6136" s="2018"/>
      <c r="X6136" s="2018"/>
      <c r="Y6136" s="2018"/>
      <c r="Z6136" s="2023"/>
      <c r="AA6136" s="2023"/>
      <c r="AB6136" s="1050"/>
      <c r="AC6136" s="1050"/>
      <c r="AD6136" s="1050"/>
      <c r="AE6136" s="1050"/>
      <c r="AF6136" s="1052"/>
    </row>
    <row r="6137" spans="1:32" ht="15.75" x14ac:dyDescent="0.25">
      <c r="A6137" s="2017"/>
      <c r="B6137" s="2018"/>
      <c r="C6137" s="2018"/>
      <c r="D6137" s="2018"/>
      <c r="E6137" s="2018"/>
      <c r="F6137" s="2018"/>
      <c r="G6137" s="2018"/>
      <c r="H6137" s="2018"/>
      <c r="I6137" s="2018"/>
      <c r="J6137" s="2018"/>
      <c r="K6137" s="2018"/>
      <c r="L6137" s="2018"/>
      <c r="M6137" s="2018"/>
      <c r="N6137" s="2018"/>
      <c r="O6137" s="2018"/>
      <c r="P6137" s="2018"/>
      <c r="Q6137" s="2018"/>
      <c r="R6137" s="2018"/>
      <c r="S6137" s="2018"/>
      <c r="T6137" s="2018"/>
      <c r="U6137" s="2018"/>
      <c r="V6137" s="2018"/>
      <c r="W6137" s="2018"/>
      <c r="X6137" s="2018"/>
      <c r="Y6137" s="2018"/>
      <c r="Z6137" s="2023"/>
      <c r="AA6137" s="2023"/>
      <c r="AB6137" s="1050"/>
      <c r="AC6137" s="1050"/>
      <c r="AD6137" s="1050"/>
      <c r="AE6137" s="1050"/>
      <c r="AF6137" s="1052"/>
    </row>
    <row r="6138" spans="1:32" ht="15.75" x14ac:dyDescent="0.25">
      <c r="A6138" s="2017"/>
      <c r="B6138" s="2018"/>
      <c r="C6138" s="2018"/>
      <c r="D6138" s="2018"/>
      <c r="E6138" s="2018"/>
      <c r="F6138" s="2018"/>
      <c r="G6138" s="2018"/>
      <c r="H6138" s="2018"/>
      <c r="I6138" s="2018"/>
      <c r="J6138" s="2018"/>
      <c r="K6138" s="2018"/>
      <c r="L6138" s="2018"/>
      <c r="M6138" s="2018"/>
      <c r="N6138" s="2018"/>
      <c r="O6138" s="2018"/>
      <c r="P6138" s="2018"/>
      <c r="Q6138" s="2018"/>
      <c r="R6138" s="2018"/>
      <c r="S6138" s="2018"/>
      <c r="T6138" s="2018"/>
      <c r="U6138" s="2018"/>
      <c r="V6138" s="2018"/>
      <c r="W6138" s="2018"/>
      <c r="X6138" s="2018"/>
      <c r="Y6138" s="2018"/>
      <c r="Z6138" s="2023"/>
      <c r="AA6138" s="2023"/>
      <c r="AB6138" s="1050"/>
      <c r="AC6138" s="1050"/>
      <c r="AD6138" s="1050"/>
      <c r="AE6138" s="1050"/>
      <c r="AF6138" s="1052"/>
    </row>
    <row r="6139" spans="1:32" ht="15.75" x14ac:dyDescent="0.25">
      <c r="A6139" s="2017"/>
      <c r="B6139" s="2018"/>
      <c r="C6139" s="2018"/>
      <c r="D6139" s="2018"/>
      <c r="E6139" s="2018"/>
      <c r="F6139" s="2018"/>
      <c r="G6139" s="2018"/>
      <c r="H6139" s="2018"/>
      <c r="I6139" s="2018"/>
      <c r="J6139" s="2018"/>
      <c r="K6139" s="2018"/>
      <c r="L6139" s="2018"/>
      <c r="M6139" s="2018"/>
      <c r="N6139" s="2018"/>
      <c r="O6139" s="2018"/>
      <c r="P6139" s="2018"/>
      <c r="Q6139" s="2018"/>
      <c r="R6139" s="2018"/>
      <c r="S6139" s="2018"/>
      <c r="T6139" s="2018"/>
      <c r="U6139" s="2018"/>
      <c r="V6139" s="2018"/>
      <c r="W6139" s="2018"/>
      <c r="X6139" s="2018"/>
      <c r="Y6139" s="2018"/>
      <c r="Z6139" s="2023"/>
      <c r="AA6139" s="2023"/>
      <c r="AB6139" s="1050"/>
      <c r="AC6139" s="1050"/>
      <c r="AD6139" s="1050"/>
      <c r="AE6139" s="1050"/>
      <c r="AF6139" s="1052"/>
    </row>
    <row r="6140" spans="1:32" ht="15.75" x14ac:dyDescent="0.25">
      <c r="A6140" s="2017"/>
      <c r="B6140" s="2018"/>
      <c r="C6140" s="2018"/>
      <c r="D6140" s="2018"/>
      <c r="E6140" s="2018"/>
      <c r="F6140" s="2018"/>
      <c r="G6140" s="2018"/>
      <c r="H6140" s="2018"/>
      <c r="I6140" s="2018"/>
      <c r="J6140" s="2018"/>
      <c r="K6140" s="2018"/>
      <c r="L6140" s="2018"/>
      <c r="M6140" s="2018"/>
      <c r="N6140" s="2018"/>
      <c r="O6140" s="2018"/>
      <c r="P6140" s="2018"/>
      <c r="Q6140" s="2018"/>
      <c r="R6140" s="2018"/>
      <c r="S6140" s="2018"/>
      <c r="T6140" s="2018"/>
      <c r="U6140" s="2018"/>
      <c r="V6140" s="2018"/>
      <c r="W6140" s="2018"/>
      <c r="X6140" s="2018"/>
      <c r="Y6140" s="2018"/>
      <c r="Z6140" s="2023"/>
      <c r="AA6140" s="2023"/>
      <c r="AB6140" s="1050"/>
      <c r="AC6140" s="1050"/>
      <c r="AD6140" s="1050"/>
      <c r="AE6140" s="1050"/>
      <c r="AF6140" s="1052"/>
    </row>
    <row r="6141" spans="1:32" ht="16.5" thickBot="1" x14ac:dyDescent="0.3">
      <c r="A6141" s="2019"/>
      <c r="B6141" s="2020"/>
      <c r="C6141" s="2020"/>
      <c r="D6141" s="2020"/>
      <c r="E6141" s="2020"/>
      <c r="F6141" s="2020"/>
      <c r="G6141" s="2020"/>
      <c r="H6141" s="2020"/>
      <c r="I6141" s="2020"/>
      <c r="J6141" s="2020"/>
      <c r="K6141" s="2020"/>
      <c r="L6141" s="2020"/>
      <c r="M6141" s="2020"/>
      <c r="N6141" s="2020"/>
      <c r="O6141" s="2020"/>
      <c r="P6141" s="2020"/>
      <c r="Q6141" s="2020"/>
      <c r="R6141" s="2020"/>
      <c r="S6141" s="2020"/>
      <c r="T6141" s="2020"/>
      <c r="U6141" s="2020"/>
      <c r="V6141" s="2020"/>
      <c r="W6141" s="2020"/>
      <c r="X6141" s="2020"/>
      <c r="Y6141" s="2020"/>
      <c r="Z6141" s="2024"/>
      <c r="AA6141" s="2024"/>
      <c r="AB6141" s="1057"/>
      <c r="AC6141" s="1057"/>
      <c r="AD6141" s="1057"/>
      <c r="AE6141" s="1057"/>
      <c r="AF6141" s="1058"/>
    </row>
    <row r="6142" spans="1:32" ht="15.75" x14ac:dyDescent="0.25">
      <c r="A6142" s="2009" t="s">
        <v>1855</v>
      </c>
      <c r="B6142" s="2010"/>
      <c r="C6142" s="2010"/>
      <c r="D6142" s="2010"/>
      <c r="E6142" s="2010"/>
      <c r="F6142" s="2010"/>
      <c r="G6142" s="2010"/>
      <c r="H6142" s="2010"/>
      <c r="I6142" s="2010"/>
      <c r="J6142" s="2010"/>
      <c r="K6142" s="2010"/>
      <c r="L6142" s="2010"/>
      <c r="M6142" s="2010"/>
      <c r="N6142" s="2010"/>
      <c r="O6142" s="2010"/>
      <c r="P6142" s="2010"/>
      <c r="Q6142" s="2010"/>
      <c r="R6142" s="2010"/>
      <c r="S6142" s="2010"/>
      <c r="T6142" s="2010"/>
      <c r="U6142" s="2010"/>
      <c r="V6142" s="2010"/>
      <c r="W6142" s="2010"/>
      <c r="X6142" s="2010"/>
      <c r="Y6142" s="2010"/>
      <c r="Z6142" s="2013" t="s">
        <v>1850</v>
      </c>
      <c r="AA6142" s="2013"/>
      <c r="AB6142" s="2013"/>
      <c r="AC6142" s="2013"/>
      <c r="AD6142" s="2013"/>
      <c r="AE6142" s="2013"/>
      <c r="AF6142" s="1059">
        <f>SUM(AF6118:AF6141)</f>
        <v>0</v>
      </c>
    </row>
    <row r="6143" spans="1:32" ht="15.75" x14ac:dyDescent="0.25">
      <c r="A6143" s="2011"/>
      <c r="B6143" s="2012"/>
      <c r="C6143" s="2012"/>
      <c r="D6143" s="2012"/>
      <c r="E6143" s="2012"/>
      <c r="F6143" s="2012"/>
      <c r="G6143" s="2012"/>
      <c r="H6143" s="2012"/>
      <c r="I6143" s="2012"/>
      <c r="J6143" s="2012"/>
      <c r="K6143" s="2012"/>
      <c r="L6143" s="2012"/>
      <c r="M6143" s="2012"/>
      <c r="N6143" s="2012"/>
      <c r="O6143" s="2012"/>
      <c r="P6143" s="2012"/>
      <c r="Q6143" s="2012"/>
      <c r="R6143" s="2012"/>
      <c r="S6143" s="2012"/>
      <c r="T6143" s="2012"/>
      <c r="U6143" s="2012"/>
      <c r="V6143" s="2012"/>
      <c r="W6143" s="2012"/>
      <c r="X6143" s="2012"/>
      <c r="Y6143" s="2012"/>
      <c r="Z6143" s="2014" t="s">
        <v>1851</v>
      </c>
      <c r="AA6143" s="2014"/>
      <c r="AB6143" s="2014"/>
      <c r="AC6143" s="2014"/>
      <c r="AD6143" s="2014"/>
      <c r="AE6143" s="2014"/>
      <c r="AF6143" s="1060">
        <v>0</v>
      </c>
    </row>
    <row r="6144" spans="1:32" ht="15.75" x14ac:dyDescent="0.25">
      <c r="A6144" s="2011"/>
      <c r="B6144" s="2012"/>
      <c r="C6144" s="2012"/>
      <c r="D6144" s="2012"/>
      <c r="E6144" s="2012"/>
      <c r="F6144" s="2012"/>
      <c r="G6144" s="2012"/>
      <c r="H6144" s="2012"/>
      <c r="I6144" s="2012"/>
      <c r="J6144" s="2012"/>
      <c r="K6144" s="2012"/>
      <c r="L6144" s="2012"/>
      <c r="M6144" s="2012"/>
      <c r="N6144" s="2012"/>
      <c r="O6144" s="2012"/>
      <c r="P6144" s="2012"/>
      <c r="Q6144" s="2012"/>
      <c r="R6144" s="2012"/>
      <c r="S6144" s="2012"/>
      <c r="T6144" s="2012"/>
      <c r="U6144" s="2012"/>
      <c r="V6144" s="2012"/>
      <c r="W6144" s="2012"/>
      <c r="X6144" s="2012"/>
      <c r="Y6144" s="2012"/>
      <c r="Z6144" s="2015" t="s">
        <v>1833</v>
      </c>
      <c r="AA6144" s="2015"/>
      <c r="AB6144" s="2015"/>
      <c r="AC6144" s="2015"/>
      <c r="AD6144" s="2015"/>
      <c r="AE6144" s="2015"/>
      <c r="AF6144" s="1061">
        <f>SUM(AF6142:AF6143)</f>
        <v>0</v>
      </c>
    </row>
    <row r="6145" spans="1:32" x14ac:dyDescent="0.2">
      <c r="A6145" s="2012" t="s">
        <v>1859</v>
      </c>
      <c r="B6145" s="2012"/>
      <c r="C6145" s="2012"/>
      <c r="D6145" s="2012"/>
      <c r="E6145" s="2012"/>
      <c r="F6145" s="2012"/>
      <c r="G6145" s="2012"/>
      <c r="H6145" s="2012"/>
      <c r="I6145" s="2012"/>
      <c r="J6145" s="2012"/>
      <c r="K6145" s="2012"/>
      <c r="L6145" s="2012"/>
      <c r="M6145" s="2012"/>
      <c r="N6145" s="2012"/>
      <c r="O6145" s="2012"/>
      <c r="P6145" s="2012"/>
      <c r="Q6145" s="2012"/>
      <c r="R6145" s="2012"/>
      <c r="S6145" s="2012"/>
      <c r="T6145" s="2016" t="s">
        <v>1840</v>
      </c>
      <c r="U6145" s="2016"/>
      <c r="V6145" s="2016"/>
      <c r="W6145" s="2016"/>
      <c r="X6145" s="2016"/>
      <c r="Y6145" s="2016"/>
      <c r="Z6145" s="2016"/>
      <c r="AA6145" s="2016"/>
      <c r="AB6145" s="2012" t="s">
        <v>1852</v>
      </c>
      <c r="AC6145" s="2012"/>
      <c r="AD6145" s="2012"/>
      <c r="AE6145" s="2012"/>
      <c r="AF6145" s="2012"/>
    </row>
    <row r="6146" spans="1:32" x14ac:dyDescent="0.2">
      <c r="A6146" s="2012"/>
      <c r="B6146" s="2012"/>
      <c r="C6146" s="2012"/>
      <c r="D6146" s="2012"/>
      <c r="E6146" s="2012"/>
      <c r="F6146" s="2012"/>
      <c r="G6146" s="2012"/>
      <c r="H6146" s="2012"/>
      <c r="I6146" s="2012"/>
      <c r="J6146" s="2012"/>
      <c r="K6146" s="2012"/>
      <c r="L6146" s="2012"/>
      <c r="M6146" s="2012"/>
      <c r="N6146" s="2012"/>
      <c r="O6146" s="2012"/>
      <c r="P6146" s="2012"/>
      <c r="Q6146" s="2012"/>
      <c r="R6146" s="2012"/>
      <c r="S6146" s="2012"/>
      <c r="T6146" s="2016"/>
      <c r="U6146" s="2016"/>
      <c r="V6146" s="2016"/>
      <c r="W6146" s="2016"/>
      <c r="X6146" s="2016"/>
      <c r="Y6146" s="2016"/>
      <c r="Z6146" s="2016"/>
      <c r="AA6146" s="2016"/>
      <c r="AB6146" s="2012"/>
      <c r="AC6146" s="2012"/>
      <c r="AD6146" s="2012"/>
      <c r="AE6146" s="2012"/>
      <c r="AF6146" s="2012"/>
    </row>
    <row r="6147" spans="1:32" ht="13.5" thickBot="1" x14ac:dyDescent="0.25"/>
    <row r="6148" spans="1:32" ht="26.45" customHeight="1" x14ac:dyDescent="0.2">
      <c r="A6148" s="2025" t="s">
        <v>1854</v>
      </c>
      <c r="B6148" s="2026"/>
      <c r="C6148" s="2026"/>
      <c r="D6148" s="2026"/>
      <c r="E6148" s="2026"/>
      <c r="F6148" s="2026"/>
      <c r="G6148" s="2026"/>
      <c r="H6148" s="2026"/>
      <c r="I6148" s="2026"/>
      <c r="J6148" s="2026"/>
      <c r="K6148" s="2026"/>
      <c r="L6148" s="2026"/>
      <c r="M6148" s="2026"/>
      <c r="N6148" s="2026"/>
      <c r="O6148" s="2026"/>
      <c r="P6148" s="2026"/>
      <c r="Q6148" s="2026"/>
      <c r="R6148" s="2026"/>
      <c r="S6148" s="2026"/>
      <c r="T6148" s="2026"/>
      <c r="U6148" s="2026"/>
      <c r="V6148" s="2026"/>
      <c r="W6148" s="2026"/>
      <c r="X6148" s="2026"/>
      <c r="Y6148" s="2026"/>
      <c r="Z6148" s="2026"/>
      <c r="AA6148" s="2026"/>
      <c r="AB6148" s="2026"/>
      <c r="AC6148" s="2026"/>
      <c r="AD6148" s="2026"/>
      <c r="AE6148" s="1041" t="s">
        <v>1834</v>
      </c>
      <c r="AF6148" s="1042" t="s">
        <v>1835</v>
      </c>
    </row>
    <row r="6149" spans="1:32" ht="21" customHeight="1" thickBot="1" x14ac:dyDescent="0.25">
      <c r="A6149" s="2027"/>
      <c r="B6149" s="2028"/>
      <c r="C6149" s="2028"/>
      <c r="D6149" s="2028"/>
      <c r="E6149" s="2028"/>
      <c r="F6149" s="2028"/>
      <c r="G6149" s="2028"/>
      <c r="H6149" s="2028"/>
      <c r="I6149" s="2028"/>
      <c r="J6149" s="2028"/>
      <c r="K6149" s="2028"/>
      <c r="L6149" s="2028"/>
      <c r="M6149" s="2028"/>
      <c r="N6149" s="2028"/>
      <c r="O6149" s="2028"/>
      <c r="P6149" s="2028"/>
      <c r="Q6149" s="2028"/>
      <c r="R6149" s="2028"/>
      <c r="S6149" s="2028"/>
      <c r="T6149" s="2028"/>
      <c r="U6149" s="2028"/>
      <c r="V6149" s="2028"/>
      <c r="W6149" s="2028"/>
      <c r="X6149" s="2028"/>
      <c r="Y6149" s="2028"/>
      <c r="Z6149" s="2028"/>
      <c r="AA6149" s="2028"/>
      <c r="AB6149" s="2028"/>
      <c r="AC6149" s="2028"/>
      <c r="AD6149" s="2028"/>
      <c r="AE6149" s="1041" t="s">
        <v>1836</v>
      </c>
      <c r="AF6149" s="1044">
        <v>1</v>
      </c>
    </row>
    <row r="6150" spans="1:32" ht="15.75" x14ac:dyDescent="0.2">
      <c r="A6150" s="2029"/>
      <c r="B6150" s="2030"/>
      <c r="C6150" s="2030"/>
      <c r="D6150" s="2031"/>
      <c r="E6150" s="2025" t="str">
        <f>'01'!$A$12</f>
        <v>"CONSTRUCCION SISTEMA DE ACUEDUCTO FASE II DEL MUNICIPIO DE TESALIA DPTO DEL HUILA"</v>
      </c>
      <c r="F6150" s="2026"/>
      <c r="G6150" s="2026"/>
      <c r="H6150" s="2026"/>
      <c r="I6150" s="2026"/>
      <c r="J6150" s="2026"/>
      <c r="K6150" s="2026"/>
      <c r="L6150" s="2026"/>
      <c r="M6150" s="2026"/>
      <c r="N6150" s="2026"/>
      <c r="O6150" s="2026"/>
      <c r="P6150" s="2026"/>
      <c r="Q6150" s="2026"/>
      <c r="R6150" s="2026"/>
      <c r="S6150" s="2026"/>
      <c r="T6150" s="2026"/>
      <c r="U6150" s="2026"/>
      <c r="V6150" s="2026"/>
      <c r="W6150" s="2026"/>
      <c r="X6150" s="2026"/>
      <c r="Y6150" s="2026"/>
      <c r="Z6150" s="2026"/>
      <c r="AA6150" s="2026"/>
      <c r="AB6150" s="2026"/>
      <c r="AC6150" s="2026"/>
      <c r="AD6150" s="2035"/>
      <c r="AE6150" s="1041" t="s">
        <v>847</v>
      </c>
      <c r="AF6150" s="1045">
        <f>'01'!$M$13</f>
        <v>0</v>
      </c>
    </row>
    <row r="6151" spans="1:32" ht="16.5" thickBot="1" x14ac:dyDescent="0.25">
      <c r="A6151" s="2032"/>
      <c r="B6151" s="2033"/>
      <c r="C6151" s="2033"/>
      <c r="D6151" s="2034"/>
      <c r="E6151" s="2027"/>
      <c r="F6151" s="2028"/>
      <c r="G6151" s="2028"/>
      <c r="H6151" s="2028"/>
      <c r="I6151" s="2028"/>
      <c r="J6151" s="2028"/>
      <c r="K6151" s="2028"/>
      <c r="L6151" s="2028"/>
      <c r="M6151" s="2028"/>
      <c r="N6151" s="2028"/>
      <c r="O6151" s="2028"/>
      <c r="P6151" s="2028"/>
      <c r="Q6151" s="2028"/>
      <c r="R6151" s="2028"/>
      <c r="S6151" s="2028"/>
      <c r="T6151" s="2028"/>
      <c r="U6151" s="2028"/>
      <c r="V6151" s="2028"/>
      <c r="W6151" s="2028"/>
      <c r="X6151" s="2028"/>
      <c r="Y6151" s="2028"/>
      <c r="Z6151" s="2028"/>
      <c r="AA6151" s="2028"/>
      <c r="AB6151" s="2028"/>
      <c r="AC6151" s="2028"/>
      <c r="AD6151" s="2036"/>
      <c r="AE6151" s="1041" t="s">
        <v>1837</v>
      </c>
      <c r="AF6151" s="1042" t="s">
        <v>1838</v>
      </c>
    </row>
    <row r="6152" spans="1:32" ht="15.75" x14ac:dyDescent="0.25">
      <c r="A6152" s="2037" t="s">
        <v>1860</v>
      </c>
      <c r="B6152" s="2038"/>
      <c r="C6152" s="2038"/>
      <c r="D6152" s="2038"/>
      <c r="E6152" s="2038"/>
      <c r="F6152" s="2038"/>
      <c r="G6152" s="2038"/>
      <c r="H6152" s="2038"/>
      <c r="I6152" s="2038"/>
      <c r="J6152" s="2038"/>
      <c r="K6152" s="2038"/>
      <c r="L6152" s="2038"/>
      <c r="M6152" s="2038"/>
      <c r="N6152" s="2038"/>
      <c r="O6152" s="2038"/>
      <c r="P6152" s="2038"/>
      <c r="Q6152" s="2038"/>
      <c r="R6152" s="2038"/>
      <c r="S6152" s="2038"/>
      <c r="T6152" s="2038"/>
      <c r="U6152" s="2038"/>
      <c r="V6152" s="2038"/>
      <c r="W6152" s="2038"/>
      <c r="X6152" s="2038"/>
      <c r="Y6152" s="2038"/>
      <c r="Z6152" s="2038"/>
      <c r="AA6152" s="2038"/>
      <c r="AB6152" s="2038"/>
      <c r="AC6152" s="2038"/>
      <c r="AD6152" s="2038"/>
      <c r="AE6152" s="2039" t="s">
        <v>1839</v>
      </c>
      <c r="AF6152" s="2040"/>
    </row>
    <row r="6153" spans="1:32" ht="15.75" x14ac:dyDescent="0.25">
      <c r="A6153" s="2041" t="s">
        <v>1840</v>
      </c>
      <c r="B6153" s="2042"/>
      <c r="C6153" s="2042"/>
      <c r="D6153" s="2042"/>
      <c r="E6153" s="2042"/>
      <c r="F6153" s="2042"/>
      <c r="G6153" s="2042"/>
      <c r="H6153" s="2042"/>
      <c r="I6153" s="2042"/>
      <c r="J6153" s="2042"/>
      <c r="K6153" s="2042"/>
      <c r="L6153" s="2042"/>
      <c r="M6153" s="2042"/>
      <c r="N6153" s="2042"/>
      <c r="O6153" s="2042"/>
      <c r="P6153" s="2042"/>
      <c r="Q6153" s="2042"/>
      <c r="R6153" s="2042"/>
      <c r="S6153" s="2042"/>
      <c r="T6153" s="2042"/>
      <c r="U6153" s="2042"/>
      <c r="V6153" s="2042"/>
      <c r="W6153" s="2042"/>
      <c r="X6153" s="2042"/>
      <c r="Y6153" s="2042"/>
      <c r="Z6153" s="2042"/>
      <c r="AA6153" s="2042"/>
      <c r="AB6153" s="2042"/>
      <c r="AC6153" s="2042"/>
      <c r="AD6153" s="2043"/>
      <c r="AE6153" s="2014" t="s">
        <v>1841</v>
      </c>
      <c r="AF6153" s="2044"/>
    </row>
    <row r="6154" spans="1:32" ht="15.75" x14ac:dyDescent="0.25">
      <c r="A6154" s="2045" t="s">
        <v>1853</v>
      </c>
      <c r="B6154" s="2046"/>
      <c r="C6154" s="2046"/>
      <c r="D6154" s="2046"/>
      <c r="E6154" s="2046"/>
      <c r="F6154" s="2046"/>
      <c r="G6154" s="2046"/>
      <c r="H6154" s="2046"/>
      <c r="I6154" s="2046"/>
      <c r="J6154" s="2046"/>
      <c r="K6154" s="2046"/>
      <c r="L6154" s="2046"/>
      <c r="M6154" s="2046"/>
      <c r="N6154" s="2046"/>
      <c r="O6154" s="2046"/>
      <c r="P6154" s="2046"/>
      <c r="Q6154" s="2046"/>
      <c r="R6154" s="2046"/>
      <c r="S6154" s="2046"/>
      <c r="T6154" s="2046"/>
      <c r="U6154" s="2046"/>
      <c r="V6154" s="2046"/>
      <c r="W6154" s="2046"/>
      <c r="X6154" s="2046"/>
      <c r="Y6154" s="2046"/>
      <c r="Z6154" s="2046"/>
      <c r="AA6154" s="2046"/>
      <c r="AB6154" s="2046"/>
      <c r="AC6154" s="2046"/>
      <c r="AD6154" s="2046"/>
      <c r="AE6154" s="2047">
        <f>'01'!$M$13</f>
        <v>0</v>
      </c>
      <c r="AF6154" s="2044"/>
    </row>
    <row r="6155" spans="1:32" x14ac:dyDescent="0.2">
      <c r="A6155" s="1046"/>
      <c r="B6155" s="1047"/>
      <c r="C6155" s="1047"/>
      <c r="D6155" s="1047"/>
      <c r="E6155" s="1047"/>
      <c r="F6155" s="1047"/>
      <c r="G6155" s="1047"/>
      <c r="H6155" s="1047"/>
      <c r="I6155" s="1047"/>
      <c r="J6155" s="1047"/>
      <c r="K6155" s="1047"/>
      <c r="L6155" s="1047"/>
      <c r="M6155" s="1047"/>
      <c r="N6155" s="1047"/>
      <c r="O6155" s="1047"/>
      <c r="P6155" s="1047"/>
      <c r="Q6155" s="1047"/>
      <c r="R6155" s="1047"/>
      <c r="S6155" s="1047"/>
      <c r="T6155" s="1047"/>
      <c r="U6155" s="1047"/>
      <c r="V6155" s="1047"/>
      <c r="W6155" s="1047"/>
      <c r="X6155" s="1047"/>
      <c r="Y6155" s="1047"/>
      <c r="Z6155" s="1047"/>
      <c r="AA6155" s="1047"/>
      <c r="AB6155" s="1047"/>
      <c r="AC6155" s="1047"/>
      <c r="AD6155" s="1047"/>
      <c r="AE6155" s="1047"/>
      <c r="AF6155" s="1048"/>
    </row>
    <row r="6156" spans="1:32" ht="30" customHeight="1" x14ac:dyDescent="0.2">
      <c r="A6156" s="2048" t="s">
        <v>1842</v>
      </c>
      <c r="B6156" s="2049"/>
      <c r="C6156" s="2049"/>
      <c r="D6156" s="2049"/>
      <c r="E6156" s="2049"/>
      <c r="F6156" s="2050" t="str">
        <f>+'01'!$H$247</f>
        <v>J - CASETA DE OPERACIONES</v>
      </c>
      <c r="G6156" s="2049"/>
      <c r="H6156" s="2049"/>
      <c r="I6156" s="2049"/>
      <c r="J6156" s="2049"/>
      <c r="K6156" s="2049"/>
      <c r="L6156" s="2049"/>
      <c r="M6156" s="2049"/>
      <c r="N6156" s="2049"/>
      <c r="O6156" s="2049"/>
      <c r="P6156" s="2049"/>
      <c r="Q6156" s="2049"/>
      <c r="R6156" s="2049"/>
      <c r="S6156" s="2049"/>
      <c r="T6156" s="2049"/>
      <c r="U6156" s="2049"/>
      <c r="V6156" s="2049"/>
      <c r="W6156" s="2049"/>
      <c r="X6156" s="2049"/>
      <c r="Y6156" s="2051"/>
      <c r="Z6156" s="2052" t="s">
        <v>1843</v>
      </c>
      <c r="AA6156" s="2053"/>
      <c r="AB6156" s="2058" t="s">
        <v>1844</v>
      </c>
      <c r="AC6156" s="2059"/>
      <c r="AD6156" s="2060"/>
      <c r="AE6156" s="2064" t="s">
        <v>1845</v>
      </c>
      <c r="AF6156" s="2067" t="s">
        <v>1846</v>
      </c>
    </row>
    <row r="6157" spans="1:32" ht="15" customHeight="1" x14ac:dyDescent="0.2">
      <c r="A6157" s="2070" t="str">
        <f>+'01'!A256</f>
        <v>J-04-01</v>
      </c>
      <c r="B6157" s="2071"/>
      <c r="C6157" s="2072"/>
      <c r="D6157" s="2076" t="str">
        <f>VLOOKUP(A6157,'01'!$A$12:$N$299,3,FALSE)</f>
        <v>RETIRO DE MATERIAL SOBRANTE HASTA BOTADERO AUTORIZADO (INCLUYE FACTOR DE EXPANSIÓN)</v>
      </c>
      <c r="E6157" s="2077"/>
      <c r="F6157" s="2077"/>
      <c r="G6157" s="2077"/>
      <c r="H6157" s="2077"/>
      <c r="I6157" s="2077"/>
      <c r="J6157" s="2077"/>
      <c r="K6157" s="2077"/>
      <c r="L6157" s="2077"/>
      <c r="M6157" s="2077"/>
      <c r="N6157" s="2077"/>
      <c r="O6157" s="2077"/>
      <c r="P6157" s="2077"/>
      <c r="Q6157" s="2077"/>
      <c r="R6157" s="2077"/>
      <c r="S6157" s="2078"/>
      <c r="T6157" s="2082" t="s">
        <v>124</v>
      </c>
      <c r="U6157" s="2083"/>
      <c r="V6157" s="2083"/>
      <c r="W6157" s="2083"/>
      <c r="X6157" s="2052" t="str">
        <f>VLOOKUP(A6157,'01'!$A$12:$N$299,9,FALSE)</f>
        <v>M3-KM</v>
      </c>
      <c r="Y6157" s="2053"/>
      <c r="Z6157" s="2054"/>
      <c r="AA6157" s="2055"/>
      <c r="AB6157" s="2061"/>
      <c r="AC6157" s="2062"/>
      <c r="AD6157" s="2063"/>
      <c r="AE6157" s="2065"/>
      <c r="AF6157" s="2068"/>
    </row>
    <row r="6158" spans="1:32" ht="15" customHeight="1" x14ac:dyDescent="0.25">
      <c r="A6158" s="2073"/>
      <c r="B6158" s="2074"/>
      <c r="C6158" s="2075"/>
      <c r="D6158" s="2079"/>
      <c r="E6158" s="2080"/>
      <c r="F6158" s="2080"/>
      <c r="G6158" s="2080"/>
      <c r="H6158" s="2080"/>
      <c r="I6158" s="2080"/>
      <c r="J6158" s="2080"/>
      <c r="K6158" s="2080"/>
      <c r="L6158" s="2080"/>
      <c r="M6158" s="2080"/>
      <c r="N6158" s="2080"/>
      <c r="O6158" s="2080"/>
      <c r="P6158" s="2080"/>
      <c r="Q6158" s="2080"/>
      <c r="R6158" s="2080"/>
      <c r="S6158" s="2081"/>
      <c r="T6158" s="2084"/>
      <c r="U6158" s="2085"/>
      <c r="V6158" s="2085"/>
      <c r="W6158" s="2085"/>
      <c r="X6158" s="2056"/>
      <c r="Y6158" s="2057"/>
      <c r="Z6158" s="2056"/>
      <c r="AA6158" s="2057"/>
      <c r="AB6158" s="1049" t="s">
        <v>1847</v>
      </c>
      <c r="AC6158" s="1049" t="s">
        <v>1848</v>
      </c>
      <c r="AD6158" s="1049" t="s">
        <v>1861</v>
      </c>
      <c r="AE6158" s="2066"/>
      <c r="AF6158" s="2069"/>
    </row>
    <row r="6159" spans="1:32" ht="30" customHeight="1" x14ac:dyDescent="0.25">
      <c r="A6159" s="2017"/>
      <c r="B6159" s="2018"/>
      <c r="C6159" s="2018"/>
      <c r="D6159" s="2018"/>
      <c r="E6159" s="2018"/>
      <c r="F6159" s="2018"/>
      <c r="G6159" s="2018"/>
      <c r="H6159" s="2018"/>
      <c r="I6159" s="2018"/>
      <c r="J6159" s="2018"/>
      <c r="K6159" s="2018"/>
      <c r="L6159" s="2018"/>
      <c r="M6159" s="2018"/>
      <c r="N6159" s="2018"/>
      <c r="O6159" s="2018"/>
      <c r="P6159" s="2018"/>
      <c r="Q6159" s="2018"/>
      <c r="R6159" s="2018"/>
      <c r="S6159" s="2018"/>
      <c r="T6159" s="2018"/>
      <c r="U6159" s="2018"/>
      <c r="V6159" s="2018"/>
      <c r="W6159" s="2018"/>
      <c r="X6159" s="2018"/>
      <c r="Y6159" s="2018"/>
      <c r="Z6159" s="2021"/>
      <c r="AA6159" s="2021"/>
      <c r="AB6159" s="1050"/>
      <c r="AC6159" s="1050"/>
      <c r="AD6159" s="1050"/>
      <c r="AE6159" s="1050"/>
      <c r="AF6159" s="1052"/>
    </row>
    <row r="6160" spans="1:32" ht="15.6" customHeight="1" x14ac:dyDescent="0.25">
      <c r="A6160" s="2017"/>
      <c r="B6160" s="2018"/>
      <c r="C6160" s="2018"/>
      <c r="D6160" s="2018"/>
      <c r="E6160" s="2018"/>
      <c r="F6160" s="2018"/>
      <c r="G6160" s="2018"/>
      <c r="H6160" s="2018"/>
      <c r="I6160" s="2018"/>
      <c r="J6160" s="2018"/>
      <c r="K6160" s="2018"/>
      <c r="L6160" s="2018"/>
      <c r="M6160" s="2018"/>
      <c r="N6160" s="2018"/>
      <c r="O6160" s="2018"/>
      <c r="P6160" s="2018"/>
      <c r="Q6160" s="2018"/>
      <c r="R6160" s="2018"/>
      <c r="S6160" s="2018"/>
      <c r="T6160" s="2018"/>
      <c r="U6160" s="2018"/>
      <c r="V6160" s="2018"/>
      <c r="W6160" s="2018"/>
      <c r="X6160" s="2018"/>
      <c r="Y6160" s="2018"/>
      <c r="Z6160" s="2021"/>
      <c r="AA6160" s="2021"/>
      <c r="AB6160" s="1050"/>
      <c r="AC6160" s="1050"/>
      <c r="AD6160" s="1050"/>
      <c r="AE6160" s="1050"/>
      <c r="AF6160" s="1052"/>
    </row>
    <row r="6161" spans="1:32" ht="15.6" customHeight="1" x14ac:dyDescent="0.25">
      <c r="A6161" s="2017"/>
      <c r="B6161" s="2018"/>
      <c r="C6161" s="2018"/>
      <c r="D6161" s="2018"/>
      <c r="E6161" s="2018"/>
      <c r="F6161" s="2018"/>
      <c r="G6161" s="2018"/>
      <c r="H6161" s="2018"/>
      <c r="I6161" s="2018"/>
      <c r="J6161" s="2018"/>
      <c r="K6161" s="2018"/>
      <c r="L6161" s="2018"/>
      <c r="M6161" s="2018"/>
      <c r="N6161" s="2018"/>
      <c r="O6161" s="2018"/>
      <c r="P6161" s="2018"/>
      <c r="Q6161" s="2018"/>
      <c r="R6161" s="2018"/>
      <c r="S6161" s="2018"/>
      <c r="T6161" s="2018"/>
      <c r="U6161" s="2018"/>
      <c r="V6161" s="2018"/>
      <c r="W6161" s="2018"/>
      <c r="X6161" s="2018"/>
      <c r="Y6161" s="2018"/>
      <c r="Z6161" s="2021"/>
      <c r="AA6161" s="2021"/>
      <c r="AB6161" s="1050"/>
      <c r="AC6161" s="1050"/>
      <c r="AD6161" s="1050"/>
      <c r="AE6161" s="1050"/>
      <c r="AF6161" s="1052"/>
    </row>
    <row r="6162" spans="1:32" ht="15.75" x14ac:dyDescent="0.25">
      <c r="A6162" s="2017"/>
      <c r="B6162" s="2018"/>
      <c r="C6162" s="2018"/>
      <c r="D6162" s="2018"/>
      <c r="E6162" s="2018"/>
      <c r="F6162" s="2018"/>
      <c r="G6162" s="2018"/>
      <c r="H6162" s="2018"/>
      <c r="I6162" s="2018"/>
      <c r="J6162" s="2018"/>
      <c r="K6162" s="2018"/>
      <c r="L6162" s="2018"/>
      <c r="M6162" s="2018"/>
      <c r="N6162" s="2018"/>
      <c r="O6162" s="2018"/>
      <c r="P6162" s="2018"/>
      <c r="Q6162" s="2018"/>
      <c r="R6162" s="2018"/>
      <c r="S6162" s="2018"/>
      <c r="T6162" s="2018"/>
      <c r="U6162" s="2018"/>
      <c r="V6162" s="2018"/>
      <c r="W6162" s="2018"/>
      <c r="X6162" s="2018"/>
      <c r="Y6162" s="2018"/>
      <c r="Z6162" s="2021"/>
      <c r="AA6162" s="2021"/>
      <c r="AB6162" s="1050"/>
      <c r="AC6162" s="1050"/>
      <c r="AD6162" s="1050"/>
      <c r="AE6162" s="1050"/>
      <c r="AF6162" s="1052"/>
    </row>
    <row r="6163" spans="1:32" ht="15.6" customHeight="1" x14ac:dyDescent="0.25">
      <c r="A6163" s="2017"/>
      <c r="B6163" s="2018"/>
      <c r="C6163" s="2018"/>
      <c r="D6163" s="2018"/>
      <c r="E6163" s="2018"/>
      <c r="F6163" s="2018"/>
      <c r="G6163" s="2018"/>
      <c r="H6163" s="2018"/>
      <c r="I6163" s="2018"/>
      <c r="J6163" s="2018"/>
      <c r="K6163" s="2018"/>
      <c r="L6163" s="2018"/>
      <c r="M6163" s="2018"/>
      <c r="N6163" s="2018"/>
      <c r="O6163" s="2018"/>
      <c r="P6163" s="2018"/>
      <c r="Q6163" s="2018"/>
      <c r="R6163" s="2018"/>
      <c r="S6163" s="2018"/>
      <c r="T6163" s="2018"/>
      <c r="U6163" s="2018"/>
      <c r="V6163" s="2018"/>
      <c r="W6163" s="2018"/>
      <c r="X6163" s="2018"/>
      <c r="Y6163" s="2018"/>
      <c r="Z6163" s="2021"/>
      <c r="AA6163" s="2021"/>
      <c r="AB6163" s="1050"/>
      <c r="AC6163" s="1050"/>
      <c r="AD6163" s="1050"/>
      <c r="AE6163" s="1050"/>
      <c r="AF6163" s="1052"/>
    </row>
    <row r="6164" spans="1:32" ht="15.75" x14ac:dyDescent="0.25">
      <c r="A6164" s="2017"/>
      <c r="B6164" s="2018"/>
      <c r="C6164" s="2018"/>
      <c r="D6164" s="2018"/>
      <c r="E6164" s="2018"/>
      <c r="F6164" s="2018"/>
      <c r="G6164" s="2018"/>
      <c r="H6164" s="2018"/>
      <c r="I6164" s="2018"/>
      <c r="J6164" s="2018"/>
      <c r="K6164" s="2018"/>
      <c r="L6164" s="2018"/>
      <c r="M6164" s="2018"/>
      <c r="N6164" s="2018"/>
      <c r="O6164" s="2018"/>
      <c r="P6164" s="2018"/>
      <c r="Q6164" s="2018"/>
      <c r="R6164" s="2018"/>
      <c r="S6164" s="2018"/>
      <c r="T6164" s="2018"/>
      <c r="U6164" s="2018"/>
      <c r="V6164" s="2018"/>
      <c r="W6164" s="2018"/>
      <c r="X6164" s="2018"/>
      <c r="Y6164" s="2018"/>
      <c r="Z6164" s="2021"/>
      <c r="AA6164" s="2021"/>
      <c r="AB6164" s="1050"/>
      <c r="AC6164" s="1050"/>
      <c r="AD6164" s="1050"/>
      <c r="AE6164" s="1050"/>
      <c r="AF6164" s="1052"/>
    </row>
    <row r="6165" spans="1:32" ht="15.75" x14ac:dyDescent="0.25">
      <c r="A6165" s="2017"/>
      <c r="B6165" s="2018"/>
      <c r="C6165" s="2018"/>
      <c r="D6165" s="2018"/>
      <c r="E6165" s="2018"/>
      <c r="F6165" s="2018"/>
      <c r="G6165" s="2018"/>
      <c r="H6165" s="2018"/>
      <c r="I6165" s="2018"/>
      <c r="J6165" s="2018"/>
      <c r="K6165" s="2018"/>
      <c r="L6165" s="2018"/>
      <c r="M6165" s="2018"/>
      <c r="N6165" s="2018"/>
      <c r="O6165" s="2018"/>
      <c r="P6165" s="2018"/>
      <c r="Q6165" s="2018"/>
      <c r="R6165" s="2018"/>
      <c r="S6165" s="2018"/>
      <c r="T6165" s="2018"/>
      <c r="U6165" s="2018"/>
      <c r="V6165" s="2018"/>
      <c r="W6165" s="2018"/>
      <c r="X6165" s="2018"/>
      <c r="Y6165" s="2018"/>
      <c r="Z6165" s="2021"/>
      <c r="AA6165" s="2021"/>
      <c r="AB6165" s="1050"/>
      <c r="AC6165" s="1050"/>
      <c r="AD6165" s="1050"/>
      <c r="AE6165" s="1050"/>
      <c r="AF6165" s="1052"/>
    </row>
    <row r="6166" spans="1:32" ht="15.6" customHeight="1" x14ac:dyDescent="0.25">
      <c r="A6166" s="2017"/>
      <c r="B6166" s="2018"/>
      <c r="C6166" s="2018"/>
      <c r="D6166" s="2018"/>
      <c r="E6166" s="2018"/>
      <c r="F6166" s="2018"/>
      <c r="G6166" s="2018"/>
      <c r="H6166" s="2018"/>
      <c r="I6166" s="2018"/>
      <c r="J6166" s="2018"/>
      <c r="K6166" s="2018"/>
      <c r="L6166" s="2018"/>
      <c r="M6166" s="2018"/>
      <c r="N6166" s="2018"/>
      <c r="O6166" s="2018"/>
      <c r="P6166" s="2018"/>
      <c r="Q6166" s="2018"/>
      <c r="R6166" s="2018"/>
      <c r="S6166" s="2018"/>
      <c r="T6166" s="2018"/>
      <c r="U6166" s="2018"/>
      <c r="V6166" s="2018"/>
      <c r="W6166" s="2018"/>
      <c r="X6166" s="2018"/>
      <c r="Y6166" s="2018"/>
      <c r="Z6166" s="2021"/>
      <c r="AA6166" s="2021"/>
      <c r="AB6166" s="1050"/>
      <c r="AC6166" s="1050"/>
      <c r="AD6166" s="1050"/>
      <c r="AE6166" s="1050"/>
      <c r="AF6166" s="1052"/>
    </row>
    <row r="6167" spans="1:32" ht="15.75" x14ac:dyDescent="0.25">
      <c r="A6167" s="2017"/>
      <c r="B6167" s="2018"/>
      <c r="C6167" s="2018"/>
      <c r="D6167" s="2018"/>
      <c r="E6167" s="2018"/>
      <c r="F6167" s="2018"/>
      <c r="G6167" s="2018"/>
      <c r="H6167" s="2018"/>
      <c r="I6167" s="2018"/>
      <c r="J6167" s="2018"/>
      <c r="K6167" s="2018"/>
      <c r="L6167" s="2018"/>
      <c r="M6167" s="2018"/>
      <c r="N6167" s="2018"/>
      <c r="O6167" s="2018"/>
      <c r="P6167" s="2018"/>
      <c r="Q6167" s="2018"/>
      <c r="R6167" s="2018"/>
      <c r="S6167" s="2018"/>
      <c r="T6167" s="2018"/>
      <c r="U6167" s="2018"/>
      <c r="V6167" s="2018"/>
      <c r="W6167" s="2018"/>
      <c r="X6167" s="2018"/>
      <c r="Y6167" s="2018"/>
      <c r="Z6167" s="2022"/>
      <c r="AA6167" s="2022"/>
      <c r="AB6167" s="1050"/>
      <c r="AC6167" s="1050"/>
      <c r="AD6167" s="1050"/>
      <c r="AE6167" s="1050"/>
      <c r="AF6167" s="1052"/>
    </row>
    <row r="6168" spans="1:32" ht="15.75" x14ac:dyDescent="0.25">
      <c r="A6168" s="2017"/>
      <c r="B6168" s="2018"/>
      <c r="C6168" s="2018"/>
      <c r="D6168" s="2018"/>
      <c r="E6168" s="2018"/>
      <c r="F6168" s="2018"/>
      <c r="G6168" s="2018"/>
      <c r="H6168" s="2018"/>
      <c r="I6168" s="2018"/>
      <c r="J6168" s="2018"/>
      <c r="K6168" s="2018"/>
      <c r="L6168" s="2018"/>
      <c r="M6168" s="2018"/>
      <c r="N6168" s="2018"/>
      <c r="O6168" s="2018"/>
      <c r="P6168" s="2018"/>
      <c r="Q6168" s="2018"/>
      <c r="R6168" s="2018"/>
      <c r="S6168" s="2018"/>
      <c r="T6168" s="2018"/>
      <c r="U6168" s="2018"/>
      <c r="V6168" s="2018"/>
      <c r="W6168" s="2018"/>
      <c r="X6168" s="2018"/>
      <c r="Y6168" s="2018"/>
      <c r="Z6168" s="2022"/>
      <c r="AA6168" s="2022"/>
      <c r="AB6168" s="1050"/>
      <c r="AC6168" s="1050"/>
      <c r="AD6168" s="1050"/>
      <c r="AE6168" s="1050"/>
      <c r="AF6168" s="1052"/>
    </row>
    <row r="6169" spans="1:32" ht="15.75" x14ac:dyDescent="0.25">
      <c r="A6169" s="2017"/>
      <c r="B6169" s="2018"/>
      <c r="C6169" s="2018"/>
      <c r="D6169" s="2018"/>
      <c r="E6169" s="2018"/>
      <c r="F6169" s="2018"/>
      <c r="G6169" s="2018"/>
      <c r="H6169" s="2018"/>
      <c r="I6169" s="2018"/>
      <c r="J6169" s="2018"/>
      <c r="K6169" s="2018"/>
      <c r="L6169" s="2018"/>
      <c r="M6169" s="2018"/>
      <c r="N6169" s="2018"/>
      <c r="O6169" s="2018"/>
      <c r="P6169" s="2018"/>
      <c r="Q6169" s="2018"/>
      <c r="R6169" s="2018"/>
      <c r="S6169" s="2018"/>
      <c r="T6169" s="2018"/>
      <c r="U6169" s="2018"/>
      <c r="V6169" s="2018"/>
      <c r="W6169" s="2018"/>
      <c r="X6169" s="2018"/>
      <c r="Y6169" s="2018"/>
      <c r="Z6169" s="2022"/>
      <c r="AA6169" s="2022"/>
      <c r="AB6169" s="1050"/>
      <c r="AC6169" s="1050"/>
      <c r="AD6169" s="1050"/>
      <c r="AE6169" s="1050"/>
      <c r="AF6169" s="1052"/>
    </row>
    <row r="6170" spans="1:32" ht="15.6" customHeight="1" x14ac:dyDescent="0.25">
      <c r="A6170" s="2017"/>
      <c r="B6170" s="2018"/>
      <c r="C6170" s="2018"/>
      <c r="D6170" s="2018"/>
      <c r="E6170" s="2018"/>
      <c r="F6170" s="2018"/>
      <c r="G6170" s="2018"/>
      <c r="H6170" s="2018"/>
      <c r="I6170" s="2018"/>
      <c r="J6170" s="2018"/>
      <c r="K6170" s="2018"/>
      <c r="L6170" s="2018"/>
      <c r="M6170" s="2018"/>
      <c r="N6170" s="2018"/>
      <c r="O6170" s="2018"/>
      <c r="P6170" s="2018"/>
      <c r="Q6170" s="2018"/>
      <c r="R6170" s="2018"/>
      <c r="S6170" s="2018"/>
      <c r="T6170" s="2018"/>
      <c r="U6170" s="2018"/>
      <c r="V6170" s="2018"/>
      <c r="W6170" s="2018"/>
      <c r="X6170" s="2018"/>
      <c r="Y6170" s="2018"/>
      <c r="Z6170" s="2022"/>
      <c r="AA6170" s="2022"/>
      <c r="AB6170" s="1050"/>
      <c r="AC6170" s="1050"/>
      <c r="AD6170" s="1050"/>
      <c r="AE6170" s="1050"/>
      <c r="AF6170" s="1052"/>
    </row>
    <row r="6171" spans="1:32" ht="15.75" x14ac:dyDescent="0.25">
      <c r="A6171" s="2017"/>
      <c r="B6171" s="2018"/>
      <c r="C6171" s="2018"/>
      <c r="D6171" s="2018"/>
      <c r="E6171" s="2018"/>
      <c r="F6171" s="2018"/>
      <c r="G6171" s="2018"/>
      <c r="H6171" s="2018"/>
      <c r="I6171" s="2018"/>
      <c r="J6171" s="2018"/>
      <c r="K6171" s="2018"/>
      <c r="L6171" s="2018"/>
      <c r="M6171" s="2018"/>
      <c r="N6171" s="2018"/>
      <c r="O6171" s="2018"/>
      <c r="P6171" s="2018"/>
      <c r="Q6171" s="2018"/>
      <c r="R6171" s="2018"/>
      <c r="S6171" s="2018"/>
      <c r="T6171" s="2018"/>
      <c r="U6171" s="2018"/>
      <c r="V6171" s="2018"/>
      <c r="W6171" s="2018"/>
      <c r="X6171" s="2018"/>
      <c r="Y6171" s="2018"/>
      <c r="Z6171" s="2022"/>
      <c r="AA6171" s="2022"/>
      <c r="AB6171" s="1050"/>
      <c r="AC6171" s="1050"/>
      <c r="AD6171" s="1050"/>
      <c r="AE6171" s="1050"/>
      <c r="AF6171" s="1052"/>
    </row>
    <row r="6172" spans="1:32" ht="15.75" x14ac:dyDescent="0.25">
      <c r="A6172" s="2017"/>
      <c r="B6172" s="2018"/>
      <c r="C6172" s="2018"/>
      <c r="D6172" s="2018"/>
      <c r="E6172" s="2018"/>
      <c r="F6172" s="2018"/>
      <c r="G6172" s="2018"/>
      <c r="H6172" s="2018"/>
      <c r="I6172" s="2018"/>
      <c r="J6172" s="2018"/>
      <c r="K6172" s="2018"/>
      <c r="L6172" s="2018"/>
      <c r="M6172" s="2018"/>
      <c r="N6172" s="2018"/>
      <c r="O6172" s="2018"/>
      <c r="P6172" s="2018"/>
      <c r="Q6172" s="2018"/>
      <c r="R6172" s="2018"/>
      <c r="S6172" s="2018"/>
      <c r="T6172" s="2018"/>
      <c r="U6172" s="2018"/>
      <c r="V6172" s="2018"/>
      <c r="W6172" s="2018"/>
      <c r="X6172" s="2018"/>
      <c r="Y6172" s="2018"/>
      <c r="Z6172" s="2022"/>
      <c r="AA6172" s="2022"/>
      <c r="AB6172" s="1050"/>
      <c r="AC6172" s="1050"/>
      <c r="AD6172" s="1050"/>
      <c r="AE6172" s="1050"/>
      <c r="AF6172" s="1052"/>
    </row>
    <row r="6173" spans="1:32" ht="15.75" x14ac:dyDescent="0.25">
      <c r="A6173" s="2017"/>
      <c r="B6173" s="2018"/>
      <c r="C6173" s="2018"/>
      <c r="D6173" s="2018"/>
      <c r="E6173" s="2018"/>
      <c r="F6173" s="2018"/>
      <c r="G6173" s="2018"/>
      <c r="H6173" s="2018"/>
      <c r="I6173" s="2018"/>
      <c r="J6173" s="2018"/>
      <c r="K6173" s="2018"/>
      <c r="L6173" s="2018"/>
      <c r="M6173" s="2018"/>
      <c r="N6173" s="2018"/>
      <c r="O6173" s="2018"/>
      <c r="P6173" s="2018"/>
      <c r="Q6173" s="2018"/>
      <c r="R6173" s="2018"/>
      <c r="S6173" s="2018"/>
      <c r="T6173" s="2018"/>
      <c r="U6173" s="2018"/>
      <c r="V6173" s="2018"/>
      <c r="W6173" s="2018"/>
      <c r="X6173" s="2018"/>
      <c r="Y6173" s="2018"/>
      <c r="Z6173" s="2022"/>
      <c r="AA6173" s="2022"/>
      <c r="AB6173" s="1050"/>
      <c r="AC6173" s="1050"/>
      <c r="AD6173" s="1050"/>
      <c r="AE6173" s="1050"/>
      <c r="AF6173" s="1052"/>
    </row>
    <row r="6174" spans="1:32" ht="15.75" x14ac:dyDescent="0.25">
      <c r="A6174" s="2017"/>
      <c r="B6174" s="2018"/>
      <c r="C6174" s="2018"/>
      <c r="D6174" s="2018"/>
      <c r="E6174" s="2018"/>
      <c r="F6174" s="2018"/>
      <c r="G6174" s="2018"/>
      <c r="H6174" s="2018"/>
      <c r="I6174" s="2018"/>
      <c r="J6174" s="2018"/>
      <c r="K6174" s="2018"/>
      <c r="L6174" s="2018"/>
      <c r="M6174" s="2018"/>
      <c r="N6174" s="2018"/>
      <c r="O6174" s="2018"/>
      <c r="P6174" s="2018"/>
      <c r="Q6174" s="2018"/>
      <c r="R6174" s="2018"/>
      <c r="S6174" s="2018"/>
      <c r="T6174" s="2018"/>
      <c r="U6174" s="2018"/>
      <c r="V6174" s="2018"/>
      <c r="W6174" s="2018"/>
      <c r="X6174" s="2018"/>
      <c r="Y6174" s="2018"/>
      <c r="Z6174" s="2022"/>
      <c r="AA6174" s="2022"/>
      <c r="AB6174" s="1050"/>
      <c r="AC6174" s="1050"/>
      <c r="AD6174" s="1050"/>
      <c r="AE6174" s="1050"/>
      <c r="AF6174" s="1052"/>
    </row>
    <row r="6175" spans="1:32" ht="15.75" x14ac:dyDescent="0.25">
      <c r="A6175" s="2017"/>
      <c r="B6175" s="2018"/>
      <c r="C6175" s="2018"/>
      <c r="D6175" s="2018"/>
      <c r="E6175" s="2018"/>
      <c r="F6175" s="2018"/>
      <c r="G6175" s="2018"/>
      <c r="H6175" s="2018"/>
      <c r="I6175" s="2018"/>
      <c r="J6175" s="2018"/>
      <c r="K6175" s="2018"/>
      <c r="L6175" s="2018"/>
      <c r="M6175" s="2018"/>
      <c r="N6175" s="2018"/>
      <c r="O6175" s="2018"/>
      <c r="P6175" s="2018"/>
      <c r="Q6175" s="2018"/>
      <c r="R6175" s="2018"/>
      <c r="S6175" s="2018"/>
      <c r="T6175" s="2018"/>
      <c r="U6175" s="2018"/>
      <c r="V6175" s="2018"/>
      <c r="W6175" s="2018"/>
      <c r="X6175" s="2018"/>
      <c r="Y6175" s="2018"/>
      <c r="Z6175" s="2022"/>
      <c r="AA6175" s="2022"/>
      <c r="AB6175" s="1050"/>
      <c r="AC6175" s="1050"/>
      <c r="AD6175" s="1050"/>
      <c r="AE6175" s="1050"/>
      <c r="AF6175" s="1052"/>
    </row>
    <row r="6176" spans="1:32" ht="15.75" x14ac:dyDescent="0.25">
      <c r="A6176" s="2017"/>
      <c r="B6176" s="2018"/>
      <c r="C6176" s="2018"/>
      <c r="D6176" s="2018"/>
      <c r="E6176" s="2018"/>
      <c r="F6176" s="2018"/>
      <c r="G6176" s="2018"/>
      <c r="H6176" s="2018"/>
      <c r="I6176" s="2018"/>
      <c r="J6176" s="2018"/>
      <c r="K6176" s="2018"/>
      <c r="L6176" s="2018"/>
      <c r="M6176" s="2018"/>
      <c r="N6176" s="2018"/>
      <c r="O6176" s="2018"/>
      <c r="P6176" s="2018"/>
      <c r="Q6176" s="2018"/>
      <c r="R6176" s="2018"/>
      <c r="S6176" s="2018"/>
      <c r="T6176" s="2018"/>
      <c r="U6176" s="2018"/>
      <c r="V6176" s="2018"/>
      <c r="W6176" s="2018"/>
      <c r="X6176" s="2018"/>
      <c r="Y6176" s="2018"/>
      <c r="Z6176" s="2023"/>
      <c r="AA6176" s="2023"/>
      <c r="AB6176" s="1050"/>
      <c r="AC6176" s="1050"/>
      <c r="AD6176" s="1050"/>
      <c r="AE6176" s="1050"/>
      <c r="AF6176" s="1052"/>
    </row>
    <row r="6177" spans="1:32" ht="15.75" x14ac:dyDescent="0.25">
      <c r="A6177" s="2017"/>
      <c r="B6177" s="2018"/>
      <c r="C6177" s="2018"/>
      <c r="D6177" s="2018"/>
      <c r="E6177" s="2018"/>
      <c r="F6177" s="2018"/>
      <c r="G6177" s="2018"/>
      <c r="H6177" s="2018"/>
      <c r="I6177" s="2018"/>
      <c r="J6177" s="2018"/>
      <c r="K6177" s="2018"/>
      <c r="L6177" s="2018"/>
      <c r="M6177" s="2018"/>
      <c r="N6177" s="2018"/>
      <c r="O6177" s="2018"/>
      <c r="P6177" s="2018"/>
      <c r="Q6177" s="2018"/>
      <c r="R6177" s="2018"/>
      <c r="S6177" s="2018"/>
      <c r="T6177" s="2018"/>
      <c r="U6177" s="2018"/>
      <c r="V6177" s="2018"/>
      <c r="W6177" s="2018"/>
      <c r="X6177" s="2018"/>
      <c r="Y6177" s="2018"/>
      <c r="Z6177" s="2023"/>
      <c r="AA6177" s="2023"/>
      <c r="AB6177" s="1050"/>
      <c r="AC6177" s="1050"/>
      <c r="AD6177" s="1050"/>
      <c r="AE6177" s="1050"/>
      <c r="AF6177" s="1052"/>
    </row>
    <row r="6178" spans="1:32" ht="15.75" x14ac:dyDescent="0.25">
      <c r="A6178" s="2017"/>
      <c r="B6178" s="2018"/>
      <c r="C6178" s="2018"/>
      <c r="D6178" s="2018"/>
      <c r="E6178" s="2018"/>
      <c r="F6178" s="2018"/>
      <c r="G6178" s="2018"/>
      <c r="H6178" s="2018"/>
      <c r="I6178" s="2018"/>
      <c r="J6178" s="2018"/>
      <c r="K6178" s="2018"/>
      <c r="L6178" s="2018"/>
      <c r="M6178" s="2018"/>
      <c r="N6178" s="2018"/>
      <c r="O6178" s="2018"/>
      <c r="P6178" s="2018"/>
      <c r="Q6178" s="2018"/>
      <c r="R6178" s="2018"/>
      <c r="S6178" s="2018"/>
      <c r="T6178" s="2018"/>
      <c r="U6178" s="2018"/>
      <c r="V6178" s="2018"/>
      <c r="W6178" s="2018"/>
      <c r="X6178" s="2018"/>
      <c r="Y6178" s="2018"/>
      <c r="Z6178" s="2023"/>
      <c r="AA6178" s="2023"/>
      <c r="AB6178" s="1050"/>
      <c r="AC6178" s="1050"/>
      <c r="AD6178" s="1050"/>
      <c r="AE6178" s="1050"/>
      <c r="AF6178" s="1052"/>
    </row>
    <row r="6179" spans="1:32" ht="15.75" x14ac:dyDescent="0.25">
      <c r="A6179" s="2017"/>
      <c r="B6179" s="2018"/>
      <c r="C6179" s="2018"/>
      <c r="D6179" s="2018"/>
      <c r="E6179" s="2018"/>
      <c r="F6179" s="2018"/>
      <c r="G6179" s="2018"/>
      <c r="H6179" s="2018"/>
      <c r="I6179" s="2018"/>
      <c r="J6179" s="2018"/>
      <c r="K6179" s="2018"/>
      <c r="L6179" s="2018"/>
      <c r="M6179" s="2018"/>
      <c r="N6179" s="2018"/>
      <c r="O6179" s="2018"/>
      <c r="P6179" s="2018"/>
      <c r="Q6179" s="2018"/>
      <c r="R6179" s="2018"/>
      <c r="S6179" s="2018"/>
      <c r="T6179" s="2018"/>
      <c r="U6179" s="2018"/>
      <c r="V6179" s="2018"/>
      <c r="W6179" s="2018"/>
      <c r="X6179" s="2018"/>
      <c r="Y6179" s="2018"/>
      <c r="Z6179" s="2023"/>
      <c r="AA6179" s="2023"/>
      <c r="AB6179" s="1050"/>
      <c r="AC6179" s="1050"/>
      <c r="AD6179" s="1050"/>
      <c r="AE6179" s="1050"/>
      <c r="AF6179" s="1052"/>
    </row>
    <row r="6180" spans="1:32" ht="15.75" x14ac:dyDescent="0.25">
      <c r="A6180" s="2017"/>
      <c r="B6180" s="2018"/>
      <c r="C6180" s="2018"/>
      <c r="D6180" s="2018"/>
      <c r="E6180" s="2018"/>
      <c r="F6180" s="2018"/>
      <c r="G6180" s="2018"/>
      <c r="H6180" s="2018"/>
      <c r="I6180" s="2018"/>
      <c r="J6180" s="2018"/>
      <c r="K6180" s="2018"/>
      <c r="L6180" s="2018"/>
      <c r="M6180" s="2018"/>
      <c r="N6180" s="2018"/>
      <c r="O6180" s="2018"/>
      <c r="P6180" s="2018"/>
      <c r="Q6180" s="2018"/>
      <c r="R6180" s="2018"/>
      <c r="S6180" s="2018"/>
      <c r="T6180" s="2018"/>
      <c r="U6180" s="2018"/>
      <c r="V6180" s="2018"/>
      <c r="W6180" s="2018"/>
      <c r="X6180" s="2018"/>
      <c r="Y6180" s="2018"/>
      <c r="Z6180" s="2023"/>
      <c r="AA6180" s="2023"/>
      <c r="AB6180" s="1050"/>
      <c r="AC6180" s="1050"/>
      <c r="AD6180" s="1050"/>
      <c r="AE6180" s="1050"/>
      <c r="AF6180" s="1052"/>
    </row>
    <row r="6181" spans="1:32" ht="15.75" x14ac:dyDescent="0.25">
      <c r="A6181" s="2017"/>
      <c r="B6181" s="2018"/>
      <c r="C6181" s="2018"/>
      <c r="D6181" s="2018"/>
      <c r="E6181" s="2018"/>
      <c r="F6181" s="2018"/>
      <c r="G6181" s="2018"/>
      <c r="H6181" s="2018"/>
      <c r="I6181" s="2018"/>
      <c r="J6181" s="2018"/>
      <c r="K6181" s="2018"/>
      <c r="L6181" s="2018"/>
      <c r="M6181" s="2018"/>
      <c r="N6181" s="2018"/>
      <c r="O6181" s="2018"/>
      <c r="P6181" s="2018"/>
      <c r="Q6181" s="2018"/>
      <c r="R6181" s="2018"/>
      <c r="S6181" s="2018"/>
      <c r="T6181" s="2018"/>
      <c r="U6181" s="2018"/>
      <c r="V6181" s="2018"/>
      <c r="W6181" s="2018"/>
      <c r="X6181" s="2018"/>
      <c r="Y6181" s="2018"/>
      <c r="Z6181" s="2023"/>
      <c r="AA6181" s="2023"/>
      <c r="AB6181" s="1050"/>
      <c r="AC6181" s="1050"/>
      <c r="AD6181" s="1050"/>
      <c r="AE6181" s="1050"/>
      <c r="AF6181" s="1052"/>
    </row>
    <row r="6182" spans="1:32" ht="16.5" thickBot="1" x14ac:dyDescent="0.3">
      <c r="A6182" s="2019"/>
      <c r="B6182" s="2020"/>
      <c r="C6182" s="2020"/>
      <c r="D6182" s="2020"/>
      <c r="E6182" s="2020"/>
      <c r="F6182" s="2020"/>
      <c r="G6182" s="2020"/>
      <c r="H6182" s="2020"/>
      <c r="I6182" s="2020"/>
      <c r="J6182" s="2020"/>
      <c r="K6182" s="2020"/>
      <c r="L6182" s="2020"/>
      <c r="M6182" s="2020"/>
      <c r="N6182" s="2020"/>
      <c r="O6182" s="2020"/>
      <c r="P6182" s="2020"/>
      <c r="Q6182" s="2020"/>
      <c r="R6182" s="2020"/>
      <c r="S6182" s="2020"/>
      <c r="T6182" s="2020"/>
      <c r="U6182" s="2020"/>
      <c r="V6182" s="2020"/>
      <c r="W6182" s="2020"/>
      <c r="X6182" s="2020"/>
      <c r="Y6182" s="2020"/>
      <c r="Z6182" s="2024"/>
      <c r="AA6182" s="2024"/>
      <c r="AB6182" s="1057"/>
      <c r="AC6182" s="1057"/>
      <c r="AD6182" s="1057"/>
      <c r="AE6182" s="1057"/>
      <c r="AF6182" s="1058"/>
    </row>
    <row r="6183" spans="1:32" ht="15.75" x14ac:dyDescent="0.25">
      <c r="A6183" s="2009" t="s">
        <v>1855</v>
      </c>
      <c r="B6183" s="2010"/>
      <c r="C6183" s="2010"/>
      <c r="D6183" s="2010"/>
      <c r="E6183" s="2010"/>
      <c r="F6183" s="2010"/>
      <c r="G6183" s="2010"/>
      <c r="H6183" s="2010"/>
      <c r="I6183" s="2010"/>
      <c r="J6183" s="2010"/>
      <c r="K6183" s="2010"/>
      <c r="L6183" s="2010"/>
      <c r="M6183" s="2010"/>
      <c r="N6183" s="2010"/>
      <c r="O6183" s="2010"/>
      <c r="P6183" s="2010"/>
      <c r="Q6183" s="2010"/>
      <c r="R6183" s="2010"/>
      <c r="S6183" s="2010"/>
      <c r="T6183" s="2010"/>
      <c r="U6183" s="2010"/>
      <c r="V6183" s="2010"/>
      <c r="W6183" s="2010"/>
      <c r="X6183" s="2010"/>
      <c r="Y6183" s="2010"/>
      <c r="Z6183" s="2013" t="s">
        <v>1850</v>
      </c>
      <c r="AA6183" s="2013"/>
      <c r="AB6183" s="2013"/>
      <c r="AC6183" s="2013"/>
      <c r="AD6183" s="2013"/>
      <c r="AE6183" s="2013"/>
      <c r="AF6183" s="1059">
        <f>SUM(AF6159:AF6182)</f>
        <v>0</v>
      </c>
    </row>
    <row r="6184" spans="1:32" ht="15.75" x14ac:dyDescent="0.25">
      <c r="A6184" s="2011"/>
      <c r="B6184" s="2012"/>
      <c r="C6184" s="2012"/>
      <c r="D6184" s="2012"/>
      <c r="E6184" s="2012"/>
      <c r="F6184" s="2012"/>
      <c r="G6184" s="2012"/>
      <c r="H6184" s="2012"/>
      <c r="I6184" s="2012"/>
      <c r="J6184" s="2012"/>
      <c r="K6184" s="2012"/>
      <c r="L6184" s="2012"/>
      <c r="M6184" s="2012"/>
      <c r="N6184" s="2012"/>
      <c r="O6184" s="2012"/>
      <c r="P6184" s="2012"/>
      <c r="Q6184" s="2012"/>
      <c r="R6184" s="2012"/>
      <c r="S6184" s="2012"/>
      <c r="T6184" s="2012"/>
      <c r="U6184" s="2012"/>
      <c r="V6184" s="2012"/>
      <c r="W6184" s="2012"/>
      <c r="X6184" s="2012"/>
      <c r="Y6184" s="2012"/>
      <c r="Z6184" s="2014" t="s">
        <v>1851</v>
      </c>
      <c r="AA6184" s="2014"/>
      <c r="AB6184" s="2014"/>
      <c r="AC6184" s="2014"/>
      <c r="AD6184" s="2014"/>
      <c r="AE6184" s="2014"/>
      <c r="AF6184" s="1060">
        <v>0</v>
      </c>
    </row>
    <row r="6185" spans="1:32" ht="15.75" x14ac:dyDescent="0.25">
      <c r="A6185" s="2011"/>
      <c r="B6185" s="2012"/>
      <c r="C6185" s="2012"/>
      <c r="D6185" s="2012"/>
      <c r="E6185" s="2012"/>
      <c r="F6185" s="2012"/>
      <c r="G6185" s="2012"/>
      <c r="H6185" s="2012"/>
      <c r="I6185" s="2012"/>
      <c r="J6185" s="2012"/>
      <c r="K6185" s="2012"/>
      <c r="L6185" s="2012"/>
      <c r="M6185" s="2012"/>
      <c r="N6185" s="2012"/>
      <c r="O6185" s="2012"/>
      <c r="P6185" s="2012"/>
      <c r="Q6185" s="2012"/>
      <c r="R6185" s="2012"/>
      <c r="S6185" s="2012"/>
      <c r="T6185" s="2012"/>
      <c r="U6185" s="2012"/>
      <c r="V6185" s="2012"/>
      <c r="W6185" s="2012"/>
      <c r="X6185" s="2012"/>
      <c r="Y6185" s="2012"/>
      <c r="Z6185" s="2015" t="s">
        <v>1833</v>
      </c>
      <c r="AA6185" s="2015"/>
      <c r="AB6185" s="2015"/>
      <c r="AC6185" s="2015"/>
      <c r="AD6185" s="2015"/>
      <c r="AE6185" s="2015"/>
      <c r="AF6185" s="1061">
        <f>SUM(AF6183:AF6184)</f>
        <v>0</v>
      </c>
    </row>
    <row r="6186" spans="1:32" x14ac:dyDescent="0.2">
      <c r="A6186" s="2012" t="s">
        <v>1859</v>
      </c>
      <c r="B6186" s="2012"/>
      <c r="C6186" s="2012"/>
      <c r="D6186" s="2012"/>
      <c r="E6186" s="2012"/>
      <c r="F6186" s="2012"/>
      <c r="G6186" s="2012"/>
      <c r="H6186" s="2012"/>
      <c r="I6186" s="2012"/>
      <c r="J6186" s="2012"/>
      <c r="K6186" s="2012"/>
      <c r="L6186" s="2012"/>
      <c r="M6186" s="2012"/>
      <c r="N6186" s="2012"/>
      <c r="O6186" s="2012"/>
      <c r="P6186" s="2012"/>
      <c r="Q6186" s="2012"/>
      <c r="R6186" s="2012"/>
      <c r="S6186" s="2012"/>
      <c r="T6186" s="2016" t="s">
        <v>1840</v>
      </c>
      <c r="U6186" s="2016"/>
      <c r="V6186" s="2016"/>
      <c r="W6186" s="2016"/>
      <c r="X6186" s="2016"/>
      <c r="Y6186" s="2016"/>
      <c r="Z6186" s="2016"/>
      <c r="AA6186" s="2016"/>
      <c r="AB6186" s="2012" t="s">
        <v>1852</v>
      </c>
      <c r="AC6186" s="2012"/>
      <c r="AD6186" s="2012"/>
      <c r="AE6186" s="2012"/>
      <c r="AF6186" s="2012"/>
    </row>
    <row r="6187" spans="1:32" x14ac:dyDescent="0.2">
      <c r="A6187" s="2012"/>
      <c r="B6187" s="2012"/>
      <c r="C6187" s="2012"/>
      <c r="D6187" s="2012"/>
      <c r="E6187" s="2012"/>
      <c r="F6187" s="2012"/>
      <c r="G6187" s="2012"/>
      <c r="H6187" s="2012"/>
      <c r="I6187" s="2012"/>
      <c r="J6187" s="2012"/>
      <c r="K6187" s="2012"/>
      <c r="L6187" s="2012"/>
      <c r="M6187" s="2012"/>
      <c r="N6187" s="2012"/>
      <c r="O6187" s="2012"/>
      <c r="P6187" s="2012"/>
      <c r="Q6187" s="2012"/>
      <c r="R6187" s="2012"/>
      <c r="S6187" s="2012"/>
      <c r="T6187" s="2016"/>
      <c r="U6187" s="2016"/>
      <c r="V6187" s="2016"/>
      <c r="W6187" s="2016"/>
      <c r="X6187" s="2016"/>
      <c r="Y6187" s="2016"/>
      <c r="Z6187" s="2016"/>
      <c r="AA6187" s="2016"/>
      <c r="AB6187" s="2012"/>
      <c r="AC6187" s="2012"/>
      <c r="AD6187" s="2012"/>
      <c r="AE6187" s="2012"/>
      <c r="AF6187" s="2012"/>
    </row>
    <row r="6188" spans="1:32" ht="13.5" thickBot="1" x14ac:dyDescent="0.25"/>
    <row r="6189" spans="1:32" ht="26.45" customHeight="1" x14ac:dyDescent="0.2">
      <c r="A6189" s="2025" t="s">
        <v>1854</v>
      </c>
      <c r="B6189" s="2026"/>
      <c r="C6189" s="2026"/>
      <c r="D6189" s="2026"/>
      <c r="E6189" s="2026"/>
      <c r="F6189" s="2026"/>
      <c r="G6189" s="2026"/>
      <c r="H6189" s="2026"/>
      <c r="I6189" s="2026"/>
      <c r="J6189" s="2026"/>
      <c r="K6189" s="2026"/>
      <c r="L6189" s="2026"/>
      <c r="M6189" s="2026"/>
      <c r="N6189" s="2026"/>
      <c r="O6189" s="2026"/>
      <c r="P6189" s="2026"/>
      <c r="Q6189" s="2026"/>
      <c r="R6189" s="2026"/>
      <c r="S6189" s="2026"/>
      <c r="T6189" s="2026"/>
      <c r="U6189" s="2026"/>
      <c r="V6189" s="2026"/>
      <c r="W6189" s="2026"/>
      <c r="X6189" s="2026"/>
      <c r="Y6189" s="2026"/>
      <c r="Z6189" s="2026"/>
      <c r="AA6189" s="2026"/>
      <c r="AB6189" s="2026"/>
      <c r="AC6189" s="2026"/>
      <c r="AD6189" s="2026"/>
      <c r="AE6189" s="1041" t="s">
        <v>1834</v>
      </c>
      <c r="AF6189" s="1042" t="s">
        <v>1835</v>
      </c>
    </row>
    <row r="6190" spans="1:32" ht="21" customHeight="1" thickBot="1" x14ac:dyDescent="0.25">
      <c r="A6190" s="2027"/>
      <c r="B6190" s="2028"/>
      <c r="C6190" s="2028"/>
      <c r="D6190" s="2028"/>
      <c r="E6190" s="2028"/>
      <c r="F6190" s="2028"/>
      <c r="G6190" s="2028"/>
      <c r="H6190" s="2028"/>
      <c r="I6190" s="2028"/>
      <c r="J6190" s="2028"/>
      <c r="K6190" s="2028"/>
      <c r="L6190" s="2028"/>
      <c r="M6190" s="2028"/>
      <c r="N6190" s="2028"/>
      <c r="O6190" s="2028"/>
      <c r="P6190" s="2028"/>
      <c r="Q6190" s="2028"/>
      <c r="R6190" s="2028"/>
      <c r="S6190" s="2028"/>
      <c r="T6190" s="2028"/>
      <c r="U6190" s="2028"/>
      <c r="V6190" s="2028"/>
      <c r="W6190" s="2028"/>
      <c r="X6190" s="2028"/>
      <c r="Y6190" s="2028"/>
      <c r="Z6190" s="2028"/>
      <c r="AA6190" s="2028"/>
      <c r="AB6190" s="2028"/>
      <c r="AC6190" s="2028"/>
      <c r="AD6190" s="2028"/>
      <c r="AE6190" s="1041" t="s">
        <v>1836</v>
      </c>
      <c r="AF6190" s="1044">
        <v>1</v>
      </c>
    </row>
    <row r="6191" spans="1:32" ht="15.75" x14ac:dyDescent="0.2">
      <c r="A6191" s="2029"/>
      <c r="B6191" s="2030"/>
      <c r="C6191" s="2030"/>
      <c r="D6191" s="2031"/>
      <c r="E6191" s="2025" t="str">
        <f>'01'!$A$12</f>
        <v>"CONSTRUCCION SISTEMA DE ACUEDUCTO FASE II DEL MUNICIPIO DE TESALIA DPTO DEL HUILA"</v>
      </c>
      <c r="F6191" s="2026"/>
      <c r="G6191" s="2026"/>
      <c r="H6191" s="2026"/>
      <c r="I6191" s="2026"/>
      <c r="J6191" s="2026"/>
      <c r="K6191" s="2026"/>
      <c r="L6191" s="2026"/>
      <c r="M6191" s="2026"/>
      <c r="N6191" s="2026"/>
      <c r="O6191" s="2026"/>
      <c r="P6191" s="2026"/>
      <c r="Q6191" s="2026"/>
      <c r="R6191" s="2026"/>
      <c r="S6191" s="2026"/>
      <c r="T6191" s="2026"/>
      <c r="U6191" s="2026"/>
      <c r="V6191" s="2026"/>
      <c r="W6191" s="2026"/>
      <c r="X6191" s="2026"/>
      <c r="Y6191" s="2026"/>
      <c r="Z6191" s="2026"/>
      <c r="AA6191" s="2026"/>
      <c r="AB6191" s="2026"/>
      <c r="AC6191" s="2026"/>
      <c r="AD6191" s="2035"/>
      <c r="AE6191" s="1041" t="s">
        <v>847</v>
      </c>
      <c r="AF6191" s="1045">
        <f>'01'!$M$13</f>
        <v>0</v>
      </c>
    </row>
    <row r="6192" spans="1:32" ht="16.5" thickBot="1" x14ac:dyDescent="0.25">
      <c r="A6192" s="2032"/>
      <c r="B6192" s="2033"/>
      <c r="C6192" s="2033"/>
      <c r="D6192" s="2034"/>
      <c r="E6192" s="2027"/>
      <c r="F6192" s="2028"/>
      <c r="G6192" s="2028"/>
      <c r="H6192" s="2028"/>
      <c r="I6192" s="2028"/>
      <c r="J6192" s="2028"/>
      <c r="K6192" s="2028"/>
      <c r="L6192" s="2028"/>
      <c r="M6192" s="2028"/>
      <c r="N6192" s="2028"/>
      <c r="O6192" s="2028"/>
      <c r="P6192" s="2028"/>
      <c r="Q6192" s="2028"/>
      <c r="R6192" s="2028"/>
      <c r="S6192" s="2028"/>
      <c r="T6192" s="2028"/>
      <c r="U6192" s="2028"/>
      <c r="V6192" s="2028"/>
      <c r="W6192" s="2028"/>
      <c r="X6192" s="2028"/>
      <c r="Y6192" s="2028"/>
      <c r="Z6192" s="2028"/>
      <c r="AA6192" s="2028"/>
      <c r="AB6192" s="2028"/>
      <c r="AC6192" s="2028"/>
      <c r="AD6192" s="2036"/>
      <c r="AE6192" s="1041" t="s">
        <v>1837</v>
      </c>
      <c r="AF6192" s="1042" t="s">
        <v>1838</v>
      </c>
    </row>
    <row r="6193" spans="1:32" ht="15.75" x14ac:dyDescent="0.25">
      <c r="A6193" s="2037" t="s">
        <v>1860</v>
      </c>
      <c r="B6193" s="2038"/>
      <c r="C6193" s="2038"/>
      <c r="D6193" s="2038"/>
      <c r="E6193" s="2038"/>
      <c r="F6193" s="2038"/>
      <c r="G6193" s="2038"/>
      <c r="H6193" s="2038"/>
      <c r="I6193" s="2038"/>
      <c r="J6193" s="2038"/>
      <c r="K6193" s="2038"/>
      <c r="L6193" s="2038"/>
      <c r="M6193" s="2038"/>
      <c r="N6193" s="2038"/>
      <c r="O6193" s="2038"/>
      <c r="P6193" s="2038"/>
      <c r="Q6193" s="2038"/>
      <c r="R6193" s="2038"/>
      <c r="S6193" s="2038"/>
      <c r="T6193" s="2038"/>
      <c r="U6193" s="2038"/>
      <c r="V6193" s="2038"/>
      <c r="W6193" s="2038"/>
      <c r="X6193" s="2038"/>
      <c r="Y6193" s="2038"/>
      <c r="Z6193" s="2038"/>
      <c r="AA6193" s="2038"/>
      <c r="AB6193" s="2038"/>
      <c r="AC6193" s="2038"/>
      <c r="AD6193" s="2038"/>
      <c r="AE6193" s="2039" t="s">
        <v>1839</v>
      </c>
      <c r="AF6193" s="2040"/>
    </row>
    <row r="6194" spans="1:32" ht="15.75" x14ac:dyDescent="0.25">
      <c r="A6194" s="2041" t="s">
        <v>1840</v>
      </c>
      <c r="B6194" s="2042"/>
      <c r="C6194" s="2042"/>
      <c r="D6194" s="2042"/>
      <c r="E6194" s="2042"/>
      <c r="F6194" s="2042"/>
      <c r="G6194" s="2042"/>
      <c r="H6194" s="2042"/>
      <c r="I6194" s="2042"/>
      <c r="J6194" s="2042"/>
      <c r="K6194" s="2042"/>
      <c r="L6194" s="2042"/>
      <c r="M6194" s="2042"/>
      <c r="N6194" s="2042"/>
      <c r="O6194" s="2042"/>
      <c r="P6194" s="2042"/>
      <c r="Q6194" s="2042"/>
      <c r="R6194" s="2042"/>
      <c r="S6194" s="2042"/>
      <c r="T6194" s="2042"/>
      <c r="U6194" s="2042"/>
      <c r="V6194" s="2042"/>
      <c r="W6194" s="2042"/>
      <c r="X6194" s="2042"/>
      <c r="Y6194" s="2042"/>
      <c r="Z6194" s="2042"/>
      <c r="AA6194" s="2042"/>
      <c r="AB6194" s="2042"/>
      <c r="AC6194" s="2042"/>
      <c r="AD6194" s="2043"/>
      <c r="AE6194" s="2014" t="s">
        <v>1841</v>
      </c>
      <c r="AF6194" s="2044"/>
    </row>
    <row r="6195" spans="1:32" ht="15.75" x14ac:dyDescent="0.25">
      <c r="A6195" s="2045" t="s">
        <v>1853</v>
      </c>
      <c r="B6195" s="2046"/>
      <c r="C6195" s="2046"/>
      <c r="D6195" s="2046"/>
      <c r="E6195" s="2046"/>
      <c r="F6195" s="2046"/>
      <c r="G6195" s="2046"/>
      <c r="H6195" s="2046"/>
      <c r="I6195" s="2046"/>
      <c r="J6195" s="2046"/>
      <c r="K6195" s="2046"/>
      <c r="L6195" s="2046"/>
      <c r="M6195" s="2046"/>
      <c r="N6195" s="2046"/>
      <c r="O6195" s="2046"/>
      <c r="P6195" s="2046"/>
      <c r="Q6195" s="2046"/>
      <c r="R6195" s="2046"/>
      <c r="S6195" s="2046"/>
      <c r="T6195" s="2046"/>
      <c r="U6195" s="2046"/>
      <c r="V6195" s="2046"/>
      <c r="W6195" s="2046"/>
      <c r="X6195" s="2046"/>
      <c r="Y6195" s="2046"/>
      <c r="Z6195" s="2046"/>
      <c r="AA6195" s="2046"/>
      <c r="AB6195" s="2046"/>
      <c r="AC6195" s="2046"/>
      <c r="AD6195" s="2046"/>
      <c r="AE6195" s="2047">
        <f>'01'!$M$13</f>
        <v>0</v>
      </c>
      <c r="AF6195" s="2044"/>
    </row>
    <row r="6196" spans="1:32" x14ac:dyDescent="0.2">
      <c r="A6196" s="1046"/>
      <c r="B6196" s="1047"/>
      <c r="C6196" s="1047"/>
      <c r="D6196" s="1047"/>
      <c r="E6196" s="1047"/>
      <c r="F6196" s="1047"/>
      <c r="G6196" s="1047"/>
      <c r="H6196" s="1047"/>
      <c r="I6196" s="1047"/>
      <c r="J6196" s="1047"/>
      <c r="K6196" s="1047"/>
      <c r="L6196" s="1047"/>
      <c r="M6196" s="1047"/>
      <c r="N6196" s="1047"/>
      <c r="O6196" s="1047"/>
      <c r="P6196" s="1047"/>
      <c r="Q6196" s="1047"/>
      <c r="R6196" s="1047"/>
      <c r="S6196" s="1047"/>
      <c r="T6196" s="1047"/>
      <c r="U6196" s="1047"/>
      <c r="V6196" s="1047"/>
      <c r="W6196" s="1047"/>
      <c r="X6196" s="1047"/>
      <c r="Y6196" s="1047"/>
      <c r="Z6196" s="1047"/>
      <c r="AA6196" s="1047"/>
      <c r="AB6196" s="1047"/>
      <c r="AC6196" s="1047"/>
      <c r="AD6196" s="1047"/>
      <c r="AE6196" s="1047"/>
      <c r="AF6196" s="1048"/>
    </row>
    <row r="6197" spans="1:32" ht="30" customHeight="1" x14ac:dyDescent="0.2">
      <c r="A6197" s="2048" t="s">
        <v>1842</v>
      </c>
      <c r="B6197" s="2049"/>
      <c r="C6197" s="2049"/>
      <c r="D6197" s="2049"/>
      <c r="E6197" s="2049"/>
      <c r="F6197" s="2050" t="str">
        <f>+'01'!$H$247</f>
        <v>J - CASETA DE OPERACIONES</v>
      </c>
      <c r="G6197" s="2049"/>
      <c r="H6197" s="2049"/>
      <c r="I6197" s="2049"/>
      <c r="J6197" s="2049"/>
      <c r="K6197" s="2049"/>
      <c r="L6197" s="2049"/>
      <c r="M6197" s="2049"/>
      <c r="N6197" s="2049"/>
      <c r="O6197" s="2049"/>
      <c r="P6197" s="2049"/>
      <c r="Q6197" s="2049"/>
      <c r="R6197" s="2049"/>
      <c r="S6197" s="2049"/>
      <c r="T6197" s="2049"/>
      <c r="U6197" s="2049"/>
      <c r="V6197" s="2049"/>
      <c r="W6197" s="2049"/>
      <c r="X6197" s="2049"/>
      <c r="Y6197" s="2051"/>
      <c r="Z6197" s="2052" t="s">
        <v>1843</v>
      </c>
      <c r="AA6197" s="2053"/>
      <c r="AB6197" s="2058" t="s">
        <v>1844</v>
      </c>
      <c r="AC6197" s="2059"/>
      <c r="AD6197" s="2060"/>
      <c r="AE6197" s="2064" t="s">
        <v>1845</v>
      </c>
      <c r="AF6197" s="2067" t="s">
        <v>1846</v>
      </c>
    </row>
    <row r="6198" spans="1:32" ht="15" customHeight="1" x14ac:dyDescent="0.2">
      <c r="A6198" s="2070" t="str">
        <f>+'01'!A257</f>
        <v>J-04-02</v>
      </c>
      <c r="B6198" s="2071"/>
      <c r="C6198" s="2072"/>
      <c r="D6198" s="2076" t="str">
        <f>VLOOKUP(A6198,'01'!$A$12:$N$299,3,FALSE)</f>
        <v>DISPOSICIÓN DE MATERIAL PROVENIENTE DE EXCAVACIÓN (NO INCLUYE TRANSPORTE)</v>
      </c>
      <c r="E6198" s="2077"/>
      <c r="F6198" s="2077"/>
      <c r="G6198" s="2077"/>
      <c r="H6198" s="2077"/>
      <c r="I6198" s="2077"/>
      <c r="J6198" s="2077"/>
      <c r="K6198" s="2077"/>
      <c r="L6198" s="2077"/>
      <c r="M6198" s="2077"/>
      <c r="N6198" s="2077"/>
      <c r="O6198" s="2077"/>
      <c r="P6198" s="2077"/>
      <c r="Q6198" s="2077"/>
      <c r="R6198" s="2077"/>
      <c r="S6198" s="2078"/>
      <c r="T6198" s="2082" t="s">
        <v>124</v>
      </c>
      <c r="U6198" s="2083"/>
      <c r="V6198" s="2083"/>
      <c r="W6198" s="2083"/>
      <c r="X6198" s="2052" t="str">
        <f>VLOOKUP(A6198,'01'!$A$12:$N$299,9,FALSE)</f>
        <v>M3</v>
      </c>
      <c r="Y6198" s="2053"/>
      <c r="Z6198" s="2054"/>
      <c r="AA6198" s="2055"/>
      <c r="AB6198" s="2061"/>
      <c r="AC6198" s="2062"/>
      <c r="AD6198" s="2063"/>
      <c r="AE6198" s="2065"/>
      <c r="AF6198" s="2068"/>
    </row>
    <row r="6199" spans="1:32" ht="15" customHeight="1" x14ac:dyDescent="0.25">
      <c r="A6199" s="2073"/>
      <c r="B6199" s="2074"/>
      <c r="C6199" s="2075"/>
      <c r="D6199" s="2079"/>
      <c r="E6199" s="2080"/>
      <c r="F6199" s="2080"/>
      <c r="G6199" s="2080"/>
      <c r="H6199" s="2080"/>
      <c r="I6199" s="2080"/>
      <c r="J6199" s="2080"/>
      <c r="K6199" s="2080"/>
      <c r="L6199" s="2080"/>
      <c r="M6199" s="2080"/>
      <c r="N6199" s="2080"/>
      <c r="O6199" s="2080"/>
      <c r="P6199" s="2080"/>
      <c r="Q6199" s="2080"/>
      <c r="R6199" s="2080"/>
      <c r="S6199" s="2081"/>
      <c r="T6199" s="2084"/>
      <c r="U6199" s="2085"/>
      <c r="V6199" s="2085"/>
      <c r="W6199" s="2085"/>
      <c r="X6199" s="2056"/>
      <c r="Y6199" s="2057"/>
      <c r="Z6199" s="2056"/>
      <c r="AA6199" s="2057"/>
      <c r="AB6199" s="1049" t="s">
        <v>1847</v>
      </c>
      <c r="AC6199" s="1049" t="s">
        <v>1848</v>
      </c>
      <c r="AD6199" s="1049" t="s">
        <v>1861</v>
      </c>
      <c r="AE6199" s="2066"/>
      <c r="AF6199" s="2069"/>
    </row>
    <row r="6200" spans="1:32" ht="30" customHeight="1" x14ac:dyDescent="0.25">
      <c r="A6200" s="2017"/>
      <c r="B6200" s="2018"/>
      <c r="C6200" s="2018"/>
      <c r="D6200" s="2018"/>
      <c r="E6200" s="2018"/>
      <c r="F6200" s="2018"/>
      <c r="G6200" s="2018"/>
      <c r="H6200" s="2018"/>
      <c r="I6200" s="2018"/>
      <c r="J6200" s="2018"/>
      <c r="K6200" s="2018"/>
      <c r="L6200" s="2018"/>
      <c r="M6200" s="2018"/>
      <c r="N6200" s="2018"/>
      <c r="O6200" s="2018"/>
      <c r="P6200" s="2018"/>
      <c r="Q6200" s="2018"/>
      <c r="R6200" s="2018"/>
      <c r="S6200" s="2018"/>
      <c r="T6200" s="2018"/>
      <c r="U6200" s="2018"/>
      <c r="V6200" s="2018"/>
      <c r="W6200" s="2018"/>
      <c r="X6200" s="2018"/>
      <c r="Y6200" s="2018"/>
      <c r="Z6200" s="2021"/>
      <c r="AA6200" s="2021"/>
      <c r="AB6200" s="1050"/>
      <c r="AC6200" s="1050"/>
      <c r="AD6200" s="1050"/>
      <c r="AE6200" s="1050"/>
      <c r="AF6200" s="1052"/>
    </row>
    <row r="6201" spans="1:32" ht="15.6" customHeight="1" x14ac:dyDescent="0.25">
      <c r="A6201" s="2017"/>
      <c r="B6201" s="2018"/>
      <c r="C6201" s="2018"/>
      <c r="D6201" s="2018"/>
      <c r="E6201" s="2018"/>
      <c r="F6201" s="2018"/>
      <c r="G6201" s="2018"/>
      <c r="H6201" s="2018"/>
      <c r="I6201" s="2018"/>
      <c r="J6201" s="2018"/>
      <c r="K6201" s="2018"/>
      <c r="L6201" s="2018"/>
      <c r="M6201" s="2018"/>
      <c r="N6201" s="2018"/>
      <c r="O6201" s="2018"/>
      <c r="P6201" s="2018"/>
      <c r="Q6201" s="2018"/>
      <c r="R6201" s="2018"/>
      <c r="S6201" s="2018"/>
      <c r="T6201" s="2018"/>
      <c r="U6201" s="2018"/>
      <c r="V6201" s="2018"/>
      <c r="W6201" s="2018"/>
      <c r="X6201" s="2018"/>
      <c r="Y6201" s="2018"/>
      <c r="Z6201" s="2021"/>
      <c r="AA6201" s="2021"/>
      <c r="AB6201" s="1050"/>
      <c r="AC6201" s="1050"/>
      <c r="AD6201" s="1050"/>
      <c r="AE6201" s="1050"/>
      <c r="AF6201" s="1052"/>
    </row>
    <row r="6202" spans="1:32" ht="15.6" customHeight="1" x14ac:dyDescent="0.25">
      <c r="A6202" s="2017"/>
      <c r="B6202" s="2018"/>
      <c r="C6202" s="2018"/>
      <c r="D6202" s="2018"/>
      <c r="E6202" s="2018"/>
      <c r="F6202" s="2018"/>
      <c r="G6202" s="2018"/>
      <c r="H6202" s="2018"/>
      <c r="I6202" s="2018"/>
      <c r="J6202" s="2018"/>
      <c r="K6202" s="2018"/>
      <c r="L6202" s="2018"/>
      <c r="M6202" s="2018"/>
      <c r="N6202" s="2018"/>
      <c r="O6202" s="2018"/>
      <c r="P6202" s="2018"/>
      <c r="Q6202" s="2018"/>
      <c r="R6202" s="2018"/>
      <c r="S6202" s="2018"/>
      <c r="T6202" s="2018"/>
      <c r="U6202" s="2018"/>
      <c r="V6202" s="2018"/>
      <c r="W6202" s="2018"/>
      <c r="X6202" s="2018"/>
      <c r="Y6202" s="2018"/>
      <c r="Z6202" s="2021"/>
      <c r="AA6202" s="2021"/>
      <c r="AB6202" s="1050"/>
      <c r="AC6202" s="1050"/>
      <c r="AD6202" s="1050"/>
      <c r="AE6202" s="1050"/>
      <c r="AF6202" s="1052"/>
    </row>
    <row r="6203" spans="1:32" ht="15.75" x14ac:dyDescent="0.25">
      <c r="A6203" s="2017"/>
      <c r="B6203" s="2018"/>
      <c r="C6203" s="2018"/>
      <c r="D6203" s="2018"/>
      <c r="E6203" s="2018"/>
      <c r="F6203" s="2018"/>
      <c r="G6203" s="2018"/>
      <c r="H6203" s="2018"/>
      <c r="I6203" s="2018"/>
      <c r="J6203" s="2018"/>
      <c r="K6203" s="2018"/>
      <c r="L6203" s="2018"/>
      <c r="M6203" s="2018"/>
      <c r="N6203" s="2018"/>
      <c r="O6203" s="2018"/>
      <c r="P6203" s="2018"/>
      <c r="Q6203" s="2018"/>
      <c r="R6203" s="2018"/>
      <c r="S6203" s="2018"/>
      <c r="T6203" s="2018"/>
      <c r="U6203" s="2018"/>
      <c r="V6203" s="2018"/>
      <c r="W6203" s="2018"/>
      <c r="X6203" s="2018"/>
      <c r="Y6203" s="2018"/>
      <c r="Z6203" s="2021"/>
      <c r="AA6203" s="2021"/>
      <c r="AB6203" s="1050"/>
      <c r="AC6203" s="1050"/>
      <c r="AD6203" s="1050"/>
      <c r="AE6203" s="1050"/>
      <c r="AF6203" s="1052"/>
    </row>
    <row r="6204" spans="1:32" ht="15.6" customHeight="1" x14ac:dyDescent="0.25">
      <c r="A6204" s="2017"/>
      <c r="B6204" s="2018"/>
      <c r="C6204" s="2018"/>
      <c r="D6204" s="2018"/>
      <c r="E6204" s="2018"/>
      <c r="F6204" s="2018"/>
      <c r="G6204" s="2018"/>
      <c r="H6204" s="2018"/>
      <c r="I6204" s="2018"/>
      <c r="J6204" s="2018"/>
      <c r="K6204" s="2018"/>
      <c r="L6204" s="2018"/>
      <c r="M6204" s="2018"/>
      <c r="N6204" s="2018"/>
      <c r="O6204" s="2018"/>
      <c r="P6204" s="2018"/>
      <c r="Q6204" s="2018"/>
      <c r="R6204" s="2018"/>
      <c r="S6204" s="2018"/>
      <c r="T6204" s="2018"/>
      <c r="U6204" s="2018"/>
      <c r="V6204" s="2018"/>
      <c r="W6204" s="2018"/>
      <c r="X6204" s="2018"/>
      <c r="Y6204" s="2018"/>
      <c r="Z6204" s="2021"/>
      <c r="AA6204" s="2021"/>
      <c r="AB6204" s="1050"/>
      <c r="AC6204" s="1050"/>
      <c r="AD6204" s="1050"/>
      <c r="AE6204" s="1050"/>
      <c r="AF6204" s="1052"/>
    </row>
    <row r="6205" spans="1:32" ht="15.75" x14ac:dyDescent="0.25">
      <c r="A6205" s="2017"/>
      <c r="B6205" s="2018"/>
      <c r="C6205" s="2018"/>
      <c r="D6205" s="2018"/>
      <c r="E6205" s="2018"/>
      <c r="F6205" s="2018"/>
      <c r="G6205" s="2018"/>
      <c r="H6205" s="2018"/>
      <c r="I6205" s="2018"/>
      <c r="J6205" s="2018"/>
      <c r="K6205" s="2018"/>
      <c r="L6205" s="2018"/>
      <c r="M6205" s="2018"/>
      <c r="N6205" s="2018"/>
      <c r="O6205" s="2018"/>
      <c r="P6205" s="2018"/>
      <c r="Q6205" s="2018"/>
      <c r="R6205" s="2018"/>
      <c r="S6205" s="2018"/>
      <c r="T6205" s="2018"/>
      <c r="U6205" s="2018"/>
      <c r="V6205" s="2018"/>
      <c r="W6205" s="2018"/>
      <c r="X6205" s="2018"/>
      <c r="Y6205" s="2018"/>
      <c r="Z6205" s="2021"/>
      <c r="AA6205" s="2021"/>
      <c r="AB6205" s="1050"/>
      <c r="AC6205" s="1050"/>
      <c r="AD6205" s="1050"/>
      <c r="AE6205" s="1050"/>
      <c r="AF6205" s="1052"/>
    </row>
    <row r="6206" spans="1:32" ht="15.75" x14ac:dyDescent="0.25">
      <c r="A6206" s="2017"/>
      <c r="B6206" s="2018"/>
      <c r="C6206" s="2018"/>
      <c r="D6206" s="2018"/>
      <c r="E6206" s="2018"/>
      <c r="F6206" s="2018"/>
      <c r="G6206" s="2018"/>
      <c r="H6206" s="2018"/>
      <c r="I6206" s="2018"/>
      <c r="J6206" s="2018"/>
      <c r="K6206" s="2018"/>
      <c r="L6206" s="2018"/>
      <c r="M6206" s="2018"/>
      <c r="N6206" s="2018"/>
      <c r="O6206" s="2018"/>
      <c r="P6206" s="2018"/>
      <c r="Q6206" s="2018"/>
      <c r="R6206" s="2018"/>
      <c r="S6206" s="2018"/>
      <c r="T6206" s="2018"/>
      <c r="U6206" s="2018"/>
      <c r="V6206" s="2018"/>
      <c r="W6206" s="2018"/>
      <c r="X6206" s="2018"/>
      <c r="Y6206" s="2018"/>
      <c r="Z6206" s="2021"/>
      <c r="AA6206" s="2021"/>
      <c r="AB6206" s="1050"/>
      <c r="AC6206" s="1050"/>
      <c r="AD6206" s="1050"/>
      <c r="AE6206" s="1050"/>
      <c r="AF6206" s="1052"/>
    </row>
    <row r="6207" spans="1:32" ht="15.6" customHeight="1" x14ac:dyDescent="0.25">
      <c r="A6207" s="2017"/>
      <c r="B6207" s="2018"/>
      <c r="C6207" s="2018"/>
      <c r="D6207" s="2018"/>
      <c r="E6207" s="2018"/>
      <c r="F6207" s="2018"/>
      <c r="G6207" s="2018"/>
      <c r="H6207" s="2018"/>
      <c r="I6207" s="2018"/>
      <c r="J6207" s="2018"/>
      <c r="K6207" s="2018"/>
      <c r="L6207" s="2018"/>
      <c r="M6207" s="2018"/>
      <c r="N6207" s="2018"/>
      <c r="O6207" s="2018"/>
      <c r="P6207" s="2018"/>
      <c r="Q6207" s="2018"/>
      <c r="R6207" s="2018"/>
      <c r="S6207" s="2018"/>
      <c r="T6207" s="2018"/>
      <c r="U6207" s="2018"/>
      <c r="V6207" s="2018"/>
      <c r="W6207" s="2018"/>
      <c r="X6207" s="2018"/>
      <c r="Y6207" s="2018"/>
      <c r="Z6207" s="2021"/>
      <c r="AA6207" s="2021"/>
      <c r="AB6207" s="1050"/>
      <c r="AC6207" s="1050"/>
      <c r="AD6207" s="1050"/>
      <c r="AE6207" s="1050"/>
      <c r="AF6207" s="1052"/>
    </row>
    <row r="6208" spans="1:32" ht="15.75" x14ac:dyDescent="0.25">
      <c r="A6208" s="2017"/>
      <c r="B6208" s="2018"/>
      <c r="C6208" s="2018"/>
      <c r="D6208" s="2018"/>
      <c r="E6208" s="2018"/>
      <c r="F6208" s="2018"/>
      <c r="G6208" s="2018"/>
      <c r="H6208" s="2018"/>
      <c r="I6208" s="2018"/>
      <c r="J6208" s="2018"/>
      <c r="K6208" s="2018"/>
      <c r="L6208" s="2018"/>
      <c r="M6208" s="2018"/>
      <c r="N6208" s="2018"/>
      <c r="O6208" s="2018"/>
      <c r="P6208" s="2018"/>
      <c r="Q6208" s="2018"/>
      <c r="R6208" s="2018"/>
      <c r="S6208" s="2018"/>
      <c r="T6208" s="2018"/>
      <c r="U6208" s="2018"/>
      <c r="V6208" s="2018"/>
      <c r="W6208" s="2018"/>
      <c r="X6208" s="2018"/>
      <c r="Y6208" s="2018"/>
      <c r="Z6208" s="2022"/>
      <c r="AA6208" s="2022"/>
      <c r="AB6208" s="1050"/>
      <c r="AC6208" s="1050"/>
      <c r="AD6208" s="1050"/>
      <c r="AE6208" s="1050"/>
      <c r="AF6208" s="1052"/>
    </row>
    <row r="6209" spans="1:32" ht="15.75" x14ac:dyDescent="0.25">
      <c r="A6209" s="2017"/>
      <c r="B6209" s="2018"/>
      <c r="C6209" s="2018"/>
      <c r="D6209" s="2018"/>
      <c r="E6209" s="2018"/>
      <c r="F6209" s="2018"/>
      <c r="G6209" s="2018"/>
      <c r="H6209" s="2018"/>
      <c r="I6209" s="2018"/>
      <c r="J6209" s="2018"/>
      <c r="K6209" s="2018"/>
      <c r="L6209" s="2018"/>
      <c r="M6209" s="2018"/>
      <c r="N6209" s="2018"/>
      <c r="O6209" s="2018"/>
      <c r="P6209" s="2018"/>
      <c r="Q6209" s="2018"/>
      <c r="R6209" s="2018"/>
      <c r="S6209" s="2018"/>
      <c r="T6209" s="2018"/>
      <c r="U6209" s="2018"/>
      <c r="V6209" s="2018"/>
      <c r="W6209" s="2018"/>
      <c r="X6209" s="2018"/>
      <c r="Y6209" s="2018"/>
      <c r="Z6209" s="2022"/>
      <c r="AA6209" s="2022"/>
      <c r="AB6209" s="1050"/>
      <c r="AC6209" s="1050"/>
      <c r="AD6209" s="1050"/>
      <c r="AE6209" s="1050"/>
      <c r="AF6209" s="1052"/>
    </row>
    <row r="6210" spans="1:32" ht="15.75" x14ac:dyDescent="0.25">
      <c r="A6210" s="2017"/>
      <c r="B6210" s="2018"/>
      <c r="C6210" s="2018"/>
      <c r="D6210" s="2018"/>
      <c r="E6210" s="2018"/>
      <c r="F6210" s="2018"/>
      <c r="G6210" s="2018"/>
      <c r="H6210" s="2018"/>
      <c r="I6210" s="2018"/>
      <c r="J6210" s="2018"/>
      <c r="K6210" s="2018"/>
      <c r="L6210" s="2018"/>
      <c r="M6210" s="2018"/>
      <c r="N6210" s="2018"/>
      <c r="O6210" s="2018"/>
      <c r="P6210" s="2018"/>
      <c r="Q6210" s="2018"/>
      <c r="R6210" s="2018"/>
      <c r="S6210" s="2018"/>
      <c r="T6210" s="2018"/>
      <c r="U6210" s="2018"/>
      <c r="V6210" s="2018"/>
      <c r="W6210" s="2018"/>
      <c r="X6210" s="2018"/>
      <c r="Y6210" s="2018"/>
      <c r="Z6210" s="2022"/>
      <c r="AA6210" s="2022"/>
      <c r="AB6210" s="1050"/>
      <c r="AC6210" s="1050"/>
      <c r="AD6210" s="1050"/>
      <c r="AE6210" s="1050"/>
      <c r="AF6210" s="1052"/>
    </row>
    <row r="6211" spans="1:32" ht="15.6" customHeight="1" x14ac:dyDescent="0.25">
      <c r="A6211" s="2017"/>
      <c r="B6211" s="2018"/>
      <c r="C6211" s="2018"/>
      <c r="D6211" s="2018"/>
      <c r="E6211" s="2018"/>
      <c r="F6211" s="2018"/>
      <c r="G6211" s="2018"/>
      <c r="H6211" s="2018"/>
      <c r="I6211" s="2018"/>
      <c r="J6211" s="2018"/>
      <c r="K6211" s="2018"/>
      <c r="L6211" s="2018"/>
      <c r="M6211" s="2018"/>
      <c r="N6211" s="2018"/>
      <c r="O6211" s="2018"/>
      <c r="P6211" s="2018"/>
      <c r="Q6211" s="2018"/>
      <c r="R6211" s="2018"/>
      <c r="S6211" s="2018"/>
      <c r="T6211" s="2018"/>
      <c r="U6211" s="2018"/>
      <c r="V6211" s="2018"/>
      <c r="W6211" s="2018"/>
      <c r="X6211" s="2018"/>
      <c r="Y6211" s="2018"/>
      <c r="Z6211" s="2022"/>
      <c r="AA6211" s="2022"/>
      <c r="AB6211" s="1050"/>
      <c r="AC6211" s="1050"/>
      <c r="AD6211" s="1050"/>
      <c r="AE6211" s="1050"/>
      <c r="AF6211" s="1052"/>
    </row>
    <row r="6212" spans="1:32" ht="15.75" x14ac:dyDescent="0.25">
      <c r="A6212" s="2017"/>
      <c r="B6212" s="2018"/>
      <c r="C6212" s="2018"/>
      <c r="D6212" s="2018"/>
      <c r="E6212" s="2018"/>
      <c r="F6212" s="2018"/>
      <c r="G6212" s="2018"/>
      <c r="H6212" s="2018"/>
      <c r="I6212" s="2018"/>
      <c r="J6212" s="2018"/>
      <c r="K6212" s="2018"/>
      <c r="L6212" s="2018"/>
      <c r="M6212" s="2018"/>
      <c r="N6212" s="2018"/>
      <c r="O6212" s="2018"/>
      <c r="P6212" s="2018"/>
      <c r="Q6212" s="2018"/>
      <c r="R6212" s="2018"/>
      <c r="S6212" s="2018"/>
      <c r="T6212" s="2018"/>
      <c r="U6212" s="2018"/>
      <c r="V6212" s="2018"/>
      <c r="W6212" s="2018"/>
      <c r="X6212" s="2018"/>
      <c r="Y6212" s="2018"/>
      <c r="Z6212" s="2022"/>
      <c r="AA6212" s="2022"/>
      <c r="AB6212" s="1050"/>
      <c r="AC6212" s="1050"/>
      <c r="AD6212" s="1050"/>
      <c r="AE6212" s="1050"/>
      <c r="AF6212" s="1052"/>
    </row>
    <row r="6213" spans="1:32" ht="15.75" x14ac:dyDescent="0.25">
      <c r="A6213" s="2017"/>
      <c r="B6213" s="2018"/>
      <c r="C6213" s="2018"/>
      <c r="D6213" s="2018"/>
      <c r="E6213" s="2018"/>
      <c r="F6213" s="2018"/>
      <c r="G6213" s="2018"/>
      <c r="H6213" s="2018"/>
      <c r="I6213" s="2018"/>
      <c r="J6213" s="2018"/>
      <c r="K6213" s="2018"/>
      <c r="L6213" s="2018"/>
      <c r="M6213" s="2018"/>
      <c r="N6213" s="2018"/>
      <c r="O6213" s="2018"/>
      <c r="P6213" s="2018"/>
      <c r="Q6213" s="2018"/>
      <c r="R6213" s="2018"/>
      <c r="S6213" s="2018"/>
      <c r="T6213" s="2018"/>
      <c r="U6213" s="2018"/>
      <c r="V6213" s="2018"/>
      <c r="W6213" s="2018"/>
      <c r="X6213" s="2018"/>
      <c r="Y6213" s="2018"/>
      <c r="Z6213" s="2022"/>
      <c r="AA6213" s="2022"/>
      <c r="AB6213" s="1050"/>
      <c r="AC6213" s="1050"/>
      <c r="AD6213" s="1050"/>
      <c r="AE6213" s="1050"/>
      <c r="AF6213" s="1052"/>
    </row>
    <row r="6214" spans="1:32" ht="15.75" x14ac:dyDescent="0.25">
      <c r="A6214" s="2017"/>
      <c r="B6214" s="2018"/>
      <c r="C6214" s="2018"/>
      <c r="D6214" s="2018"/>
      <c r="E6214" s="2018"/>
      <c r="F6214" s="2018"/>
      <c r="G6214" s="2018"/>
      <c r="H6214" s="2018"/>
      <c r="I6214" s="2018"/>
      <c r="J6214" s="2018"/>
      <c r="K6214" s="2018"/>
      <c r="L6214" s="2018"/>
      <c r="M6214" s="2018"/>
      <c r="N6214" s="2018"/>
      <c r="O6214" s="2018"/>
      <c r="P6214" s="2018"/>
      <c r="Q6214" s="2018"/>
      <c r="R6214" s="2018"/>
      <c r="S6214" s="2018"/>
      <c r="T6214" s="2018"/>
      <c r="U6214" s="2018"/>
      <c r="V6214" s="2018"/>
      <c r="W6214" s="2018"/>
      <c r="X6214" s="2018"/>
      <c r="Y6214" s="2018"/>
      <c r="Z6214" s="2022"/>
      <c r="AA6214" s="2022"/>
      <c r="AB6214" s="1050"/>
      <c r="AC6214" s="1050"/>
      <c r="AD6214" s="1050"/>
      <c r="AE6214" s="1050"/>
      <c r="AF6214" s="1052"/>
    </row>
    <row r="6215" spans="1:32" ht="15.75" x14ac:dyDescent="0.25">
      <c r="A6215" s="2017"/>
      <c r="B6215" s="2018"/>
      <c r="C6215" s="2018"/>
      <c r="D6215" s="2018"/>
      <c r="E6215" s="2018"/>
      <c r="F6215" s="2018"/>
      <c r="G6215" s="2018"/>
      <c r="H6215" s="2018"/>
      <c r="I6215" s="2018"/>
      <c r="J6215" s="2018"/>
      <c r="K6215" s="2018"/>
      <c r="L6215" s="2018"/>
      <c r="M6215" s="2018"/>
      <c r="N6215" s="2018"/>
      <c r="O6215" s="2018"/>
      <c r="P6215" s="2018"/>
      <c r="Q6215" s="2018"/>
      <c r="R6215" s="2018"/>
      <c r="S6215" s="2018"/>
      <c r="T6215" s="2018"/>
      <c r="U6215" s="2018"/>
      <c r="V6215" s="2018"/>
      <c r="W6215" s="2018"/>
      <c r="X6215" s="2018"/>
      <c r="Y6215" s="2018"/>
      <c r="Z6215" s="2022"/>
      <c r="AA6215" s="2022"/>
      <c r="AB6215" s="1050"/>
      <c r="AC6215" s="1050"/>
      <c r="AD6215" s="1050"/>
      <c r="AE6215" s="1050"/>
      <c r="AF6215" s="1052"/>
    </row>
    <row r="6216" spans="1:32" ht="15.75" x14ac:dyDescent="0.25">
      <c r="A6216" s="2017"/>
      <c r="B6216" s="2018"/>
      <c r="C6216" s="2018"/>
      <c r="D6216" s="2018"/>
      <c r="E6216" s="2018"/>
      <c r="F6216" s="2018"/>
      <c r="G6216" s="2018"/>
      <c r="H6216" s="2018"/>
      <c r="I6216" s="2018"/>
      <c r="J6216" s="2018"/>
      <c r="K6216" s="2018"/>
      <c r="L6216" s="2018"/>
      <c r="M6216" s="2018"/>
      <c r="N6216" s="2018"/>
      <c r="O6216" s="2018"/>
      <c r="P6216" s="2018"/>
      <c r="Q6216" s="2018"/>
      <c r="R6216" s="2018"/>
      <c r="S6216" s="2018"/>
      <c r="T6216" s="2018"/>
      <c r="U6216" s="2018"/>
      <c r="V6216" s="2018"/>
      <c r="W6216" s="2018"/>
      <c r="X6216" s="2018"/>
      <c r="Y6216" s="2018"/>
      <c r="Z6216" s="2022"/>
      <c r="AA6216" s="2022"/>
      <c r="AB6216" s="1050"/>
      <c r="AC6216" s="1050"/>
      <c r="AD6216" s="1050"/>
      <c r="AE6216" s="1050"/>
      <c r="AF6216" s="1052"/>
    </row>
    <row r="6217" spans="1:32" ht="15.75" x14ac:dyDescent="0.25">
      <c r="A6217" s="2017"/>
      <c r="B6217" s="2018"/>
      <c r="C6217" s="2018"/>
      <c r="D6217" s="2018"/>
      <c r="E6217" s="2018"/>
      <c r="F6217" s="2018"/>
      <c r="G6217" s="2018"/>
      <c r="H6217" s="2018"/>
      <c r="I6217" s="2018"/>
      <c r="J6217" s="2018"/>
      <c r="K6217" s="2018"/>
      <c r="L6217" s="2018"/>
      <c r="M6217" s="2018"/>
      <c r="N6217" s="2018"/>
      <c r="O6217" s="2018"/>
      <c r="P6217" s="2018"/>
      <c r="Q6217" s="2018"/>
      <c r="R6217" s="2018"/>
      <c r="S6217" s="2018"/>
      <c r="T6217" s="2018"/>
      <c r="U6217" s="2018"/>
      <c r="V6217" s="2018"/>
      <c r="W6217" s="2018"/>
      <c r="X6217" s="2018"/>
      <c r="Y6217" s="2018"/>
      <c r="Z6217" s="2023"/>
      <c r="AA6217" s="2023"/>
      <c r="AB6217" s="1050"/>
      <c r="AC6217" s="1050"/>
      <c r="AD6217" s="1050"/>
      <c r="AE6217" s="1050"/>
      <c r="AF6217" s="1052"/>
    </row>
    <row r="6218" spans="1:32" ht="15.75" x14ac:dyDescent="0.25">
      <c r="A6218" s="2017"/>
      <c r="B6218" s="2018"/>
      <c r="C6218" s="2018"/>
      <c r="D6218" s="2018"/>
      <c r="E6218" s="2018"/>
      <c r="F6218" s="2018"/>
      <c r="G6218" s="2018"/>
      <c r="H6218" s="2018"/>
      <c r="I6218" s="2018"/>
      <c r="J6218" s="2018"/>
      <c r="K6218" s="2018"/>
      <c r="L6218" s="2018"/>
      <c r="M6218" s="2018"/>
      <c r="N6218" s="2018"/>
      <c r="O6218" s="2018"/>
      <c r="P6218" s="2018"/>
      <c r="Q6218" s="2018"/>
      <c r="R6218" s="2018"/>
      <c r="S6218" s="2018"/>
      <c r="T6218" s="2018"/>
      <c r="U6218" s="2018"/>
      <c r="V6218" s="2018"/>
      <c r="W6218" s="2018"/>
      <c r="X6218" s="2018"/>
      <c r="Y6218" s="2018"/>
      <c r="Z6218" s="2023"/>
      <c r="AA6218" s="2023"/>
      <c r="AB6218" s="1050"/>
      <c r="AC6218" s="1050"/>
      <c r="AD6218" s="1050"/>
      <c r="AE6218" s="1050"/>
      <c r="AF6218" s="1052"/>
    </row>
    <row r="6219" spans="1:32" ht="15.75" x14ac:dyDescent="0.25">
      <c r="A6219" s="2017"/>
      <c r="B6219" s="2018"/>
      <c r="C6219" s="2018"/>
      <c r="D6219" s="2018"/>
      <c r="E6219" s="2018"/>
      <c r="F6219" s="2018"/>
      <c r="G6219" s="2018"/>
      <c r="H6219" s="2018"/>
      <c r="I6219" s="2018"/>
      <c r="J6219" s="2018"/>
      <c r="K6219" s="2018"/>
      <c r="L6219" s="2018"/>
      <c r="M6219" s="2018"/>
      <c r="N6219" s="2018"/>
      <c r="O6219" s="2018"/>
      <c r="P6219" s="2018"/>
      <c r="Q6219" s="2018"/>
      <c r="R6219" s="2018"/>
      <c r="S6219" s="2018"/>
      <c r="T6219" s="2018"/>
      <c r="U6219" s="2018"/>
      <c r="V6219" s="2018"/>
      <c r="W6219" s="2018"/>
      <c r="X6219" s="2018"/>
      <c r="Y6219" s="2018"/>
      <c r="Z6219" s="2023"/>
      <c r="AA6219" s="2023"/>
      <c r="AB6219" s="1050"/>
      <c r="AC6219" s="1050"/>
      <c r="AD6219" s="1050"/>
      <c r="AE6219" s="1050"/>
      <c r="AF6219" s="1052"/>
    </row>
    <row r="6220" spans="1:32" ht="15.75" x14ac:dyDescent="0.25">
      <c r="A6220" s="2017"/>
      <c r="B6220" s="2018"/>
      <c r="C6220" s="2018"/>
      <c r="D6220" s="2018"/>
      <c r="E6220" s="2018"/>
      <c r="F6220" s="2018"/>
      <c r="G6220" s="2018"/>
      <c r="H6220" s="2018"/>
      <c r="I6220" s="2018"/>
      <c r="J6220" s="2018"/>
      <c r="K6220" s="2018"/>
      <c r="L6220" s="2018"/>
      <c r="M6220" s="2018"/>
      <c r="N6220" s="2018"/>
      <c r="O6220" s="2018"/>
      <c r="P6220" s="2018"/>
      <c r="Q6220" s="2018"/>
      <c r="R6220" s="2018"/>
      <c r="S6220" s="2018"/>
      <c r="T6220" s="2018"/>
      <c r="U6220" s="2018"/>
      <c r="V6220" s="2018"/>
      <c r="W6220" s="2018"/>
      <c r="X6220" s="2018"/>
      <c r="Y6220" s="2018"/>
      <c r="Z6220" s="2023"/>
      <c r="AA6220" s="2023"/>
      <c r="AB6220" s="1050"/>
      <c r="AC6220" s="1050"/>
      <c r="AD6220" s="1050"/>
      <c r="AE6220" s="1050"/>
      <c r="AF6220" s="1052"/>
    </row>
    <row r="6221" spans="1:32" ht="15.75" x14ac:dyDescent="0.25">
      <c r="A6221" s="2017"/>
      <c r="B6221" s="2018"/>
      <c r="C6221" s="2018"/>
      <c r="D6221" s="2018"/>
      <c r="E6221" s="2018"/>
      <c r="F6221" s="2018"/>
      <c r="G6221" s="2018"/>
      <c r="H6221" s="2018"/>
      <c r="I6221" s="2018"/>
      <c r="J6221" s="2018"/>
      <c r="K6221" s="2018"/>
      <c r="L6221" s="2018"/>
      <c r="M6221" s="2018"/>
      <c r="N6221" s="2018"/>
      <c r="O6221" s="2018"/>
      <c r="P6221" s="2018"/>
      <c r="Q6221" s="2018"/>
      <c r="R6221" s="2018"/>
      <c r="S6221" s="2018"/>
      <c r="T6221" s="2018"/>
      <c r="U6221" s="2018"/>
      <c r="V6221" s="2018"/>
      <c r="W6221" s="2018"/>
      <c r="X6221" s="2018"/>
      <c r="Y6221" s="2018"/>
      <c r="Z6221" s="2023"/>
      <c r="AA6221" s="2023"/>
      <c r="AB6221" s="1050"/>
      <c r="AC6221" s="1050"/>
      <c r="AD6221" s="1050"/>
      <c r="AE6221" s="1050"/>
      <c r="AF6221" s="1052"/>
    </row>
    <row r="6222" spans="1:32" ht="15.75" x14ac:dyDescent="0.25">
      <c r="A6222" s="2017"/>
      <c r="B6222" s="2018"/>
      <c r="C6222" s="2018"/>
      <c r="D6222" s="2018"/>
      <c r="E6222" s="2018"/>
      <c r="F6222" s="2018"/>
      <c r="G6222" s="2018"/>
      <c r="H6222" s="2018"/>
      <c r="I6222" s="2018"/>
      <c r="J6222" s="2018"/>
      <c r="K6222" s="2018"/>
      <c r="L6222" s="2018"/>
      <c r="M6222" s="2018"/>
      <c r="N6222" s="2018"/>
      <c r="O6222" s="2018"/>
      <c r="P6222" s="2018"/>
      <c r="Q6222" s="2018"/>
      <c r="R6222" s="2018"/>
      <c r="S6222" s="2018"/>
      <c r="T6222" s="2018"/>
      <c r="U6222" s="2018"/>
      <c r="V6222" s="2018"/>
      <c r="W6222" s="2018"/>
      <c r="X6222" s="2018"/>
      <c r="Y6222" s="2018"/>
      <c r="Z6222" s="2023"/>
      <c r="AA6222" s="2023"/>
      <c r="AB6222" s="1050"/>
      <c r="AC6222" s="1050"/>
      <c r="AD6222" s="1050"/>
      <c r="AE6222" s="1050"/>
      <c r="AF6222" s="1052"/>
    </row>
    <row r="6223" spans="1:32" ht="16.5" thickBot="1" x14ac:dyDescent="0.3">
      <c r="A6223" s="2019"/>
      <c r="B6223" s="2020"/>
      <c r="C6223" s="2020"/>
      <c r="D6223" s="2020"/>
      <c r="E6223" s="2020"/>
      <c r="F6223" s="2020"/>
      <c r="G6223" s="2020"/>
      <c r="H6223" s="2020"/>
      <c r="I6223" s="2020"/>
      <c r="J6223" s="2020"/>
      <c r="K6223" s="2020"/>
      <c r="L6223" s="2020"/>
      <c r="M6223" s="2020"/>
      <c r="N6223" s="2020"/>
      <c r="O6223" s="2020"/>
      <c r="P6223" s="2020"/>
      <c r="Q6223" s="2020"/>
      <c r="R6223" s="2020"/>
      <c r="S6223" s="2020"/>
      <c r="T6223" s="2020"/>
      <c r="U6223" s="2020"/>
      <c r="V6223" s="2020"/>
      <c r="W6223" s="2020"/>
      <c r="X6223" s="2020"/>
      <c r="Y6223" s="2020"/>
      <c r="Z6223" s="2024"/>
      <c r="AA6223" s="2024"/>
      <c r="AB6223" s="1057"/>
      <c r="AC6223" s="1057"/>
      <c r="AD6223" s="1057"/>
      <c r="AE6223" s="1057"/>
      <c r="AF6223" s="1058"/>
    </row>
    <row r="6224" spans="1:32" ht="15.75" x14ac:dyDescent="0.25">
      <c r="A6224" s="2009" t="s">
        <v>1855</v>
      </c>
      <c r="B6224" s="2010"/>
      <c r="C6224" s="2010"/>
      <c r="D6224" s="2010"/>
      <c r="E6224" s="2010"/>
      <c r="F6224" s="2010"/>
      <c r="G6224" s="2010"/>
      <c r="H6224" s="2010"/>
      <c r="I6224" s="2010"/>
      <c r="J6224" s="2010"/>
      <c r="K6224" s="2010"/>
      <c r="L6224" s="2010"/>
      <c r="M6224" s="2010"/>
      <c r="N6224" s="2010"/>
      <c r="O6224" s="2010"/>
      <c r="P6224" s="2010"/>
      <c r="Q6224" s="2010"/>
      <c r="R6224" s="2010"/>
      <c r="S6224" s="2010"/>
      <c r="T6224" s="2010"/>
      <c r="U6224" s="2010"/>
      <c r="V6224" s="2010"/>
      <c r="W6224" s="2010"/>
      <c r="X6224" s="2010"/>
      <c r="Y6224" s="2010"/>
      <c r="Z6224" s="2013" t="s">
        <v>1850</v>
      </c>
      <c r="AA6224" s="2013"/>
      <c r="AB6224" s="2013"/>
      <c r="AC6224" s="2013"/>
      <c r="AD6224" s="2013"/>
      <c r="AE6224" s="2013"/>
      <c r="AF6224" s="1059">
        <f>SUM(AF6200:AF6223)</f>
        <v>0</v>
      </c>
    </row>
    <row r="6225" spans="1:32" ht="15.75" x14ac:dyDescent="0.25">
      <c r="A6225" s="2011"/>
      <c r="B6225" s="2012"/>
      <c r="C6225" s="2012"/>
      <c r="D6225" s="2012"/>
      <c r="E6225" s="2012"/>
      <c r="F6225" s="2012"/>
      <c r="G6225" s="2012"/>
      <c r="H6225" s="2012"/>
      <c r="I6225" s="2012"/>
      <c r="J6225" s="2012"/>
      <c r="K6225" s="2012"/>
      <c r="L6225" s="2012"/>
      <c r="M6225" s="2012"/>
      <c r="N6225" s="2012"/>
      <c r="O6225" s="2012"/>
      <c r="P6225" s="2012"/>
      <c r="Q6225" s="2012"/>
      <c r="R6225" s="2012"/>
      <c r="S6225" s="2012"/>
      <c r="T6225" s="2012"/>
      <c r="U6225" s="2012"/>
      <c r="V6225" s="2012"/>
      <c r="W6225" s="2012"/>
      <c r="X6225" s="2012"/>
      <c r="Y6225" s="2012"/>
      <c r="Z6225" s="2014" t="s">
        <v>1851</v>
      </c>
      <c r="AA6225" s="2014"/>
      <c r="AB6225" s="2014"/>
      <c r="AC6225" s="2014"/>
      <c r="AD6225" s="2014"/>
      <c r="AE6225" s="2014"/>
      <c r="AF6225" s="1060">
        <v>0</v>
      </c>
    </row>
    <row r="6226" spans="1:32" ht="15.75" x14ac:dyDescent="0.25">
      <c r="A6226" s="2011"/>
      <c r="B6226" s="2012"/>
      <c r="C6226" s="2012"/>
      <c r="D6226" s="2012"/>
      <c r="E6226" s="2012"/>
      <c r="F6226" s="2012"/>
      <c r="G6226" s="2012"/>
      <c r="H6226" s="2012"/>
      <c r="I6226" s="2012"/>
      <c r="J6226" s="2012"/>
      <c r="K6226" s="2012"/>
      <c r="L6226" s="2012"/>
      <c r="M6226" s="2012"/>
      <c r="N6226" s="2012"/>
      <c r="O6226" s="2012"/>
      <c r="P6226" s="2012"/>
      <c r="Q6226" s="2012"/>
      <c r="R6226" s="2012"/>
      <c r="S6226" s="2012"/>
      <c r="T6226" s="2012"/>
      <c r="U6226" s="2012"/>
      <c r="V6226" s="2012"/>
      <c r="W6226" s="2012"/>
      <c r="X6226" s="2012"/>
      <c r="Y6226" s="2012"/>
      <c r="Z6226" s="2015" t="s">
        <v>1833</v>
      </c>
      <c r="AA6226" s="2015"/>
      <c r="AB6226" s="2015"/>
      <c r="AC6226" s="2015"/>
      <c r="AD6226" s="2015"/>
      <c r="AE6226" s="2015"/>
      <c r="AF6226" s="1061">
        <f>SUM(AF6224:AF6225)</f>
        <v>0</v>
      </c>
    </row>
    <row r="6227" spans="1:32" x14ac:dyDescent="0.2">
      <c r="A6227" s="2012" t="s">
        <v>1859</v>
      </c>
      <c r="B6227" s="2012"/>
      <c r="C6227" s="2012"/>
      <c r="D6227" s="2012"/>
      <c r="E6227" s="2012"/>
      <c r="F6227" s="2012"/>
      <c r="G6227" s="2012"/>
      <c r="H6227" s="2012"/>
      <c r="I6227" s="2012"/>
      <c r="J6227" s="2012"/>
      <c r="K6227" s="2012"/>
      <c r="L6227" s="2012"/>
      <c r="M6227" s="2012"/>
      <c r="N6227" s="2012"/>
      <c r="O6227" s="2012"/>
      <c r="P6227" s="2012"/>
      <c r="Q6227" s="2012"/>
      <c r="R6227" s="2012"/>
      <c r="S6227" s="2012"/>
      <c r="T6227" s="2016" t="s">
        <v>1840</v>
      </c>
      <c r="U6227" s="2016"/>
      <c r="V6227" s="2016"/>
      <c r="W6227" s="2016"/>
      <c r="X6227" s="2016"/>
      <c r="Y6227" s="2016"/>
      <c r="Z6227" s="2016"/>
      <c r="AA6227" s="2016"/>
      <c r="AB6227" s="2012" t="s">
        <v>1852</v>
      </c>
      <c r="AC6227" s="2012"/>
      <c r="AD6227" s="2012"/>
      <c r="AE6227" s="2012"/>
      <c r="AF6227" s="2012"/>
    </row>
    <row r="6228" spans="1:32" x14ac:dyDescent="0.2">
      <c r="A6228" s="2012"/>
      <c r="B6228" s="2012"/>
      <c r="C6228" s="2012"/>
      <c r="D6228" s="2012"/>
      <c r="E6228" s="2012"/>
      <c r="F6228" s="2012"/>
      <c r="G6228" s="2012"/>
      <c r="H6228" s="2012"/>
      <c r="I6228" s="2012"/>
      <c r="J6228" s="2012"/>
      <c r="K6228" s="2012"/>
      <c r="L6228" s="2012"/>
      <c r="M6228" s="2012"/>
      <c r="N6228" s="2012"/>
      <c r="O6228" s="2012"/>
      <c r="P6228" s="2012"/>
      <c r="Q6228" s="2012"/>
      <c r="R6228" s="2012"/>
      <c r="S6228" s="2012"/>
      <c r="T6228" s="2016"/>
      <c r="U6228" s="2016"/>
      <c r="V6228" s="2016"/>
      <c r="W6228" s="2016"/>
      <c r="X6228" s="2016"/>
      <c r="Y6228" s="2016"/>
      <c r="Z6228" s="2016"/>
      <c r="AA6228" s="2016"/>
      <c r="AB6228" s="2012"/>
      <c r="AC6228" s="2012"/>
      <c r="AD6228" s="2012"/>
      <c r="AE6228" s="2012"/>
      <c r="AF6228" s="2012"/>
    </row>
    <row r="6229" spans="1:32" ht="13.5" thickBot="1" x14ac:dyDescent="0.25"/>
    <row r="6230" spans="1:32" ht="26.45" customHeight="1" x14ac:dyDescent="0.2">
      <c r="A6230" s="2025" t="s">
        <v>1854</v>
      </c>
      <c r="B6230" s="2026"/>
      <c r="C6230" s="2026"/>
      <c r="D6230" s="2026"/>
      <c r="E6230" s="2026"/>
      <c r="F6230" s="2026"/>
      <c r="G6230" s="2026"/>
      <c r="H6230" s="2026"/>
      <c r="I6230" s="2026"/>
      <c r="J6230" s="2026"/>
      <c r="K6230" s="2026"/>
      <c r="L6230" s="2026"/>
      <c r="M6230" s="2026"/>
      <c r="N6230" s="2026"/>
      <c r="O6230" s="2026"/>
      <c r="P6230" s="2026"/>
      <c r="Q6230" s="2026"/>
      <c r="R6230" s="2026"/>
      <c r="S6230" s="2026"/>
      <c r="T6230" s="2026"/>
      <c r="U6230" s="2026"/>
      <c r="V6230" s="2026"/>
      <c r="W6230" s="2026"/>
      <c r="X6230" s="2026"/>
      <c r="Y6230" s="2026"/>
      <c r="Z6230" s="2026"/>
      <c r="AA6230" s="2026"/>
      <c r="AB6230" s="2026"/>
      <c r="AC6230" s="2026"/>
      <c r="AD6230" s="2026"/>
      <c r="AE6230" s="1041" t="s">
        <v>1834</v>
      </c>
      <c r="AF6230" s="1042" t="s">
        <v>1835</v>
      </c>
    </row>
    <row r="6231" spans="1:32" ht="21" customHeight="1" thickBot="1" x14ac:dyDescent="0.25">
      <c r="A6231" s="2027"/>
      <c r="B6231" s="2028"/>
      <c r="C6231" s="2028"/>
      <c r="D6231" s="2028"/>
      <c r="E6231" s="2028"/>
      <c r="F6231" s="2028"/>
      <c r="G6231" s="2028"/>
      <c r="H6231" s="2028"/>
      <c r="I6231" s="2028"/>
      <c r="J6231" s="2028"/>
      <c r="K6231" s="2028"/>
      <c r="L6231" s="2028"/>
      <c r="M6231" s="2028"/>
      <c r="N6231" s="2028"/>
      <c r="O6231" s="2028"/>
      <c r="P6231" s="2028"/>
      <c r="Q6231" s="2028"/>
      <c r="R6231" s="2028"/>
      <c r="S6231" s="2028"/>
      <c r="T6231" s="2028"/>
      <c r="U6231" s="2028"/>
      <c r="V6231" s="2028"/>
      <c r="W6231" s="2028"/>
      <c r="X6231" s="2028"/>
      <c r="Y6231" s="2028"/>
      <c r="Z6231" s="2028"/>
      <c r="AA6231" s="2028"/>
      <c r="AB6231" s="2028"/>
      <c r="AC6231" s="2028"/>
      <c r="AD6231" s="2028"/>
      <c r="AE6231" s="1041" t="s">
        <v>1836</v>
      </c>
      <c r="AF6231" s="1044">
        <v>1</v>
      </c>
    </row>
    <row r="6232" spans="1:32" ht="15.75" x14ac:dyDescent="0.2">
      <c r="A6232" s="2029"/>
      <c r="B6232" s="2030"/>
      <c r="C6232" s="2030"/>
      <c r="D6232" s="2031"/>
      <c r="E6232" s="2025" t="str">
        <f>'01'!$A$12</f>
        <v>"CONSTRUCCION SISTEMA DE ACUEDUCTO FASE II DEL MUNICIPIO DE TESALIA DPTO DEL HUILA"</v>
      </c>
      <c r="F6232" s="2026"/>
      <c r="G6232" s="2026"/>
      <c r="H6232" s="2026"/>
      <c r="I6232" s="2026"/>
      <c r="J6232" s="2026"/>
      <c r="K6232" s="2026"/>
      <c r="L6232" s="2026"/>
      <c r="M6232" s="2026"/>
      <c r="N6232" s="2026"/>
      <c r="O6232" s="2026"/>
      <c r="P6232" s="2026"/>
      <c r="Q6232" s="2026"/>
      <c r="R6232" s="2026"/>
      <c r="S6232" s="2026"/>
      <c r="T6232" s="2026"/>
      <c r="U6232" s="2026"/>
      <c r="V6232" s="2026"/>
      <c r="W6232" s="2026"/>
      <c r="X6232" s="2026"/>
      <c r="Y6232" s="2026"/>
      <c r="Z6232" s="2026"/>
      <c r="AA6232" s="2026"/>
      <c r="AB6232" s="2026"/>
      <c r="AC6232" s="2026"/>
      <c r="AD6232" s="2035"/>
      <c r="AE6232" s="1041" t="s">
        <v>847</v>
      </c>
      <c r="AF6232" s="1045">
        <f>'01'!$M$13</f>
        <v>0</v>
      </c>
    </row>
    <row r="6233" spans="1:32" ht="16.5" thickBot="1" x14ac:dyDescent="0.25">
      <c r="A6233" s="2032"/>
      <c r="B6233" s="2033"/>
      <c r="C6233" s="2033"/>
      <c r="D6233" s="2034"/>
      <c r="E6233" s="2027"/>
      <c r="F6233" s="2028"/>
      <c r="G6233" s="2028"/>
      <c r="H6233" s="2028"/>
      <c r="I6233" s="2028"/>
      <c r="J6233" s="2028"/>
      <c r="K6233" s="2028"/>
      <c r="L6233" s="2028"/>
      <c r="M6233" s="2028"/>
      <c r="N6233" s="2028"/>
      <c r="O6233" s="2028"/>
      <c r="P6233" s="2028"/>
      <c r="Q6233" s="2028"/>
      <c r="R6233" s="2028"/>
      <c r="S6233" s="2028"/>
      <c r="T6233" s="2028"/>
      <c r="U6233" s="2028"/>
      <c r="V6233" s="2028"/>
      <c r="W6233" s="2028"/>
      <c r="X6233" s="2028"/>
      <c r="Y6233" s="2028"/>
      <c r="Z6233" s="2028"/>
      <c r="AA6233" s="2028"/>
      <c r="AB6233" s="2028"/>
      <c r="AC6233" s="2028"/>
      <c r="AD6233" s="2036"/>
      <c r="AE6233" s="1041" t="s">
        <v>1837</v>
      </c>
      <c r="AF6233" s="1042" t="s">
        <v>1838</v>
      </c>
    </row>
    <row r="6234" spans="1:32" ht="15.75" x14ac:dyDescent="0.25">
      <c r="A6234" s="2037" t="s">
        <v>1860</v>
      </c>
      <c r="B6234" s="2038"/>
      <c r="C6234" s="2038"/>
      <c r="D6234" s="2038"/>
      <c r="E6234" s="2038"/>
      <c r="F6234" s="2038"/>
      <c r="G6234" s="2038"/>
      <c r="H6234" s="2038"/>
      <c r="I6234" s="2038"/>
      <c r="J6234" s="2038"/>
      <c r="K6234" s="2038"/>
      <c r="L6234" s="2038"/>
      <c r="M6234" s="2038"/>
      <c r="N6234" s="2038"/>
      <c r="O6234" s="2038"/>
      <c r="P6234" s="2038"/>
      <c r="Q6234" s="2038"/>
      <c r="R6234" s="2038"/>
      <c r="S6234" s="2038"/>
      <c r="T6234" s="2038"/>
      <c r="U6234" s="2038"/>
      <c r="V6234" s="2038"/>
      <c r="W6234" s="2038"/>
      <c r="X6234" s="2038"/>
      <c r="Y6234" s="2038"/>
      <c r="Z6234" s="2038"/>
      <c r="AA6234" s="2038"/>
      <c r="AB6234" s="2038"/>
      <c r="AC6234" s="2038"/>
      <c r="AD6234" s="2038"/>
      <c r="AE6234" s="2039" t="s">
        <v>1839</v>
      </c>
      <c r="AF6234" s="2040"/>
    </row>
    <row r="6235" spans="1:32" ht="15.75" x14ac:dyDescent="0.25">
      <c r="A6235" s="2041" t="s">
        <v>1840</v>
      </c>
      <c r="B6235" s="2042"/>
      <c r="C6235" s="2042"/>
      <c r="D6235" s="2042"/>
      <c r="E6235" s="2042"/>
      <c r="F6235" s="2042"/>
      <c r="G6235" s="2042"/>
      <c r="H6235" s="2042"/>
      <c r="I6235" s="2042"/>
      <c r="J6235" s="2042"/>
      <c r="K6235" s="2042"/>
      <c r="L6235" s="2042"/>
      <c r="M6235" s="2042"/>
      <c r="N6235" s="2042"/>
      <c r="O6235" s="2042"/>
      <c r="P6235" s="2042"/>
      <c r="Q6235" s="2042"/>
      <c r="R6235" s="2042"/>
      <c r="S6235" s="2042"/>
      <c r="T6235" s="2042"/>
      <c r="U6235" s="2042"/>
      <c r="V6235" s="2042"/>
      <c r="W6235" s="2042"/>
      <c r="X6235" s="2042"/>
      <c r="Y6235" s="2042"/>
      <c r="Z6235" s="2042"/>
      <c r="AA6235" s="2042"/>
      <c r="AB6235" s="2042"/>
      <c r="AC6235" s="2042"/>
      <c r="AD6235" s="2043"/>
      <c r="AE6235" s="2014" t="s">
        <v>1841</v>
      </c>
      <c r="AF6235" s="2044"/>
    </row>
    <row r="6236" spans="1:32" ht="15.75" x14ac:dyDescent="0.25">
      <c r="A6236" s="2045" t="s">
        <v>1853</v>
      </c>
      <c r="B6236" s="2046"/>
      <c r="C6236" s="2046"/>
      <c r="D6236" s="2046"/>
      <c r="E6236" s="2046"/>
      <c r="F6236" s="2046"/>
      <c r="G6236" s="2046"/>
      <c r="H6236" s="2046"/>
      <c r="I6236" s="2046"/>
      <c r="J6236" s="2046"/>
      <c r="K6236" s="2046"/>
      <c r="L6236" s="2046"/>
      <c r="M6236" s="2046"/>
      <c r="N6236" s="2046"/>
      <c r="O6236" s="2046"/>
      <c r="P6236" s="2046"/>
      <c r="Q6236" s="2046"/>
      <c r="R6236" s="2046"/>
      <c r="S6236" s="2046"/>
      <c r="T6236" s="2046"/>
      <c r="U6236" s="2046"/>
      <c r="V6236" s="2046"/>
      <c r="W6236" s="2046"/>
      <c r="X6236" s="2046"/>
      <c r="Y6236" s="2046"/>
      <c r="Z6236" s="2046"/>
      <c r="AA6236" s="2046"/>
      <c r="AB6236" s="2046"/>
      <c r="AC6236" s="2046"/>
      <c r="AD6236" s="2046"/>
      <c r="AE6236" s="2047">
        <f>'01'!$M$13</f>
        <v>0</v>
      </c>
      <c r="AF6236" s="2044"/>
    </row>
    <row r="6237" spans="1:32" x14ac:dyDescent="0.2">
      <c r="A6237" s="1046"/>
      <c r="B6237" s="1047"/>
      <c r="C6237" s="1047"/>
      <c r="D6237" s="1047"/>
      <c r="E6237" s="1047"/>
      <c r="F6237" s="1047"/>
      <c r="G6237" s="1047"/>
      <c r="H6237" s="1047"/>
      <c r="I6237" s="1047"/>
      <c r="J6237" s="1047"/>
      <c r="K6237" s="1047"/>
      <c r="L6237" s="1047"/>
      <c r="M6237" s="1047"/>
      <c r="N6237" s="1047"/>
      <c r="O6237" s="1047"/>
      <c r="P6237" s="1047"/>
      <c r="Q6237" s="1047"/>
      <c r="R6237" s="1047"/>
      <c r="S6237" s="1047"/>
      <c r="T6237" s="1047"/>
      <c r="U6237" s="1047"/>
      <c r="V6237" s="1047"/>
      <c r="W6237" s="1047"/>
      <c r="X6237" s="1047"/>
      <c r="Y6237" s="1047"/>
      <c r="Z6237" s="1047"/>
      <c r="AA6237" s="1047"/>
      <c r="AB6237" s="1047"/>
      <c r="AC6237" s="1047"/>
      <c r="AD6237" s="1047"/>
      <c r="AE6237" s="1047"/>
      <c r="AF6237" s="1048"/>
    </row>
    <row r="6238" spans="1:32" ht="30" customHeight="1" x14ac:dyDescent="0.2">
      <c r="A6238" s="2048" t="s">
        <v>1842</v>
      </c>
      <c r="B6238" s="2049"/>
      <c r="C6238" s="2049"/>
      <c r="D6238" s="2049"/>
      <c r="E6238" s="2049"/>
      <c r="F6238" s="2050" t="str">
        <f>+'01'!$H$247</f>
        <v>J - CASETA DE OPERACIONES</v>
      </c>
      <c r="G6238" s="2049"/>
      <c r="H6238" s="2049"/>
      <c r="I6238" s="2049"/>
      <c r="J6238" s="2049"/>
      <c r="K6238" s="2049"/>
      <c r="L6238" s="2049"/>
      <c r="M6238" s="2049"/>
      <c r="N6238" s="2049"/>
      <c r="O6238" s="2049"/>
      <c r="P6238" s="2049"/>
      <c r="Q6238" s="2049"/>
      <c r="R6238" s="2049"/>
      <c r="S6238" s="2049"/>
      <c r="T6238" s="2049"/>
      <c r="U6238" s="2049"/>
      <c r="V6238" s="2049"/>
      <c r="W6238" s="2049"/>
      <c r="X6238" s="2049"/>
      <c r="Y6238" s="2051"/>
      <c r="Z6238" s="2052" t="s">
        <v>1843</v>
      </c>
      <c r="AA6238" s="2053"/>
      <c r="AB6238" s="2058" t="s">
        <v>1844</v>
      </c>
      <c r="AC6238" s="2059"/>
      <c r="AD6238" s="2060"/>
      <c r="AE6238" s="2064" t="s">
        <v>1845</v>
      </c>
      <c r="AF6238" s="2067" t="s">
        <v>1846</v>
      </c>
    </row>
    <row r="6239" spans="1:32" ht="15" customHeight="1" x14ac:dyDescent="0.2">
      <c r="A6239" s="2070" t="str">
        <f>+'01'!A259</f>
        <v>J-05-01</v>
      </c>
      <c r="B6239" s="2071"/>
      <c r="C6239" s="2072"/>
      <c r="D6239" s="2076" t="str">
        <f>VLOOKUP(A6239,'01'!$A$12:$N$299,3,FALSE)</f>
        <v>CONCRETO PARA SOLADO, LIMPIEZA Y/O RELLENOS FLUIDOS (140KG/CM2) - ESPESOR=0.05 METROS.</v>
      </c>
      <c r="E6239" s="2077"/>
      <c r="F6239" s="2077"/>
      <c r="G6239" s="2077"/>
      <c r="H6239" s="2077"/>
      <c r="I6239" s="2077"/>
      <c r="J6239" s="2077"/>
      <c r="K6239" s="2077"/>
      <c r="L6239" s="2077"/>
      <c r="M6239" s="2077"/>
      <c r="N6239" s="2077"/>
      <c r="O6239" s="2077"/>
      <c r="P6239" s="2077"/>
      <c r="Q6239" s="2077"/>
      <c r="R6239" s="2077"/>
      <c r="S6239" s="2078"/>
      <c r="T6239" s="2082" t="s">
        <v>124</v>
      </c>
      <c r="U6239" s="2083"/>
      <c r="V6239" s="2083"/>
      <c r="W6239" s="2083"/>
      <c r="X6239" s="2052" t="str">
        <f>VLOOKUP(A6239,'01'!$A$12:$N$299,9,FALSE)</f>
        <v>M3</v>
      </c>
      <c r="Y6239" s="2053"/>
      <c r="Z6239" s="2054"/>
      <c r="AA6239" s="2055"/>
      <c r="AB6239" s="2061"/>
      <c r="AC6239" s="2062"/>
      <c r="AD6239" s="2063"/>
      <c r="AE6239" s="2065"/>
      <c r="AF6239" s="2068"/>
    </row>
    <row r="6240" spans="1:32" ht="15" customHeight="1" x14ac:dyDescent="0.25">
      <c r="A6240" s="2073"/>
      <c r="B6240" s="2074"/>
      <c r="C6240" s="2075"/>
      <c r="D6240" s="2079"/>
      <c r="E6240" s="2080"/>
      <c r="F6240" s="2080"/>
      <c r="G6240" s="2080"/>
      <c r="H6240" s="2080"/>
      <c r="I6240" s="2080"/>
      <c r="J6240" s="2080"/>
      <c r="K6240" s="2080"/>
      <c r="L6240" s="2080"/>
      <c r="M6240" s="2080"/>
      <c r="N6240" s="2080"/>
      <c r="O6240" s="2080"/>
      <c r="P6240" s="2080"/>
      <c r="Q6240" s="2080"/>
      <c r="R6240" s="2080"/>
      <c r="S6240" s="2081"/>
      <c r="T6240" s="2084"/>
      <c r="U6240" s="2085"/>
      <c r="V6240" s="2085"/>
      <c r="W6240" s="2085"/>
      <c r="X6240" s="2056"/>
      <c r="Y6240" s="2057"/>
      <c r="Z6240" s="2056"/>
      <c r="AA6240" s="2057"/>
      <c r="AB6240" s="1049" t="s">
        <v>1847</v>
      </c>
      <c r="AC6240" s="1049" t="s">
        <v>1848</v>
      </c>
      <c r="AD6240" s="1049" t="s">
        <v>1861</v>
      </c>
      <c r="AE6240" s="2066"/>
      <c r="AF6240" s="2069"/>
    </row>
    <row r="6241" spans="1:32" ht="30" customHeight="1" x14ac:dyDescent="0.25">
      <c r="A6241" s="2017"/>
      <c r="B6241" s="2018"/>
      <c r="C6241" s="2018"/>
      <c r="D6241" s="2018"/>
      <c r="E6241" s="2018"/>
      <c r="F6241" s="2018"/>
      <c r="G6241" s="2018"/>
      <c r="H6241" s="2018"/>
      <c r="I6241" s="2018"/>
      <c r="J6241" s="2018"/>
      <c r="K6241" s="2018"/>
      <c r="L6241" s="2018"/>
      <c r="M6241" s="2018"/>
      <c r="N6241" s="2018"/>
      <c r="O6241" s="2018"/>
      <c r="P6241" s="2018"/>
      <c r="Q6241" s="2018"/>
      <c r="R6241" s="2018"/>
      <c r="S6241" s="2018"/>
      <c r="T6241" s="2018"/>
      <c r="U6241" s="2018"/>
      <c r="V6241" s="2018"/>
      <c r="W6241" s="2018"/>
      <c r="X6241" s="2018"/>
      <c r="Y6241" s="2018"/>
      <c r="Z6241" s="2021"/>
      <c r="AA6241" s="2021"/>
      <c r="AB6241" s="1050"/>
      <c r="AC6241" s="1050"/>
      <c r="AD6241" s="1050"/>
      <c r="AE6241" s="1050"/>
      <c r="AF6241" s="1052"/>
    </row>
    <row r="6242" spans="1:32" ht="15.6" customHeight="1" x14ac:dyDescent="0.25">
      <c r="A6242" s="2017"/>
      <c r="B6242" s="2018"/>
      <c r="C6242" s="2018"/>
      <c r="D6242" s="2018"/>
      <c r="E6242" s="2018"/>
      <c r="F6242" s="2018"/>
      <c r="G6242" s="2018"/>
      <c r="H6242" s="2018"/>
      <c r="I6242" s="2018"/>
      <c r="J6242" s="2018"/>
      <c r="K6242" s="2018"/>
      <c r="L6242" s="2018"/>
      <c r="M6242" s="2018"/>
      <c r="N6242" s="2018"/>
      <c r="O6242" s="2018"/>
      <c r="P6242" s="2018"/>
      <c r="Q6242" s="2018"/>
      <c r="R6242" s="2018"/>
      <c r="S6242" s="2018"/>
      <c r="T6242" s="2018"/>
      <c r="U6242" s="2018"/>
      <c r="V6242" s="2018"/>
      <c r="W6242" s="2018"/>
      <c r="X6242" s="2018"/>
      <c r="Y6242" s="2018"/>
      <c r="Z6242" s="2021"/>
      <c r="AA6242" s="2021"/>
      <c r="AB6242" s="1050"/>
      <c r="AC6242" s="1050"/>
      <c r="AD6242" s="1050"/>
      <c r="AE6242" s="1050"/>
      <c r="AF6242" s="1052"/>
    </row>
    <row r="6243" spans="1:32" ht="15.6" customHeight="1" x14ac:dyDescent="0.25">
      <c r="A6243" s="2017"/>
      <c r="B6243" s="2018"/>
      <c r="C6243" s="2018"/>
      <c r="D6243" s="2018"/>
      <c r="E6243" s="2018"/>
      <c r="F6243" s="2018"/>
      <c r="G6243" s="2018"/>
      <c r="H6243" s="2018"/>
      <c r="I6243" s="2018"/>
      <c r="J6243" s="2018"/>
      <c r="K6243" s="2018"/>
      <c r="L6243" s="2018"/>
      <c r="M6243" s="2018"/>
      <c r="N6243" s="2018"/>
      <c r="O6243" s="2018"/>
      <c r="P6243" s="2018"/>
      <c r="Q6243" s="2018"/>
      <c r="R6243" s="2018"/>
      <c r="S6243" s="2018"/>
      <c r="T6243" s="2018"/>
      <c r="U6243" s="2018"/>
      <c r="V6243" s="2018"/>
      <c r="W6243" s="2018"/>
      <c r="X6243" s="2018"/>
      <c r="Y6243" s="2018"/>
      <c r="Z6243" s="2021"/>
      <c r="AA6243" s="2021"/>
      <c r="AB6243" s="1050"/>
      <c r="AC6243" s="1050"/>
      <c r="AD6243" s="1050"/>
      <c r="AE6243" s="1050"/>
      <c r="AF6243" s="1052"/>
    </row>
    <row r="6244" spans="1:32" ht="15.75" x14ac:dyDescent="0.25">
      <c r="A6244" s="2017"/>
      <c r="B6244" s="2018"/>
      <c r="C6244" s="2018"/>
      <c r="D6244" s="2018"/>
      <c r="E6244" s="2018"/>
      <c r="F6244" s="2018"/>
      <c r="G6244" s="2018"/>
      <c r="H6244" s="2018"/>
      <c r="I6244" s="2018"/>
      <c r="J6244" s="2018"/>
      <c r="K6244" s="2018"/>
      <c r="L6244" s="2018"/>
      <c r="M6244" s="2018"/>
      <c r="N6244" s="2018"/>
      <c r="O6244" s="2018"/>
      <c r="P6244" s="2018"/>
      <c r="Q6244" s="2018"/>
      <c r="R6244" s="2018"/>
      <c r="S6244" s="2018"/>
      <c r="T6244" s="2018"/>
      <c r="U6244" s="2018"/>
      <c r="V6244" s="2018"/>
      <c r="W6244" s="2018"/>
      <c r="X6244" s="2018"/>
      <c r="Y6244" s="2018"/>
      <c r="Z6244" s="2021"/>
      <c r="AA6244" s="2021"/>
      <c r="AB6244" s="1050"/>
      <c r="AC6244" s="1050"/>
      <c r="AD6244" s="1050"/>
      <c r="AE6244" s="1050"/>
      <c r="AF6244" s="1052"/>
    </row>
    <row r="6245" spans="1:32" ht="15.6" customHeight="1" x14ac:dyDescent="0.25">
      <c r="A6245" s="2017"/>
      <c r="B6245" s="2018"/>
      <c r="C6245" s="2018"/>
      <c r="D6245" s="2018"/>
      <c r="E6245" s="2018"/>
      <c r="F6245" s="2018"/>
      <c r="G6245" s="2018"/>
      <c r="H6245" s="2018"/>
      <c r="I6245" s="2018"/>
      <c r="J6245" s="2018"/>
      <c r="K6245" s="2018"/>
      <c r="L6245" s="2018"/>
      <c r="M6245" s="2018"/>
      <c r="N6245" s="2018"/>
      <c r="O6245" s="2018"/>
      <c r="P6245" s="2018"/>
      <c r="Q6245" s="2018"/>
      <c r="R6245" s="2018"/>
      <c r="S6245" s="2018"/>
      <c r="T6245" s="2018"/>
      <c r="U6245" s="2018"/>
      <c r="V6245" s="2018"/>
      <c r="W6245" s="2018"/>
      <c r="X6245" s="2018"/>
      <c r="Y6245" s="2018"/>
      <c r="Z6245" s="2021"/>
      <c r="AA6245" s="2021"/>
      <c r="AB6245" s="1050"/>
      <c r="AC6245" s="1050"/>
      <c r="AD6245" s="1050"/>
      <c r="AE6245" s="1050"/>
      <c r="AF6245" s="1052"/>
    </row>
    <row r="6246" spans="1:32" ht="15.75" x14ac:dyDescent="0.25">
      <c r="A6246" s="2017"/>
      <c r="B6246" s="2018"/>
      <c r="C6246" s="2018"/>
      <c r="D6246" s="2018"/>
      <c r="E6246" s="2018"/>
      <c r="F6246" s="2018"/>
      <c r="G6246" s="2018"/>
      <c r="H6246" s="2018"/>
      <c r="I6246" s="2018"/>
      <c r="J6246" s="2018"/>
      <c r="K6246" s="2018"/>
      <c r="L6246" s="2018"/>
      <c r="M6246" s="2018"/>
      <c r="N6246" s="2018"/>
      <c r="O6246" s="2018"/>
      <c r="P6246" s="2018"/>
      <c r="Q6246" s="2018"/>
      <c r="R6246" s="2018"/>
      <c r="S6246" s="2018"/>
      <c r="T6246" s="2018"/>
      <c r="U6246" s="2018"/>
      <c r="V6246" s="2018"/>
      <c r="W6246" s="2018"/>
      <c r="X6246" s="2018"/>
      <c r="Y6246" s="2018"/>
      <c r="Z6246" s="2021"/>
      <c r="AA6246" s="2021"/>
      <c r="AB6246" s="1050"/>
      <c r="AC6246" s="1050"/>
      <c r="AD6246" s="1050"/>
      <c r="AE6246" s="1050"/>
      <c r="AF6246" s="1052"/>
    </row>
    <row r="6247" spans="1:32" ht="15.75" x14ac:dyDescent="0.25">
      <c r="A6247" s="2017"/>
      <c r="B6247" s="2018"/>
      <c r="C6247" s="2018"/>
      <c r="D6247" s="2018"/>
      <c r="E6247" s="2018"/>
      <c r="F6247" s="2018"/>
      <c r="G6247" s="2018"/>
      <c r="H6247" s="2018"/>
      <c r="I6247" s="2018"/>
      <c r="J6247" s="2018"/>
      <c r="K6247" s="2018"/>
      <c r="L6247" s="2018"/>
      <c r="M6247" s="2018"/>
      <c r="N6247" s="2018"/>
      <c r="O6247" s="2018"/>
      <c r="P6247" s="2018"/>
      <c r="Q6247" s="2018"/>
      <c r="R6247" s="2018"/>
      <c r="S6247" s="2018"/>
      <c r="T6247" s="2018"/>
      <c r="U6247" s="2018"/>
      <c r="V6247" s="2018"/>
      <c r="W6247" s="2018"/>
      <c r="X6247" s="2018"/>
      <c r="Y6247" s="2018"/>
      <c r="Z6247" s="2021"/>
      <c r="AA6247" s="2021"/>
      <c r="AB6247" s="1050"/>
      <c r="AC6247" s="1050"/>
      <c r="AD6247" s="1050"/>
      <c r="AE6247" s="1050"/>
      <c r="AF6247" s="1052"/>
    </row>
    <row r="6248" spans="1:32" ht="15.6" customHeight="1" x14ac:dyDescent="0.25">
      <c r="A6248" s="2017"/>
      <c r="B6248" s="2018"/>
      <c r="C6248" s="2018"/>
      <c r="D6248" s="2018"/>
      <c r="E6248" s="2018"/>
      <c r="F6248" s="2018"/>
      <c r="G6248" s="2018"/>
      <c r="H6248" s="2018"/>
      <c r="I6248" s="2018"/>
      <c r="J6248" s="2018"/>
      <c r="K6248" s="2018"/>
      <c r="L6248" s="2018"/>
      <c r="M6248" s="2018"/>
      <c r="N6248" s="2018"/>
      <c r="O6248" s="2018"/>
      <c r="P6248" s="2018"/>
      <c r="Q6248" s="2018"/>
      <c r="R6248" s="2018"/>
      <c r="S6248" s="2018"/>
      <c r="T6248" s="2018"/>
      <c r="U6248" s="2018"/>
      <c r="V6248" s="2018"/>
      <c r="W6248" s="2018"/>
      <c r="X6248" s="2018"/>
      <c r="Y6248" s="2018"/>
      <c r="Z6248" s="2021"/>
      <c r="AA6248" s="2021"/>
      <c r="AB6248" s="1050"/>
      <c r="AC6248" s="1050"/>
      <c r="AD6248" s="1050"/>
      <c r="AE6248" s="1050"/>
      <c r="AF6248" s="1052"/>
    </row>
    <row r="6249" spans="1:32" ht="15.75" x14ac:dyDescent="0.25">
      <c r="A6249" s="2017"/>
      <c r="B6249" s="2018"/>
      <c r="C6249" s="2018"/>
      <c r="D6249" s="2018"/>
      <c r="E6249" s="2018"/>
      <c r="F6249" s="2018"/>
      <c r="G6249" s="2018"/>
      <c r="H6249" s="2018"/>
      <c r="I6249" s="2018"/>
      <c r="J6249" s="2018"/>
      <c r="K6249" s="2018"/>
      <c r="L6249" s="2018"/>
      <c r="M6249" s="2018"/>
      <c r="N6249" s="2018"/>
      <c r="O6249" s="2018"/>
      <c r="P6249" s="2018"/>
      <c r="Q6249" s="2018"/>
      <c r="R6249" s="2018"/>
      <c r="S6249" s="2018"/>
      <c r="T6249" s="2018"/>
      <c r="U6249" s="2018"/>
      <c r="V6249" s="2018"/>
      <c r="W6249" s="2018"/>
      <c r="X6249" s="2018"/>
      <c r="Y6249" s="2018"/>
      <c r="Z6249" s="2022"/>
      <c r="AA6249" s="2022"/>
      <c r="AB6249" s="1050"/>
      <c r="AC6249" s="1050"/>
      <c r="AD6249" s="1050"/>
      <c r="AE6249" s="1050"/>
      <c r="AF6249" s="1052"/>
    </row>
    <row r="6250" spans="1:32" ht="15.75" x14ac:dyDescent="0.25">
      <c r="A6250" s="2017"/>
      <c r="B6250" s="2018"/>
      <c r="C6250" s="2018"/>
      <c r="D6250" s="2018"/>
      <c r="E6250" s="2018"/>
      <c r="F6250" s="2018"/>
      <c r="G6250" s="2018"/>
      <c r="H6250" s="2018"/>
      <c r="I6250" s="2018"/>
      <c r="J6250" s="2018"/>
      <c r="K6250" s="2018"/>
      <c r="L6250" s="2018"/>
      <c r="M6250" s="2018"/>
      <c r="N6250" s="2018"/>
      <c r="O6250" s="2018"/>
      <c r="P6250" s="2018"/>
      <c r="Q6250" s="2018"/>
      <c r="R6250" s="2018"/>
      <c r="S6250" s="2018"/>
      <c r="T6250" s="2018"/>
      <c r="U6250" s="2018"/>
      <c r="V6250" s="2018"/>
      <c r="W6250" s="2018"/>
      <c r="X6250" s="2018"/>
      <c r="Y6250" s="2018"/>
      <c r="Z6250" s="2022"/>
      <c r="AA6250" s="2022"/>
      <c r="AB6250" s="1050"/>
      <c r="AC6250" s="1050"/>
      <c r="AD6250" s="1050"/>
      <c r="AE6250" s="1050"/>
      <c r="AF6250" s="1052"/>
    </row>
    <row r="6251" spans="1:32" ht="15.75" x14ac:dyDescent="0.25">
      <c r="A6251" s="2017"/>
      <c r="B6251" s="2018"/>
      <c r="C6251" s="2018"/>
      <c r="D6251" s="2018"/>
      <c r="E6251" s="2018"/>
      <c r="F6251" s="2018"/>
      <c r="G6251" s="2018"/>
      <c r="H6251" s="2018"/>
      <c r="I6251" s="2018"/>
      <c r="J6251" s="2018"/>
      <c r="K6251" s="2018"/>
      <c r="L6251" s="2018"/>
      <c r="M6251" s="2018"/>
      <c r="N6251" s="2018"/>
      <c r="O6251" s="2018"/>
      <c r="P6251" s="2018"/>
      <c r="Q6251" s="2018"/>
      <c r="R6251" s="2018"/>
      <c r="S6251" s="2018"/>
      <c r="T6251" s="2018"/>
      <c r="U6251" s="2018"/>
      <c r="V6251" s="2018"/>
      <c r="W6251" s="2018"/>
      <c r="X6251" s="2018"/>
      <c r="Y6251" s="2018"/>
      <c r="Z6251" s="2022"/>
      <c r="AA6251" s="2022"/>
      <c r="AB6251" s="1050"/>
      <c r="AC6251" s="1050"/>
      <c r="AD6251" s="1050"/>
      <c r="AE6251" s="1050"/>
      <c r="AF6251" s="1052"/>
    </row>
    <row r="6252" spans="1:32" ht="15.6" customHeight="1" x14ac:dyDescent="0.25">
      <c r="A6252" s="2017"/>
      <c r="B6252" s="2018"/>
      <c r="C6252" s="2018"/>
      <c r="D6252" s="2018"/>
      <c r="E6252" s="2018"/>
      <c r="F6252" s="2018"/>
      <c r="G6252" s="2018"/>
      <c r="H6252" s="2018"/>
      <c r="I6252" s="2018"/>
      <c r="J6252" s="2018"/>
      <c r="K6252" s="2018"/>
      <c r="L6252" s="2018"/>
      <c r="M6252" s="2018"/>
      <c r="N6252" s="2018"/>
      <c r="O6252" s="2018"/>
      <c r="P6252" s="2018"/>
      <c r="Q6252" s="2018"/>
      <c r="R6252" s="2018"/>
      <c r="S6252" s="2018"/>
      <c r="T6252" s="2018"/>
      <c r="U6252" s="2018"/>
      <c r="V6252" s="2018"/>
      <c r="W6252" s="2018"/>
      <c r="X6252" s="2018"/>
      <c r="Y6252" s="2018"/>
      <c r="Z6252" s="2022"/>
      <c r="AA6252" s="2022"/>
      <c r="AB6252" s="1050"/>
      <c r="AC6252" s="1050"/>
      <c r="AD6252" s="1050"/>
      <c r="AE6252" s="1050"/>
      <c r="AF6252" s="1052"/>
    </row>
    <row r="6253" spans="1:32" ht="15.75" x14ac:dyDescent="0.25">
      <c r="A6253" s="2017"/>
      <c r="B6253" s="2018"/>
      <c r="C6253" s="2018"/>
      <c r="D6253" s="2018"/>
      <c r="E6253" s="2018"/>
      <c r="F6253" s="2018"/>
      <c r="G6253" s="2018"/>
      <c r="H6253" s="2018"/>
      <c r="I6253" s="2018"/>
      <c r="J6253" s="2018"/>
      <c r="K6253" s="2018"/>
      <c r="L6253" s="2018"/>
      <c r="M6253" s="2018"/>
      <c r="N6253" s="2018"/>
      <c r="O6253" s="2018"/>
      <c r="P6253" s="2018"/>
      <c r="Q6253" s="2018"/>
      <c r="R6253" s="2018"/>
      <c r="S6253" s="2018"/>
      <c r="T6253" s="2018"/>
      <c r="U6253" s="2018"/>
      <c r="V6253" s="2018"/>
      <c r="W6253" s="2018"/>
      <c r="X6253" s="2018"/>
      <c r="Y6253" s="2018"/>
      <c r="Z6253" s="2022"/>
      <c r="AA6253" s="2022"/>
      <c r="AB6253" s="1050"/>
      <c r="AC6253" s="1050"/>
      <c r="AD6253" s="1050"/>
      <c r="AE6253" s="1050"/>
      <c r="AF6253" s="1052"/>
    </row>
    <row r="6254" spans="1:32" ht="15.75" x14ac:dyDescent="0.25">
      <c r="A6254" s="2017"/>
      <c r="B6254" s="2018"/>
      <c r="C6254" s="2018"/>
      <c r="D6254" s="2018"/>
      <c r="E6254" s="2018"/>
      <c r="F6254" s="2018"/>
      <c r="G6254" s="2018"/>
      <c r="H6254" s="2018"/>
      <c r="I6254" s="2018"/>
      <c r="J6254" s="2018"/>
      <c r="K6254" s="2018"/>
      <c r="L6254" s="2018"/>
      <c r="M6254" s="2018"/>
      <c r="N6254" s="2018"/>
      <c r="O6254" s="2018"/>
      <c r="P6254" s="2018"/>
      <c r="Q6254" s="2018"/>
      <c r="R6254" s="2018"/>
      <c r="S6254" s="2018"/>
      <c r="T6254" s="2018"/>
      <c r="U6254" s="2018"/>
      <c r="V6254" s="2018"/>
      <c r="W6254" s="2018"/>
      <c r="X6254" s="2018"/>
      <c r="Y6254" s="2018"/>
      <c r="Z6254" s="2022"/>
      <c r="AA6254" s="2022"/>
      <c r="AB6254" s="1050"/>
      <c r="AC6254" s="1050"/>
      <c r="AD6254" s="1050"/>
      <c r="AE6254" s="1050"/>
      <c r="AF6254" s="1052"/>
    </row>
    <row r="6255" spans="1:32" ht="15.75" x14ac:dyDescent="0.25">
      <c r="A6255" s="2017"/>
      <c r="B6255" s="2018"/>
      <c r="C6255" s="2018"/>
      <c r="D6255" s="2018"/>
      <c r="E6255" s="2018"/>
      <c r="F6255" s="2018"/>
      <c r="G6255" s="2018"/>
      <c r="H6255" s="2018"/>
      <c r="I6255" s="2018"/>
      <c r="J6255" s="2018"/>
      <c r="K6255" s="2018"/>
      <c r="L6255" s="2018"/>
      <c r="M6255" s="2018"/>
      <c r="N6255" s="2018"/>
      <c r="O6255" s="2018"/>
      <c r="P6255" s="2018"/>
      <c r="Q6255" s="2018"/>
      <c r="R6255" s="2018"/>
      <c r="S6255" s="2018"/>
      <c r="T6255" s="2018"/>
      <c r="U6255" s="2018"/>
      <c r="V6255" s="2018"/>
      <c r="W6255" s="2018"/>
      <c r="X6255" s="2018"/>
      <c r="Y6255" s="2018"/>
      <c r="Z6255" s="2022"/>
      <c r="AA6255" s="2022"/>
      <c r="AB6255" s="1050"/>
      <c r="AC6255" s="1050"/>
      <c r="AD6255" s="1050"/>
      <c r="AE6255" s="1050"/>
      <c r="AF6255" s="1052"/>
    </row>
    <row r="6256" spans="1:32" ht="15.75" x14ac:dyDescent="0.25">
      <c r="A6256" s="2017"/>
      <c r="B6256" s="2018"/>
      <c r="C6256" s="2018"/>
      <c r="D6256" s="2018"/>
      <c r="E6256" s="2018"/>
      <c r="F6256" s="2018"/>
      <c r="G6256" s="2018"/>
      <c r="H6256" s="2018"/>
      <c r="I6256" s="2018"/>
      <c r="J6256" s="2018"/>
      <c r="K6256" s="2018"/>
      <c r="L6256" s="2018"/>
      <c r="M6256" s="2018"/>
      <c r="N6256" s="2018"/>
      <c r="O6256" s="2018"/>
      <c r="P6256" s="2018"/>
      <c r="Q6256" s="2018"/>
      <c r="R6256" s="2018"/>
      <c r="S6256" s="2018"/>
      <c r="T6256" s="2018"/>
      <c r="U6256" s="2018"/>
      <c r="V6256" s="2018"/>
      <c r="W6256" s="2018"/>
      <c r="X6256" s="2018"/>
      <c r="Y6256" s="2018"/>
      <c r="Z6256" s="2022"/>
      <c r="AA6256" s="2022"/>
      <c r="AB6256" s="1050"/>
      <c r="AC6256" s="1050"/>
      <c r="AD6256" s="1050"/>
      <c r="AE6256" s="1050"/>
      <c r="AF6256" s="1052"/>
    </row>
    <row r="6257" spans="1:32" ht="15.75" x14ac:dyDescent="0.25">
      <c r="A6257" s="2017"/>
      <c r="B6257" s="2018"/>
      <c r="C6257" s="2018"/>
      <c r="D6257" s="2018"/>
      <c r="E6257" s="2018"/>
      <c r="F6257" s="2018"/>
      <c r="G6257" s="2018"/>
      <c r="H6257" s="2018"/>
      <c r="I6257" s="2018"/>
      <c r="J6257" s="2018"/>
      <c r="K6257" s="2018"/>
      <c r="L6257" s="2018"/>
      <c r="M6257" s="2018"/>
      <c r="N6257" s="2018"/>
      <c r="O6257" s="2018"/>
      <c r="P6257" s="2018"/>
      <c r="Q6257" s="2018"/>
      <c r="R6257" s="2018"/>
      <c r="S6257" s="2018"/>
      <c r="T6257" s="2018"/>
      <c r="U6257" s="2018"/>
      <c r="V6257" s="2018"/>
      <c r="W6257" s="2018"/>
      <c r="X6257" s="2018"/>
      <c r="Y6257" s="2018"/>
      <c r="Z6257" s="2022"/>
      <c r="AA6257" s="2022"/>
      <c r="AB6257" s="1050"/>
      <c r="AC6257" s="1050"/>
      <c r="AD6257" s="1050"/>
      <c r="AE6257" s="1050"/>
      <c r="AF6257" s="1052"/>
    </row>
    <row r="6258" spans="1:32" ht="15.75" x14ac:dyDescent="0.25">
      <c r="A6258" s="2017"/>
      <c r="B6258" s="2018"/>
      <c r="C6258" s="2018"/>
      <c r="D6258" s="2018"/>
      <c r="E6258" s="2018"/>
      <c r="F6258" s="2018"/>
      <c r="G6258" s="2018"/>
      <c r="H6258" s="2018"/>
      <c r="I6258" s="2018"/>
      <c r="J6258" s="2018"/>
      <c r="K6258" s="2018"/>
      <c r="L6258" s="2018"/>
      <c r="M6258" s="2018"/>
      <c r="N6258" s="2018"/>
      <c r="O6258" s="2018"/>
      <c r="P6258" s="2018"/>
      <c r="Q6258" s="2018"/>
      <c r="R6258" s="2018"/>
      <c r="S6258" s="2018"/>
      <c r="T6258" s="2018"/>
      <c r="U6258" s="2018"/>
      <c r="V6258" s="2018"/>
      <c r="W6258" s="2018"/>
      <c r="X6258" s="2018"/>
      <c r="Y6258" s="2018"/>
      <c r="Z6258" s="2023"/>
      <c r="AA6258" s="2023"/>
      <c r="AB6258" s="1050"/>
      <c r="AC6258" s="1050"/>
      <c r="AD6258" s="1050"/>
      <c r="AE6258" s="1050"/>
      <c r="AF6258" s="1052"/>
    </row>
    <row r="6259" spans="1:32" ht="15.75" x14ac:dyDescent="0.25">
      <c r="A6259" s="2017"/>
      <c r="B6259" s="2018"/>
      <c r="C6259" s="2018"/>
      <c r="D6259" s="2018"/>
      <c r="E6259" s="2018"/>
      <c r="F6259" s="2018"/>
      <c r="G6259" s="2018"/>
      <c r="H6259" s="2018"/>
      <c r="I6259" s="2018"/>
      <c r="J6259" s="2018"/>
      <c r="K6259" s="2018"/>
      <c r="L6259" s="2018"/>
      <c r="M6259" s="2018"/>
      <c r="N6259" s="2018"/>
      <c r="O6259" s="2018"/>
      <c r="P6259" s="2018"/>
      <c r="Q6259" s="2018"/>
      <c r="R6259" s="2018"/>
      <c r="S6259" s="2018"/>
      <c r="T6259" s="2018"/>
      <c r="U6259" s="2018"/>
      <c r="V6259" s="2018"/>
      <c r="W6259" s="2018"/>
      <c r="X6259" s="2018"/>
      <c r="Y6259" s="2018"/>
      <c r="Z6259" s="2023"/>
      <c r="AA6259" s="2023"/>
      <c r="AB6259" s="1050"/>
      <c r="AC6259" s="1050"/>
      <c r="AD6259" s="1050"/>
      <c r="AE6259" s="1050"/>
      <c r="AF6259" s="1052"/>
    </row>
    <row r="6260" spans="1:32" ht="15.75" x14ac:dyDescent="0.25">
      <c r="A6260" s="2017"/>
      <c r="B6260" s="2018"/>
      <c r="C6260" s="2018"/>
      <c r="D6260" s="2018"/>
      <c r="E6260" s="2018"/>
      <c r="F6260" s="2018"/>
      <c r="G6260" s="2018"/>
      <c r="H6260" s="2018"/>
      <c r="I6260" s="2018"/>
      <c r="J6260" s="2018"/>
      <c r="K6260" s="2018"/>
      <c r="L6260" s="2018"/>
      <c r="M6260" s="2018"/>
      <c r="N6260" s="2018"/>
      <c r="O6260" s="2018"/>
      <c r="P6260" s="2018"/>
      <c r="Q6260" s="2018"/>
      <c r="R6260" s="2018"/>
      <c r="S6260" s="2018"/>
      <c r="T6260" s="2018"/>
      <c r="U6260" s="2018"/>
      <c r="V6260" s="2018"/>
      <c r="W6260" s="2018"/>
      <c r="X6260" s="2018"/>
      <c r="Y6260" s="2018"/>
      <c r="Z6260" s="2023"/>
      <c r="AA6260" s="2023"/>
      <c r="AB6260" s="1050"/>
      <c r="AC6260" s="1050"/>
      <c r="AD6260" s="1050"/>
      <c r="AE6260" s="1050"/>
      <c r="AF6260" s="1052"/>
    </row>
    <row r="6261" spans="1:32" ht="15.75" x14ac:dyDescent="0.25">
      <c r="A6261" s="2017"/>
      <c r="B6261" s="2018"/>
      <c r="C6261" s="2018"/>
      <c r="D6261" s="2018"/>
      <c r="E6261" s="2018"/>
      <c r="F6261" s="2018"/>
      <c r="G6261" s="2018"/>
      <c r="H6261" s="2018"/>
      <c r="I6261" s="2018"/>
      <c r="J6261" s="2018"/>
      <c r="K6261" s="2018"/>
      <c r="L6261" s="2018"/>
      <c r="M6261" s="2018"/>
      <c r="N6261" s="2018"/>
      <c r="O6261" s="2018"/>
      <c r="P6261" s="2018"/>
      <c r="Q6261" s="2018"/>
      <c r="R6261" s="2018"/>
      <c r="S6261" s="2018"/>
      <c r="T6261" s="2018"/>
      <c r="U6261" s="2018"/>
      <c r="V6261" s="2018"/>
      <c r="W6261" s="2018"/>
      <c r="X6261" s="2018"/>
      <c r="Y6261" s="2018"/>
      <c r="Z6261" s="2023"/>
      <c r="AA6261" s="2023"/>
      <c r="AB6261" s="1050"/>
      <c r="AC6261" s="1050"/>
      <c r="AD6261" s="1050"/>
      <c r="AE6261" s="1050"/>
      <c r="AF6261" s="1052"/>
    </row>
    <row r="6262" spans="1:32" ht="15.75" x14ac:dyDescent="0.25">
      <c r="A6262" s="2017"/>
      <c r="B6262" s="2018"/>
      <c r="C6262" s="2018"/>
      <c r="D6262" s="2018"/>
      <c r="E6262" s="2018"/>
      <c r="F6262" s="2018"/>
      <c r="G6262" s="2018"/>
      <c r="H6262" s="2018"/>
      <c r="I6262" s="2018"/>
      <c r="J6262" s="2018"/>
      <c r="K6262" s="2018"/>
      <c r="L6262" s="2018"/>
      <c r="M6262" s="2018"/>
      <c r="N6262" s="2018"/>
      <c r="O6262" s="2018"/>
      <c r="P6262" s="2018"/>
      <c r="Q6262" s="2018"/>
      <c r="R6262" s="2018"/>
      <c r="S6262" s="2018"/>
      <c r="T6262" s="2018"/>
      <c r="U6262" s="2018"/>
      <c r="V6262" s="2018"/>
      <c r="W6262" s="2018"/>
      <c r="X6262" s="2018"/>
      <c r="Y6262" s="2018"/>
      <c r="Z6262" s="2023"/>
      <c r="AA6262" s="2023"/>
      <c r="AB6262" s="1050"/>
      <c r="AC6262" s="1050"/>
      <c r="AD6262" s="1050"/>
      <c r="AE6262" s="1050"/>
      <c r="AF6262" s="1052"/>
    </row>
    <row r="6263" spans="1:32" ht="15.75" x14ac:dyDescent="0.25">
      <c r="A6263" s="2017"/>
      <c r="B6263" s="2018"/>
      <c r="C6263" s="2018"/>
      <c r="D6263" s="2018"/>
      <c r="E6263" s="2018"/>
      <c r="F6263" s="2018"/>
      <c r="G6263" s="2018"/>
      <c r="H6263" s="2018"/>
      <c r="I6263" s="2018"/>
      <c r="J6263" s="2018"/>
      <c r="K6263" s="2018"/>
      <c r="L6263" s="2018"/>
      <c r="M6263" s="2018"/>
      <c r="N6263" s="2018"/>
      <c r="O6263" s="2018"/>
      <c r="P6263" s="2018"/>
      <c r="Q6263" s="2018"/>
      <c r="R6263" s="2018"/>
      <c r="S6263" s="2018"/>
      <c r="T6263" s="2018"/>
      <c r="U6263" s="2018"/>
      <c r="V6263" s="2018"/>
      <c r="W6263" s="2018"/>
      <c r="X6263" s="2018"/>
      <c r="Y6263" s="2018"/>
      <c r="Z6263" s="2023"/>
      <c r="AA6263" s="2023"/>
      <c r="AB6263" s="1050"/>
      <c r="AC6263" s="1050"/>
      <c r="AD6263" s="1050"/>
      <c r="AE6263" s="1050"/>
      <c r="AF6263" s="1052"/>
    </row>
    <row r="6264" spans="1:32" ht="16.5" thickBot="1" x14ac:dyDescent="0.3">
      <c r="A6264" s="2019"/>
      <c r="B6264" s="2020"/>
      <c r="C6264" s="2020"/>
      <c r="D6264" s="2020"/>
      <c r="E6264" s="2020"/>
      <c r="F6264" s="2020"/>
      <c r="G6264" s="2020"/>
      <c r="H6264" s="2020"/>
      <c r="I6264" s="2020"/>
      <c r="J6264" s="2020"/>
      <c r="K6264" s="2020"/>
      <c r="L6264" s="2020"/>
      <c r="M6264" s="2020"/>
      <c r="N6264" s="2020"/>
      <c r="O6264" s="2020"/>
      <c r="P6264" s="2020"/>
      <c r="Q6264" s="2020"/>
      <c r="R6264" s="2020"/>
      <c r="S6264" s="2020"/>
      <c r="T6264" s="2020"/>
      <c r="U6264" s="2020"/>
      <c r="V6264" s="2020"/>
      <c r="W6264" s="2020"/>
      <c r="X6264" s="2020"/>
      <c r="Y6264" s="2020"/>
      <c r="Z6264" s="2024"/>
      <c r="AA6264" s="2024"/>
      <c r="AB6264" s="1057"/>
      <c r="AC6264" s="1057"/>
      <c r="AD6264" s="1057"/>
      <c r="AE6264" s="1057"/>
      <c r="AF6264" s="1058"/>
    </row>
    <row r="6265" spans="1:32" ht="15.75" x14ac:dyDescent="0.25">
      <c r="A6265" s="2009" t="s">
        <v>1855</v>
      </c>
      <c r="B6265" s="2010"/>
      <c r="C6265" s="2010"/>
      <c r="D6265" s="2010"/>
      <c r="E6265" s="2010"/>
      <c r="F6265" s="2010"/>
      <c r="G6265" s="2010"/>
      <c r="H6265" s="2010"/>
      <c r="I6265" s="2010"/>
      <c r="J6265" s="2010"/>
      <c r="K6265" s="2010"/>
      <c r="L6265" s="2010"/>
      <c r="M6265" s="2010"/>
      <c r="N6265" s="2010"/>
      <c r="O6265" s="2010"/>
      <c r="P6265" s="2010"/>
      <c r="Q6265" s="2010"/>
      <c r="R6265" s="2010"/>
      <c r="S6265" s="2010"/>
      <c r="T6265" s="2010"/>
      <c r="U6265" s="2010"/>
      <c r="V6265" s="2010"/>
      <c r="W6265" s="2010"/>
      <c r="X6265" s="2010"/>
      <c r="Y6265" s="2010"/>
      <c r="Z6265" s="2013" t="s">
        <v>1850</v>
      </c>
      <c r="AA6265" s="2013"/>
      <c r="AB6265" s="2013"/>
      <c r="AC6265" s="2013"/>
      <c r="AD6265" s="2013"/>
      <c r="AE6265" s="2013"/>
      <c r="AF6265" s="1059">
        <f>SUM(AF6241:AF6264)</f>
        <v>0</v>
      </c>
    </row>
    <row r="6266" spans="1:32" ht="15.75" x14ac:dyDescent="0.25">
      <c r="A6266" s="2011"/>
      <c r="B6266" s="2012"/>
      <c r="C6266" s="2012"/>
      <c r="D6266" s="2012"/>
      <c r="E6266" s="2012"/>
      <c r="F6266" s="2012"/>
      <c r="G6266" s="2012"/>
      <c r="H6266" s="2012"/>
      <c r="I6266" s="2012"/>
      <c r="J6266" s="2012"/>
      <c r="K6266" s="2012"/>
      <c r="L6266" s="2012"/>
      <c r="M6266" s="2012"/>
      <c r="N6266" s="2012"/>
      <c r="O6266" s="2012"/>
      <c r="P6266" s="2012"/>
      <c r="Q6266" s="2012"/>
      <c r="R6266" s="2012"/>
      <c r="S6266" s="2012"/>
      <c r="T6266" s="2012"/>
      <c r="U6266" s="2012"/>
      <c r="V6266" s="2012"/>
      <c r="W6266" s="2012"/>
      <c r="X6266" s="2012"/>
      <c r="Y6266" s="2012"/>
      <c r="Z6266" s="2014" t="s">
        <v>1851</v>
      </c>
      <c r="AA6266" s="2014"/>
      <c r="AB6266" s="2014"/>
      <c r="AC6266" s="2014"/>
      <c r="AD6266" s="2014"/>
      <c r="AE6266" s="2014"/>
      <c r="AF6266" s="1060">
        <v>0</v>
      </c>
    </row>
    <row r="6267" spans="1:32" ht="15.75" x14ac:dyDescent="0.25">
      <c r="A6267" s="2011"/>
      <c r="B6267" s="2012"/>
      <c r="C6267" s="2012"/>
      <c r="D6267" s="2012"/>
      <c r="E6267" s="2012"/>
      <c r="F6267" s="2012"/>
      <c r="G6267" s="2012"/>
      <c r="H6267" s="2012"/>
      <c r="I6267" s="2012"/>
      <c r="J6267" s="2012"/>
      <c r="K6267" s="2012"/>
      <c r="L6267" s="2012"/>
      <c r="M6267" s="2012"/>
      <c r="N6267" s="2012"/>
      <c r="O6267" s="2012"/>
      <c r="P6267" s="2012"/>
      <c r="Q6267" s="2012"/>
      <c r="R6267" s="2012"/>
      <c r="S6267" s="2012"/>
      <c r="T6267" s="2012"/>
      <c r="U6267" s="2012"/>
      <c r="V6267" s="2012"/>
      <c r="W6267" s="2012"/>
      <c r="X6267" s="2012"/>
      <c r="Y6267" s="2012"/>
      <c r="Z6267" s="2015" t="s">
        <v>1833</v>
      </c>
      <c r="AA6267" s="2015"/>
      <c r="AB6267" s="2015"/>
      <c r="AC6267" s="2015"/>
      <c r="AD6267" s="2015"/>
      <c r="AE6267" s="2015"/>
      <c r="AF6267" s="1061">
        <f>SUM(AF6265:AF6266)</f>
        <v>0</v>
      </c>
    </row>
    <row r="6268" spans="1:32" x14ac:dyDescent="0.2">
      <c r="A6268" s="2012" t="s">
        <v>1859</v>
      </c>
      <c r="B6268" s="2012"/>
      <c r="C6268" s="2012"/>
      <c r="D6268" s="2012"/>
      <c r="E6268" s="2012"/>
      <c r="F6268" s="2012"/>
      <c r="G6268" s="2012"/>
      <c r="H6268" s="2012"/>
      <c r="I6268" s="2012"/>
      <c r="J6268" s="2012"/>
      <c r="K6268" s="2012"/>
      <c r="L6268" s="2012"/>
      <c r="M6268" s="2012"/>
      <c r="N6268" s="2012"/>
      <c r="O6268" s="2012"/>
      <c r="P6268" s="2012"/>
      <c r="Q6268" s="2012"/>
      <c r="R6268" s="2012"/>
      <c r="S6268" s="2012"/>
      <c r="T6268" s="2016" t="s">
        <v>1840</v>
      </c>
      <c r="U6268" s="2016"/>
      <c r="V6268" s="2016"/>
      <c r="W6268" s="2016"/>
      <c r="X6268" s="2016"/>
      <c r="Y6268" s="2016"/>
      <c r="Z6268" s="2016"/>
      <c r="AA6268" s="2016"/>
      <c r="AB6268" s="2012" t="s">
        <v>1852</v>
      </c>
      <c r="AC6268" s="2012"/>
      <c r="AD6268" s="2012"/>
      <c r="AE6268" s="2012"/>
      <c r="AF6268" s="2012"/>
    </row>
    <row r="6269" spans="1:32" x14ac:dyDescent="0.2">
      <c r="A6269" s="2012"/>
      <c r="B6269" s="2012"/>
      <c r="C6269" s="2012"/>
      <c r="D6269" s="2012"/>
      <c r="E6269" s="2012"/>
      <c r="F6269" s="2012"/>
      <c r="G6269" s="2012"/>
      <c r="H6269" s="2012"/>
      <c r="I6269" s="2012"/>
      <c r="J6269" s="2012"/>
      <c r="K6269" s="2012"/>
      <c r="L6269" s="2012"/>
      <c r="M6269" s="2012"/>
      <c r="N6269" s="2012"/>
      <c r="O6269" s="2012"/>
      <c r="P6269" s="2012"/>
      <c r="Q6269" s="2012"/>
      <c r="R6269" s="2012"/>
      <c r="S6269" s="2012"/>
      <c r="T6269" s="2016"/>
      <c r="U6269" s="2016"/>
      <c r="V6269" s="2016"/>
      <c r="W6269" s="2016"/>
      <c r="X6269" s="2016"/>
      <c r="Y6269" s="2016"/>
      <c r="Z6269" s="2016"/>
      <c r="AA6269" s="2016"/>
      <c r="AB6269" s="2012"/>
      <c r="AC6269" s="2012"/>
      <c r="AD6269" s="2012"/>
      <c r="AE6269" s="2012"/>
      <c r="AF6269" s="2012"/>
    </row>
    <row r="6270" spans="1:32" ht="13.5" thickBot="1" x14ac:dyDescent="0.25"/>
    <row r="6271" spans="1:32" ht="26.45" customHeight="1" x14ac:dyDescent="0.2">
      <c r="A6271" s="2025" t="s">
        <v>1854</v>
      </c>
      <c r="B6271" s="2026"/>
      <c r="C6271" s="2026"/>
      <c r="D6271" s="2026"/>
      <c r="E6271" s="2026"/>
      <c r="F6271" s="2026"/>
      <c r="G6271" s="2026"/>
      <c r="H6271" s="2026"/>
      <c r="I6271" s="2026"/>
      <c r="J6271" s="2026"/>
      <c r="K6271" s="2026"/>
      <c r="L6271" s="2026"/>
      <c r="M6271" s="2026"/>
      <c r="N6271" s="2026"/>
      <c r="O6271" s="2026"/>
      <c r="P6271" s="2026"/>
      <c r="Q6271" s="2026"/>
      <c r="R6271" s="2026"/>
      <c r="S6271" s="2026"/>
      <c r="T6271" s="2026"/>
      <c r="U6271" s="2026"/>
      <c r="V6271" s="2026"/>
      <c r="W6271" s="2026"/>
      <c r="X6271" s="2026"/>
      <c r="Y6271" s="2026"/>
      <c r="Z6271" s="2026"/>
      <c r="AA6271" s="2026"/>
      <c r="AB6271" s="2026"/>
      <c r="AC6271" s="2026"/>
      <c r="AD6271" s="2026"/>
      <c r="AE6271" s="1041" t="s">
        <v>1834</v>
      </c>
      <c r="AF6271" s="1042" t="s">
        <v>1835</v>
      </c>
    </row>
    <row r="6272" spans="1:32" ht="21" customHeight="1" thickBot="1" x14ac:dyDescent="0.25">
      <c r="A6272" s="2027"/>
      <c r="B6272" s="2028"/>
      <c r="C6272" s="2028"/>
      <c r="D6272" s="2028"/>
      <c r="E6272" s="2028"/>
      <c r="F6272" s="2028"/>
      <c r="G6272" s="2028"/>
      <c r="H6272" s="2028"/>
      <c r="I6272" s="2028"/>
      <c r="J6272" s="2028"/>
      <c r="K6272" s="2028"/>
      <c r="L6272" s="2028"/>
      <c r="M6272" s="2028"/>
      <c r="N6272" s="2028"/>
      <c r="O6272" s="2028"/>
      <c r="P6272" s="2028"/>
      <c r="Q6272" s="2028"/>
      <c r="R6272" s="2028"/>
      <c r="S6272" s="2028"/>
      <c r="T6272" s="2028"/>
      <c r="U6272" s="2028"/>
      <c r="V6272" s="2028"/>
      <c r="W6272" s="2028"/>
      <c r="X6272" s="2028"/>
      <c r="Y6272" s="2028"/>
      <c r="Z6272" s="2028"/>
      <c r="AA6272" s="2028"/>
      <c r="AB6272" s="2028"/>
      <c r="AC6272" s="2028"/>
      <c r="AD6272" s="2028"/>
      <c r="AE6272" s="1041" t="s">
        <v>1836</v>
      </c>
      <c r="AF6272" s="1044">
        <v>1</v>
      </c>
    </row>
    <row r="6273" spans="1:32" ht="15.75" x14ac:dyDescent="0.2">
      <c r="A6273" s="2029"/>
      <c r="B6273" s="2030"/>
      <c r="C6273" s="2030"/>
      <c r="D6273" s="2031"/>
      <c r="E6273" s="2025" t="str">
        <f>'01'!$A$12</f>
        <v>"CONSTRUCCION SISTEMA DE ACUEDUCTO FASE II DEL MUNICIPIO DE TESALIA DPTO DEL HUILA"</v>
      </c>
      <c r="F6273" s="2026"/>
      <c r="G6273" s="2026"/>
      <c r="H6273" s="2026"/>
      <c r="I6273" s="2026"/>
      <c r="J6273" s="2026"/>
      <c r="K6273" s="2026"/>
      <c r="L6273" s="2026"/>
      <c r="M6273" s="2026"/>
      <c r="N6273" s="2026"/>
      <c r="O6273" s="2026"/>
      <c r="P6273" s="2026"/>
      <c r="Q6273" s="2026"/>
      <c r="R6273" s="2026"/>
      <c r="S6273" s="2026"/>
      <c r="T6273" s="2026"/>
      <c r="U6273" s="2026"/>
      <c r="V6273" s="2026"/>
      <c r="W6273" s="2026"/>
      <c r="X6273" s="2026"/>
      <c r="Y6273" s="2026"/>
      <c r="Z6273" s="2026"/>
      <c r="AA6273" s="2026"/>
      <c r="AB6273" s="2026"/>
      <c r="AC6273" s="2026"/>
      <c r="AD6273" s="2035"/>
      <c r="AE6273" s="1041" t="s">
        <v>847</v>
      </c>
      <c r="AF6273" s="1045">
        <f>'01'!$M$13</f>
        <v>0</v>
      </c>
    </row>
    <row r="6274" spans="1:32" ht="16.5" thickBot="1" x14ac:dyDescent="0.25">
      <c r="A6274" s="2032"/>
      <c r="B6274" s="2033"/>
      <c r="C6274" s="2033"/>
      <c r="D6274" s="2034"/>
      <c r="E6274" s="2027"/>
      <c r="F6274" s="2028"/>
      <c r="G6274" s="2028"/>
      <c r="H6274" s="2028"/>
      <c r="I6274" s="2028"/>
      <c r="J6274" s="2028"/>
      <c r="K6274" s="2028"/>
      <c r="L6274" s="2028"/>
      <c r="M6274" s="2028"/>
      <c r="N6274" s="2028"/>
      <c r="O6274" s="2028"/>
      <c r="P6274" s="2028"/>
      <c r="Q6274" s="2028"/>
      <c r="R6274" s="2028"/>
      <c r="S6274" s="2028"/>
      <c r="T6274" s="2028"/>
      <c r="U6274" s="2028"/>
      <c r="V6274" s="2028"/>
      <c r="W6274" s="2028"/>
      <c r="X6274" s="2028"/>
      <c r="Y6274" s="2028"/>
      <c r="Z6274" s="2028"/>
      <c r="AA6274" s="2028"/>
      <c r="AB6274" s="2028"/>
      <c r="AC6274" s="2028"/>
      <c r="AD6274" s="2036"/>
      <c r="AE6274" s="1041" t="s">
        <v>1837</v>
      </c>
      <c r="AF6274" s="1042" t="s">
        <v>1838</v>
      </c>
    </row>
    <row r="6275" spans="1:32" ht="15.75" x14ac:dyDescent="0.25">
      <c r="A6275" s="2037" t="s">
        <v>1860</v>
      </c>
      <c r="B6275" s="2038"/>
      <c r="C6275" s="2038"/>
      <c r="D6275" s="2038"/>
      <c r="E6275" s="2038"/>
      <c r="F6275" s="2038"/>
      <c r="G6275" s="2038"/>
      <c r="H6275" s="2038"/>
      <c r="I6275" s="2038"/>
      <c r="J6275" s="2038"/>
      <c r="K6275" s="2038"/>
      <c r="L6275" s="2038"/>
      <c r="M6275" s="2038"/>
      <c r="N6275" s="2038"/>
      <c r="O6275" s="2038"/>
      <c r="P6275" s="2038"/>
      <c r="Q6275" s="2038"/>
      <c r="R6275" s="2038"/>
      <c r="S6275" s="2038"/>
      <c r="T6275" s="2038"/>
      <c r="U6275" s="2038"/>
      <c r="V6275" s="2038"/>
      <c r="W6275" s="2038"/>
      <c r="X6275" s="2038"/>
      <c r="Y6275" s="2038"/>
      <c r="Z6275" s="2038"/>
      <c r="AA6275" s="2038"/>
      <c r="AB6275" s="2038"/>
      <c r="AC6275" s="2038"/>
      <c r="AD6275" s="2038"/>
      <c r="AE6275" s="2039" t="s">
        <v>1839</v>
      </c>
      <c r="AF6275" s="2040"/>
    </row>
    <row r="6276" spans="1:32" ht="15.75" x14ac:dyDescent="0.25">
      <c r="A6276" s="2041" t="s">
        <v>1840</v>
      </c>
      <c r="B6276" s="2042"/>
      <c r="C6276" s="2042"/>
      <c r="D6276" s="2042"/>
      <c r="E6276" s="2042"/>
      <c r="F6276" s="2042"/>
      <c r="G6276" s="2042"/>
      <c r="H6276" s="2042"/>
      <c r="I6276" s="2042"/>
      <c r="J6276" s="2042"/>
      <c r="K6276" s="2042"/>
      <c r="L6276" s="2042"/>
      <c r="M6276" s="2042"/>
      <c r="N6276" s="2042"/>
      <c r="O6276" s="2042"/>
      <c r="P6276" s="2042"/>
      <c r="Q6276" s="2042"/>
      <c r="R6276" s="2042"/>
      <c r="S6276" s="2042"/>
      <c r="T6276" s="2042"/>
      <c r="U6276" s="2042"/>
      <c r="V6276" s="2042"/>
      <c r="W6276" s="2042"/>
      <c r="X6276" s="2042"/>
      <c r="Y6276" s="2042"/>
      <c r="Z6276" s="2042"/>
      <c r="AA6276" s="2042"/>
      <c r="AB6276" s="2042"/>
      <c r="AC6276" s="2042"/>
      <c r="AD6276" s="2043"/>
      <c r="AE6276" s="2014" t="s">
        <v>1841</v>
      </c>
      <c r="AF6276" s="2044"/>
    </row>
    <row r="6277" spans="1:32" ht="15.75" x14ac:dyDescent="0.25">
      <c r="A6277" s="2045" t="s">
        <v>1853</v>
      </c>
      <c r="B6277" s="2046"/>
      <c r="C6277" s="2046"/>
      <c r="D6277" s="2046"/>
      <c r="E6277" s="2046"/>
      <c r="F6277" s="2046"/>
      <c r="G6277" s="2046"/>
      <c r="H6277" s="2046"/>
      <c r="I6277" s="2046"/>
      <c r="J6277" s="2046"/>
      <c r="K6277" s="2046"/>
      <c r="L6277" s="2046"/>
      <c r="M6277" s="2046"/>
      <c r="N6277" s="2046"/>
      <c r="O6277" s="2046"/>
      <c r="P6277" s="2046"/>
      <c r="Q6277" s="2046"/>
      <c r="R6277" s="2046"/>
      <c r="S6277" s="2046"/>
      <c r="T6277" s="2046"/>
      <c r="U6277" s="2046"/>
      <c r="V6277" s="2046"/>
      <c r="W6277" s="2046"/>
      <c r="X6277" s="2046"/>
      <c r="Y6277" s="2046"/>
      <c r="Z6277" s="2046"/>
      <c r="AA6277" s="2046"/>
      <c r="AB6277" s="2046"/>
      <c r="AC6277" s="2046"/>
      <c r="AD6277" s="2046"/>
      <c r="AE6277" s="2047">
        <f>'01'!$M$13</f>
        <v>0</v>
      </c>
      <c r="AF6277" s="2044"/>
    </row>
    <row r="6278" spans="1:32" x14ac:dyDescent="0.2">
      <c r="A6278" s="1046"/>
      <c r="B6278" s="1047"/>
      <c r="C6278" s="1047"/>
      <c r="D6278" s="1047"/>
      <c r="E6278" s="1047"/>
      <c r="F6278" s="1047"/>
      <c r="G6278" s="1047"/>
      <c r="H6278" s="1047"/>
      <c r="I6278" s="1047"/>
      <c r="J6278" s="1047"/>
      <c r="K6278" s="1047"/>
      <c r="L6278" s="1047"/>
      <c r="M6278" s="1047"/>
      <c r="N6278" s="1047"/>
      <c r="O6278" s="1047"/>
      <c r="P6278" s="1047"/>
      <c r="Q6278" s="1047"/>
      <c r="R6278" s="1047"/>
      <c r="S6278" s="1047"/>
      <c r="T6278" s="1047"/>
      <c r="U6278" s="1047"/>
      <c r="V6278" s="1047"/>
      <c r="W6278" s="1047"/>
      <c r="X6278" s="1047"/>
      <c r="Y6278" s="1047"/>
      <c r="Z6278" s="1047"/>
      <c r="AA6278" s="1047"/>
      <c r="AB6278" s="1047"/>
      <c r="AC6278" s="1047"/>
      <c r="AD6278" s="1047"/>
      <c r="AE6278" s="1047"/>
      <c r="AF6278" s="1048"/>
    </row>
    <row r="6279" spans="1:32" ht="30" customHeight="1" x14ac:dyDescent="0.2">
      <c r="A6279" s="2048" t="s">
        <v>1842</v>
      </c>
      <c r="B6279" s="2049"/>
      <c r="C6279" s="2049"/>
      <c r="D6279" s="2049"/>
      <c r="E6279" s="2049"/>
      <c r="F6279" s="2050" t="str">
        <f>+'01'!$H$247</f>
        <v>J - CASETA DE OPERACIONES</v>
      </c>
      <c r="G6279" s="2049"/>
      <c r="H6279" s="2049"/>
      <c r="I6279" s="2049"/>
      <c r="J6279" s="2049"/>
      <c r="K6279" s="2049"/>
      <c r="L6279" s="2049"/>
      <c r="M6279" s="2049"/>
      <c r="N6279" s="2049"/>
      <c r="O6279" s="2049"/>
      <c r="P6279" s="2049"/>
      <c r="Q6279" s="2049"/>
      <c r="R6279" s="2049"/>
      <c r="S6279" s="2049"/>
      <c r="T6279" s="2049"/>
      <c r="U6279" s="2049"/>
      <c r="V6279" s="2049"/>
      <c r="W6279" s="2049"/>
      <c r="X6279" s="2049"/>
      <c r="Y6279" s="2051"/>
      <c r="Z6279" s="2052" t="s">
        <v>1843</v>
      </c>
      <c r="AA6279" s="2053"/>
      <c r="AB6279" s="2058" t="s">
        <v>1844</v>
      </c>
      <c r="AC6279" s="2059"/>
      <c r="AD6279" s="2060"/>
      <c r="AE6279" s="2064" t="s">
        <v>1845</v>
      </c>
      <c r="AF6279" s="2067" t="s">
        <v>1846</v>
      </c>
    </row>
    <row r="6280" spans="1:32" ht="15" customHeight="1" x14ac:dyDescent="0.2">
      <c r="A6280" s="2070" t="str">
        <f>+'01'!A260</f>
        <v>J-05-02</v>
      </c>
      <c r="B6280" s="2071"/>
      <c r="C6280" s="2072"/>
      <c r="D6280" s="2076" t="str">
        <f>VLOOKUP(A6280,'01'!$A$12:$N$299,3,FALSE)</f>
        <v>CONCRETO DE FC=280 KG/CM2, IMPERMEABILIZADO PARA ESTRUCTURAS ENTERRADAS Y SEMIENTERRADAS.</v>
      </c>
      <c r="E6280" s="2077"/>
      <c r="F6280" s="2077"/>
      <c r="G6280" s="2077"/>
      <c r="H6280" s="2077"/>
      <c r="I6280" s="2077"/>
      <c r="J6280" s="2077"/>
      <c r="K6280" s="2077"/>
      <c r="L6280" s="2077"/>
      <c r="M6280" s="2077"/>
      <c r="N6280" s="2077"/>
      <c r="O6280" s="2077"/>
      <c r="P6280" s="2077"/>
      <c r="Q6280" s="2077"/>
      <c r="R6280" s="2077"/>
      <c r="S6280" s="2078"/>
      <c r="T6280" s="2082" t="s">
        <v>124</v>
      </c>
      <c r="U6280" s="2083"/>
      <c r="V6280" s="2083"/>
      <c r="W6280" s="2083"/>
      <c r="X6280" s="2052" t="str">
        <f>VLOOKUP(A6280,'01'!$A$12:$N$299,9,FALSE)</f>
        <v>M3</v>
      </c>
      <c r="Y6280" s="2053"/>
      <c r="Z6280" s="2054"/>
      <c r="AA6280" s="2055"/>
      <c r="AB6280" s="2061"/>
      <c r="AC6280" s="2062"/>
      <c r="AD6280" s="2063"/>
      <c r="AE6280" s="2065"/>
      <c r="AF6280" s="2068"/>
    </row>
    <row r="6281" spans="1:32" ht="15" customHeight="1" x14ac:dyDescent="0.25">
      <c r="A6281" s="2073"/>
      <c r="B6281" s="2074"/>
      <c r="C6281" s="2075"/>
      <c r="D6281" s="2079"/>
      <c r="E6281" s="2080"/>
      <c r="F6281" s="2080"/>
      <c r="G6281" s="2080"/>
      <c r="H6281" s="2080"/>
      <c r="I6281" s="2080"/>
      <c r="J6281" s="2080"/>
      <c r="K6281" s="2080"/>
      <c r="L6281" s="2080"/>
      <c r="M6281" s="2080"/>
      <c r="N6281" s="2080"/>
      <c r="O6281" s="2080"/>
      <c r="P6281" s="2080"/>
      <c r="Q6281" s="2080"/>
      <c r="R6281" s="2080"/>
      <c r="S6281" s="2081"/>
      <c r="T6281" s="2084"/>
      <c r="U6281" s="2085"/>
      <c r="V6281" s="2085"/>
      <c r="W6281" s="2085"/>
      <c r="X6281" s="2056"/>
      <c r="Y6281" s="2057"/>
      <c r="Z6281" s="2056"/>
      <c r="AA6281" s="2057"/>
      <c r="AB6281" s="1049" t="s">
        <v>1847</v>
      </c>
      <c r="AC6281" s="1049" t="s">
        <v>1848</v>
      </c>
      <c r="AD6281" s="1049" t="s">
        <v>1861</v>
      </c>
      <c r="AE6281" s="2066"/>
      <c r="AF6281" s="2069"/>
    </row>
    <row r="6282" spans="1:32" ht="30" customHeight="1" x14ac:dyDescent="0.25">
      <c r="A6282" s="2017"/>
      <c r="B6282" s="2018"/>
      <c r="C6282" s="2018"/>
      <c r="D6282" s="2018"/>
      <c r="E6282" s="2018"/>
      <c r="F6282" s="2018"/>
      <c r="G6282" s="2018"/>
      <c r="H6282" s="2018"/>
      <c r="I6282" s="2018"/>
      <c r="J6282" s="2018"/>
      <c r="K6282" s="2018"/>
      <c r="L6282" s="2018"/>
      <c r="M6282" s="2018"/>
      <c r="N6282" s="2018"/>
      <c r="O6282" s="2018"/>
      <c r="P6282" s="2018"/>
      <c r="Q6282" s="2018"/>
      <c r="R6282" s="2018"/>
      <c r="S6282" s="2018"/>
      <c r="T6282" s="2018"/>
      <c r="U6282" s="2018"/>
      <c r="V6282" s="2018"/>
      <c r="W6282" s="2018"/>
      <c r="X6282" s="2018"/>
      <c r="Y6282" s="2018"/>
      <c r="Z6282" s="2021"/>
      <c r="AA6282" s="2021"/>
      <c r="AB6282" s="1050"/>
      <c r="AC6282" s="1050"/>
      <c r="AD6282" s="1050"/>
      <c r="AE6282" s="1050"/>
      <c r="AF6282" s="1052"/>
    </row>
    <row r="6283" spans="1:32" ht="15.6" customHeight="1" x14ac:dyDescent="0.25">
      <c r="A6283" s="2017"/>
      <c r="B6283" s="2018"/>
      <c r="C6283" s="2018"/>
      <c r="D6283" s="2018"/>
      <c r="E6283" s="2018"/>
      <c r="F6283" s="2018"/>
      <c r="G6283" s="2018"/>
      <c r="H6283" s="2018"/>
      <c r="I6283" s="2018"/>
      <c r="J6283" s="2018"/>
      <c r="K6283" s="2018"/>
      <c r="L6283" s="2018"/>
      <c r="M6283" s="2018"/>
      <c r="N6283" s="2018"/>
      <c r="O6283" s="2018"/>
      <c r="P6283" s="2018"/>
      <c r="Q6283" s="2018"/>
      <c r="R6283" s="2018"/>
      <c r="S6283" s="2018"/>
      <c r="T6283" s="2018"/>
      <c r="U6283" s="2018"/>
      <c r="V6283" s="2018"/>
      <c r="W6283" s="2018"/>
      <c r="X6283" s="2018"/>
      <c r="Y6283" s="2018"/>
      <c r="Z6283" s="2021"/>
      <c r="AA6283" s="2021"/>
      <c r="AB6283" s="1050"/>
      <c r="AC6283" s="1050"/>
      <c r="AD6283" s="1050"/>
      <c r="AE6283" s="1050"/>
      <c r="AF6283" s="1052"/>
    </row>
    <row r="6284" spans="1:32" ht="15.6" customHeight="1" x14ac:dyDescent="0.25">
      <c r="A6284" s="2017"/>
      <c r="B6284" s="2018"/>
      <c r="C6284" s="2018"/>
      <c r="D6284" s="2018"/>
      <c r="E6284" s="2018"/>
      <c r="F6284" s="2018"/>
      <c r="G6284" s="2018"/>
      <c r="H6284" s="2018"/>
      <c r="I6284" s="2018"/>
      <c r="J6284" s="2018"/>
      <c r="K6284" s="2018"/>
      <c r="L6284" s="2018"/>
      <c r="M6284" s="2018"/>
      <c r="N6284" s="2018"/>
      <c r="O6284" s="2018"/>
      <c r="P6284" s="2018"/>
      <c r="Q6284" s="2018"/>
      <c r="R6284" s="2018"/>
      <c r="S6284" s="2018"/>
      <c r="T6284" s="2018"/>
      <c r="U6284" s="2018"/>
      <c r="V6284" s="2018"/>
      <c r="W6284" s="2018"/>
      <c r="X6284" s="2018"/>
      <c r="Y6284" s="2018"/>
      <c r="Z6284" s="2021"/>
      <c r="AA6284" s="2021"/>
      <c r="AB6284" s="1050"/>
      <c r="AC6284" s="1050"/>
      <c r="AD6284" s="1050"/>
      <c r="AE6284" s="1050"/>
      <c r="AF6284" s="1052"/>
    </row>
    <row r="6285" spans="1:32" ht="15.75" x14ac:dyDescent="0.25">
      <c r="A6285" s="2017"/>
      <c r="B6285" s="2018"/>
      <c r="C6285" s="2018"/>
      <c r="D6285" s="2018"/>
      <c r="E6285" s="2018"/>
      <c r="F6285" s="2018"/>
      <c r="G6285" s="2018"/>
      <c r="H6285" s="2018"/>
      <c r="I6285" s="2018"/>
      <c r="J6285" s="2018"/>
      <c r="K6285" s="2018"/>
      <c r="L6285" s="2018"/>
      <c r="M6285" s="2018"/>
      <c r="N6285" s="2018"/>
      <c r="O6285" s="2018"/>
      <c r="P6285" s="2018"/>
      <c r="Q6285" s="2018"/>
      <c r="R6285" s="2018"/>
      <c r="S6285" s="2018"/>
      <c r="T6285" s="2018"/>
      <c r="U6285" s="2018"/>
      <c r="V6285" s="2018"/>
      <c r="W6285" s="2018"/>
      <c r="X6285" s="2018"/>
      <c r="Y6285" s="2018"/>
      <c r="Z6285" s="2021"/>
      <c r="AA6285" s="2021"/>
      <c r="AB6285" s="1050"/>
      <c r="AC6285" s="1050"/>
      <c r="AD6285" s="1050"/>
      <c r="AE6285" s="1050"/>
      <c r="AF6285" s="1052"/>
    </row>
    <row r="6286" spans="1:32" ht="15.6" customHeight="1" x14ac:dyDescent="0.25">
      <c r="A6286" s="2017"/>
      <c r="B6286" s="2018"/>
      <c r="C6286" s="2018"/>
      <c r="D6286" s="2018"/>
      <c r="E6286" s="2018"/>
      <c r="F6286" s="2018"/>
      <c r="G6286" s="2018"/>
      <c r="H6286" s="2018"/>
      <c r="I6286" s="2018"/>
      <c r="J6286" s="2018"/>
      <c r="K6286" s="2018"/>
      <c r="L6286" s="2018"/>
      <c r="M6286" s="2018"/>
      <c r="N6286" s="2018"/>
      <c r="O6286" s="2018"/>
      <c r="P6286" s="2018"/>
      <c r="Q6286" s="2018"/>
      <c r="R6286" s="2018"/>
      <c r="S6286" s="2018"/>
      <c r="T6286" s="2018"/>
      <c r="U6286" s="2018"/>
      <c r="V6286" s="2018"/>
      <c r="W6286" s="2018"/>
      <c r="X6286" s="2018"/>
      <c r="Y6286" s="2018"/>
      <c r="Z6286" s="2021"/>
      <c r="AA6286" s="2021"/>
      <c r="AB6286" s="1050"/>
      <c r="AC6286" s="1050"/>
      <c r="AD6286" s="1050"/>
      <c r="AE6286" s="1050"/>
      <c r="AF6286" s="1052"/>
    </row>
    <row r="6287" spans="1:32" ht="15.75" x14ac:dyDescent="0.25">
      <c r="A6287" s="2017"/>
      <c r="B6287" s="2018"/>
      <c r="C6287" s="2018"/>
      <c r="D6287" s="2018"/>
      <c r="E6287" s="2018"/>
      <c r="F6287" s="2018"/>
      <c r="G6287" s="2018"/>
      <c r="H6287" s="2018"/>
      <c r="I6287" s="2018"/>
      <c r="J6287" s="2018"/>
      <c r="K6287" s="2018"/>
      <c r="L6287" s="2018"/>
      <c r="M6287" s="2018"/>
      <c r="N6287" s="2018"/>
      <c r="O6287" s="2018"/>
      <c r="P6287" s="2018"/>
      <c r="Q6287" s="2018"/>
      <c r="R6287" s="2018"/>
      <c r="S6287" s="2018"/>
      <c r="T6287" s="2018"/>
      <c r="U6287" s="2018"/>
      <c r="V6287" s="2018"/>
      <c r="W6287" s="2018"/>
      <c r="X6287" s="2018"/>
      <c r="Y6287" s="2018"/>
      <c r="Z6287" s="2021"/>
      <c r="AA6287" s="2021"/>
      <c r="AB6287" s="1050"/>
      <c r="AC6287" s="1050"/>
      <c r="AD6287" s="1050"/>
      <c r="AE6287" s="1050"/>
      <c r="AF6287" s="1052"/>
    </row>
    <row r="6288" spans="1:32" ht="15.75" x14ac:dyDescent="0.25">
      <c r="A6288" s="2017"/>
      <c r="B6288" s="2018"/>
      <c r="C6288" s="2018"/>
      <c r="D6288" s="2018"/>
      <c r="E6288" s="2018"/>
      <c r="F6288" s="2018"/>
      <c r="G6288" s="2018"/>
      <c r="H6288" s="2018"/>
      <c r="I6288" s="2018"/>
      <c r="J6288" s="2018"/>
      <c r="K6288" s="2018"/>
      <c r="L6288" s="2018"/>
      <c r="M6288" s="2018"/>
      <c r="N6288" s="2018"/>
      <c r="O6288" s="2018"/>
      <c r="P6288" s="2018"/>
      <c r="Q6288" s="2018"/>
      <c r="R6288" s="2018"/>
      <c r="S6288" s="2018"/>
      <c r="T6288" s="2018"/>
      <c r="U6288" s="2018"/>
      <c r="V6288" s="2018"/>
      <c r="W6288" s="2018"/>
      <c r="X6288" s="2018"/>
      <c r="Y6288" s="2018"/>
      <c r="Z6288" s="2021"/>
      <c r="AA6288" s="2021"/>
      <c r="AB6288" s="1050"/>
      <c r="AC6288" s="1050"/>
      <c r="AD6288" s="1050"/>
      <c r="AE6288" s="1050"/>
      <c r="AF6288" s="1052"/>
    </row>
    <row r="6289" spans="1:32" ht="15.6" customHeight="1" x14ac:dyDescent="0.25">
      <c r="A6289" s="2017"/>
      <c r="B6289" s="2018"/>
      <c r="C6289" s="2018"/>
      <c r="D6289" s="2018"/>
      <c r="E6289" s="2018"/>
      <c r="F6289" s="2018"/>
      <c r="G6289" s="2018"/>
      <c r="H6289" s="2018"/>
      <c r="I6289" s="2018"/>
      <c r="J6289" s="2018"/>
      <c r="K6289" s="2018"/>
      <c r="L6289" s="2018"/>
      <c r="M6289" s="2018"/>
      <c r="N6289" s="2018"/>
      <c r="O6289" s="2018"/>
      <c r="P6289" s="2018"/>
      <c r="Q6289" s="2018"/>
      <c r="R6289" s="2018"/>
      <c r="S6289" s="2018"/>
      <c r="T6289" s="2018"/>
      <c r="U6289" s="2018"/>
      <c r="V6289" s="2018"/>
      <c r="W6289" s="2018"/>
      <c r="X6289" s="2018"/>
      <c r="Y6289" s="2018"/>
      <c r="Z6289" s="2021"/>
      <c r="AA6289" s="2021"/>
      <c r="AB6289" s="1050"/>
      <c r="AC6289" s="1050"/>
      <c r="AD6289" s="1050"/>
      <c r="AE6289" s="1050"/>
      <c r="AF6289" s="1052"/>
    </row>
    <row r="6290" spans="1:32" ht="15.75" x14ac:dyDescent="0.25">
      <c r="A6290" s="2017"/>
      <c r="B6290" s="2018"/>
      <c r="C6290" s="2018"/>
      <c r="D6290" s="2018"/>
      <c r="E6290" s="2018"/>
      <c r="F6290" s="2018"/>
      <c r="G6290" s="2018"/>
      <c r="H6290" s="2018"/>
      <c r="I6290" s="2018"/>
      <c r="J6290" s="2018"/>
      <c r="K6290" s="2018"/>
      <c r="L6290" s="2018"/>
      <c r="M6290" s="2018"/>
      <c r="N6290" s="2018"/>
      <c r="O6290" s="2018"/>
      <c r="P6290" s="2018"/>
      <c r="Q6290" s="2018"/>
      <c r="R6290" s="2018"/>
      <c r="S6290" s="2018"/>
      <c r="T6290" s="2018"/>
      <c r="U6290" s="2018"/>
      <c r="V6290" s="2018"/>
      <c r="W6290" s="2018"/>
      <c r="X6290" s="2018"/>
      <c r="Y6290" s="2018"/>
      <c r="Z6290" s="2022"/>
      <c r="AA6290" s="2022"/>
      <c r="AB6290" s="1050"/>
      <c r="AC6290" s="1050"/>
      <c r="AD6290" s="1050"/>
      <c r="AE6290" s="1050"/>
      <c r="AF6290" s="1052"/>
    </row>
    <row r="6291" spans="1:32" ht="15.75" x14ac:dyDescent="0.25">
      <c r="A6291" s="2017"/>
      <c r="B6291" s="2018"/>
      <c r="C6291" s="2018"/>
      <c r="D6291" s="2018"/>
      <c r="E6291" s="2018"/>
      <c r="F6291" s="2018"/>
      <c r="G6291" s="2018"/>
      <c r="H6291" s="2018"/>
      <c r="I6291" s="2018"/>
      <c r="J6291" s="2018"/>
      <c r="K6291" s="2018"/>
      <c r="L6291" s="2018"/>
      <c r="M6291" s="2018"/>
      <c r="N6291" s="2018"/>
      <c r="O6291" s="2018"/>
      <c r="P6291" s="2018"/>
      <c r="Q6291" s="2018"/>
      <c r="R6291" s="2018"/>
      <c r="S6291" s="2018"/>
      <c r="T6291" s="2018"/>
      <c r="U6291" s="2018"/>
      <c r="V6291" s="2018"/>
      <c r="W6291" s="2018"/>
      <c r="X6291" s="2018"/>
      <c r="Y6291" s="2018"/>
      <c r="Z6291" s="2022"/>
      <c r="AA6291" s="2022"/>
      <c r="AB6291" s="1050"/>
      <c r="AC6291" s="1050"/>
      <c r="AD6291" s="1050"/>
      <c r="AE6291" s="1050"/>
      <c r="AF6291" s="1052"/>
    </row>
    <row r="6292" spans="1:32" ht="15.75" x14ac:dyDescent="0.25">
      <c r="A6292" s="2017"/>
      <c r="B6292" s="2018"/>
      <c r="C6292" s="2018"/>
      <c r="D6292" s="2018"/>
      <c r="E6292" s="2018"/>
      <c r="F6292" s="2018"/>
      <c r="G6292" s="2018"/>
      <c r="H6292" s="2018"/>
      <c r="I6292" s="2018"/>
      <c r="J6292" s="2018"/>
      <c r="K6292" s="2018"/>
      <c r="L6292" s="2018"/>
      <c r="M6292" s="2018"/>
      <c r="N6292" s="2018"/>
      <c r="O6292" s="2018"/>
      <c r="P6292" s="2018"/>
      <c r="Q6292" s="2018"/>
      <c r="R6292" s="2018"/>
      <c r="S6292" s="2018"/>
      <c r="T6292" s="2018"/>
      <c r="U6292" s="2018"/>
      <c r="V6292" s="2018"/>
      <c r="W6292" s="2018"/>
      <c r="X6292" s="2018"/>
      <c r="Y6292" s="2018"/>
      <c r="Z6292" s="2022"/>
      <c r="AA6292" s="2022"/>
      <c r="AB6292" s="1050"/>
      <c r="AC6292" s="1050"/>
      <c r="AD6292" s="1050"/>
      <c r="AE6292" s="1050"/>
      <c r="AF6292" s="1052"/>
    </row>
    <row r="6293" spans="1:32" ht="15.6" customHeight="1" x14ac:dyDescent="0.25">
      <c r="A6293" s="2017"/>
      <c r="B6293" s="2018"/>
      <c r="C6293" s="2018"/>
      <c r="D6293" s="2018"/>
      <c r="E6293" s="2018"/>
      <c r="F6293" s="2018"/>
      <c r="G6293" s="2018"/>
      <c r="H6293" s="2018"/>
      <c r="I6293" s="2018"/>
      <c r="J6293" s="2018"/>
      <c r="K6293" s="2018"/>
      <c r="L6293" s="2018"/>
      <c r="M6293" s="2018"/>
      <c r="N6293" s="2018"/>
      <c r="O6293" s="2018"/>
      <c r="P6293" s="2018"/>
      <c r="Q6293" s="2018"/>
      <c r="R6293" s="2018"/>
      <c r="S6293" s="2018"/>
      <c r="T6293" s="2018"/>
      <c r="U6293" s="2018"/>
      <c r="V6293" s="2018"/>
      <c r="W6293" s="2018"/>
      <c r="X6293" s="2018"/>
      <c r="Y6293" s="2018"/>
      <c r="Z6293" s="2022"/>
      <c r="AA6293" s="2022"/>
      <c r="AB6293" s="1050"/>
      <c r="AC6293" s="1050"/>
      <c r="AD6293" s="1050"/>
      <c r="AE6293" s="1050"/>
      <c r="AF6293" s="1052"/>
    </row>
    <row r="6294" spans="1:32" ht="15.75" x14ac:dyDescent="0.25">
      <c r="A6294" s="2017"/>
      <c r="B6294" s="2018"/>
      <c r="C6294" s="2018"/>
      <c r="D6294" s="2018"/>
      <c r="E6294" s="2018"/>
      <c r="F6294" s="2018"/>
      <c r="G6294" s="2018"/>
      <c r="H6294" s="2018"/>
      <c r="I6294" s="2018"/>
      <c r="J6294" s="2018"/>
      <c r="K6294" s="2018"/>
      <c r="L6294" s="2018"/>
      <c r="M6294" s="2018"/>
      <c r="N6294" s="2018"/>
      <c r="O6294" s="2018"/>
      <c r="P6294" s="2018"/>
      <c r="Q6294" s="2018"/>
      <c r="R6294" s="2018"/>
      <c r="S6294" s="2018"/>
      <c r="T6294" s="2018"/>
      <c r="U6294" s="2018"/>
      <c r="V6294" s="2018"/>
      <c r="W6294" s="2018"/>
      <c r="X6294" s="2018"/>
      <c r="Y6294" s="2018"/>
      <c r="Z6294" s="2022"/>
      <c r="AA6294" s="2022"/>
      <c r="AB6294" s="1050"/>
      <c r="AC6294" s="1050"/>
      <c r="AD6294" s="1050"/>
      <c r="AE6294" s="1050"/>
      <c r="AF6294" s="1052"/>
    </row>
    <row r="6295" spans="1:32" ht="15.75" x14ac:dyDescent="0.25">
      <c r="A6295" s="2017"/>
      <c r="B6295" s="2018"/>
      <c r="C6295" s="2018"/>
      <c r="D6295" s="2018"/>
      <c r="E6295" s="2018"/>
      <c r="F6295" s="2018"/>
      <c r="G6295" s="2018"/>
      <c r="H6295" s="2018"/>
      <c r="I6295" s="2018"/>
      <c r="J6295" s="2018"/>
      <c r="K6295" s="2018"/>
      <c r="L6295" s="2018"/>
      <c r="M6295" s="2018"/>
      <c r="N6295" s="2018"/>
      <c r="O6295" s="2018"/>
      <c r="P6295" s="2018"/>
      <c r="Q6295" s="2018"/>
      <c r="R6295" s="2018"/>
      <c r="S6295" s="2018"/>
      <c r="T6295" s="2018"/>
      <c r="U6295" s="2018"/>
      <c r="V6295" s="2018"/>
      <c r="W6295" s="2018"/>
      <c r="X6295" s="2018"/>
      <c r="Y6295" s="2018"/>
      <c r="Z6295" s="2022"/>
      <c r="AA6295" s="2022"/>
      <c r="AB6295" s="1050"/>
      <c r="AC6295" s="1050"/>
      <c r="AD6295" s="1050"/>
      <c r="AE6295" s="1050"/>
      <c r="AF6295" s="1052"/>
    </row>
    <row r="6296" spans="1:32" ht="15.75" x14ac:dyDescent="0.25">
      <c r="A6296" s="2017"/>
      <c r="B6296" s="2018"/>
      <c r="C6296" s="2018"/>
      <c r="D6296" s="2018"/>
      <c r="E6296" s="2018"/>
      <c r="F6296" s="2018"/>
      <c r="G6296" s="2018"/>
      <c r="H6296" s="2018"/>
      <c r="I6296" s="2018"/>
      <c r="J6296" s="2018"/>
      <c r="K6296" s="2018"/>
      <c r="L6296" s="2018"/>
      <c r="M6296" s="2018"/>
      <c r="N6296" s="2018"/>
      <c r="O6296" s="2018"/>
      <c r="P6296" s="2018"/>
      <c r="Q6296" s="2018"/>
      <c r="R6296" s="2018"/>
      <c r="S6296" s="2018"/>
      <c r="T6296" s="2018"/>
      <c r="U6296" s="2018"/>
      <c r="V6296" s="2018"/>
      <c r="W6296" s="2018"/>
      <c r="X6296" s="2018"/>
      <c r="Y6296" s="2018"/>
      <c r="Z6296" s="2022"/>
      <c r="AA6296" s="2022"/>
      <c r="AB6296" s="1050"/>
      <c r="AC6296" s="1050"/>
      <c r="AD6296" s="1050"/>
      <c r="AE6296" s="1050"/>
      <c r="AF6296" s="1052"/>
    </row>
    <row r="6297" spans="1:32" ht="15.75" x14ac:dyDescent="0.25">
      <c r="A6297" s="2017"/>
      <c r="B6297" s="2018"/>
      <c r="C6297" s="2018"/>
      <c r="D6297" s="2018"/>
      <c r="E6297" s="2018"/>
      <c r="F6297" s="2018"/>
      <c r="G6297" s="2018"/>
      <c r="H6297" s="2018"/>
      <c r="I6297" s="2018"/>
      <c r="J6297" s="2018"/>
      <c r="K6297" s="2018"/>
      <c r="L6297" s="2018"/>
      <c r="M6297" s="2018"/>
      <c r="N6297" s="2018"/>
      <c r="O6297" s="2018"/>
      <c r="P6297" s="2018"/>
      <c r="Q6297" s="2018"/>
      <c r="R6297" s="2018"/>
      <c r="S6297" s="2018"/>
      <c r="T6297" s="2018"/>
      <c r="U6297" s="2018"/>
      <c r="V6297" s="2018"/>
      <c r="W6297" s="2018"/>
      <c r="X6297" s="2018"/>
      <c r="Y6297" s="2018"/>
      <c r="Z6297" s="2022"/>
      <c r="AA6297" s="2022"/>
      <c r="AB6297" s="1050"/>
      <c r="AC6297" s="1050"/>
      <c r="AD6297" s="1050"/>
      <c r="AE6297" s="1050"/>
      <c r="AF6297" s="1052"/>
    </row>
    <row r="6298" spans="1:32" ht="15.75" x14ac:dyDescent="0.25">
      <c r="A6298" s="2017"/>
      <c r="B6298" s="2018"/>
      <c r="C6298" s="2018"/>
      <c r="D6298" s="2018"/>
      <c r="E6298" s="2018"/>
      <c r="F6298" s="2018"/>
      <c r="G6298" s="2018"/>
      <c r="H6298" s="2018"/>
      <c r="I6298" s="2018"/>
      <c r="J6298" s="2018"/>
      <c r="K6298" s="2018"/>
      <c r="L6298" s="2018"/>
      <c r="M6298" s="2018"/>
      <c r="N6298" s="2018"/>
      <c r="O6298" s="2018"/>
      <c r="P6298" s="2018"/>
      <c r="Q6298" s="2018"/>
      <c r="R6298" s="2018"/>
      <c r="S6298" s="2018"/>
      <c r="T6298" s="2018"/>
      <c r="U6298" s="2018"/>
      <c r="V6298" s="2018"/>
      <c r="W6298" s="2018"/>
      <c r="X6298" s="2018"/>
      <c r="Y6298" s="2018"/>
      <c r="Z6298" s="2022"/>
      <c r="AA6298" s="2022"/>
      <c r="AB6298" s="1050"/>
      <c r="AC6298" s="1050"/>
      <c r="AD6298" s="1050"/>
      <c r="AE6298" s="1050"/>
      <c r="AF6298" s="1052"/>
    </row>
    <row r="6299" spans="1:32" ht="15.75" x14ac:dyDescent="0.25">
      <c r="A6299" s="2017"/>
      <c r="B6299" s="2018"/>
      <c r="C6299" s="2018"/>
      <c r="D6299" s="2018"/>
      <c r="E6299" s="2018"/>
      <c r="F6299" s="2018"/>
      <c r="G6299" s="2018"/>
      <c r="H6299" s="2018"/>
      <c r="I6299" s="2018"/>
      <c r="J6299" s="2018"/>
      <c r="K6299" s="2018"/>
      <c r="L6299" s="2018"/>
      <c r="M6299" s="2018"/>
      <c r="N6299" s="2018"/>
      <c r="O6299" s="2018"/>
      <c r="P6299" s="2018"/>
      <c r="Q6299" s="2018"/>
      <c r="R6299" s="2018"/>
      <c r="S6299" s="2018"/>
      <c r="T6299" s="2018"/>
      <c r="U6299" s="2018"/>
      <c r="V6299" s="2018"/>
      <c r="W6299" s="2018"/>
      <c r="X6299" s="2018"/>
      <c r="Y6299" s="2018"/>
      <c r="Z6299" s="2023"/>
      <c r="AA6299" s="2023"/>
      <c r="AB6299" s="1050"/>
      <c r="AC6299" s="1050"/>
      <c r="AD6299" s="1050"/>
      <c r="AE6299" s="1050"/>
      <c r="AF6299" s="1052"/>
    </row>
    <row r="6300" spans="1:32" ht="15.75" x14ac:dyDescent="0.25">
      <c r="A6300" s="2017"/>
      <c r="B6300" s="2018"/>
      <c r="C6300" s="2018"/>
      <c r="D6300" s="2018"/>
      <c r="E6300" s="2018"/>
      <c r="F6300" s="2018"/>
      <c r="G6300" s="2018"/>
      <c r="H6300" s="2018"/>
      <c r="I6300" s="2018"/>
      <c r="J6300" s="2018"/>
      <c r="K6300" s="2018"/>
      <c r="L6300" s="2018"/>
      <c r="M6300" s="2018"/>
      <c r="N6300" s="2018"/>
      <c r="O6300" s="2018"/>
      <c r="P6300" s="2018"/>
      <c r="Q6300" s="2018"/>
      <c r="R6300" s="2018"/>
      <c r="S6300" s="2018"/>
      <c r="T6300" s="2018"/>
      <c r="U6300" s="2018"/>
      <c r="V6300" s="2018"/>
      <c r="W6300" s="2018"/>
      <c r="X6300" s="2018"/>
      <c r="Y6300" s="2018"/>
      <c r="Z6300" s="2023"/>
      <c r="AA6300" s="2023"/>
      <c r="AB6300" s="1050"/>
      <c r="AC6300" s="1050"/>
      <c r="AD6300" s="1050"/>
      <c r="AE6300" s="1050"/>
      <c r="AF6300" s="1052"/>
    </row>
    <row r="6301" spans="1:32" ht="15.75" x14ac:dyDescent="0.25">
      <c r="A6301" s="2017"/>
      <c r="B6301" s="2018"/>
      <c r="C6301" s="2018"/>
      <c r="D6301" s="2018"/>
      <c r="E6301" s="2018"/>
      <c r="F6301" s="2018"/>
      <c r="G6301" s="2018"/>
      <c r="H6301" s="2018"/>
      <c r="I6301" s="2018"/>
      <c r="J6301" s="2018"/>
      <c r="K6301" s="2018"/>
      <c r="L6301" s="2018"/>
      <c r="M6301" s="2018"/>
      <c r="N6301" s="2018"/>
      <c r="O6301" s="2018"/>
      <c r="P6301" s="2018"/>
      <c r="Q6301" s="2018"/>
      <c r="R6301" s="2018"/>
      <c r="S6301" s="2018"/>
      <c r="T6301" s="2018"/>
      <c r="U6301" s="2018"/>
      <c r="V6301" s="2018"/>
      <c r="W6301" s="2018"/>
      <c r="X6301" s="2018"/>
      <c r="Y6301" s="2018"/>
      <c r="Z6301" s="2023"/>
      <c r="AA6301" s="2023"/>
      <c r="AB6301" s="1050"/>
      <c r="AC6301" s="1050"/>
      <c r="AD6301" s="1050"/>
      <c r="AE6301" s="1050"/>
      <c r="AF6301" s="1052"/>
    </row>
    <row r="6302" spans="1:32" ht="15.75" x14ac:dyDescent="0.25">
      <c r="A6302" s="2017"/>
      <c r="B6302" s="2018"/>
      <c r="C6302" s="2018"/>
      <c r="D6302" s="2018"/>
      <c r="E6302" s="2018"/>
      <c r="F6302" s="2018"/>
      <c r="G6302" s="2018"/>
      <c r="H6302" s="2018"/>
      <c r="I6302" s="2018"/>
      <c r="J6302" s="2018"/>
      <c r="K6302" s="2018"/>
      <c r="L6302" s="2018"/>
      <c r="M6302" s="2018"/>
      <c r="N6302" s="2018"/>
      <c r="O6302" s="2018"/>
      <c r="P6302" s="2018"/>
      <c r="Q6302" s="2018"/>
      <c r="R6302" s="2018"/>
      <c r="S6302" s="2018"/>
      <c r="T6302" s="2018"/>
      <c r="U6302" s="2018"/>
      <c r="V6302" s="2018"/>
      <c r="W6302" s="2018"/>
      <c r="X6302" s="2018"/>
      <c r="Y6302" s="2018"/>
      <c r="Z6302" s="2023"/>
      <c r="AA6302" s="2023"/>
      <c r="AB6302" s="1050"/>
      <c r="AC6302" s="1050"/>
      <c r="AD6302" s="1050"/>
      <c r="AE6302" s="1050"/>
      <c r="AF6302" s="1052"/>
    </row>
    <row r="6303" spans="1:32" ht="15.75" x14ac:dyDescent="0.25">
      <c r="A6303" s="2017"/>
      <c r="B6303" s="2018"/>
      <c r="C6303" s="2018"/>
      <c r="D6303" s="2018"/>
      <c r="E6303" s="2018"/>
      <c r="F6303" s="2018"/>
      <c r="G6303" s="2018"/>
      <c r="H6303" s="2018"/>
      <c r="I6303" s="2018"/>
      <c r="J6303" s="2018"/>
      <c r="K6303" s="2018"/>
      <c r="L6303" s="2018"/>
      <c r="M6303" s="2018"/>
      <c r="N6303" s="2018"/>
      <c r="O6303" s="2018"/>
      <c r="P6303" s="2018"/>
      <c r="Q6303" s="2018"/>
      <c r="R6303" s="2018"/>
      <c r="S6303" s="2018"/>
      <c r="T6303" s="2018"/>
      <c r="U6303" s="2018"/>
      <c r="V6303" s="2018"/>
      <c r="W6303" s="2018"/>
      <c r="X6303" s="2018"/>
      <c r="Y6303" s="2018"/>
      <c r="Z6303" s="2023"/>
      <c r="AA6303" s="2023"/>
      <c r="AB6303" s="1050"/>
      <c r="AC6303" s="1050"/>
      <c r="AD6303" s="1050"/>
      <c r="AE6303" s="1050"/>
      <c r="AF6303" s="1052"/>
    </row>
    <row r="6304" spans="1:32" ht="15.75" x14ac:dyDescent="0.25">
      <c r="A6304" s="2017"/>
      <c r="B6304" s="2018"/>
      <c r="C6304" s="2018"/>
      <c r="D6304" s="2018"/>
      <c r="E6304" s="2018"/>
      <c r="F6304" s="2018"/>
      <c r="G6304" s="2018"/>
      <c r="H6304" s="2018"/>
      <c r="I6304" s="2018"/>
      <c r="J6304" s="2018"/>
      <c r="K6304" s="2018"/>
      <c r="L6304" s="2018"/>
      <c r="M6304" s="2018"/>
      <c r="N6304" s="2018"/>
      <c r="O6304" s="2018"/>
      <c r="P6304" s="2018"/>
      <c r="Q6304" s="2018"/>
      <c r="R6304" s="2018"/>
      <c r="S6304" s="2018"/>
      <c r="T6304" s="2018"/>
      <c r="U6304" s="2018"/>
      <c r="V6304" s="2018"/>
      <c r="W6304" s="2018"/>
      <c r="X6304" s="2018"/>
      <c r="Y6304" s="2018"/>
      <c r="Z6304" s="2023"/>
      <c r="AA6304" s="2023"/>
      <c r="AB6304" s="1050"/>
      <c r="AC6304" s="1050"/>
      <c r="AD6304" s="1050"/>
      <c r="AE6304" s="1050"/>
      <c r="AF6304" s="1052"/>
    </row>
    <row r="6305" spans="1:32" ht="16.5" thickBot="1" x14ac:dyDescent="0.3">
      <c r="A6305" s="2019"/>
      <c r="B6305" s="2020"/>
      <c r="C6305" s="2020"/>
      <c r="D6305" s="2020"/>
      <c r="E6305" s="2020"/>
      <c r="F6305" s="2020"/>
      <c r="G6305" s="2020"/>
      <c r="H6305" s="2020"/>
      <c r="I6305" s="2020"/>
      <c r="J6305" s="2020"/>
      <c r="K6305" s="2020"/>
      <c r="L6305" s="2020"/>
      <c r="M6305" s="2020"/>
      <c r="N6305" s="2020"/>
      <c r="O6305" s="2020"/>
      <c r="P6305" s="2020"/>
      <c r="Q6305" s="2020"/>
      <c r="R6305" s="2020"/>
      <c r="S6305" s="2020"/>
      <c r="T6305" s="2020"/>
      <c r="U6305" s="2020"/>
      <c r="V6305" s="2020"/>
      <c r="W6305" s="2020"/>
      <c r="X6305" s="2020"/>
      <c r="Y6305" s="2020"/>
      <c r="Z6305" s="2024"/>
      <c r="AA6305" s="2024"/>
      <c r="AB6305" s="1057"/>
      <c r="AC6305" s="1057"/>
      <c r="AD6305" s="1057"/>
      <c r="AE6305" s="1057"/>
      <c r="AF6305" s="1058"/>
    </row>
    <row r="6306" spans="1:32" ht="15.75" x14ac:dyDescent="0.25">
      <c r="A6306" s="2009" t="s">
        <v>1855</v>
      </c>
      <c r="B6306" s="2010"/>
      <c r="C6306" s="2010"/>
      <c r="D6306" s="2010"/>
      <c r="E6306" s="2010"/>
      <c r="F6306" s="2010"/>
      <c r="G6306" s="2010"/>
      <c r="H6306" s="2010"/>
      <c r="I6306" s="2010"/>
      <c r="J6306" s="2010"/>
      <c r="K6306" s="2010"/>
      <c r="L6306" s="2010"/>
      <c r="M6306" s="2010"/>
      <c r="N6306" s="2010"/>
      <c r="O6306" s="2010"/>
      <c r="P6306" s="2010"/>
      <c r="Q6306" s="2010"/>
      <c r="R6306" s="2010"/>
      <c r="S6306" s="2010"/>
      <c r="T6306" s="2010"/>
      <c r="U6306" s="2010"/>
      <c r="V6306" s="2010"/>
      <c r="W6306" s="2010"/>
      <c r="X6306" s="2010"/>
      <c r="Y6306" s="2010"/>
      <c r="Z6306" s="2013" t="s">
        <v>1850</v>
      </c>
      <c r="AA6306" s="2013"/>
      <c r="AB6306" s="2013"/>
      <c r="AC6306" s="2013"/>
      <c r="AD6306" s="2013"/>
      <c r="AE6306" s="2013"/>
      <c r="AF6306" s="1059">
        <f>SUM(AF6282:AF6305)</f>
        <v>0</v>
      </c>
    </row>
    <row r="6307" spans="1:32" ht="15.75" x14ac:dyDescent="0.25">
      <c r="A6307" s="2011"/>
      <c r="B6307" s="2012"/>
      <c r="C6307" s="2012"/>
      <c r="D6307" s="2012"/>
      <c r="E6307" s="2012"/>
      <c r="F6307" s="2012"/>
      <c r="G6307" s="2012"/>
      <c r="H6307" s="2012"/>
      <c r="I6307" s="2012"/>
      <c r="J6307" s="2012"/>
      <c r="K6307" s="2012"/>
      <c r="L6307" s="2012"/>
      <c r="M6307" s="2012"/>
      <c r="N6307" s="2012"/>
      <c r="O6307" s="2012"/>
      <c r="P6307" s="2012"/>
      <c r="Q6307" s="2012"/>
      <c r="R6307" s="2012"/>
      <c r="S6307" s="2012"/>
      <c r="T6307" s="2012"/>
      <c r="U6307" s="2012"/>
      <c r="V6307" s="2012"/>
      <c r="W6307" s="2012"/>
      <c r="X6307" s="2012"/>
      <c r="Y6307" s="2012"/>
      <c r="Z6307" s="2014" t="s">
        <v>1851</v>
      </c>
      <c r="AA6307" s="2014"/>
      <c r="AB6307" s="2014"/>
      <c r="AC6307" s="2014"/>
      <c r="AD6307" s="2014"/>
      <c r="AE6307" s="2014"/>
      <c r="AF6307" s="1060">
        <v>0</v>
      </c>
    </row>
    <row r="6308" spans="1:32" ht="15.75" x14ac:dyDescent="0.25">
      <c r="A6308" s="2011"/>
      <c r="B6308" s="2012"/>
      <c r="C6308" s="2012"/>
      <c r="D6308" s="2012"/>
      <c r="E6308" s="2012"/>
      <c r="F6308" s="2012"/>
      <c r="G6308" s="2012"/>
      <c r="H6308" s="2012"/>
      <c r="I6308" s="2012"/>
      <c r="J6308" s="2012"/>
      <c r="K6308" s="2012"/>
      <c r="L6308" s="2012"/>
      <c r="M6308" s="2012"/>
      <c r="N6308" s="2012"/>
      <c r="O6308" s="2012"/>
      <c r="P6308" s="2012"/>
      <c r="Q6308" s="2012"/>
      <c r="R6308" s="2012"/>
      <c r="S6308" s="2012"/>
      <c r="T6308" s="2012"/>
      <c r="U6308" s="2012"/>
      <c r="V6308" s="2012"/>
      <c r="W6308" s="2012"/>
      <c r="X6308" s="2012"/>
      <c r="Y6308" s="2012"/>
      <c r="Z6308" s="2015" t="s">
        <v>1833</v>
      </c>
      <c r="AA6308" s="2015"/>
      <c r="AB6308" s="2015"/>
      <c r="AC6308" s="2015"/>
      <c r="AD6308" s="2015"/>
      <c r="AE6308" s="2015"/>
      <c r="AF6308" s="1061">
        <f>SUM(AF6306:AF6307)</f>
        <v>0</v>
      </c>
    </row>
    <row r="6309" spans="1:32" x14ac:dyDescent="0.2">
      <c r="A6309" s="2012" t="s">
        <v>1859</v>
      </c>
      <c r="B6309" s="2012"/>
      <c r="C6309" s="2012"/>
      <c r="D6309" s="2012"/>
      <c r="E6309" s="2012"/>
      <c r="F6309" s="2012"/>
      <c r="G6309" s="2012"/>
      <c r="H6309" s="2012"/>
      <c r="I6309" s="2012"/>
      <c r="J6309" s="2012"/>
      <c r="K6309" s="2012"/>
      <c r="L6309" s="2012"/>
      <c r="M6309" s="2012"/>
      <c r="N6309" s="2012"/>
      <c r="O6309" s="2012"/>
      <c r="P6309" s="2012"/>
      <c r="Q6309" s="2012"/>
      <c r="R6309" s="2012"/>
      <c r="S6309" s="2012"/>
      <c r="T6309" s="2016" t="s">
        <v>1840</v>
      </c>
      <c r="U6309" s="2016"/>
      <c r="V6309" s="2016"/>
      <c r="W6309" s="2016"/>
      <c r="X6309" s="2016"/>
      <c r="Y6309" s="2016"/>
      <c r="Z6309" s="2016"/>
      <c r="AA6309" s="2016"/>
      <c r="AB6309" s="2012" t="s">
        <v>1852</v>
      </c>
      <c r="AC6309" s="2012"/>
      <c r="AD6309" s="2012"/>
      <c r="AE6309" s="2012"/>
      <c r="AF6309" s="2012"/>
    </row>
    <row r="6310" spans="1:32" x14ac:dyDescent="0.2">
      <c r="A6310" s="2012"/>
      <c r="B6310" s="2012"/>
      <c r="C6310" s="2012"/>
      <c r="D6310" s="2012"/>
      <c r="E6310" s="2012"/>
      <c r="F6310" s="2012"/>
      <c r="G6310" s="2012"/>
      <c r="H6310" s="2012"/>
      <c r="I6310" s="2012"/>
      <c r="J6310" s="2012"/>
      <c r="K6310" s="2012"/>
      <c r="L6310" s="2012"/>
      <c r="M6310" s="2012"/>
      <c r="N6310" s="2012"/>
      <c r="O6310" s="2012"/>
      <c r="P6310" s="2012"/>
      <c r="Q6310" s="2012"/>
      <c r="R6310" s="2012"/>
      <c r="S6310" s="2012"/>
      <c r="T6310" s="2016"/>
      <c r="U6310" s="2016"/>
      <c r="V6310" s="2016"/>
      <c r="W6310" s="2016"/>
      <c r="X6310" s="2016"/>
      <c r="Y6310" s="2016"/>
      <c r="Z6310" s="2016"/>
      <c r="AA6310" s="2016"/>
      <c r="AB6310" s="2012"/>
      <c r="AC6310" s="2012"/>
      <c r="AD6310" s="2012"/>
      <c r="AE6310" s="2012"/>
      <c r="AF6310" s="2012"/>
    </row>
    <row r="6311" spans="1:32" ht="13.5" thickBot="1" x14ac:dyDescent="0.25"/>
    <row r="6312" spans="1:32" ht="26.45" customHeight="1" x14ac:dyDescent="0.2">
      <c r="A6312" s="2025" t="s">
        <v>1854</v>
      </c>
      <c r="B6312" s="2026"/>
      <c r="C6312" s="2026"/>
      <c r="D6312" s="2026"/>
      <c r="E6312" s="2026"/>
      <c r="F6312" s="2026"/>
      <c r="G6312" s="2026"/>
      <c r="H6312" s="2026"/>
      <c r="I6312" s="2026"/>
      <c r="J6312" s="2026"/>
      <c r="K6312" s="2026"/>
      <c r="L6312" s="2026"/>
      <c r="M6312" s="2026"/>
      <c r="N6312" s="2026"/>
      <c r="O6312" s="2026"/>
      <c r="P6312" s="2026"/>
      <c r="Q6312" s="2026"/>
      <c r="R6312" s="2026"/>
      <c r="S6312" s="2026"/>
      <c r="T6312" s="2026"/>
      <c r="U6312" s="2026"/>
      <c r="V6312" s="2026"/>
      <c r="W6312" s="2026"/>
      <c r="X6312" s="2026"/>
      <c r="Y6312" s="2026"/>
      <c r="Z6312" s="2026"/>
      <c r="AA6312" s="2026"/>
      <c r="AB6312" s="2026"/>
      <c r="AC6312" s="2026"/>
      <c r="AD6312" s="2026"/>
      <c r="AE6312" s="1041" t="s">
        <v>1834</v>
      </c>
      <c r="AF6312" s="1042" t="s">
        <v>1835</v>
      </c>
    </row>
    <row r="6313" spans="1:32" ht="21" customHeight="1" thickBot="1" x14ac:dyDescent="0.25">
      <c r="A6313" s="2027"/>
      <c r="B6313" s="2028"/>
      <c r="C6313" s="2028"/>
      <c r="D6313" s="2028"/>
      <c r="E6313" s="2028"/>
      <c r="F6313" s="2028"/>
      <c r="G6313" s="2028"/>
      <c r="H6313" s="2028"/>
      <c r="I6313" s="2028"/>
      <c r="J6313" s="2028"/>
      <c r="K6313" s="2028"/>
      <c r="L6313" s="2028"/>
      <c r="M6313" s="2028"/>
      <c r="N6313" s="2028"/>
      <c r="O6313" s="2028"/>
      <c r="P6313" s="2028"/>
      <c r="Q6313" s="2028"/>
      <c r="R6313" s="2028"/>
      <c r="S6313" s="2028"/>
      <c r="T6313" s="2028"/>
      <c r="U6313" s="2028"/>
      <c r="V6313" s="2028"/>
      <c r="W6313" s="2028"/>
      <c r="X6313" s="2028"/>
      <c r="Y6313" s="2028"/>
      <c r="Z6313" s="2028"/>
      <c r="AA6313" s="2028"/>
      <c r="AB6313" s="2028"/>
      <c r="AC6313" s="2028"/>
      <c r="AD6313" s="2028"/>
      <c r="AE6313" s="1041" t="s">
        <v>1836</v>
      </c>
      <c r="AF6313" s="1044">
        <v>1</v>
      </c>
    </row>
    <row r="6314" spans="1:32" ht="15.75" x14ac:dyDescent="0.2">
      <c r="A6314" s="2029"/>
      <c r="B6314" s="2030"/>
      <c r="C6314" s="2030"/>
      <c r="D6314" s="2031"/>
      <c r="E6314" s="2025" t="str">
        <f>'01'!$A$12</f>
        <v>"CONSTRUCCION SISTEMA DE ACUEDUCTO FASE II DEL MUNICIPIO DE TESALIA DPTO DEL HUILA"</v>
      </c>
      <c r="F6314" s="2026"/>
      <c r="G6314" s="2026"/>
      <c r="H6314" s="2026"/>
      <c r="I6314" s="2026"/>
      <c r="J6314" s="2026"/>
      <c r="K6314" s="2026"/>
      <c r="L6314" s="2026"/>
      <c r="M6314" s="2026"/>
      <c r="N6314" s="2026"/>
      <c r="O6314" s="2026"/>
      <c r="P6314" s="2026"/>
      <c r="Q6314" s="2026"/>
      <c r="R6314" s="2026"/>
      <c r="S6314" s="2026"/>
      <c r="T6314" s="2026"/>
      <c r="U6314" s="2026"/>
      <c r="V6314" s="2026"/>
      <c r="W6314" s="2026"/>
      <c r="X6314" s="2026"/>
      <c r="Y6314" s="2026"/>
      <c r="Z6314" s="2026"/>
      <c r="AA6314" s="2026"/>
      <c r="AB6314" s="2026"/>
      <c r="AC6314" s="2026"/>
      <c r="AD6314" s="2035"/>
      <c r="AE6314" s="1041" t="s">
        <v>847</v>
      </c>
      <c r="AF6314" s="1045">
        <f>'01'!$M$13</f>
        <v>0</v>
      </c>
    </row>
    <row r="6315" spans="1:32" ht="16.5" thickBot="1" x14ac:dyDescent="0.25">
      <c r="A6315" s="2032"/>
      <c r="B6315" s="2033"/>
      <c r="C6315" s="2033"/>
      <c r="D6315" s="2034"/>
      <c r="E6315" s="2027"/>
      <c r="F6315" s="2028"/>
      <c r="G6315" s="2028"/>
      <c r="H6315" s="2028"/>
      <c r="I6315" s="2028"/>
      <c r="J6315" s="2028"/>
      <c r="K6315" s="2028"/>
      <c r="L6315" s="2028"/>
      <c r="M6315" s="2028"/>
      <c r="N6315" s="2028"/>
      <c r="O6315" s="2028"/>
      <c r="P6315" s="2028"/>
      <c r="Q6315" s="2028"/>
      <c r="R6315" s="2028"/>
      <c r="S6315" s="2028"/>
      <c r="T6315" s="2028"/>
      <c r="U6315" s="2028"/>
      <c r="V6315" s="2028"/>
      <c r="W6315" s="2028"/>
      <c r="X6315" s="2028"/>
      <c r="Y6315" s="2028"/>
      <c r="Z6315" s="2028"/>
      <c r="AA6315" s="2028"/>
      <c r="AB6315" s="2028"/>
      <c r="AC6315" s="2028"/>
      <c r="AD6315" s="2036"/>
      <c r="AE6315" s="1041" t="s">
        <v>1837</v>
      </c>
      <c r="AF6315" s="1042" t="s">
        <v>1838</v>
      </c>
    </row>
    <row r="6316" spans="1:32" ht="15.75" x14ac:dyDescent="0.25">
      <c r="A6316" s="2037" t="s">
        <v>1860</v>
      </c>
      <c r="B6316" s="2038"/>
      <c r="C6316" s="2038"/>
      <c r="D6316" s="2038"/>
      <c r="E6316" s="2038"/>
      <c r="F6316" s="2038"/>
      <c r="G6316" s="2038"/>
      <c r="H6316" s="2038"/>
      <c r="I6316" s="2038"/>
      <c r="J6316" s="2038"/>
      <c r="K6316" s="2038"/>
      <c r="L6316" s="2038"/>
      <c r="M6316" s="2038"/>
      <c r="N6316" s="2038"/>
      <c r="O6316" s="2038"/>
      <c r="P6316" s="2038"/>
      <c r="Q6316" s="2038"/>
      <c r="R6316" s="2038"/>
      <c r="S6316" s="2038"/>
      <c r="T6316" s="2038"/>
      <c r="U6316" s="2038"/>
      <c r="V6316" s="2038"/>
      <c r="W6316" s="2038"/>
      <c r="X6316" s="2038"/>
      <c r="Y6316" s="2038"/>
      <c r="Z6316" s="2038"/>
      <c r="AA6316" s="2038"/>
      <c r="AB6316" s="2038"/>
      <c r="AC6316" s="2038"/>
      <c r="AD6316" s="2038"/>
      <c r="AE6316" s="2039" t="s">
        <v>1839</v>
      </c>
      <c r="AF6316" s="2040"/>
    </row>
    <row r="6317" spans="1:32" ht="15.75" x14ac:dyDescent="0.25">
      <c r="A6317" s="2041" t="s">
        <v>1840</v>
      </c>
      <c r="B6317" s="2042"/>
      <c r="C6317" s="2042"/>
      <c r="D6317" s="2042"/>
      <c r="E6317" s="2042"/>
      <c r="F6317" s="2042"/>
      <c r="G6317" s="2042"/>
      <c r="H6317" s="2042"/>
      <c r="I6317" s="2042"/>
      <c r="J6317" s="2042"/>
      <c r="K6317" s="2042"/>
      <c r="L6317" s="2042"/>
      <c r="M6317" s="2042"/>
      <c r="N6317" s="2042"/>
      <c r="O6317" s="2042"/>
      <c r="P6317" s="2042"/>
      <c r="Q6317" s="2042"/>
      <c r="R6317" s="2042"/>
      <c r="S6317" s="2042"/>
      <c r="T6317" s="2042"/>
      <c r="U6317" s="2042"/>
      <c r="V6317" s="2042"/>
      <c r="W6317" s="2042"/>
      <c r="X6317" s="2042"/>
      <c r="Y6317" s="2042"/>
      <c r="Z6317" s="2042"/>
      <c r="AA6317" s="2042"/>
      <c r="AB6317" s="2042"/>
      <c r="AC6317" s="2042"/>
      <c r="AD6317" s="2043"/>
      <c r="AE6317" s="2014" t="s">
        <v>1841</v>
      </c>
      <c r="AF6317" s="2044"/>
    </row>
    <row r="6318" spans="1:32" ht="15.75" x14ac:dyDescent="0.25">
      <c r="A6318" s="2045" t="s">
        <v>1853</v>
      </c>
      <c r="B6318" s="2046"/>
      <c r="C6318" s="2046"/>
      <c r="D6318" s="2046"/>
      <c r="E6318" s="2046"/>
      <c r="F6318" s="2046"/>
      <c r="G6318" s="2046"/>
      <c r="H6318" s="2046"/>
      <c r="I6318" s="2046"/>
      <c r="J6318" s="2046"/>
      <c r="K6318" s="2046"/>
      <c r="L6318" s="2046"/>
      <c r="M6318" s="2046"/>
      <c r="N6318" s="2046"/>
      <c r="O6318" s="2046"/>
      <c r="P6318" s="2046"/>
      <c r="Q6318" s="2046"/>
      <c r="R6318" s="2046"/>
      <c r="S6318" s="2046"/>
      <c r="T6318" s="2046"/>
      <c r="U6318" s="2046"/>
      <c r="V6318" s="2046"/>
      <c r="W6318" s="2046"/>
      <c r="X6318" s="2046"/>
      <c r="Y6318" s="2046"/>
      <c r="Z6318" s="2046"/>
      <c r="AA6318" s="2046"/>
      <c r="AB6318" s="2046"/>
      <c r="AC6318" s="2046"/>
      <c r="AD6318" s="2046"/>
      <c r="AE6318" s="2047">
        <f>'01'!$M$13</f>
        <v>0</v>
      </c>
      <c r="AF6318" s="2044"/>
    </row>
    <row r="6319" spans="1:32" x14ac:dyDescent="0.2">
      <c r="A6319" s="1046"/>
      <c r="B6319" s="1047"/>
      <c r="C6319" s="1047"/>
      <c r="D6319" s="1047"/>
      <c r="E6319" s="1047"/>
      <c r="F6319" s="1047"/>
      <c r="G6319" s="1047"/>
      <c r="H6319" s="1047"/>
      <c r="I6319" s="1047"/>
      <c r="J6319" s="1047"/>
      <c r="K6319" s="1047"/>
      <c r="L6319" s="1047"/>
      <c r="M6319" s="1047"/>
      <c r="N6319" s="1047"/>
      <c r="O6319" s="1047"/>
      <c r="P6319" s="1047"/>
      <c r="Q6319" s="1047"/>
      <c r="R6319" s="1047"/>
      <c r="S6319" s="1047"/>
      <c r="T6319" s="1047"/>
      <c r="U6319" s="1047"/>
      <c r="V6319" s="1047"/>
      <c r="W6319" s="1047"/>
      <c r="X6319" s="1047"/>
      <c r="Y6319" s="1047"/>
      <c r="Z6319" s="1047"/>
      <c r="AA6319" s="1047"/>
      <c r="AB6319" s="1047"/>
      <c r="AC6319" s="1047"/>
      <c r="AD6319" s="1047"/>
      <c r="AE6319" s="1047"/>
      <c r="AF6319" s="1048"/>
    </row>
    <row r="6320" spans="1:32" ht="30" customHeight="1" x14ac:dyDescent="0.2">
      <c r="A6320" s="2048" t="s">
        <v>1842</v>
      </c>
      <c r="B6320" s="2049"/>
      <c r="C6320" s="2049"/>
      <c r="D6320" s="2049"/>
      <c r="E6320" s="2049"/>
      <c r="F6320" s="2050" t="str">
        <f>+'01'!$H$247</f>
        <v>J - CASETA DE OPERACIONES</v>
      </c>
      <c r="G6320" s="2049"/>
      <c r="H6320" s="2049"/>
      <c r="I6320" s="2049"/>
      <c r="J6320" s="2049"/>
      <c r="K6320" s="2049"/>
      <c r="L6320" s="2049"/>
      <c r="M6320" s="2049"/>
      <c r="N6320" s="2049"/>
      <c r="O6320" s="2049"/>
      <c r="P6320" s="2049"/>
      <c r="Q6320" s="2049"/>
      <c r="R6320" s="2049"/>
      <c r="S6320" s="2049"/>
      <c r="T6320" s="2049"/>
      <c r="U6320" s="2049"/>
      <c r="V6320" s="2049"/>
      <c r="W6320" s="2049"/>
      <c r="X6320" s="2049"/>
      <c r="Y6320" s="2051"/>
      <c r="Z6320" s="2052" t="s">
        <v>1843</v>
      </c>
      <c r="AA6320" s="2053"/>
      <c r="AB6320" s="2058" t="s">
        <v>1844</v>
      </c>
      <c r="AC6320" s="2059"/>
      <c r="AD6320" s="2060"/>
      <c r="AE6320" s="2064" t="s">
        <v>1845</v>
      </c>
      <c r="AF6320" s="2067" t="s">
        <v>1846</v>
      </c>
    </row>
    <row r="6321" spans="1:32" ht="15" customHeight="1" x14ac:dyDescent="0.2">
      <c r="A6321" s="2070" t="str">
        <f>+'01'!A262</f>
        <v>H-06-01</v>
      </c>
      <c r="B6321" s="2071"/>
      <c r="C6321" s="2072"/>
      <c r="D6321" s="2076" t="str">
        <f>VLOOKUP(A6321,'01'!$A$12:$N$299,3,FALSE)</f>
        <v>ACERO DE REFUERZO FIGURADO FY= 420 MPA-60000 PSI, CORRUGADO. INCLUYE TRANSPORTE CON DESCARGA, TRANSPORTE INTERNO, ALAMBRE DE AMARRE, CERTIFICADOS Y TODOS LOS ELEMENTOS NECESARIOS PARA SU CORRECTA INSTALACIÓN, SEGÚN DISEÑO Y RECOMENDACIONES.</v>
      </c>
      <c r="E6321" s="2077"/>
      <c r="F6321" s="2077"/>
      <c r="G6321" s="2077"/>
      <c r="H6321" s="2077"/>
      <c r="I6321" s="2077"/>
      <c r="J6321" s="2077"/>
      <c r="K6321" s="2077"/>
      <c r="L6321" s="2077"/>
      <c r="M6321" s="2077"/>
      <c r="N6321" s="2077"/>
      <c r="O6321" s="2077"/>
      <c r="P6321" s="2077"/>
      <c r="Q6321" s="2077"/>
      <c r="R6321" s="2077"/>
      <c r="S6321" s="2078"/>
      <c r="T6321" s="2082" t="s">
        <v>124</v>
      </c>
      <c r="U6321" s="2083"/>
      <c r="V6321" s="2083"/>
      <c r="W6321" s="2083"/>
      <c r="X6321" s="2052" t="str">
        <f>VLOOKUP(A6321,'01'!$A$12:$N$299,9,FALSE)</f>
        <v>KG</v>
      </c>
      <c r="Y6321" s="2053"/>
      <c r="Z6321" s="2054"/>
      <c r="AA6321" s="2055"/>
      <c r="AB6321" s="2061"/>
      <c r="AC6321" s="2062"/>
      <c r="AD6321" s="2063"/>
      <c r="AE6321" s="2065"/>
      <c r="AF6321" s="2068"/>
    </row>
    <row r="6322" spans="1:32" ht="15" customHeight="1" x14ac:dyDescent="0.25">
      <c r="A6322" s="2073"/>
      <c r="B6322" s="2074"/>
      <c r="C6322" s="2075"/>
      <c r="D6322" s="2079"/>
      <c r="E6322" s="2080"/>
      <c r="F6322" s="2080"/>
      <c r="G6322" s="2080"/>
      <c r="H6322" s="2080"/>
      <c r="I6322" s="2080"/>
      <c r="J6322" s="2080"/>
      <c r="K6322" s="2080"/>
      <c r="L6322" s="2080"/>
      <c r="M6322" s="2080"/>
      <c r="N6322" s="2080"/>
      <c r="O6322" s="2080"/>
      <c r="P6322" s="2080"/>
      <c r="Q6322" s="2080"/>
      <c r="R6322" s="2080"/>
      <c r="S6322" s="2081"/>
      <c r="T6322" s="2084"/>
      <c r="U6322" s="2085"/>
      <c r="V6322" s="2085"/>
      <c r="W6322" s="2085"/>
      <c r="X6322" s="2056"/>
      <c r="Y6322" s="2057"/>
      <c r="Z6322" s="2056"/>
      <c r="AA6322" s="2057"/>
      <c r="AB6322" s="1049" t="s">
        <v>1847</v>
      </c>
      <c r="AC6322" s="1049" t="s">
        <v>1848</v>
      </c>
      <c r="AD6322" s="1049" t="s">
        <v>1861</v>
      </c>
      <c r="AE6322" s="2066"/>
      <c r="AF6322" s="2069"/>
    </row>
    <row r="6323" spans="1:32" ht="30" customHeight="1" x14ac:dyDescent="0.25">
      <c r="A6323" s="2017"/>
      <c r="B6323" s="2018"/>
      <c r="C6323" s="2018"/>
      <c r="D6323" s="2018"/>
      <c r="E6323" s="2018"/>
      <c r="F6323" s="2018"/>
      <c r="G6323" s="2018"/>
      <c r="H6323" s="2018"/>
      <c r="I6323" s="2018"/>
      <c r="J6323" s="2018"/>
      <c r="K6323" s="2018"/>
      <c r="L6323" s="2018"/>
      <c r="M6323" s="2018"/>
      <c r="N6323" s="2018"/>
      <c r="O6323" s="2018"/>
      <c r="P6323" s="2018"/>
      <c r="Q6323" s="2018"/>
      <c r="R6323" s="2018"/>
      <c r="S6323" s="2018"/>
      <c r="T6323" s="2018"/>
      <c r="U6323" s="2018"/>
      <c r="V6323" s="2018"/>
      <c r="W6323" s="2018"/>
      <c r="X6323" s="2018"/>
      <c r="Y6323" s="2018"/>
      <c r="Z6323" s="2021"/>
      <c r="AA6323" s="2021"/>
      <c r="AB6323" s="1050"/>
      <c r="AC6323" s="1050"/>
      <c r="AD6323" s="1050"/>
      <c r="AE6323" s="1050"/>
      <c r="AF6323" s="1052"/>
    </row>
    <row r="6324" spans="1:32" ht="15.6" customHeight="1" x14ac:dyDescent="0.25">
      <c r="A6324" s="2017"/>
      <c r="B6324" s="2018"/>
      <c r="C6324" s="2018"/>
      <c r="D6324" s="2018"/>
      <c r="E6324" s="2018"/>
      <c r="F6324" s="2018"/>
      <c r="G6324" s="2018"/>
      <c r="H6324" s="2018"/>
      <c r="I6324" s="2018"/>
      <c r="J6324" s="2018"/>
      <c r="K6324" s="2018"/>
      <c r="L6324" s="2018"/>
      <c r="M6324" s="2018"/>
      <c r="N6324" s="2018"/>
      <c r="O6324" s="2018"/>
      <c r="P6324" s="2018"/>
      <c r="Q6324" s="2018"/>
      <c r="R6324" s="2018"/>
      <c r="S6324" s="2018"/>
      <c r="T6324" s="2018"/>
      <c r="U6324" s="2018"/>
      <c r="V6324" s="2018"/>
      <c r="W6324" s="2018"/>
      <c r="X6324" s="2018"/>
      <c r="Y6324" s="2018"/>
      <c r="Z6324" s="2021"/>
      <c r="AA6324" s="2021"/>
      <c r="AB6324" s="1050"/>
      <c r="AC6324" s="1050"/>
      <c r="AD6324" s="1050"/>
      <c r="AE6324" s="1050"/>
      <c r="AF6324" s="1052"/>
    </row>
    <row r="6325" spans="1:32" ht="15.6" customHeight="1" x14ac:dyDescent="0.25">
      <c r="A6325" s="2017"/>
      <c r="B6325" s="2018"/>
      <c r="C6325" s="2018"/>
      <c r="D6325" s="2018"/>
      <c r="E6325" s="2018"/>
      <c r="F6325" s="2018"/>
      <c r="G6325" s="2018"/>
      <c r="H6325" s="2018"/>
      <c r="I6325" s="2018"/>
      <c r="J6325" s="2018"/>
      <c r="K6325" s="2018"/>
      <c r="L6325" s="2018"/>
      <c r="M6325" s="2018"/>
      <c r="N6325" s="2018"/>
      <c r="O6325" s="2018"/>
      <c r="P6325" s="2018"/>
      <c r="Q6325" s="2018"/>
      <c r="R6325" s="2018"/>
      <c r="S6325" s="2018"/>
      <c r="T6325" s="2018"/>
      <c r="U6325" s="2018"/>
      <c r="V6325" s="2018"/>
      <c r="W6325" s="2018"/>
      <c r="X6325" s="2018"/>
      <c r="Y6325" s="2018"/>
      <c r="Z6325" s="2021"/>
      <c r="AA6325" s="2021"/>
      <c r="AB6325" s="1050"/>
      <c r="AC6325" s="1050"/>
      <c r="AD6325" s="1050"/>
      <c r="AE6325" s="1050"/>
      <c r="AF6325" s="1052"/>
    </row>
    <row r="6326" spans="1:32" ht="15.75" x14ac:dyDescent="0.25">
      <c r="A6326" s="2017"/>
      <c r="B6326" s="2018"/>
      <c r="C6326" s="2018"/>
      <c r="D6326" s="2018"/>
      <c r="E6326" s="2018"/>
      <c r="F6326" s="2018"/>
      <c r="G6326" s="2018"/>
      <c r="H6326" s="2018"/>
      <c r="I6326" s="2018"/>
      <c r="J6326" s="2018"/>
      <c r="K6326" s="2018"/>
      <c r="L6326" s="2018"/>
      <c r="M6326" s="2018"/>
      <c r="N6326" s="2018"/>
      <c r="O6326" s="2018"/>
      <c r="P6326" s="2018"/>
      <c r="Q6326" s="2018"/>
      <c r="R6326" s="2018"/>
      <c r="S6326" s="2018"/>
      <c r="T6326" s="2018"/>
      <c r="U6326" s="2018"/>
      <c r="V6326" s="2018"/>
      <c r="W6326" s="2018"/>
      <c r="X6326" s="2018"/>
      <c r="Y6326" s="2018"/>
      <c r="Z6326" s="2021"/>
      <c r="AA6326" s="2021"/>
      <c r="AB6326" s="1050"/>
      <c r="AC6326" s="1050"/>
      <c r="AD6326" s="1050"/>
      <c r="AE6326" s="1050"/>
      <c r="AF6326" s="1052"/>
    </row>
    <row r="6327" spans="1:32" ht="15.6" customHeight="1" x14ac:dyDescent="0.25">
      <c r="A6327" s="2017"/>
      <c r="B6327" s="2018"/>
      <c r="C6327" s="2018"/>
      <c r="D6327" s="2018"/>
      <c r="E6327" s="2018"/>
      <c r="F6327" s="2018"/>
      <c r="G6327" s="2018"/>
      <c r="H6327" s="2018"/>
      <c r="I6327" s="2018"/>
      <c r="J6327" s="2018"/>
      <c r="K6327" s="2018"/>
      <c r="L6327" s="2018"/>
      <c r="M6327" s="2018"/>
      <c r="N6327" s="2018"/>
      <c r="O6327" s="2018"/>
      <c r="P6327" s="2018"/>
      <c r="Q6327" s="2018"/>
      <c r="R6327" s="2018"/>
      <c r="S6327" s="2018"/>
      <c r="T6327" s="2018"/>
      <c r="U6327" s="2018"/>
      <c r="V6327" s="2018"/>
      <c r="W6327" s="2018"/>
      <c r="X6327" s="2018"/>
      <c r="Y6327" s="2018"/>
      <c r="Z6327" s="2021"/>
      <c r="AA6327" s="2021"/>
      <c r="AB6327" s="1050"/>
      <c r="AC6327" s="1050"/>
      <c r="AD6327" s="1050"/>
      <c r="AE6327" s="1050"/>
      <c r="AF6327" s="1052"/>
    </row>
    <row r="6328" spans="1:32" ht="15.75" x14ac:dyDescent="0.25">
      <c r="A6328" s="2017"/>
      <c r="B6328" s="2018"/>
      <c r="C6328" s="2018"/>
      <c r="D6328" s="2018"/>
      <c r="E6328" s="2018"/>
      <c r="F6328" s="2018"/>
      <c r="G6328" s="2018"/>
      <c r="H6328" s="2018"/>
      <c r="I6328" s="2018"/>
      <c r="J6328" s="2018"/>
      <c r="K6328" s="2018"/>
      <c r="L6328" s="2018"/>
      <c r="M6328" s="2018"/>
      <c r="N6328" s="2018"/>
      <c r="O6328" s="2018"/>
      <c r="P6328" s="2018"/>
      <c r="Q6328" s="2018"/>
      <c r="R6328" s="2018"/>
      <c r="S6328" s="2018"/>
      <c r="T6328" s="2018"/>
      <c r="U6328" s="2018"/>
      <c r="V6328" s="2018"/>
      <c r="W6328" s="2018"/>
      <c r="X6328" s="2018"/>
      <c r="Y6328" s="2018"/>
      <c r="Z6328" s="2021"/>
      <c r="AA6328" s="2021"/>
      <c r="AB6328" s="1050"/>
      <c r="AC6328" s="1050"/>
      <c r="AD6328" s="1050"/>
      <c r="AE6328" s="1050"/>
      <c r="AF6328" s="1052"/>
    </row>
    <row r="6329" spans="1:32" ht="15.75" x14ac:dyDescent="0.25">
      <c r="A6329" s="2017"/>
      <c r="B6329" s="2018"/>
      <c r="C6329" s="2018"/>
      <c r="D6329" s="2018"/>
      <c r="E6329" s="2018"/>
      <c r="F6329" s="2018"/>
      <c r="G6329" s="2018"/>
      <c r="H6329" s="2018"/>
      <c r="I6329" s="2018"/>
      <c r="J6329" s="2018"/>
      <c r="K6329" s="2018"/>
      <c r="L6329" s="2018"/>
      <c r="M6329" s="2018"/>
      <c r="N6329" s="2018"/>
      <c r="O6329" s="2018"/>
      <c r="P6329" s="2018"/>
      <c r="Q6329" s="2018"/>
      <c r="R6329" s="2018"/>
      <c r="S6329" s="2018"/>
      <c r="T6329" s="2018"/>
      <c r="U6329" s="2018"/>
      <c r="V6329" s="2018"/>
      <c r="W6329" s="2018"/>
      <c r="X6329" s="2018"/>
      <c r="Y6329" s="2018"/>
      <c r="Z6329" s="2021"/>
      <c r="AA6329" s="2021"/>
      <c r="AB6329" s="1050"/>
      <c r="AC6329" s="1050"/>
      <c r="AD6329" s="1050"/>
      <c r="AE6329" s="1050"/>
      <c r="AF6329" s="1052"/>
    </row>
    <row r="6330" spans="1:32" ht="15.6" customHeight="1" x14ac:dyDescent="0.25">
      <c r="A6330" s="2017"/>
      <c r="B6330" s="2018"/>
      <c r="C6330" s="2018"/>
      <c r="D6330" s="2018"/>
      <c r="E6330" s="2018"/>
      <c r="F6330" s="2018"/>
      <c r="G6330" s="2018"/>
      <c r="H6330" s="2018"/>
      <c r="I6330" s="2018"/>
      <c r="J6330" s="2018"/>
      <c r="K6330" s="2018"/>
      <c r="L6330" s="2018"/>
      <c r="M6330" s="2018"/>
      <c r="N6330" s="2018"/>
      <c r="O6330" s="2018"/>
      <c r="P6330" s="2018"/>
      <c r="Q6330" s="2018"/>
      <c r="R6330" s="2018"/>
      <c r="S6330" s="2018"/>
      <c r="T6330" s="2018"/>
      <c r="U6330" s="2018"/>
      <c r="V6330" s="2018"/>
      <c r="W6330" s="2018"/>
      <c r="X6330" s="2018"/>
      <c r="Y6330" s="2018"/>
      <c r="Z6330" s="2021"/>
      <c r="AA6330" s="2021"/>
      <c r="AB6330" s="1050"/>
      <c r="AC6330" s="1050"/>
      <c r="AD6330" s="1050"/>
      <c r="AE6330" s="1050"/>
      <c r="AF6330" s="1052"/>
    </row>
    <row r="6331" spans="1:32" ht="15.75" x14ac:dyDescent="0.25">
      <c r="A6331" s="2017"/>
      <c r="B6331" s="2018"/>
      <c r="C6331" s="2018"/>
      <c r="D6331" s="2018"/>
      <c r="E6331" s="2018"/>
      <c r="F6331" s="2018"/>
      <c r="G6331" s="2018"/>
      <c r="H6331" s="2018"/>
      <c r="I6331" s="2018"/>
      <c r="J6331" s="2018"/>
      <c r="K6331" s="2018"/>
      <c r="L6331" s="2018"/>
      <c r="M6331" s="2018"/>
      <c r="N6331" s="2018"/>
      <c r="O6331" s="2018"/>
      <c r="P6331" s="2018"/>
      <c r="Q6331" s="2018"/>
      <c r="R6331" s="2018"/>
      <c r="S6331" s="2018"/>
      <c r="T6331" s="2018"/>
      <c r="U6331" s="2018"/>
      <c r="V6331" s="2018"/>
      <c r="W6331" s="2018"/>
      <c r="X6331" s="2018"/>
      <c r="Y6331" s="2018"/>
      <c r="Z6331" s="2022"/>
      <c r="AA6331" s="2022"/>
      <c r="AB6331" s="1050"/>
      <c r="AC6331" s="1050"/>
      <c r="AD6331" s="1050"/>
      <c r="AE6331" s="1050"/>
      <c r="AF6331" s="1052"/>
    </row>
    <row r="6332" spans="1:32" ht="15.75" x14ac:dyDescent="0.25">
      <c r="A6332" s="2017"/>
      <c r="B6332" s="2018"/>
      <c r="C6332" s="2018"/>
      <c r="D6332" s="2018"/>
      <c r="E6332" s="2018"/>
      <c r="F6332" s="2018"/>
      <c r="G6332" s="2018"/>
      <c r="H6332" s="2018"/>
      <c r="I6332" s="2018"/>
      <c r="J6332" s="2018"/>
      <c r="K6332" s="2018"/>
      <c r="L6332" s="2018"/>
      <c r="M6332" s="2018"/>
      <c r="N6332" s="2018"/>
      <c r="O6332" s="2018"/>
      <c r="P6332" s="2018"/>
      <c r="Q6332" s="2018"/>
      <c r="R6332" s="2018"/>
      <c r="S6332" s="2018"/>
      <c r="T6332" s="2018"/>
      <c r="U6332" s="2018"/>
      <c r="V6332" s="2018"/>
      <c r="W6332" s="2018"/>
      <c r="X6332" s="2018"/>
      <c r="Y6332" s="2018"/>
      <c r="Z6332" s="2022"/>
      <c r="AA6332" s="2022"/>
      <c r="AB6332" s="1050"/>
      <c r="AC6332" s="1050"/>
      <c r="AD6332" s="1050"/>
      <c r="AE6332" s="1050"/>
      <c r="AF6332" s="1052"/>
    </row>
    <row r="6333" spans="1:32" ht="15.75" x14ac:dyDescent="0.25">
      <c r="A6333" s="2017"/>
      <c r="B6333" s="2018"/>
      <c r="C6333" s="2018"/>
      <c r="D6333" s="2018"/>
      <c r="E6333" s="2018"/>
      <c r="F6333" s="2018"/>
      <c r="G6333" s="2018"/>
      <c r="H6333" s="2018"/>
      <c r="I6333" s="2018"/>
      <c r="J6333" s="2018"/>
      <c r="K6333" s="2018"/>
      <c r="L6333" s="2018"/>
      <c r="M6333" s="2018"/>
      <c r="N6333" s="2018"/>
      <c r="O6333" s="2018"/>
      <c r="P6333" s="2018"/>
      <c r="Q6333" s="2018"/>
      <c r="R6333" s="2018"/>
      <c r="S6333" s="2018"/>
      <c r="T6333" s="2018"/>
      <c r="U6333" s="2018"/>
      <c r="V6333" s="2018"/>
      <c r="W6333" s="2018"/>
      <c r="X6333" s="2018"/>
      <c r="Y6333" s="2018"/>
      <c r="Z6333" s="2022"/>
      <c r="AA6333" s="2022"/>
      <c r="AB6333" s="1050"/>
      <c r="AC6333" s="1050"/>
      <c r="AD6333" s="1050"/>
      <c r="AE6333" s="1050"/>
      <c r="AF6333" s="1052"/>
    </row>
    <row r="6334" spans="1:32" ht="15.6" customHeight="1" x14ac:dyDescent="0.25">
      <c r="A6334" s="2017"/>
      <c r="B6334" s="2018"/>
      <c r="C6334" s="2018"/>
      <c r="D6334" s="2018"/>
      <c r="E6334" s="2018"/>
      <c r="F6334" s="2018"/>
      <c r="G6334" s="2018"/>
      <c r="H6334" s="2018"/>
      <c r="I6334" s="2018"/>
      <c r="J6334" s="2018"/>
      <c r="K6334" s="2018"/>
      <c r="L6334" s="2018"/>
      <c r="M6334" s="2018"/>
      <c r="N6334" s="2018"/>
      <c r="O6334" s="2018"/>
      <c r="P6334" s="2018"/>
      <c r="Q6334" s="2018"/>
      <c r="R6334" s="2018"/>
      <c r="S6334" s="2018"/>
      <c r="T6334" s="2018"/>
      <c r="U6334" s="2018"/>
      <c r="V6334" s="2018"/>
      <c r="W6334" s="2018"/>
      <c r="X6334" s="2018"/>
      <c r="Y6334" s="2018"/>
      <c r="Z6334" s="2022"/>
      <c r="AA6334" s="2022"/>
      <c r="AB6334" s="1050"/>
      <c r="AC6334" s="1050"/>
      <c r="AD6334" s="1050"/>
      <c r="AE6334" s="1050"/>
      <c r="AF6334" s="1052"/>
    </row>
    <row r="6335" spans="1:32" ht="15.75" x14ac:dyDescent="0.25">
      <c r="A6335" s="2017"/>
      <c r="B6335" s="2018"/>
      <c r="C6335" s="2018"/>
      <c r="D6335" s="2018"/>
      <c r="E6335" s="2018"/>
      <c r="F6335" s="2018"/>
      <c r="G6335" s="2018"/>
      <c r="H6335" s="2018"/>
      <c r="I6335" s="2018"/>
      <c r="J6335" s="2018"/>
      <c r="K6335" s="2018"/>
      <c r="L6335" s="2018"/>
      <c r="M6335" s="2018"/>
      <c r="N6335" s="2018"/>
      <c r="O6335" s="2018"/>
      <c r="P6335" s="2018"/>
      <c r="Q6335" s="2018"/>
      <c r="R6335" s="2018"/>
      <c r="S6335" s="2018"/>
      <c r="T6335" s="2018"/>
      <c r="U6335" s="2018"/>
      <c r="V6335" s="2018"/>
      <c r="W6335" s="2018"/>
      <c r="X6335" s="2018"/>
      <c r="Y6335" s="2018"/>
      <c r="Z6335" s="2022"/>
      <c r="AA6335" s="2022"/>
      <c r="AB6335" s="1050"/>
      <c r="AC6335" s="1050"/>
      <c r="AD6335" s="1050"/>
      <c r="AE6335" s="1050"/>
      <c r="AF6335" s="1052"/>
    </row>
    <row r="6336" spans="1:32" ht="15.75" x14ac:dyDescent="0.25">
      <c r="A6336" s="2017"/>
      <c r="B6336" s="2018"/>
      <c r="C6336" s="2018"/>
      <c r="D6336" s="2018"/>
      <c r="E6336" s="2018"/>
      <c r="F6336" s="2018"/>
      <c r="G6336" s="2018"/>
      <c r="H6336" s="2018"/>
      <c r="I6336" s="2018"/>
      <c r="J6336" s="2018"/>
      <c r="K6336" s="2018"/>
      <c r="L6336" s="2018"/>
      <c r="M6336" s="2018"/>
      <c r="N6336" s="2018"/>
      <c r="O6336" s="2018"/>
      <c r="P6336" s="2018"/>
      <c r="Q6336" s="2018"/>
      <c r="R6336" s="2018"/>
      <c r="S6336" s="2018"/>
      <c r="T6336" s="2018"/>
      <c r="U6336" s="2018"/>
      <c r="V6336" s="2018"/>
      <c r="W6336" s="2018"/>
      <c r="X6336" s="2018"/>
      <c r="Y6336" s="2018"/>
      <c r="Z6336" s="2022"/>
      <c r="AA6336" s="2022"/>
      <c r="AB6336" s="1050"/>
      <c r="AC6336" s="1050"/>
      <c r="AD6336" s="1050"/>
      <c r="AE6336" s="1050"/>
      <c r="AF6336" s="1052"/>
    </row>
    <row r="6337" spans="1:32" ht="15.75" x14ac:dyDescent="0.25">
      <c r="A6337" s="2017"/>
      <c r="B6337" s="2018"/>
      <c r="C6337" s="2018"/>
      <c r="D6337" s="2018"/>
      <c r="E6337" s="2018"/>
      <c r="F6337" s="2018"/>
      <c r="G6337" s="2018"/>
      <c r="H6337" s="2018"/>
      <c r="I6337" s="2018"/>
      <c r="J6337" s="2018"/>
      <c r="K6337" s="2018"/>
      <c r="L6337" s="2018"/>
      <c r="M6337" s="2018"/>
      <c r="N6337" s="2018"/>
      <c r="O6337" s="2018"/>
      <c r="P6337" s="2018"/>
      <c r="Q6337" s="2018"/>
      <c r="R6337" s="2018"/>
      <c r="S6337" s="2018"/>
      <c r="T6337" s="2018"/>
      <c r="U6337" s="2018"/>
      <c r="V6337" s="2018"/>
      <c r="W6337" s="2018"/>
      <c r="X6337" s="2018"/>
      <c r="Y6337" s="2018"/>
      <c r="Z6337" s="2022"/>
      <c r="AA6337" s="2022"/>
      <c r="AB6337" s="1050"/>
      <c r="AC6337" s="1050"/>
      <c r="AD6337" s="1050"/>
      <c r="AE6337" s="1050"/>
      <c r="AF6337" s="1052"/>
    </row>
    <row r="6338" spans="1:32" ht="15.75" x14ac:dyDescent="0.25">
      <c r="A6338" s="2017"/>
      <c r="B6338" s="2018"/>
      <c r="C6338" s="2018"/>
      <c r="D6338" s="2018"/>
      <c r="E6338" s="2018"/>
      <c r="F6338" s="2018"/>
      <c r="G6338" s="2018"/>
      <c r="H6338" s="2018"/>
      <c r="I6338" s="2018"/>
      <c r="J6338" s="2018"/>
      <c r="K6338" s="2018"/>
      <c r="L6338" s="2018"/>
      <c r="M6338" s="2018"/>
      <c r="N6338" s="2018"/>
      <c r="O6338" s="2018"/>
      <c r="P6338" s="2018"/>
      <c r="Q6338" s="2018"/>
      <c r="R6338" s="2018"/>
      <c r="S6338" s="2018"/>
      <c r="T6338" s="2018"/>
      <c r="U6338" s="2018"/>
      <c r="V6338" s="2018"/>
      <c r="W6338" s="2018"/>
      <c r="X6338" s="2018"/>
      <c r="Y6338" s="2018"/>
      <c r="Z6338" s="2022"/>
      <c r="AA6338" s="2022"/>
      <c r="AB6338" s="1050"/>
      <c r="AC6338" s="1050"/>
      <c r="AD6338" s="1050"/>
      <c r="AE6338" s="1050"/>
      <c r="AF6338" s="1052"/>
    </row>
    <row r="6339" spans="1:32" ht="15.75" x14ac:dyDescent="0.25">
      <c r="A6339" s="2017"/>
      <c r="B6339" s="2018"/>
      <c r="C6339" s="2018"/>
      <c r="D6339" s="2018"/>
      <c r="E6339" s="2018"/>
      <c r="F6339" s="2018"/>
      <c r="G6339" s="2018"/>
      <c r="H6339" s="2018"/>
      <c r="I6339" s="2018"/>
      <c r="J6339" s="2018"/>
      <c r="K6339" s="2018"/>
      <c r="L6339" s="2018"/>
      <c r="M6339" s="2018"/>
      <c r="N6339" s="2018"/>
      <c r="O6339" s="2018"/>
      <c r="P6339" s="2018"/>
      <c r="Q6339" s="2018"/>
      <c r="R6339" s="2018"/>
      <c r="S6339" s="2018"/>
      <c r="T6339" s="2018"/>
      <c r="U6339" s="2018"/>
      <c r="V6339" s="2018"/>
      <c r="W6339" s="2018"/>
      <c r="X6339" s="2018"/>
      <c r="Y6339" s="2018"/>
      <c r="Z6339" s="2022"/>
      <c r="AA6339" s="2022"/>
      <c r="AB6339" s="1050"/>
      <c r="AC6339" s="1050"/>
      <c r="AD6339" s="1050"/>
      <c r="AE6339" s="1050"/>
      <c r="AF6339" s="1052"/>
    </row>
    <row r="6340" spans="1:32" ht="15.75" x14ac:dyDescent="0.25">
      <c r="A6340" s="2017"/>
      <c r="B6340" s="2018"/>
      <c r="C6340" s="2018"/>
      <c r="D6340" s="2018"/>
      <c r="E6340" s="2018"/>
      <c r="F6340" s="2018"/>
      <c r="G6340" s="2018"/>
      <c r="H6340" s="2018"/>
      <c r="I6340" s="2018"/>
      <c r="J6340" s="2018"/>
      <c r="K6340" s="2018"/>
      <c r="L6340" s="2018"/>
      <c r="M6340" s="2018"/>
      <c r="N6340" s="2018"/>
      <c r="O6340" s="2018"/>
      <c r="P6340" s="2018"/>
      <c r="Q6340" s="2018"/>
      <c r="R6340" s="2018"/>
      <c r="S6340" s="2018"/>
      <c r="T6340" s="2018"/>
      <c r="U6340" s="2018"/>
      <c r="V6340" s="2018"/>
      <c r="W6340" s="2018"/>
      <c r="X6340" s="2018"/>
      <c r="Y6340" s="2018"/>
      <c r="Z6340" s="2023"/>
      <c r="AA6340" s="2023"/>
      <c r="AB6340" s="1050"/>
      <c r="AC6340" s="1050"/>
      <c r="AD6340" s="1050"/>
      <c r="AE6340" s="1050"/>
      <c r="AF6340" s="1052"/>
    </row>
    <row r="6341" spans="1:32" ht="15.75" x14ac:dyDescent="0.25">
      <c r="A6341" s="2017"/>
      <c r="B6341" s="2018"/>
      <c r="C6341" s="2018"/>
      <c r="D6341" s="2018"/>
      <c r="E6341" s="2018"/>
      <c r="F6341" s="2018"/>
      <c r="G6341" s="2018"/>
      <c r="H6341" s="2018"/>
      <c r="I6341" s="2018"/>
      <c r="J6341" s="2018"/>
      <c r="K6341" s="2018"/>
      <c r="L6341" s="2018"/>
      <c r="M6341" s="2018"/>
      <c r="N6341" s="2018"/>
      <c r="O6341" s="2018"/>
      <c r="P6341" s="2018"/>
      <c r="Q6341" s="2018"/>
      <c r="R6341" s="2018"/>
      <c r="S6341" s="2018"/>
      <c r="T6341" s="2018"/>
      <c r="U6341" s="2018"/>
      <c r="V6341" s="2018"/>
      <c r="W6341" s="2018"/>
      <c r="X6341" s="2018"/>
      <c r="Y6341" s="2018"/>
      <c r="Z6341" s="2023"/>
      <c r="AA6341" s="2023"/>
      <c r="AB6341" s="1050"/>
      <c r="AC6341" s="1050"/>
      <c r="AD6341" s="1050"/>
      <c r="AE6341" s="1050"/>
      <c r="AF6341" s="1052"/>
    </row>
    <row r="6342" spans="1:32" ht="15.75" x14ac:dyDescent="0.25">
      <c r="A6342" s="2017"/>
      <c r="B6342" s="2018"/>
      <c r="C6342" s="2018"/>
      <c r="D6342" s="2018"/>
      <c r="E6342" s="2018"/>
      <c r="F6342" s="2018"/>
      <c r="G6342" s="2018"/>
      <c r="H6342" s="2018"/>
      <c r="I6342" s="2018"/>
      <c r="J6342" s="2018"/>
      <c r="K6342" s="2018"/>
      <c r="L6342" s="2018"/>
      <c r="M6342" s="2018"/>
      <c r="N6342" s="2018"/>
      <c r="O6342" s="2018"/>
      <c r="P6342" s="2018"/>
      <c r="Q6342" s="2018"/>
      <c r="R6342" s="2018"/>
      <c r="S6342" s="2018"/>
      <c r="T6342" s="2018"/>
      <c r="U6342" s="2018"/>
      <c r="V6342" s="2018"/>
      <c r="W6342" s="2018"/>
      <c r="X6342" s="2018"/>
      <c r="Y6342" s="2018"/>
      <c r="Z6342" s="2023"/>
      <c r="AA6342" s="2023"/>
      <c r="AB6342" s="1050"/>
      <c r="AC6342" s="1050"/>
      <c r="AD6342" s="1050"/>
      <c r="AE6342" s="1050"/>
      <c r="AF6342" s="1052"/>
    </row>
    <row r="6343" spans="1:32" ht="15.75" x14ac:dyDescent="0.25">
      <c r="A6343" s="2017"/>
      <c r="B6343" s="2018"/>
      <c r="C6343" s="2018"/>
      <c r="D6343" s="2018"/>
      <c r="E6343" s="2018"/>
      <c r="F6343" s="2018"/>
      <c r="G6343" s="2018"/>
      <c r="H6343" s="2018"/>
      <c r="I6343" s="2018"/>
      <c r="J6343" s="2018"/>
      <c r="K6343" s="2018"/>
      <c r="L6343" s="2018"/>
      <c r="M6343" s="2018"/>
      <c r="N6343" s="2018"/>
      <c r="O6343" s="2018"/>
      <c r="P6343" s="2018"/>
      <c r="Q6343" s="2018"/>
      <c r="R6343" s="2018"/>
      <c r="S6343" s="2018"/>
      <c r="T6343" s="2018"/>
      <c r="U6343" s="2018"/>
      <c r="V6343" s="2018"/>
      <c r="W6343" s="2018"/>
      <c r="X6343" s="2018"/>
      <c r="Y6343" s="2018"/>
      <c r="Z6343" s="2023"/>
      <c r="AA6343" s="2023"/>
      <c r="AB6343" s="1050"/>
      <c r="AC6343" s="1050"/>
      <c r="AD6343" s="1050"/>
      <c r="AE6343" s="1050"/>
      <c r="AF6343" s="1052"/>
    </row>
    <row r="6344" spans="1:32" ht="15.75" x14ac:dyDescent="0.25">
      <c r="A6344" s="2017"/>
      <c r="B6344" s="2018"/>
      <c r="C6344" s="2018"/>
      <c r="D6344" s="2018"/>
      <c r="E6344" s="2018"/>
      <c r="F6344" s="2018"/>
      <c r="G6344" s="2018"/>
      <c r="H6344" s="2018"/>
      <c r="I6344" s="2018"/>
      <c r="J6344" s="2018"/>
      <c r="K6344" s="2018"/>
      <c r="L6344" s="2018"/>
      <c r="M6344" s="2018"/>
      <c r="N6344" s="2018"/>
      <c r="O6344" s="2018"/>
      <c r="P6344" s="2018"/>
      <c r="Q6344" s="2018"/>
      <c r="R6344" s="2018"/>
      <c r="S6344" s="2018"/>
      <c r="T6344" s="2018"/>
      <c r="U6344" s="2018"/>
      <c r="V6344" s="2018"/>
      <c r="W6344" s="2018"/>
      <c r="X6344" s="2018"/>
      <c r="Y6344" s="2018"/>
      <c r="Z6344" s="2023"/>
      <c r="AA6344" s="2023"/>
      <c r="AB6344" s="1050"/>
      <c r="AC6344" s="1050"/>
      <c r="AD6344" s="1050"/>
      <c r="AE6344" s="1050"/>
      <c r="AF6344" s="1052"/>
    </row>
    <row r="6345" spans="1:32" ht="15.75" x14ac:dyDescent="0.25">
      <c r="A6345" s="2017"/>
      <c r="B6345" s="2018"/>
      <c r="C6345" s="2018"/>
      <c r="D6345" s="2018"/>
      <c r="E6345" s="2018"/>
      <c r="F6345" s="2018"/>
      <c r="G6345" s="2018"/>
      <c r="H6345" s="2018"/>
      <c r="I6345" s="2018"/>
      <c r="J6345" s="2018"/>
      <c r="K6345" s="2018"/>
      <c r="L6345" s="2018"/>
      <c r="M6345" s="2018"/>
      <c r="N6345" s="2018"/>
      <c r="O6345" s="2018"/>
      <c r="P6345" s="2018"/>
      <c r="Q6345" s="2018"/>
      <c r="R6345" s="2018"/>
      <c r="S6345" s="2018"/>
      <c r="T6345" s="2018"/>
      <c r="U6345" s="2018"/>
      <c r="V6345" s="2018"/>
      <c r="W6345" s="2018"/>
      <c r="X6345" s="2018"/>
      <c r="Y6345" s="2018"/>
      <c r="Z6345" s="2023"/>
      <c r="AA6345" s="2023"/>
      <c r="AB6345" s="1050"/>
      <c r="AC6345" s="1050"/>
      <c r="AD6345" s="1050"/>
      <c r="AE6345" s="1050"/>
      <c r="AF6345" s="1052"/>
    </row>
    <row r="6346" spans="1:32" ht="16.5" thickBot="1" x14ac:dyDescent="0.3">
      <c r="A6346" s="2019"/>
      <c r="B6346" s="2020"/>
      <c r="C6346" s="2020"/>
      <c r="D6346" s="2020"/>
      <c r="E6346" s="2020"/>
      <c r="F6346" s="2020"/>
      <c r="G6346" s="2020"/>
      <c r="H6346" s="2020"/>
      <c r="I6346" s="2020"/>
      <c r="J6346" s="2020"/>
      <c r="K6346" s="2020"/>
      <c r="L6346" s="2020"/>
      <c r="M6346" s="2020"/>
      <c r="N6346" s="2020"/>
      <c r="O6346" s="2020"/>
      <c r="P6346" s="2020"/>
      <c r="Q6346" s="2020"/>
      <c r="R6346" s="2020"/>
      <c r="S6346" s="2020"/>
      <c r="T6346" s="2020"/>
      <c r="U6346" s="2020"/>
      <c r="V6346" s="2020"/>
      <c r="W6346" s="2020"/>
      <c r="X6346" s="2020"/>
      <c r="Y6346" s="2020"/>
      <c r="Z6346" s="2024"/>
      <c r="AA6346" s="2024"/>
      <c r="AB6346" s="1057"/>
      <c r="AC6346" s="1057"/>
      <c r="AD6346" s="1057"/>
      <c r="AE6346" s="1057"/>
      <c r="AF6346" s="1058"/>
    </row>
    <row r="6347" spans="1:32" ht="15.75" x14ac:dyDescent="0.25">
      <c r="A6347" s="2009" t="s">
        <v>1855</v>
      </c>
      <c r="B6347" s="2010"/>
      <c r="C6347" s="2010"/>
      <c r="D6347" s="2010"/>
      <c r="E6347" s="2010"/>
      <c r="F6347" s="2010"/>
      <c r="G6347" s="2010"/>
      <c r="H6347" s="2010"/>
      <c r="I6347" s="2010"/>
      <c r="J6347" s="2010"/>
      <c r="K6347" s="2010"/>
      <c r="L6347" s="2010"/>
      <c r="M6347" s="2010"/>
      <c r="N6347" s="2010"/>
      <c r="O6347" s="2010"/>
      <c r="P6347" s="2010"/>
      <c r="Q6347" s="2010"/>
      <c r="R6347" s="2010"/>
      <c r="S6347" s="2010"/>
      <c r="T6347" s="2010"/>
      <c r="U6347" s="2010"/>
      <c r="V6347" s="2010"/>
      <c r="W6347" s="2010"/>
      <c r="X6347" s="2010"/>
      <c r="Y6347" s="2010"/>
      <c r="Z6347" s="2013" t="s">
        <v>1850</v>
      </c>
      <c r="AA6347" s="2013"/>
      <c r="AB6347" s="2013"/>
      <c r="AC6347" s="2013"/>
      <c r="AD6347" s="2013"/>
      <c r="AE6347" s="2013"/>
      <c r="AF6347" s="1059">
        <f>SUM(AF6323:AF6346)</f>
        <v>0</v>
      </c>
    </row>
    <row r="6348" spans="1:32" ht="15.75" x14ac:dyDescent="0.25">
      <c r="A6348" s="2011"/>
      <c r="B6348" s="2012"/>
      <c r="C6348" s="2012"/>
      <c r="D6348" s="2012"/>
      <c r="E6348" s="2012"/>
      <c r="F6348" s="2012"/>
      <c r="G6348" s="2012"/>
      <c r="H6348" s="2012"/>
      <c r="I6348" s="2012"/>
      <c r="J6348" s="2012"/>
      <c r="K6348" s="2012"/>
      <c r="L6348" s="2012"/>
      <c r="M6348" s="2012"/>
      <c r="N6348" s="2012"/>
      <c r="O6348" s="2012"/>
      <c r="P6348" s="2012"/>
      <c r="Q6348" s="2012"/>
      <c r="R6348" s="2012"/>
      <c r="S6348" s="2012"/>
      <c r="T6348" s="2012"/>
      <c r="U6348" s="2012"/>
      <c r="V6348" s="2012"/>
      <c r="W6348" s="2012"/>
      <c r="X6348" s="2012"/>
      <c r="Y6348" s="2012"/>
      <c r="Z6348" s="2014" t="s">
        <v>1851</v>
      </c>
      <c r="AA6348" s="2014"/>
      <c r="AB6348" s="2014"/>
      <c r="AC6348" s="2014"/>
      <c r="AD6348" s="2014"/>
      <c r="AE6348" s="2014"/>
      <c r="AF6348" s="1060">
        <v>0</v>
      </c>
    </row>
    <row r="6349" spans="1:32" ht="15.75" x14ac:dyDescent="0.25">
      <c r="A6349" s="2011"/>
      <c r="B6349" s="2012"/>
      <c r="C6349" s="2012"/>
      <c r="D6349" s="2012"/>
      <c r="E6349" s="2012"/>
      <c r="F6349" s="2012"/>
      <c r="G6349" s="2012"/>
      <c r="H6349" s="2012"/>
      <c r="I6349" s="2012"/>
      <c r="J6349" s="2012"/>
      <c r="K6349" s="2012"/>
      <c r="L6349" s="2012"/>
      <c r="M6349" s="2012"/>
      <c r="N6349" s="2012"/>
      <c r="O6349" s="2012"/>
      <c r="P6349" s="2012"/>
      <c r="Q6349" s="2012"/>
      <c r="R6349" s="2012"/>
      <c r="S6349" s="2012"/>
      <c r="T6349" s="2012"/>
      <c r="U6349" s="2012"/>
      <c r="V6349" s="2012"/>
      <c r="W6349" s="2012"/>
      <c r="X6349" s="2012"/>
      <c r="Y6349" s="2012"/>
      <c r="Z6349" s="2015" t="s">
        <v>1833</v>
      </c>
      <c r="AA6349" s="2015"/>
      <c r="AB6349" s="2015"/>
      <c r="AC6349" s="2015"/>
      <c r="AD6349" s="2015"/>
      <c r="AE6349" s="2015"/>
      <c r="AF6349" s="1061">
        <f>SUM(AF6347:AF6348)</f>
        <v>0</v>
      </c>
    </row>
    <row r="6350" spans="1:32" x14ac:dyDescent="0.2">
      <c r="A6350" s="2012" t="s">
        <v>1859</v>
      </c>
      <c r="B6350" s="2012"/>
      <c r="C6350" s="2012"/>
      <c r="D6350" s="2012"/>
      <c r="E6350" s="2012"/>
      <c r="F6350" s="2012"/>
      <c r="G6350" s="2012"/>
      <c r="H6350" s="2012"/>
      <c r="I6350" s="2012"/>
      <c r="J6350" s="2012"/>
      <c r="K6350" s="2012"/>
      <c r="L6350" s="2012"/>
      <c r="M6350" s="2012"/>
      <c r="N6350" s="2012"/>
      <c r="O6350" s="2012"/>
      <c r="P6350" s="2012"/>
      <c r="Q6350" s="2012"/>
      <c r="R6350" s="2012"/>
      <c r="S6350" s="2012"/>
      <c r="T6350" s="2016" t="s">
        <v>1840</v>
      </c>
      <c r="U6350" s="2016"/>
      <c r="V6350" s="2016"/>
      <c r="W6350" s="2016"/>
      <c r="X6350" s="2016"/>
      <c r="Y6350" s="2016"/>
      <c r="Z6350" s="2016"/>
      <c r="AA6350" s="2016"/>
      <c r="AB6350" s="2012" t="s">
        <v>1852</v>
      </c>
      <c r="AC6350" s="2012"/>
      <c r="AD6350" s="2012"/>
      <c r="AE6350" s="2012"/>
      <c r="AF6350" s="2012"/>
    </row>
    <row r="6351" spans="1:32" x14ac:dyDescent="0.2">
      <c r="A6351" s="2012"/>
      <c r="B6351" s="2012"/>
      <c r="C6351" s="2012"/>
      <c r="D6351" s="2012"/>
      <c r="E6351" s="2012"/>
      <c r="F6351" s="2012"/>
      <c r="G6351" s="2012"/>
      <c r="H6351" s="2012"/>
      <c r="I6351" s="2012"/>
      <c r="J6351" s="2012"/>
      <c r="K6351" s="2012"/>
      <c r="L6351" s="2012"/>
      <c r="M6351" s="2012"/>
      <c r="N6351" s="2012"/>
      <c r="O6351" s="2012"/>
      <c r="P6351" s="2012"/>
      <c r="Q6351" s="2012"/>
      <c r="R6351" s="2012"/>
      <c r="S6351" s="2012"/>
      <c r="T6351" s="2016"/>
      <c r="U6351" s="2016"/>
      <c r="V6351" s="2016"/>
      <c r="W6351" s="2016"/>
      <c r="X6351" s="2016"/>
      <c r="Y6351" s="2016"/>
      <c r="Z6351" s="2016"/>
      <c r="AA6351" s="2016"/>
      <c r="AB6351" s="2012"/>
      <c r="AC6351" s="2012"/>
      <c r="AD6351" s="2012"/>
      <c r="AE6351" s="2012"/>
      <c r="AF6351" s="2012"/>
    </row>
  </sheetData>
  <mergeCells count="7846">
    <mergeCell ref="A5978:Y5980"/>
    <mergeCell ref="Z5978:AE5978"/>
    <mergeCell ref="Z5979:AE5979"/>
    <mergeCell ref="Z5980:AE5980"/>
    <mergeCell ref="A5981:S5982"/>
    <mergeCell ref="T5981:AA5982"/>
    <mergeCell ref="AB5981:AF5982"/>
    <mergeCell ref="A5954:Y5977"/>
    <mergeCell ref="Z5954:AA5954"/>
    <mergeCell ref="Z5955:AA5955"/>
    <mergeCell ref="Z5956:AA5956"/>
    <mergeCell ref="Z5957:AA5957"/>
    <mergeCell ref="Z5958:AA5958"/>
    <mergeCell ref="Z5959:AA5959"/>
    <mergeCell ref="Z5960:AA5960"/>
    <mergeCell ref="Z5961:AA5961"/>
    <mergeCell ref="Z5962:AA5962"/>
    <mergeCell ref="Z5963:AA5963"/>
    <mergeCell ref="Z5964:AA5964"/>
    <mergeCell ref="Z5965:AA5965"/>
    <mergeCell ref="Z5966:AA5966"/>
    <mergeCell ref="Z5967:AA5967"/>
    <mergeCell ref="Z5968:AA5968"/>
    <mergeCell ref="Z5969:AA5969"/>
    <mergeCell ref="Z5970:AA5970"/>
    <mergeCell ref="Z5971:AA5971"/>
    <mergeCell ref="Z5972:AA5972"/>
    <mergeCell ref="Z5973:AA5973"/>
    <mergeCell ref="Z5974:AA5974"/>
    <mergeCell ref="Z5975:AA5975"/>
    <mergeCell ref="Z5976:AA5976"/>
    <mergeCell ref="Z5977:AA5977"/>
    <mergeCell ref="A5937:Y5939"/>
    <mergeCell ref="Z5937:AE5937"/>
    <mergeCell ref="Z5938:AE5938"/>
    <mergeCell ref="Z5939:AE5939"/>
    <mergeCell ref="A5940:S5941"/>
    <mergeCell ref="T5940:AA5941"/>
    <mergeCell ref="AB5940:AF5941"/>
    <mergeCell ref="A5943:AD5944"/>
    <mergeCell ref="A5945:D5946"/>
    <mergeCell ref="E5945:AD5946"/>
    <mergeCell ref="A5947:AD5947"/>
    <mergeCell ref="AE5947:AF5947"/>
    <mergeCell ref="A5948:AD5948"/>
    <mergeCell ref="AE5948:AF5948"/>
    <mergeCell ref="A5949:AD5949"/>
    <mergeCell ref="AE5949:AF5949"/>
    <mergeCell ref="A5951:E5951"/>
    <mergeCell ref="F5951:Y5951"/>
    <mergeCell ref="Z5951:AA5953"/>
    <mergeCell ref="AB5951:AD5952"/>
    <mergeCell ref="AE5951:AE5953"/>
    <mergeCell ref="AF5951:AF5953"/>
    <mergeCell ref="A5952:C5953"/>
    <mergeCell ref="D5952:S5953"/>
    <mergeCell ref="T5952:W5953"/>
    <mergeCell ref="X5952:Y5953"/>
    <mergeCell ref="A5913:Y5936"/>
    <mergeCell ref="Z5913:AA5913"/>
    <mergeCell ref="Z5914:AA5914"/>
    <mergeCell ref="Z5915:AA5915"/>
    <mergeCell ref="Z5916:AA5916"/>
    <mergeCell ref="Z5917:AA5917"/>
    <mergeCell ref="Z5918:AA5918"/>
    <mergeCell ref="Z5919:AA5919"/>
    <mergeCell ref="Z5920:AA5920"/>
    <mergeCell ref="Z5921:AA5921"/>
    <mergeCell ref="Z5922:AA5922"/>
    <mergeCell ref="Z5923:AA5923"/>
    <mergeCell ref="Z5924:AA5924"/>
    <mergeCell ref="Z5925:AA5925"/>
    <mergeCell ref="Z5926:AA5926"/>
    <mergeCell ref="Z5927:AA5927"/>
    <mergeCell ref="Z5928:AA5928"/>
    <mergeCell ref="Z5929:AA5929"/>
    <mergeCell ref="Z5930:AA5930"/>
    <mergeCell ref="Z5931:AA5931"/>
    <mergeCell ref="Z5932:AA5932"/>
    <mergeCell ref="Z5933:AA5933"/>
    <mergeCell ref="Z5934:AA5934"/>
    <mergeCell ref="Z5935:AA5935"/>
    <mergeCell ref="Z5936:AA5936"/>
    <mergeCell ref="A5896:Y5898"/>
    <mergeCell ref="Z5896:AE5896"/>
    <mergeCell ref="Z5897:AE5897"/>
    <mergeCell ref="Z5898:AE5898"/>
    <mergeCell ref="A5899:S5900"/>
    <mergeCell ref="T5899:AA5900"/>
    <mergeCell ref="AB5899:AF5900"/>
    <mergeCell ref="A5902:AD5903"/>
    <mergeCell ref="A5904:D5905"/>
    <mergeCell ref="E5904:AD5905"/>
    <mergeCell ref="A5906:AD5906"/>
    <mergeCell ref="AE5906:AF5906"/>
    <mergeCell ref="A5907:AD5907"/>
    <mergeCell ref="AE5907:AF5907"/>
    <mergeCell ref="A5908:AD5908"/>
    <mergeCell ref="AE5908:AF5908"/>
    <mergeCell ref="A5910:E5910"/>
    <mergeCell ref="F5910:Y5910"/>
    <mergeCell ref="Z5910:AA5912"/>
    <mergeCell ref="AB5910:AD5911"/>
    <mergeCell ref="AE5910:AE5912"/>
    <mergeCell ref="AF5910:AF5912"/>
    <mergeCell ref="A5911:C5912"/>
    <mergeCell ref="D5911:S5912"/>
    <mergeCell ref="T5911:W5912"/>
    <mergeCell ref="X5911:Y5912"/>
    <mergeCell ref="A5872:Y5895"/>
    <mergeCell ref="Z5872:AA5872"/>
    <mergeCell ref="Z5873:AA5873"/>
    <mergeCell ref="Z5874:AA5874"/>
    <mergeCell ref="Z5875:AA5875"/>
    <mergeCell ref="Z5876:AA5876"/>
    <mergeCell ref="Z5877:AA5877"/>
    <mergeCell ref="Z5878:AA5878"/>
    <mergeCell ref="Z5879:AA5879"/>
    <mergeCell ref="Z5880:AA5880"/>
    <mergeCell ref="Z5881:AA5881"/>
    <mergeCell ref="Z5882:AA5882"/>
    <mergeCell ref="Z5883:AA5883"/>
    <mergeCell ref="Z5884:AA5884"/>
    <mergeCell ref="Z5885:AA5885"/>
    <mergeCell ref="Z5886:AA5886"/>
    <mergeCell ref="Z5887:AA5887"/>
    <mergeCell ref="Z5888:AA5888"/>
    <mergeCell ref="Z5889:AA5889"/>
    <mergeCell ref="Z5890:AA5890"/>
    <mergeCell ref="Z5891:AA5891"/>
    <mergeCell ref="Z5892:AA5892"/>
    <mergeCell ref="Z5893:AA5893"/>
    <mergeCell ref="Z5894:AA5894"/>
    <mergeCell ref="Z5895:AA5895"/>
    <mergeCell ref="A5855:Y5857"/>
    <mergeCell ref="Z5855:AE5855"/>
    <mergeCell ref="Z5856:AE5856"/>
    <mergeCell ref="Z5857:AE5857"/>
    <mergeCell ref="A5858:S5859"/>
    <mergeCell ref="T5858:AA5859"/>
    <mergeCell ref="AB5858:AF5859"/>
    <mergeCell ref="A5861:AD5862"/>
    <mergeCell ref="A5863:D5864"/>
    <mergeCell ref="E5863:AD5864"/>
    <mergeCell ref="A5865:AD5865"/>
    <mergeCell ref="AE5865:AF5865"/>
    <mergeCell ref="A5866:AD5866"/>
    <mergeCell ref="AE5866:AF5866"/>
    <mergeCell ref="A5867:AD5867"/>
    <mergeCell ref="AE5867:AF5867"/>
    <mergeCell ref="A5869:E5869"/>
    <mergeCell ref="F5869:Y5869"/>
    <mergeCell ref="Z5869:AA5871"/>
    <mergeCell ref="AB5869:AD5870"/>
    <mergeCell ref="AE5869:AE5871"/>
    <mergeCell ref="AF5869:AF5871"/>
    <mergeCell ref="A5870:C5871"/>
    <mergeCell ref="D5870:S5871"/>
    <mergeCell ref="T5870:W5871"/>
    <mergeCell ref="X5870:Y5871"/>
    <mergeCell ref="A5834:Y5854"/>
    <mergeCell ref="Z5834:AA5834"/>
    <mergeCell ref="Z5835:AA5835"/>
    <mergeCell ref="Z5836:AA5836"/>
    <mergeCell ref="Z5837:AA5837"/>
    <mergeCell ref="Z5838:AA5838"/>
    <mergeCell ref="Z5839:AA5839"/>
    <mergeCell ref="Z5840:AA5840"/>
    <mergeCell ref="Z5841:AA5841"/>
    <mergeCell ref="Z5842:AA5842"/>
    <mergeCell ref="Z5843:AA5843"/>
    <mergeCell ref="Z5844:AA5844"/>
    <mergeCell ref="Z5845:AA5845"/>
    <mergeCell ref="Z5846:AA5846"/>
    <mergeCell ref="Z5847:AA5847"/>
    <mergeCell ref="Z5848:AA5848"/>
    <mergeCell ref="Z5849:AA5849"/>
    <mergeCell ref="Z5850:AA5850"/>
    <mergeCell ref="Z5851:AA5851"/>
    <mergeCell ref="Z5852:AA5852"/>
    <mergeCell ref="Z5853:AA5853"/>
    <mergeCell ref="Z5854:AA5854"/>
    <mergeCell ref="A5817:Y5819"/>
    <mergeCell ref="Z5817:AE5817"/>
    <mergeCell ref="Z5818:AE5818"/>
    <mergeCell ref="Z5819:AE5819"/>
    <mergeCell ref="A5820:S5821"/>
    <mergeCell ref="T5820:AA5821"/>
    <mergeCell ref="AB5820:AF5821"/>
    <mergeCell ref="A5823:AD5824"/>
    <mergeCell ref="A5825:D5826"/>
    <mergeCell ref="E5825:AD5826"/>
    <mergeCell ref="A5827:AD5827"/>
    <mergeCell ref="AE5827:AF5827"/>
    <mergeCell ref="A5828:AD5828"/>
    <mergeCell ref="AE5828:AF5828"/>
    <mergeCell ref="A5829:AD5829"/>
    <mergeCell ref="AE5829:AF5829"/>
    <mergeCell ref="A5831:E5831"/>
    <mergeCell ref="F5831:Y5831"/>
    <mergeCell ref="Z5831:AA5833"/>
    <mergeCell ref="AB5831:AD5832"/>
    <mergeCell ref="AE5831:AE5833"/>
    <mergeCell ref="AF5831:AF5833"/>
    <mergeCell ref="A5832:C5833"/>
    <mergeCell ref="D5832:S5833"/>
    <mergeCell ref="T5832:W5833"/>
    <mergeCell ref="X5832:Y5833"/>
    <mergeCell ref="A5796:Y5816"/>
    <mergeCell ref="Z5796:AA5796"/>
    <mergeCell ref="Z5797:AA5797"/>
    <mergeCell ref="Z5798:AA5798"/>
    <mergeCell ref="Z5799:AA5799"/>
    <mergeCell ref="Z5800:AA5800"/>
    <mergeCell ref="Z5801:AA5801"/>
    <mergeCell ref="Z5802:AA5802"/>
    <mergeCell ref="Z5803:AA5803"/>
    <mergeCell ref="Z5804:AA5804"/>
    <mergeCell ref="Z5805:AA5805"/>
    <mergeCell ref="Z5806:AA5806"/>
    <mergeCell ref="Z5807:AA5807"/>
    <mergeCell ref="Z5808:AA5808"/>
    <mergeCell ref="Z5809:AA5809"/>
    <mergeCell ref="Z5810:AA5810"/>
    <mergeCell ref="Z5811:AA5811"/>
    <mergeCell ref="Z5812:AA5812"/>
    <mergeCell ref="Z5813:AA5813"/>
    <mergeCell ref="Z5814:AA5814"/>
    <mergeCell ref="Z5815:AA5815"/>
    <mergeCell ref="Z5816:AA5816"/>
    <mergeCell ref="A5779:Y5781"/>
    <mergeCell ref="Z5779:AE5779"/>
    <mergeCell ref="Z5780:AE5780"/>
    <mergeCell ref="Z5781:AE5781"/>
    <mergeCell ref="A5782:S5783"/>
    <mergeCell ref="T5782:AA5783"/>
    <mergeCell ref="AB5782:AF5783"/>
    <mergeCell ref="A5785:AD5786"/>
    <mergeCell ref="A5787:D5788"/>
    <mergeCell ref="E5787:AD5788"/>
    <mergeCell ref="A5789:AD5789"/>
    <mergeCell ref="AE5789:AF5789"/>
    <mergeCell ref="A5790:AD5790"/>
    <mergeCell ref="AE5790:AF5790"/>
    <mergeCell ref="A5791:AD5791"/>
    <mergeCell ref="AE5791:AF5791"/>
    <mergeCell ref="A5793:E5793"/>
    <mergeCell ref="F5793:Y5793"/>
    <mergeCell ref="Z5793:AA5795"/>
    <mergeCell ref="AB5793:AD5794"/>
    <mergeCell ref="AE5793:AE5795"/>
    <mergeCell ref="AF5793:AF5795"/>
    <mergeCell ref="A5794:C5795"/>
    <mergeCell ref="D5794:S5795"/>
    <mergeCell ref="T5794:W5795"/>
    <mergeCell ref="X5794:Y5795"/>
    <mergeCell ref="A5755:Y5778"/>
    <mergeCell ref="Z5755:AA5755"/>
    <mergeCell ref="Z5756:AA5756"/>
    <mergeCell ref="Z5757:AA5757"/>
    <mergeCell ref="Z5758:AA5758"/>
    <mergeCell ref="Z5759:AA5759"/>
    <mergeCell ref="Z5760:AA5760"/>
    <mergeCell ref="Z5761:AA5761"/>
    <mergeCell ref="Z5762:AA5762"/>
    <mergeCell ref="Z5763:AA5763"/>
    <mergeCell ref="Z5764:AA5764"/>
    <mergeCell ref="Z5765:AA5765"/>
    <mergeCell ref="Z5766:AA5766"/>
    <mergeCell ref="Z5767:AA5767"/>
    <mergeCell ref="Z5768:AA5768"/>
    <mergeCell ref="Z5769:AA5769"/>
    <mergeCell ref="Z5770:AA5770"/>
    <mergeCell ref="Z5771:AA5771"/>
    <mergeCell ref="Z5772:AA5772"/>
    <mergeCell ref="Z5773:AA5773"/>
    <mergeCell ref="Z5774:AA5774"/>
    <mergeCell ref="Z5775:AA5775"/>
    <mergeCell ref="Z5776:AA5776"/>
    <mergeCell ref="Z5777:AA5777"/>
    <mergeCell ref="Z5778:AA5778"/>
    <mergeCell ref="A5738:Y5740"/>
    <mergeCell ref="Z5738:AE5738"/>
    <mergeCell ref="Z5739:AE5739"/>
    <mergeCell ref="Z5740:AE5740"/>
    <mergeCell ref="A5741:S5742"/>
    <mergeCell ref="T5741:AA5742"/>
    <mergeCell ref="AB5741:AF5742"/>
    <mergeCell ref="A5744:AD5745"/>
    <mergeCell ref="A5746:D5747"/>
    <mergeCell ref="E5746:AD5747"/>
    <mergeCell ref="A5748:AD5748"/>
    <mergeCell ref="AE5748:AF5748"/>
    <mergeCell ref="A5749:AD5749"/>
    <mergeCell ref="AE5749:AF5749"/>
    <mergeCell ref="A5750:AD5750"/>
    <mergeCell ref="AE5750:AF5750"/>
    <mergeCell ref="A5752:E5752"/>
    <mergeCell ref="F5752:Y5752"/>
    <mergeCell ref="Z5752:AA5754"/>
    <mergeCell ref="AB5752:AD5753"/>
    <mergeCell ref="AE5752:AE5754"/>
    <mergeCell ref="AF5752:AF5754"/>
    <mergeCell ref="A5753:C5754"/>
    <mergeCell ref="D5753:S5754"/>
    <mergeCell ref="T5753:W5754"/>
    <mergeCell ref="X5753:Y5754"/>
    <mergeCell ref="A5714:Y5737"/>
    <mergeCell ref="Z5714:AA5714"/>
    <mergeCell ref="Z5715:AA5715"/>
    <mergeCell ref="Z5716:AA5716"/>
    <mergeCell ref="Z5717:AA5717"/>
    <mergeCell ref="Z5718:AA5718"/>
    <mergeCell ref="Z5719:AA5719"/>
    <mergeCell ref="Z5720:AA5720"/>
    <mergeCell ref="Z5721:AA5721"/>
    <mergeCell ref="Z5722:AA5722"/>
    <mergeCell ref="Z5723:AA5723"/>
    <mergeCell ref="Z5724:AA5724"/>
    <mergeCell ref="Z5725:AA5725"/>
    <mergeCell ref="Z5726:AA5726"/>
    <mergeCell ref="Z5727:AA5727"/>
    <mergeCell ref="Z5728:AA5728"/>
    <mergeCell ref="Z5729:AA5729"/>
    <mergeCell ref="Z5730:AA5730"/>
    <mergeCell ref="Z5731:AA5731"/>
    <mergeCell ref="Z5732:AA5732"/>
    <mergeCell ref="Z5733:AA5733"/>
    <mergeCell ref="Z5734:AA5734"/>
    <mergeCell ref="Z5735:AA5735"/>
    <mergeCell ref="Z5736:AA5736"/>
    <mergeCell ref="Z5737:AA5737"/>
    <mergeCell ref="A5697:Y5699"/>
    <mergeCell ref="Z5697:AE5697"/>
    <mergeCell ref="Z5698:AE5698"/>
    <mergeCell ref="Z5699:AE5699"/>
    <mergeCell ref="A5700:S5701"/>
    <mergeCell ref="T5700:AA5701"/>
    <mergeCell ref="AB5700:AF5701"/>
    <mergeCell ref="A5703:AD5704"/>
    <mergeCell ref="A5705:D5706"/>
    <mergeCell ref="E5705:AD5706"/>
    <mergeCell ref="A5707:AD5707"/>
    <mergeCell ref="AE5707:AF5707"/>
    <mergeCell ref="A5708:AD5708"/>
    <mergeCell ref="AE5708:AF5708"/>
    <mergeCell ref="A5709:AD5709"/>
    <mergeCell ref="AE5709:AF5709"/>
    <mergeCell ref="A5711:E5711"/>
    <mergeCell ref="F5711:Y5711"/>
    <mergeCell ref="Z5711:AA5713"/>
    <mergeCell ref="AB5711:AD5712"/>
    <mergeCell ref="AE5711:AE5713"/>
    <mergeCell ref="AF5711:AF5713"/>
    <mergeCell ref="A5712:C5713"/>
    <mergeCell ref="D5712:S5713"/>
    <mergeCell ref="T5712:W5713"/>
    <mergeCell ref="X5712:Y5713"/>
    <mergeCell ref="A5673:Y5696"/>
    <mergeCell ref="Z5673:AA5673"/>
    <mergeCell ref="Z5674:AA5674"/>
    <mergeCell ref="Z5675:AA5675"/>
    <mergeCell ref="Z5676:AA5676"/>
    <mergeCell ref="Z5677:AA5677"/>
    <mergeCell ref="Z5678:AA5678"/>
    <mergeCell ref="Z5679:AA5679"/>
    <mergeCell ref="Z5680:AA5680"/>
    <mergeCell ref="Z5681:AA5681"/>
    <mergeCell ref="Z5682:AA5682"/>
    <mergeCell ref="Z5683:AA5683"/>
    <mergeCell ref="Z5684:AA5684"/>
    <mergeCell ref="Z5685:AA5685"/>
    <mergeCell ref="Z5686:AA5686"/>
    <mergeCell ref="Z5687:AA5687"/>
    <mergeCell ref="Z5688:AA5688"/>
    <mergeCell ref="Z5689:AA5689"/>
    <mergeCell ref="Z5690:AA5690"/>
    <mergeCell ref="Z5691:AA5691"/>
    <mergeCell ref="Z5692:AA5692"/>
    <mergeCell ref="Z5693:AA5693"/>
    <mergeCell ref="Z5694:AA5694"/>
    <mergeCell ref="Z5695:AA5695"/>
    <mergeCell ref="Z5696:AA5696"/>
    <mergeCell ref="A5656:Y5658"/>
    <mergeCell ref="Z5656:AE5656"/>
    <mergeCell ref="Z5657:AE5657"/>
    <mergeCell ref="Z5658:AE5658"/>
    <mergeCell ref="A5659:S5660"/>
    <mergeCell ref="T5659:AA5660"/>
    <mergeCell ref="AB5659:AF5660"/>
    <mergeCell ref="A5662:AD5663"/>
    <mergeCell ref="A5664:D5665"/>
    <mergeCell ref="E5664:AD5665"/>
    <mergeCell ref="A5666:AD5666"/>
    <mergeCell ref="AE5666:AF5666"/>
    <mergeCell ref="A5667:AD5667"/>
    <mergeCell ref="AE5667:AF5667"/>
    <mergeCell ref="A5668:AD5668"/>
    <mergeCell ref="AE5668:AF5668"/>
    <mergeCell ref="A5670:E5670"/>
    <mergeCell ref="F5670:Y5670"/>
    <mergeCell ref="Z5670:AA5672"/>
    <mergeCell ref="AB5670:AD5671"/>
    <mergeCell ref="AE5670:AE5672"/>
    <mergeCell ref="AF5670:AF5672"/>
    <mergeCell ref="A5671:C5672"/>
    <mergeCell ref="D5671:S5672"/>
    <mergeCell ref="T5671:W5672"/>
    <mergeCell ref="X5671:Y5672"/>
    <mergeCell ref="A5632:Y5655"/>
    <mergeCell ref="Z5632:AA5632"/>
    <mergeCell ref="Z5633:AA5633"/>
    <mergeCell ref="Z5634:AA5634"/>
    <mergeCell ref="Z5635:AA5635"/>
    <mergeCell ref="Z5636:AA5636"/>
    <mergeCell ref="Z5637:AA5637"/>
    <mergeCell ref="Z5638:AA5638"/>
    <mergeCell ref="Z5639:AA5639"/>
    <mergeCell ref="Z5640:AA5640"/>
    <mergeCell ref="Z5641:AA5641"/>
    <mergeCell ref="Z5642:AA5642"/>
    <mergeCell ref="Z5643:AA5643"/>
    <mergeCell ref="Z5644:AA5644"/>
    <mergeCell ref="Z5645:AA5645"/>
    <mergeCell ref="Z5646:AA5646"/>
    <mergeCell ref="Z5647:AA5647"/>
    <mergeCell ref="Z5648:AA5648"/>
    <mergeCell ref="Z5649:AA5649"/>
    <mergeCell ref="Z5650:AA5650"/>
    <mergeCell ref="Z5651:AA5651"/>
    <mergeCell ref="Z5652:AA5652"/>
    <mergeCell ref="Z5653:AA5653"/>
    <mergeCell ref="Z5654:AA5654"/>
    <mergeCell ref="Z5655:AA5655"/>
    <mergeCell ref="A5615:Y5617"/>
    <mergeCell ref="Z5615:AE5615"/>
    <mergeCell ref="Z5616:AE5616"/>
    <mergeCell ref="Z5617:AE5617"/>
    <mergeCell ref="A5618:S5619"/>
    <mergeCell ref="T5618:AA5619"/>
    <mergeCell ref="AB5618:AF5619"/>
    <mergeCell ref="A5621:AD5622"/>
    <mergeCell ref="A5623:D5624"/>
    <mergeCell ref="E5623:AD5624"/>
    <mergeCell ref="A5625:AD5625"/>
    <mergeCell ref="AE5625:AF5625"/>
    <mergeCell ref="A5626:AD5626"/>
    <mergeCell ref="AE5626:AF5626"/>
    <mergeCell ref="A5627:AD5627"/>
    <mergeCell ref="AE5627:AF5627"/>
    <mergeCell ref="A5629:E5629"/>
    <mergeCell ref="F5629:Y5629"/>
    <mergeCell ref="Z5629:AA5631"/>
    <mergeCell ref="AB5629:AD5630"/>
    <mergeCell ref="AE5629:AE5631"/>
    <mergeCell ref="AF5629:AF5631"/>
    <mergeCell ref="A5630:C5631"/>
    <mergeCell ref="D5630:S5631"/>
    <mergeCell ref="T5630:W5631"/>
    <mergeCell ref="X5630:Y5631"/>
    <mergeCell ref="A5591:Y5614"/>
    <mergeCell ref="Z5591:AA5591"/>
    <mergeCell ref="Z5592:AA5592"/>
    <mergeCell ref="Z5593:AA5593"/>
    <mergeCell ref="Z5594:AA5594"/>
    <mergeCell ref="Z5595:AA5595"/>
    <mergeCell ref="Z5596:AA5596"/>
    <mergeCell ref="Z5597:AA5597"/>
    <mergeCell ref="Z5598:AA5598"/>
    <mergeCell ref="Z5599:AA5599"/>
    <mergeCell ref="Z5600:AA5600"/>
    <mergeCell ref="Z5601:AA5601"/>
    <mergeCell ref="Z5602:AA5602"/>
    <mergeCell ref="Z5603:AA5603"/>
    <mergeCell ref="Z5604:AA5604"/>
    <mergeCell ref="Z5605:AA5605"/>
    <mergeCell ref="Z5606:AA5606"/>
    <mergeCell ref="Z5607:AA5607"/>
    <mergeCell ref="Z5608:AA5608"/>
    <mergeCell ref="Z5609:AA5609"/>
    <mergeCell ref="Z5610:AA5610"/>
    <mergeCell ref="Z5611:AA5611"/>
    <mergeCell ref="Z5612:AA5612"/>
    <mergeCell ref="Z5613:AA5613"/>
    <mergeCell ref="Z5614:AA5614"/>
    <mergeCell ref="A5574:Y5576"/>
    <mergeCell ref="Z5574:AE5574"/>
    <mergeCell ref="Z5575:AE5575"/>
    <mergeCell ref="Z5576:AE5576"/>
    <mergeCell ref="A5577:S5578"/>
    <mergeCell ref="T5577:AA5578"/>
    <mergeCell ref="AB5577:AF5578"/>
    <mergeCell ref="A5580:AD5581"/>
    <mergeCell ref="A5582:D5583"/>
    <mergeCell ref="E5582:AD5583"/>
    <mergeCell ref="A5584:AD5584"/>
    <mergeCell ref="AE5584:AF5584"/>
    <mergeCell ref="A5585:AD5585"/>
    <mergeCell ref="AE5585:AF5585"/>
    <mergeCell ref="A5586:AD5586"/>
    <mergeCell ref="AE5586:AF5586"/>
    <mergeCell ref="A5588:E5588"/>
    <mergeCell ref="F5588:Y5588"/>
    <mergeCell ref="Z5588:AA5590"/>
    <mergeCell ref="AB5588:AD5589"/>
    <mergeCell ref="AE5588:AE5590"/>
    <mergeCell ref="AF5588:AF5590"/>
    <mergeCell ref="A5589:C5590"/>
    <mergeCell ref="D5589:S5590"/>
    <mergeCell ref="T5589:W5590"/>
    <mergeCell ref="X5589:Y5590"/>
    <mergeCell ref="A5550:Y5573"/>
    <mergeCell ref="Z5550:AA5550"/>
    <mergeCell ref="Z5551:AA5551"/>
    <mergeCell ref="Z5552:AA5552"/>
    <mergeCell ref="Z5553:AA5553"/>
    <mergeCell ref="Z5554:AA5554"/>
    <mergeCell ref="Z5555:AA5555"/>
    <mergeCell ref="Z5556:AA5556"/>
    <mergeCell ref="Z5557:AA5557"/>
    <mergeCell ref="Z5558:AA5558"/>
    <mergeCell ref="Z5559:AA5559"/>
    <mergeCell ref="Z5560:AA5560"/>
    <mergeCell ref="Z5561:AA5561"/>
    <mergeCell ref="Z5562:AA5562"/>
    <mergeCell ref="Z5563:AA5563"/>
    <mergeCell ref="Z5564:AA5564"/>
    <mergeCell ref="Z5565:AA5565"/>
    <mergeCell ref="Z5566:AA5566"/>
    <mergeCell ref="Z5567:AA5567"/>
    <mergeCell ref="Z5568:AA5568"/>
    <mergeCell ref="Z5569:AA5569"/>
    <mergeCell ref="Z5570:AA5570"/>
    <mergeCell ref="Z5571:AA5571"/>
    <mergeCell ref="Z5572:AA5572"/>
    <mergeCell ref="Z5573:AA5573"/>
    <mergeCell ref="A5533:Y5535"/>
    <mergeCell ref="Z5533:AE5533"/>
    <mergeCell ref="Z5534:AE5534"/>
    <mergeCell ref="Z5535:AE5535"/>
    <mergeCell ref="A5536:S5537"/>
    <mergeCell ref="T5536:AA5537"/>
    <mergeCell ref="AB5536:AF5537"/>
    <mergeCell ref="A5539:AD5540"/>
    <mergeCell ref="A5541:D5542"/>
    <mergeCell ref="E5541:AD5542"/>
    <mergeCell ref="A5543:AD5543"/>
    <mergeCell ref="AE5543:AF5543"/>
    <mergeCell ref="A5544:AD5544"/>
    <mergeCell ref="AE5544:AF5544"/>
    <mergeCell ref="A5545:AD5545"/>
    <mergeCell ref="AE5545:AF5545"/>
    <mergeCell ref="A5547:E5547"/>
    <mergeCell ref="F5547:Y5547"/>
    <mergeCell ref="Z5547:AA5549"/>
    <mergeCell ref="AB5547:AD5548"/>
    <mergeCell ref="AE5547:AE5549"/>
    <mergeCell ref="AF5547:AF5549"/>
    <mergeCell ref="A5548:C5549"/>
    <mergeCell ref="D5548:S5549"/>
    <mergeCell ref="T5548:W5549"/>
    <mergeCell ref="X5548:Y5549"/>
    <mergeCell ref="A5509:Y5532"/>
    <mergeCell ref="Z5509:AA5509"/>
    <mergeCell ref="Z5510:AA5510"/>
    <mergeCell ref="Z5511:AA5511"/>
    <mergeCell ref="Z5512:AA5512"/>
    <mergeCell ref="Z5513:AA5513"/>
    <mergeCell ref="Z5514:AA5514"/>
    <mergeCell ref="Z5515:AA5515"/>
    <mergeCell ref="Z5516:AA5516"/>
    <mergeCell ref="Z5517:AA5517"/>
    <mergeCell ref="Z5518:AA5518"/>
    <mergeCell ref="Z5519:AA5519"/>
    <mergeCell ref="Z5520:AA5520"/>
    <mergeCell ref="Z5521:AA5521"/>
    <mergeCell ref="Z5522:AA5522"/>
    <mergeCell ref="Z5523:AA5523"/>
    <mergeCell ref="Z5524:AA5524"/>
    <mergeCell ref="Z5525:AA5525"/>
    <mergeCell ref="Z5526:AA5526"/>
    <mergeCell ref="Z5527:AA5527"/>
    <mergeCell ref="Z5528:AA5528"/>
    <mergeCell ref="Z5529:AA5529"/>
    <mergeCell ref="Z5530:AA5530"/>
    <mergeCell ref="Z5531:AA5531"/>
    <mergeCell ref="Z5532:AA5532"/>
    <mergeCell ref="A5492:Y5494"/>
    <mergeCell ref="Z5492:AE5492"/>
    <mergeCell ref="Z5493:AE5493"/>
    <mergeCell ref="Z5494:AE5494"/>
    <mergeCell ref="A5495:S5496"/>
    <mergeCell ref="T5495:AA5496"/>
    <mergeCell ref="AB5495:AF5496"/>
    <mergeCell ref="A5498:AD5499"/>
    <mergeCell ref="A5500:D5501"/>
    <mergeCell ref="E5500:AD5501"/>
    <mergeCell ref="A5502:AD5502"/>
    <mergeCell ref="AE5502:AF5502"/>
    <mergeCell ref="A5503:AD5503"/>
    <mergeCell ref="AE5503:AF5503"/>
    <mergeCell ref="A5504:AD5504"/>
    <mergeCell ref="AE5504:AF5504"/>
    <mergeCell ref="A5506:E5506"/>
    <mergeCell ref="F5506:Y5506"/>
    <mergeCell ref="Z5506:AA5508"/>
    <mergeCell ref="AB5506:AD5507"/>
    <mergeCell ref="AE5506:AE5508"/>
    <mergeCell ref="AF5506:AF5508"/>
    <mergeCell ref="A5507:C5508"/>
    <mergeCell ref="D5507:S5508"/>
    <mergeCell ref="T5507:W5508"/>
    <mergeCell ref="X5507:Y5508"/>
    <mergeCell ref="A5468:Y5491"/>
    <mergeCell ref="Z5468:AA5468"/>
    <mergeCell ref="Z5469:AA5469"/>
    <mergeCell ref="Z5470:AA5470"/>
    <mergeCell ref="Z5471:AA5471"/>
    <mergeCell ref="Z5472:AA5472"/>
    <mergeCell ref="Z5473:AA5473"/>
    <mergeCell ref="Z5474:AA5474"/>
    <mergeCell ref="Z5475:AA5475"/>
    <mergeCell ref="Z5476:AA5476"/>
    <mergeCell ref="Z5477:AA5477"/>
    <mergeCell ref="Z5478:AA5478"/>
    <mergeCell ref="Z5479:AA5479"/>
    <mergeCell ref="Z5480:AA5480"/>
    <mergeCell ref="Z5481:AA5481"/>
    <mergeCell ref="Z5482:AA5482"/>
    <mergeCell ref="Z5483:AA5483"/>
    <mergeCell ref="Z5484:AA5484"/>
    <mergeCell ref="Z5485:AA5485"/>
    <mergeCell ref="Z5486:AA5486"/>
    <mergeCell ref="Z5487:AA5487"/>
    <mergeCell ref="Z5488:AA5488"/>
    <mergeCell ref="Z5489:AA5489"/>
    <mergeCell ref="Z5490:AA5490"/>
    <mergeCell ref="Z5491:AA5491"/>
    <mergeCell ref="A5451:Y5453"/>
    <mergeCell ref="Z5451:AE5451"/>
    <mergeCell ref="Z5452:AE5452"/>
    <mergeCell ref="Z5453:AE5453"/>
    <mergeCell ref="A5454:S5455"/>
    <mergeCell ref="T5454:AA5455"/>
    <mergeCell ref="AB5454:AF5455"/>
    <mergeCell ref="A5457:AD5458"/>
    <mergeCell ref="A5459:D5460"/>
    <mergeCell ref="E5459:AD5460"/>
    <mergeCell ref="A5461:AD5461"/>
    <mergeCell ref="AE5461:AF5461"/>
    <mergeCell ref="A5462:AD5462"/>
    <mergeCell ref="AE5462:AF5462"/>
    <mergeCell ref="A5463:AD5463"/>
    <mergeCell ref="AE5463:AF5463"/>
    <mergeCell ref="A5465:E5465"/>
    <mergeCell ref="F5465:Y5465"/>
    <mergeCell ref="Z5465:AA5467"/>
    <mergeCell ref="AB5465:AD5466"/>
    <mergeCell ref="AE5465:AE5467"/>
    <mergeCell ref="AF5465:AF5467"/>
    <mergeCell ref="A5466:C5467"/>
    <mergeCell ref="D5466:S5467"/>
    <mergeCell ref="T5466:W5467"/>
    <mergeCell ref="X5466:Y5467"/>
    <mergeCell ref="A5427:Y5450"/>
    <mergeCell ref="Z5427:AA5427"/>
    <mergeCell ref="Z5428:AA5428"/>
    <mergeCell ref="Z5429:AA5429"/>
    <mergeCell ref="Z5430:AA5430"/>
    <mergeCell ref="Z5431:AA5431"/>
    <mergeCell ref="Z5432:AA5432"/>
    <mergeCell ref="Z5433:AA5433"/>
    <mergeCell ref="Z5434:AA5434"/>
    <mergeCell ref="Z5435:AA5435"/>
    <mergeCell ref="Z5436:AA5436"/>
    <mergeCell ref="Z5437:AA5437"/>
    <mergeCell ref="Z5438:AA5438"/>
    <mergeCell ref="Z5439:AA5439"/>
    <mergeCell ref="Z5440:AA5440"/>
    <mergeCell ref="Z5441:AA5441"/>
    <mergeCell ref="Z5442:AA5442"/>
    <mergeCell ref="Z5443:AA5443"/>
    <mergeCell ref="Z5444:AA5444"/>
    <mergeCell ref="Z5445:AA5445"/>
    <mergeCell ref="Z5446:AA5446"/>
    <mergeCell ref="Z5447:AA5447"/>
    <mergeCell ref="Z5448:AA5448"/>
    <mergeCell ref="Z5449:AA5449"/>
    <mergeCell ref="Z5450:AA5450"/>
    <mergeCell ref="A5410:Y5412"/>
    <mergeCell ref="Z5410:AE5410"/>
    <mergeCell ref="Z5411:AE5411"/>
    <mergeCell ref="Z5412:AE5412"/>
    <mergeCell ref="A5413:S5414"/>
    <mergeCell ref="T5413:AA5414"/>
    <mergeCell ref="AB5413:AF5414"/>
    <mergeCell ref="A5416:AD5417"/>
    <mergeCell ref="A5418:D5419"/>
    <mergeCell ref="E5418:AD5419"/>
    <mergeCell ref="A5420:AD5420"/>
    <mergeCell ref="AE5420:AF5420"/>
    <mergeCell ref="A5421:AD5421"/>
    <mergeCell ref="AE5421:AF5421"/>
    <mergeCell ref="A5422:AD5422"/>
    <mergeCell ref="AE5422:AF5422"/>
    <mergeCell ref="A5424:E5424"/>
    <mergeCell ref="F5424:Y5424"/>
    <mergeCell ref="Z5424:AA5426"/>
    <mergeCell ref="AB5424:AD5425"/>
    <mergeCell ref="AE5424:AE5426"/>
    <mergeCell ref="AF5424:AF5426"/>
    <mergeCell ref="A5425:C5426"/>
    <mergeCell ref="D5425:S5426"/>
    <mergeCell ref="T5425:W5426"/>
    <mergeCell ref="X5425:Y5426"/>
    <mergeCell ref="A5386:Y5409"/>
    <mergeCell ref="Z5386:AA5386"/>
    <mergeCell ref="Z5387:AA5387"/>
    <mergeCell ref="Z5388:AA5388"/>
    <mergeCell ref="Z5389:AA5389"/>
    <mergeCell ref="Z5390:AA5390"/>
    <mergeCell ref="Z5391:AA5391"/>
    <mergeCell ref="Z5392:AA5392"/>
    <mergeCell ref="Z5393:AA5393"/>
    <mergeCell ref="Z5394:AA5394"/>
    <mergeCell ref="Z5395:AA5395"/>
    <mergeCell ref="Z5396:AA5396"/>
    <mergeCell ref="Z5397:AA5397"/>
    <mergeCell ref="Z5398:AA5398"/>
    <mergeCell ref="Z5399:AA5399"/>
    <mergeCell ref="Z5400:AA5400"/>
    <mergeCell ref="Z5401:AA5401"/>
    <mergeCell ref="Z5402:AA5402"/>
    <mergeCell ref="Z5403:AA5403"/>
    <mergeCell ref="Z5404:AA5404"/>
    <mergeCell ref="Z5405:AA5405"/>
    <mergeCell ref="Z5406:AA5406"/>
    <mergeCell ref="Z5407:AA5407"/>
    <mergeCell ref="Z5408:AA5408"/>
    <mergeCell ref="Z5409:AA5409"/>
    <mergeCell ref="A5369:Y5371"/>
    <mergeCell ref="Z5369:AE5369"/>
    <mergeCell ref="Z5370:AE5370"/>
    <mergeCell ref="Z5371:AE5371"/>
    <mergeCell ref="A5372:S5373"/>
    <mergeCell ref="T5372:AA5373"/>
    <mergeCell ref="AB5372:AF5373"/>
    <mergeCell ref="A5375:AD5376"/>
    <mergeCell ref="A5377:D5378"/>
    <mergeCell ref="E5377:AD5378"/>
    <mergeCell ref="A5379:AD5379"/>
    <mergeCell ref="AE5379:AF5379"/>
    <mergeCell ref="A5380:AD5380"/>
    <mergeCell ref="AE5380:AF5380"/>
    <mergeCell ref="A5381:AD5381"/>
    <mergeCell ref="AE5381:AF5381"/>
    <mergeCell ref="A5383:E5383"/>
    <mergeCell ref="F5383:Y5383"/>
    <mergeCell ref="Z5383:AA5385"/>
    <mergeCell ref="AB5383:AD5384"/>
    <mergeCell ref="AE5383:AE5385"/>
    <mergeCell ref="AF5383:AF5385"/>
    <mergeCell ref="A5384:C5385"/>
    <mergeCell ref="D5384:S5385"/>
    <mergeCell ref="T5384:W5385"/>
    <mergeCell ref="X5384:Y5385"/>
    <mergeCell ref="A5345:Y5368"/>
    <mergeCell ref="Z5345:AA5345"/>
    <mergeCell ref="Z5346:AA5346"/>
    <mergeCell ref="Z5347:AA5347"/>
    <mergeCell ref="Z5348:AA5348"/>
    <mergeCell ref="Z5349:AA5349"/>
    <mergeCell ref="Z5350:AA5350"/>
    <mergeCell ref="Z5351:AA5351"/>
    <mergeCell ref="Z5352:AA5352"/>
    <mergeCell ref="Z5353:AA5353"/>
    <mergeCell ref="Z5354:AA5354"/>
    <mergeCell ref="Z5355:AA5355"/>
    <mergeCell ref="Z5356:AA5356"/>
    <mergeCell ref="Z5357:AA5357"/>
    <mergeCell ref="Z5358:AA5358"/>
    <mergeCell ref="Z5359:AA5359"/>
    <mergeCell ref="Z5360:AA5360"/>
    <mergeCell ref="Z5361:AA5361"/>
    <mergeCell ref="Z5362:AA5362"/>
    <mergeCell ref="Z5363:AA5363"/>
    <mergeCell ref="Z5364:AA5364"/>
    <mergeCell ref="Z5365:AA5365"/>
    <mergeCell ref="Z5366:AA5366"/>
    <mergeCell ref="Z5367:AA5367"/>
    <mergeCell ref="Z5368:AA5368"/>
    <mergeCell ref="A5328:Y5330"/>
    <mergeCell ref="Z5328:AE5328"/>
    <mergeCell ref="Z5329:AE5329"/>
    <mergeCell ref="Z5330:AE5330"/>
    <mergeCell ref="A5331:S5332"/>
    <mergeCell ref="T5331:AA5332"/>
    <mergeCell ref="AB5331:AF5332"/>
    <mergeCell ref="A5334:AD5335"/>
    <mergeCell ref="A5336:D5337"/>
    <mergeCell ref="E5336:AD5337"/>
    <mergeCell ref="A5338:AD5338"/>
    <mergeCell ref="AE5338:AF5338"/>
    <mergeCell ref="A5339:AD5339"/>
    <mergeCell ref="AE5339:AF5339"/>
    <mergeCell ref="A5340:AD5340"/>
    <mergeCell ref="AE5340:AF5340"/>
    <mergeCell ref="A5342:E5342"/>
    <mergeCell ref="F5342:Y5342"/>
    <mergeCell ref="Z5342:AA5344"/>
    <mergeCell ref="AB5342:AD5343"/>
    <mergeCell ref="AE5342:AE5344"/>
    <mergeCell ref="AF5342:AF5344"/>
    <mergeCell ref="A5343:C5344"/>
    <mergeCell ref="D5343:S5344"/>
    <mergeCell ref="T5343:W5344"/>
    <mergeCell ref="X5343:Y5344"/>
    <mergeCell ref="A5304:Y5327"/>
    <mergeCell ref="Z5304:AA5304"/>
    <mergeCell ref="Z5305:AA5305"/>
    <mergeCell ref="Z5306:AA5306"/>
    <mergeCell ref="Z5307:AA5307"/>
    <mergeCell ref="Z5308:AA5308"/>
    <mergeCell ref="Z5309:AA5309"/>
    <mergeCell ref="Z5310:AA5310"/>
    <mergeCell ref="Z5311:AA5311"/>
    <mergeCell ref="Z5312:AA5312"/>
    <mergeCell ref="Z5313:AA5313"/>
    <mergeCell ref="Z5314:AA5314"/>
    <mergeCell ref="Z5315:AA5315"/>
    <mergeCell ref="Z5316:AA5316"/>
    <mergeCell ref="Z5317:AA5317"/>
    <mergeCell ref="Z5318:AA5318"/>
    <mergeCell ref="Z5319:AA5319"/>
    <mergeCell ref="Z5320:AA5320"/>
    <mergeCell ref="Z5321:AA5321"/>
    <mergeCell ref="Z5322:AA5322"/>
    <mergeCell ref="Z5323:AA5323"/>
    <mergeCell ref="Z5324:AA5324"/>
    <mergeCell ref="Z5325:AA5325"/>
    <mergeCell ref="Z5326:AA5326"/>
    <mergeCell ref="Z5327:AA5327"/>
    <mergeCell ref="A5287:Y5289"/>
    <mergeCell ref="Z5287:AE5287"/>
    <mergeCell ref="Z5288:AE5288"/>
    <mergeCell ref="Z5289:AE5289"/>
    <mergeCell ref="A5290:S5291"/>
    <mergeCell ref="T5290:AA5291"/>
    <mergeCell ref="AB5290:AF5291"/>
    <mergeCell ref="A5293:AD5294"/>
    <mergeCell ref="A5295:D5296"/>
    <mergeCell ref="E5295:AD5296"/>
    <mergeCell ref="A5297:AD5297"/>
    <mergeCell ref="AE5297:AF5297"/>
    <mergeCell ref="A5298:AD5298"/>
    <mergeCell ref="AE5298:AF5298"/>
    <mergeCell ref="A5299:AD5299"/>
    <mergeCell ref="AE5299:AF5299"/>
    <mergeCell ref="A5301:E5301"/>
    <mergeCell ref="F5301:Y5301"/>
    <mergeCell ref="Z5301:AA5303"/>
    <mergeCell ref="AB5301:AD5302"/>
    <mergeCell ref="AE5301:AE5303"/>
    <mergeCell ref="AF5301:AF5303"/>
    <mergeCell ref="A5302:C5303"/>
    <mergeCell ref="D5302:S5303"/>
    <mergeCell ref="T5302:W5303"/>
    <mergeCell ref="X5302:Y5303"/>
    <mergeCell ref="A5263:Y5286"/>
    <mergeCell ref="Z5263:AA5263"/>
    <mergeCell ref="Z5264:AA5264"/>
    <mergeCell ref="Z5265:AA5265"/>
    <mergeCell ref="Z5266:AA5266"/>
    <mergeCell ref="Z5267:AA5267"/>
    <mergeCell ref="Z5268:AA5268"/>
    <mergeCell ref="Z5269:AA5269"/>
    <mergeCell ref="Z5270:AA5270"/>
    <mergeCell ref="Z5271:AA5271"/>
    <mergeCell ref="Z5272:AA5272"/>
    <mergeCell ref="Z5273:AA5273"/>
    <mergeCell ref="Z5274:AA5274"/>
    <mergeCell ref="Z5275:AA5275"/>
    <mergeCell ref="Z5276:AA5276"/>
    <mergeCell ref="Z5277:AA5277"/>
    <mergeCell ref="Z5278:AA5278"/>
    <mergeCell ref="Z5279:AA5279"/>
    <mergeCell ref="Z5280:AA5280"/>
    <mergeCell ref="Z5281:AA5281"/>
    <mergeCell ref="Z5282:AA5282"/>
    <mergeCell ref="Z5283:AA5283"/>
    <mergeCell ref="Z5284:AA5284"/>
    <mergeCell ref="Z5285:AA5285"/>
    <mergeCell ref="Z5286:AA5286"/>
    <mergeCell ref="A5246:Y5248"/>
    <mergeCell ref="Z5246:AE5246"/>
    <mergeCell ref="Z5247:AE5247"/>
    <mergeCell ref="Z5248:AE5248"/>
    <mergeCell ref="A5249:S5250"/>
    <mergeCell ref="T5249:AA5250"/>
    <mergeCell ref="AB5249:AF5250"/>
    <mergeCell ref="A5252:AD5253"/>
    <mergeCell ref="A5254:D5255"/>
    <mergeCell ref="E5254:AD5255"/>
    <mergeCell ref="A5256:AD5256"/>
    <mergeCell ref="AE5256:AF5256"/>
    <mergeCell ref="A5257:AD5257"/>
    <mergeCell ref="AE5257:AF5257"/>
    <mergeCell ref="A5258:AD5258"/>
    <mergeCell ref="AE5258:AF5258"/>
    <mergeCell ref="A5260:E5260"/>
    <mergeCell ref="F5260:Y5260"/>
    <mergeCell ref="Z5260:AA5262"/>
    <mergeCell ref="AB5260:AD5261"/>
    <mergeCell ref="AE5260:AE5262"/>
    <mergeCell ref="AF5260:AF5262"/>
    <mergeCell ref="A5261:C5262"/>
    <mergeCell ref="D5261:S5262"/>
    <mergeCell ref="T5261:W5262"/>
    <mergeCell ref="X5261:Y5262"/>
    <mergeCell ref="A5222:Y5245"/>
    <mergeCell ref="Z5222:AA5222"/>
    <mergeCell ref="Z5223:AA5223"/>
    <mergeCell ref="Z5224:AA5224"/>
    <mergeCell ref="Z5225:AA5225"/>
    <mergeCell ref="Z5226:AA5226"/>
    <mergeCell ref="Z5227:AA5227"/>
    <mergeCell ref="Z5228:AA5228"/>
    <mergeCell ref="Z5229:AA5229"/>
    <mergeCell ref="Z5230:AA5230"/>
    <mergeCell ref="Z5231:AA5231"/>
    <mergeCell ref="Z5232:AA5232"/>
    <mergeCell ref="Z5233:AA5233"/>
    <mergeCell ref="Z5234:AA5234"/>
    <mergeCell ref="Z5235:AA5235"/>
    <mergeCell ref="Z5236:AA5236"/>
    <mergeCell ref="Z5237:AA5237"/>
    <mergeCell ref="Z5238:AA5238"/>
    <mergeCell ref="Z5239:AA5239"/>
    <mergeCell ref="Z5240:AA5240"/>
    <mergeCell ref="Z5241:AA5241"/>
    <mergeCell ref="Z5242:AA5242"/>
    <mergeCell ref="Z5243:AA5243"/>
    <mergeCell ref="Z5244:AA5244"/>
    <mergeCell ref="Z5245:AA5245"/>
    <mergeCell ref="A5211:AD5212"/>
    <mergeCell ref="A5213:D5214"/>
    <mergeCell ref="E5213:AD5214"/>
    <mergeCell ref="A5215:AD5215"/>
    <mergeCell ref="AE5215:AF5215"/>
    <mergeCell ref="A5216:AD5216"/>
    <mergeCell ref="AE5216:AF5216"/>
    <mergeCell ref="A5217:AD5217"/>
    <mergeCell ref="AE5217:AF5217"/>
    <mergeCell ref="A5219:E5219"/>
    <mergeCell ref="F5219:Y5219"/>
    <mergeCell ref="Z5219:AA5221"/>
    <mergeCell ref="AB5219:AD5220"/>
    <mergeCell ref="AE5219:AE5221"/>
    <mergeCell ref="AF5219:AF5221"/>
    <mergeCell ref="A5220:C5221"/>
    <mergeCell ref="D5220:S5221"/>
    <mergeCell ref="T5220:W5221"/>
    <mergeCell ref="X5220:Y5221"/>
    <mergeCell ref="A5205:Y5207"/>
    <mergeCell ref="Z5205:AE5205"/>
    <mergeCell ref="Z5206:AE5206"/>
    <mergeCell ref="Z5207:AE5207"/>
    <mergeCell ref="A5208:S5209"/>
    <mergeCell ref="T5208:AA5209"/>
    <mergeCell ref="AB5208:AF5209"/>
    <mergeCell ref="Z5181:AA5181"/>
    <mergeCell ref="Z5182:AA5182"/>
    <mergeCell ref="Z5183:AA5183"/>
    <mergeCell ref="Z5184:AA5184"/>
    <mergeCell ref="Z5185:AA5185"/>
    <mergeCell ref="Z5186:AA5186"/>
    <mergeCell ref="Z5187:AA5187"/>
    <mergeCell ref="Z5188:AA5188"/>
    <mergeCell ref="Z5189:AA5189"/>
    <mergeCell ref="Z5190:AA5190"/>
    <mergeCell ref="Z5191:AA5191"/>
    <mergeCell ref="Z5192:AA5192"/>
    <mergeCell ref="Z5193:AA5193"/>
    <mergeCell ref="Z5194:AA5194"/>
    <mergeCell ref="Z5195:AA5195"/>
    <mergeCell ref="A5176:AD5176"/>
    <mergeCell ref="AE5176:AF5176"/>
    <mergeCell ref="A5178:E5178"/>
    <mergeCell ref="F5178:Y5178"/>
    <mergeCell ref="Z5178:AA5180"/>
    <mergeCell ref="AB5178:AD5179"/>
    <mergeCell ref="AE5178:AE5180"/>
    <mergeCell ref="AF5178:AF5180"/>
    <mergeCell ref="A5179:C5180"/>
    <mergeCell ref="D5179:S5180"/>
    <mergeCell ref="T5179:W5180"/>
    <mergeCell ref="X5179:Y5180"/>
    <mergeCell ref="A5181:Y5204"/>
    <mergeCell ref="Z5196:AA5196"/>
    <mergeCell ref="Z5197:AA5197"/>
    <mergeCell ref="Z5198:AA5198"/>
    <mergeCell ref="Z5199:AA5199"/>
    <mergeCell ref="Z5200:AA5200"/>
    <mergeCell ref="Z5201:AA5201"/>
    <mergeCell ref="Z5202:AA5202"/>
    <mergeCell ref="Z5203:AA5203"/>
    <mergeCell ref="Z5204:AA5204"/>
    <mergeCell ref="A5164:Y5166"/>
    <mergeCell ref="Z5164:AE5164"/>
    <mergeCell ref="Z5165:AE5165"/>
    <mergeCell ref="Z5166:AE5166"/>
    <mergeCell ref="A5167:S5168"/>
    <mergeCell ref="T5167:AA5168"/>
    <mergeCell ref="AB5167:AF5168"/>
    <mergeCell ref="Z5140:AA5143"/>
    <mergeCell ref="Z5144:AA5146"/>
    <mergeCell ref="Z5147:AA5150"/>
    <mergeCell ref="Z5151:AA5154"/>
    <mergeCell ref="A5170:AD5171"/>
    <mergeCell ref="A5172:D5173"/>
    <mergeCell ref="E5172:AD5173"/>
    <mergeCell ref="A5174:AD5174"/>
    <mergeCell ref="AE5174:AF5174"/>
    <mergeCell ref="A5175:AD5175"/>
    <mergeCell ref="AE5175:AF5175"/>
    <mergeCell ref="A5140:Y5163"/>
    <mergeCell ref="Z5155:AA5155"/>
    <mergeCell ref="Z5156:AA5156"/>
    <mergeCell ref="Z5157:AA5157"/>
    <mergeCell ref="Z5158:AA5158"/>
    <mergeCell ref="Z5159:AA5159"/>
    <mergeCell ref="Z5160:AA5160"/>
    <mergeCell ref="Z5161:AA5161"/>
    <mergeCell ref="Z5162:AA5162"/>
    <mergeCell ref="Z5163:AA5163"/>
    <mergeCell ref="A5123:Y5125"/>
    <mergeCell ref="Z5123:AE5123"/>
    <mergeCell ref="Z5124:AE5124"/>
    <mergeCell ref="Z5125:AE5125"/>
    <mergeCell ref="A5126:S5127"/>
    <mergeCell ref="T5126:AA5127"/>
    <mergeCell ref="AB5126:AF5127"/>
    <mergeCell ref="A5129:AD5130"/>
    <mergeCell ref="A5131:D5132"/>
    <mergeCell ref="E5131:AD5132"/>
    <mergeCell ref="A5133:AD5133"/>
    <mergeCell ref="AE5133:AF5133"/>
    <mergeCell ref="A5134:AD5134"/>
    <mergeCell ref="AE5134:AF5134"/>
    <mergeCell ref="A5135:AD5135"/>
    <mergeCell ref="AE5135:AF5135"/>
    <mergeCell ref="A5137:E5137"/>
    <mergeCell ref="F5137:Y5137"/>
    <mergeCell ref="Z5137:AA5139"/>
    <mergeCell ref="AB5137:AD5138"/>
    <mergeCell ref="AE5137:AE5139"/>
    <mergeCell ref="AF5137:AF5139"/>
    <mergeCell ref="A5138:C5139"/>
    <mergeCell ref="D5138:S5139"/>
    <mergeCell ref="T5138:W5139"/>
    <mergeCell ref="X5138:Y5139"/>
    <mergeCell ref="A5099:Y5122"/>
    <mergeCell ref="Z5099:AA5099"/>
    <mergeCell ref="Z5100:AA5100"/>
    <mergeCell ref="Z5101:AA5101"/>
    <mergeCell ref="Z5102:AA5102"/>
    <mergeCell ref="Z5103:AA5103"/>
    <mergeCell ref="Z5104:AA5104"/>
    <mergeCell ref="Z5105:AA5105"/>
    <mergeCell ref="Z5106:AA5106"/>
    <mergeCell ref="Z5107:AA5107"/>
    <mergeCell ref="Z5108:AA5108"/>
    <mergeCell ref="Z5109:AA5109"/>
    <mergeCell ref="Z5110:AA5110"/>
    <mergeCell ref="Z5111:AA5111"/>
    <mergeCell ref="Z5112:AA5112"/>
    <mergeCell ref="Z5113:AA5113"/>
    <mergeCell ref="Z5114:AA5114"/>
    <mergeCell ref="Z5115:AA5115"/>
    <mergeCell ref="Z5116:AA5116"/>
    <mergeCell ref="Z5117:AA5117"/>
    <mergeCell ref="Z5118:AA5118"/>
    <mergeCell ref="Z5119:AA5119"/>
    <mergeCell ref="Z5120:AA5120"/>
    <mergeCell ref="Z5121:AA5121"/>
    <mergeCell ref="Z5122:AA5122"/>
    <mergeCell ref="A5082:Y5084"/>
    <mergeCell ref="Z5082:AE5082"/>
    <mergeCell ref="Z5083:AE5083"/>
    <mergeCell ref="Z5084:AE5084"/>
    <mergeCell ref="A5085:S5086"/>
    <mergeCell ref="T5085:AA5086"/>
    <mergeCell ref="AB5085:AF5086"/>
    <mergeCell ref="A5088:AD5089"/>
    <mergeCell ref="A5090:D5091"/>
    <mergeCell ref="E5090:AD5091"/>
    <mergeCell ref="A5092:AD5092"/>
    <mergeCell ref="AE5092:AF5092"/>
    <mergeCell ref="A5093:AD5093"/>
    <mergeCell ref="AE5093:AF5093"/>
    <mergeCell ref="A5094:AD5094"/>
    <mergeCell ref="AE5094:AF5094"/>
    <mergeCell ref="A5096:E5096"/>
    <mergeCell ref="F5096:Y5096"/>
    <mergeCell ref="Z5096:AA5098"/>
    <mergeCell ref="AB5096:AD5097"/>
    <mergeCell ref="AE5096:AE5098"/>
    <mergeCell ref="AF5096:AF5098"/>
    <mergeCell ref="A5097:C5098"/>
    <mergeCell ref="D5097:S5098"/>
    <mergeCell ref="T5097:W5098"/>
    <mergeCell ref="X5097:Y5098"/>
    <mergeCell ref="A5061:Y5081"/>
    <mergeCell ref="Z5061:AA5061"/>
    <mergeCell ref="Z5062:AA5062"/>
    <mergeCell ref="Z5063:AA5063"/>
    <mergeCell ref="Z5064:AA5064"/>
    <mergeCell ref="Z5065:AA5065"/>
    <mergeCell ref="Z5066:AA5066"/>
    <mergeCell ref="Z5067:AA5067"/>
    <mergeCell ref="Z5068:AA5068"/>
    <mergeCell ref="Z5069:AA5069"/>
    <mergeCell ref="Z5070:AA5070"/>
    <mergeCell ref="Z5071:AA5071"/>
    <mergeCell ref="Z5072:AA5072"/>
    <mergeCell ref="Z5073:AA5073"/>
    <mergeCell ref="Z5074:AA5074"/>
    <mergeCell ref="Z5075:AA5075"/>
    <mergeCell ref="Z5076:AA5076"/>
    <mergeCell ref="Z5077:AA5077"/>
    <mergeCell ref="Z5078:AA5078"/>
    <mergeCell ref="Z5079:AA5079"/>
    <mergeCell ref="Z5080:AA5080"/>
    <mergeCell ref="Z5081:AA5081"/>
    <mergeCell ref="A5044:Y5046"/>
    <mergeCell ref="Z5044:AE5044"/>
    <mergeCell ref="Z5045:AE5045"/>
    <mergeCell ref="Z5046:AE5046"/>
    <mergeCell ref="A5047:S5048"/>
    <mergeCell ref="T5047:AA5048"/>
    <mergeCell ref="AB5047:AF5048"/>
    <mergeCell ref="A5050:AD5051"/>
    <mergeCell ref="A5052:D5053"/>
    <mergeCell ref="E5052:AD5053"/>
    <mergeCell ref="A5054:AD5054"/>
    <mergeCell ref="AE5054:AF5054"/>
    <mergeCell ref="A5055:AD5055"/>
    <mergeCell ref="AE5055:AF5055"/>
    <mergeCell ref="A5056:AD5056"/>
    <mergeCell ref="AE5056:AF5056"/>
    <mergeCell ref="A5058:E5058"/>
    <mergeCell ref="F5058:Y5058"/>
    <mergeCell ref="Z5058:AA5060"/>
    <mergeCell ref="AB5058:AD5059"/>
    <mergeCell ref="AE5058:AE5060"/>
    <mergeCell ref="AF5058:AF5060"/>
    <mergeCell ref="A5059:C5060"/>
    <mergeCell ref="D5059:S5060"/>
    <mergeCell ref="T5059:W5060"/>
    <mergeCell ref="X5059:Y5060"/>
    <mergeCell ref="A5023:Y5043"/>
    <mergeCell ref="Z5023:AA5023"/>
    <mergeCell ref="Z5024:AA5024"/>
    <mergeCell ref="Z5025:AA5025"/>
    <mergeCell ref="Z5026:AA5026"/>
    <mergeCell ref="Z5027:AA5027"/>
    <mergeCell ref="Z5028:AA5028"/>
    <mergeCell ref="Z5029:AA5029"/>
    <mergeCell ref="Z5030:AA5030"/>
    <mergeCell ref="Z5031:AA5031"/>
    <mergeCell ref="Z5032:AA5032"/>
    <mergeCell ref="Z5033:AA5033"/>
    <mergeCell ref="Z5034:AA5034"/>
    <mergeCell ref="Z5035:AA5035"/>
    <mergeCell ref="Z5036:AA5036"/>
    <mergeCell ref="Z5037:AA5037"/>
    <mergeCell ref="Z5038:AA5038"/>
    <mergeCell ref="Z5039:AA5039"/>
    <mergeCell ref="Z5040:AA5040"/>
    <mergeCell ref="Z5041:AA5041"/>
    <mergeCell ref="Z5042:AA5042"/>
    <mergeCell ref="Z5043:AA5043"/>
    <mergeCell ref="A5006:Y5008"/>
    <mergeCell ref="Z5006:AE5006"/>
    <mergeCell ref="Z5007:AE5007"/>
    <mergeCell ref="Z5008:AE5008"/>
    <mergeCell ref="A5009:S5010"/>
    <mergeCell ref="T5009:AA5010"/>
    <mergeCell ref="AB5009:AF5010"/>
    <mergeCell ref="A5012:AD5013"/>
    <mergeCell ref="A5014:D5015"/>
    <mergeCell ref="E5014:AD5015"/>
    <mergeCell ref="A5016:AD5016"/>
    <mergeCell ref="AE5016:AF5016"/>
    <mergeCell ref="A5017:AD5017"/>
    <mergeCell ref="AE5017:AF5017"/>
    <mergeCell ref="A5018:AD5018"/>
    <mergeCell ref="AE5018:AF5018"/>
    <mergeCell ref="A5020:E5020"/>
    <mergeCell ref="F5020:Y5020"/>
    <mergeCell ref="Z5020:AA5022"/>
    <mergeCell ref="AB5020:AD5021"/>
    <mergeCell ref="AE5020:AE5022"/>
    <mergeCell ref="AF5020:AF5022"/>
    <mergeCell ref="A5021:C5022"/>
    <mergeCell ref="D5021:S5022"/>
    <mergeCell ref="T5021:W5022"/>
    <mergeCell ref="X5021:Y5022"/>
    <mergeCell ref="A4986:Y5005"/>
    <mergeCell ref="Z4986:AA4986"/>
    <mergeCell ref="Z4987:AA4987"/>
    <mergeCell ref="Z4988:AA4988"/>
    <mergeCell ref="Z4989:AA4989"/>
    <mergeCell ref="Z4990:AA4990"/>
    <mergeCell ref="Z4991:AA4991"/>
    <mergeCell ref="Z4992:AA4992"/>
    <mergeCell ref="Z4993:AA4993"/>
    <mergeCell ref="Z4994:AA4994"/>
    <mergeCell ref="Z4995:AA4995"/>
    <mergeCell ref="Z4996:AA4996"/>
    <mergeCell ref="Z4997:AA4997"/>
    <mergeCell ref="Z4998:AA4998"/>
    <mergeCell ref="Z4999:AA4999"/>
    <mergeCell ref="Z5000:AA5000"/>
    <mergeCell ref="Z5001:AA5001"/>
    <mergeCell ref="Z5002:AA5002"/>
    <mergeCell ref="Z5003:AA5003"/>
    <mergeCell ref="Z5004:AA5004"/>
    <mergeCell ref="Z5005:AA5005"/>
    <mergeCell ref="A4969:Y4971"/>
    <mergeCell ref="Z4969:AE4969"/>
    <mergeCell ref="Z4970:AE4970"/>
    <mergeCell ref="Z4971:AE4971"/>
    <mergeCell ref="A4972:S4973"/>
    <mergeCell ref="T4972:AA4973"/>
    <mergeCell ref="AB4972:AF4973"/>
    <mergeCell ref="A4975:AD4976"/>
    <mergeCell ref="A4977:D4978"/>
    <mergeCell ref="E4977:AD4978"/>
    <mergeCell ref="A4979:AD4979"/>
    <mergeCell ref="AE4979:AF4979"/>
    <mergeCell ref="A4980:AD4980"/>
    <mergeCell ref="AE4980:AF4980"/>
    <mergeCell ref="A4981:AD4981"/>
    <mergeCell ref="AE4981:AF4981"/>
    <mergeCell ref="A4983:E4983"/>
    <mergeCell ref="F4983:Y4983"/>
    <mergeCell ref="Z4983:AA4985"/>
    <mergeCell ref="AB4983:AD4984"/>
    <mergeCell ref="AE4983:AE4985"/>
    <mergeCell ref="AF4983:AF4985"/>
    <mergeCell ref="A4984:C4985"/>
    <mergeCell ref="D4984:S4985"/>
    <mergeCell ref="T4984:W4985"/>
    <mergeCell ref="X4984:Y4985"/>
    <mergeCell ref="A4945:Y4968"/>
    <mergeCell ref="Z4945:AA4945"/>
    <mergeCell ref="Z4946:AA4946"/>
    <mergeCell ref="Z4947:AA4947"/>
    <mergeCell ref="Z4948:AA4948"/>
    <mergeCell ref="Z4949:AA4949"/>
    <mergeCell ref="Z4950:AA4950"/>
    <mergeCell ref="Z4951:AA4951"/>
    <mergeCell ref="Z4952:AA4952"/>
    <mergeCell ref="Z4953:AA4953"/>
    <mergeCell ref="Z4954:AA4954"/>
    <mergeCell ref="Z4955:AA4955"/>
    <mergeCell ref="Z4956:AA4956"/>
    <mergeCell ref="Z4957:AA4957"/>
    <mergeCell ref="Z4958:AA4958"/>
    <mergeCell ref="Z4959:AA4959"/>
    <mergeCell ref="Z4960:AA4960"/>
    <mergeCell ref="Z4961:AA4961"/>
    <mergeCell ref="Z4962:AA4962"/>
    <mergeCell ref="Z4963:AA4963"/>
    <mergeCell ref="Z4964:AA4964"/>
    <mergeCell ref="Z4965:AA4965"/>
    <mergeCell ref="Z4966:AA4966"/>
    <mergeCell ref="Z4967:AA4967"/>
    <mergeCell ref="Z4968:AA4968"/>
    <mergeCell ref="A4928:Y4930"/>
    <mergeCell ref="Z4928:AE4928"/>
    <mergeCell ref="Z4929:AE4929"/>
    <mergeCell ref="Z4930:AE4930"/>
    <mergeCell ref="A4931:S4932"/>
    <mergeCell ref="T4931:AA4932"/>
    <mergeCell ref="AB4931:AF4932"/>
    <mergeCell ref="A4934:AD4935"/>
    <mergeCell ref="A4936:D4937"/>
    <mergeCell ref="E4936:AD4937"/>
    <mergeCell ref="A4938:AD4938"/>
    <mergeCell ref="AE4938:AF4938"/>
    <mergeCell ref="A4939:AD4939"/>
    <mergeCell ref="AE4939:AF4939"/>
    <mergeCell ref="A4940:AD4940"/>
    <mergeCell ref="AE4940:AF4940"/>
    <mergeCell ref="A4942:E4942"/>
    <mergeCell ref="F4942:Y4942"/>
    <mergeCell ref="Z4942:AA4944"/>
    <mergeCell ref="AB4942:AD4943"/>
    <mergeCell ref="AE4942:AE4944"/>
    <mergeCell ref="AF4942:AF4944"/>
    <mergeCell ref="A4943:C4944"/>
    <mergeCell ref="D4943:S4944"/>
    <mergeCell ref="T4943:W4944"/>
    <mergeCell ref="X4943:Y4944"/>
    <mergeCell ref="A4904:Y4927"/>
    <mergeCell ref="Z4904:AA4904"/>
    <mergeCell ref="Z4905:AA4905"/>
    <mergeCell ref="Z4906:AA4906"/>
    <mergeCell ref="Z4907:AA4907"/>
    <mergeCell ref="Z4908:AA4908"/>
    <mergeCell ref="Z4909:AA4909"/>
    <mergeCell ref="Z4910:AA4910"/>
    <mergeCell ref="Z4911:AA4911"/>
    <mergeCell ref="Z4912:AA4912"/>
    <mergeCell ref="Z4913:AA4913"/>
    <mergeCell ref="Z4914:AA4914"/>
    <mergeCell ref="Z4915:AA4915"/>
    <mergeCell ref="Z4916:AA4916"/>
    <mergeCell ref="Z4917:AA4917"/>
    <mergeCell ref="Z4918:AA4918"/>
    <mergeCell ref="Z4919:AA4919"/>
    <mergeCell ref="Z4920:AA4920"/>
    <mergeCell ref="Z4921:AA4921"/>
    <mergeCell ref="Z4922:AA4922"/>
    <mergeCell ref="Z4923:AA4923"/>
    <mergeCell ref="Z4924:AA4924"/>
    <mergeCell ref="Z4925:AA4925"/>
    <mergeCell ref="Z4926:AA4926"/>
    <mergeCell ref="Z4927:AA4927"/>
    <mergeCell ref="A4893:AD4894"/>
    <mergeCell ref="A4895:D4896"/>
    <mergeCell ref="E4895:AD4896"/>
    <mergeCell ref="A4897:AD4897"/>
    <mergeCell ref="AE4897:AF4897"/>
    <mergeCell ref="A4898:AD4898"/>
    <mergeCell ref="AE4898:AF4898"/>
    <mergeCell ref="A4899:AD4899"/>
    <mergeCell ref="AE4899:AF4899"/>
    <mergeCell ref="A4901:E4901"/>
    <mergeCell ref="F4901:Y4901"/>
    <mergeCell ref="Z4901:AA4903"/>
    <mergeCell ref="AB4901:AD4902"/>
    <mergeCell ref="AE4901:AE4903"/>
    <mergeCell ref="AF4901:AF4903"/>
    <mergeCell ref="A4902:C4903"/>
    <mergeCell ref="D4902:S4903"/>
    <mergeCell ref="T4902:W4903"/>
    <mergeCell ref="X4902:Y4903"/>
    <mergeCell ref="A4887:Y4889"/>
    <mergeCell ref="Z4887:AE4887"/>
    <mergeCell ref="Z4888:AE4888"/>
    <mergeCell ref="Z4889:AE4889"/>
    <mergeCell ref="A4890:S4891"/>
    <mergeCell ref="T4890:AA4891"/>
    <mergeCell ref="AB4890:AF4891"/>
    <mergeCell ref="A4863:Y4886"/>
    <mergeCell ref="Z4863:AA4863"/>
    <mergeCell ref="Z4864:AA4864"/>
    <mergeCell ref="Z4865:AA4865"/>
    <mergeCell ref="Z4866:AA4866"/>
    <mergeCell ref="Z4867:AA4867"/>
    <mergeCell ref="Z4868:AA4868"/>
    <mergeCell ref="Z4869:AA4869"/>
    <mergeCell ref="Z4870:AA4870"/>
    <mergeCell ref="Z4871:AA4871"/>
    <mergeCell ref="Z4872:AA4872"/>
    <mergeCell ref="Z4873:AA4873"/>
    <mergeCell ref="Z4874:AA4874"/>
    <mergeCell ref="Z4875:AA4875"/>
    <mergeCell ref="Z4876:AA4876"/>
    <mergeCell ref="Z4877:AA4877"/>
    <mergeCell ref="Z4878:AA4878"/>
    <mergeCell ref="Z4879:AA4879"/>
    <mergeCell ref="Z4880:AA4880"/>
    <mergeCell ref="Z4881:AA4881"/>
    <mergeCell ref="Z4882:AA4882"/>
    <mergeCell ref="Z4883:AA4883"/>
    <mergeCell ref="Z4884:AA4884"/>
    <mergeCell ref="Z4885:AA4885"/>
    <mergeCell ref="Z4886:AA4886"/>
    <mergeCell ref="A4846:Y4848"/>
    <mergeCell ref="Z4846:AE4846"/>
    <mergeCell ref="Z4847:AE4847"/>
    <mergeCell ref="Z4848:AE4848"/>
    <mergeCell ref="A4849:S4850"/>
    <mergeCell ref="T4849:AA4850"/>
    <mergeCell ref="AB4849:AF4850"/>
    <mergeCell ref="A4852:AD4853"/>
    <mergeCell ref="A4854:D4855"/>
    <mergeCell ref="E4854:AD4855"/>
    <mergeCell ref="A4856:AD4856"/>
    <mergeCell ref="AE4856:AF4856"/>
    <mergeCell ref="A4857:AD4857"/>
    <mergeCell ref="AE4857:AF4857"/>
    <mergeCell ref="A4858:AD4858"/>
    <mergeCell ref="AE4858:AF4858"/>
    <mergeCell ref="A4860:E4860"/>
    <mergeCell ref="F4860:Y4860"/>
    <mergeCell ref="Z4860:AA4862"/>
    <mergeCell ref="AB4860:AD4861"/>
    <mergeCell ref="AE4860:AE4862"/>
    <mergeCell ref="AF4860:AF4862"/>
    <mergeCell ref="A4861:C4862"/>
    <mergeCell ref="D4861:S4862"/>
    <mergeCell ref="T4861:W4862"/>
    <mergeCell ref="X4861:Y4862"/>
    <mergeCell ref="A4822:Y4845"/>
    <mergeCell ref="Z4822:AA4822"/>
    <mergeCell ref="Z4823:AA4823"/>
    <mergeCell ref="Z4824:AA4824"/>
    <mergeCell ref="Z4825:AA4825"/>
    <mergeCell ref="Z4826:AA4826"/>
    <mergeCell ref="Z4827:AA4827"/>
    <mergeCell ref="Z4828:AA4828"/>
    <mergeCell ref="Z4829:AA4829"/>
    <mergeCell ref="Z4830:AA4830"/>
    <mergeCell ref="Z4831:AA4831"/>
    <mergeCell ref="Z4832:AA4832"/>
    <mergeCell ref="Z4833:AA4833"/>
    <mergeCell ref="Z4834:AA4834"/>
    <mergeCell ref="Z4835:AA4835"/>
    <mergeCell ref="Z4836:AA4836"/>
    <mergeCell ref="Z4837:AA4837"/>
    <mergeCell ref="Z4838:AA4838"/>
    <mergeCell ref="Z4839:AA4839"/>
    <mergeCell ref="Z4840:AA4840"/>
    <mergeCell ref="Z4841:AA4841"/>
    <mergeCell ref="Z4842:AA4842"/>
    <mergeCell ref="Z4843:AA4843"/>
    <mergeCell ref="Z4844:AA4844"/>
    <mergeCell ref="Z4845:AA4845"/>
    <mergeCell ref="A4811:AD4812"/>
    <mergeCell ref="A4813:D4814"/>
    <mergeCell ref="E4813:AD4814"/>
    <mergeCell ref="A4815:AD4815"/>
    <mergeCell ref="AE4815:AF4815"/>
    <mergeCell ref="A4816:AD4816"/>
    <mergeCell ref="AE4816:AF4816"/>
    <mergeCell ref="A4817:AD4817"/>
    <mergeCell ref="AE4817:AF4817"/>
    <mergeCell ref="A4819:E4819"/>
    <mergeCell ref="F4819:Y4819"/>
    <mergeCell ref="Z4819:AA4821"/>
    <mergeCell ref="AB4819:AD4820"/>
    <mergeCell ref="AE4819:AE4821"/>
    <mergeCell ref="AF4819:AF4821"/>
    <mergeCell ref="A4820:C4821"/>
    <mergeCell ref="D4820:S4821"/>
    <mergeCell ref="T4820:W4821"/>
    <mergeCell ref="X4820:Y4821"/>
    <mergeCell ref="A4805:Y4807"/>
    <mergeCell ref="Z4805:AE4805"/>
    <mergeCell ref="Z4806:AE4806"/>
    <mergeCell ref="Z4807:AE4807"/>
    <mergeCell ref="A4808:S4809"/>
    <mergeCell ref="T4808:AA4809"/>
    <mergeCell ref="AB4808:AF4809"/>
    <mergeCell ref="A4781:Y4804"/>
    <mergeCell ref="Z4781:AA4781"/>
    <mergeCell ref="Z4782:AA4782"/>
    <mergeCell ref="Z4783:AA4783"/>
    <mergeCell ref="Z4784:AA4784"/>
    <mergeCell ref="Z4785:AA4785"/>
    <mergeCell ref="Z4786:AA4786"/>
    <mergeCell ref="Z4787:AA4787"/>
    <mergeCell ref="Z4788:AA4788"/>
    <mergeCell ref="Z4789:AA4789"/>
    <mergeCell ref="Z4790:AA4790"/>
    <mergeCell ref="Z4791:AA4791"/>
    <mergeCell ref="Z4792:AA4792"/>
    <mergeCell ref="Z4793:AA4793"/>
    <mergeCell ref="Z4794:AA4794"/>
    <mergeCell ref="Z4795:AA4795"/>
    <mergeCell ref="Z4796:AA4796"/>
    <mergeCell ref="Z4797:AA4797"/>
    <mergeCell ref="Z4798:AA4798"/>
    <mergeCell ref="Z4799:AA4799"/>
    <mergeCell ref="Z4800:AA4800"/>
    <mergeCell ref="Z4801:AA4801"/>
    <mergeCell ref="Z4802:AA4802"/>
    <mergeCell ref="Z4803:AA4803"/>
    <mergeCell ref="Z4804:AA4804"/>
    <mergeCell ref="A4764:Y4766"/>
    <mergeCell ref="Z4764:AE4764"/>
    <mergeCell ref="Z4765:AE4765"/>
    <mergeCell ref="Z4766:AE4766"/>
    <mergeCell ref="A4767:S4768"/>
    <mergeCell ref="T4767:AA4768"/>
    <mergeCell ref="AB4767:AF4768"/>
    <mergeCell ref="A4770:AD4771"/>
    <mergeCell ref="A4772:D4773"/>
    <mergeCell ref="E4772:AD4773"/>
    <mergeCell ref="A4774:AD4774"/>
    <mergeCell ref="AE4774:AF4774"/>
    <mergeCell ref="A4775:AD4775"/>
    <mergeCell ref="AE4775:AF4775"/>
    <mergeCell ref="A4776:AD4776"/>
    <mergeCell ref="AE4776:AF4776"/>
    <mergeCell ref="A4778:E4778"/>
    <mergeCell ref="F4778:Y4778"/>
    <mergeCell ref="Z4778:AA4780"/>
    <mergeCell ref="AB4778:AD4779"/>
    <mergeCell ref="AE4778:AE4780"/>
    <mergeCell ref="AF4778:AF4780"/>
    <mergeCell ref="A4779:C4780"/>
    <mergeCell ref="D4779:S4780"/>
    <mergeCell ref="T4779:W4780"/>
    <mergeCell ref="X4779:Y4780"/>
    <mergeCell ref="A4740:Y4763"/>
    <mergeCell ref="Z4740:AA4740"/>
    <mergeCell ref="Z4741:AA4741"/>
    <mergeCell ref="Z4742:AA4742"/>
    <mergeCell ref="Z4743:AA4743"/>
    <mergeCell ref="Z4744:AA4744"/>
    <mergeCell ref="Z4745:AA4745"/>
    <mergeCell ref="Z4746:AA4746"/>
    <mergeCell ref="Z4747:AA4747"/>
    <mergeCell ref="Z4748:AA4748"/>
    <mergeCell ref="Z4749:AA4749"/>
    <mergeCell ref="Z4750:AA4750"/>
    <mergeCell ref="Z4751:AA4751"/>
    <mergeCell ref="Z4752:AA4752"/>
    <mergeCell ref="Z4753:AA4753"/>
    <mergeCell ref="Z4754:AA4754"/>
    <mergeCell ref="Z4755:AA4755"/>
    <mergeCell ref="Z4756:AA4756"/>
    <mergeCell ref="Z4757:AA4757"/>
    <mergeCell ref="Z4758:AA4758"/>
    <mergeCell ref="Z4759:AA4759"/>
    <mergeCell ref="Z4760:AA4760"/>
    <mergeCell ref="Z4761:AA4761"/>
    <mergeCell ref="Z4762:AA4762"/>
    <mergeCell ref="Z4763:AA4763"/>
    <mergeCell ref="A4723:Y4725"/>
    <mergeCell ref="Z4723:AE4723"/>
    <mergeCell ref="Z4724:AE4724"/>
    <mergeCell ref="Z4725:AE4725"/>
    <mergeCell ref="A4726:S4727"/>
    <mergeCell ref="T4726:AA4727"/>
    <mergeCell ref="AB4726:AF4727"/>
    <mergeCell ref="A4729:AD4730"/>
    <mergeCell ref="A4731:D4732"/>
    <mergeCell ref="E4731:AD4732"/>
    <mergeCell ref="A4733:AD4733"/>
    <mergeCell ref="AE4733:AF4733"/>
    <mergeCell ref="A4734:AD4734"/>
    <mergeCell ref="AE4734:AF4734"/>
    <mergeCell ref="A4735:AD4735"/>
    <mergeCell ref="AE4735:AF4735"/>
    <mergeCell ref="A4737:E4737"/>
    <mergeCell ref="F4737:Y4737"/>
    <mergeCell ref="Z4737:AA4739"/>
    <mergeCell ref="AB4737:AD4738"/>
    <mergeCell ref="AE4737:AE4739"/>
    <mergeCell ref="AF4737:AF4739"/>
    <mergeCell ref="A4738:C4739"/>
    <mergeCell ref="D4738:S4739"/>
    <mergeCell ref="T4738:W4739"/>
    <mergeCell ref="X4738:Y4739"/>
    <mergeCell ref="A4699:Y4722"/>
    <mergeCell ref="Z4699:AA4699"/>
    <mergeCell ref="Z4700:AA4700"/>
    <mergeCell ref="Z4701:AA4701"/>
    <mergeCell ref="Z4702:AA4702"/>
    <mergeCell ref="Z4703:AA4703"/>
    <mergeCell ref="Z4704:AA4704"/>
    <mergeCell ref="Z4705:AA4705"/>
    <mergeCell ref="Z4706:AA4706"/>
    <mergeCell ref="Z4707:AA4707"/>
    <mergeCell ref="Z4708:AA4708"/>
    <mergeCell ref="Z4709:AA4709"/>
    <mergeCell ref="Z4710:AA4710"/>
    <mergeCell ref="Z4711:AA4711"/>
    <mergeCell ref="Z4712:AA4712"/>
    <mergeCell ref="Z4713:AA4713"/>
    <mergeCell ref="Z4714:AA4714"/>
    <mergeCell ref="Z4715:AA4715"/>
    <mergeCell ref="Z4716:AA4716"/>
    <mergeCell ref="Z4717:AA4717"/>
    <mergeCell ref="Z4718:AA4718"/>
    <mergeCell ref="Z4719:AA4719"/>
    <mergeCell ref="Z4720:AA4720"/>
    <mergeCell ref="Z4721:AA4721"/>
    <mergeCell ref="Z4722:AA4722"/>
    <mergeCell ref="A4682:Y4684"/>
    <mergeCell ref="Z4682:AE4682"/>
    <mergeCell ref="Z4683:AE4683"/>
    <mergeCell ref="Z4684:AE4684"/>
    <mergeCell ref="A4685:S4686"/>
    <mergeCell ref="T4685:AA4686"/>
    <mergeCell ref="AB4685:AF4686"/>
    <mergeCell ref="A4688:AD4689"/>
    <mergeCell ref="A4690:D4691"/>
    <mergeCell ref="E4690:AD4691"/>
    <mergeCell ref="A4692:AD4692"/>
    <mergeCell ref="AE4692:AF4692"/>
    <mergeCell ref="A4693:AD4693"/>
    <mergeCell ref="AE4693:AF4693"/>
    <mergeCell ref="A4694:AD4694"/>
    <mergeCell ref="AE4694:AF4694"/>
    <mergeCell ref="A4696:E4696"/>
    <mergeCell ref="F4696:Y4696"/>
    <mergeCell ref="Z4696:AA4698"/>
    <mergeCell ref="AB4696:AD4697"/>
    <mergeCell ref="AE4696:AE4698"/>
    <mergeCell ref="AF4696:AF4698"/>
    <mergeCell ref="A4697:C4698"/>
    <mergeCell ref="D4697:S4698"/>
    <mergeCell ref="T4697:W4698"/>
    <mergeCell ref="X4697:Y4698"/>
    <mergeCell ref="A4658:Y4681"/>
    <mergeCell ref="Z4658:AA4658"/>
    <mergeCell ref="Z4659:AA4659"/>
    <mergeCell ref="Z4660:AA4660"/>
    <mergeCell ref="Z4661:AA4661"/>
    <mergeCell ref="Z4662:AA4662"/>
    <mergeCell ref="Z4663:AA4663"/>
    <mergeCell ref="Z4664:AA4664"/>
    <mergeCell ref="Z4665:AA4665"/>
    <mergeCell ref="Z4666:AA4666"/>
    <mergeCell ref="Z4667:AA4667"/>
    <mergeCell ref="Z4668:AA4668"/>
    <mergeCell ref="Z4669:AA4669"/>
    <mergeCell ref="Z4670:AA4670"/>
    <mergeCell ref="Z4671:AA4671"/>
    <mergeCell ref="Z4672:AA4672"/>
    <mergeCell ref="Z4673:AA4673"/>
    <mergeCell ref="Z4674:AA4674"/>
    <mergeCell ref="Z4675:AA4675"/>
    <mergeCell ref="Z4676:AA4676"/>
    <mergeCell ref="Z4677:AA4677"/>
    <mergeCell ref="Z4678:AA4678"/>
    <mergeCell ref="Z4679:AA4679"/>
    <mergeCell ref="Z4680:AA4680"/>
    <mergeCell ref="Z4681:AA4681"/>
    <mergeCell ref="A4641:Y4643"/>
    <mergeCell ref="Z4641:AE4641"/>
    <mergeCell ref="Z4642:AE4642"/>
    <mergeCell ref="Z4643:AE4643"/>
    <mergeCell ref="A4644:S4645"/>
    <mergeCell ref="T4644:AA4645"/>
    <mergeCell ref="AB4644:AF4645"/>
    <mergeCell ref="A4647:AD4648"/>
    <mergeCell ref="A4649:D4650"/>
    <mergeCell ref="E4649:AD4650"/>
    <mergeCell ref="A4651:AD4651"/>
    <mergeCell ref="AE4651:AF4651"/>
    <mergeCell ref="A4652:AD4652"/>
    <mergeCell ref="AE4652:AF4652"/>
    <mergeCell ref="A4653:AD4653"/>
    <mergeCell ref="AE4653:AF4653"/>
    <mergeCell ref="A4655:E4655"/>
    <mergeCell ref="F4655:Y4655"/>
    <mergeCell ref="Z4655:AA4657"/>
    <mergeCell ref="AB4655:AD4656"/>
    <mergeCell ref="AE4655:AE4657"/>
    <mergeCell ref="AF4655:AF4657"/>
    <mergeCell ref="A4656:C4657"/>
    <mergeCell ref="D4656:S4657"/>
    <mergeCell ref="T4656:W4657"/>
    <mergeCell ref="X4656:Y4657"/>
    <mergeCell ref="A4617:Y4640"/>
    <mergeCell ref="Z4617:AA4617"/>
    <mergeCell ref="Z4618:AA4618"/>
    <mergeCell ref="Z4619:AA4619"/>
    <mergeCell ref="Z4620:AA4620"/>
    <mergeCell ref="Z4621:AA4621"/>
    <mergeCell ref="Z4622:AA4622"/>
    <mergeCell ref="Z4623:AA4623"/>
    <mergeCell ref="Z4624:AA4624"/>
    <mergeCell ref="Z4625:AA4625"/>
    <mergeCell ref="Z4626:AA4626"/>
    <mergeCell ref="Z4627:AA4627"/>
    <mergeCell ref="Z4628:AA4628"/>
    <mergeCell ref="Z4629:AA4629"/>
    <mergeCell ref="Z4630:AA4630"/>
    <mergeCell ref="Z4631:AA4631"/>
    <mergeCell ref="Z4632:AA4632"/>
    <mergeCell ref="Z4633:AA4633"/>
    <mergeCell ref="Z4634:AA4634"/>
    <mergeCell ref="Z4635:AA4635"/>
    <mergeCell ref="Z4636:AA4636"/>
    <mergeCell ref="Z4637:AA4637"/>
    <mergeCell ref="Z4638:AA4638"/>
    <mergeCell ref="Z4639:AA4639"/>
    <mergeCell ref="Z4640:AA4640"/>
    <mergeCell ref="A4611:AD4611"/>
    <mergeCell ref="AE4611:AF4611"/>
    <mergeCell ref="A4612:AD4612"/>
    <mergeCell ref="AE4612:AF4612"/>
    <mergeCell ref="A4614:E4614"/>
    <mergeCell ref="F4614:Y4614"/>
    <mergeCell ref="Z4614:AA4616"/>
    <mergeCell ref="AB4614:AD4615"/>
    <mergeCell ref="AE4614:AE4616"/>
    <mergeCell ref="AF4614:AF4616"/>
    <mergeCell ref="A4615:C4616"/>
    <mergeCell ref="D4615:S4616"/>
    <mergeCell ref="T4615:W4616"/>
    <mergeCell ref="X4615:Y4616"/>
    <mergeCell ref="A4600:Y4602"/>
    <mergeCell ref="Z4600:AE4600"/>
    <mergeCell ref="Z4601:AE4601"/>
    <mergeCell ref="Z4602:AE4602"/>
    <mergeCell ref="A4603:S4604"/>
    <mergeCell ref="T4603:AA4604"/>
    <mergeCell ref="AB4603:AF4604"/>
    <mergeCell ref="Z4114:AE4114"/>
    <mergeCell ref="Z4115:AE4115"/>
    <mergeCell ref="Z4116:AE4116"/>
    <mergeCell ref="A4090:Y4113"/>
    <mergeCell ref="Z4090:AA4090"/>
    <mergeCell ref="Z4091:AA4091"/>
    <mergeCell ref="Z4092:AA4092"/>
    <mergeCell ref="Z4093:AA4093"/>
    <mergeCell ref="Z4094:AA4094"/>
    <mergeCell ref="A4117:S4118"/>
    <mergeCell ref="T4117:AA4118"/>
    <mergeCell ref="AB4117:AF4118"/>
    <mergeCell ref="A4606:AD4607"/>
    <mergeCell ref="A4608:D4609"/>
    <mergeCell ref="E4608:AD4609"/>
    <mergeCell ref="A4610:AD4610"/>
    <mergeCell ref="AE4610:AF4610"/>
    <mergeCell ref="A4576:Y4599"/>
    <mergeCell ref="Z4576:AA4576"/>
    <mergeCell ref="Z4577:AA4577"/>
    <mergeCell ref="Z4579:AA4579"/>
    <mergeCell ref="Z4580:AA4580"/>
    <mergeCell ref="Z4581:AA4581"/>
    <mergeCell ref="Z4582:AA4582"/>
    <mergeCell ref="Z4583:AA4583"/>
    <mergeCell ref="Z4584:AA4584"/>
    <mergeCell ref="Z4585:AA4585"/>
    <mergeCell ref="Z4586:AA4586"/>
    <mergeCell ref="Z4587:AA4587"/>
    <mergeCell ref="Z4588:AA4588"/>
    <mergeCell ref="Z4589:AA4589"/>
    <mergeCell ref="Z4590:AA4590"/>
    <mergeCell ref="AE4083:AF4083"/>
    <mergeCell ref="A4084:AD4084"/>
    <mergeCell ref="AE4084:AF4084"/>
    <mergeCell ref="A4085:AD4085"/>
    <mergeCell ref="AE4085:AF4085"/>
    <mergeCell ref="A4087:E4087"/>
    <mergeCell ref="F4087:Y4087"/>
    <mergeCell ref="Z4087:AA4089"/>
    <mergeCell ref="AB4087:AD4088"/>
    <mergeCell ref="AE4087:AE4089"/>
    <mergeCell ref="AF4087:AF4089"/>
    <mergeCell ref="A4088:C4089"/>
    <mergeCell ref="D4088:S4089"/>
    <mergeCell ref="T4088:W4089"/>
    <mergeCell ref="X4088:Y4089"/>
    <mergeCell ref="Z4101:AA4101"/>
    <mergeCell ref="Z4102:AA4102"/>
    <mergeCell ref="Z4591:AA4591"/>
    <mergeCell ref="Z4592:AA4592"/>
    <mergeCell ref="Z4593:AA4593"/>
    <mergeCell ref="Z4594:AA4594"/>
    <mergeCell ref="A4079:AD4080"/>
    <mergeCell ref="A4081:D4082"/>
    <mergeCell ref="E4081:AD4082"/>
    <mergeCell ref="A4083:AD4083"/>
    <mergeCell ref="Z4103:AA4103"/>
    <mergeCell ref="Z4104:AA4104"/>
    <mergeCell ref="Z4105:AA4105"/>
    <mergeCell ref="Z4106:AA4106"/>
    <mergeCell ref="Z4107:AA4107"/>
    <mergeCell ref="Z4108:AA4108"/>
    <mergeCell ref="Z4109:AA4109"/>
    <mergeCell ref="Z4110:AA4110"/>
    <mergeCell ref="Z4111:AA4111"/>
    <mergeCell ref="Z4112:AA4112"/>
    <mergeCell ref="Z4113:AA4113"/>
    <mergeCell ref="A4114:Y4116"/>
    <mergeCell ref="A4535:Y4558"/>
    <mergeCell ref="Z4535:AA4535"/>
    <mergeCell ref="Z4536:AA4536"/>
    <mergeCell ref="Z4537:AA4537"/>
    <mergeCell ref="Z4538:AA4538"/>
    <mergeCell ref="Z4539:AA4539"/>
    <mergeCell ref="Z4540:AA4540"/>
    <mergeCell ref="Z4541:AA4541"/>
    <mergeCell ref="Z4542:AA4542"/>
    <mergeCell ref="Z4543:AA4543"/>
    <mergeCell ref="Z4544:AA4544"/>
    <mergeCell ref="Z4545:AA4545"/>
    <mergeCell ref="Z4595:AA4595"/>
    <mergeCell ref="Z4596:AA4596"/>
    <mergeCell ref="Z4597:AA4597"/>
    <mergeCell ref="Z4598:AA4598"/>
    <mergeCell ref="Z4599:AA4599"/>
    <mergeCell ref="A4559:Y4561"/>
    <mergeCell ref="Z4559:AE4559"/>
    <mergeCell ref="Z4560:AE4560"/>
    <mergeCell ref="Z4561:AE4561"/>
    <mergeCell ref="A4562:S4563"/>
    <mergeCell ref="T4562:AA4563"/>
    <mergeCell ref="AB4562:AF4563"/>
    <mergeCell ref="A4565:AD4566"/>
    <mergeCell ref="A4567:D4568"/>
    <mergeCell ref="E4567:AD4568"/>
    <mergeCell ref="A4569:AD4569"/>
    <mergeCell ref="AE4569:AF4569"/>
    <mergeCell ref="A4570:AD4570"/>
    <mergeCell ref="AE4570:AF4570"/>
    <mergeCell ref="A4571:AD4571"/>
    <mergeCell ref="AE4571:AF4571"/>
    <mergeCell ref="A4573:E4573"/>
    <mergeCell ref="F4573:Y4573"/>
    <mergeCell ref="Z4573:AA4575"/>
    <mergeCell ref="AB4573:AD4574"/>
    <mergeCell ref="AE4573:AE4575"/>
    <mergeCell ref="AF4573:AF4575"/>
    <mergeCell ref="A4574:C4575"/>
    <mergeCell ref="D4574:S4575"/>
    <mergeCell ref="T4574:W4575"/>
    <mergeCell ref="X4574:Y4575"/>
    <mergeCell ref="Z4578:AA4578"/>
    <mergeCell ref="Z4546:AA4546"/>
    <mergeCell ref="Z4547:AA4547"/>
    <mergeCell ref="Z4548:AA4548"/>
    <mergeCell ref="Z4549:AA4549"/>
    <mergeCell ref="Z4550:AA4550"/>
    <mergeCell ref="Z4551:AA4551"/>
    <mergeCell ref="Z4552:AA4552"/>
    <mergeCell ref="Z4553:AA4553"/>
    <mergeCell ref="Z4554:AA4554"/>
    <mergeCell ref="Z4555:AA4555"/>
    <mergeCell ref="Z4556:AA4556"/>
    <mergeCell ref="Z4557:AA4557"/>
    <mergeCell ref="Z4558:AA4558"/>
    <mergeCell ref="A4518:Y4520"/>
    <mergeCell ref="Z4518:AE4518"/>
    <mergeCell ref="Z4519:AE4519"/>
    <mergeCell ref="Z4520:AE4520"/>
    <mergeCell ref="A4521:S4522"/>
    <mergeCell ref="T4521:AA4522"/>
    <mergeCell ref="AB4521:AF4522"/>
    <mergeCell ref="A4524:AD4525"/>
    <mergeCell ref="A4526:D4527"/>
    <mergeCell ref="E4526:AD4527"/>
    <mergeCell ref="A4528:AD4528"/>
    <mergeCell ref="AE4528:AF4528"/>
    <mergeCell ref="A4529:AD4529"/>
    <mergeCell ref="AE4529:AF4529"/>
    <mergeCell ref="A4530:AD4530"/>
    <mergeCell ref="AE4530:AF4530"/>
    <mergeCell ref="A4532:E4532"/>
    <mergeCell ref="F4532:Y4532"/>
    <mergeCell ref="Z4532:AA4534"/>
    <mergeCell ref="AB4532:AD4533"/>
    <mergeCell ref="AE4532:AE4534"/>
    <mergeCell ref="AF4532:AF4534"/>
    <mergeCell ref="A4533:C4534"/>
    <mergeCell ref="D4533:S4534"/>
    <mergeCell ref="T4533:W4534"/>
    <mergeCell ref="X4533:Y4534"/>
    <mergeCell ref="A4494:Y4517"/>
    <mergeCell ref="Z4494:AA4494"/>
    <mergeCell ref="Z4495:AA4495"/>
    <mergeCell ref="Z4496:AA4496"/>
    <mergeCell ref="Z4497:AA4497"/>
    <mergeCell ref="Z4498:AA4498"/>
    <mergeCell ref="Z4499:AA4499"/>
    <mergeCell ref="Z4500:AA4500"/>
    <mergeCell ref="Z4501:AA4501"/>
    <mergeCell ref="Z4502:AA4502"/>
    <mergeCell ref="Z4503:AA4503"/>
    <mergeCell ref="Z4504:AA4504"/>
    <mergeCell ref="Z4505:AA4505"/>
    <mergeCell ref="Z4506:AA4506"/>
    <mergeCell ref="Z4507:AA4507"/>
    <mergeCell ref="Z4508:AA4508"/>
    <mergeCell ref="Z4509:AA4509"/>
    <mergeCell ref="Z4510:AA4510"/>
    <mergeCell ref="Z4511:AA4511"/>
    <mergeCell ref="Z4512:AA4512"/>
    <mergeCell ref="Z4513:AA4513"/>
    <mergeCell ref="Z4514:AA4514"/>
    <mergeCell ref="Z4515:AA4515"/>
    <mergeCell ref="Z4516:AA4516"/>
    <mergeCell ref="Z4517:AA4517"/>
    <mergeCell ref="A4477:Y4479"/>
    <mergeCell ref="Z4477:AE4477"/>
    <mergeCell ref="Z4478:AE4478"/>
    <mergeCell ref="Z4479:AE4479"/>
    <mergeCell ref="A4480:S4481"/>
    <mergeCell ref="T4480:AA4481"/>
    <mergeCell ref="AB4480:AF4481"/>
    <mergeCell ref="A4483:AD4484"/>
    <mergeCell ref="A4485:D4486"/>
    <mergeCell ref="E4485:AD4486"/>
    <mergeCell ref="A4487:AD4487"/>
    <mergeCell ref="AE4487:AF4487"/>
    <mergeCell ref="A4488:AD4488"/>
    <mergeCell ref="AE4488:AF4488"/>
    <mergeCell ref="A4489:AD4489"/>
    <mergeCell ref="AE4489:AF4489"/>
    <mergeCell ref="A4491:E4491"/>
    <mergeCell ref="F4491:Y4491"/>
    <mergeCell ref="Z4491:AA4493"/>
    <mergeCell ref="AB4491:AD4492"/>
    <mergeCell ref="AE4491:AE4493"/>
    <mergeCell ref="AF4491:AF4493"/>
    <mergeCell ref="A4492:C4493"/>
    <mergeCell ref="D4492:S4493"/>
    <mergeCell ref="T4492:W4493"/>
    <mergeCell ref="X4492:Y4493"/>
    <mergeCell ref="A4453:Y4476"/>
    <mergeCell ref="Z4453:AA4453"/>
    <mergeCell ref="Z4454:AA4454"/>
    <mergeCell ref="Z4455:AA4455"/>
    <mergeCell ref="Z4456:AA4456"/>
    <mergeCell ref="Z4457:AA4457"/>
    <mergeCell ref="Z4458:AA4458"/>
    <mergeCell ref="Z4459:AA4459"/>
    <mergeCell ref="Z4460:AA4460"/>
    <mergeCell ref="Z4461:AA4461"/>
    <mergeCell ref="Z4462:AA4462"/>
    <mergeCell ref="Z4463:AA4463"/>
    <mergeCell ref="Z4464:AA4464"/>
    <mergeCell ref="Z4465:AA4465"/>
    <mergeCell ref="Z4466:AA4466"/>
    <mergeCell ref="Z4467:AA4467"/>
    <mergeCell ref="Z4468:AA4468"/>
    <mergeCell ref="Z4469:AA4469"/>
    <mergeCell ref="Z4470:AA4470"/>
    <mergeCell ref="Z4471:AA4471"/>
    <mergeCell ref="Z4472:AA4472"/>
    <mergeCell ref="Z4473:AA4473"/>
    <mergeCell ref="Z4474:AA4474"/>
    <mergeCell ref="Z4475:AA4475"/>
    <mergeCell ref="Z4476:AA4476"/>
    <mergeCell ref="A4436:Y4438"/>
    <mergeCell ref="Z4436:AE4436"/>
    <mergeCell ref="Z4437:AE4437"/>
    <mergeCell ref="Z4438:AE4438"/>
    <mergeCell ref="A4439:S4440"/>
    <mergeCell ref="T4439:AA4440"/>
    <mergeCell ref="AB4439:AF4440"/>
    <mergeCell ref="A4442:AD4443"/>
    <mergeCell ref="A4444:D4445"/>
    <mergeCell ref="E4444:AD4445"/>
    <mergeCell ref="A4446:AD4446"/>
    <mergeCell ref="AE4446:AF4446"/>
    <mergeCell ref="A4447:AD4447"/>
    <mergeCell ref="AE4447:AF4447"/>
    <mergeCell ref="A4448:AD4448"/>
    <mergeCell ref="AE4448:AF4448"/>
    <mergeCell ref="A4450:E4450"/>
    <mergeCell ref="F4450:Y4450"/>
    <mergeCell ref="Z4450:AA4452"/>
    <mergeCell ref="AB4450:AD4451"/>
    <mergeCell ref="AE4450:AE4452"/>
    <mergeCell ref="AF4450:AF4452"/>
    <mergeCell ref="A4451:C4452"/>
    <mergeCell ref="D4451:S4452"/>
    <mergeCell ref="T4451:W4452"/>
    <mergeCell ref="X4451:Y4452"/>
    <mergeCell ref="A4412:Y4435"/>
    <mergeCell ref="Z4412:AA4412"/>
    <mergeCell ref="Z4413:AA4413"/>
    <mergeCell ref="Z4414:AA4414"/>
    <mergeCell ref="Z4415:AA4415"/>
    <mergeCell ref="Z4416:AA4416"/>
    <mergeCell ref="Z4417:AA4417"/>
    <mergeCell ref="Z4418:AA4418"/>
    <mergeCell ref="Z4419:AA4419"/>
    <mergeCell ref="Z4420:AA4420"/>
    <mergeCell ref="Z4421:AA4421"/>
    <mergeCell ref="Z4422:AA4422"/>
    <mergeCell ref="Z4423:AA4423"/>
    <mergeCell ref="Z4424:AA4424"/>
    <mergeCell ref="Z4425:AA4425"/>
    <mergeCell ref="Z4426:AA4426"/>
    <mergeCell ref="Z4427:AA4427"/>
    <mergeCell ref="Z4428:AA4428"/>
    <mergeCell ref="Z4429:AA4429"/>
    <mergeCell ref="Z4430:AA4430"/>
    <mergeCell ref="Z4431:AA4431"/>
    <mergeCell ref="Z4432:AA4432"/>
    <mergeCell ref="Z4433:AA4433"/>
    <mergeCell ref="Z4434:AA4434"/>
    <mergeCell ref="Z4435:AA4435"/>
    <mergeCell ref="A4401:AD4402"/>
    <mergeCell ref="A4403:D4404"/>
    <mergeCell ref="E4403:AD4404"/>
    <mergeCell ref="A4405:AD4405"/>
    <mergeCell ref="AE4405:AF4405"/>
    <mergeCell ref="A4406:AD4406"/>
    <mergeCell ref="AE4406:AF4406"/>
    <mergeCell ref="A4407:AD4407"/>
    <mergeCell ref="AE4407:AF4407"/>
    <mergeCell ref="A4409:E4409"/>
    <mergeCell ref="F4409:Y4409"/>
    <mergeCell ref="Z4409:AA4411"/>
    <mergeCell ref="AB4409:AD4410"/>
    <mergeCell ref="AE4409:AE4411"/>
    <mergeCell ref="AF4409:AF4411"/>
    <mergeCell ref="A4410:C4411"/>
    <mergeCell ref="D4410:S4411"/>
    <mergeCell ref="T4410:W4411"/>
    <mergeCell ref="X4410:Y4411"/>
    <mergeCell ref="A2980:Y2982"/>
    <mergeCell ref="Z2980:AE2980"/>
    <mergeCell ref="Z2981:AE2981"/>
    <mergeCell ref="Z2982:AE2982"/>
    <mergeCell ref="A2983:S2984"/>
    <mergeCell ref="T2983:AA2984"/>
    <mergeCell ref="AB2983:AF2984"/>
    <mergeCell ref="A2956:Y2979"/>
    <mergeCell ref="Z2956:AA2956"/>
    <mergeCell ref="Z2957:AA2957"/>
    <mergeCell ref="Z2958:AA2958"/>
    <mergeCell ref="Z2959:AA2959"/>
    <mergeCell ref="Z2960:AA2960"/>
    <mergeCell ref="Z2961:AA2961"/>
    <mergeCell ref="Z2962:AA2962"/>
    <mergeCell ref="Z2963:AA2963"/>
    <mergeCell ref="Z2964:AA2964"/>
    <mergeCell ref="Z2965:AA2965"/>
    <mergeCell ref="Z2966:AA2966"/>
    <mergeCell ref="Z2967:AA2967"/>
    <mergeCell ref="Z2968:AA2968"/>
    <mergeCell ref="Z2969:AA2969"/>
    <mergeCell ref="Z2970:AA2970"/>
    <mergeCell ref="Z2971:AA2971"/>
    <mergeCell ref="Z2972:AA2972"/>
    <mergeCell ref="Z2973:AA2973"/>
    <mergeCell ref="Z2974:AA2974"/>
    <mergeCell ref="Z2975:AA2975"/>
    <mergeCell ref="Z2976:AA2976"/>
    <mergeCell ref="Z2977:AA2977"/>
    <mergeCell ref="Z2978:AA2978"/>
    <mergeCell ref="Z2979:AA2979"/>
    <mergeCell ref="A2939:Y2941"/>
    <mergeCell ref="Z2939:AE2939"/>
    <mergeCell ref="Z2940:AE2940"/>
    <mergeCell ref="Z2941:AE2941"/>
    <mergeCell ref="A2942:S2943"/>
    <mergeCell ref="T2942:AA2943"/>
    <mergeCell ref="AB2942:AF2943"/>
    <mergeCell ref="A2945:AD2946"/>
    <mergeCell ref="A2947:D2948"/>
    <mergeCell ref="E2947:AD2948"/>
    <mergeCell ref="A2949:AD2949"/>
    <mergeCell ref="AE2949:AF2949"/>
    <mergeCell ref="A2950:AD2950"/>
    <mergeCell ref="AE2950:AF2950"/>
    <mergeCell ref="A2951:AD2951"/>
    <mergeCell ref="AE2951:AF2951"/>
    <mergeCell ref="A2953:E2953"/>
    <mergeCell ref="F2953:Y2953"/>
    <mergeCell ref="Z2953:AA2955"/>
    <mergeCell ref="AB2953:AD2954"/>
    <mergeCell ref="AE2953:AE2955"/>
    <mergeCell ref="AF2953:AF2955"/>
    <mergeCell ref="A2954:C2955"/>
    <mergeCell ref="D2954:S2955"/>
    <mergeCell ref="T2954:W2955"/>
    <mergeCell ref="X2954:Y2955"/>
    <mergeCell ref="A2915:Y2938"/>
    <mergeCell ref="Z2915:AA2915"/>
    <mergeCell ref="Z2916:AA2916"/>
    <mergeCell ref="Z2917:AA2917"/>
    <mergeCell ref="Z2918:AA2918"/>
    <mergeCell ref="Z2919:AA2919"/>
    <mergeCell ref="Z2920:AA2920"/>
    <mergeCell ref="Z2921:AA2921"/>
    <mergeCell ref="Z2922:AA2922"/>
    <mergeCell ref="Z2923:AA2923"/>
    <mergeCell ref="Z2924:AA2924"/>
    <mergeCell ref="Z2925:AA2925"/>
    <mergeCell ref="Z2926:AA2926"/>
    <mergeCell ref="Z2927:AA2927"/>
    <mergeCell ref="Z2928:AA2928"/>
    <mergeCell ref="Z2929:AA2929"/>
    <mergeCell ref="Z2930:AA2930"/>
    <mergeCell ref="Z2931:AA2931"/>
    <mergeCell ref="Z2932:AA2932"/>
    <mergeCell ref="Z2933:AA2933"/>
    <mergeCell ref="Z2934:AA2934"/>
    <mergeCell ref="Z2935:AA2935"/>
    <mergeCell ref="Z2936:AA2936"/>
    <mergeCell ref="Z2937:AA2937"/>
    <mergeCell ref="Z2938:AA2938"/>
    <mergeCell ref="A2898:Y2900"/>
    <mergeCell ref="Z2898:AE2898"/>
    <mergeCell ref="Z2899:AE2899"/>
    <mergeCell ref="Z2900:AE2900"/>
    <mergeCell ref="A2901:S2902"/>
    <mergeCell ref="T2901:AA2902"/>
    <mergeCell ref="AB2901:AF2902"/>
    <mergeCell ref="A2904:AD2905"/>
    <mergeCell ref="A2906:D2907"/>
    <mergeCell ref="E2906:AD2907"/>
    <mergeCell ref="A2908:AD2908"/>
    <mergeCell ref="AE2908:AF2908"/>
    <mergeCell ref="A2909:AD2909"/>
    <mergeCell ref="AE2909:AF2909"/>
    <mergeCell ref="A2910:AD2910"/>
    <mergeCell ref="AE2910:AF2910"/>
    <mergeCell ref="A2912:E2912"/>
    <mergeCell ref="F2912:Y2912"/>
    <mergeCell ref="Z2912:AA2914"/>
    <mergeCell ref="AB2912:AD2913"/>
    <mergeCell ref="AE2912:AE2914"/>
    <mergeCell ref="AF2912:AF2914"/>
    <mergeCell ref="A2913:C2914"/>
    <mergeCell ref="D2913:S2914"/>
    <mergeCell ref="T2913:W2914"/>
    <mergeCell ref="X2913:Y2914"/>
    <mergeCell ref="A2874:Y2897"/>
    <mergeCell ref="Z2874:AA2874"/>
    <mergeCell ref="Z2875:AA2875"/>
    <mergeCell ref="Z2876:AA2876"/>
    <mergeCell ref="Z2877:AA2877"/>
    <mergeCell ref="Z2878:AA2878"/>
    <mergeCell ref="Z2879:AA2879"/>
    <mergeCell ref="Z2880:AA2880"/>
    <mergeCell ref="Z2881:AA2881"/>
    <mergeCell ref="Z2882:AA2882"/>
    <mergeCell ref="Z2883:AA2883"/>
    <mergeCell ref="Z2884:AA2884"/>
    <mergeCell ref="Z2885:AA2885"/>
    <mergeCell ref="Z2886:AA2886"/>
    <mergeCell ref="Z2887:AA2887"/>
    <mergeCell ref="Z2888:AA2888"/>
    <mergeCell ref="Z2889:AA2889"/>
    <mergeCell ref="Z2890:AA2890"/>
    <mergeCell ref="Z2891:AA2891"/>
    <mergeCell ref="Z2892:AA2892"/>
    <mergeCell ref="Z2893:AA2893"/>
    <mergeCell ref="Z2894:AA2894"/>
    <mergeCell ref="Z2895:AA2895"/>
    <mergeCell ref="Z2896:AA2896"/>
    <mergeCell ref="Z2897:AA2897"/>
    <mergeCell ref="A2865:D2866"/>
    <mergeCell ref="E2865:AD2866"/>
    <mergeCell ref="A2867:AD2867"/>
    <mergeCell ref="AE2867:AF2867"/>
    <mergeCell ref="A2868:AD2868"/>
    <mergeCell ref="AE2868:AF2868"/>
    <mergeCell ref="A2869:AD2869"/>
    <mergeCell ref="AE2869:AF2869"/>
    <mergeCell ref="A2871:E2871"/>
    <mergeCell ref="F2871:Y2871"/>
    <mergeCell ref="Z2871:AA2873"/>
    <mergeCell ref="AB2871:AD2872"/>
    <mergeCell ref="AE2871:AE2873"/>
    <mergeCell ref="AF2871:AF2873"/>
    <mergeCell ref="A2872:C2873"/>
    <mergeCell ref="D2872:S2873"/>
    <mergeCell ref="T2872:W2873"/>
    <mergeCell ref="X2872:Y2873"/>
    <mergeCell ref="Z2848:AA2848"/>
    <mergeCell ref="Z2849:AA2849"/>
    <mergeCell ref="Z2850:AA2850"/>
    <mergeCell ref="Z2851:AA2851"/>
    <mergeCell ref="Z2852:AA2852"/>
    <mergeCell ref="Z2853:AA2853"/>
    <mergeCell ref="Z2854:AA2854"/>
    <mergeCell ref="Z2855:AA2855"/>
    <mergeCell ref="Z2856:AA2856"/>
    <mergeCell ref="A2857:Y2859"/>
    <mergeCell ref="Z2857:AE2857"/>
    <mergeCell ref="Z2858:AE2858"/>
    <mergeCell ref="Z2859:AE2859"/>
    <mergeCell ref="A2860:S2861"/>
    <mergeCell ref="T2860:AA2861"/>
    <mergeCell ref="AB2860:AF2861"/>
    <mergeCell ref="A2863:AD2864"/>
    <mergeCell ref="A2826:AD2826"/>
    <mergeCell ref="AE2826:AF2826"/>
    <mergeCell ref="A2827:AD2827"/>
    <mergeCell ref="AE2827:AF2827"/>
    <mergeCell ref="A2828:AD2828"/>
    <mergeCell ref="AE2828:AF2828"/>
    <mergeCell ref="A2830:E2830"/>
    <mergeCell ref="F2830:Y2830"/>
    <mergeCell ref="Z2830:AA2832"/>
    <mergeCell ref="AB2830:AD2831"/>
    <mergeCell ref="AE2830:AE2832"/>
    <mergeCell ref="AF2830:AF2832"/>
    <mergeCell ref="A2831:C2832"/>
    <mergeCell ref="D2831:S2832"/>
    <mergeCell ref="T2831:W2832"/>
    <mergeCell ref="X2831:Y2832"/>
    <mergeCell ref="A2833:Y2856"/>
    <mergeCell ref="Z2833:AA2833"/>
    <mergeCell ref="Z2834:AA2834"/>
    <mergeCell ref="Z2835:AA2835"/>
    <mergeCell ref="Z2836:AA2836"/>
    <mergeCell ref="Z2837:AA2837"/>
    <mergeCell ref="Z2838:AA2838"/>
    <mergeCell ref="Z2839:AA2839"/>
    <mergeCell ref="Z2840:AA2840"/>
    <mergeCell ref="Z2841:AA2841"/>
    <mergeCell ref="Z2842:AA2842"/>
    <mergeCell ref="Z2843:AA2843"/>
    <mergeCell ref="Z2844:AA2844"/>
    <mergeCell ref="Z2845:AA2845"/>
    <mergeCell ref="Z2846:AA2846"/>
    <mergeCell ref="Z2847:AA2847"/>
    <mergeCell ref="A2816:Y2818"/>
    <mergeCell ref="Z2816:AE2816"/>
    <mergeCell ref="Z2817:AE2817"/>
    <mergeCell ref="Z2818:AE2818"/>
    <mergeCell ref="A2819:S2820"/>
    <mergeCell ref="T2819:AA2820"/>
    <mergeCell ref="AB2819:AF2820"/>
    <mergeCell ref="Z2792:AA2792"/>
    <mergeCell ref="Z2793:AA2793"/>
    <mergeCell ref="Z2794:AA2794"/>
    <mergeCell ref="Z2795:AA2795"/>
    <mergeCell ref="Z2796:AA2796"/>
    <mergeCell ref="Z2797:AA2797"/>
    <mergeCell ref="Z2798:AA2798"/>
    <mergeCell ref="Z2799:AA2799"/>
    <mergeCell ref="A2822:AD2823"/>
    <mergeCell ref="A2824:D2825"/>
    <mergeCell ref="E2824:AD2825"/>
    <mergeCell ref="A2789:E2789"/>
    <mergeCell ref="F2789:Y2789"/>
    <mergeCell ref="Z2789:AA2791"/>
    <mergeCell ref="AB2789:AD2790"/>
    <mergeCell ref="AE2789:AE2791"/>
    <mergeCell ref="AF2789:AF2791"/>
    <mergeCell ref="A2790:C2791"/>
    <mergeCell ref="D2790:S2791"/>
    <mergeCell ref="T2790:W2791"/>
    <mergeCell ref="X2790:Y2791"/>
    <mergeCell ref="A2792:Y2815"/>
    <mergeCell ref="Z2800:AA2800"/>
    <mergeCell ref="Z2801:AA2801"/>
    <mergeCell ref="Z2802:AA2802"/>
    <mergeCell ref="Z2803:AA2803"/>
    <mergeCell ref="Z2804:AA2804"/>
    <mergeCell ref="Z2805:AA2805"/>
    <mergeCell ref="Z2806:AA2806"/>
    <mergeCell ref="Z2807:AA2807"/>
    <mergeCell ref="Z2808:AA2808"/>
    <mergeCell ref="Z2809:AA2809"/>
    <mergeCell ref="Z2810:AA2810"/>
    <mergeCell ref="Z2811:AA2811"/>
    <mergeCell ref="Z2812:AA2812"/>
    <mergeCell ref="Z2813:AA2813"/>
    <mergeCell ref="Z2814:AA2814"/>
    <mergeCell ref="Z2815:AA2815"/>
    <mergeCell ref="A2786:AD2786"/>
    <mergeCell ref="AE2786:AF2786"/>
    <mergeCell ref="A2787:AD2787"/>
    <mergeCell ref="AE2787:AF2787"/>
    <mergeCell ref="A2751:Y2774"/>
    <mergeCell ref="Z2759:AA2759"/>
    <mergeCell ref="Z2760:AA2760"/>
    <mergeCell ref="Z2761:AA2761"/>
    <mergeCell ref="Z2762:AA2762"/>
    <mergeCell ref="Z2763:AA2763"/>
    <mergeCell ref="Z2764:AA2764"/>
    <mergeCell ref="Z2765:AA2765"/>
    <mergeCell ref="Z2766:AA2766"/>
    <mergeCell ref="Z2767:AA2767"/>
    <mergeCell ref="Z2768:AA2768"/>
    <mergeCell ref="Z2769:AA2769"/>
    <mergeCell ref="Z2770:AA2770"/>
    <mergeCell ref="Z2771:AA2771"/>
    <mergeCell ref="A2749:C2750"/>
    <mergeCell ref="D2749:S2750"/>
    <mergeCell ref="T2749:W2750"/>
    <mergeCell ref="X2749:Y2750"/>
    <mergeCell ref="A2775:Y2777"/>
    <mergeCell ref="Z2775:AE2775"/>
    <mergeCell ref="Z2776:AE2776"/>
    <mergeCell ref="Z2777:AE2777"/>
    <mergeCell ref="A2778:S2779"/>
    <mergeCell ref="T2778:AA2779"/>
    <mergeCell ref="AB2778:AF2779"/>
    <mergeCell ref="Z2751:AA2755"/>
    <mergeCell ref="Z2756:AA2758"/>
    <mergeCell ref="A2781:AD2782"/>
    <mergeCell ref="A2783:D2784"/>
    <mergeCell ref="E2783:AD2784"/>
    <mergeCell ref="A2785:AD2785"/>
    <mergeCell ref="AE2785:AF2785"/>
    <mergeCell ref="Z2727:AA2727"/>
    <mergeCell ref="Z2728:AA2728"/>
    <mergeCell ref="Z2729:AA2729"/>
    <mergeCell ref="Z2730:AA2730"/>
    <mergeCell ref="Z2731:AA2731"/>
    <mergeCell ref="Z2732:AA2732"/>
    <mergeCell ref="Z2733:AA2733"/>
    <mergeCell ref="Z2772:AA2772"/>
    <mergeCell ref="Z2773:AA2773"/>
    <mergeCell ref="Z2774:AA2774"/>
    <mergeCell ref="A2734:Y2736"/>
    <mergeCell ref="Z2734:AE2734"/>
    <mergeCell ref="Z2735:AE2735"/>
    <mergeCell ref="Z2736:AE2736"/>
    <mergeCell ref="A2737:S2738"/>
    <mergeCell ref="T2737:AA2738"/>
    <mergeCell ref="AB2737:AF2738"/>
    <mergeCell ref="A2740:AD2741"/>
    <mergeCell ref="A2742:D2743"/>
    <mergeCell ref="E2742:AD2743"/>
    <mergeCell ref="A2744:AD2744"/>
    <mergeCell ref="AE2744:AF2744"/>
    <mergeCell ref="A2745:AD2745"/>
    <mergeCell ref="AE2745:AF2745"/>
    <mergeCell ref="A2746:AD2746"/>
    <mergeCell ref="AE2746:AF2746"/>
    <mergeCell ref="A2748:E2748"/>
    <mergeCell ref="F2748:Y2748"/>
    <mergeCell ref="Z2748:AA2750"/>
    <mergeCell ref="AB2748:AD2749"/>
    <mergeCell ref="AE2748:AE2750"/>
    <mergeCell ref="AF2748:AF2750"/>
    <mergeCell ref="A2704:AD2704"/>
    <mergeCell ref="AE2704:AF2704"/>
    <mergeCell ref="A2705:AD2705"/>
    <mergeCell ref="AE2705:AF2705"/>
    <mergeCell ref="A2707:E2707"/>
    <mergeCell ref="F2707:Y2707"/>
    <mergeCell ref="Z2707:AA2709"/>
    <mergeCell ref="AB2707:AD2708"/>
    <mergeCell ref="AE2707:AE2709"/>
    <mergeCell ref="AF2707:AF2709"/>
    <mergeCell ref="A2708:C2709"/>
    <mergeCell ref="D2708:S2709"/>
    <mergeCell ref="T2708:W2709"/>
    <mergeCell ref="X2708:Y2709"/>
    <mergeCell ref="A2710:Y2733"/>
    <mergeCell ref="Z2710:AA2710"/>
    <mergeCell ref="Z2711:AA2711"/>
    <mergeCell ref="Z2712:AA2712"/>
    <mergeCell ref="Z2713:AA2713"/>
    <mergeCell ref="Z2714:AA2714"/>
    <mergeCell ref="Z2715:AA2715"/>
    <mergeCell ref="Z2716:AA2716"/>
    <mergeCell ref="Z2717:AA2717"/>
    <mergeCell ref="Z2718:AA2718"/>
    <mergeCell ref="Z2719:AA2719"/>
    <mergeCell ref="Z2720:AA2720"/>
    <mergeCell ref="Z2721:AA2721"/>
    <mergeCell ref="Z2722:AA2722"/>
    <mergeCell ref="Z2723:AA2723"/>
    <mergeCell ref="Z2724:AA2724"/>
    <mergeCell ref="Z2725:AA2725"/>
    <mergeCell ref="Z2726:AA2726"/>
    <mergeCell ref="AE2669:AE2671"/>
    <mergeCell ref="AF2669:AF2671"/>
    <mergeCell ref="A2670:C2671"/>
    <mergeCell ref="D2670:S2671"/>
    <mergeCell ref="T2670:W2671"/>
    <mergeCell ref="X2670:Y2671"/>
    <mergeCell ref="Z2673:AA2673"/>
    <mergeCell ref="Z2674:AA2674"/>
    <mergeCell ref="Z2675:AA2675"/>
    <mergeCell ref="A2703:AD2703"/>
    <mergeCell ref="A2699:AD2700"/>
    <mergeCell ref="A2693:Y2695"/>
    <mergeCell ref="Z2693:AE2693"/>
    <mergeCell ref="Z2694:AE2694"/>
    <mergeCell ref="Z2695:AE2695"/>
    <mergeCell ref="A2696:S2697"/>
    <mergeCell ref="T2696:AA2697"/>
    <mergeCell ref="AB2696:AF2697"/>
    <mergeCell ref="AE2703:AF2703"/>
    <mergeCell ref="Z2669:AA2671"/>
    <mergeCell ref="AB2669:AD2670"/>
    <mergeCell ref="A2701:D2702"/>
    <mergeCell ref="E2701:AD2702"/>
    <mergeCell ref="Z2676:AA2676"/>
    <mergeCell ref="Z2677:AA2677"/>
    <mergeCell ref="Z2678:AA2678"/>
    <mergeCell ref="Z2679:AA2679"/>
    <mergeCell ref="Z2680:AA2680"/>
    <mergeCell ref="Z2681:AA2681"/>
    <mergeCell ref="Z2682:AA2682"/>
    <mergeCell ref="Z2683:AA2683"/>
    <mergeCell ref="Z2684:AA2684"/>
    <mergeCell ref="Z2685:AA2685"/>
    <mergeCell ref="Z2686:AA2686"/>
    <mergeCell ref="Z2687:AA2687"/>
    <mergeCell ref="Z2688:AA2688"/>
    <mergeCell ref="Z2689:AA2689"/>
    <mergeCell ref="X2595:Y2596"/>
    <mergeCell ref="Z2608:AA2608"/>
    <mergeCell ref="Z2609:AA2609"/>
    <mergeCell ref="A2597:Y2616"/>
    <mergeCell ref="Z2597:AA2597"/>
    <mergeCell ref="Z2598:AA2598"/>
    <mergeCell ref="Z2599:AA2599"/>
    <mergeCell ref="Z2600:AA2600"/>
    <mergeCell ref="Z2601:AA2601"/>
    <mergeCell ref="A2672:Y2692"/>
    <mergeCell ref="Z2672:AA2672"/>
    <mergeCell ref="Z2690:AA2690"/>
    <mergeCell ref="Z2691:AA2691"/>
    <mergeCell ref="Z2692:AA2692"/>
    <mergeCell ref="A2655:Y2657"/>
    <mergeCell ref="Z2655:AE2655"/>
    <mergeCell ref="Z2656:AE2656"/>
    <mergeCell ref="Z2657:AE2657"/>
    <mergeCell ref="A2658:S2659"/>
    <mergeCell ref="T2658:AA2659"/>
    <mergeCell ref="AB2658:AF2659"/>
    <mergeCell ref="A2661:AD2662"/>
    <mergeCell ref="A2663:D2664"/>
    <mergeCell ref="E2663:AD2664"/>
    <mergeCell ref="T2620:AA2621"/>
    <mergeCell ref="AB2620:AF2621"/>
    <mergeCell ref="AE2665:AF2665"/>
    <mergeCell ref="AE2666:AF2666"/>
    <mergeCell ref="A2667:AD2667"/>
    <mergeCell ref="AE2667:AF2667"/>
    <mergeCell ref="A2669:E2669"/>
    <mergeCell ref="F2669:Y2669"/>
    <mergeCell ref="A2586:AD2587"/>
    <mergeCell ref="A2588:D2589"/>
    <mergeCell ref="E2588:AD2589"/>
    <mergeCell ref="A2590:AD2590"/>
    <mergeCell ref="Z2610:AA2610"/>
    <mergeCell ref="Z2611:AA2611"/>
    <mergeCell ref="Z2612:AA2612"/>
    <mergeCell ref="Z2613:AA2613"/>
    <mergeCell ref="Z2614:AA2614"/>
    <mergeCell ref="Z2615:AA2615"/>
    <mergeCell ref="Z2616:AA2616"/>
    <mergeCell ref="A2617:Y2619"/>
    <mergeCell ref="Z2617:AE2617"/>
    <mergeCell ref="Z2618:AE2618"/>
    <mergeCell ref="Z2619:AE2619"/>
    <mergeCell ref="A2620:S2621"/>
    <mergeCell ref="AE2590:AF2590"/>
    <mergeCell ref="A2591:AD2591"/>
    <mergeCell ref="AE2591:AF2591"/>
    <mergeCell ref="A2592:AD2592"/>
    <mergeCell ref="AE2592:AF2592"/>
    <mergeCell ref="A2594:E2594"/>
    <mergeCell ref="F2594:Y2594"/>
    <mergeCell ref="Z2594:AA2596"/>
    <mergeCell ref="AB2594:AD2595"/>
    <mergeCell ref="Z2606:AA2606"/>
    <mergeCell ref="Z2607:AA2607"/>
    <mergeCell ref="AE2594:AE2596"/>
    <mergeCell ref="AF2594:AF2596"/>
    <mergeCell ref="A2595:C2596"/>
    <mergeCell ref="D2595:S2596"/>
    <mergeCell ref="T2595:W2596"/>
    <mergeCell ref="A2634:Y2654"/>
    <mergeCell ref="Z2634:AA2634"/>
    <mergeCell ref="Z2635:AA2635"/>
    <mergeCell ref="Z2636:AA2636"/>
    <mergeCell ref="Z2637:AA2637"/>
    <mergeCell ref="Z2638:AA2638"/>
    <mergeCell ref="Z2639:AA2639"/>
    <mergeCell ref="Z2640:AA2640"/>
    <mergeCell ref="Z2641:AA2641"/>
    <mergeCell ref="Z2642:AA2642"/>
    <mergeCell ref="Z2643:AA2643"/>
    <mergeCell ref="Z2644:AA2644"/>
    <mergeCell ref="Z2645:AA2645"/>
    <mergeCell ref="Z2646:AA2646"/>
    <mergeCell ref="Z2647:AA2647"/>
    <mergeCell ref="Z2648:AA2648"/>
    <mergeCell ref="Z2649:AA2649"/>
    <mergeCell ref="Z2650:AA2650"/>
    <mergeCell ref="Z2651:AA2651"/>
    <mergeCell ref="Z2652:AA2652"/>
    <mergeCell ref="Z2653:AA2653"/>
    <mergeCell ref="Z2654:AA2654"/>
    <mergeCell ref="A2665:AD2665"/>
    <mergeCell ref="A2666:AD2666"/>
    <mergeCell ref="A2580:Y2582"/>
    <mergeCell ref="Z2580:AE2580"/>
    <mergeCell ref="Z2581:AE2581"/>
    <mergeCell ref="Z2582:AE2582"/>
    <mergeCell ref="A2583:S2584"/>
    <mergeCell ref="T2583:AA2584"/>
    <mergeCell ref="AB2583:AF2584"/>
    <mergeCell ref="A2623:AD2624"/>
    <mergeCell ref="A2625:D2626"/>
    <mergeCell ref="E2625:AD2626"/>
    <mergeCell ref="A2627:AD2627"/>
    <mergeCell ref="AE2627:AF2627"/>
    <mergeCell ref="A2628:AD2628"/>
    <mergeCell ref="AE2628:AF2628"/>
    <mergeCell ref="A2629:AD2629"/>
    <mergeCell ref="AE2629:AF2629"/>
    <mergeCell ref="A2631:E2631"/>
    <mergeCell ref="F2631:Y2631"/>
    <mergeCell ref="Z2631:AA2633"/>
    <mergeCell ref="AB2631:AD2632"/>
    <mergeCell ref="AE2631:AE2633"/>
    <mergeCell ref="AF2631:AF2633"/>
    <mergeCell ref="A2632:C2633"/>
    <mergeCell ref="D2632:S2633"/>
    <mergeCell ref="T2632:W2633"/>
    <mergeCell ref="X2632:Y2633"/>
    <mergeCell ref="Z2602:AA2602"/>
    <mergeCell ref="Z2603:AA2603"/>
    <mergeCell ref="Z2604:AA2604"/>
    <mergeCell ref="Z2605:AA2605"/>
    <mergeCell ref="A2556:Y2579"/>
    <mergeCell ref="Z2556:AA2556"/>
    <mergeCell ref="Z2557:AA2557"/>
    <mergeCell ref="Z2558:AA2558"/>
    <mergeCell ref="Z2559:AA2559"/>
    <mergeCell ref="Z2560:AA2560"/>
    <mergeCell ref="Z2561:AA2561"/>
    <mergeCell ref="Z2562:AA2562"/>
    <mergeCell ref="Z2563:AA2563"/>
    <mergeCell ref="Z2564:AA2564"/>
    <mergeCell ref="Z2565:AA2565"/>
    <mergeCell ref="Z2566:AA2566"/>
    <mergeCell ref="Z2567:AA2567"/>
    <mergeCell ref="Z2568:AA2568"/>
    <mergeCell ref="Z2569:AA2569"/>
    <mergeCell ref="Z2570:AA2570"/>
    <mergeCell ref="Z2571:AA2571"/>
    <mergeCell ref="Z2572:AA2572"/>
    <mergeCell ref="Z2573:AA2573"/>
    <mergeCell ref="Z2574:AA2574"/>
    <mergeCell ref="Z2575:AA2575"/>
    <mergeCell ref="Z2576:AA2576"/>
    <mergeCell ref="Z2577:AA2577"/>
    <mergeCell ref="Z2578:AA2578"/>
    <mergeCell ref="Z2579:AA2579"/>
    <mergeCell ref="A2539:Y2541"/>
    <mergeCell ref="Z2539:AE2539"/>
    <mergeCell ref="Z2540:AE2540"/>
    <mergeCell ref="Z2541:AE2541"/>
    <mergeCell ref="A2542:S2543"/>
    <mergeCell ref="T2542:AA2543"/>
    <mergeCell ref="AB2542:AF2543"/>
    <mergeCell ref="A2545:AD2546"/>
    <mergeCell ref="A2547:D2548"/>
    <mergeCell ref="E2547:AD2548"/>
    <mergeCell ref="A2549:AD2549"/>
    <mergeCell ref="AE2549:AF2549"/>
    <mergeCell ref="A2550:AD2550"/>
    <mergeCell ref="AE2550:AF2550"/>
    <mergeCell ref="A2551:AD2551"/>
    <mergeCell ref="AE2551:AF2551"/>
    <mergeCell ref="A2553:E2553"/>
    <mergeCell ref="F2553:Y2553"/>
    <mergeCell ref="Z2553:AA2555"/>
    <mergeCell ref="AB2553:AD2554"/>
    <mergeCell ref="AE2553:AE2555"/>
    <mergeCell ref="AF2553:AF2555"/>
    <mergeCell ref="A2554:C2555"/>
    <mergeCell ref="D2554:S2555"/>
    <mergeCell ref="T2554:W2555"/>
    <mergeCell ref="X2554:Y2555"/>
    <mergeCell ref="A2515:Y2538"/>
    <mergeCell ref="Z2515:AA2515"/>
    <mergeCell ref="Z2516:AA2516"/>
    <mergeCell ref="Z2517:AA2517"/>
    <mergeCell ref="Z2518:AA2518"/>
    <mergeCell ref="Z2519:AA2519"/>
    <mergeCell ref="Z2520:AA2520"/>
    <mergeCell ref="Z2521:AA2521"/>
    <mergeCell ref="Z2522:AA2522"/>
    <mergeCell ref="Z2523:AA2523"/>
    <mergeCell ref="Z2524:AA2524"/>
    <mergeCell ref="Z2525:AA2525"/>
    <mergeCell ref="Z2526:AA2526"/>
    <mergeCell ref="Z2527:AA2527"/>
    <mergeCell ref="Z2528:AA2528"/>
    <mergeCell ref="Z2529:AA2529"/>
    <mergeCell ref="Z2530:AA2530"/>
    <mergeCell ref="Z2531:AA2531"/>
    <mergeCell ref="Z2532:AA2532"/>
    <mergeCell ref="Z2533:AA2533"/>
    <mergeCell ref="Z2534:AA2534"/>
    <mergeCell ref="Z2535:AA2535"/>
    <mergeCell ref="Z2536:AA2536"/>
    <mergeCell ref="Z2537:AA2537"/>
    <mergeCell ref="Z2538:AA2538"/>
    <mergeCell ref="A2498:Y2500"/>
    <mergeCell ref="Z2498:AE2498"/>
    <mergeCell ref="Z2499:AE2499"/>
    <mergeCell ref="Z2500:AE2500"/>
    <mergeCell ref="A2501:S2502"/>
    <mergeCell ref="T2501:AA2502"/>
    <mergeCell ref="AB2501:AF2502"/>
    <mergeCell ref="A2504:AD2505"/>
    <mergeCell ref="A2506:D2507"/>
    <mergeCell ref="E2506:AD2507"/>
    <mergeCell ref="A2508:AD2508"/>
    <mergeCell ref="AE2508:AF2508"/>
    <mergeCell ref="A2509:AD2509"/>
    <mergeCell ref="AE2509:AF2509"/>
    <mergeCell ref="A2510:AD2510"/>
    <mergeCell ref="AE2510:AF2510"/>
    <mergeCell ref="A2512:E2512"/>
    <mergeCell ref="F2512:Y2512"/>
    <mergeCell ref="Z2512:AA2514"/>
    <mergeCell ref="AB2512:AD2513"/>
    <mergeCell ref="AE2512:AE2514"/>
    <mergeCell ref="AF2512:AF2514"/>
    <mergeCell ref="A2513:C2514"/>
    <mergeCell ref="D2513:S2514"/>
    <mergeCell ref="T2513:W2514"/>
    <mergeCell ref="X2513:Y2514"/>
    <mergeCell ref="A2474:Y2497"/>
    <mergeCell ref="Z2474:AA2474"/>
    <mergeCell ref="Z2475:AA2475"/>
    <mergeCell ref="Z2476:AA2476"/>
    <mergeCell ref="Z2477:AA2477"/>
    <mergeCell ref="Z2478:AA2478"/>
    <mergeCell ref="Z2479:AA2479"/>
    <mergeCell ref="Z2480:AA2480"/>
    <mergeCell ref="Z2481:AA2481"/>
    <mergeCell ref="Z2482:AA2482"/>
    <mergeCell ref="Z2483:AA2483"/>
    <mergeCell ref="Z2484:AA2484"/>
    <mergeCell ref="Z2485:AA2485"/>
    <mergeCell ref="Z2486:AA2486"/>
    <mergeCell ref="Z2487:AA2487"/>
    <mergeCell ref="Z2488:AA2488"/>
    <mergeCell ref="Z2489:AA2489"/>
    <mergeCell ref="Z2490:AA2490"/>
    <mergeCell ref="Z2491:AA2491"/>
    <mergeCell ref="Z2492:AA2492"/>
    <mergeCell ref="Z2493:AA2493"/>
    <mergeCell ref="Z2494:AA2494"/>
    <mergeCell ref="Z2495:AA2495"/>
    <mergeCell ref="Z2496:AA2496"/>
    <mergeCell ref="Z2497:AA2497"/>
    <mergeCell ref="A2457:Y2459"/>
    <mergeCell ref="Z2457:AE2457"/>
    <mergeCell ref="Z2458:AE2458"/>
    <mergeCell ref="Z2459:AE2459"/>
    <mergeCell ref="A2460:S2461"/>
    <mergeCell ref="T2460:AA2461"/>
    <mergeCell ref="AB2460:AF2461"/>
    <mergeCell ref="A2463:AD2464"/>
    <mergeCell ref="A2465:D2466"/>
    <mergeCell ref="E2465:AD2466"/>
    <mergeCell ref="A2467:AD2467"/>
    <mergeCell ref="AE2467:AF2467"/>
    <mergeCell ref="A2468:AD2468"/>
    <mergeCell ref="AE2468:AF2468"/>
    <mergeCell ref="A2469:AD2469"/>
    <mergeCell ref="AE2469:AF2469"/>
    <mergeCell ref="A2471:E2471"/>
    <mergeCell ref="F2471:Y2471"/>
    <mergeCell ref="Z2471:AA2473"/>
    <mergeCell ref="AB2471:AD2472"/>
    <mergeCell ref="AE2471:AE2473"/>
    <mergeCell ref="AF2471:AF2473"/>
    <mergeCell ref="A2472:C2473"/>
    <mergeCell ref="D2472:S2473"/>
    <mergeCell ref="T2472:W2473"/>
    <mergeCell ref="X2472:Y2473"/>
    <mergeCell ref="A2433:Y2456"/>
    <mergeCell ref="Z2433:AA2433"/>
    <mergeCell ref="Z2434:AA2434"/>
    <mergeCell ref="Z2435:AA2435"/>
    <mergeCell ref="Z2436:AA2436"/>
    <mergeCell ref="Z2437:AA2437"/>
    <mergeCell ref="Z2438:AA2438"/>
    <mergeCell ref="Z2439:AA2439"/>
    <mergeCell ref="Z2440:AA2440"/>
    <mergeCell ref="Z2441:AA2441"/>
    <mergeCell ref="Z2442:AA2442"/>
    <mergeCell ref="Z2443:AA2443"/>
    <mergeCell ref="Z2444:AA2444"/>
    <mergeCell ref="Z2445:AA2445"/>
    <mergeCell ref="Z2446:AA2446"/>
    <mergeCell ref="Z2447:AA2447"/>
    <mergeCell ref="Z2448:AA2448"/>
    <mergeCell ref="Z2449:AA2449"/>
    <mergeCell ref="Z2450:AA2450"/>
    <mergeCell ref="Z2451:AA2451"/>
    <mergeCell ref="Z2452:AA2452"/>
    <mergeCell ref="Z2453:AA2453"/>
    <mergeCell ref="Z2454:AA2454"/>
    <mergeCell ref="Z2455:AA2455"/>
    <mergeCell ref="Z2456:AA2456"/>
    <mergeCell ref="A2422:AD2423"/>
    <mergeCell ref="A2424:D2425"/>
    <mergeCell ref="E2424:AD2425"/>
    <mergeCell ref="A2426:AD2426"/>
    <mergeCell ref="AE2426:AF2426"/>
    <mergeCell ref="A2427:AD2427"/>
    <mergeCell ref="AE2427:AF2427"/>
    <mergeCell ref="A2428:AD2428"/>
    <mergeCell ref="AE2428:AF2428"/>
    <mergeCell ref="A2430:E2430"/>
    <mergeCell ref="F2430:Y2430"/>
    <mergeCell ref="Z2430:AA2432"/>
    <mergeCell ref="AB2430:AD2431"/>
    <mergeCell ref="AE2430:AE2432"/>
    <mergeCell ref="AF2430:AF2432"/>
    <mergeCell ref="A2431:C2432"/>
    <mergeCell ref="D2431:S2432"/>
    <mergeCell ref="T2431:W2432"/>
    <mergeCell ref="X2431:Y2432"/>
    <mergeCell ref="A1883:Y1885"/>
    <mergeCell ref="Z1883:AE1883"/>
    <mergeCell ref="Z1884:AE1884"/>
    <mergeCell ref="Z1885:AE1885"/>
    <mergeCell ref="A1886:S1887"/>
    <mergeCell ref="T1886:AA1887"/>
    <mergeCell ref="AB1886:AF1887"/>
    <mergeCell ref="A1859:Y1882"/>
    <mergeCell ref="Z1859:AA1859"/>
    <mergeCell ref="Z1860:AA1860"/>
    <mergeCell ref="Z1861:AA1861"/>
    <mergeCell ref="Z1862:AA1862"/>
    <mergeCell ref="Z1863:AA1863"/>
    <mergeCell ref="Z1864:AA1864"/>
    <mergeCell ref="Z1865:AA1865"/>
    <mergeCell ref="Z1866:AA1866"/>
    <mergeCell ref="Z1867:AA1867"/>
    <mergeCell ref="Z1868:AA1868"/>
    <mergeCell ref="Z1869:AA1869"/>
    <mergeCell ref="Z1870:AA1870"/>
    <mergeCell ref="Z1871:AA1871"/>
    <mergeCell ref="Z1872:AA1872"/>
    <mergeCell ref="Z1873:AA1873"/>
    <mergeCell ref="Z1874:AA1874"/>
    <mergeCell ref="Z1875:AA1875"/>
    <mergeCell ref="Z1876:AA1876"/>
    <mergeCell ref="Z1877:AA1877"/>
    <mergeCell ref="Z1878:AA1878"/>
    <mergeCell ref="Z1879:AA1879"/>
    <mergeCell ref="Z1880:AA1880"/>
    <mergeCell ref="Z1881:AA1881"/>
    <mergeCell ref="Z1882:AA1882"/>
    <mergeCell ref="A1842:Y1844"/>
    <mergeCell ref="Z1842:AE1842"/>
    <mergeCell ref="Z1843:AE1843"/>
    <mergeCell ref="Z1844:AE1844"/>
    <mergeCell ref="A1845:S1846"/>
    <mergeCell ref="T1845:AA1846"/>
    <mergeCell ref="AB1845:AF1846"/>
    <mergeCell ref="A1848:AD1849"/>
    <mergeCell ref="A1850:D1851"/>
    <mergeCell ref="E1850:AD1851"/>
    <mergeCell ref="A1852:AD1852"/>
    <mergeCell ref="AE1852:AF1852"/>
    <mergeCell ref="A1853:AD1853"/>
    <mergeCell ref="AE1853:AF1853"/>
    <mergeCell ref="A1854:AD1854"/>
    <mergeCell ref="AE1854:AF1854"/>
    <mergeCell ref="A1856:E1856"/>
    <mergeCell ref="F1856:Y1856"/>
    <mergeCell ref="Z1856:AA1858"/>
    <mergeCell ref="AB1856:AD1857"/>
    <mergeCell ref="AE1856:AE1858"/>
    <mergeCell ref="AF1856:AF1858"/>
    <mergeCell ref="A1857:C1858"/>
    <mergeCell ref="D1857:S1858"/>
    <mergeCell ref="T1857:W1858"/>
    <mergeCell ref="X1857:Y1858"/>
    <mergeCell ref="A1818:Y1841"/>
    <mergeCell ref="Z1818:AA1818"/>
    <mergeCell ref="Z1819:AA1819"/>
    <mergeCell ref="Z1820:AA1820"/>
    <mergeCell ref="Z1821:AA1821"/>
    <mergeCell ref="Z1822:AA1822"/>
    <mergeCell ref="Z1823:AA1823"/>
    <mergeCell ref="Z1824:AA1824"/>
    <mergeCell ref="Z1825:AA1825"/>
    <mergeCell ref="Z1826:AA1826"/>
    <mergeCell ref="Z1827:AA1827"/>
    <mergeCell ref="Z1828:AA1828"/>
    <mergeCell ref="Z1829:AA1829"/>
    <mergeCell ref="Z1830:AA1830"/>
    <mergeCell ref="Z1831:AA1831"/>
    <mergeCell ref="Z1832:AA1832"/>
    <mergeCell ref="Z1833:AA1833"/>
    <mergeCell ref="Z1834:AA1834"/>
    <mergeCell ref="Z1835:AA1835"/>
    <mergeCell ref="Z1836:AA1836"/>
    <mergeCell ref="Z1837:AA1837"/>
    <mergeCell ref="Z1838:AA1838"/>
    <mergeCell ref="Z1839:AA1839"/>
    <mergeCell ref="Z1840:AA1840"/>
    <mergeCell ref="Z1841:AA1841"/>
    <mergeCell ref="A1809:D1810"/>
    <mergeCell ref="E1809:AD1810"/>
    <mergeCell ref="A1811:AD1811"/>
    <mergeCell ref="AE1811:AF1811"/>
    <mergeCell ref="A1812:AD1812"/>
    <mergeCell ref="AE1812:AF1812"/>
    <mergeCell ref="A1813:AD1813"/>
    <mergeCell ref="AE1813:AF1813"/>
    <mergeCell ref="A1815:E1815"/>
    <mergeCell ref="F1815:Y1815"/>
    <mergeCell ref="Z1815:AA1817"/>
    <mergeCell ref="AB1815:AD1816"/>
    <mergeCell ref="AE1815:AE1817"/>
    <mergeCell ref="AF1815:AF1817"/>
    <mergeCell ref="A1816:C1817"/>
    <mergeCell ref="D1816:S1817"/>
    <mergeCell ref="T1816:W1817"/>
    <mergeCell ref="X1816:Y1817"/>
    <mergeCell ref="Z1792:AA1792"/>
    <mergeCell ref="Z1793:AA1793"/>
    <mergeCell ref="Z1794:AA1794"/>
    <mergeCell ref="Z1795:AA1795"/>
    <mergeCell ref="Z1796:AA1796"/>
    <mergeCell ref="Z1797:AA1797"/>
    <mergeCell ref="Z1798:AA1798"/>
    <mergeCell ref="Z1799:AA1799"/>
    <mergeCell ref="Z1800:AA1800"/>
    <mergeCell ref="A1801:Y1803"/>
    <mergeCell ref="Z1801:AE1801"/>
    <mergeCell ref="Z1802:AE1802"/>
    <mergeCell ref="Z1803:AE1803"/>
    <mergeCell ref="A1804:S1805"/>
    <mergeCell ref="T1804:AA1805"/>
    <mergeCell ref="AB1804:AF1805"/>
    <mergeCell ref="A1807:AD1808"/>
    <mergeCell ref="A1770:AD1770"/>
    <mergeCell ref="AE1770:AF1770"/>
    <mergeCell ref="A1771:AD1771"/>
    <mergeCell ref="AE1771:AF1771"/>
    <mergeCell ref="A1772:AD1772"/>
    <mergeCell ref="AE1772:AF1772"/>
    <mergeCell ref="A1774:E1774"/>
    <mergeCell ref="F1774:Y1774"/>
    <mergeCell ref="Z1774:AA1776"/>
    <mergeCell ref="AB1774:AD1775"/>
    <mergeCell ref="AE1774:AE1776"/>
    <mergeCell ref="AF1774:AF1776"/>
    <mergeCell ref="A1775:C1776"/>
    <mergeCell ref="D1775:S1776"/>
    <mergeCell ref="T1775:W1776"/>
    <mergeCell ref="X1775:Y1776"/>
    <mergeCell ref="A1777:Y1800"/>
    <mergeCell ref="Z1777:AA1777"/>
    <mergeCell ref="Z1778:AA1778"/>
    <mergeCell ref="Z1779:AA1779"/>
    <mergeCell ref="Z1780:AA1780"/>
    <mergeCell ref="Z1781:AA1781"/>
    <mergeCell ref="Z1782:AA1782"/>
    <mergeCell ref="Z1783:AA1783"/>
    <mergeCell ref="Z1784:AA1784"/>
    <mergeCell ref="Z1785:AA1785"/>
    <mergeCell ref="Z1786:AA1786"/>
    <mergeCell ref="Z1787:AA1787"/>
    <mergeCell ref="Z1788:AA1788"/>
    <mergeCell ref="Z1789:AA1789"/>
    <mergeCell ref="Z1790:AA1790"/>
    <mergeCell ref="Z1791:AA1791"/>
    <mergeCell ref="A1760:Y1762"/>
    <mergeCell ref="Z1760:AE1760"/>
    <mergeCell ref="Z1761:AE1761"/>
    <mergeCell ref="Z1762:AE1762"/>
    <mergeCell ref="A1763:S1764"/>
    <mergeCell ref="T1763:AA1764"/>
    <mergeCell ref="AB1763:AF1764"/>
    <mergeCell ref="Z1736:AA1736"/>
    <mergeCell ref="Z1737:AA1737"/>
    <mergeCell ref="Z1738:AA1738"/>
    <mergeCell ref="Z1739:AA1739"/>
    <mergeCell ref="Z1740:AA1740"/>
    <mergeCell ref="Z1741:AA1741"/>
    <mergeCell ref="Z1742:AA1742"/>
    <mergeCell ref="A1766:AD1767"/>
    <mergeCell ref="A1768:D1769"/>
    <mergeCell ref="E1768:AD1769"/>
    <mergeCell ref="A1731:AD1731"/>
    <mergeCell ref="AE1731:AF1731"/>
    <mergeCell ref="A1733:E1733"/>
    <mergeCell ref="F1733:Y1733"/>
    <mergeCell ref="Z1733:AA1735"/>
    <mergeCell ref="AB1733:AD1734"/>
    <mergeCell ref="AE1733:AE1735"/>
    <mergeCell ref="AF1733:AF1735"/>
    <mergeCell ref="A1734:C1735"/>
    <mergeCell ref="D1734:S1735"/>
    <mergeCell ref="T1734:W1735"/>
    <mergeCell ref="X1734:Y1735"/>
    <mergeCell ref="A1736:Y1759"/>
    <mergeCell ref="Z1743:AA1743"/>
    <mergeCell ref="Z1744:AA1744"/>
    <mergeCell ref="Z1745:AA1745"/>
    <mergeCell ref="Z1746:AA1746"/>
    <mergeCell ref="Z1747:AA1747"/>
    <mergeCell ref="Z1748:AA1748"/>
    <mergeCell ref="Z1749:AA1749"/>
    <mergeCell ref="Z1750:AA1750"/>
    <mergeCell ref="Z1751:AA1751"/>
    <mergeCell ref="Z1752:AA1752"/>
    <mergeCell ref="Z1753:AA1753"/>
    <mergeCell ref="Z1754:AA1754"/>
    <mergeCell ref="Z1755:AA1755"/>
    <mergeCell ref="Z1756:AA1756"/>
    <mergeCell ref="Z1757:AA1757"/>
    <mergeCell ref="Z1758:AA1758"/>
    <mergeCell ref="Z1759:AA1759"/>
    <mergeCell ref="A1719:Y1721"/>
    <mergeCell ref="Z1719:AE1719"/>
    <mergeCell ref="Z1720:AE1720"/>
    <mergeCell ref="Z1721:AE1721"/>
    <mergeCell ref="A1722:S1723"/>
    <mergeCell ref="T1722:AA1723"/>
    <mergeCell ref="AB1722:AF1723"/>
    <mergeCell ref="Z1695:AA1696"/>
    <mergeCell ref="Z1697:AA1698"/>
    <mergeCell ref="Z1699:AA1701"/>
    <mergeCell ref="A1725:AD1726"/>
    <mergeCell ref="A1727:D1728"/>
    <mergeCell ref="E1727:AD1728"/>
    <mergeCell ref="A1729:AD1729"/>
    <mergeCell ref="AE1729:AF1729"/>
    <mergeCell ref="A1730:AD1730"/>
    <mergeCell ref="AE1730:AF1730"/>
    <mergeCell ref="A1695:Y1718"/>
    <mergeCell ref="Z1702:AA1702"/>
    <mergeCell ref="Z1703:AA1703"/>
    <mergeCell ref="Z1704:AA1704"/>
    <mergeCell ref="Z1705:AA1705"/>
    <mergeCell ref="Z1706:AA1706"/>
    <mergeCell ref="Z1707:AA1707"/>
    <mergeCell ref="Z1708:AA1708"/>
    <mergeCell ref="Z1709:AA1709"/>
    <mergeCell ref="Z1710:AA1710"/>
    <mergeCell ref="Z1711:AA1711"/>
    <mergeCell ref="Z1712:AA1712"/>
    <mergeCell ref="Z1713:AA1713"/>
    <mergeCell ref="Z1714:AA1714"/>
    <mergeCell ref="Z1715:AA1715"/>
    <mergeCell ref="Z1716:AA1716"/>
    <mergeCell ref="Z1717:AA1717"/>
    <mergeCell ref="Z1718:AA1718"/>
    <mergeCell ref="A1686:D1687"/>
    <mergeCell ref="E1686:AD1687"/>
    <mergeCell ref="A1688:AD1688"/>
    <mergeCell ref="AE1688:AF1688"/>
    <mergeCell ref="A1689:AD1689"/>
    <mergeCell ref="AE1689:AF1689"/>
    <mergeCell ref="A1690:AD1690"/>
    <mergeCell ref="AE1690:AF1690"/>
    <mergeCell ref="A1692:E1692"/>
    <mergeCell ref="F1692:Y1692"/>
    <mergeCell ref="Z1692:AA1694"/>
    <mergeCell ref="AB1692:AD1693"/>
    <mergeCell ref="AE1692:AE1694"/>
    <mergeCell ref="AF1692:AF1694"/>
    <mergeCell ref="A1693:C1694"/>
    <mergeCell ref="D1693:S1694"/>
    <mergeCell ref="T1693:W1694"/>
    <mergeCell ref="X1693:Y1694"/>
    <mergeCell ref="Z1669:AA1669"/>
    <mergeCell ref="Z1670:AA1670"/>
    <mergeCell ref="Z1671:AA1671"/>
    <mergeCell ref="Z1672:AA1672"/>
    <mergeCell ref="Z1673:AA1673"/>
    <mergeCell ref="Z1674:AA1674"/>
    <mergeCell ref="Z1675:AA1675"/>
    <mergeCell ref="Z1676:AA1676"/>
    <mergeCell ref="Z1677:AA1677"/>
    <mergeCell ref="A1678:Y1680"/>
    <mergeCell ref="Z1678:AE1678"/>
    <mergeCell ref="Z1679:AE1679"/>
    <mergeCell ref="Z1680:AE1680"/>
    <mergeCell ref="A1681:S1682"/>
    <mergeCell ref="T1681:AA1682"/>
    <mergeCell ref="AB1681:AF1682"/>
    <mergeCell ref="A1684:AD1685"/>
    <mergeCell ref="A1647:AD1647"/>
    <mergeCell ref="AE1647:AF1647"/>
    <mergeCell ref="A1648:AD1648"/>
    <mergeCell ref="AE1648:AF1648"/>
    <mergeCell ref="A1649:AD1649"/>
    <mergeCell ref="AE1649:AF1649"/>
    <mergeCell ref="A1651:E1651"/>
    <mergeCell ref="F1651:Y1651"/>
    <mergeCell ref="Z1651:AA1653"/>
    <mergeCell ref="AB1651:AD1652"/>
    <mergeCell ref="AE1651:AE1653"/>
    <mergeCell ref="AF1651:AF1653"/>
    <mergeCell ref="A1652:C1653"/>
    <mergeCell ref="D1652:S1653"/>
    <mergeCell ref="T1652:W1653"/>
    <mergeCell ref="X1652:Y1653"/>
    <mergeCell ref="A1654:Y1677"/>
    <mergeCell ref="Z1654:AA1654"/>
    <mergeCell ref="Z1655:AA1655"/>
    <mergeCell ref="Z1656:AA1656"/>
    <mergeCell ref="Z1657:AA1657"/>
    <mergeCell ref="Z1658:AA1658"/>
    <mergeCell ref="Z1659:AA1659"/>
    <mergeCell ref="Z1660:AA1660"/>
    <mergeCell ref="Z1661:AA1661"/>
    <mergeCell ref="Z1662:AA1662"/>
    <mergeCell ref="Z1663:AA1663"/>
    <mergeCell ref="Z1664:AA1664"/>
    <mergeCell ref="Z1665:AA1665"/>
    <mergeCell ref="Z1666:AA1666"/>
    <mergeCell ref="Z1667:AA1667"/>
    <mergeCell ref="Z1668:AA1668"/>
    <mergeCell ref="Z1630:AA1630"/>
    <mergeCell ref="Z1631:AA1631"/>
    <mergeCell ref="Z1632:AA1632"/>
    <mergeCell ref="Z1633:AA1633"/>
    <mergeCell ref="Z1634:AA1634"/>
    <mergeCell ref="Z1635:AA1635"/>
    <mergeCell ref="Z1636:AA1636"/>
    <mergeCell ref="A1637:Y1639"/>
    <mergeCell ref="Z1637:AE1637"/>
    <mergeCell ref="Z1638:AE1638"/>
    <mergeCell ref="Z1639:AE1639"/>
    <mergeCell ref="A1640:S1641"/>
    <mergeCell ref="T1640:AA1641"/>
    <mergeCell ref="AB1640:AF1641"/>
    <mergeCell ref="A1643:AD1644"/>
    <mergeCell ref="A1645:D1646"/>
    <mergeCell ref="E1645:AD1646"/>
    <mergeCell ref="A1607:AD1607"/>
    <mergeCell ref="AE1607:AF1607"/>
    <mergeCell ref="A1608:AD1608"/>
    <mergeCell ref="AE1608:AF1608"/>
    <mergeCell ref="A1610:E1610"/>
    <mergeCell ref="F1610:Y1610"/>
    <mergeCell ref="Z1610:AA1612"/>
    <mergeCell ref="AB1610:AD1611"/>
    <mergeCell ref="AE1610:AE1612"/>
    <mergeCell ref="AF1610:AF1612"/>
    <mergeCell ref="A1611:C1612"/>
    <mergeCell ref="D1611:S1612"/>
    <mergeCell ref="T1611:W1612"/>
    <mergeCell ref="X1611:Y1612"/>
    <mergeCell ref="A1613:Y1636"/>
    <mergeCell ref="Z1613:AA1613"/>
    <mergeCell ref="Z1614:AA1614"/>
    <mergeCell ref="Z1615:AA1615"/>
    <mergeCell ref="Z1616:AA1616"/>
    <mergeCell ref="Z1617:AA1617"/>
    <mergeCell ref="Z1618:AA1618"/>
    <mergeCell ref="Z1619:AA1619"/>
    <mergeCell ref="Z1620:AA1620"/>
    <mergeCell ref="Z1621:AA1621"/>
    <mergeCell ref="Z1622:AA1622"/>
    <mergeCell ref="Z1623:AA1623"/>
    <mergeCell ref="Z1624:AA1624"/>
    <mergeCell ref="Z1625:AA1625"/>
    <mergeCell ref="Z1626:AA1626"/>
    <mergeCell ref="Z1627:AA1627"/>
    <mergeCell ref="Z1628:AA1628"/>
    <mergeCell ref="Z1629:AA1629"/>
    <mergeCell ref="Z1591:AA1591"/>
    <mergeCell ref="Z1592:AA1592"/>
    <mergeCell ref="Z1593:AA1593"/>
    <mergeCell ref="Z1594:AA1594"/>
    <mergeCell ref="Z1595:AA1595"/>
    <mergeCell ref="A1596:Y1598"/>
    <mergeCell ref="Z1596:AE1596"/>
    <mergeCell ref="Z1597:AE1597"/>
    <mergeCell ref="Z1598:AE1598"/>
    <mergeCell ref="A1599:S1600"/>
    <mergeCell ref="T1599:AA1600"/>
    <mergeCell ref="AB1599:AF1600"/>
    <mergeCell ref="A1602:AD1603"/>
    <mergeCell ref="A1604:D1605"/>
    <mergeCell ref="E1604:AD1605"/>
    <mergeCell ref="A1606:AD1606"/>
    <mergeCell ref="AE1606:AF1606"/>
    <mergeCell ref="A1567:AD1567"/>
    <mergeCell ref="AE1567:AF1567"/>
    <mergeCell ref="A1569:E1569"/>
    <mergeCell ref="F1569:Y1569"/>
    <mergeCell ref="Z1569:AA1571"/>
    <mergeCell ref="AB1569:AD1570"/>
    <mergeCell ref="AE1569:AE1571"/>
    <mergeCell ref="AF1569:AF1571"/>
    <mergeCell ref="A1570:C1571"/>
    <mergeCell ref="D1570:S1571"/>
    <mergeCell ref="T1570:W1571"/>
    <mergeCell ref="X1570:Y1571"/>
    <mergeCell ref="A1572:Y1595"/>
    <mergeCell ref="Z1572:AA1572"/>
    <mergeCell ref="Z1573:AA1573"/>
    <mergeCell ref="Z1574:AA1574"/>
    <mergeCell ref="Z1575:AA1575"/>
    <mergeCell ref="Z1576:AA1576"/>
    <mergeCell ref="Z1577:AA1577"/>
    <mergeCell ref="Z1578:AA1578"/>
    <mergeCell ref="Z1579:AA1579"/>
    <mergeCell ref="Z1580:AA1580"/>
    <mergeCell ref="Z1581:AA1581"/>
    <mergeCell ref="Z1582:AA1582"/>
    <mergeCell ref="Z1583:AA1583"/>
    <mergeCell ref="Z1584:AA1584"/>
    <mergeCell ref="Z1585:AA1585"/>
    <mergeCell ref="Z1586:AA1586"/>
    <mergeCell ref="Z1587:AA1587"/>
    <mergeCell ref="Z1588:AA1588"/>
    <mergeCell ref="Z1589:AA1589"/>
    <mergeCell ref="Z1590:AA1590"/>
    <mergeCell ref="Z1552:AA1552"/>
    <mergeCell ref="Z1553:AA1553"/>
    <mergeCell ref="Z1554:AA1554"/>
    <mergeCell ref="A1555:Y1557"/>
    <mergeCell ref="Z1555:AE1555"/>
    <mergeCell ref="Z1556:AE1556"/>
    <mergeCell ref="Z1557:AE1557"/>
    <mergeCell ref="A1558:S1559"/>
    <mergeCell ref="T1558:AA1559"/>
    <mergeCell ref="AB1558:AF1559"/>
    <mergeCell ref="A1561:AD1562"/>
    <mergeCell ref="A1563:D1564"/>
    <mergeCell ref="E1563:AD1564"/>
    <mergeCell ref="A1565:AD1565"/>
    <mergeCell ref="AE1565:AF1565"/>
    <mergeCell ref="A1566:AD1566"/>
    <mergeCell ref="AE1566:AF1566"/>
    <mergeCell ref="A1504:Y1554"/>
    <mergeCell ref="Z1504:AA1504"/>
    <mergeCell ref="Z1505:AA1505"/>
    <mergeCell ref="Z1506:AA1506"/>
    <mergeCell ref="Z1507:AA1507"/>
    <mergeCell ref="Z1508:AA1508"/>
    <mergeCell ref="Z1509:AA1509"/>
    <mergeCell ref="Z1510:AA1510"/>
    <mergeCell ref="Z1511:AA1511"/>
    <mergeCell ref="Z1512:AA1512"/>
    <mergeCell ref="Z1513:AA1513"/>
    <mergeCell ref="Z1514:AA1514"/>
    <mergeCell ref="Z1515:AA1515"/>
    <mergeCell ref="Z1516:AA1516"/>
    <mergeCell ref="Z1517:AA1517"/>
    <mergeCell ref="Z1535:AA1535"/>
    <mergeCell ref="Z1536:AA1536"/>
    <mergeCell ref="Z1537:AA1537"/>
    <mergeCell ref="Z1538:AA1538"/>
    <mergeCell ref="Z1539:AA1539"/>
    <mergeCell ref="Z1540:AA1540"/>
    <mergeCell ref="Z1541:AA1541"/>
    <mergeCell ref="Z1542:AA1542"/>
    <mergeCell ref="Z1543:AA1543"/>
    <mergeCell ref="Z1544:AA1544"/>
    <mergeCell ref="Z1545:AA1545"/>
    <mergeCell ref="Z1546:AA1546"/>
    <mergeCell ref="Z1547:AA1547"/>
    <mergeCell ref="Z1548:AA1548"/>
    <mergeCell ref="Z1549:AA1549"/>
    <mergeCell ref="Z1550:AA1550"/>
    <mergeCell ref="Z1551:AA1551"/>
    <mergeCell ref="Z1518:AA1518"/>
    <mergeCell ref="Z1519:AA1519"/>
    <mergeCell ref="Z1520:AA1520"/>
    <mergeCell ref="Z1521:AA1521"/>
    <mergeCell ref="Z1522:AA1522"/>
    <mergeCell ref="Z1523:AA1523"/>
    <mergeCell ref="Z1524:AA1524"/>
    <mergeCell ref="Z1525:AA1525"/>
    <mergeCell ref="Z1526:AA1526"/>
    <mergeCell ref="Z1527:AA1527"/>
    <mergeCell ref="Z1528:AA1528"/>
    <mergeCell ref="Z1529:AA1529"/>
    <mergeCell ref="Z1530:AA1530"/>
    <mergeCell ref="Z1531:AA1531"/>
    <mergeCell ref="Z1532:AA1532"/>
    <mergeCell ref="Z1533:AA1533"/>
    <mergeCell ref="Z1534:AA1534"/>
    <mergeCell ref="A1493:AD1494"/>
    <mergeCell ref="A1495:D1496"/>
    <mergeCell ref="E1495:AD1496"/>
    <mergeCell ref="A1497:AD1497"/>
    <mergeCell ref="AE1497:AF1497"/>
    <mergeCell ref="A1498:AD1498"/>
    <mergeCell ref="AE1498:AF1498"/>
    <mergeCell ref="A1499:AD1499"/>
    <mergeCell ref="AE1499:AF1499"/>
    <mergeCell ref="A1501:E1501"/>
    <mergeCell ref="F1501:Y1501"/>
    <mergeCell ref="Z1501:AA1503"/>
    <mergeCell ref="AB1501:AD1502"/>
    <mergeCell ref="AE1501:AE1503"/>
    <mergeCell ref="AF1501:AF1503"/>
    <mergeCell ref="A1502:C1503"/>
    <mergeCell ref="D1502:S1503"/>
    <mergeCell ref="T1502:W1503"/>
    <mergeCell ref="X1502:Y1503"/>
    <mergeCell ref="A1460:Y1486"/>
    <mergeCell ref="A1487:Y1489"/>
    <mergeCell ref="Z1487:AE1487"/>
    <mergeCell ref="Z1488:AE1488"/>
    <mergeCell ref="Z1489:AE1489"/>
    <mergeCell ref="A1490:S1491"/>
    <mergeCell ref="T1490:AA1491"/>
    <mergeCell ref="AB1490:AF1491"/>
    <mergeCell ref="Z1460:AA1469"/>
    <mergeCell ref="Z1470:AA1477"/>
    <mergeCell ref="Z1478:AA1486"/>
    <mergeCell ref="A1443:Y1445"/>
    <mergeCell ref="Z1443:AE1443"/>
    <mergeCell ref="Z1444:AE1444"/>
    <mergeCell ref="Z1445:AE1445"/>
    <mergeCell ref="A1446:S1447"/>
    <mergeCell ref="T1446:AA1447"/>
    <mergeCell ref="AB1446:AF1447"/>
    <mergeCell ref="A1449:AD1450"/>
    <mergeCell ref="A1451:D1452"/>
    <mergeCell ref="E1451:AD1452"/>
    <mergeCell ref="A1453:AD1453"/>
    <mergeCell ref="AE1453:AF1453"/>
    <mergeCell ref="A1454:AD1454"/>
    <mergeCell ref="AE1454:AF1454"/>
    <mergeCell ref="A1455:AD1455"/>
    <mergeCell ref="AE1455:AF1455"/>
    <mergeCell ref="A1457:E1457"/>
    <mergeCell ref="F1457:Y1457"/>
    <mergeCell ref="Z1457:AA1459"/>
    <mergeCell ref="AB1457:AD1458"/>
    <mergeCell ref="AE1457:AE1459"/>
    <mergeCell ref="AF1457:AF1459"/>
    <mergeCell ref="A1458:C1459"/>
    <mergeCell ref="D1458:S1459"/>
    <mergeCell ref="T1458:W1459"/>
    <mergeCell ref="X1458:Y1459"/>
    <mergeCell ref="A1423:Y1442"/>
    <mergeCell ref="Z1423:AA1423"/>
    <mergeCell ref="Z1424:AA1424"/>
    <mergeCell ref="Z1425:AA1425"/>
    <mergeCell ref="Z1426:AA1426"/>
    <mergeCell ref="Z1427:AA1427"/>
    <mergeCell ref="Z1428:AA1428"/>
    <mergeCell ref="Z1429:AA1429"/>
    <mergeCell ref="Z1430:AA1430"/>
    <mergeCell ref="Z1431:AA1431"/>
    <mergeCell ref="Z1432:AA1432"/>
    <mergeCell ref="Z1433:AA1433"/>
    <mergeCell ref="Z1434:AA1434"/>
    <mergeCell ref="Z1435:AA1435"/>
    <mergeCell ref="Z1436:AA1436"/>
    <mergeCell ref="Z1437:AA1437"/>
    <mergeCell ref="Z1438:AA1438"/>
    <mergeCell ref="Z1439:AA1439"/>
    <mergeCell ref="Z1440:AA1440"/>
    <mergeCell ref="Z1441:AA1441"/>
    <mergeCell ref="Z1442:AA1442"/>
    <mergeCell ref="A1406:Y1408"/>
    <mergeCell ref="Z1406:AE1406"/>
    <mergeCell ref="Z1407:AE1407"/>
    <mergeCell ref="Z1408:AE1408"/>
    <mergeCell ref="A1409:S1410"/>
    <mergeCell ref="T1409:AA1410"/>
    <mergeCell ref="AB1409:AF1410"/>
    <mergeCell ref="A1412:AD1413"/>
    <mergeCell ref="A1414:D1415"/>
    <mergeCell ref="E1414:AD1415"/>
    <mergeCell ref="A1416:AD1416"/>
    <mergeCell ref="AE1416:AF1416"/>
    <mergeCell ref="A1417:AD1417"/>
    <mergeCell ref="AE1417:AF1417"/>
    <mergeCell ref="A1418:AD1418"/>
    <mergeCell ref="AE1418:AF1418"/>
    <mergeCell ref="A1420:E1420"/>
    <mergeCell ref="F1420:Y1420"/>
    <mergeCell ref="Z1420:AA1422"/>
    <mergeCell ref="AB1420:AD1421"/>
    <mergeCell ref="AE1420:AE1422"/>
    <mergeCell ref="AF1420:AF1422"/>
    <mergeCell ref="A1421:C1422"/>
    <mergeCell ref="D1421:S1422"/>
    <mergeCell ref="T1421:W1422"/>
    <mergeCell ref="X1421:Y1422"/>
    <mergeCell ref="A1385:Y1405"/>
    <mergeCell ref="Z1385:AA1385"/>
    <mergeCell ref="Z1386:AA1386"/>
    <mergeCell ref="Z1387:AA1387"/>
    <mergeCell ref="Z1388:AA1388"/>
    <mergeCell ref="Z1389:AA1389"/>
    <mergeCell ref="Z1390:AA1390"/>
    <mergeCell ref="Z1391:AA1391"/>
    <mergeCell ref="Z1392:AA1392"/>
    <mergeCell ref="Z1393:AA1393"/>
    <mergeCell ref="Z1394:AA1394"/>
    <mergeCell ref="Z1395:AA1395"/>
    <mergeCell ref="Z1396:AA1396"/>
    <mergeCell ref="Z1397:AA1397"/>
    <mergeCell ref="Z1398:AA1398"/>
    <mergeCell ref="Z1399:AA1399"/>
    <mergeCell ref="Z1400:AA1400"/>
    <mergeCell ref="Z1401:AA1401"/>
    <mergeCell ref="Z1402:AA1402"/>
    <mergeCell ref="Z1403:AA1403"/>
    <mergeCell ref="Z1404:AA1404"/>
    <mergeCell ref="Z1405:AA1405"/>
    <mergeCell ref="A1376:D1377"/>
    <mergeCell ref="E1376:AD1377"/>
    <mergeCell ref="A1378:AD1378"/>
    <mergeCell ref="AE1378:AF1378"/>
    <mergeCell ref="A1379:AD1379"/>
    <mergeCell ref="AE1379:AF1379"/>
    <mergeCell ref="A1380:AD1380"/>
    <mergeCell ref="AE1380:AF1380"/>
    <mergeCell ref="A1382:E1382"/>
    <mergeCell ref="F1382:Y1382"/>
    <mergeCell ref="Z1382:AA1384"/>
    <mergeCell ref="AB1382:AD1383"/>
    <mergeCell ref="AE1382:AE1384"/>
    <mergeCell ref="AF1382:AF1384"/>
    <mergeCell ref="A1383:C1384"/>
    <mergeCell ref="D1383:S1384"/>
    <mergeCell ref="T1383:W1384"/>
    <mergeCell ref="X1383:Y1384"/>
    <mergeCell ref="A1368:Y1370"/>
    <mergeCell ref="Z1368:AE1368"/>
    <mergeCell ref="Z1369:AE1369"/>
    <mergeCell ref="Z1370:AE1370"/>
    <mergeCell ref="A1371:S1372"/>
    <mergeCell ref="T1371:AA1372"/>
    <mergeCell ref="AB1371:AF1372"/>
    <mergeCell ref="A1299:AD1300"/>
    <mergeCell ref="A1301:D1302"/>
    <mergeCell ref="E1301:AD1302"/>
    <mergeCell ref="A1303:AD1303"/>
    <mergeCell ref="AE1303:AF1303"/>
    <mergeCell ref="A1304:AD1304"/>
    <mergeCell ref="AE1304:AF1304"/>
    <mergeCell ref="A1305:AD1305"/>
    <mergeCell ref="AE1305:AF1305"/>
    <mergeCell ref="A1374:AD1375"/>
    <mergeCell ref="A1347:Y1367"/>
    <mergeCell ref="Z1347:AA1347"/>
    <mergeCell ref="Z1348:AA1348"/>
    <mergeCell ref="Z1349:AA1349"/>
    <mergeCell ref="Z1350:AA1350"/>
    <mergeCell ref="Z1351:AA1351"/>
    <mergeCell ref="Z1352:AA1352"/>
    <mergeCell ref="Z1353:AA1353"/>
    <mergeCell ref="Z1354:AA1354"/>
    <mergeCell ref="Z1355:AA1355"/>
    <mergeCell ref="Z1356:AA1356"/>
    <mergeCell ref="Z1357:AA1357"/>
    <mergeCell ref="Z1358:AA1358"/>
    <mergeCell ref="Z1359:AA1359"/>
    <mergeCell ref="Z1360:AA1360"/>
    <mergeCell ref="Z1361:AA1361"/>
    <mergeCell ref="Z1362:AA1362"/>
    <mergeCell ref="Z1363:AA1363"/>
    <mergeCell ref="Z1364:AA1364"/>
    <mergeCell ref="Z1365:AA1365"/>
    <mergeCell ref="Z1366:AA1366"/>
    <mergeCell ref="Z1367:AA1367"/>
    <mergeCell ref="A1330:Y1332"/>
    <mergeCell ref="Z1330:AE1330"/>
    <mergeCell ref="Z1331:AE1331"/>
    <mergeCell ref="Z1332:AE1332"/>
    <mergeCell ref="A1333:S1334"/>
    <mergeCell ref="T1333:AA1334"/>
    <mergeCell ref="AB1333:AF1334"/>
    <mergeCell ref="A1336:AD1337"/>
    <mergeCell ref="A1338:D1339"/>
    <mergeCell ref="E1338:AD1339"/>
    <mergeCell ref="A1340:AD1340"/>
    <mergeCell ref="AE1340:AF1340"/>
    <mergeCell ref="A1341:AD1341"/>
    <mergeCell ref="AE1341:AF1341"/>
    <mergeCell ref="A1342:AD1342"/>
    <mergeCell ref="AE1342:AF1342"/>
    <mergeCell ref="A1344:E1344"/>
    <mergeCell ref="F1344:Y1344"/>
    <mergeCell ref="Z1344:AA1346"/>
    <mergeCell ref="AB1344:AD1345"/>
    <mergeCell ref="AE1344:AE1346"/>
    <mergeCell ref="AF1344:AF1346"/>
    <mergeCell ref="A1345:C1346"/>
    <mergeCell ref="D1345:S1346"/>
    <mergeCell ref="T1345:W1346"/>
    <mergeCell ref="X1345:Y1346"/>
    <mergeCell ref="A1307:E1307"/>
    <mergeCell ref="F1307:Y1307"/>
    <mergeCell ref="Z1307:AA1309"/>
    <mergeCell ref="AB1307:AD1308"/>
    <mergeCell ref="AE1307:AE1309"/>
    <mergeCell ref="AF1307:AF1309"/>
    <mergeCell ref="A1308:C1309"/>
    <mergeCell ref="D1308:S1309"/>
    <mergeCell ref="T1308:W1309"/>
    <mergeCell ref="X1308:Y1309"/>
    <mergeCell ref="A1310:Y1329"/>
    <mergeCell ref="Z1310:AA1310"/>
    <mergeCell ref="Z1311:AA1311"/>
    <mergeCell ref="Z1312:AA1312"/>
    <mergeCell ref="Z1313:AA1313"/>
    <mergeCell ref="Z1314:AA1314"/>
    <mergeCell ref="Z1315:AA1315"/>
    <mergeCell ref="Z1316:AA1316"/>
    <mergeCell ref="Z1317:AA1317"/>
    <mergeCell ref="Z1318:AA1318"/>
    <mergeCell ref="Z1319:AA1319"/>
    <mergeCell ref="Z1320:AA1320"/>
    <mergeCell ref="Z1321:AA1321"/>
    <mergeCell ref="Z1322:AA1322"/>
    <mergeCell ref="Z1323:AA1323"/>
    <mergeCell ref="Z1324:AA1324"/>
    <mergeCell ref="Z1325:AA1325"/>
    <mergeCell ref="Z1326:AA1326"/>
    <mergeCell ref="Z1327:AA1327"/>
    <mergeCell ref="Z1328:AA1328"/>
    <mergeCell ref="Z1329:AA1329"/>
    <mergeCell ref="A554:Y556"/>
    <mergeCell ref="Z554:AE554"/>
    <mergeCell ref="Z555:AE555"/>
    <mergeCell ref="Z556:AE556"/>
    <mergeCell ref="A557:S558"/>
    <mergeCell ref="T557:AA558"/>
    <mergeCell ref="AB557:AF558"/>
    <mergeCell ref="Z538:AA538"/>
    <mergeCell ref="Z539:AA539"/>
    <mergeCell ref="AF530:AF532"/>
    <mergeCell ref="A531:C532"/>
    <mergeCell ref="D531:S532"/>
    <mergeCell ref="T531:W532"/>
    <mergeCell ref="X531:Y532"/>
    <mergeCell ref="A533:Y553"/>
    <mergeCell ref="Z535:AA535"/>
    <mergeCell ref="Z536:AA536"/>
    <mergeCell ref="Z537:AA537"/>
    <mergeCell ref="Z533:AA533"/>
    <mergeCell ref="Z534:AA534"/>
    <mergeCell ref="Z540:AA540"/>
    <mergeCell ref="Z541:AA541"/>
    <mergeCell ref="Z542:AA542"/>
    <mergeCell ref="Z543:AA543"/>
    <mergeCell ref="Z544:AA544"/>
    <mergeCell ref="Z545:AA545"/>
    <mergeCell ref="Z546:AA546"/>
    <mergeCell ref="Z547:AA547"/>
    <mergeCell ref="Z548:AA548"/>
    <mergeCell ref="Z549:AA549"/>
    <mergeCell ref="Z550:AA550"/>
    <mergeCell ref="Z551:AA551"/>
    <mergeCell ref="Z552:AA552"/>
    <mergeCell ref="Z553:AA553"/>
    <mergeCell ref="A379:E379"/>
    <mergeCell ref="F379:Y379"/>
    <mergeCell ref="Z379:AA381"/>
    <mergeCell ref="AB379:AD380"/>
    <mergeCell ref="AE379:AE381"/>
    <mergeCell ref="AF379:AF381"/>
    <mergeCell ref="A380:C381"/>
    <mergeCell ref="D380:S381"/>
    <mergeCell ref="T380:W381"/>
    <mergeCell ref="X380:Y381"/>
    <mergeCell ref="A371:AD372"/>
    <mergeCell ref="A373:D374"/>
    <mergeCell ref="E373:AD374"/>
    <mergeCell ref="A375:AD375"/>
    <mergeCell ref="AE375:AF375"/>
    <mergeCell ref="A376:AD376"/>
    <mergeCell ref="AE376:AF376"/>
    <mergeCell ref="A377:AD377"/>
    <mergeCell ref="AE377:AF377"/>
    <mergeCell ref="A402:Y404"/>
    <mergeCell ref="Z402:AE402"/>
    <mergeCell ref="Z403:AE403"/>
    <mergeCell ref="Z404:AE404"/>
    <mergeCell ref="A405:S406"/>
    <mergeCell ref="T405:AA406"/>
    <mergeCell ref="AB405:AF406"/>
    <mergeCell ref="A382:Y401"/>
    <mergeCell ref="Z382:AA382"/>
    <mergeCell ref="Z383:AA383"/>
    <mergeCell ref="Z384:AA384"/>
    <mergeCell ref="Z385:AA385"/>
    <mergeCell ref="Z386:AA386"/>
    <mergeCell ref="Z387:AA387"/>
    <mergeCell ref="Z388:AA388"/>
    <mergeCell ref="Z399:AA399"/>
    <mergeCell ref="Z400:AA400"/>
    <mergeCell ref="Z401:AA401"/>
    <mergeCell ref="Z395:AA395"/>
    <mergeCell ref="Z396:AA396"/>
    <mergeCell ref="Z397:AA397"/>
    <mergeCell ref="Z398:AA398"/>
    <mergeCell ref="Z389:AA389"/>
    <mergeCell ref="Z390:AA390"/>
    <mergeCell ref="Z391:AA391"/>
    <mergeCell ref="Z392:AA392"/>
    <mergeCell ref="Z393:AA393"/>
    <mergeCell ref="Z394:AA394"/>
    <mergeCell ref="A414:AD414"/>
    <mergeCell ref="AE414:AF414"/>
    <mergeCell ref="A416:E416"/>
    <mergeCell ref="F416:Y416"/>
    <mergeCell ref="Z416:AA418"/>
    <mergeCell ref="AB416:AD417"/>
    <mergeCell ref="AE416:AE418"/>
    <mergeCell ref="AF416:AF418"/>
    <mergeCell ref="A417:C418"/>
    <mergeCell ref="D417:S418"/>
    <mergeCell ref="T417:W418"/>
    <mergeCell ref="X417:Y418"/>
    <mergeCell ref="A408:AD409"/>
    <mergeCell ref="A410:D411"/>
    <mergeCell ref="E410:AD411"/>
    <mergeCell ref="A412:AD412"/>
    <mergeCell ref="AE412:AF412"/>
    <mergeCell ref="A413:AD413"/>
    <mergeCell ref="AE413:AF413"/>
    <mergeCell ref="A440:Y442"/>
    <mergeCell ref="Z440:AE440"/>
    <mergeCell ref="Z441:AE441"/>
    <mergeCell ref="Z442:AE442"/>
    <mergeCell ref="A443:S444"/>
    <mergeCell ref="T443:AA444"/>
    <mergeCell ref="AB443:AF444"/>
    <mergeCell ref="A419:Y439"/>
    <mergeCell ref="Z419:AA419"/>
    <mergeCell ref="Z420:AA420"/>
    <mergeCell ref="Z421:AA421"/>
    <mergeCell ref="Z422:AA422"/>
    <mergeCell ref="Z423:AA423"/>
    <mergeCell ref="Z424:AA424"/>
    <mergeCell ref="Z425:AA425"/>
    <mergeCell ref="Z434:AA434"/>
    <mergeCell ref="Z435:AA435"/>
    <mergeCell ref="Z436:AA436"/>
    <mergeCell ref="Z437:AA437"/>
    <mergeCell ref="Z438:AA438"/>
    <mergeCell ref="Z439:AA439"/>
    <mergeCell ref="Z432:AA432"/>
    <mergeCell ref="Z433:AA433"/>
    <mergeCell ref="Z426:AA426"/>
    <mergeCell ref="Z427:AA427"/>
    <mergeCell ref="Z428:AA428"/>
    <mergeCell ref="Z429:AA429"/>
    <mergeCell ref="Z430:AA430"/>
    <mergeCell ref="Z431:AA431"/>
    <mergeCell ref="A452:AD452"/>
    <mergeCell ref="AE452:AF452"/>
    <mergeCell ref="A454:E454"/>
    <mergeCell ref="F454:Y454"/>
    <mergeCell ref="Z454:AA456"/>
    <mergeCell ref="AB454:AD455"/>
    <mergeCell ref="AE454:AE456"/>
    <mergeCell ref="AF454:AF456"/>
    <mergeCell ref="A455:C456"/>
    <mergeCell ref="D455:S456"/>
    <mergeCell ref="A446:AD447"/>
    <mergeCell ref="A448:D449"/>
    <mergeCell ref="E448:AD449"/>
    <mergeCell ref="A450:AD450"/>
    <mergeCell ref="AE450:AF450"/>
    <mergeCell ref="A451:AD451"/>
    <mergeCell ref="AE451:AF451"/>
    <mergeCell ref="A478:Y480"/>
    <mergeCell ref="Z478:AE478"/>
    <mergeCell ref="Z479:AE479"/>
    <mergeCell ref="Z480:AE480"/>
    <mergeCell ref="Z470:AA470"/>
    <mergeCell ref="Z471:AA471"/>
    <mergeCell ref="Z472:AA472"/>
    <mergeCell ref="Z473:AA473"/>
    <mergeCell ref="Z474:AA474"/>
    <mergeCell ref="Z475:AA475"/>
    <mergeCell ref="Z464:AA464"/>
    <mergeCell ref="Z465:AA465"/>
    <mergeCell ref="Z466:AA466"/>
    <mergeCell ref="Z467:AA467"/>
    <mergeCell ref="Z468:AA468"/>
    <mergeCell ref="Z469:AA469"/>
    <mergeCell ref="T455:W456"/>
    <mergeCell ref="X455:Y456"/>
    <mergeCell ref="A457:Y477"/>
    <mergeCell ref="Z459:AA459"/>
    <mergeCell ref="Z460:AA460"/>
    <mergeCell ref="Z461:AA461"/>
    <mergeCell ref="Z457:AA457"/>
    <mergeCell ref="Z458:AA458"/>
    <mergeCell ref="Z476:AA476"/>
    <mergeCell ref="Z477:AA477"/>
    <mergeCell ref="AB492:AD493"/>
    <mergeCell ref="AE492:AE494"/>
    <mergeCell ref="AF492:AF494"/>
    <mergeCell ref="A493:C494"/>
    <mergeCell ref="D493:S494"/>
    <mergeCell ref="T493:W494"/>
    <mergeCell ref="X493:Y494"/>
    <mergeCell ref="Z500:AA500"/>
    <mergeCell ref="Z501:AA501"/>
    <mergeCell ref="A488:AD488"/>
    <mergeCell ref="AE488:AF488"/>
    <mergeCell ref="A489:AD489"/>
    <mergeCell ref="AE489:AF489"/>
    <mergeCell ref="A490:AD490"/>
    <mergeCell ref="AE490:AF490"/>
    <mergeCell ref="A481:S482"/>
    <mergeCell ref="T481:AA482"/>
    <mergeCell ref="AB481:AF482"/>
    <mergeCell ref="A484:AD485"/>
    <mergeCell ref="A486:D487"/>
    <mergeCell ref="E486:AD487"/>
    <mergeCell ref="Z506:AA506"/>
    <mergeCell ref="Z507:AA507"/>
    <mergeCell ref="Z508:AA508"/>
    <mergeCell ref="Z509:AA509"/>
    <mergeCell ref="Z510:AA510"/>
    <mergeCell ref="Z511:AA511"/>
    <mergeCell ref="A495:Y515"/>
    <mergeCell ref="Z495:AA495"/>
    <mergeCell ref="Z496:AA496"/>
    <mergeCell ref="Z497:AA497"/>
    <mergeCell ref="Z498:AA498"/>
    <mergeCell ref="Z499:AA499"/>
    <mergeCell ref="Z502:AA502"/>
    <mergeCell ref="Z503:AA503"/>
    <mergeCell ref="Z504:AA504"/>
    <mergeCell ref="Z505:AA505"/>
    <mergeCell ref="A492:E492"/>
    <mergeCell ref="F492:Y492"/>
    <mergeCell ref="Z492:AA494"/>
    <mergeCell ref="A560:AD561"/>
    <mergeCell ref="A562:D563"/>
    <mergeCell ref="E562:AD563"/>
    <mergeCell ref="A564:AD564"/>
    <mergeCell ref="AE564:AF564"/>
    <mergeCell ref="A565:AD565"/>
    <mergeCell ref="AE565:AF565"/>
    <mergeCell ref="A519:S520"/>
    <mergeCell ref="T519:AA520"/>
    <mergeCell ref="AB519:AF520"/>
    <mergeCell ref="Z512:AA512"/>
    <mergeCell ref="Z513:AA513"/>
    <mergeCell ref="Z514:AA514"/>
    <mergeCell ref="Z515:AA515"/>
    <mergeCell ref="A516:Y518"/>
    <mergeCell ref="Z516:AE516"/>
    <mergeCell ref="Z517:AE517"/>
    <mergeCell ref="Z518:AE518"/>
    <mergeCell ref="A522:AD523"/>
    <mergeCell ref="A524:D525"/>
    <mergeCell ref="E524:AD525"/>
    <mergeCell ref="A526:AD526"/>
    <mergeCell ref="AE526:AF526"/>
    <mergeCell ref="A527:AD527"/>
    <mergeCell ref="AE527:AF527"/>
    <mergeCell ref="A528:AD528"/>
    <mergeCell ref="AE528:AF528"/>
    <mergeCell ref="A530:E530"/>
    <mergeCell ref="F530:Y530"/>
    <mergeCell ref="Z530:AA532"/>
    <mergeCell ref="AB530:AD531"/>
    <mergeCell ref="AE530:AE532"/>
    <mergeCell ref="X569:Y570"/>
    <mergeCell ref="A571:Y591"/>
    <mergeCell ref="Z571:AA571"/>
    <mergeCell ref="Z572:AA572"/>
    <mergeCell ref="Z573:AA573"/>
    <mergeCell ref="Z574:AA574"/>
    <mergeCell ref="Z575:AA575"/>
    <mergeCell ref="Z576:AA576"/>
    <mergeCell ref="Z577:AA577"/>
    <mergeCell ref="Z590:AA590"/>
    <mergeCell ref="Z591:AA591"/>
    <mergeCell ref="A566:AD566"/>
    <mergeCell ref="AE566:AF566"/>
    <mergeCell ref="A568:E568"/>
    <mergeCell ref="F568:Y568"/>
    <mergeCell ref="Z568:AA570"/>
    <mergeCell ref="AB568:AD569"/>
    <mergeCell ref="AE568:AE570"/>
    <mergeCell ref="AF568:AF570"/>
    <mergeCell ref="A569:C570"/>
    <mergeCell ref="D569:S570"/>
    <mergeCell ref="AE606:AE608"/>
    <mergeCell ref="AF606:AF608"/>
    <mergeCell ref="A592:Y594"/>
    <mergeCell ref="Z592:AE592"/>
    <mergeCell ref="Z593:AE593"/>
    <mergeCell ref="Z594:AE594"/>
    <mergeCell ref="Z584:AA584"/>
    <mergeCell ref="Z585:AA585"/>
    <mergeCell ref="Z586:AA586"/>
    <mergeCell ref="Z587:AA587"/>
    <mergeCell ref="Z588:AA588"/>
    <mergeCell ref="Z589:AA589"/>
    <mergeCell ref="Z578:AA578"/>
    <mergeCell ref="Z579:AA579"/>
    <mergeCell ref="Z580:AA580"/>
    <mergeCell ref="Z581:AA581"/>
    <mergeCell ref="Z582:AA582"/>
    <mergeCell ref="Z583:AA583"/>
    <mergeCell ref="A607:C608"/>
    <mergeCell ref="D607:S608"/>
    <mergeCell ref="T607:W608"/>
    <mergeCell ref="X607:Y608"/>
    <mergeCell ref="A644:E644"/>
    <mergeCell ref="F644:Y644"/>
    <mergeCell ref="Z644:AA646"/>
    <mergeCell ref="AB644:AD645"/>
    <mergeCell ref="AE644:AE646"/>
    <mergeCell ref="AF644:AF646"/>
    <mergeCell ref="A645:C646"/>
    <mergeCell ref="D645:S646"/>
    <mergeCell ref="T645:W646"/>
    <mergeCell ref="X645:Y646"/>
    <mergeCell ref="A640:AD640"/>
    <mergeCell ref="AE640:AF640"/>
    <mergeCell ref="A641:AD641"/>
    <mergeCell ref="AE641:AF641"/>
    <mergeCell ref="A642:AD642"/>
    <mergeCell ref="AE642:AF642"/>
    <mergeCell ref="A595:S596"/>
    <mergeCell ref="T595:AA596"/>
    <mergeCell ref="AB595:AF596"/>
    <mergeCell ref="A636:AD637"/>
    <mergeCell ref="A638:D639"/>
    <mergeCell ref="E638:AD639"/>
    <mergeCell ref="A602:AD602"/>
    <mergeCell ref="AE602:AF602"/>
    <mergeCell ref="A603:AD603"/>
    <mergeCell ref="AE603:AF603"/>
    <mergeCell ref="A604:AD604"/>
    <mergeCell ref="AE604:AF604"/>
    <mergeCell ref="A606:E606"/>
    <mergeCell ref="F606:Y606"/>
    <mergeCell ref="Z606:AA608"/>
    <mergeCell ref="AB606:AD607"/>
    <mergeCell ref="Z650:AA650"/>
    <mergeCell ref="Z651:AA651"/>
    <mergeCell ref="Z652:AA652"/>
    <mergeCell ref="Z653:AA653"/>
    <mergeCell ref="Z654:AA654"/>
    <mergeCell ref="Z655:AA655"/>
    <mergeCell ref="Z662:AA662"/>
    <mergeCell ref="Z663:AA663"/>
    <mergeCell ref="Z664:AA664"/>
    <mergeCell ref="Z665:AA665"/>
    <mergeCell ref="Z666:AA666"/>
    <mergeCell ref="Z667:AA667"/>
    <mergeCell ref="Z656:AA656"/>
    <mergeCell ref="Z657:AA657"/>
    <mergeCell ref="Z658:AA658"/>
    <mergeCell ref="Z659:AA659"/>
    <mergeCell ref="Z660:AA660"/>
    <mergeCell ref="Z661:AA661"/>
    <mergeCell ref="Z691:AA696"/>
    <mergeCell ref="Z697:AA700"/>
    <mergeCell ref="Z701:AA706"/>
    <mergeCell ref="A674:AD675"/>
    <mergeCell ref="A676:D677"/>
    <mergeCell ref="E676:AD677"/>
    <mergeCell ref="A678:AD678"/>
    <mergeCell ref="AE678:AF678"/>
    <mergeCell ref="A679:AD679"/>
    <mergeCell ref="AE679:AF679"/>
    <mergeCell ref="A668:Y670"/>
    <mergeCell ref="Z668:AE668"/>
    <mergeCell ref="Z669:AE669"/>
    <mergeCell ref="Z670:AE670"/>
    <mergeCell ref="A671:S672"/>
    <mergeCell ref="T671:AA672"/>
    <mergeCell ref="AB671:AF672"/>
    <mergeCell ref="A1:AD2"/>
    <mergeCell ref="A3:D4"/>
    <mergeCell ref="E3:AD4"/>
    <mergeCell ref="A5:AD5"/>
    <mergeCell ref="AE5:AF5"/>
    <mergeCell ref="A6:AD6"/>
    <mergeCell ref="AE6:AF6"/>
    <mergeCell ref="A7:AD7"/>
    <mergeCell ref="AE7:AF7"/>
    <mergeCell ref="A9:E9"/>
    <mergeCell ref="F9:Y9"/>
    <mergeCell ref="Z9:AA11"/>
    <mergeCell ref="AB9:AD10"/>
    <mergeCell ref="AE9:AE11"/>
    <mergeCell ref="AF9:AF11"/>
    <mergeCell ref="A10:C11"/>
    <mergeCell ref="T683:W684"/>
    <mergeCell ref="X683:Y684"/>
    <mergeCell ref="A680:AD680"/>
    <mergeCell ref="AE680:AF680"/>
    <mergeCell ref="A682:E682"/>
    <mergeCell ref="F682:Y682"/>
    <mergeCell ref="Z682:AA684"/>
    <mergeCell ref="AB682:AD683"/>
    <mergeCell ref="AE682:AE684"/>
    <mergeCell ref="AF682:AF684"/>
    <mergeCell ref="A683:C684"/>
    <mergeCell ref="D683:S684"/>
    <mergeCell ref="A647:Y667"/>
    <mergeCell ref="Z647:AA647"/>
    <mergeCell ref="Z648:AA648"/>
    <mergeCell ref="Z649:AA649"/>
    <mergeCell ref="D10:S11"/>
    <mergeCell ref="T10:W11"/>
    <mergeCell ref="X10:Y11"/>
    <mergeCell ref="A12:Y31"/>
    <mergeCell ref="Z12:AA12"/>
    <mergeCell ref="Z13:AA13"/>
    <mergeCell ref="Z14:AA14"/>
    <mergeCell ref="Z15:AA15"/>
    <mergeCell ref="Z16:AA16"/>
    <mergeCell ref="Z17:AA17"/>
    <mergeCell ref="Z18:AA18"/>
    <mergeCell ref="Z19:AA19"/>
    <mergeCell ref="Z20:AA20"/>
    <mergeCell ref="Z21:AA21"/>
    <mergeCell ref="Z22:AA22"/>
    <mergeCell ref="Z23:AA23"/>
    <mergeCell ref="Z24:AA24"/>
    <mergeCell ref="Z25:AA25"/>
    <mergeCell ref="Z26:AA26"/>
    <mergeCell ref="Z27:AA27"/>
    <mergeCell ref="Z28:AA28"/>
    <mergeCell ref="Z29:AA29"/>
    <mergeCell ref="Z30:AA30"/>
    <mergeCell ref="Z31:AA31"/>
    <mergeCell ref="A42:AD42"/>
    <mergeCell ref="AE42:AF42"/>
    <mergeCell ref="A43:AD43"/>
    <mergeCell ref="AE43:AF43"/>
    <mergeCell ref="A44:AD44"/>
    <mergeCell ref="AE44:AF44"/>
    <mergeCell ref="A46:E46"/>
    <mergeCell ref="F46:Y46"/>
    <mergeCell ref="Z46:AA48"/>
    <mergeCell ref="AB46:AD47"/>
    <mergeCell ref="AE46:AE48"/>
    <mergeCell ref="AF46:AF48"/>
    <mergeCell ref="A47:C48"/>
    <mergeCell ref="D47:S48"/>
    <mergeCell ref="T47:W48"/>
    <mergeCell ref="X47:Y48"/>
    <mergeCell ref="A32:Y34"/>
    <mergeCell ref="Z32:AE32"/>
    <mergeCell ref="Z33:AE33"/>
    <mergeCell ref="Z34:AE34"/>
    <mergeCell ref="A35:S36"/>
    <mergeCell ref="T35:AA36"/>
    <mergeCell ref="AB35:AF36"/>
    <mergeCell ref="A38:AD39"/>
    <mergeCell ref="A40:D41"/>
    <mergeCell ref="E40:AD41"/>
    <mergeCell ref="A49:Y68"/>
    <mergeCell ref="Z49:AA49"/>
    <mergeCell ref="Z50:AA50"/>
    <mergeCell ref="Z51:AA51"/>
    <mergeCell ref="Z52:AA52"/>
    <mergeCell ref="Z53:AA53"/>
    <mergeCell ref="Z54:AA54"/>
    <mergeCell ref="Z55:AA55"/>
    <mergeCell ref="Z56:AA56"/>
    <mergeCell ref="Z57:AA57"/>
    <mergeCell ref="Z58:AA58"/>
    <mergeCell ref="Z59:AA59"/>
    <mergeCell ref="Z60:AA60"/>
    <mergeCell ref="Z61:AA61"/>
    <mergeCell ref="Z62:AA62"/>
    <mergeCell ref="Z63:AA63"/>
    <mergeCell ref="Z64:AA64"/>
    <mergeCell ref="Z65:AA65"/>
    <mergeCell ref="Z66:AA66"/>
    <mergeCell ref="Z67:AA67"/>
    <mergeCell ref="Z68:AA68"/>
    <mergeCell ref="A79:AD79"/>
    <mergeCell ref="AE79:AF79"/>
    <mergeCell ref="A80:AD80"/>
    <mergeCell ref="AE80:AF80"/>
    <mergeCell ref="A81:AD81"/>
    <mergeCell ref="AE81:AF81"/>
    <mergeCell ref="A83:E83"/>
    <mergeCell ref="F83:Y83"/>
    <mergeCell ref="Z83:AA85"/>
    <mergeCell ref="AB83:AD84"/>
    <mergeCell ref="AE83:AE85"/>
    <mergeCell ref="AF83:AF85"/>
    <mergeCell ref="A84:C85"/>
    <mergeCell ref="D84:S85"/>
    <mergeCell ref="T84:W85"/>
    <mergeCell ref="X84:Y85"/>
    <mergeCell ref="A69:Y71"/>
    <mergeCell ref="Z69:AE69"/>
    <mergeCell ref="Z70:AE70"/>
    <mergeCell ref="Z71:AE71"/>
    <mergeCell ref="A72:S73"/>
    <mergeCell ref="T72:AA73"/>
    <mergeCell ref="AB72:AF73"/>
    <mergeCell ref="A75:AD76"/>
    <mergeCell ref="A77:D78"/>
    <mergeCell ref="E77:AD78"/>
    <mergeCell ref="A86:Y105"/>
    <mergeCell ref="Z86:AA86"/>
    <mergeCell ref="Z87:AA87"/>
    <mergeCell ref="Z88:AA88"/>
    <mergeCell ref="Z89:AA89"/>
    <mergeCell ref="Z90:AA90"/>
    <mergeCell ref="Z91:AA91"/>
    <mergeCell ref="Z92:AA92"/>
    <mergeCell ref="Z93:AA93"/>
    <mergeCell ref="Z94:AA94"/>
    <mergeCell ref="Z95:AA95"/>
    <mergeCell ref="Z96:AA96"/>
    <mergeCell ref="Z97:AA97"/>
    <mergeCell ref="Z98:AA98"/>
    <mergeCell ref="Z99:AA99"/>
    <mergeCell ref="Z100:AA100"/>
    <mergeCell ref="Z101:AA101"/>
    <mergeCell ref="Z102:AA102"/>
    <mergeCell ref="Z103:AA103"/>
    <mergeCell ref="Z104:AA104"/>
    <mergeCell ref="Z105:AA105"/>
    <mergeCell ref="A116:AD116"/>
    <mergeCell ref="AE116:AF116"/>
    <mergeCell ref="A117:AD117"/>
    <mergeCell ref="AE117:AF117"/>
    <mergeCell ref="A118:AD118"/>
    <mergeCell ref="AE118:AF118"/>
    <mergeCell ref="A120:E120"/>
    <mergeCell ref="F120:Y120"/>
    <mergeCell ref="Z120:AA122"/>
    <mergeCell ref="AB120:AD121"/>
    <mergeCell ref="AE120:AE122"/>
    <mergeCell ref="AF120:AF122"/>
    <mergeCell ref="A121:C122"/>
    <mergeCell ref="D121:S122"/>
    <mergeCell ref="T121:W122"/>
    <mergeCell ref="X121:Y122"/>
    <mergeCell ref="A106:Y108"/>
    <mergeCell ref="Z106:AE106"/>
    <mergeCell ref="Z107:AE107"/>
    <mergeCell ref="Z108:AE108"/>
    <mergeCell ref="A109:S110"/>
    <mergeCell ref="T109:AA110"/>
    <mergeCell ref="AB109:AF110"/>
    <mergeCell ref="A112:AD113"/>
    <mergeCell ref="A114:D115"/>
    <mergeCell ref="E114:AD115"/>
    <mergeCell ref="A123:Y142"/>
    <mergeCell ref="Z123:AA123"/>
    <mergeCell ref="Z124:AA124"/>
    <mergeCell ref="Z125:AA125"/>
    <mergeCell ref="Z126:AA126"/>
    <mergeCell ref="Z127:AA127"/>
    <mergeCell ref="Z128:AA128"/>
    <mergeCell ref="Z129:AA129"/>
    <mergeCell ref="Z130:AA130"/>
    <mergeCell ref="Z131:AA131"/>
    <mergeCell ref="Z132:AA132"/>
    <mergeCell ref="Z133:AA133"/>
    <mergeCell ref="Z134:AA134"/>
    <mergeCell ref="Z135:AA135"/>
    <mergeCell ref="Z136:AA136"/>
    <mergeCell ref="Z137:AA137"/>
    <mergeCell ref="Z138:AA138"/>
    <mergeCell ref="Z139:AA139"/>
    <mergeCell ref="Z140:AA140"/>
    <mergeCell ref="Z141:AA141"/>
    <mergeCell ref="Z142:AA142"/>
    <mergeCell ref="A153:AD153"/>
    <mergeCell ref="AE153:AF153"/>
    <mergeCell ref="A154:AD154"/>
    <mergeCell ref="AE154:AF154"/>
    <mergeCell ref="A155:AD155"/>
    <mergeCell ref="AE155:AF155"/>
    <mergeCell ref="A157:E157"/>
    <mergeCell ref="F157:Y157"/>
    <mergeCell ref="Z157:AA159"/>
    <mergeCell ref="AB157:AD158"/>
    <mergeCell ref="AE157:AE159"/>
    <mergeCell ref="AF157:AF159"/>
    <mergeCell ref="A158:C159"/>
    <mergeCell ref="D158:S159"/>
    <mergeCell ref="T158:W159"/>
    <mergeCell ref="X158:Y159"/>
    <mergeCell ref="A143:Y145"/>
    <mergeCell ref="Z143:AE143"/>
    <mergeCell ref="Z144:AE144"/>
    <mergeCell ref="Z145:AE145"/>
    <mergeCell ref="A146:S147"/>
    <mergeCell ref="T146:AA147"/>
    <mergeCell ref="AB146:AF147"/>
    <mergeCell ref="A149:AD150"/>
    <mergeCell ref="A151:D152"/>
    <mergeCell ref="E151:AD152"/>
    <mergeCell ref="A160:Y179"/>
    <mergeCell ref="Z160:AA160"/>
    <mergeCell ref="Z161:AA161"/>
    <mergeCell ref="Z162:AA162"/>
    <mergeCell ref="Z163:AA163"/>
    <mergeCell ref="Z164:AA164"/>
    <mergeCell ref="Z165:AA165"/>
    <mergeCell ref="Z166:AA166"/>
    <mergeCell ref="Z167:AA167"/>
    <mergeCell ref="Z168:AA168"/>
    <mergeCell ref="Z169:AA169"/>
    <mergeCell ref="Z170:AA170"/>
    <mergeCell ref="Z171:AA171"/>
    <mergeCell ref="Z172:AA172"/>
    <mergeCell ref="Z173:AA173"/>
    <mergeCell ref="Z174:AA174"/>
    <mergeCell ref="Z175:AA175"/>
    <mergeCell ref="Z176:AA176"/>
    <mergeCell ref="Z177:AA177"/>
    <mergeCell ref="Z178:AA178"/>
    <mergeCell ref="Z179:AA179"/>
    <mergeCell ref="A190:AD190"/>
    <mergeCell ref="AE190:AF190"/>
    <mergeCell ref="A191:AD191"/>
    <mergeCell ref="AE191:AF191"/>
    <mergeCell ref="A192:AD192"/>
    <mergeCell ref="AE192:AF192"/>
    <mergeCell ref="A194:E194"/>
    <mergeCell ref="F194:Y194"/>
    <mergeCell ref="Z194:AA196"/>
    <mergeCell ref="AB194:AD195"/>
    <mergeCell ref="AE194:AE196"/>
    <mergeCell ref="AF194:AF196"/>
    <mergeCell ref="A195:C196"/>
    <mergeCell ref="D195:S196"/>
    <mergeCell ref="T195:W196"/>
    <mergeCell ref="X195:Y196"/>
    <mergeCell ref="A180:Y182"/>
    <mergeCell ref="Z180:AE180"/>
    <mergeCell ref="Z181:AE181"/>
    <mergeCell ref="Z182:AE182"/>
    <mergeCell ref="A183:S184"/>
    <mergeCell ref="T183:AA184"/>
    <mergeCell ref="AB183:AF184"/>
    <mergeCell ref="A186:AD187"/>
    <mergeCell ref="A188:D189"/>
    <mergeCell ref="E188:AD189"/>
    <mergeCell ref="A197:Y216"/>
    <mergeCell ref="Z197:AA197"/>
    <mergeCell ref="Z198:AA198"/>
    <mergeCell ref="Z199:AA199"/>
    <mergeCell ref="Z200:AA200"/>
    <mergeCell ref="Z201:AA201"/>
    <mergeCell ref="Z202:AA202"/>
    <mergeCell ref="Z203:AA203"/>
    <mergeCell ref="Z204:AA204"/>
    <mergeCell ref="Z205:AA205"/>
    <mergeCell ref="Z206:AA206"/>
    <mergeCell ref="Z207:AA207"/>
    <mergeCell ref="Z208:AA208"/>
    <mergeCell ref="Z209:AA209"/>
    <mergeCell ref="Z210:AA210"/>
    <mergeCell ref="Z211:AA211"/>
    <mergeCell ref="Z212:AA212"/>
    <mergeCell ref="Z213:AA213"/>
    <mergeCell ref="Z214:AA214"/>
    <mergeCell ref="Z215:AA215"/>
    <mergeCell ref="Z216:AA216"/>
    <mergeCell ref="A227:AD227"/>
    <mergeCell ref="AE227:AF227"/>
    <mergeCell ref="A228:AD228"/>
    <mergeCell ref="AE228:AF228"/>
    <mergeCell ref="A229:AD229"/>
    <mergeCell ref="AE229:AF229"/>
    <mergeCell ref="A231:E231"/>
    <mergeCell ref="F231:Y231"/>
    <mergeCell ref="Z231:AA233"/>
    <mergeCell ref="AB231:AD232"/>
    <mergeCell ref="AE231:AE233"/>
    <mergeCell ref="AF231:AF233"/>
    <mergeCell ref="A232:C233"/>
    <mergeCell ref="D232:S233"/>
    <mergeCell ref="T232:W233"/>
    <mergeCell ref="X232:Y233"/>
    <mergeCell ref="A217:Y219"/>
    <mergeCell ref="Z217:AE217"/>
    <mergeCell ref="Z218:AE218"/>
    <mergeCell ref="Z219:AE219"/>
    <mergeCell ref="A220:S221"/>
    <mergeCell ref="T220:AA221"/>
    <mergeCell ref="AB220:AF221"/>
    <mergeCell ref="A223:AD224"/>
    <mergeCell ref="A225:D226"/>
    <mergeCell ref="E225:AD226"/>
    <mergeCell ref="A234:Y253"/>
    <mergeCell ref="Z234:AA234"/>
    <mergeCell ref="Z235:AA235"/>
    <mergeCell ref="Z236:AA236"/>
    <mergeCell ref="Z237:AA237"/>
    <mergeCell ref="Z238:AA238"/>
    <mergeCell ref="Z239:AA239"/>
    <mergeCell ref="Z240:AA240"/>
    <mergeCell ref="Z241:AA241"/>
    <mergeCell ref="Z242:AA242"/>
    <mergeCell ref="Z243:AA243"/>
    <mergeCell ref="Z244:AA244"/>
    <mergeCell ref="Z245:AA245"/>
    <mergeCell ref="Z246:AA246"/>
    <mergeCell ref="Z247:AA247"/>
    <mergeCell ref="Z248:AA248"/>
    <mergeCell ref="Z249:AA249"/>
    <mergeCell ref="Z250:AA250"/>
    <mergeCell ref="Z251:AA251"/>
    <mergeCell ref="Z252:AA252"/>
    <mergeCell ref="Z253:AA253"/>
    <mergeCell ref="A264:AD264"/>
    <mergeCell ref="AE264:AF264"/>
    <mergeCell ref="A265:AD265"/>
    <mergeCell ref="AE265:AF265"/>
    <mergeCell ref="A266:AD266"/>
    <mergeCell ref="AE266:AF266"/>
    <mergeCell ref="A268:E268"/>
    <mergeCell ref="F268:Y268"/>
    <mergeCell ref="Z268:AA270"/>
    <mergeCell ref="AB268:AD269"/>
    <mergeCell ref="AE268:AE270"/>
    <mergeCell ref="AF268:AF270"/>
    <mergeCell ref="A269:C270"/>
    <mergeCell ref="D269:S270"/>
    <mergeCell ref="T269:W270"/>
    <mergeCell ref="X269:Y270"/>
    <mergeCell ref="A254:Y256"/>
    <mergeCell ref="Z254:AE254"/>
    <mergeCell ref="Z255:AE255"/>
    <mergeCell ref="Z256:AE256"/>
    <mergeCell ref="A257:S258"/>
    <mergeCell ref="T257:AA258"/>
    <mergeCell ref="AB257:AF258"/>
    <mergeCell ref="A260:AD261"/>
    <mergeCell ref="A262:D263"/>
    <mergeCell ref="E262:AD263"/>
    <mergeCell ref="A271:Y290"/>
    <mergeCell ref="Z271:AA271"/>
    <mergeCell ref="Z272:AA272"/>
    <mergeCell ref="Z273:AA273"/>
    <mergeCell ref="Z274:AA274"/>
    <mergeCell ref="Z275:AA275"/>
    <mergeCell ref="Z276:AA276"/>
    <mergeCell ref="Z277:AA277"/>
    <mergeCell ref="Z278:AA278"/>
    <mergeCell ref="Z279:AA279"/>
    <mergeCell ref="Z280:AA280"/>
    <mergeCell ref="Z281:AA281"/>
    <mergeCell ref="Z282:AA282"/>
    <mergeCell ref="Z283:AA283"/>
    <mergeCell ref="Z284:AA284"/>
    <mergeCell ref="Z285:AA285"/>
    <mergeCell ref="Z286:AA286"/>
    <mergeCell ref="Z287:AA287"/>
    <mergeCell ref="Z288:AA288"/>
    <mergeCell ref="Z289:AA289"/>
    <mergeCell ref="Z290:AA290"/>
    <mergeCell ref="A301:AD301"/>
    <mergeCell ref="AE301:AF301"/>
    <mergeCell ref="A302:AD302"/>
    <mergeCell ref="AE302:AF302"/>
    <mergeCell ref="A303:AD303"/>
    <mergeCell ref="AE303:AF303"/>
    <mergeCell ref="A305:E305"/>
    <mergeCell ref="F305:Y305"/>
    <mergeCell ref="Z305:AA307"/>
    <mergeCell ref="AB305:AD306"/>
    <mergeCell ref="AE305:AE307"/>
    <mergeCell ref="AF305:AF307"/>
    <mergeCell ref="A306:C307"/>
    <mergeCell ref="D306:S307"/>
    <mergeCell ref="T306:W307"/>
    <mergeCell ref="X306:Y307"/>
    <mergeCell ref="A291:Y293"/>
    <mergeCell ref="Z291:AE291"/>
    <mergeCell ref="Z292:AE292"/>
    <mergeCell ref="Z293:AE293"/>
    <mergeCell ref="A294:S295"/>
    <mergeCell ref="T294:AA295"/>
    <mergeCell ref="AB294:AF295"/>
    <mergeCell ref="A297:AD298"/>
    <mergeCell ref="A299:D300"/>
    <mergeCell ref="E299:AD300"/>
    <mergeCell ref="A308:Y327"/>
    <mergeCell ref="Z308:AA308"/>
    <mergeCell ref="Z309:AA309"/>
    <mergeCell ref="Z310:AA310"/>
    <mergeCell ref="Z311:AA311"/>
    <mergeCell ref="Z312:AA312"/>
    <mergeCell ref="Z313:AA313"/>
    <mergeCell ref="Z314:AA314"/>
    <mergeCell ref="Z315:AA315"/>
    <mergeCell ref="Z316:AA316"/>
    <mergeCell ref="Z317:AA317"/>
    <mergeCell ref="Z318:AA318"/>
    <mergeCell ref="Z319:AA319"/>
    <mergeCell ref="Z320:AA320"/>
    <mergeCell ref="Z321:AA321"/>
    <mergeCell ref="Z322:AA322"/>
    <mergeCell ref="Z323:AA323"/>
    <mergeCell ref="Z324:AA324"/>
    <mergeCell ref="Z325:AA325"/>
    <mergeCell ref="Z326:AA326"/>
    <mergeCell ref="Z327:AA327"/>
    <mergeCell ref="A338:AD338"/>
    <mergeCell ref="AE338:AF338"/>
    <mergeCell ref="A339:AD339"/>
    <mergeCell ref="AE339:AF339"/>
    <mergeCell ref="A340:AD340"/>
    <mergeCell ref="AE340:AF340"/>
    <mergeCell ref="A342:E342"/>
    <mergeCell ref="F342:Y342"/>
    <mergeCell ref="Z342:AA344"/>
    <mergeCell ref="AB342:AD343"/>
    <mergeCell ref="AE342:AE344"/>
    <mergeCell ref="AF342:AF344"/>
    <mergeCell ref="A343:C344"/>
    <mergeCell ref="D343:S344"/>
    <mergeCell ref="T343:W344"/>
    <mergeCell ref="X343:Y344"/>
    <mergeCell ref="A328:Y330"/>
    <mergeCell ref="Z328:AE328"/>
    <mergeCell ref="Z329:AE329"/>
    <mergeCell ref="Z330:AE330"/>
    <mergeCell ref="A331:S332"/>
    <mergeCell ref="T331:AA332"/>
    <mergeCell ref="AB331:AF332"/>
    <mergeCell ref="A334:AD335"/>
    <mergeCell ref="A336:D337"/>
    <mergeCell ref="E336:AD337"/>
    <mergeCell ref="A365:Y367"/>
    <mergeCell ref="Z365:AE365"/>
    <mergeCell ref="Z366:AE366"/>
    <mergeCell ref="Z367:AE367"/>
    <mergeCell ref="A368:S369"/>
    <mergeCell ref="T368:AA369"/>
    <mergeCell ref="AB368:AF369"/>
    <mergeCell ref="A598:AD599"/>
    <mergeCell ref="A600:D601"/>
    <mergeCell ref="E600:AD601"/>
    <mergeCell ref="A345:Y364"/>
    <mergeCell ref="Z345:AA345"/>
    <mergeCell ref="Z346:AA346"/>
    <mergeCell ref="Z347:AA347"/>
    <mergeCell ref="Z348:AA348"/>
    <mergeCell ref="Z349:AA349"/>
    <mergeCell ref="Z350:AA350"/>
    <mergeCell ref="Z351:AA351"/>
    <mergeCell ref="Z352:AA352"/>
    <mergeCell ref="Z353:AA353"/>
    <mergeCell ref="Z354:AA354"/>
    <mergeCell ref="Z355:AA355"/>
    <mergeCell ref="Z356:AA356"/>
    <mergeCell ref="Z357:AA357"/>
    <mergeCell ref="Z358:AA358"/>
    <mergeCell ref="Z359:AA359"/>
    <mergeCell ref="Z360:AA360"/>
    <mergeCell ref="Z361:AA361"/>
    <mergeCell ref="Z362:AA362"/>
    <mergeCell ref="Z363:AA363"/>
    <mergeCell ref="Z364:AA364"/>
    <mergeCell ref="T569:W570"/>
    <mergeCell ref="A609:Y629"/>
    <mergeCell ref="Z609:AA609"/>
    <mergeCell ref="Z610:AA610"/>
    <mergeCell ref="Z611:AA611"/>
    <mergeCell ref="Z612:AA612"/>
    <mergeCell ref="Z613:AA613"/>
    <mergeCell ref="Z614:AA614"/>
    <mergeCell ref="Z615:AA615"/>
    <mergeCell ref="Z616:AA616"/>
    <mergeCell ref="Z617:AA617"/>
    <mergeCell ref="Z618:AA618"/>
    <mergeCell ref="Z619:AA619"/>
    <mergeCell ref="Z620:AA620"/>
    <mergeCell ref="Z621:AA621"/>
    <mergeCell ref="Z622:AA622"/>
    <mergeCell ref="Z623:AA623"/>
    <mergeCell ref="Z624:AA624"/>
    <mergeCell ref="Z625:AA625"/>
    <mergeCell ref="Z626:AA626"/>
    <mergeCell ref="Z627:AA627"/>
    <mergeCell ref="Z742:AA742"/>
    <mergeCell ref="Z743:AA743"/>
    <mergeCell ref="Z744:AA744"/>
    <mergeCell ref="Z745:AA745"/>
    <mergeCell ref="A725:Y775"/>
    <mergeCell ref="Z775:AA775"/>
    <mergeCell ref="Z725:AA725"/>
    <mergeCell ref="Z726:AA726"/>
    <mergeCell ref="Z727:AA727"/>
    <mergeCell ref="Z728:AA728"/>
    <mergeCell ref="Z729:AA729"/>
    <mergeCell ref="Z730:AA730"/>
    <mergeCell ref="Z628:AA628"/>
    <mergeCell ref="Z629:AA629"/>
    <mergeCell ref="A630:Y632"/>
    <mergeCell ref="Z630:AE630"/>
    <mergeCell ref="Z631:AE631"/>
    <mergeCell ref="Z632:AE632"/>
    <mergeCell ref="A633:S634"/>
    <mergeCell ref="T633:AA634"/>
    <mergeCell ref="AB633:AF634"/>
    <mergeCell ref="A711:S712"/>
    <mergeCell ref="T711:AA712"/>
    <mergeCell ref="AB711:AF712"/>
    <mergeCell ref="Z707:AA707"/>
    <mergeCell ref="A708:Y710"/>
    <mergeCell ref="Z708:AE708"/>
    <mergeCell ref="Z709:AE709"/>
    <mergeCell ref="Z710:AE710"/>
    <mergeCell ref="A685:Y707"/>
    <mergeCell ref="Z685:AA687"/>
    <mergeCell ref="Z688:AA690"/>
    <mergeCell ref="A722:E722"/>
    <mergeCell ref="F722:Y722"/>
    <mergeCell ref="Z722:AA724"/>
    <mergeCell ref="AB722:AD723"/>
    <mergeCell ref="AE722:AE724"/>
    <mergeCell ref="AF722:AF724"/>
    <mergeCell ref="A723:C724"/>
    <mergeCell ref="D723:S724"/>
    <mergeCell ref="T723:W724"/>
    <mergeCell ref="X723:Y724"/>
    <mergeCell ref="A714:AD715"/>
    <mergeCell ref="A716:D717"/>
    <mergeCell ref="E716:AD717"/>
    <mergeCell ref="A718:AD718"/>
    <mergeCell ref="AE718:AF718"/>
    <mergeCell ref="A719:AD719"/>
    <mergeCell ref="AE719:AF719"/>
    <mergeCell ref="A720:AD720"/>
    <mergeCell ref="AE720:AF720"/>
    <mergeCell ref="A776:Y778"/>
    <mergeCell ref="Z770:AA770"/>
    <mergeCell ref="Z771:AA771"/>
    <mergeCell ref="Z746:AA746"/>
    <mergeCell ref="Z747:AA747"/>
    <mergeCell ref="Z748:AA748"/>
    <mergeCell ref="Z749:AA749"/>
    <mergeCell ref="Z750:AA750"/>
    <mergeCell ref="Z751:AA751"/>
    <mergeCell ref="Z752:AA752"/>
    <mergeCell ref="Z768:AA768"/>
    <mergeCell ref="Z769:AA769"/>
    <mergeCell ref="Z753:AA753"/>
    <mergeCell ref="Z754:AA754"/>
    <mergeCell ref="Z755:AA755"/>
    <mergeCell ref="Z756:AA756"/>
    <mergeCell ref="Z757:AA757"/>
    <mergeCell ref="Z758:AA758"/>
    <mergeCell ref="Z765:AA765"/>
    <mergeCell ref="Z766:AA766"/>
    <mergeCell ref="Z767:AA767"/>
    <mergeCell ref="Z759:AA759"/>
    <mergeCell ref="Z760:AA760"/>
    <mergeCell ref="Z761:AA761"/>
    <mergeCell ref="Z762:AA762"/>
    <mergeCell ref="Z763:AA763"/>
    <mergeCell ref="Z764:AA764"/>
    <mergeCell ref="Z731:AA731"/>
    <mergeCell ref="Z732:AA732"/>
    <mergeCell ref="Z733:AA733"/>
    <mergeCell ref="Z734:AA734"/>
    <mergeCell ref="Z735:AA735"/>
    <mergeCell ref="Z736:AA736"/>
    <mergeCell ref="Z737:AA737"/>
    <mergeCell ref="Z738:AA738"/>
    <mergeCell ref="Z739:AA739"/>
    <mergeCell ref="Z740:AA740"/>
    <mergeCell ref="Z741:AA741"/>
    <mergeCell ref="Z815:AA815"/>
    <mergeCell ref="A788:AD788"/>
    <mergeCell ref="AE788:AF788"/>
    <mergeCell ref="A790:E790"/>
    <mergeCell ref="F790:Y790"/>
    <mergeCell ref="Z790:AA792"/>
    <mergeCell ref="AB790:AD791"/>
    <mergeCell ref="AE790:AE792"/>
    <mergeCell ref="AF790:AF792"/>
    <mergeCell ref="A791:C792"/>
    <mergeCell ref="D791:S792"/>
    <mergeCell ref="T791:W792"/>
    <mergeCell ref="X791:Y792"/>
    <mergeCell ref="Z772:AA772"/>
    <mergeCell ref="Z773:AA773"/>
    <mergeCell ref="Z774:AA774"/>
    <mergeCell ref="A782:AD783"/>
    <mergeCell ref="A784:D785"/>
    <mergeCell ref="E784:AD785"/>
    <mergeCell ref="A786:AD786"/>
    <mergeCell ref="AE786:AF786"/>
    <mergeCell ref="A787:AD787"/>
    <mergeCell ref="AE787:AF787"/>
    <mergeCell ref="Z776:AE776"/>
    <mergeCell ref="Z777:AE777"/>
    <mergeCell ref="Z778:AE778"/>
    <mergeCell ref="A779:S780"/>
    <mergeCell ref="T779:AA780"/>
    <mergeCell ref="AB779:AF780"/>
    <mergeCell ref="A823:AD824"/>
    <mergeCell ref="A820:S821"/>
    <mergeCell ref="T820:AA821"/>
    <mergeCell ref="AB820:AF821"/>
    <mergeCell ref="Z793:AA793"/>
    <mergeCell ref="Z794:AA794"/>
    <mergeCell ref="Z795:AA795"/>
    <mergeCell ref="Z796:AA796"/>
    <mergeCell ref="Z797:AA797"/>
    <mergeCell ref="Z798:AA798"/>
    <mergeCell ref="Z799:AA799"/>
    <mergeCell ref="Z800:AA800"/>
    <mergeCell ref="Z801:AA801"/>
    <mergeCell ref="Z802:AA802"/>
    <mergeCell ref="Z803:AA803"/>
    <mergeCell ref="Z804:AA804"/>
    <mergeCell ref="Z805:AA805"/>
    <mergeCell ref="Z806:AA806"/>
    <mergeCell ref="Z807:AA807"/>
    <mergeCell ref="Z808:AA808"/>
    <mergeCell ref="Z809:AA809"/>
    <mergeCell ref="Z810:AA810"/>
    <mergeCell ref="Z811:AA811"/>
    <mergeCell ref="Z812:AA812"/>
    <mergeCell ref="Z813:AA813"/>
    <mergeCell ref="A793:Y816"/>
    <mergeCell ref="Z816:AA816"/>
    <mergeCell ref="A817:Y819"/>
    <mergeCell ref="Z817:AE817"/>
    <mergeCell ref="Z818:AE818"/>
    <mergeCell ref="Z819:AE819"/>
    <mergeCell ref="Z814:AA814"/>
    <mergeCell ref="Z856:AA856"/>
    <mergeCell ref="A825:D826"/>
    <mergeCell ref="E825:AD826"/>
    <mergeCell ref="A827:AD827"/>
    <mergeCell ref="AE827:AF827"/>
    <mergeCell ref="A828:AD828"/>
    <mergeCell ref="AE828:AF828"/>
    <mergeCell ref="A829:AD829"/>
    <mergeCell ref="AE829:AF829"/>
    <mergeCell ref="A831:E831"/>
    <mergeCell ref="F831:Y831"/>
    <mergeCell ref="Z831:AA833"/>
    <mergeCell ref="AB831:AD832"/>
    <mergeCell ref="AE831:AE833"/>
    <mergeCell ref="AF831:AF833"/>
    <mergeCell ref="A832:C833"/>
    <mergeCell ref="D832:S833"/>
    <mergeCell ref="T832:W833"/>
    <mergeCell ref="X832:Y833"/>
    <mergeCell ref="Z857:AA857"/>
    <mergeCell ref="A858:Y860"/>
    <mergeCell ref="Z858:AE858"/>
    <mergeCell ref="Z859:AE859"/>
    <mergeCell ref="Z860:AE860"/>
    <mergeCell ref="A861:S862"/>
    <mergeCell ref="T861:AA862"/>
    <mergeCell ref="AB861:AF862"/>
    <mergeCell ref="A864:AD865"/>
    <mergeCell ref="A834:Y857"/>
    <mergeCell ref="Z834:AA834"/>
    <mergeCell ref="Z835:AA835"/>
    <mergeCell ref="Z836:AA836"/>
    <mergeCell ref="Z837:AA837"/>
    <mergeCell ref="Z838:AA838"/>
    <mergeCell ref="Z839:AA839"/>
    <mergeCell ref="Z840:AA840"/>
    <mergeCell ref="Z841:AA841"/>
    <mergeCell ref="Z842:AA842"/>
    <mergeCell ref="Z843:AA843"/>
    <mergeCell ref="Z844:AA844"/>
    <mergeCell ref="Z845:AA845"/>
    <mergeCell ref="Z846:AA846"/>
    <mergeCell ref="Z847:AA847"/>
    <mergeCell ref="Z848:AA848"/>
    <mergeCell ref="Z849:AA849"/>
    <mergeCell ref="Z850:AA850"/>
    <mergeCell ref="Z851:AA851"/>
    <mergeCell ref="Z852:AA852"/>
    <mergeCell ref="Z853:AA853"/>
    <mergeCell ref="Z854:AA854"/>
    <mergeCell ref="Z855:AA855"/>
    <mergeCell ref="Z897:AA897"/>
    <mergeCell ref="A866:D867"/>
    <mergeCell ref="E866:AD867"/>
    <mergeCell ref="A868:AD868"/>
    <mergeCell ref="AE868:AF868"/>
    <mergeCell ref="A869:AD869"/>
    <mergeCell ref="AE869:AF869"/>
    <mergeCell ref="A870:AD870"/>
    <mergeCell ref="AE870:AF870"/>
    <mergeCell ref="A872:E872"/>
    <mergeCell ref="F872:Y872"/>
    <mergeCell ref="Z872:AA874"/>
    <mergeCell ref="AB872:AD873"/>
    <mergeCell ref="AE872:AE874"/>
    <mergeCell ref="AF872:AF874"/>
    <mergeCell ref="A873:C874"/>
    <mergeCell ref="D873:S874"/>
    <mergeCell ref="T873:W874"/>
    <mergeCell ref="X873:Y874"/>
    <mergeCell ref="Z898:AA898"/>
    <mergeCell ref="A899:Y901"/>
    <mergeCell ref="Z899:AE899"/>
    <mergeCell ref="Z900:AE900"/>
    <mergeCell ref="Z901:AE901"/>
    <mergeCell ref="A902:S903"/>
    <mergeCell ref="T902:AA903"/>
    <mergeCell ref="AB902:AF903"/>
    <mergeCell ref="A905:AD906"/>
    <mergeCell ref="A875:Y898"/>
    <mergeCell ref="Z875:AA875"/>
    <mergeCell ref="Z876:AA876"/>
    <mergeCell ref="Z877:AA877"/>
    <mergeCell ref="Z878:AA878"/>
    <mergeCell ref="Z879:AA879"/>
    <mergeCell ref="Z880:AA880"/>
    <mergeCell ref="Z881:AA881"/>
    <mergeCell ref="Z882:AA882"/>
    <mergeCell ref="Z883:AA883"/>
    <mergeCell ref="Z884:AA884"/>
    <mergeCell ref="Z885:AA885"/>
    <mergeCell ref="Z886:AA886"/>
    <mergeCell ref="Z887:AA887"/>
    <mergeCell ref="Z888:AA888"/>
    <mergeCell ref="Z889:AA889"/>
    <mergeCell ref="Z890:AA890"/>
    <mergeCell ref="Z891:AA891"/>
    <mergeCell ref="Z892:AA892"/>
    <mergeCell ref="Z893:AA893"/>
    <mergeCell ref="Z894:AA894"/>
    <mergeCell ref="Z895:AA895"/>
    <mergeCell ref="Z896:AA896"/>
    <mergeCell ref="Z938:AA938"/>
    <mergeCell ref="A907:D908"/>
    <mergeCell ref="E907:AD908"/>
    <mergeCell ref="A909:AD909"/>
    <mergeCell ref="AE909:AF909"/>
    <mergeCell ref="A910:AD910"/>
    <mergeCell ref="AE910:AF910"/>
    <mergeCell ref="A911:AD911"/>
    <mergeCell ref="AE911:AF911"/>
    <mergeCell ref="A913:E913"/>
    <mergeCell ref="F913:Y913"/>
    <mergeCell ref="Z913:AA915"/>
    <mergeCell ref="AB913:AD914"/>
    <mergeCell ref="AE913:AE915"/>
    <mergeCell ref="AF913:AF915"/>
    <mergeCell ref="A914:C915"/>
    <mergeCell ref="D914:S915"/>
    <mergeCell ref="T914:W915"/>
    <mergeCell ref="X914:Y915"/>
    <mergeCell ref="Z939:AA939"/>
    <mergeCell ref="A940:Y942"/>
    <mergeCell ref="Z940:AE940"/>
    <mergeCell ref="Z941:AE941"/>
    <mergeCell ref="Z942:AE942"/>
    <mergeCell ref="A943:S944"/>
    <mergeCell ref="T943:AA944"/>
    <mergeCell ref="AB943:AF944"/>
    <mergeCell ref="A946:AD947"/>
    <mergeCell ref="A916:Y939"/>
    <mergeCell ref="Z916:AA916"/>
    <mergeCell ref="Z917:AA917"/>
    <mergeCell ref="Z918:AA918"/>
    <mergeCell ref="Z919:AA919"/>
    <mergeCell ref="Z920:AA920"/>
    <mergeCell ref="Z921:AA921"/>
    <mergeCell ref="Z922:AA922"/>
    <mergeCell ref="Z923:AA923"/>
    <mergeCell ref="Z924:AA924"/>
    <mergeCell ref="Z925:AA925"/>
    <mergeCell ref="Z926:AA926"/>
    <mergeCell ref="Z927:AA927"/>
    <mergeCell ref="Z928:AA928"/>
    <mergeCell ref="Z929:AA929"/>
    <mergeCell ref="Z930:AA930"/>
    <mergeCell ref="Z931:AA931"/>
    <mergeCell ref="Z932:AA932"/>
    <mergeCell ref="Z933:AA933"/>
    <mergeCell ref="Z934:AA934"/>
    <mergeCell ref="Z935:AA935"/>
    <mergeCell ref="Z936:AA936"/>
    <mergeCell ref="Z937:AA937"/>
    <mergeCell ref="Z979:AA979"/>
    <mergeCell ref="A948:D949"/>
    <mergeCell ref="E948:AD949"/>
    <mergeCell ref="A950:AD950"/>
    <mergeCell ref="AE950:AF950"/>
    <mergeCell ref="A951:AD951"/>
    <mergeCell ref="AE951:AF951"/>
    <mergeCell ref="A952:AD952"/>
    <mergeCell ref="AE952:AF952"/>
    <mergeCell ref="A954:E954"/>
    <mergeCell ref="F954:Y954"/>
    <mergeCell ref="Z954:AA956"/>
    <mergeCell ref="AB954:AD955"/>
    <mergeCell ref="AE954:AE956"/>
    <mergeCell ref="AF954:AF956"/>
    <mergeCell ref="A955:C956"/>
    <mergeCell ref="D955:S956"/>
    <mergeCell ref="T955:W956"/>
    <mergeCell ref="X955:Y956"/>
    <mergeCell ref="Z980:AA980"/>
    <mergeCell ref="A981:Y983"/>
    <mergeCell ref="Z981:AE981"/>
    <mergeCell ref="Z982:AE982"/>
    <mergeCell ref="Z983:AE983"/>
    <mergeCell ref="A984:S985"/>
    <mergeCell ref="T984:AA985"/>
    <mergeCell ref="AB984:AF985"/>
    <mergeCell ref="A987:AD988"/>
    <mergeCell ref="A957:Y980"/>
    <mergeCell ref="Z957:AA957"/>
    <mergeCell ref="Z958:AA958"/>
    <mergeCell ref="Z959:AA959"/>
    <mergeCell ref="Z960:AA960"/>
    <mergeCell ref="Z961:AA961"/>
    <mergeCell ref="Z962:AA962"/>
    <mergeCell ref="Z963:AA963"/>
    <mergeCell ref="Z964:AA964"/>
    <mergeCell ref="Z965:AA965"/>
    <mergeCell ref="Z966:AA966"/>
    <mergeCell ref="Z967:AA967"/>
    <mergeCell ref="Z968:AA968"/>
    <mergeCell ref="Z969:AA969"/>
    <mergeCell ref="Z970:AA970"/>
    <mergeCell ref="Z971:AA971"/>
    <mergeCell ref="Z972:AA972"/>
    <mergeCell ref="Z973:AA973"/>
    <mergeCell ref="Z974:AA974"/>
    <mergeCell ref="Z975:AA975"/>
    <mergeCell ref="Z976:AA976"/>
    <mergeCell ref="Z977:AA977"/>
    <mergeCell ref="Z978:AA978"/>
    <mergeCell ref="Z1020:AA1020"/>
    <mergeCell ref="A989:D990"/>
    <mergeCell ref="E989:AD990"/>
    <mergeCell ref="A991:AD991"/>
    <mergeCell ref="AE991:AF991"/>
    <mergeCell ref="A992:AD992"/>
    <mergeCell ref="AE992:AF992"/>
    <mergeCell ref="A993:AD993"/>
    <mergeCell ref="AE993:AF993"/>
    <mergeCell ref="A995:E995"/>
    <mergeCell ref="F995:Y995"/>
    <mergeCell ref="Z995:AA997"/>
    <mergeCell ref="AB995:AD996"/>
    <mergeCell ref="AE995:AE997"/>
    <mergeCell ref="AF995:AF997"/>
    <mergeCell ref="A996:C997"/>
    <mergeCell ref="D996:S997"/>
    <mergeCell ref="T996:W997"/>
    <mergeCell ref="X996:Y997"/>
    <mergeCell ref="Z1021:AA1021"/>
    <mergeCell ref="A1022:Y1024"/>
    <mergeCell ref="Z1022:AE1022"/>
    <mergeCell ref="Z1023:AE1023"/>
    <mergeCell ref="Z1024:AE1024"/>
    <mergeCell ref="A1025:S1026"/>
    <mergeCell ref="T1025:AA1026"/>
    <mergeCell ref="AB1025:AF1026"/>
    <mergeCell ref="A1028:AD1029"/>
    <mergeCell ref="A998:Y1021"/>
    <mergeCell ref="Z998:AA998"/>
    <mergeCell ref="Z999:AA999"/>
    <mergeCell ref="Z1000:AA1000"/>
    <mergeCell ref="Z1001:AA1001"/>
    <mergeCell ref="Z1002:AA1002"/>
    <mergeCell ref="Z1003:AA1003"/>
    <mergeCell ref="Z1004:AA1004"/>
    <mergeCell ref="Z1005:AA1005"/>
    <mergeCell ref="Z1006:AA1006"/>
    <mergeCell ref="Z1007:AA1007"/>
    <mergeCell ref="Z1008:AA1008"/>
    <mergeCell ref="Z1009:AA1009"/>
    <mergeCell ref="Z1010:AA1010"/>
    <mergeCell ref="Z1011:AA1011"/>
    <mergeCell ref="Z1012:AA1012"/>
    <mergeCell ref="Z1013:AA1013"/>
    <mergeCell ref="Z1014:AA1014"/>
    <mergeCell ref="Z1015:AA1015"/>
    <mergeCell ref="Z1016:AA1016"/>
    <mergeCell ref="Z1017:AA1017"/>
    <mergeCell ref="Z1018:AA1018"/>
    <mergeCell ref="Z1019:AA1019"/>
    <mergeCell ref="Z1061:AA1061"/>
    <mergeCell ref="A1030:D1031"/>
    <mergeCell ref="E1030:AD1031"/>
    <mergeCell ref="A1032:AD1032"/>
    <mergeCell ref="AE1032:AF1032"/>
    <mergeCell ref="A1033:AD1033"/>
    <mergeCell ref="AE1033:AF1033"/>
    <mergeCell ref="A1034:AD1034"/>
    <mergeCell ref="AE1034:AF1034"/>
    <mergeCell ref="A1036:E1036"/>
    <mergeCell ref="F1036:Y1036"/>
    <mergeCell ref="Z1036:AA1038"/>
    <mergeCell ref="AB1036:AD1037"/>
    <mergeCell ref="AE1036:AE1038"/>
    <mergeCell ref="AF1036:AF1038"/>
    <mergeCell ref="A1037:C1038"/>
    <mergeCell ref="D1037:S1038"/>
    <mergeCell ref="T1037:W1038"/>
    <mergeCell ref="X1037:Y1038"/>
    <mergeCell ref="Z1062:AA1062"/>
    <mergeCell ref="A1063:Y1065"/>
    <mergeCell ref="Z1063:AE1063"/>
    <mergeCell ref="Z1064:AE1064"/>
    <mergeCell ref="Z1065:AE1065"/>
    <mergeCell ref="A1066:S1067"/>
    <mergeCell ref="T1066:AA1067"/>
    <mergeCell ref="AB1066:AF1067"/>
    <mergeCell ref="A1069:AD1070"/>
    <mergeCell ref="A1039:Y1062"/>
    <mergeCell ref="Z1039:AA1039"/>
    <mergeCell ref="Z1040:AA1040"/>
    <mergeCell ref="Z1041:AA1041"/>
    <mergeCell ref="Z1042:AA1042"/>
    <mergeCell ref="Z1043:AA1043"/>
    <mergeCell ref="Z1044:AA1044"/>
    <mergeCell ref="Z1045:AA1045"/>
    <mergeCell ref="Z1046:AA1046"/>
    <mergeCell ref="Z1047:AA1047"/>
    <mergeCell ref="Z1048:AA1048"/>
    <mergeCell ref="Z1049:AA1049"/>
    <mergeCell ref="Z1050:AA1050"/>
    <mergeCell ref="Z1051:AA1051"/>
    <mergeCell ref="Z1052:AA1052"/>
    <mergeCell ref="Z1053:AA1053"/>
    <mergeCell ref="Z1054:AA1054"/>
    <mergeCell ref="Z1055:AA1055"/>
    <mergeCell ref="Z1056:AA1056"/>
    <mergeCell ref="Z1057:AA1057"/>
    <mergeCell ref="Z1058:AA1058"/>
    <mergeCell ref="Z1059:AA1059"/>
    <mergeCell ref="Z1060:AA1060"/>
    <mergeCell ref="Z1102:AA1102"/>
    <mergeCell ref="A1071:D1072"/>
    <mergeCell ref="E1071:AD1072"/>
    <mergeCell ref="A1073:AD1073"/>
    <mergeCell ref="AE1073:AF1073"/>
    <mergeCell ref="A1074:AD1074"/>
    <mergeCell ref="AE1074:AF1074"/>
    <mergeCell ref="A1075:AD1075"/>
    <mergeCell ref="AE1075:AF1075"/>
    <mergeCell ref="A1077:E1077"/>
    <mergeCell ref="F1077:Y1077"/>
    <mergeCell ref="Z1077:AA1079"/>
    <mergeCell ref="AB1077:AD1078"/>
    <mergeCell ref="AE1077:AE1079"/>
    <mergeCell ref="AF1077:AF1079"/>
    <mergeCell ref="A1078:C1079"/>
    <mergeCell ref="D1078:S1079"/>
    <mergeCell ref="T1078:W1079"/>
    <mergeCell ref="X1078:Y1079"/>
    <mergeCell ref="Z1103:AA1103"/>
    <mergeCell ref="A1104:Y1106"/>
    <mergeCell ref="Z1104:AE1104"/>
    <mergeCell ref="Z1105:AE1105"/>
    <mergeCell ref="Z1106:AE1106"/>
    <mergeCell ref="A1107:S1108"/>
    <mergeCell ref="T1107:AA1108"/>
    <mergeCell ref="AB1107:AF1108"/>
    <mergeCell ref="A1110:AD1111"/>
    <mergeCell ref="A1080:Y1103"/>
    <mergeCell ref="Z1080:AA1080"/>
    <mergeCell ref="Z1081:AA1081"/>
    <mergeCell ref="Z1082:AA1082"/>
    <mergeCell ref="Z1083:AA1083"/>
    <mergeCell ref="Z1084:AA1084"/>
    <mergeCell ref="Z1085:AA1085"/>
    <mergeCell ref="Z1086:AA1086"/>
    <mergeCell ref="Z1087:AA1087"/>
    <mergeCell ref="Z1088:AA1088"/>
    <mergeCell ref="Z1089:AA1089"/>
    <mergeCell ref="Z1090:AA1090"/>
    <mergeCell ref="Z1091:AA1091"/>
    <mergeCell ref="Z1092:AA1092"/>
    <mergeCell ref="Z1093:AA1093"/>
    <mergeCell ref="Z1094:AA1094"/>
    <mergeCell ref="Z1095:AA1095"/>
    <mergeCell ref="Z1096:AA1096"/>
    <mergeCell ref="Z1097:AA1097"/>
    <mergeCell ref="Z1098:AA1098"/>
    <mergeCell ref="Z1099:AA1099"/>
    <mergeCell ref="Z1100:AA1100"/>
    <mergeCell ref="Z1101:AA1101"/>
    <mergeCell ref="Z1143:AA1143"/>
    <mergeCell ref="A1112:D1113"/>
    <mergeCell ref="E1112:AD1113"/>
    <mergeCell ref="A1114:AD1114"/>
    <mergeCell ref="AE1114:AF1114"/>
    <mergeCell ref="A1115:AD1115"/>
    <mergeCell ref="AE1115:AF1115"/>
    <mergeCell ref="A1116:AD1116"/>
    <mergeCell ref="AE1116:AF1116"/>
    <mergeCell ref="A1118:E1118"/>
    <mergeCell ref="F1118:Y1118"/>
    <mergeCell ref="Z1118:AA1120"/>
    <mergeCell ref="AB1118:AD1119"/>
    <mergeCell ref="AE1118:AE1120"/>
    <mergeCell ref="AF1118:AF1120"/>
    <mergeCell ref="A1119:C1120"/>
    <mergeCell ref="D1119:S1120"/>
    <mergeCell ref="T1119:W1120"/>
    <mergeCell ref="X1119:Y1120"/>
    <mergeCell ref="Z1144:AA1144"/>
    <mergeCell ref="A1145:Y1147"/>
    <mergeCell ref="Z1145:AE1145"/>
    <mergeCell ref="Z1146:AE1146"/>
    <mergeCell ref="Z1147:AE1147"/>
    <mergeCell ref="A1148:S1149"/>
    <mergeCell ref="T1148:AA1149"/>
    <mergeCell ref="AB1148:AF1149"/>
    <mergeCell ref="A1151:AD1152"/>
    <mergeCell ref="A1121:Y1144"/>
    <mergeCell ref="Z1121:AA1121"/>
    <mergeCell ref="Z1122:AA1122"/>
    <mergeCell ref="Z1123:AA1123"/>
    <mergeCell ref="Z1124:AA1124"/>
    <mergeCell ref="Z1125:AA1125"/>
    <mergeCell ref="Z1126:AA1126"/>
    <mergeCell ref="Z1127:AA1127"/>
    <mergeCell ref="Z1128:AA1128"/>
    <mergeCell ref="Z1129:AA1129"/>
    <mergeCell ref="Z1130:AA1130"/>
    <mergeCell ref="Z1131:AA1131"/>
    <mergeCell ref="Z1132:AA1132"/>
    <mergeCell ref="Z1133:AA1133"/>
    <mergeCell ref="Z1134:AA1134"/>
    <mergeCell ref="Z1135:AA1135"/>
    <mergeCell ref="Z1136:AA1136"/>
    <mergeCell ref="Z1137:AA1137"/>
    <mergeCell ref="Z1138:AA1138"/>
    <mergeCell ref="Z1139:AA1139"/>
    <mergeCell ref="Z1140:AA1140"/>
    <mergeCell ref="Z1141:AA1141"/>
    <mergeCell ref="Z1142:AA1142"/>
    <mergeCell ref="A1153:D1154"/>
    <mergeCell ref="E1153:AD1154"/>
    <mergeCell ref="A1155:AD1155"/>
    <mergeCell ref="AE1155:AF1155"/>
    <mergeCell ref="A1156:AD1156"/>
    <mergeCell ref="AE1156:AF1156"/>
    <mergeCell ref="A1157:AD1157"/>
    <mergeCell ref="AE1157:AF1157"/>
    <mergeCell ref="A1159:E1159"/>
    <mergeCell ref="F1159:Y1159"/>
    <mergeCell ref="Z1159:AA1161"/>
    <mergeCell ref="AB1159:AD1160"/>
    <mergeCell ref="AE1159:AE1161"/>
    <mergeCell ref="AF1159:AF1161"/>
    <mergeCell ref="A1160:C1161"/>
    <mergeCell ref="D1160:S1161"/>
    <mergeCell ref="T1160:W1161"/>
    <mergeCell ref="X1160:Y1161"/>
    <mergeCell ref="A1162:Y1181"/>
    <mergeCell ref="Z1162:AA1162"/>
    <mergeCell ref="Z1163:AA1163"/>
    <mergeCell ref="Z1164:AA1164"/>
    <mergeCell ref="Z1165:AA1165"/>
    <mergeCell ref="Z1166:AA1166"/>
    <mergeCell ref="Z1167:AA1167"/>
    <mergeCell ref="Z1168:AA1168"/>
    <mergeCell ref="Z1169:AA1169"/>
    <mergeCell ref="Z1170:AA1170"/>
    <mergeCell ref="Z1171:AA1171"/>
    <mergeCell ref="Z1172:AA1172"/>
    <mergeCell ref="Z1173:AA1173"/>
    <mergeCell ref="Z1174:AA1174"/>
    <mergeCell ref="Z1175:AA1175"/>
    <mergeCell ref="Z1176:AA1176"/>
    <mergeCell ref="Z1177:AA1177"/>
    <mergeCell ref="Z1178:AA1178"/>
    <mergeCell ref="Z1179:AA1179"/>
    <mergeCell ref="Z1180:AA1180"/>
    <mergeCell ref="Z1181:AA1181"/>
    <mergeCell ref="A1192:AD1192"/>
    <mergeCell ref="AE1192:AF1192"/>
    <mergeCell ref="A1193:AD1193"/>
    <mergeCell ref="AE1193:AF1193"/>
    <mergeCell ref="A1194:AD1194"/>
    <mergeCell ref="AE1194:AF1194"/>
    <mergeCell ref="A1196:E1196"/>
    <mergeCell ref="F1196:Y1196"/>
    <mergeCell ref="Z1196:AA1198"/>
    <mergeCell ref="AB1196:AD1197"/>
    <mergeCell ref="AE1196:AE1198"/>
    <mergeCell ref="AF1196:AF1198"/>
    <mergeCell ref="A1197:C1198"/>
    <mergeCell ref="D1197:S1198"/>
    <mergeCell ref="T1197:W1198"/>
    <mergeCell ref="X1197:Y1198"/>
    <mergeCell ref="A1182:Y1184"/>
    <mergeCell ref="Z1182:AE1182"/>
    <mergeCell ref="Z1183:AE1183"/>
    <mergeCell ref="Z1184:AE1184"/>
    <mergeCell ref="A1185:S1186"/>
    <mergeCell ref="T1185:AA1186"/>
    <mergeCell ref="AB1185:AF1186"/>
    <mergeCell ref="A1188:AD1189"/>
    <mergeCell ref="A1190:D1191"/>
    <mergeCell ref="E1190:AD1191"/>
    <mergeCell ref="A1219:Y1221"/>
    <mergeCell ref="Z1219:AE1219"/>
    <mergeCell ref="Z1220:AE1220"/>
    <mergeCell ref="Z1221:AE1221"/>
    <mergeCell ref="A1222:S1223"/>
    <mergeCell ref="T1222:AA1223"/>
    <mergeCell ref="AB1222:AF1223"/>
    <mergeCell ref="A1199:Y1218"/>
    <mergeCell ref="Z1199:AA1199"/>
    <mergeCell ref="Z1200:AA1200"/>
    <mergeCell ref="Z1202:AA1202"/>
    <mergeCell ref="Z1203:AA1203"/>
    <mergeCell ref="Z1204:AA1204"/>
    <mergeCell ref="Z1205:AA1205"/>
    <mergeCell ref="Z1206:AA1206"/>
    <mergeCell ref="Z1207:AA1207"/>
    <mergeCell ref="Z1208:AA1208"/>
    <mergeCell ref="Z1209:AA1209"/>
    <mergeCell ref="Z1210:AA1210"/>
    <mergeCell ref="Z1211:AA1211"/>
    <mergeCell ref="Z1212:AA1212"/>
    <mergeCell ref="Z1213:AA1213"/>
    <mergeCell ref="Z1214:AA1214"/>
    <mergeCell ref="Z1215:AA1215"/>
    <mergeCell ref="Z1216:AA1216"/>
    <mergeCell ref="Z1217:AA1217"/>
    <mergeCell ref="Z1218:AA1218"/>
    <mergeCell ref="Z1201:AA1201"/>
    <mergeCell ref="A1225:AD1226"/>
    <mergeCell ref="A1227:D1228"/>
    <mergeCell ref="E1227:AD1228"/>
    <mergeCell ref="A1229:AD1229"/>
    <mergeCell ref="AE1229:AF1229"/>
    <mergeCell ref="A1230:AD1230"/>
    <mergeCell ref="AE1230:AF1230"/>
    <mergeCell ref="A1231:AD1231"/>
    <mergeCell ref="AE1231:AF1231"/>
    <mergeCell ref="A1233:E1233"/>
    <mergeCell ref="F1233:Y1233"/>
    <mergeCell ref="Z1233:AA1235"/>
    <mergeCell ref="AB1233:AD1234"/>
    <mergeCell ref="AE1233:AE1235"/>
    <mergeCell ref="AF1233:AF1235"/>
    <mergeCell ref="A1234:C1235"/>
    <mergeCell ref="D1234:S1235"/>
    <mergeCell ref="T1234:W1235"/>
    <mergeCell ref="X1234:Y1235"/>
    <mergeCell ref="A1236:Y1255"/>
    <mergeCell ref="Z1236:AA1236"/>
    <mergeCell ref="Z1237:AA1237"/>
    <mergeCell ref="Z1238:AA1238"/>
    <mergeCell ref="Z1239:AA1239"/>
    <mergeCell ref="Z1240:AA1240"/>
    <mergeCell ref="Z1241:AA1241"/>
    <mergeCell ref="Z1242:AA1242"/>
    <mergeCell ref="Z1243:AA1243"/>
    <mergeCell ref="Z1244:AA1244"/>
    <mergeCell ref="Z1245:AA1245"/>
    <mergeCell ref="Z1246:AA1246"/>
    <mergeCell ref="Z1247:AA1247"/>
    <mergeCell ref="Z1248:AA1248"/>
    <mergeCell ref="Z1249:AA1249"/>
    <mergeCell ref="Z1250:AA1250"/>
    <mergeCell ref="Z1251:AA1251"/>
    <mergeCell ref="Z1252:AA1252"/>
    <mergeCell ref="Z1253:AA1253"/>
    <mergeCell ref="Z1254:AA1254"/>
    <mergeCell ref="Z1255:AA1255"/>
    <mergeCell ref="A1256:Y1258"/>
    <mergeCell ref="Z1256:AE1256"/>
    <mergeCell ref="Z1257:AE1257"/>
    <mergeCell ref="Z1258:AE1258"/>
    <mergeCell ref="A1259:S1260"/>
    <mergeCell ref="T1259:AA1260"/>
    <mergeCell ref="AB1259:AF1260"/>
    <mergeCell ref="A1262:AD1263"/>
    <mergeCell ref="A1264:D1265"/>
    <mergeCell ref="E1264:AD1265"/>
    <mergeCell ref="A1266:AD1266"/>
    <mergeCell ref="AE1266:AF1266"/>
    <mergeCell ref="A1267:AD1267"/>
    <mergeCell ref="AE1267:AF1267"/>
    <mergeCell ref="A1268:AD1268"/>
    <mergeCell ref="AE1268:AF1268"/>
    <mergeCell ref="A1270:E1270"/>
    <mergeCell ref="F1270:Y1270"/>
    <mergeCell ref="Z1270:AA1272"/>
    <mergeCell ref="AB1270:AD1271"/>
    <mergeCell ref="AE1270:AE1272"/>
    <mergeCell ref="AF1270:AF1272"/>
    <mergeCell ref="A1271:C1272"/>
    <mergeCell ref="D1271:S1272"/>
    <mergeCell ref="T1271:W1272"/>
    <mergeCell ref="X1271:Y1272"/>
    <mergeCell ref="A1293:Y1295"/>
    <mergeCell ref="Z1293:AE1293"/>
    <mergeCell ref="Z1294:AE1294"/>
    <mergeCell ref="Z1295:AE1295"/>
    <mergeCell ref="A1296:S1297"/>
    <mergeCell ref="T1296:AA1297"/>
    <mergeCell ref="AB1296:AF1297"/>
    <mergeCell ref="A1273:Y1292"/>
    <mergeCell ref="Z1273:AA1273"/>
    <mergeCell ref="Z1274:AA1274"/>
    <mergeCell ref="Z1275:AA1275"/>
    <mergeCell ref="Z1276:AA1276"/>
    <mergeCell ref="Z1277:AA1277"/>
    <mergeCell ref="Z1278:AA1278"/>
    <mergeCell ref="Z1279:AA1279"/>
    <mergeCell ref="Z1280:AA1280"/>
    <mergeCell ref="Z1281:AA1281"/>
    <mergeCell ref="Z1282:AA1282"/>
    <mergeCell ref="Z1283:AA1283"/>
    <mergeCell ref="Z1284:AA1284"/>
    <mergeCell ref="Z1285:AA1285"/>
    <mergeCell ref="Z1286:AA1286"/>
    <mergeCell ref="Z1287:AA1287"/>
    <mergeCell ref="Z1288:AA1288"/>
    <mergeCell ref="Z1289:AA1289"/>
    <mergeCell ref="Z1290:AA1290"/>
    <mergeCell ref="Z1291:AA1291"/>
    <mergeCell ref="Z1292:AA1292"/>
    <mergeCell ref="A1889:AD1890"/>
    <mergeCell ref="A1891:D1892"/>
    <mergeCell ref="E1891:AD1892"/>
    <mergeCell ref="A1893:AD1893"/>
    <mergeCell ref="AE1893:AF1893"/>
    <mergeCell ref="A1894:AD1894"/>
    <mergeCell ref="AE1894:AF1894"/>
    <mergeCell ref="A1895:AD1895"/>
    <mergeCell ref="AE1895:AF1895"/>
    <mergeCell ref="A1897:E1897"/>
    <mergeCell ref="F1897:Y1897"/>
    <mergeCell ref="Z1897:AA1899"/>
    <mergeCell ref="AB1897:AD1898"/>
    <mergeCell ref="AE1897:AE1899"/>
    <mergeCell ref="AF1897:AF1899"/>
    <mergeCell ref="A1898:C1899"/>
    <mergeCell ref="D1898:S1899"/>
    <mergeCell ref="T1898:W1899"/>
    <mergeCell ref="X1898:Y1899"/>
    <mergeCell ref="A1900:Y1923"/>
    <mergeCell ref="Z1900:AA1900"/>
    <mergeCell ref="Z1901:AA1901"/>
    <mergeCell ref="Z1902:AA1902"/>
    <mergeCell ref="Z1903:AA1903"/>
    <mergeCell ref="Z1904:AA1904"/>
    <mergeCell ref="Z1905:AA1905"/>
    <mergeCell ref="Z1906:AA1906"/>
    <mergeCell ref="Z1907:AA1907"/>
    <mergeCell ref="Z1908:AA1908"/>
    <mergeCell ref="Z1909:AA1909"/>
    <mergeCell ref="Z1910:AA1910"/>
    <mergeCell ref="Z1911:AA1911"/>
    <mergeCell ref="Z1912:AA1912"/>
    <mergeCell ref="Z1913:AA1913"/>
    <mergeCell ref="Z1914:AA1914"/>
    <mergeCell ref="Z1915:AA1915"/>
    <mergeCell ref="Z1916:AA1916"/>
    <mergeCell ref="Z1917:AA1917"/>
    <mergeCell ref="Z1918:AA1918"/>
    <mergeCell ref="Z1919:AA1919"/>
    <mergeCell ref="Z1920:AA1920"/>
    <mergeCell ref="Z1921:AA1921"/>
    <mergeCell ref="Z1922:AA1922"/>
    <mergeCell ref="Z1923:AA1923"/>
    <mergeCell ref="A1924:Y1926"/>
    <mergeCell ref="Z1924:AE1924"/>
    <mergeCell ref="Z1925:AE1925"/>
    <mergeCell ref="Z1926:AE1926"/>
    <mergeCell ref="A1927:S1928"/>
    <mergeCell ref="T1927:AA1928"/>
    <mergeCell ref="AB1927:AF1928"/>
    <mergeCell ref="A1930:AD1931"/>
    <mergeCell ref="A1932:D1933"/>
    <mergeCell ref="E1932:AD1933"/>
    <mergeCell ref="A1934:AD1934"/>
    <mergeCell ref="AE1934:AF1934"/>
    <mergeCell ref="A1935:AD1935"/>
    <mergeCell ref="AE1935:AF1935"/>
    <mergeCell ref="A1936:AD1936"/>
    <mergeCell ref="AE1936:AF1936"/>
    <mergeCell ref="A1938:E1938"/>
    <mergeCell ref="F1938:Y1938"/>
    <mergeCell ref="Z1938:AA1940"/>
    <mergeCell ref="AB1938:AD1939"/>
    <mergeCell ref="AE1938:AE1940"/>
    <mergeCell ref="AF1938:AF1940"/>
    <mergeCell ref="A1939:C1940"/>
    <mergeCell ref="D1939:S1940"/>
    <mergeCell ref="T1939:W1940"/>
    <mergeCell ref="X1939:Y1940"/>
    <mergeCell ref="A1941:Y1964"/>
    <mergeCell ref="Z1941:AA1941"/>
    <mergeCell ref="Z1942:AA1942"/>
    <mergeCell ref="Z1943:AA1943"/>
    <mergeCell ref="Z1944:AA1944"/>
    <mergeCell ref="Z1945:AA1945"/>
    <mergeCell ref="Z1946:AA1946"/>
    <mergeCell ref="Z1947:AA1947"/>
    <mergeCell ref="Z1948:AA1948"/>
    <mergeCell ref="Z1949:AA1949"/>
    <mergeCell ref="Z1950:AA1950"/>
    <mergeCell ref="Z1951:AA1951"/>
    <mergeCell ref="Z1952:AA1952"/>
    <mergeCell ref="Z1953:AA1953"/>
    <mergeCell ref="Z1954:AA1954"/>
    <mergeCell ref="Z1955:AA1955"/>
    <mergeCell ref="Z1956:AA1956"/>
    <mergeCell ref="Z1957:AA1957"/>
    <mergeCell ref="Z1958:AA1958"/>
    <mergeCell ref="Z1959:AA1959"/>
    <mergeCell ref="Z1960:AA1960"/>
    <mergeCell ref="Z1961:AA1961"/>
    <mergeCell ref="Z1962:AA1962"/>
    <mergeCell ref="Z1963:AA1963"/>
    <mergeCell ref="Z1964:AA1964"/>
    <mergeCell ref="A1965:Y1967"/>
    <mergeCell ref="Z1965:AE1965"/>
    <mergeCell ref="Z1966:AE1966"/>
    <mergeCell ref="Z1967:AE1967"/>
    <mergeCell ref="A1968:S1969"/>
    <mergeCell ref="T1968:AA1969"/>
    <mergeCell ref="AB1968:AF1969"/>
    <mergeCell ref="A1971:AD1972"/>
    <mergeCell ref="A1973:D1974"/>
    <mergeCell ref="E1973:AD1974"/>
    <mergeCell ref="A1975:AD1975"/>
    <mergeCell ref="AE1975:AF1975"/>
    <mergeCell ref="A1976:AD1976"/>
    <mergeCell ref="AE1976:AF1976"/>
    <mergeCell ref="A1977:AD1977"/>
    <mergeCell ref="AE1977:AF1977"/>
    <mergeCell ref="A1979:E1979"/>
    <mergeCell ref="F1979:Y1979"/>
    <mergeCell ref="Z1979:AA1981"/>
    <mergeCell ref="AB1979:AD1980"/>
    <mergeCell ref="AE1979:AE1981"/>
    <mergeCell ref="AF1979:AF1981"/>
    <mergeCell ref="A1980:C1981"/>
    <mergeCell ref="D1980:S1981"/>
    <mergeCell ref="T1980:W1981"/>
    <mergeCell ref="X1980:Y1981"/>
    <mergeCell ref="A1982:Y2005"/>
    <mergeCell ref="Z1982:AA1982"/>
    <mergeCell ref="Z1983:AA1983"/>
    <mergeCell ref="Z1984:AA1984"/>
    <mergeCell ref="Z1985:AA1985"/>
    <mergeCell ref="Z1986:AA1986"/>
    <mergeCell ref="Z1987:AA1987"/>
    <mergeCell ref="Z1988:AA1988"/>
    <mergeCell ref="Z1989:AA1989"/>
    <mergeCell ref="Z1990:AA1990"/>
    <mergeCell ref="Z1991:AA1991"/>
    <mergeCell ref="Z1992:AA1992"/>
    <mergeCell ref="Z1993:AA1993"/>
    <mergeCell ref="Z1994:AA1994"/>
    <mergeCell ref="Z1995:AA1995"/>
    <mergeCell ref="Z1996:AA1996"/>
    <mergeCell ref="Z1997:AA1997"/>
    <mergeCell ref="Z1998:AA1998"/>
    <mergeCell ref="Z1999:AA1999"/>
    <mergeCell ref="Z2000:AA2000"/>
    <mergeCell ref="Z2001:AA2001"/>
    <mergeCell ref="Z2002:AA2002"/>
    <mergeCell ref="Z2003:AA2003"/>
    <mergeCell ref="Z2004:AA2004"/>
    <mergeCell ref="Z2005:AA2005"/>
    <mergeCell ref="A2006:Y2008"/>
    <mergeCell ref="Z2006:AE2006"/>
    <mergeCell ref="Z2007:AE2007"/>
    <mergeCell ref="Z2008:AE2008"/>
    <mergeCell ref="A2009:S2010"/>
    <mergeCell ref="T2009:AA2010"/>
    <mergeCell ref="AB2009:AF2010"/>
    <mergeCell ref="A2012:AD2013"/>
    <mergeCell ref="A2014:D2015"/>
    <mergeCell ref="E2014:AD2015"/>
    <mergeCell ref="A2016:AD2016"/>
    <mergeCell ref="AE2016:AF2016"/>
    <mergeCell ref="A2017:AD2017"/>
    <mergeCell ref="AE2017:AF2017"/>
    <mergeCell ref="A2018:AD2018"/>
    <mergeCell ref="AE2018:AF2018"/>
    <mergeCell ref="A2020:E2020"/>
    <mergeCell ref="F2020:Y2020"/>
    <mergeCell ref="Z2020:AA2022"/>
    <mergeCell ref="AB2020:AD2021"/>
    <mergeCell ref="AE2020:AE2022"/>
    <mergeCell ref="AF2020:AF2022"/>
    <mergeCell ref="A2021:C2022"/>
    <mergeCell ref="D2021:S2022"/>
    <mergeCell ref="T2021:W2022"/>
    <mergeCell ref="X2021:Y2022"/>
    <mergeCell ref="A2023:Y2046"/>
    <mergeCell ref="Z2023:AA2023"/>
    <mergeCell ref="Z2024:AA2024"/>
    <mergeCell ref="Z2025:AA2025"/>
    <mergeCell ref="Z2026:AA2026"/>
    <mergeCell ref="Z2027:AA2027"/>
    <mergeCell ref="Z2028:AA2028"/>
    <mergeCell ref="Z2029:AA2029"/>
    <mergeCell ref="Z2030:AA2030"/>
    <mergeCell ref="Z2031:AA2031"/>
    <mergeCell ref="Z2032:AA2032"/>
    <mergeCell ref="Z2033:AA2033"/>
    <mergeCell ref="Z2034:AA2034"/>
    <mergeCell ref="Z2035:AA2035"/>
    <mergeCell ref="Z2036:AA2036"/>
    <mergeCell ref="Z2037:AA2037"/>
    <mergeCell ref="Z2038:AA2038"/>
    <mergeCell ref="Z2039:AA2039"/>
    <mergeCell ref="Z2040:AA2040"/>
    <mergeCell ref="Z2041:AA2041"/>
    <mergeCell ref="Z2042:AA2042"/>
    <mergeCell ref="Z2043:AA2043"/>
    <mergeCell ref="Z2044:AA2044"/>
    <mergeCell ref="Z2045:AA2045"/>
    <mergeCell ref="Z2046:AA2046"/>
    <mergeCell ref="A2047:Y2049"/>
    <mergeCell ref="Z2047:AE2047"/>
    <mergeCell ref="Z2048:AE2048"/>
    <mergeCell ref="Z2049:AE2049"/>
    <mergeCell ref="A2050:S2051"/>
    <mergeCell ref="T2050:AA2051"/>
    <mergeCell ref="AB2050:AF2051"/>
    <mergeCell ref="A2053:AD2054"/>
    <mergeCell ref="A2055:D2056"/>
    <mergeCell ref="E2055:AD2056"/>
    <mergeCell ref="A2057:AD2057"/>
    <mergeCell ref="AE2057:AF2057"/>
    <mergeCell ref="A2058:AD2058"/>
    <mergeCell ref="AE2058:AF2058"/>
    <mergeCell ref="A2059:AD2059"/>
    <mergeCell ref="AE2059:AF2059"/>
    <mergeCell ref="A2061:E2061"/>
    <mergeCell ref="F2061:Y2061"/>
    <mergeCell ref="Z2061:AA2063"/>
    <mergeCell ref="AB2061:AD2062"/>
    <mergeCell ref="AE2061:AE2063"/>
    <mergeCell ref="AF2061:AF2063"/>
    <mergeCell ref="A2062:C2063"/>
    <mergeCell ref="D2062:S2063"/>
    <mergeCell ref="T2062:W2063"/>
    <mergeCell ref="X2062:Y2063"/>
    <mergeCell ref="A2064:Y2087"/>
    <mergeCell ref="Z2064:AA2064"/>
    <mergeCell ref="Z2065:AA2065"/>
    <mergeCell ref="Z2066:AA2066"/>
    <mergeCell ref="Z2067:AA2067"/>
    <mergeCell ref="Z2068:AA2068"/>
    <mergeCell ref="Z2069:AA2069"/>
    <mergeCell ref="Z2070:AA2070"/>
    <mergeCell ref="Z2071:AA2071"/>
    <mergeCell ref="Z2072:AA2072"/>
    <mergeCell ref="Z2073:AA2073"/>
    <mergeCell ref="Z2074:AA2074"/>
    <mergeCell ref="Z2075:AA2075"/>
    <mergeCell ref="Z2076:AA2076"/>
    <mergeCell ref="Z2077:AA2077"/>
    <mergeCell ref="Z2078:AA2078"/>
    <mergeCell ref="Z2079:AA2079"/>
    <mergeCell ref="Z2080:AA2080"/>
    <mergeCell ref="Z2081:AA2081"/>
    <mergeCell ref="Z2082:AA2082"/>
    <mergeCell ref="Z2083:AA2083"/>
    <mergeCell ref="Z2084:AA2084"/>
    <mergeCell ref="Z2085:AA2085"/>
    <mergeCell ref="Z2086:AA2086"/>
    <mergeCell ref="Z2087:AA2087"/>
    <mergeCell ref="A2088:Y2090"/>
    <mergeCell ref="Z2088:AE2088"/>
    <mergeCell ref="Z2089:AE2089"/>
    <mergeCell ref="Z2090:AE2090"/>
    <mergeCell ref="A2091:S2092"/>
    <mergeCell ref="T2091:AA2092"/>
    <mergeCell ref="AB2091:AF2092"/>
    <mergeCell ref="A2094:AD2095"/>
    <mergeCell ref="A2096:D2097"/>
    <mergeCell ref="E2096:AD2097"/>
    <mergeCell ref="A2098:AD2098"/>
    <mergeCell ref="AE2098:AF2098"/>
    <mergeCell ref="A2099:AD2099"/>
    <mergeCell ref="AE2099:AF2099"/>
    <mergeCell ref="A2100:AD2100"/>
    <mergeCell ref="AE2100:AF2100"/>
    <mergeCell ref="A2102:E2102"/>
    <mergeCell ref="F2102:Y2102"/>
    <mergeCell ref="Z2102:AA2104"/>
    <mergeCell ref="AB2102:AD2103"/>
    <mergeCell ref="AE2102:AE2104"/>
    <mergeCell ref="AF2102:AF2104"/>
    <mergeCell ref="A2103:C2104"/>
    <mergeCell ref="D2103:S2104"/>
    <mergeCell ref="T2103:W2104"/>
    <mergeCell ref="X2103:Y2104"/>
    <mergeCell ref="A2105:Y2128"/>
    <mergeCell ref="Z2105:AA2105"/>
    <mergeCell ref="Z2106:AA2106"/>
    <mergeCell ref="Z2107:AA2107"/>
    <mergeCell ref="Z2108:AA2108"/>
    <mergeCell ref="Z2109:AA2109"/>
    <mergeCell ref="Z2110:AA2110"/>
    <mergeCell ref="Z2111:AA2111"/>
    <mergeCell ref="Z2112:AA2112"/>
    <mergeCell ref="Z2113:AA2113"/>
    <mergeCell ref="Z2114:AA2114"/>
    <mergeCell ref="Z2115:AA2115"/>
    <mergeCell ref="Z2116:AA2116"/>
    <mergeCell ref="Z2117:AA2117"/>
    <mergeCell ref="Z2118:AA2118"/>
    <mergeCell ref="Z2119:AA2119"/>
    <mergeCell ref="Z2120:AA2120"/>
    <mergeCell ref="Z2121:AA2121"/>
    <mergeCell ref="Z2122:AA2122"/>
    <mergeCell ref="Z2123:AA2123"/>
    <mergeCell ref="Z2124:AA2124"/>
    <mergeCell ref="Z2125:AA2125"/>
    <mergeCell ref="Z2126:AA2126"/>
    <mergeCell ref="Z2127:AA2127"/>
    <mergeCell ref="Z2128:AA2128"/>
    <mergeCell ref="A2129:Y2131"/>
    <mergeCell ref="Z2129:AE2129"/>
    <mergeCell ref="Z2130:AE2130"/>
    <mergeCell ref="Z2131:AE2131"/>
    <mergeCell ref="A2132:S2133"/>
    <mergeCell ref="T2132:AA2133"/>
    <mergeCell ref="AB2132:AF2133"/>
    <mergeCell ref="A2135:AD2136"/>
    <mergeCell ref="A2137:D2138"/>
    <mergeCell ref="E2137:AD2138"/>
    <mergeCell ref="A2139:AD2139"/>
    <mergeCell ref="AE2139:AF2139"/>
    <mergeCell ref="A2140:AD2140"/>
    <mergeCell ref="AE2140:AF2140"/>
    <mergeCell ref="A2141:AD2141"/>
    <mergeCell ref="AE2141:AF2141"/>
    <mergeCell ref="A2143:E2143"/>
    <mergeCell ref="F2143:Y2143"/>
    <mergeCell ref="Z2143:AA2145"/>
    <mergeCell ref="AB2143:AD2144"/>
    <mergeCell ref="AE2143:AE2145"/>
    <mergeCell ref="AF2143:AF2145"/>
    <mergeCell ref="A2144:C2145"/>
    <mergeCell ref="D2144:S2145"/>
    <mergeCell ref="T2144:W2145"/>
    <mergeCell ref="X2144:Y2145"/>
    <mergeCell ref="A2146:Y2169"/>
    <mergeCell ref="Z2146:AA2146"/>
    <mergeCell ref="Z2147:AA2147"/>
    <mergeCell ref="Z2148:AA2148"/>
    <mergeCell ref="Z2149:AA2149"/>
    <mergeCell ref="Z2150:AA2150"/>
    <mergeCell ref="Z2151:AA2151"/>
    <mergeCell ref="Z2152:AA2152"/>
    <mergeCell ref="Z2153:AA2153"/>
    <mergeCell ref="Z2154:AA2154"/>
    <mergeCell ref="Z2155:AA2155"/>
    <mergeCell ref="Z2156:AA2156"/>
    <mergeCell ref="Z2157:AA2157"/>
    <mergeCell ref="Z2158:AA2158"/>
    <mergeCell ref="Z2159:AA2159"/>
    <mergeCell ref="Z2160:AA2160"/>
    <mergeCell ref="Z2161:AA2161"/>
    <mergeCell ref="Z2162:AA2162"/>
    <mergeCell ref="Z2163:AA2163"/>
    <mergeCell ref="Z2164:AA2164"/>
    <mergeCell ref="Z2165:AA2165"/>
    <mergeCell ref="Z2166:AA2166"/>
    <mergeCell ref="Z2167:AA2167"/>
    <mergeCell ref="Z2168:AA2168"/>
    <mergeCell ref="Z2169:AA2169"/>
    <mergeCell ref="A2170:Y2172"/>
    <mergeCell ref="Z2170:AE2170"/>
    <mergeCell ref="Z2171:AE2171"/>
    <mergeCell ref="Z2172:AE2172"/>
    <mergeCell ref="A2173:S2174"/>
    <mergeCell ref="T2173:AA2174"/>
    <mergeCell ref="AB2173:AF2174"/>
    <mergeCell ref="A2176:AD2177"/>
    <mergeCell ref="A2178:D2179"/>
    <mergeCell ref="E2178:AD2179"/>
    <mergeCell ref="A2180:AD2180"/>
    <mergeCell ref="AE2180:AF2180"/>
    <mergeCell ref="A2181:AD2181"/>
    <mergeCell ref="AE2181:AF2181"/>
    <mergeCell ref="A2182:AD2182"/>
    <mergeCell ref="AE2182:AF2182"/>
    <mergeCell ref="A2184:E2184"/>
    <mergeCell ref="F2184:Y2184"/>
    <mergeCell ref="Z2184:AA2186"/>
    <mergeCell ref="AB2184:AD2185"/>
    <mergeCell ref="AE2184:AE2186"/>
    <mergeCell ref="AF2184:AF2186"/>
    <mergeCell ref="A2185:C2186"/>
    <mergeCell ref="D2185:S2186"/>
    <mergeCell ref="T2185:W2186"/>
    <mergeCell ref="X2185:Y2186"/>
    <mergeCell ref="A2187:Y2210"/>
    <mergeCell ref="Z2187:AA2187"/>
    <mergeCell ref="Z2188:AA2188"/>
    <mergeCell ref="Z2189:AA2189"/>
    <mergeCell ref="Z2190:AA2190"/>
    <mergeCell ref="Z2191:AA2191"/>
    <mergeCell ref="Z2192:AA2192"/>
    <mergeCell ref="Z2193:AA2193"/>
    <mergeCell ref="Z2194:AA2194"/>
    <mergeCell ref="Z2195:AA2195"/>
    <mergeCell ref="Z2196:AA2196"/>
    <mergeCell ref="Z2197:AA2197"/>
    <mergeCell ref="Z2198:AA2198"/>
    <mergeCell ref="Z2199:AA2199"/>
    <mergeCell ref="Z2200:AA2200"/>
    <mergeCell ref="Z2201:AA2201"/>
    <mergeCell ref="Z2202:AA2202"/>
    <mergeCell ref="Z2203:AA2203"/>
    <mergeCell ref="Z2204:AA2204"/>
    <mergeCell ref="Z2205:AA2205"/>
    <mergeCell ref="Z2206:AA2206"/>
    <mergeCell ref="Z2207:AA2207"/>
    <mergeCell ref="Z2208:AA2208"/>
    <mergeCell ref="Z2209:AA2209"/>
    <mergeCell ref="Z2210:AA2210"/>
    <mergeCell ref="A2211:Y2213"/>
    <mergeCell ref="Z2211:AE2211"/>
    <mergeCell ref="Z2212:AE2212"/>
    <mergeCell ref="Z2213:AE2213"/>
    <mergeCell ref="A2214:S2215"/>
    <mergeCell ref="T2214:AA2215"/>
    <mergeCell ref="AB2214:AF2215"/>
    <mergeCell ref="A2217:AD2218"/>
    <mergeCell ref="A2219:D2220"/>
    <mergeCell ref="E2219:AD2220"/>
    <mergeCell ref="A2221:AD2221"/>
    <mergeCell ref="AE2221:AF2221"/>
    <mergeCell ref="A2222:AD2222"/>
    <mergeCell ref="AE2222:AF2222"/>
    <mergeCell ref="A2223:AD2223"/>
    <mergeCell ref="AE2223:AF2223"/>
    <mergeCell ref="A2225:E2225"/>
    <mergeCell ref="F2225:Y2225"/>
    <mergeCell ref="Z2225:AA2227"/>
    <mergeCell ref="AB2225:AD2226"/>
    <mergeCell ref="AE2225:AE2227"/>
    <mergeCell ref="AF2225:AF2227"/>
    <mergeCell ref="A2226:C2227"/>
    <mergeCell ref="D2226:S2227"/>
    <mergeCell ref="T2226:W2227"/>
    <mergeCell ref="X2226:Y2227"/>
    <mergeCell ref="A2228:Y2251"/>
    <mergeCell ref="Z2228:AA2228"/>
    <mergeCell ref="Z2229:AA2229"/>
    <mergeCell ref="Z2230:AA2230"/>
    <mergeCell ref="Z2231:AA2231"/>
    <mergeCell ref="Z2232:AA2232"/>
    <mergeCell ref="Z2233:AA2233"/>
    <mergeCell ref="Z2234:AA2234"/>
    <mergeCell ref="Z2235:AA2235"/>
    <mergeCell ref="Z2236:AA2236"/>
    <mergeCell ref="Z2237:AA2237"/>
    <mergeCell ref="Z2238:AA2238"/>
    <mergeCell ref="Z2239:AA2239"/>
    <mergeCell ref="Z2240:AA2240"/>
    <mergeCell ref="Z2241:AA2241"/>
    <mergeCell ref="Z2242:AA2242"/>
    <mergeCell ref="Z2243:AA2243"/>
    <mergeCell ref="Z2244:AA2244"/>
    <mergeCell ref="Z2245:AA2245"/>
    <mergeCell ref="Z2246:AA2246"/>
    <mergeCell ref="Z2247:AA2247"/>
    <mergeCell ref="Z2248:AA2248"/>
    <mergeCell ref="Z2249:AA2249"/>
    <mergeCell ref="Z2250:AA2250"/>
    <mergeCell ref="Z2251:AA2251"/>
    <mergeCell ref="A2252:Y2254"/>
    <mergeCell ref="Z2252:AE2252"/>
    <mergeCell ref="Z2253:AE2253"/>
    <mergeCell ref="Z2254:AE2254"/>
    <mergeCell ref="A2255:S2256"/>
    <mergeCell ref="T2255:AA2256"/>
    <mergeCell ref="AB2255:AF2256"/>
    <mergeCell ref="A2258:AD2259"/>
    <mergeCell ref="A2260:D2261"/>
    <mergeCell ref="E2260:AD2261"/>
    <mergeCell ref="A2262:AD2262"/>
    <mergeCell ref="AE2262:AF2262"/>
    <mergeCell ref="A2263:AD2263"/>
    <mergeCell ref="AE2263:AF2263"/>
    <mergeCell ref="A2264:AD2264"/>
    <mergeCell ref="AE2264:AF2264"/>
    <mergeCell ref="A2266:E2266"/>
    <mergeCell ref="F2266:Y2266"/>
    <mergeCell ref="Z2266:AA2268"/>
    <mergeCell ref="AB2266:AD2267"/>
    <mergeCell ref="AE2266:AE2268"/>
    <mergeCell ref="AF2266:AF2268"/>
    <mergeCell ref="A2267:C2268"/>
    <mergeCell ref="D2267:S2268"/>
    <mergeCell ref="T2267:W2268"/>
    <mergeCell ref="X2267:Y2268"/>
    <mergeCell ref="A2269:Y2292"/>
    <mergeCell ref="Z2269:AA2269"/>
    <mergeCell ref="Z2270:AA2270"/>
    <mergeCell ref="Z2271:AA2271"/>
    <mergeCell ref="Z2272:AA2272"/>
    <mergeCell ref="Z2273:AA2273"/>
    <mergeCell ref="Z2274:AA2274"/>
    <mergeCell ref="Z2275:AA2275"/>
    <mergeCell ref="Z2276:AA2276"/>
    <mergeCell ref="Z2277:AA2277"/>
    <mergeCell ref="Z2278:AA2278"/>
    <mergeCell ref="Z2279:AA2279"/>
    <mergeCell ref="Z2280:AA2280"/>
    <mergeCell ref="Z2281:AA2281"/>
    <mergeCell ref="Z2282:AA2282"/>
    <mergeCell ref="Z2283:AA2283"/>
    <mergeCell ref="Z2284:AA2284"/>
    <mergeCell ref="Z2285:AA2285"/>
    <mergeCell ref="Z2286:AA2286"/>
    <mergeCell ref="Z2287:AA2287"/>
    <mergeCell ref="Z2288:AA2288"/>
    <mergeCell ref="Z2289:AA2289"/>
    <mergeCell ref="Z2290:AA2290"/>
    <mergeCell ref="Z2291:AA2291"/>
    <mergeCell ref="Z2292:AA2292"/>
    <mergeCell ref="A2293:Y2295"/>
    <mergeCell ref="Z2293:AE2293"/>
    <mergeCell ref="Z2294:AE2294"/>
    <mergeCell ref="Z2295:AE2295"/>
    <mergeCell ref="A2296:S2297"/>
    <mergeCell ref="T2296:AA2297"/>
    <mergeCell ref="AB2296:AF2297"/>
    <mergeCell ref="A2299:AD2300"/>
    <mergeCell ref="A2301:D2302"/>
    <mergeCell ref="E2301:AD2302"/>
    <mergeCell ref="A2303:AD2303"/>
    <mergeCell ref="AE2303:AF2303"/>
    <mergeCell ref="A2304:AD2304"/>
    <mergeCell ref="AE2304:AF2304"/>
    <mergeCell ref="A2305:AD2305"/>
    <mergeCell ref="AE2305:AF2305"/>
    <mergeCell ref="A2307:E2307"/>
    <mergeCell ref="F2307:Y2307"/>
    <mergeCell ref="Z2307:AA2309"/>
    <mergeCell ref="AB2307:AD2308"/>
    <mergeCell ref="AE2307:AE2309"/>
    <mergeCell ref="AF2307:AF2309"/>
    <mergeCell ref="A2308:C2309"/>
    <mergeCell ref="D2308:S2309"/>
    <mergeCell ref="T2308:W2309"/>
    <mergeCell ref="X2308:Y2309"/>
    <mergeCell ref="A2310:Y2333"/>
    <mergeCell ref="Z2310:AA2310"/>
    <mergeCell ref="Z2311:AA2311"/>
    <mergeCell ref="Z2312:AA2312"/>
    <mergeCell ref="Z2313:AA2313"/>
    <mergeCell ref="Z2314:AA2314"/>
    <mergeCell ref="Z2315:AA2315"/>
    <mergeCell ref="Z2316:AA2316"/>
    <mergeCell ref="Z2317:AA2317"/>
    <mergeCell ref="Z2318:AA2318"/>
    <mergeCell ref="Z2319:AA2319"/>
    <mergeCell ref="Z2320:AA2320"/>
    <mergeCell ref="Z2321:AA2321"/>
    <mergeCell ref="Z2322:AA2322"/>
    <mergeCell ref="Z2323:AA2323"/>
    <mergeCell ref="Z2324:AA2324"/>
    <mergeCell ref="Z2325:AA2325"/>
    <mergeCell ref="Z2326:AA2326"/>
    <mergeCell ref="Z2327:AA2327"/>
    <mergeCell ref="Z2328:AA2328"/>
    <mergeCell ref="Z2329:AA2329"/>
    <mergeCell ref="Z2330:AA2330"/>
    <mergeCell ref="Z2331:AA2331"/>
    <mergeCell ref="Z2332:AA2332"/>
    <mergeCell ref="Z2333:AA2333"/>
    <mergeCell ref="A2334:Y2336"/>
    <mergeCell ref="Z2334:AE2334"/>
    <mergeCell ref="Z2335:AE2335"/>
    <mergeCell ref="Z2336:AE2336"/>
    <mergeCell ref="A2337:S2338"/>
    <mergeCell ref="T2337:AA2338"/>
    <mergeCell ref="AB2337:AF2338"/>
    <mergeCell ref="A2340:AD2341"/>
    <mergeCell ref="A2342:D2343"/>
    <mergeCell ref="E2342:AD2343"/>
    <mergeCell ref="A2344:AD2344"/>
    <mergeCell ref="AE2344:AF2344"/>
    <mergeCell ref="A2345:AD2345"/>
    <mergeCell ref="AE2345:AF2345"/>
    <mergeCell ref="A2346:AD2346"/>
    <mergeCell ref="AE2346:AF2346"/>
    <mergeCell ref="A2348:E2348"/>
    <mergeCell ref="F2348:Y2348"/>
    <mergeCell ref="Z2348:AA2350"/>
    <mergeCell ref="AB2348:AD2349"/>
    <mergeCell ref="AE2348:AE2350"/>
    <mergeCell ref="AF2348:AF2350"/>
    <mergeCell ref="A2349:C2350"/>
    <mergeCell ref="D2349:S2350"/>
    <mergeCell ref="T2349:W2350"/>
    <mergeCell ref="X2349:Y2350"/>
    <mergeCell ref="A2351:Y2374"/>
    <mergeCell ref="Z2351:AA2351"/>
    <mergeCell ref="Z2352:AA2352"/>
    <mergeCell ref="Z2353:AA2353"/>
    <mergeCell ref="Z2354:AA2354"/>
    <mergeCell ref="Z2355:AA2355"/>
    <mergeCell ref="Z2356:AA2356"/>
    <mergeCell ref="Z2357:AA2357"/>
    <mergeCell ref="Z2358:AA2358"/>
    <mergeCell ref="Z2359:AA2359"/>
    <mergeCell ref="Z2360:AA2360"/>
    <mergeCell ref="Z2361:AA2361"/>
    <mergeCell ref="Z2362:AA2362"/>
    <mergeCell ref="Z2363:AA2363"/>
    <mergeCell ref="Z2364:AA2364"/>
    <mergeCell ref="Z2365:AA2365"/>
    <mergeCell ref="Z2366:AA2366"/>
    <mergeCell ref="Z2367:AA2367"/>
    <mergeCell ref="Z2368:AA2368"/>
    <mergeCell ref="Z2369:AA2369"/>
    <mergeCell ref="Z2370:AA2370"/>
    <mergeCell ref="Z2371:AA2371"/>
    <mergeCell ref="Z2372:AA2372"/>
    <mergeCell ref="Z2373:AA2373"/>
    <mergeCell ref="Z2374:AA2374"/>
    <mergeCell ref="A2375:Y2377"/>
    <mergeCell ref="Z2375:AE2375"/>
    <mergeCell ref="Z2376:AE2376"/>
    <mergeCell ref="Z2377:AE2377"/>
    <mergeCell ref="A2378:S2379"/>
    <mergeCell ref="T2378:AA2379"/>
    <mergeCell ref="AB2378:AF2379"/>
    <mergeCell ref="A2381:AD2382"/>
    <mergeCell ref="A2383:D2384"/>
    <mergeCell ref="E2383:AD2384"/>
    <mergeCell ref="A2385:AD2385"/>
    <mergeCell ref="AE2385:AF2385"/>
    <mergeCell ref="A2386:AD2386"/>
    <mergeCell ref="AE2386:AF2386"/>
    <mergeCell ref="A2387:AD2387"/>
    <mergeCell ref="AE2387:AF2387"/>
    <mergeCell ref="A2389:E2389"/>
    <mergeCell ref="F2389:Y2389"/>
    <mergeCell ref="Z2389:AA2391"/>
    <mergeCell ref="AB2389:AD2390"/>
    <mergeCell ref="AE2389:AE2391"/>
    <mergeCell ref="AF2389:AF2391"/>
    <mergeCell ref="A2390:C2391"/>
    <mergeCell ref="D2390:S2391"/>
    <mergeCell ref="T2390:W2391"/>
    <mergeCell ref="X2390:Y2391"/>
    <mergeCell ref="A2416:Y2418"/>
    <mergeCell ref="Z2416:AE2416"/>
    <mergeCell ref="Z2417:AE2417"/>
    <mergeCell ref="Z2418:AE2418"/>
    <mergeCell ref="A2419:S2420"/>
    <mergeCell ref="T2419:AA2420"/>
    <mergeCell ref="AB2419:AF2420"/>
    <mergeCell ref="A2392:Y2415"/>
    <mergeCell ref="Z2392:AA2392"/>
    <mergeCell ref="Z2393:AA2393"/>
    <mergeCell ref="Z2394:AA2394"/>
    <mergeCell ref="Z2395:AA2395"/>
    <mergeCell ref="Z2396:AA2396"/>
    <mergeCell ref="Z2397:AA2397"/>
    <mergeCell ref="Z2398:AA2398"/>
    <mergeCell ref="Z2399:AA2399"/>
    <mergeCell ref="Z2400:AA2400"/>
    <mergeCell ref="Z2401:AA2401"/>
    <mergeCell ref="Z2402:AA2402"/>
    <mergeCell ref="Z2403:AA2403"/>
    <mergeCell ref="Z2404:AA2404"/>
    <mergeCell ref="Z2405:AA2405"/>
    <mergeCell ref="Z2406:AA2406"/>
    <mergeCell ref="Z2407:AA2407"/>
    <mergeCell ref="Z2408:AA2408"/>
    <mergeCell ref="Z2409:AA2409"/>
    <mergeCell ref="Z2410:AA2410"/>
    <mergeCell ref="Z2411:AA2411"/>
    <mergeCell ref="Z2412:AA2412"/>
    <mergeCell ref="Z2413:AA2413"/>
    <mergeCell ref="Z2414:AA2414"/>
    <mergeCell ref="Z2415:AA2415"/>
    <mergeCell ref="A2986:AD2987"/>
    <mergeCell ref="A2988:D2989"/>
    <mergeCell ref="E2988:AD2989"/>
    <mergeCell ref="A2990:AD2990"/>
    <mergeCell ref="AE2990:AF2990"/>
    <mergeCell ref="A2991:AD2991"/>
    <mergeCell ref="AE2991:AF2991"/>
    <mergeCell ref="A2992:AD2992"/>
    <mergeCell ref="AE2992:AF2992"/>
    <mergeCell ref="A2994:E2994"/>
    <mergeCell ref="F2994:Y2994"/>
    <mergeCell ref="Z2994:AA2996"/>
    <mergeCell ref="AB2994:AD2995"/>
    <mergeCell ref="AE2994:AE2996"/>
    <mergeCell ref="AF2994:AF2996"/>
    <mergeCell ref="A2995:C2996"/>
    <mergeCell ref="D2995:S2996"/>
    <mergeCell ref="T2995:W2996"/>
    <mergeCell ref="X2995:Y2996"/>
    <mergeCell ref="A2997:Y3020"/>
    <mergeCell ref="Z2997:AA2997"/>
    <mergeCell ref="Z2998:AA2998"/>
    <mergeCell ref="Z2999:AA2999"/>
    <mergeCell ref="Z3000:AA3000"/>
    <mergeCell ref="Z3001:AA3001"/>
    <mergeCell ref="Z3002:AA3002"/>
    <mergeCell ref="Z3003:AA3003"/>
    <mergeCell ref="Z3004:AA3004"/>
    <mergeCell ref="Z3005:AA3005"/>
    <mergeCell ref="Z3006:AA3006"/>
    <mergeCell ref="Z3007:AA3007"/>
    <mergeCell ref="Z3008:AA3008"/>
    <mergeCell ref="Z3009:AA3009"/>
    <mergeCell ref="Z3010:AA3010"/>
    <mergeCell ref="Z3011:AA3011"/>
    <mergeCell ref="Z3012:AA3012"/>
    <mergeCell ref="Z3013:AA3013"/>
    <mergeCell ref="Z3014:AA3014"/>
    <mergeCell ref="Z3015:AA3015"/>
    <mergeCell ref="Z3016:AA3016"/>
    <mergeCell ref="Z3017:AA3017"/>
    <mergeCell ref="Z3018:AA3018"/>
    <mergeCell ref="Z3019:AA3019"/>
    <mergeCell ref="Z3020:AA3020"/>
    <mergeCell ref="A3021:Y3023"/>
    <mergeCell ref="Z3021:AE3021"/>
    <mergeCell ref="Z3022:AE3022"/>
    <mergeCell ref="Z3023:AE3023"/>
    <mergeCell ref="A3024:S3025"/>
    <mergeCell ref="T3024:AA3025"/>
    <mergeCell ref="AB3024:AF3025"/>
    <mergeCell ref="A3027:AD3028"/>
    <mergeCell ref="A3029:D3030"/>
    <mergeCell ref="E3029:AD3030"/>
    <mergeCell ref="A3031:AD3031"/>
    <mergeCell ref="AE3031:AF3031"/>
    <mergeCell ref="A3032:AD3032"/>
    <mergeCell ref="AE3032:AF3032"/>
    <mergeCell ref="A3033:AD3033"/>
    <mergeCell ref="AE3033:AF3033"/>
    <mergeCell ref="A3035:E3035"/>
    <mergeCell ref="F3035:Y3035"/>
    <mergeCell ref="Z3035:AA3037"/>
    <mergeCell ref="AB3035:AD3036"/>
    <mergeCell ref="AE3035:AE3037"/>
    <mergeCell ref="AF3035:AF3037"/>
    <mergeCell ref="A3036:C3037"/>
    <mergeCell ref="D3036:S3037"/>
    <mergeCell ref="T3036:W3037"/>
    <mergeCell ref="X3036:Y3037"/>
    <mergeCell ref="A3038:Y3061"/>
    <mergeCell ref="Z3038:AA3038"/>
    <mergeCell ref="Z3039:AA3039"/>
    <mergeCell ref="Z3040:AA3040"/>
    <mergeCell ref="Z3041:AA3041"/>
    <mergeCell ref="Z3042:AA3042"/>
    <mergeCell ref="Z3043:AA3043"/>
    <mergeCell ref="Z3044:AA3044"/>
    <mergeCell ref="Z3045:AA3045"/>
    <mergeCell ref="Z3046:AA3046"/>
    <mergeCell ref="Z3047:AA3047"/>
    <mergeCell ref="Z3048:AA3048"/>
    <mergeCell ref="Z3049:AA3049"/>
    <mergeCell ref="Z3050:AA3050"/>
    <mergeCell ref="Z3051:AA3051"/>
    <mergeCell ref="Z3052:AA3052"/>
    <mergeCell ref="Z3053:AA3053"/>
    <mergeCell ref="Z3054:AA3054"/>
    <mergeCell ref="Z3055:AA3055"/>
    <mergeCell ref="Z3056:AA3056"/>
    <mergeCell ref="Z3057:AA3057"/>
    <mergeCell ref="Z3058:AA3058"/>
    <mergeCell ref="Z3059:AA3059"/>
    <mergeCell ref="Z3060:AA3060"/>
    <mergeCell ref="Z3061:AA3061"/>
    <mergeCell ref="A3062:Y3064"/>
    <mergeCell ref="Z3062:AE3062"/>
    <mergeCell ref="Z3063:AE3063"/>
    <mergeCell ref="Z3064:AE3064"/>
    <mergeCell ref="A3065:S3066"/>
    <mergeCell ref="T3065:AA3066"/>
    <mergeCell ref="AB3065:AF3066"/>
    <mergeCell ref="A3068:AD3069"/>
    <mergeCell ref="A3070:D3071"/>
    <mergeCell ref="E3070:AD3071"/>
    <mergeCell ref="A3072:AD3072"/>
    <mergeCell ref="AE3072:AF3072"/>
    <mergeCell ref="A3073:AD3073"/>
    <mergeCell ref="AE3073:AF3073"/>
    <mergeCell ref="A3074:AD3074"/>
    <mergeCell ref="AE3074:AF3074"/>
    <mergeCell ref="A3076:E3076"/>
    <mergeCell ref="F3076:Y3076"/>
    <mergeCell ref="Z3076:AA3078"/>
    <mergeCell ref="AB3076:AD3077"/>
    <mergeCell ref="AE3076:AE3078"/>
    <mergeCell ref="AF3076:AF3078"/>
    <mergeCell ref="A3077:C3078"/>
    <mergeCell ref="D3077:S3078"/>
    <mergeCell ref="T3077:W3078"/>
    <mergeCell ref="X3077:Y3078"/>
    <mergeCell ref="A3079:Y3102"/>
    <mergeCell ref="Z3079:AA3079"/>
    <mergeCell ref="Z3080:AA3080"/>
    <mergeCell ref="Z3081:AA3081"/>
    <mergeCell ref="Z3082:AA3082"/>
    <mergeCell ref="Z3083:AA3083"/>
    <mergeCell ref="Z3084:AA3084"/>
    <mergeCell ref="Z3085:AA3085"/>
    <mergeCell ref="Z3086:AA3086"/>
    <mergeCell ref="Z3087:AA3087"/>
    <mergeCell ref="Z3088:AA3088"/>
    <mergeCell ref="Z3089:AA3089"/>
    <mergeCell ref="Z3090:AA3090"/>
    <mergeCell ref="Z3091:AA3091"/>
    <mergeCell ref="Z3092:AA3092"/>
    <mergeCell ref="Z3093:AA3093"/>
    <mergeCell ref="Z3094:AA3094"/>
    <mergeCell ref="Z3095:AA3095"/>
    <mergeCell ref="Z3096:AA3096"/>
    <mergeCell ref="Z3097:AA3097"/>
    <mergeCell ref="Z3098:AA3098"/>
    <mergeCell ref="Z3099:AA3099"/>
    <mergeCell ref="Z3100:AA3100"/>
    <mergeCell ref="Z3101:AA3101"/>
    <mergeCell ref="Z3102:AA3102"/>
    <mergeCell ref="A3103:Y3105"/>
    <mergeCell ref="Z3103:AE3103"/>
    <mergeCell ref="Z3104:AE3104"/>
    <mergeCell ref="Z3105:AE3105"/>
    <mergeCell ref="A3106:S3107"/>
    <mergeCell ref="T3106:AA3107"/>
    <mergeCell ref="AB3106:AF3107"/>
    <mergeCell ref="A3109:AD3110"/>
    <mergeCell ref="A3111:D3112"/>
    <mergeCell ref="E3111:AD3112"/>
    <mergeCell ref="A3113:AD3113"/>
    <mergeCell ref="AE3113:AF3113"/>
    <mergeCell ref="A3114:AD3114"/>
    <mergeCell ref="AE3114:AF3114"/>
    <mergeCell ref="A3115:AD3115"/>
    <mergeCell ref="AE3115:AF3115"/>
    <mergeCell ref="A3117:E3117"/>
    <mergeCell ref="F3117:Y3117"/>
    <mergeCell ref="Z3117:AA3119"/>
    <mergeCell ref="AB3117:AD3118"/>
    <mergeCell ref="AE3117:AE3119"/>
    <mergeCell ref="AF3117:AF3119"/>
    <mergeCell ref="A3118:C3119"/>
    <mergeCell ref="D3118:S3119"/>
    <mergeCell ref="T3118:W3119"/>
    <mergeCell ref="X3118:Y3119"/>
    <mergeCell ref="A3120:Y3143"/>
    <mergeCell ref="Z3120:AA3120"/>
    <mergeCell ref="Z3121:AA3121"/>
    <mergeCell ref="Z3122:AA3122"/>
    <mergeCell ref="Z3123:AA3123"/>
    <mergeCell ref="Z3124:AA3124"/>
    <mergeCell ref="Z3125:AA3125"/>
    <mergeCell ref="Z3126:AA3126"/>
    <mergeCell ref="Z3127:AA3127"/>
    <mergeCell ref="Z3128:AA3128"/>
    <mergeCell ref="Z3129:AA3129"/>
    <mergeCell ref="Z3130:AA3130"/>
    <mergeCell ref="Z3131:AA3131"/>
    <mergeCell ref="Z3132:AA3132"/>
    <mergeCell ref="Z3133:AA3133"/>
    <mergeCell ref="Z3134:AA3134"/>
    <mergeCell ref="Z3135:AA3135"/>
    <mergeCell ref="Z3136:AA3136"/>
    <mergeCell ref="Z3137:AA3137"/>
    <mergeCell ref="Z3138:AA3138"/>
    <mergeCell ref="Z3139:AA3139"/>
    <mergeCell ref="Z3140:AA3140"/>
    <mergeCell ref="Z3141:AA3141"/>
    <mergeCell ref="Z3142:AA3142"/>
    <mergeCell ref="Z3143:AA3143"/>
    <mergeCell ref="A3144:Y3146"/>
    <mergeCell ref="Z3144:AE3144"/>
    <mergeCell ref="Z3145:AE3145"/>
    <mergeCell ref="Z3146:AE3146"/>
    <mergeCell ref="A3147:S3148"/>
    <mergeCell ref="T3147:AA3148"/>
    <mergeCell ref="AB3147:AF3148"/>
    <mergeCell ref="A3150:AD3151"/>
    <mergeCell ref="A3152:D3153"/>
    <mergeCell ref="E3152:AD3153"/>
    <mergeCell ref="A3154:AD3154"/>
    <mergeCell ref="AE3154:AF3154"/>
    <mergeCell ref="A3155:AD3155"/>
    <mergeCell ref="AE3155:AF3155"/>
    <mergeCell ref="A3156:AD3156"/>
    <mergeCell ref="AE3156:AF3156"/>
    <mergeCell ref="A3158:E3158"/>
    <mergeCell ref="F3158:Y3158"/>
    <mergeCell ref="Z3158:AA3160"/>
    <mergeCell ref="AB3158:AD3159"/>
    <mergeCell ref="AE3158:AE3160"/>
    <mergeCell ref="AF3158:AF3160"/>
    <mergeCell ref="A3159:C3160"/>
    <mergeCell ref="D3159:S3160"/>
    <mergeCell ref="T3159:W3160"/>
    <mergeCell ref="X3159:Y3160"/>
    <mergeCell ref="A3161:Y3180"/>
    <mergeCell ref="Z3161:AA3161"/>
    <mergeCell ref="Z3162:AA3162"/>
    <mergeCell ref="Z3163:AA3163"/>
    <mergeCell ref="Z3164:AA3164"/>
    <mergeCell ref="Z3165:AA3165"/>
    <mergeCell ref="Z3166:AA3166"/>
    <mergeCell ref="Z3167:AA3167"/>
    <mergeCell ref="Z3168:AA3168"/>
    <mergeCell ref="Z3169:AA3169"/>
    <mergeCell ref="Z3170:AA3170"/>
    <mergeCell ref="Z3171:AA3171"/>
    <mergeCell ref="Z3172:AA3172"/>
    <mergeCell ref="Z3173:AA3173"/>
    <mergeCell ref="Z3174:AA3174"/>
    <mergeCell ref="Z3175:AA3175"/>
    <mergeCell ref="Z3176:AA3176"/>
    <mergeCell ref="Z3177:AA3177"/>
    <mergeCell ref="Z3178:AA3178"/>
    <mergeCell ref="Z3179:AA3179"/>
    <mergeCell ref="Z3180:AA3180"/>
    <mergeCell ref="A3181:Y3183"/>
    <mergeCell ref="Z3181:AE3181"/>
    <mergeCell ref="Z3182:AE3182"/>
    <mergeCell ref="Z3183:AE3183"/>
    <mergeCell ref="A3184:S3185"/>
    <mergeCell ref="T3184:AA3185"/>
    <mergeCell ref="AB3184:AF3185"/>
    <mergeCell ref="A3187:AD3188"/>
    <mergeCell ref="A3189:D3190"/>
    <mergeCell ref="E3189:AD3190"/>
    <mergeCell ref="A3191:AD3191"/>
    <mergeCell ref="AE3191:AF3191"/>
    <mergeCell ref="A3192:AD3192"/>
    <mergeCell ref="AE3192:AF3192"/>
    <mergeCell ref="A3193:AD3193"/>
    <mergeCell ref="AE3193:AF3193"/>
    <mergeCell ref="A3195:E3195"/>
    <mergeCell ref="F3195:Y3195"/>
    <mergeCell ref="Z3195:AA3197"/>
    <mergeCell ref="AB3195:AD3196"/>
    <mergeCell ref="AE3195:AE3197"/>
    <mergeCell ref="AF3195:AF3197"/>
    <mergeCell ref="A3196:C3197"/>
    <mergeCell ref="D3196:S3197"/>
    <mergeCell ref="T3196:W3197"/>
    <mergeCell ref="X3196:Y3197"/>
    <mergeCell ref="A3198:Y3218"/>
    <mergeCell ref="Z3198:AA3198"/>
    <mergeCell ref="Z3199:AA3199"/>
    <mergeCell ref="Z3200:AA3200"/>
    <mergeCell ref="Z3201:AA3201"/>
    <mergeCell ref="Z3202:AA3202"/>
    <mergeCell ref="Z3203:AA3203"/>
    <mergeCell ref="Z3204:AA3204"/>
    <mergeCell ref="Z3205:AA3205"/>
    <mergeCell ref="Z3206:AA3206"/>
    <mergeCell ref="Z3207:AA3207"/>
    <mergeCell ref="Z3208:AA3208"/>
    <mergeCell ref="Z3209:AA3209"/>
    <mergeCell ref="Z3210:AA3210"/>
    <mergeCell ref="Z3211:AA3211"/>
    <mergeCell ref="Z3212:AA3212"/>
    <mergeCell ref="Z3213:AA3213"/>
    <mergeCell ref="Z3214:AA3214"/>
    <mergeCell ref="Z3215:AA3215"/>
    <mergeCell ref="Z3216:AA3216"/>
    <mergeCell ref="Z3217:AA3217"/>
    <mergeCell ref="Z3218:AA3218"/>
    <mergeCell ref="A3219:Y3221"/>
    <mergeCell ref="Z3219:AE3219"/>
    <mergeCell ref="Z3220:AE3220"/>
    <mergeCell ref="Z3221:AE3221"/>
    <mergeCell ref="A3222:S3223"/>
    <mergeCell ref="T3222:AA3223"/>
    <mergeCell ref="AB3222:AF3223"/>
    <mergeCell ref="A3225:AD3226"/>
    <mergeCell ref="A3227:D3228"/>
    <mergeCell ref="E3227:AD3228"/>
    <mergeCell ref="A3229:AD3229"/>
    <mergeCell ref="AE3229:AF3229"/>
    <mergeCell ref="A3230:AD3230"/>
    <mergeCell ref="AE3230:AF3230"/>
    <mergeCell ref="A3231:AD3231"/>
    <mergeCell ref="AE3231:AF3231"/>
    <mergeCell ref="A3233:E3233"/>
    <mergeCell ref="F3233:Y3233"/>
    <mergeCell ref="Z3233:AA3235"/>
    <mergeCell ref="AB3233:AD3234"/>
    <mergeCell ref="AE3233:AE3235"/>
    <mergeCell ref="AF3233:AF3235"/>
    <mergeCell ref="A3234:C3235"/>
    <mergeCell ref="D3234:S3235"/>
    <mergeCell ref="T3234:W3235"/>
    <mergeCell ref="X3234:Y3235"/>
    <mergeCell ref="A3236:Y3256"/>
    <mergeCell ref="Z3236:AA3236"/>
    <mergeCell ref="Z3237:AA3237"/>
    <mergeCell ref="Z3238:AA3238"/>
    <mergeCell ref="Z3239:AA3239"/>
    <mergeCell ref="Z3240:AA3240"/>
    <mergeCell ref="Z3241:AA3241"/>
    <mergeCell ref="Z3242:AA3242"/>
    <mergeCell ref="Z3243:AA3243"/>
    <mergeCell ref="Z3244:AA3244"/>
    <mergeCell ref="Z3245:AA3245"/>
    <mergeCell ref="Z3246:AA3246"/>
    <mergeCell ref="Z3247:AA3247"/>
    <mergeCell ref="Z3248:AA3248"/>
    <mergeCell ref="Z3249:AA3249"/>
    <mergeCell ref="Z3250:AA3250"/>
    <mergeCell ref="Z3251:AA3251"/>
    <mergeCell ref="Z3252:AA3252"/>
    <mergeCell ref="Z3253:AA3253"/>
    <mergeCell ref="Z3254:AA3254"/>
    <mergeCell ref="Z3255:AA3255"/>
    <mergeCell ref="Z3256:AA3256"/>
    <mergeCell ref="A3257:Y3259"/>
    <mergeCell ref="Z3257:AE3257"/>
    <mergeCell ref="Z3258:AE3258"/>
    <mergeCell ref="Z3259:AE3259"/>
    <mergeCell ref="A3260:S3261"/>
    <mergeCell ref="T3260:AA3261"/>
    <mergeCell ref="AB3260:AF3261"/>
    <mergeCell ref="A3263:AD3264"/>
    <mergeCell ref="A3265:D3266"/>
    <mergeCell ref="E3265:AD3266"/>
    <mergeCell ref="A3267:AD3267"/>
    <mergeCell ref="AE3267:AF3267"/>
    <mergeCell ref="A3268:AD3268"/>
    <mergeCell ref="AE3268:AF3268"/>
    <mergeCell ref="A3269:AD3269"/>
    <mergeCell ref="AE3269:AF3269"/>
    <mergeCell ref="A3271:E3271"/>
    <mergeCell ref="F3271:Y3271"/>
    <mergeCell ref="Z3271:AA3273"/>
    <mergeCell ref="AB3271:AD3272"/>
    <mergeCell ref="AE3271:AE3273"/>
    <mergeCell ref="AF3271:AF3273"/>
    <mergeCell ref="A3272:C3273"/>
    <mergeCell ref="D3272:S3273"/>
    <mergeCell ref="T3272:W3273"/>
    <mergeCell ref="X3272:Y3273"/>
    <mergeCell ref="A3274:Y3297"/>
    <mergeCell ref="Z3274:AA3274"/>
    <mergeCell ref="Z3275:AA3275"/>
    <mergeCell ref="Z3276:AA3276"/>
    <mergeCell ref="Z3277:AA3277"/>
    <mergeCell ref="Z3278:AA3278"/>
    <mergeCell ref="Z3279:AA3279"/>
    <mergeCell ref="Z3280:AA3280"/>
    <mergeCell ref="Z3281:AA3281"/>
    <mergeCell ref="Z3282:AA3282"/>
    <mergeCell ref="Z3283:AA3283"/>
    <mergeCell ref="Z3284:AA3284"/>
    <mergeCell ref="Z3285:AA3285"/>
    <mergeCell ref="Z3286:AA3286"/>
    <mergeCell ref="Z3287:AA3287"/>
    <mergeCell ref="Z3288:AA3288"/>
    <mergeCell ref="Z3289:AA3289"/>
    <mergeCell ref="Z3290:AA3290"/>
    <mergeCell ref="Z3291:AA3291"/>
    <mergeCell ref="Z3292:AA3292"/>
    <mergeCell ref="Z3293:AA3293"/>
    <mergeCell ref="Z3294:AA3294"/>
    <mergeCell ref="Z3295:AA3295"/>
    <mergeCell ref="Z3296:AA3296"/>
    <mergeCell ref="Z3297:AA3297"/>
    <mergeCell ref="A3298:Y3300"/>
    <mergeCell ref="Z3298:AE3298"/>
    <mergeCell ref="Z3299:AE3299"/>
    <mergeCell ref="Z3300:AE3300"/>
    <mergeCell ref="A3301:S3302"/>
    <mergeCell ref="T3301:AA3302"/>
    <mergeCell ref="AB3301:AF3302"/>
    <mergeCell ref="A3304:AD3305"/>
    <mergeCell ref="A3306:D3307"/>
    <mergeCell ref="E3306:AD3307"/>
    <mergeCell ref="A3308:AD3308"/>
    <mergeCell ref="AE3308:AF3308"/>
    <mergeCell ref="A3309:AD3309"/>
    <mergeCell ref="AE3309:AF3309"/>
    <mergeCell ref="A3310:AD3310"/>
    <mergeCell ref="AE3310:AF3310"/>
    <mergeCell ref="A3312:E3312"/>
    <mergeCell ref="F3312:Y3312"/>
    <mergeCell ref="Z3312:AA3314"/>
    <mergeCell ref="AB3312:AD3313"/>
    <mergeCell ref="AE3312:AE3314"/>
    <mergeCell ref="AF3312:AF3314"/>
    <mergeCell ref="A3313:C3314"/>
    <mergeCell ref="D3313:S3314"/>
    <mergeCell ref="T3313:W3314"/>
    <mergeCell ref="X3313:Y3314"/>
    <mergeCell ref="A3339:Y3341"/>
    <mergeCell ref="Z3339:AE3339"/>
    <mergeCell ref="Z3340:AE3340"/>
    <mergeCell ref="Z3341:AE3341"/>
    <mergeCell ref="A3342:S3343"/>
    <mergeCell ref="T3342:AA3343"/>
    <mergeCell ref="AB3342:AF3343"/>
    <mergeCell ref="Z3315:AA3316"/>
    <mergeCell ref="Z3317:AA3320"/>
    <mergeCell ref="Z3321:AA3324"/>
    <mergeCell ref="A3345:AD3346"/>
    <mergeCell ref="A3347:D3348"/>
    <mergeCell ref="E3347:AD3348"/>
    <mergeCell ref="A3349:AD3349"/>
    <mergeCell ref="AE3349:AF3349"/>
    <mergeCell ref="A3350:AD3350"/>
    <mergeCell ref="AE3350:AF3350"/>
    <mergeCell ref="A3315:Y3338"/>
    <mergeCell ref="Z3325:AA3325"/>
    <mergeCell ref="Z3326:AA3326"/>
    <mergeCell ref="Z3327:AA3327"/>
    <mergeCell ref="Z3328:AA3328"/>
    <mergeCell ref="Z3329:AA3329"/>
    <mergeCell ref="Z3330:AA3330"/>
    <mergeCell ref="Z3331:AA3331"/>
    <mergeCell ref="Z3332:AA3332"/>
    <mergeCell ref="Z3333:AA3333"/>
    <mergeCell ref="Z3334:AA3334"/>
    <mergeCell ref="Z3335:AA3335"/>
    <mergeCell ref="Z3336:AA3336"/>
    <mergeCell ref="Z3337:AA3337"/>
    <mergeCell ref="Z3338:AA3338"/>
    <mergeCell ref="A3351:AD3351"/>
    <mergeCell ref="AE3351:AF3351"/>
    <mergeCell ref="A3353:E3353"/>
    <mergeCell ref="F3353:Y3353"/>
    <mergeCell ref="Z3353:AA3355"/>
    <mergeCell ref="AB3353:AD3354"/>
    <mergeCell ref="AE3353:AE3355"/>
    <mergeCell ref="AF3353:AF3355"/>
    <mergeCell ref="A3354:C3355"/>
    <mergeCell ref="D3354:S3355"/>
    <mergeCell ref="T3354:W3355"/>
    <mergeCell ref="X3354:Y3355"/>
    <mergeCell ref="A3356:Y3379"/>
    <mergeCell ref="Z3356:AA3356"/>
    <mergeCell ref="Z3357:AA3357"/>
    <mergeCell ref="Z3358:AA3358"/>
    <mergeCell ref="Z3359:AA3359"/>
    <mergeCell ref="Z3360:AA3360"/>
    <mergeCell ref="Z3361:AA3361"/>
    <mergeCell ref="Z3362:AA3362"/>
    <mergeCell ref="Z3363:AA3363"/>
    <mergeCell ref="Z3364:AA3364"/>
    <mergeCell ref="Z3365:AA3365"/>
    <mergeCell ref="Z3366:AA3366"/>
    <mergeCell ref="Z3367:AA3367"/>
    <mergeCell ref="Z3368:AA3368"/>
    <mergeCell ref="Z3369:AA3369"/>
    <mergeCell ref="Z3370:AA3370"/>
    <mergeCell ref="Z3371:AA3371"/>
    <mergeCell ref="Z3372:AA3372"/>
    <mergeCell ref="Z3373:AA3373"/>
    <mergeCell ref="Z3374:AA3374"/>
    <mergeCell ref="Z3375:AA3375"/>
    <mergeCell ref="Z3376:AA3376"/>
    <mergeCell ref="Z3377:AA3377"/>
    <mergeCell ref="Z3378:AA3378"/>
    <mergeCell ref="Z3379:AA3379"/>
    <mergeCell ref="A3380:Y3382"/>
    <mergeCell ref="Z3380:AE3380"/>
    <mergeCell ref="Z3381:AE3381"/>
    <mergeCell ref="Z3382:AE3382"/>
    <mergeCell ref="A3383:S3384"/>
    <mergeCell ref="T3383:AA3384"/>
    <mergeCell ref="AB3383:AF3384"/>
    <mergeCell ref="A3386:AD3387"/>
    <mergeCell ref="A3388:D3389"/>
    <mergeCell ref="E3388:AD3389"/>
    <mergeCell ref="A3390:AD3390"/>
    <mergeCell ref="AE3390:AF3390"/>
    <mergeCell ref="A3391:AD3391"/>
    <mergeCell ref="AE3391:AF3391"/>
    <mergeCell ref="A3392:AD3392"/>
    <mergeCell ref="AE3392:AF3392"/>
    <mergeCell ref="A3394:E3394"/>
    <mergeCell ref="F3394:Y3394"/>
    <mergeCell ref="Z3394:AA3396"/>
    <mergeCell ref="AB3394:AD3395"/>
    <mergeCell ref="AE3394:AE3396"/>
    <mergeCell ref="AF3394:AF3396"/>
    <mergeCell ref="A3395:C3396"/>
    <mergeCell ref="D3395:S3396"/>
    <mergeCell ref="T3395:W3396"/>
    <mergeCell ref="X3395:Y3396"/>
    <mergeCell ref="A3397:Y3420"/>
    <mergeCell ref="Z3397:AA3397"/>
    <mergeCell ref="Z3398:AA3398"/>
    <mergeCell ref="Z3399:AA3399"/>
    <mergeCell ref="Z3400:AA3400"/>
    <mergeCell ref="Z3401:AA3401"/>
    <mergeCell ref="Z3402:AA3402"/>
    <mergeCell ref="Z3403:AA3403"/>
    <mergeCell ref="Z3404:AA3404"/>
    <mergeCell ref="Z3405:AA3405"/>
    <mergeCell ref="Z3406:AA3406"/>
    <mergeCell ref="Z3407:AA3407"/>
    <mergeCell ref="Z3408:AA3408"/>
    <mergeCell ref="Z3409:AA3409"/>
    <mergeCell ref="Z3410:AA3410"/>
    <mergeCell ref="Z3411:AA3411"/>
    <mergeCell ref="Z3412:AA3412"/>
    <mergeCell ref="Z3413:AA3413"/>
    <mergeCell ref="Z3414:AA3414"/>
    <mergeCell ref="Z3415:AA3415"/>
    <mergeCell ref="Z3416:AA3416"/>
    <mergeCell ref="Z3417:AA3417"/>
    <mergeCell ref="Z3418:AA3418"/>
    <mergeCell ref="Z3419:AA3419"/>
    <mergeCell ref="Z3420:AA3420"/>
    <mergeCell ref="A3421:Y3423"/>
    <mergeCell ref="Z3421:AE3421"/>
    <mergeCell ref="Z3422:AE3422"/>
    <mergeCell ref="Z3423:AE3423"/>
    <mergeCell ref="A3424:S3425"/>
    <mergeCell ref="T3424:AA3425"/>
    <mergeCell ref="AB3424:AF3425"/>
    <mergeCell ref="A3427:AD3428"/>
    <mergeCell ref="A3429:D3430"/>
    <mergeCell ref="E3429:AD3430"/>
    <mergeCell ref="A3431:AD3431"/>
    <mergeCell ref="AE3431:AF3431"/>
    <mergeCell ref="A3432:AD3432"/>
    <mergeCell ref="AE3432:AF3432"/>
    <mergeCell ref="A3433:AD3433"/>
    <mergeCell ref="AE3433:AF3433"/>
    <mergeCell ref="A3435:E3435"/>
    <mergeCell ref="F3435:Y3435"/>
    <mergeCell ref="Z3435:AA3437"/>
    <mergeCell ref="AB3435:AD3436"/>
    <mergeCell ref="AE3435:AE3437"/>
    <mergeCell ref="AF3435:AF3437"/>
    <mergeCell ref="A3436:C3437"/>
    <mergeCell ref="D3436:S3437"/>
    <mergeCell ref="T3436:W3437"/>
    <mergeCell ref="X3436:Y3437"/>
    <mergeCell ref="A3438:Y3461"/>
    <mergeCell ref="Z3438:AA3438"/>
    <mergeCell ref="Z3439:AA3439"/>
    <mergeCell ref="Z3440:AA3440"/>
    <mergeCell ref="Z3441:AA3441"/>
    <mergeCell ref="Z3442:AA3442"/>
    <mergeCell ref="Z3443:AA3443"/>
    <mergeCell ref="Z3444:AA3444"/>
    <mergeCell ref="Z3445:AA3445"/>
    <mergeCell ref="Z3446:AA3446"/>
    <mergeCell ref="Z3447:AA3447"/>
    <mergeCell ref="Z3448:AA3448"/>
    <mergeCell ref="Z3449:AA3449"/>
    <mergeCell ref="Z3450:AA3450"/>
    <mergeCell ref="Z3451:AA3451"/>
    <mergeCell ref="Z3452:AA3452"/>
    <mergeCell ref="Z3453:AA3453"/>
    <mergeCell ref="Z3454:AA3454"/>
    <mergeCell ref="Z3455:AA3455"/>
    <mergeCell ref="Z3456:AA3456"/>
    <mergeCell ref="Z3457:AA3457"/>
    <mergeCell ref="Z3458:AA3458"/>
    <mergeCell ref="Z3459:AA3459"/>
    <mergeCell ref="Z3460:AA3460"/>
    <mergeCell ref="Z3461:AA3461"/>
    <mergeCell ref="A3462:Y3464"/>
    <mergeCell ref="Z3462:AE3462"/>
    <mergeCell ref="Z3463:AE3463"/>
    <mergeCell ref="Z3464:AE3464"/>
    <mergeCell ref="A3465:S3466"/>
    <mergeCell ref="T3465:AA3466"/>
    <mergeCell ref="AB3465:AF3466"/>
    <mergeCell ref="A3468:AD3469"/>
    <mergeCell ref="A3470:D3471"/>
    <mergeCell ref="E3470:AD3471"/>
    <mergeCell ref="A3472:AD3472"/>
    <mergeCell ref="AE3472:AF3472"/>
    <mergeCell ref="A3473:AD3473"/>
    <mergeCell ref="AE3473:AF3473"/>
    <mergeCell ref="A3474:AD3474"/>
    <mergeCell ref="AE3474:AF3474"/>
    <mergeCell ref="A3476:E3476"/>
    <mergeCell ref="F3476:Y3476"/>
    <mergeCell ref="Z3476:AA3478"/>
    <mergeCell ref="AB3476:AD3477"/>
    <mergeCell ref="AE3476:AE3478"/>
    <mergeCell ref="AF3476:AF3478"/>
    <mergeCell ref="A3477:C3478"/>
    <mergeCell ref="D3477:S3478"/>
    <mergeCell ref="T3477:W3478"/>
    <mergeCell ref="X3477:Y3478"/>
    <mergeCell ref="A3479:Y3502"/>
    <mergeCell ref="Z3479:AA3479"/>
    <mergeCell ref="Z3480:AA3480"/>
    <mergeCell ref="Z3481:AA3481"/>
    <mergeCell ref="Z3482:AA3482"/>
    <mergeCell ref="Z3483:AA3483"/>
    <mergeCell ref="Z3484:AA3484"/>
    <mergeCell ref="Z3485:AA3485"/>
    <mergeCell ref="Z3486:AA3486"/>
    <mergeCell ref="Z3487:AA3487"/>
    <mergeCell ref="Z3488:AA3488"/>
    <mergeCell ref="Z3489:AA3489"/>
    <mergeCell ref="Z3490:AA3490"/>
    <mergeCell ref="Z3491:AA3491"/>
    <mergeCell ref="Z3492:AA3492"/>
    <mergeCell ref="Z3493:AA3493"/>
    <mergeCell ref="Z3494:AA3494"/>
    <mergeCell ref="Z3495:AA3495"/>
    <mergeCell ref="Z3496:AA3496"/>
    <mergeCell ref="Z3497:AA3497"/>
    <mergeCell ref="Z3498:AA3498"/>
    <mergeCell ref="Z3499:AA3499"/>
    <mergeCell ref="Z3500:AA3500"/>
    <mergeCell ref="Z3501:AA3501"/>
    <mergeCell ref="Z3502:AA3502"/>
    <mergeCell ref="A3503:Y3505"/>
    <mergeCell ref="Z3503:AE3503"/>
    <mergeCell ref="Z3504:AE3504"/>
    <mergeCell ref="Z3505:AE3505"/>
    <mergeCell ref="A3506:S3507"/>
    <mergeCell ref="T3506:AA3507"/>
    <mergeCell ref="AB3506:AF3507"/>
    <mergeCell ref="A3509:AD3510"/>
    <mergeCell ref="A3511:D3512"/>
    <mergeCell ref="E3511:AD3512"/>
    <mergeCell ref="A3513:AD3513"/>
    <mergeCell ref="AE3513:AF3513"/>
    <mergeCell ref="A3514:AD3514"/>
    <mergeCell ref="AE3514:AF3514"/>
    <mergeCell ref="A3515:AD3515"/>
    <mergeCell ref="AE3515:AF3515"/>
    <mergeCell ref="A3517:E3517"/>
    <mergeCell ref="F3517:Y3517"/>
    <mergeCell ref="Z3517:AA3519"/>
    <mergeCell ref="AB3517:AD3518"/>
    <mergeCell ref="AE3517:AE3519"/>
    <mergeCell ref="AF3517:AF3519"/>
    <mergeCell ref="A3518:C3519"/>
    <mergeCell ref="D3518:S3519"/>
    <mergeCell ref="T3518:W3519"/>
    <mergeCell ref="X3518:Y3519"/>
    <mergeCell ref="A3520:Y3543"/>
    <mergeCell ref="Z3520:AA3520"/>
    <mergeCell ref="Z3521:AA3521"/>
    <mergeCell ref="Z3522:AA3522"/>
    <mergeCell ref="Z3523:AA3523"/>
    <mergeCell ref="Z3524:AA3524"/>
    <mergeCell ref="Z3525:AA3525"/>
    <mergeCell ref="Z3526:AA3526"/>
    <mergeCell ref="Z3527:AA3527"/>
    <mergeCell ref="Z3528:AA3528"/>
    <mergeCell ref="Z3529:AA3529"/>
    <mergeCell ref="Z3530:AA3530"/>
    <mergeCell ref="Z3531:AA3531"/>
    <mergeCell ref="Z3532:AA3532"/>
    <mergeCell ref="Z3533:AA3533"/>
    <mergeCell ref="Z3534:AA3534"/>
    <mergeCell ref="Z3535:AA3535"/>
    <mergeCell ref="Z3536:AA3536"/>
    <mergeCell ref="Z3537:AA3537"/>
    <mergeCell ref="Z3538:AA3538"/>
    <mergeCell ref="Z3539:AA3539"/>
    <mergeCell ref="Z3540:AA3540"/>
    <mergeCell ref="Z3541:AA3541"/>
    <mergeCell ref="Z3542:AA3542"/>
    <mergeCell ref="Z3543:AA3543"/>
    <mergeCell ref="A3544:Y3546"/>
    <mergeCell ref="Z3544:AE3544"/>
    <mergeCell ref="Z3545:AE3545"/>
    <mergeCell ref="Z3546:AE3546"/>
    <mergeCell ref="A3547:S3548"/>
    <mergeCell ref="T3547:AA3548"/>
    <mergeCell ref="AB3547:AF3548"/>
    <mergeCell ref="A3550:AD3551"/>
    <mergeCell ref="A3552:D3553"/>
    <mergeCell ref="E3552:AD3553"/>
    <mergeCell ref="A3554:AD3554"/>
    <mergeCell ref="AE3554:AF3554"/>
    <mergeCell ref="A3555:AD3555"/>
    <mergeCell ref="AE3555:AF3555"/>
    <mergeCell ref="A3556:AD3556"/>
    <mergeCell ref="AE3556:AF3556"/>
    <mergeCell ref="A3558:E3558"/>
    <mergeCell ref="F3558:Y3558"/>
    <mergeCell ref="Z3558:AA3560"/>
    <mergeCell ref="AB3558:AD3559"/>
    <mergeCell ref="AE3558:AE3560"/>
    <mergeCell ref="AF3558:AF3560"/>
    <mergeCell ref="A3559:C3560"/>
    <mergeCell ref="D3559:S3560"/>
    <mergeCell ref="T3559:W3560"/>
    <mergeCell ref="X3559:Y3560"/>
    <mergeCell ref="A3561:Y3584"/>
    <mergeCell ref="Z3561:AA3561"/>
    <mergeCell ref="Z3562:AA3562"/>
    <mergeCell ref="Z3563:AA3563"/>
    <mergeCell ref="Z3564:AA3564"/>
    <mergeCell ref="Z3565:AA3565"/>
    <mergeCell ref="Z3566:AA3566"/>
    <mergeCell ref="Z3567:AA3567"/>
    <mergeCell ref="Z3568:AA3568"/>
    <mergeCell ref="Z3569:AA3569"/>
    <mergeCell ref="Z3570:AA3570"/>
    <mergeCell ref="Z3571:AA3571"/>
    <mergeCell ref="Z3572:AA3572"/>
    <mergeCell ref="Z3573:AA3573"/>
    <mergeCell ref="Z3574:AA3574"/>
    <mergeCell ref="Z3575:AA3575"/>
    <mergeCell ref="Z3576:AA3576"/>
    <mergeCell ref="Z3577:AA3577"/>
    <mergeCell ref="Z3578:AA3578"/>
    <mergeCell ref="Z3579:AA3579"/>
    <mergeCell ref="Z3580:AA3580"/>
    <mergeCell ref="Z3581:AA3581"/>
    <mergeCell ref="Z3582:AA3582"/>
    <mergeCell ref="Z3583:AA3583"/>
    <mergeCell ref="Z3584:AA3584"/>
    <mergeCell ref="A3585:Y3587"/>
    <mergeCell ref="Z3585:AE3585"/>
    <mergeCell ref="Z3586:AE3586"/>
    <mergeCell ref="Z3587:AE3587"/>
    <mergeCell ref="A3588:S3589"/>
    <mergeCell ref="T3588:AA3589"/>
    <mergeCell ref="AB3588:AF3589"/>
    <mergeCell ref="A3591:AD3592"/>
    <mergeCell ref="A3593:D3594"/>
    <mergeCell ref="E3593:AD3594"/>
    <mergeCell ref="A3595:AD3595"/>
    <mergeCell ref="AE3595:AF3595"/>
    <mergeCell ref="A3596:AD3596"/>
    <mergeCell ref="AE3596:AF3596"/>
    <mergeCell ref="A3597:AD3597"/>
    <mergeCell ref="AE3597:AF3597"/>
    <mergeCell ref="A3599:E3599"/>
    <mergeCell ref="F3599:Y3599"/>
    <mergeCell ref="Z3599:AA3601"/>
    <mergeCell ref="AB3599:AD3600"/>
    <mergeCell ref="AE3599:AE3601"/>
    <mergeCell ref="AF3599:AF3601"/>
    <mergeCell ref="A3600:C3601"/>
    <mergeCell ref="D3600:S3601"/>
    <mergeCell ref="T3600:W3601"/>
    <mergeCell ref="X3600:Y3601"/>
    <mergeCell ref="A3602:Y3625"/>
    <mergeCell ref="Z3602:AA3602"/>
    <mergeCell ref="Z3603:AA3603"/>
    <mergeCell ref="Z3604:AA3604"/>
    <mergeCell ref="Z3605:AA3605"/>
    <mergeCell ref="Z3606:AA3606"/>
    <mergeCell ref="Z3607:AA3607"/>
    <mergeCell ref="Z3608:AA3608"/>
    <mergeCell ref="Z3609:AA3609"/>
    <mergeCell ref="Z3610:AA3610"/>
    <mergeCell ref="Z3611:AA3611"/>
    <mergeCell ref="Z3612:AA3612"/>
    <mergeCell ref="Z3613:AA3613"/>
    <mergeCell ref="Z3614:AA3614"/>
    <mergeCell ref="Z3615:AA3615"/>
    <mergeCell ref="Z3616:AA3616"/>
    <mergeCell ref="Z3617:AA3617"/>
    <mergeCell ref="Z3618:AA3618"/>
    <mergeCell ref="Z3619:AA3619"/>
    <mergeCell ref="Z3620:AA3620"/>
    <mergeCell ref="Z3621:AA3621"/>
    <mergeCell ref="Z3622:AA3622"/>
    <mergeCell ref="Z3623:AA3623"/>
    <mergeCell ref="Z3624:AA3624"/>
    <mergeCell ref="Z3625:AA3625"/>
    <mergeCell ref="A3626:Y3628"/>
    <mergeCell ref="Z3626:AE3626"/>
    <mergeCell ref="Z3627:AE3627"/>
    <mergeCell ref="Z3628:AE3628"/>
    <mergeCell ref="A3629:S3630"/>
    <mergeCell ref="T3629:AA3630"/>
    <mergeCell ref="AB3629:AF3630"/>
    <mergeCell ref="A3632:AD3633"/>
    <mergeCell ref="A3634:D3635"/>
    <mergeCell ref="E3634:AD3635"/>
    <mergeCell ref="A3636:AD3636"/>
    <mergeCell ref="AE3636:AF3636"/>
    <mergeCell ref="A3637:AD3637"/>
    <mergeCell ref="AE3637:AF3637"/>
    <mergeCell ref="A3638:AD3638"/>
    <mergeCell ref="AE3638:AF3638"/>
    <mergeCell ref="A3640:E3640"/>
    <mergeCell ref="F3640:Y3640"/>
    <mergeCell ref="Z3640:AA3642"/>
    <mergeCell ref="AB3640:AD3641"/>
    <mergeCell ref="AE3640:AE3642"/>
    <mergeCell ref="AF3640:AF3642"/>
    <mergeCell ref="A3641:C3642"/>
    <mergeCell ref="D3641:S3642"/>
    <mergeCell ref="T3641:W3642"/>
    <mergeCell ref="X3641:Y3642"/>
    <mergeCell ref="A3643:Y3666"/>
    <mergeCell ref="Z3643:AA3643"/>
    <mergeCell ref="Z3644:AA3644"/>
    <mergeCell ref="Z3645:AA3645"/>
    <mergeCell ref="Z3646:AA3646"/>
    <mergeCell ref="Z3647:AA3647"/>
    <mergeCell ref="Z3648:AA3648"/>
    <mergeCell ref="Z3649:AA3649"/>
    <mergeCell ref="Z3650:AA3650"/>
    <mergeCell ref="Z3651:AA3651"/>
    <mergeCell ref="Z3652:AA3652"/>
    <mergeCell ref="Z3653:AA3653"/>
    <mergeCell ref="Z3654:AA3654"/>
    <mergeCell ref="Z3655:AA3655"/>
    <mergeCell ref="Z3656:AA3656"/>
    <mergeCell ref="Z3657:AA3657"/>
    <mergeCell ref="Z3658:AA3658"/>
    <mergeCell ref="Z3659:AA3659"/>
    <mergeCell ref="Z3660:AA3660"/>
    <mergeCell ref="Z3661:AA3661"/>
    <mergeCell ref="Z3662:AA3662"/>
    <mergeCell ref="Z3663:AA3663"/>
    <mergeCell ref="Z3664:AA3664"/>
    <mergeCell ref="Z3665:AA3665"/>
    <mergeCell ref="Z3666:AA3666"/>
    <mergeCell ref="A3667:Y3669"/>
    <mergeCell ref="Z3667:AE3667"/>
    <mergeCell ref="Z3668:AE3668"/>
    <mergeCell ref="Z3669:AE3669"/>
    <mergeCell ref="A3670:S3671"/>
    <mergeCell ref="T3670:AA3671"/>
    <mergeCell ref="AB3670:AF3671"/>
    <mergeCell ref="A3673:AD3674"/>
    <mergeCell ref="A3675:D3676"/>
    <mergeCell ref="E3675:AD3676"/>
    <mergeCell ref="A3677:AD3677"/>
    <mergeCell ref="AE3677:AF3677"/>
    <mergeCell ref="A3678:AD3678"/>
    <mergeCell ref="AE3678:AF3678"/>
    <mergeCell ref="A3679:AD3679"/>
    <mergeCell ref="AE3679:AF3679"/>
    <mergeCell ref="A3681:E3681"/>
    <mergeCell ref="F3681:Y3681"/>
    <mergeCell ref="Z3681:AA3683"/>
    <mergeCell ref="AB3681:AD3682"/>
    <mergeCell ref="AE3681:AE3683"/>
    <mergeCell ref="AF3681:AF3683"/>
    <mergeCell ref="A3682:C3683"/>
    <mergeCell ref="D3682:S3683"/>
    <mergeCell ref="T3682:W3683"/>
    <mergeCell ref="X3682:Y3683"/>
    <mergeCell ref="A3684:Y3707"/>
    <mergeCell ref="Z3684:AA3684"/>
    <mergeCell ref="Z3685:AA3685"/>
    <mergeCell ref="Z3686:AA3686"/>
    <mergeCell ref="Z3687:AA3687"/>
    <mergeCell ref="Z3688:AA3688"/>
    <mergeCell ref="Z3689:AA3689"/>
    <mergeCell ref="Z3690:AA3690"/>
    <mergeCell ref="Z3691:AA3691"/>
    <mergeCell ref="Z3692:AA3692"/>
    <mergeCell ref="Z3693:AA3693"/>
    <mergeCell ref="Z3694:AA3694"/>
    <mergeCell ref="Z3695:AA3695"/>
    <mergeCell ref="Z3696:AA3696"/>
    <mergeCell ref="Z3697:AA3697"/>
    <mergeCell ref="Z3698:AA3698"/>
    <mergeCell ref="Z3699:AA3699"/>
    <mergeCell ref="Z3700:AA3700"/>
    <mergeCell ref="Z3701:AA3701"/>
    <mergeCell ref="Z3702:AA3702"/>
    <mergeCell ref="Z3703:AA3703"/>
    <mergeCell ref="Z3704:AA3704"/>
    <mergeCell ref="Z3705:AA3705"/>
    <mergeCell ref="Z3706:AA3706"/>
    <mergeCell ref="Z3707:AA3707"/>
    <mergeCell ref="A3708:Y3710"/>
    <mergeCell ref="Z3708:AE3708"/>
    <mergeCell ref="Z3709:AE3709"/>
    <mergeCell ref="Z3710:AE3710"/>
    <mergeCell ref="A3711:S3712"/>
    <mergeCell ref="T3711:AA3712"/>
    <mergeCell ref="AB3711:AF3712"/>
    <mergeCell ref="A3714:AD3715"/>
    <mergeCell ref="A3716:D3717"/>
    <mergeCell ref="E3716:AD3717"/>
    <mergeCell ref="A3718:AD3718"/>
    <mergeCell ref="AE3718:AF3718"/>
    <mergeCell ref="A3719:AD3719"/>
    <mergeCell ref="AE3719:AF3719"/>
    <mergeCell ref="A3720:AD3720"/>
    <mergeCell ref="AE3720:AF3720"/>
    <mergeCell ref="A3722:E3722"/>
    <mergeCell ref="F3722:Y3722"/>
    <mergeCell ref="Z3722:AA3724"/>
    <mergeCell ref="AB3722:AD3723"/>
    <mergeCell ref="AE3722:AE3724"/>
    <mergeCell ref="AF3722:AF3724"/>
    <mergeCell ref="A3723:C3724"/>
    <mergeCell ref="D3723:S3724"/>
    <mergeCell ref="T3723:W3724"/>
    <mergeCell ref="X3723:Y3724"/>
    <mergeCell ref="A3725:Y3748"/>
    <mergeCell ref="Z3725:AA3725"/>
    <mergeCell ref="Z3726:AA3726"/>
    <mergeCell ref="Z3727:AA3727"/>
    <mergeCell ref="Z3728:AA3728"/>
    <mergeCell ref="Z3729:AA3729"/>
    <mergeCell ref="Z3730:AA3730"/>
    <mergeCell ref="Z3731:AA3731"/>
    <mergeCell ref="Z3732:AA3732"/>
    <mergeCell ref="Z3733:AA3733"/>
    <mergeCell ref="Z3734:AA3734"/>
    <mergeCell ref="Z3735:AA3735"/>
    <mergeCell ref="Z3736:AA3736"/>
    <mergeCell ref="Z3737:AA3737"/>
    <mergeCell ref="Z3738:AA3738"/>
    <mergeCell ref="Z3739:AA3739"/>
    <mergeCell ref="Z3740:AA3740"/>
    <mergeCell ref="Z3741:AA3741"/>
    <mergeCell ref="Z3742:AA3742"/>
    <mergeCell ref="Z3743:AA3743"/>
    <mergeCell ref="Z3744:AA3744"/>
    <mergeCell ref="Z3745:AA3745"/>
    <mergeCell ref="Z3746:AA3746"/>
    <mergeCell ref="Z3747:AA3747"/>
    <mergeCell ref="Z3748:AA3748"/>
    <mergeCell ref="A3749:Y3751"/>
    <mergeCell ref="Z3749:AE3749"/>
    <mergeCell ref="Z3750:AE3750"/>
    <mergeCell ref="Z3751:AE3751"/>
    <mergeCell ref="A3752:S3753"/>
    <mergeCell ref="T3752:AA3753"/>
    <mergeCell ref="AB3752:AF3753"/>
    <mergeCell ref="A3755:AD3756"/>
    <mergeCell ref="A3757:D3758"/>
    <mergeCell ref="E3757:AD3758"/>
    <mergeCell ref="A3759:AD3759"/>
    <mergeCell ref="AE3759:AF3759"/>
    <mergeCell ref="A3760:AD3760"/>
    <mergeCell ref="AE3760:AF3760"/>
    <mergeCell ref="A3761:AD3761"/>
    <mergeCell ref="AE3761:AF3761"/>
    <mergeCell ref="A3763:E3763"/>
    <mergeCell ref="F3763:Y3763"/>
    <mergeCell ref="Z3763:AA3765"/>
    <mergeCell ref="AB3763:AD3764"/>
    <mergeCell ref="AE3763:AE3765"/>
    <mergeCell ref="AF3763:AF3765"/>
    <mergeCell ref="A3764:C3765"/>
    <mergeCell ref="D3764:S3765"/>
    <mergeCell ref="T3764:W3765"/>
    <mergeCell ref="X3764:Y3765"/>
    <mergeCell ref="A3766:Y3789"/>
    <mergeCell ref="Z3766:AA3766"/>
    <mergeCell ref="Z3767:AA3767"/>
    <mergeCell ref="Z3768:AA3768"/>
    <mergeCell ref="Z3769:AA3769"/>
    <mergeCell ref="Z3770:AA3770"/>
    <mergeCell ref="Z3771:AA3771"/>
    <mergeCell ref="Z3772:AA3772"/>
    <mergeCell ref="Z3773:AA3773"/>
    <mergeCell ref="Z3774:AA3774"/>
    <mergeCell ref="Z3775:AA3775"/>
    <mergeCell ref="Z3776:AA3776"/>
    <mergeCell ref="Z3777:AA3777"/>
    <mergeCell ref="Z3778:AA3778"/>
    <mergeCell ref="Z3779:AA3779"/>
    <mergeCell ref="Z3780:AA3780"/>
    <mergeCell ref="Z3781:AA3781"/>
    <mergeCell ref="Z3782:AA3782"/>
    <mergeCell ref="Z3783:AA3783"/>
    <mergeCell ref="Z3784:AA3784"/>
    <mergeCell ref="Z3785:AA3785"/>
    <mergeCell ref="Z3786:AA3786"/>
    <mergeCell ref="Z3787:AA3787"/>
    <mergeCell ref="Z3788:AA3788"/>
    <mergeCell ref="Z3789:AA3789"/>
    <mergeCell ref="A3790:Y3792"/>
    <mergeCell ref="Z3790:AE3790"/>
    <mergeCell ref="Z3791:AE3791"/>
    <mergeCell ref="Z3792:AE3792"/>
    <mergeCell ref="A3793:S3794"/>
    <mergeCell ref="T3793:AA3794"/>
    <mergeCell ref="AB3793:AF3794"/>
    <mergeCell ref="A3796:AD3797"/>
    <mergeCell ref="A3798:D3799"/>
    <mergeCell ref="E3798:AD3799"/>
    <mergeCell ref="A3800:AD3800"/>
    <mergeCell ref="AE3800:AF3800"/>
    <mergeCell ref="A3801:AD3801"/>
    <mergeCell ref="AE3801:AF3801"/>
    <mergeCell ref="A3802:AD3802"/>
    <mergeCell ref="AE3802:AF3802"/>
    <mergeCell ref="A3804:E3804"/>
    <mergeCell ref="F3804:Y3804"/>
    <mergeCell ref="Z3804:AA3806"/>
    <mergeCell ref="AB3804:AD3805"/>
    <mergeCell ref="AE3804:AE3806"/>
    <mergeCell ref="AF3804:AF3806"/>
    <mergeCell ref="A3805:C3806"/>
    <mergeCell ref="D3805:S3806"/>
    <mergeCell ref="T3805:W3806"/>
    <mergeCell ref="X3805:Y3806"/>
    <mergeCell ref="A3807:Y3830"/>
    <mergeCell ref="Z3807:AA3807"/>
    <mergeCell ref="Z3808:AA3808"/>
    <mergeCell ref="Z3809:AA3809"/>
    <mergeCell ref="Z3810:AA3810"/>
    <mergeCell ref="Z3811:AA3811"/>
    <mergeCell ref="Z3812:AA3812"/>
    <mergeCell ref="Z3813:AA3813"/>
    <mergeCell ref="Z3814:AA3814"/>
    <mergeCell ref="Z3815:AA3815"/>
    <mergeCell ref="Z3816:AA3816"/>
    <mergeCell ref="Z3817:AA3817"/>
    <mergeCell ref="Z3818:AA3818"/>
    <mergeCell ref="Z3819:AA3819"/>
    <mergeCell ref="Z3820:AA3820"/>
    <mergeCell ref="Z3821:AA3821"/>
    <mergeCell ref="Z3822:AA3822"/>
    <mergeCell ref="Z3823:AA3823"/>
    <mergeCell ref="Z3824:AA3824"/>
    <mergeCell ref="Z3825:AA3825"/>
    <mergeCell ref="Z3826:AA3826"/>
    <mergeCell ref="Z3827:AA3827"/>
    <mergeCell ref="Z3828:AA3828"/>
    <mergeCell ref="Z3829:AA3829"/>
    <mergeCell ref="Z3830:AA3830"/>
    <mergeCell ref="A3831:Y3833"/>
    <mergeCell ref="Z3831:AE3831"/>
    <mergeCell ref="Z3832:AE3832"/>
    <mergeCell ref="Z3833:AE3833"/>
    <mergeCell ref="A3834:S3835"/>
    <mergeCell ref="T3834:AA3835"/>
    <mergeCell ref="AB3834:AF3835"/>
    <mergeCell ref="A3837:AD3838"/>
    <mergeCell ref="A3839:D3840"/>
    <mergeCell ref="E3839:AD3840"/>
    <mergeCell ref="A3841:AD3841"/>
    <mergeCell ref="AE3841:AF3841"/>
    <mergeCell ref="A3842:AD3842"/>
    <mergeCell ref="AE3842:AF3842"/>
    <mergeCell ref="A3843:AD3843"/>
    <mergeCell ref="AE3843:AF3843"/>
    <mergeCell ref="A3845:E3845"/>
    <mergeCell ref="F3845:Y3845"/>
    <mergeCell ref="Z3845:AA3847"/>
    <mergeCell ref="AB3845:AD3846"/>
    <mergeCell ref="AE3845:AE3847"/>
    <mergeCell ref="AF3845:AF3847"/>
    <mergeCell ref="A3846:C3847"/>
    <mergeCell ref="D3846:S3847"/>
    <mergeCell ref="T3846:W3847"/>
    <mergeCell ref="X3846:Y3847"/>
    <mergeCell ref="A3848:Y3871"/>
    <mergeCell ref="Z3848:AA3848"/>
    <mergeCell ref="Z3849:AA3849"/>
    <mergeCell ref="Z3850:AA3850"/>
    <mergeCell ref="Z3851:AA3851"/>
    <mergeCell ref="Z3852:AA3852"/>
    <mergeCell ref="Z3853:AA3853"/>
    <mergeCell ref="Z3854:AA3854"/>
    <mergeCell ref="Z3855:AA3855"/>
    <mergeCell ref="Z3856:AA3856"/>
    <mergeCell ref="Z3857:AA3857"/>
    <mergeCell ref="Z3858:AA3858"/>
    <mergeCell ref="Z3859:AA3859"/>
    <mergeCell ref="Z3860:AA3860"/>
    <mergeCell ref="Z3861:AA3861"/>
    <mergeCell ref="Z3862:AA3862"/>
    <mergeCell ref="Z3863:AA3863"/>
    <mergeCell ref="Z3864:AA3864"/>
    <mergeCell ref="Z3865:AA3865"/>
    <mergeCell ref="Z3866:AA3866"/>
    <mergeCell ref="Z3867:AA3867"/>
    <mergeCell ref="Z3868:AA3868"/>
    <mergeCell ref="Z3869:AA3869"/>
    <mergeCell ref="Z3870:AA3870"/>
    <mergeCell ref="Z3871:AA3871"/>
    <mergeCell ref="A3872:Y3874"/>
    <mergeCell ref="Z3872:AE3872"/>
    <mergeCell ref="Z3873:AE3873"/>
    <mergeCell ref="Z3874:AE3874"/>
    <mergeCell ref="A3875:S3876"/>
    <mergeCell ref="T3875:AA3876"/>
    <mergeCell ref="AB3875:AF3876"/>
    <mergeCell ref="A3878:AD3879"/>
    <mergeCell ref="A3880:D3881"/>
    <mergeCell ref="E3880:AD3881"/>
    <mergeCell ref="A3882:AD3882"/>
    <mergeCell ref="AE3882:AF3882"/>
    <mergeCell ref="A3883:AD3883"/>
    <mergeCell ref="AE3883:AF3883"/>
    <mergeCell ref="A3884:AD3884"/>
    <mergeCell ref="AE3884:AF3884"/>
    <mergeCell ref="A3886:E3886"/>
    <mergeCell ref="F3886:Y3886"/>
    <mergeCell ref="Z3886:AA3888"/>
    <mergeCell ref="AB3886:AD3887"/>
    <mergeCell ref="AE3886:AE3888"/>
    <mergeCell ref="AF3886:AF3888"/>
    <mergeCell ref="A3887:C3888"/>
    <mergeCell ref="D3887:S3888"/>
    <mergeCell ref="T3887:W3888"/>
    <mergeCell ref="X3887:Y3888"/>
    <mergeCell ref="A3889:Y3912"/>
    <mergeCell ref="Z3889:AA3889"/>
    <mergeCell ref="Z3890:AA3890"/>
    <mergeCell ref="Z3891:AA3891"/>
    <mergeCell ref="Z3892:AA3892"/>
    <mergeCell ref="Z3893:AA3893"/>
    <mergeCell ref="Z3894:AA3894"/>
    <mergeCell ref="Z3895:AA3895"/>
    <mergeCell ref="Z3896:AA3896"/>
    <mergeCell ref="Z3897:AA3897"/>
    <mergeCell ref="Z3898:AA3898"/>
    <mergeCell ref="Z3899:AA3899"/>
    <mergeCell ref="Z3900:AA3900"/>
    <mergeCell ref="Z3901:AA3901"/>
    <mergeCell ref="Z3902:AA3902"/>
    <mergeCell ref="Z3903:AA3903"/>
    <mergeCell ref="Z3904:AA3904"/>
    <mergeCell ref="Z3905:AA3905"/>
    <mergeCell ref="Z3906:AA3906"/>
    <mergeCell ref="Z3907:AA3907"/>
    <mergeCell ref="Z3908:AA3908"/>
    <mergeCell ref="Z3909:AA3909"/>
    <mergeCell ref="Z3910:AA3910"/>
    <mergeCell ref="Z3911:AA3911"/>
    <mergeCell ref="Z3912:AA3912"/>
    <mergeCell ref="A3913:Y3915"/>
    <mergeCell ref="Z3913:AE3913"/>
    <mergeCell ref="Z3914:AE3914"/>
    <mergeCell ref="Z3915:AE3915"/>
    <mergeCell ref="A3916:S3917"/>
    <mergeCell ref="T3916:AA3917"/>
    <mergeCell ref="AB3916:AF3917"/>
    <mergeCell ref="A3919:AD3920"/>
    <mergeCell ref="A3921:D3922"/>
    <mergeCell ref="E3921:AD3922"/>
    <mergeCell ref="A3923:AD3923"/>
    <mergeCell ref="AE3923:AF3923"/>
    <mergeCell ref="A3924:AD3924"/>
    <mergeCell ref="AE3924:AF3924"/>
    <mergeCell ref="A3925:AD3925"/>
    <mergeCell ref="AE3925:AF3925"/>
    <mergeCell ref="A3927:E3927"/>
    <mergeCell ref="F3927:Y3927"/>
    <mergeCell ref="Z3927:AA3929"/>
    <mergeCell ref="AB3927:AD3928"/>
    <mergeCell ref="AE3927:AE3929"/>
    <mergeCell ref="AF3927:AF3929"/>
    <mergeCell ref="A3928:C3929"/>
    <mergeCell ref="D3928:S3929"/>
    <mergeCell ref="T3928:W3929"/>
    <mergeCell ref="X3928:Y3929"/>
    <mergeCell ref="A3930:Y3953"/>
    <mergeCell ref="Z3930:AA3930"/>
    <mergeCell ref="Z3931:AA3931"/>
    <mergeCell ref="Z3932:AA3932"/>
    <mergeCell ref="Z3933:AA3933"/>
    <mergeCell ref="Z3934:AA3934"/>
    <mergeCell ref="Z3935:AA3935"/>
    <mergeCell ref="Z3936:AA3936"/>
    <mergeCell ref="Z3937:AA3937"/>
    <mergeCell ref="Z3938:AA3938"/>
    <mergeCell ref="Z3939:AA3939"/>
    <mergeCell ref="Z3940:AA3940"/>
    <mergeCell ref="Z3941:AA3941"/>
    <mergeCell ref="Z3942:AA3942"/>
    <mergeCell ref="Z3943:AA3943"/>
    <mergeCell ref="Z3944:AA3944"/>
    <mergeCell ref="Z3945:AA3945"/>
    <mergeCell ref="Z3946:AA3946"/>
    <mergeCell ref="Z3947:AA3947"/>
    <mergeCell ref="Z3948:AA3948"/>
    <mergeCell ref="Z3949:AA3949"/>
    <mergeCell ref="Z3950:AA3950"/>
    <mergeCell ref="Z3951:AA3951"/>
    <mergeCell ref="Z3952:AA3952"/>
    <mergeCell ref="Z3953:AA3953"/>
    <mergeCell ref="A3954:Y3956"/>
    <mergeCell ref="Z3954:AE3954"/>
    <mergeCell ref="Z3955:AE3955"/>
    <mergeCell ref="Z3956:AE3956"/>
    <mergeCell ref="A3957:S3958"/>
    <mergeCell ref="T3957:AA3958"/>
    <mergeCell ref="AB3957:AF3958"/>
    <mergeCell ref="A3960:AD3961"/>
    <mergeCell ref="A3962:D3963"/>
    <mergeCell ref="E3962:AD3963"/>
    <mergeCell ref="A3964:AD3964"/>
    <mergeCell ref="AE3964:AF3964"/>
    <mergeCell ref="A3965:AD3965"/>
    <mergeCell ref="AE3965:AF3965"/>
    <mergeCell ref="A3966:AD3966"/>
    <mergeCell ref="AE3966:AF3966"/>
    <mergeCell ref="A3968:E3968"/>
    <mergeCell ref="F3968:Y3968"/>
    <mergeCell ref="Z3968:AA3970"/>
    <mergeCell ref="AB3968:AD3969"/>
    <mergeCell ref="AE3968:AE3970"/>
    <mergeCell ref="AF3968:AF3970"/>
    <mergeCell ref="A3969:C3970"/>
    <mergeCell ref="D3969:S3970"/>
    <mergeCell ref="T3969:W3970"/>
    <mergeCell ref="X3969:Y3970"/>
    <mergeCell ref="A3971:Y3994"/>
    <mergeCell ref="Z3971:AA3971"/>
    <mergeCell ref="Z3972:AA3972"/>
    <mergeCell ref="Z3973:AA3973"/>
    <mergeCell ref="Z3974:AA3974"/>
    <mergeCell ref="Z3975:AA3975"/>
    <mergeCell ref="Z3976:AA3976"/>
    <mergeCell ref="Z3977:AA3977"/>
    <mergeCell ref="Z3978:AA3978"/>
    <mergeCell ref="Z3979:AA3979"/>
    <mergeCell ref="Z3980:AA3980"/>
    <mergeCell ref="Z3981:AA3981"/>
    <mergeCell ref="Z3982:AA3982"/>
    <mergeCell ref="Z3983:AA3983"/>
    <mergeCell ref="Z3984:AA3984"/>
    <mergeCell ref="Z3985:AA3985"/>
    <mergeCell ref="Z3986:AA3986"/>
    <mergeCell ref="Z3987:AA3987"/>
    <mergeCell ref="Z3988:AA3988"/>
    <mergeCell ref="Z3989:AA3989"/>
    <mergeCell ref="Z3990:AA3990"/>
    <mergeCell ref="Z3991:AA3991"/>
    <mergeCell ref="Z3992:AA3992"/>
    <mergeCell ref="Z3993:AA3993"/>
    <mergeCell ref="Z3994:AA3994"/>
    <mergeCell ref="A3995:Y3997"/>
    <mergeCell ref="Z3995:AE3995"/>
    <mergeCell ref="Z3996:AE3996"/>
    <mergeCell ref="Z3997:AE3997"/>
    <mergeCell ref="A3998:S3999"/>
    <mergeCell ref="T3998:AA3999"/>
    <mergeCell ref="AB3998:AF3999"/>
    <mergeCell ref="A4001:AD4002"/>
    <mergeCell ref="A4003:D4004"/>
    <mergeCell ref="E4003:AD4004"/>
    <mergeCell ref="A4005:AD4005"/>
    <mergeCell ref="AE4005:AF4005"/>
    <mergeCell ref="A4006:AD4006"/>
    <mergeCell ref="AE4006:AF4006"/>
    <mergeCell ref="A4007:AD4007"/>
    <mergeCell ref="AE4007:AF4007"/>
    <mergeCell ref="A4009:E4009"/>
    <mergeCell ref="F4009:Y4009"/>
    <mergeCell ref="Z4009:AA4011"/>
    <mergeCell ref="AB4009:AD4010"/>
    <mergeCell ref="AE4009:AE4011"/>
    <mergeCell ref="AF4009:AF4011"/>
    <mergeCell ref="A4010:C4011"/>
    <mergeCell ref="D4010:S4011"/>
    <mergeCell ref="T4010:W4011"/>
    <mergeCell ref="X4010:Y4011"/>
    <mergeCell ref="A4012:Y4035"/>
    <mergeCell ref="Z4012:AA4012"/>
    <mergeCell ref="Z4013:AA4013"/>
    <mergeCell ref="Z4014:AA4014"/>
    <mergeCell ref="Z4015:AA4015"/>
    <mergeCell ref="Z4016:AA4016"/>
    <mergeCell ref="Z4017:AA4017"/>
    <mergeCell ref="Z4018:AA4018"/>
    <mergeCell ref="Z4019:AA4019"/>
    <mergeCell ref="Z4020:AA4020"/>
    <mergeCell ref="Z4021:AA4021"/>
    <mergeCell ref="Z4022:AA4022"/>
    <mergeCell ref="Z4023:AA4023"/>
    <mergeCell ref="Z4024:AA4024"/>
    <mergeCell ref="Z4025:AA4025"/>
    <mergeCell ref="Z4026:AA4026"/>
    <mergeCell ref="Z4027:AA4027"/>
    <mergeCell ref="Z4028:AA4028"/>
    <mergeCell ref="Z4029:AA4029"/>
    <mergeCell ref="Z4030:AA4030"/>
    <mergeCell ref="Z4031:AA4031"/>
    <mergeCell ref="Z4032:AA4032"/>
    <mergeCell ref="Z4033:AA4033"/>
    <mergeCell ref="Z4034:AA4034"/>
    <mergeCell ref="Z4035:AA4035"/>
    <mergeCell ref="A4036:Y4038"/>
    <mergeCell ref="Z4036:AE4036"/>
    <mergeCell ref="Z4037:AE4037"/>
    <mergeCell ref="Z4038:AE4038"/>
    <mergeCell ref="A4039:S4040"/>
    <mergeCell ref="T4039:AA4040"/>
    <mergeCell ref="AB4039:AF4040"/>
    <mergeCell ref="A4042:AD4043"/>
    <mergeCell ref="A4044:D4045"/>
    <mergeCell ref="E4044:AD4045"/>
    <mergeCell ref="A4046:AD4046"/>
    <mergeCell ref="AE4046:AF4046"/>
    <mergeCell ref="A4047:AD4047"/>
    <mergeCell ref="AE4047:AF4047"/>
    <mergeCell ref="A4048:AD4048"/>
    <mergeCell ref="AE4048:AF4048"/>
    <mergeCell ref="A4050:E4050"/>
    <mergeCell ref="F4050:Y4050"/>
    <mergeCell ref="Z4050:AA4052"/>
    <mergeCell ref="AB4050:AD4051"/>
    <mergeCell ref="AE4050:AE4052"/>
    <mergeCell ref="AF4050:AF4052"/>
    <mergeCell ref="A4051:C4052"/>
    <mergeCell ref="D4051:S4052"/>
    <mergeCell ref="T4051:W4052"/>
    <mergeCell ref="X4051:Y4052"/>
    <mergeCell ref="A4053:Y4072"/>
    <mergeCell ref="Z4053:AA4053"/>
    <mergeCell ref="Z4054:AA4054"/>
    <mergeCell ref="Z4055:AA4055"/>
    <mergeCell ref="Z4056:AA4056"/>
    <mergeCell ref="Z4057:AA4057"/>
    <mergeCell ref="Z4058:AA4058"/>
    <mergeCell ref="Z4059:AA4059"/>
    <mergeCell ref="Z4060:AA4060"/>
    <mergeCell ref="Z4061:AA4061"/>
    <mergeCell ref="Z4062:AA4062"/>
    <mergeCell ref="Z4063:AA4063"/>
    <mergeCell ref="Z4064:AA4064"/>
    <mergeCell ref="Z4065:AA4065"/>
    <mergeCell ref="Z4066:AA4066"/>
    <mergeCell ref="Z4067:AA4067"/>
    <mergeCell ref="Z4068:AA4068"/>
    <mergeCell ref="Z4069:AA4069"/>
    <mergeCell ref="Z4070:AA4070"/>
    <mergeCell ref="Z4071:AA4071"/>
    <mergeCell ref="Z4072:AA4072"/>
    <mergeCell ref="A4073:Y4075"/>
    <mergeCell ref="Z4073:AE4073"/>
    <mergeCell ref="Z4074:AE4074"/>
    <mergeCell ref="Z4075:AE4075"/>
    <mergeCell ref="A4076:S4077"/>
    <mergeCell ref="T4076:AA4077"/>
    <mergeCell ref="AB4076:AF4077"/>
    <mergeCell ref="A4120:AD4121"/>
    <mergeCell ref="A4122:D4123"/>
    <mergeCell ref="E4122:AD4123"/>
    <mergeCell ref="A4124:AD4124"/>
    <mergeCell ref="AE4124:AF4124"/>
    <mergeCell ref="A4125:AD4125"/>
    <mergeCell ref="AE4125:AF4125"/>
    <mergeCell ref="A4126:AD4126"/>
    <mergeCell ref="AE4126:AF4126"/>
    <mergeCell ref="A4128:E4128"/>
    <mergeCell ref="F4128:Y4128"/>
    <mergeCell ref="Z4128:AA4130"/>
    <mergeCell ref="AB4128:AD4129"/>
    <mergeCell ref="AE4128:AE4130"/>
    <mergeCell ref="AF4128:AF4130"/>
    <mergeCell ref="A4129:C4130"/>
    <mergeCell ref="D4129:S4130"/>
    <mergeCell ref="T4129:W4130"/>
    <mergeCell ref="X4129:Y4130"/>
    <mergeCell ref="Z4095:AA4095"/>
    <mergeCell ref="Z4096:AA4096"/>
    <mergeCell ref="Z4097:AA4097"/>
    <mergeCell ref="Z4098:AA4098"/>
    <mergeCell ref="Z4099:AA4099"/>
    <mergeCell ref="Z4100:AA4100"/>
    <mergeCell ref="A4131:Y4151"/>
    <mergeCell ref="Z4131:AA4131"/>
    <mergeCell ref="Z4132:AA4132"/>
    <mergeCell ref="Z4133:AA4133"/>
    <mergeCell ref="Z4134:AA4134"/>
    <mergeCell ref="Z4135:AA4135"/>
    <mergeCell ref="Z4136:AA4136"/>
    <mergeCell ref="Z4137:AA4137"/>
    <mergeCell ref="Z4138:AA4138"/>
    <mergeCell ref="Z4139:AA4139"/>
    <mergeCell ref="Z4140:AA4140"/>
    <mergeCell ref="Z4141:AA4141"/>
    <mergeCell ref="Z4142:AA4142"/>
    <mergeCell ref="Z4143:AA4143"/>
    <mergeCell ref="Z4144:AA4144"/>
    <mergeCell ref="Z4145:AA4145"/>
    <mergeCell ref="Z4146:AA4146"/>
    <mergeCell ref="Z4147:AA4147"/>
    <mergeCell ref="Z4148:AA4148"/>
    <mergeCell ref="Z4149:AA4149"/>
    <mergeCell ref="Z4150:AA4150"/>
    <mergeCell ref="Z4151:AA4151"/>
    <mergeCell ref="A4152:Y4154"/>
    <mergeCell ref="Z4152:AE4152"/>
    <mergeCell ref="Z4153:AE4153"/>
    <mergeCell ref="Z4154:AE4154"/>
    <mergeCell ref="A4155:S4156"/>
    <mergeCell ref="T4155:AA4156"/>
    <mergeCell ref="AB4155:AF4156"/>
    <mergeCell ref="A4158:AD4159"/>
    <mergeCell ref="A4160:D4161"/>
    <mergeCell ref="E4160:AD4161"/>
    <mergeCell ref="A4162:AD4162"/>
    <mergeCell ref="AE4162:AF4162"/>
    <mergeCell ref="A4163:AD4163"/>
    <mergeCell ref="AE4163:AF4163"/>
    <mergeCell ref="A4164:AD4164"/>
    <mergeCell ref="AE4164:AF4164"/>
    <mergeCell ref="A4166:E4166"/>
    <mergeCell ref="F4166:Y4166"/>
    <mergeCell ref="Z4166:AA4168"/>
    <mergeCell ref="AB4166:AD4167"/>
    <mergeCell ref="AE4166:AE4168"/>
    <mergeCell ref="AF4166:AF4168"/>
    <mergeCell ref="A4167:C4168"/>
    <mergeCell ref="D4167:S4168"/>
    <mergeCell ref="T4167:W4168"/>
    <mergeCell ref="X4167:Y4168"/>
    <mergeCell ref="A4169:Y4189"/>
    <mergeCell ref="Z4169:AA4169"/>
    <mergeCell ref="Z4170:AA4170"/>
    <mergeCell ref="Z4171:AA4171"/>
    <mergeCell ref="Z4172:AA4172"/>
    <mergeCell ref="Z4173:AA4173"/>
    <mergeCell ref="Z4174:AA4174"/>
    <mergeCell ref="Z4175:AA4175"/>
    <mergeCell ref="Z4176:AA4176"/>
    <mergeCell ref="Z4177:AA4177"/>
    <mergeCell ref="Z4178:AA4178"/>
    <mergeCell ref="Z4179:AA4179"/>
    <mergeCell ref="Z4180:AA4180"/>
    <mergeCell ref="Z4181:AA4181"/>
    <mergeCell ref="Z4182:AA4182"/>
    <mergeCell ref="Z4183:AA4183"/>
    <mergeCell ref="Z4184:AA4184"/>
    <mergeCell ref="Z4185:AA4185"/>
    <mergeCell ref="Z4186:AA4186"/>
    <mergeCell ref="Z4187:AA4187"/>
    <mergeCell ref="Z4188:AA4188"/>
    <mergeCell ref="Z4189:AA4189"/>
    <mergeCell ref="A4190:Y4192"/>
    <mergeCell ref="Z4190:AE4190"/>
    <mergeCell ref="Z4191:AE4191"/>
    <mergeCell ref="Z4192:AE4192"/>
    <mergeCell ref="A4193:S4194"/>
    <mergeCell ref="T4193:AA4194"/>
    <mergeCell ref="AB4193:AF4194"/>
    <mergeCell ref="A4196:AD4197"/>
    <mergeCell ref="A4198:D4199"/>
    <mergeCell ref="E4198:AD4199"/>
    <mergeCell ref="A4200:AD4200"/>
    <mergeCell ref="AE4200:AF4200"/>
    <mergeCell ref="A4201:AD4201"/>
    <mergeCell ref="AE4201:AF4201"/>
    <mergeCell ref="A4202:AD4202"/>
    <mergeCell ref="AE4202:AF4202"/>
    <mergeCell ref="A4204:E4204"/>
    <mergeCell ref="F4204:Y4204"/>
    <mergeCell ref="Z4204:AA4206"/>
    <mergeCell ref="AB4204:AD4205"/>
    <mergeCell ref="AE4204:AE4206"/>
    <mergeCell ref="AF4204:AF4206"/>
    <mergeCell ref="A4205:C4206"/>
    <mergeCell ref="D4205:S4206"/>
    <mergeCell ref="T4205:W4206"/>
    <mergeCell ref="X4205:Y4206"/>
    <mergeCell ref="A4207:Y4230"/>
    <mergeCell ref="Z4207:AA4207"/>
    <mergeCell ref="Z4208:AA4208"/>
    <mergeCell ref="Z4209:AA4209"/>
    <mergeCell ref="Z4210:AA4210"/>
    <mergeCell ref="Z4211:AA4211"/>
    <mergeCell ref="Z4212:AA4212"/>
    <mergeCell ref="Z4213:AA4213"/>
    <mergeCell ref="Z4214:AA4214"/>
    <mergeCell ref="Z4215:AA4215"/>
    <mergeCell ref="Z4216:AA4216"/>
    <mergeCell ref="Z4217:AA4217"/>
    <mergeCell ref="Z4218:AA4218"/>
    <mergeCell ref="Z4219:AA4219"/>
    <mergeCell ref="Z4220:AA4220"/>
    <mergeCell ref="Z4221:AA4221"/>
    <mergeCell ref="Z4222:AA4222"/>
    <mergeCell ref="Z4223:AA4223"/>
    <mergeCell ref="Z4224:AA4224"/>
    <mergeCell ref="Z4225:AA4225"/>
    <mergeCell ref="Z4226:AA4226"/>
    <mergeCell ref="Z4227:AA4227"/>
    <mergeCell ref="Z4228:AA4228"/>
    <mergeCell ref="Z4229:AA4229"/>
    <mergeCell ref="Z4230:AA4230"/>
    <mergeCell ref="Z4270:AA4270"/>
    <mergeCell ref="Z4271:AA4271"/>
    <mergeCell ref="A4231:Y4233"/>
    <mergeCell ref="Z4231:AE4231"/>
    <mergeCell ref="Z4232:AE4232"/>
    <mergeCell ref="Z4233:AE4233"/>
    <mergeCell ref="A4234:S4235"/>
    <mergeCell ref="T4234:AA4235"/>
    <mergeCell ref="AB4234:AF4235"/>
    <mergeCell ref="A4237:AD4238"/>
    <mergeCell ref="A4239:D4240"/>
    <mergeCell ref="E4239:AD4240"/>
    <mergeCell ref="A4241:AD4241"/>
    <mergeCell ref="AE4241:AF4241"/>
    <mergeCell ref="A4242:AD4242"/>
    <mergeCell ref="AE4242:AF4242"/>
    <mergeCell ref="A4243:AD4243"/>
    <mergeCell ref="AE4243:AF4243"/>
    <mergeCell ref="A4245:E4245"/>
    <mergeCell ref="F4245:Y4245"/>
    <mergeCell ref="Z4245:AA4247"/>
    <mergeCell ref="AB4245:AD4246"/>
    <mergeCell ref="AE4245:AE4247"/>
    <mergeCell ref="AF4245:AF4247"/>
    <mergeCell ref="A4246:C4247"/>
    <mergeCell ref="D4246:S4247"/>
    <mergeCell ref="T4246:W4247"/>
    <mergeCell ref="X4246:Y4247"/>
    <mergeCell ref="A4272:Y4274"/>
    <mergeCell ref="Z4272:AE4272"/>
    <mergeCell ref="Z4273:AE4273"/>
    <mergeCell ref="Z4274:AE4274"/>
    <mergeCell ref="A4275:S4276"/>
    <mergeCell ref="T4275:AA4276"/>
    <mergeCell ref="AB4275:AF4276"/>
    <mergeCell ref="Z4248:AA4251"/>
    <mergeCell ref="Z4252:AA4254"/>
    <mergeCell ref="A4278:AD4279"/>
    <mergeCell ref="A4280:D4281"/>
    <mergeCell ref="E4280:AD4281"/>
    <mergeCell ref="A4282:AD4282"/>
    <mergeCell ref="AE4282:AF4282"/>
    <mergeCell ref="A4283:AD4283"/>
    <mergeCell ref="AE4283:AF4283"/>
    <mergeCell ref="A4248:Y4271"/>
    <mergeCell ref="Z4255:AA4255"/>
    <mergeCell ref="Z4256:AA4256"/>
    <mergeCell ref="Z4257:AA4257"/>
    <mergeCell ref="Z4258:AA4258"/>
    <mergeCell ref="Z4259:AA4259"/>
    <mergeCell ref="Z4260:AA4260"/>
    <mergeCell ref="Z4261:AA4261"/>
    <mergeCell ref="Z4262:AA4262"/>
    <mergeCell ref="Z4263:AA4263"/>
    <mergeCell ref="Z4264:AA4264"/>
    <mergeCell ref="Z4265:AA4265"/>
    <mergeCell ref="Z4266:AA4266"/>
    <mergeCell ref="Z4267:AA4267"/>
    <mergeCell ref="Z4268:AA4268"/>
    <mergeCell ref="Z4269:AA4269"/>
    <mergeCell ref="A4284:AD4284"/>
    <mergeCell ref="AE4284:AF4284"/>
    <mergeCell ref="A4286:E4286"/>
    <mergeCell ref="F4286:Y4286"/>
    <mergeCell ref="Z4286:AA4288"/>
    <mergeCell ref="AB4286:AD4287"/>
    <mergeCell ref="AE4286:AE4288"/>
    <mergeCell ref="AF4286:AF4288"/>
    <mergeCell ref="A4287:C4288"/>
    <mergeCell ref="D4287:S4288"/>
    <mergeCell ref="T4287:W4288"/>
    <mergeCell ref="X4287:Y4288"/>
    <mergeCell ref="A4289:Y4312"/>
    <mergeCell ref="Z4296:AA4296"/>
    <mergeCell ref="Z4297:AA4297"/>
    <mergeCell ref="Z4298:AA4298"/>
    <mergeCell ref="Z4299:AA4299"/>
    <mergeCell ref="Z4300:AA4300"/>
    <mergeCell ref="Z4301:AA4301"/>
    <mergeCell ref="Z4302:AA4302"/>
    <mergeCell ref="Z4303:AA4303"/>
    <mergeCell ref="Z4304:AA4304"/>
    <mergeCell ref="Z4305:AA4305"/>
    <mergeCell ref="Z4306:AA4306"/>
    <mergeCell ref="Z4307:AA4307"/>
    <mergeCell ref="Z4308:AA4308"/>
    <mergeCell ref="Z4309:AA4309"/>
    <mergeCell ref="Z4310:AA4310"/>
    <mergeCell ref="Z4311:AA4311"/>
    <mergeCell ref="Z4312:AA4312"/>
    <mergeCell ref="A4313:Y4315"/>
    <mergeCell ref="Z4313:AE4313"/>
    <mergeCell ref="Z4314:AE4314"/>
    <mergeCell ref="Z4315:AE4315"/>
    <mergeCell ref="A4316:S4317"/>
    <mergeCell ref="T4316:AA4317"/>
    <mergeCell ref="AB4316:AF4317"/>
    <mergeCell ref="Z4289:AA4289"/>
    <mergeCell ref="Z4290:AA4290"/>
    <mergeCell ref="Z4291:AA4291"/>
    <mergeCell ref="Z4292:AA4292"/>
    <mergeCell ref="Z4293:AA4293"/>
    <mergeCell ref="Z4294:AA4294"/>
    <mergeCell ref="Z4295:AA4295"/>
    <mergeCell ref="A4319:AD4320"/>
    <mergeCell ref="A4321:D4322"/>
    <mergeCell ref="E4321:AD4322"/>
    <mergeCell ref="A4323:AD4323"/>
    <mergeCell ref="AE4323:AF4323"/>
    <mergeCell ref="A4324:AD4324"/>
    <mergeCell ref="AE4324:AF4324"/>
    <mergeCell ref="A4325:AD4325"/>
    <mergeCell ref="AE4325:AF4325"/>
    <mergeCell ref="A4327:E4327"/>
    <mergeCell ref="F4327:Y4327"/>
    <mergeCell ref="Z4327:AA4329"/>
    <mergeCell ref="AB4327:AD4328"/>
    <mergeCell ref="AE4327:AE4329"/>
    <mergeCell ref="AF4327:AF4329"/>
    <mergeCell ref="A4328:C4329"/>
    <mergeCell ref="D4328:S4329"/>
    <mergeCell ref="T4328:W4329"/>
    <mergeCell ref="X4328:Y4329"/>
    <mergeCell ref="A4330:Y4353"/>
    <mergeCell ref="Z4330:AA4330"/>
    <mergeCell ref="Z4331:AA4331"/>
    <mergeCell ref="Z4332:AA4332"/>
    <mergeCell ref="Z4333:AA4333"/>
    <mergeCell ref="Z4334:AA4334"/>
    <mergeCell ref="Z4335:AA4335"/>
    <mergeCell ref="Z4336:AA4336"/>
    <mergeCell ref="Z4337:AA4337"/>
    <mergeCell ref="Z4338:AA4338"/>
    <mergeCell ref="Z4339:AA4339"/>
    <mergeCell ref="Z4340:AA4340"/>
    <mergeCell ref="Z4341:AA4341"/>
    <mergeCell ref="Z4342:AA4342"/>
    <mergeCell ref="Z4343:AA4343"/>
    <mergeCell ref="Z4344:AA4344"/>
    <mergeCell ref="Z4345:AA4345"/>
    <mergeCell ref="Z4346:AA4346"/>
    <mergeCell ref="Z4347:AA4347"/>
    <mergeCell ref="Z4348:AA4348"/>
    <mergeCell ref="Z4349:AA4349"/>
    <mergeCell ref="Z4350:AA4350"/>
    <mergeCell ref="Z4351:AA4351"/>
    <mergeCell ref="Z4352:AA4352"/>
    <mergeCell ref="Z4353:AA4353"/>
    <mergeCell ref="A4354:Y4356"/>
    <mergeCell ref="Z4354:AE4354"/>
    <mergeCell ref="Z4355:AE4355"/>
    <mergeCell ref="Z4356:AE4356"/>
    <mergeCell ref="A4357:S4358"/>
    <mergeCell ref="T4357:AA4358"/>
    <mergeCell ref="AB4357:AF4358"/>
    <mergeCell ref="A4360:AD4361"/>
    <mergeCell ref="A4362:D4363"/>
    <mergeCell ref="E4362:AD4363"/>
    <mergeCell ref="A4364:AD4364"/>
    <mergeCell ref="AE4364:AF4364"/>
    <mergeCell ref="A4365:AD4365"/>
    <mergeCell ref="AE4365:AF4365"/>
    <mergeCell ref="A4366:AD4366"/>
    <mergeCell ref="AE4366:AF4366"/>
    <mergeCell ref="A4368:E4368"/>
    <mergeCell ref="F4368:Y4368"/>
    <mergeCell ref="Z4368:AA4370"/>
    <mergeCell ref="AB4368:AD4369"/>
    <mergeCell ref="AE4368:AE4370"/>
    <mergeCell ref="AF4368:AF4370"/>
    <mergeCell ref="A4369:C4370"/>
    <mergeCell ref="D4369:S4370"/>
    <mergeCell ref="T4369:W4370"/>
    <mergeCell ref="X4369:Y4370"/>
    <mergeCell ref="A4395:Y4397"/>
    <mergeCell ref="Z4395:AE4395"/>
    <mergeCell ref="Z4396:AE4396"/>
    <mergeCell ref="Z4397:AE4397"/>
    <mergeCell ref="A4398:S4399"/>
    <mergeCell ref="T4398:AA4399"/>
    <mergeCell ref="AB4398:AF4399"/>
    <mergeCell ref="A4371:Y4394"/>
    <mergeCell ref="Z4371:AA4371"/>
    <mergeCell ref="Z4372:AA4372"/>
    <mergeCell ref="Z4373:AA4373"/>
    <mergeCell ref="Z4374:AA4374"/>
    <mergeCell ref="Z4375:AA4375"/>
    <mergeCell ref="Z4376:AA4376"/>
    <mergeCell ref="Z4377:AA4377"/>
    <mergeCell ref="Z4378:AA4378"/>
    <mergeCell ref="Z4379:AA4379"/>
    <mergeCell ref="Z4380:AA4380"/>
    <mergeCell ref="Z4381:AA4381"/>
    <mergeCell ref="Z4382:AA4382"/>
    <mergeCell ref="Z4383:AA4383"/>
    <mergeCell ref="Z4384:AA4384"/>
    <mergeCell ref="Z4385:AA4385"/>
    <mergeCell ref="Z4386:AA4386"/>
    <mergeCell ref="Z4387:AA4387"/>
    <mergeCell ref="Z4388:AA4388"/>
    <mergeCell ref="Z4389:AA4389"/>
    <mergeCell ref="Z4390:AA4390"/>
    <mergeCell ref="Z4391:AA4391"/>
    <mergeCell ref="Z4392:AA4392"/>
    <mergeCell ref="Z4393:AA4393"/>
    <mergeCell ref="Z4394:AA4394"/>
    <mergeCell ref="A5984:AD5985"/>
    <mergeCell ref="A5986:D5987"/>
    <mergeCell ref="E5986:AD5987"/>
    <mergeCell ref="A5988:AD5988"/>
    <mergeCell ref="AE5988:AF5988"/>
    <mergeCell ref="A5989:AD5989"/>
    <mergeCell ref="AE5989:AF5989"/>
    <mergeCell ref="A5990:AD5990"/>
    <mergeCell ref="AE5990:AF5990"/>
    <mergeCell ref="A5992:E5992"/>
    <mergeCell ref="F5992:Y5992"/>
    <mergeCell ref="Z5992:AA5994"/>
    <mergeCell ref="AB5992:AD5993"/>
    <mergeCell ref="AE5992:AE5994"/>
    <mergeCell ref="AF5992:AF5994"/>
    <mergeCell ref="A5993:C5994"/>
    <mergeCell ref="D5993:S5994"/>
    <mergeCell ref="T5993:W5994"/>
    <mergeCell ref="X5993:Y5994"/>
    <mergeCell ref="A5995:Y6018"/>
    <mergeCell ref="Z5995:AA5995"/>
    <mergeCell ref="Z5996:AA5996"/>
    <mergeCell ref="Z5997:AA5997"/>
    <mergeCell ref="Z5998:AA5998"/>
    <mergeCell ref="Z5999:AA5999"/>
    <mergeCell ref="Z6000:AA6000"/>
    <mergeCell ref="Z6001:AA6001"/>
    <mergeCell ref="Z6002:AA6002"/>
    <mergeCell ref="Z6003:AA6003"/>
    <mergeCell ref="Z6004:AA6004"/>
    <mergeCell ref="Z6005:AA6005"/>
    <mergeCell ref="Z6006:AA6006"/>
    <mergeCell ref="Z6007:AA6007"/>
    <mergeCell ref="Z6008:AA6008"/>
    <mergeCell ref="Z6009:AA6009"/>
    <mergeCell ref="Z6010:AA6010"/>
    <mergeCell ref="Z6011:AA6011"/>
    <mergeCell ref="Z6012:AA6012"/>
    <mergeCell ref="Z6013:AA6013"/>
    <mergeCell ref="Z6014:AA6014"/>
    <mergeCell ref="Z6015:AA6015"/>
    <mergeCell ref="Z6016:AA6016"/>
    <mergeCell ref="Z6017:AA6017"/>
    <mergeCell ref="Z6018:AA6018"/>
    <mergeCell ref="A6019:Y6021"/>
    <mergeCell ref="Z6019:AE6019"/>
    <mergeCell ref="Z6020:AE6020"/>
    <mergeCell ref="Z6021:AE6021"/>
    <mergeCell ref="A6022:S6023"/>
    <mergeCell ref="T6022:AA6023"/>
    <mergeCell ref="AB6022:AF6023"/>
    <mergeCell ref="A6025:AD6026"/>
    <mergeCell ref="A6027:D6028"/>
    <mergeCell ref="E6027:AD6028"/>
    <mergeCell ref="A6029:AD6029"/>
    <mergeCell ref="AE6029:AF6029"/>
    <mergeCell ref="A6030:AD6030"/>
    <mergeCell ref="AE6030:AF6030"/>
    <mergeCell ref="A6031:AD6031"/>
    <mergeCell ref="AE6031:AF6031"/>
    <mergeCell ref="A6033:E6033"/>
    <mergeCell ref="F6033:Y6033"/>
    <mergeCell ref="Z6033:AA6035"/>
    <mergeCell ref="AB6033:AD6034"/>
    <mergeCell ref="AE6033:AE6035"/>
    <mergeCell ref="AF6033:AF6035"/>
    <mergeCell ref="A6034:C6035"/>
    <mergeCell ref="D6034:S6035"/>
    <mergeCell ref="T6034:W6035"/>
    <mergeCell ref="X6034:Y6035"/>
    <mergeCell ref="A6036:Y6059"/>
    <mergeCell ref="Z6036:AA6036"/>
    <mergeCell ref="Z6037:AA6037"/>
    <mergeCell ref="Z6038:AA6038"/>
    <mergeCell ref="Z6039:AA6039"/>
    <mergeCell ref="Z6040:AA6040"/>
    <mergeCell ref="Z6041:AA6041"/>
    <mergeCell ref="Z6042:AA6042"/>
    <mergeCell ref="Z6043:AA6043"/>
    <mergeCell ref="Z6044:AA6044"/>
    <mergeCell ref="Z6045:AA6045"/>
    <mergeCell ref="Z6046:AA6046"/>
    <mergeCell ref="Z6047:AA6047"/>
    <mergeCell ref="Z6048:AA6048"/>
    <mergeCell ref="Z6049:AA6049"/>
    <mergeCell ref="Z6050:AA6050"/>
    <mergeCell ref="Z6051:AA6051"/>
    <mergeCell ref="Z6052:AA6052"/>
    <mergeCell ref="Z6053:AA6053"/>
    <mergeCell ref="Z6054:AA6054"/>
    <mergeCell ref="Z6055:AA6055"/>
    <mergeCell ref="Z6056:AA6056"/>
    <mergeCell ref="Z6057:AA6057"/>
    <mergeCell ref="Z6058:AA6058"/>
    <mergeCell ref="Z6059:AA6059"/>
    <mergeCell ref="A6060:Y6062"/>
    <mergeCell ref="Z6060:AE6060"/>
    <mergeCell ref="Z6061:AE6061"/>
    <mergeCell ref="Z6062:AE6062"/>
    <mergeCell ref="A6063:S6064"/>
    <mergeCell ref="T6063:AA6064"/>
    <mergeCell ref="AB6063:AF6064"/>
    <mergeCell ref="A6066:AD6067"/>
    <mergeCell ref="A6068:D6069"/>
    <mergeCell ref="E6068:AD6069"/>
    <mergeCell ref="A6070:AD6070"/>
    <mergeCell ref="AE6070:AF6070"/>
    <mergeCell ref="A6071:AD6071"/>
    <mergeCell ref="AE6071:AF6071"/>
    <mergeCell ref="A6072:AD6072"/>
    <mergeCell ref="AE6072:AF6072"/>
    <mergeCell ref="A6074:E6074"/>
    <mergeCell ref="F6074:Y6074"/>
    <mergeCell ref="Z6074:AA6076"/>
    <mergeCell ref="AB6074:AD6075"/>
    <mergeCell ref="AE6074:AE6076"/>
    <mergeCell ref="AF6074:AF6076"/>
    <mergeCell ref="A6075:C6076"/>
    <mergeCell ref="D6075:S6076"/>
    <mergeCell ref="T6075:W6076"/>
    <mergeCell ref="X6075:Y6076"/>
    <mergeCell ref="A6077:Y6100"/>
    <mergeCell ref="Z6077:AA6077"/>
    <mergeCell ref="Z6078:AA6078"/>
    <mergeCell ref="Z6079:AA6079"/>
    <mergeCell ref="Z6080:AA6080"/>
    <mergeCell ref="Z6081:AA6081"/>
    <mergeCell ref="Z6082:AA6082"/>
    <mergeCell ref="Z6083:AA6083"/>
    <mergeCell ref="Z6084:AA6084"/>
    <mergeCell ref="Z6085:AA6085"/>
    <mergeCell ref="Z6086:AA6086"/>
    <mergeCell ref="Z6087:AA6087"/>
    <mergeCell ref="Z6088:AA6088"/>
    <mergeCell ref="Z6089:AA6089"/>
    <mergeCell ref="Z6090:AA6090"/>
    <mergeCell ref="Z6091:AA6091"/>
    <mergeCell ref="Z6092:AA6092"/>
    <mergeCell ref="Z6093:AA6093"/>
    <mergeCell ref="Z6094:AA6094"/>
    <mergeCell ref="Z6095:AA6095"/>
    <mergeCell ref="Z6096:AA6096"/>
    <mergeCell ref="Z6097:AA6097"/>
    <mergeCell ref="Z6098:AA6098"/>
    <mergeCell ref="Z6099:AA6099"/>
    <mergeCell ref="Z6100:AA6100"/>
    <mergeCell ref="A6101:Y6103"/>
    <mergeCell ref="Z6101:AE6101"/>
    <mergeCell ref="Z6102:AE6102"/>
    <mergeCell ref="Z6103:AE6103"/>
    <mergeCell ref="A6104:S6105"/>
    <mergeCell ref="T6104:AA6105"/>
    <mergeCell ref="AB6104:AF6105"/>
    <mergeCell ref="A6107:AD6108"/>
    <mergeCell ref="A6109:D6110"/>
    <mergeCell ref="E6109:AD6110"/>
    <mergeCell ref="A6111:AD6111"/>
    <mergeCell ref="AE6111:AF6111"/>
    <mergeCell ref="A6112:AD6112"/>
    <mergeCell ref="AE6112:AF6112"/>
    <mergeCell ref="A6113:AD6113"/>
    <mergeCell ref="AE6113:AF6113"/>
    <mergeCell ref="A6115:E6115"/>
    <mergeCell ref="F6115:Y6115"/>
    <mergeCell ref="Z6115:AA6117"/>
    <mergeCell ref="AB6115:AD6116"/>
    <mergeCell ref="AE6115:AE6117"/>
    <mergeCell ref="AF6115:AF6117"/>
    <mergeCell ref="A6116:C6117"/>
    <mergeCell ref="D6116:S6117"/>
    <mergeCell ref="T6116:W6117"/>
    <mergeCell ref="X6116:Y6117"/>
    <mergeCell ref="A6118:Y6141"/>
    <mergeCell ref="Z6118:AA6118"/>
    <mergeCell ref="Z6119:AA6119"/>
    <mergeCell ref="Z6120:AA6120"/>
    <mergeCell ref="Z6121:AA6121"/>
    <mergeCell ref="Z6122:AA6122"/>
    <mergeCell ref="Z6123:AA6123"/>
    <mergeCell ref="Z6124:AA6124"/>
    <mergeCell ref="Z6125:AA6125"/>
    <mergeCell ref="Z6126:AA6126"/>
    <mergeCell ref="Z6127:AA6127"/>
    <mergeCell ref="Z6128:AA6128"/>
    <mergeCell ref="Z6129:AA6129"/>
    <mergeCell ref="Z6130:AA6130"/>
    <mergeCell ref="Z6131:AA6131"/>
    <mergeCell ref="Z6132:AA6132"/>
    <mergeCell ref="Z6133:AA6133"/>
    <mergeCell ref="Z6134:AA6134"/>
    <mergeCell ref="Z6135:AA6135"/>
    <mergeCell ref="Z6136:AA6136"/>
    <mergeCell ref="Z6137:AA6137"/>
    <mergeCell ref="Z6138:AA6138"/>
    <mergeCell ref="Z6139:AA6139"/>
    <mergeCell ref="Z6140:AA6140"/>
    <mergeCell ref="Z6141:AA6141"/>
    <mergeCell ref="A6142:Y6144"/>
    <mergeCell ref="Z6142:AE6142"/>
    <mergeCell ref="Z6143:AE6143"/>
    <mergeCell ref="Z6144:AE6144"/>
    <mergeCell ref="A6145:S6146"/>
    <mergeCell ref="T6145:AA6146"/>
    <mergeCell ref="AB6145:AF6146"/>
    <mergeCell ref="A6148:AD6149"/>
    <mergeCell ref="A6150:D6151"/>
    <mergeCell ref="E6150:AD6151"/>
    <mergeCell ref="A6152:AD6152"/>
    <mergeCell ref="AE6152:AF6152"/>
    <mergeCell ref="A6153:AD6153"/>
    <mergeCell ref="AE6153:AF6153"/>
    <mergeCell ref="A6154:AD6154"/>
    <mergeCell ref="AE6154:AF6154"/>
    <mergeCell ref="A6156:E6156"/>
    <mergeCell ref="F6156:Y6156"/>
    <mergeCell ref="Z6156:AA6158"/>
    <mergeCell ref="AB6156:AD6157"/>
    <mergeCell ref="AE6156:AE6158"/>
    <mergeCell ref="AF6156:AF6158"/>
    <mergeCell ref="A6157:C6158"/>
    <mergeCell ref="D6157:S6158"/>
    <mergeCell ref="T6157:W6158"/>
    <mergeCell ref="X6157:Y6158"/>
    <mergeCell ref="A6159:Y6182"/>
    <mergeCell ref="Z6159:AA6159"/>
    <mergeCell ref="Z6160:AA6160"/>
    <mergeCell ref="Z6161:AA6161"/>
    <mergeCell ref="Z6162:AA6162"/>
    <mergeCell ref="Z6163:AA6163"/>
    <mergeCell ref="Z6164:AA6164"/>
    <mergeCell ref="Z6165:AA6165"/>
    <mergeCell ref="Z6166:AA6166"/>
    <mergeCell ref="Z6167:AA6167"/>
    <mergeCell ref="Z6168:AA6168"/>
    <mergeCell ref="Z6169:AA6169"/>
    <mergeCell ref="Z6170:AA6170"/>
    <mergeCell ref="Z6171:AA6171"/>
    <mergeCell ref="Z6172:AA6172"/>
    <mergeCell ref="Z6173:AA6173"/>
    <mergeCell ref="Z6174:AA6174"/>
    <mergeCell ref="Z6175:AA6175"/>
    <mergeCell ref="Z6176:AA6176"/>
    <mergeCell ref="Z6177:AA6177"/>
    <mergeCell ref="Z6178:AA6178"/>
    <mergeCell ref="Z6179:AA6179"/>
    <mergeCell ref="Z6180:AA6180"/>
    <mergeCell ref="Z6181:AA6181"/>
    <mergeCell ref="Z6182:AA6182"/>
    <mergeCell ref="A6183:Y6185"/>
    <mergeCell ref="Z6183:AE6183"/>
    <mergeCell ref="Z6184:AE6184"/>
    <mergeCell ref="Z6185:AE6185"/>
    <mergeCell ref="A6186:S6187"/>
    <mergeCell ref="T6186:AA6187"/>
    <mergeCell ref="AB6186:AF6187"/>
    <mergeCell ref="A6189:AD6190"/>
    <mergeCell ref="A6191:D6192"/>
    <mergeCell ref="E6191:AD6192"/>
    <mergeCell ref="A6193:AD6193"/>
    <mergeCell ref="AE6193:AF6193"/>
    <mergeCell ref="A6194:AD6194"/>
    <mergeCell ref="AE6194:AF6194"/>
    <mergeCell ref="A6195:AD6195"/>
    <mergeCell ref="AE6195:AF6195"/>
    <mergeCell ref="A6197:E6197"/>
    <mergeCell ref="F6197:Y6197"/>
    <mergeCell ref="Z6197:AA6199"/>
    <mergeCell ref="AB6197:AD6198"/>
    <mergeCell ref="AE6197:AE6199"/>
    <mergeCell ref="AF6197:AF6199"/>
    <mergeCell ref="A6198:C6199"/>
    <mergeCell ref="D6198:S6199"/>
    <mergeCell ref="T6198:W6199"/>
    <mergeCell ref="X6198:Y6199"/>
    <mergeCell ref="A6200:Y6223"/>
    <mergeCell ref="Z6200:AA6200"/>
    <mergeCell ref="Z6201:AA6201"/>
    <mergeCell ref="Z6202:AA6202"/>
    <mergeCell ref="Z6203:AA6203"/>
    <mergeCell ref="Z6204:AA6204"/>
    <mergeCell ref="Z6205:AA6205"/>
    <mergeCell ref="Z6206:AA6206"/>
    <mergeCell ref="Z6207:AA6207"/>
    <mergeCell ref="Z6208:AA6208"/>
    <mergeCell ref="Z6209:AA6209"/>
    <mergeCell ref="Z6210:AA6210"/>
    <mergeCell ref="Z6211:AA6211"/>
    <mergeCell ref="Z6212:AA6212"/>
    <mergeCell ref="Z6213:AA6213"/>
    <mergeCell ref="Z6214:AA6214"/>
    <mergeCell ref="Z6215:AA6215"/>
    <mergeCell ref="Z6216:AA6216"/>
    <mergeCell ref="Z6217:AA6217"/>
    <mergeCell ref="Z6218:AA6218"/>
    <mergeCell ref="Z6219:AA6219"/>
    <mergeCell ref="Z6220:AA6220"/>
    <mergeCell ref="Z6221:AA6221"/>
    <mergeCell ref="Z6222:AA6222"/>
    <mergeCell ref="Z6223:AA6223"/>
    <mergeCell ref="A6224:Y6226"/>
    <mergeCell ref="Z6224:AE6224"/>
    <mergeCell ref="Z6225:AE6225"/>
    <mergeCell ref="Z6226:AE6226"/>
    <mergeCell ref="A6227:S6228"/>
    <mergeCell ref="T6227:AA6228"/>
    <mergeCell ref="AB6227:AF6228"/>
    <mergeCell ref="A6230:AD6231"/>
    <mergeCell ref="A6232:D6233"/>
    <mergeCell ref="E6232:AD6233"/>
    <mergeCell ref="A6234:AD6234"/>
    <mergeCell ref="AE6234:AF6234"/>
    <mergeCell ref="A6235:AD6235"/>
    <mergeCell ref="AE6235:AF6235"/>
    <mergeCell ref="A6236:AD6236"/>
    <mergeCell ref="AE6236:AF6236"/>
    <mergeCell ref="A6238:E6238"/>
    <mergeCell ref="F6238:Y6238"/>
    <mergeCell ref="Z6238:AA6240"/>
    <mergeCell ref="AB6238:AD6239"/>
    <mergeCell ref="AE6238:AE6240"/>
    <mergeCell ref="AF6238:AF6240"/>
    <mergeCell ref="A6239:C6240"/>
    <mergeCell ref="D6239:S6240"/>
    <mergeCell ref="T6239:W6240"/>
    <mergeCell ref="X6239:Y6240"/>
    <mergeCell ref="A6241:Y6264"/>
    <mergeCell ref="Z6241:AA6241"/>
    <mergeCell ref="Z6242:AA6242"/>
    <mergeCell ref="Z6243:AA6243"/>
    <mergeCell ref="Z6244:AA6244"/>
    <mergeCell ref="Z6245:AA6245"/>
    <mergeCell ref="Z6246:AA6246"/>
    <mergeCell ref="Z6247:AA6247"/>
    <mergeCell ref="Z6248:AA6248"/>
    <mergeCell ref="Z6249:AA6249"/>
    <mergeCell ref="Z6250:AA6250"/>
    <mergeCell ref="Z6251:AA6251"/>
    <mergeCell ref="Z6252:AA6252"/>
    <mergeCell ref="Z6253:AA6253"/>
    <mergeCell ref="Z6254:AA6254"/>
    <mergeCell ref="Z6255:AA6255"/>
    <mergeCell ref="Z6256:AA6256"/>
    <mergeCell ref="Z6257:AA6257"/>
    <mergeCell ref="Z6258:AA6258"/>
    <mergeCell ref="Z6259:AA6259"/>
    <mergeCell ref="Z6260:AA6260"/>
    <mergeCell ref="Z6261:AA6261"/>
    <mergeCell ref="Z6262:AA6262"/>
    <mergeCell ref="Z6263:AA6263"/>
    <mergeCell ref="Z6264:AA6264"/>
    <mergeCell ref="A6265:Y6267"/>
    <mergeCell ref="Z6265:AE6265"/>
    <mergeCell ref="Z6266:AE6266"/>
    <mergeCell ref="Z6267:AE6267"/>
    <mergeCell ref="A6268:S6269"/>
    <mergeCell ref="T6268:AA6269"/>
    <mergeCell ref="AB6268:AF6269"/>
    <mergeCell ref="A6271:AD6272"/>
    <mergeCell ref="A6273:D6274"/>
    <mergeCell ref="E6273:AD6274"/>
    <mergeCell ref="A6275:AD6275"/>
    <mergeCell ref="AE6275:AF6275"/>
    <mergeCell ref="A6276:AD6276"/>
    <mergeCell ref="AE6276:AF6276"/>
    <mergeCell ref="A6277:AD6277"/>
    <mergeCell ref="AE6277:AF6277"/>
    <mergeCell ref="A6279:E6279"/>
    <mergeCell ref="F6279:Y6279"/>
    <mergeCell ref="Z6279:AA6281"/>
    <mergeCell ref="AB6279:AD6280"/>
    <mergeCell ref="AE6279:AE6281"/>
    <mergeCell ref="AF6279:AF6281"/>
    <mergeCell ref="A6280:C6281"/>
    <mergeCell ref="D6280:S6281"/>
    <mergeCell ref="T6280:W6281"/>
    <mergeCell ref="X6280:Y6281"/>
    <mergeCell ref="A6282:Y6305"/>
    <mergeCell ref="Z6282:AA6282"/>
    <mergeCell ref="Z6283:AA6283"/>
    <mergeCell ref="Z6284:AA6284"/>
    <mergeCell ref="Z6285:AA6285"/>
    <mergeCell ref="Z6286:AA6286"/>
    <mergeCell ref="Z6287:AA6287"/>
    <mergeCell ref="Z6288:AA6288"/>
    <mergeCell ref="Z6289:AA6289"/>
    <mergeCell ref="Z6290:AA6290"/>
    <mergeCell ref="Z6291:AA6291"/>
    <mergeCell ref="Z6292:AA6292"/>
    <mergeCell ref="Z6293:AA6293"/>
    <mergeCell ref="Z6294:AA6294"/>
    <mergeCell ref="Z6295:AA6295"/>
    <mergeCell ref="Z6296:AA6296"/>
    <mergeCell ref="Z6297:AA6297"/>
    <mergeCell ref="Z6298:AA6298"/>
    <mergeCell ref="Z6299:AA6299"/>
    <mergeCell ref="Z6300:AA6300"/>
    <mergeCell ref="Z6301:AA6301"/>
    <mergeCell ref="Z6302:AA6302"/>
    <mergeCell ref="Z6303:AA6303"/>
    <mergeCell ref="Z6304:AA6304"/>
    <mergeCell ref="Z6305:AA6305"/>
    <mergeCell ref="A6306:Y6308"/>
    <mergeCell ref="Z6306:AE6306"/>
    <mergeCell ref="Z6307:AE6307"/>
    <mergeCell ref="Z6308:AE6308"/>
    <mergeCell ref="A6309:S6310"/>
    <mergeCell ref="T6309:AA6310"/>
    <mergeCell ref="AB6309:AF6310"/>
    <mergeCell ref="A6312:AD6313"/>
    <mergeCell ref="A6314:D6315"/>
    <mergeCell ref="E6314:AD6315"/>
    <mergeCell ref="A6316:AD6316"/>
    <mergeCell ref="AE6316:AF6316"/>
    <mergeCell ref="A6317:AD6317"/>
    <mergeCell ref="AE6317:AF6317"/>
    <mergeCell ref="A6318:AD6318"/>
    <mergeCell ref="AE6318:AF6318"/>
    <mergeCell ref="A6320:E6320"/>
    <mergeCell ref="F6320:Y6320"/>
    <mergeCell ref="Z6320:AA6322"/>
    <mergeCell ref="AB6320:AD6321"/>
    <mergeCell ref="AE6320:AE6322"/>
    <mergeCell ref="AF6320:AF6322"/>
    <mergeCell ref="A6321:C6322"/>
    <mergeCell ref="D6321:S6322"/>
    <mergeCell ref="T6321:W6322"/>
    <mergeCell ref="X6321:Y6322"/>
    <mergeCell ref="A6347:Y6349"/>
    <mergeCell ref="Z6347:AE6347"/>
    <mergeCell ref="Z6348:AE6348"/>
    <mergeCell ref="Z6349:AE6349"/>
    <mergeCell ref="A6350:S6351"/>
    <mergeCell ref="T6350:AA6351"/>
    <mergeCell ref="AB6350:AF6351"/>
    <mergeCell ref="A6323:Y6346"/>
    <mergeCell ref="Z6323:AA6323"/>
    <mergeCell ref="Z6324:AA6324"/>
    <mergeCell ref="Z6325:AA6325"/>
    <mergeCell ref="Z6326:AA6326"/>
    <mergeCell ref="Z6327:AA6327"/>
    <mergeCell ref="Z6328:AA6328"/>
    <mergeCell ref="Z6329:AA6329"/>
    <mergeCell ref="Z6330:AA6330"/>
    <mergeCell ref="Z6331:AA6331"/>
    <mergeCell ref="Z6332:AA6332"/>
    <mergeCell ref="Z6333:AA6333"/>
    <mergeCell ref="Z6334:AA6334"/>
    <mergeCell ref="Z6335:AA6335"/>
    <mergeCell ref="Z6336:AA6336"/>
    <mergeCell ref="Z6337:AA6337"/>
    <mergeCell ref="Z6338:AA6338"/>
    <mergeCell ref="Z6339:AA6339"/>
    <mergeCell ref="Z6340:AA6340"/>
    <mergeCell ref="Z6341:AA6341"/>
    <mergeCell ref="Z6342:AA6342"/>
    <mergeCell ref="Z6343:AA6343"/>
    <mergeCell ref="Z6344:AA6344"/>
    <mergeCell ref="Z6345:AA6345"/>
    <mergeCell ref="Z6346:AA6346"/>
  </mergeCells>
  <printOptions horizontalCentered="1"/>
  <pageMargins left="0.78740157480314965" right="0.78740157480314965" top="0.78740157480314965" bottom="0.78740157480314965" header="0.31496062992125984" footer="0.31496062992125984"/>
  <pageSetup scale="70" orientation="landscape" r:id="rId1"/>
  <rowBreaks count="155" manualBreakCount="155">
    <brk id="37" max="16383" man="1"/>
    <brk id="74" max="16383" man="1"/>
    <brk id="111" max="16383" man="1"/>
    <brk id="148" max="16383" man="1"/>
    <brk id="185" max="16383" man="1"/>
    <brk id="222" max="16383" man="1"/>
    <brk id="259" max="16383" man="1"/>
    <brk id="296" max="16383" man="1"/>
    <brk id="333" max="16383" man="1"/>
    <brk id="370" max="16383" man="1"/>
    <brk id="407" max="16383" man="1"/>
    <brk id="445" max="16383" man="1"/>
    <brk id="483" max="16383" man="1"/>
    <brk id="521" max="16383" man="1"/>
    <brk id="559" max="16383" man="1"/>
    <brk id="597" max="16383" man="1"/>
    <brk id="635" max="16383" man="1"/>
    <brk id="673" max="16383" man="1"/>
    <brk id="713" max="16383" man="1"/>
    <brk id="781" max="16383" man="1"/>
    <brk id="822" max="16383" man="1"/>
    <brk id="863" max="16383" man="1"/>
    <brk id="904" max="16383" man="1"/>
    <brk id="945" max="16383" man="1"/>
    <brk id="986" max="16383" man="1"/>
    <brk id="1027" max="16383" man="1"/>
    <brk id="1068" max="16383" man="1"/>
    <brk id="1109" max="16383" man="1"/>
    <brk id="1150" max="16383" man="1"/>
    <brk id="1187" max="16383" man="1"/>
    <brk id="1224" max="16383" man="1"/>
    <brk id="1261" max="16383" man="1"/>
    <brk id="1298" max="16383" man="1"/>
    <brk id="1335" max="16383" man="1"/>
    <brk id="1373" max="16383" man="1"/>
    <brk id="1411" max="16383" man="1"/>
    <brk id="1448" max="16383" man="1"/>
    <brk id="1492" max="16383" man="1"/>
    <brk id="1560" max="16383" man="1"/>
    <brk id="1601" max="16383" man="1"/>
    <brk id="1642" max="16383" man="1"/>
    <brk id="1683" max="16383" man="1"/>
    <brk id="1724" max="16383" man="1"/>
    <brk id="1765" max="16383" man="1"/>
    <brk id="1806" max="16383" man="1"/>
    <brk id="1847" max="16383" man="1"/>
    <brk id="1888" max="16383" man="1"/>
    <brk id="1929" max="16383" man="1"/>
    <brk id="1970" max="16383" man="1"/>
    <brk id="2011" max="16383" man="1"/>
    <brk id="2052" max="16383" man="1"/>
    <brk id="2093" max="16383" man="1"/>
    <brk id="2134" max="16383" man="1"/>
    <brk id="2175" max="16383" man="1"/>
    <brk id="2216" max="16383" man="1"/>
    <brk id="2257" max="16383" man="1"/>
    <brk id="2298" max="16383" man="1"/>
    <brk id="2339" max="16383" man="1"/>
    <brk id="2380" max="16383" man="1"/>
    <brk id="2421" max="16383" man="1"/>
    <brk id="2462" max="16383" man="1"/>
    <brk id="2503" max="16383" man="1"/>
    <brk id="2544" max="16383" man="1"/>
    <brk id="2585" max="16383" man="1"/>
    <brk id="2622" max="16383" man="1"/>
    <brk id="2660" max="16383" man="1"/>
    <brk id="2698" max="16383" man="1"/>
    <brk id="2739" max="16383" man="1"/>
    <brk id="2780" max="16383" man="1"/>
    <brk id="2821" max="16383" man="1"/>
    <brk id="2862" max="16383" man="1"/>
    <brk id="2903" max="16383" man="1"/>
    <brk id="2944" max="16383" man="1"/>
    <brk id="2985" max="16383" man="1"/>
    <brk id="3026" max="16383" man="1"/>
    <brk id="3067" max="16383" man="1"/>
    <brk id="3108" max="16383" man="1"/>
    <brk id="3149" max="16383" man="1"/>
    <brk id="3186" max="16383" man="1"/>
    <brk id="3224" max="16383" man="1"/>
    <brk id="3262" max="16383" man="1"/>
    <brk id="3303" max="16383" man="1"/>
    <brk id="3344" max="16383" man="1"/>
    <brk id="3385" max="16383" man="1"/>
    <brk id="3426" max="16383" man="1"/>
    <brk id="3467" max="16383" man="1"/>
    <brk id="3508" max="16383" man="1"/>
    <brk id="3549" max="16383" man="1"/>
    <brk id="3590" max="16383" man="1"/>
    <brk id="3631" max="16383" man="1"/>
    <brk id="3672" max="16383" man="1"/>
    <brk id="3713" max="16383" man="1"/>
    <brk id="3754" max="16383" man="1"/>
    <brk id="3795" max="16383" man="1"/>
    <brk id="3836" max="16383" man="1"/>
    <brk id="3877" max="16383" man="1"/>
    <brk id="3918" max="16383" man="1"/>
    <brk id="3959" max="16383" man="1"/>
    <brk id="4000" max="16383" man="1"/>
    <brk id="4041" max="16383" man="1"/>
    <brk id="4078" max="16383" man="1"/>
    <brk id="4119" max="16383" man="1"/>
    <brk id="4157" max="16383" man="1"/>
    <brk id="4195" max="16383" man="1"/>
    <brk id="4236" max="16383" man="1"/>
    <brk id="4277" max="16383" man="1"/>
    <brk id="4318" max="16383" man="1"/>
    <brk id="4359" max="16383" man="1"/>
    <brk id="4400" max="16383" man="1"/>
    <brk id="4441" max="16383" man="1"/>
    <brk id="4482" max="16383" man="1"/>
    <brk id="4523" max="16383" man="1"/>
    <brk id="4564" max="16383" man="1"/>
    <brk id="4605" max="16383" man="1"/>
    <brk id="4646" max="16383" man="1"/>
    <brk id="4687" max="16383" man="1"/>
    <brk id="4728" max="16383" man="1"/>
    <brk id="4769" max="16383" man="1"/>
    <brk id="4810" max="16383" man="1"/>
    <brk id="4851" max="16383" man="1"/>
    <brk id="4892" max="16383" man="1"/>
    <brk id="4933" max="16383" man="1"/>
    <brk id="4974" max="16383" man="1"/>
    <brk id="5011" max="16383" man="1"/>
    <brk id="5049" max="16383" man="1"/>
    <brk id="5087" max="16383" man="1"/>
    <brk id="5128" max="16383" man="1"/>
    <brk id="5169" max="16383" man="1"/>
    <brk id="5210" max="16383" man="1"/>
    <brk id="5251" max="16383" man="1"/>
    <brk id="5292" max="16383" man="1"/>
    <brk id="5333" max="16383" man="1"/>
    <brk id="5374" max="16383" man="1"/>
    <brk id="5415" max="16383" man="1"/>
    <brk id="5456" max="16383" man="1"/>
    <brk id="5497" max="16383" man="1"/>
    <brk id="5538" max="16383" man="1"/>
    <brk id="5579" max="16383" man="1"/>
    <brk id="5620" max="16383" man="1"/>
    <brk id="5661" max="16383" man="1"/>
    <brk id="5702" max="16383" man="1"/>
    <brk id="5743" max="16383" man="1"/>
    <brk id="5784" max="16383" man="1"/>
    <brk id="5822" max="16383" man="1"/>
    <brk id="5860" max="16383" man="1"/>
    <brk id="5901" max="16383" man="1"/>
    <brk id="5942" max="16383" man="1"/>
    <brk id="5983" max="16383" man="1"/>
    <brk id="6024" max="16383" man="1"/>
    <brk id="6065" max="16383" man="1"/>
    <brk id="6106" max="16383" man="1"/>
    <brk id="6147" max="16383" man="1"/>
    <brk id="6188" max="16383" man="1"/>
    <brk id="6229" max="16383" man="1"/>
    <brk id="6270" max="1638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O1000"/>
  <sheetViews>
    <sheetView view="pageBreakPreview" topLeftCell="A8" zoomScale="60" zoomScaleNormal="100" workbookViewId="0">
      <selection activeCell="A41" sqref="A41:C41"/>
    </sheetView>
  </sheetViews>
  <sheetFormatPr baseColWidth="10" defaultColWidth="12.5703125" defaultRowHeight="15" customHeight="1" x14ac:dyDescent="0.2"/>
  <cols>
    <col min="1" max="15" width="10.7109375" customWidth="1"/>
    <col min="16" max="26" width="12.7109375" customWidth="1"/>
  </cols>
  <sheetData>
    <row r="1" spans="1:15" ht="12.75" customHeight="1" x14ac:dyDescent="0.2">
      <c r="A1" s="1465" t="str">
        <f>'01'!A12</f>
        <v>"CONSTRUCCION SISTEMA DE ACUEDUCTO FASE II DEL MUNICIPIO DE TESALIA DPTO DEL HUILA"</v>
      </c>
      <c r="B1" s="1427"/>
      <c r="C1" s="1427"/>
      <c r="D1" s="1427"/>
      <c r="E1" s="1427"/>
      <c r="F1" s="1427"/>
      <c r="G1" s="1427"/>
      <c r="H1" s="1427"/>
      <c r="I1" s="1427"/>
      <c r="J1" s="1427"/>
      <c r="K1" s="1427"/>
      <c r="L1" s="1427"/>
      <c r="M1" s="1428"/>
      <c r="N1" s="1466" t="s">
        <v>1181</v>
      </c>
      <c r="O1" s="1412"/>
    </row>
    <row r="2" spans="1:15" ht="12.75" customHeight="1" x14ac:dyDescent="0.2">
      <c r="A2" s="1459"/>
      <c r="B2" s="1415"/>
      <c r="C2" s="1415"/>
      <c r="D2" s="1415"/>
      <c r="E2" s="1415"/>
      <c r="F2" s="1415"/>
      <c r="G2" s="1415"/>
      <c r="H2" s="1415"/>
      <c r="I2" s="1415"/>
      <c r="J2" s="1415"/>
      <c r="K2" s="1415"/>
      <c r="L2" s="1415"/>
      <c r="M2" s="1460"/>
      <c r="N2" s="2138">
        <f>'01'!M13</f>
        <v>0</v>
      </c>
      <c r="O2" s="1428"/>
    </row>
    <row r="3" spans="1:15" ht="12.75" customHeight="1" x14ac:dyDescent="0.2">
      <c r="A3" s="1426"/>
      <c r="B3" s="1429"/>
      <c r="C3" s="1429"/>
      <c r="D3" s="1429"/>
      <c r="E3" s="1429"/>
      <c r="F3" s="1429"/>
      <c r="G3" s="1429"/>
      <c r="H3" s="1429"/>
      <c r="I3" s="1429"/>
      <c r="J3" s="1429"/>
      <c r="K3" s="1429"/>
      <c r="L3" s="1429"/>
      <c r="M3" s="1430"/>
      <c r="N3" s="1426"/>
      <c r="O3" s="1430"/>
    </row>
    <row r="4" spans="1:15" ht="12.75" customHeight="1" x14ac:dyDescent="0.2">
      <c r="A4" s="1029"/>
      <c r="B4" s="1029"/>
      <c r="C4" s="1029"/>
      <c r="D4" s="1029"/>
      <c r="E4" s="1029"/>
      <c r="F4" s="1029"/>
      <c r="G4" s="1029"/>
      <c r="H4" s="1029"/>
      <c r="I4" s="1029"/>
      <c r="J4" s="1029"/>
      <c r="K4" s="1029"/>
      <c r="L4" s="1029"/>
      <c r="M4" s="1029"/>
      <c r="N4" s="1029"/>
      <c r="O4" s="1029"/>
    </row>
    <row r="5" spans="1:15" ht="12.75" customHeight="1" x14ac:dyDescent="0.2">
      <c r="A5" s="2139" t="s">
        <v>2221</v>
      </c>
      <c r="B5" s="1411"/>
      <c r="C5" s="1411"/>
      <c r="D5" s="1411"/>
      <c r="E5" s="1411"/>
      <c r="F5" s="1411"/>
      <c r="G5" s="1411"/>
      <c r="H5" s="1411"/>
      <c r="I5" s="1411"/>
      <c r="J5" s="1411"/>
      <c r="K5" s="1411"/>
      <c r="L5" s="1411"/>
      <c r="M5" s="1411"/>
      <c r="N5" s="1411"/>
      <c r="O5" s="1412"/>
    </row>
    <row r="6" spans="1:15" ht="12.75" customHeight="1" x14ac:dyDescent="0.25">
      <c r="A6" s="1028"/>
      <c r="B6" s="1029"/>
      <c r="C6" s="1029"/>
      <c r="D6" s="1029"/>
      <c r="E6" s="1029"/>
      <c r="F6" s="1029"/>
      <c r="I6" s="1028"/>
      <c r="J6" s="1029"/>
      <c r="K6" s="1028"/>
      <c r="L6" s="1028"/>
    </row>
    <row r="7" spans="1:15" ht="12.75" customHeight="1" x14ac:dyDescent="0.25">
      <c r="A7" s="1028"/>
      <c r="B7" s="1030" t="s">
        <v>2222</v>
      </c>
      <c r="C7" s="1466" t="s">
        <v>14</v>
      </c>
      <c r="D7" s="1411"/>
      <c r="E7" s="1412"/>
      <c r="F7" s="1030" t="s">
        <v>1499</v>
      </c>
      <c r="G7" s="1455" t="s">
        <v>2223</v>
      </c>
      <c r="H7" s="1412"/>
      <c r="I7" s="1028"/>
      <c r="J7" s="1028"/>
      <c r="K7" s="1028"/>
      <c r="L7" s="1028"/>
    </row>
    <row r="8" spans="1:15" ht="12.75" customHeight="1" x14ac:dyDescent="0.25">
      <c r="A8" s="1028"/>
      <c r="B8" s="1147" t="s">
        <v>2224</v>
      </c>
      <c r="C8" s="2135" t="s">
        <v>2225</v>
      </c>
      <c r="D8" s="1411"/>
      <c r="E8" s="1412"/>
      <c r="F8" s="1148">
        <v>4.5</v>
      </c>
      <c r="G8" s="2136">
        <f t="shared" ref="G8:G20" si="0">ROUND(F8*$M$13,0)</f>
        <v>262636</v>
      </c>
      <c r="H8" s="1412"/>
      <c r="I8" s="1028"/>
      <c r="K8" s="1028"/>
      <c r="L8" s="1028"/>
    </row>
    <row r="9" spans="1:15" ht="12.75" customHeight="1" x14ac:dyDescent="0.25">
      <c r="A9" s="1028"/>
      <c r="B9" s="1147" t="s">
        <v>2226</v>
      </c>
      <c r="C9" s="2135" t="s">
        <v>2227</v>
      </c>
      <c r="D9" s="1411"/>
      <c r="E9" s="1412"/>
      <c r="F9" s="1148">
        <v>2.5</v>
      </c>
      <c r="G9" s="2136">
        <f t="shared" si="0"/>
        <v>145909</v>
      </c>
      <c r="H9" s="1412"/>
      <c r="I9" s="1028"/>
      <c r="K9" s="1028"/>
      <c r="L9" s="1028"/>
    </row>
    <row r="10" spans="1:15" ht="12.75" customHeight="1" x14ac:dyDescent="0.25">
      <c r="A10" s="1028"/>
      <c r="B10" s="1147" t="s">
        <v>2228</v>
      </c>
      <c r="C10" s="2135" t="s">
        <v>2229</v>
      </c>
      <c r="D10" s="1411"/>
      <c r="E10" s="1412"/>
      <c r="F10" s="1148">
        <v>1</v>
      </c>
      <c r="G10" s="2136">
        <f t="shared" si="0"/>
        <v>58364</v>
      </c>
      <c r="H10" s="1412"/>
      <c r="I10" s="1028"/>
      <c r="J10" s="1973" t="s">
        <v>1170</v>
      </c>
      <c r="K10" s="1420"/>
      <c r="L10" s="1460"/>
      <c r="M10" s="1967">
        <f>'03'!I2</f>
        <v>1.88995</v>
      </c>
      <c r="N10" s="1412"/>
    </row>
    <row r="11" spans="1:15" ht="12.75" customHeight="1" x14ac:dyDescent="0.25">
      <c r="A11" s="1028"/>
      <c r="B11" s="1147" t="s">
        <v>2230</v>
      </c>
      <c r="C11" s="2135" t="s">
        <v>2231</v>
      </c>
      <c r="D11" s="1411"/>
      <c r="E11" s="1412"/>
      <c r="F11" s="1148">
        <v>1.5</v>
      </c>
      <c r="G11" s="2136">
        <f t="shared" si="0"/>
        <v>87545</v>
      </c>
      <c r="H11" s="1412"/>
    </row>
    <row r="12" spans="1:15" ht="12.75" customHeight="1" x14ac:dyDescent="0.25">
      <c r="A12" s="1028"/>
      <c r="B12" s="1147" t="s">
        <v>2232</v>
      </c>
      <c r="C12" s="2135" t="s">
        <v>2233</v>
      </c>
      <c r="D12" s="1411"/>
      <c r="E12" s="1412"/>
      <c r="F12" s="1148">
        <v>2</v>
      </c>
      <c r="G12" s="2136">
        <f t="shared" si="0"/>
        <v>116727</v>
      </c>
      <c r="H12" s="1412"/>
      <c r="I12" s="1028"/>
      <c r="J12" s="1028"/>
      <c r="K12" s="1028"/>
      <c r="L12" s="1028"/>
    </row>
    <row r="13" spans="1:15" ht="12.75" customHeight="1" x14ac:dyDescent="0.25">
      <c r="A13" s="1028"/>
      <c r="B13" s="1147" t="s">
        <v>2234</v>
      </c>
      <c r="C13" s="2135" t="s">
        <v>2235</v>
      </c>
      <c r="D13" s="1411"/>
      <c r="E13" s="1412"/>
      <c r="F13" s="1148">
        <v>1.5</v>
      </c>
      <c r="G13" s="2136">
        <f t="shared" si="0"/>
        <v>87545</v>
      </c>
      <c r="H13" s="1412"/>
      <c r="I13" s="1028"/>
      <c r="J13" s="1973" t="s">
        <v>2236</v>
      </c>
      <c r="K13" s="1420"/>
      <c r="L13" s="1460"/>
      <c r="M13" s="2137">
        <f>'03'!$C$9</f>
        <v>58363.5</v>
      </c>
      <c r="N13" s="1412"/>
    </row>
    <row r="14" spans="1:15" ht="12.75" customHeight="1" x14ac:dyDescent="0.25">
      <c r="A14" s="1028"/>
      <c r="B14" s="1147" t="s">
        <v>2237</v>
      </c>
      <c r="C14" s="2135" t="s">
        <v>2238</v>
      </c>
      <c r="D14" s="1411"/>
      <c r="E14" s="1412"/>
      <c r="F14" s="1148">
        <v>2.5</v>
      </c>
      <c r="G14" s="2136">
        <f t="shared" si="0"/>
        <v>145909</v>
      </c>
      <c r="H14" s="1412"/>
      <c r="I14" s="1028"/>
      <c r="J14" s="1028"/>
      <c r="K14" s="1028"/>
      <c r="L14" s="1028"/>
    </row>
    <row r="15" spans="1:15" ht="12.75" customHeight="1" x14ac:dyDescent="0.25">
      <c r="A15" s="1028"/>
      <c r="B15" s="1147" t="s">
        <v>2239</v>
      </c>
      <c r="C15" s="2135" t="s">
        <v>2240</v>
      </c>
      <c r="D15" s="1411"/>
      <c r="E15" s="1412"/>
      <c r="F15" s="1148">
        <v>1.5</v>
      </c>
      <c r="G15" s="2136">
        <f t="shared" si="0"/>
        <v>87545</v>
      </c>
      <c r="H15" s="1412"/>
      <c r="I15" s="1028"/>
      <c r="J15" s="1028"/>
      <c r="K15" s="1028"/>
      <c r="L15" s="1028"/>
    </row>
    <row r="16" spans="1:15" ht="12.75" customHeight="1" x14ac:dyDescent="0.25">
      <c r="A16" s="1028"/>
      <c r="B16" s="1147" t="s">
        <v>2241</v>
      </c>
      <c r="C16" s="2135" t="s">
        <v>2242</v>
      </c>
      <c r="D16" s="1411"/>
      <c r="E16" s="1412"/>
      <c r="F16" s="1148">
        <v>2.5</v>
      </c>
      <c r="G16" s="2136">
        <f t="shared" si="0"/>
        <v>145909</v>
      </c>
      <c r="H16" s="1412"/>
      <c r="I16" s="1028"/>
      <c r="J16" s="1028"/>
      <c r="K16" s="1028"/>
      <c r="L16" s="1028"/>
    </row>
    <row r="17" spans="1:15" ht="12.75" customHeight="1" x14ac:dyDescent="0.25">
      <c r="A17" s="1028"/>
      <c r="B17" s="1147" t="s">
        <v>2243</v>
      </c>
      <c r="C17" s="2135" t="s">
        <v>2244</v>
      </c>
      <c r="D17" s="1411"/>
      <c r="E17" s="1412"/>
      <c r="F17" s="1148">
        <v>1.5</v>
      </c>
      <c r="G17" s="2136">
        <f t="shared" si="0"/>
        <v>87545</v>
      </c>
      <c r="H17" s="1412"/>
      <c r="I17" s="1028"/>
      <c r="J17" s="1028"/>
      <c r="K17" s="1028"/>
      <c r="L17" s="1028"/>
    </row>
    <row r="18" spans="1:15" ht="12.75" customHeight="1" x14ac:dyDescent="0.25">
      <c r="A18" s="1028"/>
      <c r="B18" s="1147" t="s">
        <v>2245</v>
      </c>
      <c r="C18" s="2135" t="s">
        <v>2246</v>
      </c>
      <c r="D18" s="1411"/>
      <c r="E18" s="1412"/>
      <c r="F18" s="1148">
        <v>2.5</v>
      </c>
      <c r="G18" s="2136">
        <f t="shared" si="0"/>
        <v>145909</v>
      </c>
      <c r="H18" s="1412"/>
      <c r="I18" s="1028"/>
      <c r="J18" s="1028"/>
      <c r="K18" s="1028"/>
      <c r="L18" s="1028"/>
    </row>
    <row r="19" spans="1:15" ht="12.75" customHeight="1" x14ac:dyDescent="0.25">
      <c r="A19" s="1028"/>
      <c r="B19" s="1147" t="s">
        <v>2247</v>
      </c>
      <c r="C19" s="2135" t="s">
        <v>2248</v>
      </c>
      <c r="D19" s="1411"/>
      <c r="E19" s="1412"/>
      <c r="F19" s="1148">
        <v>3</v>
      </c>
      <c r="G19" s="2136">
        <f t="shared" si="0"/>
        <v>175091</v>
      </c>
      <c r="H19" s="1412"/>
      <c r="I19" s="1028"/>
      <c r="J19" s="1028"/>
      <c r="K19" s="1028"/>
      <c r="L19" s="1028"/>
    </row>
    <row r="20" spans="1:15" ht="12.75" customHeight="1" x14ac:dyDescent="0.25">
      <c r="A20" s="1028"/>
      <c r="B20" s="1147" t="s">
        <v>2247</v>
      </c>
      <c r="C20" s="2135" t="s">
        <v>2248</v>
      </c>
      <c r="D20" s="1411"/>
      <c r="E20" s="1412"/>
      <c r="F20" s="1148">
        <v>2</v>
      </c>
      <c r="G20" s="2136">
        <f t="shared" si="0"/>
        <v>116727</v>
      </c>
      <c r="H20" s="1412"/>
      <c r="I20" s="1028"/>
      <c r="J20" s="1028"/>
      <c r="K20" s="1028"/>
      <c r="L20" s="1028"/>
    </row>
    <row r="21" spans="1:15" ht="12.75" customHeight="1" x14ac:dyDescent="0.2">
      <c r="A21" s="1149">
        <v>1</v>
      </c>
      <c r="B21" s="1149">
        <v>2</v>
      </c>
      <c r="C21" s="1149">
        <v>3</v>
      </c>
      <c r="D21" s="1149">
        <v>4</v>
      </c>
      <c r="E21" s="1149">
        <v>5</v>
      </c>
      <c r="F21" s="1149">
        <v>6</v>
      </c>
      <c r="G21" s="1149">
        <v>7</v>
      </c>
      <c r="H21" s="1149">
        <v>8</v>
      </c>
      <c r="I21" s="1149">
        <v>9</v>
      </c>
      <c r="J21" s="1149">
        <v>10</v>
      </c>
      <c r="K21" s="1149">
        <v>11</v>
      </c>
      <c r="L21" s="1149">
        <v>12</v>
      </c>
      <c r="M21" s="1149">
        <v>13</v>
      </c>
      <c r="N21" s="1149">
        <v>14</v>
      </c>
      <c r="O21" s="1149">
        <v>15</v>
      </c>
    </row>
    <row r="22" spans="1:15" ht="12.75" customHeight="1" x14ac:dyDescent="0.2">
      <c r="A22" s="1455" t="s">
        <v>2249</v>
      </c>
      <c r="B22" s="1411"/>
      <c r="C22" s="1411"/>
      <c r="D22" s="1412"/>
      <c r="E22" s="1455" t="s">
        <v>148</v>
      </c>
      <c r="F22" s="1412"/>
      <c r="G22" s="1455" t="s">
        <v>2250</v>
      </c>
      <c r="H22" s="1411"/>
      <c r="I22" s="1412"/>
      <c r="J22" s="1455" t="s">
        <v>2251</v>
      </c>
      <c r="K22" s="1411"/>
      <c r="L22" s="1412"/>
      <c r="M22" s="1455" t="s">
        <v>2252</v>
      </c>
      <c r="N22" s="1411"/>
      <c r="O22" s="1412"/>
    </row>
    <row r="23" spans="1:15" ht="12.75" customHeight="1" x14ac:dyDescent="0.25">
      <c r="A23" s="2135" t="s">
        <v>158</v>
      </c>
      <c r="B23" s="1411"/>
      <c r="C23" s="1412"/>
      <c r="D23" s="1150" t="s">
        <v>2192</v>
      </c>
      <c r="E23" s="1964">
        <f t="shared" ref="E23:E56" si="1">(G23*H23)+(J23*K23)+(M23*N23)</f>
        <v>262637</v>
      </c>
      <c r="F23" s="1412"/>
      <c r="G23" s="1147"/>
      <c r="H23" s="2136"/>
      <c r="I23" s="1412"/>
      <c r="J23" s="1147">
        <v>1</v>
      </c>
      <c r="K23" s="2136">
        <f>G9</f>
        <v>145909</v>
      </c>
      <c r="L23" s="1412"/>
      <c r="M23" s="1147">
        <v>2</v>
      </c>
      <c r="N23" s="2136">
        <f>G10</f>
        <v>58364</v>
      </c>
      <c r="O23" s="1412"/>
    </row>
    <row r="24" spans="1:15" ht="12.75" customHeight="1" x14ac:dyDescent="0.25">
      <c r="A24" s="2135" t="s">
        <v>2161</v>
      </c>
      <c r="B24" s="1411"/>
      <c r="C24" s="1412"/>
      <c r="D24" s="1150" t="s">
        <v>2192</v>
      </c>
      <c r="E24" s="1964">
        <f t="shared" si="1"/>
        <v>87545</v>
      </c>
      <c r="F24" s="1412"/>
      <c r="G24" s="1147"/>
      <c r="H24" s="2136"/>
      <c r="I24" s="1412"/>
      <c r="J24" s="1147"/>
      <c r="K24" s="2136"/>
      <c r="L24" s="1412"/>
      <c r="M24" s="1147">
        <v>1</v>
      </c>
      <c r="N24" s="2136">
        <f t="shared" ref="N24:N26" si="2">$G$11</f>
        <v>87545</v>
      </c>
      <c r="O24" s="1412"/>
    </row>
    <row r="25" spans="1:15" ht="12.75" customHeight="1" x14ac:dyDescent="0.25">
      <c r="A25" s="2135" t="s">
        <v>2253</v>
      </c>
      <c r="B25" s="1411"/>
      <c r="C25" s="1412"/>
      <c r="D25" s="1150" t="s">
        <v>2192</v>
      </c>
      <c r="E25" s="1964">
        <f t="shared" si="1"/>
        <v>175090</v>
      </c>
      <c r="F25" s="1412"/>
      <c r="G25" s="1147"/>
      <c r="H25" s="2136"/>
      <c r="I25" s="1412"/>
      <c r="J25" s="1147"/>
      <c r="K25" s="2136"/>
      <c r="L25" s="1412"/>
      <c r="M25" s="1147">
        <v>2</v>
      </c>
      <c r="N25" s="2136">
        <f t="shared" si="2"/>
        <v>87545</v>
      </c>
      <c r="O25" s="1412"/>
    </row>
    <row r="26" spans="1:15" ht="12.75" customHeight="1" x14ac:dyDescent="0.25">
      <c r="A26" s="2135" t="s">
        <v>2254</v>
      </c>
      <c r="B26" s="1411"/>
      <c r="C26" s="1412"/>
      <c r="D26" s="1150" t="s">
        <v>2192</v>
      </c>
      <c r="E26" s="1964">
        <f t="shared" si="1"/>
        <v>262635</v>
      </c>
      <c r="F26" s="1412"/>
      <c r="G26" s="1147"/>
      <c r="H26" s="2136"/>
      <c r="I26" s="1412"/>
      <c r="J26" s="1147"/>
      <c r="K26" s="2136"/>
      <c r="L26" s="1412"/>
      <c r="M26" s="1147">
        <v>3</v>
      </c>
      <c r="N26" s="2136">
        <f t="shared" si="2"/>
        <v>87545</v>
      </c>
      <c r="O26" s="1412"/>
    </row>
    <row r="27" spans="1:15" ht="12.75" customHeight="1" x14ac:dyDescent="0.25">
      <c r="A27" s="2135" t="s">
        <v>2255</v>
      </c>
      <c r="B27" s="1411"/>
      <c r="C27" s="1412"/>
      <c r="D27" s="1150" t="s">
        <v>2192</v>
      </c>
      <c r="E27" s="1964">
        <f t="shared" si="1"/>
        <v>87545</v>
      </c>
      <c r="F27" s="1412"/>
      <c r="G27" s="1147"/>
      <c r="H27" s="2136"/>
      <c r="I27" s="1412"/>
      <c r="J27" s="1147"/>
      <c r="K27" s="2136"/>
      <c r="L27" s="1412"/>
      <c r="M27" s="1147">
        <v>1</v>
      </c>
      <c r="N27" s="2136">
        <f>$G$13</f>
        <v>87545</v>
      </c>
      <c r="O27" s="1412"/>
    </row>
    <row r="28" spans="1:15" ht="12.75" customHeight="1" x14ac:dyDescent="0.25">
      <c r="A28" s="2135" t="s">
        <v>2168</v>
      </c>
      <c r="B28" s="1411"/>
      <c r="C28" s="1412"/>
      <c r="D28" s="1150" t="s">
        <v>2192</v>
      </c>
      <c r="E28" s="1964">
        <f t="shared" si="1"/>
        <v>204272</v>
      </c>
      <c r="F28" s="1412"/>
      <c r="G28" s="1147">
        <v>1</v>
      </c>
      <c r="H28" s="2136"/>
      <c r="I28" s="1412"/>
      <c r="J28" s="1147">
        <v>1</v>
      </c>
      <c r="K28" s="2136">
        <f t="shared" ref="K28:K39" si="3">$G$12</f>
        <v>116727</v>
      </c>
      <c r="L28" s="1412"/>
      <c r="M28" s="1147">
        <v>1</v>
      </c>
      <c r="N28" s="2136">
        <f t="shared" ref="N28:N39" si="4">$G$11</f>
        <v>87545</v>
      </c>
      <c r="O28" s="1412"/>
    </row>
    <row r="29" spans="1:15" ht="12.75" customHeight="1" x14ac:dyDescent="0.25">
      <c r="A29" s="2135" t="s">
        <v>2256</v>
      </c>
      <c r="B29" s="1411"/>
      <c r="C29" s="1412"/>
      <c r="D29" s="1150" t="s">
        <v>2192</v>
      </c>
      <c r="E29" s="1964">
        <f t="shared" si="1"/>
        <v>291817</v>
      </c>
      <c r="F29" s="1412"/>
      <c r="G29" s="1147">
        <v>1</v>
      </c>
      <c r="H29" s="2136"/>
      <c r="I29" s="1412"/>
      <c r="J29" s="1147">
        <v>1</v>
      </c>
      <c r="K29" s="2136">
        <f t="shared" si="3"/>
        <v>116727</v>
      </c>
      <c r="L29" s="1412"/>
      <c r="M29" s="1147">
        <v>2</v>
      </c>
      <c r="N29" s="2136">
        <f t="shared" si="4"/>
        <v>87545</v>
      </c>
      <c r="O29" s="1412"/>
    </row>
    <row r="30" spans="1:15" ht="12.75" customHeight="1" x14ac:dyDescent="0.25">
      <c r="A30" s="2135" t="s">
        <v>2257</v>
      </c>
      <c r="B30" s="1411"/>
      <c r="C30" s="1412"/>
      <c r="D30" s="1150" t="s">
        <v>2192</v>
      </c>
      <c r="E30" s="1964">
        <f t="shared" si="1"/>
        <v>379362</v>
      </c>
      <c r="F30" s="1412"/>
      <c r="G30" s="1147">
        <v>1</v>
      </c>
      <c r="H30" s="2136"/>
      <c r="I30" s="1412"/>
      <c r="J30" s="1147">
        <v>1</v>
      </c>
      <c r="K30" s="2136">
        <f t="shared" si="3"/>
        <v>116727</v>
      </c>
      <c r="L30" s="1412"/>
      <c r="M30" s="1147">
        <v>3</v>
      </c>
      <c r="N30" s="2136">
        <f t="shared" si="4"/>
        <v>87545</v>
      </c>
      <c r="O30" s="1412"/>
    </row>
    <row r="31" spans="1:15" ht="12.75" customHeight="1" x14ac:dyDescent="0.25">
      <c r="A31" s="2135" t="s">
        <v>2201</v>
      </c>
      <c r="B31" s="1411"/>
      <c r="C31" s="1412"/>
      <c r="D31" s="1150" t="s">
        <v>2192</v>
      </c>
      <c r="E31" s="1964">
        <f t="shared" si="1"/>
        <v>466907</v>
      </c>
      <c r="F31" s="1412"/>
      <c r="G31" s="1147">
        <v>1</v>
      </c>
      <c r="H31" s="2136"/>
      <c r="I31" s="1412"/>
      <c r="J31" s="1147">
        <v>1</v>
      </c>
      <c r="K31" s="2136">
        <f t="shared" si="3"/>
        <v>116727</v>
      </c>
      <c r="L31" s="1412"/>
      <c r="M31" s="1147">
        <v>4</v>
      </c>
      <c r="N31" s="2136">
        <f t="shared" si="4"/>
        <v>87545</v>
      </c>
      <c r="O31" s="1412"/>
    </row>
    <row r="32" spans="1:15" ht="12.75" customHeight="1" x14ac:dyDescent="0.25">
      <c r="A32" s="2135" t="s">
        <v>2258</v>
      </c>
      <c r="B32" s="1411"/>
      <c r="C32" s="1412"/>
      <c r="D32" s="1150" t="s">
        <v>2192</v>
      </c>
      <c r="E32" s="1964">
        <f t="shared" si="1"/>
        <v>554452</v>
      </c>
      <c r="F32" s="1412"/>
      <c r="G32" s="1147">
        <v>1</v>
      </c>
      <c r="H32" s="2136"/>
      <c r="I32" s="1412"/>
      <c r="J32" s="1147">
        <v>1</v>
      </c>
      <c r="K32" s="2136">
        <f t="shared" si="3"/>
        <v>116727</v>
      </c>
      <c r="L32" s="1412"/>
      <c r="M32" s="1147">
        <v>5</v>
      </c>
      <c r="N32" s="2136">
        <f t="shared" si="4"/>
        <v>87545</v>
      </c>
      <c r="O32" s="1412"/>
    </row>
    <row r="33" spans="1:15" ht="12.75" customHeight="1" x14ac:dyDescent="0.25">
      <c r="A33" s="2135" t="s">
        <v>2259</v>
      </c>
      <c r="B33" s="1411"/>
      <c r="C33" s="1412"/>
      <c r="D33" s="1150" t="s">
        <v>2192</v>
      </c>
      <c r="E33" s="1964">
        <f t="shared" si="1"/>
        <v>641997</v>
      </c>
      <c r="F33" s="1412"/>
      <c r="G33" s="1147">
        <v>1</v>
      </c>
      <c r="H33" s="2136"/>
      <c r="I33" s="1412"/>
      <c r="J33" s="1147">
        <v>1</v>
      </c>
      <c r="K33" s="2136">
        <f t="shared" si="3"/>
        <v>116727</v>
      </c>
      <c r="L33" s="1412"/>
      <c r="M33" s="1147">
        <v>6</v>
      </c>
      <c r="N33" s="2136">
        <f t="shared" si="4"/>
        <v>87545</v>
      </c>
      <c r="O33" s="1412"/>
    </row>
    <row r="34" spans="1:15" ht="12.75" customHeight="1" x14ac:dyDescent="0.25">
      <c r="A34" s="2135" t="s">
        <v>2260</v>
      </c>
      <c r="B34" s="1411"/>
      <c r="C34" s="1412"/>
      <c r="D34" s="1150" t="s">
        <v>2192</v>
      </c>
      <c r="E34" s="1964">
        <f t="shared" si="1"/>
        <v>379363</v>
      </c>
      <c r="F34" s="1412"/>
      <c r="G34" s="1147">
        <v>1</v>
      </c>
      <c r="H34" s="2136">
        <f t="shared" ref="H34:H39" si="5">$G$19</f>
        <v>175091</v>
      </c>
      <c r="I34" s="1412"/>
      <c r="J34" s="1147">
        <v>1</v>
      </c>
      <c r="K34" s="2136">
        <f t="shared" si="3"/>
        <v>116727</v>
      </c>
      <c r="L34" s="1412"/>
      <c r="M34" s="1147">
        <v>1</v>
      </c>
      <c r="N34" s="2136">
        <f t="shared" si="4"/>
        <v>87545</v>
      </c>
      <c r="O34" s="1412"/>
    </row>
    <row r="35" spans="1:15" ht="12.75" customHeight="1" x14ac:dyDescent="0.25">
      <c r="A35" s="2135" t="s">
        <v>2261</v>
      </c>
      <c r="B35" s="1411"/>
      <c r="C35" s="1412"/>
      <c r="D35" s="1150" t="s">
        <v>2192</v>
      </c>
      <c r="E35" s="1964">
        <f t="shared" si="1"/>
        <v>466908</v>
      </c>
      <c r="F35" s="1412"/>
      <c r="G35" s="1147">
        <v>1</v>
      </c>
      <c r="H35" s="2136">
        <f t="shared" si="5"/>
        <v>175091</v>
      </c>
      <c r="I35" s="1412"/>
      <c r="J35" s="1147">
        <v>1</v>
      </c>
      <c r="K35" s="2136">
        <f t="shared" si="3"/>
        <v>116727</v>
      </c>
      <c r="L35" s="1412"/>
      <c r="M35" s="1147">
        <v>2</v>
      </c>
      <c r="N35" s="2136">
        <f t="shared" si="4"/>
        <v>87545</v>
      </c>
      <c r="O35" s="1412"/>
    </row>
    <row r="36" spans="1:15" ht="12.75" customHeight="1" x14ac:dyDescent="0.25">
      <c r="A36" s="2135" t="s">
        <v>2262</v>
      </c>
      <c r="B36" s="1411"/>
      <c r="C36" s="1412"/>
      <c r="D36" s="1150" t="s">
        <v>2192</v>
      </c>
      <c r="E36" s="1964">
        <f t="shared" si="1"/>
        <v>554453</v>
      </c>
      <c r="F36" s="1412"/>
      <c r="G36" s="1147">
        <v>1</v>
      </c>
      <c r="H36" s="2136">
        <f t="shared" si="5"/>
        <v>175091</v>
      </c>
      <c r="I36" s="1412"/>
      <c r="J36" s="1147">
        <v>1</v>
      </c>
      <c r="K36" s="2136">
        <f t="shared" si="3"/>
        <v>116727</v>
      </c>
      <c r="L36" s="1412"/>
      <c r="M36" s="1147">
        <v>3</v>
      </c>
      <c r="N36" s="2136">
        <f t="shared" si="4"/>
        <v>87545</v>
      </c>
      <c r="O36" s="1412"/>
    </row>
    <row r="37" spans="1:15" ht="12.75" customHeight="1" x14ac:dyDescent="0.25">
      <c r="A37" s="2135" t="s">
        <v>2263</v>
      </c>
      <c r="B37" s="1411"/>
      <c r="C37" s="1412"/>
      <c r="D37" s="1150" t="s">
        <v>2192</v>
      </c>
      <c r="E37" s="1964">
        <f t="shared" si="1"/>
        <v>641998</v>
      </c>
      <c r="F37" s="1412"/>
      <c r="G37" s="1147">
        <v>1</v>
      </c>
      <c r="H37" s="2136">
        <f t="shared" si="5"/>
        <v>175091</v>
      </c>
      <c r="I37" s="1412"/>
      <c r="J37" s="1147">
        <v>1</v>
      </c>
      <c r="K37" s="2136">
        <f t="shared" si="3"/>
        <v>116727</v>
      </c>
      <c r="L37" s="1412"/>
      <c r="M37" s="1147">
        <v>4</v>
      </c>
      <c r="N37" s="2136">
        <f t="shared" si="4"/>
        <v>87545</v>
      </c>
      <c r="O37" s="1412"/>
    </row>
    <row r="38" spans="1:15" ht="12.75" customHeight="1" x14ac:dyDescent="0.25">
      <c r="A38" s="2135" t="s">
        <v>2264</v>
      </c>
      <c r="B38" s="1411"/>
      <c r="C38" s="1412"/>
      <c r="D38" s="1150" t="s">
        <v>2192</v>
      </c>
      <c r="E38" s="1964">
        <f t="shared" si="1"/>
        <v>729543</v>
      </c>
      <c r="F38" s="1412"/>
      <c r="G38" s="1147">
        <v>1</v>
      </c>
      <c r="H38" s="2136">
        <f t="shared" si="5"/>
        <v>175091</v>
      </c>
      <c r="I38" s="1412"/>
      <c r="J38" s="1147">
        <v>1</v>
      </c>
      <c r="K38" s="2136">
        <f t="shared" si="3"/>
        <v>116727</v>
      </c>
      <c r="L38" s="1412"/>
      <c r="M38" s="1147">
        <v>5</v>
      </c>
      <c r="N38" s="2136">
        <f t="shared" si="4"/>
        <v>87545</v>
      </c>
      <c r="O38" s="1412"/>
    </row>
    <row r="39" spans="1:15" ht="12.75" customHeight="1" x14ac:dyDescent="0.25">
      <c r="A39" s="2135" t="s">
        <v>2265</v>
      </c>
      <c r="B39" s="1411"/>
      <c r="C39" s="1412"/>
      <c r="D39" s="1150" t="s">
        <v>2192</v>
      </c>
      <c r="E39" s="1964">
        <f t="shared" si="1"/>
        <v>817088</v>
      </c>
      <c r="F39" s="1412"/>
      <c r="G39" s="1147">
        <v>1</v>
      </c>
      <c r="H39" s="2136">
        <f t="shared" si="5"/>
        <v>175091</v>
      </c>
      <c r="I39" s="1412"/>
      <c r="J39" s="1147">
        <v>1</v>
      </c>
      <c r="K39" s="2136">
        <f t="shared" si="3"/>
        <v>116727</v>
      </c>
      <c r="L39" s="1412"/>
      <c r="M39" s="1147">
        <v>6</v>
      </c>
      <c r="N39" s="2136">
        <f t="shared" si="4"/>
        <v>87545</v>
      </c>
      <c r="O39" s="1412"/>
    </row>
    <row r="40" spans="1:15" ht="12.75" customHeight="1" x14ac:dyDescent="0.25">
      <c r="A40" s="2135" t="s">
        <v>2266</v>
      </c>
      <c r="B40" s="1411"/>
      <c r="C40" s="1412"/>
      <c r="D40" s="1150" t="s">
        <v>2192</v>
      </c>
      <c r="E40" s="1964">
        <f t="shared" si="1"/>
        <v>233454</v>
      </c>
      <c r="F40" s="1412"/>
      <c r="G40" s="1147"/>
      <c r="H40" s="2136"/>
      <c r="I40" s="1412"/>
      <c r="J40" s="1147">
        <v>1</v>
      </c>
      <c r="K40" s="2136">
        <f t="shared" ref="K40:K44" si="6">$G$14</f>
        <v>145909</v>
      </c>
      <c r="L40" s="1412"/>
      <c r="M40" s="1147">
        <v>1</v>
      </c>
      <c r="N40" s="2136">
        <f t="shared" ref="N40:N44" si="7">$G$13</f>
        <v>87545</v>
      </c>
      <c r="O40" s="1412"/>
    </row>
    <row r="41" spans="1:15" ht="12.75" customHeight="1" x14ac:dyDescent="0.25">
      <c r="A41" s="2135" t="s">
        <v>2267</v>
      </c>
      <c r="B41" s="1411"/>
      <c r="C41" s="1412"/>
      <c r="D41" s="1150" t="s">
        <v>2192</v>
      </c>
      <c r="E41" s="1964">
        <f t="shared" si="1"/>
        <v>320999</v>
      </c>
      <c r="F41" s="1412"/>
      <c r="G41" s="1147"/>
      <c r="H41" s="2136"/>
      <c r="I41" s="1412"/>
      <c r="J41" s="1147">
        <v>1</v>
      </c>
      <c r="K41" s="2136">
        <f t="shared" si="6"/>
        <v>145909</v>
      </c>
      <c r="L41" s="1412"/>
      <c r="M41" s="1147">
        <v>2</v>
      </c>
      <c r="N41" s="2136">
        <f t="shared" si="7"/>
        <v>87545</v>
      </c>
      <c r="O41" s="1412"/>
    </row>
    <row r="42" spans="1:15" ht="12.75" customHeight="1" x14ac:dyDescent="0.25">
      <c r="A42" s="2135" t="s">
        <v>2268</v>
      </c>
      <c r="B42" s="1411"/>
      <c r="C42" s="1412"/>
      <c r="D42" s="1150" t="s">
        <v>2192</v>
      </c>
      <c r="E42" s="1964">
        <f t="shared" si="1"/>
        <v>408544</v>
      </c>
      <c r="F42" s="1412"/>
      <c r="G42" s="1147"/>
      <c r="H42" s="2136"/>
      <c r="I42" s="1412"/>
      <c r="J42" s="1147">
        <v>1</v>
      </c>
      <c r="K42" s="2136">
        <f t="shared" si="6"/>
        <v>145909</v>
      </c>
      <c r="L42" s="1412"/>
      <c r="M42" s="1147">
        <v>3</v>
      </c>
      <c r="N42" s="2136">
        <f t="shared" si="7"/>
        <v>87545</v>
      </c>
      <c r="O42" s="1412"/>
    </row>
    <row r="43" spans="1:15" ht="12.75" customHeight="1" x14ac:dyDescent="0.25">
      <c r="A43" s="2135" t="s">
        <v>2269</v>
      </c>
      <c r="B43" s="1411"/>
      <c r="C43" s="1412"/>
      <c r="D43" s="1150" t="s">
        <v>2192</v>
      </c>
      <c r="E43" s="1964">
        <f t="shared" si="1"/>
        <v>496089</v>
      </c>
      <c r="F43" s="1412"/>
      <c r="G43" s="1147"/>
      <c r="H43" s="2136"/>
      <c r="I43" s="1412"/>
      <c r="J43" s="1147">
        <v>1</v>
      </c>
      <c r="K43" s="2136">
        <f t="shared" si="6"/>
        <v>145909</v>
      </c>
      <c r="L43" s="1412"/>
      <c r="M43" s="1147">
        <v>4</v>
      </c>
      <c r="N43" s="2136">
        <f t="shared" si="7"/>
        <v>87545</v>
      </c>
      <c r="O43" s="1412"/>
    </row>
    <row r="44" spans="1:15" ht="12.75" customHeight="1" x14ac:dyDescent="0.25">
      <c r="A44" s="2135" t="s">
        <v>2270</v>
      </c>
      <c r="B44" s="1411"/>
      <c r="C44" s="1412"/>
      <c r="D44" s="1150" t="s">
        <v>2192</v>
      </c>
      <c r="E44" s="1964">
        <f t="shared" si="1"/>
        <v>583634</v>
      </c>
      <c r="F44" s="1412"/>
      <c r="G44" s="1147"/>
      <c r="H44" s="2136"/>
      <c r="I44" s="1412"/>
      <c r="J44" s="1147">
        <v>1</v>
      </c>
      <c r="K44" s="2136">
        <f t="shared" si="6"/>
        <v>145909</v>
      </c>
      <c r="L44" s="1412"/>
      <c r="M44" s="1147">
        <v>5</v>
      </c>
      <c r="N44" s="2136">
        <f t="shared" si="7"/>
        <v>87545</v>
      </c>
      <c r="O44" s="1412"/>
    </row>
    <row r="45" spans="1:15" ht="12.75" customHeight="1" x14ac:dyDescent="0.25">
      <c r="A45" s="2135" t="s">
        <v>2271</v>
      </c>
      <c r="B45" s="1411"/>
      <c r="C45" s="1412"/>
      <c r="D45" s="1150" t="s">
        <v>2192</v>
      </c>
      <c r="E45" s="1964">
        <f t="shared" si="1"/>
        <v>233454</v>
      </c>
      <c r="F45" s="1412"/>
      <c r="G45" s="1147"/>
      <c r="H45" s="2136"/>
      <c r="I45" s="1412"/>
      <c r="J45" s="1147">
        <v>1</v>
      </c>
      <c r="K45" s="2136">
        <f t="shared" ref="K45:K48" si="8">$G$16</f>
        <v>145909</v>
      </c>
      <c r="L45" s="1412"/>
      <c r="M45" s="1147">
        <v>1</v>
      </c>
      <c r="N45" s="2136">
        <f t="shared" ref="N45:N47" si="9">$G$15</f>
        <v>87545</v>
      </c>
      <c r="O45" s="1412"/>
    </row>
    <row r="46" spans="1:15" ht="12.75" customHeight="1" x14ac:dyDescent="0.25">
      <c r="A46" s="2135" t="s">
        <v>2272</v>
      </c>
      <c r="B46" s="1411"/>
      <c r="C46" s="1412"/>
      <c r="D46" s="1150" t="s">
        <v>2192</v>
      </c>
      <c r="E46" s="1964">
        <f t="shared" si="1"/>
        <v>320999</v>
      </c>
      <c r="F46" s="1412"/>
      <c r="G46" s="1147"/>
      <c r="H46" s="2136"/>
      <c r="I46" s="1412"/>
      <c r="J46" s="1147">
        <v>1</v>
      </c>
      <c r="K46" s="2136">
        <f t="shared" si="8"/>
        <v>145909</v>
      </c>
      <c r="L46" s="1412"/>
      <c r="M46" s="1147">
        <v>2</v>
      </c>
      <c r="N46" s="2136">
        <f t="shared" si="9"/>
        <v>87545</v>
      </c>
      <c r="O46" s="1412"/>
    </row>
    <row r="47" spans="1:15" ht="12.75" customHeight="1" x14ac:dyDescent="0.25">
      <c r="A47" s="2135" t="s">
        <v>2273</v>
      </c>
      <c r="B47" s="1411"/>
      <c r="C47" s="1412"/>
      <c r="D47" s="1150" t="s">
        <v>2192</v>
      </c>
      <c r="E47" s="1964">
        <f t="shared" si="1"/>
        <v>408544</v>
      </c>
      <c r="F47" s="1412"/>
      <c r="G47" s="1147"/>
      <c r="H47" s="2136"/>
      <c r="I47" s="1412"/>
      <c r="J47" s="1147">
        <v>1</v>
      </c>
      <c r="K47" s="2136">
        <f t="shared" si="8"/>
        <v>145909</v>
      </c>
      <c r="L47" s="1412"/>
      <c r="M47" s="1147">
        <v>3</v>
      </c>
      <c r="N47" s="2136">
        <f t="shared" si="9"/>
        <v>87545</v>
      </c>
      <c r="O47" s="1412"/>
    </row>
    <row r="48" spans="1:15" ht="12.75" customHeight="1" x14ac:dyDescent="0.25">
      <c r="A48" s="2135" t="s">
        <v>2274</v>
      </c>
      <c r="B48" s="1411"/>
      <c r="C48" s="1412"/>
      <c r="D48" s="1150" t="s">
        <v>2192</v>
      </c>
      <c r="E48" s="1964">
        <f t="shared" si="1"/>
        <v>496089</v>
      </c>
      <c r="F48" s="1412"/>
      <c r="G48" s="1147"/>
      <c r="H48" s="2136"/>
      <c r="I48" s="1412"/>
      <c r="J48" s="1147">
        <v>1</v>
      </c>
      <c r="K48" s="2136">
        <f t="shared" si="8"/>
        <v>145909</v>
      </c>
      <c r="L48" s="1412"/>
      <c r="M48" s="1147">
        <v>4</v>
      </c>
      <c r="N48" s="2136">
        <f t="shared" ref="N48:N52" si="10">$G$17</f>
        <v>87545</v>
      </c>
      <c r="O48" s="1412"/>
    </row>
    <row r="49" spans="1:15" ht="12.75" customHeight="1" x14ac:dyDescent="0.25">
      <c r="A49" s="2135" t="s">
        <v>2275</v>
      </c>
      <c r="B49" s="1411"/>
      <c r="C49" s="1412"/>
      <c r="D49" s="1150" t="s">
        <v>2192</v>
      </c>
      <c r="E49" s="1964">
        <f t="shared" si="1"/>
        <v>233454</v>
      </c>
      <c r="F49" s="1412"/>
      <c r="G49" s="1147"/>
      <c r="H49" s="2136"/>
      <c r="I49" s="1412"/>
      <c r="J49" s="1147">
        <v>1</v>
      </c>
      <c r="K49" s="2136">
        <f t="shared" ref="K49:K52" si="11">$G$18</f>
        <v>145909</v>
      </c>
      <c r="L49" s="1412"/>
      <c r="M49" s="1147">
        <v>1</v>
      </c>
      <c r="N49" s="2136">
        <f t="shared" si="10"/>
        <v>87545</v>
      </c>
      <c r="O49" s="1412"/>
    </row>
    <row r="50" spans="1:15" ht="12.75" customHeight="1" x14ac:dyDescent="0.25">
      <c r="A50" s="2135" t="s">
        <v>2276</v>
      </c>
      <c r="B50" s="1411"/>
      <c r="C50" s="1412"/>
      <c r="D50" s="1150" t="s">
        <v>2192</v>
      </c>
      <c r="E50" s="1964">
        <f t="shared" si="1"/>
        <v>320999</v>
      </c>
      <c r="F50" s="1412"/>
      <c r="G50" s="1147"/>
      <c r="H50" s="2136"/>
      <c r="I50" s="1412"/>
      <c r="J50" s="1147">
        <v>1</v>
      </c>
      <c r="K50" s="2136">
        <f t="shared" si="11"/>
        <v>145909</v>
      </c>
      <c r="L50" s="1412"/>
      <c r="M50" s="1147">
        <v>2</v>
      </c>
      <c r="N50" s="2136">
        <f t="shared" si="10"/>
        <v>87545</v>
      </c>
      <c r="O50" s="1412"/>
    </row>
    <row r="51" spans="1:15" ht="12.75" customHeight="1" x14ac:dyDescent="0.25">
      <c r="A51" s="2135" t="s">
        <v>2277</v>
      </c>
      <c r="B51" s="1411"/>
      <c r="C51" s="1412"/>
      <c r="D51" s="1150" t="s">
        <v>2192</v>
      </c>
      <c r="E51" s="1964">
        <f t="shared" si="1"/>
        <v>408544</v>
      </c>
      <c r="F51" s="1412"/>
      <c r="G51" s="1147"/>
      <c r="H51" s="2136"/>
      <c r="I51" s="1412"/>
      <c r="J51" s="1147">
        <v>1</v>
      </c>
      <c r="K51" s="2136">
        <f t="shared" si="11"/>
        <v>145909</v>
      </c>
      <c r="L51" s="1412"/>
      <c r="M51" s="1147">
        <v>3</v>
      </c>
      <c r="N51" s="2136">
        <f t="shared" si="10"/>
        <v>87545</v>
      </c>
      <c r="O51" s="1412"/>
    </row>
    <row r="52" spans="1:15" ht="12.75" customHeight="1" x14ac:dyDescent="0.25">
      <c r="A52" s="2135" t="s">
        <v>2278</v>
      </c>
      <c r="B52" s="1411"/>
      <c r="C52" s="1412"/>
      <c r="D52" s="1150" t="s">
        <v>2192</v>
      </c>
      <c r="E52" s="1964">
        <f t="shared" si="1"/>
        <v>496089</v>
      </c>
      <c r="F52" s="1412"/>
      <c r="G52" s="1147"/>
      <c r="H52" s="2136"/>
      <c r="I52" s="1412"/>
      <c r="J52" s="1147">
        <v>1</v>
      </c>
      <c r="K52" s="2136">
        <f t="shared" si="11"/>
        <v>145909</v>
      </c>
      <c r="L52" s="1412"/>
      <c r="M52" s="1147">
        <v>4</v>
      </c>
      <c r="N52" s="2136">
        <f t="shared" si="10"/>
        <v>87545</v>
      </c>
      <c r="O52" s="1412"/>
    </row>
    <row r="53" spans="1:15" ht="12.75" customHeight="1" x14ac:dyDescent="0.25">
      <c r="A53" s="2135" t="s">
        <v>2279</v>
      </c>
      <c r="B53" s="1411"/>
      <c r="C53" s="1412"/>
      <c r="D53" s="1150" t="s">
        <v>2192</v>
      </c>
      <c r="E53" s="1964">
        <f t="shared" si="1"/>
        <v>116727</v>
      </c>
      <c r="F53" s="1412"/>
      <c r="G53" s="1147"/>
      <c r="H53" s="2136"/>
      <c r="I53" s="1412"/>
      <c r="J53" s="1147">
        <v>1</v>
      </c>
      <c r="K53" s="2136">
        <f>$G$12</f>
        <v>116727</v>
      </c>
      <c r="L53" s="1412"/>
      <c r="M53" s="1147"/>
      <c r="N53" s="2136"/>
      <c r="O53" s="1412"/>
    </row>
    <row r="54" spans="1:15" ht="12.75" customHeight="1" x14ac:dyDescent="0.25">
      <c r="A54" s="2135" t="s">
        <v>2280</v>
      </c>
      <c r="B54" s="1411"/>
      <c r="C54" s="1412"/>
      <c r="D54" s="1150" t="s">
        <v>2192</v>
      </c>
      <c r="E54" s="1964">
        <f t="shared" si="1"/>
        <v>145909</v>
      </c>
      <c r="F54" s="1412"/>
      <c r="G54" s="1147"/>
      <c r="H54" s="2136"/>
      <c r="I54" s="1412"/>
      <c r="J54" s="1147">
        <v>1</v>
      </c>
      <c r="K54" s="2136">
        <f>$G$14</f>
        <v>145909</v>
      </c>
      <c r="L54" s="1412"/>
      <c r="M54" s="1147"/>
      <c r="N54" s="2136"/>
      <c r="O54" s="1412"/>
    </row>
    <row r="55" spans="1:15" ht="12.75" customHeight="1" x14ac:dyDescent="0.25">
      <c r="A55" s="2135" t="s">
        <v>2281</v>
      </c>
      <c r="B55" s="1411"/>
      <c r="C55" s="1412"/>
      <c r="D55" s="1150" t="s">
        <v>2192</v>
      </c>
      <c r="E55" s="1964">
        <f t="shared" si="1"/>
        <v>145909</v>
      </c>
      <c r="F55" s="1412"/>
      <c r="G55" s="1147"/>
      <c r="H55" s="2136"/>
      <c r="I55" s="1412"/>
      <c r="J55" s="1147">
        <v>1</v>
      </c>
      <c r="K55" s="2136">
        <f>$G$16</f>
        <v>145909</v>
      </c>
      <c r="L55" s="1412"/>
      <c r="M55" s="1147"/>
      <c r="N55" s="2136"/>
      <c r="O55" s="1412"/>
    </row>
    <row r="56" spans="1:15" ht="12.75" customHeight="1" x14ac:dyDescent="0.25">
      <c r="A56" s="2135" t="s">
        <v>2282</v>
      </c>
      <c r="B56" s="1411"/>
      <c r="C56" s="1412"/>
      <c r="D56" s="1150" t="s">
        <v>2192</v>
      </c>
      <c r="E56" s="1964">
        <f t="shared" si="1"/>
        <v>145909</v>
      </c>
      <c r="F56" s="1412"/>
      <c r="G56" s="1147"/>
      <c r="H56" s="2136"/>
      <c r="I56" s="1412"/>
      <c r="J56" s="1147">
        <v>1</v>
      </c>
      <c r="K56" s="2136">
        <f>$G$18</f>
        <v>145909</v>
      </c>
      <c r="L56" s="1412"/>
      <c r="M56" s="1147"/>
      <c r="N56" s="2136"/>
      <c r="O56" s="1412"/>
    </row>
    <row r="57" spans="1:15" ht="12.75" customHeight="1" x14ac:dyDescent="0.25">
      <c r="A57" s="2135" t="s">
        <v>2283</v>
      </c>
      <c r="B57" s="1411"/>
      <c r="C57" s="1412"/>
      <c r="D57" s="1150" t="s">
        <v>2192</v>
      </c>
      <c r="E57" s="1964">
        <f>G14</f>
        <v>145909</v>
      </c>
      <c r="F57" s="1412"/>
      <c r="G57" s="1147"/>
      <c r="H57" s="2136"/>
      <c r="I57" s="1412"/>
      <c r="J57" s="1147"/>
      <c r="K57" s="2136"/>
      <c r="L57" s="1412"/>
      <c r="M57" s="1147"/>
      <c r="N57" s="2136"/>
      <c r="O57" s="1412"/>
    </row>
    <row r="58" spans="1:15" ht="12.75" customHeight="1" x14ac:dyDescent="0.25">
      <c r="A58" s="2135" t="s">
        <v>695</v>
      </c>
      <c r="B58" s="1411"/>
      <c r="C58" s="1412"/>
      <c r="D58" s="1150" t="s">
        <v>2192</v>
      </c>
      <c r="E58" s="1964">
        <f t="shared" ref="E58:E59" si="12">G11</f>
        <v>87545</v>
      </c>
      <c r="F58" s="1412"/>
      <c r="G58" s="1147"/>
      <c r="H58" s="2136"/>
      <c r="I58" s="1412"/>
      <c r="J58" s="1147"/>
      <c r="K58" s="2136"/>
      <c r="L58" s="1412"/>
      <c r="M58" s="1147"/>
      <c r="N58" s="2136"/>
      <c r="O58" s="1412"/>
    </row>
    <row r="59" spans="1:15" ht="12.75" customHeight="1" x14ac:dyDescent="0.25">
      <c r="A59" s="2135" t="s">
        <v>2284</v>
      </c>
      <c r="B59" s="1411"/>
      <c r="C59" s="1412"/>
      <c r="D59" s="1150" t="s">
        <v>2192</v>
      </c>
      <c r="E59" s="1964">
        <f t="shared" si="12"/>
        <v>116727</v>
      </c>
      <c r="F59" s="1412"/>
      <c r="G59" s="1147"/>
      <c r="H59" s="2136"/>
      <c r="I59" s="1412"/>
      <c r="J59" s="1147"/>
      <c r="K59" s="2136"/>
      <c r="L59" s="1412"/>
      <c r="M59" s="1147"/>
      <c r="N59" s="2136"/>
      <c r="O59" s="1412"/>
    </row>
    <row r="60" spans="1:15" ht="12.75" customHeight="1" x14ac:dyDescent="0.25">
      <c r="A60" s="2135" t="s">
        <v>2285</v>
      </c>
      <c r="B60" s="1411"/>
      <c r="C60" s="1412"/>
      <c r="D60" s="1150" t="s">
        <v>2192</v>
      </c>
      <c r="E60" s="1964">
        <v>145750</v>
      </c>
      <c r="F60" s="1412"/>
      <c r="G60" s="1147"/>
      <c r="H60" s="2136"/>
      <c r="I60" s="1412"/>
      <c r="J60" s="1147"/>
      <c r="K60" s="2136"/>
      <c r="L60" s="1412"/>
      <c r="M60" s="1147"/>
      <c r="N60" s="2136"/>
      <c r="O60" s="1412"/>
    </row>
    <row r="61" spans="1:15" ht="12.75" customHeight="1" x14ac:dyDescent="0.25">
      <c r="A61" s="2135" t="s">
        <v>2286</v>
      </c>
      <c r="B61" s="1411"/>
      <c r="C61" s="1412"/>
      <c r="D61" s="1150" t="s">
        <v>2192</v>
      </c>
      <c r="E61" s="1964">
        <v>178875</v>
      </c>
      <c r="F61" s="1412"/>
      <c r="G61" s="1147"/>
      <c r="H61" s="2136"/>
      <c r="I61" s="1412"/>
      <c r="J61" s="1147"/>
      <c r="K61" s="2136"/>
      <c r="L61" s="1412"/>
      <c r="M61" s="1147"/>
      <c r="N61" s="2136"/>
      <c r="O61" s="1412"/>
    </row>
    <row r="62" spans="1:15" ht="12.75" customHeight="1" x14ac:dyDescent="0.25">
      <c r="A62" s="2135" t="s">
        <v>2287</v>
      </c>
      <c r="B62" s="1411"/>
      <c r="C62" s="1412"/>
      <c r="D62" s="1150" t="s">
        <v>2192</v>
      </c>
      <c r="E62" s="1964">
        <v>245125</v>
      </c>
      <c r="F62" s="1412"/>
      <c r="G62" s="1147"/>
      <c r="H62" s="2136"/>
      <c r="I62" s="1412"/>
      <c r="J62" s="1147"/>
      <c r="K62" s="2136"/>
      <c r="L62" s="1412"/>
      <c r="M62" s="1147"/>
      <c r="N62" s="2136"/>
      <c r="O62" s="1412"/>
    </row>
    <row r="63" spans="1:15" ht="12.75" customHeight="1" x14ac:dyDescent="0.25">
      <c r="A63" s="2135" t="s">
        <v>2288</v>
      </c>
      <c r="B63" s="1411"/>
      <c r="C63" s="1412"/>
      <c r="D63" s="1150" t="s">
        <v>2192</v>
      </c>
      <c r="E63" s="1964">
        <v>165625</v>
      </c>
      <c r="F63" s="1412"/>
      <c r="G63" s="1147"/>
      <c r="H63" s="2136"/>
      <c r="I63" s="1412"/>
      <c r="J63" s="1147"/>
      <c r="K63" s="2136"/>
      <c r="L63" s="1412"/>
      <c r="M63" s="1147"/>
      <c r="N63" s="2136"/>
      <c r="O63" s="1412"/>
    </row>
    <row r="64" spans="1:15" ht="12.75" customHeight="1" x14ac:dyDescent="0.25">
      <c r="A64" s="2135" t="s">
        <v>2289</v>
      </c>
      <c r="B64" s="1411"/>
      <c r="C64" s="1412"/>
      <c r="D64" s="1150" t="s">
        <v>2192</v>
      </c>
      <c r="E64" s="1964">
        <f>2*M13</f>
        <v>116727</v>
      </c>
      <c r="F64" s="1412"/>
      <c r="G64" s="1147"/>
      <c r="H64" s="2136"/>
      <c r="I64" s="1412"/>
      <c r="J64" s="1147"/>
      <c r="K64" s="2136"/>
      <c r="L64" s="1412"/>
      <c r="M64" s="1147"/>
      <c r="N64" s="2136"/>
      <c r="O64" s="1412"/>
    </row>
    <row r="65" spans="1:15" ht="12.75" customHeight="1" x14ac:dyDescent="0.25">
      <c r="A65" s="2135" t="s">
        <v>2290</v>
      </c>
      <c r="B65" s="1411"/>
      <c r="C65" s="1412"/>
      <c r="D65" s="1150" t="s">
        <v>2192</v>
      </c>
      <c r="E65" s="1964">
        <v>207031.25</v>
      </c>
      <c r="F65" s="1412"/>
      <c r="G65" s="1147"/>
      <c r="H65" s="2136"/>
      <c r="I65" s="1412"/>
      <c r="J65" s="1147"/>
      <c r="K65" s="2136"/>
      <c r="L65" s="1412"/>
      <c r="M65" s="1147"/>
      <c r="N65" s="2136"/>
      <c r="O65" s="1412"/>
    </row>
    <row r="66" spans="1:15" ht="12.75" customHeight="1" x14ac:dyDescent="0.25">
      <c r="A66" s="2135" t="s">
        <v>2291</v>
      </c>
      <c r="B66" s="1411"/>
      <c r="C66" s="1412"/>
      <c r="D66" s="1150" t="s">
        <v>2192</v>
      </c>
      <c r="E66" s="1964">
        <v>132500</v>
      </c>
      <c r="F66" s="1412"/>
      <c r="G66" s="1147"/>
      <c r="H66" s="2136"/>
      <c r="I66" s="1412"/>
      <c r="J66" s="1147"/>
      <c r="K66" s="2136"/>
      <c r="L66" s="1412"/>
      <c r="M66" s="1147"/>
      <c r="N66" s="2136"/>
      <c r="O66" s="1412"/>
    </row>
    <row r="67" spans="1:15" ht="12.75" customHeight="1" x14ac:dyDescent="0.25">
      <c r="A67" s="2135" t="s">
        <v>2292</v>
      </c>
      <c r="B67" s="1411"/>
      <c r="C67" s="1412"/>
      <c r="D67" s="1150" t="s">
        <v>2192</v>
      </c>
      <c r="E67" s="1964">
        <f>(G67*H67)+(J67*K67)+(M67*N67)</f>
        <v>58364</v>
      </c>
      <c r="F67" s="1412"/>
      <c r="G67" s="1147"/>
      <c r="H67" s="2136"/>
      <c r="I67" s="1412"/>
      <c r="J67" s="1147"/>
      <c r="K67" s="2136"/>
      <c r="L67" s="1412"/>
      <c r="M67" s="1147">
        <v>1</v>
      </c>
      <c r="N67" s="2136">
        <f>G10</f>
        <v>58364</v>
      </c>
      <c r="O67" s="1412"/>
    </row>
    <row r="68" spans="1:15" ht="12.75" customHeight="1" x14ac:dyDescent="0.25">
      <c r="A68" s="2135" t="s">
        <v>2293</v>
      </c>
      <c r="B68" s="1411"/>
      <c r="C68" s="1412"/>
      <c r="D68" s="1150" t="s">
        <v>2192</v>
      </c>
      <c r="E68" s="1964">
        <f>+E58+E59</f>
        <v>204272</v>
      </c>
      <c r="F68" s="1412"/>
      <c r="G68" s="1147"/>
      <c r="H68" s="2136"/>
      <c r="I68" s="1412"/>
      <c r="J68" s="1147"/>
      <c r="K68" s="2136"/>
      <c r="L68" s="1412"/>
      <c r="M68" s="1147"/>
      <c r="N68" s="2136"/>
      <c r="O68" s="1412"/>
    </row>
    <row r="69" spans="1:15" ht="12.75" customHeight="1" x14ac:dyDescent="0.2"/>
    <row r="70" spans="1:15" ht="12.75" customHeight="1" x14ac:dyDescent="0.2">
      <c r="J70" s="1414"/>
      <c r="K70" s="1415"/>
      <c r="L70" s="1415"/>
      <c r="M70" s="1415"/>
      <c r="N70" s="1415"/>
      <c r="O70" s="1415"/>
    </row>
    <row r="71" spans="1:15" ht="12.75" customHeight="1" thickBot="1" x14ac:dyDescent="0.25">
      <c r="J71" s="1416"/>
      <c r="K71" s="1416"/>
      <c r="L71" s="1416"/>
      <c r="M71" s="1416"/>
      <c r="N71" s="1416"/>
      <c r="O71" s="1416"/>
    </row>
    <row r="72" spans="1:15" ht="12.75" customHeight="1" thickTop="1" x14ac:dyDescent="0.2">
      <c r="J72" s="1417" t="s">
        <v>1829</v>
      </c>
      <c r="K72" s="1418"/>
      <c r="L72" s="1417" t="s">
        <v>1830</v>
      </c>
      <c r="M72" s="1418"/>
      <c r="N72" s="1418"/>
      <c r="O72" s="1418"/>
    </row>
    <row r="73" spans="1:15" ht="12.75" customHeight="1" x14ac:dyDescent="0.2">
      <c r="J73" s="1419" t="s">
        <v>1831</v>
      </c>
      <c r="K73" s="1420"/>
      <c r="L73" s="1419" t="s">
        <v>1832</v>
      </c>
      <c r="M73" s="1420"/>
      <c r="N73" s="1420"/>
      <c r="O73" s="1420"/>
    </row>
    <row r="74" spans="1:15" ht="12.75" customHeight="1" x14ac:dyDescent="0.2"/>
    <row r="75" spans="1:15" ht="12.75" customHeight="1" x14ac:dyDescent="0.2"/>
    <row r="76" spans="1:15" ht="12.75" customHeight="1" x14ac:dyDescent="0.2"/>
    <row r="77" spans="1:15" ht="12.75" customHeight="1" x14ac:dyDescent="0.2"/>
    <row r="78" spans="1:15" ht="12.75" customHeight="1" x14ac:dyDescent="0.2"/>
    <row r="79" spans="1:15" ht="12.75" customHeight="1" x14ac:dyDescent="0.2"/>
    <row r="80" spans="1:15"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276">
    <mergeCell ref="C8:E8"/>
    <mergeCell ref="G8:H8"/>
    <mergeCell ref="C9:E9"/>
    <mergeCell ref="G9:H9"/>
    <mergeCell ref="C10:E10"/>
    <mergeCell ref="G10:H10"/>
    <mergeCell ref="A1:M3"/>
    <mergeCell ref="N1:O1"/>
    <mergeCell ref="N2:O3"/>
    <mergeCell ref="A5:O5"/>
    <mergeCell ref="C7:E7"/>
    <mergeCell ref="G7:H7"/>
    <mergeCell ref="C13:E13"/>
    <mergeCell ref="G13:H13"/>
    <mergeCell ref="J13:L13"/>
    <mergeCell ref="M13:N13"/>
    <mergeCell ref="C14:E14"/>
    <mergeCell ref="G14:H14"/>
    <mergeCell ref="J10:L10"/>
    <mergeCell ref="M10:N10"/>
    <mergeCell ref="C11:E11"/>
    <mergeCell ref="G11:H11"/>
    <mergeCell ref="C12:E12"/>
    <mergeCell ref="G12:H12"/>
    <mergeCell ref="C18:E18"/>
    <mergeCell ref="G18:H18"/>
    <mergeCell ref="C19:E19"/>
    <mergeCell ref="G19:H19"/>
    <mergeCell ref="C20:E20"/>
    <mergeCell ref="G20:H20"/>
    <mergeCell ref="C15:E15"/>
    <mergeCell ref="G15:H15"/>
    <mergeCell ref="C16:E16"/>
    <mergeCell ref="G16:H16"/>
    <mergeCell ref="C17:E17"/>
    <mergeCell ref="G17:H17"/>
    <mergeCell ref="A22:D22"/>
    <mergeCell ref="E22:F22"/>
    <mergeCell ref="G22:I22"/>
    <mergeCell ref="J22:L22"/>
    <mergeCell ref="M22:O22"/>
    <mergeCell ref="A23:C23"/>
    <mergeCell ref="E23:F23"/>
    <mergeCell ref="H23:I23"/>
    <mergeCell ref="K23:L23"/>
    <mergeCell ref="N23:O23"/>
    <mergeCell ref="A24:C24"/>
    <mergeCell ref="E24:F24"/>
    <mergeCell ref="H24:I24"/>
    <mergeCell ref="K24:L24"/>
    <mergeCell ref="N24:O24"/>
    <mergeCell ref="A25:C25"/>
    <mergeCell ref="E25:F25"/>
    <mergeCell ref="H25:I25"/>
    <mergeCell ref="K25:L25"/>
    <mergeCell ref="N25:O25"/>
    <mergeCell ref="A26:C26"/>
    <mergeCell ref="E26:F26"/>
    <mergeCell ref="H26:I26"/>
    <mergeCell ref="K26:L26"/>
    <mergeCell ref="N26:O26"/>
    <mergeCell ref="A27:C27"/>
    <mergeCell ref="E27:F27"/>
    <mergeCell ref="H27:I27"/>
    <mergeCell ref="K27:L27"/>
    <mergeCell ref="N27:O27"/>
    <mergeCell ref="A28:C28"/>
    <mergeCell ref="E28:F28"/>
    <mergeCell ref="H28:I28"/>
    <mergeCell ref="K28:L28"/>
    <mergeCell ref="N28:O28"/>
    <mergeCell ref="A29:C29"/>
    <mergeCell ref="E29:F29"/>
    <mergeCell ref="H29:I29"/>
    <mergeCell ref="K29:L29"/>
    <mergeCell ref="N29:O29"/>
    <mergeCell ref="A30:C30"/>
    <mergeCell ref="E30:F30"/>
    <mergeCell ref="H30:I30"/>
    <mergeCell ref="K30:L30"/>
    <mergeCell ref="N30:O30"/>
    <mergeCell ref="A31:C31"/>
    <mergeCell ref="E31:F31"/>
    <mergeCell ref="H31:I31"/>
    <mergeCell ref="K31:L31"/>
    <mergeCell ref="N31:O31"/>
    <mergeCell ref="A32:C32"/>
    <mergeCell ref="E32:F32"/>
    <mergeCell ref="H32:I32"/>
    <mergeCell ref="K32:L32"/>
    <mergeCell ref="N32:O32"/>
    <mergeCell ref="A33:C33"/>
    <mergeCell ref="E33:F33"/>
    <mergeCell ref="H33:I33"/>
    <mergeCell ref="K33:L33"/>
    <mergeCell ref="N33:O33"/>
    <mergeCell ref="A34:C34"/>
    <mergeCell ref="E34:F34"/>
    <mergeCell ref="H34:I34"/>
    <mergeCell ref="K34:L34"/>
    <mergeCell ref="N34:O34"/>
    <mergeCell ref="A35:C35"/>
    <mergeCell ref="E35:F35"/>
    <mergeCell ref="H35:I35"/>
    <mergeCell ref="K35:L35"/>
    <mergeCell ref="N35:O35"/>
    <mergeCell ref="A36:C36"/>
    <mergeCell ref="E36:F36"/>
    <mergeCell ref="H36:I36"/>
    <mergeCell ref="K36:L36"/>
    <mergeCell ref="N36:O36"/>
    <mergeCell ref="A37:C37"/>
    <mergeCell ref="E37:F37"/>
    <mergeCell ref="H37:I37"/>
    <mergeCell ref="K37:L37"/>
    <mergeCell ref="N37:O37"/>
    <mergeCell ref="A38:C38"/>
    <mergeCell ref="E38:F38"/>
    <mergeCell ref="H38:I38"/>
    <mergeCell ref="K38:L38"/>
    <mergeCell ref="N38:O38"/>
    <mergeCell ref="A39:C39"/>
    <mergeCell ref="E39:F39"/>
    <mergeCell ref="H39:I39"/>
    <mergeCell ref="K39:L39"/>
    <mergeCell ref="N39:O39"/>
    <mergeCell ref="A40:C40"/>
    <mergeCell ref="E40:F40"/>
    <mergeCell ref="H40:I40"/>
    <mergeCell ref="K40:L40"/>
    <mergeCell ref="N40:O40"/>
    <mergeCell ref="A41:C41"/>
    <mergeCell ref="E41:F41"/>
    <mergeCell ref="H41:I41"/>
    <mergeCell ref="K41:L41"/>
    <mergeCell ref="N41:O41"/>
    <mergeCell ref="A42:C42"/>
    <mergeCell ref="E42:F42"/>
    <mergeCell ref="H42:I42"/>
    <mergeCell ref="K42:L42"/>
    <mergeCell ref="N42:O42"/>
    <mergeCell ref="A43:C43"/>
    <mergeCell ref="E43:F43"/>
    <mergeCell ref="H43:I43"/>
    <mergeCell ref="K43:L43"/>
    <mergeCell ref="N43:O43"/>
    <mergeCell ref="A44:C44"/>
    <mergeCell ref="E44:F44"/>
    <mergeCell ref="H44:I44"/>
    <mergeCell ref="K44:L44"/>
    <mergeCell ref="N44:O44"/>
    <mergeCell ref="A45:C45"/>
    <mergeCell ref="E45:F45"/>
    <mergeCell ref="H45:I45"/>
    <mergeCell ref="K45:L45"/>
    <mergeCell ref="N45:O45"/>
    <mergeCell ref="A46:C46"/>
    <mergeCell ref="E46:F46"/>
    <mergeCell ref="H46:I46"/>
    <mergeCell ref="K46:L46"/>
    <mergeCell ref="N46:O46"/>
    <mergeCell ref="A47:C47"/>
    <mergeCell ref="E47:F47"/>
    <mergeCell ref="H47:I47"/>
    <mergeCell ref="K47:L47"/>
    <mergeCell ref="N47:O47"/>
    <mergeCell ref="A48:C48"/>
    <mergeCell ref="E48:F48"/>
    <mergeCell ref="H48:I48"/>
    <mergeCell ref="K48:L48"/>
    <mergeCell ref="N48:O48"/>
    <mergeCell ref="A49:C49"/>
    <mergeCell ref="E49:F49"/>
    <mergeCell ref="H49:I49"/>
    <mergeCell ref="K49:L49"/>
    <mergeCell ref="N49:O49"/>
    <mergeCell ref="A50:C50"/>
    <mergeCell ref="E50:F50"/>
    <mergeCell ref="H50:I50"/>
    <mergeCell ref="K50:L50"/>
    <mergeCell ref="N50:O50"/>
    <mergeCell ref="A51:C51"/>
    <mergeCell ref="E51:F51"/>
    <mergeCell ref="H51:I51"/>
    <mergeCell ref="K51:L51"/>
    <mergeCell ref="N51:O51"/>
    <mergeCell ref="A52:C52"/>
    <mergeCell ref="E52:F52"/>
    <mergeCell ref="H52:I52"/>
    <mergeCell ref="K52:L52"/>
    <mergeCell ref="N52:O52"/>
    <mergeCell ref="A53:C53"/>
    <mergeCell ref="E53:F53"/>
    <mergeCell ref="H53:I53"/>
    <mergeCell ref="K53:L53"/>
    <mergeCell ref="N53:O53"/>
    <mergeCell ref="A54:C54"/>
    <mergeCell ref="E54:F54"/>
    <mergeCell ref="H54:I54"/>
    <mergeCell ref="K54:L54"/>
    <mergeCell ref="N54:O54"/>
    <mergeCell ref="A55:C55"/>
    <mergeCell ref="E55:F55"/>
    <mergeCell ref="H55:I55"/>
    <mergeCell ref="K55:L55"/>
    <mergeCell ref="N55:O55"/>
    <mergeCell ref="A56:C56"/>
    <mergeCell ref="E56:F56"/>
    <mergeCell ref="H56:I56"/>
    <mergeCell ref="K56:L56"/>
    <mergeCell ref="N56:O56"/>
    <mergeCell ref="A57:C57"/>
    <mergeCell ref="E57:F57"/>
    <mergeCell ref="H57:I57"/>
    <mergeCell ref="K57:L57"/>
    <mergeCell ref="N57:O57"/>
    <mergeCell ref="A58:C58"/>
    <mergeCell ref="E58:F58"/>
    <mergeCell ref="H58:I58"/>
    <mergeCell ref="K58:L58"/>
    <mergeCell ref="N58:O58"/>
    <mergeCell ref="A59:C59"/>
    <mergeCell ref="E59:F59"/>
    <mergeCell ref="H59:I59"/>
    <mergeCell ref="K59:L59"/>
    <mergeCell ref="N59:O59"/>
    <mergeCell ref="A60:C60"/>
    <mergeCell ref="E60:F60"/>
    <mergeCell ref="H60:I60"/>
    <mergeCell ref="K60:L60"/>
    <mergeCell ref="N60:O60"/>
    <mergeCell ref="A61:C61"/>
    <mergeCell ref="E61:F61"/>
    <mergeCell ref="H61:I61"/>
    <mergeCell ref="K61:L61"/>
    <mergeCell ref="N61:O61"/>
    <mergeCell ref="A62:C62"/>
    <mergeCell ref="E62:F62"/>
    <mergeCell ref="H62:I62"/>
    <mergeCell ref="K62:L62"/>
    <mergeCell ref="N62:O62"/>
    <mergeCell ref="A63:C63"/>
    <mergeCell ref="E63:F63"/>
    <mergeCell ref="H63:I63"/>
    <mergeCell ref="K63:L63"/>
    <mergeCell ref="N63:O63"/>
    <mergeCell ref="A64:C64"/>
    <mergeCell ref="E64:F64"/>
    <mergeCell ref="H64:I64"/>
    <mergeCell ref="K64:L64"/>
    <mergeCell ref="N64:O64"/>
    <mergeCell ref="A65:C65"/>
    <mergeCell ref="E65:F65"/>
    <mergeCell ref="H65:I65"/>
    <mergeCell ref="K65:L65"/>
    <mergeCell ref="N65:O65"/>
    <mergeCell ref="A66:C66"/>
    <mergeCell ref="E66:F66"/>
    <mergeCell ref="H66:I66"/>
    <mergeCell ref="K66:L66"/>
    <mergeCell ref="N66:O66"/>
    <mergeCell ref="A67:C67"/>
    <mergeCell ref="E67:F67"/>
    <mergeCell ref="H67:I67"/>
    <mergeCell ref="K67:L67"/>
    <mergeCell ref="N67:O67"/>
    <mergeCell ref="J72:K72"/>
    <mergeCell ref="L72:O72"/>
    <mergeCell ref="J73:K73"/>
    <mergeCell ref="L73:O73"/>
    <mergeCell ref="A68:C68"/>
    <mergeCell ref="E68:F68"/>
    <mergeCell ref="H68:I68"/>
    <mergeCell ref="K68:L68"/>
    <mergeCell ref="N68:O68"/>
    <mergeCell ref="J70:O71"/>
  </mergeCells>
  <pageMargins left="0.7" right="0.7" top="0.75" bottom="0.75" header="0.3" footer="0.3"/>
  <pageSetup scale="57"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C000"/>
  </sheetPr>
  <dimension ref="A1:P178"/>
  <sheetViews>
    <sheetView view="pageBreakPreview" topLeftCell="A145" zoomScaleNormal="100" zoomScaleSheetLayoutView="100" workbookViewId="0">
      <selection activeCell="I4" sqref="I4"/>
    </sheetView>
  </sheetViews>
  <sheetFormatPr baseColWidth="10" defaultColWidth="11.42578125" defaultRowHeight="12.75" x14ac:dyDescent="0.2"/>
  <cols>
    <col min="1" max="1" width="5.140625" style="609" customWidth="1"/>
    <col min="2" max="2" width="7.7109375" style="609" customWidth="1"/>
    <col min="3" max="3" width="28.5703125" style="609" customWidth="1"/>
    <col min="4" max="4" width="2.5703125" style="609" customWidth="1"/>
    <col min="5" max="5" width="11.28515625" style="661" customWidth="1"/>
    <col min="6" max="6" width="2.5703125" style="630" customWidth="1"/>
    <col min="7" max="7" width="10.5703125" style="672" customWidth="1"/>
    <col min="8" max="8" width="2.42578125" style="672" customWidth="1"/>
    <col min="9" max="9" width="14.140625" style="672" customWidth="1"/>
    <col min="10" max="10" width="2.42578125" style="672" customWidth="1"/>
    <col min="11" max="11" width="15.42578125" style="672" customWidth="1"/>
    <col min="12" max="12" width="2.5703125" style="672" customWidth="1"/>
    <col min="13" max="13" width="13.7109375" style="672" customWidth="1"/>
    <col min="14" max="14" width="3" style="630" customWidth="1"/>
    <col min="15" max="15" width="11.5703125" style="672" customWidth="1"/>
    <col min="16" max="16" width="7.140625" style="655" customWidth="1"/>
    <col min="17" max="18" width="11.42578125" style="609"/>
    <col min="19" max="19" width="12.85546875" style="609" bestFit="1" customWidth="1"/>
    <col min="20" max="16384" width="11.42578125" style="609"/>
  </cols>
  <sheetData>
    <row r="1" spans="1:16" ht="81.75" customHeight="1" thickBot="1" x14ac:dyDescent="0.25">
      <c r="A1" s="1915"/>
      <c r="B1" s="1915"/>
      <c r="C1" s="1915"/>
      <c r="D1" s="1915"/>
      <c r="E1" s="1915"/>
      <c r="F1" s="1916" t="str">
        <f>'PRES.FASE 1-ADUCCION'!D$1</f>
        <v>AGUAS DEL HUILA S.A. E.S.P.</v>
      </c>
      <c r="G1" s="1916"/>
      <c r="H1" s="1916"/>
      <c r="I1" s="1916"/>
      <c r="J1" s="1916"/>
      <c r="K1" s="1916"/>
      <c r="L1" s="1916"/>
      <c r="M1" s="1916"/>
      <c r="N1" s="1916"/>
      <c r="O1" s="1916"/>
      <c r="P1" s="1916"/>
    </row>
    <row r="2" spans="1:16" ht="54.75" customHeight="1" thickBot="1" x14ac:dyDescent="0.25">
      <c r="A2" s="1916" t="str">
        <f>'PRES.FASE 1-ADUCCION'!B$2</f>
        <v>CONTRATO DE CONSULTORIA No. 059 DEL 01 DE MARZO DE 2021 CUYO OBJETO ES “CONTRATO DE CONSULTORIA PARA LA ELABORACION DE ESTUDIOS Y DISEÑOS PARA LA OPTIMIZACION DEL SISTEMA DE ACUEDUCTO DEL MUNICIPIO DE TESALIA”.</v>
      </c>
      <c r="B2" s="1916"/>
      <c r="C2" s="1916"/>
      <c r="D2" s="1916"/>
      <c r="E2" s="1916"/>
      <c r="F2" s="1916"/>
      <c r="G2" s="1916"/>
      <c r="H2" s="1916"/>
      <c r="I2" s="1916"/>
      <c r="J2" s="1916"/>
      <c r="K2" s="1916"/>
      <c r="L2" s="1916"/>
      <c r="M2" s="1916"/>
      <c r="N2" s="1916"/>
      <c r="O2" s="1916"/>
      <c r="P2" s="1916"/>
    </row>
    <row r="3" spans="1:16" ht="19.5" customHeight="1" thickBot="1" x14ac:dyDescent="0.25">
      <c r="A3" s="1916" t="s">
        <v>1726</v>
      </c>
      <c r="B3" s="1916"/>
      <c r="C3" s="1916"/>
      <c r="D3" s="1916"/>
      <c r="E3" s="1916"/>
      <c r="F3" s="1916"/>
      <c r="G3" s="1916"/>
      <c r="H3" s="1916"/>
      <c r="I3" s="1916"/>
      <c r="J3" s="1916"/>
      <c r="K3" s="1916"/>
      <c r="L3" s="1916"/>
      <c r="M3" s="923" t="s">
        <v>1181</v>
      </c>
      <c r="N3" s="1916" t="str">
        <f>'PRES.FASE 3-DISTRIBUCCION'!G5</f>
        <v>AGOSTO/2024</v>
      </c>
      <c r="O3" s="1916"/>
      <c r="P3" s="1916"/>
    </row>
    <row r="4" spans="1:16" ht="18.75" x14ac:dyDescent="0.3">
      <c r="B4" s="654"/>
      <c r="C4" s="654"/>
      <c r="D4" s="654"/>
      <c r="E4" s="654"/>
      <c r="F4" s="654"/>
      <c r="G4" s="654"/>
      <c r="H4" s="654"/>
      <c r="I4" s="654"/>
      <c r="J4" s="654"/>
      <c r="K4" s="654"/>
      <c r="L4" s="654"/>
      <c r="M4" s="654"/>
      <c r="O4" s="631"/>
    </row>
    <row r="5" spans="1:16" ht="15.75" x14ac:dyDescent="0.2">
      <c r="A5" s="1904" t="s">
        <v>1074</v>
      </c>
      <c r="B5" s="1914"/>
      <c r="C5" s="1914"/>
      <c r="D5" s="1914"/>
      <c r="E5" s="1914"/>
      <c r="F5" s="1914"/>
      <c r="G5" s="1914"/>
      <c r="H5" s="1914"/>
      <c r="I5" s="1914"/>
      <c r="J5" s="1914"/>
      <c r="K5" s="1914"/>
      <c r="L5" s="1914"/>
      <c r="M5" s="1914"/>
      <c r="N5" s="1914"/>
      <c r="O5" s="1914"/>
      <c r="P5" s="1914"/>
    </row>
    <row r="6" spans="1:16" ht="15.75" x14ac:dyDescent="0.2">
      <c r="A6" s="787"/>
      <c r="B6" s="788"/>
      <c r="C6" s="788"/>
      <c r="D6" s="788"/>
      <c r="E6" s="788"/>
      <c r="F6" s="788"/>
      <c r="G6" s="788"/>
      <c r="H6" s="788"/>
      <c r="I6" s="788"/>
      <c r="J6" s="788"/>
      <c r="K6" s="788"/>
      <c r="L6" s="788"/>
      <c r="M6" s="788"/>
      <c r="N6" s="788"/>
      <c r="O6" s="788"/>
      <c r="P6" s="788"/>
    </row>
    <row r="7" spans="1:16" ht="15.75" x14ac:dyDescent="0.2">
      <c r="A7" s="1911" t="s">
        <v>1376</v>
      </c>
      <c r="B7" s="1911"/>
      <c r="C7" s="1911"/>
      <c r="D7" s="1911"/>
      <c r="E7" s="1911"/>
      <c r="F7" s="1911"/>
      <c r="G7" s="1911"/>
      <c r="H7" s="1911"/>
      <c r="I7" s="1911"/>
      <c r="J7" s="1911"/>
      <c r="K7" s="1911"/>
      <c r="L7" s="1911"/>
      <c r="M7" s="1911"/>
      <c r="N7" s="1911"/>
      <c r="O7" s="1911"/>
      <c r="P7" s="1911"/>
    </row>
    <row r="8" spans="1:16" ht="15.75" x14ac:dyDescent="0.2">
      <c r="A8" s="949"/>
      <c r="B8" s="949"/>
      <c r="C8" s="949"/>
      <c r="D8" s="949"/>
      <c r="E8" s="949"/>
      <c r="F8" s="949"/>
      <c r="G8" s="949"/>
      <c r="H8" s="949"/>
      <c r="I8" s="949"/>
      <c r="J8" s="949"/>
      <c r="K8" s="949"/>
      <c r="L8" s="949"/>
      <c r="M8" s="949"/>
      <c r="N8" s="949"/>
      <c r="O8" s="949"/>
      <c r="P8" s="949"/>
    </row>
    <row r="9" spans="1:16" ht="15.75" x14ac:dyDescent="0.2">
      <c r="A9"/>
      <c r="B9" s="793"/>
      <c r="C9" s="950" t="s">
        <v>1159</v>
      </c>
      <c r="D9"/>
      <c r="E9" s="800"/>
      <c r="F9" s="794"/>
      <c r="G9" s="812"/>
      <c r="H9" s="812"/>
      <c r="I9" s="812"/>
      <c r="J9" s="812"/>
      <c r="K9" s="812"/>
      <c r="L9" s="812"/>
      <c r="M9" s="812"/>
      <c r="N9" s="794"/>
      <c r="O9" s="812"/>
      <c r="P9" s="796"/>
    </row>
    <row r="10" spans="1:16" ht="45" customHeight="1" x14ac:dyDescent="0.2">
      <c r="A10" s="805" t="s">
        <v>0</v>
      </c>
      <c r="B10" s="806" t="s">
        <v>1377</v>
      </c>
      <c r="C10" s="951" t="e">
        <f>#REF!</f>
        <v>#REF!</v>
      </c>
      <c r="D10" s="808" t="s">
        <v>799</v>
      </c>
      <c r="E10" s="809" t="s">
        <v>864</v>
      </c>
      <c r="F10" s="810"/>
      <c r="G10" s="811"/>
      <c r="H10" s="811"/>
      <c r="I10" s="811"/>
      <c r="J10" s="811"/>
      <c r="K10" s="811"/>
      <c r="L10" s="811"/>
      <c r="M10" s="811"/>
      <c r="N10" s="794"/>
      <c r="O10" s="812"/>
      <c r="P10" s="796"/>
    </row>
    <row r="11" spans="1:16" ht="12.75" customHeight="1" x14ac:dyDescent="0.2">
      <c r="A11" s="805"/>
      <c r="B11" s="806"/>
      <c r="C11" s="813" t="s">
        <v>1684</v>
      </c>
      <c r="D11"/>
      <c r="E11" s="800">
        <v>530.71</v>
      </c>
      <c r="F11" s="808"/>
      <c r="G11" s="812"/>
      <c r="H11" s="812"/>
      <c r="I11" s="812"/>
      <c r="J11" s="812"/>
      <c r="K11" s="812"/>
      <c r="L11" s="812"/>
      <c r="M11" s="812"/>
      <c r="N11" s="814" t="s">
        <v>799</v>
      </c>
      <c r="O11" s="812">
        <f t="shared" ref="O11" si="0">E11</f>
        <v>530.71</v>
      </c>
      <c r="P11" s="794" t="s">
        <v>6</v>
      </c>
    </row>
    <row r="12" spans="1:16" x14ac:dyDescent="0.2">
      <c r="A12" s="797"/>
      <c r="B12" s="804"/>
      <c r="C12" s="813" t="s">
        <v>1154</v>
      </c>
      <c r="D12"/>
      <c r="E12" s="800">
        <v>7343.15</v>
      </c>
      <c r="F12" s="808"/>
      <c r="G12" s="812"/>
      <c r="H12" s="812"/>
      <c r="I12" s="812"/>
      <c r="J12" s="812"/>
      <c r="K12" s="812"/>
      <c r="L12" s="812"/>
      <c r="M12" s="812"/>
      <c r="N12" s="814" t="s">
        <v>799</v>
      </c>
      <c r="O12" s="812">
        <f t="shared" ref="O12:O14" si="1">E12</f>
        <v>7343.15</v>
      </c>
      <c r="P12" s="794" t="s">
        <v>6</v>
      </c>
    </row>
    <row r="13" spans="1:16" x14ac:dyDescent="0.2">
      <c r="A13" s="797"/>
      <c r="B13" s="804"/>
      <c r="C13" s="813" t="s">
        <v>1155</v>
      </c>
      <c r="D13"/>
      <c r="E13" s="481">
        <v>15879.73</v>
      </c>
      <c r="F13" s="808"/>
      <c r="G13" s="812"/>
      <c r="H13" s="812"/>
      <c r="I13" s="812"/>
      <c r="J13" s="812"/>
      <c r="K13" s="812"/>
      <c r="L13" s="812"/>
      <c r="M13" s="812"/>
      <c r="N13" s="814" t="s">
        <v>799</v>
      </c>
      <c r="O13" s="812">
        <f t="shared" si="1"/>
        <v>15879.73</v>
      </c>
      <c r="P13" s="794" t="s">
        <v>6</v>
      </c>
    </row>
    <row r="14" spans="1:16" ht="13.5" thickBot="1" x14ac:dyDescent="0.25">
      <c r="A14" s="797"/>
      <c r="B14" s="804"/>
      <c r="C14" s="813" t="s">
        <v>1156</v>
      </c>
      <c r="D14"/>
      <c r="E14" s="481">
        <v>3669.97</v>
      </c>
      <c r="F14" s="808"/>
      <c r="G14" s="812"/>
      <c r="H14" s="812"/>
      <c r="I14" s="812"/>
      <c r="J14" s="812"/>
      <c r="K14" s="812"/>
      <c r="L14" s="812"/>
      <c r="M14" s="812"/>
      <c r="N14" s="814" t="s">
        <v>799</v>
      </c>
      <c r="O14" s="812">
        <f t="shared" si="1"/>
        <v>3669.97</v>
      </c>
      <c r="P14" s="794" t="s">
        <v>6</v>
      </c>
    </row>
    <row r="15" spans="1:16" ht="13.5" thickBot="1" x14ac:dyDescent="0.25">
      <c r="A15" s="797"/>
      <c r="B15" s="804"/>
      <c r="C15" s="815"/>
      <c r="D15"/>
      <c r="E15" s="481"/>
      <c r="F15" s="814"/>
      <c r="G15" s="812"/>
      <c r="H15" s="812"/>
      <c r="I15" s="812"/>
      <c r="J15" s="812"/>
      <c r="K15" s="812"/>
      <c r="L15" s="812"/>
      <c r="M15" s="812"/>
      <c r="N15" s="814"/>
      <c r="O15" s="816">
        <f>ROUND((SUM(O11:O14)),2)</f>
        <v>27423.56</v>
      </c>
      <c r="P15" s="817" t="s">
        <v>6</v>
      </c>
    </row>
    <row r="16" spans="1:16" ht="18.75" customHeight="1" x14ac:dyDescent="0.2">
      <c r="A16" s="734" t="s">
        <v>0</v>
      </c>
      <c r="B16" s="735" t="s">
        <v>1378</v>
      </c>
      <c r="C16" s="678" t="e">
        <f>#REF!</f>
        <v>#REF!</v>
      </c>
      <c r="D16" s="662" t="s">
        <v>799</v>
      </c>
      <c r="E16" s="663" t="s">
        <v>864</v>
      </c>
      <c r="F16" s="633"/>
      <c r="G16" s="664" t="s">
        <v>865</v>
      </c>
      <c r="H16" s="664"/>
      <c r="I16" s="664" t="s">
        <v>883</v>
      </c>
      <c r="J16" s="664"/>
      <c r="K16" s="664" t="s">
        <v>628</v>
      </c>
      <c r="L16" s="664"/>
      <c r="M16" s="664"/>
      <c r="O16" s="631"/>
    </row>
    <row r="17" spans="1:16" x14ac:dyDescent="0.2">
      <c r="A17" s="736"/>
      <c r="B17" s="737"/>
      <c r="C17" s="813" t="s">
        <v>1684</v>
      </c>
      <c r="D17"/>
      <c r="E17" s="800">
        <v>530.71</v>
      </c>
      <c r="F17" s="662" t="s">
        <v>866</v>
      </c>
      <c r="G17" s="631">
        <v>0.5</v>
      </c>
      <c r="H17" s="631" t="s">
        <v>866</v>
      </c>
      <c r="I17" s="631">
        <f>1+((0.5*0.025)+0.1)</f>
        <v>1.1125</v>
      </c>
      <c r="J17" s="631" t="s">
        <v>866</v>
      </c>
      <c r="K17" s="631">
        <v>1</v>
      </c>
      <c r="L17" s="631"/>
      <c r="M17" s="631"/>
      <c r="N17" s="666" t="s">
        <v>799</v>
      </c>
      <c r="O17" s="631">
        <f t="shared" ref="O17:O20" si="2">E17*G17*I17*K17</f>
        <v>295.20743750000003</v>
      </c>
      <c r="P17" s="630" t="s">
        <v>12</v>
      </c>
    </row>
    <row r="18" spans="1:16" x14ac:dyDescent="0.2">
      <c r="A18" s="736"/>
      <c r="B18" s="737"/>
      <c r="C18" s="813" t="s">
        <v>1154</v>
      </c>
      <c r="D18"/>
      <c r="E18" s="800">
        <v>7343.15</v>
      </c>
      <c r="F18" s="662" t="s">
        <v>866</v>
      </c>
      <c r="G18" s="631">
        <v>0.6</v>
      </c>
      <c r="H18" s="631" t="s">
        <v>866</v>
      </c>
      <c r="I18" s="631">
        <f>1+((2*0.025)+0.1)</f>
        <v>1.1499999999999999</v>
      </c>
      <c r="J18" s="631" t="s">
        <v>866</v>
      </c>
      <c r="K18" s="631">
        <v>1</v>
      </c>
      <c r="L18" s="631"/>
      <c r="M18" s="631"/>
      <c r="N18" s="666" t="s">
        <v>799</v>
      </c>
      <c r="O18" s="631">
        <f t="shared" si="2"/>
        <v>5066.7734999999993</v>
      </c>
      <c r="P18" s="630" t="s">
        <v>12</v>
      </c>
    </row>
    <row r="19" spans="1:16" x14ac:dyDescent="0.2">
      <c r="A19" s="736"/>
      <c r="B19" s="737"/>
      <c r="C19" s="813" t="s">
        <v>1155</v>
      </c>
      <c r="D19"/>
      <c r="E19" s="481">
        <v>15879.73</v>
      </c>
      <c r="F19" s="662" t="s">
        <v>866</v>
      </c>
      <c r="G19" s="631">
        <v>0.6</v>
      </c>
      <c r="H19" s="631" t="s">
        <v>866</v>
      </c>
      <c r="I19" s="631">
        <f>1+((3*0.025)+0.1)</f>
        <v>1.175</v>
      </c>
      <c r="J19" s="631" t="s">
        <v>866</v>
      </c>
      <c r="K19" s="631">
        <v>1</v>
      </c>
      <c r="L19" s="631"/>
      <c r="M19" s="631"/>
      <c r="N19" s="666" t="s">
        <v>799</v>
      </c>
      <c r="O19" s="631">
        <f t="shared" si="2"/>
        <v>11195.209650000001</v>
      </c>
      <c r="P19" s="630" t="s">
        <v>12</v>
      </c>
    </row>
    <row r="20" spans="1:16" x14ac:dyDescent="0.2">
      <c r="A20" s="736"/>
      <c r="B20" s="737"/>
      <c r="C20" s="813" t="s">
        <v>1156</v>
      </c>
      <c r="D20"/>
      <c r="E20" s="481">
        <v>3669.97</v>
      </c>
      <c r="F20" s="662" t="s">
        <v>866</v>
      </c>
      <c r="G20" s="631">
        <v>0.6</v>
      </c>
      <c r="H20" s="631" t="s">
        <v>866</v>
      </c>
      <c r="I20" s="631">
        <f>1+((4*0.025)+0.1)</f>
        <v>1.2</v>
      </c>
      <c r="J20" s="631" t="s">
        <v>866</v>
      </c>
      <c r="K20" s="631">
        <v>1</v>
      </c>
      <c r="L20" s="631"/>
      <c r="M20" s="631"/>
      <c r="N20" s="666" t="s">
        <v>799</v>
      </c>
      <c r="O20" s="631">
        <f t="shared" si="2"/>
        <v>2642.3784000000001</v>
      </c>
      <c r="P20" s="630" t="s">
        <v>12</v>
      </c>
    </row>
    <row r="21" spans="1:16" x14ac:dyDescent="0.2">
      <c r="A21" s="736"/>
      <c r="B21" s="737"/>
      <c r="C21" s="824" t="s">
        <v>982</v>
      </c>
      <c r="F21" s="662"/>
      <c r="G21" s="631"/>
      <c r="H21" s="631"/>
      <c r="I21" s="631"/>
      <c r="J21" s="631"/>
      <c r="K21" s="631"/>
      <c r="L21" s="631"/>
      <c r="M21" s="631"/>
      <c r="N21" s="666"/>
      <c r="O21" s="631"/>
      <c r="P21" s="630"/>
    </row>
    <row r="22" spans="1:16" x14ac:dyDescent="0.2">
      <c r="A22" s="736"/>
      <c r="B22" s="737"/>
      <c r="C22" s="665" t="s">
        <v>1676</v>
      </c>
      <c r="E22" s="661">
        <v>4</v>
      </c>
      <c r="F22" s="662" t="s">
        <v>866</v>
      </c>
      <c r="G22" s="631">
        <v>0.4</v>
      </c>
      <c r="H22" s="631" t="s">
        <v>866</v>
      </c>
      <c r="I22" s="631">
        <f>0.7+((0.5*0.025)+0.1)</f>
        <v>0.8125</v>
      </c>
      <c r="J22" s="631" t="s">
        <v>866</v>
      </c>
      <c r="K22" s="631">
        <v>148</v>
      </c>
      <c r="L22" s="631"/>
      <c r="M22" s="631"/>
      <c r="N22" s="666" t="s">
        <v>799</v>
      </c>
      <c r="O22" s="631">
        <f>E22*G22*I22*K22</f>
        <v>192.4</v>
      </c>
      <c r="P22" s="630" t="s">
        <v>12</v>
      </c>
    </row>
    <row r="23" spans="1:16" ht="13.5" thickBot="1" x14ac:dyDescent="0.25">
      <c r="A23" s="736"/>
      <c r="B23" s="737"/>
      <c r="C23" s="665" t="s">
        <v>1685</v>
      </c>
      <c r="E23" s="661">
        <v>4</v>
      </c>
      <c r="F23" s="662" t="s">
        <v>866</v>
      </c>
      <c r="G23" s="631">
        <v>0.4</v>
      </c>
      <c r="H23" s="631" t="s">
        <v>866</v>
      </c>
      <c r="I23" s="631">
        <f>0.7+((0.5*0.025)+0.1)</f>
        <v>0.8125</v>
      </c>
      <c r="J23" s="631" t="s">
        <v>866</v>
      </c>
      <c r="K23" s="631">
        <v>45</v>
      </c>
      <c r="L23" s="631"/>
      <c r="M23" s="631"/>
      <c r="N23" s="666" t="s">
        <v>799</v>
      </c>
      <c r="O23" s="631">
        <f>E23*G23*I23*K23</f>
        <v>58.5</v>
      </c>
      <c r="P23" s="630" t="s">
        <v>12</v>
      </c>
    </row>
    <row r="24" spans="1:16" ht="13.5" thickBot="1" x14ac:dyDescent="0.25">
      <c r="A24" s="736"/>
      <c r="B24" s="737"/>
      <c r="C24" s="737"/>
      <c r="F24" s="666"/>
      <c r="G24" s="631"/>
      <c r="H24" s="631"/>
      <c r="I24" s="631"/>
      <c r="J24" s="631"/>
      <c r="K24" s="631"/>
      <c r="L24" s="631"/>
      <c r="M24" s="631"/>
      <c r="N24" s="666"/>
      <c r="O24" s="668">
        <f>ROUND((SUM(O17:O23)),2)</f>
        <v>19450.47</v>
      </c>
      <c r="P24" s="669" t="s">
        <v>12</v>
      </c>
    </row>
    <row r="25" spans="1:16" ht="60.75" customHeight="1" x14ac:dyDescent="0.2">
      <c r="A25" s="734" t="s">
        <v>0</v>
      </c>
      <c r="B25" s="735" t="s">
        <v>1379</v>
      </c>
      <c r="C25" s="678" t="e">
        <f>#REF!</f>
        <v>#REF!</v>
      </c>
      <c r="D25" s="662" t="s">
        <v>799</v>
      </c>
      <c r="E25" s="663" t="s">
        <v>864</v>
      </c>
      <c r="F25" s="633"/>
      <c r="G25" s="664" t="s">
        <v>865</v>
      </c>
      <c r="H25" s="664"/>
      <c r="I25" s="664" t="s">
        <v>883</v>
      </c>
      <c r="J25" s="664"/>
      <c r="K25" s="664" t="s">
        <v>1158</v>
      </c>
      <c r="L25" s="664"/>
      <c r="M25" s="664"/>
      <c r="O25" s="631"/>
    </row>
    <row r="26" spans="1:16" ht="12.75" customHeight="1" x14ac:dyDescent="0.2">
      <c r="A26" s="734"/>
      <c r="B26" s="735"/>
      <c r="C26" s="813" t="s">
        <v>1684</v>
      </c>
      <c r="D26"/>
      <c r="E26" s="800">
        <v>530.71</v>
      </c>
      <c r="F26" s="662" t="s">
        <v>866</v>
      </c>
      <c r="G26" s="631">
        <v>0.5</v>
      </c>
      <c r="H26" s="631" t="s">
        <v>866</v>
      </c>
      <c r="I26" s="631">
        <f>0.1+0.0125+0.15</f>
        <v>0.26250000000000001</v>
      </c>
      <c r="J26" s="631" t="s">
        <v>866</v>
      </c>
      <c r="K26" s="631">
        <f>((PI()*(POWER(0.0125,2)))/4)*E26</f>
        <v>6.5127915515103094E-2</v>
      </c>
      <c r="L26" s="631"/>
      <c r="M26" s="631"/>
      <c r="N26" s="666" t="s">
        <v>799</v>
      </c>
      <c r="O26" s="631">
        <f t="shared" ref="O26" si="3">(E26*G26*I26)-K26</f>
        <v>69.590559584484907</v>
      </c>
      <c r="P26" s="630" t="s">
        <v>12</v>
      </c>
    </row>
    <row r="27" spans="1:16" x14ac:dyDescent="0.2">
      <c r="A27" s="736"/>
      <c r="B27" s="737"/>
      <c r="C27" s="813" t="s">
        <v>1154</v>
      </c>
      <c r="D27"/>
      <c r="E27" s="800">
        <v>7343.15</v>
      </c>
      <c r="F27" s="662" t="s">
        <v>866</v>
      </c>
      <c r="G27" s="631">
        <v>0.6</v>
      </c>
      <c r="H27" s="631" t="s">
        <v>866</v>
      </c>
      <c r="I27" s="631">
        <f>0.1+0.05+0.15</f>
        <v>0.30000000000000004</v>
      </c>
      <c r="J27" s="631" t="s">
        <v>866</v>
      </c>
      <c r="K27" s="631">
        <f>((PI()*(POWER(0.05,2)))/4)*E27</f>
        <v>14.418241308879931</v>
      </c>
      <c r="L27" s="631"/>
      <c r="M27" s="631"/>
      <c r="N27" s="666" t="s">
        <v>799</v>
      </c>
      <c r="O27" s="631">
        <f t="shared" ref="O27:O29" si="4">(E27*G27*I27)-K27</f>
        <v>1307.3487586911201</v>
      </c>
      <c r="P27" s="630" t="s">
        <v>12</v>
      </c>
    </row>
    <row r="28" spans="1:16" x14ac:dyDescent="0.2">
      <c r="A28" s="736"/>
      <c r="B28" s="737"/>
      <c r="C28" s="813" t="s">
        <v>1155</v>
      </c>
      <c r="D28"/>
      <c r="E28" s="481">
        <v>15879.73</v>
      </c>
      <c r="F28" s="662" t="s">
        <v>866</v>
      </c>
      <c r="G28" s="631">
        <v>0.6</v>
      </c>
      <c r="H28" s="631" t="s">
        <v>866</v>
      </c>
      <c r="I28" s="631">
        <f>0.1+0.075+0.15</f>
        <v>0.32499999999999996</v>
      </c>
      <c r="J28" s="631" t="s">
        <v>866</v>
      </c>
      <c r="K28" s="631">
        <f>((PI()*(POWER(0.075,2)))/4)*E28</f>
        <v>70.154498122016406</v>
      </c>
      <c r="L28" s="631"/>
      <c r="M28" s="631"/>
      <c r="N28" s="666" t="s">
        <v>799</v>
      </c>
      <c r="O28" s="631">
        <f t="shared" si="4"/>
        <v>3026.392851877983</v>
      </c>
      <c r="P28" s="630" t="s">
        <v>12</v>
      </c>
    </row>
    <row r="29" spans="1:16" x14ac:dyDescent="0.2">
      <c r="A29" s="736"/>
      <c r="B29" s="737"/>
      <c r="C29" s="813" t="s">
        <v>1156</v>
      </c>
      <c r="D29"/>
      <c r="E29" s="481">
        <v>3669.97</v>
      </c>
      <c r="F29" s="662" t="s">
        <v>866</v>
      </c>
      <c r="G29" s="631">
        <v>0.6</v>
      </c>
      <c r="H29" s="631" t="s">
        <v>866</v>
      </c>
      <c r="I29" s="631">
        <f>0.1+0.1+0.15</f>
        <v>0.35</v>
      </c>
      <c r="J29" s="631" t="s">
        <v>866</v>
      </c>
      <c r="K29" s="631">
        <f>((PI()*(POWER(0.1,2)))/4)*E29</f>
        <v>28.823876977237333</v>
      </c>
      <c r="L29" s="631"/>
      <c r="M29" s="631"/>
      <c r="N29" s="666" t="s">
        <v>799</v>
      </c>
      <c r="O29" s="631">
        <f t="shared" si="4"/>
        <v>741.8698230227626</v>
      </c>
      <c r="P29" s="630" t="s">
        <v>12</v>
      </c>
    </row>
    <row r="30" spans="1:16" x14ac:dyDescent="0.2">
      <c r="A30" s="736"/>
      <c r="B30" s="737"/>
      <c r="C30" s="824" t="s">
        <v>982</v>
      </c>
      <c r="F30" s="662"/>
      <c r="G30" s="631"/>
      <c r="H30" s="631"/>
      <c r="I30" s="631"/>
      <c r="J30" s="631"/>
      <c r="K30" s="631"/>
      <c r="L30" s="631"/>
      <c r="M30" s="631"/>
      <c r="N30" s="666"/>
      <c r="O30" s="631"/>
      <c r="P30" s="630"/>
    </row>
    <row r="31" spans="1:16" x14ac:dyDescent="0.2">
      <c r="A31" s="736"/>
      <c r="B31" s="737"/>
      <c r="C31" s="665" t="s">
        <v>1676</v>
      </c>
      <c r="E31" s="661">
        <f>E$22*K$22</f>
        <v>592</v>
      </c>
      <c r="F31" s="662" t="s">
        <v>866</v>
      </c>
      <c r="G31" s="631">
        <v>0.4</v>
      </c>
      <c r="H31" s="631" t="s">
        <v>866</v>
      </c>
      <c r="I31" s="631">
        <f>0.1+0.0125+0.15</f>
        <v>0.26250000000000001</v>
      </c>
      <c r="J31" s="631" t="s">
        <v>866</v>
      </c>
      <c r="K31" s="631">
        <f>((PI()*(POWER(0.0125,2)))/4)*E31</f>
        <v>7.2649330114263971E-2</v>
      </c>
      <c r="L31" s="631"/>
      <c r="M31" s="631"/>
      <c r="N31" s="666" t="s">
        <v>799</v>
      </c>
      <c r="O31" s="631">
        <f>(E31*G31*I31)-K31</f>
        <v>62.087350669885737</v>
      </c>
      <c r="P31" s="630" t="s">
        <v>12</v>
      </c>
    </row>
    <row r="32" spans="1:16" ht="13.5" thickBot="1" x14ac:dyDescent="0.25">
      <c r="A32" s="736"/>
      <c r="B32" s="737"/>
      <c r="C32" s="665" t="s">
        <v>1685</v>
      </c>
      <c r="E32" s="661">
        <f>E$23*K$23</f>
        <v>180</v>
      </c>
      <c r="F32" s="662" t="s">
        <v>866</v>
      </c>
      <c r="G32" s="631">
        <v>0.4</v>
      </c>
      <c r="H32" s="631" t="s">
        <v>866</v>
      </c>
      <c r="I32" s="631">
        <f>0.1+0.0125+0.15</f>
        <v>0.26250000000000001</v>
      </c>
      <c r="J32" s="631" t="s">
        <v>866</v>
      </c>
      <c r="K32" s="631">
        <f>((PI()*(POWER(0.0125,2)))/4)*E32</f>
        <v>2.2089323345553236E-2</v>
      </c>
      <c r="L32" s="631"/>
      <c r="M32" s="631"/>
      <c r="N32" s="666" t="s">
        <v>799</v>
      </c>
      <c r="O32" s="631">
        <f>(E32*G32*I32)-K32</f>
        <v>18.877910676654448</v>
      </c>
      <c r="P32" s="630" t="s">
        <v>12</v>
      </c>
    </row>
    <row r="33" spans="1:16" ht="13.5" thickBot="1" x14ac:dyDescent="0.25">
      <c r="A33" s="736"/>
      <c r="B33" s="737"/>
      <c r="C33" s="737"/>
      <c r="F33" s="666"/>
      <c r="G33" s="631"/>
      <c r="H33" s="631"/>
      <c r="I33" s="631"/>
      <c r="J33" s="631"/>
      <c r="K33" s="631"/>
      <c r="L33" s="631"/>
      <c r="M33" s="631"/>
      <c r="N33" s="666"/>
      <c r="O33" s="668">
        <f>ROUND((SUM(O26:O32)),2)</f>
        <v>5226.17</v>
      </c>
      <c r="P33" s="669" t="s">
        <v>12</v>
      </c>
    </row>
    <row r="34" spans="1:16" x14ac:dyDescent="0.2">
      <c r="A34" s="734" t="s">
        <v>0</v>
      </c>
      <c r="B34" s="735" t="s">
        <v>1380</v>
      </c>
      <c r="C34" s="751" t="e">
        <f>#REF!</f>
        <v>#REF!</v>
      </c>
      <c r="D34" s="662" t="s">
        <v>799</v>
      </c>
      <c r="E34" s="663" t="s">
        <v>864</v>
      </c>
      <c r="F34" s="633"/>
      <c r="G34" s="664" t="s">
        <v>865</v>
      </c>
      <c r="H34" s="664"/>
      <c r="I34" s="664" t="s">
        <v>883</v>
      </c>
      <c r="J34" s="664"/>
      <c r="K34" s="664" t="s">
        <v>628</v>
      </c>
      <c r="L34" s="664"/>
      <c r="M34" s="664" t="s">
        <v>977</v>
      </c>
      <c r="O34" s="631"/>
    </row>
    <row r="35" spans="1:16" x14ac:dyDescent="0.2">
      <c r="A35" s="734"/>
      <c r="B35" s="735"/>
      <c r="C35" s="813" t="s">
        <v>1684</v>
      </c>
      <c r="E35" s="800">
        <v>530.71</v>
      </c>
      <c r="F35" s="662" t="s">
        <v>866</v>
      </c>
      <c r="G35" s="631">
        <v>0.5</v>
      </c>
      <c r="H35" s="631" t="s">
        <v>866</v>
      </c>
      <c r="I35" s="631">
        <f>I26+I57</f>
        <v>0.5625</v>
      </c>
      <c r="J35" s="631" t="s">
        <v>866</v>
      </c>
      <c r="K35" s="631">
        <v>1</v>
      </c>
      <c r="L35" s="631" t="s">
        <v>866</v>
      </c>
      <c r="M35" s="631">
        <v>5</v>
      </c>
      <c r="N35" s="666" t="s">
        <v>799</v>
      </c>
      <c r="O35" s="631">
        <f t="shared" ref="O35" si="5">E35*G35*I35*K35*M35</f>
        <v>746.31093750000002</v>
      </c>
      <c r="P35" s="657" t="s">
        <v>976</v>
      </c>
    </row>
    <row r="36" spans="1:16" x14ac:dyDescent="0.2">
      <c r="A36" s="736"/>
      <c r="B36" s="737"/>
      <c r="C36" s="813" t="s">
        <v>1154</v>
      </c>
      <c r="E36" s="800">
        <v>7343.15</v>
      </c>
      <c r="F36" s="662" t="s">
        <v>866</v>
      </c>
      <c r="G36" s="631">
        <v>0.6</v>
      </c>
      <c r="H36" s="631" t="s">
        <v>866</v>
      </c>
      <c r="I36" s="631">
        <f>I27+I58</f>
        <v>0.60000000000000009</v>
      </c>
      <c r="J36" s="631" t="s">
        <v>866</v>
      </c>
      <c r="K36" s="631">
        <v>1</v>
      </c>
      <c r="L36" s="631" t="s">
        <v>866</v>
      </c>
      <c r="M36" s="631">
        <v>5</v>
      </c>
      <c r="N36" s="666" t="s">
        <v>799</v>
      </c>
      <c r="O36" s="631">
        <f t="shared" ref="O36:O38" si="6">E36*G36*I36*K36*M36</f>
        <v>13217.67</v>
      </c>
      <c r="P36" s="657" t="s">
        <v>976</v>
      </c>
    </row>
    <row r="37" spans="1:16" x14ac:dyDescent="0.2">
      <c r="A37" s="736"/>
      <c r="B37" s="737"/>
      <c r="C37" s="813" t="s">
        <v>1155</v>
      </c>
      <c r="E37" s="481">
        <v>15879.73</v>
      </c>
      <c r="F37" s="662" t="s">
        <v>866</v>
      </c>
      <c r="G37" s="631">
        <v>0.6</v>
      </c>
      <c r="H37" s="631" t="s">
        <v>866</v>
      </c>
      <c r="I37" s="631">
        <f>I28+I59</f>
        <v>0.625</v>
      </c>
      <c r="J37" s="631" t="s">
        <v>866</v>
      </c>
      <c r="K37" s="631">
        <v>1</v>
      </c>
      <c r="L37" s="631" t="s">
        <v>866</v>
      </c>
      <c r="M37" s="631">
        <v>5</v>
      </c>
      <c r="N37" s="666" t="s">
        <v>799</v>
      </c>
      <c r="O37" s="631">
        <f t="shared" si="6"/>
        <v>29774.493750000001</v>
      </c>
      <c r="P37" s="657" t="s">
        <v>976</v>
      </c>
    </row>
    <row r="38" spans="1:16" x14ac:dyDescent="0.2">
      <c r="A38" s="736"/>
      <c r="B38" s="737"/>
      <c r="C38" s="813" t="s">
        <v>1156</v>
      </c>
      <c r="E38" s="481">
        <v>3669.97</v>
      </c>
      <c r="F38" s="662" t="s">
        <v>866</v>
      </c>
      <c r="G38" s="631">
        <v>0.6</v>
      </c>
      <c r="H38" s="631" t="s">
        <v>866</v>
      </c>
      <c r="I38" s="631">
        <f>I29+I60</f>
        <v>0.64999999999999991</v>
      </c>
      <c r="J38" s="631" t="s">
        <v>866</v>
      </c>
      <c r="K38" s="631">
        <v>1</v>
      </c>
      <c r="L38" s="631" t="s">
        <v>866</v>
      </c>
      <c r="M38" s="631">
        <v>5</v>
      </c>
      <c r="N38" s="666" t="s">
        <v>799</v>
      </c>
      <c r="O38" s="631">
        <f t="shared" si="6"/>
        <v>7156.441499999999</v>
      </c>
      <c r="P38" s="657" t="s">
        <v>976</v>
      </c>
    </row>
    <row r="39" spans="1:16" x14ac:dyDescent="0.2">
      <c r="A39" s="736"/>
      <c r="B39" s="737"/>
      <c r="C39" s="824" t="s">
        <v>982</v>
      </c>
      <c r="F39" s="662"/>
      <c r="G39" s="631"/>
      <c r="H39" s="631"/>
      <c r="I39" s="631"/>
      <c r="J39" s="631"/>
      <c r="K39" s="631"/>
      <c r="L39" s="631"/>
      <c r="M39" s="631"/>
      <c r="N39" s="666"/>
      <c r="O39" s="631"/>
      <c r="P39" s="657"/>
    </row>
    <row r="40" spans="1:16" x14ac:dyDescent="0.2">
      <c r="A40" s="736"/>
      <c r="B40" s="737"/>
      <c r="C40" s="665" t="s">
        <v>1676</v>
      </c>
      <c r="E40" s="661">
        <v>4</v>
      </c>
      <c r="F40" s="662" t="s">
        <v>866</v>
      </c>
      <c r="G40" s="631">
        <v>0.4</v>
      </c>
      <c r="H40" s="631" t="s">
        <v>866</v>
      </c>
      <c r="I40" s="631">
        <f>I31+I62</f>
        <v>0.5625</v>
      </c>
      <c r="J40" s="631" t="s">
        <v>866</v>
      </c>
      <c r="K40" s="631">
        <v>148</v>
      </c>
      <c r="L40" s="631" t="s">
        <v>866</v>
      </c>
      <c r="M40" s="631">
        <v>5</v>
      </c>
      <c r="N40" s="666" t="s">
        <v>799</v>
      </c>
      <c r="O40" s="631">
        <f>E40*G40*I40*K40*M40</f>
        <v>666.00000000000011</v>
      </c>
      <c r="P40" s="657" t="s">
        <v>976</v>
      </c>
    </row>
    <row r="41" spans="1:16" ht="13.5" thickBot="1" x14ac:dyDescent="0.25">
      <c r="A41" s="736"/>
      <c r="B41" s="737"/>
      <c r="C41" s="665" t="s">
        <v>1685</v>
      </c>
      <c r="E41" s="661">
        <v>4</v>
      </c>
      <c r="F41" s="662" t="s">
        <v>866</v>
      </c>
      <c r="G41" s="631">
        <v>0.4</v>
      </c>
      <c r="H41" s="631" t="s">
        <v>866</v>
      </c>
      <c r="I41" s="631">
        <f>I32+I63</f>
        <v>0.5625</v>
      </c>
      <c r="J41" s="631" t="s">
        <v>866</v>
      </c>
      <c r="K41" s="631">
        <v>45</v>
      </c>
      <c r="L41" s="631" t="s">
        <v>866</v>
      </c>
      <c r="M41" s="631">
        <v>5</v>
      </c>
      <c r="N41" s="666" t="s">
        <v>799</v>
      </c>
      <c r="O41" s="631">
        <f>E41*G41*I41*K41*M41</f>
        <v>202.5</v>
      </c>
      <c r="P41" s="657" t="s">
        <v>976</v>
      </c>
    </row>
    <row r="42" spans="1:16" ht="13.5" thickBot="1" x14ac:dyDescent="0.25">
      <c r="A42" s="736"/>
      <c r="B42" s="737"/>
      <c r="C42" s="667"/>
      <c r="F42" s="666"/>
      <c r="G42" s="631"/>
      <c r="H42" s="631"/>
      <c r="I42" s="631"/>
      <c r="J42" s="631"/>
      <c r="K42" s="631"/>
      <c r="L42" s="631"/>
      <c r="M42" s="631"/>
      <c r="N42" s="666"/>
      <c r="O42" s="668">
        <f>ROUND((SUM(O35:O41)),2)</f>
        <v>51763.42</v>
      </c>
      <c r="P42" s="711" t="s">
        <v>976</v>
      </c>
    </row>
    <row r="43" spans="1:16" x14ac:dyDescent="0.2">
      <c r="A43" s="736"/>
      <c r="B43" s="737"/>
      <c r="C43" s="667"/>
      <c r="F43" s="666"/>
      <c r="G43" s="631"/>
      <c r="H43" s="631"/>
      <c r="I43" s="631"/>
      <c r="J43" s="631"/>
      <c r="K43" s="631"/>
      <c r="L43" s="631"/>
      <c r="M43" s="631"/>
      <c r="N43" s="666"/>
      <c r="O43" s="632"/>
      <c r="P43" s="657"/>
    </row>
    <row r="44" spans="1:16" x14ac:dyDescent="0.2">
      <c r="A44" s="734" t="s">
        <v>0</v>
      </c>
      <c r="B44" s="735" t="s">
        <v>1381</v>
      </c>
      <c r="C44" s="678" t="e">
        <f>#REF!</f>
        <v>#REF!</v>
      </c>
      <c r="D44" s="662" t="s">
        <v>799</v>
      </c>
      <c r="E44" s="663" t="s">
        <v>864</v>
      </c>
      <c r="F44" s="633"/>
      <c r="G44" s="664" t="s">
        <v>865</v>
      </c>
      <c r="H44" s="664"/>
      <c r="I44" s="664" t="s">
        <v>883</v>
      </c>
      <c r="J44" s="664"/>
      <c r="K44" s="664" t="s">
        <v>628</v>
      </c>
      <c r="L44" s="664"/>
      <c r="M44" s="664"/>
      <c r="O44" s="631"/>
    </row>
    <row r="45" spans="1:16" x14ac:dyDescent="0.2">
      <c r="A45" s="734"/>
      <c r="B45" s="735"/>
      <c r="C45" s="813" t="s">
        <v>1684</v>
      </c>
      <c r="E45" s="800">
        <v>530.71</v>
      </c>
      <c r="F45" s="662" t="s">
        <v>866</v>
      </c>
      <c r="G45" s="631">
        <v>0.5</v>
      </c>
      <c r="H45" s="631" t="s">
        <v>866</v>
      </c>
      <c r="I45" s="631">
        <f>I17-(I26+I57)</f>
        <v>0.55000000000000004</v>
      </c>
      <c r="J45" s="631" t="s">
        <v>866</v>
      </c>
      <c r="K45" s="631">
        <v>1</v>
      </c>
      <c r="L45" s="631"/>
      <c r="M45" s="631"/>
      <c r="N45" s="666" t="s">
        <v>799</v>
      </c>
      <c r="O45" s="631">
        <f>E45*G45*I45*K45</f>
        <v>145.94525000000002</v>
      </c>
      <c r="P45" s="630" t="s">
        <v>12</v>
      </c>
    </row>
    <row r="46" spans="1:16" x14ac:dyDescent="0.2">
      <c r="A46" s="736"/>
      <c r="B46" s="737"/>
      <c r="C46" s="813" t="s">
        <v>1154</v>
      </c>
      <c r="E46" s="800">
        <v>7343.15</v>
      </c>
      <c r="F46" s="662" t="s">
        <v>866</v>
      </c>
      <c r="G46" s="631">
        <v>0.6</v>
      </c>
      <c r="H46" s="631" t="s">
        <v>866</v>
      </c>
      <c r="I46" s="631">
        <f t="shared" ref="I46:I51" si="7">I18-(I27+I58)</f>
        <v>0.54999999999999982</v>
      </c>
      <c r="J46" s="631" t="s">
        <v>866</v>
      </c>
      <c r="K46" s="631">
        <v>1</v>
      </c>
      <c r="L46" s="631"/>
      <c r="M46" s="631"/>
      <c r="N46" s="666" t="s">
        <v>799</v>
      </c>
      <c r="O46" s="631">
        <f>E46*G46*I46*K46</f>
        <v>2423.2394999999988</v>
      </c>
      <c r="P46" s="630" t="s">
        <v>12</v>
      </c>
    </row>
    <row r="47" spans="1:16" x14ac:dyDescent="0.2">
      <c r="A47" s="736"/>
      <c r="B47" s="737"/>
      <c r="C47" s="813" t="s">
        <v>1155</v>
      </c>
      <c r="E47" s="481">
        <v>15879.73</v>
      </c>
      <c r="F47" s="662" t="s">
        <v>866</v>
      </c>
      <c r="G47" s="631">
        <v>0.6</v>
      </c>
      <c r="H47" s="631" t="s">
        <v>866</v>
      </c>
      <c r="I47" s="631">
        <f t="shared" si="7"/>
        <v>0.55000000000000004</v>
      </c>
      <c r="J47" s="631" t="s">
        <v>866</v>
      </c>
      <c r="K47" s="631">
        <v>1</v>
      </c>
      <c r="L47" s="631"/>
      <c r="M47" s="631"/>
      <c r="N47" s="666" t="s">
        <v>799</v>
      </c>
      <c r="O47" s="631">
        <f t="shared" ref="O47:O51" si="8">E47*G47*I47*K47</f>
        <v>5240.3109000000004</v>
      </c>
      <c r="P47" s="630" t="s">
        <v>12</v>
      </c>
    </row>
    <row r="48" spans="1:16" x14ac:dyDescent="0.2">
      <c r="A48" s="736"/>
      <c r="B48" s="737"/>
      <c r="C48" s="813" t="s">
        <v>1156</v>
      </c>
      <c r="E48" s="481">
        <v>3669.97</v>
      </c>
      <c r="F48" s="662" t="s">
        <v>866</v>
      </c>
      <c r="G48" s="631">
        <v>0.6</v>
      </c>
      <c r="H48" s="631" t="s">
        <v>866</v>
      </c>
      <c r="I48" s="631">
        <f t="shared" si="7"/>
        <v>0.55000000000000004</v>
      </c>
      <c r="J48" s="631" t="s">
        <v>866</v>
      </c>
      <c r="K48" s="631">
        <v>1</v>
      </c>
      <c r="L48" s="631"/>
      <c r="M48" s="631"/>
      <c r="N48" s="666" t="s">
        <v>799</v>
      </c>
      <c r="O48" s="631">
        <f t="shared" si="8"/>
        <v>1211.0901000000001</v>
      </c>
      <c r="P48" s="630" t="s">
        <v>12</v>
      </c>
    </row>
    <row r="49" spans="1:16" x14ac:dyDescent="0.2">
      <c r="A49" s="736"/>
      <c r="B49" s="737"/>
      <c r="C49" s="824" t="s">
        <v>982</v>
      </c>
      <c r="F49" s="662"/>
      <c r="G49" s="631"/>
      <c r="H49" s="631"/>
      <c r="I49" s="631"/>
      <c r="J49" s="631"/>
      <c r="K49" s="631"/>
      <c r="L49" s="631"/>
      <c r="M49" s="631"/>
      <c r="N49" s="666"/>
      <c r="O49" s="631"/>
      <c r="P49" s="630"/>
    </row>
    <row r="50" spans="1:16" x14ac:dyDescent="0.2">
      <c r="A50" s="736"/>
      <c r="B50" s="737"/>
      <c r="C50" s="665" t="s">
        <v>1676</v>
      </c>
      <c r="E50" s="661">
        <v>4</v>
      </c>
      <c r="F50" s="662" t="s">
        <v>866</v>
      </c>
      <c r="G50" s="631">
        <v>0.4</v>
      </c>
      <c r="H50" s="631" t="s">
        <v>866</v>
      </c>
      <c r="I50" s="631">
        <f t="shared" si="7"/>
        <v>0.25</v>
      </c>
      <c r="J50" s="631" t="s">
        <v>866</v>
      </c>
      <c r="K50" s="631">
        <v>148</v>
      </c>
      <c r="L50" s="631"/>
      <c r="M50" s="631"/>
      <c r="N50" s="666" t="s">
        <v>799</v>
      </c>
      <c r="O50" s="631">
        <f t="shared" si="8"/>
        <v>59.2</v>
      </c>
      <c r="P50" s="630" t="s">
        <v>12</v>
      </c>
    </row>
    <row r="51" spans="1:16" ht="13.5" thickBot="1" x14ac:dyDescent="0.25">
      <c r="A51" s="736"/>
      <c r="B51" s="737"/>
      <c r="C51" s="665" t="s">
        <v>1685</v>
      </c>
      <c r="E51" s="661">
        <v>4</v>
      </c>
      <c r="F51" s="662" t="s">
        <v>866</v>
      </c>
      <c r="G51" s="631">
        <v>0.4</v>
      </c>
      <c r="H51" s="631" t="s">
        <v>866</v>
      </c>
      <c r="I51" s="631">
        <f t="shared" si="7"/>
        <v>0.25</v>
      </c>
      <c r="J51" s="631" t="s">
        <v>866</v>
      </c>
      <c r="K51" s="631">
        <v>45</v>
      </c>
      <c r="L51" s="631"/>
      <c r="M51" s="631"/>
      <c r="N51" s="666" t="s">
        <v>799</v>
      </c>
      <c r="O51" s="631">
        <f t="shared" si="8"/>
        <v>18</v>
      </c>
      <c r="P51" s="630" t="s">
        <v>12</v>
      </c>
    </row>
    <row r="52" spans="1:16" ht="13.5" thickBot="1" x14ac:dyDescent="0.25">
      <c r="A52" s="736"/>
      <c r="B52" s="737"/>
      <c r="C52" s="667"/>
      <c r="F52" s="666"/>
      <c r="G52" s="631"/>
      <c r="H52" s="631"/>
      <c r="I52" s="631"/>
      <c r="J52" s="631"/>
      <c r="K52" s="631"/>
      <c r="L52" s="631"/>
      <c r="M52" s="631"/>
      <c r="N52" s="666"/>
      <c r="O52" s="668">
        <f>ROUND((SUM(O45:O51)),2)</f>
        <v>9097.7900000000009</v>
      </c>
      <c r="P52" s="669" t="s">
        <v>12</v>
      </c>
    </row>
    <row r="53" spans="1:16" x14ac:dyDescent="0.2">
      <c r="A53" s="736"/>
      <c r="B53" s="737"/>
      <c r="C53" s="667"/>
      <c r="F53" s="666"/>
      <c r="G53" s="631"/>
      <c r="H53" s="631"/>
      <c r="I53" s="631"/>
      <c r="J53" s="631"/>
      <c r="K53" s="631"/>
      <c r="L53" s="631"/>
      <c r="M53" s="631"/>
      <c r="N53" s="666"/>
      <c r="O53" s="632"/>
      <c r="P53" s="633"/>
    </row>
    <row r="54" spans="1:16" x14ac:dyDescent="0.2">
      <c r="A54" s="736"/>
      <c r="B54" s="737"/>
      <c r="C54" s="667"/>
      <c r="F54" s="666"/>
      <c r="G54" s="631"/>
      <c r="H54" s="631"/>
      <c r="I54" s="631"/>
      <c r="J54" s="631"/>
      <c r="K54" s="631"/>
      <c r="L54" s="631"/>
      <c r="M54" s="631"/>
      <c r="N54" s="666"/>
      <c r="O54" s="632"/>
      <c r="P54" s="633"/>
    </row>
    <row r="55" spans="1:16" x14ac:dyDescent="0.2">
      <c r="A55" s="736"/>
      <c r="B55" s="737"/>
      <c r="C55" s="667"/>
      <c r="F55" s="666"/>
      <c r="G55" s="631"/>
      <c r="H55" s="631"/>
      <c r="I55" s="631"/>
      <c r="J55" s="631"/>
      <c r="K55" s="631"/>
      <c r="L55" s="631"/>
      <c r="M55" s="631"/>
      <c r="N55" s="666"/>
      <c r="O55" s="632"/>
      <c r="P55" s="633"/>
    </row>
    <row r="56" spans="1:16" ht="35.25" customHeight="1" x14ac:dyDescent="0.2">
      <c r="A56" s="734" t="s">
        <v>0</v>
      </c>
      <c r="B56" s="735" t="s">
        <v>1382</v>
      </c>
      <c r="C56" s="751" t="e">
        <f>#REF!</f>
        <v>#REF!</v>
      </c>
      <c r="D56" s="662" t="s">
        <v>799</v>
      </c>
      <c r="E56" s="663" t="s">
        <v>864</v>
      </c>
      <c r="F56" s="633"/>
      <c r="G56" s="664" t="s">
        <v>865</v>
      </c>
      <c r="H56" s="664"/>
      <c r="I56" s="664" t="s">
        <v>883</v>
      </c>
      <c r="J56" s="664"/>
      <c r="K56" s="664"/>
      <c r="L56" s="664"/>
      <c r="M56" s="664"/>
      <c r="O56" s="631"/>
    </row>
    <row r="57" spans="1:16" ht="12.75" customHeight="1" x14ac:dyDescent="0.2">
      <c r="A57" s="734"/>
      <c r="B57" s="735"/>
      <c r="C57" s="813" t="s">
        <v>1684</v>
      </c>
      <c r="E57" s="800">
        <v>530.71</v>
      </c>
      <c r="F57" s="662" t="s">
        <v>866</v>
      </c>
      <c r="G57" s="631">
        <v>0.5</v>
      </c>
      <c r="H57" s="631" t="s">
        <v>866</v>
      </c>
      <c r="I57" s="631">
        <v>0.3</v>
      </c>
      <c r="J57" s="631"/>
      <c r="K57" s="631"/>
      <c r="L57" s="631"/>
      <c r="M57" s="631"/>
      <c r="N57" s="666" t="s">
        <v>799</v>
      </c>
      <c r="O57" s="631">
        <f>E57*G57*I57</f>
        <v>79.606499999999997</v>
      </c>
      <c r="P57" s="630" t="s">
        <v>12</v>
      </c>
    </row>
    <row r="58" spans="1:16" x14ac:dyDescent="0.2">
      <c r="A58" s="736"/>
      <c r="B58" s="737"/>
      <c r="C58" s="813" t="s">
        <v>1154</v>
      </c>
      <c r="E58" s="800">
        <v>7343.15</v>
      </c>
      <c r="F58" s="662" t="s">
        <v>866</v>
      </c>
      <c r="G58" s="631">
        <v>0.6</v>
      </c>
      <c r="H58" s="631" t="s">
        <v>866</v>
      </c>
      <c r="I58" s="631">
        <v>0.3</v>
      </c>
      <c r="J58" s="631"/>
      <c r="K58" s="631"/>
      <c r="L58" s="631"/>
      <c r="M58" s="631"/>
      <c r="N58" s="666" t="s">
        <v>799</v>
      </c>
      <c r="O58" s="631">
        <f>E58*G58*I58</f>
        <v>1321.7669999999998</v>
      </c>
      <c r="P58" s="630" t="s">
        <v>12</v>
      </c>
    </row>
    <row r="59" spans="1:16" x14ac:dyDescent="0.2">
      <c r="A59" s="736"/>
      <c r="B59" s="737"/>
      <c r="C59" s="813" t="s">
        <v>1155</v>
      </c>
      <c r="E59" s="481">
        <v>15879.73</v>
      </c>
      <c r="F59" s="662" t="s">
        <v>866</v>
      </c>
      <c r="G59" s="631">
        <v>0.6</v>
      </c>
      <c r="H59" s="631" t="s">
        <v>866</v>
      </c>
      <c r="I59" s="631">
        <v>0.3</v>
      </c>
      <c r="J59" s="631"/>
      <c r="K59" s="631"/>
      <c r="L59" s="631"/>
      <c r="M59" s="631"/>
      <c r="N59" s="666" t="s">
        <v>799</v>
      </c>
      <c r="O59" s="631">
        <f>E59*G59*I59</f>
        <v>2858.3514</v>
      </c>
      <c r="P59" s="630" t="s">
        <v>12</v>
      </c>
    </row>
    <row r="60" spans="1:16" x14ac:dyDescent="0.2">
      <c r="A60" s="736"/>
      <c r="B60" s="737"/>
      <c r="C60" s="813" t="s">
        <v>1156</v>
      </c>
      <c r="E60" s="481">
        <v>3669.97</v>
      </c>
      <c r="F60" s="662" t="s">
        <v>866</v>
      </c>
      <c r="G60" s="631">
        <v>0.6</v>
      </c>
      <c r="H60" s="631" t="s">
        <v>866</v>
      </c>
      <c r="I60" s="631">
        <v>0.3</v>
      </c>
      <c r="J60" s="631"/>
      <c r="K60" s="631"/>
      <c r="L60" s="631"/>
      <c r="M60" s="631"/>
      <c r="N60" s="666" t="s">
        <v>799</v>
      </c>
      <c r="O60" s="631">
        <f t="shared" ref="O60:O63" si="9">E60*G60*I60</f>
        <v>660.59460000000001</v>
      </c>
      <c r="P60" s="630" t="s">
        <v>12</v>
      </c>
    </row>
    <row r="61" spans="1:16" x14ac:dyDescent="0.2">
      <c r="A61" s="736"/>
      <c r="B61" s="737"/>
      <c r="C61" s="824" t="s">
        <v>982</v>
      </c>
      <c r="F61" s="662"/>
      <c r="G61" s="631"/>
      <c r="H61" s="631"/>
      <c r="I61" s="631"/>
      <c r="J61" s="631"/>
      <c r="K61" s="631"/>
      <c r="L61" s="631"/>
      <c r="M61" s="631"/>
      <c r="N61" s="666"/>
      <c r="O61" s="631"/>
      <c r="P61" s="630"/>
    </row>
    <row r="62" spans="1:16" x14ac:dyDescent="0.2">
      <c r="A62" s="736"/>
      <c r="B62" s="737"/>
      <c r="C62" s="665" t="s">
        <v>1676</v>
      </c>
      <c r="E62" s="661">
        <f>E$22*K$22</f>
        <v>592</v>
      </c>
      <c r="F62" s="662" t="s">
        <v>866</v>
      </c>
      <c r="G62" s="631">
        <v>0.4</v>
      </c>
      <c r="H62" s="631" t="s">
        <v>866</v>
      </c>
      <c r="I62" s="631">
        <v>0.3</v>
      </c>
      <c r="J62" s="631"/>
      <c r="K62" s="631"/>
      <c r="L62" s="631"/>
      <c r="M62" s="631"/>
      <c r="N62" s="666" t="s">
        <v>799</v>
      </c>
      <c r="O62" s="631">
        <f>E62*G62*I62</f>
        <v>71.040000000000006</v>
      </c>
      <c r="P62" s="630" t="s">
        <v>12</v>
      </c>
    </row>
    <row r="63" spans="1:16" ht="13.5" thickBot="1" x14ac:dyDescent="0.25">
      <c r="A63" s="736"/>
      <c r="B63" s="737"/>
      <c r="C63" s="665" t="s">
        <v>1685</v>
      </c>
      <c r="E63" s="661">
        <f>E$23*K$23</f>
        <v>180</v>
      </c>
      <c r="F63" s="662" t="s">
        <v>866</v>
      </c>
      <c r="G63" s="631">
        <v>0.4</v>
      </c>
      <c r="H63" s="631" t="s">
        <v>866</v>
      </c>
      <c r="I63" s="631">
        <v>0.3</v>
      </c>
      <c r="J63" s="631"/>
      <c r="K63" s="631"/>
      <c r="L63" s="631"/>
      <c r="M63" s="631"/>
      <c r="N63" s="666" t="s">
        <v>799</v>
      </c>
      <c r="O63" s="631">
        <f t="shared" si="9"/>
        <v>21.599999999999998</v>
      </c>
      <c r="P63" s="630" t="s">
        <v>12</v>
      </c>
    </row>
    <row r="64" spans="1:16" ht="13.5" thickBot="1" x14ac:dyDescent="0.25">
      <c r="A64" s="736"/>
      <c r="B64" s="737"/>
      <c r="C64" s="737"/>
      <c r="F64" s="666"/>
      <c r="G64" s="631"/>
      <c r="H64" s="631"/>
      <c r="I64" s="631"/>
      <c r="J64" s="631"/>
      <c r="K64" s="631"/>
      <c r="L64" s="631"/>
      <c r="M64" s="631"/>
      <c r="N64" s="666"/>
      <c r="O64" s="668">
        <f>ROUND((SUM(O57:O63)),2)</f>
        <v>5012.96</v>
      </c>
      <c r="P64" s="669" t="s">
        <v>12</v>
      </c>
    </row>
    <row r="65" spans="1:16" x14ac:dyDescent="0.2">
      <c r="A65" s="734" t="s">
        <v>0</v>
      </c>
      <c r="B65" s="735" t="s">
        <v>1383</v>
      </c>
      <c r="C65" s="678" t="e">
        <f>#REF!</f>
        <v>#REF!</v>
      </c>
      <c r="D65" s="662" t="s">
        <v>799</v>
      </c>
      <c r="E65" s="663" t="s">
        <v>864</v>
      </c>
      <c r="F65" s="633"/>
      <c r="G65" s="664"/>
      <c r="H65" s="664"/>
      <c r="I65" s="664"/>
      <c r="J65" s="664"/>
      <c r="K65" s="664"/>
      <c r="L65" s="664"/>
      <c r="M65" s="664"/>
      <c r="O65" s="631"/>
    </row>
    <row r="66" spans="1:16" ht="13.5" thickBot="1" x14ac:dyDescent="0.25">
      <c r="A66" s="736"/>
      <c r="B66" s="737"/>
      <c r="C66" s="813" t="s">
        <v>1684</v>
      </c>
      <c r="E66" s="800">
        <v>530.71</v>
      </c>
      <c r="F66" s="662"/>
      <c r="G66" s="631"/>
      <c r="H66" s="631"/>
      <c r="I66" s="631"/>
      <c r="J66" s="631"/>
      <c r="K66" s="631"/>
      <c r="L66" s="631"/>
      <c r="M66" s="631"/>
      <c r="N66" s="666" t="s">
        <v>799</v>
      </c>
      <c r="O66" s="631">
        <f>E66</f>
        <v>530.71</v>
      </c>
      <c r="P66" s="630" t="s">
        <v>6</v>
      </c>
    </row>
    <row r="67" spans="1:16" ht="13.5" thickBot="1" x14ac:dyDescent="0.25">
      <c r="A67" s="736"/>
      <c r="B67" s="737"/>
      <c r="C67" s="667"/>
      <c r="F67" s="666"/>
      <c r="G67" s="631"/>
      <c r="H67" s="631"/>
      <c r="I67" s="631"/>
      <c r="J67" s="631"/>
      <c r="K67" s="631"/>
      <c r="L67" s="631"/>
      <c r="M67" s="631"/>
      <c r="N67" s="666"/>
      <c r="O67" s="668">
        <f>ROUND((SUM(O66:O66)),2)</f>
        <v>530.71</v>
      </c>
      <c r="P67" s="669" t="s">
        <v>6</v>
      </c>
    </row>
    <row r="68" spans="1:16" x14ac:dyDescent="0.2">
      <c r="A68" s="734" t="s">
        <v>0</v>
      </c>
      <c r="B68" s="735" t="s">
        <v>1384</v>
      </c>
      <c r="C68" s="678" t="e">
        <f>#REF!</f>
        <v>#REF!</v>
      </c>
      <c r="D68" s="662" t="s">
        <v>799</v>
      </c>
      <c r="E68" s="663" t="s">
        <v>864</v>
      </c>
      <c r="F68" s="633"/>
      <c r="G68" s="664"/>
      <c r="H68" s="664"/>
      <c r="I68" s="664"/>
      <c r="J68" s="664"/>
      <c r="K68" s="664"/>
      <c r="L68" s="664"/>
      <c r="M68" s="664"/>
      <c r="O68" s="631"/>
    </row>
    <row r="69" spans="1:16" ht="13.5" thickBot="1" x14ac:dyDescent="0.25">
      <c r="A69" s="736"/>
      <c r="B69" s="737"/>
      <c r="C69" s="813" t="s">
        <v>1154</v>
      </c>
      <c r="E69" s="800">
        <v>7343.15</v>
      </c>
      <c r="F69" s="662"/>
      <c r="G69" s="631"/>
      <c r="H69" s="631"/>
      <c r="I69" s="631"/>
      <c r="J69" s="631"/>
      <c r="K69" s="631"/>
      <c r="L69" s="631"/>
      <c r="M69" s="631"/>
      <c r="N69" s="666" t="s">
        <v>799</v>
      </c>
      <c r="O69" s="631">
        <f>E69</f>
        <v>7343.15</v>
      </c>
      <c r="P69" s="630" t="s">
        <v>6</v>
      </c>
    </row>
    <row r="70" spans="1:16" ht="13.5" thickBot="1" x14ac:dyDescent="0.25">
      <c r="A70" s="736"/>
      <c r="B70" s="737"/>
      <c r="C70" s="667"/>
      <c r="F70" s="666"/>
      <c r="G70" s="631"/>
      <c r="H70" s="631"/>
      <c r="I70" s="631"/>
      <c r="J70" s="631"/>
      <c r="K70" s="631"/>
      <c r="L70" s="631"/>
      <c r="M70" s="631"/>
      <c r="N70" s="666"/>
      <c r="O70" s="668">
        <f>ROUND((SUM(O69:O69)),2)</f>
        <v>7343.15</v>
      </c>
      <c r="P70" s="669" t="s">
        <v>6</v>
      </c>
    </row>
    <row r="71" spans="1:16" x14ac:dyDescent="0.2">
      <c r="A71" s="734" t="s">
        <v>0</v>
      </c>
      <c r="B71" s="735" t="s">
        <v>1385</v>
      </c>
      <c r="C71" s="678" t="e">
        <f>#REF!</f>
        <v>#REF!</v>
      </c>
      <c r="D71" s="662" t="s">
        <v>799</v>
      </c>
      <c r="E71" s="663" t="s">
        <v>864</v>
      </c>
      <c r="F71" s="633"/>
      <c r="G71" s="664"/>
      <c r="H71" s="664"/>
      <c r="I71" s="664"/>
      <c r="J71" s="664"/>
      <c r="K71" s="664"/>
      <c r="L71" s="664"/>
      <c r="M71" s="664"/>
      <c r="O71" s="631"/>
    </row>
    <row r="72" spans="1:16" ht="13.5" thickBot="1" x14ac:dyDescent="0.25">
      <c r="A72" s="736"/>
      <c r="B72" s="737"/>
      <c r="C72" s="813" t="s">
        <v>1155</v>
      </c>
      <c r="E72" s="481">
        <v>15879.73</v>
      </c>
      <c r="F72" s="662"/>
      <c r="G72" s="631"/>
      <c r="H72" s="631"/>
      <c r="I72" s="631"/>
      <c r="J72" s="631"/>
      <c r="K72" s="631"/>
      <c r="L72" s="631"/>
      <c r="M72" s="631"/>
      <c r="N72" s="666" t="s">
        <v>799</v>
      </c>
      <c r="O72" s="631">
        <f>E72</f>
        <v>15879.73</v>
      </c>
      <c r="P72" s="630" t="s">
        <v>6</v>
      </c>
    </row>
    <row r="73" spans="1:16" ht="13.5" thickBot="1" x14ac:dyDescent="0.25">
      <c r="A73" s="736"/>
      <c r="B73" s="737"/>
      <c r="C73" s="667"/>
      <c r="F73" s="666"/>
      <c r="G73" s="631"/>
      <c r="H73" s="631"/>
      <c r="I73" s="631"/>
      <c r="J73" s="631"/>
      <c r="K73" s="631"/>
      <c r="L73" s="631"/>
      <c r="M73" s="631"/>
      <c r="N73" s="666"/>
      <c r="O73" s="668">
        <f>ROUND((SUM(O72:O72)),2)</f>
        <v>15879.73</v>
      </c>
      <c r="P73" s="669" t="s">
        <v>6</v>
      </c>
    </row>
    <row r="74" spans="1:16" ht="28.5" customHeight="1" x14ac:dyDescent="0.2">
      <c r="A74" s="734" t="s">
        <v>0</v>
      </c>
      <c r="B74" s="735" t="s">
        <v>1386</v>
      </c>
      <c r="C74" s="678" t="e">
        <f>#REF!</f>
        <v>#REF!</v>
      </c>
      <c r="D74" s="662" t="s">
        <v>799</v>
      </c>
      <c r="E74" s="663" t="s">
        <v>864</v>
      </c>
      <c r="F74" s="633"/>
      <c r="G74" s="664"/>
      <c r="H74" s="664"/>
      <c r="I74" s="664"/>
      <c r="J74" s="664"/>
      <c r="K74" s="664"/>
      <c r="L74" s="664"/>
      <c r="M74" s="664"/>
      <c r="O74" s="631"/>
    </row>
    <row r="75" spans="1:16" ht="13.5" thickBot="1" x14ac:dyDescent="0.25">
      <c r="A75" s="736"/>
      <c r="B75" s="737"/>
      <c r="C75" s="813" t="s">
        <v>1156</v>
      </c>
      <c r="E75" s="481">
        <v>3669.97</v>
      </c>
      <c r="F75" s="662"/>
      <c r="G75" s="631"/>
      <c r="H75" s="631"/>
      <c r="I75" s="631"/>
      <c r="J75" s="631"/>
      <c r="K75" s="631"/>
      <c r="L75" s="631"/>
      <c r="M75" s="631"/>
      <c r="N75" s="666" t="s">
        <v>799</v>
      </c>
      <c r="O75" s="631">
        <f>E75</f>
        <v>3669.97</v>
      </c>
      <c r="P75" s="630" t="s">
        <v>6</v>
      </c>
    </row>
    <row r="76" spans="1:16" ht="13.5" thickBot="1" x14ac:dyDescent="0.25">
      <c r="A76" s="736"/>
      <c r="B76" s="737"/>
      <c r="C76" s="667"/>
      <c r="F76" s="666"/>
      <c r="G76" s="631"/>
      <c r="H76" s="631"/>
      <c r="I76" s="631"/>
      <c r="J76" s="631"/>
      <c r="K76" s="631"/>
      <c r="L76" s="631"/>
      <c r="M76" s="631"/>
      <c r="N76" s="666"/>
      <c r="O76" s="668">
        <f>ROUND((SUM(O75:O75)),2)</f>
        <v>3669.97</v>
      </c>
      <c r="P76" s="669" t="s">
        <v>6</v>
      </c>
    </row>
    <row r="77" spans="1:16" ht="40.5" customHeight="1" x14ac:dyDescent="0.2">
      <c r="A77" s="734" t="s">
        <v>0</v>
      </c>
      <c r="B77" s="735" t="s">
        <v>1387</v>
      </c>
      <c r="C77" s="751" t="e">
        <f>#REF!</f>
        <v>#REF!</v>
      </c>
      <c r="D77" s="662" t="s">
        <v>799</v>
      </c>
      <c r="E77" s="663" t="s">
        <v>628</v>
      </c>
      <c r="F77" s="633"/>
      <c r="G77" s="664"/>
      <c r="H77" s="664"/>
      <c r="I77" s="664"/>
      <c r="J77" s="664"/>
      <c r="K77" s="664"/>
      <c r="L77" s="664"/>
      <c r="M77" s="664"/>
      <c r="O77" s="631"/>
    </row>
    <row r="78" spans="1:16" ht="13.5" thickBot="1" x14ac:dyDescent="0.25">
      <c r="A78" s="736"/>
      <c r="B78" s="737"/>
      <c r="C78" s="665" t="s">
        <v>1154</v>
      </c>
      <c r="E78" s="661">
        <v>4</v>
      </c>
      <c r="F78" s="662"/>
      <c r="G78" s="631"/>
      <c r="H78" s="631"/>
      <c r="I78" s="631"/>
      <c r="J78" s="631"/>
      <c r="K78" s="631"/>
      <c r="L78" s="631"/>
      <c r="M78" s="631"/>
      <c r="N78" s="666" t="s">
        <v>799</v>
      </c>
      <c r="O78" s="631">
        <f>E78</f>
        <v>4</v>
      </c>
      <c r="P78" s="657" t="s">
        <v>2</v>
      </c>
    </row>
    <row r="79" spans="1:16" ht="13.5" thickBot="1" x14ac:dyDescent="0.25">
      <c r="A79" s="736"/>
      <c r="B79" s="737"/>
      <c r="C79" s="667"/>
      <c r="F79" s="666"/>
      <c r="G79" s="631"/>
      <c r="H79" s="631"/>
      <c r="I79" s="631"/>
      <c r="J79" s="631"/>
      <c r="K79" s="631"/>
      <c r="L79" s="631"/>
      <c r="M79" s="631"/>
      <c r="N79" s="666"/>
      <c r="O79" s="668">
        <f>ROUND((SUM(O78:O78)),2)</f>
        <v>4</v>
      </c>
      <c r="P79" s="669" t="s">
        <v>2</v>
      </c>
    </row>
    <row r="80" spans="1:16" ht="40.5" customHeight="1" x14ac:dyDescent="0.2">
      <c r="A80" s="734" t="s">
        <v>0</v>
      </c>
      <c r="B80" s="735" t="s">
        <v>1388</v>
      </c>
      <c r="C80" s="751" t="e">
        <f>#REF!</f>
        <v>#REF!</v>
      </c>
      <c r="D80" s="662" t="s">
        <v>799</v>
      </c>
      <c r="E80" s="663" t="s">
        <v>628</v>
      </c>
      <c r="F80" s="633"/>
      <c r="G80" s="664"/>
      <c r="H80" s="664"/>
      <c r="I80" s="664"/>
      <c r="J80" s="664"/>
      <c r="K80" s="664"/>
      <c r="L80" s="664"/>
      <c r="M80" s="664"/>
      <c r="O80" s="631"/>
    </row>
    <row r="81" spans="1:16" ht="13.5" thickBot="1" x14ac:dyDescent="0.25">
      <c r="A81" s="736"/>
      <c r="B81" s="737"/>
      <c r="C81" s="665" t="s">
        <v>1155</v>
      </c>
      <c r="E81" s="661">
        <v>6</v>
      </c>
      <c r="F81" s="662"/>
      <c r="G81" s="631"/>
      <c r="H81" s="631"/>
      <c r="I81" s="631"/>
      <c r="J81" s="631"/>
      <c r="K81" s="631"/>
      <c r="L81" s="631"/>
      <c r="M81" s="631"/>
      <c r="N81" s="666" t="s">
        <v>799</v>
      </c>
      <c r="O81" s="631">
        <f>E81</f>
        <v>6</v>
      </c>
      <c r="P81" s="657" t="s">
        <v>2</v>
      </c>
    </row>
    <row r="82" spans="1:16" ht="13.5" thickBot="1" x14ac:dyDescent="0.25">
      <c r="A82" s="736"/>
      <c r="B82" s="737"/>
      <c r="C82" s="667"/>
      <c r="F82" s="666"/>
      <c r="G82" s="631"/>
      <c r="H82" s="631"/>
      <c r="I82" s="631"/>
      <c r="J82" s="631"/>
      <c r="K82" s="631"/>
      <c r="L82" s="631"/>
      <c r="M82" s="631"/>
      <c r="N82" s="666"/>
      <c r="O82" s="668">
        <f>ROUND((SUM(O81:O81)),2)</f>
        <v>6</v>
      </c>
      <c r="P82" s="669" t="s">
        <v>2</v>
      </c>
    </row>
    <row r="83" spans="1:16" ht="46.5" customHeight="1" x14ac:dyDescent="0.2">
      <c r="A83" s="734" t="s">
        <v>0</v>
      </c>
      <c r="B83" s="735" t="s">
        <v>1389</v>
      </c>
      <c r="C83" s="678" t="e">
        <f>#REF!</f>
        <v>#REF!</v>
      </c>
      <c r="D83" s="662" t="s">
        <v>799</v>
      </c>
      <c r="E83" s="663" t="s">
        <v>628</v>
      </c>
      <c r="F83" s="633"/>
      <c r="G83" s="664"/>
      <c r="H83" s="664"/>
      <c r="I83" s="664"/>
      <c r="J83" s="664"/>
      <c r="K83" s="664"/>
      <c r="L83" s="664"/>
      <c r="M83" s="664"/>
      <c r="O83" s="631"/>
    </row>
    <row r="84" spans="1:16" ht="13.5" thickBot="1" x14ac:dyDescent="0.25">
      <c r="A84" s="736"/>
      <c r="B84" s="737"/>
      <c r="C84" s="665" t="s">
        <v>1156</v>
      </c>
      <c r="E84" s="661">
        <v>2</v>
      </c>
      <c r="F84" s="662"/>
      <c r="G84" s="631"/>
      <c r="H84" s="631"/>
      <c r="I84" s="631"/>
      <c r="J84" s="631"/>
      <c r="K84" s="631"/>
      <c r="L84" s="631"/>
      <c r="M84" s="631"/>
      <c r="N84" s="666" t="s">
        <v>799</v>
      </c>
      <c r="O84" s="631">
        <f>E84</f>
        <v>2</v>
      </c>
      <c r="P84" s="657" t="s">
        <v>2</v>
      </c>
    </row>
    <row r="85" spans="1:16" ht="13.5" thickBot="1" x14ac:dyDescent="0.25">
      <c r="A85" s="736"/>
      <c r="B85" s="737"/>
      <c r="C85" s="667"/>
      <c r="F85" s="666"/>
      <c r="G85" s="631"/>
      <c r="H85" s="631"/>
      <c r="I85" s="631"/>
      <c r="J85" s="631"/>
      <c r="K85" s="631"/>
      <c r="L85" s="631"/>
      <c r="M85" s="631"/>
      <c r="N85" s="666"/>
      <c r="O85" s="668">
        <f>ROUND((SUM(O84:O84)),2)</f>
        <v>2</v>
      </c>
      <c r="P85" s="669" t="s">
        <v>2</v>
      </c>
    </row>
    <row r="86" spans="1:16" x14ac:dyDescent="0.2">
      <c r="A86" s="734" t="s">
        <v>0</v>
      </c>
      <c r="B86" s="735" t="s">
        <v>1390</v>
      </c>
      <c r="C86" s="751" t="e">
        <f>#REF!</f>
        <v>#REF!</v>
      </c>
      <c r="D86" s="662" t="s">
        <v>799</v>
      </c>
      <c r="E86" s="663" t="s">
        <v>628</v>
      </c>
      <c r="F86" s="633"/>
      <c r="G86" s="664"/>
      <c r="H86" s="664"/>
      <c r="I86" s="664"/>
      <c r="J86" s="664"/>
      <c r="K86" s="664"/>
      <c r="L86" s="664"/>
      <c r="M86" s="664"/>
      <c r="O86" s="631"/>
    </row>
    <row r="87" spans="1:16" ht="12.75" customHeight="1" x14ac:dyDescent="0.2">
      <c r="A87" s="736"/>
      <c r="B87" s="737"/>
      <c r="C87" s="665" t="s">
        <v>1154</v>
      </c>
      <c r="E87" s="661">
        <v>4</v>
      </c>
      <c r="F87" s="662"/>
      <c r="G87" s="631"/>
      <c r="H87" s="631"/>
      <c r="I87" s="631"/>
      <c r="J87" s="631"/>
      <c r="K87" s="631"/>
      <c r="L87" s="631"/>
      <c r="M87" s="631"/>
      <c r="N87" s="666" t="s">
        <v>799</v>
      </c>
      <c r="O87" s="631">
        <f>E87</f>
        <v>4</v>
      </c>
      <c r="P87" s="657" t="s">
        <v>2</v>
      </c>
    </row>
    <row r="88" spans="1:16" x14ac:dyDescent="0.2">
      <c r="A88" s="736"/>
      <c r="B88" s="737"/>
      <c r="C88" s="665" t="s">
        <v>1155</v>
      </c>
      <c r="E88" s="661">
        <v>6</v>
      </c>
      <c r="F88" s="662"/>
      <c r="G88" s="631"/>
      <c r="H88" s="631"/>
      <c r="I88" s="631"/>
      <c r="J88" s="631"/>
      <c r="K88" s="631"/>
      <c r="L88" s="631"/>
      <c r="M88" s="631"/>
      <c r="N88" s="666" t="s">
        <v>799</v>
      </c>
      <c r="O88" s="631">
        <f>E88</f>
        <v>6</v>
      </c>
      <c r="P88" s="657" t="s">
        <v>2</v>
      </c>
    </row>
    <row r="89" spans="1:16" ht="13.5" thickBot="1" x14ac:dyDescent="0.25">
      <c r="A89" s="736"/>
      <c r="B89" s="737"/>
      <c r="C89" s="665" t="s">
        <v>1156</v>
      </c>
      <c r="E89" s="661">
        <v>2</v>
      </c>
      <c r="F89" s="662"/>
      <c r="G89" s="631"/>
      <c r="H89" s="631"/>
      <c r="I89" s="631"/>
      <c r="J89" s="631"/>
      <c r="K89" s="631"/>
      <c r="L89" s="631"/>
      <c r="M89" s="631"/>
      <c r="N89" s="666" t="s">
        <v>799</v>
      </c>
      <c r="O89" s="631">
        <f>E89</f>
        <v>2</v>
      </c>
      <c r="P89" s="657" t="s">
        <v>2</v>
      </c>
    </row>
    <row r="90" spans="1:16" ht="13.5" thickBot="1" x14ac:dyDescent="0.25">
      <c r="A90" s="736"/>
      <c r="B90" s="737"/>
      <c r="C90" s="667"/>
      <c r="F90" s="666"/>
      <c r="G90" s="631"/>
      <c r="H90" s="631"/>
      <c r="I90" s="631"/>
      <c r="J90" s="631"/>
      <c r="K90" s="631"/>
      <c r="L90" s="631"/>
      <c r="M90" s="631"/>
      <c r="N90" s="666"/>
      <c r="O90" s="668">
        <f>ROUND((SUM(O87:O89)),2)</f>
        <v>12</v>
      </c>
      <c r="P90" s="669" t="s">
        <v>2</v>
      </c>
    </row>
    <row r="91" spans="1:16" x14ac:dyDescent="0.2">
      <c r="A91" s="734" t="s">
        <v>0</v>
      </c>
      <c r="B91" s="735" t="s">
        <v>1391</v>
      </c>
      <c r="C91" s="678" t="e">
        <f>#REF!</f>
        <v>#REF!</v>
      </c>
      <c r="D91" s="662" t="s">
        <v>799</v>
      </c>
      <c r="E91" s="663" t="s">
        <v>628</v>
      </c>
      <c r="F91" s="633"/>
      <c r="G91" s="664"/>
      <c r="H91" s="664"/>
      <c r="I91" s="664"/>
      <c r="J91" s="664"/>
      <c r="K91" s="664"/>
      <c r="L91" s="664"/>
      <c r="M91" s="664"/>
      <c r="O91" s="631"/>
    </row>
    <row r="92" spans="1:16" ht="13.5" thickBot="1" x14ac:dyDescent="0.25">
      <c r="A92" s="736"/>
      <c r="B92" s="737"/>
      <c r="C92" s="665" t="s">
        <v>1685</v>
      </c>
      <c r="E92" s="661">
        <v>3</v>
      </c>
      <c r="F92" s="662"/>
      <c r="G92" s="631"/>
      <c r="H92" s="631"/>
      <c r="I92" s="631"/>
      <c r="J92" s="631"/>
      <c r="K92" s="631"/>
      <c r="L92" s="631"/>
      <c r="M92" s="631"/>
      <c r="N92" s="666" t="s">
        <v>799</v>
      </c>
      <c r="O92" s="631">
        <f>E92</f>
        <v>3</v>
      </c>
      <c r="P92" s="657" t="s">
        <v>2</v>
      </c>
    </row>
    <row r="93" spans="1:16" ht="13.5" thickBot="1" x14ac:dyDescent="0.25">
      <c r="A93" s="736"/>
      <c r="B93" s="737"/>
      <c r="C93" s="667"/>
      <c r="F93" s="666"/>
      <c r="G93" s="631"/>
      <c r="H93" s="631"/>
      <c r="I93" s="631"/>
      <c r="J93" s="631"/>
      <c r="K93" s="631"/>
      <c r="L93" s="631"/>
      <c r="M93" s="631"/>
      <c r="N93" s="666"/>
      <c r="O93" s="668">
        <f>ROUND((SUM(O92:O92)),2)</f>
        <v>3</v>
      </c>
      <c r="P93" s="669" t="s">
        <v>2</v>
      </c>
    </row>
    <row r="94" spans="1:16" x14ac:dyDescent="0.2">
      <c r="A94" s="736"/>
      <c r="B94" s="737"/>
      <c r="C94" s="667"/>
      <c r="F94" s="666"/>
      <c r="G94" s="631"/>
      <c r="H94" s="631"/>
      <c r="I94" s="631"/>
      <c r="J94" s="631"/>
      <c r="K94" s="631"/>
      <c r="L94" s="631"/>
      <c r="M94" s="631"/>
      <c r="N94" s="666"/>
      <c r="O94" s="632"/>
      <c r="P94" s="633"/>
    </row>
    <row r="95" spans="1:16" x14ac:dyDescent="0.2">
      <c r="A95" s="736"/>
      <c r="B95" s="737"/>
      <c r="C95" s="667"/>
      <c r="F95" s="666"/>
      <c r="G95" s="631"/>
      <c r="H95" s="631"/>
      <c r="I95" s="631"/>
      <c r="J95" s="631"/>
      <c r="K95" s="631"/>
      <c r="L95" s="631"/>
      <c r="M95" s="631"/>
      <c r="N95" s="666"/>
      <c r="O95" s="632"/>
      <c r="P95" s="633"/>
    </row>
    <row r="96" spans="1:16" ht="41.25" customHeight="1" x14ac:dyDescent="0.2">
      <c r="A96" s="734" t="s">
        <v>0</v>
      </c>
      <c r="B96" s="735" t="s">
        <v>1392</v>
      </c>
      <c r="C96" s="678" t="e">
        <f>#REF!</f>
        <v>#REF!</v>
      </c>
      <c r="D96" s="662" t="s">
        <v>799</v>
      </c>
      <c r="E96" s="663" t="s">
        <v>628</v>
      </c>
      <c r="F96" s="633"/>
      <c r="G96" s="664"/>
      <c r="H96" s="664"/>
      <c r="I96" s="664"/>
      <c r="J96" s="664"/>
      <c r="K96" s="664"/>
      <c r="L96" s="664"/>
      <c r="M96" s="664"/>
      <c r="O96" s="631"/>
    </row>
    <row r="97" spans="1:16" ht="13.5" thickBot="1" x14ac:dyDescent="0.25">
      <c r="A97" s="736"/>
      <c r="B97" s="737"/>
      <c r="C97" s="665" t="s">
        <v>1676</v>
      </c>
      <c r="E97" s="661">
        <v>2</v>
      </c>
      <c r="F97" s="662"/>
      <c r="G97" s="631"/>
      <c r="H97" s="631"/>
      <c r="I97" s="631"/>
      <c r="J97" s="631"/>
      <c r="K97" s="631"/>
      <c r="L97" s="631"/>
      <c r="M97" s="631"/>
      <c r="N97" s="666" t="s">
        <v>799</v>
      </c>
      <c r="O97" s="631">
        <f>E97</f>
        <v>2</v>
      </c>
      <c r="P97" s="657" t="s">
        <v>2</v>
      </c>
    </row>
    <row r="98" spans="1:16" ht="13.5" thickBot="1" x14ac:dyDescent="0.25">
      <c r="A98" s="736"/>
      <c r="B98" s="737"/>
      <c r="C98" s="667"/>
      <c r="F98" s="666"/>
      <c r="G98" s="631"/>
      <c r="H98" s="631"/>
      <c r="I98" s="631"/>
      <c r="J98" s="631"/>
      <c r="K98" s="631"/>
      <c r="L98" s="631"/>
      <c r="M98" s="631"/>
      <c r="N98" s="666"/>
      <c r="O98" s="668">
        <f>ROUND((SUM(O97:O97)),2)</f>
        <v>2</v>
      </c>
      <c r="P98" s="669" t="s">
        <v>2</v>
      </c>
    </row>
    <row r="99" spans="1:16" x14ac:dyDescent="0.2">
      <c r="A99" s="734" t="s">
        <v>0</v>
      </c>
      <c r="B99" s="735" t="s">
        <v>1393</v>
      </c>
      <c r="C99" s="678" t="e">
        <f>#REF!</f>
        <v>#REF!</v>
      </c>
      <c r="D99" s="662" t="s">
        <v>799</v>
      </c>
      <c r="E99" s="663" t="s">
        <v>628</v>
      </c>
      <c r="F99" s="633"/>
      <c r="G99" s="664"/>
      <c r="H99" s="664"/>
      <c r="I99" s="664"/>
      <c r="J99" s="664"/>
      <c r="K99" s="664"/>
      <c r="L99" s="664"/>
      <c r="M99" s="664"/>
      <c r="O99" s="631"/>
    </row>
    <row r="100" spans="1:16" ht="13.5" thickBot="1" x14ac:dyDescent="0.25">
      <c r="A100" s="736"/>
      <c r="B100" s="737"/>
      <c r="C100" s="665" t="s">
        <v>1676</v>
      </c>
      <c r="E100" s="661">
        <v>4</v>
      </c>
      <c r="F100" s="662"/>
      <c r="G100" s="631"/>
      <c r="H100" s="631"/>
      <c r="I100" s="631"/>
      <c r="J100" s="631"/>
      <c r="K100" s="631"/>
      <c r="L100" s="631"/>
      <c r="M100" s="631"/>
      <c r="N100" s="666" t="s">
        <v>799</v>
      </c>
      <c r="O100" s="631">
        <f>E100</f>
        <v>4</v>
      </c>
      <c r="P100" s="657" t="s">
        <v>2</v>
      </c>
    </row>
    <row r="101" spans="1:16" ht="13.5" thickBot="1" x14ac:dyDescent="0.25">
      <c r="A101" s="736"/>
      <c r="B101" s="737"/>
      <c r="C101" s="667"/>
      <c r="F101" s="666"/>
      <c r="G101" s="631"/>
      <c r="H101" s="631"/>
      <c r="I101" s="631"/>
      <c r="J101" s="631"/>
      <c r="K101" s="631"/>
      <c r="L101" s="631"/>
      <c r="M101" s="631"/>
      <c r="N101" s="666"/>
      <c r="O101" s="668">
        <f>ROUND((SUM(O100:O100)),2)</f>
        <v>4</v>
      </c>
      <c r="P101" s="669" t="s">
        <v>2</v>
      </c>
    </row>
    <row r="102" spans="1:16" x14ac:dyDescent="0.2">
      <c r="A102" s="734" t="s">
        <v>0</v>
      </c>
      <c r="B102" s="735" t="s">
        <v>1394</v>
      </c>
      <c r="C102" s="678" t="e">
        <f>#REF!</f>
        <v>#REF!</v>
      </c>
      <c r="D102" s="662" t="s">
        <v>799</v>
      </c>
      <c r="E102" s="663" t="s">
        <v>628</v>
      </c>
      <c r="F102" s="633"/>
      <c r="G102" s="664"/>
      <c r="H102" s="664"/>
      <c r="I102" s="664"/>
      <c r="J102" s="664"/>
      <c r="K102" s="664"/>
      <c r="L102" s="664"/>
      <c r="M102" s="664"/>
      <c r="O102" s="631"/>
    </row>
    <row r="103" spans="1:16" ht="13.5" thickBot="1" x14ac:dyDescent="0.25">
      <c r="A103" s="736"/>
      <c r="B103" s="737"/>
      <c r="C103" s="665" t="s">
        <v>1685</v>
      </c>
      <c r="E103" s="661">
        <v>1</v>
      </c>
      <c r="F103" s="662"/>
      <c r="G103" s="631"/>
      <c r="H103" s="631"/>
      <c r="I103" s="631"/>
      <c r="J103" s="631"/>
      <c r="K103" s="631"/>
      <c r="L103" s="631"/>
      <c r="M103" s="631"/>
      <c r="N103" s="666" t="s">
        <v>799</v>
      </c>
      <c r="O103" s="631">
        <f>E103</f>
        <v>1</v>
      </c>
      <c r="P103" s="657" t="s">
        <v>2</v>
      </c>
    </row>
    <row r="104" spans="1:16" ht="12.75" customHeight="1" thickBot="1" x14ac:dyDescent="0.25">
      <c r="A104" s="736"/>
      <c r="B104" s="737"/>
      <c r="C104" s="667"/>
      <c r="F104" s="666"/>
      <c r="G104" s="631"/>
      <c r="H104" s="631"/>
      <c r="I104" s="631"/>
      <c r="J104" s="631"/>
      <c r="K104" s="631"/>
      <c r="L104" s="631"/>
      <c r="M104" s="631"/>
      <c r="N104" s="666"/>
      <c r="O104" s="668">
        <f>ROUND((SUM(O103:O103)),2)</f>
        <v>1</v>
      </c>
      <c r="P104" s="669" t="s">
        <v>2</v>
      </c>
    </row>
    <row r="105" spans="1:16" x14ac:dyDescent="0.2">
      <c r="A105" s="734" t="s">
        <v>0</v>
      </c>
      <c r="B105" s="735" t="s">
        <v>1395</v>
      </c>
      <c r="C105" s="678" t="e">
        <f>#REF!</f>
        <v>#REF!</v>
      </c>
      <c r="D105" s="662" t="s">
        <v>799</v>
      </c>
      <c r="E105" s="663" t="s">
        <v>628</v>
      </c>
      <c r="F105" s="633"/>
      <c r="G105" s="664"/>
      <c r="H105" s="664"/>
      <c r="I105" s="664"/>
      <c r="J105" s="664"/>
      <c r="K105" s="664"/>
      <c r="L105" s="664"/>
      <c r="M105" s="664"/>
      <c r="O105" s="631"/>
    </row>
    <row r="106" spans="1:16" ht="13.5" thickBot="1" x14ac:dyDescent="0.25">
      <c r="A106" s="736"/>
      <c r="B106" s="737"/>
      <c r="C106" s="665" t="s">
        <v>1676</v>
      </c>
      <c r="E106" s="661">
        <v>6</v>
      </c>
      <c r="F106" s="662"/>
      <c r="G106" s="631"/>
      <c r="H106" s="631"/>
      <c r="I106" s="631"/>
      <c r="J106" s="631"/>
      <c r="K106" s="631"/>
      <c r="L106" s="631"/>
      <c r="M106" s="631"/>
      <c r="N106" s="666" t="s">
        <v>799</v>
      </c>
      <c r="O106" s="631">
        <f>E106</f>
        <v>6</v>
      </c>
      <c r="P106" s="657" t="s">
        <v>2</v>
      </c>
    </row>
    <row r="107" spans="1:16" ht="13.5" thickBot="1" x14ac:dyDescent="0.25">
      <c r="A107" s="736"/>
      <c r="B107" s="737"/>
      <c r="C107" s="667"/>
      <c r="F107" s="666"/>
      <c r="G107" s="631"/>
      <c r="H107" s="631"/>
      <c r="I107" s="631"/>
      <c r="J107" s="631"/>
      <c r="K107" s="631"/>
      <c r="L107" s="631"/>
      <c r="M107" s="631"/>
      <c r="N107" s="666"/>
      <c r="O107" s="668">
        <f>ROUND((SUM(O106:O106)),2)</f>
        <v>6</v>
      </c>
      <c r="P107" s="669" t="s">
        <v>2</v>
      </c>
    </row>
    <row r="108" spans="1:16" x14ac:dyDescent="0.2">
      <c r="A108" s="734" t="s">
        <v>0</v>
      </c>
      <c r="B108" s="735" t="s">
        <v>1396</v>
      </c>
      <c r="C108" s="678" t="e">
        <f>#REF!</f>
        <v>#REF!</v>
      </c>
      <c r="D108" s="662" t="s">
        <v>799</v>
      </c>
      <c r="E108" s="663" t="s">
        <v>628</v>
      </c>
      <c r="F108" s="633"/>
      <c r="G108" s="664"/>
      <c r="H108" s="664"/>
      <c r="I108" s="664"/>
      <c r="J108" s="664"/>
      <c r="K108" s="664"/>
      <c r="L108" s="664"/>
      <c r="M108" s="664"/>
      <c r="O108" s="631"/>
    </row>
    <row r="109" spans="1:16" ht="13.5" thickBot="1" x14ac:dyDescent="0.25">
      <c r="A109" s="736"/>
      <c r="B109" s="737"/>
      <c r="C109" s="665" t="s">
        <v>1676</v>
      </c>
      <c r="E109" s="661">
        <v>5</v>
      </c>
      <c r="F109" s="662"/>
      <c r="G109" s="631"/>
      <c r="H109" s="631"/>
      <c r="I109" s="631"/>
      <c r="J109" s="631"/>
      <c r="K109" s="631"/>
      <c r="L109" s="631"/>
      <c r="M109" s="631"/>
      <c r="N109" s="666" t="s">
        <v>799</v>
      </c>
      <c r="O109" s="631">
        <f>E109</f>
        <v>5</v>
      </c>
      <c r="P109" s="657" t="s">
        <v>2</v>
      </c>
    </row>
    <row r="110" spans="1:16" ht="13.5" thickBot="1" x14ac:dyDescent="0.25">
      <c r="A110" s="736"/>
      <c r="B110" s="737"/>
      <c r="C110" s="667"/>
      <c r="F110" s="666"/>
      <c r="G110" s="631"/>
      <c r="H110" s="631"/>
      <c r="I110" s="631"/>
      <c r="J110" s="631"/>
      <c r="K110" s="631"/>
      <c r="L110" s="631"/>
      <c r="M110" s="631"/>
      <c r="N110" s="666"/>
      <c r="O110" s="668">
        <f>ROUND((SUM(O109:O109)),2)</f>
        <v>5</v>
      </c>
      <c r="P110" s="669" t="s">
        <v>2</v>
      </c>
    </row>
    <row r="111" spans="1:16" x14ac:dyDescent="0.2">
      <c r="A111" s="734" t="s">
        <v>0</v>
      </c>
      <c r="B111" s="735" t="s">
        <v>1397</v>
      </c>
      <c r="C111" s="678" t="e">
        <f>#REF!</f>
        <v>#REF!</v>
      </c>
      <c r="D111" s="662" t="s">
        <v>799</v>
      </c>
      <c r="E111" s="663" t="s">
        <v>628</v>
      </c>
      <c r="F111" s="633"/>
      <c r="G111" s="664"/>
      <c r="H111" s="664"/>
      <c r="I111" s="664"/>
      <c r="J111" s="664"/>
      <c r="K111" s="664"/>
      <c r="L111" s="664"/>
      <c r="M111" s="664"/>
      <c r="O111" s="631"/>
    </row>
    <row r="112" spans="1:16" ht="12.75" customHeight="1" thickBot="1" x14ac:dyDescent="0.25">
      <c r="A112" s="736"/>
      <c r="B112" s="737"/>
      <c r="C112" s="665" t="s">
        <v>1676</v>
      </c>
      <c r="E112" s="661">
        <v>2</v>
      </c>
      <c r="F112" s="662"/>
      <c r="G112" s="631"/>
      <c r="H112" s="631"/>
      <c r="I112" s="631"/>
      <c r="J112" s="631"/>
      <c r="K112" s="631"/>
      <c r="L112" s="631"/>
      <c r="M112" s="631"/>
      <c r="N112" s="666" t="s">
        <v>799</v>
      </c>
      <c r="O112" s="631">
        <f>E112</f>
        <v>2</v>
      </c>
      <c r="P112" s="657" t="s">
        <v>2</v>
      </c>
    </row>
    <row r="113" spans="1:16" ht="13.5" thickBot="1" x14ac:dyDescent="0.25">
      <c r="B113" s="660"/>
      <c r="C113" s="667"/>
      <c r="F113" s="666"/>
      <c r="G113" s="631"/>
      <c r="H113" s="631"/>
      <c r="I113" s="631"/>
      <c r="J113" s="631"/>
      <c r="K113" s="631"/>
      <c r="L113" s="631"/>
      <c r="M113" s="631"/>
      <c r="N113" s="666"/>
      <c r="O113" s="668">
        <f>ROUND((SUM(O112:O112)),2)</f>
        <v>2</v>
      </c>
      <c r="P113" s="669" t="s">
        <v>2</v>
      </c>
    </row>
    <row r="114" spans="1:16" x14ac:dyDescent="0.2">
      <c r="A114" s="734" t="s">
        <v>0</v>
      </c>
      <c r="B114" s="735" t="s">
        <v>1398</v>
      </c>
      <c r="C114" s="678" t="e">
        <f>#REF!</f>
        <v>#REF!</v>
      </c>
      <c r="D114" s="662" t="s">
        <v>799</v>
      </c>
      <c r="E114" s="663" t="s">
        <v>628</v>
      </c>
      <c r="F114" s="633"/>
      <c r="G114" s="664"/>
      <c r="H114" s="664"/>
      <c r="I114" s="664"/>
      <c r="J114" s="664"/>
      <c r="K114" s="664"/>
      <c r="L114" s="664"/>
      <c r="M114" s="664"/>
      <c r="O114" s="631"/>
    </row>
    <row r="115" spans="1:16" ht="13.5" thickBot="1" x14ac:dyDescent="0.25">
      <c r="A115" s="736"/>
      <c r="B115" s="737"/>
      <c r="C115" s="665" t="s">
        <v>1676</v>
      </c>
      <c r="E115" s="661">
        <v>1</v>
      </c>
      <c r="F115" s="662"/>
      <c r="G115" s="631"/>
      <c r="H115" s="631"/>
      <c r="I115" s="631"/>
      <c r="J115" s="631"/>
      <c r="K115" s="631"/>
      <c r="L115" s="631"/>
      <c r="M115" s="631"/>
      <c r="N115" s="666" t="s">
        <v>799</v>
      </c>
      <c r="O115" s="631">
        <f>E115</f>
        <v>1</v>
      </c>
      <c r="P115" s="657" t="s">
        <v>2</v>
      </c>
    </row>
    <row r="116" spans="1:16" ht="12.75" customHeight="1" thickBot="1" x14ac:dyDescent="0.25">
      <c r="B116" s="660"/>
      <c r="C116" s="667"/>
      <c r="F116" s="666"/>
      <c r="G116" s="631"/>
      <c r="H116" s="631"/>
      <c r="I116" s="631"/>
      <c r="J116" s="631"/>
      <c r="K116" s="631"/>
      <c r="L116" s="631"/>
      <c r="M116" s="631"/>
      <c r="N116" s="666"/>
      <c r="O116" s="668">
        <f>ROUND((SUM(O115:O115)),2)</f>
        <v>1</v>
      </c>
      <c r="P116" s="669" t="s">
        <v>2</v>
      </c>
    </row>
    <row r="117" spans="1:16" x14ac:dyDescent="0.2">
      <c r="A117" s="734" t="s">
        <v>0</v>
      </c>
      <c r="B117" s="735" t="s">
        <v>1399</v>
      </c>
      <c r="C117" s="678" t="e">
        <f>#REF!</f>
        <v>#REF!</v>
      </c>
      <c r="D117" s="662" t="s">
        <v>799</v>
      </c>
      <c r="E117" s="663" t="s">
        <v>628</v>
      </c>
      <c r="F117" s="633"/>
      <c r="G117" s="664"/>
      <c r="H117" s="664"/>
      <c r="I117" s="664"/>
      <c r="J117" s="664"/>
      <c r="K117" s="664"/>
      <c r="L117" s="664"/>
      <c r="M117" s="664"/>
      <c r="O117" s="631"/>
    </row>
    <row r="118" spans="1:16" ht="13.5" thickBot="1" x14ac:dyDescent="0.25">
      <c r="A118" s="736"/>
      <c r="B118" s="737"/>
      <c r="C118" s="665" t="s">
        <v>1685</v>
      </c>
      <c r="E118" s="661">
        <v>45</v>
      </c>
      <c r="F118" s="662"/>
      <c r="G118" s="631"/>
      <c r="H118" s="631"/>
      <c r="I118" s="631"/>
      <c r="J118" s="631"/>
      <c r="K118" s="631"/>
      <c r="L118" s="631"/>
      <c r="M118" s="631"/>
      <c r="N118" s="666" t="s">
        <v>799</v>
      </c>
      <c r="O118" s="631">
        <f>E118</f>
        <v>45</v>
      </c>
      <c r="P118" s="657" t="s">
        <v>2</v>
      </c>
    </row>
    <row r="119" spans="1:16" ht="13.5" thickBot="1" x14ac:dyDescent="0.25">
      <c r="B119" s="660"/>
      <c r="C119" s="667"/>
      <c r="F119" s="666"/>
      <c r="G119" s="631"/>
      <c r="H119" s="631"/>
      <c r="I119" s="631"/>
      <c r="J119" s="631"/>
      <c r="K119" s="631"/>
      <c r="L119" s="631"/>
      <c r="M119" s="631"/>
      <c r="N119" s="666"/>
      <c r="O119" s="668">
        <f>ROUND((SUM(O118:O118)),2)</f>
        <v>45</v>
      </c>
      <c r="P119" s="669" t="s">
        <v>2</v>
      </c>
    </row>
    <row r="120" spans="1:16" x14ac:dyDescent="0.2">
      <c r="A120" s="734" t="s">
        <v>0</v>
      </c>
      <c r="B120" s="735" t="s">
        <v>1400</v>
      </c>
      <c r="C120" s="678" t="e">
        <f>#REF!</f>
        <v>#REF!</v>
      </c>
      <c r="D120" s="662" t="s">
        <v>799</v>
      </c>
      <c r="E120" s="663" t="s">
        <v>628</v>
      </c>
      <c r="F120" s="633"/>
      <c r="G120" s="664"/>
      <c r="H120" s="664"/>
      <c r="I120" s="664"/>
      <c r="J120" s="664"/>
      <c r="K120" s="664"/>
      <c r="L120" s="664"/>
      <c r="M120" s="664"/>
      <c r="O120" s="631"/>
    </row>
    <row r="121" spans="1:16" ht="12.75" customHeight="1" thickBot="1" x14ac:dyDescent="0.25">
      <c r="A121" s="736"/>
      <c r="B121" s="737"/>
      <c r="C121" s="665" t="s">
        <v>1676</v>
      </c>
      <c r="E121" s="661">
        <v>101</v>
      </c>
      <c r="F121" s="662"/>
      <c r="G121" s="631"/>
      <c r="H121" s="631"/>
      <c r="I121" s="631"/>
      <c r="J121" s="631"/>
      <c r="K121" s="631"/>
      <c r="L121" s="631"/>
      <c r="M121" s="631"/>
      <c r="N121" s="666" t="s">
        <v>799</v>
      </c>
      <c r="O121" s="631">
        <f>E121</f>
        <v>101</v>
      </c>
      <c r="P121" s="657" t="s">
        <v>2</v>
      </c>
    </row>
    <row r="122" spans="1:16" ht="13.5" thickBot="1" x14ac:dyDescent="0.25">
      <c r="B122" s="660"/>
      <c r="C122" s="667"/>
      <c r="F122" s="666"/>
      <c r="G122" s="631"/>
      <c r="H122" s="631"/>
      <c r="I122" s="631"/>
      <c r="J122" s="631"/>
      <c r="K122" s="631"/>
      <c r="L122" s="631"/>
      <c r="M122" s="631"/>
      <c r="N122" s="666"/>
      <c r="O122" s="668">
        <f>ROUND((SUM(O121:O121)),2)</f>
        <v>101</v>
      </c>
      <c r="P122" s="669" t="s">
        <v>2</v>
      </c>
    </row>
    <row r="123" spans="1:16" x14ac:dyDescent="0.2">
      <c r="A123" s="734" t="s">
        <v>0</v>
      </c>
      <c r="B123" s="735" t="s">
        <v>1401</v>
      </c>
      <c r="C123" s="678" t="e">
        <f>#REF!</f>
        <v>#REF!</v>
      </c>
      <c r="D123" s="662" t="s">
        <v>799</v>
      </c>
      <c r="E123" s="663" t="s">
        <v>628</v>
      </c>
      <c r="F123" s="633"/>
      <c r="G123" s="664"/>
      <c r="H123" s="664"/>
      <c r="I123" s="664"/>
      <c r="J123" s="664"/>
      <c r="K123" s="664"/>
      <c r="L123" s="664"/>
      <c r="M123" s="664"/>
      <c r="O123" s="631"/>
    </row>
    <row r="124" spans="1:16" ht="13.5" thickBot="1" x14ac:dyDescent="0.25">
      <c r="A124" s="736"/>
      <c r="B124" s="737"/>
      <c r="C124" s="665" t="s">
        <v>1676</v>
      </c>
      <c r="E124" s="661">
        <v>47</v>
      </c>
      <c r="F124" s="662"/>
      <c r="G124" s="631"/>
      <c r="H124" s="631"/>
      <c r="I124" s="631"/>
      <c r="J124" s="631"/>
      <c r="K124" s="631"/>
      <c r="L124" s="631"/>
      <c r="M124" s="631"/>
      <c r="N124" s="666" t="s">
        <v>799</v>
      </c>
      <c r="O124" s="631">
        <f>E124</f>
        <v>47</v>
      </c>
      <c r="P124" s="657" t="s">
        <v>2</v>
      </c>
    </row>
    <row r="125" spans="1:16" ht="13.5" thickBot="1" x14ac:dyDescent="0.25">
      <c r="B125" s="660"/>
      <c r="C125" s="667"/>
      <c r="F125" s="666"/>
      <c r="G125" s="631"/>
      <c r="H125" s="631"/>
      <c r="I125" s="631"/>
      <c r="J125" s="631"/>
      <c r="K125" s="631"/>
      <c r="L125" s="631"/>
      <c r="M125" s="631"/>
      <c r="N125" s="666"/>
      <c r="O125" s="668">
        <f>ROUND((SUM(O124:O124)),2)</f>
        <v>47</v>
      </c>
      <c r="P125" s="669" t="s">
        <v>2</v>
      </c>
    </row>
    <row r="126" spans="1:16" ht="52.5" customHeight="1" x14ac:dyDescent="0.2">
      <c r="A126" s="734" t="s">
        <v>0</v>
      </c>
      <c r="B126" s="735" t="s">
        <v>1402</v>
      </c>
      <c r="C126" s="678" t="e">
        <f>#REF!</f>
        <v>#REF!</v>
      </c>
      <c r="D126" s="662" t="s">
        <v>799</v>
      </c>
      <c r="E126" s="663" t="s">
        <v>15</v>
      </c>
      <c r="F126" s="633"/>
      <c r="G126" s="664"/>
      <c r="H126" s="664"/>
      <c r="I126" s="664"/>
      <c r="J126" s="664"/>
      <c r="K126" s="664"/>
      <c r="L126" s="664"/>
      <c r="M126" s="664"/>
      <c r="O126" s="631"/>
    </row>
    <row r="127" spans="1:16" x14ac:dyDescent="0.2">
      <c r="A127" s="736"/>
      <c r="B127" s="737"/>
      <c r="C127" s="665" t="s">
        <v>1676</v>
      </c>
      <c r="E127" s="661">
        <v>148</v>
      </c>
      <c r="F127" s="662"/>
      <c r="G127" s="631"/>
      <c r="H127" s="631"/>
      <c r="I127" s="631"/>
      <c r="J127" s="631"/>
      <c r="K127" s="631"/>
      <c r="L127" s="631"/>
      <c r="M127" s="631"/>
      <c r="N127" s="666" t="s">
        <v>799</v>
      </c>
      <c r="O127" s="631">
        <f>E127</f>
        <v>148</v>
      </c>
      <c r="P127" s="657" t="s">
        <v>2</v>
      </c>
    </row>
    <row r="128" spans="1:16" ht="13.5" thickBot="1" x14ac:dyDescent="0.25">
      <c r="A128" s="736"/>
      <c r="B128" s="737"/>
      <c r="C128" s="665" t="s">
        <v>1685</v>
      </c>
      <c r="E128" s="661">
        <v>45</v>
      </c>
      <c r="F128" s="662"/>
      <c r="G128" s="631"/>
      <c r="H128" s="631"/>
      <c r="I128" s="631"/>
      <c r="J128" s="631"/>
      <c r="K128" s="631"/>
      <c r="L128" s="631"/>
      <c r="M128" s="631"/>
      <c r="N128" s="666" t="s">
        <v>799</v>
      </c>
      <c r="O128" s="631">
        <f>E128</f>
        <v>45</v>
      </c>
      <c r="P128" s="657" t="s">
        <v>2</v>
      </c>
    </row>
    <row r="129" spans="1:16" ht="13.5" thickBot="1" x14ac:dyDescent="0.25">
      <c r="B129" s="660"/>
      <c r="C129" s="667"/>
      <c r="F129" s="666"/>
      <c r="G129" s="631"/>
      <c r="H129" s="631"/>
      <c r="I129" s="631"/>
      <c r="J129" s="631"/>
      <c r="K129" s="631"/>
      <c r="L129" s="631"/>
      <c r="M129" s="631"/>
      <c r="N129" s="666"/>
      <c r="O129" s="668">
        <f>ROUND((SUM(O127:O128)),2)</f>
        <v>193</v>
      </c>
      <c r="P129" s="669" t="s">
        <v>2</v>
      </c>
    </row>
    <row r="130" spans="1:16" x14ac:dyDescent="0.2">
      <c r="A130" s="734" t="s">
        <v>0</v>
      </c>
      <c r="B130" s="735" t="s">
        <v>1403</v>
      </c>
      <c r="C130" s="678" t="e">
        <f>#REF!</f>
        <v>#REF!</v>
      </c>
      <c r="D130" s="662" t="s">
        <v>799</v>
      </c>
      <c r="E130" s="663" t="s">
        <v>628</v>
      </c>
      <c r="F130" s="633"/>
      <c r="G130" s="664"/>
      <c r="H130" s="664"/>
      <c r="I130" s="664"/>
      <c r="J130" s="664"/>
      <c r="K130" s="664"/>
      <c r="L130" s="664"/>
      <c r="M130" s="664"/>
      <c r="O130" s="631"/>
    </row>
    <row r="131" spans="1:16" ht="13.5" thickBot="1" x14ac:dyDescent="0.25">
      <c r="A131" s="736"/>
      <c r="B131" s="737"/>
      <c r="C131" s="665" t="s">
        <v>1685</v>
      </c>
      <c r="E131" s="661">
        <v>1</v>
      </c>
      <c r="F131" s="662"/>
      <c r="G131" s="631"/>
      <c r="H131" s="631"/>
      <c r="I131" s="631"/>
      <c r="J131" s="631"/>
      <c r="K131" s="631"/>
      <c r="L131" s="631"/>
      <c r="M131" s="631"/>
      <c r="N131" s="666" t="s">
        <v>799</v>
      </c>
      <c r="O131" s="631">
        <f>E131</f>
        <v>1</v>
      </c>
      <c r="P131" s="657" t="s">
        <v>2</v>
      </c>
    </row>
    <row r="132" spans="1:16" ht="13.5" thickBot="1" x14ac:dyDescent="0.25">
      <c r="B132" s="660"/>
      <c r="C132" s="667"/>
      <c r="F132" s="666"/>
      <c r="G132" s="631"/>
      <c r="H132" s="631"/>
      <c r="I132" s="631"/>
      <c r="J132" s="631"/>
      <c r="K132" s="631"/>
      <c r="L132" s="631"/>
      <c r="M132" s="631"/>
      <c r="N132" s="666"/>
      <c r="O132" s="668">
        <f>ROUND((SUM(O131:O131)),2)</f>
        <v>1</v>
      </c>
      <c r="P132" s="669" t="s">
        <v>2</v>
      </c>
    </row>
    <row r="133" spans="1:16" x14ac:dyDescent="0.2">
      <c r="A133" s="734" t="s">
        <v>0</v>
      </c>
      <c r="B133" s="735" t="s">
        <v>1404</v>
      </c>
      <c r="C133" s="678" t="e">
        <f>#REF!</f>
        <v>#REF!</v>
      </c>
      <c r="D133" s="662" t="s">
        <v>799</v>
      </c>
      <c r="E133" s="663" t="s">
        <v>628</v>
      </c>
      <c r="F133" s="633"/>
      <c r="G133" s="664"/>
      <c r="H133" s="664"/>
      <c r="I133" s="664"/>
      <c r="J133" s="664"/>
      <c r="K133" s="664"/>
      <c r="L133" s="664"/>
      <c r="M133" s="664"/>
      <c r="O133" s="631"/>
    </row>
    <row r="134" spans="1:16" ht="13.5" thickBot="1" x14ac:dyDescent="0.25">
      <c r="A134" s="736"/>
      <c r="B134" s="737"/>
      <c r="C134" s="665" t="s">
        <v>1676</v>
      </c>
      <c r="E134" s="661">
        <v>2</v>
      </c>
      <c r="F134" s="662"/>
      <c r="G134" s="631"/>
      <c r="H134" s="631"/>
      <c r="I134" s="631"/>
      <c r="J134" s="631"/>
      <c r="K134" s="631"/>
      <c r="L134" s="631"/>
      <c r="M134" s="631"/>
      <c r="N134" s="666" t="s">
        <v>799</v>
      </c>
      <c r="O134" s="631">
        <f>E134</f>
        <v>2</v>
      </c>
      <c r="P134" s="657" t="s">
        <v>2</v>
      </c>
    </row>
    <row r="135" spans="1:16" ht="13.5" thickBot="1" x14ac:dyDescent="0.25">
      <c r="B135" s="660"/>
      <c r="C135" s="667"/>
      <c r="F135" s="666"/>
      <c r="G135" s="631"/>
      <c r="H135" s="631"/>
      <c r="I135" s="631"/>
      <c r="J135" s="631"/>
      <c r="K135" s="631"/>
      <c r="L135" s="631"/>
      <c r="M135" s="631"/>
      <c r="N135" s="666"/>
      <c r="O135" s="668">
        <f>ROUND((SUM(O134:O134)),2)</f>
        <v>2</v>
      </c>
      <c r="P135" s="669" t="s">
        <v>2</v>
      </c>
    </row>
    <row r="136" spans="1:16" x14ac:dyDescent="0.2">
      <c r="A136" s="734" t="s">
        <v>0</v>
      </c>
      <c r="B136" s="735" t="s">
        <v>1405</v>
      </c>
      <c r="C136" s="678" t="e">
        <f>#REF!</f>
        <v>#REF!</v>
      </c>
      <c r="D136" s="662" t="s">
        <v>799</v>
      </c>
      <c r="E136" s="663" t="s">
        <v>628</v>
      </c>
      <c r="F136" s="633"/>
      <c r="G136" s="664"/>
      <c r="H136" s="664"/>
      <c r="I136" s="664"/>
      <c r="J136" s="664"/>
      <c r="K136" s="664"/>
      <c r="L136" s="664"/>
      <c r="M136" s="664"/>
      <c r="O136" s="631"/>
    </row>
    <row r="137" spans="1:16" ht="13.5" thickBot="1" x14ac:dyDescent="0.25">
      <c r="A137" s="736"/>
      <c r="B137" s="737"/>
      <c r="C137" s="665" t="s">
        <v>1676</v>
      </c>
      <c r="E137" s="661">
        <v>2</v>
      </c>
      <c r="F137" s="662"/>
      <c r="G137" s="631"/>
      <c r="H137" s="631"/>
      <c r="I137" s="631"/>
      <c r="J137" s="631"/>
      <c r="K137" s="631"/>
      <c r="L137" s="631"/>
      <c r="M137" s="631"/>
      <c r="N137" s="666" t="s">
        <v>799</v>
      </c>
      <c r="O137" s="631">
        <f>E137</f>
        <v>2</v>
      </c>
      <c r="P137" s="657" t="s">
        <v>2</v>
      </c>
    </row>
    <row r="138" spans="1:16" ht="13.5" thickBot="1" x14ac:dyDescent="0.25">
      <c r="B138" s="660"/>
      <c r="C138" s="667"/>
      <c r="F138" s="666"/>
      <c r="G138" s="631"/>
      <c r="H138" s="631"/>
      <c r="I138" s="631"/>
      <c r="J138" s="631"/>
      <c r="K138" s="631"/>
      <c r="L138" s="631"/>
      <c r="M138" s="631"/>
      <c r="N138" s="666"/>
      <c r="O138" s="668">
        <f>ROUND((SUM(O137:O137)),2)</f>
        <v>2</v>
      </c>
      <c r="P138" s="669" t="s">
        <v>2</v>
      </c>
    </row>
    <row r="139" spans="1:16" x14ac:dyDescent="0.2">
      <c r="A139" s="734" t="s">
        <v>0</v>
      </c>
      <c r="B139" s="735" t="s">
        <v>1406</v>
      </c>
      <c r="C139" s="678" t="e">
        <f>#REF!</f>
        <v>#REF!</v>
      </c>
      <c r="D139" s="662" t="s">
        <v>799</v>
      </c>
      <c r="E139" s="663" t="s">
        <v>628</v>
      </c>
      <c r="F139" s="633"/>
      <c r="G139" s="664"/>
      <c r="H139" s="664"/>
      <c r="I139" s="664"/>
      <c r="J139" s="664"/>
      <c r="K139" s="664"/>
      <c r="L139" s="664"/>
      <c r="M139" s="664"/>
      <c r="O139" s="631"/>
    </row>
    <row r="140" spans="1:16" ht="13.5" thickBot="1" x14ac:dyDescent="0.25">
      <c r="A140" s="736"/>
      <c r="B140" s="737"/>
      <c r="C140" s="665" t="s">
        <v>1157</v>
      </c>
      <c r="E140" s="661">
        <v>1</v>
      </c>
      <c r="F140" s="662"/>
      <c r="G140" s="631"/>
      <c r="H140" s="631"/>
      <c r="I140" s="631"/>
      <c r="J140" s="631"/>
      <c r="K140" s="631"/>
      <c r="L140" s="631"/>
      <c r="M140" s="631"/>
      <c r="N140" s="666" t="s">
        <v>799</v>
      </c>
      <c r="O140" s="631">
        <f>E140</f>
        <v>1</v>
      </c>
      <c r="P140" s="657" t="s">
        <v>2</v>
      </c>
    </row>
    <row r="141" spans="1:16" ht="13.5" thickBot="1" x14ac:dyDescent="0.25">
      <c r="B141" s="660"/>
      <c r="C141" s="667"/>
      <c r="F141" s="666"/>
      <c r="G141" s="631"/>
      <c r="H141" s="631"/>
      <c r="I141" s="631"/>
      <c r="J141" s="631"/>
      <c r="K141" s="631"/>
      <c r="L141" s="631"/>
      <c r="M141" s="631"/>
      <c r="N141" s="666"/>
      <c r="O141" s="668">
        <f>ROUND((SUM(O140:O140)),2)</f>
        <v>1</v>
      </c>
      <c r="P141" s="669" t="s">
        <v>2</v>
      </c>
    </row>
    <row r="142" spans="1:16" x14ac:dyDescent="0.2">
      <c r="A142" s="734" t="s">
        <v>0</v>
      </c>
      <c r="B142" s="735" t="s">
        <v>1407</v>
      </c>
      <c r="C142" s="678" t="e">
        <f>#REF!</f>
        <v>#REF!</v>
      </c>
      <c r="D142" s="662" t="s">
        <v>799</v>
      </c>
      <c r="E142" s="663" t="s">
        <v>628</v>
      </c>
      <c r="F142" s="633"/>
      <c r="G142" s="664"/>
      <c r="H142" s="664"/>
      <c r="I142" s="664"/>
      <c r="J142" s="664"/>
      <c r="K142" s="664"/>
      <c r="L142" s="664"/>
      <c r="M142" s="664"/>
      <c r="O142" s="631"/>
    </row>
    <row r="143" spans="1:16" ht="12.75" customHeight="1" x14ac:dyDescent="0.2">
      <c r="A143" s="736"/>
      <c r="B143" s="737"/>
      <c r="C143" s="665" t="s">
        <v>1676</v>
      </c>
      <c r="E143" s="661">
        <v>1</v>
      </c>
      <c r="F143" s="662"/>
      <c r="G143" s="631"/>
      <c r="H143" s="631"/>
      <c r="I143" s="631"/>
      <c r="J143" s="631"/>
      <c r="K143" s="631"/>
      <c r="L143" s="631"/>
      <c r="M143" s="631"/>
      <c r="N143" s="666" t="s">
        <v>799</v>
      </c>
      <c r="O143" s="631">
        <f>E143</f>
        <v>1</v>
      </c>
      <c r="P143" s="657" t="s">
        <v>2</v>
      </c>
    </row>
    <row r="144" spans="1:16" ht="13.5" thickBot="1" x14ac:dyDescent="0.25">
      <c r="A144" s="736"/>
      <c r="B144" s="737"/>
      <c r="C144" s="665" t="s">
        <v>1685</v>
      </c>
      <c r="E144" s="661">
        <v>1</v>
      </c>
      <c r="F144" s="662"/>
      <c r="G144" s="631"/>
      <c r="H144" s="631"/>
      <c r="I144" s="631"/>
      <c r="J144" s="631"/>
      <c r="K144" s="631"/>
      <c r="L144" s="631"/>
      <c r="M144" s="631"/>
      <c r="N144" s="666" t="s">
        <v>799</v>
      </c>
      <c r="O144" s="631">
        <f>E144</f>
        <v>1</v>
      </c>
      <c r="P144" s="657" t="s">
        <v>2</v>
      </c>
    </row>
    <row r="145" spans="1:16" ht="13.5" thickBot="1" x14ac:dyDescent="0.25">
      <c r="B145" s="660"/>
      <c r="C145" s="667"/>
      <c r="F145" s="666"/>
      <c r="G145" s="631"/>
      <c r="H145" s="631"/>
      <c r="I145" s="631"/>
      <c r="J145" s="631"/>
      <c r="K145" s="631"/>
      <c r="L145" s="631"/>
      <c r="M145" s="631"/>
      <c r="N145" s="666"/>
      <c r="O145" s="668">
        <f>ROUND((SUM(O143:O144)),2)</f>
        <v>2</v>
      </c>
      <c r="P145" s="669" t="s">
        <v>2</v>
      </c>
    </row>
    <row r="146" spans="1:16" x14ac:dyDescent="0.2">
      <c r="A146" s="734" t="s">
        <v>0</v>
      </c>
      <c r="B146" s="735" t="s">
        <v>1408</v>
      </c>
      <c r="C146" s="678" t="e">
        <f>#REF!</f>
        <v>#REF!</v>
      </c>
      <c r="D146" s="662" t="s">
        <v>799</v>
      </c>
      <c r="E146" s="663" t="s">
        <v>628</v>
      </c>
      <c r="F146" s="633"/>
      <c r="G146" s="664"/>
      <c r="H146" s="664"/>
      <c r="I146" s="664"/>
      <c r="J146" s="664"/>
      <c r="K146" s="664"/>
      <c r="L146" s="664"/>
      <c r="M146" s="664"/>
      <c r="O146" s="631"/>
    </row>
    <row r="147" spans="1:16" x14ac:dyDescent="0.2">
      <c r="A147" s="736"/>
      <c r="B147" s="737"/>
      <c r="C147" s="665" t="s">
        <v>1676</v>
      </c>
      <c r="E147" s="661">
        <v>2</v>
      </c>
      <c r="F147" s="662"/>
      <c r="G147" s="631"/>
      <c r="H147" s="631"/>
      <c r="I147" s="631"/>
      <c r="J147" s="631"/>
      <c r="K147" s="631"/>
      <c r="L147" s="631"/>
      <c r="M147" s="631"/>
      <c r="N147" s="666" t="s">
        <v>799</v>
      </c>
      <c r="O147" s="631">
        <f>E147</f>
        <v>2</v>
      </c>
      <c r="P147" s="657" t="s">
        <v>2</v>
      </c>
    </row>
    <row r="148" spans="1:16" ht="13.5" thickBot="1" x14ac:dyDescent="0.25">
      <c r="A148" s="736"/>
      <c r="B148" s="737"/>
      <c r="C148" s="665" t="s">
        <v>1685</v>
      </c>
      <c r="E148" s="661">
        <v>1</v>
      </c>
      <c r="F148" s="662"/>
      <c r="G148" s="631"/>
      <c r="H148" s="631"/>
      <c r="I148" s="631"/>
      <c r="J148" s="631"/>
      <c r="K148" s="631"/>
      <c r="L148" s="631"/>
      <c r="M148" s="631"/>
      <c r="N148" s="666" t="s">
        <v>799</v>
      </c>
      <c r="O148" s="631">
        <f>E148</f>
        <v>1</v>
      </c>
      <c r="P148" s="657" t="s">
        <v>2</v>
      </c>
    </row>
    <row r="149" spans="1:16" ht="13.5" thickBot="1" x14ac:dyDescent="0.25">
      <c r="B149" s="660"/>
      <c r="C149" s="667"/>
      <c r="F149" s="666"/>
      <c r="G149" s="631"/>
      <c r="H149" s="631"/>
      <c r="I149" s="631"/>
      <c r="J149" s="631"/>
      <c r="K149" s="631"/>
      <c r="L149" s="631"/>
      <c r="M149" s="631"/>
      <c r="N149" s="666"/>
      <c r="O149" s="668">
        <f>ROUND((SUM(O147:O148)),2)</f>
        <v>3</v>
      </c>
      <c r="P149" s="669" t="s">
        <v>2</v>
      </c>
    </row>
    <row r="150" spans="1:16" x14ac:dyDescent="0.2">
      <c r="B150" s="660"/>
      <c r="C150" s="667"/>
      <c r="F150" s="666"/>
      <c r="G150" s="631"/>
      <c r="H150" s="631"/>
      <c r="I150" s="631"/>
      <c r="J150" s="631"/>
      <c r="K150" s="631"/>
      <c r="L150" s="631"/>
      <c r="M150" s="631"/>
      <c r="N150" s="666"/>
      <c r="O150" s="632"/>
      <c r="P150" s="633"/>
    </row>
    <row r="151" spans="1:16" ht="15.75" x14ac:dyDescent="0.2">
      <c r="B151" s="660"/>
      <c r="C151" s="788" t="s">
        <v>1160</v>
      </c>
      <c r="F151" s="666"/>
      <c r="G151" s="631"/>
      <c r="H151" s="631"/>
      <c r="I151" s="631"/>
      <c r="J151" s="631"/>
      <c r="K151" s="631"/>
      <c r="L151" s="631"/>
      <c r="M151" s="631"/>
      <c r="N151" s="666"/>
      <c r="O151" s="632"/>
      <c r="P151" s="633"/>
    </row>
    <row r="152" spans="1:16" ht="15.75" x14ac:dyDescent="0.2">
      <c r="B152" s="660"/>
      <c r="C152" s="788"/>
      <c r="F152" s="666"/>
      <c r="G152" s="631"/>
      <c r="H152" s="631"/>
      <c r="I152" s="631"/>
      <c r="J152" s="631"/>
      <c r="K152" s="631"/>
      <c r="L152" s="631"/>
      <c r="M152" s="631"/>
      <c r="N152" s="666"/>
      <c r="O152" s="632"/>
      <c r="P152" s="633"/>
    </row>
    <row r="153" spans="1:16" x14ac:dyDescent="0.2">
      <c r="A153" s="734" t="s">
        <v>0</v>
      </c>
      <c r="B153" s="735" t="s">
        <v>1409</v>
      </c>
      <c r="C153" s="678" t="e">
        <f>#REF!</f>
        <v>#REF!</v>
      </c>
      <c r="D153" s="662" t="s">
        <v>799</v>
      </c>
      <c r="E153" s="663" t="s">
        <v>864</v>
      </c>
      <c r="F153" s="633"/>
      <c r="G153" s="664"/>
      <c r="H153" s="664"/>
      <c r="I153" s="664"/>
      <c r="J153" s="664"/>
      <c r="K153" s="664"/>
      <c r="L153" s="664"/>
      <c r="M153" s="664"/>
      <c r="O153" s="631"/>
    </row>
    <row r="154" spans="1:16" ht="13.5" thickBot="1" x14ac:dyDescent="0.25">
      <c r="A154" s="736"/>
      <c r="B154" s="737"/>
      <c r="C154" s="813" t="s">
        <v>1684</v>
      </c>
      <c r="E154" s="800">
        <v>530.71</v>
      </c>
      <c r="F154" s="662"/>
      <c r="G154" s="631"/>
      <c r="H154" s="631"/>
      <c r="I154" s="631"/>
      <c r="J154" s="631"/>
      <c r="K154" s="631"/>
      <c r="L154" s="631"/>
      <c r="M154" s="631"/>
      <c r="N154" s="666" t="s">
        <v>799</v>
      </c>
      <c r="O154" s="631">
        <f>E154</f>
        <v>530.71</v>
      </c>
      <c r="P154" s="630" t="s">
        <v>6</v>
      </c>
    </row>
    <row r="155" spans="1:16" ht="13.5" thickBot="1" x14ac:dyDescent="0.25">
      <c r="A155" s="736"/>
      <c r="B155" s="737"/>
      <c r="C155" s="667"/>
      <c r="F155" s="666"/>
      <c r="G155" s="631"/>
      <c r="H155" s="631"/>
      <c r="I155" s="631"/>
      <c r="J155" s="631"/>
      <c r="K155" s="631"/>
      <c r="L155" s="631"/>
      <c r="M155" s="631"/>
      <c r="N155" s="666"/>
      <c r="O155" s="668">
        <f>ROUND((SUM(O154:O154)),2)</f>
        <v>530.71</v>
      </c>
      <c r="P155" s="669" t="s">
        <v>6</v>
      </c>
    </row>
    <row r="156" spans="1:16" x14ac:dyDescent="0.2">
      <c r="A156" s="734" t="s">
        <v>0</v>
      </c>
      <c r="B156" s="735" t="s">
        <v>1410</v>
      </c>
      <c r="C156" s="678" t="e">
        <f>#REF!</f>
        <v>#REF!</v>
      </c>
      <c r="D156" s="662" t="s">
        <v>799</v>
      </c>
      <c r="E156" s="663" t="s">
        <v>864</v>
      </c>
      <c r="F156" s="633"/>
      <c r="G156" s="664"/>
      <c r="H156" s="664"/>
      <c r="I156" s="664"/>
      <c r="J156" s="664"/>
      <c r="K156" s="664"/>
      <c r="L156" s="664"/>
      <c r="M156" s="664"/>
      <c r="O156" s="631"/>
    </row>
    <row r="157" spans="1:16" ht="13.5" thickBot="1" x14ac:dyDescent="0.25">
      <c r="A157" s="736"/>
      <c r="B157" s="737"/>
      <c r="C157" s="813" t="s">
        <v>1154</v>
      </c>
      <c r="E157" s="800">
        <v>7343.15</v>
      </c>
      <c r="F157" s="662"/>
      <c r="G157" s="631"/>
      <c r="H157" s="631"/>
      <c r="I157" s="631"/>
      <c r="J157" s="631"/>
      <c r="K157" s="631"/>
      <c r="L157" s="631"/>
      <c r="M157" s="631"/>
      <c r="N157" s="666" t="s">
        <v>799</v>
      </c>
      <c r="O157" s="631">
        <f>E157</f>
        <v>7343.15</v>
      </c>
      <c r="P157" s="630" t="s">
        <v>6</v>
      </c>
    </row>
    <row r="158" spans="1:16" ht="13.5" thickBot="1" x14ac:dyDescent="0.25">
      <c r="A158" s="736"/>
      <c r="B158" s="737"/>
      <c r="C158" s="667"/>
      <c r="F158" s="666"/>
      <c r="G158" s="631"/>
      <c r="H158" s="631"/>
      <c r="I158" s="631"/>
      <c r="J158" s="631"/>
      <c r="K158" s="631"/>
      <c r="L158" s="631"/>
      <c r="M158" s="631"/>
      <c r="N158" s="666"/>
      <c r="O158" s="668">
        <f>ROUND((SUM(O157:O157)),2)</f>
        <v>7343.15</v>
      </c>
      <c r="P158" s="669" t="s">
        <v>6</v>
      </c>
    </row>
    <row r="159" spans="1:16" x14ac:dyDescent="0.2">
      <c r="A159" s="734" t="s">
        <v>0</v>
      </c>
      <c r="B159" s="735" t="s">
        <v>1411</v>
      </c>
      <c r="C159" s="678" t="e">
        <f>#REF!</f>
        <v>#REF!</v>
      </c>
      <c r="D159" s="662" t="s">
        <v>799</v>
      </c>
      <c r="E159" s="663" t="s">
        <v>864</v>
      </c>
      <c r="F159" s="633"/>
      <c r="G159" s="664"/>
      <c r="H159" s="664"/>
      <c r="I159" s="664"/>
      <c r="J159" s="664"/>
      <c r="K159" s="664"/>
      <c r="L159" s="664"/>
      <c r="M159" s="664"/>
      <c r="O159" s="631"/>
    </row>
    <row r="160" spans="1:16" ht="13.5" thickBot="1" x14ac:dyDescent="0.25">
      <c r="A160" s="736"/>
      <c r="B160" s="737"/>
      <c r="C160" s="813" t="s">
        <v>1155</v>
      </c>
      <c r="E160" s="481">
        <v>15879.73</v>
      </c>
      <c r="F160" s="662"/>
      <c r="G160" s="631"/>
      <c r="H160" s="631"/>
      <c r="I160" s="631"/>
      <c r="J160" s="631"/>
      <c r="K160" s="631"/>
      <c r="L160" s="631"/>
      <c r="M160" s="631"/>
      <c r="N160" s="666" t="s">
        <v>799</v>
      </c>
      <c r="O160" s="631">
        <f>E160</f>
        <v>15879.73</v>
      </c>
      <c r="P160" s="630" t="s">
        <v>6</v>
      </c>
    </row>
    <row r="161" spans="1:16" ht="13.5" thickBot="1" x14ac:dyDescent="0.25">
      <c r="A161" s="736"/>
      <c r="B161" s="737"/>
      <c r="C161" s="667"/>
      <c r="F161" s="666"/>
      <c r="G161" s="631"/>
      <c r="H161" s="631"/>
      <c r="I161" s="631"/>
      <c r="J161" s="631"/>
      <c r="K161" s="631"/>
      <c r="L161" s="631"/>
      <c r="M161" s="631"/>
      <c r="N161" s="666"/>
      <c r="O161" s="668">
        <f>ROUND((SUM(O160:O160)),2)</f>
        <v>15879.73</v>
      </c>
      <c r="P161" s="669" t="s">
        <v>6</v>
      </c>
    </row>
    <row r="162" spans="1:16" ht="30" customHeight="1" x14ac:dyDescent="0.2">
      <c r="A162" s="734" t="s">
        <v>0</v>
      </c>
      <c r="B162" s="735" t="s">
        <v>1412</v>
      </c>
      <c r="C162" s="678" t="e">
        <f>#REF!</f>
        <v>#REF!</v>
      </c>
      <c r="D162" s="662" t="s">
        <v>799</v>
      </c>
      <c r="E162" s="663" t="s">
        <v>864</v>
      </c>
      <c r="F162" s="633"/>
      <c r="G162" s="664"/>
      <c r="H162" s="664"/>
      <c r="I162" s="664"/>
      <c r="J162" s="664"/>
      <c r="K162" s="664"/>
      <c r="L162" s="664"/>
      <c r="M162" s="664"/>
      <c r="O162" s="631"/>
    </row>
    <row r="163" spans="1:16" ht="13.5" thickBot="1" x14ac:dyDescent="0.25">
      <c r="A163" s="736"/>
      <c r="B163" s="737"/>
      <c r="C163" s="813" t="s">
        <v>1156</v>
      </c>
      <c r="E163" s="481">
        <v>3669.97</v>
      </c>
      <c r="F163" s="662"/>
      <c r="G163" s="631"/>
      <c r="H163" s="631"/>
      <c r="I163" s="631"/>
      <c r="J163" s="631"/>
      <c r="K163" s="631"/>
      <c r="L163" s="631"/>
      <c r="M163" s="631"/>
      <c r="N163" s="666" t="s">
        <v>799</v>
      </c>
      <c r="O163" s="631">
        <f>E163</f>
        <v>3669.97</v>
      </c>
      <c r="P163" s="630" t="s">
        <v>6</v>
      </c>
    </row>
    <row r="164" spans="1:16" ht="13.5" thickBot="1" x14ac:dyDescent="0.25">
      <c r="A164" s="736"/>
      <c r="B164" s="737"/>
      <c r="C164" s="667"/>
      <c r="F164" s="666"/>
      <c r="G164" s="631"/>
      <c r="H164" s="631"/>
      <c r="I164" s="631"/>
      <c r="J164" s="631"/>
      <c r="K164" s="631"/>
      <c r="L164" s="631"/>
      <c r="M164" s="631"/>
      <c r="N164" s="666"/>
      <c r="O164" s="668">
        <f>ROUND((SUM(O163:O163)),2)</f>
        <v>3669.97</v>
      </c>
      <c r="P164" s="669" t="s">
        <v>6</v>
      </c>
    </row>
    <row r="165" spans="1:16" x14ac:dyDescent="0.2">
      <c r="B165" s="660"/>
      <c r="C165" s="660"/>
      <c r="E165" s="629"/>
      <c r="G165" s="631"/>
      <c r="H165" s="631"/>
      <c r="I165" s="631"/>
      <c r="J165" s="631"/>
      <c r="K165" s="631"/>
      <c r="L165" s="631"/>
      <c r="M165" s="631"/>
      <c r="O165" s="631"/>
    </row>
    <row r="166" spans="1:16" x14ac:dyDescent="0.2">
      <c r="B166" s="660"/>
      <c r="C166" s="660"/>
      <c r="E166" s="629"/>
      <c r="G166" s="631"/>
      <c r="H166" s="631"/>
      <c r="I166" s="631"/>
      <c r="J166" s="631"/>
      <c r="K166" s="631"/>
      <c r="L166" s="631"/>
      <c r="M166" s="631"/>
      <c r="O166" s="631"/>
    </row>
    <row r="167" spans="1:16" x14ac:dyDescent="0.2">
      <c r="B167" s="660"/>
      <c r="C167" s="660"/>
      <c r="E167" s="629"/>
      <c r="G167" s="631"/>
      <c r="H167" s="631"/>
      <c r="I167" s="631"/>
      <c r="J167" s="631"/>
      <c r="K167" s="631"/>
      <c r="L167" s="631"/>
      <c r="M167" s="631"/>
      <c r="O167" s="631"/>
    </row>
    <row r="168" spans="1:16" x14ac:dyDescent="0.2">
      <c r="B168" s="660"/>
      <c r="C168" s="660"/>
      <c r="E168" s="629"/>
      <c r="G168" s="631"/>
      <c r="H168" s="631"/>
      <c r="I168" s="631"/>
      <c r="J168" s="631"/>
      <c r="K168" s="631"/>
      <c r="L168" s="631"/>
      <c r="M168" s="631"/>
      <c r="O168" s="631"/>
    </row>
    <row r="169" spans="1:16" x14ac:dyDescent="0.2">
      <c r="B169" s="660"/>
      <c r="C169" s="660"/>
      <c r="E169" s="629"/>
      <c r="G169" s="631"/>
      <c r="H169" s="631"/>
      <c r="I169" s="631"/>
      <c r="J169" s="631"/>
      <c r="K169" s="631"/>
      <c r="L169" s="631"/>
      <c r="M169" s="631"/>
      <c r="O169" s="631"/>
    </row>
    <row r="170" spans="1:16" x14ac:dyDescent="0.2">
      <c r="B170" s="660"/>
      <c r="C170" s="660"/>
      <c r="E170" s="629"/>
      <c r="G170" s="631"/>
      <c r="H170" s="631"/>
      <c r="I170" s="631"/>
      <c r="J170" s="631"/>
      <c r="K170" s="631"/>
      <c r="L170" s="631"/>
      <c r="M170" s="631"/>
      <c r="O170" s="631"/>
    </row>
    <row r="171" spans="1:16" ht="15" x14ac:dyDescent="0.2">
      <c r="B171" s="946" t="s">
        <v>1673</v>
      </c>
      <c r="C171" s="947"/>
      <c r="D171"/>
      <c r="E171"/>
      <c r="F171" s="677"/>
      <c r="G171" s="690"/>
      <c r="H171" s="631"/>
      <c r="I171" s="631"/>
      <c r="J171" s="631"/>
      <c r="K171" s="631"/>
      <c r="L171" s="631"/>
      <c r="M171" s="631"/>
      <c r="O171" s="631"/>
    </row>
    <row r="172" spans="1:16" ht="15" x14ac:dyDescent="0.2">
      <c r="B172" s="946" t="s">
        <v>1674</v>
      </c>
      <c r="C172" s="946"/>
      <c r="D172"/>
      <c r="E172"/>
      <c r="F172" s="676"/>
      <c r="G172" s="690"/>
      <c r="H172" s="631"/>
      <c r="I172" s="631"/>
      <c r="J172" s="631"/>
      <c r="K172" s="631"/>
      <c r="L172" s="631"/>
      <c r="M172" s="631"/>
      <c r="O172" s="631"/>
    </row>
    <row r="173" spans="1:16" ht="14.25" x14ac:dyDescent="0.2">
      <c r="B173" s="948" t="s">
        <v>1675</v>
      </c>
      <c r="C173" s="794"/>
      <c r="D173"/>
      <c r="E173"/>
      <c r="F173" s="676"/>
      <c r="G173" s="652"/>
      <c r="H173" s="631"/>
      <c r="I173" s="631"/>
      <c r="J173" s="631"/>
      <c r="K173" s="631"/>
      <c r="L173" s="631"/>
      <c r="M173" s="631"/>
      <c r="O173" s="631"/>
    </row>
    <row r="174" spans="1:16" x14ac:dyDescent="0.2">
      <c r="B174" s="660"/>
      <c r="C174" s="660"/>
      <c r="E174" s="629"/>
      <c r="G174" s="631"/>
      <c r="H174" s="631"/>
      <c r="I174" s="631"/>
      <c r="J174" s="631"/>
      <c r="K174" s="631"/>
      <c r="L174" s="631"/>
      <c r="M174" s="631"/>
      <c r="O174" s="631"/>
    </row>
    <row r="175" spans="1:16" x14ac:dyDescent="0.2">
      <c r="B175" s="660"/>
      <c r="C175" s="660"/>
      <c r="E175" s="629"/>
      <c r="G175" s="631"/>
      <c r="H175" s="631"/>
      <c r="I175" s="631"/>
      <c r="J175" s="631"/>
      <c r="K175" s="631"/>
      <c r="L175" s="631"/>
      <c r="M175" s="631"/>
      <c r="O175" s="631"/>
    </row>
    <row r="176" spans="1:16" x14ac:dyDescent="0.2">
      <c r="B176" s="660"/>
      <c r="C176" s="660"/>
      <c r="E176" s="629"/>
      <c r="G176" s="631"/>
      <c r="H176" s="631"/>
      <c r="I176" s="631"/>
      <c r="J176" s="631"/>
      <c r="K176" s="631"/>
      <c r="L176" s="631"/>
      <c r="M176" s="631"/>
      <c r="O176" s="631"/>
    </row>
    <row r="177" spans="5:15" x14ac:dyDescent="0.2">
      <c r="E177" s="609"/>
      <c r="F177" s="609"/>
      <c r="G177" s="609"/>
      <c r="H177" s="609"/>
      <c r="I177" s="609"/>
      <c r="J177" s="631"/>
      <c r="K177" s="631"/>
      <c r="L177" s="631"/>
      <c r="M177" s="631"/>
      <c r="O177" s="631"/>
    </row>
    <row r="178" spans="5:15" x14ac:dyDescent="0.2">
      <c r="E178" s="609"/>
      <c r="F178" s="609"/>
      <c r="G178" s="609"/>
      <c r="H178" s="609"/>
      <c r="I178" s="609"/>
    </row>
  </sheetData>
  <mergeCells count="7">
    <mergeCell ref="A7:P7"/>
    <mergeCell ref="A1:E1"/>
    <mergeCell ref="F1:P1"/>
    <mergeCell ref="A2:P2"/>
    <mergeCell ref="A5:P5"/>
    <mergeCell ref="A3:L3"/>
    <mergeCell ref="N3:P3"/>
  </mergeCells>
  <printOptions horizontalCentered="1"/>
  <pageMargins left="0.59055118110236227" right="0.59055118110236227" top="1.1811023622047245" bottom="1.1811023622047245" header="0.39370078740157483" footer="0.39370078740157483"/>
  <pageSetup scale="58" orientation="portrait" horizontalDpi="4294967293" verticalDpi="4294967293"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92D050"/>
  </sheetPr>
  <dimension ref="A1:G145"/>
  <sheetViews>
    <sheetView view="pageBreakPreview" topLeftCell="A4" zoomScaleNormal="100" zoomScaleSheetLayoutView="100" workbookViewId="0">
      <selection activeCell="C38" sqref="C38"/>
    </sheetView>
  </sheetViews>
  <sheetFormatPr baseColWidth="10" defaultColWidth="11.42578125" defaultRowHeight="12.75" x14ac:dyDescent="0.2"/>
  <cols>
    <col min="1" max="1" width="6" style="1" customWidth="1"/>
    <col min="2" max="2" width="7.140625" style="10" customWidth="1"/>
    <col min="3" max="3" width="56" style="10" customWidth="1"/>
    <col min="4" max="4" width="8.5703125" style="10" customWidth="1"/>
    <col min="5" max="5" width="16.28515625" style="14" customWidth="1"/>
    <col min="6" max="6" width="25.28515625" style="1" customWidth="1"/>
    <col min="7" max="7" width="17.42578125" style="1" bestFit="1" customWidth="1"/>
    <col min="8" max="16384" width="11.42578125" style="1"/>
  </cols>
  <sheetData>
    <row r="1" spans="1:6" ht="18.75" customHeight="1" thickBot="1" x14ac:dyDescent="0.25">
      <c r="A1" s="2145" t="str">
        <f>'PRES.FASE 1-ADUCCION'!D1</f>
        <v>AGUAS DEL HUILA S.A. E.S.P.</v>
      </c>
      <c r="B1" s="2146"/>
      <c r="C1" s="2146"/>
      <c r="D1" s="2146"/>
      <c r="E1" s="2147"/>
    </row>
    <row r="2" spans="1:6" ht="20.25" customHeight="1" thickBot="1" x14ac:dyDescent="0.25">
      <c r="A2" s="2148" t="s">
        <v>13</v>
      </c>
      <c r="B2" s="2149"/>
      <c r="C2" s="2149"/>
      <c r="D2" s="2149"/>
      <c r="E2" s="2150"/>
    </row>
    <row r="3" spans="1:6" ht="17.100000000000001" customHeight="1" thickBot="1" x14ac:dyDescent="0.25">
      <c r="A3" s="2154" t="s">
        <v>67</v>
      </c>
      <c r="B3" s="2154"/>
      <c r="C3" s="2154"/>
      <c r="D3" s="956" t="s">
        <v>1181</v>
      </c>
      <c r="E3" s="842">
        <f>+'01'!$M$13</f>
        <v>0</v>
      </c>
    </row>
    <row r="4" spans="1:6" ht="44.25" customHeight="1" thickBot="1" x14ac:dyDescent="0.25">
      <c r="A4" s="2151" t="str">
        <f>'01'!A12</f>
        <v>"CONSTRUCCION SISTEMA DE ACUEDUCTO FASE II DEL MUNICIPIO DE TESALIA DPTO DEL HUILA"</v>
      </c>
      <c r="B4" s="2152"/>
      <c r="C4" s="2152"/>
      <c r="D4" s="2152"/>
      <c r="E4" s="2153"/>
    </row>
    <row r="5" spans="1:6" ht="24.75" customHeight="1" thickBot="1" x14ac:dyDescent="0.25">
      <c r="A5" s="2" t="s">
        <v>24</v>
      </c>
      <c r="B5" s="3" t="s">
        <v>0</v>
      </c>
      <c r="C5" s="4" t="s">
        <v>1</v>
      </c>
      <c r="D5" s="5" t="s">
        <v>2</v>
      </c>
      <c r="E5" s="173" t="s">
        <v>11</v>
      </c>
    </row>
    <row r="6" spans="1:6" ht="13.5" thickBot="1" x14ac:dyDescent="0.25">
      <c r="A6" s="623" t="s">
        <v>23</v>
      </c>
      <c r="B6" s="504" t="s">
        <v>867</v>
      </c>
      <c r="C6" s="26" t="s">
        <v>40</v>
      </c>
      <c r="D6" s="27"/>
      <c r="E6" s="31"/>
    </row>
    <row r="7" spans="1:6" x14ac:dyDescent="0.2">
      <c r="A7" s="19"/>
      <c r="B7" s="20">
        <v>1</v>
      </c>
      <c r="C7" s="29" t="s">
        <v>164</v>
      </c>
      <c r="D7" s="30" t="s">
        <v>7</v>
      </c>
      <c r="E7" s="958">
        <v>4500</v>
      </c>
      <c r="F7" s="1176"/>
    </row>
    <row r="8" spans="1:6" x14ac:dyDescent="0.2">
      <c r="A8" s="19"/>
      <c r="B8" s="20">
        <v>2</v>
      </c>
      <c r="C8" s="29" t="s">
        <v>915</v>
      </c>
      <c r="D8" s="30" t="s">
        <v>7</v>
      </c>
      <c r="E8" s="958">
        <v>7800</v>
      </c>
      <c r="F8" s="1176"/>
    </row>
    <row r="9" spans="1:6" x14ac:dyDescent="0.2">
      <c r="A9" s="19"/>
      <c r="B9" s="20">
        <v>3</v>
      </c>
      <c r="C9" s="29" t="s">
        <v>1736</v>
      </c>
      <c r="D9" s="30" t="s">
        <v>7</v>
      </c>
      <c r="E9" s="958">
        <v>8300</v>
      </c>
      <c r="F9" s="1176"/>
    </row>
    <row r="10" spans="1:6" ht="25.5" x14ac:dyDescent="0.2">
      <c r="A10" s="19"/>
      <c r="B10" s="20">
        <v>4</v>
      </c>
      <c r="C10" s="29" t="s">
        <v>1544</v>
      </c>
      <c r="D10" s="30" t="s">
        <v>6</v>
      </c>
      <c r="E10" s="958">
        <v>25450</v>
      </c>
      <c r="F10" s="1176"/>
    </row>
    <row r="11" spans="1:6" x14ac:dyDescent="0.2">
      <c r="A11" s="19"/>
      <c r="B11" s="20">
        <v>5</v>
      </c>
      <c r="C11" s="29" t="s">
        <v>157</v>
      </c>
      <c r="D11" s="30" t="s">
        <v>46</v>
      </c>
      <c r="E11" s="958">
        <v>5450</v>
      </c>
      <c r="F11" s="1176"/>
    </row>
    <row r="12" spans="1:6" x14ac:dyDescent="0.2">
      <c r="A12" s="19"/>
      <c r="B12" s="20">
        <v>6</v>
      </c>
      <c r="C12" s="29" t="s">
        <v>56</v>
      </c>
      <c r="D12" s="30" t="s">
        <v>2</v>
      </c>
      <c r="E12" s="958">
        <v>6950</v>
      </c>
      <c r="F12" s="1176"/>
    </row>
    <row r="13" spans="1:6" x14ac:dyDescent="0.2">
      <c r="A13" s="19"/>
      <c r="B13" s="20">
        <v>7</v>
      </c>
      <c r="C13" s="29" t="s">
        <v>1712</v>
      </c>
      <c r="D13" s="30" t="s">
        <v>7</v>
      </c>
      <c r="E13" s="958">
        <v>19500</v>
      </c>
      <c r="F13" s="1176"/>
    </row>
    <row r="14" spans="1:6" ht="25.5" x14ac:dyDescent="0.2">
      <c r="A14" s="19"/>
      <c r="B14" s="20">
        <v>8</v>
      </c>
      <c r="C14" s="29" t="s">
        <v>876</v>
      </c>
      <c r="D14" s="30" t="s">
        <v>2</v>
      </c>
      <c r="E14" s="958">
        <v>1200000</v>
      </c>
      <c r="F14" s="1176"/>
    </row>
    <row r="15" spans="1:6" x14ac:dyDescent="0.2">
      <c r="A15" s="19"/>
      <c r="B15" s="20">
        <v>9</v>
      </c>
      <c r="C15" s="29" t="s">
        <v>1545</v>
      </c>
      <c r="D15" s="30" t="s">
        <v>4</v>
      </c>
      <c r="E15" s="958">
        <v>37317</v>
      </c>
      <c r="F15" s="1176"/>
    </row>
    <row r="16" spans="1:6" x14ac:dyDescent="0.2">
      <c r="A16" s="19"/>
      <c r="B16" s="20">
        <v>10</v>
      </c>
      <c r="C16" s="29" t="s">
        <v>1546</v>
      </c>
      <c r="D16" s="30" t="s">
        <v>2</v>
      </c>
      <c r="E16" s="958">
        <v>839</v>
      </c>
      <c r="F16" s="1176"/>
    </row>
    <row r="17" spans="1:6" ht="25.5" x14ac:dyDescent="0.2">
      <c r="A17" s="19"/>
      <c r="B17" s="20">
        <v>11</v>
      </c>
      <c r="C17" s="29" t="s">
        <v>1562</v>
      </c>
      <c r="D17" s="30" t="s">
        <v>2</v>
      </c>
      <c r="E17" s="958">
        <v>3000</v>
      </c>
      <c r="F17" s="1176"/>
    </row>
    <row r="18" spans="1:6" ht="25.5" x14ac:dyDescent="0.2">
      <c r="A18" s="19"/>
      <c r="B18" s="20">
        <v>12</v>
      </c>
      <c r="C18" s="29" t="s">
        <v>1560</v>
      </c>
      <c r="D18" s="30" t="s">
        <v>2</v>
      </c>
      <c r="E18" s="958">
        <v>4000</v>
      </c>
      <c r="F18" s="1176"/>
    </row>
    <row r="19" spans="1:6" ht="25.5" x14ac:dyDescent="0.2">
      <c r="A19" s="19"/>
      <c r="B19" s="20">
        <v>13</v>
      </c>
      <c r="C19" s="29" t="s">
        <v>1561</v>
      </c>
      <c r="D19" s="30" t="s">
        <v>2</v>
      </c>
      <c r="E19" s="958">
        <v>5500</v>
      </c>
      <c r="F19" s="1176"/>
    </row>
    <row r="20" spans="1:6" x14ac:dyDescent="0.2">
      <c r="A20" s="19"/>
      <c r="B20" s="20">
        <v>14</v>
      </c>
      <c r="C20" s="29" t="s">
        <v>1094</v>
      </c>
      <c r="D20" s="30" t="s">
        <v>6</v>
      </c>
      <c r="E20" s="958">
        <v>2567</v>
      </c>
      <c r="F20" s="1176"/>
    </row>
    <row r="21" spans="1:6" x14ac:dyDescent="0.2">
      <c r="A21" s="19"/>
      <c r="B21" s="20">
        <v>15</v>
      </c>
      <c r="C21" s="29" t="s">
        <v>914</v>
      </c>
      <c r="D21" s="30" t="s">
        <v>2</v>
      </c>
      <c r="E21" s="958">
        <v>4232250</v>
      </c>
      <c r="F21" s="1176"/>
    </row>
    <row r="22" spans="1:6" x14ac:dyDescent="0.2">
      <c r="A22" s="19"/>
      <c r="B22" s="20">
        <v>16</v>
      </c>
      <c r="C22" s="29" t="s">
        <v>860</v>
      </c>
      <c r="D22" s="30" t="s">
        <v>2</v>
      </c>
      <c r="E22" s="958">
        <v>105200</v>
      </c>
      <c r="F22" s="1176"/>
    </row>
    <row r="23" spans="1:6" ht="13.5" thickBot="1" x14ac:dyDescent="0.25">
      <c r="A23" s="19"/>
      <c r="B23" s="20">
        <v>17</v>
      </c>
      <c r="C23" s="29" t="s">
        <v>861</v>
      </c>
      <c r="D23" s="30" t="s">
        <v>2</v>
      </c>
      <c r="E23" s="958">
        <v>1200</v>
      </c>
      <c r="F23" s="1176"/>
    </row>
    <row r="24" spans="1:6" ht="13.5" thickBot="1" x14ac:dyDescent="0.25">
      <c r="A24" s="22"/>
      <c r="B24" s="504"/>
      <c r="C24" s="2140"/>
      <c r="D24" s="2140"/>
      <c r="E24" s="2141"/>
    </row>
    <row r="25" spans="1:6" ht="3.75" customHeight="1" thickBot="1" x14ac:dyDescent="0.25">
      <c r="A25" s="22"/>
      <c r="B25" s="504"/>
      <c r="C25" s="26"/>
      <c r="D25" s="27"/>
      <c r="E25" s="31"/>
    </row>
    <row r="26" spans="1:6" ht="13.5" thickBot="1" x14ac:dyDescent="0.25">
      <c r="A26" s="623" t="s">
        <v>61</v>
      </c>
      <c r="B26" s="504" t="s">
        <v>868</v>
      </c>
      <c r="C26" s="26" t="s">
        <v>62</v>
      </c>
      <c r="D26" s="27"/>
      <c r="E26" s="31"/>
    </row>
    <row r="27" spans="1:6" x14ac:dyDescent="0.2">
      <c r="A27" s="23"/>
      <c r="B27" s="847">
        <v>1</v>
      </c>
      <c r="C27" s="24" t="s">
        <v>63</v>
      </c>
      <c r="D27" s="25" t="s">
        <v>7</v>
      </c>
      <c r="E27" s="973">
        <v>695</v>
      </c>
      <c r="F27" s="1176"/>
    </row>
    <row r="28" spans="1:6" x14ac:dyDescent="0.2">
      <c r="A28" s="23"/>
      <c r="B28" s="847">
        <v>2</v>
      </c>
      <c r="C28" s="24" t="s">
        <v>1542</v>
      </c>
      <c r="D28" s="25" t="s">
        <v>12</v>
      </c>
      <c r="E28" s="973">
        <v>57120</v>
      </c>
      <c r="F28" s="1176"/>
    </row>
    <row r="29" spans="1:6" x14ac:dyDescent="0.2">
      <c r="A29" s="23"/>
      <c r="B29" s="847">
        <v>3</v>
      </c>
      <c r="C29" s="24" t="s">
        <v>1543</v>
      </c>
      <c r="D29" s="25" t="s">
        <v>12</v>
      </c>
      <c r="E29" s="973">
        <v>54740</v>
      </c>
      <c r="F29" s="1176"/>
    </row>
    <row r="30" spans="1:6" x14ac:dyDescent="0.2">
      <c r="A30" s="620"/>
      <c r="B30" s="847">
        <v>4</v>
      </c>
      <c r="C30" s="29" t="s">
        <v>1541</v>
      </c>
      <c r="D30" s="18" t="s">
        <v>12</v>
      </c>
      <c r="E30" s="972">
        <v>73780</v>
      </c>
      <c r="F30" s="1176"/>
    </row>
    <row r="31" spans="1:6" x14ac:dyDescent="0.2">
      <c r="A31" s="695"/>
      <c r="B31" s="847">
        <v>5</v>
      </c>
      <c r="C31" s="29" t="s">
        <v>1780</v>
      </c>
      <c r="D31" s="18" t="s">
        <v>12</v>
      </c>
      <c r="E31" s="1026">
        <v>42000</v>
      </c>
      <c r="F31" s="1176"/>
    </row>
    <row r="32" spans="1:6" x14ac:dyDescent="0.2">
      <c r="A32" s="695"/>
      <c r="B32" s="847">
        <v>6</v>
      </c>
      <c r="C32" s="1156" t="s">
        <v>2321</v>
      </c>
      <c r="D32" s="18" t="s">
        <v>12</v>
      </c>
      <c r="E32" s="1157">
        <v>65450</v>
      </c>
      <c r="F32" s="1176"/>
    </row>
    <row r="33" spans="1:6" ht="13.5" thickBot="1" x14ac:dyDescent="0.25">
      <c r="A33" s="695"/>
      <c r="B33" s="847">
        <v>7</v>
      </c>
      <c r="C33" s="1156" t="s">
        <v>2324</v>
      </c>
      <c r="D33" s="18" t="s">
        <v>12</v>
      </c>
      <c r="E33" s="1157">
        <v>113050</v>
      </c>
      <c r="F33" s="1176"/>
    </row>
    <row r="34" spans="1:6" ht="13.5" thickBot="1" x14ac:dyDescent="0.25">
      <c r="A34" s="22"/>
      <c r="B34" s="504"/>
      <c r="C34" s="2140"/>
      <c r="D34" s="2140"/>
      <c r="E34" s="2141"/>
    </row>
    <row r="35" spans="1:6" ht="3.75" customHeight="1" thickBot="1" x14ac:dyDescent="0.25">
      <c r="A35" s="22"/>
      <c r="B35" s="504"/>
      <c r="C35" s="26"/>
      <c r="D35" s="27"/>
      <c r="E35" s="31"/>
    </row>
    <row r="36" spans="1:6" ht="13.5" thickBot="1" x14ac:dyDescent="0.25">
      <c r="A36" s="623" t="s">
        <v>61</v>
      </c>
      <c r="B36" s="504" t="s">
        <v>869</v>
      </c>
      <c r="C36" s="164" t="s">
        <v>83</v>
      </c>
      <c r="D36" s="27"/>
      <c r="E36" s="31"/>
    </row>
    <row r="37" spans="1:6" x14ac:dyDescent="0.2">
      <c r="A37" s="23"/>
      <c r="B37" s="33">
        <v>1</v>
      </c>
      <c r="C37" s="24" t="s">
        <v>913</v>
      </c>
      <c r="D37" s="25" t="s">
        <v>64</v>
      </c>
      <c r="E37" s="957">
        <v>64900</v>
      </c>
      <c r="F37" s="1176"/>
    </row>
    <row r="38" spans="1:6" ht="13.5" thickBot="1" x14ac:dyDescent="0.25">
      <c r="A38" s="23"/>
      <c r="B38" s="33">
        <v>2</v>
      </c>
      <c r="C38" s="24" t="s">
        <v>1713</v>
      </c>
      <c r="D38" s="25" t="s">
        <v>64</v>
      </c>
      <c r="E38" s="957">
        <v>79900</v>
      </c>
      <c r="F38" s="1176"/>
    </row>
    <row r="39" spans="1:6" ht="13.5" thickBot="1" x14ac:dyDescent="0.25">
      <c r="A39" s="22"/>
      <c r="B39" s="504"/>
      <c r="C39" s="2140"/>
      <c r="D39" s="2140"/>
      <c r="E39" s="2141"/>
    </row>
    <row r="40" spans="1:6" ht="13.5" thickBot="1" x14ac:dyDescent="0.25">
      <c r="A40" s="623" t="s">
        <v>80</v>
      </c>
      <c r="B40" s="504" t="s">
        <v>870</v>
      </c>
      <c r="C40" s="26" t="s">
        <v>81</v>
      </c>
      <c r="D40" s="27"/>
      <c r="E40" s="31"/>
    </row>
    <row r="41" spans="1:6" x14ac:dyDescent="0.2">
      <c r="A41" s="624" t="s">
        <v>94</v>
      </c>
      <c r="B41" s="625" t="s">
        <v>2567</v>
      </c>
      <c r="C41" s="2142" t="s">
        <v>103</v>
      </c>
      <c r="D41" s="2143"/>
      <c r="E41" s="2144"/>
    </row>
    <row r="42" spans="1:6" x14ac:dyDescent="0.2">
      <c r="A42" s="23"/>
      <c r="B42" s="33">
        <v>1</v>
      </c>
      <c r="C42" s="24" t="s">
        <v>1083</v>
      </c>
      <c r="D42" s="25" t="s">
        <v>2</v>
      </c>
      <c r="E42" s="973">
        <v>54577</v>
      </c>
      <c r="F42" s="1176"/>
    </row>
    <row r="43" spans="1:6" x14ac:dyDescent="0.2">
      <c r="A43" s="23"/>
      <c r="B43" s="33">
        <v>2</v>
      </c>
      <c r="C43" s="24" t="s">
        <v>1084</v>
      </c>
      <c r="D43" s="25" t="s">
        <v>2</v>
      </c>
      <c r="E43" s="973">
        <v>79237</v>
      </c>
      <c r="F43" s="1176"/>
    </row>
    <row r="44" spans="1:6" x14ac:dyDescent="0.2">
      <c r="A44" s="23"/>
      <c r="B44" s="33">
        <v>3</v>
      </c>
      <c r="C44" s="24" t="s">
        <v>1085</v>
      </c>
      <c r="D44" s="25" t="s">
        <v>2</v>
      </c>
      <c r="E44" s="973">
        <v>140475</v>
      </c>
      <c r="F44" s="1176"/>
    </row>
    <row r="45" spans="1:6" x14ac:dyDescent="0.2">
      <c r="A45" s="23"/>
      <c r="B45" s="33">
        <v>4</v>
      </c>
      <c r="C45" s="24" t="s">
        <v>1086</v>
      </c>
      <c r="D45" s="25" t="s">
        <v>2</v>
      </c>
      <c r="E45" s="973">
        <v>238705</v>
      </c>
      <c r="F45" s="1176"/>
    </row>
    <row r="46" spans="1:6" x14ac:dyDescent="0.2">
      <c r="A46" s="23"/>
      <c r="B46" s="33">
        <v>5</v>
      </c>
      <c r="C46" s="24" t="s">
        <v>1099</v>
      </c>
      <c r="D46" s="25" t="s">
        <v>2</v>
      </c>
      <c r="E46" s="957">
        <v>122570</v>
      </c>
      <c r="F46" s="1176"/>
    </row>
    <row r="47" spans="1:6" x14ac:dyDescent="0.2">
      <c r="A47" s="23"/>
      <c r="B47" s="33">
        <v>6</v>
      </c>
      <c r="C47" s="24" t="s">
        <v>1100</v>
      </c>
      <c r="D47" s="25" t="s">
        <v>2</v>
      </c>
      <c r="E47" s="957">
        <v>152320</v>
      </c>
      <c r="F47" s="1176"/>
    </row>
    <row r="48" spans="1:6" x14ac:dyDescent="0.2">
      <c r="A48" s="23"/>
      <c r="B48" s="33">
        <v>7</v>
      </c>
      <c r="C48" s="24" t="s">
        <v>1101</v>
      </c>
      <c r="D48" s="25" t="s">
        <v>2</v>
      </c>
      <c r="E48" s="957">
        <v>515270</v>
      </c>
      <c r="F48" s="1176"/>
    </row>
    <row r="49" spans="1:6" x14ac:dyDescent="0.2">
      <c r="A49" s="23"/>
      <c r="B49" s="33">
        <v>8</v>
      </c>
      <c r="C49" s="24" t="s">
        <v>1112</v>
      </c>
      <c r="D49" s="25" t="s">
        <v>2</v>
      </c>
      <c r="E49" s="957">
        <v>320110</v>
      </c>
      <c r="F49" s="1176"/>
    </row>
    <row r="50" spans="1:6" x14ac:dyDescent="0.2">
      <c r="A50" s="23"/>
      <c r="B50" s="33">
        <v>9</v>
      </c>
      <c r="C50" s="24" t="s">
        <v>1113</v>
      </c>
      <c r="D50" s="25" t="s">
        <v>2</v>
      </c>
      <c r="E50" s="957">
        <v>515270</v>
      </c>
      <c r="F50" s="1176"/>
    </row>
    <row r="51" spans="1:6" x14ac:dyDescent="0.2">
      <c r="A51" s="23"/>
      <c r="B51" s="33"/>
      <c r="C51" s="24" t="s">
        <v>1459</v>
      </c>
      <c r="D51" s="25" t="s">
        <v>2</v>
      </c>
      <c r="E51" s="957">
        <v>229973.09999999998</v>
      </c>
      <c r="F51" s="1176"/>
    </row>
    <row r="52" spans="1:6" x14ac:dyDescent="0.2">
      <c r="A52" s="23"/>
      <c r="B52" s="33">
        <v>10</v>
      </c>
      <c r="C52" s="24" t="s">
        <v>1460</v>
      </c>
      <c r="D52" s="25" t="s">
        <v>2</v>
      </c>
      <c r="E52" s="973">
        <v>328533</v>
      </c>
      <c r="F52" s="1176"/>
    </row>
    <row r="53" spans="1:6" x14ac:dyDescent="0.2">
      <c r="A53" s="23"/>
      <c r="B53" s="33">
        <v>11</v>
      </c>
      <c r="C53" s="24" t="s">
        <v>1461</v>
      </c>
      <c r="D53" s="25" t="s">
        <v>2</v>
      </c>
      <c r="E53" s="973">
        <v>1203485</v>
      </c>
      <c r="F53" s="1176"/>
    </row>
    <row r="54" spans="1:6" x14ac:dyDescent="0.2">
      <c r="A54" s="23"/>
      <c r="B54" s="33">
        <v>12</v>
      </c>
      <c r="C54" s="24" t="s">
        <v>1457</v>
      </c>
      <c r="D54" s="25" t="s">
        <v>2</v>
      </c>
      <c r="E54" s="957">
        <v>761600</v>
      </c>
      <c r="F54" s="1176"/>
    </row>
    <row r="55" spans="1:6" x14ac:dyDescent="0.2">
      <c r="A55" s="23"/>
      <c r="B55" s="33">
        <v>13</v>
      </c>
      <c r="C55" s="24" t="s">
        <v>1458</v>
      </c>
      <c r="D55" s="25" t="s">
        <v>2</v>
      </c>
      <c r="E55" s="957">
        <v>1325660</v>
      </c>
      <c r="F55" s="1176"/>
    </row>
    <row r="56" spans="1:6" x14ac:dyDescent="0.2">
      <c r="A56" s="23"/>
      <c r="B56" s="33">
        <v>14</v>
      </c>
      <c r="C56" s="24" t="s">
        <v>101</v>
      </c>
      <c r="D56" s="25" t="s">
        <v>2</v>
      </c>
      <c r="E56" s="973">
        <v>863</v>
      </c>
      <c r="F56" s="1176"/>
    </row>
    <row r="57" spans="1:6" x14ac:dyDescent="0.2">
      <c r="A57" s="23"/>
      <c r="B57" s="33">
        <v>15</v>
      </c>
      <c r="C57" s="24" t="s">
        <v>1069</v>
      </c>
      <c r="D57" s="25" t="s">
        <v>2</v>
      </c>
      <c r="E57" s="973">
        <v>643417</v>
      </c>
      <c r="F57" s="1176"/>
    </row>
    <row r="58" spans="1:6" x14ac:dyDescent="0.2">
      <c r="A58" s="23"/>
      <c r="B58" s="33">
        <v>16</v>
      </c>
      <c r="C58" s="24" t="s">
        <v>1735</v>
      </c>
      <c r="D58" s="25" t="s">
        <v>2</v>
      </c>
      <c r="E58" s="957">
        <v>65913</v>
      </c>
      <c r="F58" s="1176"/>
    </row>
    <row r="59" spans="1:6" x14ac:dyDescent="0.2">
      <c r="A59" s="23"/>
      <c r="B59" s="33">
        <v>17</v>
      </c>
      <c r="C59" s="24" t="s">
        <v>1102</v>
      </c>
      <c r="D59" s="25" t="s">
        <v>6</v>
      </c>
      <c r="E59" s="957">
        <v>172550</v>
      </c>
      <c r="F59" s="1176"/>
    </row>
    <row r="60" spans="1:6" x14ac:dyDescent="0.2">
      <c r="A60" s="23"/>
      <c r="B60" s="33">
        <v>18</v>
      </c>
      <c r="C60" s="24" t="s">
        <v>1103</v>
      </c>
      <c r="D60" s="25" t="s">
        <v>6</v>
      </c>
      <c r="E60" s="957">
        <v>291550</v>
      </c>
      <c r="F60" s="1176"/>
    </row>
    <row r="61" spans="1:6" x14ac:dyDescent="0.2">
      <c r="A61" s="23"/>
      <c r="B61" s="33">
        <v>19</v>
      </c>
      <c r="C61" s="24" t="s">
        <v>1104</v>
      </c>
      <c r="D61" s="25" t="s">
        <v>6</v>
      </c>
      <c r="E61" s="957">
        <v>452200</v>
      </c>
      <c r="F61" s="1176"/>
    </row>
    <row r="62" spans="1:6" x14ac:dyDescent="0.2">
      <c r="A62" s="23"/>
      <c r="B62" s="33">
        <v>20</v>
      </c>
      <c r="C62" s="24" t="s">
        <v>1734</v>
      </c>
      <c r="D62" s="25" t="s">
        <v>7</v>
      </c>
      <c r="E62" s="973">
        <v>22945</v>
      </c>
      <c r="F62" s="1176"/>
    </row>
    <row r="63" spans="1:6" x14ac:dyDescent="0.2">
      <c r="A63" s="23"/>
      <c r="B63" s="33">
        <v>21</v>
      </c>
      <c r="C63" s="24" t="s">
        <v>100</v>
      </c>
      <c r="D63" s="25" t="s">
        <v>2</v>
      </c>
      <c r="E63" s="973">
        <v>136699</v>
      </c>
      <c r="F63" s="1176"/>
    </row>
    <row r="64" spans="1:6" x14ac:dyDescent="0.2">
      <c r="A64" s="23"/>
      <c r="B64" s="33">
        <v>22</v>
      </c>
      <c r="C64" s="24" t="s">
        <v>1451</v>
      </c>
      <c r="D64" s="25" t="s">
        <v>2</v>
      </c>
      <c r="E64" s="957">
        <v>30983</v>
      </c>
      <c r="F64" s="1176"/>
    </row>
    <row r="65" spans="1:6" x14ac:dyDescent="0.2">
      <c r="A65" s="23"/>
      <c r="B65" s="33">
        <v>23</v>
      </c>
      <c r="C65" s="24" t="s">
        <v>1456</v>
      </c>
      <c r="D65" s="25" t="s">
        <v>2</v>
      </c>
      <c r="E65" s="957">
        <v>708050</v>
      </c>
      <c r="F65" s="1176"/>
    </row>
    <row r="66" spans="1:6" x14ac:dyDescent="0.2">
      <c r="A66" s="23"/>
      <c r="B66" s="33">
        <v>24</v>
      </c>
      <c r="C66" s="24" t="s">
        <v>1585</v>
      </c>
      <c r="D66" s="25" t="s">
        <v>2</v>
      </c>
      <c r="E66" s="957">
        <v>1134070</v>
      </c>
      <c r="F66" s="1176"/>
    </row>
    <row r="67" spans="1:6" x14ac:dyDescent="0.2">
      <c r="A67" s="23"/>
      <c r="B67" s="33">
        <v>25</v>
      </c>
      <c r="C67" s="24" t="s">
        <v>1702</v>
      </c>
      <c r="D67" s="25" t="s">
        <v>2</v>
      </c>
      <c r="E67" s="957">
        <v>1874250</v>
      </c>
      <c r="F67" s="1176"/>
    </row>
    <row r="68" spans="1:6" x14ac:dyDescent="0.2">
      <c r="A68" s="23"/>
      <c r="B68" s="33"/>
      <c r="C68" s="24" t="s">
        <v>102</v>
      </c>
      <c r="D68" s="25" t="s">
        <v>2</v>
      </c>
      <c r="E68" s="957">
        <v>287466.375</v>
      </c>
      <c r="F68" s="1176"/>
    </row>
    <row r="69" spans="1:6" x14ac:dyDescent="0.2">
      <c r="A69" s="23"/>
      <c r="B69" s="33">
        <v>26</v>
      </c>
      <c r="C69" s="24" t="s">
        <v>1068</v>
      </c>
      <c r="D69" s="25" t="s">
        <v>2</v>
      </c>
      <c r="E69" s="973">
        <v>910500</v>
      </c>
      <c r="F69" s="1176"/>
    </row>
    <row r="70" spans="1:6" x14ac:dyDescent="0.2">
      <c r="A70" s="23"/>
      <c r="B70" s="33"/>
      <c r="C70" s="24" t="s">
        <v>1462</v>
      </c>
      <c r="D70" s="25" t="s">
        <v>2</v>
      </c>
      <c r="E70" s="973">
        <v>182317.5</v>
      </c>
      <c r="F70" s="1176"/>
    </row>
    <row r="71" spans="1:6" x14ac:dyDescent="0.2">
      <c r="A71" s="23"/>
      <c r="B71" s="33">
        <v>27</v>
      </c>
      <c r="C71" s="24" t="s">
        <v>1463</v>
      </c>
      <c r="D71" s="25" t="s">
        <v>2</v>
      </c>
      <c r="E71" s="973">
        <v>243090</v>
      </c>
      <c r="F71" s="1176"/>
    </row>
    <row r="72" spans="1:6" x14ac:dyDescent="0.2">
      <c r="A72" s="23"/>
      <c r="B72" s="33">
        <v>28</v>
      </c>
      <c r="C72" s="24" t="s">
        <v>1464</v>
      </c>
      <c r="D72" s="25" t="s">
        <v>2</v>
      </c>
      <c r="E72" s="957">
        <v>446969</v>
      </c>
      <c r="F72" s="1176"/>
    </row>
    <row r="73" spans="1:6" x14ac:dyDescent="0.2">
      <c r="A73" s="624" t="s">
        <v>95</v>
      </c>
      <c r="B73" s="625" t="s">
        <v>2568</v>
      </c>
      <c r="C73" s="626" t="s">
        <v>96</v>
      </c>
      <c r="D73" s="25"/>
      <c r="E73" s="32"/>
      <c r="F73" s="1176"/>
    </row>
    <row r="74" spans="1:6" x14ac:dyDescent="0.2">
      <c r="A74" s="23"/>
      <c r="B74" s="33">
        <v>29</v>
      </c>
      <c r="C74" s="24" t="s">
        <v>1465</v>
      </c>
      <c r="D74" s="18" t="s">
        <v>2</v>
      </c>
      <c r="E74" s="973">
        <v>22283</v>
      </c>
      <c r="F74" s="1176"/>
    </row>
    <row r="75" spans="1:6" x14ac:dyDescent="0.2">
      <c r="A75" s="23"/>
      <c r="B75" s="33">
        <v>30</v>
      </c>
      <c r="C75" s="24" t="s">
        <v>1466</v>
      </c>
      <c r="D75" s="18" t="s">
        <v>6</v>
      </c>
      <c r="E75" s="973">
        <v>59074</v>
      </c>
      <c r="F75" s="1176"/>
    </row>
    <row r="76" spans="1:6" x14ac:dyDescent="0.2">
      <c r="A76" s="23"/>
      <c r="B76" s="33">
        <v>31</v>
      </c>
      <c r="C76" s="24" t="s">
        <v>1467</v>
      </c>
      <c r="D76" s="18" t="s">
        <v>6</v>
      </c>
      <c r="E76" s="973">
        <v>121366</v>
      </c>
      <c r="F76" s="1176"/>
    </row>
    <row r="77" spans="1:6" x14ac:dyDescent="0.2">
      <c r="A77" s="23"/>
      <c r="B77" s="33">
        <v>32</v>
      </c>
      <c r="C77" s="24" t="s">
        <v>1468</v>
      </c>
      <c r="D77" s="18" t="s">
        <v>6</v>
      </c>
      <c r="E77" s="973">
        <v>205580</v>
      </c>
      <c r="F77" s="1176"/>
    </row>
    <row r="78" spans="1:6" x14ac:dyDescent="0.2">
      <c r="A78" s="624" t="s">
        <v>97</v>
      </c>
      <c r="B78" s="625" t="s">
        <v>2569</v>
      </c>
      <c r="C78" s="626" t="s">
        <v>98</v>
      </c>
      <c r="D78" s="25"/>
      <c r="E78" s="32"/>
    </row>
    <row r="79" spans="1:6" ht="25.5" x14ac:dyDescent="0.2">
      <c r="A79" s="23"/>
      <c r="B79" s="33">
        <v>33</v>
      </c>
      <c r="C79" s="24" t="s">
        <v>1452</v>
      </c>
      <c r="D79" s="25" t="s">
        <v>2</v>
      </c>
      <c r="E79" s="957">
        <v>921060</v>
      </c>
      <c r="F79" s="1176"/>
    </row>
    <row r="80" spans="1:6" ht="25.5" x14ac:dyDescent="0.2">
      <c r="A80" s="23"/>
      <c r="B80" s="33">
        <v>34</v>
      </c>
      <c r="C80" s="24" t="s">
        <v>1453</v>
      </c>
      <c r="D80" s="25" t="s">
        <v>2</v>
      </c>
      <c r="E80" s="957">
        <v>1203090</v>
      </c>
      <c r="F80" s="1176"/>
    </row>
    <row r="81" spans="1:7" ht="25.5" x14ac:dyDescent="0.2">
      <c r="A81" s="23"/>
      <c r="B81" s="33">
        <v>35</v>
      </c>
      <c r="C81" s="24" t="s">
        <v>1454</v>
      </c>
      <c r="D81" s="25" t="s">
        <v>2</v>
      </c>
      <c r="E81" s="957">
        <v>2033710</v>
      </c>
      <c r="F81" s="1176"/>
    </row>
    <row r="82" spans="1:7" ht="25.5" x14ac:dyDescent="0.2">
      <c r="A82" s="23"/>
      <c r="B82" s="33">
        <v>36</v>
      </c>
      <c r="C82" s="24" t="s">
        <v>1455</v>
      </c>
      <c r="D82" s="25" t="s">
        <v>2</v>
      </c>
      <c r="E82" s="957">
        <v>3004750</v>
      </c>
      <c r="F82" s="1176"/>
    </row>
    <row r="83" spans="1:7" x14ac:dyDescent="0.2">
      <c r="A83" s="695"/>
      <c r="B83" s="33">
        <v>37</v>
      </c>
      <c r="C83" s="24" t="s">
        <v>1123</v>
      </c>
      <c r="D83" s="25" t="s">
        <v>2</v>
      </c>
      <c r="E83" s="957">
        <v>416500</v>
      </c>
      <c r="F83" s="1176"/>
      <c r="G83" s="934"/>
    </row>
    <row r="84" spans="1:7" x14ac:dyDescent="0.2">
      <c r="A84" s="695"/>
      <c r="B84" s="33">
        <v>38</v>
      </c>
      <c r="C84" s="24" t="s">
        <v>909</v>
      </c>
      <c r="D84" s="25" t="s">
        <v>2</v>
      </c>
      <c r="E84" s="957">
        <v>535500</v>
      </c>
      <c r="F84" s="1176"/>
      <c r="G84" s="934"/>
    </row>
    <row r="85" spans="1:7" x14ac:dyDescent="0.2">
      <c r="A85" s="695"/>
      <c r="B85" s="33">
        <v>39</v>
      </c>
      <c r="C85" s="24" t="s">
        <v>910</v>
      </c>
      <c r="D85" s="25" t="s">
        <v>2</v>
      </c>
      <c r="E85" s="957">
        <v>737800</v>
      </c>
      <c r="F85" s="1176"/>
      <c r="G85" s="934"/>
    </row>
    <row r="86" spans="1:7" x14ac:dyDescent="0.2">
      <c r="A86" s="695"/>
      <c r="B86" s="33">
        <v>40</v>
      </c>
      <c r="C86" s="24" t="s">
        <v>911</v>
      </c>
      <c r="D86" s="25" t="s">
        <v>2</v>
      </c>
      <c r="E86" s="957">
        <v>928200</v>
      </c>
      <c r="F86" s="1176"/>
      <c r="G86" s="934"/>
    </row>
    <row r="87" spans="1:7" x14ac:dyDescent="0.2">
      <c r="A87" s="695"/>
      <c r="B87" s="33">
        <v>41</v>
      </c>
      <c r="C87" s="24" t="s">
        <v>1065</v>
      </c>
      <c r="D87" s="25" t="s">
        <v>2</v>
      </c>
      <c r="E87" s="957">
        <v>1166200</v>
      </c>
      <c r="F87" s="1176"/>
      <c r="G87" s="934"/>
    </row>
    <row r="88" spans="1:7" x14ac:dyDescent="0.2">
      <c r="A88" s="695"/>
      <c r="B88" s="33">
        <v>42</v>
      </c>
      <c r="C88" s="24" t="s">
        <v>1111</v>
      </c>
      <c r="D88" s="25" t="s">
        <v>2</v>
      </c>
      <c r="E88" s="957">
        <v>1880200</v>
      </c>
      <c r="F88" s="1176"/>
      <c r="G88" s="934"/>
    </row>
    <row r="89" spans="1:7" ht="43.5" customHeight="1" x14ac:dyDescent="0.2">
      <c r="A89" s="695"/>
      <c r="B89" s="33">
        <v>43</v>
      </c>
      <c r="C89" s="24" t="s">
        <v>912</v>
      </c>
      <c r="D89" s="25" t="s">
        <v>2</v>
      </c>
      <c r="E89" s="957">
        <v>4141200</v>
      </c>
      <c r="F89" s="1176"/>
      <c r="G89" s="934"/>
    </row>
    <row r="90" spans="1:7" ht="43.5" customHeight="1" x14ac:dyDescent="0.2">
      <c r="A90" s="695"/>
      <c r="B90" s="33">
        <v>44</v>
      </c>
      <c r="C90" s="24" t="s">
        <v>1066</v>
      </c>
      <c r="D90" s="25" t="s">
        <v>2</v>
      </c>
      <c r="E90" s="957">
        <v>4581500</v>
      </c>
      <c r="F90" s="1176"/>
      <c r="G90" s="934"/>
    </row>
    <row r="91" spans="1:7" ht="30.75" customHeight="1" x14ac:dyDescent="0.2">
      <c r="A91" s="695"/>
      <c r="B91" s="33">
        <v>45</v>
      </c>
      <c r="C91" s="24" t="s">
        <v>919</v>
      </c>
      <c r="D91" s="36" t="s">
        <v>2</v>
      </c>
      <c r="E91" s="957">
        <v>748000.00000000012</v>
      </c>
      <c r="F91" s="1176"/>
    </row>
    <row r="92" spans="1:7" ht="38.25" x14ac:dyDescent="0.2">
      <c r="A92" s="695"/>
      <c r="B92" s="33">
        <v>46</v>
      </c>
      <c r="C92" s="24" t="s">
        <v>920</v>
      </c>
      <c r="D92" s="36" t="s">
        <v>4</v>
      </c>
      <c r="E92" s="957">
        <v>880000.00000000012</v>
      </c>
      <c r="F92" s="1176"/>
    </row>
    <row r="93" spans="1:7" ht="16.5" customHeight="1" x14ac:dyDescent="0.2">
      <c r="A93" s="695"/>
      <c r="B93" s="33">
        <v>47</v>
      </c>
      <c r="C93" s="24" t="s">
        <v>921</v>
      </c>
      <c r="D93" s="36" t="s">
        <v>12</v>
      </c>
      <c r="E93" s="957">
        <v>770000.00000000012</v>
      </c>
      <c r="F93" s="1176"/>
    </row>
    <row r="94" spans="1:7" ht="18.75" customHeight="1" x14ac:dyDescent="0.2">
      <c r="A94" s="695"/>
      <c r="B94" s="33">
        <v>48</v>
      </c>
      <c r="C94" s="24" t="s">
        <v>922</v>
      </c>
      <c r="D94" s="36" t="s">
        <v>12</v>
      </c>
      <c r="E94" s="957">
        <v>880000.00000000012</v>
      </c>
      <c r="F94" s="1176"/>
    </row>
    <row r="95" spans="1:7" ht="18" customHeight="1" x14ac:dyDescent="0.2">
      <c r="A95" s="695"/>
      <c r="B95" s="33">
        <v>49</v>
      </c>
      <c r="C95" s="24" t="s">
        <v>923</v>
      </c>
      <c r="D95" s="36" t="s">
        <v>12</v>
      </c>
      <c r="E95" s="957">
        <v>770000.00000000012</v>
      </c>
      <c r="F95" s="1176"/>
    </row>
    <row r="96" spans="1:7" ht="30" customHeight="1" x14ac:dyDescent="0.2">
      <c r="A96" s="695"/>
      <c r="B96" s="33">
        <v>50</v>
      </c>
      <c r="C96" s="24" t="s">
        <v>924</v>
      </c>
      <c r="D96" s="36" t="s">
        <v>2</v>
      </c>
      <c r="E96" s="957">
        <v>3399000.0000000005</v>
      </c>
      <c r="F96" s="1176"/>
    </row>
    <row r="97" spans="1:6" ht="18" customHeight="1" x14ac:dyDescent="0.2">
      <c r="A97" s="695"/>
      <c r="B97" s="33">
        <v>51</v>
      </c>
      <c r="C97" s="24" t="s">
        <v>1071</v>
      </c>
      <c r="D97" s="36" t="s">
        <v>2</v>
      </c>
      <c r="E97" s="957">
        <v>1166200</v>
      </c>
      <c r="F97" s="1176"/>
    </row>
    <row r="98" spans="1:6" ht="18" customHeight="1" x14ac:dyDescent="0.2">
      <c r="A98" s="695"/>
      <c r="B98" s="33">
        <v>52</v>
      </c>
      <c r="C98" s="24" t="s">
        <v>1147</v>
      </c>
      <c r="D98" s="36" t="s">
        <v>2</v>
      </c>
      <c r="E98" s="957">
        <v>1880200</v>
      </c>
      <c r="F98" s="1176"/>
    </row>
    <row r="99" spans="1:6" ht="21" customHeight="1" x14ac:dyDescent="0.2">
      <c r="A99" s="695"/>
      <c r="B99" s="33">
        <v>53</v>
      </c>
      <c r="C99" s="24" t="s">
        <v>1738</v>
      </c>
      <c r="D99" s="25" t="s">
        <v>2</v>
      </c>
      <c r="E99" s="957">
        <v>6188000</v>
      </c>
      <c r="F99" s="1176"/>
    </row>
    <row r="100" spans="1:6" ht="21" customHeight="1" thickBot="1" x14ac:dyDescent="0.25">
      <c r="A100" s="695"/>
      <c r="B100" s="33">
        <v>54</v>
      </c>
      <c r="C100" s="24" t="s">
        <v>1739</v>
      </c>
      <c r="D100" s="25" t="s">
        <v>2</v>
      </c>
      <c r="E100" s="957">
        <v>4879000</v>
      </c>
      <c r="F100" s="1176"/>
    </row>
    <row r="101" spans="1:6" ht="12" customHeight="1" thickBot="1" x14ac:dyDescent="0.25">
      <c r="A101" s="22"/>
      <c r="B101" s="504"/>
      <c r="C101" s="26"/>
      <c r="D101" s="27"/>
      <c r="E101" s="31"/>
    </row>
    <row r="102" spans="1:6" ht="16.5" customHeight="1" thickBot="1" x14ac:dyDescent="0.25">
      <c r="A102" s="623" t="s">
        <v>66</v>
      </c>
      <c r="B102" s="504" t="s">
        <v>871</v>
      </c>
      <c r="C102" s="26" t="s">
        <v>82</v>
      </c>
      <c r="D102" s="27"/>
      <c r="E102" s="31"/>
    </row>
    <row r="103" spans="1:6" ht="15" customHeight="1" x14ac:dyDescent="0.2">
      <c r="A103" s="23"/>
      <c r="B103" s="33">
        <v>1</v>
      </c>
      <c r="C103" s="24" t="s">
        <v>104</v>
      </c>
      <c r="D103" s="36" t="s">
        <v>105</v>
      </c>
      <c r="E103" s="957">
        <v>20</v>
      </c>
      <c r="F103" s="1176"/>
    </row>
    <row r="104" spans="1:6" ht="16.5" customHeight="1" x14ac:dyDescent="0.2">
      <c r="A104" s="23"/>
      <c r="B104" s="33">
        <v>2</v>
      </c>
      <c r="C104" s="24" t="s">
        <v>1180</v>
      </c>
      <c r="D104" s="36" t="s">
        <v>2</v>
      </c>
      <c r="E104" s="957">
        <v>31900</v>
      </c>
      <c r="F104" s="1176"/>
    </row>
    <row r="105" spans="1:6" ht="16.5" customHeight="1" x14ac:dyDescent="0.2">
      <c r="A105" s="23"/>
      <c r="B105" s="33">
        <v>3</v>
      </c>
      <c r="C105" s="24" t="s">
        <v>106</v>
      </c>
      <c r="D105" s="36" t="s">
        <v>6</v>
      </c>
      <c r="E105" s="957">
        <v>48197</v>
      </c>
      <c r="F105" s="1176"/>
    </row>
    <row r="106" spans="1:6" x14ac:dyDescent="0.2">
      <c r="A106" s="23"/>
      <c r="B106" s="33">
        <v>4</v>
      </c>
      <c r="C106" s="24" t="s">
        <v>107</v>
      </c>
      <c r="D106" s="36" t="s">
        <v>2</v>
      </c>
      <c r="E106" s="957">
        <v>4500</v>
      </c>
      <c r="F106" s="1176"/>
    </row>
    <row r="107" spans="1:6" ht="27" customHeight="1" x14ac:dyDescent="0.2">
      <c r="A107" s="23"/>
      <c r="B107" s="33">
        <v>5</v>
      </c>
      <c r="C107" s="24" t="s">
        <v>1573</v>
      </c>
      <c r="D107" s="36" t="s">
        <v>2</v>
      </c>
      <c r="E107" s="957">
        <v>25000</v>
      </c>
      <c r="F107" s="1176"/>
    </row>
    <row r="108" spans="1:6" ht="25.5" x14ac:dyDescent="0.2">
      <c r="A108" s="23"/>
      <c r="B108" s="33">
        <v>6</v>
      </c>
      <c r="C108" s="24" t="s">
        <v>1564</v>
      </c>
      <c r="D108" s="36" t="s">
        <v>2</v>
      </c>
      <c r="E108" s="957">
        <v>30000</v>
      </c>
      <c r="F108" s="1176"/>
    </row>
    <row r="109" spans="1:6" ht="25.5" x14ac:dyDescent="0.2">
      <c r="A109" s="23"/>
      <c r="B109" s="33">
        <v>7</v>
      </c>
      <c r="C109" s="24" t="s">
        <v>1633</v>
      </c>
      <c r="D109" s="36" t="s">
        <v>2</v>
      </c>
      <c r="E109" s="957">
        <v>35000</v>
      </c>
      <c r="F109" s="1176"/>
    </row>
    <row r="110" spans="1:6" x14ac:dyDescent="0.2">
      <c r="A110" s="23"/>
      <c r="B110" s="33">
        <v>8</v>
      </c>
      <c r="C110" s="24" t="s">
        <v>1179</v>
      </c>
      <c r="D110" s="36" t="s">
        <v>2</v>
      </c>
      <c r="E110" s="957">
        <v>16900</v>
      </c>
      <c r="F110" s="1176"/>
    </row>
    <row r="111" spans="1:6" ht="25.5" x14ac:dyDescent="0.2">
      <c r="A111" s="620"/>
      <c r="B111" s="33">
        <v>9</v>
      </c>
      <c r="C111" s="24" t="s">
        <v>877</v>
      </c>
      <c r="D111" s="36" t="s">
        <v>12</v>
      </c>
      <c r="E111" s="957">
        <v>4500</v>
      </c>
      <c r="F111" s="1176"/>
    </row>
    <row r="112" spans="1:6" x14ac:dyDescent="0.2">
      <c r="A112" s="620"/>
      <c r="B112" s="33">
        <v>10</v>
      </c>
      <c r="C112" s="24" t="s">
        <v>1683</v>
      </c>
      <c r="D112" s="36" t="s">
        <v>2</v>
      </c>
      <c r="E112" s="957">
        <v>541900</v>
      </c>
      <c r="F112" s="1176"/>
    </row>
    <row r="113" spans="1:6" x14ac:dyDescent="0.2">
      <c r="A113" s="620"/>
      <c r="B113" s="33">
        <v>11</v>
      </c>
      <c r="C113" s="24" t="s">
        <v>1671</v>
      </c>
      <c r="D113" s="36" t="s">
        <v>4</v>
      </c>
      <c r="E113" s="957">
        <v>500000</v>
      </c>
      <c r="F113" s="1176"/>
    </row>
    <row r="114" spans="1:6" ht="38.25" x14ac:dyDescent="0.2">
      <c r="A114" s="620"/>
      <c r="B114" s="33">
        <v>12</v>
      </c>
      <c r="C114" s="24" t="s">
        <v>1708</v>
      </c>
      <c r="D114" s="36" t="s">
        <v>2</v>
      </c>
      <c r="E114" s="957">
        <v>11550000</v>
      </c>
      <c r="F114" s="1176"/>
    </row>
    <row r="115" spans="1:6" x14ac:dyDescent="0.2">
      <c r="A115" s="620"/>
      <c r="B115" s="33">
        <v>13</v>
      </c>
      <c r="C115" s="24" t="s">
        <v>2315</v>
      </c>
      <c r="D115" s="36" t="s">
        <v>114</v>
      </c>
      <c r="E115" s="957">
        <v>3075</v>
      </c>
      <c r="F115" s="1176"/>
    </row>
    <row r="116" spans="1:6" x14ac:dyDescent="0.2">
      <c r="A116" s="620"/>
      <c r="B116" s="33">
        <v>14</v>
      </c>
      <c r="C116" s="24" t="s">
        <v>2316</v>
      </c>
      <c r="D116" s="36" t="s">
        <v>2313</v>
      </c>
      <c r="E116" s="957">
        <v>100912</v>
      </c>
      <c r="F116" s="1176"/>
    </row>
    <row r="117" spans="1:6" x14ac:dyDescent="0.2">
      <c r="A117" s="620"/>
      <c r="B117" s="33">
        <v>15</v>
      </c>
      <c r="C117" s="24" t="s">
        <v>2317</v>
      </c>
      <c r="D117" s="36" t="s">
        <v>2314</v>
      </c>
      <c r="E117" s="957">
        <v>10000</v>
      </c>
      <c r="F117" s="1176"/>
    </row>
    <row r="118" spans="1:6" x14ac:dyDescent="0.2">
      <c r="A118" s="620"/>
      <c r="B118" s="33">
        <v>16</v>
      </c>
      <c r="C118" s="24" t="s">
        <v>2318</v>
      </c>
      <c r="D118" s="36" t="s">
        <v>641</v>
      </c>
      <c r="E118" s="957">
        <v>209</v>
      </c>
      <c r="F118" s="1176"/>
    </row>
    <row r="119" spans="1:6" x14ac:dyDescent="0.2">
      <c r="B119" s="33">
        <v>17</v>
      </c>
      <c r="C119" s="1167" t="s">
        <v>161</v>
      </c>
      <c r="D119" s="1168" t="s">
        <v>12</v>
      </c>
      <c r="E119" s="1169" t="e">
        <f>+VLOOKUP(C119,'06'!B8:M230,12,FALSE)</f>
        <v>#REF!</v>
      </c>
      <c r="F119" s="1176"/>
    </row>
    <row r="120" spans="1:6" x14ac:dyDescent="0.2">
      <c r="B120" s="33">
        <v>18</v>
      </c>
      <c r="C120" s="1167" t="s">
        <v>2322</v>
      </c>
      <c r="D120" s="1168" t="s">
        <v>2166</v>
      </c>
      <c r="E120" s="1169">
        <v>1879.1399946228782</v>
      </c>
      <c r="F120" s="1176"/>
    </row>
    <row r="121" spans="1:6" ht="15" customHeight="1" x14ac:dyDescent="0.2">
      <c r="A121" s="23"/>
      <c r="B121" s="33">
        <v>19</v>
      </c>
      <c r="C121" s="24" t="s">
        <v>2533</v>
      </c>
      <c r="D121" s="36" t="s">
        <v>2</v>
      </c>
      <c r="E121" s="957">
        <v>91630</v>
      </c>
      <c r="F121" s="1176"/>
    </row>
    <row r="122" spans="1:6" ht="45" customHeight="1" x14ac:dyDescent="0.2">
      <c r="A122" s="23"/>
      <c r="B122" s="33">
        <v>20</v>
      </c>
      <c r="C122" s="24" t="s">
        <v>2365</v>
      </c>
      <c r="D122" s="36" t="str">
        <f>+'06'!H45</f>
        <v>M2</v>
      </c>
      <c r="E122" s="957">
        <f>+'06'!M45</f>
        <v>3985.417197280844</v>
      </c>
      <c r="F122" s="1176"/>
    </row>
    <row r="123" spans="1:6" ht="15" customHeight="1" x14ac:dyDescent="0.2">
      <c r="A123" s="23"/>
      <c r="B123" s="33">
        <v>21</v>
      </c>
      <c r="C123" s="24" t="str">
        <f>+'01'!C206:H206</f>
        <v>EXCAVACIÓN MANUAL EN TIERRA</v>
      </c>
      <c r="D123" s="36" t="str">
        <f>+'06'!H46</f>
        <v>M3</v>
      </c>
      <c r="E123" s="957">
        <f>+'06'!M46</f>
        <v>32471.988866666667</v>
      </c>
      <c r="F123" s="1176"/>
    </row>
    <row r="124" spans="1:6" ht="45" customHeight="1" x14ac:dyDescent="0.2">
      <c r="A124" s="23"/>
      <c r="B124" s="33">
        <v>22</v>
      </c>
      <c r="C124" s="24" t="s">
        <v>2327</v>
      </c>
      <c r="D124" s="36" t="str">
        <f>+'06'!H20</f>
        <v>M3</v>
      </c>
      <c r="E124" s="957">
        <f>+'06'!M20</f>
        <v>95960.630010476176</v>
      </c>
      <c r="F124" s="1176"/>
    </row>
    <row r="125" spans="1:6" ht="45" customHeight="1" x14ac:dyDescent="0.2">
      <c r="A125" s="23"/>
      <c r="B125" s="33">
        <v>23</v>
      </c>
      <c r="C125" s="24" t="s">
        <v>2329</v>
      </c>
      <c r="D125" s="36" t="str">
        <f>+'06'!H21</f>
        <v>M3</v>
      </c>
      <c r="E125" s="957">
        <f>+'06'!M21</f>
        <v>560706.70669999998</v>
      </c>
      <c r="F125" s="1176"/>
    </row>
    <row r="126" spans="1:6" ht="45" customHeight="1" x14ac:dyDescent="0.2">
      <c r="A126" s="23"/>
      <c r="B126" s="33">
        <v>24</v>
      </c>
      <c r="C126" s="24" t="s">
        <v>2331</v>
      </c>
      <c r="D126" s="36" t="str">
        <f>+'06'!H22</f>
        <v>M3</v>
      </c>
      <c r="E126" s="957">
        <f>+'06'!M22</f>
        <v>1129033.044978</v>
      </c>
      <c r="F126" s="1176"/>
    </row>
    <row r="127" spans="1:6" ht="45" customHeight="1" x14ac:dyDescent="0.2">
      <c r="A127" s="23"/>
      <c r="B127" s="33">
        <v>25</v>
      </c>
      <c r="C127" s="24" t="s">
        <v>2332</v>
      </c>
      <c r="D127" s="36" t="str">
        <f>+'06'!H23</f>
        <v>KG</v>
      </c>
      <c r="E127" s="957">
        <f>+'06'!M23</f>
        <v>7771.7124002499995</v>
      </c>
      <c r="F127" s="1176"/>
    </row>
    <row r="128" spans="1:6" ht="15" customHeight="1" x14ac:dyDescent="0.2">
      <c r="A128" s="23"/>
      <c r="B128" s="33">
        <v>26</v>
      </c>
      <c r="C128" s="24" t="s">
        <v>2563</v>
      </c>
      <c r="D128" s="36" t="s">
        <v>2</v>
      </c>
      <c r="E128" s="957">
        <f>761600*0.75</f>
        <v>571200</v>
      </c>
      <c r="F128" s="1176"/>
    </row>
    <row r="129" spans="1:6" ht="15" customHeight="1" x14ac:dyDescent="0.2">
      <c r="A129" s="23"/>
      <c r="B129" s="33">
        <v>27</v>
      </c>
      <c r="C129" s="24" t="s">
        <v>2564</v>
      </c>
      <c r="D129" s="36" t="s">
        <v>2</v>
      </c>
      <c r="E129" s="957">
        <f>899174*2</f>
        <v>1798348</v>
      </c>
      <c r="F129" s="1176"/>
    </row>
    <row r="130" spans="1:6" ht="15" customHeight="1" x14ac:dyDescent="0.2">
      <c r="A130" s="23"/>
      <c r="B130" s="33">
        <v>28</v>
      </c>
      <c r="C130" s="24" t="s">
        <v>2565</v>
      </c>
      <c r="D130" s="36" t="s">
        <v>2</v>
      </c>
      <c r="E130" s="957">
        <f>539500*1.5</f>
        <v>809250</v>
      </c>
      <c r="F130" s="1176"/>
    </row>
    <row r="131" spans="1:6" ht="45" customHeight="1" x14ac:dyDescent="0.2">
      <c r="A131" s="23"/>
      <c r="B131" s="33">
        <v>29</v>
      </c>
      <c r="C131" s="24" t="s">
        <v>2177</v>
      </c>
      <c r="D131" s="36" t="str">
        <f>+'06'!H14</f>
        <v>M3-KM</v>
      </c>
      <c r="E131" s="957">
        <f>+'06'!M14</f>
        <v>2527.4249932785979</v>
      </c>
      <c r="F131" s="1176"/>
    </row>
    <row r="132" spans="1:6" ht="45" customHeight="1" x14ac:dyDescent="0.2">
      <c r="A132" s="23"/>
      <c r="B132" s="33">
        <v>30</v>
      </c>
      <c r="C132" s="24" t="s">
        <v>2182</v>
      </c>
      <c r="D132" s="36" t="str">
        <f>+'06'!H15</f>
        <v>M3</v>
      </c>
      <c r="E132" s="957">
        <f>+'06'!M15</f>
        <v>4500</v>
      </c>
      <c r="F132" s="1176"/>
    </row>
    <row r="133" spans="1:6" ht="13.5" thickBot="1" x14ac:dyDescent="0.25">
      <c r="A133" s="12"/>
      <c r="B133" s="33">
        <v>31</v>
      </c>
      <c r="C133" s="627"/>
      <c r="D133" s="21"/>
      <c r="E133" s="1169"/>
      <c r="F133" s="1176"/>
    </row>
    <row r="134" spans="1:6" x14ac:dyDescent="0.2">
      <c r="A134" s="12"/>
      <c r="C134" s="11"/>
      <c r="E134" s="17"/>
    </row>
    <row r="135" spans="1:6" ht="15" x14ac:dyDescent="0.2">
      <c r="A135" s="946" t="s">
        <v>1673</v>
      </c>
      <c r="B135" s="677"/>
      <c r="C135" s="597"/>
    </row>
    <row r="136" spans="1:6" ht="15" x14ac:dyDescent="0.2">
      <c r="A136" s="946" t="s">
        <v>1674</v>
      </c>
      <c r="B136" s="676"/>
      <c r="C136" s="597"/>
    </row>
    <row r="137" spans="1:6" ht="12.75" customHeight="1" x14ac:dyDescent="0.2">
      <c r="A137" s="948" t="s">
        <v>1675</v>
      </c>
      <c r="B137" s="676"/>
      <c r="C137" s="597"/>
    </row>
    <row r="138" spans="1:6" ht="12.75" customHeight="1" x14ac:dyDescent="0.2">
      <c r="A138" s="674"/>
      <c r="B138" s="674"/>
      <c r="C138" s="836"/>
      <c r="D138" s="675"/>
      <c r="E138" s="675"/>
    </row>
    <row r="139" spans="1:6" ht="12.75" customHeight="1" x14ac:dyDescent="0.15">
      <c r="A139" s="674"/>
      <c r="B139" s="676"/>
      <c r="D139" s="675"/>
      <c r="E139" s="675"/>
    </row>
    <row r="140" spans="1:6" ht="12.75" customHeight="1" x14ac:dyDescent="0.15">
      <c r="A140" s="674"/>
      <c r="B140" s="676"/>
      <c r="D140" s="675"/>
      <c r="E140" s="675"/>
    </row>
    <row r="141" spans="1:6" ht="12.75" customHeight="1" x14ac:dyDescent="0.2">
      <c r="A141" s="628"/>
      <c r="B141" s="677"/>
      <c r="C141" s="690"/>
      <c r="D141" s="622"/>
      <c r="E141" s="17"/>
    </row>
    <row r="142" spans="1:6" ht="14.25" x14ac:dyDescent="0.2">
      <c r="A142" s="674"/>
      <c r="B142" s="676"/>
      <c r="C142" s="690"/>
      <c r="D142" s="673"/>
      <c r="E142" s="17"/>
    </row>
    <row r="143" spans="1:6" ht="12.75" customHeight="1" x14ac:dyDescent="0.2">
      <c r="A143" s="674"/>
      <c r="B143" s="676"/>
      <c r="C143" s="652"/>
      <c r="D143" s="673"/>
      <c r="E143" s="17"/>
    </row>
    <row r="144" spans="1:6" ht="14.25" customHeight="1" x14ac:dyDescent="0.2">
      <c r="A144" s="674"/>
      <c r="B144" s="652"/>
      <c r="C144" s="652"/>
      <c r="D144" s="1"/>
    </row>
    <row r="145" spans="2:4" ht="12.75" customHeight="1" x14ac:dyDescent="0.2">
      <c r="B145" s="1"/>
      <c r="C145" s="1"/>
      <c r="D145" s="1"/>
    </row>
  </sheetData>
  <sortState xmlns:xlrd2="http://schemas.microsoft.com/office/spreadsheetml/2017/richdata2" ref="C36:E36">
    <sortCondition ref="C36"/>
  </sortState>
  <mergeCells count="8">
    <mergeCell ref="C39:E39"/>
    <mergeCell ref="C41:E41"/>
    <mergeCell ref="A1:E1"/>
    <mergeCell ref="A2:E2"/>
    <mergeCell ref="A4:E4"/>
    <mergeCell ref="C34:E34"/>
    <mergeCell ref="C24:E24"/>
    <mergeCell ref="A3:C3"/>
  </mergeCells>
  <pageMargins left="0.59055118110236227" right="0.59055118110236227" top="1.1811023622047245" bottom="1.1811023622047245" header="0.39370078740157483" footer="0.39370078740157483"/>
  <pageSetup scale="99"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92D050"/>
  </sheetPr>
  <dimension ref="A1:F37"/>
  <sheetViews>
    <sheetView view="pageBreakPreview" topLeftCell="B1" zoomScaleNormal="100" zoomScaleSheetLayoutView="100" workbookViewId="0">
      <selection activeCell="G13" sqref="G13"/>
    </sheetView>
  </sheetViews>
  <sheetFormatPr baseColWidth="10" defaultColWidth="11.42578125" defaultRowHeight="12.75" x14ac:dyDescent="0.2"/>
  <cols>
    <col min="1" max="1" width="8.42578125" style="1" hidden="1" customWidth="1"/>
    <col min="2" max="2" width="6.5703125" style="10" customWidth="1"/>
    <col min="3" max="3" width="56" style="10" customWidth="1"/>
    <col min="4" max="4" width="9.42578125" style="10" customWidth="1"/>
    <col min="5" max="5" width="14.5703125" style="14" customWidth="1"/>
    <col min="6" max="6" width="22.28515625" style="1" bestFit="1" customWidth="1"/>
    <col min="7" max="16384" width="11.42578125" style="1"/>
  </cols>
  <sheetData>
    <row r="1" spans="1:6" ht="19.5" customHeight="1" thickBot="1" x14ac:dyDescent="0.25">
      <c r="A1" s="2155" t="str">
        <f>'PRES.FASE 1-ADUCCION'!D1</f>
        <v>AGUAS DEL HUILA S.A. E.S.P.</v>
      </c>
      <c r="B1" s="2156"/>
      <c r="C1" s="2156"/>
      <c r="D1" s="2156"/>
      <c r="E1" s="2157"/>
    </row>
    <row r="2" spans="1:6" ht="18.75" customHeight="1" thickBot="1" x14ac:dyDescent="0.25">
      <c r="A2" s="2148" t="s">
        <v>13</v>
      </c>
      <c r="B2" s="2149"/>
      <c r="C2" s="2149"/>
      <c r="D2" s="2149"/>
      <c r="E2" s="2150"/>
    </row>
    <row r="3" spans="1:6" ht="17.100000000000001" customHeight="1" thickBot="1" x14ac:dyDescent="0.25">
      <c r="A3" s="2154" t="s">
        <v>126</v>
      </c>
      <c r="B3" s="2154"/>
      <c r="C3" s="2154"/>
      <c r="D3" s="956" t="s">
        <v>1181</v>
      </c>
      <c r="E3" s="842">
        <f>+'01'!$M$13</f>
        <v>0</v>
      </c>
    </row>
    <row r="4" spans="1:6" ht="49.9" customHeight="1" thickBot="1" x14ac:dyDescent="0.25">
      <c r="A4" s="2151" t="str">
        <f>'PRES.FASE 1-ADUCCION'!B2</f>
        <v>CONTRATO DE CONSULTORIA No. 059 DEL 01 DE MARZO DE 2021 CUYO OBJETO ES “CONTRATO DE CONSULTORIA PARA LA ELABORACION DE ESTUDIOS Y DISEÑOS PARA LA OPTIMIZACION DEL SISTEMA DE ACUEDUCTO DEL MUNICIPIO DE TESALIA”.</v>
      </c>
      <c r="B4" s="2152"/>
      <c r="C4" s="2152"/>
      <c r="D4" s="2152"/>
      <c r="E4" s="2153"/>
    </row>
    <row r="5" spans="1:6" ht="24.75" customHeight="1" thickBot="1" x14ac:dyDescent="0.25">
      <c r="A5" s="2" t="s">
        <v>24</v>
      </c>
      <c r="B5" s="3" t="s">
        <v>0</v>
      </c>
      <c r="C5" s="4" t="s">
        <v>1</v>
      </c>
      <c r="D5" s="5" t="s">
        <v>2</v>
      </c>
      <c r="E5" s="173" t="s">
        <v>11</v>
      </c>
    </row>
    <row r="6" spans="1:6" ht="13.5" thickBot="1" x14ac:dyDescent="0.25">
      <c r="A6" s="623" t="s">
        <v>127</v>
      </c>
      <c r="B6" s="504" t="s">
        <v>867</v>
      </c>
      <c r="C6" s="26" t="s">
        <v>128</v>
      </c>
      <c r="D6" s="27"/>
      <c r="E6" s="31"/>
    </row>
    <row r="7" spans="1:6" x14ac:dyDescent="0.2">
      <c r="A7" s="19"/>
      <c r="B7" s="20">
        <v>1</v>
      </c>
      <c r="C7" s="29" t="s">
        <v>137</v>
      </c>
      <c r="D7" s="30" t="s">
        <v>129</v>
      </c>
      <c r="E7" s="958">
        <v>15000</v>
      </c>
      <c r="F7" s="1176"/>
    </row>
    <row r="8" spans="1:6" x14ac:dyDescent="0.2">
      <c r="A8" s="19"/>
      <c r="B8" s="20">
        <v>2</v>
      </c>
      <c r="C8" s="29" t="s">
        <v>139</v>
      </c>
      <c r="D8" s="30" t="s">
        <v>17</v>
      </c>
      <c r="E8" s="958">
        <v>65000</v>
      </c>
      <c r="F8" s="1176"/>
    </row>
    <row r="9" spans="1:6" x14ac:dyDescent="0.2">
      <c r="A9" s="19"/>
      <c r="B9" s="20">
        <v>3</v>
      </c>
      <c r="C9" s="29" t="s">
        <v>1171</v>
      </c>
      <c r="D9" s="30" t="s">
        <v>17</v>
      </c>
      <c r="E9" s="958">
        <v>130000</v>
      </c>
      <c r="F9" s="1176"/>
    </row>
    <row r="10" spans="1:6" x14ac:dyDescent="0.2">
      <c r="A10" s="19"/>
      <c r="B10" s="20">
        <v>4</v>
      </c>
      <c r="C10" s="29" t="s">
        <v>131</v>
      </c>
      <c r="D10" s="30" t="s">
        <v>17</v>
      </c>
      <c r="E10" s="958">
        <f>1875*8</f>
        <v>15000</v>
      </c>
      <c r="F10" s="1176"/>
    </row>
    <row r="11" spans="1:6" x14ac:dyDescent="0.2">
      <c r="A11" s="19"/>
      <c r="B11" s="20">
        <v>5</v>
      </c>
      <c r="C11" s="29" t="s">
        <v>132</v>
      </c>
      <c r="D11" s="30" t="s">
        <v>17</v>
      </c>
      <c r="E11" s="958">
        <v>50000</v>
      </c>
      <c r="F11" s="1176"/>
    </row>
    <row r="12" spans="1:6" x14ac:dyDescent="0.2">
      <c r="A12" s="19"/>
      <c r="B12" s="20">
        <v>6</v>
      </c>
      <c r="C12" s="29" t="s">
        <v>133</v>
      </c>
      <c r="D12" s="30" t="s">
        <v>17</v>
      </c>
      <c r="E12" s="958">
        <v>75000</v>
      </c>
      <c r="F12" s="1176"/>
    </row>
    <row r="13" spans="1:6" x14ac:dyDescent="0.2">
      <c r="A13" s="19"/>
      <c r="B13" s="20">
        <v>7</v>
      </c>
      <c r="C13" s="29" t="s">
        <v>196</v>
      </c>
      <c r="D13" s="30" t="s">
        <v>129</v>
      </c>
      <c r="E13" s="958">
        <f>35000/8</f>
        <v>4375</v>
      </c>
      <c r="F13" s="1176"/>
    </row>
    <row r="14" spans="1:6" ht="25.5" x14ac:dyDescent="0.2">
      <c r="A14" s="19"/>
      <c r="B14" s="20">
        <v>8</v>
      </c>
      <c r="C14" s="29" t="s">
        <v>130</v>
      </c>
      <c r="D14" s="30" t="s">
        <v>17</v>
      </c>
      <c r="E14" s="958">
        <v>90000</v>
      </c>
      <c r="F14" s="1176"/>
    </row>
    <row r="15" spans="1:6" x14ac:dyDescent="0.2">
      <c r="A15" s="19"/>
      <c r="B15" s="20">
        <v>9</v>
      </c>
      <c r="C15" s="29" t="s">
        <v>135</v>
      </c>
      <c r="D15" s="30" t="s">
        <v>129</v>
      </c>
      <c r="E15" s="958">
        <f>60000/8</f>
        <v>7500</v>
      </c>
      <c r="F15" s="1176"/>
    </row>
    <row r="16" spans="1:6" ht="25.5" x14ac:dyDescent="0.2">
      <c r="A16" s="19"/>
      <c r="B16" s="20">
        <v>10</v>
      </c>
      <c r="C16" s="29" t="s">
        <v>1073</v>
      </c>
      <c r="D16" s="30" t="s">
        <v>129</v>
      </c>
      <c r="E16" s="958">
        <v>15000</v>
      </c>
      <c r="F16" s="1176"/>
    </row>
    <row r="17" spans="1:6" ht="13.5" thickBot="1" x14ac:dyDescent="0.25">
      <c r="A17" s="19"/>
      <c r="B17" s="20">
        <v>11</v>
      </c>
      <c r="C17" s="29" t="s">
        <v>2325</v>
      </c>
      <c r="D17" s="30" t="s">
        <v>1178</v>
      </c>
      <c r="E17" s="958">
        <v>148021</v>
      </c>
      <c r="F17" s="1176"/>
    </row>
    <row r="18" spans="1:6" ht="13.5" thickBot="1" x14ac:dyDescent="0.25">
      <c r="A18" s="22"/>
      <c r="B18" s="504"/>
      <c r="C18" s="2140"/>
      <c r="D18" s="2140"/>
      <c r="E18" s="2141"/>
      <c r="F18" s="1176"/>
    </row>
    <row r="19" spans="1:6" ht="3.75" customHeight="1" thickBot="1" x14ac:dyDescent="0.25">
      <c r="A19" s="22"/>
      <c r="B19" s="504"/>
      <c r="C19" s="26"/>
      <c r="D19" s="27"/>
      <c r="E19" s="31"/>
      <c r="F19" s="1176"/>
    </row>
    <row r="20" spans="1:6" ht="13.5" thickBot="1" x14ac:dyDescent="0.25">
      <c r="A20" s="623" t="s">
        <v>140</v>
      </c>
      <c r="B20" s="504" t="s">
        <v>868</v>
      </c>
      <c r="C20" s="26" t="s">
        <v>141</v>
      </c>
      <c r="D20" s="27"/>
      <c r="E20" s="31"/>
      <c r="F20" s="1176"/>
    </row>
    <row r="21" spans="1:6" x14ac:dyDescent="0.2">
      <c r="A21" s="19"/>
      <c r="B21" s="20">
        <v>1</v>
      </c>
      <c r="C21" s="29" t="s">
        <v>147</v>
      </c>
      <c r="D21" s="30" t="s">
        <v>148</v>
      </c>
      <c r="E21" s="958">
        <v>1500</v>
      </c>
      <c r="F21" s="1176"/>
    </row>
    <row r="22" spans="1:6" ht="25.5" x14ac:dyDescent="0.2">
      <c r="A22" s="19"/>
      <c r="B22" s="20">
        <v>2</v>
      </c>
      <c r="C22" s="29" t="s">
        <v>142</v>
      </c>
      <c r="D22" s="30" t="s">
        <v>17</v>
      </c>
      <c r="E22" s="958">
        <v>50000</v>
      </c>
      <c r="F22" s="1176"/>
    </row>
    <row r="23" spans="1:6" x14ac:dyDescent="0.2">
      <c r="A23" s="19"/>
      <c r="B23" s="20">
        <f>B22+1</f>
        <v>3</v>
      </c>
      <c r="C23" s="29" t="s">
        <v>143</v>
      </c>
      <c r="D23" s="30" t="s">
        <v>129</v>
      </c>
      <c r="E23" s="958">
        <v>15000</v>
      </c>
      <c r="F23" s="1176"/>
    </row>
    <row r="24" spans="1:6" ht="13.5" thickBot="1" x14ac:dyDescent="0.25">
      <c r="A24" s="19"/>
      <c r="B24" s="20">
        <f>B23+1</f>
        <v>4</v>
      </c>
      <c r="C24" s="29" t="s">
        <v>863</v>
      </c>
      <c r="D24" s="30" t="s">
        <v>17</v>
      </c>
      <c r="E24" s="958">
        <v>85000</v>
      </c>
      <c r="F24" s="1176"/>
    </row>
    <row r="25" spans="1:6" ht="13.5" thickBot="1" x14ac:dyDescent="0.25">
      <c r="A25" s="22"/>
      <c r="B25" s="504"/>
      <c r="C25" s="2140"/>
      <c r="D25" s="2140"/>
      <c r="E25" s="2141"/>
      <c r="F25" s="1176"/>
    </row>
    <row r="26" spans="1:6" ht="3.75" customHeight="1" thickBot="1" x14ac:dyDescent="0.25">
      <c r="A26" s="22"/>
      <c r="B26" s="504"/>
      <c r="C26" s="26"/>
      <c r="D26" s="27"/>
      <c r="E26" s="31"/>
      <c r="F26" s="1176"/>
    </row>
    <row r="27" spans="1:6" ht="13.5" thickBot="1" x14ac:dyDescent="0.25">
      <c r="A27" s="623" t="s">
        <v>152</v>
      </c>
      <c r="B27" s="504" t="s">
        <v>869</v>
      </c>
      <c r="C27" s="26" t="s">
        <v>153</v>
      </c>
      <c r="D27" s="27"/>
      <c r="E27" s="31"/>
      <c r="F27" s="1176"/>
    </row>
    <row r="28" spans="1:6" x14ac:dyDescent="0.2">
      <c r="A28" s="19"/>
      <c r="B28" s="20">
        <v>1</v>
      </c>
      <c r="C28" s="29" t="s">
        <v>874</v>
      </c>
      <c r="D28" s="30" t="s">
        <v>875</v>
      </c>
      <c r="E28" s="958">
        <v>1440</v>
      </c>
      <c r="F28" s="1176"/>
    </row>
    <row r="29" spans="1:6" ht="13.5" thickBot="1" x14ac:dyDescent="0.25">
      <c r="A29" s="19"/>
      <c r="B29" s="20">
        <v>2</v>
      </c>
      <c r="C29" s="29" t="s">
        <v>2320</v>
      </c>
      <c r="D29" s="30" t="s">
        <v>2319</v>
      </c>
      <c r="E29" s="958">
        <v>178500</v>
      </c>
      <c r="F29" s="1176"/>
    </row>
    <row r="30" spans="1:6" ht="13.5" thickBot="1" x14ac:dyDescent="0.25">
      <c r="A30" s="22"/>
      <c r="B30" s="504"/>
      <c r="C30" s="2140"/>
      <c r="D30" s="2140"/>
      <c r="E30" s="2141"/>
      <c r="F30" s="1176"/>
    </row>
    <row r="31" spans="1:6" x14ac:dyDescent="0.2">
      <c r="A31" s="674"/>
      <c r="B31" s="676"/>
      <c r="D31" s="622"/>
    </row>
    <row r="32" spans="1:6" ht="12.75" customHeight="1" x14ac:dyDescent="0.2">
      <c r="A32" s="674"/>
      <c r="B32" s="676"/>
      <c r="D32" s="622"/>
    </row>
    <row r="33" spans="1:3" ht="12.75" customHeight="1" x14ac:dyDescent="0.15">
      <c r="A33" s="674"/>
      <c r="B33" s="676"/>
    </row>
    <row r="34" spans="1:3" ht="12.75" customHeight="1" x14ac:dyDescent="0.2">
      <c r="A34" s="628"/>
      <c r="B34" s="622"/>
      <c r="C34" s="628"/>
    </row>
    <row r="35" spans="1:3" x14ac:dyDescent="0.2">
      <c r="B35" s="1"/>
      <c r="C35" s="1"/>
    </row>
    <row r="36" spans="1:3" x14ac:dyDescent="0.2">
      <c r="B36" s="1"/>
      <c r="C36" s="1"/>
    </row>
    <row r="37" spans="1:3" x14ac:dyDescent="0.2">
      <c r="B37" s="1"/>
      <c r="C37" s="1"/>
    </row>
  </sheetData>
  <sortState xmlns:xlrd2="http://schemas.microsoft.com/office/spreadsheetml/2017/richdata2" ref="C35:E42">
    <sortCondition ref="C35"/>
  </sortState>
  <mergeCells count="7">
    <mergeCell ref="C30:E30"/>
    <mergeCell ref="C18:E18"/>
    <mergeCell ref="C25:E25"/>
    <mergeCell ref="A4:E4"/>
    <mergeCell ref="A1:E1"/>
    <mergeCell ref="A2:E2"/>
    <mergeCell ref="A3:C3"/>
  </mergeCells>
  <pageMargins left="0.59055118110236227" right="0.59055118110236227" top="1.1811023622047245" bottom="1.1811023622047245" header="0.39370078740157483" footer="0.39370078740157483"/>
  <pageSetup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00"/>
  </sheetPr>
  <dimension ref="A1:K29"/>
  <sheetViews>
    <sheetView view="pageBreakPreview" zoomScale="85" zoomScaleNormal="100" zoomScaleSheetLayoutView="85" workbookViewId="0">
      <selection activeCell="A3" sqref="A3:E3"/>
    </sheetView>
  </sheetViews>
  <sheetFormatPr baseColWidth="10" defaultRowHeight="12.75" x14ac:dyDescent="0.2"/>
  <cols>
    <col min="1" max="1" width="30.42578125" customWidth="1"/>
    <col min="2" max="2" width="75.42578125" customWidth="1"/>
    <col min="4" max="4" width="12.85546875" customWidth="1"/>
    <col min="5" max="6" width="15.85546875" customWidth="1"/>
    <col min="7" max="7" width="22.42578125" customWidth="1"/>
    <col min="9" max="9" width="20.7109375" customWidth="1"/>
    <col min="11" max="11" width="16.5703125" bestFit="1" customWidth="1"/>
  </cols>
  <sheetData>
    <row r="1" spans="1:7" ht="26.25" customHeight="1" thickBot="1" x14ac:dyDescent="0.25">
      <c r="A1" s="2169"/>
      <c r="B1" s="2170"/>
      <c r="C1" s="2170"/>
      <c r="D1" s="2170"/>
      <c r="E1" s="2171"/>
      <c r="F1" s="2165"/>
      <c r="G1" s="2166"/>
    </row>
    <row r="2" spans="1:7" ht="63" customHeight="1" thickBot="1" x14ac:dyDescent="0.25">
      <c r="A2" s="2172" t="str">
        <f>'01'!A12</f>
        <v>"CONSTRUCCION SISTEMA DE ACUEDUCTO FASE II DEL MUNICIPIO DE TESALIA DPTO DEL HUILA"</v>
      </c>
      <c r="B2" s="2173"/>
      <c r="C2" s="2173"/>
      <c r="D2" s="2173"/>
      <c r="E2" s="2174"/>
      <c r="F2" s="2167"/>
      <c r="G2" s="2168"/>
    </row>
    <row r="3" spans="1:7" ht="16.5" thickBot="1" x14ac:dyDescent="0.25">
      <c r="A3" s="2175" t="s">
        <v>1473</v>
      </c>
      <c r="B3" s="2175"/>
      <c r="C3" s="2175"/>
      <c r="D3" s="2175"/>
      <c r="E3" s="2175"/>
      <c r="F3" s="873" t="s">
        <v>1181</v>
      </c>
      <c r="G3" s="873" t="e">
        <f>'01'!#REF!</f>
        <v>#REF!</v>
      </c>
    </row>
    <row r="4" spans="1:7" ht="16.5" thickBot="1" x14ac:dyDescent="0.25">
      <c r="A4" s="869" t="s">
        <v>1474</v>
      </c>
      <c r="B4" s="2176" t="s">
        <v>1475</v>
      </c>
      <c r="C4" s="2176"/>
      <c r="D4" s="870" t="s">
        <v>1476</v>
      </c>
      <c r="E4" s="870" t="s">
        <v>16</v>
      </c>
      <c r="F4" s="871" t="s">
        <v>1477</v>
      </c>
      <c r="G4" s="872" t="s">
        <v>1478</v>
      </c>
    </row>
    <row r="5" spans="1:7" ht="32.25" customHeight="1" x14ac:dyDescent="0.2">
      <c r="A5" s="895" t="s">
        <v>1479</v>
      </c>
      <c r="B5" s="2177" t="s">
        <v>1480</v>
      </c>
      <c r="C5" s="2177"/>
      <c r="D5" s="896" t="s">
        <v>2</v>
      </c>
      <c r="E5" s="897">
        <v>6</v>
      </c>
      <c r="F5" s="898">
        <v>600000</v>
      </c>
      <c r="G5" s="899">
        <f t="shared" ref="G5:G14" si="0">E5*F5</f>
        <v>3600000</v>
      </c>
    </row>
    <row r="6" spans="1:7" ht="30" customHeight="1" x14ac:dyDescent="0.2">
      <c r="A6" s="879" t="s">
        <v>1481</v>
      </c>
      <c r="B6" s="2158" t="s">
        <v>1482</v>
      </c>
      <c r="C6" s="2158"/>
      <c r="D6" s="874" t="s">
        <v>2</v>
      </c>
      <c r="E6" s="876">
        <v>6</v>
      </c>
      <c r="F6" s="900">
        <v>500000</v>
      </c>
      <c r="G6" s="878">
        <f t="shared" si="0"/>
        <v>3000000</v>
      </c>
    </row>
    <row r="7" spans="1:7" ht="69" customHeight="1" x14ac:dyDescent="0.2">
      <c r="A7" s="875" t="s">
        <v>1483</v>
      </c>
      <c r="B7" s="2158" t="s">
        <v>1484</v>
      </c>
      <c r="C7" s="2158"/>
      <c r="D7" s="874" t="s">
        <v>2</v>
      </c>
      <c r="E7" s="876">
        <v>6</v>
      </c>
      <c r="F7" s="877">
        <v>500000</v>
      </c>
      <c r="G7" s="878">
        <f t="shared" si="0"/>
        <v>3000000</v>
      </c>
    </row>
    <row r="8" spans="1:7" ht="69.75" customHeight="1" x14ac:dyDescent="0.2">
      <c r="A8" s="875" t="s">
        <v>1485</v>
      </c>
      <c r="B8" s="2178" t="s">
        <v>1486</v>
      </c>
      <c r="C8" s="2178"/>
      <c r="D8" s="874" t="s">
        <v>2</v>
      </c>
      <c r="E8" s="876">
        <v>6</v>
      </c>
      <c r="F8" s="877">
        <v>80000</v>
      </c>
      <c r="G8" s="878">
        <f t="shared" si="0"/>
        <v>480000</v>
      </c>
    </row>
    <row r="9" spans="1:7" ht="28.5" customHeight="1" x14ac:dyDescent="0.2">
      <c r="A9" s="875" t="s">
        <v>1487</v>
      </c>
      <c r="B9" s="2178" t="s">
        <v>1488</v>
      </c>
      <c r="C9" s="2178"/>
      <c r="D9" s="874" t="s">
        <v>2</v>
      </c>
      <c r="E9" s="876">
        <v>6</v>
      </c>
      <c r="F9" s="877">
        <v>300000</v>
      </c>
      <c r="G9" s="878">
        <f t="shared" si="0"/>
        <v>1800000</v>
      </c>
    </row>
    <row r="10" spans="1:7" ht="28.5" customHeight="1" x14ac:dyDescent="0.2">
      <c r="A10" s="875" t="s">
        <v>1489</v>
      </c>
      <c r="B10" s="2158" t="s">
        <v>1490</v>
      </c>
      <c r="C10" s="2158"/>
      <c r="D10" s="874" t="s">
        <v>2</v>
      </c>
      <c r="E10" s="876">
        <v>6</v>
      </c>
      <c r="F10" s="877">
        <v>200000</v>
      </c>
      <c r="G10" s="878">
        <f t="shared" si="0"/>
        <v>1200000</v>
      </c>
    </row>
    <row r="11" spans="1:7" ht="15" customHeight="1" x14ac:dyDescent="0.2">
      <c r="A11" s="875" t="s">
        <v>1491</v>
      </c>
      <c r="B11" s="2162" t="s">
        <v>1492</v>
      </c>
      <c r="C11" s="2162"/>
      <c r="D11" s="874" t="s">
        <v>2</v>
      </c>
      <c r="E11" s="876">
        <v>6</v>
      </c>
      <c r="F11" s="877">
        <v>50000</v>
      </c>
      <c r="G11" s="878">
        <f t="shared" si="0"/>
        <v>300000</v>
      </c>
    </row>
    <row r="12" spans="1:7" ht="29.25" customHeight="1" x14ac:dyDescent="0.2">
      <c r="A12" s="879" t="s">
        <v>1493</v>
      </c>
      <c r="B12" s="2158" t="s">
        <v>1494</v>
      </c>
      <c r="C12" s="2158"/>
      <c r="D12" s="874" t="s">
        <v>2</v>
      </c>
      <c r="E12" s="876">
        <v>6</v>
      </c>
      <c r="F12" s="877">
        <v>500000</v>
      </c>
      <c r="G12" s="878">
        <f t="shared" si="0"/>
        <v>3000000</v>
      </c>
    </row>
    <row r="13" spans="1:7" ht="131.25" customHeight="1" x14ac:dyDescent="0.2">
      <c r="A13" s="879" t="s">
        <v>1495</v>
      </c>
      <c r="B13" s="2158" t="s">
        <v>1496</v>
      </c>
      <c r="C13" s="2158"/>
      <c r="D13" s="874" t="s">
        <v>2</v>
      </c>
      <c r="E13" s="876">
        <v>10</v>
      </c>
      <c r="F13" s="877">
        <v>370000</v>
      </c>
      <c r="G13" s="878">
        <f t="shared" si="0"/>
        <v>3700000</v>
      </c>
    </row>
    <row r="14" spans="1:7" ht="27" customHeight="1" thickBot="1" x14ac:dyDescent="0.25">
      <c r="A14" s="879" t="s">
        <v>1497</v>
      </c>
      <c r="B14" s="2158" t="s">
        <v>1498</v>
      </c>
      <c r="C14" s="2158"/>
      <c r="D14" s="874" t="s">
        <v>1064</v>
      </c>
      <c r="E14" s="876">
        <v>6</v>
      </c>
      <c r="F14" s="900">
        <v>285638</v>
      </c>
      <c r="G14" s="878">
        <f t="shared" si="0"/>
        <v>1713828</v>
      </c>
    </row>
    <row r="15" spans="1:7" ht="13.5" thickBot="1" x14ac:dyDescent="0.25">
      <c r="A15" s="2163" t="s">
        <v>1719</v>
      </c>
      <c r="B15" s="2164"/>
      <c r="C15" s="2164"/>
      <c r="D15" s="2164"/>
      <c r="E15" s="2164"/>
      <c r="F15" s="902"/>
      <c r="G15" s="880">
        <f>ROUND((SUM(G5:G14)),0)</f>
        <v>21793828</v>
      </c>
    </row>
    <row r="16" spans="1:7" ht="26.25" thickBot="1" x14ac:dyDescent="0.25">
      <c r="A16" s="881" t="s">
        <v>14</v>
      </c>
      <c r="B16" s="882" t="s">
        <v>421</v>
      </c>
      <c r="C16" s="883" t="s">
        <v>1064</v>
      </c>
      <c r="D16" s="884" t="s">
        <v>1470</v>
      </c>
      <c r="E16" s="882" t="s">
        <v>1499</v>
      </c>
      <c r="F16" s="883" t="s">
        <v>1170</v>
      </c>
      <c r="G16" s="885" t="s">
        <v>1500</v>
      </c>
    </row>
    <row r="17" spans="1:11" ht="38.25" x14ac:dyDescent="0.2">
      <c r="A17" s="886" t="s">
        <v>1501</v>
      </c>
      <c r="B17" s="887"/>
      <c r="C17" s="887"/>
      <c r="D17" s="887"/>
      <c r="E17" s="887"/>
      <c r="F17" s="888"/>
      <c r="G17" s="889"/>
    </row>
    <row r="18" spans="1:11" ht="13.5" thickBot="1" x14ac:dyDescent="0.25">
      <c r="A18" s="903" t="s">
        <v>1714</v>
      </c>
      <c r="B18" s="904">
        <v>1</v>
      </c>
      <c r="C18" s="905">
        <v>6</v>
      </c>
      <c r="D18" s="906">
        <v>0.3</v>
      </c>
      <c r="E18" s="901">
        <v>2500000</v>
      </c>
      <c r="F18" s="960">
        <f>+'03'!I2</f>
        <v>1.88995</v>
      </c>
      <c r="G18" s="907">
        <f>B18*C18*E18*D18*F18</f>
        <v>8504775</v>
      </c>
      <c r="I18" s="959"/>
      <c r="K18" s="959"/>
    </row>
    <row r="19" spans="1:11" ht="13.5" thickBot="1" x14ac:dyDescent="0.25">
      <c r="A19" s="890" t="s">
        <v>1720</v>
      </c>
      <c r="B19" s="891"/>
      <c r="C19" s="891"/>
      <c r="D19" s="891"/>
      <c r="E19" s="891"/>
      <c r="F19" s="892"/>
      <c r="G19" s="893">
        <f>ROUND((SUM(G18:G18)),0)</f>
        <v>8504775</v>
      </c>
    </row>
    <row r="20" spans="1:11" ht="13.5" thickBot="1" x14ac:dyDescent="0.25">
      <c r="A20" s="2159" t="s">
        <v>1502</v>
      </c>
      <c r="B20" s="2160"/>
      <c r="C20" s="2160"/>
      <c r="D20" s="2160"/>
      <c r="E20" s="2160"/>
      <c r="F20" s="2161"/>
      <c r="G20" s="894">
        <f>G15+G19</f>
        <v>30298603</v>
      </c>
    </row>
    <row r="22" spans="1:11" ht="16.5" x14ac:dyDescent="0.2">
      <c r="G22" s="865"/>
    </row>
    <row r="23" spans="1:11" x14ac:dyDescent="0.2">
      <c r="G23" s="841"/>
    </row>
    <row r="26" spans="1:11" ht="15" x14ac:dyDescent="0.2">
      <c r="A26" s="946" t="s">
        <v>1673</v>
      </c>
      <c r="B26" s="677"/>
      <c r="C26" s="757"/>
      <c r="D26" s="677"/>
      <c r="E26" s="690"/>
      <c r="F26" s="690"/>
      <c r="G26" s="866"/>
    </row>
    <row r="27" spans="1:11" ht="15" x14ac:dyDescent="0.2">
      <c r="A27" s="946" t="s">
        <v>1674</v>
      </c>
      <c r="B27" s="676"/>
      <c r="C27" s="758"/>
      <c r="D27" s="676"/>
      <c r="E27" s="690"/>
      <c r="F27" s="690"/>
      <c r="G27" s="867"/>
    </row>
    <row r="28" spans="1:11" ht="14.25" x14ac:dyDescent="0.2">
      <c r="A28" s="948" t="s">
        <v>1675</v>
      </c>
      <c r="B28" s="676"/>
      <c r="C28" s="758"/>
      <c r="D28" s="676"/>
      <c r="E28" s="652"/>
      <c r="F28" s="652"/>
      <c r="G28" s="868"/>
    </row>
    <row r="29" spans="1:11" ht="14.25" x14ac:dyDescent="0.2">
      <c r="C29" s="674"/>
      <c r="D29" s="652"/>
      <c r="E29" s="652"/>
      <c r="F29" s="652"/>
    </row>
  </sheetData>
  <mergeCells count="17">
    <mergeCell ref="F1:G2"/>
    <mergeCell ref="A1:E1"/>
    <mergeCell ref="A2:E2"/>
    <mergeCell ref="A3:E3"/>
    <mergeCell ref="B10:C10"/>
    <mergeCell ref="B4:C4"/>
    <mergeCell ref="B5:C5"/>
    <mergeCell ref="B6:C6"/>
    <mergeCell ref="B7:C7"/>
    <mergeCell ref="B8:C8"/>
    <mergeCell ref="B9:C9"/>
    <mergeCell ref="B13:C13"/>
    <mergeCell ref="B14:C14"/>
    <mergeCell ref="A20:F20"/>
    <mergeCell ref="B11:C11"/>
    <mergeCell ref="B12:C12"/>
    <mergeCell ref="A15:E15"/>
  </mergeCells>
  <pageMargins left="0.70866141732283472" right="0.70866141732283472" top="0.74803149606299213" bottom="0.74803149606299213" header="0.31496062992125984" footer="0.31496062992125984"/>
  <pageSetup scale="60" orientation="landscape" r:id="rId1"/>
  <drawing r:id="rId2"/>
  <legacyDrawing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00"/>
  </sheetPr>
  <dimension ref="A1:L36"/>
  <sheetViews>
    <sheetView view="pageBreakPreview" topLeftCell="A2" zoomScaleNormal="100" zoomScaleSheetLayoutView="100" workbookViewId="0">
      <selection activeCell="E34" sqref="E34:H34"/>
    </sheetView>
  </sheetViews>
  <sheetFormatPr baseColWidth="10" defaultRowHeight="12.75" x14ac:dyDescent="0.2"/>
  <cols>
    <col min="1" max="1" width="11.5703125" customWidth="1"/>
    <col min="2" max="2" width="25.140625" customWidth="1"/>
    <col min="3" max="3" width="8.42578125" customWidth="1"/>
    <col min="4" max="4" width="11.28515625" customWidth="1"/>
    <col min="5" max="5" width="15.42578125" customWidth="1"/>
    <col min="6" max="6" width="13.5703125" customWidth="1"/>
    <col min="7" max="7" width="16.42578125" customWidth="1"/>
    <col min="8" max="8" width="19.7109375" customWidth="1"/>
    <col min="10" max="10" width="14.28515625" customWidth="1"/>
  </cols>
  <sheetData>
    <row r="1" spans="1:12" ht="45" customHeight="1" thickBot="1" x14ac:dyDescent="0.25">
      <c r="A1" s="2179"/>
      <c r="B1" s="2180"/>
      <c r="C1" s="2183" t="str">
        <f>'01'!A12</f>
        <v>"CONSTRUCCION SISTEMA DE ACUEDUCTO FASE II DEL MUNICIPIO DE TESALIA DPTO DEL HUILA"</v>
      </c>
      <c r="D1" s="2184"/>
      <c r="E1" s="2184"/>
      <c r="F1" s="2184"/>
      <c r="G1" s="2184"/>
      <c r="H1" s="2185"/>
    </row>
    <row r="2" spans="1:12" ht="42.75" customHeight="1" thickBot="1" x14ac:dyDescent="0.25">
      <c r="A2" s="2181"/>
      <c r="B2" s="2182"/>
      <c r="C2" s="2183" t="s">
        <v>1740</v>
      </c>
      <c r="D2" s="2184"/>
      <c r="E2" s="2184"/>
      <c r="F2" s="2184"/>
      <c r="G2" s="2185"/>
      <c r="H2" s="977" t="s">
        <v>1725</v>
      </c>
    </row>
    <row r="3" spans="1:12" ht="13.5" thickBot="1" x14ac:dyDescent="0.25">
      <c r="A3" s="2186"/>
      <c r="B3" s="2186"/>
      <c r="C3" s="854"/>
      <c r="D3" s="854"/>
      <c r="E3" s="854"/>
      <c r="F3" s="855"/>
      <c r="G3" s="855"/>
      <c r="H3" s="855"/>
    </row>
    <row r="4" spans="1:12" ht="13.5" thickBot="1" x14ac:dyDescent="0.25">
      <c r="A4" s="2187" t="s">
        <v>1173</v>
      </c>
      <c r="B4" s="2188"/>
      <c r="C4" s="2188"/>
      <c r="D4" s="2188"/>
      <c r="E4" s="2188"/>
      <c r="F4" s="2188"/>
      <c r="G4" s="2188"/>
      <c r="H4" s="2189"/>
    </row>
    <row r="5" spans="1:12" ht="34.5" thickBot="1" x14ac:dyDescent="0.25">
      <c r="A5" s="861" t="s">
        <v>0</v>
      </c>
      <c r="B5" s="2191" t="s">
        <v>1741</v>
      </c>
      <c r="C5" s="2191"/>
      <c r="D5" s="862" t="s">
        <v>628</v>
      </c>
      <c r="E5" s="862" t="s">
        <v>1742</v>
      </c>
      <c r="F5" s="862" t="s">
        <v>1743</v>
      </c>
      <c r="G5" s="862" t="s">
        <v>1744</v>
      </c>
      <c r="H5" s="863" t="s">
        <v>1745</v>
      </c>
    </row>
    <row r="6" spans="1:12" ht="13.5" thickBot="1" x14ac:dyDescent="0.25">
      <c r="A6" s="978" t="s">
        <v>867</v>
      </c>
      <c r="B6" s="2192" t="s">
        <v>1746</v>
      </c>
      <c r="C6" s="2192"/>
      <c r="D6" s="2192"/>
      <c r="E6" s="2192"/>
      <c r="F6" s="2192"/>
      <c r="G6" s="2192"/>
      <c r="H6" s="2193"/>
    </row>
    <row r="7" spans="1:12" x14ac:dyDescent="0.2">
      <c r="A7" s="979" t="s">
        <v>1747</v>
      </c>
      <c r="B7" s="2194" t="s">
        <v>1748</v>
      </c>
      <c r="C7" s="2194"/>
      <c r="D7" s="980">
        <v>1</v>
      </c>
      <c r="E7" s="851">
        <v>11105000</v>
      </c>
      <c r="F7" s="981">
        <v>0.04</v>
      </c>
      <c r="G7" s="982">
        <v>12</v>
      </c>
      <c r="H7" s="983">
        <f>D7*E7*F7*G7</f>
        <v>5330400</v>
      </c>
      <c r="L7" s="1025"/>
    </row>
    <row r="8" spans="1:12" x14ac:dyDescent="0.2">
      <c r="A8" s="856" t="s">
        <v>1749</v>
      </c>
      <c r="B8" s="2195" t="s">
        <v>1750</v>
      </c>
      <c r="C8" s="2195"/>
      <c r="D8" s="984">
        <v>1</v>
      </c>
      <c r="E8" s="851">
        <v>8318000</v>
      </c>
      <c r="F8" s="985">
        <v>0.14000000000000001</v>
      </c>
      <c r="G8" s="986">
        <v>12</v>
      </c>
      <c r="H8" s="983">
        <f t="shared" ref="H8:H14" si="0">D8*E8*F8*G8</f>
        <v>13974240</v>
      </c>
      <c r="L8" s="1025"/>
    </row>
    <row r="9" spans="1:12" x14ac:dyDescent="0.2">
      <c r="A9" s="856" t="s">
        <v>1751</v>
      </c>
      <c r="B9" s="2195" t="s">
        <v>1752</v>
      </c>
      <c r="C9" s="2195"/>
      <c r="D9" s="984">
        <v>1</v>
      </c>
      <c r="E9" s="851">
        <v>6055000</v>
      </c>
      <c r="F9" s="985">
        <v>0.36</v>
      </c>
      <c r="G9" s="986">
        <v>12</v>
      </c>
      <c r="H9" s="983">
        <f t="shared" si="0"/>
        <v>26157600</v>
      </c>
      <c r="L9" s="1025"/>
    </row>
    <row r="10" spans="1:12" x14ac:dyDescent="0.2">
      <c r="A10" s="856" t="s">
        <v>1753</v>
      </c>
      <c r="B10" s="2195" t="s">
        <v>1754</v>
      </c>
      <c r="C10" s="2195"/>
      <c r="D10" s="984">
        <v>1</v>
      </c>
      <c r="E10" s="851">
        <v>6055000</v>
      </c>
      <c r="F10" s="985">
        <v>7.0000000000000007E-2</v>
      </c>
      <c r="G10" s="986">
        <v>12</v>
      </c>
      <c r="H10" s="983">
        <f t="shared" si="0"/>
        <v>5086200.0000000009</v>
      </c>
      <c r="L10" s="1025"/>
    </row>
    <row r="11" spans="1:12" x14ac:dyDescent="0.2">
      <c r="A11" s="856" t="s">
        <v>1755</v>
      </c>
      <c r="B11" s="2195" t="s">
        <v>1756</v>
      </c>
      <c r="C11" s="2195"/>
      <c r="D11" s="984">
        <v>1</v>
      </c>
      <c r="E11" s="851">
        <v>5156000</v>
      </c>
      <c r="F11" s="985">
        <v>0.04</v>
      </c>
      <c r="G11" s="986">
        <v>12</v>
      </c>
      <c r="H11" s="983">
        <f t="shared" si="0"/>
        <v>2474880</v>
      </c>
      <c r="L11" s="1025"/>
    </row>
    <row r="12" spans="1:12" x14ac:dyDescent="0.2">
      <c r="A12" s="856" t="s">
        <v>1757</v>
      </c>
      <c r="B12" s="2195" t="s">
        <v>1758</v>
      </c>
      <c r="C12" s="2195"/>
      <c r="D12" s="984">
        <v>1</v>
      </c>
      <c r="E12" s="851">
        <v>5156000</v>
      </c>
      <c r="F12" s="985">
        <v>0.04</v>
      </c>
      <c r="G12" s="986">
        <v>12</v>
      </c>
      <c r="H12" s="983">
        <f t="shared" si="0"/>
        <v>2474880</v>
      </c>
      <c r="L12" s="1025"/>
    </row>
    <row r="13" spans="1:12" x14ac:dyDescent="0.2">
      <c r="A13" s="856" t="s">
        <v>1759</v>
      </c>
      <c r="B13" s="2195" t="s">
        <v>1760</v>
      </c>
      <c r="C13" s="2195"/>
      <c r="D13" s="984">
        <v>1</v>
      </c>
      <c r="E13" s="851">
        <v>4500000</v>
      </c>
      <c r="F13" s="985">
        <v>0.09</v>
      </c>
      <c r="G13" s="986">
        <v>12</v>
      </c>
      <c r="H13" s="983">
        <f t="shared" si="0"/>
        <v>4860000</v>
      </c>
      <c r="L13" s="1025"/>
    </row>
    <row r="14" spans="1:12" ht="13.5" thickBot="1" x14ac:dyDescent="0.25">
      <c r="A14" s="974" t="s">
        <v>1761</v>
      </c>
      <c r="B14" s="2196" t="s">
        <v>1762</v>
      </c>
      <c r="C14" s="2196"/>
      <c r="D14" s="987">
        <v>1</v>
      </c>
      <c r="E14" s="988">
        <v>2500000</v>
      </c>
      <c r="F14" s="989">
        <v>7.0000000000000007E-2</v>
      </c>
      <c r="G14" s="990">
        <v>12</v>
      </c>
      <c r="H14" s="983">
        <f t="shared" si="0"/>
        <v>2100000.0000000005</v>
      </c>
      <c r="L14" s="1025"/>
    </row>
    <row r="15" spans="1:12" ht="13.5" thickBot="1" x14ac:dyDescent="0.25">
      <c r="A15" s="991"/>
      <c r="B15" s="2190" t="s">
        <v>1763</v>
      </c>
      <c r="C15" s="2190"/>
      <c r="D15" s="2190"/>
      <c r="E15" s="2190"/>
      <c r="F15" s="2190"/>
      <c r="G15" s="2190"/>
      <c r="H15" s="992">
        <f>ROUND((SUM(H7:H14)),0)</f>
        <v>62458200</v>
      </c>
    </row>
    <row r="16" spans="1:12" ht="13.5" thickBot="1" x14ac:dyDescent="0.25">
      <c r="A16" s="991"/>
      <c r="B16" s="2190" t="s">
        <v>1764</v>
      </c>
      <c r="C16" s="2190"/>
      <c r="D16" s="2190"/>
      <c r="E16" s="2190"/>
      <c r="F16" s="2190"/>
      <c r="G16" s="2190"/>
      <c r="H16" s="993">
        <v>2.2000000000000002</v>
      </c>
    </row>
    <row r="17" spans="1:10" ht="13.5" thickBot="1" x14ac:dyDescent="0.25">
      <c r="A17" s="991"/>
      <c r="B17" s="2190" t="s">
        <v>1765</v>
      </c>
      <c r="C17" s="2190"/>
      <c r="D17" s="2190"/>
      <c r="E17" s="2190"/>
      <c r="F17" s="2190"/>
      <c r="G17" s="2190"/>
      <c r="H17" s="993">
        <f>H15*H16</f>
        <v>137408040</v>
      </c>
    </row>
    <row r="18" spans="1:10" ht="13.5" thickBot="1" x14ac:dyDescent="0.25">
      <c r="A18" s="978" t="s">
        <v>868</v>
      </c>
      <c r="B18" s="2192" t="s">
        <v>1472</v>
      </c>
      <c r="C18" s="2192"/>
      <c r="D18" s="2192"/>
      <c r="E18" s="2192"/>
      <c r="F18" s="2192"/>
      <c r="G18" s="2192"/>
      <c r="H18" s="2193"/>
    </row>
    <row r="19" spans="1:10" ht="23.25" thickBot="1" x14ac:dyDescent="0.25">
      <c r="A19" s="861" t="s">
        <v>0</v>
      </c>
      <c r="B19" s="862" t="s">
        <v>1</v>
      </c>
      <c r="C19" s="862" t="s">
        <v>15</v>
      </c>
      <c r="D19" s="862" t="s">
        <v>628</v>
      </c>
      <c r="E19" s="862" t="s">
        <v>1742</v>
      </c>
      <c r="F19" s="862" t="s">
        <v>1766</v>
      </c>
      <c r="G19" s="862" t="s">
        <v>1767</v>
      </c>
      <c r="H19" s="863" t="s">
        <v>1745</v>
      </c>
    </row>
    <row r="20" spans="1:10" ht="33.75" x14ac:dyDescent="0.2">
      <c r="A20" s="856">
        <v>1</v>
      </c>
      <c r="B20" s="857" t="s">
        <v>1768</v>
      </c>
      <c r="C20" s="858" t="s">
        <v>1064</v>
      </c>
      <c r="D20" s="994">
        <v>1</v>
      </c>
      <c r="E20" s="995">
        <v>219461.6</v>
      </c>
      <c r="F20" s="986">
        <v>12</v>
      </c>
      <c r="G20" s="996">
        <v>0.3</v>
      </c>
      <c r="H20" s="997">
        <f>ROUND(E20*D20*F20,0)</f>
        <v>2633539</v>
      </c>
      <c r="J20" s="853"/>
    </row>
    <row r="21" spans="1:10" ht="34.5" thickBot="1" x14ac:dyDescent="0.25">
      <c r="A21" s="974">
        <v>2</v>
      </c>
      <c r="B21" s="975" t="s">
        <v>1769</v>
      </c>
      <c r="C21" s="976" t="s">
        <v>1064</v>
      </c>
      <c r="D21" s="998">
        <v>1</v>
      </c>
      <c r="E21" s="999">
        <v>5000000</v>
      </c>
      <c r="F21" s="990">
        <v>6</v>
      </c>
      <c r="G21" s="1000">
        <v>0.3</v>
      </c>
      <c r="H21" s="1001">
        <f>ROUND(E21*D21*F21,0)</f>
        <v>30000000</v>
      </c>
      <c r="J21" s="853"/>
    </row>
    <row r="22" spans="1:10" ht="13.5" thickBot="1" x14ac:dyDescent="0.25">
      <c r="A22" s="991"/>
      <c r="B22" s="2190" t="s">
        <v>1770</v>
      </c>
      <c r="C22" s="2190"/>
      <c r="D22" s="2190"/>
      <c r="E22" s="2190"/>
      <c r="F22" s="2190"/>
      <c r="G22" s="2190"/>
      <c r="H22" s="992">
        <f>ROUND((SUM(H20:H21)),0)</f>
        <v>32633539</v>
      </c>
    </row>
    <row r="23" spans="1:10" ht="13.5" thickBot="1" x14ac:dyDescent="0.25">
      <c r="A23" s="979"/>
      <c r="B23" s="1002"/>
      <c r="C23" s="1003"/>
      <c r="D23" s="851"/>
      <c r="E23" s="851"/>
      <c r="F23" s="1004"/>
      <c r="G23" s="1005"/>
      <c r="H23" s="1006"/>
    </row>
    <row r="24" spans="1:10" ht="13.5" thickBot="1" x14ac:dyDescent="0.25">
      <c r="A24" s="978" t="s">
        <v>869</v>
      </c>
      <c r="B24" s="2192" t="s">
        <v>1771</v>
      </c>
      <c r="C24" s="2192"/>
      <c r="D24" s="2192"/>
      <c r="E24" s="2192"/>
      <c r="F24" s="2192"/>
      <c r="G24" s="2192"/>
      <c r="H24" s="1007">
        <f>H17+H22</f>
        <v>170041579</v>
      </c>
    </row>
    <row r="25" spans="1:10" ht="13.5" thickBot="1" x14ac:dyDescent="0.25">
      <c r="A25" s="856"/>
      <c r="B25" s="857"/>
      <c r="C25" s="858"/>
      <c r="D25" s="851"/>
      <c r="E25" s="851"/>
      <c r="F25" s="859"/>
      <c r="G25" s="860"/>
      <c r="H25" s="864"/>
    </row>
    <row r="26" spans="1:10" ht="13.5" thickBot="1" x14ac:dyDescent="0.25">
      <c r="A26" s="978"/>
      <c r="B26" s="2192" t="s">
        <v>1772</v>
      </c>
      <c r="C26" s="2192"/>
      <c r="D26" s="2192"/>
      <c r="E26" s="2192"/>
      <c r="F26" s="2192"/>
      <c r="G26" s="2192"/>
      <c r="H26" s="1007">
        <f>H24</f>
        <v>170041579</v>
      </c>
    </row>
    <row r="27" spans="1:10" ht="13.5" thickBot="1" x14ac:dyDescent="0.25">
      <c r="A27" s="1008"/>
      <c r="B27" s="1009"/>
      <c r="C27" s="1009"/>
      <c r="D27" s="1009"/>
      <c r="E27" s="1009"/>
      <c r="F27" s="1009"/>
      <c r="G27" s="1009"/>
      <c r="H27" s="1010"/>
    </row>
    <row r="28" spans="1:10" x14ac:dyDescent="0.2">
      <c r="H28" s="924"/>
    </row>
    <row r="29" spans="1:10" x14ac:dyDescent="0.2">
      <c r="H29" s="841"/>
    </row>
    <row r="30" spans="1:10" ht="15.75" x14ac:dyDescent="0.25">
      <c r="A30" s="1011" t="s">
        <v>1773</v>
      </c>
      <c r="B30" s="1012"/>
      <c r="E30" s="1013" t="s">
        <v>1774</v>
      </c>
      <c r="F30" s="1014"/>
      <c r="G30" s="1014"/>
      <c r="H30" s="1015"/>
    </row>
    <row r="31" spans="1:10" ht="15.75" x14ac:dyDescent="0.25">
      <c r="A31" s="1011"/>
      <c r="B31" s="1012"/>
      <c r="C31" s="597"/>
      <c r="D31" s="677"/>
      <c r="E31" s="1016"/>
      <c r="F31" s="1014"/>
      <c r="G31" s="1014"/>
      <c r="H31" s="1015"/>
    </row>
    <row r="32" spans="1:10" ht="15.75" x14ac:dyDescent="0.25">
      <c r="A32" s="1011"/>
      <c r="B32" s="1012"/>
      <c r="C32" s="597"/>
      <c r="D32" s="676"/>
      <c r="E32" s="1016"/>
      <c r="F32" s="1014"/>
      <c r="G32" s="1014"/>
      <c r="H32" s="1015"/>
    </row>
    <row r="33" spans="1:8" ht="15.75" x14ac:dyDescent="0.25">
      <c r="A33" s="1017"/>
      <c r="B33" s="1018"/>
      <c r="E33" s="1019"/>
      <c r="F33" s="1020"/>
      <c r="G33" s="1020"/>
      <c r="H33" s="1021"/>
    </row>
    <row r="34" spans="1:8" ht="15.75" x14ac:dyDescent="0.25">
      <c r="A34" s="1022" t="s">
        <v>1775</v>
      </c>
      <c r="B34" s="1023"/>
      <c r="E34" s="2199" t="s">
        <v>1776</v>
      </c>
      <c r="F34" s="2199"/>
      <c r="G34" s="2199"/>
      <c r="H34" s="2199"/>
    </row>
    <row r="35" spans="1:8" ht="15.75" x14ac:dyDescent="0.25">
      <c r="A35" s="1013" t="s">
        <v>1777</v>
      </c>
      <c r="B35" s="1023"/>
      <c r="E35" s="2197" t="s">
        <v>1778</v>
      </c>
      <c r="F35" s="2197"/>
      <c r="G35" s="2197"/>
      <c r="H35" s="2197"/>
    </row>
    <row r="36" spans="1:8" ht="15.75" x14ac:dyDescent="0.25">
      <c r="A36" s="1024" t="s">
        <v>1779</v>
      </c>
      <c r="B36" s="1023"/>
      <c r="E36" s="2198" t="s">
        <v>1779</v>
      </c>
      <c r="F36" s="2198"/>
      <c r="G36" s="2198"/>
      <c r="H36" s="2198"/>
    </row>
  </sheetData>
  <mergeCells count="25">
    <mergeCell ref="E35:H35"/>
    <mergeCell ref="E36:H36"/>
    <mergeCell ref="B17:G17"/>
    <mergeCell ref="B18:H18"/>
    <mergeCell ref="B22:G22"/>
    <mergeCell ref="B24:G24"/>
    <mergeCell ref="B26:G26"/>
    <mergeCell ref="E34:H34"/>
    <mergeCell ref="B16:G16"/>
    <mergeCell ref="B5:C5"/>
    <mergeCell ref="B6:H6"/>
    <mergeCell ref="B7:C7"/>
    <mergeCell ref="B8:C8"/>
    <mergeCell ref="B9:C9"/>
    <mergeCell ref="B10:C10"/>
    <mergeCell ref="B11:C11"/>
    <mergeCell ref="B12:C12"/>
    <mergeCell ref="B13:C13"/>
    <mergeCell ref="B14:C14"/>
    <mergeCell ref="B15:G15"/>
    <mergeCell ref="A1:B2"/>
    <mergeCell ref="C1:H1"/>
    <mergeCell ref="C2:G2"/>
    <mergeCell ref="A3:B3"/>
    <mergeCell ref="A4:H4"/>
  </mergeCells>
  <pageMargins left="0.51181102362204722" right="0.51181102362204722" top="0.74803149606299213" bottom="0.74803149606299213" header="0.31496062992125984" footer="0.31496062992125984"/>
  <pageSetup scale="80"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5245B-3358-4C6E-B22D-4C7A65B09918}">
  <dimension ref="A1:O41"/>
  <sheetViews>
    <sheetView view="pageBreakPreview" topLeftCell="A12" zoomScale="60" zoomScaleNormal="100" workbookViewId="0">
      <selection activeCell="C14" sqref="C14:J14"/>
    </sheetView>
  </sheetViews>
  <sheetFormatPr baseColWidth="10" defaultRowHeight="12.75" x14ac:dyDescent="0.2"/>
  <cols>
    <col min="13" max="13" width="17.28515625" bestFit="1" customWidth="1"/>
  </cols>
  <sheetData>
    <row r="1" spans="1:15" x14ac:dyDescent="0.2">
      <c r="A1" s="2200" t="str">
        <f>AIU!A1</f>
        <v>"CONSTRUCCION SISTEMA DE ACUEDUCTO FASE II DEL MUNICIPIO DE TESALIA DPTO DEL HUILA"</v>
      </c>
      <c r="B1" s="2200"/>
      <c r="C1" s="2200"/>
      <c r="D1" s="2200"/>
      <c r="E1" s="2200"/>
      <c r="F1" s="2200"/>
      <c r="G1" s="2200"/>
      <c r="H1" s="2200"/>
      <c r="I1" s="2200"/>
      <c r="J1" s="2200"/>
      <c r="K1" s="2201" t="s">
        <v>1181</v>
      </c>
      <c r="L1" s="2201"/>
      <c r="M1" s="2202">
        <f>+N36</f>
        <v>66065718.439999998</v>
      </c>
      <c r="N1" s="2202"/>
      <c r="O1" s="2202"/>
    </row>
    <row r="2" spans="1:15" x14ac:dyDescent="0.2">
      <c r="A2" s="2200"/>
      <c r="B2" s="2200"/>
      <c r="C2" s="2200"/>
      <c r="D2" s="2200"/>
      <c r="E2" s="2200"/>
      <c r="F2" s="2200"/>
      <c r="G2" s="2200"/>
      <c r="H2" s="2200"/>
      <c r="I2" s="2200"/>
      <c r="J2" s="2200"/>
      <c r="K2" s="2203">
        <f>[37]Indice!$P$2</f>
        <v>45972</v>
      </c>
      <c r="L2" s="2203"/>
      <c r="M2" s="2202"/>
      <c r="N2" s="2202"/>
      <c r="O2" s="2202"/>
    </row>
    <row r="3" spans="1:15" x14ac:dyDescent="0.2">
      <c r="A3" s="2200"/>
      <c r="B3" s="2200"/>
      <c r="C3" s="2200"/>
      <c r="D3" s="2200"/>
      <c r="E3" s="2200"/>
      <c r="F3" s="2200"/>
      <c r="G3" s="2200"/>
      <c r="H3" s="2200"/>
      <c r="I3" s="2200"/>
      <c r="J3" s="2200"/>
      <c r="K3" s="2203"/>
      <c r="L3" s="2203"/>
      <c r="M3" s="2202"/>
      <c r="N3" s="2202"/>
      <c r="O3" s="2202"/>
    </row>
    <row r="5" spans="1:15" x14ac:dyDescent="0.2">
      <c r="A5" s="1462" t="s">
        <v>2585</v>
      </c>
      <c r="B5" s="2204"/>
      <c r="C5" s="2204"/>
      <c r="D5" s="2204"/>
      <c r="E5" s="2204"/>
      <c r="F5" s="2204"/>
      <c r="G5" s="2204"/>
      <c r="H5" s="2204"/>
      <c r="I5" s="2204"/>
      <c r="J5" s="2204"/>
      <c r="K5" s="2204"/>
      <c r="L5" s="2204"/>
      <c r="M5" s="2204"/>
      <c r="N5" s="2204"/>
      <c r="O5" s="2205"/>
    </row>
    <row r="6" spans="1:15" x14ac:dyDescent="0.2">
      <c r="A6" s="2206"/>
      <c r="B6" s="2207"/>
      <c r="C6" s="2207"/>
      <c r="D6" s="2207"/>
      <c r="E6" s="2207"/>
      <c r="F6" s="2207"/>
      <c r="G6" s="2207"/>
      <c r="H6" s="2207"/>
      <c r="I6" s="2207"/>
      <c r="J6" s="2207"/>
      <c r="K6" s="2207"/>
      <c r="L6" s="2207"/>
      <c r="M6" s="2207"/>
      <c r="N6" s="2207"/>
      <c r="O6" s="2208"/>
    </row>
    <row r="8" spans="1:15" x14ac:dyDescent="0.2">
      <c r="A8" s="2209" t="s">
        <v>867</v>
      </c>
      <c r="B8" s="1412"/>
      <c r="C8" s="1969" t="s">
        <v>2586</v>
      </c>
      <c r="D8" s="1411"/>
      <c r="E8" s="1411"/>
      <c r="F8" s="1411"/>
      <c r="G8" s="1411"/>
      <c r="H8" s="1411"/>
      <c r="I8" s="1411"/>
      <c r="J8" s="1411"/>
      <c r="K8" s="1178"/>
      <c r="L8" s="1178"/>
      <c r="M8" s="1178"/>
      <c r="N8" s="1178"/>
      <c r="O8" s="1179"/>
    </row>
    <row r="9" spans="1:15" x14ac:dyDescent="0.2">
      <c r="A9" s="2210" t="s">
        <v>1063</v>
      </c>
      <c r="B9" s="1460"/>
      <c r="C9" s="1425" t="s">
        <v>2587</v>
      </c>
      <c r="D9" s="1427"/>
      <c r="E9" s="1427"/>
      <c r="F9" s="1427"/>
      <c r="G9" s="1427"/>
      <c r="H9" s="1427"/>
      <c r="I9" s="1427"/>
      <c r="J9" s="1428"/>
      <c r="K9" s="1431" t="s">
        <v>2</v>
      </c>
      <c r="L9" s="1464" t="s">
        <v>628</v>
      </c>
      <c r="M9" s="1431" t="s">
        <v>2588</v>
      </c>
      <c r="N9" s="1425" t="s">
        <v>2589</v>
      </c>
      <c r="O9" s="1428"/>
    </row>
    <row r="10" spans="1:15" x14ac:dyDescent="0.2">
      <c r="A10" s="1426"/>
      <c r="B10" s="1430"/>
      <c r="C10" s="1426"/>
      <c r="D10" s="1429"/>
      <c r="E10" s="1429"/>
      <c r="F10" s="1429"/>
      <c r="G10" s="1429"/>
      <c r="H10" s="1429"/>
      <c r="I10" s="1429"/>
      <c r="J10" s="1430"/>
      <c r="K10" s="1432"/>
      <c r="L10" s="1432"/>
      <c r="M10" s="1432"/>
      <c r="N10" s="1426"/>
      <c r="O10" s="1430"/>
    </row>
    <row r="11" spans="1:15" ht="13.5" x14ac:dyDescent="0.2">
      <c r="A11" s="2211" t="s">
        <v>1479</v>
      </c>
      <c r="B11" s="1412"/>
      <c r="C11" s="2212" t="s">
        <v>2590</v>
      </c>
      <c r="D11" s="1411"/>
      <c r="E11" s="1411"/>
      <c r="F11" s="1411"/>
      <c r="G11" s="1411"/>
      <c r="H11" s="1411"/>
      <c r="I11" s="1411"/>
      <c r="J11" s="1412"/>
      <c r="K11" s="1180" t="s">
        <v>2</v>
      </c>
      <c r="L11" s="1073">
        <v>18</v>
      </c>
      <c r="M11" s="1181">
        <v>87900</v>
      </c>
      <c r="N11" s="2213">
        <f t="shared" ref="N11:N19" si="0">M11*L11</f>
        <v>1582200</v>
      </c>
      <c r="O11" s="1412"/>
    </row>
    <row r="12" spans="1:15" ht="13.5" x14ac:dyDescent="0.2">
      <c r="A12" s="2211" t="s">
        <v>1481</v>
      </c>
      <c r="B12" s="1412"/>
      <c r="C12" s="2212" t="s">
        <v>2591</v>
      </c>
      <c r="D12" s="1411"/>
      <c r="E12" s="1411"/>
      <c r="F12" s="1411"/>
      <c r="G12" s="1411"/>
      <c r="H12" s="1411"/>
      <c r="I12" s="1411"/>
      <c r="J12" s="1412"/>
      <c r="K12" s="1180" t="s">
        <v>2</v>
      </c>
      <c r="L12" s="1073">
        <v>10</v>
      </c>
      <c r="M12" s="1181">
        <v>500000</v>
      </c>
      <c r="N12" s="2213">
        <f t="shared" si="0"/>
        <v>5000000</v>
      </c>
      <c r="O12" s="1412"/>
    </row>
    <row r="13" spans="1:15" ht="13.5" x14ac:dyDescent="0.2">
      <c r="A13" s="2211" t="s">
        <v>1483</v>
      </c>
      <c r="B13" s="1412"/>
      <c r="C13" s="2212" t="s">
        <v>2592</v>
      </c>
      <c r="D13" s="2214"/>
      <c r="E13" s="2214"/>
      <c r="F13" s="2214"/>
      <c r="G13" s="2214"/>
      <c r="H13" s="2214"/>
      <c r="I13" s="2214"/>
      <c r="J13" s="2215"/>
      <c r="K13" s="1180" t="s">
        <v>2</v>
      </c>
      <c r="L13" s="1073">
        <v>10</v>
      </c>
      <c r="M13" s="1181">
        <f>+(399900)+(24*1240)+(4*745)+(4*745)</f>
        <v>435620</v>
      </c>
      <c r="N13" s="2213">
        <f t="shared" si="0"/>
        <v>4356200</v>
      </c>
      <c r="O13" s="1412"/>
    </row>
    <row r="14" spans="1:15" ht="13.5" x14ac:dyDescent="0.2">
      <c r="A14" s="2211" t="s">
        <v>1485</v>
      </c>
      <c r="B14" s="1412"/>
      <c r="C14" s="2212" t="s">
        <v>2593</v>
      </c>
      <c r="D14" s="1411"/>
      <c r="E14" s="1411"/>
      <c r="F14" s="1411"/>
      <c r="G14" s="1411"/>
      <c r="H14" s="1411"/>
      <c r="I14" s="1411"/>
      <c r="J14" s="1412"/>
      <c r="K14" s="1180" t="s">
        <v>2</v>
      </c>
      <c r="L14" s="1073">
        <v>10</v>
      </c>
      <c r="M14" s="1181">
        <v>80000</v>
      </c>
      <c r="N14" s="2213">
        <f t="shared" si="0"/>
        <v>800000</v>
      </c>
      <c r="O14" s="1412"/>
    </row>
    <row r="15" spans="1:15" ht="13.5" x14ac:dyDescent="0.2">
      <c r="A15" s="2211" t="s">
        <v>1487</v>
      </c>
      <c r="B15" s="1412"/>
      <c r="C15" s="2212" t="s">
        <v>2594</v>
      </c>
      <c r="D15" s="1411"/>
      <c r="E15" s="1411"/>
      <c r="F15" s="1411"/>
      <c r="G15" s="1411"/>
      <c r="H15" s="1411"/>
      <c r="I15" s="1411"/>
      <c r="J15" s="1412"/>
      <c r="K15" s="1180" t="s">
        <v>2</v>
      </c>
      <c r="L15" s="1073">
        <v>20</v>
      </c>
      <c r="M15" s="1181">
        <v>300000</v>
      </c>
      <c r="N15" s="2213">
        <f t="shared" si="0"/>
        <v>6000000</v>
      </c>
      <c r="O15" s="1412"/>
    </row>
    <row r="16" spans="1:15" ht="13.5" x14ac:dyDescent="0.2">
      <c r="A16" s="2211" t="s">
        <v>1489</v>
      </c>
      <c r="B16" s="1412"/>
      <c r="C16" s="2212" t="s">
        <v>2595</v>
      </c>
      <c r="D16" s="1411"/>
      <c r="E16" s="1411"/>
      <c r="F16" s="1411"/>
      <c r="G16" s="1411"/>
      <c r="H16" s="1411"/>
      <c r="I16" s="1411"/>
      <c r="J16" s="1412"/>
      <c r="K16" s="1180" t="s">
        <v>2</v>
      </c>
      <c r="L16" s="1073">
        <v>10</v>
      </c>
      <c r="M16" s="1181">
        <v>200000</v>
      </c>
      <c r="N16" s="2213">
        <f t="shared" si="0"/>
        <v>2000000</v>
      </c>
      <c r="O16" s="1412"/>
    </row>
    <row r="17" spans="1:15" ht="13.5" x14ac:dyDescent="0.2">
      <c r="A17" s="2211" t="s">
        <v>1491</v>
      </c>
      <c r="B17" s="1412"/>
      <c r="C17" s="2212" t="s">
        <v>2596</v>
      </c>
      <c r="D17" s="1411"/>
      <c r="E17" s="1411"/>
      <c r="F17" s="1411"/>
      <c r="G17" s="1411"/>
      <c r="H17" s="1411"/>
      <c r="I17" s="1411"/>
      <c r="J17" s="1412"/>
      <c r="K17" s="1180" t="s">
        <v>2</v>
      </c>
      <c r="L17" s="1073">
        <v>10</v>
      </c>
      <c r="M17" s="1181">
        <v>50000</v>
      </c>
      <c r="N17" s="2213">
        <f t="shared" si="0"/>
        <v>500000</v>
      </c>
      <c r="O17" s="1412"/>
    </row>
    <row r="18" spans="1:15" ht="13.5" x14ac:dyDescent="0.2">
      <c r="A18" s="2211" t="s">
        <v>1493</v>
      </c>
      <c r="B18" s="1412"/>
      <c r="C18" s="2212" t="s">
        <v>2597</v>
      </c>
      <c r="D18" s="1411"/>
      <c r="E18" s="1411"/>
      <c r="F18" s="1411"/>
      <c r="G18" s="1411"/>
      <c r="H18" s="1411"/>
      <c r="I18" s="1411"/>
      <c r="J18" s="1412"/>
      <c r="K18" s="1180" t="s">
        <v>2</v>
      </c>
      <c r="L18" s="1073">
        <v>20</v>
      </c>
      <c r="M18" s="1181">
        <v>500000</v>
      </c>
      <c r="N18" s="2213">
        <f t="shared" si="0"/>
        <v>10000000</v>
      </c>
      <c r="O18" s="1412"/>
    </row>
    <row r="19" spans="1:15" ht="13.5" x14ac:dyDescent="0.2">
      <c r="A19" s="2211" t="s">
        <v>1497</v>
      </c>
      <c r="B19" s="1412"/>
      <c r="C19" s="2212" t="s">
        <v>2598</v>
      </c>
      <c r="D19" s="1411"/>
      <c r="E19" s="1411"/>
      <c r="F19" s="1411"/>
      <c r="G19" s="1411"/>
      <c r="H19" s="1411"/>
      <c r="I19" s="1411"/>
      <c r="J19" s="1412"/>
      <c r="K19" s="1180" t="s">
        <v>1064</v>
      </c>
      <c r="L19" s="1182">
        <v>10</v>
      </c>
      <c r="M19" s="1183">
        <v>503000</v>
      </c>
      <c r="N19" s="2213">
        <f t="shared" si="0"/>
        <v>5030000</v>
      </c>
      <c r="O19" s="1412"/>
    </row>
    <row r="20" spans="1:15" ht="13.5" x14ac:dyDescent="0.25">
      <c r="A20" s="1029"/>
      <c r="B20" s="1029"/>
      <c r="C20" s="1029"/>
      <c r="D20" s="1029"/>
      <c r="E20" s="1029"/>
      <c r="F20" s="1029"/>
      <c r="G20" s="1029"/>
      <c r="H20" s="1029"/>
      <c r="I20" s="1029"/>
      <c r="J20" s="1027"/>
      <c r="K20" s="2216" t="s">
        <v>2599</v>
      </c>
      <c r="L20" s="1429"/>
      <c r="M20" s="1430"/>
      <c r="N20" s="2216">
        <f>ROUND(SUM(N11:O19),2)</f>
        <v>35268400</v>
      </c>
      <c r="O20" s="1430"/>
    </row>
    <row r="21" spans="1:15" ht="13.5" x14ac:dyDescent="0.25">
      <c r="A21" s="1029"/>
      <c r="B21" s="1029"/>
      <c r="C21" s="1029"/>
      <c r="D21" s="1029"/>
      <c r="E21" s="1029"/>
      <c r="F21" s="1029"/>
      <c r="G21" s="1029"/>
      <c r="H21" s="1029"/>
      <c r="I21" s="1029"/>
      <c r="J21" s="1027"/>
      <c r="K21" s="1027"/>
      <c r="L21" s="1027"/>
      <c r="M21" s="1027"/>
      <c r="N21" s="1027"/>
      <c r="O21" s="1027"/>
    </row>
    <row r="22" spans="1:15" ht="13.5" x14ac:dyDescent="0.25">
      <c r="A22" s="1029"/>
      <c r="B22" s="1029"/>
      <c r="C22" s="1029"/>
      <c r="D22" s="1029"/>
      <c r="E22" s="1029"/>
      <c r="F22" s="1029"/>
      <c r="G22" s="1029"/>
      <c r="H22" s="1029"/>
      <c r="I22" s="1029"/>
      <c r="J22" s="1027"/>
      <c r="K22" s="1027"/>
      <c r="L22" s="1027"/>
      <c r="M22" s="1027"/>
      <c r="N22" s="1027"/>
      <c r="O22" s="1027"/>
    </row>
    <row r="23" spans="1:15" x14ac:dyDescent="0.2">
      <c r="A23" s="1070" t="s">
        <v>867</v>
      </c>
      <c r="B23" s="1969" t="s">
        <v>1746</v>
      </c>
      <c r="C23" s="1411"/>
      <c r="D23" s="1411"/>
      <c r="E23" s="1411"/>
      <c r="F23" s="1411"/>
      <c r="G23" s="1411"/>
      <c r="H23" s="1411"/>
      <c r="I23" s="1411"/>
      <c r="J23" s="1411"/>
      <c r="K23" s="1411"/>
      <c r="L23" s="1411"/>
      <c r="M23" s="1411"/>
      <c r="N23" s="1411"/>
      <c r="O23" s="1412"/>
    </row>
    <row r="24" spans="1:15" x14ac:dyDescent="0.2">
      <c r="A24" s="1431" t="s">
        <v>1063</v>
      </c>
      <c r="B24" s="1425" t="s">
        <v>1741</v>
      </c>
      <c r="C24" s="1427"/>
      <c r="D24" s="1427"/>
      <c r="E24" s="1427"/>
      <c r="F24" s="1428"/>
      <c r="G24" s="1431" t="s">
        <v>1872</v>
      </c>
      <c r="H24" s="1464" t="s">
        <v>628</v>
      </c>
      <c r="I24" s="1431" t="s">
        <v>1873</v>
      </c>
      <c r="J24" s="1425" t="s">
        <v>1742</v>
      </c>
      <c r="K24" s="1428"/>
      <c r="L24" s="1431" t="s">
        <v>1874</v>
      </c>
      <c r="M24" s="1431" t="s">
        <v>1875</v>
      </c>
      <c r="N24" s="1425" t="s">
        <v>1745</v>
      </c>
      <c r="O24" s="1428"/>
    </row>
    <row r="25" spans="1:15" x14ac:dyDescent="0.2">
      <c r="A25" s="1432"/>
      <c r="B25" s="1426"/>
      <c r="C25" s="1429"/>
      <c r="D25" s="1429"/>
      <c r="E25" s="1429"/>
      <c r="F25" s="1430"/>
      <c r="G25" s="1432"/>
      <c r="H25" s="1432"/>
      <c r="I25" s="1432"/>
      <c r="J25" s="1426"/>
      <c r="K25" s="1430"/>
      <c r="L25" s="1432"/>
      <c r="M25" s="1432"/>
      <c r="N25" s="1426"/>
      <c r="O25" s="1430"/>
    </row>
    <row r="26" spans="1:15" ht="13.5" x14ac:dyDescent="0.2">
      <c r="A26" s="1071" t="s">
        <v>2600</v>
      </c>
      <c r="B26" s="1413" t="s">
        <v>2601</v>
      </c>
      <c r="C26" s="1411"/>
      <c r="D26" s="1411"/>
      <c r="E26" s="1411"/>
      <c r="F26" s="1412"/>
      <c r="G26" s="1072">
        <v>3</v>
      </c>
      <c r="H26" s="1072">
        <v>1</v>
      </c>
      <c r="I26" s="1088">
        <v>0.6</v>
      </c>
      <c r="J26" s="1413">
        <f>'05'!J17</f>
        <v>5252715</v>
      </c>
      <c r="K26" s="1412"/>
      <c r="L26" s="1034">
        <v>4</v>
      </c>
      <c r="M26" s="1184">
        <f>N26/$N$36</f>
        <v>0.1908178144077714</v>
      </c>
      <c r="N26" s="1413">
        <f>H26*I26*J26*L26</f>
        <v>12606516</v>
      </c>
      <c r="O26" s="1412"/>
    </row>
    <row r="27" spans="1:15" ht="13.5" x14ac:dyDescent="0.2">
      <c r="A27" s="1029"/>
      <c r="B27" s="1029"/>
      <c r="C27" s="1029"/>
      <c r="D27" s="1029"/>
      <c r="E27" s="1029"/>
      <c r="F27" s="1029"/>
      <c r="G27" s="1081"/>
      <c r="H27" s="1081"/>
      <c r="I27" s="1081"/>
      <c r="J27" s="1081"/>
      <c r="K27" s="2216" t="s">
        <v>1763</v>
      </c>
      <c r="L27" s="1429"/>
      <c r="M27" s="1429"/>
      <c r="N27" s="2219">
        <f>N26</f>
        <v>12606516</v>
      </c>
      <c r="O27" s="1429"/>
    </row>
    <row r="28" spans="1:15" ht="13.5" x14ac:dyDescent="0.25">
      <c r="A28" s="1029"/>
      <c r="B28" s="1029"/>
      <c r="C28" s="1029"/>
      <c r="D28" s="1029"/>
      <c r="E28" s="1029"/>
      <c r="F28" s="1029"/>
      <c r="G28" s="1081"/>
      <c r="H28" s="1081"/>
      <c r="I28" s="1081"/>
      <c r="J28" s="1027"/>
      <c r="K28" s="1424" t="s">
        <v>1891</v>
      </c>
      <c r="L28" s="1411"/>
      <c r="M28" s="1412"/>
      <c r="N28" s="2220">
        <f>+'[37]4'!$I$2</f>
        <v>1.96655</v>
      </c>
      <c r="O28" s="1412"/>
    </row>
    <row r="29" spans="1:15" ht="13.5" x14ac:dyDescent="0.25">
      <c r="A29" s="1075"/>
      <c r="B29" s="1075"/>
      <c r="C29" s="1076"/>
      <c r="D29" s="1028"/>
      <c r="E29" s="1028"/>
      <c r="F29" s="1028"/>
      <c r="G29" s="1028"/>
      <c r="H29" s="1028"/>
      <c r="I29" s="1028"/>
      <c r="J29" s="1027"/>
      <c r="K29" s="1424" t="s">
        <v>1892</v>
      </c>
      <c r="L29" s="1411"/>
      <c r="M29" s="1412"/>
      <c r="N29" s="2220">
        <f>ROUND(N28*N27,2)</f>
        <v>24791344.039999999</v>
      </c>
      <c r="O29" s="1412"/>
    </row>
    <row r="30" spans="1:15" ht="13.5" x14ac:dyDescent="0.25">
      <c r="A30" s="1075"/>
      <c r="B30" s="1075"/>
      <c r="C30" s="1076"/>
      <c r="D30" s="1028"/>
      <c r="E30" s="1028"/>
      <c r="F30" s="1028"/>
      <c r="G30" s="1028"/>
      <c r="H30" s="1028"/>
      <c r="I30" s="1028"/>
      <c r="J30" s="1027"/>
      <c r="K30" s="1185"/>
      <c r="L30" s="1185"/>
      <c r="M30" s="1185"/>
      <c r="N30" s="1186"/>
      <c r="O30" s="1186"/>
    </row>
    <row r="31" spans="1:15" ht="13.5" x14ac:dyDescent="0.25">
      <c r="A31" s="1029"/>
      <c r="B31" s="1029"/>
      <c r="C31" s="1029"/>
      <c r="D31" s="1028"/>
      <c r="E31" s="1028"/>
      <c r="F31" s="1028"/>
      <c r="G31" s="1028"/>
      <c r="H31" s="1028"/>
      <c r="I31" s="1028"/>
      <c r="J31" s="1028"/>
      <c r="K31" s="2217" t="s">
        <v>2602</v>
      </c>
      <c r="L31" s="2217"/>
      <c r="M31" s="2217"/>
      <c r="N31" s="2218">
        <f>N20+N29</f>
        <v>60059744.039999999</v>
      </c>
      <c r="O31" s="1412"/>
    </row>
    <row r="32" spans="1:15" ht="13.5" x14ac:dyDescent="0.25">
      <c r="A32" s="1029"/>
      <c r="B32" s="1029"/>
      <c r="C32" s="1029"/>
      <c r="D32" s="1028"/>
      <c r="E32" s="1028"/>
      <c r="F32" s="1028"/>
      <c r="G32" s="1028"/>
      <c r="H32" s="1028"/>
      <c r="I32" s="1028"/>
      <c r="J32" s="1028"/>
      <c r="K32" s="2217" t="s">
        <v>523</v>
      </c>
      <c r="L32" s="2217"/>
      <c r="M32" s="2217"/>
      <c r="N32" s="2218">
        <f>N31</f>
        <v>60059744.039999999</v>
      </c>
      <c r="O32" s="1412"/>
    </row>
    <row r="33" spans="1:15" ht="13.5" x14ac:dyDescent="0.25">
      <c r="A33" s="1029"/>
      <c r="B33" s="1029"/>
      <c r="C33" s="1029"/>
      <c r="D33" s="1028"/>
      <c r="E33" s="1028"/>
      <c r="F33" s="1028"/>
      <c r="G33" s="1028"/>
      <c r="H33" s="1028"/>
      <c r="I33" s="1028"/>
      <c r="J33" s="1028"/>
      <c r="K33" s="2217" t="s">
        <v>1918</v>
      </c>
      <c r="L33" s="2217"/>
      <c r="M33" s="2217"/>
      <c r="N33" s="2221">
        <v>1</v>
      </c>
      <c r="O33" s="1412"/>
    </row>
    <row r="34" spans="1:15" ht="13.5" x14ac:dyDescent="0.25">
      <c r="A34" s="1029"/>
      <c r="B34" s="1029"/>
      <c r="C34" s="1029"/>
      <c r="D34" s="1028"/>
      <c r="E34" s="1028"/>
      <c r="F34" s="1028"/>
      <c r="G34" s="1028"/>
      <c r="H34" s="1028"/>
      <c r="I34" s="1028"/>
      <c r="J34" s="1028"/>
      <c r="K34" s="2217" t="s">
        <v>1172</v>
      </c>
      <c r="L34" s="2217"/>
      <c r="M34" s="2217"/>
      <c r="N34" s="2218">
        <f>N32*N33</f>
        <v>60059744.039999999</v>
      </c>
      <c r="O34" s="1412"/>
    </row>
    <row r="35" spans="1:15" ht="13.5" x14ac:dyDescent="0.25">
      <c r="A35" s="1027"/>
      <c r="B35" s="1027"/>
      <c r="C35" s="1027"/>
      <c r="D35" s="1027"/>
      <c r="E35" s="1027"/>
      <c r="F35" s="1027"/>
      <c r="G35" s="1027"/>
      <c r="H35" s="1027"/>
      <c r="I35" s="1027"/>
      <c r="J35" s="1027"/>
      <c r="K35" s="2222" t="s">
        <v>1827</v>
      </c>
      <c r="L35" s="2222"/>
      <c r="M35" s="1187">
        <v>0.1</v>
      </c>
      <c r="N35" s="2218">
        <f>+N34*M35</f>
        <v>6005974.4040000001</v>
      </c>
      <c r="O35" s="1412"/>
    </row>
    <row r="36" spans="1:15" ht="13.5" x14ac:dyDescent="0.25">
      <c r="A36" s="1027"/>
      <c r="B36" s="1027"/>
      <c r="C36" s="1027"/>
      <c r="D36" s="1027"/>
      <c r="E36" s="1027"/>
      <c r="F36" s="1027"/>
      <c r="G36" s="1027"/>
      <c r="H36" s="1027"/>
      <c r="I36" s="1027"/>
      <c r="J36" s="1027"/>
      <c r="K36" s="2217" t="s">
        <v>600</v>
      </c>
      <c r="L36" s="2217"/>
      <c r="M36" s="2217"/>
      <c r="N36" s="2223">
        <f>+ROUND(N34+N35,2)</f>
        <v>66065718.439999998</v>
      </c>
      <c r="O36" s="2224"/>
    </row>
    <row r="37" spans="1:15" ht="13.5" x14ac:dyDescent="0.25">
      <c r="A37" s="1027"/>
      <c r="B37" s="1027"/>
      <c r="C37" s="1027"/>
      <c r="D37" s="1027"/>
      <c r="E37" s="1027"/>
      <c r="F37" s="1027"/>
      <c r="G37" s="1027"/>
      <c r="H37" s="1027"/>
      <c r="I37" s="1027"/>
      <c r="J37" s="1027"/>
      <c r="K37" s="1027"/>
      <c r="L37" s="1027"/>
      <c r="M37" s="1027"/>
      <c r="N37" s="1027"/>
      <c r="O37" s="1027"/>
    </row>
    <row r="38" spans="1:15" ht="13.5" x14ac:dyDescent="0.25">
      <c r="A38" s="1027"/>
      <c r="K38" s="2225"/>
      <c r="L38" s="2225"/>
      <c r="M38" s="2225"/>
      <c r="N38" s="2225"/>
      <c r="O38" s="2225"/>
    </row>
    <row r="39" spans="1:15" ht="14.25" thickBot="1" x14ac:dyDescent="0.3">
      <c r="A39" s="1027"/>
      <c r="H39" s="1027"/>
      <c r="I39" s="1027"/>
      <c r="K39" s="2226"/>
      <c r="L39" s="2226"/>
      <c r="M39" s="2226"/>
      <c r="N39" s="2226"/>
      <c r="O39" s="2226"/>
    </row>
    <row r="40" spans="1:15" ht="14.25" thickTop="1" x14ac:dyDescent="0.25">
      <c r="A40" s="1027"/>
      <c r="H40" s="1027"/>
      <c r="I40" s="1027"/>
      <c r="K40" s="1417"/>
      <c r="L40" s="1418"/>
      <c r="M40" s="1417"/>
      <c r="N40" s="1417"/>
      <c r="O40" s="1417"/>
    </row>
    <row r="41" spans="1:15" ht="13.5" x14ac:dyDescent="0.25">
      <c r="A41" s="1027"/>
      <c r="H41" s="1027"/>
      <c r="I41" s="1027"/>
      <c r="K41" s="1419"/>
      <c r="L41" s="1420"/>
      <c r="M41" s="1419"/>
      <c r="N41" s="1419"/>
      <c r="O41" s="1419"/>
    </row>
  </sheetData>
  <mergeCells count="78">
    <mergeCell ref="K41:L41"/>
    <mergeCell ref="M41:O41"/>
    <mergeCell ref="K33:M33"/>
    <mergeCell ref="N33:O33"/>
    <mergeCell ref="K34:M34"/>
    <mergeCell ref="N34:O34"/>
    <mergeCell ref="K35:L35"/>
    <mergeCell ref="N35:O35"/>
    <mergeCell ref="K36:M36"/>
    <mergeCell ref="N36:O36"/>
    <mergeCell ref="K38:O39"/>
    <mergeCell ref="K40:L40"/>
    <mergeCell ref="M40:O40"/>
    <mergeCell ref="K31:M31"/>
    <mergeCell ref="N31:O31"/>
    <mergeCell ref="K32:M32"/>
    <mergeCell ref="N32:O32"/>
    <mergeCell ref="K27:M27"/>
    <mergeCell ref="N27:O27"/>
    <mergeCell ref="K28:M28"/>
    <mergeCell ref="N28:O28"/>
    <mergeCell ref="K29:M29"/>
    <mergeCell ref="N29:O29"/>
    <mergeCell ref="L24:L25"/>
    <mergeCell ref="M24:M25"/>
    <mergeCell ref="N24:O25"/>
    <mergeCell ref="B26:F26"/>
    <mergeCell ref="J26:K26"/>
    <mergeCell ref="N26:O26"/>
    <mergeCell ref="J24:K25"/>
    <mergeCell ref="A24:A25"/>
    <mergeCell ref="B24:F25"/>
    <mergeCell ref="G24:G25"/>
    <mergeCell ref="H24:H25"/>
    <mergeCell ref="I24:I25"/>
    <mergeCell ref="B23:O23"/>
    <mergeCell ref="A17:B17"/>
    <mergeCell ref="C17:J17"/>
    <mergeCell ref="N17:O17"/>
    <mergeCell ref="A18:B18"/>
    <mergeCell ref="C18:J18"/>
    <mergeCell ref="N18:O18"/>
    <mergeCell ref="A19:B19"/>
    <mergeCell ref="C19:J19"/>
    <mergeCell ref="N19:O19"/>
    <mergeCell ref="K20:M20"/>
    <mergeCell ref="N20:O20"/>
    <mergeCell ref="A15:B15"/>
    <mergeCell ref="C15:J15"/>
    <mergeCell ref="N15:O15"/>
    <mergeCell ref="A16:B16"/>
    <mergeCell ref="C16:J16"/>
    <mergeCell ref="N16:O16"/>
    <mergeCell ref="A13:B13"/>
    <mergeCell ref="C13:J13"/>
    <mergeCell ref="N13:O13"/>
    <mergeCell ref="A14:B14"/>
    <mergeCell ref="C14:J14"/>
    <mergeCell ref="N14:O14"/>
    <mergeCell ref="A11:B11"/>
    <mergeCell ref="C11:J11"/>
    <mergeCell ref="N11:O11"/>
    <mergeCell ref="A12:B12"/>
    <mergeCell ref="C12:J12"/>
    <mergeCell ref="N12:O12"/>
    <mergeCell ref="N9:O10"/>
    <mergeCell ref="A1:J3"/>
    <mergeCell ref="K1:L1"/>
    <mergeCell ref="M1:O3"/>
    <mergeCell ref="K2:L3"/>
    <mergeCell ref="A5:O6"/>
    <mergeCell ref="A8:B8"/>
    <mergeCell ref="C8:J8"/>
    <mergeCell ref="A9:B10"/>
    <mergeCell ref="C9:J10"/>
    <mergeCell ref="K9:K10"/>
    <mergeCell ref="L9:L10"/>
    <mergeCell ref="M9:M10"/>
  </mergeCells>
  <conditionalFormatting sqref="M26">
    <cfRule type="colorScale" priority="1">
      <colorScale>
        <cfvo type="min"/>
        <cfvo type="percentile" val="50"/>
        <cfvo type="max"/>
        <color rgb="FF63BE7B"/>
        <color rgb="FFFFEB84"/>
        <color rgb="FFF8696B"/>
      </colorScale>
    </cfRule>
  </conditionalFormatting>
  <pageMargins left="0.7" right="0.7" top="0.75" bottom="0.75" header="0.3" footer="0.3"/>
  <pageSetup scale="70"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EE3AE-130A-4A76-B55C-15C49DB6FA1E}">
  <sheetPr>
    <tabColor rgb="FF7030A0"/>
  </sheetPr>
  <dimension ref="A1:G20"/>
  <sheetViews>
    <sheetView view="pageBreakPreview" topLeftCell="A7" zoomScale="60" zoomScaleNormal="100" workbookViewId="0">
      <selection activeCell="F10" sqref="F10"/>
    </sheetView>
  </sheetViews>
  <sheetFormatPr baseColWidth="10" defaultRowHeight="12.75" x14ac:dyDescent="0.2"/>
  <cols>
    <col min="2" max="2" width="18.7109375" customWidth="1"/>
    <col min="3" max="3" width="9.85546875" bestFit="1" customWidth="1"/>
    <col min="4" max="4" width="18.5703125" customWidth="1"/>
    <col min="5" max="5" width="19.85546875" bestFit="1" customWidth="1"/>
    <col min="6" max="6" width="17.28515625" bestFit="1" customWidth="1"/>
    <col min="7" max="7" width="34" bestFit="1" customWidth="1"/>
  </cols>
  <sheetData>
    <row r="1" spans="1:7" x14ac:dyDescent="0.2">
      <c r="A1" s="2229" t="str">
        <f>AIU!A1</f>
        <v>"CONSTRUCCION SISTEMA DE ACUEDUCTO FASE II DEL MUNICIPIO DE TESALIA DPTO DEL HUILA"</v>
      </c>
      <c r="B1" s="2230"/>
      <c r="C1" s="2230"/>
      <c r="D1" s="2230"/>
      <c r="E1" s="2231"/>
      <c r="F1" s="1177" t="s">
        <v>1181</v>
      </c>
      <c r="G1" s="2202">
        <f>+F20</f>
        <v>10065000</v>
      </c>
    </row>
    <row r="2" spans="1:7" x14ac:dyDescent="0.2">
      <c r="A2" s="2229"/>
      <c r="B2" s="2230"/>
      <c r="C2" s="2230"/>
      <c r="D2" s="2230"/>
      <c r="E2" s="2231"/>
      <c r="F2" s="2203">
        <f>[37]Indice!$P$2</f>
        <v>45972</v>
      </c>
      <c r="G2" s="2202"/>
    </row>
    <row r="3" spans="1:7" x14ac:dyDescent="0.2">
      <c r="A3" s="2229"/>
      <c r="B3" s="2230"/>
      <c r="C3" s="2230"/>
      <c r="D3" s="2230"/>
      <c r="E3" s="2231"/>
      <c r="F3" s="2203"/>
      <c r="G3" s="2202"/>
    </row>
    <row r="5" spans="1:7" x14ac:dyDescent="0.2">
      <c r="A5" s="2232" t="s">
        <v>2603</v>
      </c>
      <c r="B5" s="2232"/>
      <c r="C5" s="2232"/>
      <c r="D5" s="2232"/>
      <c r="E5" s="2232"/>
      <c r="F5" s="2232"/>
      <c r="G5" s="2232"/>
    </row>
    <row r="6" spans="1:7" x14ac:dyDescent="0.2">
      <c r="A6" s="2232"/>
      <c r="B6" s="2232"/>
      <c r="C6" s="2232"/>
      <c r="D6" s="2232"/>
      <c r="E6" s="2232"/>
      <c r="F6" s="2232"/>
      <c r="G6" s="2232"/>
    </row>
    <row r="7" spans="1:7" ht="13.5" thickBot="1" x14ac:dyDescent="0.25"/>
    <row r="8" spans="1:7" ht="13.5" thickBot="1" x14ac:dyDescent="0.25">
      <c r="A8" s="2233" t="s">
        <v>2604</v>
      </c>
      <c r="B8" s="2234"/>
      <c r="C8" s="2234"/>
      <c r="D8" s="2234"/>
      <c r="E8" s="2234"/>
      <c r="F8" s="2234"/>
      <c r="G8" s="2235"/>
    </row>
    <row r="9" spans="1:7" ht="13.5" thickBot="1" x14ac:dyDescent="0.25">
      <c r="A9" s="1188" t="s">
        <v>2605</v>
      </c>
      <c r="B9" s="1189" t="s">
        <v>2606</v>
      </c>
      <c r="C9" s="1189" t="s">
        <v>116</v>
      </c>
      <c r="D9" s="1189" t="s">
        <v>114</v>
      </c>
      <c r="E9" s="1189" t="s">
        <v>2607</v>
      </c>
      <c r="F9" s="1189" t="s">
        <v>2608</v>
      </c>
      <c r="G9" s="1190" t="s">
        <v>2609</v>
      </c>
    </row>
    <row r="10" spans="1:7" ht="54" x14ac:dyDescent="0.2">
      <c r="A10" s="1191" t="s">
        <v>2610</v>
      </c>
      <c r="B10" s="1192" t="s">
        <v>2611</v>
      </c>
      <c r="C10" s="1193">
        <v>1</v>
      </c>
      <c r="D10" s="1193" t="s">
        <v>2612</v>
      </c>
      <c r="E10" s="1194">
        <v>2000000</v>
      </c>
      <c r="F10" s="1194">
        <f t="shared" ref="F10:F17" si="0">+C10*E10</f>
        <v>2000000</v>
      </c>
      <c r="G10" s="1195" t="s">
        <v>2613</v>
      </c>
    </row>
    <row r="11" spans="1:7" ht="67.5" x14ac:dyDescent="0.2">
      <c r="A11" s="1196" t="s">
        <v>2614</v>
      </c>
      <c r="B11" s="1197" t="s">
        <v>2615</v>
      </c>
      <c r="C11" s="1198">
        <v>5</v>
      </c>
      <c r="D11" s="1198" t="s">
        <v>15</v>
      </c>
      <c r="E11" s="1199">
        <v>200000</v>
      </c>
      <c r="F11" s="1199">
        <f t="shared" si="0"/>
        <v>1000000</v>
      </c>
      <c r="G11" s="1200"/>
    </row>
    <row r="12" spans="1:7" ht="40.5" x14ac:dyDescent="0.2">
      <c r="A12" s="1196" t="s">
        <v>2616</v>
      </c>
      <c r="B12" s="1197" t="s">
        <v>2617</v>
      </c>
      <c r="C12" s="1198">
        <v>6</v>
      </c>
      <c r="D12" s="1198" t="s">
        <v>15</v>
      </c>
      <c r="E12" s="1199">
        <f>100000*1.5</f>
        <v>150000</v>
      </c>
      <c r="F12" s="1199">
        <f t="shared" si="0"/>
        <v>900000</v>
      </c>
      <c r="G12" s="1200" t="s">
        <v>2613</v>
      </c>
    </row>
    <row r="13" spans="1:7" ht="40.5" x14ac:dyDescent="0.2">
      <c r="A13" s="1196" t="s">
        <v>2618</v>
      </c>
      <c r="B13" s="1197" t="s">
        <v>2619</v>
      </c>
      <c r="C13" s="1198">
        <v>5</v>
      </c>
      <c r="D13" s="1198" t="s">
        <v>15</v>
      </c>
      <c r="E13" s="1199">
        <v>200000</v>
      </c>
      <c r="F13" s="1199">
        <f t="shared" si="0"/>
        <v>1000000</v>
      </c>
      <c r="G13" s="1200" t="s">
        <v>2613</v>
      </c>
    </row>
    <row r="14" spans="1:7" ht="54" x14ac:dyDescent="0.2">
      <c r="A14" s="1196" t="s">
        <v>2620</v>
      </c>
      <c r="B14" s="1197" t="s">
        <v>2621</v>
      </c>
      <c r="C14" s="1198">
        <v>2</v>
      </c>
      <c r="D14" s="1198" t="s">
        <v>2622</v>
      </c>
      <c r="E14" s="1199">
        <f>AIU!J19</f>
        <v>0</v>
      </c>
      <c r="F14" s="1199">
        <f>E14*C14*4</f>
        <v>0</v>
      </c>
      <c r="G14" s="1200" t="s">
        <v>2613</v>
      </c>
    </row>
    <row r="15" spans="1:7" ht="54" x14ac:dyDescent="0.2">
      <c r="A15" s="1196" t="s">
        <v>2623</v>
      </c>
      <c r="B15" s="1197" t="s">
        <v>2624</v>
      </c>
      <c r="C15" s="1198">
        <v>5</v>
      </c>
      <c r="D15" s="1198" t="s">
        <v>15</v>
      </c>
      <c r="E15" s="1199">
        <v>550000</v>
      </c>
      <c r="F15" s="1199">
        <f t="shared" si="0"/>
        <v>2750000</v>
      </c>
      <c r="G15" s="1200" t="s">
        <v>2625</v>
      </c>
    </row>
    <row r="16" spans="1:7" ht="81" x14ac:dyDescent="0.2">
      <c r="A16" s="1196" t="s">
        <v>2626</v>
      </c>
      <c r="B16" s="1197" t="s">
        <v>2627</v>
      </c>
      <c r="C16" s="1198">
        <v>1</v>
      </c>
      <c r="D16" s="1198" t="s">
        <v>2612</v>
      </c>
      <c r="E16" s="1199">
        <v>700000</v>
      </c>
      <c r="F16" s="1199">
        <f t="shared" si="0"/>
        <v>700000</v>
      </c>
      <c r="G16" s="1200" t="s">
        <v>2613</v>
      </c>
    </row>
    <row r="17" spans="1:7" ht="41.25" thickBot="1" x14ac:dyDescent="0.25">
      <c r="A17" s="1201" t="s">
        <v>2628</v>
      </c>
      <c r="B17" s="1202" t="s">
        <v>2629</v>
      </c>
      <c r="C17" s="1203">
        <v>2</v>
      </c>
      <c r="D17" s="1203" t="s">
        <v>2612</v>
      </c>
      <c r="E17" s="1204">
        <v>400000</v>
      </c>
      <c r="F17" s="1204">
        <f t="shared" si="0"/>
        <v>800000</v>
      </c>
      <c r="G17" s="1205" t="s">
        <v>2613</v>
      </c>
    </row>
    <row r="18" spans="1:7" ht="14.25" thickBot="1" x14ac:dyDescent="0.3">
      <c r="A18" s="2236" t="s">
        <v>2630</v>
      </c>
      <c r="B18" s="2234"/>
      <c r="C18" s="2234"/>
      <c r="D18" s="2234"/>
      <c r="E18" s="2235"/>
      <c r="F18" s="1206">
        <f>+SUM(F10:F17)</f>
        <v>9150000</v>
      </c>
      <c r="G18" s="1027"/>
    </row>
    <row r="19" spans="1:7" ht="14.25" thickBot="1" x14ac:dyDescent="0.3">
      <c r="A19" s="1027"/>
      <c r="B19" s="1027"/>
      <c r="C19" s="1027"/>
      <c r="D19" s="1189" t="s">
        <v>1827</v>
      </c>
      <c r="E19" s="1207">
        <v>0.1</v>
      </c>
      <c r="F19" s="1206">
        <f>+F18*E19</f>
        <v>915000</v>
      </c>
      <c r="G19" s="1027"/>
    </row>
    <row r="20" spans="1:7" ht="14.25" thickBot="1" x14ac:dyDescent="0.3">
      <c r="A20" s="1027"/>
      <c r="B20" s="1027"/>
      <c r="C20" s="1027"/>
      <c r="D20" s="2227" t="s">
        <v>600</v>
      </c>
      <c r="E20" s="2228"/>
      <c r="F20" s="1208">
        <f>+ROUND(F18+F19,2)</f>
        <v>10065000</v>
      </c>
      <c r="G20" s="1027"/>
    </row>
  </sheetData>
  <mergeCells count="7">
    <mergeCell ref="D20:E20"/>
    <mergeCell ref="A1:E3"/>
    <mergeCell ref="G1:G3"/>
    <mergeCell ref="F2:F3"/>
    <mergeCell ref="A5:G6"/>
    <mergeCell ref="A8:G8"/>
    <mergeCell ref="A18:E18"/>
  </mergeCells>
  <pageMargins left="0.7" right="0.7" top="0.75" bottom="0.75" header="0.3" footer="0.3"/>
  <pageSetup scale="71"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8230C-19B9-4DAC-A432-1DDE3EFF958F}">
  <sheetPr>
    <tabColor rgb="FF7030A0"/>
  </sheetPr>
  <dimension ref="A1:F20"/>
  <sheetViews>
    <sheetView view="pageBreakPreview" topLeftCell="C11" zoomScaleNormal="100" zoomScaleSheetLayoutView="100" workbookViewId="0">
      <selection activeCell="F1" sqref="F1:F3"/>
    </sheetView>
  </sheetViews>
  <sheetFormatPr baseColWidth="10" defaultRowHeight="12.75" x14ac:dyDescent="0.2"/>
  <cols>
    <col min="2" max="2" width="22.5703125" customWidth="1"/>
    <col min="4" max="4" width="17.140625" customWidth="1"/>
    <col min="5" max="5" width="19.85546875" bestFit="1" customWidth="1"/>
    <col min="6" max="6" width="25.5703125" bestFit="1" customWidth="1"/>
  </cols>
  <sheetData>
    <row r="1" spans="1:6" x14ac:dyDescent="0.2">
      <c r="A1" s="2200" t="str">
        <f>AIU!A1</f>
        <v>"CONSTRUCCION SISTEMA DE ACUEDUCTO FASE II DEL MUNICIPIO DE TESALIA DPTO DEL HUILA"</v>
      </c>
      <c r="B1" s="2200"/>
      <c r="C1" s="2200"/>
      <c r="D1" s="2200"/>
      <c r="E1" s="1177" t="s">
        <v>1181</v>
      </c>
      <c r="F1" s="2202">
        <f>+F20</f>
        <v>19856451.059999999</v>
      </c>
    </row>
    <row r="2" spans="1:6" x14ac:dyDescent="0.2">
      <c r="A2" s="2200"/>
      <c r="B2" s="2200"/>
      <c r="C2" s="2200"/>
      <c r="D2" s="2200"/>
      <c r="E2" s="2203">
        <f>[37]Indice!$P$2</f>
        <v>45972</v>
      </c>
      <c r="F2" s="2202"/>
    </row>
    <row r="3" spans="1:6" x14ac:dyDescent="0.2">
      <c r="A3" s="2200"/>
      <c r="B3" s="2200"/>
      <c r="C3" s="2200"/>
      <c r="D3" s="2200"/>
      <c r="E3" s="2203"/>
      <c r="F3" s="2202"/>
    </row>
    <row r="5" spans="1:6" x14ac:dyDescent="0.2">
      <c r="A5" s="2239" t="s">
        <v>2631</v>
      </c>
      <c r="B5" s="2240"/>
      <c r="C5" s="2240"/>
      <c r="D5" s="2240"/>
      <c r="E5" s="2240"/>
      <c r="F5" s="2241"/>
    </row>
    <row r="6" spans="1:6" x14ac:dyDescent="0.2">
      <c r="A6" s="2242"/>
      <c r="B6" s="2243"/>
      <c r="C6" s="2243"/>
      <c r="D6" s="2243"/>
      <c r="E6" s="2243"/>
      <c r="F6" s="2244"/>
    </row>
    <row r="7" spans="1:6" ht="13.5" thickBot="1" x14ac:dyDescent="0.25"/>
    <row r="8" spans="1:6" ht="13.5" thickBot="1" x14ac:dyDescent="0.25">
      <c r="A8" s="2236" t="s">
        <v>2632</v>
      </c>
      <c r="B8" s="2234"/>
      <c r="C8" s="2234"/>
      <c r="D8" s="2234"/>
      <c r="E8" s="2234"/>
      <c r="F8" s="2235"/>
    </row>
    <row r="9" spans="1:6" ht="13.5" thickBot="1" x14ac:dyDescent="0.25">
      <c r="A9" s="1188" t="s">
        <v>2605</v>
      </c>
      <c r="B9" s="1188" t="s">
        <v>2633</v>
      </c>
      <c r="C9" s="1188" t="s">
        <v>2634</v>
      </c>
      <c r="D9" s="1188" t="s">
        <v>114</v>
      </c>
      <c r="E9" s="1188" t="s">
        <v>2607</v>
      </c>
      <c r="F9" s="1188" t="s">
        <v>2608</v>
      </c>
    </row>
    <row r="10" spans="1:6" ht="54" x14ac:dyDescent="0.2">
      <c r="A10" s="1209" t="s">
        <v>2635</v>
      </c>
      <c r="B10" s="1197" t="s">
        <v>2636</v>
      </c>
      <c r="C10" s="1210">
        <v>0.9</v>
      </c>
      <c r="D10" s="1211" t="s">
        <v>2637</v>
      </c>
      <c r="E10" s="1199">
        <f>'05'!J19</f>
        <v>3501810</v>
      </c>
      <c r="F10" s="1200">
        <f>+C10*E10*[37]Indice!$L$59</f>
        <v>12751319.146784039</v>
      </c>
    </row>
    <row r="11" spans="1:6" ht="40.5" x14ac:dyDescent="0.2">
      <c r="A11" s="1209" t="s">
        <v>2638</v>
      </c>
      <c r="B11" s="1197" t="s">
        <v>2639</v>
      </c>
      <c r="C11" s="1198">
        <v>2</v>
      </c>
      <c r="D11" s="1198" t="s">
        <v>2640</v>
      </c>
      <c r="E11" s="1199">
        <v>550000</v>
      </c>
      <c r="F11" s="1200">
        <f t="shared" ref="F11:F17" si="0">+E11*C11</f>
        <v>1100000</v>
      </c>
    </row>
    <row r="12" spans="1:6" ht="81" x14ac:dyDescent="0.2">
      <c r="A12" s="1209" t="s">
        <v>2641</v>
      </c>
      <c r="B12" s="1197" t="s">
        <v>2642</v>
      </c>
      <c r="C12" s="1198">
        <v>2</v>
      </c>
      <c r="D12" s="1198" t="s">
        <v>2612</v>
      </c>
      <c r="E12" s="1199">
        <v>250000</v>
      </c>
      <c r="F12" s="1200">
        <f t="shared" si="0"/>
        <v>500000</v>
      </c>
    </row>
    <row r="13" spans="1:6" ht="40.5" x14ac:dyDescent="0.2">
      <c r="A13" s="1209" t="s">
        <v>2643</v>
      </c>
      <c r="B13" s="1197" t="s">
        <v>2644</v>
      </c>
      <c r="C13" s="1198">
        <v>2</v>
      </c>
      <c r="D13" s="1198" t="s">
        <v>15</v>
      </c>
      <c r="E13" s="1199">
        <v>300000</v>
      </c>
      <c r="F13" s="1200">
        <f t="shared" si="0"/>
        <v>600000</v>
      </c>
    </row>
    <row r="14" spans="1:6" ht="27" x14ac:dyDescent="0.2">
      <c r="A14" s="1209" t="s">
        <v>2645</v>
      </c>
      <c r="B14" s="1197" t="s">
        <v>2646</v>
      </c>
      <c r="C14" s="1198">
        <v>3</v>
      </c>
      <c r="D14" s="1198" t="s">
        <v>15</v>
      </c>
      <c r="E14" s="1199">
        <v>500000</v>
      </c>
      <c r="F14" s="1200">
        <f t="shared" si="0"/>
        <v>1500000</v>
      </c>
    </row>
    <row r="15" spans="1:6" ht="40.5" x14ac:dyDescent="0.2">
      <c r="A15" s="1209" t="s">
        <v>2647</v>
      </c>
      <c r="B15" s="1197" t="s">
        <v>2648</v>
      </c>
      <c r="C15" s="1198">
        <v>3</v>
      </c>
      <c r="D15" s="1198" t="s">
        <v>15</v>
      </c>
      <c r="E15" s="1199">
        <v>200000</v>
      </c>
      <c r="F15" s="1200">
        <f t="shared" si="0"/>
        <v>600000</v>
      </c>
    </row>
    <row r="16" spans="1:6" ht="54" x14ac:dyDescent="0.2">
      <c r="A16" s="1209" t="s">
        <v>2649</v>
      </c>
      <c r="B16" s="1197" t="s">
        <v>2650</v>
      </c>
      <c r="C16" s="1198">
        <v>1</v>
      </c>
      <c r="D16" s="1198" t="s">
        <v>2612</v>
      </c>
      <c r="E16" s="1199">
        <v>500000</v>
      </c>
      <c r="F16" s="1200">
        <f t="shared" si="0"/>
        <v>500000</v>
      </c>
    </row>
    <row r="17" spans="1:6" ht="54.75" thickBot="1" x14ac:dyDescent="0.25">
      <c r="A17" s="1212" t="s">
        <v>2651</v>
      </c>
      <c r="B17" s="1213" t="s">
        <v>2652</v>
      </c>
      <c r="C17" s="1214">
        <v>1</v>
      </c>
      <c r="D17" s="1214" t="s">
        <v>2612</v>
      </c>
      <c r="E17" s="1215">
        <v>500000</v>
      </c>
      <c r="F17" s="1205">
        <f t="shared" si="0"/>
        <v>500000</v>
      </c>
    </row>
    <row r="18" spans="1:6" ht="14.25" thickBot="1" x14ac:dyDescent="0.25">
      <c r="A18" s="2245" t="s">
        <v>2630</v>
      </c>
      <c r="B18" s="2246"/>
      <c r="C18" s="2246"/>
      <c r="D18" s="2246"/>
      <c r="E18" s="2247"/>
      <c r="F18" s="1206">
        <f>+SUM(F10:F17)</f>
        <v>18051319.146784037</v>
      </c>
    </row>
    <row r="19" spans="1:6" ht="14.25" thickBot="1" x14ac:dyDescent="0.3">
      <c r="A19" s="1027"/>
      <c r="B19" s="1027"/>
      <c r="C19" s="1027"/>
      <c r="D19" s="1216" t="s">
        <v>1827</v>
      </c>
      <c r="E19" s="1217">
        <v>0.1</v>
      </c>
      <c r="F19" s="1206">
        <f>+F18*E19</f>
        <v>1805131.9146784039</v>
      </c>
    </row>
    <row r="20" spans="1:6" ht="15" thickBot="1" x14ac:dyDescent="0.3">
      <c r="A20" s="1027"/>
      <c r="B20" s="1027"/>
      <c r="C20" s="1027"/>
      <c r="D20" s="2237" t="s">
        <v>600</v>
      </c>
      <c r="E20" s="2238"/>
      <c r="F20" s="1218">
        <f>+ROUND(F18+F19,2)</f>
        <v>19856451.059999999</v>
      </c>
    </row>
  </sheetData>
  <mergeCells count="7">
    <mergeCell ref="D20:E20"/>
    <mergeCell ref="A1:D3"/>
    <mergeCell ref="F1:F3"/>
    <mergeCell ref="E2:E3"/>
    <mergeCell ref="A5:F6"/>
    <mergeCell ref="A8:F8"/>
    <mergeCell ref="A18:E18"/>
  </mergeCells>
  <pageMargins left="0.7" right="0.7" top="0.75" bottom="0.75" header="0.3" footer="0.3"/>
  <pageSetup scale="80"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J540"/>
  <sheetViews>
    <sheetView zoomScaleSheetLayoutView="40" workbookViewId="0">
      <pane ySplit="5" topLeftCell="A176" activePane="bottomLeft" state="frozen"/>
      <selection pane="bottomLeft" activeCell="I174" sqref="I174"/>
    </sheetView>
  </sheetViews>
  <sheetFormatPr baseColWidth="10" defaultColWidth="11.42578125" defaultRowHeight="12.75" x14ac:dyDescent="0.2"/>
  <cols>
    <col min="1" max="1" width="20.7109375" style="105" bestFit="1" customWidth="1"/>
    <col min="2" max="2" width="11.28515625" style="105" bestFit="1" customWidth="1"/>
    <col min="3" max="3" width="12" style="105" bestFit="1" customWidth="1"/>
    <col min="4" max="4" width="12.28515625" style="105" bestFit="1" customWidth="1"/>
    <col min="5" max="5" width="12.7109375" style="105" bestFit="1" customWidth="1"/>
    <col min="6" max="6" width="13.42578125" style="105" bestFit="1" customWidth="1"/>
    <col min="7" max="7" width="16.5703125" style="105" bestFit="1" customWidth="1"/>
    <col min="8" max="16384" width="11.42578125" style="105"/>
  </cols>
  <sheetData>
    <row r="1" spans="1:7" s="1" customFormat="1" x14ac:dyDescent="0.2"/>
    <row r="2" spans="1:7" s="1" customFormat="1" x14ac:dyDescent="0.2"/>
    <row r="3" spans="1:7" s="1" customFormat="1" x14ac:dyDescent="0.2"/>
    <row r="4" spans="1:7" s="1" customFormat="1" x14ac:dyDescent="0.2"/>
    <row r="5" spans="1:7" s="1" customFormat="1" x14ac:dyDescent="0.2"/>
    <row r="7" spans="1:7" ht="27" hidden="1" customHeight="1" x14ac:dyDescent="0.2">
      <c r="A7" s="1548" t="s">
        <v>122</v>
      </c>
      <c r="B7" s="1549"/>
      <c r="C7" s="1550"/>
      <c r="D7" s="50"/>
      <c r="E7" s="50"/>
      <c r="F7" s="50"/>
      <c r="G7" s="98"/>
    </row>
    <row r="8" spans="1:7" ht="24" hidden="1" customHeight="1" thickBot="1" x14ac:dyDescent="0.25">
      <c r="A8" s="1551" t="s">
        <v>276</v>
      </c>
      <c r="B8" s="1552"/>
      <c r="C8" s="1553"/>
      <c r="D8" s="99"/>
      <c r="E8" s="99"/>
      <c r="F8" s="99"/>
      <c r="G8" s="100"/>
    </row>
    <row r="9" spans="1:7" hidden="1" x14ac:dyDescent="0.2">
      <c r="A9" s="179"/>
      <c r="B9" s="179"/>
      <c r="C9" s="179"/>
      <c r="D9" s="179"/>
      <c r="E9" s="179"/>
      <c r="F9" s="179"/>
      <c r="G9" s="179"/>
    </row>
    <row r="10" spans="1:7" ht="30.75" hidden="1" customHeight="1" thickBot="1" x14ac:dyDescent="0.25">
      <c r="A10" s="1558" t="s">
        <v>957</v>
      </c>
      <c r="B10" s="1559"/>
      <c r="C10" s="1560"/>
      <c r="D10" s="1565" t="s">
        <v>191</v>
      </c>
      <c r="E10" s="1559"/>
      <c r="F10" s="1559"/>
      <c r="G10" s="1560"/>
    </row>
    <row r="11" spans="1:7" hidden="1" x14ac:dyDescent="0.2">
      <c r="A11" s="192"/>
      <c r="B11" s="192"/>
      <c r="C11" s="192"/>
      <c r="D11" s="192"/>
      <c r="E11" s="192"/>
      <c r="F11" s="192"/>
      <c r="G11" s="192"/>
    </row>
    <row r="12" spans="1:7" ht="12.75" hidden="1" customHeight="1" thickBot="1" x14ac:dyDescent="0.25">
      <c r="A12" s="191"/>
      <c r="B12" s="179"/>
      <c r="D12" s="60" t="s">
        <v>124</v>
      </c>
      <c r="E12" s="61" t="s">
        <v>4</v>
      </c>
      <c r="F12" s="191"/>
      <c r="G12" s="191"/>
    </row>
    <row r="13" spans="1:7" hidden="1" x14ac:dyDescent="0.2">
      <c r="A13" s="186" t="s">
        <v>108</v>
      </c>
      <c r="B13" s="179"/>
      <c r="C13" s="179"/>
      <c r="D13" s="179"/>
      <c r="E13" s="179"/>
      <c r="F13" s="179"/>
      <c r="G13" s="179"/>
    </row>
    <row r="14" spans="1:7" ht="13.5" hidden="1" customHeight="1" thickBot="1" x14ac:dyDescent="0.25">
      <c r="A14" s="1530" t="s">
        <v>109</v>
      </c>
      <c r="B14" s="1554"/>
      <c r="C14" s="1531"/>
      <c r="D14" s="63" t="s">
        <v>110</v>
      </c>
      <c r="E14" s="63" t="s">
        <v>111</v>
      </c>
      <c r="F14" s="63" t="s">
        <v>112</v>
      </c>
      <c r="G14" s="104"/>
    </row>
    <row r="15" spans="1:7" hidden="1" x14ac:dyDescent="0.2">
      <c r="A15" s="1540" t="s">
        <v>131</v>
      </c>
      <c r="B15" s="1555"/>
      <c r="C15" s="1541"/>
      <c r="D15" s="130">
        <v>2062.5</v>
      </c>
      <c r="E15" s="131">
        <f>+E32</f>
        <v>0.41</v>
      </c>
      <c r="F15" s="130">
        <f>+E15*D15</f>
        <v>845.625</v>
      </c>
      <c r="G15" s="132"/>
    </row>
    <row r="16" spans="1:7" ht="13.5" hidden="1" thickBot="1" x14ac:dyDescent="0.25">
      <c r="A16" s="1542" t="s">
        <v>147</v>
      </c>
      <c r="B16" s="1564"/>
      <c r="C16" s="1535"/>
      <c r="D16" s="139">
        <v>1500</v>
      </c>
      <c r="E16" s="141">
        <v>0.6</v>
      </c>
      <c r="F16" s="139">
        <f>+E16*D16</f>
        <v>900</v>
      </c>
      <c r="G16" s="140"/>
    </row>
    <row r="17" spans="1:7" ht="13.5" hidden="1" thickBot="1" x14ac:dyDescent="0.25">
      <c r="A17" s="1527" t="s">
        <v>125</v>
      </c>
      <c r="B17" s="1528"/>
      <c r="C17" s="1528"/>
      <c r="D17" s="1528"/>
      <c r="E17" s="1528"/>
      <c r="F17" s="1529"/>
      <c r="G17" s="181">
        <f>SUM(F15:F16)</f>
        <v>1745.625</v>
      </c>
    </row>
    <row r="18" spans="1:7" hidden="1" x14ac:dyDescent="0.2">
      <c r="A18" s="186" t="s">
        <v>123</v>
      </c>
      <c r="B18" s="179"/>
      <c r="C18" s="179"/>
      <c r="D18" s="179"/>
      <c r="E18" s="179"/>
      <c r="F18" s="179"/>
      <c r="G18" s="179"/>
    </row>
    <row r="19" spans="1:7" ht="13.5" hidden="1" thickBot="1" x14ac:dyDescent="0.25">
      <c r="A19" s="1530" t="s">
        <v>109</v>
      </c>
      <c r="B19" s="1531"/>
      <c r="C19" s="63" t="s">
        <v>114</v>
      </c>
      <c r="D19" s="63" t="s">
        <v>115</v>
      </c>
      <c r="E19" s="63" t="s">
        <v>116</v>
      </c>
      <c r="F19" s="63" t="s">
        <v>112</v>
      </c>
      <c r="G19" s="104"/>
    </row>
    <row r="20" spans="1:7" hidden="1" x14ac:dyDescent="0.2">
      <c r="A20" s="1546" t="s">
        <v>49</v>
      </c>
      <c r="B20" s="1547"/>
      <c r="C20" s="129" t="s">
        <v>2</v>
      </c>
      <c r="D20" s="130">
        <v>23000</v>
      </c>
      <c r="E20" s="131">
        <v>1.05</v>
      </c>
      <c r="F20" s="130">
        <f>+E20*D20</f>
        <v>24150</v>
      </c>
      <c r="G20" s="132"/>
    </row>
    <row r="21" spans="1:7" hidden="1" x14ac:dyDescent="0.2">
      <c r="A21" s="1536" t="s">
        <v>99</v>
      </c>
      <c r="B21" s="1537"/>
      <c r="C21" s="134" t="s">
        <v>7</v>
      </c>
      <c r="D21" s="135">
        <v>25000</v>
      </c>
      <c r="E21" s="136">
        <v>0.01</v>
      </c>
      <c r="F21" s="135">
        <f>+E21*D21</f>
        <v>250</v>
      </c>
      <c r="G21" s="137"/>
    </row>
    <row r="22" spans="1:7" hidden="1" x14ac:dyDescent="0.2">
      <c r="A22" s="1536" t="s">
        <v>53</v>
      </c>
      <c r="B22" s="1537"/>
      <c r="C22" s="134" t="s">
        <v>2</v>
      </c>
      <c r="D22" s="135">
        <v>100</v>
      </c>
      <c r="E22" s="136">
        <v>1</v>
      </c>
      <c r="F22" s="135">
        <f>+E22*D22</f>
        <v>100</v>
      </c>
      <c r="G22" s="137"/>
    </row>
    <row r="23" spans="1:7" ht="13.5" hidden="1" thickBot="1" x14ac:dyDescent="0.25">
      <c r="A23" s="2250" t="s">
        <v>52</v>
      </c>
      <c r="B23" s="2251"/>
      <c r="C23" s="138" t="s">
        <v>2</v>
      </c>
      <c r="D23" s="139">
        <v>350</v>
      </c>
      <c r="E23" s="141">
        <v>2</v>
      </c>
      <c r="F23" s="139">
        <f>+E23*D23</f>
        <v>700</v>
      </c>
      <c r="G23" s="140"/>
    </row>
    <row r="24" spans="1:7" ht="13.5" hidden="1" thickBot="1" x14ac:dyDescent="0.25">
      <c r="A24" s="1527" t="s">
        <v>125</v>
      </c>
      <c r="B24" s="1528"/>
      <c r="C24" s="1528"/>
      <c r="D24" s="1528"/>
      <c r="E24" s="1528"/>
      <c r="F24" s="1529" t="s">
        <v>113</v>
      </c>
      <c r="G24" s="181">
        <f>SUM(F20:F23)</f>
        <v>25200</v>
      </c>
    </row>
    <row r="25" spans="1:7" hidden="1" x14ac:dyDescent="0.2">
      <c r="A25" s="186" t="s">
        <v>117</v>
      </c>
      <c r="B25" s="179"/>
      <c r="C25" s="179"/>
      <c r="D25" s="179"/>
      <c r="E25" s="179"/>
      <c r="F25" s="179"/>
      <c r="G25" s="179"/>
    </row>
    <row r="26" spans="1:7" ht="13.5" hidden="1" thickBot="1" x14ac:dyDescent="0.25">
      <c r="A26" s="1530" t="s">
        <v>109</v>
      </c>
      <c r="B26" s="1531"/>
      <c r="C26" s="63" t="s">
        <v>114</v>
      </c>
      <c r="D26" s="63" t="s">
        <v>115</v>
      </c>
      <c r="E26" s="63" t="s">
        <v>116</v>
      </c>
      <c r="F26" s="63" t="s">
        <v>112</v>
      </c>
      <c r="G26" s="115"/>
    </row>
    <row r="27" spans="1:7" hidden="1" x14ac:dyDescent="0.2">
      <c r="A27" s="1540" t="s">
        <v>205</v>
      </c>
      <c r="B27" s="1541"/>
      <c r="C27" s="189" t="s">
        <v>159</v>
      </c>
      <c r="D27" s="130">
        <v>60714.285714285717</v>
      </c>
      <c r="E27" s="190">
        <v>0</v>
      </c>
      <c r="F27" s="135">
        <f>D27*E27</f>
        <v>0</v>
      </c>
      <c r="G27" s="132"/>
    </row>
    <row r="28" spans="1:7" ht="13.5" hidden="1" thickBot="1" x14ac:dyDescent="0.25">
      <c r="A28" s="1542"/>
      <c r="B28" s="1535"/>
      <c r="C28" s="189"/>
      <c r="D28" s="139"/>
      <c r="E28" s="188"/>
      <c r="F28" s="139">
        <f>D28*E28</f>
        <v>0</v>
      </c>
      <c r="G28" s="187"/>
    </row>
    <row r="29" spans="1:7" ht="13.5" hidden="1" thickBot="1" x14ac:dyDescent="0.25">
      <c r="A29" s="1527" t="s">
        <v>125</v>
      </c>
      <c r="B29" s="1528"/>
      <c r="C29" s="1528"/>
      <c r="D29" s="1528"/>
      <c r="E29" s="1528"/>
      <c r="F29" s="1529" t="s">
        <v>113</v>
      </c>
      <c r="G29" s="181">
        <f>SUM(F28:F28)</f>
        <v>0</v>
      </c>
    </row>
    <row r="30" spans="1:7" hidden="1" x14ac:dyDescent="0.2">
      <c r="A30" s="186" t="s">
        <v>119</v>
      </c>
      <c r="B30" s="179"/>
      <c r="C30" s="179"/>
      <c r="D30" s="179"/>
      <c r="E30" s="179"/>
      <c r="F30" s="179"/>
      <c r="G30" s="179"/>
    </row>
    <row r="31" spans="1:7" ht="13.5" hidden="1" thickBot="1" x14ac:dyDescent="0.25">
      <c r="A31" s="1530" t="s">
        <v>120</v>
      </c>
      <c r="B31" s="1531"/>
      <c r="C31" s="63" t="s">
        <v>121</v>
      </c>
      <c r="D31" s="63" t="s">
        <v>114</v>
      </c>
      <c r="E31" s="63" t="s">
        <v>116</v>
      </c>
      <c r="F31" s="63" t="s">
        <v>112</v>
      </c>
      <c r="G31" s="121"/>
    </row>
    <row r="32" spans="1:7" hidden="1" x14ac:dyDescent="0.2">
      <c r="A32" s="1532" t="s">
        <v>21</v>
      </c>
      <c r="B32" s="1533"/>
      <c r="C32" s="122">
        <v>7410.9600847008996</v>
      </c>
      <c r="D32" s="185">
        <v>1</v>
      </c>
      <c r="E32" s="185">
        <v>0.41</v>
      </c>
      <c r="F32" s="124">
        <f>+(C32*D32)*E32</f>
        <v>3038.4936347273688</v>
      </c>
      <c r="G32" s="132"/>
    </row>
    <row r="33" spans="1:7" ht="13.5" hidden="1" thickBot="1" x14ac:dyDescent="0.25">
      <c r="A33" s="1534" t="s">
        <v>22</v>
      </c>
      <c r="B33" s="1535"/>
      <c r="C33" s="184">
        <v>4374.7823749999998</v>
      </c>
      <c r="D33" s="183">
        <v>1</v>
      </c>
      <c r="E33" s="183">
        <f>+E32</f>
        <v>0.41</v>
      </c>
      <c r="F33" s="182">
        <f>+(C33*D33)*E33</f>
        <v>1793.6607737499999</v>
      </c>
      <c r="G33" s="140"/>
    </row>
    <row r="34" spans="1:7" ht="13.5" hidden="1" thickBot="1" x14ac:dyDescent="0.25">
      <c r="A34" s="1527" t="str">
        <f>+A29</f>
        <v>SUB-TOTAL</v>
      </c>
      <c r="B34" s="1528"/>
      <c r="C34" s="1528"/>
      <c r="D34" s="1528"/>
      <c r="E34" s="1528"/>
      <c r="F34" s="1529" t="s">
        <v>113</v>
      </c>
      <c r="G34" s="181">
        <f>SUM(F32:F33)</f>
        <v>4832.1544084773686</v>
      </c>
    </row>
    <row r="35" spans="1:7" ht="11.25" hidden="1" customHeight="1" thickBot="1" x14ac:dyDescent="0.25">
      <c r="A35" s="179"/>
      <c r="B35" s="179"/>
      <c r="C35" s="179"/>
      <c r="D35" s="179"/>
      <c r="E35" s="179"/>
      <c r="F35" s="180"/>
      <c r="G35" s="179"/>
    </row>
    <row r="36" spans="1:7" ht="13.5" hidden="1" thickBot="1" x14ac:dyDescent="0.25">
      <c r="A36" s="1527" t="s">
        <v>156</v>
      </c>
      <c r="B36" s="1528"/>
      <c r="C36" s="1528"/>
      <c r="D36" s="1528"/>
      <c r="E36" s="1528"/>
      <c r="F36" s="1529"/>
      <c r="G36" s="178">
        <f>ROUND(G17+G24+G29+G34,0)</f>
        <v>31778</v>
      </c>
    </row>
    <row r="37" spans="1:7" hidden="1" x14ac:dyDescent="0.2"/>
    <row r="38" spans="1:7" hidden="1" x14ac:dyDescent="0.2"/>
    <row r="39" spans="1:7" ht="27" hidden="1" customHeight="1" x14ac:dyDescent="0.2">
      <c r="A39" s="1548" t="s">
        <v>122</v>
      </c>
      <c r="B39" s="1549"/>
      <c r="C39" s="1550"/>
      <c r="D39" s="50"/>
      <c r="E39" s="50"/>
      <c r="F39" s="50"/>
      <c r="G39" s="98"/>
    </row>
    <row r="40" spans="1:7" ht="24" hidden="1" customHeight="1" thickBot="1" x14ac:dyDescent="0.25">
      <c r="A40" s="1551" t="s">
        <v>276</v>
      </c>
      <c r="B40" s="1552"/>
      <c r="C40" s="1553"/>
      <c r="D40" s="99"/>
      <c r="E40" s="99"/>
      <c r="F40" s="99"/>
      <c r="G40" s="100"/>
    </row>
    <row r="41" spans="1:7" hidden="1" x14ac:dyDescent="0.2">
      <c r="A41" s="179"/>
      <c r="B41" s="179"/>
      <c r="C41" s="179"/>
      <c r="D41" s="179"/>
      <c r="E41" s="179"/>
      <c r="F41" s="179"/>
      <c r="G41" s="179"/>
    </row>
    <row r="42" spans="1:7" ht="30.75" hidden="1" customHeight="1" thickBot="1" x14ac:dyDescent="0.25">
      <c r="A42" s="1558" t="s">
        <v>957</v>
      </c>
      <c r="B42" s="1559"/>
      <c r="C42" s="1560"/>
      <c r="D42" s="1565" t="s">
        <v>192</v>
      </c>
      <c r="E42" s="1559"/>
      <c r="F42" s="1559"/>
      <c r="G42" s="1560"/>
    </row>
    <row r="43" spans="1:7" hidden="1" x14ac:dyDescent="0.2">
      <c r="A43" s="192"/>
      <c r="B43" s="192"/>
      <c r="C43" s="192"/>
      <c r="D43" s="192"/>
      <c r="E43" s="192"/>
      <c r="F43" s="192"/>
      <c r="G43" s="192"/>
    </row>
    <row r="44" spans="1:7" ht="12.75" hidden="1" customHeight="1" thickBot="1" x14ac:dyDescent="0.25">
      <c r="A44" s="191"/>
      <c r="B44" s="179"/>
      <c r="D44" s="60" t="s">
        <v>124</v>
      </c>
      <c r="E44" s="61" t="s">
        <v>4</v>
      </c>
      <c r="F44" s="191"/>
      <c r="G44" s="191"/>
    </row>
    <row r="45" spans="1:7" hidden="1" x14ac:dyDescent="0.2">
      <c r="A45" s="186" t="s">
        <v>108</v>
      </c>
      <c r="B45" s="179"/>
      <c r="C45" s="179"/>
      <c r="D45" s="179"/>
      <c r="E45" s="179"/>
      <c r="F45" s="179"/>
      <c r="G45" s="179"/>
    </row>
    <row r="46" spans="1:7" ht="13.5" hidden="1" customHeight="1" thickBot="1" x14ac:dyDescent="0.25">
      <c r="A46" s="1530" t="s">
        <v>109</v>
      </c>
      <c r="B46" s="1554"/>
      <c r="C46" s="1531"/>
      <c r="D46" s="63" t="s">
        <v>110</v>
      </c>
      <c r="E46" s="63" t="s">
        <v>111</v>
      </c>
      <c r="F46" s="63" t="s">
        <v>112</v>
      </c>
      <c r="G46" s="104"/>
    </row>
    <row r="47" spans="1:7" hidden="1" x14ac:dyDescent="0.2">
      <c r="A47" s="1540" t="s">
        <v>131</v>
      </c>
      <c r="B47" s="1555"/>
      <c r="C47" s="1541"/>
      <c r="D47" s="130">
        <v>2062.5</v>
      </c>
      <c r="E47" s="131">
        <f>+E64</f>
        <v>0.7</v>
      </c>
      <c r="F47" s="130">
        <f>+E47*D47</f>
        <v>1443.75</v>
      </c>
      <c r="G47" s="132"/>
    </row>
    <row r="48" spans="1:7" ht="13.5" hidden="1" customHeight="1" thickBot="1" x14ac:dyDescent="0.25">
      <c r="A48" s="1542" t="s">
        <v>147</v>
      </c>
      <c r="B48" s="1564"/>
      <c r="C48" s="1535"/>
      <c r="D48" s="139">
        <v>1500</v>
      </c>
      <c r="E48" s="141">
        <v>0.6</v>
      </c>
      <c r="F48" s="139">
        <f>+E48*D48</f>
        <v>900</v>
      </c>
      <c r="G48" s="140"/>
    </row>
    <row r="49" spans="1:7" ht="13.5" hidden="1" thickBot="1" x14ac:dyDescent="0.25">
      <c r="A49" s="1527" t="s">
        <v>125</v>
      </c>
      <c r="B49" s="1528"/>
      <c r="C49" s="1528"/>
      <c r="D49" s="1528"/>
      <c r="E49" s="1528"/>
      <c r="F49" s="1529"/>
      <c r="G49" s="181">
        <f>SUM(F47:F48)</f>
        <v>2343.75</v>
      </c>
    </row>
    <row r="50" spans="1:7" hidden="1" x14ac:dyDescent="0.2">
      <c r="A50" s="186" t="s">
        <v>123</v>
      </c>
      <c r="B50" s="179"/>
      <c r="C50" s="179"/>
      <c r="D50" s="179"/>
      <c r="E50" s="179"/>
      <c r="F50" s="179"/>
      <c r="G50" s="179"/>
    </row>
    <row r="51" spans="1:7" ht="13.5" hidden="1" thickBot="1" x14ac:dyDescent="0.25">
      <c r="A51" s="1530" t="s">
        <v>109</v>
      </c>
      <c r="B51" s="1531"/>
      <c r="C51" s="63" t="s">
        <v>114</v>
      </c>
      <c r="D51" s="63" t="s">
        <v>115</v>
      </c>
      <c r="E51" s="63" t="s">
        <v>116</v>
      </c>
      <c r="F51" s="63" t="s">
        <v>112</v>
      </c>
      <c r="G51" s="104"/>
    </row>
    <row r="52" spans="1:7" ht="12.75" hidden="1" customHeight="1" x14ac:dyDescent="0.2">
      <c r="A52" s="1546" t="s">
        <v>49</v>
      </c>
      <c r="B52" s="1547"/>
      <c r="C52" s="129" t="s">
        <v>2</v>
      </c>
      <c r="D52" s="130">
        <v>23000</v>
      </c>
      <c r="E52" s="131">
        <v>1.05</v>
      </c>
      <c r="F52" s="130">
        <f>+E52*D52</f>
        <v>24150</v>
      </c>
      <c r="G52" s="132"/>
    </row>
    <row r="53" spans="1:7" hidden="1" x14ac:dyDescent="0.2">
      <c r="A53" s="1536" t="s">
        <v>54</v>
      </c>
      <c r="B53" s="1537"/>
      <c r="C53" s="134" t="s">
        <v>6</v>
      </c>
      <c r="D53" s="135">
        <v>11150</v>
      </c>
      <c r="E53" s="195">
        <v>1.28</v>
      </c>
      <c r="F53" s="135">
        <f>+E53*D53</f>
        <v>14272</v>
      </c>
      <c r="G53" s="137"/>
    </row>
    <row r="54" spans="1:7" hidden="1" x14ac:dyDescent="0.2">
      <c r="A54" s="1536" t="s">
        <v>53</v>
      </c>
      <c r="B54" s="1537"/>
      <c r="C54" s="134" t="s">
        <v>2</v>
      </c>
      <c r="D54" s="135">
        <v>100</v>
      </c>
      <c r="E54" s="136">
        <v>1</v>
      </c>
      <c r="F54" s="135">
        <f>+E54*D54</f>
        <v>100</v>
      </c>
      <c r="G54" s="137"/>
    </row>
    <row r="55" spans="1:7" ht="13.5" hidden="1" thickBot="1" x14ac:dyDescent="0.25">
      <c r="A55" s="1538" t="s">
        <v>52</v>
      </c>
      <c r="B55" s="1539"/>
      <c r="C55" s="138" t="s">
        <v>2</v>
      </c>
      <c r="D55" s="139">
        <v>350</v>
      </c>
      <c r="E55" s="138">
        <v>2</v>
      </c>
      <c r="F55" s="139">
        <f>+E55*D55</f>
        <v>700</v>
      </c>
      <c r="G55" s="140"/>
    </row>
    <row r="56" spans="1:7" ht="13.5" hidden="1" thickBot="1" x14ac:dyDescent="0.25">
      <c r="A56" s="1527" t="s">
        <v>125</v>
      </c>
      <c r="B56" s="1528"/>
      <c r="C56" s="1528"/>
      <c r="D56" s="1528"/>
      <c r="E56" s="1528"/>
      <c r="F56" s="1529" t="s">
        <v>113</v>
      </c>
      <c r="G56" s="181">
        <f>SUM(F52:F55)</f>
        <v>39222</v>
      </c>
    </row>
    <row r="57" spans="1:7" hidden="1" x14ac:dyDescent="0.2">
      <c r="A57" s="186" t="s">
        <v>117</v>
      </c>
      <c r="B57" s="179"/>
      <c r="C57" s="179"/>
      <c r="D57" s="179"/>
      <c r="E57" s="179"/>
      <c r="F57" s="179"/>
      <c r="G57" s="179"/>
    </row>
    <row r="58" spans="1:7" ht="13.5" hidden="1" thickBot="1" x14ac:dyDescent="0.25">
      <c r="A58" s="1530" t="s">
        <v>109</v>
      </c>
      <c r="B58" s="1531"/>
      <c r="C58" s="63" t="s">
        <v>114</v>
      </c>
      <c r="D58" s="63" t="s">
        <v>115</v>
      </c>
      <c r="E58" s="63" t="s">
        <v>116</v>
      </c>
      <c r="F58" s="63" t="s">
        <v>112</v>
      </c>
      <c r="G58" s="115"/>
    </row>
    <row r="59" spans="1:7" ht="12.75" hidden="1" customHeight="1" x14ac:dyDescent="0.2">
      <c r="A59" s="1540" t="s">
        <v>205</v>
      </c>
      <c r="B59" s="1541"/>
      <c r="C59" s="189" t="s">
        <v>159</v>
      </c>
      <c r="D59" s="130">
        <v>60714.285714285717</v>
      </c>
      <c r="E59" s="190">
        <v>0</v>
      </c>
      <c r="F59" s="135">
        <f>D59*E59</f>
        <v>0</v>
      </c>
      <c r="G59" s="132"/>
    </row>
    <row r="60" spans="1:7" ht="13.5" hidden="1" thickBot="1" x14ac:dyDescent="0.25">
      <c r="A60" s="1542"/>
      <c r="B60" s="1535"/>
      <c r="C60" s="189"/>
      <c r="D60" s="139"/>
      <c r="E60" s="188"/>
      <c r="F60" s="139">
        <f>D60*E60</f>
        <v>0</v>
      </c>
      <c r="G60" s="187"/>
    </row>
    <row r="61" spans="1:7" ht="13.5" hidden="1" thickBot="1" x14ac:dyDescent="0.25">
      <c r="A61" s="1527" t="s">
        <v>125</v>
      </c>
      <c r="B61" s="1528"/>
      <c r="C61" s="1528"/>
      <c r="D61" s="1528"/>
      <c r="E61" s="1528"/>
      <c r="F61" s="1529" t="s">
        <v>113</v>
      </c>
      <c r="G61" s="181">
        <f>SUM(F60:F60)</f>
        <v>0</v>
      </c>
    </row>
    <row r="62" spans="1:7" ht="26.25" hidden="1" customHeight="1" thickBot="1" x14ac:dyDescent="0.25">
      <c r="A62" s="186" t="s">
        <v>119</v>
      </c>
      <c r="B62" s="179"/>
      <c r="C62" s="179"/>
      <c r="D62" s="179"/>
      <c r="E62" s="179"/>
      <c r="F62" s="179"/>
      <c r="G62" s="179"/>
    </row>
    <row r="63" spans="1:7" ht="13.5" hidden="1" thickBot="1" x14ac:dyDescent="0.25">
      <c r="A63" s="1530" t="s">
        <v>120</v>
      </c>
      <c r="B63" s="1531"/>
      <c r="C63" s="63" t="s">
        <v>121</v>
      </c>
      <c r="D63" s="63" t="s">
        <v>114</v>
      </c>
      <c r="E63" s="63" t="s">
        <v>116</v>
      </c>
      <c r="F63" s="63" t="s">
        <v>112</v>
      </c>
      <c r="G63" s="121"/>
    </row>
    <row r="64" spans="1:7" ht="12.75" hidden="1" customHeight="1" x14ac:dyDescent="0.2">
      <c r="A64" s="1532" t="s">
        <v>21</v>
      </c>
      <c r="B64" s="1533"/>
      <c r="C64" s="122">
        <v>7410.9600847008996</v>
      </c>
      <c r="D64" s="185">
        <v>1</v>
      </c>
      <c r="E64" s="185">
        <v>0.7</v>
      </c>
      <c r="F64" s="124">
        <f>+(C64*D64)*E64</f>
        <v>5187.6720592906295</v>
      </c>
      <c r="G64" s="132"/>
    </row>
    <row r="65" spans="1:7" ht="13.5" hidden="1" customHeight="1" thickBot="1" x14ac:dyDescent="0.25">
      <c r="A65" s="1534" t="s">
        <v>22</v>
      </c>
      <c r="B65" s="1535"/>
      <c r="C65" s="184">
        <v>4374.7823749999998</v>
      </c>
      <c r="D65" s="183">
        <v>2</v>
      </c>
      <c r="E65" s="183">
        <f>+E64</f>
        <v>0.7</v>
      </c>
      <c r="F65" s="182">
        <f>+(C65*D65)*E65</f>
        <v>6124.6953249999997</v>
      </c>
      <c r="G65" s="140"/>
    </row>
    <row r="66" spans="1:7" ht="13.5" hidden="1" thickBot="1" x14ac:dyDescent="0.25">
      <c r="A66" s="1527" t="str">
        <f>+A61</f>
        <v>SUB-TOTAL</v>
      </c>
      <c r="B66" s="1528"/>
      <c r="C66" s="1528"/>
      <c r="D66" s="1528"/>
      <c r="E66" s="1528"/>
      <c r="F66" s="1529" t="s">
        <v>113</v>
      </c>
      <c r="G66" s="181">
        <f>SUM(F64:F65)</f>
        <v>11312.367384290628</v>
      </c>
    </row>
    <row r="67" spans="1:7" ht="11.25" hidden="1" customHeight="1" thickBot="1" x14ac:dyDescent="0.25">
      <c r="A67" s="179"/>
      <c r="B67" s="179"/>
      <c r="C67" s="179"/>
      <c r="D67" s="179"/>
      <c r="E67" s="179"/>
      <c r="F67" s="180"/>
      <c r="G67" s="179"/>
    </row>
    <row r="68" spans="1:7" ht="13.5" hidden="1" thickBot="1" x14ac:dyDescent="0.25">
      <c r="A68" s="1527" t="s">
        <v>156</v>
      </c>
      <c r="B68" s="1528"/>
      <c r="C68" s="1528"/>
      <c r="D68" s="1528"/>
      <c r="E68" s="1528"/>
      <c r="F68" s="1529"/>
      <c r="G68" s="178">
        <f>ROUND(G49+G56+G61+G66,0)</f>
        <v>52878</v>
      </c>
    </row>
    <row r="69" spans="1:7" hidden="1" x14ac:dyDescent="0.2"/>
    <row r="70" spans="1:7" hidden="1" x14ac:dyDescent="0.2"/>
    <row r="71" spans="1:7" ht="27" hidden="1" customHeight="1" x14ac:dyDescent="0.2">
      <c r="A71" s="1548" t="s">
        <v>122</v>
      </c>
      <c r="B71" s="1549"/>
      <c r="C71" s="1550"/>
      <c r="D71" s="50"/>
      <c r="E71" s="50"/>
      <c r="F71" s="50"/>
      <c r="G71" s="98"/>
    </row>
    <row r="72" spans="1:7" ht="24" hidden="1" customHeight="1" thickBot="1" x14ac:dyDescent="0.25">
      <c r="A72" s="1551" t="s">
        <v>276</v>
      </c>
      <c r="B72" s="1552"/>
      <c r="C72" s="1553"/>
      <c r="D72" s="99"/>
      <c r="E72" s="99"/>
      <c r="F72" s="99"/>
      <c r="G72" s="100"/>
    </row>
    <row r="73" spans="1:7" hidden="1" x14ac:dyDescent="0.2">
      <c r="A73" s="179"/>
      <c r="B73" s="179"/>
      <c r="C73" s="179"/>
      <c r="D73" s="179"/>
      <c r="E73" s="179"/>
      <c r="F73" s="179"/>
      <c r="G73" s="179"/>
    </row>
    <row r="74" spans="1:7" ht="30.75" hidden="1" customHeight="1" thickBot="1" x14ac:dyDescent="0.25">
      <c r="A74" s="1558" t="s">
        <v>957</v>
      </c>
      <c r="B74" s="1559"/>
      <c r="C74" s="1560"/>
      <c r="D74" s="1565" t="s">
        <v>193</v>
      </c>
      <c r="E74" s="1559"/>
      <c r="F74" s="1559"/>
      <c r="G74" s="1560"/>
    </row>
    <row r="75" spans="1:7" hidden="1" x14ac:dyDescent="0.2">
      <c r="A75" s="192"/>
      <c r="B75" s="192"/>
      <c r="C75" s="192"/>
      <c r="D75" s="192"/>
      <c r="E75" s="192"/>
      <c r="F75" s="192"/>
      <c r="G75" s="192"/>
    </row>
    <row r="76" spans="1:7" ht="12.75" hidden="1" customHeight="1" thickBot="1" x14ac:dyDescent="0.25">
      <c r="A76" s="191"/>
      <c r="B76" s="179"/>
      <c r="D76" s="60" t="s">
        <v>124</v>
      </c>
      <c r="E76" s="61" t="s">
        <v>4</v>
      </c>
      <c r="F76" s="191"/>
      <c r="G76" s="191"/>
    </row>
    <row r="77" spans="1:7" hidden="1" x14ac:dyDescent="0.2">
      <c r="A77" s="186" t="s">
        <v>108</v>
      </c>
      <c r="B77" s="179"/>
      <c r="C77" s="179"/>
      <c r="D77" s="179"/>
      <c r="E77" s="179"/>
      <c r="F77" s="179"/>
      <c r="G77" s="179"/>
    </row>
    <row r="78" spans="1:7" ht="13.5" hidden="1" customHeight="1" thickBot="1" x14ac:dyDescent="0.25">
      <c r="A78" s="1530" t="s">
        <v>109</v>
      </c>
      <c r="B78" s="1554"/>
      <c r="C78" s="1531"/>
      <c r="D78" s="63" t="s">
        <v>110</v>
      </c>
      <c r="E78" s="63" t="s">
        <v>111</v>
      </c>
      <c r="F78" s="63" t="s">
        <v>112</v>
      </c>
      <c r="G78" s="104"/>
    </row>
    <row r="79" spans="1:7" hidden="1" x14ac:dyDescent="0.2">
      <c r="A79" s="1540" t="s">
        <v>131</v>
      </c>
      <c r="B79" s="1555"/>
      <c r="C79" s="1541"/>
      <c r="D79" s="130">
        <v>2062.5</v>
      </c>
      <c r="E79" s="131">
        <f>+E96</f>
        <v>0.18</v>
      </c>
      <c r="F79" s="130">
        <f>+E79*D79</f>
        <v>371.25</v>
      </c>
      <c r="G79" s="132"/>
    </row>
    <row r="80" spans="1:7" hidden="1" x14ac:dyDescent="0.2">
      <c r="A80" s="1543" t="s">
        <v>147</v>
      </c>
      <c r="B80" s="1544"/>
      <c r="C80" s="1545"/>
      <c r="D80" s="135">
        <v>1500</v>
      </c>
      <c r="E80" s="136">
        <v>1</v>
      </c>
      <c r="F80" s="135">
        <f>+E80*D80</f>
        <v>1500</v>
      </c>
      <c r="G80" s="137"/>
    </row>
    <row r="81" spans="1:7" ht="13.5" hidden="1" thickBot="1" x14ac:dyDescent="0.25">
      <c r="A81" s="1527" t="s">
        <v>125</v>
      </c>
      <c r="B81" s="1528"/>
      <c r="C81" s="1528"/>
      <c r="D81" s="1528"/>
      <c r="E81" s="1528"/>
      <c r="F81" s="1529"/>
      <c r="G81" s="181">
        <f>SUM(F79:F80)</f>
        <v>1871.25</v>
      </c>
    </row>
    <row r="82" spans="1:7" hidden="1" x14ac:dyDescent="0.2">
      <c r="A82" s="186" t="s">
        <v>123</v>
      </c>
      <c r="B82" s="179"/>
      <c r="C82" s="179"/>
      <c r="D82" s="179"/>
      <c r="E82" s="179"/>
      <c r="F82" s="179"/>
      <c r="G82" s="179"/>
    </row>
    <row r="83" spans="1:7" ht="13.5" hidden="1" thickBot="1" x14ac:dyDescent="0.25">
      <c r="A83" s="1530" t="s">
        <v>109</v>
      </c>
      <c r="B83" s="1531"/>
      <c r="C83" s="63" t="s">
        <v>114</v>
      </c>
      <c r="D83" s="63" t="s">
        <v>115</v>
      </c>
      <c r="E83" s="63" t="s">
        <v>116</v>
      </c>
      <c r="F83" s="63" t="s">
        <v>112</v>
      </c>
      <c r="G83" s="104"/>
    </row>
    <row r="84" spans="1:7" hidden="1" x14ac:dyDescent="0.2">
      <c r="A84" s="1546" t="s">
        <v>51</v>
      </c>
      <c r="B84" s="1547"/>
      <c r="C84" s="129" t="s">
        <v>4</v>
      </c>
      <c r="D84" s="130">
        <v>10350</v>
      </c>
      <c r="E84" s="131">
        <v>1.03</v>
      </c>
      <c r="F84" s="130">
        <f>+E84*D84</f>
        <v>10660.5</v>
      </c>
      <c r="G84" s="132"/>
    </row>
    <row r="85" spans="1:7" hidden="1" x14ac:dyDescent="0.2">
      <c r="A85" s="1536" t="s">
        <v>53</v>
      </c>
      <c r="B85" s="1537"/>
      <c r="C85" s="134" t="s">
        <v>2</v>
      </c>
      <c r="D85" s="135">
        <v>100</v>
      </c>
      <c r="E85" s="136">
        <v>3.7</v>
      </c>
      <c r="F85" s="135">
        <f>+E85*D85</f>
        <v>370</v>
      </c>
      <c r="G85" s="137"/>
    </row>
    <row r="86" spans="1:7" hidden="1" x14ac:dyDescent="0.2">
      <c r="A86" s="1536"/>
      <c r="B86" s="1537"/>
      <c r="C86" s="134"/>
      <c r="D86" s="135"/>
      <c r="E86" s="136"/>
      <c r="F86" s="135"/>
      <c r="G86" s="137"/>
    </row>
    <row r="87" spans="1:7" ht="13.5" hidden="1" thickBot="1" x14ac:dyDescent="0.25">
      <c r="A87" s="1538"/>
      <c r="B87" s="1539"/>
      <c r="C87" s="138"/>
      <c r="D87" s="139"/>
      <c r="E87" s="138"/>
      <c r="F87" s="139"/>
      <c r="G87" s="140"/>
    </row>
    <row r="88" spans="1:7" ht="13.5" hidden="1" thickBot="1" x14ac:dyDescent="0.25">
      <c r="A88" s="1527" t="s">
        <v>125</v>
      </c>
      <c r="B88" s="1528"/>
      <c r="C88" s="1528"/>
      <c r="D88" s="1528"/>
      <c r="E88" s="1528"/>
      <c r="F88" s="1529" t="s">
        <v>113</v>
      </c>
      <c r="G88" s="181">
        <f>SUM(F84:F87)</f>
        <v>11030.5</v>
      </c>
    </row>
    <row r="89" spans="1:7" hidden="1" x14ac:dyDescent="0.2">
      <c r="A89" s="186" t="s">
        <v>117</v>
      </c>
      <c r="B89" s="179"/>
      <c r="C89" s="179"/>
      <c r="D89" s="179"/>
      <c r="E89" s="179"/>
      <c r="F89" s="179"/>
      <c r="G89" s="179"/>
    </row>
    <row r="90" spans="1:7" ht="13.5" hidden="1" thickBot="1" x14ac:dyDescent="0.25">
      <c r="A90" s="1530" t="s">
        <v>109</v>
      </c>
      <c r="B90" s="1531"/>
      <c r="C90" s="63" t="s">
        <v>114</v>
      </c>
      <c r="D90" s="63" t="s">
        <v>115</v>
      </c>
      <c r="E90" s="63" t="s">
        <v>116</v>
      </c>
      <c r="F90" s="63" t="s">
        <v>112</v>
      </c>
      <c r="G90" s="115"/>
    </row>
    <row r="91" spans="1:7" hidden="1" x14ac:dyDescent="0.2">
      <c r="A91" s="1540" t="s">
        <v>205</v>
      </c>
      <c r="B91" s="1541"/>
      <c r="C91" s="189" t="s">
        <v>159</v>
      </c>
      <c r="D91" s="130">
        <v>60714.285714285717</v>
      </c>
      <c r="E91" s="190">
        <v>0</v>
      </c>
      <c r="F91" s="135">
        <f>D91*E91</f>
        <v>0</v>
      </c>
      <c r="G91" s="132"/>
    </row>
    <row r="92" spans="1:7" ht="13.5" hidden="1" thickBot="1" x14ac:dyDescent="0.25">
      <c r="A92" s="1542"/>
      <c r="B92" s="1535"/>
      <c r="C92" s="189"/>
      <c r="D92" s="139"/>
      <c r="E92" s="188"/>
      <c r="F92" s="139">
        <f>D92*E92</f>
        <v>0</v>
      </c>
      <c r="G92" s="187"/>
    </row>
    <row r="93" spans="1:7" ht="13.5" hidden="1" thickBot="1" x14ac:dyDescent="0.25">
      <c r="A93" s="1527" t="s">
        <v>125</v>
      </c>
      <c r="B93" s="1528"/>
      <c r="C93" s="1528"/>
      <c r="D93" s="1528"/>
      <c r="E93" s="1528"/>
      <c r="F93" s="1529" t="s">
        <v>113</v>
      </c>
      <c r="G93" s="181">
        <f>SUM(F92:F92)</f>
        <v>0</v>
      </c>
    </row>
    <row r="94" spans="1:7" hidden="1" x14ac:dyDescent="0.2">
      <c r="A94" s="186" t="s">
        <v>119</v>
      </c>
      <c r="B94" s="179"/>
      <c r="C94" s="179"/>
      <c r="D94" s="179"/>
      <c r="E94" s="179"/>
      <c r="F94" s="179"/>
      <c r="G94" s="179"/>
    </row>
    <row r="95" spans="1:7" ht="13.5" hidden="1" thickBot="1" x14ac:dyDescent="0.25">
      <c r="A95" s="1530" t="s">
        <v>120</v>
      </c>
      <c r="B95" s="1531"/>
      <c r="C95" s="63" t="s">
        <v>121</v>
      </c>
      <c r="D95" s="63" t="s">
        <v>114</v>
      </c>
      <c r="E95" s="63" t="s">
        <v>116</v>
      </c>
      <c r="F95" s="63" t="s">
        <v>112</v>
      </c>
      <c r="G95" s="121"/>
    </row>
    <row r="96" spans="1:7" hidden="1" x14ac:dyDescent="0.2">
      <c r="A96" s="1532" t="s">
        <v>21</v>
      </c>
      <c r="B96" s="1533"/>
      <c r="C96" s="122">
        <v>7410.9600847008996</v>
      </c>
      <c r="D96" s="185">
        <v>1</v>
      </c>
      <c r="E96" s="185">
        <v>0.18</v>
      </c>
      <c r="F96" s="124">
        <f>+(C96*D96)*E96</f>
        <v>1333.9728152461619</v>
      </c>
      <c r="G96" s="132"/>
    </row>
    <row r="97" spans="1:7" ht="13.5" hidden="1" thickBot="1" x14ac:dyDescent="0.25">
      <c r="A97" s="1534" t="s">
        <v>22</v>
      </c>
      <c r="B97" s="1535"/>
      <c r="C97" s="184">
        <v>4374.7823749999998</v>
      </c>
      <c r="D97" s="183">
        <v>1</v>
      </c>
      <c r="E97" s="183">
        <f>+E96</f>
        <v>0.18</v>
      </c>
      <c r="F97" s="182">
        <f>+(C97*D97)*E97</f>
        <v>787.46082749999994</v>
      </c>
      <c r="G97" s="140"/>
    </row>
    <row r="98" spans="1:7" ht="13.5" hidden="1" thickBot="1" x14ac:dyDescent="0.25">
      <c r="A98" s="1527" t="str">
        <f>+A93</f>
        <v>SUB-TOTAL</v>
      </c>
      <c r="B98" s="1528"/>
      <c r="C98" s="1528"/>
      <c r="D98" s="1528"/>
      <c r="E98" s="1528"/>
      <c r="F98" s="1529" t="s">
        <v>113</v>
      </c>
      <c r="G98" s="181">
        <f>SUM(F96:F97)</f>
        <v>2121.4336427461617</v>
      </c>
    </row>
    <row r="99" spans="1:7" ht="11.25" hidden="1" customHeight="1" thickBot="1" x14ac:dyDescent="0.25">
      <c r="A99" s="179"/>
      <c r="B99" s="179"/>
      <c r="C99" s="179"/>
      <c r="D99" s="179"/>
      <c r="E99" s="179"/>
      <c r="F99" s="180"/>
      <c r="G99" s="179"/>
    </row>
    <row r="100" spans="1:7" ht="13.5" hidden="1" thickBot="1" x14ac:dyDescent="0.25">
      <c r="A100" s="1527" t="s">
        <v>156</v>
      </c>
      <c r="B100" s="1528"/>
      <c r="C100" s="1528"/>
      <c r="D100" s="1528"/>
      <c r="E100" s="1528"/>
      <c r="F100" s="1529"/>
      <c r="G100" s="178">
        <f>ROUND(G81+G88+G93+G98,0)</f>
        <v>15023</v>
      </c>
    </row>
    <row r="101" spans="1:7" hidden="1" x14ac:dyDescent="0.2"/>
    <row r="102" spans="1:7" hidden="1" x14ac:dyDescent="0.2"/>
    <row r="103" spans="1:7" ht="27" hidden="1" customHeight="1" x14ac:dyDescent="0.2">
      <c r="A103" s="1548" t="s">
        <v>122</v>
      </c>
      <c r="B103" s="1549"/>
      <c r="C103" s="1550"/>
      <c r="D103" s="50"/>
      <c r="E103" s="50"/>
      <c r="F103" s="50"/>
      <c r="G103" s="98"/>
    </row>
    <row r="104" spans="1:7" ht="24" hidden="1" customHeight="1" thickBot="1" x14ac:dyDescent="0.25">
      <c r="A104" s="1551" t="s">
        <v>276</v>
      </c>
      <c r="B104" s="1552"/>
      <c r="C104" s="1553"/>
      <c r="D104" s="99"/>
      <c r="E104" s="99"/>
      <c r="F104" s="99"/>
      <c r="G104" s="100"/>
    </row>
    <row r="105" spans="1:7" hidden="1" x14ac:dyDescent="0.2">
      <c r="A105" s="179"/>
      <c r="B105" s="179"/>
      <c r="C105" s="179"/>
      <c r="D105" s="179"/>
      <c r="E105" s="179"/>
      <c r="F105" s="179"/>
      <c r="G105" s="179"/>
    </row>
    <row r="106" spans="1:7" ht="30.75" hidden="1" customHeight="1" thickBot="1" x14ac:dyDescent="0.25">
      <c r="A106" s="1558" t="s">
        <v>957</v>
      </c>
      <c r="B106" s="1559"/>
      <c r="C106" s="1560"/>
      <c r="D106" s="1565" t="s">
        <v>194</v>
      </c>
      <c r="E106" s="1559"/>
      <c r="F106" s="1559"/>
      <c r="G106" s="1560"/>
    </row>
    <row r="107" spans="1:7" hidden="1" x14ac:dyDescent="0.2">
      <c r="A107" s="192"/>
      <c r="B107" s="192"/>
      <c r="C107" s="192"/>
      <c r="D107" s="192"/>
      <c r="E107" s="192"/>
      <c r="F107" s="192"/>
      <c r="G107" s="192"/>
    </row>
    <row r="108" spans="1:7" ht="12.75" hidden="1" customHeight="1" thickBot="1" x14ac:dyDescent="0.25">
      <c r="A108" s="191"/>
      <c r="B108" s="179"/>
      <c r="D108" s="60" t="s">
        <v>124</v>
      </c>
      <c r="E108" s="61" t="s">
        <v>4</v>
      </c>
      <c r="F108" s="191"/>
      <c r="G108" s="191"/>
    </row>
    <row r="109" spans="1:7" hidden="1" x14ac:dyDescent="0.2">
      <c r="A109" s="186" t="s">
        <v>108</v>
      </c>
      <c r="B109" s="179"/>
      <c r="C109" s="179"/>
      <c r="D109" s="179"/>
      <c r="E109" s="179"/>
      <c r="F109" s="179"/>
      <c r="G109" s="179"/>
    </row>
    <row r="110" spans="1:7" ht="13.5" hidden="1" customHeight="1" thickBot="1" x14ac:dyDescent="0.25">
      <c r="A110" s="1530" t="s">
        <v>109</v>
      </c>
      <c r="B110" s="1554"/>
      <c r="C110" s="1531"/>
      <c r="D110" s="63" t="s">
        <v>110</v>
      </c>
      <c r="E110" s="63" t="s">
        <v>111</v>
      </c>
      <c r="F110" s="63" t="s">
        <v>112</v>
      </c>
      <c r="G110" s="104"/>
    </row>
    <row r="111" spans="1:7" hidden="1" x14ac:dyDescent="0.2">
      <c r="A111" s="1540" t="s">
        <v>131</v>
      </c>
      <c r="B111" s="1555"/>
      <c r="C111" s="1541"/>
      <c r="D111" s="130">
        <v>2062.5</v>
      </c>
      <c r="E111" s="131">
        <f>+E128</f>
        <v>0.35</v>
      </c>
      <c r="F111" s="130">
        <f>+E111*D111</f>
        <v>721.875</v>
      </c>
      <c r="G111" s="132"/>
    </row>
    <row r="112" spans="1:7" ht="13.5" hidden="1" customHeight="1" thickBot="1" x14ac:dyDescent="0.25">
      <c r="A112" s="1543" t="s">
        <v>147</v>
      </c>
      <c r="B112" s="1544"/>
      <c r="C112" s="1545"/>
      <c r="D112" s="135">
        <v>1500</v>
      </c>
      <c r="E112" s="136">
        <v>0.6</v>
      </c>
      <c r="F112" s="135">
        <f>+E112*D112</f>
        <v>900</v>
      </c>
      <c r="G112" s="140"/>
    </row>
    <row r="113" spans="1:7" ht="13.5" hidden="1" thickBot="1" x14ac:dyDescent="0.25">
      <c r="A113" s="1527" t="s">
        <v>125</v>
      </c>
      <c r="B113" s="1528"/>
      <c r="C113" s="1528"/>
      <c r="D113" s="1528"/>
      <c r="E113" s="1528"/>
      <c r="F113" s="1529"/>
      <c r="G113" s="181">
        <f>SUM(F111:F112)</f>
        <v>1621.875</v>
      </c>
    </row>
    <row r="114" spans="1:7" hidden="1" x14ac:dyDescent="0.2">
      <c r="A114" s="186" t="s">
        <v>123</v>
      </c>
      <c r="B114" s="179"/>
      <c r="C114" s="179"/>
      <c r="D114" s="179"/>
      <c r="E114" s="179"/>
      <c r="F114" s="179"/>
      <c r="G114" s="179"/>
    </row>
    <row r="115" spans="1:7" ht="13.5" hidden="1" thickBot="1" x14ac:dyDescent="0.25">
      <c r="A115" s="1530" t="s">
        <v>109</v>
      </c>
      <c r="B115" s="1531"/>
      <c r="C115" s="63" t="s">
        <v>114</v>
      </c>
      <c r="D115" s="63" t="s">
        <v>115</v>
      </c>
      <c r="E115" s="63" t="s">
        <v>116</v>
      </c>
      <c r="F115" s="63" t="s">
        <v>112</v>
      </c>
      <c r="G115" s="104"/>
    </row>
    <row r="116" spans="1:7" hidden="1" x14ac:dyDescent="0.2">
      <c r="A116" s="1546" t="s">
        <v>958</v>
      </c>
      <c r="B116" s="1547"/>
      <c r="C116" s="129" t="s">
        <v>4</v>
      </c>
      <c r="D116" s="130">
        <v>34057</v>
      </c>
      <c r="E116" s="131">
        <v>1.05</v>
      </c>
      <c r="F116" s="130">
        <f>+E116*D116</f>
        <v>35759.85</v>
      </c>
      <c r="G116" s="132"/>
    </row>
    <row r="117" spans="1:7" hidden="1" x14ac:dyDescent="0.2">
      <c r="A117" s="1536" t="s">
        <v>60</v>
      </c>
      <c r="B117" s="1537"/>
      <c r="C117" s="134" t="s">
        <v>2</v>
      </c>
      <c r="D117" s="135">
        <v>500</v>
      </c>
      <c r="E117" s="136">
        <v>6</v>
      </c>
      <c r="F117" s="135">
        <f>+E117*D117</f>
        <v>3000</v>
      </c>
      <c r="G117" s="137"/>
    </row>
    <row r="118" spans="1:7" hidden="1" x14ac:dyDescent="0.2">
      <c r="A118" s="1536" t="s">
        <v>959</v>
      </c>
      <c r="B118" s="1537"/>
      <c r="C118" s="134" t="s">
        <v>2</v>
      </c>
      <c r="D118" s="135">
        <v>550</v>
      </c>
      <c r="E118" s="136">
        <v>2</v>
      </c>
      <c r="F118" s="135">
        <f>+E118*D118</f>
        <v>1100</v>
      </c>
      <c r="G118" s="137"/>
    </row>
    <row r="119" spans="1:7" ht="13.5" hidden="1" thickBot="1" x14ac:dyDescent="0.25">
      <c r="A119" s="1538"/>
      <c r="B119" s="1539"/>
      <c r="C119" s="138"/>
      <c r="D119" s="139"/>
      <c r="E119" s="138"/>
      <c r="F119" s="139"/>
      <c r="G119" s="140"/>
    </row>
    <row r="120" spans="1:7" ht="13.5" hidden="1" thickBot="1" x14ac:dyDescent="0.25">
      <c r="A120" s="1527" t="s">
        <v>125</v>
      </c>
      <c r="B120" s="1528"/>
      <c r="C120" s="1528"/>
      <c r="D120" s="1528"/>
      <c r="E120" s="1528"/>
      <c r="F120" s="1529" t="s">
        <v>113</v>
      </c>
      <c r="G120" s="181">
        <f>SUM(F116:F119)</f>
        <v>39859.85</v>
      </c>
    </row>
    <row r="121" spans="1:7" hidden="1" x14ac:dyDescent="0.2">
      <c r="A121" s="186" t="s">
        <v>117</v>
      </c>
      <c r="B121" s="179"/>
      <c r="C121" s="179"/>
      <c r="D121" s="179"/>
      <c r="E121" s="179"/>
      <c r="F121" s="179"/>
      <c r="G121" s="179"/>
    </row>
    <row r="122" spans="1:7" ht="13.5" hidden="1" thickBot="1" x14ac:dyDescent="0.25">
      <c r="A122" s="1530" t="s">
        <v>109</v>
      </c>
      <c r="B122" s="1531"/>
      <c r="C122" s="63" t="s">
        <v>114</v>
      </c>
      <c r="D122" s="63" t="s">
        <v>115</v>
      </c>
      <c r="E122" s="63" t="s">
        <v>116</v>
      </c>
      <c r="F122" s="63" t="s">
        <v>112</v>
      </c>
      <c r="G122" s="115"/>
    </row>
    <row r="123" spans="1:7" hidden="1" x14ac:dyDescent="0.2">
      <c r="A123" s="1540" t="s">
        <v>205</v>
      </c>
      <c r="B123" s="1541"/>
      <c r="C123" s="189" t="s">
        <v>159</v>
      </c>
      <c r="D123" s="130">
        <v>60714.285714285717</v>
      </c>
      <c r="E123" s="190">
        <v>0</v>
      </c>
      <c r="F123" s="135">
        <f>D123*E123</f>
        <v>0</v>
      </c>
      <c r="G123" s="132"/>
    </row>
    <row r="124" spans="1:7" ht="13.5" hidden="1" thickBot="1" x14ac:dyDescent="0.25">
      <c r="A124" s="1542"/>
      <c r="B124" s="1535"/>
      <c r="C124" s="189"/>
      <c r="D124" s="139"/>
      <c r="E124" s="188"/>
      <c r="F124" s="139">
        <f>D124*E124</f>
        <v>0</v>
      </c>
      <c r="G124" s="187"/>
    </row>
    <row r="125" spans="1:7" ht="13.5" hidden="1" thickBot="1" x14ac:dyDescent="0.25">
      <c r="A125" s="1527" t="s">
        <v>125</v>
      </c>
      <c r="B125" s="1528"/>
      <c r="C125" s="1528"/>
      <c r="D125" s="1528"/>
      <c r="E125" s="1528"/>
      <c r="F125" s="1529" t="s">
        <v>113</v>
      </c>
      <c r="G125" s="181">
        <f>SUM(F124:F124)</f>
        <v>0</v>
      </c>
    </row>
    <row r="126" spans="1:7" hidden="1" x14ac:dyDescent="0.2">
      <c r="A126" s="186" t="s">
        <v>119</v>
      </c>
      <c r="B126" s="179"/>
      <c r="C126" s="179"/>
      <c r="D126" s="179"/>
      <c r="E126" s="179"/>
      <c r="F126" s="179"/>
      <c r="G126" s="179"/>
    </row>
    <row r="127" spans="1:7" ht="13.5" hidden="1" thickBot="1" x14ac:dyDescent="0.25">
      <c r="A127" s="1530" t="s">
        <v>120</v>
      </c>
      <c r="B127" s="1531"/>
      <c r="C127" s="63" t="s">
        <v>121</v>
      </c>
      <c r="D127" s="63" t="s">
        <v>114</v>
      </c>
      <c r="E127" s="63" t="s">
        <v>116</v>
      </c>
      <c r="F127" s="63" t="s">
        <v>112</v>
      </c>
      <c r="G127" s="121"/>
    </row>
    <row r="128" spans="1:7" hidden="1" x14ac:dyDescent="0.2">
      <c r="A128" s="1532" t="s">
        <v>21</v>
      </c>
      <c r="B128" s="1533"/>
      <c r="C128" s="122">
        <v>7410.9600847008996</v>
      </c>
      <c r="D128" s="185">
        <v>1</v>
      </c>
      <c r="E128" s="185">
        <v>0.35</v>
      </c>
      <c r="F128" s="124">
        <f>+(C128*D128)*E128</f>
        <v>2593.8360296453147</v>
      </c>
      <c r="G128" s="132"/>
    </row>
    <row r="129" spans="1:7" ht="13.5" hidden="1" thickBot="1" x14ac:dyDescent="0.25">
      <c r="A129" s="1534" t="s">
        <v>22</v>
      </c>
      <c r="B129" s="1535"/>
      <c r="C129" s="184">
        <v>4374.7823749999998</v>
      </c>
      <c r="D129" s="183">
        <v>2</v>
      </c>
      <c r="E129" s="183">
        <f>+E128</f>
        <v>0.35</v>
      </c>
      <c r="F129" s="182">
        <f>+(C129*D129)*E129</f>
        <v>3062.3476624999998</v>
      </c>
      <c r="G129" s="140"/>
    </row>
    <row r="130" spans="1:7" ht="13.5" hidden="1" thickBot="1" x14ac:dyDescent="0.25">
      <c r="A130" s="1527" t="str">
        <f>+A125</f>
        <v>SUB-TOTAL</v>
      </c>
      <c r="B130" s="1528"/>
      <c r="C130" s="1528"/>
      <c r="D130" s="1528"/>
      <c r="E130" s="1528"/>
      <c r="F130" s="1529" t="s">
        <v>113</v>
      </c>
      <c r="G130" s="181">
        <f>SUM(F128:F129)</f>
        <v>5656.1836921453141</v>
      </c>
    </row>
    <row r="131" spans="1:7" ht="11.25" hidden="1" customHeight="1" thickBot="1" x14ac:dyDescent="0.25">
      <c r="A131" s="179"/>
      <c r="B131" s="179"/>
      <c r="C131" s="179"/>
      <c r="D131" s="179"/>
      <c r="E131" s="179"/>
      <c r="F131" s="180"/>
      <c r="G131" s="179"/>
    </row>
    <row r="132" spans="1:7" ht="13.5" hidden="1" thickBot="1" x14ac:dyDescent="0.25">
      <c r="A132" s="1527" t="s">
        <v>156</v>
      </c>
      <c r="B132" s="1528"/>
      <c r="C132" s="1528"/>
      <c r="D132" s="1528"/>
      <c r="E132" s="1528"/>
      <c r="F132" s="1529"/>
      <c r="G132" s="178">
        <f>ROUND(G113+G120+G125+G130,0)</f>
        <v>47138</v>
      </c>
    </row>
    <row r="133" spans="1:7" hidden="1" x14ac:dyDescent="0.2"/>
    <row r="134" spans="1:7" ht="13.5" thickBot="1" x14ac:dyDescent="0.25"/>
    <row r="135" spans="1:7" ht="27" customHeight="1" x14ac:dyDescent="0.2">
      <c r="A135" s="1548" t="s">
        <v>789</v>
      </c>
      <c r="B135" s="1549"/>
      <c r="C135" s="1550"/>
      <c r="D135" s="50"/>
      <c r="E135" s="50"/>
      <c r="F135" s="50"/>
      <c r="G135" s="98"/>
    </row>
    <row r="136" spans="1:7" ht="24" customHeight="1" thickBot="1" x14ac:dyDescent="0.25">
      <c r="A136" s="1551"/>
      <c r="B136" s="1552"/>
      <c r="C136" s="1553"/>
      <c r="D136" s="99"/>
      <c r="E136" s="99"/>
      <c r="F136" s="99"/>
      <c r="G136" s="100"/>
    </row>
    <row r="137" spans="1:7" ht="13.5" thickBot="1" x14ac:dyDescent="0.25">
      <c r="A137" s="179"/>
      <c r="B137" s="179"/>
      <c r="C137" s="179"/>
      <c r="D137" s="179"/>
      <c r="E137" s="179"/>
      <c r="F137" s="179"/>
      <c r="G137" s="179"/>
    </row>
    <row r="138" spans="1:7" ht="30.75" customHeight="1" thickBot="1" x14ac:dyDescent="0.25">
      <c r="A138" s="1558" t="e">
        <f>+#REF!</f>
        <v>#REF!</v>
      </c>
      <c r="B138" s="1559"/>
      <c r="C138" s="1560"/>
      <c r="D138" s="1565" t="s">
        <v>195</v>
      </c>
      <c r="E138" s="1559"/>
      <c r="F138" s="1559"/>
      <c r="G138" s="1560"/>
    </row>
    <row r="139" spans="1:7" ht="13.5" thickBot="1" x14ac:dyDescent="0.25">
      <c r="A139" s="192"/>
      <c r="B139" s="192"/>
      <c r="C139" s="192"/>
      <c r="D139" s="192"/>
      <c r="E139" s="192"/>
      <c r="F139" s="192"/>
      <c r="G139" s="192"/>
    </row>
    <row r="140" spans="1:7" ht="12.75" customHeight="1" thickBot="1" x14ac:dyDescent="0.25">
      <c r="A140" s="191"/>
      <c r="B140" s="179"/>
      <c r="D140" s="60" t="s">
        <v>124</v>
      </c>
      <c r="E140" s="61" t="s">
        <v>4</v>
      </c>
      <c r="F140" s="191"/>
      <c r="G140" s="191"/>
    </row>
    <row r="141" spans="1:7" ht="13.5" thickBot="1" x14ac:dyDescent="0.25">
      <c r="A141" s="186" t="s">
        <v>108</v>
      </c>
      <c r="B141" s="179"/>
      <c r="C141" s="179"/>
      <c r="D141" s="179"/>
      <c r="E141" s="179"/>
      <c r="F141" s="179"/>
      <c r="G141" s="179"/>
    </row>
    <row r="142" spans="1:7" ht="13.5" customHeight="1" thickBot="1" x14ac:dyDescent="0.25">
      <c r="A142" s="1530" t="s">
        <v>109</v>
      </c>
      <c r="B142" s="1554"/>
      <c r="C142" s="1531"/>
      <c r="D142" s="63" t="s">
        <v>110</v>
      </c>
      <c r="E142" s="63" t="s">
        <v>111</v>
      </c>
      <c r="F142" s="63" t="s">
        <v>112</v>
      </c>
      <c r="G142" s="104"/>
    </row>
    <row r="143" spans="1:7" x14ac:dyDescent="0.2">
      <c r="A143" s="1540" t="s">
        <v>131</v>
      </c>
      <c r="B143" s="1555"/>
      <c r="C143" s="1541"/>
      <c r="D143" s="130">
        <v>2062.5</v>
      </c>
      <c r="E143" s="131">
        <f>+E160</f>
        <v>0.38674486527687529</v>
      </c>
      <c r="F143" s="130">
        <f>+E143*D143</f>
        <v>797.66128463355528</v>
      </c>
      <c r="G143" s="132"/>
    </row>
    <row r="144" spans="1:7" ht="13.5" thickBot="1" x14ac:dyDescent="0.25">
      <c r="A144" s="1542" t="s">
        <v>147</v>
      </c>
      <c r="B144" s="1564"/>
      <c r="C144" s="1535"/>
      <c r="D144" s="139">
        <v>1500</v>
      </c>
      <c r="E144" s="141">
        <v>0.6</v>
      </c>
      <c r="F144" s="139">
        <f>+E144*D144</f>
        <v>900</v>
      </c>
      <c r="G144" s="140"/>
    </row>
    <row r="145" spans="1:7" ht="13.5" thickBot="1" x14ac:dyDescent="0.25">
      <c r="A145" s="1527" t="s">
        <v>125</v>
      </c>
      <c r="B145" s="1528"/>
      <c r="C145" s="1528"/>
      <c r="D145" s="1528"/>
      <c r="E145" s="1528"/>
      <c r="F145" s="1529"/>
      <c r="G145" s="181">
        <f>SUM(F143:F144)</f>
        <v>1697.6612846335552</v>
      </c>
    </row>
    <row r="146" spans="1:7" ht="13.5" thickBot="1" x14ac:dyDescent="0.25">
      <c r="A146" s="186" t="s">
        <v>123</v>
      </c>
      <c r="B146" s="179"/>
      <c r="C146" s="179"/>
      <c r="D146" s="179"/>
      <c r="E146" s="179"/>
      <c r="F146" s="179"/>
      <c r="G146" s="179"/>
    </row>
    <row r="147" spans="1:7" ht="13.5" thickBot="1" x14ac:dyDescent="0.25">
      <c r="A147" s="1530" t="s">
        <v>109</v>
      </c>
      <c r="B147" s="1531"/>
      <c r="C147" s="63" t="s">
        <v>114</v>
      </c>
      <c r="D147" s="63" t="s">
        <v>115</v>
      </c>
      <c r="E147" s="63" t="s">
        <v>116</v>
      </c>
      <c r="F147" s="63" t="s">
        <v>112</v>
      </c>
      <c r="G147" s="104"/>
    </row>
    <row r="148" spans="1:7" x14ac:dyDescent="0.2">
      <c r="A148" s="1546" t="s">
        <v>50</v>
      </c>
      <c r="B148" s="1547"/>
      <c r="C148" s="129" t="s">
        <v>4</v>
      </c>
      <c r="D148" s="130">
        <v>24650</v>
      </c>
      <c r="E148" s="131">
        <v>1.05</v>
      </c>
      <c r="F148" s="130">
        <f>+E148*D148</f>
        <v>25882.5</v>
      </c>
      <c r="G148" s="132"/>
    </row>
    <row r="149" spans="1:7" x14ac:dyDescent="0.2">
      <c r="A149" s="1536" t="s">
        <v>60</v>
      </c>
      <c r="B149" s="1537"/>
      <c r="C149" s="134" t="s">
        <v>2</v>
      </c>
      <c r="D149" s="135">
        <v>500</v>
      </c>
      <c r="E149" s="136">
        <v>6</v>
      </c>
      <c r="F149" s="135">
        <f>+E149*D149</f>
        <v>3000</v>
      </c>
      <c r="G149" s="137"/>
    </row>
    <row r="150" spans="1:7" x14ac:dyDescent="0.2">
      <c r="A150" s="1536" t="s">
        <v>959</v>
      </c>
      <c r="B150" s="1537"/>
      <c r="C150" s="134" t="s">
        <v>2</v>
      </c>
      <c r="D150" s="135">
        <v>550</v>
      </c>
      <c r="E150" s="136">
        <v>2</v>
      </c>
      <c r="F150" s="135">
        <f>+E150*D150</f>
        <v>1100</v>
      </c>
      <c r="G150" s="137"/>
    </row>
    <row r="151" spans="1:7" ht="13.5" thickBot="1" x14ac:dyDescent="0.25">
      <c r="A151" s="1538"/>
      <c r="B151" s="1539"/>
      <c r="C151" s="138"/>
      <c r="D151" s="139"/>
      <c r="E151" s="138"/>
      <c r="F151" s="139"/>
      <c r="G151" s="140"/>
    </row>
    <row r="152" spans="1:7" ht="13.5" thickBot="1" x14ac:dyDescent="0.25">
      <c r="A152" s="1527" t="s">
        <v>125</v>
      </c>
      <c r="B152" s="1528"/>
      <c r="C152" s="1528"/>
      <c r="D152" s="1528"/>
      <c r="E152" s="1528"/>
      <c r="F152" s="1529" t="s">
        <v>113</v>
      </c>
      <c r="G152" s="181">
        <f>SUM(F148:F151)</f>
        <v>29982.5</v>
      </c>
    </row>
    <row r="153" spans="1:7" ht="13.5" thickBot="1" x14ac:dyDescent="0.25">
      <c r="A153" s="193" t="s">
        <v>117</v>
      </c>
      <c r="B153" s="179"/>
      <c r="C153" s="179"/>
      <c r="D153" s="179"/>
      <c r="E153" s="179"/>
      <c r="F153" s="179"/>
      <c r="G153" s="179"/>
    </row>
    <row r="154" spans="1:7" ht="13.5" thickBot="1" x14ac:dyDescent="0.25">
      <c r="A154" s="1530" t="s">
        <v>109</v>
      </c>
      <c r="B154" s="1531"/>
      <c r="C154" s="63" t="s">
        <v>114</v>
      </c>
      <c r="D154" s="63" t="s">
        <v>115</v>
      </c>
      <c r="E154" s="63" t="s">
        <v>116</v>
      </c>
      <c r="F154" s="63" t="s">
        <v>112</v>
      </c>
      <c r="G154" s="115"/>
    </row>
    <row r="155" spans="1:7" x14ac:dyDescent="0.2">
      <c r="A155" s="1540" t="s">
        <v>205</v>
      </c>
      <c r="B155" s="1541"/>
      <c r="C155" s="189" t="s">
        <v>159</v>
      </c>
      <c r="D155" s="130">
        <v>60714.285714285717</v>
      </c>
      <c r="E155" s="190">
        <v>0</v>
      </c>
      <c r="F155" s="135">
        <f>D155*E155</f>
        <v>0</v>
      </c>
      <c r="G155" s="132"/>
    </row>
    <row r="156" spans="1:7" ht="13.5" thickBot="1" x14ac:dyDescent="0.25">
      <c r="A156" s="1542"/>
      <c r="B156" s="1535"/>
      <c r="C156" s="189"/>
      <c r="D156" s="139"/>
      <c r="E156" s="188"/>
      <c r="F156" s="139">
        <f>D156*E156</f>
        <v>0</v>
      </c>
      <c r="G156" s="187"/>
    </row>
    <row r="157" spans="1:7" ht="13.5" thickBot="1" x14ac:dyDescent="0.25">
      <c r="A157" s="1527" t="s">
        <v>125</v>
      </c>
      <c r="B157" s="1528"/>
      <c r="C157" s="1528"/>
      <c r="D157" s="1528"/>
      <c r="E157" s="1528"/>
      <c r="F157" s="1529" t="s">
        <v>113</v>
      </c>
      <c r="G157" s="181">
        <f>SUM(F156:F156)</f>
        <v>0</v>
      </c>
    </row>
    <row r="158" spans="1:7" ht="13.5" thickBot="1" x14ac:dyDescent="0.25">
      <c r="A158" s="193" t="s">
        <v>119</v>
      </c>
      <c r="B158" s="179"/>
      <c r="C158" s="179"/>
      <c r="D158" s="179"/>
      <c r="E158" s="179"/>
      <c r="F158" s="179"/>
      <c r="G158" s="179"/>
    </row>
    <row r="159" spans="1:7" ht="13.5" thickBot="1" x14ac:dyDescent="0.25">
      <c r="A159" s="1530" t="s">
        <v>120</v>
      </c>
      <c r="B159" s="1531"/>
      <c r="C159" s="63" t="s">
        <v>121</v>
      </c>
      <c r="D159" s="63" t="s">
        <v>114</v>
      </c>
      <c r="E159" s="63" t="s">
        <v>116</v>
      </c>
      <c r="F159" s="63" t="s">
        <v>112</v>
      </c>
      <c r="G159" s="121"/>
    </row>
    <row r="160" spans="1:7" x14ac:dyDescent="0.2">
      <c r="A160" s="1532" t="s">
        <v>21</v>
      </c>
      <c r="B160" s="1533"/>
      <c r="C160" s="122">
        <v>7410.9600847008996</v>
      </c>
      <c r="D160" s="185">
        <v>1</v>
      </c>
      <c r="E160" s="185">
        <v>0.38674486527687529</v>
      </c>
      <c r="F160" s="124">
        <f>+(C160*D160)*E160</f>
        <v>2866.1507595299499</v>
      </c>
      <c r="G160" s="132"/>
    </row>
    <row r="161" spans="1:7" ht="13.5" thickBot="1" x14ac:dyDescent="0.25">
      <c r="A161" s="1534" t="s">
        <v>22</v>
      </c>
      <c r="B161" s="1535"/>
      <c r="C161" s="184">
        <v>4374.7823749999998</v>
      </c>
      <c r="D161" s="183">
        <v>2</v>
      </c>
      <c r="E161" s="183">
        <f>+E160</f>
        <v>0.38674486527687529</v>
      </c>
      <c r="F161" s="182">
        <f>+(C161*D161)*E161</f>
        <v>3383.8492404700469</v>
      </c>
      <c r="G161" s="140"/>
    </row>
    <row r="162" spans="1:7" ht="13.5" thickBot="1" x14ac:dyDescent="0.25">
      <c r="A162" s="1527" t="str">
        <f>+A157</f>
        <v>SUB-TOTAL</v>
      </c>
      <c r="B162" s="1528"/>
      <c r="C162" s="1528"/>
      <c r="D162" s="1528"/>
      <c r="E162" s="1528"/>
      <c r="F162" s="1529" t="s">
        <v>113</v>
      </c>
      <c r="G162" s="181">
        <f>SUM(F160:F161)</f>
        <v>6249.9999999999964</v>
      </c>
    </row>
    <row r="163" spans="1:7" ht="11.25" customHeight="1" thickBot="1" x14ac:dyDescent="0.25">
      <c r="A163" s="179"/>
      <c r="B163" s="179"/>
      <c r="C163" s="179"/>
      <c r="D163" s="179"/>
      <c r="E163" s="179"/>
      <c r="F163" s="180"/>
      <c r="G163" s="179"/>
    </row>
    <row r="164" spans="1:7" ht="13.5" thickBot="1" x14ac:dyDescent="0.25">
      <c r="A164" s="1527" t="s">
        <v>156</v>
      </c>
      <c r="B164" s="1528"/>
      <c r="C164" s="1528"/>
      <c r="D164" s="1528"/>
      <c r="E164" s="1528"/>
      <c r="F164" s="1529"/>
      <c r="G164" s="178">
        <f>ROUND(G145+G152+G157+G162,0)</f>
        <v>37930</v>
      </c>
    </row>
    <row r="166" spans="1:7" ht="13.5" thickBot="1" x14ac:dyDescent="0.25"/>
    <row r="167" spans="1:7" ht="27" customHeight="1" x14ac:dyDescent="0.2">
      <c r="A167" s="1548" t="s">
        <v>122</v>
      </c>
      <c r="B167" s="1549"/>
      <c r="C167" s="1550"/>
      <c r="D167" s="50"/>
      <c r="E167" s="50"/>
      <c r="F167" s="50"/>
      <c r="G167" s="98"/>
    </row>
    <row r="168" spans="1:7" ht="24" customHeight="1" thickBot="1" x14ac:dyDescent="0.25">
      <c r="A168" s="1551"/>
      <c r="B168" s="1552"/>
      <c r="C168" s="1553"/>
      <c r="D168" s="99"/>
      <c r="E168" s="99"/>
      <c r="F168" s="99"/>
      <c r="G168" s="100"/>
    </row>
    <row r="169" spans="1:7" ht="13.5" thickBot="1" x14ac:dyDescent="0.25">
      <c r="A169" s="179"/>
      <c r="B169" s="179"/>
      <c r="C169" s="179"/>
      <c r="D169" s="179"/>
      <c r="E169" s="179"/>
      <c r="F169" s="179"/>
      <c r="G169" s="179"/>
    </row>
    <row r="170" spans="1:7" ht="43.5" customHeight="1" thickBot="1" x14ac:dyDescent="0.25">
      <c r="A170" s="1558" t="e">
        <f>+A138</f>
        <v>#REF!</v>
      </c>
      <c r="B170" s="1559"/>
      <c r="C170" s="1560"/>
      <c r="D170" s="1565" t="s">
        <v>323</v>
      </c>
      <c r="E170" s="1559"/>
      <c r="F170" s="1559"/>
      <c r="G170" s="1560"/>
    </row>
    <row r="171" spans="1:7" ht="13.5" thickBot="1" x14ac:dyDescent="0.25">
      <c r="A171" s="192"/>
      <c r="B171" s="192"/>
      <c r="C171" s="192"/>
      <c r="D171" s="192"/>
      <c r="E171" s="192"/>
      <c r="F171" s="192"/>
      <c r="G171" s="192"/>
    </row>
    <row r="172" spans="1:7" ht="12.75" customHeight="1" thickBot="1" x14ac:dyDescent="0.25">
      <c r="A172" s="191"/>
      <c r="B172" s="179"/>
      <c r="D172" s="60" t="s">
        <v>124</v>
      </c>
      <c r="E172" s="61" t="s">
        <v>6</v>
      </c>
      <c r="F172" s="191"/>
      <c r="G172" s="191"/>
    </row>
    <row r="173" spans="1:7" ht="13.5" thickBot="1" x14ac:dyDescent="0.25">
      <c r="A173" s="186" t="s">
        <v>108</v>
      </c>
      <c r="B173" s="179"/>
      <c r="C173" s="179"/>
      <c r="D173" s="179"/>
      <c r="E173" s="179"/>
      <c r="F173" s="179"/>
      <c r="G173" s="179"/>
    </row>
    <row r="174" spans="1:7" ht="13.5" customHeight="1" thickBot="1" x14ac:dyDescent="0.25">
      <c r="A174" s="1530" t="s">
        <v>109</v>
      </c>
      <c r="B174" s="1554"/>
      <c r="C174" s="1531"/>
      <c r="D174" s="63" t="s">
        <v>110</v>
      </c>
      <c r="E174" s="63" t="s">
        <v>111</v>
      </c>
      <c r="F174" s="63" t="s">
        <v>112</v>
      </c>
      <c r="G174" s="104"/>
    </row>
    <row r="175" spans="1:7" x14ac:dyDescent="0.2">
      <c r="A175" s="1540" t="s">
        <v>131</v>
      </c>
      <c r="B175" s="1555"/>
      <c r="C175" s="1541"/>
      <c r="D175" s="130">
        <v>2062.5</v>
      </c>
      <c r="E175" s="131">
        <f>+E197</f>
        <v>6.0454400937086321</v>
      </c>
      <c r="F175" s="130">
        <f>+E175*D175</f>
        <v>12468.720193274054</v>
      </c>
      <c r="G175" s="132"/>
    </row>
    <row r="176" spans="1:7" x14ac:dyDescent="0.2">
      <c r="A176" s="1543" t="s">
        <v>139</v>
      </c>
      <c r="B176" s="1544"/>
      <c r="C176" s="1545"/>
      <c r="D176" s="135">
        <v>8125</v>
      </c>
      <c r="E176" s="136">
        <v>0.3</v>
      </c>
      <c r="F176" s="135">
        <f>+E176*D176</f>
        <v>2437.5</v>
      </c>
      <c r="G176" s="137"/>
    </row>
    <row r="177" spans="1:7" x14ac:dyDescent="0.2">
      <c r="A177" s="1543" t="s">
        <v>147</v>
      </c>
      <c r="B177" s="1544"/>
      <c r="C177" s="1545"/>
      <c r="D177" s="135">
        <v>1500</v>
      </c>
      <c r="E177" s="136">
        <v>1</v>
      </c>
      <c r="F177" s="135">
        <f>+E177*D177</f>
        <v>1500</v>
      </c>
      <c r="G177" s="137"/>
    </row>
    <row r="178" spans="1:7" ht="13.5" thickBot="1" x14ac:dyDescent="0.25">
      <c r="A178" s="1542" t="s">
        <v>196</v>
      </c>
      <c r="B178" s="1564"/>
      <c r="C178" s="1535"/>
      <c r="D178" s="139">
        <v>4375</v>
      </c>
      <c r="E178" s="141">
        <f>+E176</f>
        <v>0.3</v>
      </c>
      <c r="F178" s="139">
        <f>+E178*D178</f>
        <v>1312.5</v>
      </c>
      <c r="G178" s="140"/>
    </row>
    <row r="179" spans="1:7" ht="13.5" thickBot="1" x14ac:dyDescent="0.25">
      <c r="A179" s="1527" t="s">
        <v>125</v>
      </c>
      <c r="B179" s="1528"/>
      <c r="C179" s="1528"/>
      <c r="D179" s="1528"/>
      <c r="E179" s="1528"/>
      <c r="F179" s="1529"/>
      <c r="G179" s="181">
        <f>SUM(F175:F178)</f>
        <v>17718.720193274054</v>
      </c>
    </row>
    <row r="180" spans="1:7" ht="13.5" thickBot="1" x14ac:dyDescent="0.25">
      <c r="A180" s="186" t="s">
        <v>123</v>
      </c>
      <c r="B180" s="179"/>
      <c r="C180" s="179"/>
      <c r="D180" s="179"/>
      <c r="E180" s="179"/>
      <c r="F180" s="179"/>
      <c r="G180" s="179"/>
    </row>
    <row r="181" spans="1:7" ht="13.5" thickBot="1" x14ac:dyDescent="0.25">
      <c r="A181" s="1530" t="s">
        <v>109</v>
      </c>
      <c r="B181" s="1531"/>
      <c r="C181" s="63" t="s">
        <v>114</v>
      </c>
      <c r="D181" s="63" t="s">
        <v>115</v>
      </c>
      <c r="E181" s="63" t="s">
        <v>116</v>
      </c>
      <c r="F181" s="63" t="s">
        <v>112</v>
      </c>
      <c r="G181" s="104"/>
    </row>
    <row r="182" spans="1:7" x14ac:dyDescent="0.2">
      <c r="A182" s="1536" t="s">
        <v>960</v>
      </c>
      <c r="B182" s="1537"/>
      <c r="C182" s="134" t="s">
        <v>6</v>
      </c>
      <c r="D182" s="135">
        <v>18850</v>
      </c>
      <c r="E182" s="134">
        <v>4.4000000000000004</v>
      </c>
      <c r="F182" s="135">
        <f t="shared" ref="F182:F188" si="0">+E182*D182</f>
        <v>82940</v>
      </c>
      <c r="G182" s="137"/>
    </row>
    <row r="183" spans="1:7" ht="13.5" customHeight="1" x14ac:dyDescent="0.2">
      <c r="A183" s="1536" t="s">
        <v>961</v>
      </c>
      <c r="B183" s="1537"/>
      <c r="C183" s="134" t="s">
        <v>6</v>
      </c>
      <c r="D183" s="135">
        <v>10150</v>
      </c>
      <c r="E183" s="134">
        <v>0.5</v>
      </c>
      <c r="F183" s="135">
        <f t="shared" si="0"/>
        <v>5075</v>
      </c>
      <c r="G183" s="137"/>
    </row>
    <row r="184" spans="1:7" x14ac:dyDescent="0.2">
      <c r="A184" s="2248" t="s">
        <v>962</v>
      </c>
      <c r="B184" s="2249"/>
      <c r="C184" s="134" t="s">
        <v>6</v>
      </c>
      <c r="D184" s="135">
        <v>6075</v>
      </c>
      <c r="E184" s="134">
        <v>1.95</v>
      </c>
      <c r="F184" s="135">
        <f t="shared" si="0"/>
        <v>11846.25</v>
      </c>
      <c r="G184" s="137"/>
    </row>
    <row r="185" spans="1:7" x14ac:dyDescent="0.2">
      <c r="A185" s="1536" t="s">
        <v>963</v>
      </c>
      <c r="B185" s="1537"/>
      <c r="C185" s="134" t="s">
        <v>6</v>
      </c>
      <c r="D185" s="135">
        <v>2050</v>
      </c>
      <c r="E185" s="134">
        <v>1.55</v>
      </c>
      <c r="F185" s="135">
        <f t="shared" si="0"/>
        <v>3177.5</v>
      </c>
      <c r="G185" s="137"/>
    </row>
    <row r="186" spans="1:7" x14ac:dyDescent="0.2">
      <c r="A186" s="1536" t="s">
        <v>964</v>
      </c>
      <c r="B186" s="1537"/>
      <c r="C186" s="134" t="s">
        <v>2</v>
      </c>
      <c r="D186" s="135">
        <v>6550</v>
      </c>
      <c r="E186" s="134">
        <v>2</v>
      </c>
      <c r="F186" s="135">
        <f t="shared" si="0"/>
        <v>13100</v>
      </c>
      <c r="G186" s="137"/>
    </row>
    <row r="187" spans="1:7" x14ac:dyDescent="0.2">
      <c r="A187" s="1536" t="s">
        <v>57</v>
      </c>
      <c r="B187" s="1537"/>
      <c r="C187" s="134" t="s">
        <v>7</v>
      </c>
      <c r="D187" s="135">
        <v>15600</v>
      </c>
      <c r="E187" s="134">
        <v>0.6</v>
      </c>
      <c r="F187" s="135">
        <f t="shared" si="0"/>
        <v>9360</v>
      </c>
      <c r="G187" s="137"/>
    </row>
    <row r="188" spans="1:7" ht="13.5" thickBot="1" x14ac:dyDescent="0.25">
      <c r="A188" s="1538" t="s">
        <v>913</v>
      </c>
      <c r="B188" s="1539"/>
      <c r="C188" s="138" t="s">
        <v>64</v>
      </c>
      <c r="D188" s="139">
        <v>24450</v>
      </c>
      <c r="E188" s="138">
        <v>0.1</v>
      </c>
      <c r="F188" s="139">
        <f t="shared" si="0"/>
        <v>2445</v>
      </c>
      <c r="G188" s="140"/>
    </row>
    <row r="189" spans="1:7" ht="13.5" thickBot="1" x14ac:dyDescent="0.25">
      <c r="A189" s="1527" t="s">
        <v>125</v>
      </c>
      <c r="B189" s="1528"/>
      <c r="C189" s="1528"/>
      <c r="D189" s="1528"/>
      <c r="E189" s="1528"/>
      <c r="F189" s="1529" t="s">
        <v>113</v>
      </c>
      <c r="G189" s="181">
        <f>SUM(F182:F188)</f>
        <v>127943.75</v>
      </c>
    </row>
    <row r="190" spans="1:7" ht="13.5" thickBot="1" x14ac:dyDescent="0.25">
      <c r="A190" s="193" t="s">
        <v>117</v>
      </c>
      <c r="B190" s="179"/>
      <c r="C190" s="179"/>
      <c r="D190" s="179"/>
      <c r="E190" s="179"/>
      <c r="F190" s="179"/>
      <c r="G190" s="179"/>
    </row>
    <row r="191" spans="1:7" ht="13.5" thickBot="1" x14ac:dyDescent="0.25">
      <c r="A191" s="1530" t="s">
        <v>109</v>
      </c>
      <c r="B191" s="1531"/>
      <c r="C191" s="63" t="s">
        <v>114</v>
      </c>
      <c r="D191" s="63" t="s">
        <v>115</v>
      </c>
      <c r="E191" s="63" t="s">
        <v>116</v>
      </c>
      <c r="F191" s="63" t="s">
        <v>112</v>
      </c>
      <c r="G191" s="115"/>
    </row>
    <row r="192" spans="1:7" x14ac:dyDescent="0.2">
      <c r="A192" s="1540" t="s">
        <v>205</v>
      </c>
      <c r="B192" s="1541"/>
      <c r="C192" s="189" t="s">
        <v>159</v>
      </c>
      <c r="D192" s="130">
        <v>60714.285714285717</v>
      </c>
      <c r="E192" s="190">
        <v>0</v>
      </c>
      <c r="F192" s="135">
        <f>D192*E192</f>
        <v>0</v>
      </c>
      <c r="G192" s="132"/>
    </row>
    <row r="193" spans="1:7" ht="13.5" thickBot="1" x14ac:dyDescent="0.25">
      <c r="A193" s="1542"/>
      <c r="B193" s="1535"/>
      <c r="C193" s="189"/>
      <c r="D193" s="139"/>
      <c r="E193" s="188"/>
      <c r="F193" s="139">
        <f>D193*E193</f>
        <v>0</v>
      </c>
      <c r="G193" s="187"/>
    </row>
    <row r="194" spans="1:7" ht="13.5" thickBot="1" x14ac:dyDescent="0.25">
      <c r="A194" s="1527" t="s">
        <v>125</v>
      </c>
      <c r="B194" s="1528"/>
      <c r="C194" s="1528"/>
      <c r="D194" s="1528"/>
      <c r="E194" s="1528"/>
      <c r="F194" s="1529" t="s">
        <v>113</v>
      </c>
      <c r="G194" s="181">
        <f>SUM(F193:F193)</f>
        <v>0</v>
      </c>
    </row>
    <row r="195" spans="1:7" ht="13.5" thickBot="1" x14ac:dyDescent="0.25">
      <c r="A195" s="193" t="s">
        <v>119</v>
      </c>
      <c r="B195" s="179"/>
      <c r="C195" s="179"/>
      <c r="D195" s="179"/>
      <c r="E195" s="179"/>
      <c r="F195" s="179"/>
      <c r="G195" s="179"/>
    </row>
    <row r="196" spans="1:7" ht="13.5" thickBot="1" x14ac:dyDescent="0.25">
      <c r="A196" s="1530" t="s">
        <v>120</v>
      </c>
      <c r="B196" s="1531"/>
      <c r="C196" s="63" t="s">
        <v>121</v>
      </c>
      <c r="D196" s="63" t="s">
        <v>114</v>
      </c>
      <c r="E196" s="63" t="s">
        <v>116</v>
      </c>
      <c r="F196" s="63" t="s">
        <v>112</v>
      </c>
      <c r="G196" s="121"/>
    </row>
    <row r="197" spans="1:7" x14ac:dyDescent="0.2">
      <c r="A197" s="1532" t="s">
        <v>975</v>
      </c>
      <c r="B197" s="1533"/>
      <c r="C197" s="122">
        <v>14142.890951641079</v>
      </c>
      <c r="D197" s="185">
        <v>1</v>
      </c>
      <c r="E197" s="185">
        <v>6.0454400937086321</v>
      </c>
      <c r="F197" s="124">
        <f>+(C197*D197)*E197</f>
        <v>85500</v>
      </c>
      <c r="G197" s="132"/>
    </row>
    <row r="198" spans="1:7" ht="13.5" thickBot="1" x14ac:dyDescent="0.25">
      <c r="A198" s="1534"/>
      <c r="B198" s="1535"/>
      <c r="C198" s="184"/>
      <c r="D198" s="183"/>
      <c r="E198" s="183"/>
      <c r="F198" s="182"/>
      <c r="G198" s="140"/>
    </row>
    <row r="199" spans="1:7" ht="13.5" thickBot="1" x14ac:dyDescent="0.25">
      <c r="A199" s="1527" t="str">
        <f>+A194</f>
        <v>SUB-TOTAL</v>
      </c>
      <c r="B199" s="1528"/>
      <c r="C199" s="1528"/>
      <c r="D199" s="1528"/>
      <c r="E199" s="1528"/>
      <c r="F199" s="1529" t="s">
        <v>113</v>
      </c>
      <c r="G199" s="181">
        <f>SUM(F197:F198)</f>
        <v>85500</v>
      </c>
    </row>
    <row r="200" spans="1:7" ht="11.25" customHeight="1" thickBot="1" x14ac:dyDescent="0.25">
      <c r="A200" s="179"/>
      <c r="B200" s="179"/>
      <c r="C200" s="179"/>
      <c r="D200" s="179"/>
      <c r="E200" s="179"/>
      <c r="F200" s="180"/>
      <c r="G200" s="179"/>
    </row>
    <row r="201" spans="1:7" ht="13.5" thickBot="1" x14ac:dyDescent="0.25">
      <c r="A201" s="1527" t="s">
        <v>156</v>
      </c>
      <c r="B201" s="1528"/>
      <c r="C201" s="1528"/>
      <c r="D201" s="1528"/>
      <c r="E201" s="1528"/>
      <c r="F201" s="1529"/>
      <c r="G201" s="178">
        <f>ROUND(G179+G189+G194+G199,0)</f>
        <v>231162</v>
      </c>
    </row>
    <row r="203" spans="1:7" ht="13.5" thickBot="1" x14ac:dyDescent="0.25"/>
    <row r="204" spans="1:7" ht="27" customHeight="1" x14ac:dyDescent="0.2">
      <c r="A204" s="1548" t="s">
        <v>122</v>
      </c>
      <c r="B204" s="1549"/>
      <c r="C204" s="1550"/>
      <c r="D204" s="50"/>
      <c r="E204" s="50"/>
      <c r="F204" s="50"/>
      <c r="G204" s="98"/>
    </row>
    <row r="205" spans="1:7" ht="24" customHeight="1" thickBot="1" x14ac:dyDescent="0.25">
      <c r="A205" s="1551" t="s">
        <v>276</v>
      </c>
      <c r="B205" s="1552"/>
      <c r="C205" s="1553"/>
      <c r="D205" s="99"/>
      <c r="E205" s="99"/>
      <c r="F205" s="99"/>
      <c r="G205" s="100"/>
    </row>
    <row r="206" spans="1:7" ht="13.5" thickBot="1" x14ac:dyDescent="0.25">
      <c r="A206" s="179"/>
      <c r="B206" s="179"/>
      <c r="C206" s="179"/>
      <c r="D206" s="179"/>
      <c r="E206" s="179"/>
      <c r="F206" s="179"/>
      <c r="G206" s="179"/>
    </row>
    <row r="207" spans="1:7" ht="90" customHeight="1" thickBot="1" x14ac:dyDescent="0.25">
      <c r="A207" s="1558" t="s">
        <v>957</v>
      </c>
      <c r="B207" s="1559"/>
      <c r="C207" s="1560"/>
      <c r="D207" s="1565" t="s">
        <v>322</v>
      </c>
      <c r="E207" s="1559"/>
      <c r="F207" s="1559"/>
      <c r="G207" s="1560"/>
    </row>
    <row r="208" spans="1:7" ht="13.5" thickBot="1" x14ac:dyDescent="0.25">
      <c r="A208" s="192"/>
      <c r="B208" s="192"/>
      <c r="C208" s="192"/>
      <c r="D208" s="192"/>
      <c r="E208" s="192"/>
      <c r="F208" s="192"/>
      <c r="G208" s="192"/>
    </row>
    <row r="209" spans="1:7" ht="12.75" customHeight="1" thickBot="1" x14ac:dyDescent="0.25">
      <c r="A209" s="191"/>
      <c r="B209" s="179"/>
      <c r="D209" s="60" t="s">
        <v>124</v>
      </c>
      <c r="E209" s="61" t="s">
        <v>6</v>
      </c>
      <c r="F209" s="191"/>
      <c r="G209" s="191"/>
    </row>
    <row r="210" spans="1:7" ht="13.5" thickBot="1" x14ac:dyDescent="0.25">
      <c r="A210" s="186" t="s">
        <v>108</v>
      </c>
      <c r="B210" s="179"/>
      <c r="C210" s="179"/>
      <c r="D210" s="179"/>
      <c r="E210" s="179"/>
      <c r="F210" s="179"/>
      <c r="G210" s="179"/>
    </row>
    <row r="211" spans="1:7" ht="13.5" customHeight="1" thickBot="1" x14ac:dyDescent="0.25">
      <c r="A211" s="1530" t="s">
        <v>109</v>
      </c>
      <c r="B211" s="1554"/>
      <c r="C211" s="1531"/>
      <c r="D211" s="63" t="s">
        <v>110</v>
      </c>
      <c r="E211" s="63" t="s">
        <v>111</v>
      </c>
      <c r="F211" s="63" t="s">
        <v>112</v>
      </c>
      <c r="G211" s="104"/>
    </row>
    <row r="212" spans="1:7" x14ac:dyDescent="0.2">
      <c r="A212" s="1540" t="s">
        <v>131</v>
      </c>
      <c r="B212" s="1555"/>
      <c r="C212" s="1541"/>
      <c r="D212" s="130">
        <v>2062.5</v>
      </c>
      <c r="E212" s="131">
        <f>+E233</f>
        <v>6.0454400937086321</v>
      </c>
      <c r="F212" s="130">
        <f>+E212*D212</f>
        <v>12468.720193274054</v>
      </c>
      <c r="G212" s="132"/>
    </row>
    <row r="213" spans="1:7" x14ac:dyDescent="0.2">
      <c r="A213" s="1543" t="s">
        <v>139</v>
      </c>
      <c r="B213" s="1544"/>
      <c r="C213" s="1545"/>
      <c r="D213" s="135">
        <v>8125</v>
      </c>
      <c r="E213" s="136">
        <v>0.08</v>
      </c>
      <c r="F213" s="135">
        <f>+E213*D213</f>
        <v>650</v>
      </c>
      <c r="G213" s="137"/>
    </row>
    <row r="214" spans="1:7" x14ac:dyDescent="0.2">
      <c r="A214" s="1543" t="s">
        <v>147</v>
      </c>
      <c r="B214" s="1544"/>
      <c r="C214" s="1545"/>
      <c r="D214" s="135">
        <v>1500</v>
      </c>
      <c r="E214" s="136">
        <v>1</v>
      </c>
      <c r="F214" s="135">
        <f>+E214*D214</f>
        <v>1500</v>
      </c>
      <c r="G214" s="137"/>
    </row>
    <row r="215" spans="1:7" ht="13.5" thickBot="1" x14ac:dyDescent="0.25">
      <c r="A215" s="1542" t="s">
        <v>196</v>
      </c>
      <c r="B215" s="1564"/>
      <c r="C215" s="1535"/>
      <c r="D215" s="139">
        <v>4375</v>
      </c>
      <c r="E215" s="141">
        <f>+E213</f>
        <v>0.08</v>
      </c>
      <c r="F215" s="139">
        <f>+E215*D215</f>
        <v>350</v>
      </c>
      <c r="G215" s="140"/>
    </row>
    <row r="216" spans="1:7" ht="13.5" thickBot="1" x14ac:dyDescent="0.25">
      <c r="A216" s="1527" t="s">
        <v>125</v>
      </c>
      <c r="B216" s="1528"/>
      <c r="C216" s="1528"/>
      <c r="D216" s="1528"/>
      <c r="E216" s="1528"/>
      <c r="F216" s="1529"/>
      <c r="G216" s="181">
        <f>SUM(F212:F215)</f>
        <v>14968.720193274054</v>
      </c>
    </row>
    <row r="217" spans="1:7" ht="13.5" thickBot="1" x14ac:dyDescent="0.25">
      <c r="A217" s="186" t="s">
        <v>123</v>
      </c>
      <c r="B217" s="179"/>
      <c r="C217" s="179"/>
      <c r="D217" s="179"/>
      <c r="E217" s="179"/>
      <c r="F217" s="179"/>
      <c r="G217" s="179"/>
    </row>
    <row r="218" spans="1:7" ht="13.5" thickBot="1" x14ac:dyDescent="0.25">
      <c r="A218" s="1530" t="s">
        <v>109</v>
      </c>
      <c r="B218" s="1531"/>
      <c r="C218" s="63" t="s">
        <v>114</v>
      </c>
      <c r="D218" s="63" t="s">
        <v>115</v>
      </c>
      <c r="E218" s="63" t="s">
        <v>116</v>
      </c>
      <c r="F218" s="63" t="s">
        <v>112</v>
      </c>
      <c r="G218" s="104"/>
    </row>
    <row r="219" spans="1:7" x14ac:dyDescent="0.2">
      <c r="A219" s="1536" t="s">
        <v>961</v>
      </c>
      <c r="B219" s="1537"/>
      <c r="C219" s="134" t="s">
        <v>6</v>
      </c>
      <c r="D219" s="135">
        <v>10150</v>
      </c>
      <c r="E219" s="134">
        <v>6.65</v>
      </c>
      <c r="F219" s="135">
        <f t="shared" ref="F219:F224" si="1">+E219*D219</f>
        <v>67497.5</v>
      </c>
      <c r="G219" s="137"/>
    </row>
    <row r="220" spans="1:7" x14ac:dyDescent="0.2">
      <c r="A220" s="1536" t="s">
        <v>963</v>
      </c>
      <c r="B220" s="1537"/>
      <c r="C220" s="134" t="s">
        <v>6</v>
      </c>
      <c r="D220" s="135">
        <v>2050</v>
      </c>
      <c r="E220" s="134">
        <v>7.4</v>
      </c>
      <c r="F220" s="135">
        <f t="shared" si="1"/>
        <v>15170</v>
      </c>
      <c r="G220" s="137"/>
    </row>
    <row r="221" spans="1:7" x14ac:dyDescent="0.2">
      <c r="A221" s="1536" t="s">
        <v>965</v>
      </c>
      <c r="B221" s="1537"/>
      <c r="C221" s="134" t="s">
        <v>6</v>
      </c>
      <c r="D221" s="135">
        <v>9691.6666666666661</v>
      </c>
      <c r="E221" s="134">
        <v>0.35</v>
      </c>
      <c r="F221" s="135">
        <f t="shared" si="1"/>
        <v>3392.083333333333</v>
      </c>
      <c r="G221" s="137"/>
    </row>
    <row r="222" spans="1:7" ht="24.75" customHeight="1" x14ac:dyDescent="0.2">
      <c r="A222" s="1536" t="s">
        <v>966</v>
      </c>
      <c r="B222" s="1537"/>
      <c r="C222" s="134" t="s">
        <v>2</v>
      </c>
      <c r="D222" s="135">
        <v>4550</v>
      </c>
      <c r="E222" s="194">
        <v>1</v>
      </c>
      <c r="F222" s="135">
        <f t="shared" si="1"/>
        <v>4550</v>
      </c>
      <c r="G222" s="137"/>
    </row>
    <row r="223" spans="1:7" x14ac:dyDescent="0.2">
      <c r="A223" s="1536" t="s">
        <v>57</v>
      </c>
      <c r="B223" s="1537"/>
      <c r="C223" s="134" t="s">
        <v>7</v>
      </c>
      <c r="D223" s="135">
        <v>15600</v>
      </c>
      <c r="E223" s="134">
        <v>0.19</v>
      </c>
      <c r="F223" s="135">
        <f t="shared" si="1"/>
        <v>2964</v>
      </c>
      <c r="G223" s="137"/>
    </row>
    <row r="224" spans="1:7" ht="13.5" thickBot="1" x14ac:dyDescent="0.25">
      <c r="A224" s="1538" t="s">
        <v>913</v>
      </c>
      <c r="B224" s="1539"/>
      <c r="C224" s="138" t="s">
        <v>64</v>
      </c>
      <c r="D224" s="139">
        <v>24450</v>
      </c>
      <c r="E224" s="138">
        <v>0.03</v>
      </c>
      <c r="F224" s="139">
        <f t="shared" si="1"/>
        <v>733.5</v>
      </c>
      <c r="G224" s="140"/>
    </row>
    <row r="225" spans="1:7" ht="13.5" thickBot="1" x14ac:dyDescent="0.25">
      <c r="A225" s="1527" t="s">
        <v>125</v>
      </c>
      <c r="B225" s="1528"/>
      <c r="C225" s="1528"/>
      <c r="D225" s="1528"/>
      <c r="E225" s="1528"/>
      <c r="F225" s="1529" t="s">
        <v>113</v>
      </c>
      <c r="G225" s="181">
        <f>SUM(F219:F224)</f>
        <v>94307.083333333328</v>
      </c>
    </row>
    <row r="226" spans="1:7" ht="13.5" thickBot="1" x14ac:dyDescent="0.25">
      <c r="A226" s="193" t="s">
        <v>117</v>
      </c>
      <c r="B226" s="179"/>
      <c r="C226" s="179"/>
      <c r="D226" s="179"/>
      <c r="E226" s="179"/>
      <c r="F226" s="179"/>
      <c r="G226" s="179"/>
    </row>
    <row r="227" spans="1:7" ht="13.5" thickBot="1" x14ac:dyDescent="0.25">
      <c r="A227" s="1530" t="s">
        <v>109</v>
      </c>
      <c r="B227" s="1531"/>
      <c r="C227" s="63" t="s">
        <v>114</v>
      </c>
      <c r="D227" s="63" t="s">
        <v>115</v>
      </c>
      <c r="E227" s="63" t="s">
        <v>116</v>
      </c>
      <c r="F227" s="63" t="s">
        <v>112</v>
      </c>
      <c r="G227" s="115"/>
    </row>
    <row r="228" spans="1:7" x14ac:dyDescent="0.2">
      <c r="A228" s="1540" t="s">
        <v>205</v>
      </c>
      <c r="B228" s="1541"/>
      <c r="C228" s="189" t="s">
        <v>159</v>
      </c>
      <c r="D228" s="130">
        <v>60714.285714285717</v>
      </c>
      <c r="E228" s="190">
        <v>0</v>
      </c>
      <c r="F228" s="135">
        <f>D228*E228</f>
        <v>0</v>
      </c>
      <c r="G228" s="132"/>
    </row>
    <row r="229" spans="1:7" ht="13.5" thickBot="1" x14ac:dyDescent="0.25">
      <c r="A229" s="1542"/>
      <c r="B229" s="1535"/>
      <c r="C229" s="189"/>
      <c r="D229" s="139"/>
      <c r="E229" s="188"/>
      <c r="F229" s="139">
        <f>D229*E229</f>
        <v>0</v>
      </c>
      <c r="G229" s="187"/>
    </row>
    <row r="230" spans="1:7" ht="13.5" thickBot="1" x14ac:dyDescent="0.25">
      <c r="A230" s="1527" t="s">
        <v>125</v>
      </c>
      <c r="B230" s="1528"/>
      <c r="C230" s="1528"/>
      <c r="D230" s="1528"/>
      <c r="E230" s="1528"/>
      <c r="F230" s="1529" t="s">
        <v>113</v>
      </c>
      <c r="G230" s="181">
        <f>SUM(F229:F229)</f>
        <v>0</v>
      </c>
    </row>
    <row r="231" spans="1:7" ht="13.5" thickBot="1" x14ac:dyDescent="0.25">
      <c r="A231" s="193" t="s">
        <v>119</v>
      </c>
      <c r="B231" s="179"/>
      <c r="C231" s="179"/>
      <c r="D231" s="179"/>
      <c r="E231" s="179"/>
      <c r="F231" s="179"/>
      <c r="G231" s="179"/>
    </row>
    <row r="232" spans="1:7" ht="13.5" thickBot="1" x14ac:dyDescent="0.25">
      <c r="A232" s="1530" t="s">
        <v>120</v>
      </c>
      <c r="B232" s="1531"/>
      <c r="C232" s="63" t="s">
        <v>121</v>
      </c>
      <c r="D232" s="63" t="s">
        <v>114</v>
      </c>
      <c r="E232" s="63" t="s">
        <v>116</v>
      </c>
      <c r="F232" s="63" t="s">
        <v>112</v>
      </c>
      <c r="G232" s="121"/>
    </row>
    <row r="233" spans="1:7" x14ac:dyDescent="0.2">
      <c r="A233" s="1532" t="s">
        <v>975</v>
      </c>
      <c r="B233" s="1533"/>
      <c r="C233" s="122">
        <v>14142.890951641079</v>
      </c>
      <c r="D233" s="185">
        <v>1</v>
      </c>
      <c r="E233" s="185">
        <f>+E197</f>
        <v>6.0454400937086321</v>
      </c>
      <c r="F233" s="124">
        <f>+(C233*D233)*E233</f>
        <v>85500</v>
      </c>
      <c r="G233" s="132"/>
    </row>
    <row r="234" spans="1:7" ht="13.5" thickBot="1" x14ac:dyDescent="0.25">
      <c r="A234" s="1534"/>
      <c r="B234" s="1535"/>
      <c r="C234" s="184"/>
      <c r="D234" s="183"/>
      <c r="E234" s="183"/>
      <c r="F234" s="182"/>
      <c r="G234" s="140"/>
    </row>
    <row r="235" spans="1:7" ht="13.5" thickBot="1" x14ac:dyDescent="0.25">
      <c r="A235" s="1527" t="str">
        <f>+A230</f>
        <v>SUB-TOTAL</v>
      </c>
      <c r="B235" s="1528"/>
      <c r="C235" s="1528"/>
      <c r="D235" s="1528"/>
      <c r="E235" s="1528"/>
      <c r="F235" s="1529" t="s">
        <v>113</v>
      </c>
      <c r="G235" s="181">
        <f>SUM(F233:F234)</f>
        <v>85500</v>
      </c>
    </row>
    <row r="236" spans="1:7" ht="11.25" customHeight="1" thickBot="1" x14ac:dyDescent="0.25">
      <c r="A236" s="179"/>
      <c r="B236" s="179"/>
      <c r="C236" s="179"/>
      <c r="D236" s="179"/>
      <c r="E236" s="179"/>
      <c r="F236" s="180"/>
      <c r="G236" s="179"/>
    </row>
    <row r="237" spans="1:7" ht="13.5" thickBot="1" x14ac:dyDescent="0.25">
      <c r="A237" s="1527" t="s">
        <v>156</v>
      </c>
      <c r="B237" s="1528"/>
      <c r="C237" s="1528"/>
      <c r="D237" s="1528"/>
      <c r="E237" s="1528"/>
      <c r="F237" s="1529"/>
      <c r="G237" s="178">
        <f>ROUND(G216+G225+G230+G235,0)</f>
        <v>194776</v>
      </c>
    </row>
    <row r="239" spans="1:7" ht="13.5" thickBot="1" x14ac:dyDescent="0.25"/>
    <row r="240" spans="1:7" ht="27" customHeight="1" x14ac:dyDescent="0.2">
      <c r="A240" s="1548" t="s">
        <v>122</v>
      </c>
      <c r="B240" s="1549"/>
      <c r="C240" s="1550"/>
      <c r="D240" s="50"/>
      <c r="E240" s="50"/>
      <c r="F240" s="50"/>
      <c r="G240" s="98"/>
    </row>
    <row r="241" spans="1:7" ht="24" customHeight="1" thickBot="1" x14ac:dyDescent="0.25">
      <c r="A241" s="1551" t="s">
        <v>276</v>
      </c>
      <c r="B241" s="1552"/>
      <c r="C241" s="1553"/>
      <c r="D241" s="99"/>
      <c r="E241" s="99"/>
      <c r="F241" s="99"/>
      <c r="G241" s="100"/>
    </row>
    <row r="242" spans="1:7" ht="13.5" thickBot="1" x14ac:dyDescent="0.25">
      <c r="A242" s="179"/>
      <c r="B242" s="179"/>
      <c r="C242" s="179"/>
      <c r="D242" s="179"/>
      <c r="E242" s="179"/>
      <c r="F242" s="179"/>
      <c r="G242" s="179"/>
    </row>
    <row r="243" spans="1:7" ht="48.75" customHeight="1" thickBot="1" x14ac:dyDescent="0.25">
      <c r="A243" s="1558" t="s">
        <v>957</v>
      </c>
      <c r="B243" s="1559"/>
      <c r="C243" s="1560"/>
      <c r="D243" s="1565" t="s">
        <v>321</v>
      </c>
      <c r="E243" s="1559"/>
      <c r="F243" s="1559"/>
      <c r="G243" s="1560"/>
    </row>
    <row r="244" spans="1:7" ht="13.5" thickBot="1" x14ac:dyDescent="0.25">
      <c r="A244" s="192"/>
      <c r="B244" s="192"/>
      <c r="C244" s="192"/>
      <c r="D244" s="192"/>
      <c r="E244" s="192"/>
      <c r="F244" s="192"/>
      <c r="G244" s="192"/>
    </row>
    <row r="245" spans="1:7" ht="12.75" customHeight="1" thickBot="1" x14ac:dyDescent="0.25">
      <c r="A245" s="191"/>
      <c r="B245" s="179"/>
      <c r="D245" s="60" t="s">
        <v>124</v>
      </c>
      <c r="E245" s="61" t="s">
        <v>6</v>
      </c>
      <c r="F245" s="191"/>
      <c r="G245" s="191"/>
    </row>
    <row r="246" spans="1:7" ht="13.5" thickBot="1" x14ac:dyDescent="0.25">
      <c r="A246" s="186" t="s">
        <v>108</v>
      </c>
      <c r="B246" s="179"/>
      <c r="C246" s="179"/>
      <c r="D246" s="179"/>
      <c r="E246" s="179"/>
      <c r="F246" s="179"/>
      <c r="G246" s="179"/>
    </row>
    <row r="247" spans="1:7" ht="13.5" customHeight="1" thickBot="1" x14ac:dyDescent="0.25">
      <c r="A247" s="1530" t="s">
        <v>109</v>
      </c>
      <c r="B247" s="1554"/>
      <c r="C247" s="1531"/>
      <c r="D247" s="63" t="s">
        <v>110</v>
      </c>
      <c r="E247" s="63" t="s">
        <v>111</v>
      </c>
      <c r="F247" s="63" t="s">
        <v>112</v>
      </c>
      <c r="G247" s="104"/>
    </row>
    <row r="248" spans="1:7" x14ac:dyDescent="0.2">
      <c r="A248" s="1540" t="s">
        <v>131</v>
      </c>
      <c r="B248" s="1555"/>
      <c r="C248" s="1541"/>
      <c r="D248" s="130">
        <v>2062.5</v>
      </c>
      <c r="E248" s="131">
        <f>+E268</f>
        <v>6.0454400937086321</v>
      </c>
      <c r="F248" s="130">
        <f>+E248*D248</f>
        <v>12468.720193274054</v>
      </c>
      <c r="G248" s="132"/>
    </row>
    <row r="249" spans="1:7" x14ac:dyDescent="0.2">
      <c r="A249" s="1543" t="s">
        <v>139</v>
      </c>
      <c r="B249" s="1544"/>
      <c r="C249" s="1545"/>
      <c r="D249" s="135">
        <v>8125</v>
      </c>
      <c r="E249" s="136">
        <v>0.08</v>
      </c>
      <c r="F249" s="135">
        <f>+E249*D249</f>
        <v>650</v>
      </c>
      <c r="G249" s="137"/>
    </row>
    <row r="250" spans="1:7" x14ac:dyDescent="0.2">
      <c r="A250" s="1543" t="s">
        <v>147</v>
      </c>
      <c r="B250" s="1544"/>
      <c r="C250" s="1545"/>
      <c r="D250" s="135">
        <v>1500</v>
      </c>
      <c r="E250" s="136">
        <v>1</v>
      </c>
      <c r="F250" s="135">
        <f>+E250*D250</f>
        <v>1500</v>
      </c>
      <c r="G250" s="137"/>
    </row>
    <row r="251" spans="1:7" ht="13.5" thickBot="1" x14ac:dyDescent="0.25">
      <c r="A251" s="1542" t="s">
        <v>196</v>
      </c>
      <c r="B251" s="1564"/>
      <c r="C251" s="1535"/>
      <c r="D251" s="139">
        <v>4375</v>
      </c>
      <c r="E251" s="141">
        <f>+E249</f>
        <v>0.08</v>
      </c>
      <c r="F251" s="139">
        <f>+E251*D251</f>
        <v>350</v>
      </c>
      <c r="G251" s="140"/>
    </row>
    <row r="252" spans="1:7" ht="13.5" thickBot="1" x14ac:dyDescent="0.25">
      <c r="A252" s="1527" t="s">
        <v>125</v>
      </c>
      <c r="B252" s="1528"/>
      <c r="C252" s="1528"/>
      <c r="D252" s="1528"/>
      <c r="E252" s="1528"/>
      <c r="F252" s="1529"/>
      <c r="G252" s="181">
        <f>SUM(F248:F251)</f>
        <v>14968.720193274054</v>
      </c>
    </row>
    <row r="253" spans="1:7" ht="13.5" thickBot="1" x14ac:dyDescent="0.25">
      <c r="A253" s="186" t="s">
        <v>123</v>
      </c>
      <c r="B253" s="179"/>
      <c r="C253" s="179"/>
      <c r="D253" s="179"/>
      <c r="E253" s="179"/>
      <c r="F253" s="179"/>
      <c r="G253" s="179"/>
    </row>
    <row r="254" spans="1:7" ht="13.5" thickBot="1" x14ac:dyDescent="0.25">
      <c r="A254" s="1530" t="s">
        <v>109</v>
      </c>
      <c r="B254" s="1531"/>
      <c r="C254" s="63" t="s">
        <v>114</v>
      </c>
      <c r="D254" s="63" t="s">
        <v>115</v>
      </c>
      <c r="E254" s="63" t="s">
        <v>116</v>
      </c>
      <c r="F254" s="63" t="s">
        <v>112</v>
      </c>
      <c r="G254" s="104"/>
    </row>
    <row r="255" spans="1:7" x14ac:dyDescent="0.2">
      <c r="A255" s="1536" t="s">
        <v>961</v>
      </c>
      <c r="B255" s="1537"/>
      <c r="C255" s="134" t="s">
        <v>6</v>
      </c>
      <c r="D255" s="135">
        <v>10150</v>
      </c>
      <c r="E255" s="134">
        <v>4.5999999999999996</v>
      </c>
      <c r="F255" s="135">
        <f>+E255*D255</f>
        <v>46690</v>
      </c>
      <c r="G255" s="137"/>
    </row>
    <row r="256" spans="1:7" x14ac:dyDescent="0.2">
      <c r="A256" s="1536" t="s">
        <v>963</v>
      </c>
      <c r="B256" s="1537"/>
      <c r="C256" s="134" t="s">
        <v>6</v>
      </c>
      <c r="D256" s="135">
        <v>2050</v>
      </c>
      <c r="E256" s="134">
        <v>6.44</v>
      </c>
      <c r="F256" s="135">
        <f>+E256*D256</f>
        <v>13202</v>
      </c>
      <c r="G256" s="137"/>
    </row>
    <row r="257" spans="1:10" x14ac:dyDescent="0.2">
      <c r="A257" s="2248" t="s">
        <v>57</v>
      </c>
      <c r="B257" s="2249"/>
      <c r="C257" s="134" t="s">
        <v>7</v>
      </c>
      <c r="D257" s="135">
        <v>15600</v>
      </c>
      <c r="E257" s="134">
        <v>0.19</v>
      </c>
      <c r="F257" s="135">
        <f>+E257*D257</f>
        <v>2964</v>
      </c>
      <c r="G257" s="137"/>
    </row>
    <row r="258" spans="1:10" ht="12.75" customHeight="1" x14ac:dyDescent="0.2">
      <c r="A258" s="2248" t="s">
        <v>913</v>
      </c>
      <c r="B258" s="2249"/>
      <c r="C258" s="134" t="s">
        <v>64</v>
      </c>
      <c r="D258" s="135">
        <v>24450</v>
      </c>
      <c r="E258" s="134">
        <v>0.03</v>
      </c>
      <c r="F258" s="135">
        <f>+E258*D258</f>
        <v>733.5</v>
      </c>
      <c r="G258" s="137"/>
    </row>
    <row r="259" spans="1:10" ht="13.5" thickBot="1" x14ac:dyDescent="0.25">
      <c r="A259" s="1538"/>
      <c r="B259" s="1539"/>
      <c r="C259" s="138"/>
      <c r="D259" s="139"/>
      <c r="E259" s="138"/>
      <c r="F259" s="139"/>
      <c r="G259" s="140"/>
    </row>
    <row r="260" spans="1:10" ht="13.5" thickBot="1" x14ac:dyDescent="0.25">
      <c r="A260" s="1527" t="s">
        <v>125</v>
      </c>
      <c r="B260" s="1528"/>
      <c r="C260" s="1528"/>
      <c r="D260" s="1528"/>
      <c r="E260" s="1528"/>
      <c r="F260" s="1529" t="s">
        <v>113</v>
      </c>
      <c r="G260" s="181">
        <f>SUM(F255:F259)</f>
        <v>63589.5</v>
      </c>
    </row>
    <row r="261" spans="1:10" ht="13.5" thickBot="1" x14ac:dyDescent="0.25">
      <c r="A261" s="193" t="s">
        <v>117</v>
      </c>
      <c r="B261" s="179"/>
      <c r="C261" s="179"/>
      <c r="D261" s="179"/>
      <c r="E261" s="179"/>
      <c r="F261" s="179"/>
      <c r="G261" s="179"/>
    </row>
    <row r="262" spans="1:10" ht="13.5" thickBot="1" x14ac:dyDescent="0.25">
      <c r="A262" s="1530" t="s">
        <v>109</v>
      </c>
      <c r="B262" s="1531"/>
      <c r="C262" s="63" t="s">
        <v>114</v>
      </c>
      <c r="D262" s="63" t="s">
        <v>115</v>
      </c>
      <c r="E262" s="63" t="s">
        <v>116</v>
      </c>
      <c r="F262" s="63" t="s">
        <v>112</v>
      </c>
      <c r="G262" s="115"/>
    </row>
    <row r="263" spans="1:10" x14ac:dyDescent="0.2">
      <c r="A263" s="1540" t="s">
        <v>205</v>
      </c>
      <c r="B263" s="1541"/>
      <c r="C263" s="189" t="s">
        <v>159</v>
      </c>
      <c r="D263" s="130">
        <v>60714.285714285717</v>
      </c>
      <c r="E263" s="190">
        <v>0</v>
      </c>
      <c r="F263" s="135">
        <f>D263*E263</f>
        <v>0</v>
      </c>
      <c r="G263" s="132"/>
    </row>
    <row r="264" spans="1:10" ht="13.5" thickBot="1" x14ac:dyDescent="0.25">
      <c r="A264" s="1542"/>
      <c r="B264" s="1535"/>
      <c r="C264" s="189"/>
      <c r="D264" s="139"/>
      <c r="E264" s="188"/>
      <c r="F264" s="139">
        <f>D264*E264</f>
        <v>0</v>
      </c>
      <c r="G264" s="187"/>
    </row>
    <row r="265" spans="1:10" ht="13.5" thickBot="1" x14ac:dyDescent="0.25">
      <c r="A265" s="1527" t="s">
        <v>125</v>
      </c>
      <c r="B265" s="1528"/>
      <c r="C265" s="1528"/>
      <c r="D265" s="1528"/>
      <c r="E265" s="1528"/>
      <c r="F265" s="1529" t="s">
        <v>113</v>
      </c>
      <c r="G265" s="181">
        <f>SUM(F264:F264)</f>
        <v>0</v>
      </c>
      <c r="J265" s="105">
        <f>80*5.7</f>
        <v>456</v>
      </c>
    </row>
    <row r="266" spans="1:10" ht="13.5" thickBot="1" x14ac:dyDescent="0.25">
      <c r="A266" s="193" t="s">
        <v>119</v>
      </c>
      <c r="B266" s="179"/>
      <c r="C266" s="179"/>
      <c r="D266" s="179"/>
      <c r="E266" s="179"/>
      <c r="F266" s="179"/>
      <c r="G266" s="179"/>
    </row>
    <row r="267" spans="1:10" ht="13.5" thickBot="1" x14ac:dyDescent="0.25">
      <c r="A267" s="1530" t="s">
        <v>120</v>
      </c>
      <c r="B267" s="1531"/>
      <c r="C267" s="63" t="s">
        <v>121</v>
      </c>
      <c r="D267" s="63" t="s">
        <v>114</v>
      </c>
      <c r="E267" s="63" t="s">
        <v>116</v>
      </c>
      <c r="F267" s="63" t="s">
        <v>112</v>
      </c>
      <c r="G267" s="121"/>
    </row>
    <row r="268" spans="1:10" x14ac:dyDescent="0.2">
      <c r="A268" s="1532" t="s">
        <v>975</v>
      </c>
      <c r="B268" s="1533"/>
      <c r="C268" s="122">
        <v>14142.890951641079</v>
      </c>
      <c r="D268" s="185">
        <v>1</v>
      </c>
      <c r="E268" s="185">
        <f>+E233</f>
        <v>6.0454400937086321</v>
      </c>
      <c r="F268" s="124">
        <f>+(C268*D268)*E268</f>
        <v>85500</v>
      </c>
      <c r="G268" s="132"/>
    </row>
    <row r="269" spans="1:10" ht="13.5" thickBot="1" x14ac:dyDescent="0.25">
      <c r="A269" s="1534"/>
      <c r="B269" s="1535"/>
      <c r="C269" s="184"/>
      <c r="D269" s="183"/>
      <c r="E269" s="183"/>
      <c r="F269" s="182"/>
      <c r="G269" s="140"/>
    </row>
    <row r="270" spans="1:10" ht="13.5" thickBot="1" x14ac:dyDescent="0.25">
      <c r="A270" s="1527" t="str">
        <f>+A265</f>
        <v>SUB-TOTAL</v>
      </c>
      <c r="B270" s="1528"/>
      <c r="C270" s="1528"/>
      <c r="D270" s="1528"/>
      <c r="E270" s="1528"/>
      <c r="F270" s="1529" t="s">
        <v>113</v>
      </c>
      <c r="G270" s="181">
        <f>SUM(F268:F269)</f>
        <v>85500</v>
      </c>
    </row>
    <row r="271" spans="1:10" ht="11.25" customHeight="1" thickBot="1" x14ac:dyDescent="0.25">
      <c r="A271" s="179"/>
      <c r="B271" s="179"/>
      <c r="C271" s="179"/>
      <c r="D271" s="179"/>
      <c r="E271" s="179"/>
      <c r="F271" s="180"/>
      <c r="G271" s="179"/>
    </row>
    <row r="272" spans="1:10" ht="13.5" thickBot="1" x14ac:dyDescent="0.25">
      <c r="A272" s="1527" t="s">
        <v>156</v>
      </c>
      <c r="B272" s="1528"/>
      <c r="C272" s="1528"/>
      <c r="D272" s="1528"/>
      <c r="E272" s="1528"/>
      <c r="F272" s="1529"/>
      <c r="G272" s="178">
        <f>ROUND(G252+G260+G265+G270,0)</f>
        <v>164058</v>
      </c>
    </row>
    <row r="274" spans="1:7" ht="13.5" thickBot="1" x14ac:dyDescent="0.25"/>
    <row r="275" spans="1:7" ht="27" customHeight="1" x14ac:dyDescent="0.2">
      <c r="A275" s="1548" t="s">
        <v>122</v>
      </c>
      <c r="B275" s="1549"/>
      <c r="C275" s="1550"/>
      <c r="D275" s="50"/>
      <c r="E275" s="50"/>
      <c r="F275" s="50"/>
      <c r="G275" s="98"/>
    </row>
    <row r="276" spans="1:7" ht="24" customHeight="1" thickBot="1" x14ac:dyDescent="0.25">
      <c r="A276" s="1551" t="s">
        <v>276</v>
      </c>
      <c r="B276" s="1552"/>
      <c r="C276" s="1553"/>
      <c r="D276" s="99"/>
      <c r="E276" s="99"/>
      <c r="F276" s="99"/>
      <c r="G276" s="100"/>
    </row>
    <row r="277" spans="1:7" ht="13.5" thickBot="1" x14ac:dyDescent="0.25">
      <c r="A277" s="179"/>
      <c r="B277" s="179"/>
      <c r="C277" s="179"/>
      <c r="D277" s="179"/>
      <c r="E277" s="179"/>
      <c r="F277" s="179"/>
      <c r="G277" s="179"/>
    </row>
    <row r="278" spans="1:7" ht="48.75" customHeight="1" thickBot="1" x14ac:dyDescent="0.25">
      <c r="A278" s="1558" t="s">
        <v>957</v>
      </c>
      <c r="B278" s="1559"/>
      <c r="C278" s="1560"/>
      <c r="D278" s="1565" t="s">
        <v>320</v>
      </c>
      <c r="E278" s="1559"/>
      <c r="F278" s="1559"/>
      <c r="G278" s="1560"/>
    </row>
    <row r="279" spans="1:7" ht="13.5" thickBot="1" x14ac:dyDescent="0.25">
      <c r="A279" s="192"/>
      <c r="B279" s="192"/>
      <c r="C279" s="192"/>
      <c r="D279" s="192"/>
      <c r="E279" s="192"/>
      <c r="F279" s="192"/>
      <c r="G279" s="192"/>
    </row>
    <row r="280" spans="1:7" ht="12.75" customHeight="1" thickBot="1" x14ac:dyDescent="0.25">
      <c r="A280" s="191"/>
      <c r="B280" s="179"/>
      <c r="D280" s="60" t="s">
        <v>124</v>
      </c>
      <c r="E280" s="61" t="s">
        <v>2</v>
      </c>
      <c r="F280" s="191"/>
      <c r="G280" s="191"/>
    </row>
    <row r="281" spans="1:7" ht="13.5" thickBot="1" x14ac:dyDescent="0.25">
      <c r="A281" s="186" t="s">
        <v>108</v>
      </c>
      <c r="B281" s="179"/>
      <c r="C281" s="179"/>
      <c r="D281" s="179"/>
      <c r="E281" s="179"/>
      <c r="F281" s="179"/>
      <c r="G281" s="179"/>
    </row>
    <row r="282" spans="1:7" ht="13.5" customHeight="1" thickBot="1" x14ac:dyDescent="0.25">
      <c r="A282" s="1530" t="s">
        <v>109</v>
      </c>
      <c r="B282" s="1554"/>
      <c r="C282" s="1531"/>
      <c r="D282" s="63" t="s">
        <v>110</v>
      </c>
      <c r="E282" s="63" t="s">
        <v>111</v>
      </c>
      <c r="F282" s="63" t="s">
        <v>112</v>
      </c>
      <c r="G282" s="104"/>
    </row>
    <row r="283" spans="1:7" x14ac:dyDescent="0.2">
      <c r="A283" s="1540" t="s">
        <v>131</v>
      </c>
      <c r="B283" s="1555"/>
      <c r="C283" s="1541"/>
      <c r="D283" s="130">
        <v>2062.5</v>
      </c>
      <c r="E283" s="131">
        <f>+E302</f>
        <v>5.9393797411874276</v>
      </c>
      <c r="F283" s="130">
        <f>+E283*D283</f>
        <v>12249.97071619907</v>
      </c>
      <c r="G283" s="132"/>
    </row>
    <row r="284" spans="1:7" x14ac:dyDescent="0.2">
      <c r="A284" s="1543" t="s">
        <v>139</v>
      </c>
      <c r="B284" s="1544"/>
      <c r="C284" s="1545"/>
      <c r="D284" s="135">
        <v>8125</v>
      </c>
      <c r="E284" s="136">
        <v>3.4329999999999998</v>
      </c>
      <c r="F284" s="135">
        <f>+E284*D284</f>
        <v>27893.125</v>
      </c>
      <c r="G284" s="137"/>
    </row>
    <row r="285" spans="1:7" x14ac:dyDescent="0.2">
      <c r="A285" s="1543" t="s">
        <v>147</v>
      </c>
      <c r="B285" s="1544"/>
      <c r="C285" s="1545"/>
      <c r="D285" s="135">
        <v>1500</v>
      </c>
      <c r="E285" s="136">
        <v>1</v>
      </c>
      <c r="F285" s="135">
        <f>+E285*D285</f>
        <v>1500</v>
      </c>
      <c r="G285" s="137"/>
    </row>
    <row r="286" spans="1:7" ht="13.5" thickBot="1" x14ac:dyDescent="0.25">
      <c r="A286" s="1542" t="s">
        <v>196</v>
      </c>
      <c r="B286" s="1564"/>
      <c r="C286" s="1535"/>
      <c r="D286" s="139">
        <v>4375</v>
      </c>
      <c r="E286" s="141">
        <f>+E284</f>
        <v>3.4329999999999998</v>
      </c>
      <c r="F286" s="139">
        <f>+E286*D286</f>
        <v>15019.375</v>
      </c>
      <c r="G286" s="140"/>
    </row>
    <row r="287" spans="1:7" ht="13.5" thickBot="1" x14ac:dyDescent="0.25">
      <c r="A287" s="1527" t="s">
        <v>125</v>
      </c>
      <c r="B287" s="1528"/>
      <c r="C287" s="1528"/>
      <c r="D287" s="1528"/>
      <c r="E287" s="1528"/>
      <c r="F287" s="1529"/>
      <c r="G287" s="181">
        <f>SUM(F283:F286)</f>
        <v>56662.470716199066</v>
      </c>
    </row>
    <row r="288" spans="1:7" ht="13.5" thickBot="1" x14ac:dyDescent="0.25">
      <c r="A288" s="186" t="s">
        <v>123</v>
      </c>
      <c r="B288" s="179"/>
      <c r="C288" s="179"/>
      <c r="D288" s="179"/>
      <c r="E288" s="179"/>
      <c r="F288" s="179"/>
      <c r="G288" s="179"/>
    </row>
    <row r="289" spans="1:10" ht="13.5" thickBot="1" x14ac:dyDescent="0.25">
      <c r="A289" s="1530" t="s">
        <v>109</v>
      </c>
      <c r="B289" s="1531"/>
      <c r="C289" s="63" t="s">
        <v>114</v>
      </c>
      <c r="D289" s="63" t="s">
        <v>115</v>
      </c>
      <c r="E289" s="63" t="s">
        <v>116</v>
      </c>
      <c r="F289" s="63" t="s">
        <v>112</v>
      </c>
      <c r="G289" s="104"/>
    </row>
    <row r="290" spans="1:10" x14ac:dyDescent="0.2">
      <c r="A290" s="1536" t="s">
        <v>961</v>
      </c>
      <c r="B290" s="1537"/>
      <c r="C290" s="134" t="s">
        <v>6</v>
      </c>
      <c r="D290" s="135">
        <v>10150</v>
      </c>
      <c r="E290" s="134">
        <v>14.35</v>
      </c>
      <c r="F290" s="135">
        <f>+E290*D290</f>
        <v>145652.5</v>
      </c>
      <c r="G290" s="137"/>
    </row>
    <row r="291" spans="1:10" x14ac:dyDescent="0.2">
      <c r="A291" s="2248" t="s">
        <v>57</v>
      </c>
      <c r="B291" s="2249"/>
      <c r="C291" s="134" t="s">
        <v>7</v>
      </c>
      <c r="D291" s="135">
        <v>15600</v>
      </c>
      <c r="E291" s="134">
        <v>0.5</v>
      </c>
      <c r="F291" s="135">
        <f>+E291*D291</f>
        <v>7800</v>
      </c>
      <c r="G291" s="137"/>
    </row>
    <row r="292" spans="1:10" ht="12.75" customHeight="1" x14ac:dyDescent="0.2">
      <c r="A292" s="2248" t="s">
        <v>913</v>
      </c>
      <c r="B292" s="2249"/>
      <c r="C292" s="134" t="s">
        <v>64</v>
      </c>
      <c r="D292" s="135">
        <v>24450</v>
      </c>
      <c r="E292" s="134">
        <v>0.5</v>
      </c>
      <c r="F292" s="135">
        <f>+E292*D292</f>
        <v>12225</v>
      </c>
      <c r="G292" s="137"/>
    </row>
    <row r="293" spans="1:10" ht="13.5" thickBot="1" x14ac:dyDescent="0.25">
      <c r="A293" s="1538"/>
      <c r="B293" s="1539"/>
      <c r="C293" s="138"/>
      <c r="D293" s="139"/>
      <c r="E293" s="138"/>
      <c r="F293" s="139"/>
      <c r="G293" s="140"/>
    </row>
    <row r="294" spans="1:10" ht="13.5" thickBot="1" x14ac:dyDescent="0.25">
      <c r="A294" s="1527" t="s">
        <v>125</v>
      </c>
      <c r="B294" s="1528"/>
      <c r="C294" s="1528"/>
      <c r="D294" s="1528"/>
      <c r="E294" s="1528"/>
      <c r="F294" s="1529" t="s">
        <v>113</v>
      </c>
      <c r="G294" s="181">
        <f>SUM(F290:F293)</f>
        <v>165677.5</v>
      </c>
    </row>
    <row r="295" spans="1:10" ht="13.5" thickBot="1" x14ac:dyDescent="0.25">
      <c r="A295" s="193" t="s">
        <v>117</v>
      </c>
      <c r="B295" s="179"/>
      <c r="C295" s="179"/>
      <c r="D295" s="179"/>
      <c r="E295" s="179"/>
      <c r="F295" s="179"/>
      <c r="G295" s="179"/>
    </row>
    <row r="296" spans="1:10" ht="13.5" thickBot="1" x14ac:dyDescent="0.25">
      <c r="A296" s="1530" t="s">
        <v>109</v>
      </c>
      <c r="B296" s="1531"/>
      <c r="C296" s="63" t="s">
        <v>114</v>
      </c>
      <c r="D296" s="63" t="s">
        <v>115</v>
      </c>
      <c r="E296" s="63" t="s">
        <v>116</v>
      </c>
      <c r="F296" s="63" t="s">
        <v>112</v>
      </c>
      <c r="G296" s="115"/>
    </row>
    <row r="297" spans="1:10" x14ac:dyDescent="0.2">
      <c r="A297" s="1540" t="s">
        <v>205</v>
      </c>
      <c r="B297" s="1541"/>
      <c r="C297" s="189" t="s">
        <v>159</v>
      </c>
      <c r="D297" s="130">
        <v>60714.285714285717</v>
      </c>
      <c r="E297" s="190">
        <v>0</v>
      </c>
      <c r="F297" s="135">
        <f>D297*E297</f>
        <v>0</v>
      </c>
      <c r="G297" s="132"/>
    </row>
    <row r="298" spans="1:10" ht="13.5" thickBot="1" x14ac:dyDescent="0.25">
      <c r="A298" s="1542"/>
      <c r="B298" s="1535"/>
      <c r="C298" s="189"/>
      <c r="D298" s="139"/>
      <c r="E298" s="188"/>
      <c r="F298" s="139">
        <f>D298*E298</f>
        <v>0</v>
      </c>
      <c r="G298" s="187"/>
    </row>
    <row r="299" spans="1:10" ht="13.5" thickBot="1" x14ac:dyDescent="0.25">
      <c r="A299" s="1527" t="s">
        <v>125</v>
      </c>
      <c r="B299" s="1528"/>
      <c r="C299" s="1528"/>
      <c r="D299" s="1528"/>
      <c r="E299" s="1528"/>
      <c r="F299" s="1529" t="s">
        <v>113</v>
      </c>
      <c r="G299" s="181">
        <f>SUM(F298:F298)</f>
        <v>0</v>
      </c>
      <c r="J299" s="105">
        <f>80*5.7</f>
        <v>456</v>
      </c>
    </row>
    <row r="300" spans="1:10" ht="13.5" thickBot="1" x14ac:dyDescent="0.25">
      <c r="A300" s="193" t="s">
        <v>119</v>
      </c>
      <c r="B300" s="179"/>
      <c r="C300" s="179"/>
      <c r="D300" s="179"/>
      <c r="E300" s="179"/>
      <c r="F300" s="179"/>
      <c r="G300" s="179"/>
    </row>
    <row r="301" spans="1:10" ht="13.5" thickBot="1" x14ac:dyDescent="0.25">
      <c r="A301" s="1530" t="s">
        <v>120</v>
      </c>
      <c r="B301" s="1531"/>
      <c r="C301" s="63" t="s">
        <v>121</v>
      </c>
      <c r="D301" s="63" t="s">
        <v>114</v>
      </c>
      <c r="E301" s="63" t="s">
        <v>116</v>
      </c>
      <c r="F301" s="63" t="s">
        <v>112</v>
      </c>
      <c r="G301" s="121"/>
    </row>
    <row r="302" spans="1:10" x14ac:dyDescent="0.2">
      <c r="A302" s="1532" t="s">
        <v>975</v>
      </c>
      <c r="B302" s="1533"/>
      <c r="C302" s="122">
        <v>14142.890951641079</v>
      </c>
      <c r="D302" s="185">
        <v>1</v>
      </c>
      <c r="E302" s="185">
        <v>5.9393797411874276</v>
      </c>
      <c r="F302" s="124">
        <f>+(C302*D302)*E302</f>
        <v>84000</v>
      </c>
      <c r="G302" s="132"/>
      <c r="I302" s="105">
        <f>15*5.6</f>
        <v>84</v>
      </c>
    </row>
    <row r="303" spans="1:10" ht="13.5" thickBot="1" x14ac:dyDescent="0.25">
      <c r="A303" s="1534"/>
      <c r="B303" s="1535"/>
      <c r="C303" s="184"/>
      <c r="D303" s="183"/>
      <c r="E303" s="183"/>
      <c r="F303" s="182"/>
      <c r="G303" s="140"/>
    </row>
    <row r="304" spans="1:10" ht="13.5" thickBot="1" x14ac:dyDescent="0.25">
      <c r="A304" s="1527" t="str">
        <f>+A299</f>
        <v>SUB-TOTAL</v>
      </c>
      <c r="B304" s="1528"/>
      <c r="C304" s="1528"/>
      <c r="D304" s="1528"/>
      <c r="E304" s="1528"/>
      <c r="F304" s="1529" t="s">
        <v>113</v>
      </c>
      <c r="G304" s="181">
        <f>SUM(F302:F303)</f>
        <v>84000</v>
      </c>
    </row>
    <row r="305" spans="1:7" ht="11.25" customHeight="1" thickBot="1" x14ac:dyDescent="0.25">
      <c r="A305" s="179"/>
      <c r="B305" s="179"/>
      <c r="C305" s="179"/>
      <c r="D305" s="179"/>
      <c r="E305" s="179"/>
      <c r="F305" s="180"/>
      <c r="G305" s="179"/>
    </row>
    <row r="306" spans="1:7" ht="13.5" thickBot="1" x14ac:dyDescent="0.25">
      <c r="A306" s="1527" t="s">
        <v>156</v>
      </c>
      <c r="B306" s="1528"/>
      <c r="C306" s="1528"/>
      <c r="D306" s="1528"/>
      <c r="E306" s="1528"/>
      <c r="F306" s="1529"/>
      <c r="G306" s="178">
        <f>ROUND(G287+G294+G299+G304,0)</f>
        <v>306340</v>
      </c>
    </row>
    <row r="308" spans="1:7" ht="13.5" thickBot="1" x14ac:dyDescent="0.25"/>
    <row r="309" spans="1:7" ht="27" customHeight="1" x14ac:dyDescent="0.2">
      <c r="A309" s="1548" t="s">
        <v>122</v>
      </c>
      <c r="B309" s="1549"/>
      <c r="C309" s="1550"/>
      <c r="D309" s="50"/>
      <c r="E309" s="50"/>
      <c r="F309" s="50"/>
      <c r="G309" s="98"/>
    </row>
    <row r="310" spans="1:7" ht="24" customHeight="1" thickBot="1" x14ac:dyDescent="0.25">
      <c r="A310" s="1551" t="s">
        <v>276</v>
      </c>
      <c r="B310" s="1552"/>
      <c r="C310" s="1553"/>
      <c r="D310" s="99"/>
      <c r="E310" s="99"/>
      <c r="F310" s="99"/>
      <c r="G310" s="100"/>
    </row>
    <row r="311" spans="1:7" ht="13.5" thickBot="1" x14ac:dyDescent="0.25">
      <c r="A311" s="179"/>
      <c r="B311" s="179"/>
      <c r="C311" s="179"/>
      <c r="D311" s="179"/>
      <c r="E311" s="179"/>
      <c r="F311" s="179"/>
      <c r="G311" s="179"/>
    </row>
    <row r="312" spans="1:7" ht="81.75" customHeight="1" thickBot="1" x14ac:dyDescent="0.25">
      <c r="A312" s="1558" t="s">
        <v>957</v>
      </c>
      <c r="B312" s="1559"/>
      <c r="C312" s="1560"/>
      <c r="D312" s="1565" t="s">
        <v>319</v>
      </c>
      <c r="E312" s="1559"/>
      <c r="F312" s="1559"/>
      <c r="G312" s="1560"/>
    </row>
    <row r="313" spans="1:7" ht="13.5" thickBot="1" x14ac:dyDescent="0.25">
      <c r="A313" s="192"/>
      <c r="B313" s="192"/>
      <c r="C313" s="192"/>
      <c r="D313" s="192"/>
      <c r="E313" s="192"/>
      <c r="F313" s="192"/>
      <c r="G313" s="192"/>
    </row>
    <row r="314" spans="1:7" ht="12.75" customHeight="1" thickBot="1" x14ac:dyDescent="0.25">
      <c r="A314" s="191"/>
      <c r="B314" s="179"/>
      <c r="D314" s="60" t="s">
        <v>124</v>
      </c>
      <c r="E314" s="61" t="s">
        <v>6</v>
      </c>
      <c r="F314" s="191"/>
      <c r="G314" s="191"/>
    </row>
    <row r="315" spans="1:7" ht="13.5" thickBot="1" x14ac:dyDescent="0.25">
      <c r="A315" s="186" t="s">
        <v>108</v>
      </c>
      <c r="B315" s="179"/>
      <c r="C315" s="179"/>
      <c r="D315" s="179"/>
      <c r="E315" s="179"/>
      <c r="F315" s="179"/>
      <c r="G315" s="179"/>
    </row>
    <row r="316" spans="1:7" ht="13.5" customHeight="1" thickBot="1" x14ac:dyDescent="0.25">
      <c r="A316" s="1530" t="s">
        <v>109</v>
      </c>
      <c r="B316" s="1554"/>
      <c r="C316" s="1531"/>
      <c r="D316" s="63" t="s">
        <v>110</v>
      </c>
      <c r="E316" s="63" t="s">
        <v>111</v>
      </c>
      <c r="F316" s="63" t="s">
        <v>112</v>
      </c>
      <c r="G316" s="104"/>
    </row>
    <row r="317" spans="1:7" x14ac:dyDescent="0.2">
      <c r="A317" s="1540" t="s">
        <v>131</v>
      </c>
      <c r="B317" s="1555"/>
      <c r="C317" s="1541"/>
      <c r="D317" s="130">
        <v>2062.5</v>
      </c>
      <c r="E317" s="131">
        <f>+E339</f>
        <v>1.4530268295404951</v>
      </c>
      <c r="F317" s="130">
        <f>+E317*D317</f>
        <v>2996.8678359272712</v>
      </c>
      <c r="G317" s="132"/>
    </row>
    <row r="318" spans="1:7" x14ac:dyDescent="0.2">
      <c r="A318" s="1543" t="s">
        <v>139</v>
      </c>
      <c r="B318" s="1544"/>
      <c r="C318" s="1545"/>
      <c r="D318" s="135">
        <v>8125</v>
      </c>
      <c r="E318" s="136">
        <v>0.08</v>
      </c>
      <c r="F318" s="135">
        <f>+E318*D318</f>
        <v>650</v>
      </c>
      <c r="G318" s="137"/>
    </row>
    <row r="319" spans="1:7" x14ac:dyDescent="0.2">
      <c r="A319" s="1543" t="s">
        <v>147</v>
      </c>
      <c r="B319" s="1544"/>
      <c r="C319" s="1545"/>
      <c r="D319" s="135">
        <v>1500</v>
      </c>
      <c r="E319" s="136">
        <v>1</v>
      </c>
      <c r="F319" s="135">
        <f>+E319*D319</f>
        <v>1500</v>
      </c>
      <c r="G319" s="137"/>
    </row>
    <row r="320" spans="1:7" ht="13.5" thickBot="1" x14ac:dyDescent="0.25">
      <c r="A320" s="1542" t="s">
        <v>196</v>
      </c>
      <c r="B320" s="1564"/>
      <c r="C320" s="1535"/>
      <c r="D320" s="139">
        <v>4375</v>
      </c>
      <c r="E320" s="141">
        <f>+E318</f>
        <v>0.08</v>
      </c>
      <c r="F320" s="139">
        <f>+E320*D320</f>
        <v>350</v>
      </c>
      <c r="G320" s="140"/>
    </row>
    <row r="321" spans="1:10" ht="13.5" thickBot="1" x14ac:dyDescent="0.25">
      <c r="A321" s="1527" t="s">
        <v>125</v>
      </c>
      <c r="B321" s="1528"/>
      <c r="C321" s="1528"/>
      <c r="D321" s="1528"/>
      <c r="E321" s="1528"/>
      <c r="F321" s="1529"/>
      <c r="G321" s="181">
        <f>SUM(F317:F320)</f>
        <v>5496.8678359272708</v>
      </c>
    </row>
    <row r="322" spans="1:10" ht="13.5" thickBot="1" x14ac:dyDescent="0.25">
      <c r="A322" s="186" t="s">
        <v>123</v>
      </c>
      <c r="B322" s="179"/>
      <c r="C322" s="179"/>
      <c r="D322" s="179"/>
      <c r="E322" s="179"/>
      <c r="F322" s="179"/>
      <c r="G322" s="179"/>
    </row>
    <row r="323" spans="1:10" ht="13.5" thickBot="1" x14ac:dyDescent="0.25">
      <c r="A323" s="1530" t="s">
        <v>109</v>
      </c>
      <c r="B323" s="1531"/>
      <c r="C323" s="63" t="s">
        <v>114</v>
      </c>
      <c r="D323" s="63" t="s">
        <v>115</v>
      </c>
      <c r="E323" s="63" t="s">
        <v>116</v>
      </c>
      <c r="F323" s="63" t="s">
        <v>112</v>
      </c>
      <c r="G323" s="104"/>
    </row>
    <row r="324" spans="1:10" x14ac:dyDescent="0.2">
      <c r="A324" s="1536" t="s">
        <v>963</v>
      </c>
      <c r="B324" s="1537"/>
      <c r="C324" s="134" t="s">
        <v>6</v>
      </c>
      <c r="D324" s="135">
        <v>2050</v>
      </c>
      <c r="E324" s="134">
        <v>1.05</v>
      </c>
      <c r="F324" s="135">
        <f t="shared" ref="F324:F330" si="2">+E324*D324</f>
        <v>2152.5</v>
      </c>
      <c r="G324" s="137"/>
    </row>
    <row r="325" spans="1:10" x14ac:dyDescent="0.2">
      <c r="A325" s="2248" t="s">
        <v>967</v>
      </c>
      <c r="B325" s="2249"/>
      <c r="C325" s="134" t="s">
        <v>6</v>
      </c>
      <c r="D325" s="135">
        <v>6266.666666666667</v>
      </c>
      <c r="E325" s="134">
        <v>1.05</v>
      </c>
      <c r="F325" s="135">
        <f t="shared" si="2"/>
        <v>6580.0000000000009</v>
      </c>
      <c r="G325" s="137"/>
    </row>
    <row r="326" spans="1:10" ht="12.75" customHeight="1" x14ac:dyDescent="0.2">
      <c r="A326" s="2248" t="s">
        <v>968</v>
      </c>
      <c r="B326" s="2249"/>
      <c r="C326" s="134" t="s">
        <v>6</v>
      </c>
      <c r="D326" s="135">
        <v>2250</v>
      </c>
      <c r="E326" s="134">
        <v>1.98</v>
      </c>
      <c r="F326" s="135">
        <f t="shared" si="2"/>
        <v>4455</v>
      </c>
      <c r="G326" s="137"/>
    </row>
    <row r="327" spans="1:10" x14ac:dyDescent="0.2">
      <c r="A327" s="2248" t="s">
        <v>27</v>
      </c>
      <c r="B327" s="2249"/>
      <c r="C327" s="134" t="s">
        <v>6</v>
      </c>
      <c r="D327" s="135">
        <v>1665.76</v>
      </c>
      <c r="E327" s="134">
        <v>1.01</v>
      </c>
      <c r="F327" s="135">
        <f t="shared" si="2"/>
        <v>1682.4176</v>
      </c>
      <c r="G327" s="137"/>
    </row>
    <row r="328" spans="1:10" x14ac:dyDescent="0.2">
      <c r="A328" s="2248" t="s">
        <v>55</v>
      </c>
      <c r="B328" s="2249"/>
      <c r="C328" s="134" t="s">
        <v>6</v>
      </c>
      <c r="D328" s="135">
        <v>2400</v>
      </c>
      <c r="E328" s="134">
        <v>0.3</v>
      </c>
      <c r="F328" s="135">
        <f t="shared" si="2"/>
        <v>720</v>
      </c>
      <c r="G328" s="137"/>
    </row>
    <row r="329" spans="1:10" ht="12.75" customHeight="1" x14ac:dyDescent="0.2">
      <c r="A329" s="2248" t="s">
        <v>57</v>
      </c>
      <c r="B329" s="2249"/>
      <c r="C329" s="134" t="s">
        <v>7</v>
      </c>
      <c r="D329" s="135">
        <v>15600</v>
      </c>
      <c r="E329" s="134">
        <v>0.41</v>
      </c>
      <c r="F329" s="135">
        <f t="shared" si="2"/>
        <v>6396</v>
      </c>
      <c r="G329" s="137"/>
    </row>
    <row r="330" spans="1:10" ht="13.5" thickBot="1" x14ac:dyDescent="0.25">
      <c r="A330" s="1538" t="s">
        <v>913</v>
      </c>
      <c r="B330" s="1539"/>
      <c r="C330" s="138" t="s">
        <v>64</v>
      </c>
      <c r="D330" s="139">
        <v>24450</v>
      </c>
      <c r="E330" s="138">
        <v>0.3</v>
      </c>
      <c r="F330" s="139">
        <f t="shared" si="2"/>
        <v>7335</v>
      </c>
      <c r="G330" s="140"/>
    </row>
    <row r="331" spans="1:10" ht="13.5" thickBot="1" x14ac:dyDescent="0.25">
      <c r="A331" s="1527" t="s">
        <v>125</v>
      </c>
      <c r="B331" s="1528"/>
      <c r="C331" s="1528"/>
      <c r="D331" s="1528"/>
      <c r="E331" s="1528"/>
      <c r="F331" s="1529" t="s">
        <v>113</v>
      </c>
      <c r="G331" s="181">
        <f>SUM(F324:F330)</f>
        <v>29320.917600000001</v>
      </c>
    </row>
    <row r="332" spans="1:10" ht="13.5" thickBot="1" x14ac:dyDescent="0.25">
      <c r="A332" s="193" t="s">
        <v>117</v>
      </c>
      <c r="B332" s="179"/>
      <c r="C332" s="179"/>
      <c r="D332" s="179"/>
      <c r="E332" s="179"/>
      <c r="F332" s="179"/>
      <c r="G332" s="179"/>
    </row>
    <row r="333" spans="1:10" ht="13.5" thickBot="1" x14ac:dyDescent="0.25">
      <c r="A333" s="1530" t="s">
        <v>109</v>
      </c>
      <c r="B333" s="1531"/>
      <c r="C333" s="63" t="s">
        <v>114</v>
      </c>
      <c r="D333" s="63" t="s">
        <v>115</v>
      </c>
      <c r="E333" s="63" t="s">
        <v>116</v>
      </c>
      <c r="F333" s="63" t="s">
        <v>112</v>
      </c>
      <c r="G333" s="115"/>
    </row>
    <row r="334" spans="1:10" x14ac:dyDescent="0.2">
      <c r="A334" s="1540" t="s">
        <v>205</v>
      </c>
      <c r="B334" s="1541"/>
      <c r="C334" s="189" t="s">
        <v>159</v>
      </c>
      <c r="D334" s="130">
        <v>60714.285714285717</v>
      </c>
      <c r="E334" s="190">
        <v>0</v>
      </c>
      <c r="F334" s="135">
        <f>D334*E334</f>
        <v>0</v>
      </c>
      <c r="G334" s="132"/>
    </row>
    <row r="335" spans="1:10" ht="13.5" thickBot="1" x14ac:dyDescent="0.25">
      <c r="A335" s="1542"/>
      <c r="B335" s="1535"/>
      <c r="C335" s="189"/>
      <c r="D335" s="139"/>
      <c r="E335" s="188"/>
      <c r="F335" s="139">
        <f>D335*E335</f>
        <v>0</v>
      </c>
      <c r="G335" s="187"/>
    </row>
    <row r="336" spans="1:10" ht="13.5" thickBot="1" x14ac:dyDescent="0.25">
      <c r="A336" s="1527" t="s">
        <v>125</v>
      </c>
      <c r="B336" s="1528"/>
      <c r="C336" s="1528"/>
      <c r="D336" s="1528"/>
      <c r="E336" s="1528"/>
      <c r="F336" s="1529" t="s">
        <v>113</v>
      </c>
      <c r="G336" s="181">
        <f>SUM(F335:F335)</f>
        <v>0</v>
      </c>
      <c r="J336" s="105">
        <f>80*5.7</f>
        <v>456</v>
      </c>
    </row>
    <row r="337" spans="1:9" ht="13.5" thickBot="1" x14ac:dyDescent="0.25">
      <c r="A337" s="193" t="s">
        <v>119</v>
      </c>
      <c r="B337" s="179"/>
      <c r="C337" s="179"/>
      <c r="D337" s="179"/>
      <c r="E337" s="179"/>
      <c r="F337" s="179"/>
      <c r="G337" s="179"/>
    </row>
    <row r="338" spans="1:9" ht="13.5" thickBot="1" x14ac:dyDescent="0.25">
      <c r="A338" s="1530" t="s">
        <v>120</v>
      </c>
      <c r="B338" s="1531"/>
      <c r="C338" s="63" t="s">
        <v>121</v>
      </c>
      <c r="D338" s="63" t="s">
        <v>114</v>
      </c>
      <c r="E338" s="63" t="s">
        <v>116</v>
      </c>
      <c r="F338" s="63" t="s">
        <v>112</v>
      </c>
      <c r="G338" s="121"/>
    </row>
    <row r="339" spans="1:9" x14ac:dyDescent="0.2">
      <c r="A339" s="1532" t="s">
        <v>975</v>
      </c>
      <c r="B339" s="1533"/>
      <c r="C339" s="122">
        <v>14142.890951641079</v>
      </c>
      <c r="D339" s="185">
        <v>1</v>
      </c>
      <c r="E339" s="185">
        <v>1.4530268295404951</v>
      </c>
      <c r="F339" s="124">
        <f>+(C339*D339)*E339</f>
        <v>20549.999999999993</v>
      </c>
      <c r="G339" s="132"/>
      <c r="I339" s="105">
        <f>15*5.6</f>
        <v>84</v>
      </c>
    </row>
    <row r="340" spans="1:9" ht="13.5" thickBot="1" x14ac:dyDescent="0.25">
      <c r="A340" s="1534"/>
      <c r="B340" s="1535"/>
      <c r="C340" s="184"/>
      <c r="D340" s="183"/>
      <c r="E340" s="183"/>
      <c r="F340" s="182"/>
      <c r="G340" s="140"/>
    </row>
    <row r="341" spans="1:9" ht="13.5" thickBot="1" x14ac:dyDescent="0.25">
      <c r="A341" s="1527" t="str">
        <f>+A336</f>
        <v>SUB-TOTAL</v>
      </c>
      <c r="B341" s="1528"/>
      <c r="C341" s="1528"/>
      <c r="D341" s="1528"/>
      <c r="E341" s="1528"/>
      <c r="F341" s="1529" t="s">
        <v>113</v>
      </c>
      <c r="G341" s="181">
        <f>SUM(F339:F340)</f>
        <v>20549.999999999993</v>
      </c>
    </row>
    <row r="342" spans="1:9" ht="11.25" customHeight="1" thickBot="1" x14ac:dyDescent="0.25">
      <c r="A342" s="179"/>
      <c r="B342" s="179"/>
      <c r="C342" s="179"/>
      <c r="D342" s="179"/>
      <c r="E342" s="179"/>
      <c r="F342" s="180"/>
      <c r="G342" s="179"/>
    </row>
    <row r="343" spans="1:9" ht="13.5" thickBot="1" x14ac:dyDescent="0.25">
      <c r="A343" s="1527" t="s">
        <v>156</v>
      </c>
      <c r="B343" s="1528"/>
      <c r="C343" s="1528"/>
      <c r="D343" s="1528"/>
      <c r="E343" s="1528"/>
      <c r="F343" s="1529"/>
      <c r="G343" s="178">
        <f>ROUND(G321+G331+G336+G341,0)</f>
        <v>55368</v>
      </c>
    </row>
    <row r="345" spans="1:9" ht="13.5" thickBot="1" x14ac:dyDescent="0.25"/>
    <row r="346" spans="1:9" ht="27" customHeight="1" x14ac:dyDescent="0.2">
      <c r="A346" s="1548" t="s">
        <v>122</v>
      </c>
      <c r="B346" s="1549"/>
      <c r="C346" s="1550"/>
      <c r="D346" s="50"/>
      <c r="E346" s="50"/>
      <c r="F346" s="50"/>
      <c r="G346" s="98"/>
    </row>
    <row r="347" spans="1:9" ht="24" customHeight="1" thickBot="1" x14ac:dyDescent="0.25">
      <c r="A347" s="1551" t="s">
        <v>276</v>
      </c>
      <c r="B347" s="1552"/>
      <c r="C347" s="1553"/>
      <c r="D347" s="99"/>
      <c r="E347" s="99"/>
      <c r="F347" s="99"/>
      <c r="G347" s="100"/>
    </row>
    <row r="348" spans="1:9" ht="13.5" thickBot="1" x14ac:dyDescent="0.25">
      <c r="A348" s="179"/>
      <c r="B348" s="179"/>
      <c r="C348" s="179"/>
      <c r="D348" s="179"/>
      <c r="E348" s="179"/>
      <c r="F348" s="179"/>
      <c r="G348" s="179"/>
    </row>
    <row r="349" spans="1:9" ht="48.75" customHeight="1" thickBot="1" x14ac:dyDescent="0.25">
      <c r="A349" s="1558" t="s">
        <v>957</v>
      </c>
      <c r="B349" s="1559"/>
      <c r="C349" s="1560"/>
      <c r="D349" s="1565" t="s">
        <v>318</v>
      </c>
      <c r="E349" s="1559"/>
      <c r="F349" s="1559"/>
      <c r="G349" s="1560"/>
    </row>
    <row r="350" spans="1:9" ht="13.5" thickBot="1" x14ac:dyDescent="0.25">
      <c r="A350" s="192"/>
      <c r="B350" s="192"/>
      <c r="C350" s="192"/>
      <c r="D350" s="192"/>
      <c r="E350" s="192"/>
      <c r="F350" s="192"/>
      <c r="G350" s="192"/>
    </row>
    <row r="351" spans="1:9" ht="12.75" customHeight="1" thickBot="1" x14ac:dyDescent="0.25">
      <c r="A351" s="191"/>
      <c r="B351" s="179"/>
      <c r="D351" s="60" t="s">
        <v>124</v>
      </c>
      <c r="E351" s="61" t="s">
        <v>2</v>
      </c>
      <c r="F351" s="191"/>
      <c r="G351" s="191"/>
    </row>
    <row r="352" spans="1:9" ht="13.5" thickBot="1" x14ac:dyDescent="0.25">
      <c r="A352" s="186" t="s">
        <v>108</v>
      </c>
      <c r="B352" s="179"/>
      <c r="C352" s="179"/>
      <c r="D352" s="179"/>
      <c r="E352" s="179"/>
      <c r="F352" s="179"/>
      <c r="G352" s="179"/>
    </row>
    <row r="353" spans="1:10" ht="13.5" customHeight="1" thickBot="1" x14ac:dyDescent="0.25">
      <c r="A353" s="1530" t="s">
        <v>109</v>
      </c>
      <c r="B353" s="1554"/>
      <c r="C353" s="1531"/>
      <c r="D353" s="63" t="s">
        <v>110</v>
      </c>
      <c r="E353" s="63" t="s">
        <v>111</v>
      </c>
      <c r="F353" s="63" t="s">
        <v>112</v>
      </c>
      <c r="G353" s="104"/>
    </row>
    <row r="354" spans="1:10" x14ac:dyDescent="0.2">
      <c r="A354" s="1540" t="s">
        <v>131</v>
      </c>
      <c r="B354" s="1555"/>
      <c r="C354" s="1541"/>
      <c r="D354" s="130">
        <v>2062.5</v>
      </c>
      <c r="E354" s="131">
        <f>+E371</f>
        <v>3.9</v>
      </c>
      <c r="F354" s="130">
        <f>+E354*D354</f>
        <v>8043.75</v>
      </c>
      <c r="G354" s="132"/>
    </row>
    <row r="355" spans="1:10" x14ac:dyDescent="0.2">
      <c r="A355" s="1543" t="s">
        <v>139</v>
      </c>
      <c r="B355" s="1544"/>
      <c r="C355" s="1545"/>
      <c r="D355" s="135">
        <v>8125</v>
      </c>
      <c r="E355" s="136">
        <v>0.39</v>
      </c>
      <c r="F355" s="135">
        <f>+E355*D355</f>
        <v>3168.75</v>
      </c>
      <c r="G355" s="137"/>
    </row>
    <row r="356" spans="1:10" ht="13.5" thickBot="1" x14ac:dyDescent="0.25">
      <c r="A356" s="1542" t="s">
        <v>196</v>
      </c>
      <c r="B356" s="1564"/>
      <c r="C356" s="1535"/>
      <c r="D356" s="139">
        <v>4375</v>
      </c>
      <c r="E356" s="141">
        <v>0.39</v>
      </c>
      <c r="F356" s="139">
        <f>+E356*D356</f>
        <v>1706.25</v>
      </c>
      <c r="G356" s="140"/>
    </row>
    <row r="357" spans="1:10" ht="13.5" thickBot="1" x14ac:dyDescent="0.25">
      <c r="A357" s="1527" t="s">
        <v>125</v>
      </c>
      <c r="B357" s="1528"/>
      <c r="C357" s="1528"/>
      <c r="D357" s="1528"/>
      <c r="E357" s="1528"/>
      <c r="F357" s="1529"/>
      <c r="G357" s="181">
        <f>SUM(F354:F356)</f>
        <v>12918.75</v>
      </c>
    </row>
    <row r="358" spans="1:10" ht="13.5" thickBot="1" x14ac:dyDescent="0.25">
      <c r="A358" s="186" t="s">
        <v>123</v>
      </c>
      <c r="B358" s="179"/>
      <c r="C358" s="179"/>
      <c r="D358" s="179"/>
      <c r="E358" s="179"/>
      <c r="F358" s="179"/>
      <c r="G358" s="179"/>
    </row>
    <row r="359" spans="1:10" ht="13.5" thickBot="1" x14ac:dyDescent="0.25">
      <c r="A359" s="1530" t="s">
        <v>109</v>
      </c>
      <c r="B359" s="1531"/>
      <c r="C359" s="63" t="s">
        <v>114</v>
      </c>
      <c r="D359" s="63" t="s">
        <v>115</v>
      </c>
      <c r="E359" s="63" t="s">
        <v>116</v>
      </c>
      <c r="F359" s="63" t="s">
        <v>112</v>
      </c>
      <c r="G359" s="104"/>
    </row>
    <row r="360" spans="1:10" x14ac:dyDescent="0.2">
      <c r="A360" s="1536" t="s">
        <v>969</v>
      </c>
      <c r="B360" s="1537"/>
      <c r="C360" s="134" t="s">
        <v>2</v>
      </c>
      <c r="D360" s="135">
        <v>100000</v>
      </c>
      <c r="E360" s="134">
        <v>1</v>
      </c>
      <c r="F360" s="135">
        <f>+E360*D360</f>
        <v>100000</v>
      </c>
      <c r="G360" s="137"/>
    </row>
    <row r="361" spans="1:10" ht="12.75" customHeight="1" x14ac:dyDescent="0.2">
      <c r="A361" s="2248" t="s">
        <v>57</v>
      </c>
      <c r="B361" s="2249"/>
      <c r="C361" s="134" t="s">
        <v>7</v>
      </c>
      <c r="D361" s="135">
        <v>15600</v>
      </c>
      <c r="E361" s="134">
        <v>0.1</v>
      </c>
      <c r="F361" s="135">
        <f>+E361*D361</f>
        <v>1560</v>
      </c>
      <c r="G361" s="137"/>
    </row>
    <row r="362" spans="1:10" ht="13.5" thickBot="1" x14ac:dyDescent="0.25">
      <c r="A362" s="1538" t="s">
        <v>913</v>
      </c>
      <c r="B362" s="1539"/>
      <c r="C362" s="138" t="s">
        <v>64</v>
      </c>
      <c r="D362" s="139">
        <v>24450</v>
      </c>
      <c r="E362" s="138">
        <v>0.1</v>
      </c>
      <c r="F362" s="139">
        <f>+E362*D362</f>
        <v>2445</v>
      </c>
      <c r="G362" s="140"/>
    </row>
    <row r="363" spans="1:10" ht="13.5" thickBot="1" x14ac:dyDescent="0.25">
      <c r="A363" s="1527" t="s">
        <v>125</v>
      </c>
      <c r="B363" s="1528"/>
      <c r="C363" s="1528"/>
      <c r="D363" s="1528"/>
      <c r="E363" s="1528"/>
      <c r="F363" s="1529" t="s">
        <v>113</v>
      </c>
      <c r="G363" s="181">
        <f>SUM(F360:F362)</f>
        <v>104005</v>
      </c>
    </row>
    <row r="364" spans="1:10" ht="13.5" thickBot="1" x14ac:dyDescent="0.25">
      <c r="A364" s="186" t="s">
        <v>117</v>
      </c>
      <c r="B364" s="179"/>
      <c r="C364" s="179"/>
      <c r="D364" s="179"/>
      <c r="E364" s="179"/>
      <c r="F364" s="179"/>
      <c r="G364" s="179"/>
    </row>
    <row r="365" spans="1:10" ht="13.5" thickBot="1" x14ac:dyDescent="0.25">
      <c r="A365" s="1530" t="s">
        <v>109</v>
      </c>
      <c r="B365" s="1531"/>
      <c r="C365" s="63" t="s">
        <v>114</v>
      </c>
      <c r="D365" s="63" t="s">
        <v>115</v>
      </c>
      <c r="E365" s="63" t="s">
        <v>116</v>
      </c>
      <c r="F365" s="63" t="s">
        <v>112</v>
      </c>
      <c r="G365" s="115"/>
    </row>
    <row r="366" spans="1:10" x14ac:dyDescent="0.2">
      <c r="A366" s="1540" t="s">
        <v>205</v>
      </c>
      <c r="B366" s="1541"/>
      <c r="C366" s="189" t="s">
        <v>159</v>
      </c>
      <c r="D366" s="130">
        <v>60714.285714285717</v>
      </c>
      <c r="E366" s="190">
        <v>0</v>
      </c>
      <c r="F366" s="135">
        <f>D366*E366</f>
        <v>0</v>
      </c>
      <c r="G366" s="132"/>
    </row>
    <row r="367" spans="1:10" ht="13.5" thickBot="1" x14ac:dyDescent="0.25">
      <c r="A367" s="1542"/>
      <c r="B367" s="1535"/>
      <c r="C367" s="189"/>
      <c r="D367" s="139"/>
      <c r="E367" s="188"/>
      <c r="F367" s="139">
        <f>D367*E367</f>
        <v>0</v>
      </c>
      <c r="G367" s="187"/>
    </row>
    <row r="368" spans="1:10" ht="13.5" thickBot="1" x14ac:dyDescent="0.25">
      <c r="A368" s="1527" t="s">
        <v>125</v>
      </c>
      <c r="B368" s="1528"/>
      <c r="C368" s="1528"/>
      <c r="D368" s="1528"/>
      <c r="E368" s="1528"/>
      <c r="F368" s="1529" t="s">
        <v>113</v>
      </c>
      <c r="G368" s="181">
        <f>SUM(F367:F367)</f>
        <v>0</v>
      </c>
      <c r="J368" s="105">
        <f>80*5.7</f>
        <v>456</v>
      </c>
    </row>
    <row r="369" spans="1:9" ht="13.5" thickBot="1" x14ac:dyDescent="0.25">
      <c r="A369" s="186" t="s">
        <v>119</v>
      </c>
      <c r="B369" s="179"/>
      <c r="C369" s="179"/>
      <c r="D369" s="179"/>
      <c r="E369" s="179"/>
      <c r="F369" s="179"/>
      <c r="G369" s="179"/>
    </row>
    <row r="370" spans="1:9" ht="13.5" thickBot="1" x14ac:dyDescent="0.25">
      <c r="A370" s="1530" t="s">
        <v>120</v>
      </c>
      <c r="B370" s="1531"/>
      <c r="C370" s="63" t="s">
        <v>121</v>
      </c>
      <c r="D370" s="63" t="s">
        <v>114</v>
      </c>
      <c r="E370" s="63" t="s">
        <v>116</v>
      </c>
      <c r="F370" s="63" t="s">
        <v>112</v>
      </c>
      <c r="G370" s="121"/>
    </row>
    <row r="371" spans="1:9" x14ac:dyDescent="0.2">
      <c r="A371" s="1532" t="s">
        <v>975</v>
      </c>
      <c r="B371" s="1533"/>
      <c r="C371" s="122">
        <v>14142.890951641079</v>
      </c>
      <c r="D371" s="185">
        <v>1</v>
      </c>
      <c r="E371" s="185">
        <v>3.9</v>
      </c>
      <c r="F371" s="124">
        <f>+(C371*D371)*E371</f>
        <v>55157.274711400205</v>
      </c>
      <c r="G371" s="132"/>
      <c r="I371" s="105">
        <f>15*5.6</f>
        <v>84</v>
      </c>
    </row>
    <row r="372" spans="1:9" ht="13.5" thickBot="1" x14ac:dyDescent="0.25">
      <c r="A372" s="1534"/>
      <c r="B372" s="1535"/>
      <c r="C372" s="184"/>
      <c r="D372" s="183"/>
      <c r="E372" s="183"/>
      <c r="F372" s="182"/>
      <c r="G372" s="140"/>
    </row>
    <row r="373" spans="1:9" ht="13.5" thickBot="1" x14ac:dyDescent="0.25">
      <c r="A373" s="1527" t="str">
        <f>+A368</f>
        <v>SUB-TOTAL</v>
      </c>
      <c r="B373" s="1528"/>
      <c r="C373" s="1528"/>
      <c r="D373" s="1528"/>
      <c r="E373" s="1528"/>
      <c r="F373" s="1529" t="s">
        <v>113</v>
      </c>
      <c r="G373" s="181">
        <f>SUM(F371:F372)</f>
        <v>55157.274711400205</v>
      </c>
    </row>
    <row r="374" spans="1:9" ht="11.25" customHeight="1" thickBot="1" x14ac:dyDescent="0.25">
      <c r="A374" s="179"/>
      <c r="B374" s="179"/>
      <c r="C374" s="179"/>
      <c r="D374" s="179"/>
      <c r="E374" s="179"/>
      <c r="F374" s="180"/>
      <c r="G374" s="179"/>
    </row>
    <row r="375" spans="1:9" ht="13.5" thickBot="1" x14ac:dyDescent="0.25">
      <c r="A375" s="1527" t="s">
        <v>156</v>
      </c>
      <c r="B375" s="1528"/>
      <c r="C375" s="1528"/>
      <c r="D375" s="1528"/>
      <c r="E375" s="1528"/>
      <c r="F375" s="1529"/>
      <c r="G375" s="178">
        <f>ROUND(G357+G363+G368+G373,0)</f>
        <v>172081</v>
      </c>
    </row>
    <row r="377" spans="1:9" ht="13.5" thickBot="1" x14ac:dyDescent="0.25"/>
    <row r="378" spans="1:9" ht="27" customHeight="1" x14ac:dyDescent="0.2">
      <c r="A378" s="1548" t="s">
        <v>122</v>
      </c>
      <c r="B378" s="1549"/>
      <c r="C378" s="1550"/>
      <c r="D378" s="50"/>
      <c r="E378" s="50"/>
      <c r="F378" s="50"/>
      <c r="G378" s="98"/>
    </row>
    <row r="379" spans="1:9" ht="24" customHeight="1" thickBot="1" x14ac:dyDescent="0.25">
      <c r="A379" s="1551" t="s">
        <v>276</v>
      </c>
      <c r="B379" s="1552"/>
      <c r="C379" s="1553"/>
      <c r="D379" s="99"/>
      <c r="E379" s="99"/>
      <c r="F379" s="99"/>
      <c r="G379" s="100"/>
    </row>
    <row r="380" spans="1:9" ht="13.5" thickBot="1" x14ac:dyDescent="0.25">
      <c r="A380" s="179"/>
      <c r="B380" s="179"/>
      <c r="C380" s="179"/>
      <c r="D380" s="179"/>
      <c r="E380" s="179"/>
      <c r="F380" s="179"/>
      <c r="G380" s="179"/>
    </row>
    <row r="381" spans="1:9" ht="48.75" customHeight="1" thickBot="1" x14ac:dyDescent="0.25">
      <c r="A381" s="1558" t="s">
        <v>957</v>
      </c>
      <c r="B381" s="1559"/>
      <c r="C381" s="1560"/>
      <c r="D381" s="1565" t="s">
        <v>317</v>
      </c>
      <c r="E381" s="1559"/>
      <c r="F381" s="1559"/>
      <c r="G381" s="1560"/>
    </row>
    <row r="382" spans="1:9" ht="13.5" thickBot="1" x14ac:dyDescent="0.25">
      <c r="A382" s="192"/>
      <c r="B382" s="192"/>
      <c r="C382" s="192"/>
      <c r="D382" s="192"/>
      <c r="E382" s="192"/>
      <c r="F382" s="192"/>
      <c r="G382" s="192"/>
    </row>
    <row r="383" spans="1:9" ht="12.75" customHeight="1" thickBot="1" x14ac:dyDescent="0.25">
      <c r="A383" s="191"/>
      <c r="B383" s="179"/>
      <c r="D383" s="60" t="s">
        <v>124</v>
      </c>
      <c r="E383" s="61" t="s">
        <v>2</v>
      </c>
      <c r="F383" s="191"/>
      <c r="G383" s="191"/>
    </row>
    <row r="384" spans="1:9" ht="13.5" thickBot="1" x14ac:dyDescent="0.25">
      <c r="A384" s="186" t="s">
        <v>108</v>
      </c>
      <c r="B384" s="179"/>
      <c r="C384" s="179"/>
      <c r="D384" s="179"/>
      <c r="E384" s="179"/>
      <c r="F384" s="179"/>
      <c r="G384" s="179"/>
    </row>
    <row r="385" spans="1:10" ht="13.5" customHeight="1" thickBot="1" x14ac:dyDescent="0.25">
      <c r="A385" s="1530" t="s">
        <v>109</v>
      </c>
      <c r="B385" s="1554"/>
      <c r="C385" s="1531"/>
      <c r="D385" s="63" t="s">
        <v>110</v>
      </c>
      <c r="E385" s="63" t="s">
        <v>111</v>
      </c>
      <c r="F385" s="63" t="s">
        <v>112</v>
      </c>
      <c r="G385" s="104"/>
    </row>
    <row r="386" spans="1:10" x14ac:dyDescent="0.2">
      <c r="A386" s="1540" t="s">
        <v>131</v>
      </c>
      <c r="B386" s="1555"/>
      <c r="C386" s="1541"/>
      <c r="D386" s="130">
        <v>2062.5</v>
      </c>
      <c r="E386" s="131">
        <f>+E402</f>
        <v>1.0606035252120407</v>
      </c>
      <c r="F386" s="130">
        <f>+E386*D386</f>
        <v>2187.4947707498341</v>
      </c>
      <c r="G386" s="132"/>
    </row>
    <row r="387" spans="1:10" ht="13.5" thickBot="1" x14ac:dyDescent="0.25">
      <c r="A387" s="1542" t="s">
        <v>196</v>
      </c>
      <c r="B387" s="1564"/>
      <c r="C387" s="1535"/>
      <c r="D387" s="139">
        <v>4375</v>
      </c>
      <c r="E387" s="141">
        <v>0.39</v>
      </c>
      <c r="F387" s="139">
        <f>+E387*D387</f>
        <v>1706.25</v>
      </c>
      <c r="G387" s="140"/>
    </row>
    <row r="388" spans="1:10" ht="13.5" thickBot="1" x14ac:dyDescent="0.25">
      <c r="A388" s="1527" t="s">
        <v>125</v>
      </c>
      <c r="B388" s="1528"/>
      <c r="C388" s="1528"/>
      <c r="D388" s="1528"/>
      <c r="E388" s="1528"/>
      <c r="F388" s="1529"/>
      <c r="G388" s="181">
        <f>SUM(F386:F387)</f>
        <v>3893.7447707498341</v>
      </c>
    </row>
    <row r="389" spans="1:10" ht="13.5" thickBot="1" x14ac:dyDescent="0.25">
      <c r="A389" s="186" t="s">
        <v>123</v>
      </c>
      <c r="B389" s="179"/>
      <c r="C389" s="179"/>
      <c r="D389" s="179"/>
      <c r="E389" s="179"/>
      <c r="F389" s="179"/>
      <c r="G389" s="179"/>
    </row>
    <row r="390" spans="1:10" ht="13.5" thickBot="1" x14ac:dyDescent="0.25">
      <c r="A390" s="1530" t="s">
        <v>109</v>
      </c>
      <c r="B390" s="1531"/>
      <c r="C390" s="63" t="s">
        <v>114</v>
      </c>
      <c r="D390" s="63" t="s">
        <v>115</v>
      </c>
      <c r="E390" s="63" t="s">
        <v>116</v>
      </c>
      <c r="F390" s="63" t="s">
        <v>112</v>
      </c>
      <c r="G390" s="104"/>
    </row>
    <row r="391" spans="1:10" ht="24" customHeight="1" x14ac:dyDescent="0.2">
      <c r="A391" s="1536" t="s">
        <v>970</v>
      </c>
      <c r="B391" s="1537"/>
      <c r="C391" s="134" t="s">
        <v>2</v>
      </c>
      <c r="D391" s="135">
        <v>45500</v>
      </c>
      <c r="E391" s="134">
        <v>1</v>
      </c>
      <c r="F391" s="135">
        <f>+E391*D391</f>
        <v>45500</v>
      </c>
      <c r="G391" s="137"/>
    </row>
    <row r="392" spans="1:10" ht="12.75" customHeight="1" x14ac:dyDescent="0.2">
      <c r="A392" s="2248"/>
      <c r="B392" s="2249"/>
      <c r="C392" s="134"/>
      <c r="D392" s="135"/>
      <c r="E392" s="134"/>
      <c r="F392" s="135"/>
      <c r="G392" s="137"/>
    </row>
    <row r="393" spans="1:10" ht="13.5" thickBot="1" x14ac:dyDescent="0.25">
      <c r="A393" s="1538"/>
      <c r="B393" s="1539"/>
      <c r="C393" s="138"/>
      <c r="D393" s="139"/>
      <c r="E393" s="138"/>
      <c r="F393" s="139"/>
      <c r="G393" s="140"/>
    </row>
    <row r="394" spans="1:10" ht="13.5" thickBot="1" x14ac:dyDescent="0.25">
      <c r="A394" s="1527" t="s">
        <v>125</v>
      </c>
      <c r="B394" s="1528"/>
      <c r="C394" s="1528"/>
      <c r="D394" s="1528"/>
      <c r="E394" s="1528"/>
      <c r="F394" s="1529" t="s">
        <v>113</v>
      </c>
      <c r="G394" s="181">
        <f>SUM(F391:F393)</f>
        <v>45500</v>
      </c>
    </row>
    <row r="395" spans="1:10" ht="13.5" thickBot="1" x14ac:dyDescent="0.25">
      <c r="A395" s="186" t="s">
        <v>117</v>
      </c>
      <c r="B395" s="179"/>
      <c r="C395" s="179"/>
      <c r="D395" s="179"/>
      <c r="E395" s="179"/>
      <c r="F395" s="179"/>
      <c r="G395" s="179"/>
    </row>
    <row r="396" spans="1:10" ht="13.5" thickBot="1" x14ac:dyDescent="0.25">
      <c r="A396" s="1530" t="s">
        <v>109</v>
      </c>
      <c r="B396" s="1531"/>
      <c r="C396" s="63" t="s">
        <v>114</v>
      </c>
      <c r="D396" s="63" t="s">
        <v>115</v>
      </c>
      <c r="E396" s="63" t="s">
        <v>116</v>
      </c>
      <c r="F396" s="63" t="s">
        <v>112</v>
      </c>
      <c r="G396" s="115"/>
    </row>
    <row r="397" spans="1:10" x14ac:dyDescent="0.2">
      <c r="A397" s="1540" t="s">
        <v>205</v>
      </c>
      <c r="B397" s="1541"/>
      <c r="C397" s="189" t="s">
        <v>159</v>
      </c>
      <c r="D397" s="130">
        <v>60714.285714285717</v>
      </c>
      <c r="E397" s="190">
        <v>0</v>
      </c>
      <c r="F397" s="135">
        <f>D397*E397</f>
        <v>0</v>
      </c>
      <c r="G397" s="132"/>
    </row>
    <row r="398" spans="1:10" ht="13.5" thickBot="1" x14ac:dyDescent="0.25">
      <c r="A398" s="1542"/>
      <c r="B398" s="1535"/>
      <c r="C398" s="189"/>
      <c r="D398" s="139"/>
      <c r="E398" s="188"/>
      <c r="F398" s="139">
        <f>D398*E398</f>
        <v>0</v>
      </c>
      <c r="G398" s="187"/>
    </row>
    <row r="399" spans="1:10" ht="13.5" thickBot="1" x14ac:dyDescent="0.25">
      <c r="A399" s="1527" t="s">
        <v>125</v>
      </c>
      <c r="B399" s="1528"/>
      <c r="C399" s="1528"/>
      <c r="D399" s="1528"/>
      <c r="E399" s="1528"/>
      <c r="F399" s="1529" t="s">
        <v>113</v>
      </c>
      <c r="G399" s="181">
        <f>SUM(F398:F398)</f>
        <v>0</v>
      </c>
      <c r="J399" s="105">
        <f>80*5.7</f>
        <v>456</v>
      </c>
    </row>
    <row r="400" spans="1:10" ht="13.5" thickBot="1" x14ac:dyDescent="0.25">
      <c r="A400" s="186" t="s">
        <v>119</v>
      </c>
      <c r="B400" s="179"/>
      <c r="C400" s="179"/>
      <c r="D400" s="179"/>
      <c r="E400" s="179"/>
      <c r="F400" s="179"/>
      <c r="G400" s="179"/>
    </row>
    <row r="401" spans="1:9" ht="13.5" thickBot="1" x14ac:dyDescent="0.25">
      <c r="A401" s="1530" t="s">
        <v>120</v>
      </c>
      <c r="B401" s="1531"/>
      <c r="C401" s="63" t="s">
        <v>121</v>
      </c>
      <c r="D401" s="63" t="s">
        <v>114</v>
      </c>
      <c r="E401" s="63" t="s">
        <v>116</v>
      </c>
      <c r="F401" s="63" t="s">
        <v>112</v>
      </c>
      <c r="G401" s="121"/>
    </row>
    <row r="402" spans="1:9" x14ac:dyDescent="0.2">
      <c r="A402" s="1532" t="s">
        <v>975</v>
      </c>
      <c r="B402" s="1533"/>
      <c r="C402" s="122">
        <v>14142.890951641079</v>
      </c>
      <c r="D402" s="185">
        <v>1</v>
      </c>
      <c r="E402" s="185">
        <v>1.0606035252120407</v>
      </c>
      <c r="F402" s="124">
        <f>+(C402*D402)*E402</f>
        <v>15000.000000000002</v>
      </c>
      <c r="G402" s="132"/>
      <c r="I402" s="105">
        <f>15*5.6</f>
        <v>84</v>
      </c>
    </row>
    <row r="403" spans="1:9" ht="13.5" thickBot="1" x14ac:dyDescent="0.25">
      <c r="A403" s="1534"/>
      <c r="B403" s="1535"/>
      <c r="C403" s="184"/>
      <c r="D403" s="183"/>
      <c r="E403" s="183"/>
      <c r="F403" s="182"/>
      <c r="G403" s="140"/>
    </row>
    <row r="404" spans="1:9" ht="13.5" thickBot="1" x14ac:dyDescent="0.25">
      <c r="A404" s="1527" t="str">
        <f>+A399</f>
        <v>SUB-TOTAL</v>
      </c>
      <c r="B404" s="1528"/>
      <c r="C404" s="1528"/>
      <c r="D404" s="1528"/>
      <c r="E404" s="1528"/>
      <c r="F404" s="1529" t="s">
        <v>113</v>
      </c>
      <c r="G404" s="181">
        <f>SUM(F402:F403)</f>
        <v>15000.000000000002</v>
      </c>
    </row>
    <row r="405" spans="1:9" ht="11.25" customHeight="1" thickBot="1" x14ac:dyDescent="0.25">
      <c r="A405" s="179"/>
      <c r="B405" s="179"/>
      <c r="C405" s="179"/>
      <c r="D405" s="179"/>
      <c r="E405" s="179"/>
      <c r="F405" s="180"/>
      <c r="G405" s="179"/>
    </row>
    <row r="406" spans="1:9" ht="13.5" thickBot="1" x14ac:dyDescent="0.25">
      <c r="A406" s="1527" t="s">
        <v>156</v>
      </c>
      <c r="B406" s="1528"/>
      <c r="C406" s="1528"/>
      <c r="D406" s="1528"/>
      <c r="E406" s="1528"/>
      <c r="F406" s="1529"/>
      <c r="G406" s="178">
        <f>ROUND(G388+G394+G399+G404,0)</f>
        <v>64394</v>
      </c>
    </row>
    <row r="408" spans="1:9" ht="13.5" thickBot="1" x14ac:dyDescent="0.25"/>
    <row r="409" spans="1:9" ht="27" customHeight="1" x14ac:dyDescent="0.2">
      <c r="A409" s="1548" t="s">
        <v>122</v>
      </c>
      <c r="B409" s="1549"/>
      <c r="C409" s="1550"/>
      <c r="D409" s="50"/>
      <c r="E409" s="50"/>
      <c r="F409" s="50"/>
      <c r="G409" s="98"/>
    </row>
    <row r="410" spans="1:9" ht="24" customHeight="1" thickBot="1" x14ac:dyDescent="0.25">
      <c r="A410" s="1551" t="s">
        <v>276</v>
      </c>
      <c r="B410" s="1552"/>
      <c r="C410" s="1553"/>
      <c r="D410" s="99"/>
      <c r="E410" s="99"/>
      <c r="F410" s="99"/>
      <c r="G410" s="100"/>
    </row>
    <row r="411" spans="1:9" ht="13.5" thickBot="1" x14ac:dyDescent="0.25">
      <c r="A411" s="179"/>
      <c r="B411" s="179"/>
      <c r="C411" s="179"/>
      <c r="D411" s="179"/>
      <c r="E411" s="179"/>
      <c r="F411" s="179"/>
      <c r="G411" s="179"/>
    </row>
    <row r="412" spans="1:9" ht="42.75" customHeight="1" thickBot="1" x14ac:dyDescent="0.25">
      <c r="A412" s="1558" t="s">
        <v>957</v>
      </c>
      <c r="B412" s="1559"/>
      <c r="C412" s="1560"/>
      <c r="D412" s="1565" t="s">
        <v>316</v>
      </c>
      <c r="E412" s="1559"/>
      <c r="F412" s="1559"/>
      <c r="G412" s="1560"/>
    </row>
    <row r="413" spans="1:9" ht="13.5" thickBot="1" x14ac:dyDescent="0.25">
      <c r="A413" s="192"/>
      <c r="B413" s="192"/>
      <c r="C413" s="192"/>
      <c r="D413" s="192"/>
      <c r="E413" s="192"/>
      <c r="F413" s="192"/>
      <c r="G413" s="192"/>
    </row>
    <row r="414" spans="1:9" ht="12.75" customHeight="1" thickBot="1" x14ac:dyDescent="0.25">
      <c r="A414" s="191"/>
      <c r="B414" s="179"/>
      <c r="D414" s="60" t="s">
        <v>124</v>
      </c>
      <c r="E414" s="61" t="s">
        <v>2</v>
      </c>
      <c r="F414" s="191"/>
      <c r="G414" s="191"/>
    </row>
    <row r="415" spans="1:9" ht="13.5" thickBot="1" x14ac:dyDescent="0.25">
      <c r="A415" s="186" t="s">
        <v>108</v>
      </c>
      <c r="B415" s="179"/>
      <c r="C415" s="179"/>
      <c r="D415" s="179"/>
      <c r="E415" s="179"/>
      <c r="F415" s="179"/>
      <c r="G415" s="179"/>
    </row>
    <row r="416" spans="1:9" ht="13.5" customHeight="1" thickBot="1" x14ac:dyDescent="0.25">
      <c r="A416" s="1530" t="s">
        <v>109</v>
      </c>
      <c r="B416" s="1554"/>
      <c r="C416" s="1531"/>
      <c r="D416" s="63" t="s">
        <v>110</v>
      </c>
      <c r="E416" s="63" t="s">
        <v>111</v>
      </c>
      <c r="F416" s="63" t="s">
        <v>112</v>
      </c>
      <c r="G416" s="104"/>
    </row>
    <row r="417" spans="1:10" x14ac:dyDescent="0.2">
      <c r="A417" s="1540" t="s">
        <v>131</v>
      </c>
      <c r="B417" s="1555"/>
      <c r="C417" s="1541"/>
      <c r="D417" s="130">
        <v>2062.5</v>
      </c>
      <c r="E417" s="131">
        <f>+E435</f>
        <v>0.88383627101003392</v>
      </c>
      <c r="F417" s="130">
        <f>+E417*D417</f>
        <v>1822.9123089581949</v>
      </c>
      <c r="G417" s="132"/>
    </row>
    <row r="418" spans="1:10" x14ac:dyDescent="0.2">
      <c r="A418" s="1543" t="s">
        <v>139</v>
      </c>
      <c r="B418" s="1544"/>
      <c r="C418" s="1545"/>
      <c r="D418" s="135">
        <v>8125</v>
      </c>
      <c r="E418" s="136">
        <v>8.7999999999999995E-2</v>
      </c>
      <c r="F418" s="135">
        <f>+E418*D418</f>
        <v>715</v>
      </c>
      <c r="G418" s="137"/>
    </row>
    <row r="419" spans="1:10" x14ac:dyDescent="0.2">
      <c r="A419" s="1543" t="s">
        <v>147</v>
      </c>
      <c r="B419" s="1544"/>
      <c r="C419" s="1545"/>
      <c r="D419" s="135">
        <v>1500</v>
      </c>
      <c r="E419" s="136">
        <v>1</v>
      </c>
      <c r="F419" s="135">
        <f>+E419*D419</f>
        <v>1500</v>
      </c>
      <c r="G419" s="137"/>
    </row>
    <row r="420" spans="1:10" ht="13.5" thickBot="1" x14ac:dyDescent="0.25">
      <c r="A420" s="1542" t="s">
        <v>196</v>
      </c>
      <c r="B420" s="1564"/>
      <c r="C420" s="1535"/>
      <c r="D420" s="139">
        <v>4375</v>
      </c>
      <c r="E420" s="141">
        <f>+E418</f>
        <v>8.7999999999999995E-2</v>
      </c>
      <c r="F420" s="139">
        <f>+E420*D420</f>
        <v>385</v>
      </c>
      <c r="G420" s="140"/>
    </row>
    <row r="421" spans="1:10" ht="13.5" thickBot="1" x14ac:dyDescent="0.25">
      <c r="A421" s="1527" t="s">
        <v>125</v>
      </c>
      <c r="B421" s="1528"/>
      <c r="C421" s="1528"/>
      <c r="D421" s="1528"/>
      <c r="E421" s="1528"/>
      <c r="F421" s="1529"/>
      <c r="G421" s="181">
        <f>SUM(F417:F420)</f>
        <v>4422.9123089581954</v>
      </c>
    </row>
    <row r="422" spans="1:10" ht="13.5" thickBot="1" x14ac:dyDescent="0.25">
      <c r="A422" s="186" t="s">
        <v>123</v>
      </c>
      <c r="B422" s="179"/>
      <c r="C422" s="179"/>
      <c r="D422" s="179"/>
      <c r="E422" s="179"/>
      <c r="F422" s="179"/>
      <c r="G422" s="179"/>
    </row>
    <row r="423" spans="1:10" ht="13.5" thickBot="1" x14ac:dyDescent="0.25">
      <c r="A423" s="1530" t="s">
        <v>109</v>
      </c>
      <c r="B423" s="1531"/>
      <c r="C423" s="63" t="s">
        <v>114</v>
      </c>
      <c r="D423" s="63" t="s">
        <v>115</v>
      </c>
      <c r="E423" s="63" t="s">
        <v>116</v>
      </c>
      <c r="F423" s="63" t="s">
        <v>112</v>
      </c>
      <c r="G423" s="104"/>
    </row>
    <row r="424" spans="1:10" x14ac:dyDescent="0.2">
      <c r="A424" s="1536" t="s">
        <v>163</v>
      </c>
      <c r="B424" s="1537"/>
      <c r="C424" s="134" t="s">
        <v>7</v>
      </c>
      <c r="D424" s="135">
        <v>2550</v>
      </c>
      <c r="E424" s="134">
        <v>0.65</v>
      </c>
      <c r="F424" s="135">
        <f>+E424*D424</f>
        <v>1657.5</v>
      </c>
      <c r="G424" s="137"/>
    </row>
    <row r="425" spans="1:10" ht="12.75" customHeight="1" x14ac:dyDescent="0.2">
      <c r="A425" s="2248" t="s">
        <v>57</v>
      </c>
      <c r="B425" s="2249"/>
      <c r="C425" s="134" t="s">
        <v>7</v>
      </c>
      <c r="D425" s="135">
        <v>15600</v>
      </c>
      <c r="E425" s="134">
        <v>0.1</v>
      </c>
      <c r="F425" s="135">
        <f>+E425*D425</f>
        <v>1560</v>
      </c>
      <c r="G425" s="137"/>
    </row>
    <row r="426" spans="1:10" ht="13.5" thickBot="1" x14ac:dyDescent="0.25">
      <c r="A426" s="1538" t="s">
        <v>913</v>
      </c>
      <c r="B426" s="1539"/>
      <c r="C426" s="138" t="s">
        <v>64</v>
      </c>
      <c r="D426" s="139">
        <v>24450</v>
      </c>
      <c r="E426" s="138">
        <v>0.1</v>
      </c>
      <c r="F426" s="139">
        <f>+E426*D426</f>
        <v>2445</v>
      </c>
      <c r="G426" s="140"/>
    </row>
    <row r="427" spans="1:10" ht="13.5" thickBot="1" x14ac:dyDescent="0.25">
      <c r="A427" s="1527" t="s">
        <v>125</v>
      </c>
      <c r="B427" s="1528"/>
      <c r="C427" s="1528"/>
      <c r="D427" s="1528"/>
      <c r="E427" s="1528"/>
      <c r="F427" s="1529" t="s">
        <v>113</v>
      </c>
      <c r="G427" s="181">
        <f>SUM(F424:F426)</f>
        <v>5662.5</v>
      </c>
    </row>
    <row r="428" spans="1:10" ht="13.5" thickBot="1" x14ac:dyDescent="0.25">
      <c r="A428" s="186" t="s">
        <v>117</v>
      </c>
      <c r="B428" s="179"/>
      <c r="C428" s="179"/>
      <c r="D428" s="179"/>
      <c r="E428" s="179"/>
      <c r="F428" s="179"/>
      <c r="G428" s="179"/>
    </row>
    <row r="429" spans="1:10" ht="13.5" thickBot="1" x14ac:dyDescent="0.25">
      <c r="A429" s="1530" t="s">
        <v>109</v>
      </c>
      <c r="B429" s="1531"/>
      <c r="C429" s="63" t="s">
        <v>114</v>
      </c>
      <c r="D429" s="63" t="s">
        <v>115</v>
      </c>
      <c r="E429" s="63" t="s">
        <v>116</v>
      </c>
      <c r="F429" s="63" t="s">
        <v>112</v>
      </c>
      <c r="G429" s="115"/>
    </row>
    <row r="430" spans="1:10" x14ac:dyDescent="0.2">
      <c r="A430" s="1540" t="s">
        <v>205</v>
      </c>
      <c r="B430" s="1541"/>
      <c r="C430" s="189" t="s">
        <v>159</v>
      </c>
      <c r="D430" s="130">
        <v>60714.285714285717</v>
      </c>
      <c r="E430" s="190">
        <v>0</v>
      </c>
      <c r="F430" s="135">
        <f>D430*E430</f>
        <v>0</v>
      </c>
      <c r="G430" s="132"/>
    </row>
    <row r="431" spans="1:10" ht="13.5" thickBot="1" x14ac:dyDescent="0.25">
      <c r="A431" s="1542"/>
      <c r="B431" s="1535"/>
      <c r="C431" s="189"/>
      <c r="D431" s="139"/>
      <c r="E431" s="188"/>
      <c r="F431" s="139">
        <f>D431*E431</f>
        <v>0</v>
      </c>
      <c r="G431" s="187"/>
    </row>
    <row r="432" spans="1:10" ht="13.5" thickBot="1" x14ac:dyDescent="0.25">
      <c r="A432" s="1527" t="s">
        <v>125</v>
      </c>
      <c r="B432" s="1528"/>
      <c r="C432" s="1528"/>
      <c r="D432" s="1528"/>
      <c r="E432" s="1528"/>
      <c r="F432" s="1529" t="s">
        <v>113</v>
      </c>
      <c r="G432" s="181">
        <f>SUM(F431:F431)</f>
        <v>0</v>
      </c>
      <c r="J432" s="105">
        <f>80*5.7</f>
        <v>456</v>
      </c>
    </row>
    <row r="433" spans="1:9" ht="13.5" thickBot="1" x14ac:dyDescent="0.25">
      <c r="A433" s="186" t="s">
        <v>119</v>
      </c>
      <c r="B433" s="179"/>
      <c r="C433" s="179"/>
      <c r="D433" s="179"/>
      <c r="E433" s="179"/>
      <c r="F433" s="179"/>
      <c r="G433" s="179"/>
    </row>
    <row r="434" spans="1:9" ht="13.5" thickBot="1" x14ac:dyDescent="0.25">
      <c r="A434" s="1530" t="s">
        <v>120</v>
      </c>
      <c r="B434" s="1531"/>
      <c r="C434" s="63" t="s">
        <v>121</v>
      </c>
      <c r="D434" s="63" t="s">
        <v>114</v>
      </c>
      <c r="E434" s="63" t="s">
        <v>116</v>
      </c>
      <c r="F434" s="63" t="s">
        <v>112</v>
      </c>
      <c r="G434" s="121"/>
    </row>
    <row r="435" spans="1:9" x14ac:dyDescent="0.2">
      <c r="A435" s="1532" t="s">
        <v>975</v>
      </c>
      <c r="B435" s="1533"/>
      <c r="C435" s="122">
        <v>14142.890951641079</v>
      </c>
      <c r="D435" s="185">
        <v>1</v>
      </c>
      <c r="E435" s="185">
        <v>0.88383627101003392</v>
      </c>
      <c r="F435" s="124">
        <f>+(C435*D435)*E435</f>
        <v>12500.000000000002</v>
      </c>
      <c r="G435" s="132"/>
      <c r="I435" s="105">
        <f>15*5.6</f>
        <v>84</v>
      </c>
    </row>
    <row r="436" spans="1:9" ht="13.5" thickBot="1" x14ac:dyDescent="0.25">
      <c r="A436" s="1534"/>
      <c r="B436" s="1535"/>
      <c r="C436" s="184"/>
      <c r="D436" s="183"/>
      <c r="E436" s="183"/>
      <c r="F436" s="182"/>
      <c r="G436" s="140"/>
    </row>
    <row r="437" spans="1:9" ht="13.5" thickBot="1" x14ac:dyDescent="0.25">
      <c r="A437" s="1527" t="str">
        <f>+A432</f>
        <v>SUB-TOTAL</v>
      </c>
      <c r="B437" s="1528"/>
      <c r="C437" s="1528"/>
      <c r="D437" s="1528"/>
      <c r="E437" s="1528"/>
      <c r="F437" s="1529" t="s">
        <v>113</v>
      </c>
      <c r="G437" s="181">
        <f>SUM(F435:F436)</f>
        <v>12500.000000000002</v>
      </c>
    </row>
    <row r="438" spans="1:9" ht="11.25" customHeight="1" thickBot="1" x14ac:dyDescent="0.25">
      <c r="A438" s="179"/>
      <c r="B438" s="179"/>
      <c r="C438" s="179"/>
      <c r="D438" s="179"/>
      <c r="E438" s="179"/>
      <c r="F438" s="180"/>
      <c r="G438" s="179"/>
    </row>
    <row r="439" spans="1:9" ht="13.5" thickBot="1" x14ac:dyDescent="0.25">
      <c r="A439" s="1527" t="s">
        <v>156</v>
      </c>
      <c r="B439" s="1528"/>
      <c r="C439" s="1528"/>
      <c r="D439" s="1528"/>
      <c r="E439" s="1528"/>
      <c r="F439" s="1529"/>
      <c r="G439" s="178">
        <f>ROUND(G421+G427+G432+G437,0)</f>
        <v>22585</v>
      </c>
    </row>
    <row r="441" spans="1:9" ht="13.5" thickBot="1" x14ac:dyDescent="0.25"/>
    <row r="442" spans="1:9" ht="27" customHeight="1" x14ac:dyDescent="0.2">
      <c r="A442" s="1548" t="s">
        <v>122</v>
      </c>
      <c r="B442" s="1549"/>
      <c r="C442" s="1550"/>
      <c r="D442" s="50"/>
      <c r="E442" s="50"/>
      <c r="F442" s="50"/>
      <c r="G442" s="98"/>
    </row>
    <row r="443" spans="1:9" ht="24" customHeight="1" thickBot="1" x14ac:dyDescent="0.25">
      <c r="A443" s="1551" t="s">
        <v>276</v>
      </c>
      <c r="B443" s="1552"/>
      <c r="C443" s="1553"/>
      <c r="D443" s="99"/>
      <c r="E443" s="99"/>
      <c r="F443" s="99"/>
      <c r="G443" s="100"/>
    </row>
    <row r="444" spans="1:9" ht="13.5" thickBot="1" x14ac:dyDescent="0.25">
      <c r="A444" s="179"/>
      <c r="B444" s="179"/>
      <c r="C444" s="179"/>
      <c r="D444" s="179"/>
      <c r="E444" s="179"/>
      <c r="F444" s="179"/>
      <c r="G444" s="179"/>
    </row>
    <row r="445" spans="1:9" ht="35.25" customHeight="1" thickBot="1" x14ac:dyDescent="0.25">
      <c r="A445" s="1558" t="s">
        <v>957</v>
      </c>
      <c r="B445" s="1559"/>
      <c r="C445" s="1560"/>
      <c r="D445" s="1565" t="s">
        <v>315</v>
      </c>
      <c r="E445" s="1559"/>
      <c r="F445" s="1559"/>
      <c r="G445" s="1560"/>
    </row>
    <row r="446" spans="1:9" ht="13.5" thickBot="1" x14ac:dyDescent="0.25">
      <c r="A446" s="192"/>
      <c r="B446" s="192"/>
      <c r="C446" s="192"/>
      <c r="D446" s="192"/>
      <c r="E446" s="192"/>
      <c r="F446" s="192"/>
      <c r="G446" s="192"/>
    </row>
    <row r="447" spans="1:9" ht="12.75" customHeight="1" thickBot="1" x14ac:dyDescent="0.25">
      <c r="A447" s="191"/>
      <c r="B447" s="179"/>
      <c r="D447" s="60" t="s">
        <v>124</v>
      </c>
      <c r="E447" s="61" t="s">
        <v>6</v>
      </c>
      <c r="F447" s="191"/>
      <c r="G447" s="191"/>
    </row>
    <row r="448" spans="1:9" ht="13.5" thickBot="1" x14ac:dyDescent="0.25">
      <c r="A448" s="186" t="s">
        <v>108</v>
      </c>
      <c r="B448" s="179"/>
      <c r="C448" s="179"/>
      <c r="D448" s="179"/>
      <c r="E448" s="179"/>
      <c r="F448" s="179"/>
      <c r="G448" s="179"/>
    </row>
    <row r="449" spans="1:7" ht="13.5" customHeight="1" thickBot="1" x14ac:dyDescent="0.25">
      <c r="A449" s="1530" t="s">
        <v>109</v>
      </c>
      <c r="B449" s="1554"/>
      <c r="C449" s="1531"/>
      <c r="D449" s="63" t="s">
        <v>110</v>
      </c>
      <c r="E449" s="63" t="s">
        <v>111</v>
      </c>
      <c r="F449" s="63" t="s">
        <v>112</v>
      </c>
      <c r="G449" s="104"/>
    </row>
    <row r="450" spans="1:7" x14ac:dyDescent="0.2">
      <c r="A450" s="1540" t="s">
        <v>131</v>
      </c>
      <c r="B450" s="1555"/>
      <c r="C450" s="1541"/>
      <c r="D450" s="130">
        <v>2062.5</v>
      </c>
      <c r="E450" s="131">
        <f>+E468</f>
        <v>0.70353367172398718</v>
      </c>
      <c r="F450" s="130">
        <f>+E450*D450</f>
        <v>1451.0381979307235</v>
      </c>
      <c r="G450" s="132"/>
    </row>
    <row r="451" spans="1:7" x14ac:dyDescent="0.2">
      <c r="A451" s="1543" t="s">
        <v>147</v>
      </c>
      <c r="B451" s="1544"/>
      <c r="C451" s="1545"/>
      <c r="D451" s="135">
        <v>1500</v>
      </c>
      <c r="E451" s="136">
        <v>0.6</v>
      </c>
      <c r="F451" s="135">
        <f>+E451*D451</f>
        <v>900</v>
      </c>
      <c r="G451" s="137"/>
    </row>
    <row r="452" spans="1:7" ht="13.5" thickBot="1" x14ac:dyDescent="0.25">
      <c r="A452" s="1542"/>
      <c r="B452" s="1564"/>
      <c r="C452" s="1535"/>
      <c r="D452" s="139"/>
      <c r="E452" s="142"/>
      <c r="F452" s="139"/>
      <c r="G452" s="140"/>
    </row>
    <row r="453" spans="1:7" ht="13.5" thickBot="1" x14ac:dyDescent="0.25">
      <c r="A453" s="1527" t="s">
        <v>125</v>
      </c>
      <c r="B453" s="1528"/>
      <c r="C453" s="1528"/>
      <c r="D453" s="1528"/>
      <c r="E453" s="1528"/>
      <c r="F453" s="1529"/>
      <c r="G453" s="181">
        <f>SUM(F450:F452)</f>
        <v>2351.0381979307235</v>
      </c>
    </row>
    <row r="454" spans="1:7" ht="13.5" thickBot="1" x14ac:dyDescent="0.25">
      <c r="A454" s="186" t="s">
        <v>123</v>
      </c>
      <c r="B454" s="179"/>
      <c r="C454" s="179"/>
      <c r="D454" s="179"/>
      <c r="E454" s="179"/>
      <c r="F454" s="179"/>
      <c r="G454" s="179"/>
    </row>
    <row r="455" spans="1:7" ht="13.5" thickBot="1" x14ac:dyDescent="0.25">
      <c r="A455" s="1530" t="s">
        <v>109</v>
      </c>
      <c r="B455" s="1531"/>
      <c r="C455" s="63" t="s">
        <v>114</v>
      </c>
      <c r="D455" s="63" t="s">
        <v>115</v>
      </c>
      <c r="E455" s="63" t="s">
        <v>116</v>
      </c>
      <c r="F455" s="63" t="s">
        <v>112</v>
      </c>
      <c r="G455" s="104"/>
    </row>
    <row r="456" spans="1:7" ht="26.25" customHeight="1" x14ac:dyDescent="0.2">
      <c r="A456" s="1546" t="s">
        <v>971</v>
      </c>
      <c r="B456" s="1547"/>
      <c r="C456" s="129" t="s">
        <v>6</v>
      </c>
      <c r="D456" s="130">
        <v>14350</v>
      </c>
      <c r="E456" s="129">
        <v>1.03</v>
      </c>
      <c r="F456" s="130">
        <f>+E456*D456</f>
        <v>14780.5</v>
      </c>
      <c r="G456" s="132"/>
    </row>
    <row r="457" spans="1:7" x14ac:dyDescent="0.2">
      <c r="A457" s="1536"/>
      <c r="B457" s="1537"/>
      <c r="C457" s="134"/>
      <c r="D457" s="135"/>
      <c r="E457" s="134"/>
      <c r="F457" s="135"/>
      <c r="G457" s="137"/>
    </row>
    <row r="458" spans="1:7" x14ac:dyDescent="0.2">
      <c r="A458" s="1536"/>
      <c r="B458" s="1537"/>
      <c r="C458" s="134"/>
      <c r="D458" s="135"/>
      <c r="E458" s="134"/>
      <c r="F458" s="135"/>
      <c r="G458" s="137"/>
    </row>
    <row r="459" spans="1:7" ht="13.5" thickBot="1" x14ac:dyDescent="0.25">
      <c r="A459" s="1536"/>
      <c r="B459" s="1537"/>
      <c r="C459" s="134"/>
      <c r="D459" s="135"/>
      <c r="E459" s="134"/>
      <c r="F459" s="135"/>
      <c r="G459" s="137"/>
    </row>
    <row r="460" spans="1:7" ht="13.5" thickBot="1" x14ac:dyDescent="0.25">
      <c r="A460" s="1527" t="s">
        <v>125</v>
      </c>
      <c r="B460" s="1528"/>
      <c r="C460" s="1528"/>
      <c r="D460" s="1528"/>
      <c r="E460" s="1528"/>
      <c r="F460" s="1529" t="s">
        <v>113</v>
      </c>
      <c r="G460" s="181">
        <f>SUM(F456:F459)</f>
        <v>14780.5</v>
      </c>
    </row>
    <row r="461" spans="1:7" ht="13.5" thickBot="1" x14ac:dyDescent="0.25">
      <c r="A461" s="186" t="s">
        <v>117</v>
      </c>
      <c r="B461" s="179"/>
      <c r="C461" s="179"/>
      <c r="D461" s="179"/>
      <c r="E461" s="179"/>
      <c r="F461" s="179"/>
      <c r="G461" s="179"/>
    </row>
    <row r="462" spans="1:7" ht="13.5" thickBot="1" x14ac:dyDescent="0.25">
      <c r="A462" s="1530" t="s">
        <v>109</v>
      </c>
      <c r="B462" s="1531"/>
      <c r="C462" s="63" t="s">
        <v>114</v>
      </c>
      <c r="D462" s="63" t="s">
        <v>115</v>
      </c>
      <c r="E462" s="63" t="s">
        <v>116</v>
      </c>
      <c r="F462" s="63" t="s">
        <v>112</v>
      </c>
      <c r="G462" s="115"/>
    </row>
    <row r="463" spans="1:7" x14ac:dyDescent="0.2">
      <c r="A463" s="1540" t="s">
        <v>205</v>
      </c>
      <c r="B463" s="1541"/>
      <c r="C463" s="189" t="s">
        <v>159</v>
      </c>
      <c r="D463" s="130">
        <v>60714.285714285717</v>
      </c>
      <c r="E463" s="190">
        <v>0</v>
      </c>
      <c r="F463" s="135">
        <f>D463*E463</f>
        <v>0</v>
      </c>
      <c r="G463" s="132"/>
    </row>
    <row r="464" spans="1:7" ht="13.5" thickBot="1" x14ac:dyDescent="0.25">
      <c r="A464" s="1542"/>
      <c r="B464" s="1535"/>
      <c r="C464" s="189"/>
      <c r="D464" s="139"/>
      <c r="E464" s="188"/>
      <c r="F464" s="139"/>
      <c r="G464" s="187"/>
    </row>
    <row r="465" spans="1:7" ht="13.5" thickBot="1" x14ac:dyDescent="0.25">
      <c r="A465" s="1527" t="s">
        <v>125</v>
      </c>
      <c r="B465" s="1528"/>
      <c r="C465" s="1528"/>
      <c r="D465" s="1528"/>
      <c r="E465" s="1528"/>
      <c r="F465" s="1529" t="s">
        <v>113</v>
      </c>
      <c r="G465" s="181">
        <f>SUM(F464:F464)</f>
        <v>0</v>
      </c>
    </row>
    <row r="466" spans="1:7" ht="13.5" thickBot="1" x14ac:dyDescent="0.25">
      <c r="A466" s="186" t="s">
        <v>119</v>
      </c>
      <c r="B466" s="179"/>
      <c r="C466" s="179"/>
      <c r="D466" s="179"/>
      <c r="E466" s="179"/>
      <c r="F466" s="179"/>
      <c r="G466" s="179"/>
    </row>
    <row r="467" spans="1:7" ht="13.5" thickBot="1" x14ac:dyDescent="0.25">
      <c r="A467" s="1530" t="s">
        <v>120</v>
      </c>
      <c r="B467" s="1531"/>
      <c r="C467" s="63" t="s">
        <v>121</v>
      </c>
      <c r="D467" s="63" t="s">
        <v>114</v>
      </c>
      <c r="E467" s="63" t="s">
        <v>116</v>
      </c>
      <c r="F467" s="63" t="s">
        <v>112</v>
      </c>
      <c r="G467" s="121"/>
    </row>
    <row r="468" spans="1:7" x14ac:dyDescent="0.2">
      <c r="A468" s="1532" t="s">
        <v>975</v>
      </c>
      <c r="B468" s="1533"/>
      <c r="C468" s="122">
        <v>14142.890951641079</v>
      </c>
      <c r="D468" s="185">
        <v>1</v>
      </c>
      <c r="E468" s="185">
        <v>0.70353367172398718</v>
      </c>
      <c r="F468" s="124">
        <f>+(C468*D468)*E468</f>
        <v>9950.0000000000036</v>
      </c>
      <c r="G468" s="132"/>
    </row>
    <row r="469" spans="1:7" ht="13.5" thickBot="1" x14ac:dyDescent="0.25">
      <c r="A469" s="1534"/>
      <c r="B469" s="1535"/>
      <c r="C469" s="184"/>
      <c r="D469" s="183"/>
      <c r="E469" s="183"/>
      <c r="F469" s="182"/>
      <c r="G469" s="140"/>
    </row>
    <row r="470" spans="1:7" ht="13.5" thickBot="1" x14ac:dyDescent="0.25">
      <c r="A470" s="1527" t="str">
        <f>+A465</f>
        <v>SUB-TOTAL</v>
      </c>
      <c r="B470" s="1528"/>
      <c r="C470" s="1528"/>
      <c r="D470" s="1528"/>
      <c r="E470" s="1528"/>
      <c r="F470" s="1529" t="s">
        <v>113</v>
      </c>
      <c r="G470" s="181">
        <f>SUM(F468:F469)</f>
        <v>9950.0000000000036</v>
      </c>
    </row>
    <row r="471" spans="1:7" ht="11.25" customHeight="1" thickBot="1" x14ac:dyDescent="0.25">
      <c r="A471" s="179"/>
      <c r="B471" s="179"/>
      <c r="C471" s="179"/>
      <c r="D471" s="179"/>
      <c r="E471" s="179"/>
      <c r="F471" s="180"/>
      <c r="G471" s="179"/>
    </row>
    <row r="472" spans="1:7" ht="13.5" thickBot="1" x14ac:dyDescent="0.25">
      <c r="A472" s="1527" t="s">
        <v>156</v>
      </c>
      <c r="B472" s="1528"/>
      <c r="C472" s="1528"/>
      <c r="D472" s="1528"/>
      <c r="E472" s="1528"/>
      <c r="F472" s="1529"/>
      <c r="G472" s="178">
        <f>ROUND(G453+G460+G465+G470,0)</f>
        <v>27082</v>
      </c>
    </row>
    <row r="474" spans="1:7" ht="13.5" thickBot="1" x14ac:dyDescent="0.25"/>
    <row r="475" spans="1:7" ht="27" customHeight="1" x14ac:dyDescent="0.2">
      <c r="A475" s="1548" t="s">
        <v>122</v>
      </c>
      <c r="B475" s="1549"/>
      <c r="C475" s="1550"/>
      <c r="D475" s="50"/>
      <c r="E475" s="50"/>
      <c r="F475" s="50"/>
      <c r="G475" s="98"/>
    </row>
    <row r="476" spans="1:7" ht="24" customHeight="1" thickBot="1" x14ac:dyDescent="0.25">
      <c r="A476" s="1551" t="s">
        <v>276</v>
      </c>
      <c r="B476" s="1552"/>
      <c r="C476" s="1553"/>
      <c r="D476" s="99"/>
      <c r="E476" s="99"/>
      <c r="F476" s="99"/>
      <c r="G476" s="100"/>
    </row>
    <row r="477" spans="1:7" ht="13.5" thickBot="1" x14ac:dyDescent="0.25">
      <c r="A477" s="179"/>
      <c r="B477" s="179"/>
      <c r="C477" s="179"/>
      <c r="D477" s="179"/>
      <c r="E477" s="179"/>
      <c r="F477" s="179"/>
      <c r="G477" s="179"/>
    </row>
    <row r="478" spans="1:7" ht="36.75" customHeight="1" thickBot="1" x14ac:dyDescent="0.25">
      <c r="A478" s="1558" t="s">
        <v>957</v>
      </c>
      <c r="B478" s="1559"/>
      <c r="C478" s="1560"/>
      <c r="D478" s="1565" t="s">
        <v>314</v>
      </c>
      <c r="E478" s="1559"/>
      <c r="F478" s="1559"/>
      <c r="G478" s="1560"/>
    </row>
    <row r="479" spans="1:7" ht="13.5" thickBot="1" x14ac:dyDescent="0.25">
      <c r="A479" s="192"/>
      <c r="B479" s="192"/>
      <c r="C479" s="192"/>
      <c r="D479" s="192"/>
      <c r="E479" s="192"/>
      <c r="F479" s="192"/>
      <c r="G479" s="192"/>
    </row>
    <row r="480" spans="1:7" ht="12.75" customHeight="1" thickBot="1" x14ac:dyDescent="0.25">
      <c r="A480" s="191"/>
      <c r="B480" s="179"/>
      <c r="D480" s="60" t="s">
        <v>124</v>
      </c>
      <c r="E480" s="61" t="s">
        <v>6</v>
      </c>
      <c r="F480" s="191"/>
      <c r="G480" s="191"/>
    </row>
    <row r="481" spans="1:7" ht="13.5" thickBot="1" x14ac:dyDescent="0.25">
      <c r="A481" s="186" t="s">
        <v>108</v>
      </c>
      <c r="B481" s="179"/>
      <c r="C481" s="179"/>
      <c r="D481" s="179"/>
      <c r="E481" s="179"/>
      <c r="F481" s="179"/>
      <c r="G481" s="179"/>
    </row>
    <row r="482" spans="1:7" ht="13.5" customHeight="1" thickBot="1" x14ac:dyDescent="0.25">
      <c r="A482" s="1530" t="s">
        <v>109</v>
      </c>
      <c r="B482" s="1554"/>
      <c r="C482" s="1531"/>
      <c r="D482" s="63" t="s">
        <v>110</v>
      </c>
      <c r="E482" s="63" t="s">
        <v>111</v>
      </c>
      <c r="F482" s="63" t="s">
        <v>112</v>
      </c>
      <c r="G482" s="104"/>
    </row>
    <row r="483" spans="1:7" x14ac:dyDescent="0.2">
      <c r="A483" s="1540" t="s">
        <v>131</v>
      </c>
      <c r="B483" s="1555"/>
      <c r="C483" s="1541"/>
      <c r="D483" s="130">
        <v>2062.5</v>
      </c>
      <c r="E483" s="131">
        <f>+E502</f>
        <v>2.227267402945285</v>
      </c>
      <c r="F483" s="130">
        <f>+E483*D483</f>
        <v>4593.7390185746508</v>
      </c>
      <c r="G483" s="132"/>
    </row>
    <row r="484" spans="1:7" x14ac:dyDescent="0.2">
      <c r="A484" s="1543" t="s">
        <v>139</v>
      </c>
      <c r="B484" s="1544"/>
      <c r="C484" s="1545"/>
      <c r="D484" s="135">
        <v>8125</v>
      </c>
      <c r="E484" s="136">
        <v>8.7999999999999995E-2</v>
      </c>
      <c r="F484" s="135">
        <f>+E484*D484</f>
        <v>715</v>
      </c>
      <c r="G484" s="137"/>
    </row>
    <row r="485" spans="1:7" x14ac:dyDescent="0.2">
      <c r="A485" s="1543" t="s">
        <v>147</v>
      </c>
      <c r="B485" s="1544"/>
      <c r="C485" s="1545"/>
      <c r="D485" s="135">
        <v>1500</v>
      </c>
      <c r="E485" s="136">
        <v>1</v>
      </c>
      <c r="F485" s="135">
        <f>+E485*D485</f>
        <v>1500</v>
      </c>
      <c r="G485" s="137"/>
    </row>
    <row r="486" spans="1:7" ht="13.5" thickBot="1" x14ac:dyDescent="0.25">
      <c r="A486" s="1542" t="s">
        <v>138</v>
      </c>
      <c r="B486" s="1564"/>
      <c r="C486" s="1535"/>
      <c r="D486" s="139">
        <v>45500</v>
      </c>
      <c r="E486" s="141">
        <f>+E484</f>
        <v>8.7999999999999995E-2</v>
      </c>
      <c r="F486" s="139">
        <f>+E486*D486</f>
        <v>4003.9999999999995</v>
      </c>
      <c r="G486" s="140"/>
    </row>
    <row r="487" spans="1:7" ht="13.5" thickBot="1" x14ac:dyDescent="0.25">
      <c r="A487" s="1527" t="s">
        <v>125</v>
      </c>
      <c r="B487" s="1528"/>
      <c r="C487" s="1528"/>
      <c r="D487" s="1528"/>
      <c r="E487" s="1528"/>
      <c r="F487" s="1529"/>
      <c r="G487" s="181">
        <f>SUM(F483:F486)</f>
        <v>10812.73901857465</v>
      </c>
    </row>
    <row r="488" spans="1:7" ht="13.5" thickBot="1" x14ac:dyDescent="0.25">
      <c r="A488" s="186" t="s">
        <v>123</v>
      </c>
      <c r="B488" s="179"/>
      <c r="C488" s="179"/>
      <c r="D488" s="179"/>
      <c r="E488" s="179"/>
      <c r="F488" s="179"/>
      <c r="G488" s="179"/>
    </row>
    <row r="489" spans="1:7" ht="13.5" thickBot="1" x14ac:dyDescent="0.25">
      <c r="A489" s="1530" t="s">
        <v>109</v>
      </c>
      <c r="B489" s="1531"/>
      <c r="C489" s="63" t="s">
        <v>114</v>
      </c>
      <c r="D489" s="63" t="s">
        <v>115</v>
      </c>
      <c r="E489" s="63" t="s">
        <v>116</v>
      </c>
      <c r="F489" s="63" t="s">
        <v>112</v>
      </c>
      <c r="G489" s="104"/>
    </row>
    <row r="490" spans="1:7" x14ac:dyDescent="0.2">
      <c r="A490" s="1536" t="s">
        <v>55</v>
      </c>
      <c r="B490" s="1537"/>
      <c r="C490" s="134" t="s">
        <v>6</v>
      </c>
      <c r="D490" s="135">
        <v>2400</v>
      </c>
      <c r="E490" s="134">
        <v>0.37</v>
      </c>
      <c r="F490" s="135">
        <f>+E490*D490</f>
        <v>888</v>
      </c>
      <c r="G490" s="137"/>
    </row>
    <row r="491" spans="1:7" ht="12.75" customHeight="1" x14ac:dyDescent="0.2">
      <c r="A491" s="2248" t="s">
        <v>972</v>
      </c>
      <c r="B491" s="2249"/>
      <c r="C491" s="134" t="s">
        <v>2</v>
      </c>
      <c r="D491" s="135">
        <v>39350</v>
      </c>
      <c r="E491" s="134">
        <v>0.5</v>
      </c>
      <c r="F491" s="135">
        <f>+E491*D491</f>
        <v>19675</v>
      </c>
      <c r="G491" s="137"/>
    </row>
    <row r="492" spans="1:7" ht="12.75" customHeight="1" x14ac:dyDescent="0.2">
      <c r="A492" s="2248" t="s">
        <v>57</v>
      </c>
      <c r="B492" s="2249"/>
      <c r="C492" s="134" t="s">
        <v>7</v>
      </c>
      <c r="D492" s="135">
        <v>15600</v>
      </c>
      <c r="E492" s="134">
        <v>0.25</v>
      </c>
      <c r="F492" s="135">
        <f>+E492*D492</f>
        <v>3900</v>
      </c>
      <c r="G492" s="137"/>
    </row>
    <row r="493" spans="1:7" ht="13.5" thickBot="1" x14ac:dyDescent="0.25">
      <c r="A493" s="1538" t="s">
        <v>913</v>
      </c>
      <c r="B493" s="1539"/>
      <c r="C493" s="138" t="s">
        <v>64</v>
      </c>
      <c r="D493" s="139">
        <v>24450</v>
      </c>
      <c r="E493" s="138">
        <v>7.0000000000000007E-2</v>
      </c>
      <c r="F493" s="139">
        <f>+E493*D493</f>
        <v>1711.5000000000002</v>
      </c>
      <c r="G493" s="140"/>
    </row>
    <row r="494" spans="1:7" ht="13.5" thickBot="1" x14ac:dyDescent="0.25">
      <c r="A494" s="1527" t="s">
        <v>125</v>
      </c>
      <c r="B494" s="1528"/>
      <c r="C494" s="1528"/>
      <c r="D494" s="1528"/>
      <c r="E494" s="1528"/>
      <c r="F494" s="1529" t="s">
        <v>113</v>
      </c>
      <c r="G494" s="181">
        <f>SUM(F490:F493)</f>
        <v>26174.5</v>
      </c>
    </row>
    <row r="495" spans="1:7" ht="13.5" thickBot="1" x14ac:dyDescent="0.25">
      <c r="A495" s="186" t="s">
        <v>117</v>
      </c>
      <c r="B495" s="179"/>
      <c r="C495" s="179"/>
      <c r="D495" s="179"/>
      <c r="E495" s="179"/>
      <c r="F495" s="179"/>
      <c r="G495" s="179"/>
    </row>
    <row r="496" spans="1:7" ht="13.5" thickBot="1" x14ac:dyDescent="0.25">
      <c r="A496" s="1530" t="s">
        <v>109</v>
      </c>
      <c r="B496" s="1531"/>
      <c r="C496" s="63" t="s">
        <v>114</v>
      </c>
      <c r="D496" s="63" t="s">
        <v>115</v>
      </c>
      <c r="E496" s="63" t="s">
        <v>116</v>
      </c>
      <c r="F496" s="63" t="s">
        <v>112</v>
      </c>
      <c r="G496" s="115"/>
    </row>
    <row r="497" spans="1:10" x14ac:dyDescent="0.2">
      <c r="A497" s="1540" t="s">
        <v>205</v>
      </c>
      <c r="B497" s="1541"/>
      <c r="C497" s="189" t="s">
        <v>159</v>
      </c>
      <c r="D497" s="130">
        <v>60714.285714285717</v>
      </c>
      <c r="E497" s="190">
        <v>0</v>
      </c>
      <c r="F497" s="135">
        <f>D497*E497</f>
        <v>0</v>
      </c>
      <c r="G497" s="132"/>
    </row>
    <row r="498" spans="1:10" ht="13.5" thickBot="1" x14ac:dyDescent="0.25">
      <c r="A498" s="1542"/>
      <c r="B498" s="1535"/>
      <c r="C498" s="189"/>
      <c r="D498" s="139"/>
      <c r="E498" s="188"/>
      <c r="F498" s="139">
        <f>D498*E498</f>
        <v>0</v>
      </c>
      <c r="G498" s="187"/>
    </row>
    <row r="499" spans="1:10" ht="13.5" thickBot="1" x14ac:dyDescent="0.25">
      <c r="A499" s="1527" t="s">
        <v>125</v>
      </c>
      <c r="B499" s="1528"/>
      <c r="C499" s="1528"/>
      <c r="D499" s="1528"/>
      <c r="E499" s="1528"/>
      <c r="F499" s="1529" t="s">
        <v>113</v>
      </c>
      <c r="G499" s="181">
        <f>SUM(F498:F498)</f>
        <v>0</v>
      </c>
      <c r="J499" s="105">
        <f>80*5.7</f>
        <v>456</v>
      </c>
    </row>
    <row r="500" spans="1:10" ht="13.5" thickBot="1" x14ac:dyDescent="0.25">
      <c r="A500" s="186" t="s">
        <v>119</v>
      </c>
      <c r="B500" s="179"/>
      <c r="C500" s="179"/>
      <c r="D500" s="179"/>
      <c r="E500" s="179"/>
      <c r="F500" s="179"/>
      <c r="G500" s="179"/>
    </row>
    <row r="501" spans="1:10" ht="13.5" thickBot="1" x14ac:dyDescent="0.25">
      <c r="A501" s="1530" t="s">
        <v>120</v>
      </c>
      <c r="B501" s="1531"/>
      <c r="C501" s="63" t="s">
        <v>121</v>
      </c>
      <c r="D501" s="63" t="s">
        <v>114</v>
      </c>
      <c r="E501" s="63" t="s">
        <v>116</v>
      </c>
      <c r="F501" s="63" t="s">
        <v>112</v>
      </c>
      <c r="G501" s="121"/>
    </row>
    <row r="502" spans="1:10" x14ac:dyDescent="0.2">
      <c r="A502" s="1532" t="s">
        <v>975</v>
      </c>
      <c r="B502" s="1533"/>
      <c r="C502" s="122">
        <v>14142.890951641079</v>
      </c>
      <c r="D502" s="185">
        <v>1</v>
      </c>
      <c r="E502" s="185">
        <v>2.227267402945285</v>
      </c>
      <c r="F502" s="124">
        <f>+(C502*D502)*E502</f>
        <v>31499.999999999996</v>
      </c>
      <c r="G502" s="132"/>
      <c r="I502" s="105">
        <f>15*5.6</f>
        <v>84</v>
      </c>
    </row>
    <row r="503" spans="1:10" ht="13.5" thickBot="1" x14ac:dyDescent="0.25">
      <c r="A503" s="1534"/>
      <c r="B503" s="1535"/>
      <c r="C503" s="184"/>
      <c r="D503" s="183"/>
      <c r="E503" s="183"/>
      <c r="F503" s="182"/>
      <c r="G503" s="140"/>
    </row>
    <row r="504" spans="1:10" ht="13.5" thickBot="1" x14ac:dyDescent="0.25">
      <c r="A504" s="1527" t="str">
        <f>+A499</f>
        <v>SUB-TOTAL</v>
      </c>
      <c r="B504" s="1528"/>
      <c r="C504" s="1528"/>
      <c r="D504" s="1528"/>
      <c r="E504" s="1528"/>
      <c r="F504" s="1529" t="s">
        <v>113</v>
      </c>
      <c r="G504" s="181">
        <f>SUM(F502:F503)</f>
        <v>31499.999999999996</v>
      </c>
    </row>
    <row r="505" spans="1:10" ht="11.25" customHeight="1" thickBot="1" x14ac:dyDescent="0.25">
      <c r="A505" s="179"/>
      <c r="B505" s="179"/>
      <c r="C505" s="179"/>
      <c r="D505" s="179"/>
      <c r="E505" s="179"/>
      <c r="F505" s="180"/>
      <c r="G505" s="179"/>
    </row>
    <row r="506" spans="1:10" ht="13.5" thickBot="1" x14ac:dyDescent="0.25">
      <c r="A506" s="1527" t="s">
        <v>156</v>
      </c>
      <c r="B506" s="1528"/>
      <c r="C506" s="1528"/>
      <c r="D506" s="1528"/>
      <c r="E506" s="1528"/>
      <c r="F506" s="1529"/>
      <c r="G506" s="178">
        <f>ROUND(G487+G494+G499+G504,0)</f>
        <v>68487</v>
      </c>
    </row>
    <row r="508" spans="1:10" ht="13.5" thickBot="1" x14ac:dyDescent="0.25"/>
    <row r="509" spans="1:10" ht="27" customHeight="1" x14ac:dyDescent="0.2">
      <c r="A509" s="1548" t="s">
        <v>122</v>
      </c>
      <c r="B509" s="1549"/>
      <c r="C509" s="1550"/>
      <c r="D509" s="50"/>
      <c r="E509" s="50"/>
      <c r="F509" s="50"/>
      <c r="G509" s="98"/>
    </row>
    <row r="510" spans="1:10" ht="24" customHeight="1" thickBot="1" x14ac:dyDescent="0.25">
      <c r="A510" s="1551" t="s">
        <v>276</v>
      </c>
      <c r="B510" s="1552"/>
      <c r="C510" s="1553"/>
      <c r="D510" s="99"/>
      <c r="E510" s="99"/>
      <c r="F510" s="99"/>
      <c r="G510" s="100"/>
    </row>
    <row r="511" spans="1:10" ht="13.5" thickBot="1" x14ac:dyDescent="0.25">
      <c r="A511" s="179"/>
      <c r="B511" s="179"/>
      <c r="C511" s="179"/>
      <c r="D511" s="179"/>
      <c r="E511" s="179"/>
      <c r="F511" s="179"/>
      <c r="G511" s="179"/>
    </row>
    <row r="512" spans="1:10" ht="36.75" customHeight="1" thickBot="1" x14ac:dyDescent="0.25">
      <c r="A512" s="1558" t="s">
        <v>957</v>
      </c>
      <c r="B512" s="1559"/>
      <c r="C512" s="1560"/>
      <c r="D512" s="1565" t="s">
        <v>313</v>
      </c>
      <c r="E512" s="1559"/>
      <c r="F512" s="1559"/>
      <c r="G512" s="1560"/>
    </row>
    <row r="513" spans="1:7" ht="13.5" thickBot="1" x14ac:dyDescent="0.25">
      <c r="A513" s="192"/>
      <c r="B513" s="192"/>
      <c r="C513" s="192"/>
      <c r="D513" s="192"/>
      <c r="E513" s="192"/>
      <c r="F513" s="192"/>
      <c r="G513" s="192"/>
    </row>
    <row r="514" spans="1:7" ht="12.75" customHeight="1" thickBot="1" x14ac:dyDescent="0.25">
      <c r="A514" s="191"/>
      <c r="B514" s="179"/>
      <c r="D514" s="60" t="s">
        <v>124</v>
      </c>
      <c r="E514" s="61" t="s">
        <v>6</v>
      </c>
      <c r="F514" s="191"/>
      <c r="G514" s="191"/>
    </row>
    <row r="515" spans="1:7" ht="13.5" thickBot="1" x14ac:dyDescent="0.25">
      <c r="A515" s="186" t="s">
        <v>108</v>
      </c>
      <c r="B515" s="179"/>
      <c r="C515" s="179"/>
      <c r="D515" s="179"/>
      <c r="E515" s="179"/>
      <c r="F515" s="179"/>
      <c r="G515" s="179"/>
    </row>
    <row r="516" spans="1:7" ht="13.5" customHeight="1" thickBot="1" x14ac:dyDescent="0.25">
      <c r="A516" s="1530" t="s">
        <v>109</v>
      </c>
      <c r="B516" s="1554"/>
      <c r="C516" s="1531"/>
      <c r="D516" s="63" t="s">
        <v>110</v>
      </c>
      <c r="E516" s="63" t="s">
        <v>111</v>
      </c>
      <c r="F516" s="63" t="s">
        <v>112</v>
      </c>
      <c r="G516" s="104"/>
    </row>
    <row r="517" spans="1:7" x14ac:dyDescent="0.2">
      <c r="A517" s="1540" t="s">
        <v>131</v>
      </c>
      <c r="B517" s="1555"/>
      <c r="C517" s="1541"/>
      <c r="D517" s="130">
        <v>2062.5</v>
      </c>
      <c r="E517" s="131">
        <f>+E534</f>
        <v>0.39242330432845507</v>
      </c>
      <c r="F517" s="130">
        <f>+E517*D517</f>
        <v>809.37306517743855</v>
      </c>
      <c r="G517" s="132"/>
    </row>
    <row r="518" spans="1:7" ht="13.5" thickBot="1" x14ac:dyDescent="0.25">
      <c r="A518" s="1543" t="s">
        <v>147</v>
      </c>
      <c r="B518" s="1544"/>
      <c r="C518" s="1545"/>
      <c r="D518" s="135">
        <v>1500</v>
      </c>
      <c r="E518" s="136">
        <v>1</v>
      </c>
      <c r="F518" s="135">
        <f>+E518*D518</f>
        <v>1500</v>
      </c>
      <c r="G518" s="137"/>
    </row>
    <row r="519" spans="1:7" ht="13.5" thickBot="1" x14ac:dyDescent="0.25">
      <c r="A519" s="1527" t="s">
        <v>125</v>
      </c>
      <c r="B519" s="1528"/>
      <c r="C519" s="1528"/>
      <c r="D519" s="1528"/>
      <c r="E519" s="1528"/>
      <c r="F519" s="1529"/>
      <c r="G519" s="181">
        <f>SUM(F517:F518)</f>
        <v>2309.3730651774385</v>
      </c>
    </row>
    <row r="520" spans="1:7" ht="13.5" thickBot="1" x14ac:dyDescent="0.25">
      <c r="A520" s="186" t="s">
        <v>123</v>
      </c>
      <c r="B520" s="179"/>
      <c r="C520" s="179"/>
      <c r="D520" s="179"/>
      <c r="E520" s="179"/>
      <c r="F520" s="179"/>
      <c r="G520" s="179"/>
    </row>
    <row r="521" spans="1:7" ht="13.5" thickBot="1" x14ac:dyDescent="0.25">
      <c r="A521" s="1530" t="s">
        <v>109</v>
      </c>
      <c r="B521" s="1531"/>
      <c r="C521" s="63" t="s">
        <v>114</v>
      </c>
      <c r="D521" s="63" t="s">
        <v>115</v>
      </c>
      <c r="E521" s="63" t="s">
        <v>116</v>
      </c>
      <c r="F521" s="63" t="s">
        <v>112</v>
      </c>
      <c r="G521" s="104"/>
    </row>
    <row r="522" spans="1:7" x14ac:dyDescent="0.2">
      <c r="A522" s="1536" t="s">
        <v>973</v>
      </c>
      <c r="B522" s="1537"/>
      <c r="C522" s="134" t="s">
        <v>2</v>
      </c>
      <c r="D522" s="135">
        <v>4150</v>
      </c>
      <c r="E522" s="134">
        <v>0.37</v>
      </c>
      <c r="F522" s="135">
        <f>+E522*D522</f>
        <v>1535.5</v>
      </c>
      <c r="G522" s="137"/>
    </row>
    <row r="523" spans="1:7" ht="12.75" customHeight="1" x14ac:dyDescent="0.2">
      <c r="A523" s="2248" t="s">
        <v>974</v>
      </c>
      <c r="B523" s="2249"/>
      <c r="C523" s="134" t="s">
        <v>6</v>
      </c>
      <c r="D523" s="135">
        <v>7850</v>
      </c>
      <c r="E523" s="134">
        <v>1.05</v>
      </c>
      <c r="F523" s="135">
        <f>+E523*D523</f>
        <v>8242.5</v>
      </c>
      <c r="G523" s="137"/>
    </row>
    <row r="524" spans="1:7" ht="12.75" customHeight="1" x14ac:dyDescent="0.2">
      <c r="A524" s="2248" t="s">
        <v>100</v>
      </c>
      <c r="B524" s="2249"/>
      <c r="C524" s="134" t="s">
        <v>2</v>
      </c>
      <c r="D524" s="135">
        <v>65846</v>
      </c>
      <c r="E524" s="134">
        <v>0.06</v>
      </c>
      <c r="F524" s="135">
        <f>+E524*D524</f>
        <v>3950.7599999999998</v>
      </c>
      <c r="G524" s="137"/>
    </row>
    <row r="525" spans="1:7" ht="13.5" thickBot="1" x14ac:dyDescent="0.25">
      <c r="A525" s="1538"/>
      <c r="B525" s="1539"/>
      <c r="C525" s="138"/>
      <c r="D525" s="139"/>
      <c r="E525" s="138"/>
      <c r="F525" s="139"/>
      <c r="G525" s="140"/>
    </row>
    <row r="526" spans="1:7" ht="13.5" thickBot="1" x14ac:dyDescent="0.25">
      <c r="A526" s="1527" t="s">
        <v>125</v>
      </c>
      <c r="B526" s="1528"/>
      <c r="C526" s="1528"/>
      <c r="D526" s="1528"/>
      <c r="E526" s="1528"/>
      <c r="F526" s="1529" t="s">
        <v>113</v>
      </c>
      <c r="G526" s="181">
        <f>SUM(F522:F525)</f>
        <v>13728.76</v>
      </c>
    </row>
    <row r="527" spans="1:7" ht="13.5" thickBot="1" x14ac:dyDescent="0.25">
      <c r="A527" s="186" t="s">
        <v>117</v>
      </c>
      <c r="B527" s="179"/>
      <c r="C527" s="179"/>
      <c r="D527" s="179"/>
      <c r="E527" s="179"/>
      <c r="F527" s="179"/>
      <c r="G527" s="179"/>
    </row>
    <row r="528" spans="1:7" ht="13.5" thickBot="1" x14ac:dyDescent="0.25">
      <c r="A528" s="1530" t="s">
        <v>109</v>
      </c>
      <c r="B528" s="1531"/>
      <c r="C528" s="63" t="s">
        <v>114</v>
      </c>
      <c r="D528" s="63" t="s">
        <v>115</v>
      </c>
      <c r="E528" s="63" t="s">
        <v>116</v>
      </c>
      <c r="F528" s="63" t="s">
        <v>112</v>
      </c>
      <c r="G528" s="115"/>
    </row>
    <row r="529" spans="1:10" x14ac:dyDescent="0.2">
      <c r="A529" s="1540" t="s">
        <v>205</v>
      </c>
      <c r="B529" s="1541"/>
      <c r="C529" s="189" t="s">
        <v>159</v>
      </c>
      <c r="D529" s="130">
        <v>60714.285714285717</v>
      </c>
      <c r="E529" s="190">
        <v>0</v>
      </c>
      <c r="F529" s="135">
        <f>D529*E529</f>
        <v>0</v>
      </c>
      <c r="G529" s="132"/>
    </row>
    <row r="530" spans="1:10" ht="13.5" thickBot="1" x14ac:dyDescent="0.25">
      <c r="A530" s="1542"/>
      <c r="B530" s="1535"/>
      <c r="C530" s="189"/>
      <c r="D530" s="139"/>
      <c r="E530" s="188"/>
      <c r="F530" s="139">
        <f>D530*E530</f>
        <v>0</v>
      </c>
      <c r="G530" s="187"/>
    </row>
    <row r="531" spans="1:10" ht="13.5" thickBot="1" x14ac:dyDescent="0.25">
      <c r="A531" s="1527" t="s">
        <v>125</v>
      </c>
      <c r="B531" s="1528"/>
      <c r="C531" s="1528"/>
      <c r="D531" s="1528"/>
      <c r="E531" s="1528"/>
      <c r="F531" s="1529" t="s">
        <v>113</v>
      </c>
      <c r="G531" s="181">
        <f>SUM(F530:F530)</f>
        <v>0</v>
      </c>
      <c r="J531" s="105">
        <f>80*5.7</f>
        <v>456</v>
      </c>
    </row>
    <row r="532" spans="1:10" ht="13.5" thickBot="1" x14ac:dyDescent="0.25">
      <c r="A532" s="186" t="s">
        <v>119</v>
      </c>
      <c r="B532" s="179"/>
      <c r="C532" s="179"/>
      <c r="D532" s="179"/>
      <c r="E532" s="179"/>
      <c r="F532" s="179"/>
      <c r="G532" s="179"/>
    </row>
    <row r="533" spans="1:10" ht="13.5" thickBot="1" x14ac:dyDescent="0.25">
      <c r="A533" s="1530" t="s">
        <v>120</v>
      </c>
      <c r="B533" s="1531"/>
      <c r="C533" s="63" t="s">
        <v>121</v>
      </c>
      <c r="D533" s="63" t="s">
        <v>114</v>
      </c>
      <c r="E533" s="63" t="s">
        <v>116</v>
      </c>
      <c r="F533" s="63" t="s">
        <v>112</v>
      </c>
      <c r="G533" s="121"/>
    </row>
    <row r="534" spans="1:10" x14ac:dyDescent="0.2">
      <c r="A534" s="1532" t="s">
        <v>975</v>
      </c>
      <c r="B534" s="1533"/>
      <c r="C534" s="122">
        <v>14142.890951641079</v>
      </c>
      <c r="D534" s="185">
        <v>1</v>
      </c>
      <c r="E534" s="185">
        <v>0.39242330432845507</v>
      </c>
      <c r="F534" s="124">
        <f>+(C534*D534)*E534</f>
        <v>5550.0000000000009</v>
      </c>
      <c r="G534" s="132"/>
      <c r="I534" s="105">
        <f>15*5.6</f>
        <v>84</v>
      </c>
    </row>
    <row r="535" spans="1:10" ht="13.5" thickBot="1" x14ac:dyDescent="0.25">
      <c r="A535" s="1534"/>
      <c r="B535" s="1535"/>
      <c r="C535" s="184"/>
      <c r="D535" s="183"/>
      <c r="E535" s="183"/>
      <c r="F535" s="182"/>
      <c r="G535" s="140"/>
    </row>
    <row r="536" spans="1:10" ht="13.5" thickBot="1" x14ac:dyDescent="0.25">
      <c r="A536" s="1527" t="str">
        <f>+A531</f>
        <v>SUB-TOTAL</v>
      </c>
      <c r="B536" s="1528"/>
      <c r="C536" s="1528"/>
      <c r="D536" s="1528"/>
      <c r="E536" s="1528"/>
      <c r="F536" s="1529" t="s">
        <v>113</v>
      </c>
      <c r="G536" s="181">
        <f>SUM(F534:F535)</f>
        <v>5550.0000000000009</v>
      </c>
    </row>
    <row r="537" spans="1:10" ht="11.25" customHeight="1" thickBot="1" x14ac:dyDescent="0.25">
      <c r="A537" s="179"/>
      <c r="B537" s="179"/>
      <c r="C537" s="179"/>
      <c r="D537" s="179"/>
      <c r="E537" s="179"/>
      <c r="F537" s="180"/>
      <c r="G537" s="179"/>
    </row>
    <row r="538" spans="1:10" ht="13.5" thickBot="1" x14ac:dyDescent="0.25">
      <c r="A538" s="1527" t="s">
        <v>156</v>
      </c>
      <c r="B538" s="1528"/>
      <c r="C538" s="1528"/>
      <c r="D538" s="1528"/>
      <c r="E538" s="1528"/>
      <c r="F538" s="1529"/>
      <c r="G538" s="178">
        <f>ROUND(G519+G526+G531+G536,0)</f>
        <v>21588</v>
      </c>
    </row>
    <row r="540" spans="1:10" ht="11.25" customHeight="1" x14ac:dyDescent="0.2"/>
  </sheetData>
  <mergeCells count="390">
    <mergeCell ref="A534:B534"/>
    <mergeCell ref="A528:B528"/>
    <mergeCell ref="A523:B523"/>
    <mergeCell ref="A524:B524"/>
    <mergeCell ref="A526:F526"/>
    <mergeCell ref="A538:F538"/>
    <mergeCell ref="A467:B467"/>
    <mergeCell ref="A468:B468"/>
    <mergeCell ref="A469:B469"/>
    <mergeCell ref="A470:F470"/>
    <mergeCell ref="A472:F472"/>
    <mergeCell ref="A492:B492"/>
    <mergeCell ref="A494:F494"/>
    <mergeCell ref="A499:F499"/>
    <mergeCell ref="A501:B501"/>
    <mergeCell ref="A487:F487"/>
    <mergeCell ref="A489:B489"/>
    <mergeCell ref="A490:B490"/>
    <mergeCell ref="A510:C510"/>
    <mergeCell ref="A536:F536"/>
    <mergeCell ref="A535:B535"/>
    <mergeCell ref="A504:F504"/>
    <mergeCell ref="A531:F531"/>
    <mergeCell ref="A533:B533"/>
    <mergeCell ref="A349:C349"/>
    <mergeCell ref="D349:G349"/>
    <mergeCell ref="A299:F299"/>
    <mergeCell ref="A301:B301"/>
    <mergeCell ref="A302:B302"/>
    <mergeCell ref="A303:B303"/>
    <mergeCell ref="A304:F304"/>
    <mergeCell ref="A293:B293"/>
    <mergeCell ref="A506:F506"/>
    <mergeCell ref="A491:B491"/>
    <mergeCell ref="A465:F465"/>
    <mergeCell ref="A478:C478"/>
    <mergeCell ref="A442:C442"/>
    <mergeCell ref="A443:C443"/>
    <mergeCell ref="A445:C445"/>
    <mergeCell ref="D445:G445"/>
    <mergeCell ref="A449:C449"/>
    <mergeCell ref="A450:C450"/>
    <mergeCell ref="A451:C451"/>
    <mergeCell ref="A452:C452"/>
    <mergeCell ref="A453:F453"/>
    <mergeCell ref="A462:B462"/>
    <mergeCell ref="A463:B463"/>
    <mergeCell ref="A464:B464"/>
    <mergeCell ref="A353:C353"/>
    <mergeCell ref="A354:C354"/>
    <mergeCell ref="A355:C355"/>
    <mergeCell ref="A356:C356"/>
    <mergeCell ref="A357:F357"/>
    <mergeCell ref="A484:C484"/>
    <mergeCell ref="A485:C485"/>
    <mergeCell ref="A525:B525"/>
    <mergeCell ref="A457:B457"/>
    <mergeCell ref="A458:B458"/>
    <mergeCell ref="A459:B459"/>
    <mergeCell ref="A460:F460"/>
    <mergeCell ref="A455:B455"/>
    <mergeCell ref="A456:B456"/>
    <mergeCell ref="A509:C509"/>
    <mergeCell ref="A366:B366"/>
    <mergeCell ref="A367:B367"/>
    <mergeCell ref="A368:F368"/>
    <mergeCell ref="A370:B370"/>
    <mergeCell ref="A371:B371"/>
    <mergeCell ref="A372:B372"/>
    <mergeCell ref="A373:F373"/>
    <mergeCell ref="A375:F375"/>
    <mergeCell ref="A378:C378"/>
    <mergeCell ref="A529:B529"/>
    <mergeCell ref="A530:B530"/>
    <mergeCell ref="A170:C170"/>
    <mergeCell ref="D170:G170"/>
    <mergeCell ref="A174:C174"/>
    <mergeCell ref="A175:C175"/>
    <mergeCell ref="A176:C176"/>
    <mergeCell ref="A178:C178"/>
    <mergeCell ref="A177:C177"/>
    <mergeCell ref="A346:C346"/>
    <mergeCell ref="A347:C347"/>
    <mergeCell ref="A320:C320"/>
    <mergeCell ref="A321:F321"/>
    <mergeCell ref="A323:B323"/>
    <mergeCell ref="A324:B324"/>
    <mergeCell ref="A306:F306"/>
    <mergeCell ref="A296:B296"/>
    <mergeCell ref="A312:C312"/>
    <mergeCell ref="D312:G312"/>
    <mergeCell ref="A327:B327"/>
    <mergeCell ref="A329:B329"/>
    <mergeCell ref="A294:F294"/>
    <mergeCell ref="A309:C309"/>
    <mergeCell ref="A310:C310"/>
    <mergeCell ref="A297:B297"/>
    <mergeCell ref="A298:B298"/>
    <mergeCell ref="A167:C167"/>
    <mergeCell ref="A168:C168"/>
    <mergeCell ref="A179:F179"/>
    <mergeCell ref="A181:B181"/>
    <mergeCell ref="A182:B182"/>
    <mergeCell ref="A184:B184"/>
    <mergeCell ref="A340:B340"/>
    <mergeCell ref="A316:C316"/>
    <mergeCell ref="A317:C317"/>
    <mergeCell ref="A318:C318"/>
    <mergeCell ref="A319:C319"/>
    <mergeCell ref="A292:B292"/>
    <mergeCell ref="A278:C278"/>
    <mergeCell ref="D278:G278"/>
    <mergeCell ref="A282:C282"/>
    <mergeCell ref="A263:B263"/>
    <mergeCell ref="A264:B264"/>
    <mergeCell ref="A265:F265"/>
    <mergeCell ref="A267:B267"/>
    <mergeCell ref="A268:B268"/>
    <mergeCell ref="A269:B269"/>
    <mergeCell ref="A289:B289"/>
    <mergeCell ref="A341:F341"/>
    <mergeCell ref="A343:F343"/>
    <mergeCell ref="A334:B334"/>
    <mergeCell ref="A335:B335"/>
    <mergeCell ref="A328:B328"/>
    <mergeCell ref="A333:B333"/>
    <mergeCell ref="A325:B325"/>
    <mergeCell ref="A326:B326"/>
    <mergeCell ref="A336:F336"/>
    <mergeCell ref="A338:B338"/>
    <mergeCell ref="A339:B339"/>
    <mergeCell ref="A330:B330"/>
    <mergeCell ref="A331:F331"/>
    <mergeCell ref="A283:C283"/>
    <mergeCell ref="A284:C284"/>
    <mergeCell ref="A285:C285"/>
    <mergeCell ref="A286:C286"/>
    <mergeCell ref="A287:F287"/>
    <mergeCell ref="A291:B291"/>
    <mergeCell ref="A270:F270"/>
    <mergeCell ref="A272:F272"/>
    <mergeCell ref="A275:C275"/>
    <mergeCell ref="A276:C276"/>
    <mergeCell ref="A290:B290"/>
    <mergeCell ref="A252:F252"/>
    <mergeCell ref="A255:B255"/>
    <mergeCell ref="A256:B256"/>
    <mergeCell ref="A259:B259"/>
    <mergeCell ref="A260:F260"/>
    <mergeCell ref="A262:B262"/>
    <mergeCell ref="A243:C243"/>
    <mergeCell ref="D243:G243"/>
    <mergeCell ref="A254:B254"/>
    <mergeCell ref="A257:B257"/>
    <mergeCell ref="A258:B258"/>
    <mergeCell ref="A247:C247"/>
    <mergeCell ref="A248:C248"/>
    <mergeCell ref="A249:C249"/>
    <mergeCell ref="A250:C250"/>
    <mergeCell ref="A251:C251"/>
    <mergeCell ref="A241:C241"/>
    <mergeCell ref="A227:B227"/>
    <mergeCell ref="A228:B228"/>
    <mergeCell ref="A229:B229"/>
    <mergeCell ref="A230:F230"/>
    <mergeCell ref="A232:B232"/>
    <mergeCell ref="A233:B233"/>
    <mergeCell ref="A234:B234"/>
    <mergeCell ref="A235:F235"/>
    <mergeCell ref="A237:F237"/>
    <mergeCell ref="A216:F216"/>
    <mergeCell ref="A218:B218"/>
    <mergeCell ref="A224:B224"/>
    <mergeCell ref="A225:F225"/>
    <mergeCell ref="A219:B219"/>
    <mergeCell ref="A240:C240"/>
    <mergeCell ref="A222:B222"/>
    <mergeCell ref="A207:C207"/>
    <mergeCell ref="D207:G207"/>
    <mergeCell ref="A220:B220"/>
    <mergeCell ref="A221:B221"/>
    <mergeCell ref="A223:B223"/>
    <mergeCell ref="A211:C211"/>
    <mergeCell ref="A212:C212"/>
    <mergeCell ref="A213:C213"/>
    <mergeCell ref="A214:C214"/>
    <mergeCell ref="A215:C215"/>
    <mergeCell ref="A183:B183"/>
    <mergeCell ref="A204:C204"/>
    <mergeCell ref="A205:C205"/>
    <mergeCell ref="A187:B187"/>
    <mergeCell ref="A188:B188"/>
    <mergeCell ref="A189:F189"/>
    <mergeCell ref="A191:B191"/>
    <mergeCell ref="A192:B192"/>
    <mergeCell ref="A201:F201"/>
    <mergeCell ref="A186:B186"/>
    <mergeCell ref="A185:B185"/>
    <mergeCell ref="A193:B193"/>
    <mergeCell ref="A194:F194"/>
    <mergeCell ref="A196:B196"/>
    <mergeCell ref="A197:B197"/>
    <mergeCell ref="A198:B198"/>
    <mergeCell ref="A199:F199"/>
    <mergeCell ref="A157:F157"/>
    <mergeCell ref="A159:B159"/>
    <mergeCell ref="A160:B160"/>
    <mergeCell ref="A161:B161"/>
    <mergeCell ref="A162:F162"/>
    <mergeCell ref="A164:F164"/>
    <mergeCell ref="A143:C143"/>
    <mergeCell ref="A144:C144"/>
    <mergeCell ref="A145:F145"/>
    <mergeCell ref="A147:B147"/>
    <mergeCell ref="A148:B148"/>
    <mergeCell ref="A149:B149"/>
    <mergeCell ref="A150:B150"/>
    <mergeCell ref="A151:B151"/>
    <mergeCell ref="A152:F152"/>
    <mergeCell ref="A154:B154"/>
    <mergeCell ref="A155:B155"/>
    <mergeCell ref="A156:B156"/>
    <mergeCell ref="A142:C142"/>
    <mergeCell ref="A110:C110"/>
    <mergeCell ref="A111:C111"/>
    <mergeCell ref="A112:C112"/>
    <mergeCell ref="A113:F113"/>
    <mergeCell ref="A115:B115"/>
    <mergeCell ref="A116:B116"/>
    <mergeCell ref="A117:B117"/>
    <mergeCell ref="A118:B118"/>
    <mergeCell ref="A119:B119"/>
    <mergeCell ref="A120:F120"/>
    <mergeCell ref="A122:B122"/>
    <mergeCell ref="A123:B123"/>
    <mergeCell ref="A124:B124"/>
    <mergeCell ref="A125:F125"/>
    <mergeCell ref="A127:B127"/>
    <mergeCell ref="A128:B128"/>
    <mergeCell ref="A129:B129"/>
    <mergeCell ref="A130:F130"/>
    <mergeCell ref="A132:F132"/>
    <mergeCell ref="A135:C135"/>
    <mergeCell ref="A136:C136"/>
    <mergeCell ref="A92:B92"/>
    <mergeCell ref="A93:F93"/>
    <mergeCell ref="A95:B95"/>
    <mergeCell ref="A96:B96"/>
    <mergeCell ref="A97:B97"/>
    <mergeCell ref="A98:F98"/>
    <mergeCell ref="A100:F100"/>
    <mergeCell ref="A138:C138"/>
    <mergeCell ref="D138:G138"/>
    <mergeCell ref="A60:B60"/>
    <mergeCell ref="A61:F61"/>
    <mergeCell ref="A63:B63"/>
    <mergeCell ref="A64:B64"/>
    <mergeCell ref="A65:B65"/>
    <mergeCell ref="A66:F66"/>
    <mergeCell ref="A103:C103"/>
    <mergeCell ref="A104:C104"/>
    <mergeCell ref="A106:C106"/>
    <mergeCell ref="D106:G106"/>
    <mergeCell ref="A74:C74"/>
    <mergeCell ref="D74:G74"/>
    <mergeCell ref="A78:C78"/>
    <mergeCell ref="A79:C79"/>
    <mergeCell ref="A80:C80"/>
    <mergeCell ref="A81:F81"/>
    <mergeCell ref="A83:B83"/>
    <mergeCell ref="A84:B84"/>
    <mergeCell ref="A85:B85"/>
    <mergeCell ref="A86:B86"/>
    <mergeCell ref="A87:B87"/>
    <mergeCell ref="A88:F88"/>
    <mergeCell ref="A90:B90"/>
    <mergeCell ref="A91:B91"/>
    <mergeCell ref="A7:C7"/>
    <mergeCell ref="A8:C8"/>
    <mergeCell ref="A10:C10"/>
    <mergeCell ref="D10:G10"/>
    <mergeCell ref="A14:C14"/>
    <mergeCell ref="A15:C15"/>
    <mergeCell ref="A53:B53"/>
    <mergeCell ref="A54:B54"/>
    <mergeCell ref="A55:B55"/>
    <mergeCell ref="A40:C40"/>
    <mergeCell ref="A42:C42"/>
    <mergeCell ref="D42:G42"/>
    <mergeCell ref="A46:C46"/>
    <mergeCell ref="A47:C47"/>
    <mergeCell ref="A48:C48"/>
    <mergeCell ref="A34:F34"/>
    <mergeCell ref="A36:F36"/>
    <mergeCell ref="A39:C39"/>
    <mergeCell ref="A49:F49"/>
    <mergeCell ref="A51:B51"/>
    <mergeCell ref="A52:B52"/>
    <mergeCell ref="A16:C16"/>
    <mergeCell ref="A17:F17"/>
    <mergeCell ref="A19:B19"/>
    <mergeCell ref="A20:B20"/>
    <mergeCell ref="A21:B21"/>
    <mergeCell ref="A22:B22"/>
    <mergeCell ref="A359:B359"/>
    <mergeCell ref="A360:B360"/>
    <mergeCell ref="A361:B361"/>
    <mergeCell ref="A362:B362"/>
    <mergeCell ref="A363:F363"/>
    <mergeCell ref="A365:B365"/>
    <mergeCell ref="A68:F68"/>
    <mergeCell ref="A71:C71"/>
    <mergeCell ref="A72:C72"/>
    <mergeCell ref="A31:B31"/>
    <mergeCell ref="A32:B32"/>
    <mergeCell ref="A33:B33"/>
    <mergeCell ref="A23:B23"/>
    <mergeCell ref="A24:F24"/>
    <mergeCell ref="A26:B26"/>
    <mergeCell ref="A27:B27"/>
    <mergeCell ref="A28:B28"/>
    <mergeCell ref="A29:F29"/>
    <mergeCell ref="A56:F56"/>
    <mergeCell ref="A58:B58"/>
    <mergeCell ref="A59:B59"/>
    <mergeCell ref="A398:B398"/>
    <mergeCell ref="A399:F399"/>
    <mergeCell ref="A401:B401"/>
    <mergeCell ref="A379:C379"/>
    <mergeCell ref="A381:C381"/>
    <mergeCell ref="D381:G381"/>
    <mergeCell ref="A385:C385"/>
    <mergeCell ref="A386:C386"/>
    <mergeCell ref="A387:C387"/>
    <mergeCell ref="A388:F388"/>
    <mergeCell ref="A391:B391"/>
    <mergeCell ref="A392:B392"/>
    <mergeCell ref="A393:B393"/>
    <mergeCell ref="A394:F394"/>
    <mergeCell ref="A396:B396"/>
    <mergeCell ref="A397:B397"/>
    <mergeCell ref="A390:B390"/>
    <mergeCell ref="A424:B424"/>
    <mergeCell ref="A402:B402"/>
    <mergeCell ref="A403:B403"/>
    <mergeCell ref="A404:F404"/>
    <mergeCell ref="A406:F406"/>
    <mergeCell ref="A409:C409"/>
    <mergeCell ref="A410:C410"/>
    <mergeCell ref="A412:C412"/>
    <mergeCell ref="D412:G412"/>
    <mergeCell ref="A416:C416"/>
    <mergeCell ref="A417:C417"/>
    <mergeCell ref="A418:C418"/>
    <mergeCell ref="A419:C419"/>
    <mergeCell ref="A420:C420"/>
    <mergeCell ref="A421:F421"/>
    <mergeCell ref="A423:B423"/>
    <mergeCell ref="A425:B425"/>
    <mergeCell ref="A426:B426"/>
    <mergeCell ref="A427:F427"/>
    <mergeCell ref="A429:B429"/>
    <mergeCell ref="A430:B430"/>
    <mergeCell ref="A431:B431"/>
    <mergeCell ref="A432:F432"/>
    <mergeCell ref="A434:B434"/>
    <mergeCell ref="A486:C486"/>
    <mergeCell ref="A497:B497"/>
    <mergeCell ref="A498:B498"/>
    <mergeCell ref="A502:B502"/>
    <mergeCell ref="A503:B503"/>
    <mergeCell ref="A493:B493"/>
    <mergeCell ref="A496:B496"/>
    <mergeCell ref="A522:B522"/>
    <mergeCell ref="A435:B435"/>
    <mergeCell ref="A436:B436"/>
    <mergeCell ref="A437:F437"/>
    <mergeCell ref="A439:F439"/>
    <mergeCell ref="A475:C475"/>
    <mergeCell ref="A476:C476"/>
    <mergeCell ref="D478:G478"/>
    <mergeCell ref="A482:C482"/>
    <mergeCell ref="A483:C483"/>
    <mergeCell ref="A512:C512"/>
    <mergeCell ref="D512:G512"/>
    <mergeCell ref="A516:C516"/>
    <mergeCell ref="A518:C518"/>
    <mergeCell ref="A519:F519"/>
    <mergeCell ref="A521:B521"/>
    <mergeCell ref="A517:C517"/>
  </mergeCells>
  <pageMargins left="0.70866141732283472" right="0.62" top="0.74803149606299213" bottom="0.74803149606299213" header="0.31496062992125984" footer="0.31496062992125984"/>
  <pageSetup scale="94" orientation="portrait" horizontalDpi="300" verticalDpi="300" r:id="rId1"/>
  <rowBreaks count="11" manualBreakCount="11">
    <brk id="165" max="6" man="1"/>
    <brk id="202" max="6" man="1"/>
    <brk id="238" max="6" man="1"/>
    <brk id="273" max="6" man="1"/>
    <brk id="307" max="6" man="1"/>
    <brk id="344" max="6" man="1"/>
    <brk id="376" max="6" man="1"/>
    <brk id="407" max="6" man="1"/>
    <brk id="440" max="6" man="1"/>
    <brk id="473" max="6" man="1"/>
    <brk id="507" max="6"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5:G229"/>
  <sheetViews>
    <sheetView view="pageBreakPreview" zoomScale="85" zoomScaleNormal="100" zoomScaleSheetLayoutView="85" workbookViewId="0">
      <pane ySplit="5" topLeftCell="A6" activePane="bottomLeft" state="frozen"/>
      <selection pane="bottomLeft" activeCell="A7" sqref="A7:C7"/>
    </sheetView>
  </sheetViews>
  <sheetFormatPr baseColWidth="10" defaultColWidth="11.42578125" defaultRowHeight="12.75" x14ac:dyDescent="0.2"/>
  <cols>
    <col min="1" max="1" width="25.140625" style="34" customWidth="1"/>
    <col min="2" max="2" width="11.42578125" style="34" customWidth="1"/>
    <col min="3" max="3" width="13.140625" style="34" bestFit="1" customWidth="1"/>
    <col min="4" max="4" width="12.7109375" style="34" customWidth="1"/>
    <col min="5" max="5" width="12.5703125" style="34" bestFit="1" customWidth="1"/>
    <col min="6" max="6" width="11.7109375" style="34" customWidth="1"/>
    <col min="7" max="7" width="13" style="34" bestFit="1" customWidth="1"/>
    <col min="8" max="16384" width="11.42578125" style="34"/>
  </cols>
  <sheetData>
    <row r="5" spans="1:7" ht="13.5" thickBot="1" x14ac:dyDescent="0.25"/>
    <row r="6" spans="1:7" ht="27" customHeight="1" x14ac:dyDescent="0.2">
      <c r="A6" s="1935" t="e">
        <f>+A80</f>
        <v>#REF!</v>
      </c>
      <c r="B6" s="1936"/>
      <c r="C6" s="1937"/>
      <c r="D6" s="50"/>
      <c r="E6" s="46"/>
      <c r="F6" s="46"/>
      <c r="G6" s="47"/>
    </row>
    <row r="7" spans="1:7" ht="33" customHeight="1" thickBot="1" x14ac:dyDescent="0.25">
      <c r="A7" s="1551" t="e">
        <f>+#REF!</f>
        <v>#REF!</v>
      </c>
      <c r="B7" s="1552"/>
      <c r="C7" s="1553"/>
      <c r="D7" s="48"/>
      <c r="E7" s="48"/>
      <c r="F7" s="48"/>
      <c r="G7" s="49"/>
    </row>
    <row r="8" spans="1:7" ht="13.5" thickBot="1" x14ac:dyDescent="0.25">
      <c r="A8" s="37"/>
      <c r="B8" s="37"/>
      <c r="C8" s="37"/>
      <c r="D8" s="37"/>
      <c r="E8" s="37"/>
      <c r="F8" s="37"/>
      <c r="G8" s="37"/>
    </row>
    <row r="9" spans="1:7" ht="62.25" customHeight="1" thickBot="1" x14ac:dyDescent="0.25">
      <c r="A9" s="1558" t="e">
        <f>+#REF!</f>
        <v>#REF!</v>
      </c>
      <c r="B9" s="1559"/>
      <c r="C9" s="1560"/>
      <c r="D9" s="1565" t="e">
        <f>+'PRES.FASE 1-ADUCCION'!#REF!</f>
        <v>#REF!</v>
      </c>
      <c r="E9" s="1559"/>
      <c r="F9" s="1559"/>
      <c r="G9" s="1560"/>
    </row>
    <row r="10" spans="1:7" ht="13.5" thickBot="1" x14ac:dyDescent="0.25">
      <c r="A10" s="38"/>
      <c r="B10" s="38"/>
      <c r="C10" s="38"/>
      <c r="D10" s="38"/>
      <c r="E10" s="38"/>
      <c r="F10" s="38"/>
      <c r="G10" s="38"/>
    </row>
    <row r="11" spans="1:7" ht="12.75" customHeight="1" thickBot="1" x14ac:dyDescent="0.25">
      <c r="A11" s="39"/>
      <c r="B11" s="37"/>
      <c r="D11" s="60" t="s">
        <v>124</v>
      </c>
      <c r="E11" s="61" t="s">
        <v>4</v>
      </c>
      <c r="F11" s="59"/>
      <c r="G11" s="59"/>
    </row>
    <row r="12" spans="1:7" ht="13.5" thickBot="1" x14ac:dyDescent="0.25">
      <c r="A12" s="40" t="s">
        <v>108</v>
      </c>
      <c r="B12" s="37"/>
      <c r="C12" s="37"/>
      <c r="D12" s="37"/>
      <c r="E12" s="37"/>
      <c r="F12" s="37"/>
      <c r="G12" s="37"/>
    </row>
    <row r="13" spans="1:7" s="1" customFormat="1" ht="13.5" customHeight="1" thickBot="1" x14ac:dyDescent="0.25">
      <c r="A13" s="1530" t="s">
        <v>109</v>
      </c>
      <c r="B13" s="1554"/>
      <c r="C13" s="1531"/>
      <c r="D13" s="64" t="s">
        <v>110</v>
      </c>
      <c r="E13" s="64" t="s">
        <v>111</v>
      </c>
      <c r="F13" s="63" t="s">
        <v>112</v>
      </c>
      <c r="G13" s="66"/>
    </row>
    <row r="14" spans="1:7" x14ac:dyDescent="0.2">
      <c r="A14" s="1943" t="e">
        <f>+'11'!#REF!</f>
        <v>#REF!</v>
      </c>
      <c r="B14" s="1944"/>
      <c r="C14" s="1945"/>
      <c r="D14" s="55" t="e">
        <f>+'11'!#REF!</f>
        <v>#REF!</v>
      </c>
      <c r="E14" s="93">
        <v>1E-3</v>
      </c>
      <c r="F14" s="55" t="e">
        <f>+E14*D14</f>
        <v>#REF!</v>
      </c>
      <c r="G14" s="52"/>
    </row>
    <row r="15" spans="1:7" ht="12.75" customHeight="1" x14ac:dyDescent="0.2">
      <c r="A15" s="2261" t="e">
        <f>+'11'!#REF!</f>
        <v>#REF!</v>
      </c>
      <c r="B15" s="2262"/>
      <c r="C15" s="2263"/>
      <c r="D15" s="42" t="e">
        <f>+'11'!#REF!/8</f>
        <v>#REF!</v>
      </c>
      <c r="E15" s="143">
        <f>+E14</f>
        <v>1E-3</v>
      </c>
      <c r="F15" s="42" t="e">
        <f>+D15*E15</f>
        <v>#REF!</v>
      </c>
      <c r="G15" s="53"/>
    </row>
    <row r="16" spans="1:7" x14ac:dyDescent="0.2">
      <c r="A16" s="2261" t="str">
        <f>+'11'!$C$10</f>
        <v>HERRAMIENTA MENOR.</v>
      </c>
      <c r="B16" s="2262"/>
      <c r="C16" s="2263"/>
      <c r="D16" s="42">
        <f>+'11'!$E$10/8</f>
        <v>1875</v>
      </c>
      <c r="E16" s="92">
        <f>+E33</f>
        <v>5.7181818181818188E-2</v>
      </c>
      <c r="F16" s="42">
        <f>+E16*D16</f>
        <v>107.21590909090911</v>
      </c>
      <c r="G16" s="53"/>
    </row>
    <row r="17" spans="1:7" ht="13.5" thickBot="1" x14ac:dyDescent="0.25">
      <c r="A17" s="1926"/>
      <c r="B17" s="1946"/>
      <c r="C17" s="1927"/>
      <c r="D17" s="57"/>
      <c r="E17" s="81"/>
      <c r="F17" s="57"/>
      <c r="G17" s="58"/>
    </row>
    <row r="18" spans="1:7" ht="13.5" thickBot="1" x14ac:dyDescent="0.25">
      <c r="A18" s="1932" t="s">
        <v>125</v>
      </c>
      <c r="B18" s="1933"/>
      <c r="C18" s="1933"/>
      <c r="D18" s="1933"/>
      <c r="E18" s="1933"/>
      <c r="F18" s="1934"/>
      <c r="G18" s="54" t="e">
        <f>SUM(F14:F17)</f>
        <v>#REF!</v>
      </c>
    </row>
    <row r="19" spans="1:7" ht="13.5" thickBot="1" x14ac:dyDescent="0.25">
      <c r="A19" s="40" t="s">
        <v>123</v>
      </c>
      <c r="B19" s="37"/>
      <c r="C19" s="37"/>
      <c r="D19" s="37"/>
      <c r="E19" s="37"/>
      <c r="F19" s="37"/>
      <c r="G19" s="37"/>
    </row>
    <row r="20" spans="1:7" s="1" customFormat="1" ht="13.5" thickBot="1" x14ac:dyDescent="0.25">
      <c r="A20" s="1530" t="s">
        <v>109</v>
      </c>
      <c r="B20" s="1531"/>
      <c r="C20" s="63" t="s">
        <v>114</v>
      </c>
      <c r="D20" s="63" t="s">
        <v>115</v>
      </c>
      <c r="E20" s="63" t="s">
        <v>116</v>
      </c>
      <c r="F20" s="63" t="s">
        <v>112</v>
      </c>
      <c r="G20" s="66"/>
    </row>
    <row r="21" spans="1:7" x14ac:dyDescent="0.2">
      <c r="A21" s="2264" t="e">
        <f>+'10'!#REF!</f>
        <v>#REF!</v>
      </c>
      <c r="B21" s="1942"/>
      <c r="C21" s="51" t="e">
        <f>+'10'!#REF!</f>
        <v>#REF!</v>
      </c>
      <c r="D21" s="55">
        <v>4000</v>
      </c>
      <c r="E21" s="51">
        <v>0.25</v>
      </c>
      <c r="F21" s="55">
        <f>+E21*D21</f>
        <v>1000</v>
      </c>
      <c r="G21" s="52"/>
    </row>
    <row r="22" spans="1:7" x14ac:dyDescent="0.2">
      <c r="A22" s="1556"/>
      <c r="B22" s="1557"/>
      <c r="C22" s="41"/>
      <c r="D22" s="42"/>
      <c r="E22" s="41"/>
      <c r="F22" s="42"/>
      <c r="G22" s="53"/>
    </row>
    <row r="23" spans="1:7" x14ac:dyDescent="0.2">
      <c r="A23" s="1556"/>
      <c r="B23" s="1557"/>
      <c r="C23" s="41"/>
      <c r="D23" s="42"/>
      <c r="E23" s="41"/>
      <c r="F23" s="42"/>
      <c r="G23" s="53"/>
    </row>
    <row r="24" spans="1:7" ht="13.5" thickBot="1" x14ac:dyDescent="0.25">
      <c r="A24" s="1920"/>
      <c r="B24" s="1921"/>
      <c r="C24" s="56"/>
      <c r="D24" s="57"/>
      <c r="E24" s="56"/>
      <c r="F24" s="57"/>
      <c r="G24" s="58"/>
    </row>
    <row r="25" spans="1:7" ht="13.5" thickBot="1" x14ac:dyDescent="0.25">
      <c r="A25" s="1932" t="s">
        <v>125</v>
      </c>
      <c r="B25" s="1933"/>
      <c r="C25" s="1933"/>
      <c r="D25" s="1933"/>
      <c r="E25" s="1933"/>
      <c r="F25" s="1934" t="s">
        <v>113</v>
      </c>
      <c r="G25" s="54">
        <f>SUM(F21:F24)</f>
        <v>1000</v>
      </c>
    </row>
    <row r="26" spans="1:7" ht="13.5" thickBot="1" x14ac:dyDescent="0.25">
      <c r="A26" s="40" t="s">
        <v>117</v>
      </c>
      <c r="B26" s="37"/>
      <c r="C26" s="37"/>
      <c r="D26" s="37"/>
      <c r="E26" s="37"/>
      <c r="F26" s="37"/>
      <c r="G26" s="37"/>
    </row>
    <row r="27" spans="1:7" s="1" customFormat="1" ht="13.5" thickBot="1" x14ac:dyDescent="0.25">
      <c r="A27" s="1922" t="str">
        <f>+'HOJA MODELO'!$A$21</f>
        <v>Descripción</v>
      </c>
      <c r="B27" s="1923" t="s">
        <v>118</v>
      </c>
      <c r="C27" s="64" t="str">
        <f>+'HOJA MODELO'!$C$21</f>
        <v>Unidad</v>
      </c>
      <c r="D27" s="64" t="str">
        <f>+'HOJA MODELO'!$D$21</f>
        <v>Precio-Unit.</v>
      </c>
      <c r="E27" s="64" t="str">
        <f>+'HOJA MODELO'!$E$21</f>
        <v>Cantidad</v>
      </c>
      <c r="F27" s="64" t="str">
        <f>+'HOJA MODELO'!$F$21</f>
        <v>Valor-Unit.</v>
      </c>
      <c r="G27" s="67"/>
    </row>
    <row r="28" spans="1:7" x14ac:dyDescent="0.2">
      <c r="A28" s="1943" t="e">
        <f>+'11'!#REF!</f>
        <v>#REF!</v>
      </c>
      <c r="B28" s="1945"/>
      <c r="C28" s="43" t="e">
        <f>+'11'!#REF!</f>
        <v>#REF!</v>
      </c>
      <c r="D28" s="55" t="e">
        <f>+'11'!#REF!</f>
        <v>#REF!</v>
      </c>
      <c r="E28" s="95">
        <v>0</v>
      </c>
      <c r="F28" s="42" t="e">
        <f>D28*E28</f>
        <v>#REF!</v>
      </c>
      <c r="G28" s="52"/>
    </row>
    <row r="29" spans="1:7" ht="13.5" thickBot="1" x14ac:dyDescent="0.25">
      <c r="A29" s="1930"/>
      <c r="B29" s="1931"/>
      <c r="C29" s="43"/>
      <c r="D29" s="43"/>
      <c r="E29" s="57"/>
      <c r="F29" s="57"/>
      <c r="G29" s="68"/>
    </row>
    <row r="30" spans="1:7" ht="13.5" thickBot="1" x14ac:dyDescent="0.25">
      <c r="A30" s="1932" t="s">
        <v>125</v>
      </c>
      <c r="B30" s="1933"/>
      <c r="C30" s="1933"/>
      <c r="D30" s="1933"/>
      <c r="E30" s="1933"/>
      <c r="F30" s="1934" t="s">
        <v>113</v>
      </c>
      <c r="G30" s="54" t="e">
        <f>SUM(F28:F29)</f>
        <v>#REF!</v>
      </c>
    </row>
    <row r="31" spans="1:7" ht="13.5" thickBot="1" x14ac:dyDescent="0.25">
      <c r="A31" s="40" t="s">
        <v>119</v>
      </c>
      <c r="B31" s="37"/>
      <c r="C31" s="37"/>
      <c r="D31" s="37"/>
      <c r="E31" s="37"/>
      <c r="F31" s="37"/>
      <c r="G31" s="37"/>
    </row>
    <row r="32" spans="1:7" ht="13.5" thickBot="1" x14ac:dyDescent="0.25">
      <c r="A32" s="1922" t="s">
        <v>120</v>
      </c>
      <c r="B32" s="1923"/>
      <c r="C32" s="63" t="s">
        <v>121</v>
      </c>
      <c r="D32" s="64" t="s">
        <v>116</v>
      </c>
      <c r="E32" s="64" t="s">
        <v>111</v>
      </c>
      <c r="F32" s="64" t="s">
        <v>112</v>
      </c>
      <c r="G32" s="71"/>
    </row>
    <row r="33" spans="1:7" x14ac:dyDescent="0.2">
      <c r="A33" s="2255" t="e">
        <f>+#REF!</f>
        <v>#REF!</v>
      </c>
      <c r="B33" s="2256"/>
      <c r="C33" s="74" t="e">
        <f>+#REF!</f>
        <v>#REF!</v>
      </c>
      <c r="D33" s="75">
        <v>0</v>
      </c>
      <c r="E33" s="75">
        <v>5.7181818181818188E-2</v>
      </c>
      <c r="F33" s="78" t="e">
        <f>+(C33*D33)*E33</f>
        <v>#REF!</v>
      </c>
      <c r="G33" s="52"/>
    </row>
    <row r="34" spans="1:7" ht="13.5" thickBot="1" x14ac:dyDescent="0.25">
      <c r="A34" s="2252" t="e">
        <f>+#REF!</f>
        <v>#REF!</v>
      </c>
      <c r="B34" s="1927"/>
      <c r="C34" s="73" t="e">
        <f>+#REF!</f>
        <v>#REF!</v>
      </c>
      <c r="D34" s="76">
        <v>1</v>
      </c>
      <c r="E34" s="77">
        <f>+E33</f>
        <v>5.7181818181818188E-2</v>
      </c>
      <c r="F34" s="79" t="e">
        <f>+(C34*D34)*E34</f>
        <v>#REF!</v>
      </c>
      <c r="G34" s="58"/>
    </row>
    <row r="35" spans="1:7" ht="13.5" thickBot="1" x14ac:dyDescent="0.25">
      <c r="A35" s="1932" t="str">
        <f>+A30</f>
        <v>SUB-TOTAL</v>
      </c>
      <c r="B35" s="1933"/>
      <c r="C35" s="1933"/>
      <c r="D35" s="1933"/>
      <c r="E35" s="1933"/>
      <c r="F35" s="1934" t="s">
        <v>113</v>
      </c>
      <c r="G35" s="54" t="e">
        <f>SUM(F33:F34)</f>
        <v>#REF!</v>
      </c>
    </row>
    <row r="36" spans="1:7" ht="11.25" customHeight="1" thickBot="1" x14ac:dyDescent="0.25">
      <c r="A36" s="37"/>
      <c r="B36" s="37"/>
      <c r="C36" s="37"/>
      <c r="D36" s="37"/>
      <c r="E36" s="37"/>
      <c r="F36" s="45"/>
      <c r="G36" s="37"/>
    </row>
    <row r="37" spans="1:7" ht="13.5" thickBot="1" x14ac:dyDescent="0.25">
      <c r="A37" s="1932" t="s">
        <v>156</v>
      </c>
      <c r="B37" s="1933"/>
      <c r="C37" s="1933"/>
      <c r="D37" s="1933"/>
      <c r="E37" s="1933"/>
      <c r="F37" s="1934"/>
      <c r="G37" s="72" t="e">
        <f>ROUND(G18+G25+G30+G35,0)</f>
        <v>#REF!</v>
      </c>
    </row>
    <row r="38" spans="1:7" x14ac:dyDescent="0.2">
      <c r="A38" s="436"/>
      <c r="B38" s="436"/>
      <c r="C38" s="436"/>
      <c r="D38" s="436"/>
      <c r="E38" s="436"/>
      <c r="F38" s="436"/>
      <c r="G38" s="437"/>
    </row>
    <row r="39" spans="1:7" ht="14.25" x14ac:dyDescent="0.2">
      <c r="A39" s="573" t="s">
        <v>790</v>
      </c>
      <c r="B39" s="572"/>
      <c r="C39" s="572"/>
      <c r="E39" s="577" t="s">
        <v>791</v>
      </c>
      <c r="F39" s="436"/>
      <c r="G39" s="437"/>
    </row>
    <row r="40" spans="1:7" ht="14.25" x14ac:dyDescent="0.2">
      <c r="A40" s="573"/>
      <c r="B40" s="572"/>
      <c r="C40" s="572"/>
      <c r="E40" s="577"/>
      <c r="F40" s="436"/>
      <c r="G40" s="437"/>
    </row>
    <row r="41" spans="1:7" ht="14.25" x14ac:dyDescent="0.2">
      <c r="A41" s="573"/>
      <c r="B41" s="572"/>
      <c r="C41" s="572"/>
      <c r="E41" s="577"/>
      <c r="F41" s="436"/>
      <c r="G41" s="437"/>
    </row>
    <row r="42" spans="1:7" ht="14.25" x14ac:dyDescent="0.2">
      <c r="A42" s="574" t="e">
        <f>+#REF!</f>
        <v>#REF!</v>
      </c>
      <c r="B42" s="572"/>
      <c r="C42" s="572"/>
      <c r="D42" s="574" t="e">
        <f>+#REF!</f>
        <v>#REF!</v>
      </c>
      <c r="E42" s="436"/>
      <c r="F42" s="437"/>
    </row>
    <row r="43" spans="1:7" ht="14.25" x14ac:dyDescent="0.2">
      <c r="A43" s="574" t="e">
        <f>+#REF!</f>
        <v>#REF!</v>
      </c>
      <c r="B43" s="572"/>
      <c r="C43" s="572"/>
      <c r="D43" s="574" t="e">
        <f>+#REF!</f>
        <v>#REF!</v>
      </c>
      <c r="E43" s="436"/>
      <c r="F43" s="437"/>
    </row>
    <row r="44" spans="1:7" ht="14.25" x14ac:dyDescent="0.2">
      <c r="A44" s="574" t="e">
        <f>+#REF!</f>
        <v>#REF!</v>
      </c>
      <c r="B44" s="572"/>
      <c r="C44" s="572"/>
      <c r="F44" s="436"/>
      <c r="G44" s="437"/>
    </row>
    <row r="46" spans="1:7" ht="13.5" hidden="1" thickBot="1" x14ac:dyDescent="0.25"/>
    <row r="47" spans="1:7" ht="27" hidden="1" customHeight="1" x14ac:dyDescent="0.2">
      <c r="A47" s="1935" t="s">
        <v>122</v>
      </c>
      <c r="B47" s="1936"/>
      <c r="C47" s="1937"/>
      <c r="D47" s="50"/>
      <c r="E47" s="46"/>
      <c r="F47" s="46"/>
      <c r="G47" s="47"/>
    </row>
    <row r="48" spans="1:7" ht="24" hidden="1" customHeight="1" thickBot="1" x14ac:dyDescent="0.25">
      <c r="A48" s="1938" t="e">
        <f>+#REF!</f>
        <v>#REF!</v>
      </c>
      <c r="B48" s="1939"/>
      <c r="C48" s="1940"/>
      <c r="D48" s="48"/>
      <c r="E48" s="48"/>
      <c r="F48" s="48"/>
      <c r="G48" s="49"/>
    </row>
    <row r="49" spans="1:7" ht="13.5" hidden="1" thickBot="1" x14ac:dyDescent="0.25">
      <c r="A49" s="37"/>
      <c r="B49" s="37"/>
      <c r="C49" s="37"/>
      <c r="D49" s="37"/>
      <c r="E49" s="37"/>
      <c r="F49" s="37"/>
      <c r="G49" s="37"/>
    </row>
    <row r="50" spans="1:7" ht="30.75" hidden="1" customHeight="1" thickBot="1" x14ac:dyDescent="0.25">
      <c r="A50" s="1558" t="e">
        <f>+#REF!</f>
        <v>#REF!</v>
      </c>
      <c r="B50" s="1559"/>
      <c r="C50" s="1560"/>
      <c r="D50" s="1565" t="s">
        <v>200</v>
      </c>
      <c r="E50" s="1559"/>
      <c r="F50" s="1559"/>
      <c r="G50" s="1560"/>
    </row>
    <row r="51" spans="1:7" ht="13.5" hidden="1" thickBot="1" x14ac:dyDescent="0.25">
      <c r="A51" s="38"/>
      <c r="B51" s="38"/>
      <c r="C51" s="38"/>
      <c r="D51" s="38"/>
      <c r="E51" s="38"/>
      <c r="F51" s="38"/>
      <c r="G51" s="38"/>
    </row>
    <row r="52" spans="1:7" ht="12.75" hidden="1" customHeight="1" thickBot="1" x14ac:dyDescent="0.25">
      <c r="A52" s="39"/>
      <c r="B52" s="37"/>
      <c r="D52" s="60" t="s">
        <v>124</v>
      </c>
      <c r="E52" s="61" t="s">
        <v>4</v>
      </c>
      <c r="F52" s="59"/>
      <c r="G52" s="59"/>
    </row>
    <row r="53" spans="1:7" ht="13.5" hidden="1" thickBot="1" x14ac:dyDescent="0.25">
      <c r="A53" s="40" t="s">
        <v>108</v>
      </c>
      <c r="B53" s="37"/>
      <c r="C53" s="37"/>
      <c r="D53" s="37"/>
      <c r="E53" s="37"/>
      <c r="F53" s="37"/>
      <c r="G53" s="37"/>
    </row>
    <row r="54" spans="1:7" s="1" customFormat="1" ht="13.5" hidden="1" customHeight="1" thickBot="1" x14ac:dyDescent="0.25">
      <c r="A54" s="1530" t="s">
        <v>109</v>
      </c>
      <c r="B54" s="1554"/>
      <c r="C54" s="1531"/>
      <c r="D54" s="64" t="s">
        <v>110</v>
      </c>
      <c r="E54" s="64" t="s">
        <v>111</v>
      </c>
      <c r="F54" s="63" t="s">
        <v>112</v>
      </c>
      <c r="G54" s="66"/>
    </row>
    <row r="55" spans="1:7" hidden="1" x14ac:dyDescent="0.2">
      <c r="A55" s="1943" t="e">
        <f>+'11'!#REF!</f>
        <v>#REF!</v>
      </c>
      <c r="B55" s="1944"/>
      <c r="C55" s="1945"/>
      <c r="D55" s="55" t="e">
        <f>+'11'!#REF!</f>
        <v>#REF!</v>
      </c>
      <c r="E55" s="93">
        <v>2E-3</v>
      </c>
      <c r="F55" s="55" t="e">
        <f>+E55*D55</f>
        <v>#REF!</v>
      </c>
      <c r="G55" s="52"/>
    </row>
    <row r="56" spans="1:7" hidden="1" x14ac:dyDescent="0.2">
      <c r="A56" s="2261" t="str">
        <f>+'11'!$C$10</f>
        <v>HERRAMIENTA MENOR.</v>
      </c>
      <c r="B56" s="2262"/>
      <c r="C56" s="2263"/>
      <c r="D56" s="42">
        <f>+'11'!$E$10/8</f>
        <v>1875</v>
      </c>
      <c r="E56" s="92">
        <f>+E73</f>
        <v>0.1</v>
      </c>
      <c r="F56" s="42">
        <f>+E56*D56</f>
        <v>187.5</v>
      </c>
      <c r="G56" s="53"/>
    </row>
    <row r="57" spans="1:7" ht="13.5" hidden="1" thickBot="1" x14ac:dyDescent="0.25">
      <c r="A57" s="1926"/>
      <c r="B57" s="1946"/>
      <c r="C57" s="1927"/>
      <c r="D57" s="57"/>
      <c r="E57" s="81"/>
      <c r="F57" s="57"/>
      <c r="G57" s="58"/>
    </row>
    <row r="58" spans="1:7" ht="13.5" hidden="1" thickBot="1" x14ac:dyDescent="0.25">
      <c r="A58" s="1932" t="s">
        <v>125</v>
      </c>
      <c r="B58" s="1933"/>
      <c r="C58" s="1933"/>
      <c r="D58" s="1933"/>
      <c r="E58" s="1933"/>
      <c r="F58" s="1934"/>
      <c r="G58" s="54" t="e">
        <f>SUM(F55:F57)</f>
        <v>#REF!</v>
      </c>
    </row>
    <row r="59" spans="1:7" ht="13.5" hidden="1" thickBot="1" x14ac:dyDescent="0.25">
      <c r="A59" s="40" t="s">
        <v>123</v>
      </c>
      <c r="B59" s="37"/>
      <c r="C59" s="37"/>
      <c r="D59" s="37"/>
      <c r="E59" s="37"/>
      <c r="F59" s="37"/>
      <c r="G59" s="37"/>
    </row>
    <row r="60" spans="1:7" s="1" customFormat="1" ht="13.5" hidden="1" thickBot="1" x14ac:dyDescent="0.25">
      <c r="A60" s="1530" t="s">
        <v>109</v>
      </c>
      <c r="B60" s="1531"/>
      <c r="C60" s="63" t="s">
        <v>114</v>
      </c>
      <c r="D60" s="63" t="s">
        <v>115</v>
      </c>
      <c r="E60" s="63" t="s">
        <v>116</v>
      </c>
      <c r="F60" s="63" t="s">
        <v>112</v>
      </c>
      <c r="G60" s="66"/>
    </row>
    <row r="61" spans="1:7" hidden="1" x14ac:dyDescent="0.2">
      <c r="A61" s="1941" t="e">
        <f>+'10'!#REF!</f>
        <v>#REF!</v>
      </c>
      <c r="B61" s="1942"/>
      <c r="C61" s="51" t="e">
        <f>+'10'!#REF!</f>
        <v>#REF!</v>
      </c>
      <c r="D61" s="55" t="e">
        <f>+'10'!#REF!</f>
        <v>#REF!</v>
      </c>
      <c r="E61" s="51">
        <v>0.1</v>
      </c>
      <c r="F61" s="55" t="e">
        <f>+E61*D61</f>
        <v>#REF!</v>
      </c>
      <c r="G61" s="52"/>
    </row>
    <row r="62" spans="1:7" hidden="1" x14ac:dyDescent="0.2">
      <c r="A62" s="1556"/>
      <c r="B62" s="1557"/>
      <c r="C62" s="41"/>
      <c r="D62" s="42"/>
      <c r="E62" s="41"/>
      <c r="F62" s="42"/>
      <c r="G62" s="53"/>
    </row>
    <row r="63" spans="1:7" hidden="1" x14ac:dyDescent="0.2">
      <c r="A63" s="1556"/>
      <c r="B63" s="1557"/>
      <c r="C63" s="41"/>
      <c r="D63" s="42"/>
      <c r="E63" s="41"/>
      <c r="F63" s="42"/>
      <c r="G63" s="53"/>
    </row>
    <row r="64" spans="1:7" ht="13.5" hidden="1" thickBot="1" x14ac:dyDescent="0.25">
      <c r="A64" s="1920"/>
      <c r="B64" s="1921"/>
      <c r="C64" s="56"/>
      <c r="D64" s="57"/>
      <c r="E64" s="56"/>
      <c r="F64" s="57"/>
      <c r="G64" s="58"/>
    </row>
    <row r="65" spans="1:7" ht="13.5" hidden="1" thickBot="1" x14ac:dyDescent="0.25">
      <c r="A65" s="1932" t="s">
        <v>125</v>
      </c>
      <c r="B65" s="1933"/>
      <c r="C65" s="1933"/>
      <c r="D65" s="1933"/>
      <c r="E65" s="1933"/>
      <c r="F65" s="1934" t="s">
        <v>113</v>
      </c>
      <c r="G65" s="54" t="e">
        <f>SUM(F61:F64)</f>
        <v>#REF!</v>
      </c>
    </row>
    <row r="66" spans="1:7" ht="13.5" hidden="1" thickBot="1" x14ac:dyDescent="0.25">
      <c r="A66" s="40" t="s">
        <v>117</v>
      </c>
      <c r="B66" s="37"/>
      <c r="C66" s="37"/>
      <c r="D66" s="37"/>
      <c r="E66" s="37"/>
      <c r="F66" s="37"/>
      <c r="G66" s="37"/>
    </row>
    <row r="67" spans="1:7" s="1" customFormat="1" ht="13.5" hidden="1" thickBot="1" x14ac:dyDescent="0.25">
      <c r="A67" s="1922" t="str">
        <f>+'HOJA MODELO'!$A$21</f>
        <v>Descripción</v>
      </c>
      <c r="B67" s="1923" t="s">
        <v>118</v>
      </c>
      <c r="C67" s="64" t="str">
        <f>+'HOJA MODELO'!$C$21</f>
        <v>Unidad</v>
      </c>
      <c r="D67" s="64" t="str">
        <f>+'HOJA MODELO'!$D$21</f>
        <v>Precio-Unit.</v>
      </c>
      <c r="E67" s="64" t="str">
        <f>+'HOJA MODELO'!$E$21</f>
        <v>Cantidad</v>
      </c>
      <c r="F67" s="64" t="str">
        <f>+'HOJA MODELO'!$F$21</f>
        <v>Valor-Unit.</v>
      </c>
      <c r="G67" s="67"/>
    </row>
    <row r="68" spans="1:7" hidden="1" x14ac:dyDescent="0.2">
      <c r="A68" s="1943" t="e">
        <f>+'11'!#REF!</f>
        <v>#REF!</v>
      </c>
      <c r="B68" s="1945"/>
      <c r="C68" s="43" t="e">
        <f>+'11'!#REF!</f>
        <v>#REF!</v>
      </c>
      <c r="D68" s="55" t="e">
        <f>+'11'!#REF!</f>
        <v>#REF!</v>
      </c>
      <c r="E68" s="95">
        <v>0</v>
      </c>
      <c r="F68" s="42" t="e">
        <f>D68*E68</f>
        <v>#REF!</v>
      </c>
      <c r="G68" s="52"/>
    </row>
    <row r="69" spans="1:7" ht="13.5" hidden="1" thickBot="1" x14ac:dyDescent="0.25">
      <c r="A69" s="1930"/>
      <c r="B69" s="1931"/>
      <c r="C69" s="43"/>
      <c r="D69" s="43"/>
      <c r="E69" s="57"/>
      <c r="F69" s="57"/>
      <c r="G69" s="68"/>
    </row>
    <row r="70" spans="1:7" ht="13.5" hidden="1" thickBot="1" x14ac:dyDescent="0.25">
      <c r="A70" s="1932" t="s">
        <v>125</v>
      </c>
      <c r="B70" s="1933"/>
      <c r="C70" s="1933"/>
      <c r="D70" s="1933"/>
      <c r="E70" s="1933"/>
      <c r="F70" s="1934" t="s">
        <v>113</v>
      </c>
      <c r="G70" s="54" t="e">
        <f>SUM(F68:F69)</f>
        <v>#REF!</v>
      </c>
    </row>
    <row r="71" spans="1:7" ht="13.5" hidden="1" thickBot="1" x14ac:dyDescent="0.25">
      <c r="A71" s="40" t="s">
        <v>119</v>
      </c>
      <c r="B71" s="37"/>
      <c r="C71" s="37"/>
      <c r="D71" s="37"/>
      <c r="E71" s="37"/>
      <c r="F71" s="37"/>
      <c r="G71" s="37"/>
    </row>
    <row r="72" spans="1:7" ht="13.5" hidden="1" thickBot="1" x14ac:dyDescent="0.25">
      <c r="A72" s="1922" t="s">
        <v>120</v>
      </c>
      <c r="B72" s="1923"/>
      <c r="C72" s="63" t="s">
        <v>121</v>
      </c>
      <c r="D72" s="64" t="s">
        <v>116</v>
      </c>
      <c r="E72" s="64" t="s">
        <v>111</v>
      </c>
      <c r="F72" s="64" t="s">
        <v>112</v>
      </c>
      <c r="G72" s="71"/>
    </row>
    <row r="73" spans="1:7" hidden="1" x14ac:dyDescent="0.2">
      <c r="A73" s="2255" t="e">
        <f>+#REF!</f>
        <v>#REF!</v>
      </c>
      <c r="B73" s="2256"/>
      <c r="C73" s="74" t="e">
        <f>+#REF!</f>
        <v>#REF!</v>
      </c>
      <c r="D73" s="75">
        <v>0</v>
      </c>
      <c r="E73" s="75">
        <v>0.1</v>
      </c>
      <c r="F73" s="78" t="e">
        <f>+(C73*D73)*E73</f>
        <v>#REF!</v>
      </c>
      <c r="G73" s="52"/>
    </row>
    <row r="74" spans="1:7" ht="13.5" hidden="1" thickBot="1" x14ac:dyDescent="0.25">
      <c r="A74" s="2252" t="e">
        <f>+#REF!</f>
        <v>#REF!</v>
      </c>
      <c r="B74" s="1927"/>
      <c r="C74" s="73" t="e">
        <f>+#REF!</f>
        <v>#REF!</v>
      </c>
      <c r="D74" s="76">
        <v>2</v>
      </c>
      <c r="E74" s="77">
        <f>+E73</f>
        <v>0.1</v>
      </c>
      <c r="F74" s="79" t="e">
        <f>+(C74*D74)*E74</f>
        <v>#REF!</v>
      </c>
      <c r="G74" s="58"/>
    </row>
    <row r="75" spans="1:7" ht="13.5" hidden="1" thickBot="1" x14ac:dyDescent="0.25">
      <c r="A75" s="1932" t="str">
        <f>+A70</f>
        <v>SUB-TOTAL</v>
      </c>
      <c r="B75" s="1933"/>
      <c r="C75" s="1933"/>
      <c r="D75" s="1933"/>
      <c r="E75" s="1933"/>
      <c r="F75" s="1934" t="s">
        <v>113</v>
      </c>
      <c r="G75" s="54" t="e">
        <f>SUM(F73:F74)</f>
        <v>#REF!</v>
      </c>
    </row>
    <row r="76" spans="1:7" ht="11.25" hidden="1" customHeight="1" thickBot="1" x14ac:dyDescent="0.25">
      <c r="A76" s="37"/>
      <c r="B76" s="37"/>
      <c r="C76" s="37"/>
      <c r="D76" s="37"/>
      <c r="E76" s="37"/>
      <c r="F76" s="45"/>
      <c r="G76" s="37"/>
    </row>
    <row r="77" spans="1:7" ht="13.5" hidden="1" thickBot="1" x14ac:dyDescent="0.25">
      <c r="A77" s="1932" t="s">
        <v>156</v>
      </c>
      <c r="B77" s="1933"/>
      <c r="C77" s="1933"/>
      <c r="D77" s="1933"/>
      <c r="E77" s="1933"/>
      <c r="F77" s="1934"/>
      <c r="G77" s="72" t="e">
        <f>ROUND(G58+G65+G70+G75,0)</f>
        <v>#REF!</v>
      </c>
    </row>
    <row r="78" spans="1:7" hidden="1" x14ac:dyDescent="0.2"/>
    <row r="79" spans="1:7" ht="13.5" hidden="1" thickBot="1" x14ac:dyDescent="0.25"/>
    <row r="80" spans="1:7" ht="27" hidden="1" customHeight="1" x14ac:dyDescent="0.2">
      <c r="A80" s="1935" t="e">
        <f>+#REF!</f>
        <v>#REF!</v>
      </c>
      <c r="B80" s="1936"/>
      <c r="C80" s="1937"/>
      <c r="D80" s="50"/>
      <c r="E80" s="46"/>
      <c r="F80" s="46"/>
      <c r="G80" s="47"/>
    </row>
    <row r="81" spans="1:7" ht="30" hidden="1" customHeight="1" thickBot="1" x14ac:dyDescent="0.25">
      <c r="A81" s="1551" t="s">
        <v>794</v>
      </c>
      <c r="B81" s="1552"/>
      <c r="C81" s="1553"/>
      <c r="D81" s="48"/>
      <c r="E81" s="48"/>
      <c r="F81" s="48"/>
      <c r="G81" s="49"/>
    </row>
    <row r="82" spans="1:7" ht="13.5" hidden="1" thickBot="1" x14ac:dyDescent="0.25">
      <c r="A82" s="37"/>
      <c r="B82" s="37"/>
      <c r="C82" s="37"/>
      <c r="D82" s="37"/>
      <c r="E82" s="37"/>
      <c r="F82" s="37"/>
      <c r="G82" s="37"/>
    </row>
    <row r="83" spans="1:7" ht="58.5" hidden="1" customHeight="1" thickBot="1" x14ac:dyDescent="0.25">
      <c r="A83" s="1558" t="e">
        <f>+#REF!</f>
        <v>#REF!</v>
      </c>
      <c r="B83" s="1559"/>
      <c r="C83" s="1560"/>
      <c r="D83" s="1565" t="s">
        <v>795</v>
      </c>
      <c r="E83" s="1559"/>
      <c r="F83" s="1559"/>
      <c r="G83" s="1560"/>
    </row>
    <row r="84" spans="1:7" ht="13.5" hidden="1" thickBot="1" x14ac:dyDescent="0.25">
      <c r="A84" s="38"/>
      <c r="B84" s="38"/>
      <c r="C84" s="38"/>
      <c r="D84" s="38"/>
      <c r="E84" s="38"/>
      <c r="F84" s="38"/>
      <c r="G84" s="38"/>
    </row>
    <row r="85" spans="1:7" ht="12.75" hidden="1" customHeight="1" thickBot="1" x14ac:dyDescent="0.25">
      <c r="A85" s="39"/>
      <c r="B85" s="37"/>
      <c r="D85" s="60" t="s">
        <v>124</v>
      </c>
      <c r="E85" s="61" t="s">
        <v>12</v>
      </c>
      <c r="F85" s="59"/>
      <c r="G85" s="59"/>
    </row>
    <row r="86" spans="1:7" ht="13.5" hidden="1" thickBot="1" x14ac:dyDescent="0.25">
      <c r="A86" s="40" t="s">
        <v>108</v>
      </c>
      <c r="B86" s="37"/>
      <c r="C86" s="37"/>
      <c r="D86" s="37"/>
      <c r="E86" s="37"/>
      <c r="F86" s="37"/>
      <c r="G86" s="37"/>
    </row>
    <row r="87" spans="1:7" s="1" customFormat="1" ht="13.5" hidden="1" customHeight="1" thickBot="1" x14ac:dyDescent="0.25">
      <c r="A87" s="1530" t="s">
        <v>109</v>
      </c>
      <c r="B87" s="1554"/>
      <c r="C87" s="1531"/>
      <c r="D87" s="64" t="s">
        <v>201</v>
      </c>
      <c r="E87" s="64" t="s">
        <v>111</v>
      </c>
      <c r="F87" s="63" t="s">
        <v>112</v>
      </c>
      <c r="G87" s="66"/>
    </row>
    <row r="88" spans="1:7" hidden="1" x14ac:dyDescent="0.2">
      <c r="A88" s="1943" t="str">
        <f>+'11'!$C$10</f>
        <v>HERRAMIENTA MENOR.</v>
      </c>
      <c r="B88" s="1944"/>
      <c r="C88" s="1945"/>
      <c r="D88" s="55">
        <f>+'11'!$E$10/8</f>
        <v>1875</v>
      </c>
      <c r="E88" s="80">
        <f>+E108</f>
        <v>1.5</v>
      </c>
      <c r="F88" s="55">
        <f>+E88*D88</f>
        <v>2812.5</v>
      </c>
      <c r="G88" s="52"/>
    </row>
    <row r="89" spans="1:7" hidden="1" x14ac:dyDescent="0.2">
      <c r="A89" s="2261" t="e">
        <f>+'11'!#REF!</f>
        <v>#REF!</v>
      </c>
      <c r="B89" s="2262"/>
      <c r="C89" s="2263"/>
      <c r="D89" s="42" t="e">
        <f>+'11'!#REF!</f>
        <v>#REF!</v>
      </c>
      <c r="E89" s="92">
        <v>0.15</v>
      </c>
      <c r="F89" s="42" t="e">
        <f>+E89*D89</f>
        <v>#REF!</v>
      </c>
      <c r="G89" s="94"/>
    </row>
    <row r="90" spans="1:7" hidden="1" x14ac:dyDescent="0.2">
      <c r="A90" s="2261" t="e">
        <f>+'11'!#REF!</f>
        <v>#REF!</v>
      </c>
      <c r="B90" s="2262"/>
      <c r="C90" s="2263"/>
      <c r="D90" s="42" t="e">
        <f>+'11'!#REF!</f>
        <v>#REF!</v>
      </c>
      <c r="E90" s="92">
        <v>0.15</v>
      </c>
      <c r="F90" s="42" t="e">
        <f>+E90*D90</f>
        <v>#REF!</v>
      </c>
      <c r="G90" s="94"/>
    </row>
    <row r="91" spans="1:7" hidden="1" x14ac:dyDescent="0.2">
      <c r="A91" s="2261" t="e">
        <f>+'11'!#REF!</f>
        <v>#REF!</v>
      </c>
      <c r="B91" s="2262"/>
      <c r="C91" s="2263"/>
      <c r="D91" s="42" t="e">
        <f>+'11'!#REF!/8</f>
        <v>#REF!</v>
      </c>
      <c r="E91" s="92">
        <v>0.15</v>
      </c>
      <c r="F91" s="42" t="e">
        <f>+E91*D91</f>
        <v>#REF!</v>
      </c>
      <c r="G91" s="94"/>
    </row>
    <row r="92" spans="1:7" ht="13.5" hidden="1" thickBot="1" x14ac:dyDescent="0.25">
      <c r="A92" s="1926"/>
      <c r="B92" s="1946"/>
      <c r="C92" s="1927"/>
      <c r="D92" s="57"/>
      <c r="E92" s="81"/>
      <c r="F92" s="57"/>
      <c r="G92" s="58"/>
    </row>
    <row r="93" spans="1:7" ht="13.5" hidden="1" thickBot="1" x14ac:dyDescent="0.25">
      <c r="A93" s="1932" t="s">
        <v>125</v>
      </c>
      <c r="B93" s="1933"/>
      <c r="C93" s="1933"/>
      <c r="D93" s="1933"/>
      <c r="E93" s="1933"/>
      <c r="F93" s="1934"/>
      <c r="G93" s="54" t="e">
        <f>SUM(F88:F92)</f>
        <v>#REF!</v>
      </c>
    </row>
    <row r="94" spans="1:7" ht="13.5" hidden="1" thickBot="1" x14ac:dyDescent="0.25">
      <c r="A94" s="40" t="s">
        <v>123</v>
      </c>
      <c r="B94" s="37"/>
      <c r="C94" s="37"/>
      <c r="D94" s="37"/>
      <c r="E94" s="37"/>
      <c r="F94" s="37"/>
      <c r="G94" s="37"/>
    </row>
    <row r="95" spans="1:7" s="1" customFormat="1" ht="13.5" hidden="1" thickBot="1" x14ac:dyDescent="0.25">
      <c r="A95" s="1530" t="s">
        <v>109</v>
      </c>
      <c r="B95" s="1531"/>
      <c r="C95" s="63" t="s">
        <v>114</v>
      </c>
      <c r="D95" s="63" t="s">
        <v>115</v>
      </c>
      <c r="E95" s="63" t="s">
        <v>116</v>
      </c>
      <c r="F95" s="63" t="s">
        <v>112</v>
      </c>
      <c r="G95" s="66"/>
    </row>
    <row r="96" spans="1:7" s="1" customFormat="1" ht="36" hidden="1" customHeight="1" x14ac:dyDescent="0.2">
      <c r="A96" s="2253" t="e">
        <f>+#REF!</f>
        <v>#REF!</v>
      </c>
      <c r="B96" s="2254"/>
      <c r="C96" s="82" t="e">
        <f>+#REF!</f>
        <v>#REF!</v>
      </c>
      <c r="D96" s="83" t="e">
        <f>+#REF!</f>
        <v>#REF!</v>
      </c>
      <c r="E96" s="82">
        <v>1.35</v>
      </c>
      <c r="F96" s="83" t="e">
        <f>+E96*D96</f>
        <v>#REF!</v>
      </c>
      <c r="G96" s="84"/>
    </row>
    <row r="97" spans="1:7" hidden="1" x14ac:dyDescent="0.2">
      <c r="A97" s="1556"/>
      <c r="B97" s="1557"/>
      <c r="C97" s="41"/>
      <c r="D97" s="42"/>
      <c r="E97" s="92"/>
      <c r="F97" s="42"/>
      <c r="G97" s="53"/>
    </row>
    <row r="98" spans="1:7" hidden="1" x14ac:dyDescent="0.2">
      <c r="A98" s="1556"/>
      <c r="B98" s="1557"/>
      <c r="C98" s="41"/>
      <c r="D98" s="42"/>
      <c r="E98" s="92"/>
      <c r="F98" s="42"/>
      <c r="G98" s="53"/>
    </row>
    <row r="99" spans="1:7" ht="13.5" hidden="1" thickBot="1" x14ac:dyDescent="0.25">
      <c r="A99" s="1920"/>
      <c r="B99" s="1921"/>
      <c r="C99" s="56"/>
      <c r="D99" s="57"/>
      <c r="E99" s="56"/>
      <c r="F99" s="57"/>
      <c r="G99" s="58"/>
    </row>
    <row r="100" spans="1:7" ht="13.5" hidden="1" thickBot="1" x14ac:dyDescent="0.25">
      <c r="A100" s="1932" t="s">
        <v>125</v>
      </c>
      <c r="B100" s="1933"/>
      <c r="C100" s="1933"/>
      <c r="D100" s="1933"/>
      <c r="E100" s="1933"/>
      <c r="F100" s="1934" t="s">
        <v>113</v>
      </c>
      <c r="G100" s="54" t="e">
        <f>SUM(F96:F99)</f>
        <v>#REF!</v>
      </c>
    </row>
    <row r="101" spans="1:7" ht="13.5" hidden="1" thickBot="1" x14ac:dyDescent="0.25">
      <c r="A101" s="40" t="s">
        <v>117</v>
      </c>
      <c r="B101" s="37"/>
      <c r="C101" s="37"/>
      <c r="D101" s="37"/>
      <c r="E101" s="37"/>
      <c r="F101" s="37"/>
      <c r="G101" s="37"/>
    </row>
    <row r="102" spans="1:7" s="1" customFormat="1" ht="13.5" hidden="1" thickBot="1" x14ac:dyDescent="0.25">
      <c r="A102" s="1922" t="str">
        <f>+'HOJA MODELO'!$A$21</f>
        <v>Descripción</v>
      </c>
      <c r="B102" s="1923" t="s">
        <v>118</v>
      </c>
      <c r="C102" s="64" t="str">
        <f>+'HOJA MODELO'!$C$21</f>
        <v>Unidad</v>
      </c>
      <c r="D102" s="64" t="str">
        <f>+'HOJA MODELO'!$D$21</f>
        <v>Precio-Unit.</v>
      </c>
      <c r="E102" s="64" t="str">
        <f>+'HOJA MODELO'!$E$21</f>
        <v>Cantidad</v>
      </c>
      <c r="F102" s="64" t="str">
        <f>+'HOJA MODELO'!$F$21</f>
        <v>Valor-Unit.</v>
      </c>
      <c r="G102" s="67"/>
    </row>
    <row r="103" spans="1:7" hidden="1" x14ac:dyDescent="0.2">
      <c r="A103" s="1943" t="e">
        <f>+'11'!#REF!</f>
        <v>#REF!</v>
      </c>
      <c r="B103" s="1945"/>
      <c r="C103" s="43" t="e">
        <f>+'11'!#REF!</f>
        <v>#REF!</v>
      </c>
      <c r="D103" s="55" t="e">
        <f>+'11'!#REF!</f>
        <v>#REF!</v>
      </c>
      <c r="E103" s="440">
        <v>0.25</v>
      </c>
      <c r="F103" s="42" t="e">
        <f>D103*E103</f>
        <v>#REF!</v>
      </c>
      <c r="G103" s="52"/>
    </row>
    <row r="104" spans="1:7" ht="13.5" hidden="1" thickBot="1" x14ac:dyDescent="0.25">
      <c r="A104" s="1930"/>
      <c r="B104" s="1931"/>
      <c r="C104" s="43"/>
      <c r="D104" s="43"/>
      <c r="E104" s="57"/>
      <c r="F104" s="57"/>
      <c r="G104" s="68"/>
    </row>
    <row r="105" spans="1:7" ht="13.5" hidden="1" thickBot="1" x14ac:dyDescent="0.25">
      <c r="A105" s="1932" t="s">
        <v>125</v>
      </c>
      <c r="B105" s="1933"/>
      <c r="C105" s="1933"/>
      <c r="D105" s="1933"/>
      <c r="E105" s="1933"/>
      <c r="F105" s="1934" t="s">
        <v>113</v>
      </c>
      <c r="G105" s="54" t="e">
        <f>SUM(F103:F104)</f>
        <v>#REF!</v>
      </c>
    </row>
    <row r="106" spans="1:7" ht="13.5" hidden="1" thickBot="1" x14ac:dyDescent="0.25">
      <c r="A106" s="40" t="s">
        <v>119</v>
      </c>
      <c r="B106" s="37"/>
      <c r="C106" s="37"/>
      <c r="D106" s="37"/>
      <c r="E106" s="37"/>
      <c r="F106" s="37"/>
      <c r="G106" s="37"/>
    </row>
    <row r="107" spans="1:7" ht="13.5" hidden="1" thickBot="1" x14ac:dyDescent="0.25">
      <c r="A107" s="1922" t="s">
        <v>120</v>
      </c>
      <c r="B107" s="1923"/>
      <c r="C107" s="63" t="s">
        <v>121</v>
      </c>
      <c r="D107" s="64" t="s">
        <v>116</v>
      </c>
      <c r="E107" s="64" t="s">
        <v>111</v>
      </c>
      <c r="F107" s="64" t="s">
        <v>112</v>
      </c>
      <c r="G107" s="71"/>
    </row>
    <row r="108" spans="1:7" hidden="1" x14ac:dyDescent="0.2">
      <c r="A108" s="2255" t="e">
        <f>+#REF!</f>
        <v>#REF!</v>
      </c>
      <c r="B108" s="2256"/>
      <c r="C108" s="74" t="e">
        <f>+#REF!</f>
        <v>#REF!</v>
      </c>
      <c r="D108" s="75">
        <v>1</v>
      </c>
      <c r="E108" s="75">
        <v>1.5</v>
      </c>
      <c r="F108" s="78" t="e">
        <f>+(C108*D108)*E108</f>
        <v>#REF!</v>
      </c>
      <c r="G108" s="52"/>
    </row>
    <row r="109" spans="1:7" ht="13.5" hidden="1" thickBot="1" x14ac:dyDescent="0.25">
      <c r="A109" s="2252" t="e">
        <f>+#REF!</f>
        <v>#REF!</v>
      </c>
      <c r="B109" s="1927"/>
      <c r="C109" s="73" t="e">
        <f>+#REF!</f>
        <v>#REF!</v>
      </c>
      <c r="D109" s="76">
        <v>1</v>
      </c>
      <c r="E109" s="77">
        <f>+E108</f>
        <v>1.5</v>
      </c>
      <c r="F109" s="79" t="e">
        <f>+(C109*D109)*E109</f>
        <v>#REF!</v>
      </c>
      <c r="G109" s="58"/>
    </row>
    <row r="110" spans="1:7" ht="13.5" hidden="1" thickBot="1" x14ac:dyDescent="0.25">
      <c r="A110" s="1932" t="str">
        <f>+A105</f>
        <v>SUB-TOTAL</v>
      </c>
      <c r="B110" s="1933"/>
      <c r="C110" s="1933"/>
      <c r="D110" s="1933"/>
      <c r="E110" s="1933"/>
      <c r="F110" s="1934" t="s">
        <v>113</v>
      </c>
      <c r="G110" s="54" t="e">
        <f>SUM(F108:F109)</f>
        <v>#REF!</v>
      </c>
    </row>
    <row r="111" spans="1:7" ht="11.25" hidden="1" customHeight="1" thickBot="1" x14ac:dyDescent="0.25">
      <c r="A111" s="37"/>
      <c r="B111" s="37"/>
      <c r="C111" s="37"/>
      <c r="D111" s="37"/>
      <c r="E111" s="37"/>
      <c r="F111" s="45"/>
      <c r="G111" s="37"/>
    </row>
    <row r="112" spans="1:7" ht="13.5" hidden="1" thickBot="1" x14ac:dyDescent="0.25">
      <c r="A112" s="1932" t="s">
        <v>156</v>
      </c>
      <c r="B112" s="1933"/>
      <c r="C112" s="1933"/>
      <c r="D112" s="1933"/>
      <c r="E112" s="1933"/>
      <c r="F112" s="1934"/>
      <c r="G112" s="72" t="e">
        <f>ROUND(G93+G100+G105+G110,0)</f>
        <v>#REF!</v>
      </c>
    </row>
    <row r="113" spans="1:7" hidden="1" x14ac:dyDescent="0.2">
      <c r="A113" s="436"/>
      <c r="B113" s="436"/>
      <c r="C113" s="436"/>
      <c r="D113" s="436"/>
      <c r="E113" s="436"/>
      <c r="F113" s="436"/>
      <c r="G113" s="437"/>
    </row>
    <row r="114" spans="1:7" ht="14.25" hidden="1" x14ac:dyDescent="0.2">
      <c r="A114" s="573" t="s">
        <v>790</v>
      </c>
      <c r="B114" s="572"/>
      <c r="C114" s="572"/>
      <c r="E114" s="577" t="s">
        <v>791</v>
      </c>
      <c r="F114" s="436"/>
      <c r="G114" s="437"/>
    </row>
    <row r="115" spans="1:7" ht="14.25" hidden="1" x14ac:dyDescent="0.2">
      <c r="A115" s="573"/>
      <c r="B115" s="572"/>
      <c r="C115" s="572"/>
      <c r="E115" s="577"/>
      <c r="F115" s="436"/>
      <c r="G115" s="437"/>
    </row>
    <row r="116" spans="1:7" ht="14.25" hidden="1" x14ac:dyDescent="0.2">
      <c r="A116" s="573"/>
      <c r="B116" s="572"/>
      <c r="C116" s="572"/>
      <c r="E116" s="577"/>
      <c r="F116" s="436"/>
      <c r="G116" s="437"/>
    </row>
    <row r="117" spans="1:7" ht="14.25" hidden="1" x14ac:dyDescent="0.2">
      <c r="A117" s="574" t="s">
        <v>827</v>
      </c>
      <c r="B117" s="572"/>
      <c r="C117" s="572"/>
      <c r="D117" s="578" t="s">
        <v>793</v>
      </c>
      <c r="E117" s="436"/>
      <c r="F117" s="437"/>
    </row>
    <row r="118" spans="1:7" ht="14.25" hidden="1" x14ac:dyDescent="0.2">
      <c r="A118" s="575" t="s">
        <v>828</v>
      </c>
      <c r="B118" s="572"/>
      <c r="C118" s="572"/>
      <c r="D118" s="577" t="s">
        <v>792</v>
      </c>
      <c r="E118" s="436"/>
      <c r="F118" s="437"/>
    </row>
    <row r="119" spans="1:7" ht="15" hidden="1" x14ac:dyDescent="0.2">
      <c r="A119" s="576" t="s">
        <v>829</v>
      </c>
      <c r="B119" s="572"/>
      <c r="C119" s="572"/>
      <c r="F119" s="436"/>
      <c r="G119" s="437"/>
    </row>
    <row r="120" spans="1:7" hidden="1" x14ac:dyDescent="0.2">
      <c r="A120" s="436"/>
      <c r="B120" s="436"/>
      <c r="C120" s="436"/>
      <c r="D120" s="436"/>
      <c r="E120" s="436"/>
      <c r="F120" s="436"/>
      <c r="G120" s="437"/>
    </row>
    <row r="121" spans="1:7" hidden="1" x14ac:dyDescent="0.2"/>
    <row r="122" spans="1:7" ht="13.5" hidden="1" thickBot="1" x14ac:dyDescent="0.25"/>
    <row r="123" spans="1:7" ht="27" hidden="1" customHeight="1" x14ac:dyDescent="0.2">
      <c r="A123" s="1935" t="s">
        <v>122</v>
      </c>
      <c r="B123" s="1936"/>
      <c r="C123" s="1937"/>
      <c r="D123" s="50"/>
      <c r="E123" s="46"/>
      <c r="F123" s="46"/>
      <c r="G123" s="47"/>
    </row>
    <row r="124" spans="1:7" ht="24" hidden="1" customHeight="1" thickBot="1" x14ac:dyDescent="0.25">
      <c r="A124" s="1938" t="e">
        <f>+#REF!</f>
        <v>#REF!</v>
      </c>
      <c r="B124" s="1939"/>
      <c r="C124" s="1940"/>
      <c r="D124" s="48"/>
      <c r="E124" s="48"/>
      <c r="F124" s="48"/>
      <c r="G124" s="49"/>
    </row>
    <row r="125" spans="1:7" ht="13.5" hidden="1" thickBot="1" x14ac:dyDescent="0.25">
      <c r="A125" s="37"/>
      <c r="B125" s="37"/>
      <c r="C125" s="37"/>
      <c r="D125" s="37"/>
      <c r="E125" s="37"/>
      <c r="F125" s="37"/>
      <c r="G125" s="37"/>
    </row>
    <row r="126" spans="1:7" ht="30.75" hidden="1" customHeight="1" thickBot="1" x14ac:dyDescent="0.25">
      <c r="A126" s="1558" t="e">
        <f>+#REF!</f>
        <v>#REF!</v>
      </c>
      <c r="B126" s="1559"/>
      <c r="C126" s="1560"/>
      <c r="D126" s="1565" t="s">
        <v>202</v>
      </c>
      <c r="E126" s="1559"/>
      <c r="F126" s="1559"/>
      <c r="G126" s="1560"/>
    </row>
    <row r="127" spans="1:7" ht="13.5" hidden="1" thickBot="1" x14ac:dyDescent="0.25">
      <c r="A127" s="38"/>
      <c r="B127" s="38"/>
      <c r="C127" s="38"/>
      <c r="D127" s="38"/>
      <c r="E127" s="38"/>
      <c r="F127" s="38"/>
      <c r="G127" s="38"/>
    </row>
    <row r="128" spans="1:7" ht="12.75" hidden="1" customHeight="1" thickBot="1" x14ac:dyDescent="0.25">
      <c r="A128" s="39"/>
      <c r="B128" s="37"/>
      <c r="D128" s="60" t="s">
        <v>124</v>
      </c>
      <c r="E128" s="61" t="s">
        <v>12</v>
      </c>
      <c r="F128" s="59"/>
      <c r="G128" s="59"/>
    </row>
    <row r="129" spans="1:7" ht="13.5" hidden="1" thickBot="1" x14ac:dyDescent="0.25">
      <c r="A129" s="40" t="s">
        <v>108</v>
      </c>
      <c r="B129" s="37"/>
      <c r="C129" s="37"/>
      <c r="D129" s="37"/>
      <c r="E129" s="37"/>
      <c r="F129" s="37"/>
      <c r="G129" s="37"/>
    </row>
    <row r="130" spans="1:7" s="1" customFormat="1" ht="13.5" hidden="1" customHeight="1" thickBot="1" x14ac:dyDescent="0.25">
      <c r="A130" s="1530" t="s">
        <v>109</v>
      </c>
      <c r="B130" s="1554"/>
      <c r="C130" s="1531"/>
      <c r="D130" s="64" t="s">
        <v>110</v>
      </c>
      <c r="E130" s="64" t="s">
        <v>111</v>
      </c>
      <c r="F130" s="63" t="s">
        <v>112</v>
      </c>
      <c r="G130" s="66"/>
    </row>
    <row r="131" spans="1:7" ht="12.75" hidden="1" customHeight="1" x14ac:dyDescent="0.2">
      <c r="A131" s="1943" t="str">
        <f>+'11'!$C$10</f>
        <v>HERRAMIENTA MENOR.</v>
      </c>
      <c r="B131" s="1944"/>
      <c r="C131" s="1945"/>
      <c r="D131" s="55">
        <f>+'11'!$E$10/8</f>
        <v>1875</v>
      </c>
      <c r="E131" s="80">
        <f>+$E$151</f>
        <v>1.65</v>
      </c>
      <c r="F131" s="55">
        <f>+E131*D131</f>
        <v>3093.75</v>
      </c>
      <c r="G131" s="52"/>
    </row>
    <row r="132" spans="1:7" hidden="1" x14ac:dyDescent="0.2">
      <c r="A132" s="2261" t="e">
        <f>+'11'!#REF!</f>
        <v>#REF!</v>
      </c>
      <c r="B132" s="2262"/>
      <c r="C132" s="2263"/>
      <c r="D132" s="42" t="e">
        <f>+'11'!#REF!</f>
        <v>#REF!</v>
      </c>
      <c r="E132" s="92">
        <v>0.2</v>
      </c>
      <c r="F132" s="42" t="e">
        <f>+E132*D132</f>
        <v>#REF!</v>
      </c>
      <c r="G132" s="94"/>
    </row>
    <row r="133" spans="1:7" hidden="1" x14ac:dyDescent="0.2">
      <c r="A133" s="2261" t="e">
        <f>+'11'!#REF!</f>
        <v>#REF!</v>
      </c>
      <c r="B133" s="2262"/>
      <c r="C133" s="2263"/>
      <c r="D133" s="42" t="e">
        <f>+'11'!#REF!</f>
        <v>#REF!</v>
      </c>
      <c r="E133" s="92">
        <v>0.2</v>
      </c>
      <c r="F133" s="42" t="e">
        <f>+E133*D133</f>
        <v>#REF!</v>
      </c>
      <c r="G133" s="94"/>
    </row>
    <row r="134" spans="1:7" hidden="1" x14ac:dyDescent="0.2">
      <c r="A134" s="2261" t="e">
        <f>+'11'!#REF!</f>
        <v>#REF!</v>
      </c>
      <c r="B134" s="2262"/>
      <c r="C134" s="2263"/>
      <c r="D134" s="42" t="e">
        <f>+'11'!#REF!/8</f>
        <v>#REF!</v>
      </c>
      <c r="E134" s="92">
        <v>0.2</v>
      </c>
      <c r="F134" s="42" t="e">
        <f>+E134*D134</f>
        <v>#REF!</v>
      </c>
      <c r="G134" s="94"/>
    </row>
    <row r="135" spans="1:7" ht="13.5" hidden="1" thickBot="1" x14ac:dyDescent="0.25">
      <c r="A135" s="1926"/>
      <c r="B135" s="1946"/>
      <c r="C135" s="1927"/>
      <c r="D135" s="57"/>
      <c r="E135" s="81"/>
      <c r="F135" s="57"/>
      <c r="G135" s="58"/>
    </row>
    <row r="136" spans="1:7" ht="13.5" hidden="1" thickBot="1" x14ac:dyDescent="0.25">
      <c r="A136" s="1932" t="s">
        <v>125</v>
      </c>
      <c r="B136" s="1933"/>
      <c r="C136" s="1933"/>
      <c r="D136" s="1933"/>
      <c r="E136" s="1933"/>
      <c r="F136" s="1934"/>
      <c r="G136" s="54" t="e">
        <f>SUM(F131:F135)</f>
        <v>#REF!</v>
      </c>
    </row>
    <row r="137" spans="1:7" ht="13.5" hidden="1" thickBot="1" x14ac:dyDescent="0.25">
      <c r="A137" s="40" t="s">
        <v>123</v>
      </c>
      <c r="B137" s="37"/>
      <c r="C137" s="37"/>
      <c r="D137" s="37"/>
      <c r="E137" s="37"/>
      <c r="F137" s="37"/>
      <c r="G137" s="37"/>
    </row>
    <row r="138" spans="1:7" s="1" customFormat="1" ht="13.5" hidden="1" thickBot="1" x14ac:dyDescent="0.25">
      <c r="A138" s="1530" t="s">
        <v>109</v>
      </c>
      <c r="B138" s="1531"/>
      <c r="C138" s="63" t="s">
        <v>114</v>
      </c>
      <c r="D138" s="63" t="s">
        <v>115</v>
      </c>
      <c r="E138" s="63" t="s">
        <v>116</v>
      </c>
      <c r="F138" s="63" t="s">
        <v>112</v>
      </c>
      <c r="G138" s="66"/>
    </row>
    <row r="139" spans="1:7" s="1" customFormat="1" ht="36" hidden="1" customHeight="1" x14ac:dyDescent="0.2">
      <c r="A139" s="2253" t="e">
        <f>+#REF!</f>
        <v>#REF!</v>
      </c>
      <c r="B139" s="2254"/>
      <c r="C139" s="82" t="e">
        <f>+#REF!</f>
        <v>#REF!</v>
      </c>
      <c r="D139" s="83" t="e">
        <f>+#REF!</f>
        <v>#REF!</v>
      </c>
      <c r="E139" s="82">
        <v>1.3</v>
      </c>
      <c r="F139" s="83" t="e">
        <f>+E139*D139</f>
        <v>#REF!</v>
      </c>
      <c r="G139" s="84"/>
    </row>
    <row r="140" spans="1:7" s="1" customFormat="1" ht="15" hidden="1" customHeight="1" x14ac:dyDescent="0.2">
      <c r="A140" s="2257"/>
      <c r="B140" s="2258"/>
      <c r="C140" s="85"/>
      <c r="D140" s="86"/>
      <c r="E140" s="85"/>
      <c r="F140" s="86"/>
      <c r="G140" s="87"/>
    </row>
    <row r="141" spans="1:7" s="1" customFormat="1" hidden="1" x14ac:dyDescent="0.2">
      <c r="A141" s="2257"/>
      <c r="B141" s="2258"/>
      <c r="C141" s="85"/>
      <c r="D141" s="86"/>
      <c r="E141" s="85"/>
      <c r="F141" s="86"/>
      <c r="G141" s="87"/>
    </row>
    <row r="142" spans="1:7" s="1" customFormat="1" ht="13.5" hidden="1" thickBot="1" x14ac:dyDescent="0.25">
      <c r="A142" s="2259"/>
      <c r="B142" s="2260"/>
      <c r="C142" s="88"/>
      <c r="D142" s="89"/>
      <c r="E142" s="88"/>
      <c r="F142" s="89"/>
      <c r="G142" s="90"/>
    </row>
    <row r="143" spans="1:7" ht="13.5" hidden="1" thickBot="1" x14ac:dyDescent="0.25">
      <c r="A143" s="1932" t="s">
        <v>125</v>
      </c>
      <c r="B143" s="1933"/>
      <c r="C143" s="1933"/>
      <c r="D143" s="1933"/>
      <c r="E143" s="1933"/>
      <c r="F143" s="1934" t="s">
        <v>113</v>
      </c>
      <c r="G143" s="54" t="e">
        <f>SUM(F139:F142)</f>
        <v>#REF!</v>
      </c>
    </row>
    <row r="144" spans="1:7" ht="13.5" hidden="1" thickBot="1" x14ac:dyDescent="0.25">
      <c r="A144" s="40" t="s">
        <v>117</v>
      </c>
      <c r="B144" s="37"/>
      <c r="C144" s="37"/>
      <c r="D144" s="37"/>
      <c r="E144" s="37"/>
      <c r="F144" s="37"/>
      <c r="G144" s="37"/>
    </row>
    <row r="145" spans="1:7" s="1" customFormat="1" ht="13.5" hidden="1" thickBot="1" x14ac:dyDescent="0.25">
      <c r="A145" s="1922" t="str">
        <f>+'HOJA MODELO'!$A$21</f>
        <v>Descripción</v>
      </c>
      <c r="B145" s="1923" t="s">
        <v>118</v>
      </c>
      <c r="C145" s="64" t="str">
        <f>+'HOJA MODELO'!$C$21</f>
        <v>Unidad</v>
      </c>
      <c r="D145" s="64" t="str">
        <f>+'HOJA MODELO'!$D$21</f>
        <v>Precio-Unit.</v>
      </c>
      <c r="E145" s="64" t="str">
        <f>+'HOJA MODELO'!$E$21</f>
        <v>Cantidad</v>
      </c>
      <c r="F145" s="64" t="str">
        <f>+'HOJA MODELO'!$F$21</f>
        <v>Valor-Unit.</v>
      </c>
      <c r="G145" s="67"/>
    </row>
    <row r="146" spans="1:7" hidden="1" x14ac:dyDescent="0.2">
      <c r="A146" s="1943" t="e">
        <f>+'11'!#REF!</f>
        <v>#REF!</v>
      </c>
      <c r="B146" s="1945"/>
      <c r="C146" s="43" t="e">
        <f>+'11'!#REF!</f>
        <v>#REF!</v>
      </c>
      <c r="D146" s="55" t="e">
        <f>+'11'!#REF!</f>
        <v>#REF!</v>
      </c>
      <c r="E146" s="97">
        <v>0</v>
      </c>
      <c r="F146" s="42" t="e">
        <f>D146*E146</f>
        <v>#REF!</v>
      </c>
      <c r="G146" s="52"/>
    </row>
    <row r="147" spans="1:7" ht="13.5" hidden="1" thickBot="1" x14ac:dyDescent="0.25">
      <c r="A147" s="1930"/>
      <c r="B147" s="1931"/>
      <c r="C147" s="43"/>
      <c r="D147" s="57"/>
      <c r="E147" s="96"/>
      <c r="F147" s="57"/>
      <c r="G147" s="68"/>
    </row>
    <row r="148" spans="1:7" ht="13.5" hidden="1" thickBot="1" x14ac:dyDescent="0.25">
      <c r="A148" s="1932" t="s">
        <v>125</v>
      </c>
      <c r="B148" s="1933"/>
      <c r="C148" s="1933"/>
      <c r="D148" s="1933"/>
      <c r="E148" s="1933"/>
      <c r="F148" s="1934" t="s">
        <v>113</v>
      </c>
      <c r="G148" s="54" t="e">
        <f>SUM(F146:F147)</f>
        <v>#REF!</v>
      </c>
    </row>
    <row r="149" spans="1:7" ht="13.5" hidden="1" thickBot="1" x14ac:dyDescent="0.25">
      <c r="A149" s="40" t="s">
        <v>119</v>
      </c>
      <c r="B149" s="37"/>
      <c r="C149" s="37"/>
      <c r="D149" s="37"/>
      <c r="E149" s="37"/>
      <c r="F149" s="37"/>
      <c r="G149" s="37"/>
    </row>
    <row r="150" spans="1:7" ht="13.5" hidden="1" thickBot="1" x14ac:dyDescent="0.25">
      <c r="A150" s="1922" t="s">
        <v>120</v>
      </c>
      <c r="B150" s="1923"/>
      <c r="C150" s="63" t="s">
        <v>121</v>
      </c>
      <c r="D150" s="64" t="s">
        <v>116</v>
      </c>
      <c r="E150" s="64" t="s">
        <v>111</v>
      </c>
      <c r="F150" s="64" t="s">
        <v>112</v>
      </c>
      <c r="G150" s="71"/>
    </row>
    <row r="151" spans="1:7" hidden="1" x14ac:dyDescent="0.2">
      <c r="A151" s="2255" t="e">
        <f>+#REF!</f>
        <v>#REF!</v>
      </c>
      <c r="B151" s="2256"/>
      <c r="C151" s="74" t="e">
        <f>+#REF!</f>
        <v>#REF!</v>
      </c>
      <c r="D151" s="75">
        <v>1</v>
      </c>
      <c r="E151" s="75">
        <v>1.65</v>
      </c>
      <c r="F151" s="78" t="e">
        <f>+(C151*D151)*E151</f>
        <v>#REF!</v>
      </c>
      <c r="G151" s="52"/>
    </row>
    <row r="152" spans="1:7" ht="13.5" hidden="1" thickBot="1" x14ac:dyDescent="0.25">
      <c r="A152" s="2252" t="e">
        <f>+#REF!</f>
        <v>#REF!</v>
      </c>
      <c r="B152" s="1927"/>
      <c r="C152" s="73" t="e">
        <f>+#REF!</f>
        <v>#REF!</v>
      </c>
      <c r="D152" s="76">
        <v>1</v>
      </c>
      <c r="E152" s="77">
        <f>+E151</f>
        <v>1.65</v>
      </c>
      <c r="F152" s="79" t="e">
        <f>+(C152*D152)*E152</f>
        <v>#REF!</v>
      </c>
      <c r="G152" s="58"/>
    </row>
    <row r="153" spans="1:7" ht="13.5" hidden="1" thickBot="1" x14ac:dyDescent="0.25">
      <c r="A153" s="1932" t="str">
        <f>+A148</f>
        <v>SUB-TOTAL</v>
      </c>
      <c r="B153" s="1933"/>
      <c r="C153" s="1933"/>
      <c r="D153" s="1933"/>
      <c r="E153" s="1933"/>
      <c r="F153" s="1934" t="s">
        <v>113</v>
      </c>
      <c r="G153" s="54" t="e">
        <f>SUM(F151:F152)</f>
        <v>#REF!</v>
      </c>
    </row>
    <row r="154" spans="1:7" ht="11.25" hidden="1" customHeight="1" thickBot="1" x14ac:dyDescent="0.25">
      <c r="A154" s="37"/>
      <c r="B154" s="37"/>
      <c r="C154" s="37"/>
      <c r="D154" s="37"/>
      <c r="E154" s="37"/>
      <c r="F154" s="45"/>
      <c r="G154" s="37"/>
    </row>
    <row r="155" spans="1:7" ht="13.5" hidden="1" thickBot="1" x14ac:dyDescent="0.25">
      <c r="A155" s="1932" t="s">
        <v>156</v>
      </c>
      <c r="B155" s="1933"/>
      <c r="C155" s="1933"/>
      <c r="D155" s="1933"/>
      <c r="E155" s="1933"/>
      <c r="F155" s="1934"/>
      <c r="G155" s="72" t="e">
        <f>ROUND(G136+G143+G148+G153,0)</f>
        <v>#REF!</v>
      </c>
    </row>
    <row r="156" spans="1:7" hidden="1" x14ac:dyDescent="0.2"/>
    <row r="157" spans="1:7" ht="13.5" hidden="1" thickBot="1" x14ac:dyDescent="0.25"/>
    <row r="158" spans="1:7" ht="27" hidden="1" customHeight="1" x14ac:dyDescent="0.2">
      <c r="A158" s="1935" t="s">
        <v>122</v>
      </c>
      <c r="B158" s="1936"/>
      <c r="C158" s="1937"/>
      <c r="D158" s="50"/>
      <c r="E158" s="46"/>
      <c r="F158" s="46"/>
      <c r="G158" s="47"/>
    </row>
    <row r="159" spans="1:7" ht="24" hidden="1" customHeight="1" thickBot="1" x14ac:dyDescent="0.25">
      <c r="A159" s="1938" t="e">
        <f>+#REF!</f>
        <v>#REF!</v>
      </c>
      <c r="B159" s="1939"/>
      <c r="C159" s="1940"/>
      <c r="D159" s="48"/>
      <c r="E159" s="48"/>
      <c r="F159" s="48"/>
      <c r="G159" s="49"/>
    </row>
    <row r="160" spans="1:7" ht="13.5" hidden="1" thickBot="1" x14ac:dyDescent="0.25">
      <c r="A160" s="37"/>
      <c r="B160" s="37"/>
      <c r="C160" s="37"/>
      <c r="D160" s="37"/>
      <c r="E160" s="37"/>
      <c r="F160" s="37"/>
      <c r="G160" s="37"/>
    </row>
    <row r="161" spans="1:7" ht="63.75" hidden="1" customHeight="1" thickBot="1" x14ac:dyDescent="0.25">
      <c r="A161" s="1558" t="e">
        <f>+#REF!</f>
        <v>#REF!</v>
      </c>
      <c r="B161" s="1559"/>
      <c r="C161" s="1560"/>
      <c r="D161" s="1565" t="s">
        <v>203</v>
      </c>
      <c r="E161" s="1559"/>
      <c r="F161" s="1559"/>
      <c r="G161" s="1560"/>
    </row>
    <row r="162" spans="1:7" ht="13.5" hidden="1" thickBot="1" x14ac:dyDescent="0.25">
      <c r="A162" s="38"/>
      <c r="B162" s="38"/>
      <c r="C162" s="38"/>
      <c r="D162" s="38"/>
      <c r="E162" s="38"/>
      <c r="F162" s="38"/>
      <c r="G162" s="38"/>
    </row>
    <row r="163" spans="1:7" ht="12.75" hidden="1" customHeight="1" thickBot="1" x14ac:dyDescent="0.25">
      <c r="A163" s="39"/>
      <c r="B163" s="37"/>
      <c r="D163" s="60" t="s">
        <v>124</v>
      </c>
      <c r="E163" s="61" t="s">
        <v>12</v>
      </c>
      <c r="F163" s="59"/>
      <c r="G163" s="59"/>
    </row>
    <row r="164" spans="1:7" ht="13.5" hidden="1" thickBot="1" x14ac:dyDescent="0.25">
      <c r="A164" s="40" t="s">
        <v>108</v>
      </c>
      <c r="B164" s="37"/>
      <c r="C164" s="37"/>
      <c r="D164" s="37"/>
      <c r="E164" s="37"/>
      <c r="F164" s="37"/>
      <c r="G164" s="37"/>
    </row>
    <row r="165" spans="1:7" s="1" customFormat="1" ht="13.5" hidden="1" customHeight="1" thickBot="1" x14ac:dyDescent="0.25">
      <c r="A165" s="1530" t="s">
        <v>109</v>
      </c>
      <c r="B165" s="1554"/>
      <c r="C165" s="1531"/>
      <c r="D165" s="64" t="s">
        <v>110</v>
      </c>
      <c r="E165" s="64" t="s">
        <v>111</v>
      </c>
      <c r="F165" s="63" t="s">
        <v>112</v>
      </c>
      <c r="G165" s="66"/>
    </row>
    <row r="166" spans="1:7" ht="12.75" hidden="1" customHeight="1" x14ac:dyDescent="0.2">
      <c r="A166" s="1943" t="e">
        <f>+'11'!#REF!</f>
        <v>#REF!</v>
      </c>
      <c r="B166" s="1944"/>
      <c r="C166" s="1945"/>
      <c r="D166" s="55" t="e">
        <f>+'11'!#REF!</f>
        <v>#REF!</v>
      </c>
      <c r="E166" s="80">
        <v>1</v>
      </c>
      <c r="F166" s="55" t="e">
        <f>+E166*D166</f>
        <v>#REF!</v>
      </c>
      <c r="G166" s="52"/>
    </row>
    <row r="167" spans="1:7" hidden="1" x14ac:dyDescent="0.2">
      <c r="A167" s="2261" t="e">
        <f>+'11'!#REF!</f>
        <v>#REF!</v>
      </c>
      <c r="B167" s="2262"/>
      <c r="C167" s="2263"/>
      <c r="D167" s="42" t="e">
        <f>+'11'!#REF!/8</f>
        <v>#REF!</v>
      </c>
      <c r="E167" s="92">
        <v>0.33333333333333331</v>
      </c>
      <c r="F167" s="42" t="e">
        <f>+E167*D167</f>
        <v>#REF!</v>
      </c>
      <c r="G167" s="94"/>
    </row>
    <row r="168" spans="1:7" hidden="1" x14ac:dyDescent="0.2">
      <c r="A168" s="2261" t="str">
        <f>+'11'!$C$15</f>
        <v>VIBRADOR DE CONCRETO ELECTRICO O A GASOLINA.</v>
      </c>
      <c r="B168" s="2262"/>
      <c r="C168" s="2263"/>
      <c r="D168" s="42">
        <f>+'11'!$E$15/8</f>
        <v>937.5</v>
      </c>
      <c r="E168" s="92">
        <f>+E167</f>
        <v>0.33333333333333331</v>
      </c>
      <c r="F168" s="42">
        <f>+E168*D168</f>
        <v>312.5</v>
      </c>
      <c r="G168" s="94"/>
    </row>
    <row r="169" spans="1:7" hidden="1" x14ac:dyDescent="0.2">
      <c r="A169" s="2261" t="e">
        <f>+'11'!#REF!</f>
        <v>#REF!</v>
      </c>
      <c r="B169" s="2262"/>
      <c r="C169" s="2263"/>
      <c r="D169" s="42" t="e">
        <f>+'11'!#REF!</f>
        <v>#REF!</v>
      </c>
      <c r="E169" s="92">
        <v>1</v>
      </c>
      <c r="F169" s="42" t="e">
        <f>+E169*D169</f>
        <v>#REF!</v>
      </c>
      <c r="G169" s="94"/>
    </row>
    <row r="170" spans="1:7" hidden="1" x14ac:dyDescent="0.2">
      <c r="A170" s="2261" t="e">
        <f>+'11'!#REF!</f>
        <v>#REF!</v>
      </c>
      <c r="B170" s="2262"/>
      <c r="C170" s="2263"/>
      <c r="D170" s="42" t="e">
        <f>+'11'!#REF!/8</f>
        <v>#REF!</v>
      </c>
      <c r="E170" s="92">
        <f>+E168</f>
        <v>0.33333333333333331</v>
      </c>
      <c r="F170" s="42" t="e">
        <f>+E170*D170</f>
        <v>#REF!</v>
      </c>
      <c r="G170" s="94"/>
    </row>
    <row r="171" spans="1:7" ht="13.5" hidden="1" thickBot="1" x14ac:dyDescent="0.25">
      <c r="A171" s="1926" t="str">
        <f>+'11'!$C$10</f>
        <v>HERRAMIENTA MENOR.</v>
      </c>
      <c r="B171" s="1946"/>
      <c r="C171" s="1927"/>
      <c r="D171" s="57">
        <f>+'11'!$E$10/8</f>
        <v>1875</v>
      </c>
      <c r="E171" s="81">
        <f>+E188</f>
        <v>3.0042341134707691</v>
      </c>
      <c r="F171" s="57">
        <f>+D171*E171</f>
        <v>5632.938962757692</v>
      </c>
      <c r="G171" s="58"/>
    </row>
    <row r="172" spans="1:7" ht="13.5" hidden="1" thickBot="1" x14ac:dyDescent="0.25">
      <c r="A172" s="1932" t="s">
        <v>125</v>
      </c>
      <c r="B172" s="1933"/>
      <c r="C172" s="1933"/>
      <c r="D172" s="1933"/>
      <c r="E172" s="1933"/>
      <c r="F172" s="1934"/>
      <c r="G172" s="54" t="e">
        <f>SUM(F166:F171)</f>
        <v>#REF!</v>
      </c>
    </row>
    <row r="173" spans="1:7" ht="13.5" hidden="1" thickBot="1" x14ac:dyDescent="0.25">
      <c r="A173" s="40" t="s">
        <v>123</v>
      </c>
      <c r="B173" s="37"/>
      <c r="C173" s="37"/>
      <c r="D173" s="37"/>
      <c r="E173" s="37"/>
      <c r="F173" s="37"/>
      <c r="G173" s="37"/>
    </row>
    <row r="174" spans="1:7" s="1" customFormat="1" ht="13.5" hidden="1" thickBot="1" x14ac:dyDescent="0.25">
      <c r="A174" s="1530" t="s">
        <v>109</v>
      </c>
      <c r="B174" s="1531"/>
      <c r="C174" s="63" t="s">
        <v>114</v>
      </c>
      <c r="D174" s="63" t="s">
        <v>115</v>
      </c>
      <c r="E174" s="63" t="s">
        <v>116</v>
      </c>
      <c r="F174" s="63" t="s">
        <v>112</v>
      </c>
      <c r="G174" s="66"/>
    </row>
    <row r="175" spans="1:7" s="1" customFormat="1" ht="23.25" hidden="1" customHeight="1" x14ac:dyDescent="0.2">
      <c r="A175" s="2253" t="e">
        <f>+#REF!</f>
        <v>#REF!</v>
      </c>
      <c r="B175" s="2254"/>
      <c r="C175" s="82" t="e">
        <f>+#REF!</f>
        <v>#REF!</v>
      </c>
      <c r="D175" s="83" t="e">
        <f>+#REF!</f>
        <v>#REF!</v>
      </c>
      <c r="E175" s="82">
        <v>1.03</v>
      </c>
      <c r="F175" s="83" t="e">
        <f>+E175*D175</f>
        <v>#REF!</v>
      </c>
      <c r="G175" s="84"/>
    </row>
    <row r="176" spans="1:7" s="1" customFormat="1" ht="15" hidden="1" customHeight="1" x14ac:dyDescent="0.2">
      <c r="A176" s="2257" t="str">
        <f>+'10'!$C$103</f>
        <v>AGUA</v>
      </c>
      <c r="B176" s="2258"/>
      <c r="C176" s="85" t="str">
        <f>+'10'!$D$103</f>
        <v>LT</v>
      </c>
      <c r="D176" s="86">
        <f>+'10'!$E$103</f>
        <v>20</v>
      </c>
      <c r="E176" s="85">
        <v>50</v>
      </c>
      <c r="F176" s="86">
        <f>+E176*D176</f>
        <v>1000</v>
      </c>
      <c r="G176" s="87"/>
    </row>
    <row r="177" spans="1:7" s="1" customFormat="1" ht="15" hidden="1" customHeight="1" x14ac:dyDescent="0.2">
      <c r="A177" s="2257" t="e">
        <f>+'10'!#REF!</f>
        <v>#REF!</v>
      </c>
      <c r="B177" s="2258"/>
      <c r="C177" s="85" t="e">
        <f>+'10'!#REF!</f>
        <v>#REF!</v>
      </c>
      <c r="D177" s="86" t="e">
        <f>+'10'!#REF!</f>
        <v>#REF!</v>
      </c>
      <c r="E177" s="144">
        <v>1.7857142857142865</v>
      </c>
      <c r="F177" s="86" t="e">
        <f>+E177*D177</f>
        <v>#REF!</v>
      </c>
      <c r="G177" s="87"/>
    </row>
    <row r="178" spans="1:7" s="1" customFormat="1" hidden="1" x14ac:dyDescent="0.2">
      <c r="A178" s="2257" t="e">
        <f>+'10'!#REF!</f>
        <v>#REF!</v>
      </c>
      <c r="B178" s="2258"/>
      <c r="C178" s="85" t="e">
        <f>+'10'!#REF!</f>
        <v>#REF!</v>
      </c>
      <c r="D178" s="86" t="e">
        <f>+'10'!#REF!</f>
        <v>#REF!</v>
      </c>
      <c r="E178" s="85">
        <v>1</v>
      </c>
      <c r="F178" s="86" t="e">
        <f>+E178*D178</f>
        <v>#REF!</v>
      </c>
      <c r="G178" s="87"/>
    </row>
    <row r="179" spans="1:7" s="1" customFormat="1" ht="13.5" hidden="1" thickBot="1" x14ac:dyDescent="0.25">
      <c r="A179" s="2259"/>
      <c r="B179" s="2260"/>
      <c r="C179" s="88"/>
      <c r="D179" s="89"/>
      <c r="E179" s="88"/>
      <c r="F179" s="89"/>
      <c r="G179" s="90"/>
    </row>
    <row r="180" spans="1:7" ht="13.5" hidden="1" thickBot="1" x14ac:dyDescent="0.25">
      <c r="A180" s="1932" t="s">
        <v>125</v>
      </c>
      <c r="B180" s="1933"/>
      <c r="C180" s="1933"/>
      <c r="D180" s="1933"/>
      <c r="E180" s="1933"/>
      <c r="F180" s="1934" t="s">
        <v>113</v>
      </c>
      <c r="G180" s="54" t="e">
        <f>SUM(F175:F179)</f>
        <v>#REF!</v>
      </c>
    </row>
    <row r="181" spans="1:7" ht="13.5" hidden="1" thickBot="1" x14ac:dyDescent="0.25">
      <c r="A181" s="40" t="s">
        <v>117</v>
      </c>
      <c r="B181" s="37"/>
      <c r="C181" s="37"/>
      <c r="D181" s="37"/>
      <c r="E181" s="37"/>
      <c r="F181" s="37"/>
      <c r="G181" s="37"/>
    </row>
    <row r="182" spans="1:7" s="1" customFormat="1" ht="13.5" hidden="1" thickBot="1" x14ac:dyDescent="0.25">
      <c r="A182" s="1922" t="str">
        <f>+'HOJA MODELO'!$A$21</f>
        <v>Descripción</v>
      </c>
      <c r="B182" s="1923" t="s">
        <v>118</v>
      </c>
      <c r="C182" s="64" t="str">
        <f>+'HOJA MODELO'!$C$21</f>
        <v>Unidad</v>
      </c>
      <c r="D182" s="64" t="str">
        <f>+'HOJA MODELO'!$D$21</f>
        <v>Precio-Unit.</v>
      </c>
      <c r="E182" s="64" t="str">
        <f>+'HOJA MODELO'!$E$21</f>
        <v>Cantidad</v>
      </c>
      <c r="F182" s="64" t="str">
        <f>+'HOJA MODELO'!$F$21</f>
        <v>Valor-Unit.</v>
      </c>
      <c r="G182" s="67"/>
    </row>
    <row r="183" spans="1:7" hidden="1" x14ac:dyDescent="0.2">
      <c r="A183" s="1943" t="e">
        <f>+'11'!#REF!</f>
        <v>#REF!</v>
      </c>
      <c r="B183" s="1945"/>
      <c r="C183" s="43" t="e">
        <f>+'11'!#REF!</f>
        <v>#REF!</v>
      </c>
      <c r="D183" s="55" t="e">
        <f>+'11'!#REF!</f>
        <v>#REF!</v>
      </c>
      <c r="E183" s="95">
        <v>6.8000000000000005E-2</v>
      </c>
      <c r="F183" s="42" t="e">
        <f>D183*E183</f>
        <v>#REF!</v>
      </c>
      <c r="G183" s="52"/>
    </row>
    <row r="184" spans="1:7" ht="13.5" hidden="1" thickBot="1" x14ac:dyDescent="0.25">
      <c r="A184" s="1930"/>
      <c r="B184" s="1931"/>
      <c r="C184" s="43"/>
      <c r="D184" s="57"/>
      <c r="E184" s="96"/>
      <c r="F184" s="57">
        <f>D184*E184</f>
        <v>0</v>
      </c>
      <c r="G184" s="68"/>
    </row>
    <row r="185" spans="1:7" ht="13.5" hidden="1" thickBot="1" x14ac:dyDescent="0.25">
      <c r="A185" s="1932" t="s">
        <v>125</v>
      </c>
      <c r="B185" s="1933"/>
      <c r="C185" s="1933"/>
      <c r="D185" s="1933"/>
      <c r="E185" s="1933"/>
      <c r="F185" s="1934" t="s">
        <v>113</v>
      </c>
      <c r="G185" s="54" t="e">
        <f>SUM(F183:F184)</f>
        <v>#REF!</v>
      </c>
    </row>
    <row r="186" spans="1:7" ht="13.5" hidden="1" thickBot="1" x14ac:dyDescent="0.25">
      <c r="A186" s="40" t="s">
        <v>119</v>
      </c>
      <c r="B186" s="37"/>
      <c r="C186" s="37"/>
      <c r="D186" s="37"/>
      <c r="E186" s="37"/>
      <c r="F186" s="37"/>
      <c r="G186" s="37"/>
    </row>
    <row r="187" spans="1:7" ht="13.5" hidden="1" thickBot="1" x14ac:dyDescent="0.25">
      <c r="A187" s="1922" t="s">
        <v>120</v>
      </c>
      <c r="B187" s="1923"/>
      <c r="C187" s="63" t="s">
        <v>121</v>
      </c>
      <c r="D187" s="64" t="s">
        <v>116</v>
      </c>
      <c r="E187" s="64" t="s">
        <v>111</v>
      </c>
      <c r="F187" s="64" t="s">
        <v>112</v>
      </c>
      <c r="G187" s="71"/>
    </row>
    <row r="188" spans="1:7" hidden="1" x14ac:dyDescent="0.2">
      <c r="A188" s="2255" t="e">
        <f>+#REF!</f>
        <v>#REF!</v>
      </c>
      <c r="B188" s="2256"/>
      <c r="C188" s="74" t="e">
        <f>+#REF!</f>
        <v>#REF!</v>
      </c>
      <c r="D188" s="75">
        <v>1</v>
      </c>
      <c r="E188" s="75">
        <v>3.0042341134707691</v>
      </c>
      <c r="F188" s="78" t="e">
        <f>+(C188*D188)*E188</f>
        <v>#REF!</v>
      </c>
      <c r="G188" s="52"/>
    </row>
    <row r="189" spans="1:7" ht="13.5" hidden="1" thickBot="1" x14ac:dyDescent="0.25">
      <c r="A189" s="2252" t="e">
        <f>+#REF!</f>
        <v>#REF!</v>
      </c>
      <c r="B189" s="1927"/>
      <c r="C189" s="73" t="e">
        <f>+#REF!</f>
        <v>#REF!</v>
      </c>
      <c r="D189" s="76">
        <v>2</v>
      </c>
      <c r="E189" s="77">
        <f>+E188</f>
        <v>3.0042341134707691</v>
      </c>
      <c r="F189" s="79" t="e">
        <f>+(C189*D189)*E189</f>
        <v>#REF!</v>
      </c>
      <c r="G189" s="58"/>
    </row>
    <row r="190" spans="1:7" ht="13.5" hidden="1" thickBot="1" x14ac:dyDescent="0.25">
      <c r="A190" s="1932" t="str">
        <f>+A185</f>
        <v>SUB-TOTAL</v>
      </c>
      <c r="B190" s="1933"/>
      <c r="C190" s="1933"/>
      <c r="D190" s="1933"/>
      <c r="E190" s="1933"/>
      <c r="F190" s="1934" t="s">
        <v>113</v>
      </c>
      <c r="G190" s="54" t="e">
        <f>SUM(F188:F189)</f>
        <v>#REF!</v>
      </c>
    </row>
    <row r="191" spans="1:7" ht="11.25" hidden="1" customHeight="1" thickBot="1" x14ac:dyDescent="0.25">
      <c r="A191" s="37"/>
      <c r="B191" s="37"/>
      <c r="C191" s="37"/>
      <c r="D191" s="37"/>
      <c r="E191" s="37"/>
      <c r="F191" s="45"/>
      <c r="G191" s="37"/>
    </row>
    <row r="192" spans="1:7" ht="13.5" hidden="1" thickBot="1" x14ac:dyDescent="0.25">
      <c r="A192" s="1932" t="s">
        <v>156</v>
      </c>
      <c r="B192" s="1933"/>
      <c r="C192" s="1933"/>
      <c r="D192" s="1933"/>
      <c r="E192" s="1933"/>
      <c r="F192" s="1934"/>
      <c r="G192" s="72" t="e">
        <f>ROUND(G172+G180+G185+G190,0)</f>
        <v>#REF!</v>
      </c>
    </row>
    <row r="193" spans="1:7" hidden="1" x14ac:dyDescent="0.2"/>
    <row r="194" spans="1:7" ht="13.5" hidden="1" thickBot="1" x14ac:dyDescent="0.25"/>
    <row r="195" spans="1:7" ht="27" hidden="1" customHeight="1" x14ac:dyDescent="0.2">
      <c r="A195" s="1935" t="s">
        <v>122</v>
      </c>
      <c r="B195" s="1936"/>
      <c r="C195" s="1937"/>
      <c r="D195" s="50"/>
      <c r="E195" s="46"/>
      <c r="F195" s="46"/>
      <c r="G195" s="47"/>
    </row>
    <row r="196" spans="1:7" ht="24" hidden="1" customHeight="1" thickBot="1" x14ac:dyDescent="0.25">
      <c r="A196" s="1938" t="e">
        <f>+#REF!</f>
        <v>#REF!</v>
      </c>
      <c r="B196" s="1939"/>
      <c r="C196" s="1940"/>
      <c r="D196" s="48"/>
      <c r="E196" s="48"/>
      <c r="F196" s="48"/>
      <c r="G196" s="49"/>
    </row>
    <row r="197" spans="1:7" ht="13.5" hidden="1" thickBot="1" x14ac:dyDescent="0.25">
      <c r="A197" s="37"/>
      <c r="B197" s="37"/>
      <c r="C197" s="37"/>
      <c r="D197" s="37"/>
      <c r="E197" s="37"/>
      <c r="F197" s="37"/>
      <c r="G197" s="37"/>
    </row>
    <row r="198" spans="1:7" ht="45" hidden="1" customHeight="1" thickBot="1" x14ac:dyDescent="0.25">
      <c r="A198" s="1558" t="e">
        <f>+#REF!</f>
        <v>#REF!</v>
      </c>
      <c r="B198" s="1559"/>
      <c r="C198" s="1560"/>
      <c r="D198" s="1565" t="s">
        <v>204</v>
      </c>
      <c r="E198" s="1559"/>
      <c r="F198" s="1559"/>
      <c r="G198" s="1560"/>
    </row>
    <row r="199" spans="1:7" ht="13.5" hidden="1" thickBot="1" x14ac:dyDescent="0.25">
      <c r="A199" s="38"/>
      <c r="B199" s="38"/>
      <c r="C199" s="38"/>
      <c r="D199" s="38"/>
      <c r="E199" s="38"/>
      <c r="F199" s="38"/>
      <c r="G199" s="38"/>
    </row>
    <row r="200" spans="1:7" ht="12.75" hidden="1" customHeight="1" thickBot="1" x14ac:dyDescent="0.25">
      <c r="A200" s="39"/>
      <c r="B200" s="37"/>
      <c r="D200" s="60" t="s">
        <v>124</v>
      </c>
      <c r="E200" s="61" t="s">
        <v>12</v>
      </c>
      <c r="F200" s="59"/>
      <c r="G200" s="59"/>
    </row>
    <row r="201" spans="1:7" ht="13.5" hidden="1" thickBot="1" x14ac:dyDescent="0.25">
      <c r="A201" s="40" t="s">
        <v>108</v>
      </c>
      <c r="B201" s="37"/>
      <c r="C201" s="37"/>
      <c r="D201" s="37"/>
      <c r="E201" s="37"/>
      <c r="F201" s="37"/>
      <c r="G201" s="37"/>
    </row>
    <row r="202" spans="1:7" s="1" customFormat="1" ht="13.5" hidden="1" customHeight="1" thickBot="1" x14ac:dyDescent="0.25">
      <c r="A202" s="1530" t="s">
        <v>109</v>
      </c>
      <c r="B202" s="1554"/>
      <c r="C202" s="1531"/>
      <c r="D202" s="64" t="s">
        <v>110</v>
      </c>
      <c r="E202" s="64" t="s">
        <v>111</v>
      </c>
      <c r="F202" s="63" t="s">
        <v>112</v>
      </c>
      <c r="G202" s="66"/>
    </row>
    <row r="203" spans="1:7" ht="12.75" hidden="1" customHeight="1" x14ac:dyDescent="0.2">
      <c r="A203" s="1943" t="e">
        <f>+'11'!#REF!</f>
        <v>#REF!</v>
      </c>
      <c r="B203" s="1944"/>
      <c r="C203" s="1945"/>
      <c r="D203" s="55" t="e">
        <f>+'11'!#REF!</f>
        <v>#REF!</v>
      </c>
      <c r="E203" s="80">
        <v>1</v>
      </c>
      <c r="F203" s="55" t="e">
        <f>+E203*D203</f>
        <v>#REF!</v>
      </c>
      <c r="G203" s="52"/>
    </row>
    <row r="204" spans="1:7" hidden="1" x14ac:dyDescent="0.2">
      <c r="A204" s="2261" t="e">
        <f>+'11'!#REF!</f>
        <v>#REF!</v>
      </c>
      <c r="B204" s="2262"/>
      <c r="C204" s="2263"/>
      <c r="D204" s="42" t="e">
        <f>+'11'!#REF!/8</f>
        <v>#REF!</v>
      </c>
      <c r="E204" s="92">
        <v>0.33333333333333331</v>
      </c>
      <c r="F204" s="42" t="e">
        <f>+E204*D204</f>
        <v>#REF!</v>
      </c>
      <c r="G204" s="94"/>
    </row>
    <row r="205" spans="1:7" hidden="1" x14ac:dyDescent="0.2">
      <c r="A205" s="2261" t="str">
        <f>+'11'!$C$15</f>
        <v>VIBRADOR DE CONCRETO ELECTRICO O A GASOLINA.</v>
      </c>
      <c r="B205" s="2262"/>
      <c r="C205" s="2263"/>
      <c r="D205" s="42">
        <f>+'11'!$E$15/8</f>
        <v>937.5</v>
      </c>
      <c r="E205" s="92">
        <f>+E204</f>
        <v>0.33333333333333331</v>
      </c>
      <c r="F205" s="42">
        <f>+E205*D205</f>
        <v>312.5</v>
      </c>
      <c r="G205" s="94"/>
    </row>
    <row r="206" spans="1:7" hidden="1" x14ac:dyDescent="0.2">
      <c r="A206" s="2261" t="e">
        <f>+'11'!#REF!</f>
        <v>#REF!</v>
      </c>
      <c r="B206" s="2262"/>
      <c r="C206" s="2263"/>
      <c r="D206" s="42" t="e">
        <f>+'11'!#REF!</f>
        <v>#REF!</v>
      </c>
      <c r="E206" s="92">
        <v>1</v>
      </c>
      <c r="F206" s="42" t="e">
        <f>+E206*D206</f>
        <v>#REF!</v>
      </c>
      <c r="G206" s="94"/>
    </row>
    <row r="207" spans="1:7" hidden="1" x14ac:dyDescent="0.2">
      <c r="A207" s="2261" t="e">
        <f>+'11'!#REF!</f>
        <v>#REF!</v>
      </c>
      <c r="B207" s="2262"/>
      <c r="C207" s="2263"/>
      <c r="D207" s="42" t="e">
        <f>+'11'!#REF!/8</f>
        <v>#REF!</v>
      </c>
      <c r="E207" s="92">
        <f>+E205</f>
        <v>0.33333333333333331</v>
      </c>
      <c r="F207" s="42" t="e">
        <f>+E207*D207</f>
        <v>#REF!</v>
      </c>
      <c r="G207" s="94"/>
    </row>
    <row r="208" spans="1:7" ht="13.5" hidden="1" thickBot="1" x14ac:dyDescent="0.25">
      <c r="A208" s="1926" t="str">
        <f>+'11'!$C$10</f>
        <v>HERRAMIENTA MENOR.</v>
      </c>
      <c r="B208" s="1946"/>
      <c r="C208" s="1927"/>
      <c r="D208" s="57">
        <f>+'11'!$E$10/8</f>
        <v>1875</v>
      </c>
      <c r="E208" s="81">
        <f>+E224</f>
        <v>3.0042341134707691</v>
      </c>
      <c r="F208" s="57">
        <f>+D208*E208</f>
        <v>5632.938962757692</v>
      </c>
      <c r="G208" s="58"/>
    </row>
    <row r="209" spans="1:7" ht="13.5" hidden="1" thickBot="1" x14ac:dyDescent="0.25">
      <c r="A209" s="1932" t="s">
        <v>125</v>
      </c>
      <c r="B209" s="1933"/>
      <c r="C209" s="1933"/>
      <c r="D209" s="1933"/>
      <c r="E209" s="1933"/>
      <c r="F209" s="1934"/>
      <c r="G209" s="54" t="e">
        <f>SUM(F203:F208)</f>
        <v>#REF!</v>
      </c>
    </row>
    <row r="210" spans="1:7" ht="13.5" hidden="1" thickBot="1" x14ac:dyDescent="0.25">
      <c r="A210" s="40" t="s">
        <v>123</v>
      </c>
      <c r="B210" s="37"/>
      <c r="C210" s="37"/>
      <c r="D210" s="37"/>
      <c r="E210" s="37"/>
      <c r="F210" s="37"/>
      <c r="G210" s="37"/>
    </row>
    <row r="211" spans="1:7" s="1" customFormat="1" ht="13.5" hidden="1" thickBot="1" x14ac:dyDescent="0.25">
      <c r="A211" s="1530" t="s">
        <v>109</v>
      </c>
      <c r="B211" s="1531"/>
      <c r="C211" s="63" t="s">
        <v>114</v>
      </c>
      <c r="D211" s="63" t="s">
        <v>115</v>
      </c>
      <c r="E211" s="63" t="s">
        <v>116</v>
      </c>
      <c r="F211" s="63" t="s">
        <v>112</v>
      </c>
      <c r="G211" s="66"/>
    </row>
    <row r="212" spans="1:7" s="1" customFormat="1" ht="23.25" hidden="1" customHeight="1" x14ac:dyDescent="0.2">
      <c r="A212" s="2253" t="e">
        <f>+#REF!</f>
        <v>#REF!</v>
      </c>
      <c r="B212" s="2254"/>
      <c r="C212" s="82" t="e">
        <f>+#REF!</f>
        <v>#REF!</v>
      </c>
      <c r="D212" s="83" t="e">
        <f>+#REF!</f>
        <v>#REF!</v>
      </c>
      <c r="E212" s="82">
        <v>1.03</v>
      </c>
      <c r="F212" s="83" t="e">
        <f>+E212*D212</f>
        <v>#REF!</v>
      </c>
      <c r="G212" s="84"/>
    </row>
    <row r="213" spans="1:7" s="1" customFormat="1" ht="15" hidden="1" customHeight="1" x14ac:dyDescent="0.2">
      <c r="A213" s="2257" t="str">
        <f>+'10'!$C$103</f>
        <v>AGUA</v>
      </c>
      <c r="B213" s="2258"/>
      <c r="C213" s="85" t="str">
        <f>+'10'!$D$103</f>
        <v>LT</v>
      </c>
      <c r="D213" s="86">
        <f>+'10'!$E$103</f>
        <v>20</v>
      </c>
      <c r="E213" s="85">
        <v>50</v>
      </c>
      <c r="F213" s="86">
        <f>+E213*D213</f>
        <v>1000</v>
      </c>
      <c r="G213" s="87"/>
    </row>
    <row r="214" spans="1:7" s="1" customFormat="1" hidden="1" x14ac:dyDescent="0.2">
      <c r="A214" s="2257" t="e">
        <f>+'10'!#REF!</f>
        <v>#REF!</v>
      </c>
      <c r="B214" s="2258"/>
      <c r="C214" s="85" t="e">
        <f>+'10'!#REF!</f>
        <v>#REF!</v>
      </c>
      <c r="D214" s="86" t="e">
        <f>+'10'!#REF!</f>
        <v>#REF!</v>
      </c>
      <c r="E214" s="85">
        <v>1.03</v>
      </c>
      <c r="F214" s="86" t="e">
        <f>+E214*D214</f>
        <v>#REF!</v>
      </c>
      <c r="G214" s="87"/>
    </row>
    <row r="215" spans="1:7" s="1" customFormat="1" ht="13.5" hidden="1" thickBot="1" x14ac:dyDescent="0.25">
      <c r="A215" s="2259"/>
      <c r="B215" s="2260"/>
      <c r="C215" s="88"/>
      <c r="D215" s="89"/>
      <c r="E215" s="88"/>
      <c r="F215" s="89"/>
      <c r="G215" s="90"/>
    </row>
    <row r="216" spans="1:7" ht="13.5" hidden="1" thickBot="1" x14ac:dyDescent="0.25">
      <c r="A216" s="1932" t="s">
        <v>125</v>
      </c>
      <c r="B216" s="1933"/>
      <c r="C216" s="1933"/>
      <c r="D216" s="1933"/>
      <c r="E216" s="1933"/>
      <c r="F216" s="1934" t="s">
        <v>113</v>
      </c>
      <c r="G216" s="54" t="e">
        <f>SUM(F212:F215)</f>
        <v>#REF!</v>
      </c>
    </row>
    <row r="217" spans="1:7" ht="13.5" hidden="1" thickBot="1" x14ac:dyDescent="0.25">
      <c r="A217" s="40" t="s">
        <v>117</v>
      </c>
      <c r="B217" s="37"/>
      <c r="C217" s="37"/>
      <c r="D217" s="37"/>
      <c r="E217" s="37"/>
      <c r="F217" s="37"/>
      <c r="G217" s="37"/>
    </row>
    <row r="218" spans="1:7" s="1" customFormat="1" ht="13.5" hidden="1" thickBot="1" x14ac:dyDescent="0.25">
      <c r="A218" s="1922" t="str">
        <f>+'HOJA MODELO'!$A$21</f>
        <v>Descripción</v>
      </c>
      <c r="B218" s="1923" t="s">
        <v>118</v>
      </c>
      <c r="C218" s="64" t="str">
        <f>+'HOJA MODELO'!$C$21</f>
        <v>Unidad</v>
      </c>
      <c r="D218" s="64" t="str">
        <f>+'HOJA MODELO'!$D$21</f>
        <v>Precio-Unit.</v>
      </c>
      <c r="E218" s="64" t="str">
        <f>+'HOJA MODELO'!$E$21</f>
        <v>Cantidad</v>
      </c>
      <c r="F218" s="64" t="str">
        <f>+'HOJA MODELO'!$F$21</f>
        <v>Valor-Unit.</v>
      </c>
      <c r="G218" s="67"/>
    </row>
    <row r="219" spans="1:7" hidden="1" x14ac:dyDescent="0.2">
      <c r="A219" s="1943" t="e">
        <f>+'11'!#REF!</f>
        <v>#REF!</v>
      </c>
      <c r="B219" s="1945"/>
      <c r="C219" s="43" t="e">
        <f>+'11'!#REF!</f>
        <v>#REF!</v>
      </c>
      <c r="D219" s="55" t="e">
        <f>+'11'!#REF!</f>
        <v>#REF!</v>
      </c>
      <c r="E219" s="95">
        <v>6.8000000000000005E-2</v>
      </c>
      <c r="F219" s="42" t="e">
        <f>D219*E219</f>
        <v>#REF!</v>
      </c>
      <c r="G219" s="52"/>
    </row>
    <row r="220" spans="1:7" ht="13.5" hidden="1" thickBot="1" x14ac:dyDescent="0.25">
      <c r="A220" s="1930"/>
      <c r="B220" s="1931"/>
      <c r="C220" s="43"/>
      <c r="D220" s="57"/>
      <c r="E220" s="96"/>
      <c r="F220" s="57">
        <f>D220*E220</f>
        <v>0</v>
      </c>
      <c r="G220" s="68"/>
    </row>
    <row r="221" spans="1:7" ht="13.5" hidden="1" thickBot="1" x14ac:dyDescent="0.25">
      <c r="A221" s="1932" t="s">
        <v>125</v>
      </c>
      <c r="B221" s="1933"/>
      <c r="C221" s="1933"/>
      <c r="D221" s="1933"/>
      <c r="E221" s="1933"/>
      <c r="F221" s="1934" t="s">
        <v>113</v>
      </c>
      <c r="G221" s="54" t="e">
        <f>SUM(F219:F220)</f>
        <v>#REF!</v>
      </c>
    </row>
    <row r="222" spans="1:7" ht="13.5" hidden="1" thickBot="1" x14ac:dyDescent="0.25">
      <c r="A222" s="40" t="s">
        <v>119</v>
      </c>
      <c r="B222" s="37"/>
      <c r="C222" s="37"/>
      <c r="D222" s="37"/>
      <c r="E222" s="37"/>
      <c r="F222" s="37"/>
      <c r="G222" s="37"/>
    </row>
    <row r="223" spans="1:7" ht="13.5" hidden="1" thickBot="1" x14ac:dyDescent="0.25">
      <c r="A223" s="1922" t="s">
        <v>120</v>
      </c>
      <c r="B223" s="1923"/>
      <c r="C223" s="63" t="s">
        <v>121</v>
      </c>
      <c r="D223" s="64" t="s">
        <v>116</v>
      </c>
      <c r="E223" s="64" t="s">
        <v>111</v>
      </c>
      <c r="F223" s="64" t="s">
        <v>112</v>
      </c>
      <c r="G223" s="71"/>
    </row>
    <row r="224" spans="1:7" hidden="1" x14ac:dyDescent="0.2">
      <c r="A224" s="2255" t="e">
        <f>+#REF!</f>
        <v>#REF!</v>
      </c>
      <c r="B224" s="2256"/>
      <c r="C224" s="74" t="e">
        <f>+#REF!</f>
        <v>#REF!</v>
      </c>
      <c r="D224" s="75">
        <v>1</v>
      </c>
      <c r="E224" s="75">
        <v>3.0042341134707691</v>
      </c>
      <c r="F224" s="78" t="e">
        <f>+(C224*D224)*E224</f>
        <v>#REF!</v>
      </c>
      <c r="G224" s="52"/>
    </row>
    <row r="225" spans="1:7" ht="13.5" hidden="1" thickBot="1" x14ac:dyDescent="0.25">
      <c r="A225" s="2252" t="e">
        <f>+#REF!</f>
        <v>#REF!</v>
      </c>
      <c r="B225" s="1927"/>
      <c r="C225" s="73" t="e">
        <f>+#REF!</f>
        <v>#REF!</v>
      </c>
      <c r="D225" s="76">
        <v>2</v>
      </c>
      <c r="E225" s="77">
        <f>+E224</f>
        <v>3.0042341134707691</v>
      </c>
      <c r="F225" s="79" t="e">
        <f>+(C225*D225)*E225</f>
        <v>#REF!</v>
      </c>
      <c r="G225" s="58"/>
    </row>
    <row r="226" spans="1:7" ht="13.5" hidden="1" thickBot="1" x14ac:dyDescent="0.25">
      <c r="A226" s="1932" t="str">
        <f>+A221</f>
        <v>SUB-TOTAL</v>
      </c>
      <c r="B226" s="1933"/>
      <c r="C226" s="1933"/>
      <c r="D226" s="1933"/>
      <c r="E226" s="1933"/>
      <c r="F226" s="1934" t="s">
        <v>113</v>
      </c>
      <c r="G226" s="54" t="e">
        <f>SUM(F224:F225)</f>
        <v>#REF!</v>
      </c>
    </row>
    <row r="227" spans="1:7" ht="11.25" hidden="1" customHeight="1" thickBot="1" x14ac:dyDescent="0.25">
      <c r="A227" s="37"/>
      <c r="B227" s="37"/>
      <c r="C227" s="37"/>
      <c r="D227" s="37"/>
      <c r="E227" s="37"/>
      <c r="F227" s="45"/>
      <c r="G227" s="37"/>
    </row>
    <row r="228" spans="1:7" ht="13.5" hidden="1" thickBot="1" x14ac:dyDescent="0.25">
      <c r="A228" s="1932" t="s">
        <v>156</v>
      </c>
      <c r="B228" s="1933"/>
      <c r="C228" s="1933"/>
      <c r="D228" s="1933"/>
      <c r="E228" s="1933"/>
      <c r="F228" s="1934"/>
      <c r="G228" s="72" t="e">
        <f>ROUND(G209+G216+G221+G226,0)</f>
        <v>#REF!</v>
      </c>
    </row>
    <row r="229" spans="1:7" hidden="1" x14ac:dyDescent="0.2"/>
  </sheetData>
  <mergeCells count="156">
    <mergeCell ref="A208:C208"/>
    <mergeCell ref="A15:C15"/>
    <mergeCell ref="A16:C16"/>
    <mergeCell ref="A56:C56"/>
    <mergeCell ref="A192:F192"/>
    <mergeCell ref="A184:B184"/>
    <mergeCell ref="A185:F185"/>
    <mergeCell ref="A187:B187"/>
    <mergeCell ref="A188:B188"/>
    <mergeCell ref="A189:B189"/>
    <mergeCell ref="A190:F190"/>
    <mergeCell ref="A198:C198"/>
    <mergeCell ref="A204:C204"/>
    <mergeCell ref="A176:B176"/>
    <mergeCell ref="A178:B178"/>
    <mergeCell ref="A179:B179"/>
    <mergeCell ref="A180:F180"/>
    <mergeCell ref="A182:B182"/>
    <mergeCell ref="A183:B183"/>
    <mergeCell ref="A165:C165"/>
    <mergeCell ref="A166:C166"/>
    <mergeCell ref="A171:C171"/>
    <mergeCell ref="A172:F172"/>
    <mergeCell ref="A174:B174"/>
    <mergeCell ref="A175:B175"/>
    <mergeCell ref="A167:C167"/>
    <mergeCell ref="A168:C168"/>
    <mergeCell ref="A169:C169"/>
    <mergeCell ref="A170:C170"/>
    <mergeCell ref="A177:B177"/>
    <mergeCell ref="A152:B152"/>
    <mergeCell ref="A153:F153"/>
    <mergeCell ref="A155:F155"/>
    <mergeCell ref="A158:C158"/>
    <mergeCell ref="A159:C159"/>
    <mergeCell ref="A161:C161"/>
    <mergeCell ref="D161:G161"/>
    <mergeCell ref="A145:B145"/>
    <mergeCell ref="A146:B146"/>
    <mergeCell ref="A147:B147"/>
    <mergeCell ref="A148:F148"/>
    <mergeCell ref="A150:B150"/>
    <mergeCell ref="A151:B151"/>
    <mergeCell ref="A138:B138"/>
    <mergeCell ref="A139:B139"/>
    <mergeCell ref="A140:B140"/>
    <mergeCell ref="A141:B141"/>
    <mergeCell ref="A142:B142"/>
    <mergeCell ref="A143:F143"/>
    <mergeCell ref="A126:C126"/>
    <mergeCell ref="D126:G126"/>
    <mergeCell ref="A130:C130"/>
    <mergeCell ref="A131:C131"/>
    <mergeCell ref="A135:C135"/>
    <mergeCell ref="A136:F136"/>
    <mergeCell ref="A132:C132"/>
    <mergeCell ref="A133:C133"/>
    <mergeCell ref="A134:C134"/>
    <mergeCell ref="A108:B108"/>
    <mergeCell ref="A109:B109"/>
    <mergeCell ref="A110:F110"/>
    <mergeCell ref="A112:F112"/>
    <mergeCell ref="A123:C123"/>
    <mergeCell ref="A124:C124"/>
    <mergeCell ref="A100:F100"/>
    <mergeCell ref="A102:B102"/>
    <mergeCell ref="A103:B103"/>
    <mergeCell ref="A104:B104"/>
    <mergeCell ref="A105:F105"/>
    <mergeCell ref="A107:B107"/>
    <mergeCell ref="A93:F93"/>
    <mergeCell ref="A95:B95"/>
    <mergeCell ref="A96:B96"/>
    <mergeCell ref="A97:B97"/>
    <mergeCell ref="A98:B98"/>
    <mergeCell ref="A99:B99"/>
    <mergeCell ref="A83:C83"/>
    <mergeCell ref="D83:G83"/>
    <mergeCell ref="A87:C87"/>
    <mergeCell ref="A88:C88"/>
    <mergeCell ref="A89:C89"/>
    <mergeCell ref="A92:C92"/>
    <mergeCell ref="A91:C91"/>
    <mergeCell ref="A90:C90"/>
    <mergeCell ref="A73:B73"/>
    <mergeCell ref="A74:B74"/>
    <mergeCell ref="A75:F75"/>
    <mergeCell ref="A77:F77"/>
    <mergeCell ref="A80:C80"/>
    <mergeCell ref="A81:C81"/>
    <mergeCell ref="A65:F65"/>
    <mergeCell ref="A67:B67"/>
    <mergeCell ref="A68:B68"/>
    <mergeCell ref="A69:B69"/>
    <mergeCell ref="A70:F70"/>
    <mergeCell ref="A72:B72"/>
    <mergeCell ref="A58:F58"/>
    <mergeCell ref="A60:B60"/>
    <mergeCell ref="A61:B61"/>
    <mergeCell ref="A62:B62"/>
    <mergeCell ref="A63:B63"/>
    <mergeCell ref="A64:B64"/>
    <mergeCell ref="A48:C48"/>
    <mergeCell ref="A50:C50"/>
    <mergeCell ref="D50:G50"/>
    <mergeCell ref="A54:C54"/>
    <mergeCell ref="A55:C55"/>
    <mergeCell ref="A57:C57"/>
    <mergeCell ref="A32:B32"/>
    <mergeCell ref="A33:B33"/>
    <mergeCell ref="A34:B34"/>
    <mergeCell ref="A35:F35"/>
    <mergeCell ref="A37:F37"/>
    <mergeCell ref="A47:C47"/>
    <mergeCell ref="A24:B24"/>
    <mergeCell ref="A25:F25"/>
    <mergeCell ref="A27:B27"/>
    <mergeCell ref="A28:B28"/>
    <mergeCell ref="A29:B29"/>
    <mergeCell ref="A30:F30"/>
    <mergeCell ref="A17:C17"/>
    <mergeCell ref="A18:F18"/>
    <mergeCell ref="A20:B20"/>
    <mergeCell ref="A21:B21"/>
    <mergeCell ref="A22:B22"/>
    <mergeCell ref="A23:B23"/>
    <mergeCell ref="A6:C6"/>
    <mergeCell ref="A7:C7"/>
    <mergeCell ref="A9:C9"/>
    <mergeCell ref="D9:G9"/>
    <mergeCell ref="A13:C13"/>
    <mergeCell ref="A14:C14"/>
    <mergeCell ref="A225:B225"/>
    <mergeCell ref="A228:F228"/>
    <mergeCell ref="A195:C195"/>
    <mergeCell ref="A196:C196"/>
    <mergeCell ref="D198:G198"/>
    <mergeCell ref="A202:C202"/>
    <mergeCell ref="A203:C203"/>
    <mergeCell ref="A209:F209"/>
    <mergeCell ref="A211:B211"/>
    <mergeCell ref="A212:B212"/>
    <mergeCell ref="A216:F216"/>
    <mergeCell ref="A218:B218"/>
    <mergeCell ref="A219:B219"/>
    <mergeCell ref="A221:F221"/>
    <mergeCell ref="A223:B223"/>
    <mergeCell ref="A224:B224"/>
    <mergeCell ref="A226:F226"/>
    <mergeCell ref="A213:B213"/>
    <mergeCell ref="A214:B214"/>
    <mergeCell ref="A215:B215"/>
    <mergeCell ref="A220:B220"/>
    <mergeCell ref="A205:C205"/>
    <mergeCell ref="A206:C206"/>
    <mergeCell ref="A207:C207"/>
  </mergeCells>
  <pageMargins left="0.7" right="0.6" top="0.75" bottom="0.75" header="0.3" footer="0.3"/>
  <pageSetup scale="93" orientation="portrait" horizontalDpi="300" verticalDpi="300" r:id="rId1"/>
  <rowBreaks count="1" manualBreakCount="1">
    <brk id="45" max="6" man="1"/>
  </rowBreaks>
  <ignoredErrors>
    <ignoredError sqref="F15" formula="1"/>
  </ignoredError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625"/>
  <sheetViews>
    <sheetView view="pageBreakPreview" topLeftCell="A614" zoomScale="85" zoomScaleNormal="100" zoomScaleSheetLayoutView="85" workbookViewId="0">
      <selection activeCell="A479" sqref="A479"/>
    </sheetView>
  </sheetViews>
  <sheetFormatPr baseColWidth="10" defaultColWidth="11.42578125" defaultRowHeight="12.75" x14ac:dyDescent="0.2"/>
  <cols>
    <col min="1" max="1" width="21.7109375" style="34" customWidth="1"/>
    <col min="2" max="2" width="11.28515625" style="34" bestFit="1" customWidth="1"/>
    <col min="3" max="3" width="12.140625" style="34" bestFit="1" customWidth="1"/>
    <col min="4" max="4" width="13" style="34" customWidth="1"/>
    <col min="5" max="5" width="12.5703125" style="34" bestFit="1" customWidth="1"/>
    <col min="6" max="6" width="13.85546875" style="34" customWidth="1"/>
    <col min="7" max="7" width="14.5703125" style="34" customWidth="1"/>
    <col min="8" max="8" width="11.42578125" style="34"/>
    <col min="9" max="10" width="15.28515625" style="34" bestFit="1" customWidth="1"/>
    <col min="11" max="11" width="12.28515625" style="34" bestFit="1" customWidth="1"/>
    <col min="12" max="16384" width="11.42578125" style="34"/>
  </cols>
  <sheetData>
    <row r="1" spans="1:7" ht="13.5" hidden="1" thickBot="1" x14ac:dyDescent="0.25"/>
    <row r="2" spans="1:7" ht="27" hidden="1" customHeight="1" x14ac:dyDescent="0.2">
      <c r="A2" s="1935" t="s">
        <v>122</v>
      </c>
      <c r="B2" s="1936"/>
      <c r="C2" s="1937"/>
      <c r="D2" s="50"/>
      <c r="E2" s="46"/>
      <c r="F2" s="46"/>
      <c r="G2" s="47"/>
    </row>
    <row r="3" spans="1:7" ht="24" hidden="1" customHeight="1" thickBot="1" x14ac:dyDescent="0.25">
      <c r="A3" s="1938" t="s">
        <v>935</v>
      </c>
      <c r="B3" s="1939"/>
      <c r="C3" s="1940"/>
      <c r="D3" s="48"/>
      <c r="E3" s="48"/>
      <c r="F3" s="48"/>
      <c r="G3" s="49"/>
    </row>
    <row r="4" spans="1:7" ht="13.5" hidden="1" thickBot="1" x14ac:dyDescent="0.25">
      <c r="A4" s="37"/>
      <c r="B4" s="37"/>
      <c r="C4" s="37"/>
      <c r="D4" s="37"/>
      <c r="E4" s="37"/>
      <c r="F4" s="37"/>
      <c r="G4" s="37"/>
    </row>
    <row r="5" spans="1:7" ht="51" hidden="1" customHeight="1" thickBot="1" x14ac:dyDescent="0.25">
      <c r="A5" s="1558" t="s">
        <v>936</v>
      </c>
      <c r="B5" s="1559"/>
      <c r="C5" s="1560"/>
      <c r="D5" s="1565" t="s">
        <v>706</v>
      </c>
      <c r="E5" s="1559"/>
      <c r="F5" s="1559"/>
      <c r="G5" s="1560"/>
    </row>
    <row r="6" spans="1:7" ht="13.5" hidden="1" thickBot="1" x14ac:dyDescent="0.25">
      <c r="A6" s="38"/>
      <c r="B6" s="38"/>
      <c r="C6" s="38"/>
      <c r="D6" s="38"/>
      <c r="E6" s="38"/>
      <c r="F6" s="38"/>
      <c r="G6" s="38"/>
    </row>
    <row r="7" spans="1:7" ht="12.75" hidden="1" customHeight="1" thickBot="1" x14ac:dyDescent="0.25">
      <c r="A7" s="39"/>
      <c r="B7" s="37"/>
      <c r="D7" s="60" t="s">
        <v>124</v>
      </c>
      <c r="E7" s="61" t="s">
        <v>2</v>
      </c>
      <c r="F7" s="59"/>
      <c r="G7" s="59"/>
    </row>
    <row r="8" spans="1:7" ht="13.5" hidden="1" thickBot="1" x14ac:dyDescent="0.25">
      <c r="A8" s="40" t="s">
        <v>108</v>
      </c>
      <c r="B8" s="37"/>
      <c r="C8" s="37"/>
      <c r="D8" s="37"/>
      <c r="E8" s="37"/>
      <c r="F8" s="37"/>
      <c r="G8" s="37"/>
    </row>
    <row r="9" spans="1:7" s="1" customFormat="1" ht="13.5" hidden="1" customHeight="1" thickBot="1" x14ac:dyDescent="0.25">
      <c r="A9" s="1530" t="s">
        <v>109</v>
      </c>
      <c r="B9" s="1554"/>
      <c r="C9" s="1531"/>
      <c r="D9" s="64" t="s">
        <v>110</v>
      </c>
      <c r="E9" s="64" t="s">
        <v>111</v>
      </c>
      <c r="F9" s="63" t="s">
        <v>112</v>
      </c>
      <c r="G9" s="66"/>
    </row>
    <row r="10" spans="1:7" hidden="1" x14ac:dyDescent="0.2">
      <c r="A10" s="1943" t="s">
        <v>131</v>
      </c>
      <c r="B10" s="1944"/>
      <c r="C10" s="1945"/>
      <c r="D10" s="55">
        <v>2062.5</v>
      </c>
      <c r="E10" s="51">
        <v>1</v>
      </c>
      <c r="F10" s="55">
        <f>E10*D10</f>
        <v>2062.5</v>
      </c>
      <c r="G10" s="52"/>
    </row>
    <row r="11" spans="1:7" ht="13.5" hidden="1" thickBot="1" x14ac:dyDescent="0.25">
      <c r="A11" s="1926" t="s">
        <v>147</v>
      </c>
      <c r="B11" s="1946"/>
      <c r="C11" s="1927"/>
      <c r="D11" s="57">
        <v>187.5</v>
      </c>
      <c r="E11" s="56">
        <v>8</v>
      </c>
      <c r="F11" s="57">
        <f>E11*D11</f>
        <v>1500</v>
      </c>
      <c r="G11" s="58"/>
    </row>
    <row r="12" spans="1:7" ht="13.5" hidden="1" thickBot="1" x14ac:dyDescent="0.25">
      <c r="A12" s="1932" t="s">
        <v>125</v>
      </c>
      <c r="B12" s="1933"/>
      <c r="C12" s="1933"/>
      <c r="D12" s="1933"/>
      <c r="E12" s="1933"/>
      <c r="F12" s="1934"/>
      <c r="G12" s="54">
        <f>SUM(F10:F11)</f>
        <v>3562.5</v>
      </c>
    </row>
    <row r="13" spans="1:7" ht="13.5" hidden="1" thickBot="1" x14ac:dyDescent="0.25">
      <c r="A13" s="40" t="s">
        <v>123</v>
      </c>
      <c r="B13" s="37"/>
      <c r="C13" s="37"/>
      <c r="D13" s="37"/>
      <c r="E13" s="37"/>
      <c r="F13" s="37"/>
      <c r="G13" s="37"/>
    </row>
    <row r="14" spans="1:7" s="1" customFormat="1" ht="13.5" hidden="1" thickBot="1" x14ac:dyDescent="0.25">
      <c r="A14" s="1530" t="s">
        <v>109</v>
      </c>
      <c r="B14" s="1531"/>
      <c r="C14" s="63" t="s">
        <v>114</v>
      </c>
      <c r="D14" s="63" t="s">
        <v>115</v>
      </c>
      <c r="E14" s="63" t="s">
        <v>116</v>
      </c>
      <c r="F14" s="63" t="s">
        <v>112</v>
      </c>
      <c r="G14" s="66"/>
    </row>
    <row r="15" spans="1:7" ht="26.25" hidden="1" customHeight="1" x14ac:dyDescent="0.2">
      <c r="A15" s="1941" t="s">
        <v>949</v>
      </c>
      <c r="B15" s="1942"/>
      <c r="C15" s="51" t="s">
        <v>2</v>
      </c>
      <c r="D15" s="55">
        <v>530000</v>
      </c>
      <c r="E15" s="51">
        <v>1</v>
      </c>
      <c r="F15" s="55">
        <f>D15*E15</f>
        <v>530000</v>
      </c>
      <c r="G15" s="52"/>
    </row>
    <row r="16" spans="1:7" hidden="1" x14ac:dyDescent="0.2">
      <c r="A16" s="1556" t="s">
        <v>710</v>
      </c>
      <c r="B16" s="1557"/>
      <c r="C16" s="41" t="s">
        <v>2</v>
      </c>
      <c r="D16" s="42">
        <v>10000</v>
      </c>
      <c r="E16" s="41">
        <v>1</v>
      </c>
      <c r="F16" s="42">
        <f>D16*E16</f>
        <v>10000</v>
      </c>
      <c r="G16" s="53"/>
    </row>
    <row r="17" spans="1:7" hidden="1" x14ac:dyDescent="0.2">
      <c r="A17" s="1556" t="s">
        <v>950</v>
      </c>
      <c r="B17" s="1557"/>
      <c r="C17" s="41" t="s">
        <v>2</v>
      </c>
      <c r="D17" s="42">
        <v>20000</v>
      </c>
      <c r="E17" s="41">
        <v>1</v>
      </c>
      <c r="F17" s="42">
        <f>D17*E17</f>
        <v>20000</v>
      </c>
      <c r="G17" s="53"/>
    </row>
    <row r="18" spans="1:7" ht="21.75" hidden="1" customHeight="1" thickBot="1" x14ac:dyDescent="0.25">
      <c r="A18" s="1920" t="s">
        <v>951</v>
      </c>
      <c r="B18" s="1921"/>
      <c r="C18" s="56" t="s">
        <v>2</v>
      </c>
      <c r="D18" s="57">
        <v>80000</v>
      </c>
      <c r="E18" s="56">
        <v>1</v>
      </c>
      <c r="F18" s="42">
        <f>D18*E18</f>
        <v>80000</v>
      </c>
      <c r="G18" s="58"/>
    </row>
    <row r="19" spans="1:7" ht="13.5" hidden="1" thickBot="1" x14ac:dyDescent="0.25">
      <c r="A19" s="1932" t="s">
        <v>125</v>
      </c>
      <c r="B19" s="1933"/>
      <c r="C19" s="1933"/>
      <c r="D19" s="1933"/>
      <c r="E19" s="1933"/>
      <c r="F19" s="1934" t="s">
        <v>113</v>
      </c>
      <c r="G19" s="54">
        <f>SUM(F15:F18)</f>
        <v>640000</v>
      </c>
    </row>
    <row r="20" spans="1:7" ht="13.5" hidden="1" thickBot="1" x14ac:dyDescent="0.25">
      <c r="A20" s="40" t="s">
        <v>117</v>
      </c>
      <c r="B20" s="37"/>
      <c r="C20" s="37"/>
      <c r="D20" s="37"/>
      <c r="E20" s="37"/>
      <c r="F20" s="37"/>
      <c r="G20" s="37"/>
    </row>
    <row r="21" spans="1:7" s="1" customFormat="1" ht="13.5" hidden="1" thickBot="1" x14ac:dyDescent="0.25">
      <c r="A21" s="1922" t="s">
        <v>109</v>
      </c>
      <c r="B21" s="1923"/>
      <c r="C21" s="64" t="s">
        <v>114</v>
      </c>
      <c r="D21" s="64" t="s">
        <v>115</v>
      </c>
      <c r="E21" s="64" t="s">
        <v>116</v>
      </c>
      <c r="F21" s="64" t="s">
        <v>112</v>
      </c>
      <c r="G21" s="67"/>
    </row>
    <row r="22" spans="1:7" hidden="1" x14ac:dyDescent="0.2">
      <c r="A22" s="1943" t="s">
        <v>205</v>
      </c>
      <c r="B22" s="1945"/>
      <c r="C22" s="43" t="s">
        <v>159</v>
      </c>
      <c r="D22" s="55">
        <v>60714.285714285717</v>
      </c>
      <c r="E22" s="419">
        <v>0</v>
      </c>
      <c r="F22" s="42">
        <f>D22*E22</f>
        <v>0</v>
      </c>
      <c r="G22" s="52"/>
    </row>
    <row r="23" spans="1:7" ht="13.5" hidden="1" thickBot="1" x14ac:dyDescent="0.25">
      <c r="A23" s="1930"/>
      <c r="B23" s="1931"/>
      <c r="C23" s="62"/>
      <c r="D23" s="43"/>
      <c r="E23" s="57"/>
      <c r="F23" s="57">
        <f>D23*E23</f>
        <v>0</v>
      </c>
      <c r="G23" s="68"/>
    </row>
    <row r="24" spans="1:7" ht="13.5" hidden="1" thickBot="1" x14ac:dyDescent="0.25">
      <c r="A24" s="1932" t="s">
        <v>125</v>
      </c>
      <c r="B24" s="1933"/>
      <c r="C24" s="1933"/>
      <c r="D24" s="1933"/>
      <c r="E24" s="1933"/>
      <c r="F24" s="1934" t="s">
        <v>113</v>
      </c>
      <c r="G24" s="54">
        <f>SUM(F23:F23)</f>
        <v>0</v>
      </c>
    </row>
    <row r="25" spans="1:7" ht="13.5" hidden="1" thickBot="1" x14ac:dyDescent="0.25">
      <c r="A25" s="40" t="s">
        <v>119</v>
      </c>
      <c r="B25" s="37"/>
      <c r="C25" s="37"/>
      <c r="D25" s="37"/>
      <c r="E25" s="37"/>
      <c r="F25" s="37"/>
      <c r="G25" s="37"/>
    </row>
    <row r="26" spans="1:7" ht="13.5" hidden="1" thickBot="1" x14ac:dyDescent="0.25">
      <c r="A26" s="1922" t="s">
        <v>120</v>
      </c>
      <c r="B26" s="1923"/>
      <c r="C26" s="63" t="s">
        <v>121</v>
      </c>
      <c r="D26" s="64" t="s">
        <v>116</v>
      </c>
      <c r="E26" s="64" t="s">
        <v>111</v>
      </c>
      <c r="F26" s="64" t="s">
        <v>112</v>
      </c>
      <c r="G26" s="71"/>
    </row>
    <row r="27" spans="1:7" hidden="1" x14ac:dyDescent="0.2">
      <c r="A27" s="2255" t="s">
        <v>21</v>
      </c>
      <c r="B27" s="2256"/>
      <c r="C27" s="74">
        <v>7410.9600847008996</v>
      </c>
      <c r="D27" s="420">
        <v>1</v>
      </c>
      <c r="E27" s="421">
        <v>5</v>
      </c>
      <c r="F27" s="422">
        <f>E27*D27*C27</f>
        <v>37054.800423504501</v>
      </c>
      <c r="G27" s="52"/>
    </row>
    <row r="28" spans="1:7" ht="13.5" hidden="1" thickBot="1" x14ac:dyDescent="0.25">
      <c r="A28" s="2252" t="s">
        <v>22</v>
      </c>
      <c r="B28" s="1927"/>
      <c r="C28" s="73">
        <v>4374.7823749999998</v>
      </c>
      <c r="D28" s="423">
        <v>2</v>
      </c>
      <c r="E28" s="424">
        <f>E27</f>
        <v>5</v>
      </c>
      <c r="F28" s="425">
        <f>E28*D28*C28</f>
        <v>43747.823749999996</v>
      </c>
      <c r="G28" s="58"/>
    </row>
    <row r="29" spans="1:7" ht="13.5" hidden="1" thickBot="1" x14ac:dyDescent="0.25">
      <c r="A29" s="1932" t="str">
        <f>+A24</f>
        <v>SUB-TOTAL</v>
      </c>
      <c r="B29" s="1933"/>
      <c r="C29" s="1933"/>
      <c r="D29" s="1933"/>
      <c r="E29" s="1933"/>
      <c r="F29" s="1934" t="s">
        <v>113</v>
      </c>
      <c r="G29" s="54">
        <f>SUM(F27:F28)</f>
        <v>80802.624173504504</v>
      </c>
    </row>
    <row r="30" spans="1:7" ht="11.25" hidden="1" customHeight="1" thickBot="1" x14ac:dyDescent="0.25">
      <c r="A30" s="37"/>
      <c r="B30" s="37"/>
      <c r="C30" s="37"/>
      <c r="D30" s="37"/>
      <c r="E30" s="37"/>
      <c r="F30" s="45"/>
      <c r="G30" s="37"/>
    </row>
    <row r="31" spans="1:7" ht="13.5" hidden="1" thickBot="1" x14ac:dyDescent="0.25">
      <c r="A31" s="1932" t="s">
        <v>156</v>
      </c>
      <c r="B31" s="1933"/>
      <c r="C31" s="1933"/>
      <c r="D31" s="1933"/>
      <c r="E31" s="1933"/>
      <c r="F31" s="1934"/>
      <c r="G31" s="72">
        <f>ROUND(G12+G19+G24+G29,0)</f>
        <v>724365</v>
      </c>
    </row>
    <row r="32" spans="1:7" ht="13.5" hidden="1" thickBot="1" x14ac:dyDescent="0.25"/>
    <row r="33" spans="1:9" ht="27" hidden="1" customHeight="1" x14ac:dyDescent="0.2">
      <c r="A33" s="1935" t="s">
        <v>122</v>
      </c>
      <c r="B33" s="1936"/>
      <c r="C33" s="1937"/>
      <c r="D33" s="50"/>
      <c r="E33" s="46"/>
      <c r="F33" s="46"/>
      <c r="G33" s="47"/>
    </row>
    <row r="34" spans="1:9" ht="24" hidden="1" customHeight="1" thickBot="1" x14ac:dyDescent="0.25">
      <c r="A34" s="1938" t="s">
        <v>935</v>
      </c>
      <c r="B34" s="1939"/>
      <c r="C34" s="1940"/>
      <c r="D34" s="48"/>
      <c r="E34" s="48"/>
      <c r="F34" s="48"/>
      <c r="G34" s="49"/>
    </row>
    <row r="35" spans="1:9" ht="13.5" hidden="1" thickBot="1" x14ac:dyDescent="0.25">
      <c r="A35" s="37"/>
      <c r="B35" s="37"/>
      <c r="C35" s="37"/>
      <c r="D35" s="37"/>
      <c r="E35" s="37"/>
      <c r="F35" s="37"/>
      <c r="G35" s="37"/>
    </row>
    <row r="36" spans="1:9" ht="70.5" hidden="1" customHeight="1" thickBot="1" x14ac:dyDescent="0.25">
      <c r="A36" s="1558" t="s">
        <v>936</v>
      </c>
      <c r="B36" s="1559"/>
      <c r="C36" s="1560"/>
      <c r="D36" s="1565" t="s">
        <v>707</v>
      </c>
      <c r="E36" s="1559"/>
      <c r="F36" s="1559"/>
      <c r="G36" s="1560"/>
    </row>
    <row r="37" spans="1:9" ht="13.5" hidden="1" thickBot="1" x14ac:dyDescent="0.25">
      <c r="A37" s="38"/>
      <c r="B37" s="38"/>
      <c r="C37" s="38"/>
      <c r="D37" s="38"/>
      <c r="E37" s="38"/>
      <c r="F37" s="38"/>
      <c r="G37" s="38"/>
    </row>
    <row r="38" spans="1:9" ht="12.75" hidden="1" customHeight="1" thickBot="1" x14ac:dyDescent="0.25">
      <c r="A38" s="39"/>
      <c r="B38" s="37"/>
      <c r="D38" s="60" t="s">
        <v>124</v>
      </c>
      <c r="E38" s="61" t="s">
        <v>2</v>
      </c>
      <c r="F38" s="59"/>
      <c r="G38" s="59"/>
    </row>
    <row r="39" spans="1:9" ht="13.5" hidden="1" thickBot="1" x14ac:dyDescent="0.25">
      <c r="A39" s="40" t="s">
        <v>108</v>
      </c>
      <c r="B39" s="37"/>
      <c r="C39" s="37"/>
      <c r="D39" s="37"/>
      <c r="E39" s="37"/>
      <c r="F39" s="37"/>
      <c r="G39" s="37"/>
    </row>
    <row r="40" spans="1:9" s="1" customFormat="1" ht="13.5" hidden="1" customHeight="1" thickBot="1" x14ac:dyDescent="0.25">
      <c r="A40" s="1530" t="s">
        <v>109</v>
      </c>
      <c r="B40" s="1554"/>
      <c r="C40" s="1531"/>
      <c r="D40" s="64" t="s">
        <v>110</v>
      </c>
      <c r="E40" s="64" t="s">
        <v>111</v>
      </c>
      <c r="F40" s="63" t="s">
        <v>112</v>
      </c>
      <c r="G40" s="66"/>
    </row>
    <row r="41" spans="1:9" hidden="1" x14ac:dyDescent="0.2">
      <c r="A41" s="1943" t="str">
        <f>A10</f>
        <v>HERRAMIENTA MENOR.</v>
      </c>
      <c r="B41" s="1944"/>
      <c r="C41" s="1945"/>
      <c r="D41" s="55">
        <f>D10</f>
        <v>2062.5</v>
      </c>
      <c r="E41" s="51">
        <v>1</v>
      </c>
      <c r="F41" s="55">
        <f>E41*D41</f>
        <v>2062.5</v>
      </c>
      <c r="G41" s="52"/>
    </row>
    <row r="42" spans="1:9" ht="13.5" hidden="1" thickBot="1" x14ac:dyDescent="0.25">
      <c r="A42" s="1926" t="str">
        <f>A11</f>
        <v>ANDAMIO TUBULAR. 1.5 x 1.5</v>
      </c>
      <c r="B42" s="1946"/>
      <c r="C42" s="1927"/>
      <c r="D42" s="57">
        <f>D11</f>
        <v>187.5</v>
      </c>
      <c r="E42" s="56">
        <v>8</v>
      </c>
      <c r="F42" s="57">
        <f>E42*D42</f>
        <v>1500</v>
      </c>
      <c r="G42" s="58"/>
    </row>
    <row r="43" spans="1:9" ht="13.5" hidden="1" thickBot="1" x14ac:dyDescent="0.25">
      <c r="A43" s="1932" t="s">
        <v>125</v>
      </c>
      <c r="B43" s="1933"/>
      <c r="C43" s="1933"/>
      <c r="D43" s="1933"/>
      <c r="E43" s="1933"/>
      <c r="F43" s="1934"/>
      <c r="G43" s="54">
        <f>SUM(F41:F42)</f>
        <v>3562.5</v>
      </c>
    </row>
    <row r="44" spans="1:9" ht="13.5" hidden="1" thickBot="1" x14ac:dyDescent="0.25">
      <c r="A44" s="40" t="s">
        <v>123</v>
      </c>
      <c r="B44" s="37"/>
      <c r="C44" s="37"/>
      <c r="D44" s="37"/>
      <c r="E44" s="37"/>
      <c r="F44" s="37"/>
      <c r="G44" s="37"/>
    </row>
    <row r="45" spans="1:9" s="1" customFormat="1" ht="13.5" hidden="1" thickBot="1" x14ac:dyDescent="0.25">
      <c r="A45" s="2281" t="s">
        <v>109</v>
      </c>
      <c r="B45" s="2282"/>
      <c r="C45" s="426" t="s">
        <v>114</v>
      </c>
      <c r="D45" s="426" t="s">
        <v>115</v>
      </c>
      <c r="E45" s="426" t="s">
        <v>116</v>
      </c>
      <c r="F45" s="426" t="s">
        <v>112</v>
      </c>
      <c r="G45" s="427"/>
    </row>
    <row r="46" spans="1:9" ht="34.5" hidden="1" customHeight="1" x14ac:dyDescent="0.2">
      <c r="A46" s="2284" t="s">
        <v>708</v>
      </c>
      <c r="B46" s="2285"/>
      <c r="C46" s="129" t="s">
        <v>2</v>
      </c>
      <c r="D46" s="130">
        <f>D15</f>
        <v>530000</v>
      </c>
      <c r="E46" s="129">
        <v>1</v>
      </c>
      <c r="F46" s="428">
        <f>D46*E46</f>
        <v>530000</v>
      </c>
      <c r="G46" s="132"/>
      <c r="I46" s="34" t="s">
        <v>709</v>
      </c>
    </row>
    <row r="47" spans="1:9" hidden="1" x14ac:dyDescent="0.2">
      <c r="A47" s="2274" t="s">
        <v>710</v>
      </c>
      <c r="B47" s="2275"/>
      <c r="C47" s="134" t="s">
        <v>2</v>
      </c>
      <c r="D47" s="135">
        <f>D16</f>
        <v>10000</v>
      </c>
      <c r="E47" s="134">
        <v>1</v>
      </c>
      <c r="F47" s="429">
        <f>D47*E47</f>
        <v>10000</v>
      </c>
      <c r="G47" s="137"/>
    </row>
    <row r="48" spans="1:9" ht="34.5" hidden="1" customHeight="1" x14ac:dyDescent="0.2">
      <c r="A48" s="2274" t="s">
        <v>711</v>
      </c>
      <c r="B48" s="2275"/>
      <c r="C48" s="211" t="s">
        <v>2</v>
      </c>
      <c r="D48" s="135">
        <v>1265078</v>
      </c>
      <c r="E48" s="134">
        <v>1</v>
      </c>
      <c r="F48" s="429">
        <f>D48*E48</f>
        <v>1265078</v>
      </c>
      <c r="G48" s="137"/>
    </row>
    <row r="49" spans="1:7" ht="12" hidden="1" customHeight="1" thickBot="1" x14ac:dyDescent="0.25">
      <c r="A49" s="2276" t="s">
        <v>712</v>
      </c>
      <c r="B49" s="2277"/>
      <c r="C49" s="56" t="s">
        <v>12</v>
      </c>
      <c r="D49" s="139">
        <v>276450</v>
      </c>
      <c r="E49" s="56">
        <f>0.2*0.2*0.3*4</f>
        <v>4.8000000000000008E-2</v>
      </c>
      <c r="F49" s="430">
        <f>D49*E49</f>
        <v>13269.600000000002</v>
      </c>
      <c r="G49" s="58"/>
    </row>
    <row r="50" spans="1:7" ht="13.5" hidden="1" thickBot="1" x14ac:dyDescent="0.25">
      <c r="A50" s="2278" t="s">
        <v>125</v>
      </c>
      <c r="B50" s="2279"/>
      <c r="C50" s="2279"/>
      <c r="D50" s="2279"/>
      <c r="E50" s="2279"/>
      <c r="F50" s="2280" t="s">
        <v>113</v>
      </c>
      <c r="G50" s="431">
        <f>SUM(F46:F49)</f>
        <v>1818347.6</v>
      </c>
    </row>
    <row r="51" spans="1:7" ht="13.5" hidden="1" thickBot="1" x14ac:dyDescent="0.25">
      <c r="A51" s="40" t="s">
        <v>117</v>
      </c>
      <c r="B51" s="37"/>
      <c r="C51" s="37"/>
      <c r="D51" s="37"/>
      <c r="E51" s="37"/>
      <c r="F51" s="37"/>
      <c r="G51" s="37"/>
    </row>
    <row r="52" spans="1:7" s="1" customFormat="1" ht="13.5" hidden="1" thickBot="1" x14ac:dyDescent="0.25">
      <c r="A52" s="1922" t="s">
        <v>109</v>
      </c>
      <c r="B52" s="1923"/>
      <c r="C52" s="64" t="s">
        <v>114</v>
      </c>
      <c r="D52" s="64" t="s">
        <v>115</v>
      </c>
      <c r="E52" s="64" t="s">
        <v>116</v>
      </c>
      <c r="F52" s="64" t="s">
        <v>112</v>
      </c>
      <c r="G52" s="67"/>
    </row>
    <row r="53" spans="1:7" hidden="1" x14ac:dyDescent="0.2">
      <c r="A53" s="1943" t="s">
        <v>205</v>
      </c>
      <c r="B53" s="1945"/>
      <c r="C53" s="43" t="s">
        <v>159</v>
      </c>
      <c r="D53" s="55">
        <v>60714.285714285717</v>
      </c>
      <c r="E53" s="419">
        <v>1</v>
      </c>
      <c r="F53" s="42">
        <f>D53*E53</f>
        <v>60714.285714285717</v>
      </c>
      <c r="G53" s="52"/>
    </row>
    <row r="54" spans="1:7" ht="13.5" hidden="1" thickBot="1" x14ac:dyDescent="0.25">
      <c r="A54" s="1930"/>
      <c r="B54" s="1931"/>
      <c r="C54" s="62"/>
      <c r="D54" s="43"/>
      <c r="E54" s="57"/>
      <c r="F54" s="57">
        <f>D54*E54</f>
        <v>0</v>
      </c>
      <c r="G54" s="68"/>
    </row>
    <row r="55" spans="1:7" ht="13.5" hidden="1" thickBot="1" x14ac:dyDescent="0.25">
      <c r="A55" s="1932" t="s">
        <v>125</v>
      </c>
      <c r="B55" s="1933"/>
      <c r="C55" s="1933"/>
      <c r="D55" s="1933"/>
      <c r="E55" s="1933"/>
      <c r="F55" s="1934" t="s">
        <v>113</v>
      </c>
      <c r="G55" s="54">
        <f>SUM(F53:F54)</f>
        <v>60714.285714285717</v>
      </c>
    </row>
    <row r="56" spans="1:7" ht="13.5" hidden="1" thickBot="1" x14ac:dyDescent="0.25">
      <c r="A56" s="40" t="s">
        <v>119</v>
      </c>
      <c r="B56" s="37"/>
      <c r="C56" s="37"/>
      <c r="D56" s="37"/>
      <c r="E56" s="37"/>
      <c r="F56" s="37"/>
      <c r="G56" s="37"/>
    </row>
    <row r="57" spans="1:7" ht="13.5" hidden="1" thickBot="1" x14ac:dyDescent="0.25">
      <c r="A57" s="1922" t="s">
        <v>120</v>
      </c>
      <c r="B57" s="1923"/>
      <c r="C57" s="63" t="s">
        <v>121</v>
      </c>
      <c r="D57" s="64" t="s">
        <v>116</v>
      </c>
      <c r="E57" s="64" t="s">
        <v>111</v>
      </c>
      <c r="F57" s="64" t="s">
        <v>112</v>
      </c>
      <c r="G57" s="71"/>
    </row>
    <row r="58" spans="1:7" hidden="1" x14ac:dyDescent="0.2">
      <c r="A58" s="2255" t="str">
        <f>A27</f>
        <v>Oficial (Incl. Prestaciones)</v>
      </c>
      <c r="B58" s="2256"/>
      <c r="C58" s="74">
        <f>C27</f>
        <v>7410.9600847008996</v>
      </c>
      <c r="D58" s="420">
        <v>1</v>
      </c>
      <c r="E58" s="421">
        <v>10</v>
      </c>
      <c r="F58" s="422">
        <f>E58*D58*C58</f>
        <v>74109.600847009002</v>
      </c>
      <c r="G58" s="52"/>
    </row>
    <row r="59" spans="1:7" ht="13.5" hidden="1" thickBot="1" x14ac:dyDescent="0.25">
      <c r="A59" s="2252" t="str">
        <f>A28</f>
        <v>Ayudante (Incl. Prestaciones)</v>
      </c>
      <c r="B59" s="1927"/>
      <c r="C59" s="73">
        <f>C28</f>
        <v>4374.7823749999998</v>
      </c>
      <c r="D59" s="423">
        <v>2</v>
      </c>
      <c r="E59" s="424">
        <f>E58</f>
        <v>10</v>
      </c>
      <c r="F59" s="425">
        <f>E59*D59*C59</f>
        <v>87495.647499999992</v>
      </c>
      <c r="G59" s="58"/>
    </row>
    <row r="60" spans="1:7" ht="13.5" hidden="1" thickBot="1" x14ac:dyDescent="0.25">
      <c r="A60" s="1932" t="str">
        <f>+A55</f>
        <v>SUB-TOTAL</v>
      </c>
      <c r="B60" s="1933"/>
      <c r="C60" s="1933"/>
      <c r="D60" s="1933"/>
      <c r="E60" s="1933"/>
      <c r="F60" s="1934" t="s">
        <v>113</v>
      </c>
      <c r="G60" s="54">
        <f>SUM(F58:F59)</f>
        <v>161605.24834700901</v>
      </c>
    </row>
    <row r="61" spans="1:7" ht="11.25" hidden="1" customHeight="1" thickBot="1" x14ac:dyDescent="0.25">
      <c r="A61" s="37"/>
      <c r="B61" s="37"/>
      <c r="C61" s="37"/>
      <c r="D61" s="37"/>
      <c r="E61" s="37"/>
      <c r="F61" s="45"/>
      <c r="G61" s="37"/>
    </row>
    <row r="62" spans="1:7" ht="13.5" hidden="1" thickBot="1" x14ac:dyDescent="0.25">
      <c r="A62" s="1932" t="s">
        <v>156</v>
      </c>
      <c r="B62" s="1933"/>
      <c r="C62" s="1933"/>
      <c r="D62" s="1933"/>
      <c r="E62" s="1933"/>
      <c r="F62" s="1934"/>
      <c r="G62" s="72">
        <f>ROUND(G43+G50+G55+G60,0)</f>
        <v>2044230</v>
      </c>
    </row>
    <row r="63" spans="1:7" ht="13.5" hidden="1" thickBot="1" x14ac:dyDescent="0.25"/>
    <row r="64" spans="1:7" ht="27" hidden="1" customHeight="1" x14ac:dyDescent="0.2">
      <c r="A64" s="1935" t="s">
        <v>122</v>
      </c>
      <c r="B64" s="1936"/>
      <c r="C64" s="1937"/>
      <c r="D64" s="50"/>
      <c r="E64" s="46"/>
      <c r="F64" s="46"/>
      <c r="G64" s="47"/>
    </row>
    <row r="65" spans="1:9" ht="24" hidden="1" customHeight="1" thickBot="1" x14ac:dyDescent="0.25">
      <c r="A65" s="1938" t="s">
        <v>935</v>
      </c>
      <c r="B65" s="1939"/>
      <c r="C65" s="1940"/>
      <c r="D65" s="48"/>
      <c r="E65" s="48"/>
      <c r="F65" s="48"/>
      <c r="G65" s="49"/>
    </row>
    <row r="66" spans="1:9" ht="13.5" hidden="1" thickBot="1" x14ac:dyDescent="0.25">
      <c r="A66" s="37"/>
      <c r="B66" s="37"/>
      <c r="C66" s="37"/>
      <c r="D66" s="37"/>
      <c r="E66" s="37"/>
      <c r="F66" s="37"/>
      <c r="G66" s="37"/>
    </row>
    <row r="67" spans="1:9" ht="70.5" hidden="1" customHeight="1" thickBot="1" x14ac:dyDescent="0.25">
      <c r="A67" s="1558" t="s">
        <v>936</v>
      </c>
      <c r="B67" s="1559"/>
      <c r="C67" s="1560"/>
      <c r="D67" s="1565" t="s">
        <v>713</v>
      </c>
      <c r="E67" s="1559"/>
      <c r="F67" s="1559"/>
      <c r="G67" s="1560"/>
    </row>
    <row r="68" spans="1:9" ht="13.5" hidden="1" thickBot="1" x14ac:dyDescent="0.25">
      <c r="A68" s="38"/>
      <c r="B68" s="38"/>
      <c r="C68" s="38"/>
      <c r="D68" s="38"/>
      <c r="E68" s="38"/>
      <c r="F68" s="38"/>
      <c r="G68" s="38"/>
    </row>
    <row r="69" spans="1:9" ht="12.75" hidden="1" customHeight="1" thickBot="1" x14ac:dyDescent="0.25">
      <c r="A69" s="39"/>
      <c r="B69" s="37"/>
      <c r="D69" s="60" t="s">
        <v>124</v>
      </c>
      <c r="E69" s="61" t="s">
        <v>6</v>
      </c>
      <c r="F69" s="59"/>
      <c r="G69" s="59"/>
      <c r="I69" s="432"/>
    </row>
    <row r="70" spans="1:9" ht="13.5" hidden="1" thickBot="1" x14ac:dyDescent="0.25">
      <c r="A70" s="40" t="s">
        <v>108</v>
      </c>
      <c r="B70" s="37"/>
      <c r="C70" s="37"/>
      <c r="D70" s="37"/>
      <c r="E70" s="37"/>
      <c r="F70" s="37"/>
      <c r="G70" s="37"/>
      <c r="I70" s="432"/>
    </row>
    <row r="71" spans="1:9" s="1" customFormat="1" ht="13.5" hidden="1" customHeight="1" thickBot="1" x14ac:dyDescent="0.25">
      <c r="A71" s="1530" t="s">
        <v>109</v>
      </c>
      <c r="B71" s="1554"/>
      <c r="C71" s="1531"/>
      <c r="D71" s="64" t="s">
        <v>110</v>
      </c>
      <c r="E71" s="64" t="s">
        <v>111</v>
      </c>
      <c r="F71" s="63" t="s">
        <v>112</v>
      </c>
      <c r="G71" s="66"/>
    </row>
    <row r="72" spans="1:9" hidden="1" x14ac:dyDescent="0.2">
      <c r="A72" s="1943" t="str">
        <f>A41</f>
        <v>HERRAMIENTA MENOR.</v>
      </c>
      <c r="B72" s="1944"/>
      <c r="C72" s="1945"/>
      <c r="D72" s="55">
        <f>D41</f>
        <v>2062.5</v>
      </c>
      <c r="E72" s="80">
        <f>E89</f>
        <v>0.05</v>
      </c>
      <c r="F72" s="55">
        <f>E72*D72</f>
        <v>103.125</v>
      </c>
      <c r="G72" s="52"/>
    </row>
    <row r="73" spans="1:9" ht="13.5" hidden="1" thickBot="1" x14ac:dyDescent="0.25">
      <c r="A73" s="1926" t="s">
        <v>137</v>
      </c>
      <c r="B73" s="1946"/>
      <c r="C73" s="1927"/>
      <c r="D73" s="57">
        <v>15000</v>
      </c>
      <c r="E73" s="81">
        <f>E72</f>
        <v>0.05</v>
      </c>
      <c r="F73" s="57">
        <f>D73*E73</f>
        <v>750</v>
      </c>
      <c r="G73" s="58"/>
    </row>
    <row r="74" spans="1:9" ht="13.5" hidden="1" thickBot="1" x14ac:dyDescent="0.25">
      <c r="A74" s="1932" t="s">
        <v>125</v>
      </c>
      <c r="B74" s="1933"/>
      <c r="C74" s="1933"/>
      <c r="D74" s="1933"/>
      <c r="E74" s="1933"/>
      <c r="F74" s="1934"/>
      <c r="G74" s="54">
        <f>SUM(F72:F73)</f>
        <v>853.125</v>
      </c>
    </row>
    <row r="75" spans="1:9" ht="13.5" hidden="1" thickBot="1" x14ac:dyDescent="0.25">
      <c r="A75" s="40" t="s">
        <v>123</v>
      </c>
      <c r="B75" s="37"/>
      <c r="C75" s="37"/>
      <c r="D75" s="37"/>
      <c r="E75" s="37"/>
      <c r="F75" s="37"/>
      <c r="G75" s="37"/>
    </row>
    <row r="76" spans="1:9" s="1" customFormat="1" ht="13.5" hidden="1" thickBot="1" x14ac:dyDescent="0.25">
      <c r="A76" s="2281" t="s">
        <v>109</v>
      </c>
      <c r="B76" s="2282"/>
      <c r="C76" s="426" t="s">
        <v>114</v>
      </c>
      <c r="D76" s="426" t="s">
        <v>115</v>
      </c>
      <c r="E76" s="426" t="s">
        <v>116</v>
      </c>
      <c r="F76" s="426" t="s">
        <v>112</v>
      </c>
      <c r="G76" s="427"/>
    </row>
    <row r="77" spans="1:9" ht="14.25" hidden="1" customHeight="1" x14ac:dyDescent="0.2">
      <c r="A77" s="1540" t="s">
        <v>93</v>
      </c>
      <c r="B77" s="1541"/>
      <c r="C77" s="129" t="s">
        <v>64</v>
      </c>
      <c r="D77" s="130">
        <v>51500</v>
      </c>
      <c r="E77" s="129">
        <v>8.9999999999999993E-3</v>
      </c>
      <c r="F77" s="428">
        <f>D77*E77</f>
        <v>463.49999999999994</v>
      </c>
      <c r="G77" s="132"/>
      <c r="I77" s="34" t="s">
        <v>709</v>
      </c>
    </row>
    <row r="78" spans="1:9" hidden="1" x14ac:dyDescent="0.2">
      <c r="A78" s="2274"/>
      <c r="B78" s="2275"/>
      <c r="C78" s="134"/>
      <c r="D78" s="135"/>
      <c r="E78" s="134"/>
      <c r="F78" s="429"/>
      <c r="G78" s="137"/>
    </row>
    <row r="79" spans="1:9" ht="34.5" hidden="1" customHeight="1" x14ac:dyDescent="0.2">
      <c r="A79" s="2274"/>
      <c r="B79" s="2275"/>
      <c r="C79" s="211"/>
      <c r="D79" s="135"/>
      <c r="E79" s="134"/>
      <c r="F79" s="429"/>
      <c r="G79" s="137"/>
    </row>
    <row r="80" spans="1:9" ht="12" hidden="1" customHeight="1" thickBot="1" x14ac:dyDescent="0.25">
      <c r="A80" s="2276"/>
      <c r="B80" s="2277"/>
      <c r="C80" s="56"/>
      <c r="D80" s="139"/>
      <c r="E80" s="56"/>
      <c r="F80" s="430"/>
      <c r="G80" s="58"/>
    </row>
    <row r="81" spans="1:9" ht="13.5" hidden="1" thickBot="1" x14ac:dyDescent="0.25">
      <c r="A81" s="2278" t="s">
        <v>125</v>
      </c>
      <c r="B81" s="2279"/>
      <c r="C81" s="2279"/>
      <c r="D81" s="2279"/>
      <c r="E81" s="2279"/>
      <c r="F81" s="2280" t="s">
        <v>113</v>
      </c>
      <c r="G81" s="431">
        <f>SUM(F77:F80)</f>
        <v>463.49999999999994</v>
      </c>
    </row>
    <row r="82" spans="1:9" ht="13.5" hidden="1" thickBot="1" x14ac:dyDescent="0.25">
      <c r="A82" s="40" t="s">
        <v>117</v>
      </c>
      <c r="B82" s="37"/>
      <c r="C82" s="37"/>
      <c r="D82" s="37"/>
      <c r="E82" s="37"/>
      <c r="F82" s="37"/>
      <c r="G82" s="37"/>
    </row>
    <row r="83" spans="1:9" s="1" customFormat="1" ht="13.5" hidden="1" thickBot="1" x14ac:dyDescent="0.25">
      <c r="A83" s="1922" t="s">
        <v>109</v>
      </c>
      <c r="B83" s="1923"/>
      <c r="C83" s="64" t="s">
        <v>114</v>
      </c>
      <c r="D83" s="64" t="s">
        <v>115</v>
      </c>
      <c r="E83" s="64" t="s">
        <v>116</v>
      </c>
      <c r="F83" s="64" t="s">
        <v>112</v>
      </c>
      <c r="G83" s="67"/>
    </row>
    <row r="84" spans="1:9" hidden="1" x14ac:dyDescent="0.2">
      <c r="A84" s="1943" t="e">
        <v>#REF!</v>
      </c>
      <c r="B84" s="1945"/>
      <c r="C84" s="43" t="e">
        <v>#REF!</v>
      </c>
      <c r="D84" s="55" t="e">
        <v>#REF!</v>
      </c>
      <c r="E84" s="419">
        <v>0</v>
      </c>
      <c r="F84" s="42" t="e">
        <f>D84*E84</f>
        <v>#REF!</v>
      </c>
      <c r="G84" s="52"/>
    </row>
    <row r="85" spans="1:9" ht="13.5" hidden="1" thickBot="1" x14ac:dyDescent="0.25">
      <c r="A85" s="1930"/>
      <c r="B85" s="1931"/>
      <c r="C85" s="62"/>
      <c r="D85" s="43"/>
      <c r="E85" s="57"/>
      <c r="F85" s="57">
        <f>D85*E85</f>
        <v>0</v>
      </c>
      <c r="G85" s="68"/>
    </row>
    <row r="86" spans="1:9" ht="13.5" hidden="1" thickBot="1" x14ac:dyDescent="0.25">
      <c r="A86" s="1932" t="s">
        <v>125</v>
      </c>
      <c r="B86" s="1933"/>
      <c r="C86" s="1933"/>
      <c r="D86" s="1933"/>
      <c r="E86" s="1933"/>
      <c r="F86" s="1934" t="s">
        <v>113</v>
      </c>
      <c r="G86" s="54" t="e">
        <f>SUM(F84:F85)</f>
        <v>#REF!</v>
      </c>
    </row>
    <row r="87" spans="1:9" ht="13.5" hidden="1" thickBot="1" x14ac:dyDescent="0.25">
      <c r="A87" s="40" t="s">
        <v>119</v>
      </c>
      <c r="B87" s="37"/>
      <c r="C87" s="37"/>
      <c r="D87" s="37"/>
      <c r="E87" s="37"/>
      <c r="F87" s="37"/>
      <c r="G87" s="37"/>
    </row>
    <row r="88" spans="1:9" ht="13.5" hidden="1" thickBot="1" x14ac:dyDescent="0.25">
      <c r="A88" s="1922" t="s">
        <v>120</v>
      </c>
      <c r="B88" s="1923"/>
      <c r="C88" s="63" t="s">
        <v>121</v>
      </c>
      <c r="D88" s="64" t="s">
        <v>116</v>
      </c>
      <c r="E88" s="64" t="s">
        <v>111</v>
      </c>
      <c r="F88" s="64" t="s">
        <v>112</v>
      </c>
      <c r="G88" s="71"/>
    </row>
    <row r="89" spans="1:9" hidden="1" x14ac:dyDescent="0.2">
      <c r="A89" s="2255" t="str">
        <f>A58</f>
        <v>Oficial (Incl. Prestaciones)</v>
      </c>
      <c r="B89" s="2256"/>
      <c r="C89" s="74">
        <f>C58</f>
        <v>7410.9600847008996</v>
      </c>
      <c r="D89" s="420">
        <v>1</v>
      </c>
      <c r="E89" s="421">
        <v>0.05</v>
      </c>
      <c r="F89" s="422">
        <f>E89*D89*C89</f>
        <v>370.54800423504503</v>
      </c>
      <c r="G89" s="52"/>
    </row>
    <row r="90" spans="1:9" ht="13.5" hidden="1" thickBot="1" x14ac:dyDescent="0.25">
      <c r="A90" s="2252" t="str">
        <f>A59</f>
        <v>Ayudante (Incl. Prestaciones)</v>
      </c>
      <c r="B90" s="1927"/>
      <c r="C90" s="73">
        <f>C59</f>
        <v>4374.7823749999998</v>
      </c>
      <c r="D90" s="423">
        <v>2</v>
      </c>
      <c r="E90" s="424">
        <f>E89</f>
        <v>0.05</v>
      </c>
      <c r="F90" s="425">
        <f>E90*D90*C90</f>
        <v>437.47823749999998</v>
      </c>
      <c r="G90" s="58"/>
    </row>
    <row r="91" spans="1:9" ht="13.5" hidden="1" thickBot="1" x14ac:dyDescent="0.25">
      <c r="A91" s="1932" t="str">
        <f>+A86</f>
        <v>SUB-TOTAL</v>
      </c>
      <c r="B91" s="1933"/>
      <c r="C91" s="1933"/>
      <c r="D91" s="1933"/>
      <c r="E91" s="1933"/>
      <c r="F91" s="1934" t="s">
        <v>113</v>
      </c>
      <c r="G91" s="54">
        <f>SUM(F89:F90)</f>
        <v>808.02624173504501</v>
      </c>
    </row>
    <row r="92" spans="1:9" ht="11.25" hidden="1" customHeight="1" thickBot="1" x14ac:dyDescent="0.25">
      <c r="A92" s="37"/>
      <c r="B92" s="37"/>
      <c r="C92" s="37"/>
      <c r="D92" s="37"/>
      <c r="E92" s="37"/>
      <c r="F92" s="45"/>
      <c r="G92" s="37"/>
    </row>
    <row r="93" spans="1:9" ht="13.5" hidden="1" thickBot="1" x14ac:dyDescent="0.25">
      <c r="A93" s="1932" t="s">
        <v>156</v>
      </c>
      <c r="B93" s="1933"/>
      <c r="C93" s="1933"/>
      <c r="D93" s="1933"/>
      <c r="E93" s="1933"/>
      <c r="F93" s="1934"/>
      <c r="G93" s="72" t="e">
        <f>ROUND(G74+G81+G86+G91,0)</f>
        <v>#REF!</v>
      </c>
      <c r="I93" s="433"/>
    </row>
    <row r="94" spans="1:9" ht="13.5" hidden="1" thickBot="1" x14ac:dyDescent="0.25"/>
    <row r="95" spans="1:9" ht="27" hidden="1" customHeight="1" x14ac:dyDescent="0.2">
      <c r="A95" s="1935" t="s">
        <v>122</v>
      </c>
      <c r="B95" s="1936"/>
      <c r="C95" s="1937"/>
      <c r="D95" s="50"/>
      <c r="E95" s="46"/>
      <c r="F95" s="46"/>
      <c r="G95" s="47"/>
    </row>
    <row r="96" spans="1:9" ht="24" hidden="1" customHeight="1" thickBot="1" x14ac:dyDescent="0.25">
      <c r="A96" s="1938" t="s">
        <v>935</v>
      </c>
      <c r="B96" s="1939"/>
      <c r="C96" s="1940"/>
      <c r="D96" s="48"/>
      <c r="E96" s="48"/>
      <c r="F96" s="48"/>
      <c r="G96" s="49"/>
    </row>
    <row r="97" spans="1:9" ht="13.5" hidden="1" thickBot="1" x14ac:dyDescent="0.25">
      <c r="A97" s="37"/>
      <c r="B97" s="37"/>
      <c r="C97" s="37"/>
      <c r="D97" s="37"/>
      <c r="E97" s="37"/>
      <c r="F97" s="37"/>
      <c r="G97" s="37"/>
    </row>
    <row r="98" spans="1:9" ht="70.5" hidden="1" customHeight="1" thickBot="1" x14ac:dyDescent="0.25">
      <c r="A98" s="1558" t="s">
        <v>936</v>
      </c>
      <c r="B98" s="1559"/>
      <c r="C98" s="1560"/>
      <c r="D98" s="1565" t="s">
        <v>714</v>
      </c>
      <c r="E98" s="1559"/>
      <c r="F98" s="1559"/>
      <c r="G98" s="1560"/>
    </row>
    <row r="99" spans="1:9" ht="13.5" hidden="1" thickBot="1" x14ac:dyDescent="0.25">
      <c r="A99" s="38"/>
      <c r="B99" s="38"/>
      <c r="C99" s="38"/>
      <c r="D99" s="38"/>
      <c r="E99" s="38"/>
      <c r="F99" s="38"/>
      <c r="G99" s="38"/>
    </row>
    <row r="100" spans="1:9" ht="12.75" hidden="1" customHeight="1" thickBot="1" x14ac:dyDescent="0.25">
      <c r="A100" s="39"/>
      <c r="B100" s="37"/>
      <c r="D100" s="60" t="s">
        <v>124</v>
      </c>
      <c r="E100" s="61" t="s">
        <v>4</v>
      </c>
      <c r="F100" s="59"/>
      <c r="G100" s="59"/>
      <c r="I100" s="432"/>
    </row>
    <row r="101" spans="1:9" ht="13.5" hidden="1" thickBot="1" x14ac:dyDescent="0.25">
      <c r="A101" s="40" t="s">
        <v>108</v>
      </c>
      <c r="B101" s="37"/>
      <c r="C101" s="37"/>
      <c r="D101" s="37"/>
      <c r="E101" s="37"/>
      <c r="F101" s="37"/>
      <c r="G101" s="37"/>
      <c r="I101" s="432"/>
    </row>
    <row r="102" spans="1:9" s="1" customFormat="1" ht="13.5" hidden="1" customHeight="1" thickBot="1" x14ac:dyDescent="0.25">
      <c r="A102" s="1530" t="s">
        <v>109</v>
      </c>
      <c r="B102" s="1554"/>
      <c r="C102" s="1531"/>
      <c r="D102" s="64" t="s">
        <v>110</v>
      </c>
      <c r="E102" s="64" t="s">
        <v>111</v>
      </c>
      <c r="F102" s="63" t="s">
        <v>112</v>
      </c>
      <c r="G102" s="66"/>
    </row>
    <row r="103" spans="1:9" hidden="1" x14ac:dyDescent="0.2">
      <c r="A103" s="1943" t="str">
        <f>A72</f>
        <v>HERRAMIENTA MENOR.</v>
      </c>
      <c r="B103" s="1944"/>
      <c r="C103" s="1945"/>
      <c r="D103" s="55">
        <f>D72</f>
        <v>2062.5</v>
      </c>
      <c r="E103" s="80">
        <v>0.3</v>
      </c>
      <c r="F103" s="55">
        <f>E103*D103</f>
        <v>618.75</v>
      </c>
      <c r="G103" s="52"/>
    </row>
    <row r="104" spans="1:9" ht="13.5" hidden="1" thickBot="1" x14ac:dyDescent="0.25">
      <c r="A104" s="1926"/>
      <c r="B104" s="1946"/>
      <c r="C104" s="1927"/>
      <c r="D104" s="57"/>
      <c r="E104" s="81"/>
      <c r="F104" s="57"/>
      <c r="G104" s="58"/>
    </row>
    <row r="105" spans="1:9" ht="13.5" hidden="1" thickBot="1" x14ac:dyDescent="0.25">
      <c r="A105" s="1932" t="s">
        <v>125</v>
      </c>
      <c r="B105" s="1933"/>
      <c r="C105" s="1933"/>
      <c r="D105" s="1933"/>
      <c r="E105" s="1933"/>
      <c r="F105" s="1934"/>
      <c r="G105" s="54">
        <f>SUM(F103:F104)</f>
        <v>618.75</v>
      </c>
    </row>
    <row r="106" spans="1:9" ht="13.5" hidden="1" thickBot="1" x14ac:dyDescent="0.25">
      <c r="A106" s="40" t="s">
        <v>123</v>
      </c>
      <c r="B106" s="37"/>
      <c r="C106" s="37"/>
      <c r="D106" s="37"/>
      <c r="E106" s="37"/>
      <c r="F106" s="37"/>
      <c r="G106" s="37"/>
    </row>
    <row r="107" spans="1:9" s="1" customFormat="1" ht="13.5" hidden="1" thickBot="1" x14ac:dyDescent="0.25">
      <c r="A107" s="2281" t="s">
        <v>109</v>
      </c>
      <c r="B107" s="2282"/>
      <c r="C107" s="426" t="s">
        <v>114</v>
      </c>
      <c r="D107" s="426" t="s">
        <v>115</v>
      </c>
      <c r="E107" s="426" t="s">
        <v>116</v>
      </c>
      <c r="F107" s="426" t="s">
        <v>112</v>
      </c>
      <c r="G107" s="427"/>
    </row>
    <row r="108" spans="1:9" ht="25.5" hidden="1" customHeight="1" x14ac:dyDescent="0.2">
      <c r="A108" s="1540" t="s">
        <v>952</v>
      </c>
      <c r="B108" s="1541"/>
      <c r="C108" s="129" t="s">
        <v>4</v>
      </c>
      <c r="D108" s="130">
        <v>4073</v>
      </c>
      <c r="E108" s="129">
        <v>1</v>
      </c>
      <c r="F108" s="428">
        <f>D108*E108</f>
        <v>4073</v>
      </c>
      <c r="G108" s="132"/>
      <c r="I108" s="34" t="s">
        <v>709</v>
      </c>
    </row>
    <row r="109" spans="1:9" hidden="1" x14ac:dyDescent="0.2">
      <c r="A109" s="2274"/>
      <c r="B109" s="2275"/>
      <c r="C109" s="134"/>
      <c r="D109" s="135"/>
      <c r="E109" s="134"/>
      <c r="F109" s="429"/>
      <c r="G109" s="137"/>
    </row>
    <row r="110" spans="1:9" ht="15.75" hidden="1" customHeight="1" x14ac:dyDescent="0.2">
      <c r="A110" s="2274"/>
      <c r="B110" s="2275"/>
      <c r="C110" s="211"/>
      <c r="D110" s="135"/>
      <c r="E110" s="134"/>
      <c r="F110" s="429"/>
      <c r="G110" s="137"/>
    </row>
    <row r="111" spans="1:9" ht="12" hidden="1" customHeight="1" thickBot="1" x14ac:dyDescent="0.25">
      <c r="A111" s="2276"/>
      <c r="B111" s="2277"/>
      <c r="C111" s="56"/>
      <c r="D111" s="139"/>
      <c r="E111" s="56"/>
      <c r="F111" s="430"/>
      <c r="G111" s="58"/>
    </row>
    <row r="112" spans="1:9" ht="13.5" hidden="1" thickBot="1" x14ac:dyDescent="0.25">
      <c r="A112" s="2278" t="s">
        <v>125</v>
      </c>
      <c r="B112" s="2279"/>
      <c r="C112" s="2279"/>
      <c r="D112" s="2279"/>
      <c r="E112" s="2279"/>
      <c r="F112" s="2280" t="s">
        <v>113</v>
      </c>
      <c r="G112" s="431">
        <f>SUM(F108:F111)</f>
        <v>4073</v>
      </c>
    </row>
    <row r="113" spans="1:9" ht="13.5" hidden="1" thickBot="1" x14ac:dyDescent="0.25">
      <c r="A113" s="40" t="s">
        <v>117</v>
      </c>
      <c r="B113" s="37"/>
      <c r="C113" s="37"/>
      <c r="D113" s="37"/>
      <c r="E113" s="37"/>
      <c r="F113" s="37"/>
      <c r="G113" s="37"/>
    </row>
    <row r="114" spans="1:9" s="1" customFormat="1" ht="13.5" hidden="1" thickBot="1" x14ac:dyDescent="0.25">
      <c r="A114" s="1922" t="s">
        <v>109</v>
      </c>
      <c r="B114" s="1923"/>
      <c r="C114" s="64" t="s">
        <v>114</v>
      </c>
      <c r="D114" s="64" t="s">
        <v>115</v>
      </c>
      <c r="E114" s="64" t="s">
        <v>116</v>
      </c>
      <c r="F114" s="64" t="s">
        <v>112</v>
      </c>
      <c r="G114" s="67"/>
    </row>
    <row r="115" spans="1:9" hidden="1" x14ac:dyDescent="0.2">
      <c r="A115" s="1943" t="e">
        <v>#REF!</v>
      </c>
      <c r="B115" s="1945"/>
      <c r="C115" s="43" t="e">
        <v>#REF!</v>
      </c>
      <c r="D115" s="55" t="e">
        <v>#REF!</v>
      </c>
      <c r="E115" s="419">
        <v>0</v>
      </c>
      <c r="F115" s="42" t="e">
        <f>D115*E115</f>
        <v>#REF!</v>
      </c>
      <c r="G115" s="52"/>
    </row>
    <row r="116" spans="1:9" ht="13.5" hidden="1" thickBot="1" x14ac:dyDescent="0.25">
      <c r="A116" s="1930"/>
      <c r="B116" s="1931"/>
      <c r="C116" s="62"/>
      <c r="D116" s="43"/>
      <c r="E116" s="57"/>
      <c r="F116" s="57">
        <f>D116*E116</f>
        <v>0</v>
      </c>
      <c r="G116" s="68"/>
    </row>
    <row r="117" spans="1:9" ht="13.5" hidden="1" thickBot="1" x14ac:dyDescent="0.25">
      <c r="A117" s="1932" t="s">
        <v>125</v>
      </c>
      <c r="B117" s="1933"/>
      <c r="C117" s="1933"/>
      <c r="D117" s="1933"/>
      <c r="E117" s="1933"/>
      <c r="F117" s="1934" t="s">
        <v>113</v>
      </c>
      <c r="G117" s="54" t="e">
        <f>SUM(F115:F116)</f>
        <v>#REF!</v>
      </c>
    </row>
    <row r="118" spans="1:9" ht="13.5" hidden="1" thickBot="1" x14ac:dyDescent="0.25">
      <c r="A118" s="40" t="s">
        <v>119</v>
      </c>
      <c r="B118" s="37"/>
      <c r="C118" s="37"/>
      <c r="D118" s="37"/>
      <c r="E118" s="37"/>
      <c r="F118" s="37"/>
      <c r="G118" s="37"/>
    </row>
    <row r="119" spans="1:9" ht="13.5" hidden="1" thickBot="1" x14ac:dyDescent="0.25">
      <c r="A119" s="1922" t="s">
        <v>120</v>
      </c>
      <c r="B119" s="1923"/>
      <c r="C119" s="63" t="s">
        <v>121</v>
      </c>
      <c r="D119" s="64" t="s">
        <v>116</v>
      </c>
      <c r="E119" s="64" t="s">
        <v>111</v>
      </c>
      <c r="F119" s="64" t="s">
        <v>112</v>
      </c>
      <c r="G119" s="71"/>
    </row>
    <row r="120" spans="1:9" hidden="1" x14ac:dyDescent="0.2">
      <c r="A120" s="2255" t="str">
        <f>A89</f>
        <v>Oficial (Incl. Prestaciones)</v>
      </c>
      <c r="B120" s="2256"/>
      <c r="C120" s="74">
        <f>C89</f>
        <v>7410.9600847008996</v>
      </c>
      <c r="D120" s="420">
        <v>1</v>
      </c>
      <c r="E120" s="421">
        <v>0.05</v>
      </c>
      <c r="F120" s="422">
        <f>E120*D120*C120</f>
        <v>370.54800423504503</v>
      </c>
      <c r="G120" s="52"/>
    </row>
    <row r="121" spans="1:9" ht="13.5" hidden="1" thickBot="1" x14ac:dyDescent="0.25">
      <c r="A121" s="2252" t="str">
        <f>A90</f>
        <v>Ayudante (Incl. Prestaciones)</v>
      </c>
      <c r="B121" s="1927"/>
      <c r="C121" s="73">
        <f>C90</f>
        <v>4374.7823749999998</v>
      </c>
      <c r="D121" s="423">
        <v>2</v>
      </c>
      <c r="E121" s="424">
        <f>E120</f>
        <v>0.05</v>
      </c>
      <c r="F121" s="425">
        <f>E121*D121*C121</f>
        <v>437.47823749999998</v>
      </c>
      <c r="G121" s="58"/>
    </row>
    <row r="122" spans="1:9" ht="13.5" hidden="1" thickBot="1" x14ac:dyDescent="0.25">
      <c r="A122" s="1932" t="str">
        <f>+A117</f>
        <v>SUB-TOTAL</v>
      </c>
      <c r="B122" s="1933"/>
      <c r="C122" s="1933"/>
      <c r="D122" s="1933"/>
      <c r="E122" s="1933"/>
      <c r="F122" s="1934" t="s">
        <v>113</v>
      </c>
      <c r="G122" s="54">
        <f>SUM(F120:F121)</f>
        <v>808.02624173504501</v>
      </c>
    </row>
    <row r="123" spans="1:9" ht="11.25" hidden="1" customHeight="1" thickBot="1" x14ac:dyDescent="0.25">
      <c r="A123" s="37"/>
      <c r="B123" s="37"/>
      <c r="C123" s="37"/>
      <c r="D123" s="37"/>
      <c r="E123" s="37"/>
      <c r="F123" s="45"/>
      <c r="G123" s="37"/>
    </row>
    <row r="124" spans="1:9" ht="13.5" hidden="1" thickBot="1" x14ac:dyDescent="0.25">
      <c r="A124" s="1932" t="s">
        <v>156</v>
      </c>
      <c r="B124" s="1933"/>
      <c r="C124" s="1933"/>
      <c r="D124" s="1933"/>
      <c r="E124" s="1933"/>
      <c r="F124" s="1934"/>
      <c r="G124" s="72" t="e">
        <f>ROUND(G105+G112+G117+G122,0)</f>
        <v>#REF!</v>
      </c>
      <c r="I124" s="433"/>
    </row>
    <row r="125" spans="1:9" ht="13.5" hidden="1" thickBot="1" x14ac:dyDescent="0.25"/>
    <row r="126" spans="1:9" ht="27" hidden="1" customHeight="1" x14ac:dyDescent="0.2">
      <c r="A126" s="1935" t="s">
        <v>122</v>
      </c>
      <c r="B126" s="1936"/>
      <c r="C126" s="1937"/>
      <c r="D126" s="50"/>
      <c r="E126" s="46"/>
      <c r="F126" s="46"/>
      <c r="G126" s="47"/>
    </row>
    <row r="127" spans="1:9" ht="24" hidden="1" customHeight="1" thickBot="1" x14ac:dyDescent="0.25">
      <c r="A127" s="1938" t="s">
        <v>935</v>
      </c>
      <c r="B127" s="1939"/>
      <c r="C127" s="1940"/>
      <c r="D127" s="48"/>
      <c r="E127" s="48"/>
      <c r="F127" s="48"/>
      <c r="G127" s="49"/>
    </row>
    <row r="128" spans="1:9" ht="13.5" hidden="1" thickBot="1" x14ac:dyDescent="0.25">
      <c r="A128" s="37"/>
      <c r="B128" s="37"/>
      <c r="C128" s="37"/>
      <c r="D128" s="37"/>
      <c r="E128" s="37"/>
      <c r="F128" s="37"/>
      <c r="G128" s="37"/>
    </row>
    <row r="129" spans="1:9" ht="70.5" hidden="1" customHeight="1" thickBot="1" x14ac:dyDescent="0.25">
      <c r="A129" s="1558" t="s">
        <v>936</v>
      </c>
      <c r="B129" s="1559"/>
      <c r="C129" s="1560"/>
      <c r="D129" s="1565" t="s">
        <v>715</v>
      </c>
      <c r="E129" s="1559"/>
      <c r="F129" s="1559"/>
      <c r="G129" s="1560"/>
    </row>
    <row r="130" spans="1:9" ht="13.5" hidden="1" thickBot="1" x14ac:dyDescent="0.25">
      <c r="A130" s="38"/>
      <c r="B130" s="38"/>
      <c r="C130" s="38"/>
      <c r="D130" s="38"/>
      <c r="E130" s="38"/>
      <c r="F130" s="38"/>
      <c r="G130" s="38"/>
    </row>
    <row r="131" spans="1:9" ht="12.75" hidden="1" customHeight="1" thickBot="1" x14ac:dyDescent="0.25">
      <c r="A131" s="39"/>
      <c r="B131" s="37"/>
      <c r="D131" s="60" t="s">
        <v>124</v>
      </c>
      <c r="E131" s="61" t="s">
        <v>4</v>
      </c>
      <c r="F131" s="59"/>
      <c r="G131" s="59"/>
      <c r="I131" s="432"/>
    </row>
    <row r="132" spans="1:9" ht="13.5" hidden="1" thickBot="1" x14ac:dyDescent="0.25">
      <c r="A132" s="40" t="s">
        <v>108</v>
      </c>
      <c r="B132" s="37"/>
      <c r="C132" s="37"/>
      <c r="D132" s="37"/>
      <c r="E132" s="37"/>
      <c r="F132" s="37"/>
      <c r="G132" s="37"/>
      <c r="I132" s="432"/>
    </row>
    <row r="133" spans="1:9" s="1" customFormat="1" ht="13.5" hidden="1" customHeight="1" thickBot="1" x14ac:dyDescent="0.25">
      <c r="A133" s="1530" t="s">
        <v>109</v>
      </c>
      <c r="B133" s="1554"/>
      <c r="C133" s="1531"/>
      <c r="D133" s="64" t="s">
        <v>110</v>
      </c>
      <c r="E133" s="64" t="s">
        <v>111</v>
      </c>
      <c r="F133" s="63" t="s">
        <v>112</v>
      </c>
      <c r="G133" s="66"/>
    </row>
    <row r="134" spans="1:9" hidden="1" x14ac:dyDescent="0.2">
      <c r="A134" s="1943" t="str">
        <f>A103</f>
        <v>HERRAMIENTA MENOR.</v>
      </c>
      <c r="B134" s="1944"/>
      <c r="C134" s="1945"/>
      <c r="D134" s="55">
        <f>D103</f>
        <v>2062.5</v>
      </c>
      <c r="E134" s="80">
        <v>0.8</v>
      </c>
      <c r="F134" s="55">
        <f>E134*D134</f>
        <v>1650</v>
      </c>
      <c r="G134" s="52"/>
    </row>
    <row r="135" spans="1:9" ht="13.5" hidden="1" thickBot="1" x14ac:dyDescent="0.25">
      <c r="A135" s="1926"/>
      <c r="B135" s="1946"/>
      <c r="C135" s="1927"/>
      <c r="D135" s="57"/>
      <c r="E135" s="81"/>
      <c r="F135" s="57"/>
      <c r="G135" s="58"/>
    </row>
    <row r="136" spans="1:9" ht="13.5" hidden="1" thickBot="1" x14ac:dyDescent="0.25">
      <c r="A136" s="1932" t="s">
        <v>125</v>
      </c>
      <c r="B136" s="1933"/>
      <c r="C136" s="1933"/>
      <c r="D136" s="1933"/>
      <c r="E136" s="1933"/>
      <c r="F136" s="1934"/>
      <c r="G136" s="54">
        <f>SUM(F134:F135)</f>
        <v>1650</v>
      </c>
    </row>
    <row r="137" spans="1:9" ht="13.5" hidden="1" thickBot="1" x14ac:dyDescent="0.25">
      <c r="A137" s="40" t="s">
        <v>123</v>
      </c>
      <c r="B137" s="37"/>
      <c r="C137" s="37"/>
      <c r="D137" s="37"/>
      <c r="E137" s="37"/>
      <c r="F137" s="37"/>
      <c r="G137" s="37"/>
    </row>
    <row r="138" spans="1:9" s="1" customFormat="1" ht="13.5" hidden="1" thickBot="1" x14ac:dyDescent="0.25">
      <c r="A138" s="2281" t="s">
        <v>109</v>
      </c>
      <c r="B138" s="2282"/>
      <c r="C138" s="426" t="s">
        <v>114</v>
      </c>
      <c r="D138" s="426" t="s">
        <v>115</v>
      </c>
      <c r="E138" s="426" t="s">
        <v>116</v>
      </c>
      <c r="F138" s="426" t="s">
        <v>112</v>
      </c>
      <c r="G138" s="427"/>
    </row>
    <row r="139" spans="1:9" ht="25.5" hidden="1" customHeight="1" x14ac:dyDescent="0.2">
      <c r="A139" s="1540" t="e">
        <v>#REF!</v>
      </c>
      <c r="B139" s="1541"/>
      <c r="C139" s="129" t="s">
        <v>4</v>
      </c>
      <c r="D139" s="130" t="e">
        <v>#REF!</v>
      </c>
      <c r="E139" s="129">
        <v>1</v>
      </c>
      <c r="F139" s="428" t="e">
        <f>D139*E139</f>
        <v>#REF!</v>
      </c>
      <c r="G139" s="132"/>
      <c r="I139" s="34" t="s">
        <v>709</v>
      </c>
    </row>
    <row r="140" spans="1:9" hidden="1" x14ac:dyDescent="0.2">
      <c r="A140" s="2274"/>
      <c r="B140" s="2275"/>
      <c r="C140" s="134"/>
      <c r="D140" s="135"/>
      <c r="E140" s="134"/>
      <c r="F140" s="429"/>
      <c r="G140" s="137"/>
    </row>
    <row r="141" spans="1:9" ht="15.75" hidden="1" customHeight="1" x14ac:dyDescent="0.2">
      <c r="A141" s="2274"/>
      <c r="B141" s="2275"/>
      <c r="C141" s="211"/>
      <c r="D141" s="135"/>
      <c r="E141" s="134"/>
      <c r="F141" s="429"/>
      <c r="G141" s="137"/>
    </row>
    <row r="142" spans="1:9" ht="12" hidden="1" customHeight="1" thickBot="1" x14ac:dyDescent="0.25">
      <c r="A142" s="2276"/>
      <c r="B142" s="2277"/>
      <c r="C142" s="56"/>
      <c r="D142" s="139"/>
      <c r="E142" s="56"/>
      <c r="F142" s="430"/>
      <c r="G142" s="58"/>
    </row>
    <row r="143" spans="1:9" ht="13.5" hidden="1" thickBot="1" x14ac:dyDescent="0.25">
      <c r="A143" s="2278" t="s">
        <v>125</v>
      </c>
      <c r="B143" s="2279"/>
      <c r="C143" s="2279"/>
      <c r="D143" s="2279"/>
      <c r="E143" s="2279"/>
      <c r="F143" s="2280" t="s">
        <v>113</v>
      </c>
      <c r="G143" s="431" t="e">
        <f>SUM(F139:F142)</f>
        <v>#REF!</v>
      </c>
    </row>
    <row r="144" spans="1:9" ht="13.5" hidden="1" thickBot="1" x14ac:dyDescent="0.25">
      <c r="A144" s="40" t="s">
        <v>117</v>
      </c>
      <c r="B144" s="37"/>
      <c r="C144" s="37"/>
      <c r="D144" s="37"/>
      <c r="E144" s="37"/>
      <c r="F144" s="37"/>
      <c r="G144" s="37"/>
    </row>
    <row r="145" spans="1:9" s="1" customFormat="1" ht="13.5" hidden="1" thickBot="1" x14ac:dyDescent="0.25">
      <c r="A145" s="1922" t="s">
        <v>109</v>
      </c>
      <c r="B145" s="1923"/>
      <c r="C145" s="64" t="s">
        <v>114</v>
      </c>
      <c r="D145" s="64" t="s">
        <v>115</v>
      </c>
      <c r="E145" s="64" t="s">
        <v>116</v>
      </c>
      <c r="F145" s="64" t="s">
        <v>112</v>
      </c>
      <c r="G145" s="67"/>
    </row>
    <row r="146" spans="1:9" hidden="1" x14ac:dyDescent="0.2">
      <c r="A146" s="1943" t="e">
        <v>#REF!</v>
      </c>
      <c r="B146" s="1945"/>
      <c r="C146" s="43" t="e">
        <v>#REF!</v>
      </c>
      <c r="D146" s="55" t="e">
        <v>#REF!</v>
      </c>
      <c r="E146" s="419">
        <v>0</v>
      </c>
      <c r="F146" s="42" t="e">
        <f>D146*E146</f>
        <v>#REF!</v>
      </c>
      <c r="G146" s="52"/>
    </row>
    <row r="147" spans="1:9" ht="13.5" hidden="1" thickBot="1" x14ac:dyDescent="0.25">
      <c r="A147" s="1930"/>
      <c r="B147" s="1931"/>
      <c r="C147" s="62"/>
      <c r="D147" s="43"/>
      <c r="E147" s="57"/>
      <c r="F147" s="57">
        <f>D147*E147</f>
        <v>0</v>
      </c>
      <c r="G147" s="68"/>
    </row>
    <row r="148" spans="1:9" ht="13.5" hidden="1" thickBot="1" x14ac:dyDescent="0.25">
      <c r="A148" s="1932" t="s">
        <v>125</v>
      </c>
      <c r="B148" s="1933"/>
      <c r="C148" s="1933"/>
      <c r="D148" s="1933"/>
      <c r="E148" s="1933"/>
      <c r="F148" s="1934" t="s">
        <v>113</v>
      </c>
      <c r="G148" s="54" t="e">
        <f>SUM(F146:F147)</f>
        <v>#REF!</v>
      </c>
    </row>
    <row r="149" spans="1:9" ht="13.5" hidden="1" thickBot="1" x14ac:dyDescent="0.25">
      <c r="A149" s="40" t="s">
        <v>119</v>
      </c>
      <c r="B149" s="37"/>
      <c r="C149" s="37"/>
      <c r="D149" s="37"/>
      <c r="E149" s="37"/>
      <c r="F149" s="37"/>
      <c r="G149" s="37"/>
    </row>
    <row r="150" spans="1:9" ht="13.5" hidden="1" thickBot="1" x14ac:dyDescent="0.25">
      <c r="A150" s="1922" t="s">
        <v>120</v>
      </c>
      <c r="B150" s="1923"/>
      <c r="C150" s="63" t="s">
        <v>121</v>
      </c>
      <c r="D150" s="64" t="s">
        <v>116</v>
      </c>
      <c r="E150" s="64" t="s">
        <v>111</v>
      </c>
      <c r="F150" s="64" t="s">
        <v>112</v>
      </c>
      <c r="G150" s="71"/>
    </row>
    <row r="151" spans="1:9" hidden="1" x14ac:dyDescent="0.2">
      <c r="A151" s="2255" t="str">
        <f>A120</f>
        <v>Oficial (Incl. Prestaciones)</v>
      </c>
      <c r="B151" s="2256"/>
      <c r="C151" s="74">
        <f>C120</f>
        <v>7410.9600847008996</v>
      </c>
      <c r="D151" s="420">
        <v>1</v>
      </c>
      <c r="E151" s="421">
        <v>0.8</v>
      </c>
      <c r="F151" s="422">
        <f>E151*D151*C151</f>
        <v>5928.7680677607204</v>
      </c>
      <c r="G151" s="52"/>
    </row>
    <row r="152" spans="1:9" ht="13.5" hidden="1" thickBot="1" x14ac:dyDescent="0.25">
      <c r="A152" s="2252" t="str">
        <f>A121</f>
        <v>Ayudante (Incl. Prestaciones)</v>
      </c>
      <c r="B152" s="1927"/>
      <c r="C152" s="73">
        <f>C121</f>
        <v>4374.7823749999998</v>
      </c>
      <c r="D152" s="423">
        <v>2</v>
      </c>
      <c r="E152" s="424">
        <f>E151</f>
        <v>0.8</v>
      </c>
      <c r="F152" s="425">
        <f>E152*D152*C152</f>
        <v>6999.6517999999996</v>
      </c>
      <c r="G152" s="58"/>
    </row>
    <row r="153" spans="1:9" ht="13.5" hidden="1" thickBot="1" x14ac:dyDescent="0.25">
      <c r="A153" s="1932" t="str">
        <f>+A148</f>
        <v>SUB-TOTAL</v>
      </c>
      <c r="B153" s="1933"/>
      <c r="C153" s="1933"/>
      <c r="D153" s="1933"/>
      <c r="E153" s="1933"/>
      <c r="F153" s="1934" t="s">
        <v>113</v>
      </c>
      <c r="G153" s="54">
        <f>SUM(F151:F152)</f>
        <v>12928.41986776072</v>
      </c>
    </row>
    <row r="154" spans="1:9" ht="11.25" hidden="1" customHeight="1" thickBot="1" x14ac:dyDescent="0.25">
      <c r="A154" s="37"/>
      <c r="B154" s="37"/>
      <c r="C154" s="37"/>
      <c r="D154" s="37"/>
      <c r="E154" s="37"/>
      <c r="F154" s="45"/>
      <c r="G154" s="37"/>
    </row>
    <row r="155" spans="1:9" ht="13.5" hidden="1" thickBot="1" x14ac:dyDescent="0.25">
      <c r="A155" s="1932" t="s">
        <v>156</v>
      </c>
      <c r="B155" s="1933"/>
      <c r="C155" s="1933"/>
      <c r="D155" s="1933"/>
      <c r="E155" s="1933"/>
      <c r="F155" s="1934"/>
      <c r="G155" s="72" t="e">
        <f>ROUND(G136+G143+G148+G153,0)</f>
        <v>#REF!</v>
      </c>
      <c r="I155" s="433"/>
    </row>
    <row r="156" spans="1:9" ht="13.5" hidden="1" thickBot="1" x14ac:dyDescent="0.25"/>
    <row r="157" spans="1:9" ht="27" hidden="1" customHeight="1" x14ac:dyDescent="0.2">
      <c r="A157" s="1935" t="s">
        <v>122</v>
      </c>
      <c r="B157" s="1936"/>
      <c r="C157" s="1937"/>
      <c r="D157" s="50"/>
      <c r="E157" s="46"/>
      <c r="F157" s="46"/>
      <c r="G157" s="47"/>
    </row>
    <row r="158" spans="1:9" ht="24" hidden="1" customHeight="1" thickBot="1" x14ac:dyDescent="0.25">
      <c r="A158" s="1938" t="s">
        <v>935</v>
      </c>
      <c r="B158" s="1939"/>
      <c r="C158" s="1940"/>
      <c r="D158" s="48"/>
      <c r="E158" s="48"/>
      <c r="F158" s="48"/>
      <c r="G158" s="49"/>
    </row>
    <row r="159" spans="1:9" ht="70.5" hidden="1" customHeight="1" thickBot="1" x14ac:dyDescent="0.25">
      <c r="A159" s="1558" t="s">
        <v>936</v>
      </c>
      <c r="B159" s="1559"/>
      <c r="C159" s="1560"/>
      <c r="D159" s="1565" t="s">
        <v>716</v>
      </c>
      <c r="E159" s="1559"/>
      <c r="F159" s="1559"/>
      <c r="G159" s="1560"/>
    </row>
    <row r="160" spans="1:9" ht="13.5" hidden="1" thickBot="1" x14ac:dyDescent="0.25">
      <c r="A160" s="38"/>
      <c r="B160" s="38"/>
      <c r="C160" s="38"/>
      <c r="D160" s="38"/>
      <c r="E160" s="38"/>
      <c r="F160" s="38"/>
      <c r="G160" s="38"/>
    </row>
    <row r="161" spans="1:9" ht="12.75" hidden="1" customHeight="1" thickBot="1" x14ac:dyDescent="0.25">
      <c r="A161" s="39"/>
      <c r="B161" s="37"/>
      <c r="D161" s="60" t="s">
        <v>124</v>
      </c>
      <c r="E161" s="61" t="s">
        <v>4</v>
      </c>
      <c r="F161" s="59"/>
      <c r="G161" s="59"/>
      <c r="I161" s="432"/>
    </row>
    <row r="162" spans="1:9" ht="13.5" hidden="1" thickBot="1" x14ac:dyDescent="0.25">
      <c r="A162" s="40" t="s">
        <v>108</v>
      </c>
      <c r="B162" s="37"/>
      <c r="C162" s="37"/>
      <c r="D162" s="37"/>
      <c r="E162" s="37"/>
      <c r="F162" s="37"/>
      <c r="G162" s="37"/>
      <c r="I162" s="432"/>
    </row>
    <row r="163" spans="1:9" s="1" customFormat="1" ht="13.5" hidden="1" customHeight="1" thickBot="1" x14ac:dyDescent="0.25">
      <c r="A163" s="1530" t="s">
        <v>109</v>
      </c>
      <c r="B163" s="1554"/>
      <c r="C163" s="1531"/>
      <c r="D163" s="64" t="s">
        <v>110</v>
      </c>
      <c r="E163" s="64" t="s">
        <v>111</v>
      </c>
      <c r="F163" s="63" t="s">
        <v>112</v>
      </c>
      <c r="G163" s="66"/>
    </row>
    <row r="164" spans="1:9" hidden="1" x14ac:dyDescent="0.2">
      <c r="A164" s="1943" t="str">
        <f>A134</f>
        <v>HERRAMIENTA MENOR.</v>
      </c>
      <c r="B164" s="1944"/>
      <c r="C164" s="1945"/>
      <c r="D164" s="55">
        <f>D134</f>
        <v>2062.5</v>
      </c>
      <c r="E164" s="80">
        <v>0.8</v>
      </c>
      <c r="F164" s="55">
        <f>F134</f>
        <v>1650</v>
      </c>
      <c r="G164" s="52"/>
    </row>
    <row r="165" spans="1:9" ht="13.5" hidden="1" thickBot="1" x14ac:dyDescent="0.25">
      <c r="A165" s="1926"/>
      <c r="B165" s="1946"/>
      <c r="C165" s="1927"/>
      <c r="D165" s="57"/>
      <c r="E165" s="81"/>
      <c r="F165" s="57"/>
      <c r="G165" s="58"/>
    </row>
    <row r="166" spans="1:9" ht="13.5" hidden="1" thickBot="1" x14ac:dyDescent="0.25">
      <c r="A166" s="1932" t="s">
        <v>125</v>
      </c>
      <c r="B166" s="1933"/>
      <c r="C166" s="1933"/>
      <c r="D166" s="1933"/>
      <c r="E166" s="1933"/>
      <c r="F166" s="1934"/>
      <c r="G166" s="54">
        <f>SUM(F164:F165)</f>
        <v>1650</v>
      </c>
    </row>
    <row r="167" spans="1:9" ht="13.5" hidden="1" thickBot="1" x14ac:dyDescent="0.25">
      <c r="A167" s="40" t="s">
        <v>123</v>
      </c>
      <c r="B167" s="37"/>
      <c r="C167" s="37"/>
      <c r="D167" s="37"/>
      <c r="E167" s="37"/>
      <c r="F167" s="37"/>
      <c r="G167" s="37"/>
    </row>
    <row r="168" spans="1:9" s="1" customFormat="1" ht="13.5" hidden="1" thickBot="1" x14ac:dyDescent="0.25">
      <c r="A168" s="2281" t="s">
        <v>109</v>
      </c>
      <c r="B168" s="2282"/>
      <c r="C168" s="426" t="s">
        <v>114</v>
      </c>
      <c r="D168" s="426" t="s">
        <v>115</v>
      </c>
      <c r="E168" s="426" t="s">
        <v>116</v>
      </c>
      <c r="F168" s="426" t="s">
        <v>112</v>
      </c>
      <c r="G168" s="427"/>
    </row>
    <row r="169" spans="1:9" ht="25.5" hidden="1" customHeight="1" x14ac:dyDescent="0.2">
      <c r="A169" s="1540" t="e">
        <v>#REF!</v>
      </c>
      <c r="B169" s="1541"/>
      <c r="C169" s="129" t="s">
        <v>4</v>
      </c>
      <c r="D169" s="130" t="e">
        <v>#REF!</v>
      </c>
      <c r="E169" s="129">
        <v>1</v>
      </c>
      <c r="F169" s="428" t="e">
        <f>D169*E169</f>
        <v>#REF!</v>
      </c>
      <c r="G169" s="132"/>
      <c r="I169" s="34" t="s">
        <v>709</v>
      </c>
    </row>
    <row r="170" spans="1:9" hidden="1" x14ac:dyDescent="0.2">
      <c r="A170" s="2274"/>
      <c r="B170" s="2275"/>
      <c r="C170" s="134"/>
      <c r="D170" s="135"/>
      <c r="E170" s="134"/>
      <c r="F170" s="429"/>
      <c r="G170" s="137"/>
    </row>
    <row r="171" spans="1:9" ht="15.75" hidden="1" customHeight="1" x14ac:dyDescent="0.2">
      <c r="A171" s="2274"/>
      <c r="B171" s="2275"/>
      <c r="C171" s="211"/>
      <c r="D171" s="135"/>
      <c r="E171" s="134"/>
      <c r="F171" s="429"/>
      <c r="G171" s="137"/>
    </row>
    <row r="172" spans="1:9" ht="12" hidden="1" customHeight="1" thickBot="1" x14ac:dyDescent="0.25">
      <c r="A172" s="2276"/>
      <c r="B172" s="2277"/>
      <c r="C172" s="56"/>
      <c r="D172" s="139"/>
      <c r="E172" s="56"/>
      <c r="F172" s="430"/>
      <c r="G172" s="58"/>
    </row>
    <row r="173" spans="1:9" ht="13.5" hidden="1" thickBot="1" x14ac:dyDescent="0.25">
      <c r="A173" s="2278" t="s">
        <v>125</v>
      </c>
      <c r="B173" s="2279"/>
      <c r="C173" s="2279"/>
      <c r="D173" s="2279"/>
      <c r="E173" s="2279"/>
      <c r="F173" s="2280" t="s">
        <v>113</v>
      </c>
      <c r="G173" s="431" t="e">
        <f>SUM(F169:F172)</f>
        <v>#REF!</v>
      </c>
    </row>
    <row r="174" spans="1:9" ht="13.5" hidden="1" thickBot="1" x14ac:dyDescent="0.25">
      <c r="A174" s="40" t="s">
        <v>117</v>
      </c>
      <c r="B174" s="37"/>
      <c r="C174" s="37"/>
      <c r="D174" s="37"/>
      <c r="E174" s="37"/>
      <c r="F174" s="37"/>
      <c r="G174" s="37"/>
    </row>
    <row r="175" spans="1:9" s="1" customFormat="1" ht="13.5" hidden="1" thickBot="1" x14ac:dyDescent="0.25">
      <c r="A175" s="1922" t="s">
        <v>109</v>
      </c>
      <c r="B175" s="1923"/>
      <c r="C175" s="64" t="s">
        <v>114</v>
      </c>
      <c r="D175" s="64" t="s">
        <v>115</v>
      </c>
      <c r="E175" s="64" t="s">
        <v>116</v>
      </c>
      <c r="F175" s="64" t="s">
        <v>112</v>
      </c>
      <c r="G175" s="67"/>
    </row>
    <row r="176" spans="1:9" hidden="1" x14ac:dyDescent="0.2">
      <c r="A176" s="1943" t="e">
        <v>#REF!</v>
      </c>
      <c r="B176" s="1945"/>
      <c r="C176" s="43" t="e">
        <v>#REF!</v>
      </c>
      <c r="D176" s="55" t="e">
        <v>#REF!</v>
      </c>
      <c r="E176" s="419">
        <v>0</v>
      </c>
      <c r="F176" s="42" t="e">
        <f>D176*E176</f>
        <v>#REF!</v>
      </c>
      <c r="G176" s="52"/>
    </row>
    <row r="177" spans="1:9" ht="13.5" hidden="1" thickBot="1" x14ac:dyDescent="0.25">
      <c r="A177" s="1930"/>
      <c r="B177" s="1931"/>
      <c r="C177" s="62"/>
      <c r="D177" s="43"/>
      <c r="E177" s="57"/>
      <c r="F177" s="57">
        <f>D177*E177</f>
        <v>0</v>
      </c>
      <c r="G177" s="68"/>
    </row>
    <row r="178" spans="1:9" ht="13.5" hidden="1" thickBot="1" x14ac:dyDescent="0.25">
      <c r="A178" s="1932" t="s">
        <v>125</v>
      </c>
      <c r="B178" s="1933"/>
      <c r="C178" s="1933"/>
      <c r="D178" s="1933"/>
      <c r="E178" s="1933"/>
      <c r="F178" s="1934" t="s">
        <v>113</v>
      </c>
      <c r="G178" s="54" t="e">
        <f>SUM(F176:F177)</f>
        <v>#REF!</v>
      </c>
    </row>
    <row r="179" spans="1:9" ht="13.5" hidden="1" thickBot="1" x14ac:dyDescent="0.25">
      <c r="A179" s="40" t="s">
        <v>119</v>
      </c>
      <c r="B179" s="37"/>
      <c r="C179" s="37"/>
      <c r="D179" s="37"/>
      <c r="E179" s="37"/>
      <c r="F179" s="37"/>
      <c r="G179" s="37"/>
    </row>
    <row r="180" spans="1:9" ht="13.5" hidden="1" thickBot="1" x14ac:dyDescent="0.25">
      <c r="A180" s="1922" t="s">
        <v>120</v>
      </c>
      <c r="B180" s="1923"/>
      <c r="C180" s="63" t="s">
        <v>121</v>
      </c>
      <c r="D180" s="64" t="s">
        <v>116</v>
      </c>
      <c r="E180" s="64" t="s">
        <v>111</v>
      </c>
      <c r="F180" s="64" t="s">
        <v>112</v>
      </c>
      <c r="G180" s="71"/>
    </row>
    <row r="181" spans="1:9" hidden="1" x14ac:dyDescent="0.2">
      <c r="A181" s="2255" t="str">
        <f>A151</f>
        <v>Oficial (Incl. Prestaciones)</v>
      </c>
      <c r="B181" s="2256"/>
      <c r="C181" s="74">
        <f>C151</f>
        <v>7410.9600847008996</v>
      </c>
      <c r="D181" s="420">
        <v>1</v>
      </c>
      <c r="E181" s="421">
        <v>0.2</v>
      </c>
      <c r="F181" s="422">
        <f>E181*D181*C181</f>
        <v>1482.1920169401801</v>
      </c>
      <c r="G181" s="52"/>
    </row>
    <row r="182" spans="1:9" ht="13.5" hidden="1" thickBot="1" x14ac:dyDescent="0.25">
      <c r="A182" s="2252" t="str">
        <f>A152</f>
        <v>Ayudante (Incl. Prestaciones)</v>
      </c>
      <c r="B182" s="1927"/>
      <c r="C182" s="73">
        <f>C152</f>
        <v>4374.7823749999998</v>
      </c>
      <c r="D182" s="423">
        <v>2</v>
      </c>
      <c r="E182" s="424">
        <f>E181</f>
        <v>0.2</v>
      </c>
      <c r="F182" s="425">
        <f>E182*D182*C182</f>
        <v>1749.9129499999999</v>
      </c>
      <c r="G182" s="58"/>
    </row>
    <row r="183" spans="1:9" ht="13.5" hidden="1" thickBot="1" x14ac:dyDescent="0.25">
      <c r="A183" s="1932" t="str">
        <f>+A178</f>
        <v>SUB-TOTAL</v>
      </c>
      <c r="B183" s="1933"/>
      <c r="C183" s="1933"/>
      <c r="D183" s="1933"/>
      <c r="E183" s="1933"/>
      <c r="F183" s="1934" t="s">
        <v>113</v>
      </c>
      <c r="G183" s="54">
        <f>SUM(F181:F182)</f>
        <v>3232.10496694018</v>
      </c>
    </row>
    <row r="184" spans="1:9" ht="11.25" hidden="1" customHeight="1" thickBot="1" x14ac:dyDescent="0.25">
      <c r="A184" s="37"/>
      <c r="B184" s="37"/>
      <c r="C184" s="37"/>
      <c r="D184" s="37"/>
      <c r="E184" s="37"/>
      <c r="F184" s="45"/>
      <c r="G184" s="37"/>
    </row>
    <row r="185" spans="1:9" ht="13.5" hidden="1" thickBot="1" x14ac:dyDescent="0.25">
      <c r="A185" s="1932" t="s">
        <v>156</v>
      </c>
      <c r="B185" s="1933"/>
      <c r="C185" s="1933"/>
      <c r="D185" s="1933"/>
      <c r="E185" s="1933"/>
      <c r="F185" s="1934"/>
      <c r="G185" s="72" t="e">
        <f>ROUND(G166+G173+G178+G183,0)</f>
        <v>#REF!</v>
      </c>
      <c r="I185" s="433"/>
    </row>
    <row r="186" spans="1:9" hidden="1" x14ac:dyDescent="0.2"/>
    <row r="187" spans="1:9" ht="13.5" hidden="1" thickBot="1" x14ac:dyDescent="0.25"/>
    <row r="188" spans="1:9" ht="27" hidden="1" customHeight="1" x14ac:dyDescent="0.2">
      <c r="A188" s="1935" t="s">
        <v>122</v>
      </c>
      <c r="B188" s="1936"/>
      <c r="C188" s="1937"/>
      <c r="D188" s="50"/>
      <c r="E188" s="46"/>
      <c r="F188" s="46"/>
      <c r="G188" s="47"/>
    </row>
    <row r="189" spans="1:9" ht="24" hidden="1" customHeight="1" thickBot="1" x14ac:dyDescent="0.25">
      <c r="A189" s="1938" t="s">
        <v>935</v>
      </c>
      <c r="B189" s="1939"/>
      <c r="C189" s="1940"/>
      <c r="D189" s="48"/>
      <c r="E189" s="48"/>
      <c r="F189" s="48"/>
      <c r="G189" s="49"/>
    </row>
    <row r="190" spans="1:9" ht="70.5" hidden="1" customHeight="1" thickBot="1" x14ac:dyDescent="0.25">
      <c r="A190" s="1558" t="s">
        <v>936</v>
      </c>
      <c r="B190" s="1559"/>
      <c r="C190" s="1560"/>
      <c r="D190" s="1565" t="s">
        <v>717</v>
      </c>
      <c r="E190" s="1559"/>
      <c r="F190" s="1559"/>
      <c r="G190" s="1560"/>
    </row>
    <row r="191" spans="1:9" ht="13.5" hidden="1" thickBot="1" x14ac:dyDescent="0.25">
      <c r="A191" s="38"/>
      <c r="B191" s="38"/>
      <c r="C191" s="38"/>
      <c r="D191" s="38"/>
      <c r="E191" s="38"/>
      <c r="F191" s="38"/>
      <c r="G191" s="38"/>
    </row>
    <row r="192" spans="1:9" ht="12.75" hidden="1" customHeight="1" thickBot="1" x14ac:dyDescent="0.25">
      <c r="A192" s="39"/>
      <c r="B192" s="37"/>
      <c r="D192" s="60" t="s">
        <v>124</v>
      </c>
      <c r="E192" s="61" t="s">
        <v>4</v>
      </c>
      <c r="F192" s="59"/>
      <c r="G192" s="59"/>
      <c r="I192" s="432"/>
    </row>
    <row r="193" spans="1:11" ht="13.5" hidden="1" thickBot="1" x14ac:dyDescent="0.25">
      <c r="A193" s="40" t="s">
        <v>108</v>
      </c>
      <c r="B193" s="37"/>
      <c r="C193" s="37"/>
      <c r="D193" s="37"/>
      <c r="E193" s="37"/>
      <c r="F193" s="37"/>
      <c r="G193" s="37"/>
      <c r="I193" s="432"/>
    </row>
    <row r="194" spans="1:11" s="1" customFormat="1" ht="13.5" hidden="1" customHeight="1" thickBot="1" x14ac:dyDescent="0.25">
      <c r="A194" s="1530" t="s">
        <v>109</v>
      </c>
      <c r="B194" s="1554"/>
      <c r="C194" s="1531"/>
      <c r="D194" s="64" t="s">
        <v>110</v>
      </c>
      <c r="E194" s="64" t="s">
        <v>111</v>
      </c>
      <c r="F194" s="63" t="s">
        <v>112</v>
      </c>
      <c r="G194" s="66"/>
    </row>
    <row r="195" spans="1:11" hidden="1" x14ac:dyDescent="0.2">
      <c r="A195" s="1943" t="str">
        <f>A164</f>
        <v>HERRAMIENTA MENOR.</v>
      </c>
      <c r="B195" s="1944"/>
      <c r="C195" s="1945"/>
      <c r="D195" s="55">
        <f>D134</f>
        <v>2062.5</v>
      </c>
      <c r="E195" s="80">
        <v>0.4</v>
      </c>
      <c r="F195" s="55">
        <f>D195*E195</f>
        <v>825</v>
      </c>
      <c r="G195" s="52"/>
    </row>
    <row r="196" spans="1:11" ht="13.5" hidden="1" thickBot="1" x14ac:dyDescent="0.25">
      <c r="A196" s="1926" t="s">
        <v>134</v>
      </c>
      <c r="B196" s="1946"/>
      <c r="C196" s="1927"/>
      <c r="D196" s="57">
        <v>7500</v>
      </c>
      <c r="E196" s="81">
        <v>0.4</v>
      </c>
      <c r="F196" s="57">
        <f>D196*E196</f>
        <v>3000</v>
      </c>
      <c r="G196" s="58"/>
    </row>
    <row r="197" spans="1:11" ht="13.5" hidden="1" thickBot="1" x14ac:dyDescent="0.25">
      <c r="A197" s="1932" t="s">
        <v>125</v>
      </c>
      <c r="B197" s="1933"/>
      <c r="C197" s="1933"/>
      <c r="D197" s="1933"/>
      <c r="E197" s="1933"/>
      <c r="F197" s="1934"/>
      <c r="G197" s="54">
        <f>SUM(F195:F196)</f>
        <v>3825</v>
      </c>
    </row>
    <row r="198" spans="1:11" ht="13.5" hidden="1" thickBot="1" x14ac:dyDescent="0.25">
      <c r="A198" s="40" t="s">
        <v>123</v>
      </c>
      <c r="B198" s="37"/>
      <c r="C198" s="37"/>
      <c r="D198" s="37"/>
      <c r="E198" s="37"/>
      <c r="F198" s="37"/>
      <c r="G198" s="37"/>
    </row>
    <row r="199" spans="1:11" s="1" customFormat="1" ht="13.5" hidden="1" thickBot="1" x14ac:dyDescent="0.25">
      <c r="A199" s="2281" t="s">
        <v>109</v>
      </c>
      <c r="B199" s="2282"/>
      <c r="C199" s="426" t="s">
        <v>114</v>
      </c>
      <c r="D199" s="426" t="s">
        <v>115</v>
      </c>
      <c r="E199" s="426" t="s">
        <v>116</v>
      </c>
      <c r="F199" s="426" t="s">
        <v>112</v>
      </c>
      <c r="G199" s="427"/>
      <c r="K199" s="434">
        <f>1/J200</f>
        <v>6.9999999999999993E-2</v>
      </c>
    </row>
    <row r="200" spans="1:11" ht="25.5" hidden="1" customHeight="1" x14ac:dyDescent="0.2">
      <c r="A200" s="1540" t="s">
        <v>956</v>
      </c>
      <c r="B200" s="1541"/>
      <c r="C200" s="129" t="s">
        <v>12</v>
      </c>
      <c r="D200" s="130">
        <v>382373</v>
      </c>
      <c r="E200" s="129">
        <v>7.0000000000000007E-2</v>
      </c>
      <c r="F200" s="428">
        <f>D200*E200</f>
        <v>26766.110000000004</v>
      </c>
      <c r="G200" s="132"/>
      <c r="I200" s="34" t="s">
        <v>709</v>
      </c>
      <c r="J200" s="34">
        <f>1/(0.7*0.1)</f>
        <v>14.285714285714286</v>
      </c>
      <c r="K200" s="432">
        <f>D200/J200</f>
        <v>26766.109999999997</v>
      </c>
    </row>
    <row r="201" spans="1:11" hidden="1" x14ac:dyDescent="0.2">
      <c r="A201" s="2274" t="s">
        <v>149</v>
      </c>
      <c r="B201" s="2275"/>
      <c r="C201" s="134" t="s">
        <v>2</v>
      </c>
      <c r="D201" s="135">
        <v>4500</v>
      </c>
      <c r="E201" s="134">
        <v>1</v>
      </c>
      <c r="F201" s="429">
        <f>D201*E201</f>
        <v>4500</v>
      </c>
      <c r="G201" s="137"/>
      <c r="J201" s="432">
        <f>D200/J200</f>
        <v>26766.109999999997</v>
      </c>
    </row>
    <row r="202" spans="1:11" ht="15.75" hidden="1" customHeight="1" x14ac:dyDescent="0.2">
      <c r="A202" s="2274"/>
      <c r="B202" s="2275"/>
      <c r="C202" s="211"/>
      <c r="D202" s="135"/>
      <c r="E202" s="134"/>
      <c r="F202" s="429"/>
      <c r="G202" s="137"/>
    </row>
    <row r="203" spans="1:11" ht="12" hidden="1" customHeight="1" thickBot="1" x14ac:dyDescent="0.25">
      <c r="A203" s="2276"/>
      <c r="B203" s="2277"/>
      <c r="C203" s="56"/>
      <c r="D203" s="139"/>
      <c r="E203" s="56"/>
      <c r="F203" s="430"/>
      <c r="G203" s="58"/>
    </row>
    <row r="204" spans="1:11" ht="13.5" hidden="1" thickBot="1" x14ac:dyDescent="0.25">
      <c r="A204" s="2278" t="s">
        <v>125</v>
      </c>
      <c r="B204" s="2279"/>
      <c r="C204" s="2279"/>
      <c r="D204" s="2279"/>
      <c r="E204" s="2279"/>
      <c r="F204" s="2280" t="s">
        <v>113</v>
      </c>
      <c r="G204" s="431">
        <f>SUM(F200:F203)</f>
        <v>31266.110000000004</v>
      </c>
    </row>
    <row r="205" spans="1:11" ht="13.5" hidden="1" thickBot="1" x14ac:dyDescent="0.25">
      <c r="A205" s="40" t="s">
        <v>117</v>
      </c>
      <c r="B205" s="37"/>
      <c r="C205" s="37"/>
      <c r="D205" s="37"/>
      <c r="E205" s="37"/>
      <c r="F205" s="37"/>
      <c r="G205" s="37"/>
    </row>
    <row r="206" spans="1:11" s="1" customFormat="1" ht="13.5" hidden="1" thickBot="1" x14ac:dyDescent="0.25">
      <c r="A206" s="1922" t="s">
        <v>109</v>
      </c>
      <c r="B206" s="1923"/>
      <c r="C206" s="64" t="s">
        <v>114</v>
      </c>
      <c r="D206" s="64" t="s">
        <v>115</v>
      </c>
      <c r="E206" s="64" t="s">
        <v>116</v>
      </c>
      <c r="F206" s="64" t="s">
        <v>112</v>
      </c>
      <c r="G206" s="67"/>
    </row>
    <row r="207" spans="1:11" hidden="1" x14ac:dyDescent="0.2">
      <c r="A207" s="1943" t="e">
        <v>#REF!</v>
      </c>
      <c r="B207" s="1945"/>
      <c r="C207" s="43" t="e">
        <v>#REF!</v>
      </c>
      <c r="D207" s="55" t="e">
        <v>#REF!</v>
      </c>
      <c r="E207" s="419">
        <v>0</v>
      </c>
      <c r="F207" s="42" t="e">
        <f>D207*E207</f>
        <v>#REF!</v>
      </c>
      <c r="G207" s="52"/>
    </row>
    <row r="208" spans="1:11" ht="13.5" hidden="1" thickBot="1" x14ac:dyDescent="0.25">
      <c r="A208" s="1930"/>
      <c r="B208" s="1931"/>
      <c r="C208" s="62"/>
      <c r="D208" s="43"/>
      <c r="E208" s="57"/>
      <c r="F208" s="57">
        <f>D208*E208</f>
        <v>0</v>
      </c>
      <c r="G208" s="68"/>
    </row>
    <row r="209" spans="1:9" ht="13.5" hidden="1" thickBot="1" x14ac:dyDescent="0.25">
      <c r="A209" s="1932" t="s">
        <v>125</v>
      </c>
      <c r="B209" s="1933"/>
      <c r="C209" s="1933"/>
      <c r="D209" s="1933"/>
      <c r="E209" s="1933"/>
      <c r="F209" s="1934" t="s">
        <v>113</v>
      </c>
      <c r="G209" s="54" t="e">
        <f>SUM(F207:F208)</f>
        <v>#REF!</v>
      </c>
    </row>
    <row r="210" spans="1:9" ht="13.5" hidden="1" thickBot="1" x14ac:dyDescent="0.25">
      <c r="A210" s="40" t="s">
        <v>119</v>
      </c>
      <c r="B210" s="37"/>
      <c r="C210" s="37"/>
      <c r="D210" s="37"/>
      <c r="E210" s="37"/>
      <c r="F210" s="37"/>
      <c r="G210" s="37"/>
    </row>
    <row r="211" spans="1:9" ht="13.5" hidden="1" thickBot="1" x14ac:dyDescent="0.25">
      <c r="A211" s="1922" t="s">
        <v>120</v>
      </c>
      <c r="B211" s="1923"/>
      <c r="C211" s="63" t="s">
        <v>121</v>
      </c>
      <c r="D211" s="64" t="s">
        <v>116</v>
      </c>
      <c r="E211" s="64" t="s">
        <v>111</v>
      </c>
      <c r="F211" s="64" t="s">
        <v>112</v>
      </c>
      <c r="G211" s="71"/>
    </row>
    <row r="212" spans="1:9" hidden="1" x14ac:dyDescent="0.2">
      <c r="A212" s="2255" t="str">
        <f>A151</f>
        <v>Oficial (Incl. Prestaciones)</v>
      </c>
      <c r="B212" s="2256"/>
      <c r="C212" s="74">
        <f>C181</f>
        <v>7410.9600847008996</v>
      </c>
      <c r="D212" s="420">
        <v>1</v>
      </c>
      <c r="E212" s="421">
        <v>1.5</v>
      </c>
      <c r="F212" s="422">
        <f>E212*D212*C212</f>
        <v>11116.44012705135</v>
      </c>
      <c r="G212" s="52"/>
    </row>
    <row r="213" spans="1:9" ht="13.5" hidden="1" thickBot="1" x14ac:dyDescent="0.25">
      <c r="A213" s="2252" t="str">
        <f>A182</f>
        <v>Ayudante (Incl. Prestaciones)</v>
      </c>
      <c r="B213" s="1927"/>
      <c r="C213" s="73">
        <f>C182</f>
        <v>4374.7823749999998</v>
      </c>
      <c r="D213" s="423">
        <v>2</v>
      </c>
      <c r="E213" s="424">
        <f>E212</f>
        <v>1.5</v>
      </c>
      <c r="F213" s="425">
        <f>E213*D213*C213</f>
        <v>13124.347125</v>
      </c>
      <c r="G213" s="58"/>
    </row>
    <row r="214" spans="1:9" ht="13.5" hidden="1" thickBot="1" x14ac:dyDescent="0.25">
      <c r="A214" s="1932" t="str">
        <f>+A209</f>
        <v>SUB-TOTAL</v>
      </c>
      <c r="B214" s="1933"/>
      <c r="C214" s="1933"/>
      <c r="D214" s="1933"/>
      <c r="E214" s="1933"/>
      <c r="F214" s="1934" t="s">
        <v>113</v>
      </c>
      <c r="G214" s="54">
        <f>SUM(F212:F213)</f>
        <v>24240.787252051348</v>
      </c>
    </row>
    <row r="215" spans="1:9" ht="11.25" hidden="1" customHeight="1" thickBot="1" x14ac:dyDescent="0.25">
      <c r="A215" s="37"/>
      <c r="B215" s="37"/>
      <c r="C215" s="37"/>
      <c r="D215" s="37"/>
      <c r="E215" s="37"/>
      <c r="F215" s="45"/>
      <c r="G215" s="37"/>
    </row>
    <row r="216" spans="1:9" ht="13.5" hidden="1" thickBot="1" x14ac:dyDescent="0.25">
      <c r="A216" s="1932" t="s">
        <v>156</v>
      </c>
      <c r="B216" s="1933"/>
      <c r="C216" s="1933"/>
      <c r="D216" s="1933"/>
      <c r="E216" s="1933"/>
      <c r="F216" s="1934"/>
      <c r="G216" s="72" t="e">
        <f>ROUND(G197+G204+G209+G214,0)</f>
        <v>#REF!</v>
      </c>
      <c r="I216" s="433"/>
    </row>
    <row r="217" spans="1:9" ht="13.5" hidden="1" thickBot="1" x14ac:dyDescent="0.25"/>
    <row r="218" spans="1:9" ht="27" hidden="1" customHeight="1" x14ac:dyDescent="0.2">
      <c r="A218" s="1935" t="s">
        <v>122</v>
      </c>
      <c r="B218" s="1936"/>
      <c r="C218" s="1937"/>
      <c r="D218" s="50"/>
      <c r="E218" s="46"/>
      <c r="F218" s="46"/>
      <c r="G218" s="47"/>
    </row>
    <row r="219" spans="1:9" ht="24" hidden="1" customHeight="1" thickBot="1" x14ac:dyDescent="0.25">
      <c r="A219" s="1938" t="s">
        <v>935</v>
      </c>
      <c r="B219" s="1939"/>
      <c r="C219" s="1940"/>
      <c r="D219" s="48"/>
      <c r="E219" s="48"/>
      <c r="F219" s="48"/>
      <c r="G219" s="49"/>
    </row>
    <row r="220" spans="1:9" ht="70.5" hidden="1" customHeight="1" thickBot="1" x14ac:dyDescent="0.25">
      <c r="A220" s="1558" t="s">
        <v>936</v>
      </c>
      <c r="B220" s="1559"/>
      <c r="C220" s="1560"/>
      <c r="D220" s="1565" t="s">
        <v>718</v>
      </c>
      <c r="E220" s="1559"/>
      <c r="F220" s="1559"/>
      <c r="G220" s="1560"/>
    </row>
    <row r="221" spans="1:9" ht="13.5" hidden="1" thickBot="1" x14ac:dyDescent="0.25">
      <c r="A221" s="38"/>
      <c r="B221" s="38"/>
      <c r="C221" s="38"/>
      <c r="D221" s="38"/>
      <c r="E221" s="38"/>
      <c r="F221" s="38"/>
      <c r="G221" s="38"/>
    </row>
    <row r="222" spans="1:9" ht="12.75" hidden="1" customHeight="1" thickBot="1" x14ac:dyDescent="0.25">
      <c r="A222" s="39"/>
      <c r="B222" s="37"/>
      <c r="D222" s="60" t="s">
        <v>124</v>
      </c>
      <c r="E222" s="61" t="s">
        <v>2</v>
      </c>
      <c r="F222" s="59"/>
      <c r="G222" s="59"/>
      <c r="I222" s="432"/>
    </row>
    <row r="223" spans="1:9" ht="13.5" hidden="1" thickBot="1" x14ac:dyDescent="0.25">
      <c r="A223" s="40" t="s">
        <v>108</v>
      </c>
      <c r="B223" s="37"/>
      <c r="C223" s="37"/>
      <c r="D223" s="37"/>
      <c r="E223" s="37"/>
      <c r="F223" s="37"/>
      <c r="G223" s="37"/>
      <c r="I223" s="432"/>
    </row>
    <row r="224" spans="1:9" s="1" customFormat="1" ht="13.5" hidden="1" customHeight="1" thickBot="1" x14ac:dyDescent="0.25">
      <c r="A224" s="2281" t="s">
        <v>109</v>
      </c>
      <c r="B224" s="2283"/>
      <c r="C224" s="2282"/>
      <c r="D224" s="435" t="s">
        <v>110</v>
      </c>
      <c r="E224" s="435" t="s">
        <v>111</v>
      </c>
      <c r="F224" s="426" t="s">
        <v>112</v>
      </c>
      <c r="G224" s="427"/>
    </row>
    <row r="225" spans="1:11" hidden="1" x14ac:dyDescent="0.2">
      <c r="A225" s="2284" t="s">
        <v>131</v>
      </c>
      <c r="B225" s="2285"/>
      <c r="C225" s="2285"/>
      <c r="D225" s="55">
        <v>2062.5</v>
      </c>
      <c r="E225" s="80">
        <v>0.4</v>
      </c>
      <c r="F225" s="55">
        <f>D225*E225</f>
        <v>825</v>
      </c>
      <c r="G225" s="52"/>
    </row>
    <row r="226" spans="1:11" hidden="1" x14ac:dyDescent="0.2">
      <c r="A226" s="2274" t="s">
        <v>938</v>
      </c>
      <c r="B226" s="2275"/>
      <c r="C226" s="2275"/>
      <c r="D226" s="42">
        <v>10000</v>
      </c>
      <c r="E226" s="92">
        <v>8</v>
      </c>
      <c r="F226" s="42">
        <f>D226*E226</f>
        <v>80000</v>
      </c>
      <c r="G226" s="53"/>
    </row>
    <row r="227" spans="1:11" hidden="1" x14ac:dyDescent="0.2">
      <c r="A227" s="2274" t="s">
        <v>136</v>
      </c>
      <c r="B227" s="2275"/>
      <c r="C227" s="2275"/>
      <c r="D227" s="42">
        <v>15000</v>
      </c>
      <c r="E227" s="92">
        <v>4</v>
      </c>
      <c r="F227" s="42">
        <f>D227*E227</f>
        <v>60000</v>
      </c>
      <c r="G227" s="53"/>
    </row>
    <row r="228" spans="1:11" hidden="1" x14ac:dyDescent="0.2">
      <c r="A228" s="2274"/>
      <c r="B228" s="2275"/>
      <c r="C228" s="2275"/>
      <c r="D228" s="42"/>
      <c r="E228" s="92"/>
      <c r="F228" s="42"/>
      <c r="G228" s="53"/>
    </row>
    <row r="229" spans="1:11" ht="13.5" hidden="1" thickBot="1" x14ac:dyDescent="0.25">
      <c r="A229" s="2276"/>
      <c r="B229" s="2277"/>
      <c r="C229" s="2277"/>
      <c r="D229" s="57"/>
      <c r="E229" s="81"/>
      <c r="F229" s="57"/>
      <c r="G229" s="58"/>
    </row>
    <row r="230" spans="1:11" ht="13.5" hidden="1" thickBot="1" x14ac:dyDescent="0.25">
      <c r="A230" s="2278" t="s">
        <v>125</v>
      </c>
      <c r="B230" s="2279"/>
      <c r="C230" s="2279"/>
      <c r="D230" s="2279"/>
      <c r="E230" s="2279"/>
      <c r="F230" s="2280"/>
      <c r="G230" s="431">
        <f>SUM(F225:F229)</f>
        <v>140825</v>
      </c>
    </row>
    <row r="231" spans="1:11" ht="13.5" hidden="1" thickBot="1" x14ac:dyDescent="0.25">
      <c r="A231" s="40" t="s">
        <v>123</v>
      </c>
      <c r="B231" s="37"/>
      <c r="C231" s="37"/>
      <c r="D231" s="37"/>
      <c r="E231" s="37"/>
      <c r="F231" s="37"/>
      <c r="G231" s="37"/>
    </row>
    <row r="232" spans="1:11" s="1" customFormat="1" ht="13.5" hidden="1" thickBot="1" x14ac:dyDescent="0.25">
      <c r="A232" s="2281" t="s">
        <v>109</v>
      </c>
      <c r="B232" s="2282"/>
      <c r="C232" s="426" t="s">
        <v>114</v>
      </c>
      <c r="D232" s="426" t="s">
        <v>115</v>
      </c>
      <c r="E232" s="426" t="s">
        <v>116</v>
      </c>
      <c r="F232" s="426" t="s">
        <v>112</v>
      </c>
      <c r="G232" s="427"/>
      <c r="K232" s="434">
        <f>1/J233</f>
        <v>6.9999999999999993E-2</v>
      </c>
    </row>
    <row r="233" spans="1:11" ht="25.5" hidden="1" customHeight="1" x14ac:dyDescent="0.2">
      <c r="A233" s="1540"/>
      <c r="B233" s="1541"/>
      <c r="C233" s="129"/>
      <c r="D233" s="130"/>
      <c r="E233" s="129"/>
      <c r="F233" s="428">
        <f>D233*E233</f>
        <v>0</v>
      </c>
      <c r="G233" s="132"/>
      <c r="I233" s="34" t="s">
        <v>709</v>
      </c>
      <c r="J233" s="34">
        <f>1/(0.7*0.1)</f>
        <v>14.285714285714286</v>
      </c>
      <c r="K233" s="432">
        <f>D233/J233</f>
        <v>0</v>
      </c>
    </row>
    <row r="234" spans="1:11" hidden="1" x14ac:dyDescent="0.2">
      <c r="A234" s="2274"/>
      <c r="B234" s="2275"/>
      <c r="C234" s="134"/>
      <c r="D234" s="135"/>
      <c r="E234" s="134"/>
      <c r="F234" s="429">
        <f>D234*E234</f>
        <v>0</v>
      </c>
      <c r="G234" s="137"/>
      <c r="J234" s="432">
        <f>D233/J233</f>
        <v>0</v>
      </c>
    </row>
    <row r="235" spans="1:11" ht="15.75" hidden="1" customHeight="1" x14ac:dyDescent="0.2">
      <c r="A235" s="2274"/>
      <c r="B235" s="2275"/>
      <c r="C235" s="211"/>
      <c r="D235" s="135"/>
      <c r="E235" s="134"/>
      <c r="F235" s="429"/>
      <c r="G235" s="137"/>
    </row>
    <row r="236" spans="1:11" ht="12" hidden="1" customHeight="1" thickBot="1" x14ac:dyDescent="0.25">
      <c r="A236" s="2276"/>
      <c r="B236" s="2277"/>
      <c r="C236" s="56"/>
      <c r="D236" s="139"/>
      <c r="E236" s="56"/>
      <c r="F236" s="430"/>
      <c r="G236" s="58"/>
    </row>
    <row r="237" spans="1:11" ht="13.5" hidden="1" thickBot="1" x14ac:dyDescent="0.25">
      <c r="A237" s="2278" t="s">
        <v>125</v>
      </c>
      <c r="B237" s="2279"/>
      <c r="C237" s="2279"/>
      <c r="D237" s="2279"/>
      <c r="E237" s="2279"/>
      <c r="F237" s="2280" t="s">
        <v>113</v>
      </c>
      <c r="G237" s="431">
        <f>SUM(F233:F236)</f>
        <v>0</v>
      </c>
    </row>
    <row r="238" spans="1:11" ht="13.5" hidden="1" thickBot="1" x14ac:dyDescent="0.25">
      <c r="A238" s="40" t="s">
        <v>117</v>
      </c>
      <c r="B238" s="37"/>
      <c r="C238" s="37"/>
      <c r="D238" s="37"/>
      <c r="E238" s="37"/>
      <c r="F238" s="37"/>
      <c r="G238" s="37"/>
    </row>
    <row r="239" spans="1:11" s="1" customFormat="1" ht="13.5" hidden="1" thickBot="1" x14ac:dyDescent="0.25">
      <c r="A239" s="1922" t="s">
        <v>109</v>
      </c>
      <c r="B239" s="1923"/>
      <c r="C239" s="64" t="s">
        <v>114</v>
      </c>
      <c r="D239" s="64" t="s">
        <v>115</v>
      </c>
      <c r="E239" s="64" t="s">
        <v>116</v>
      </c>
      <c r="F239" s="64" t="s">
        <v>112</v>
      </c>
      <c r="G239" s="67"/>
    </row>
    <row r="240" spans="1:11" hidden="1" x14ac:dyDescent="0.2">
      <c r="A240" s="1943" t="s">
        <v>206</v>
      </c>
      <c r="B240" s="1945"/>
      <c r="C240" s="43" t="s">
        <v>17</v>
      </c>
      <c r="D240" s="55">
        <v>425000</v>
      </c>
      <c r="E240" s="419">
        <v>1</v>
      </c>
      <c r="F240" s="42">
        <f>D240*E240</f>
        <v>425000</v>
      </c>
      <c r="G240" s="52"/>
    </row>
    <row r="241" spans="1:9" ht="13.5" hidden="1" thickBot="1" x14ac:dyDescent="0.25">
      <c r="A241" s="1930"/>
      <c r="B241" s="1931"/>
      <c r="C241" s="62"/>
      <c r="D241" s="43"/>
      <c r="E241" s="57"/>
      <c r="F241" s="57">
        <f>D241*E241</f>
        <v>0</v>
      </c>
      <c r="G241" s="68"/>
    </row>
    <row r="242" spans="1:9" ht="13.5" hidden="1" thickBot="1" x14ac:dyDescent="0.25">
      <c r="A242" s="1932" t="s">
        <v>125</v>
      </c>
      <c r="B242" s="1933"/>
      <c r="C242" s="1933"/>
      <c r="D242" s="1933"/>
      <c r="E242" s="1933"/>
      <c r="F242" s="1934" t="s">
        <v>113</v>
      </c>
      <c r="G242" s="54">
        <f>SUM(F240:F241)</f>
        <v>425000</v>
      </c>
    </row>
    <row r="243" spans="1:9" ht="13.5" hidden="1" thickBot="1" x14ac:dyDescent="0.25">
      <c r="A243" s="40" t="s">
        <v>119</v>
      </c>
      <c r="B243" s="37"/>
      <c r="C243" s="37"/>
      <c r="D243" s="37"/>
      <c r="E243" s="37"/>
      <c r="F243" s="37"/>
      <c r="G243" s="37"/>
    </row>
    <row r="244" spans="1:9" ht="13.5" hidden="1" thickBot="1" x14ac:dyDescent="0.25">
      <c r="A244" s="1922" t="s">
        <v>120</v>
      </c>
      <c r="B244" s="1923"/>
      <c r="C244" s="63" t="s">
        <v>121</v>
      </c>
      <c r="D244" s="64" t="s">
        <v>116</v>
      </c>
      <c r="E244" s="64" t="s">
        <v>111</v>
      </c>
      <c r="F244" s="64" t="s">
        <v>112</v>
      </c>
      <c r="G244" s="71"/>
    </row>
    <row r="245" spans="1:9" hidden="1" x14ac:dyDescent="0.2">
      <c r="A245" s="2255" t="s">
        <v>21</v>
      </c>
      <c r="B245" s="2256"/>
      <c r="C245" s="74">
        <v>7410.9600847008996</v>
      </c>
      <c r="D245" s="420">
        <v>1</v>
      </c>
      <c r="E245" s="421">
        <v>16</v>
      </c>
      <c r="F245" s="422">
        <f>E245*D245*C245</f>
        <v>118575.36135521439</v>
      </c>
      <c r="G245" s="52"/>
    </row>
    <row r="246" spans="1:9" ht="13.5" hidden="1" thickBot="1" x14ac:dyDescent="0.25">
      <c r="A246" s="2252" t="s">
        <v>22</v>
      </c>
      <c r="B246" s="1927"/>
      <c r="C246" s="73">
        <v>4374.7823749999998</v>
      </c>
      <c r="D246" s="423">
        <v>5</v>
      </c>
      <c r="E246" s="424">
        <f>E245</f>
        <v>16</v>
      </c>
      <c r="F246" s="425">
        <f>E246*D246*C246</f>
        <v>349982.58999999997</v>
      </c>
      <c r="G246" s="58"/>
    </row>
    <row r="247" spans="1:9" ht="13.5" hidden="1" thickBot="1" x14ac:dyDescent="0.25">
      <c r="A247" s="1932" t="str">
        <f>+A242</f>
        <v>SUB-TOTAL</v>
      </c>
      <c r="B247" s="1933"/>
      <c r="C247" s="1933"/>
      <c r="D247" s="1933"/>
      <c r="E247" s="1933"/>
      <c r="F247" s="1934" t="s">
        <v>113</v>
      </c>
      <c r="G247" s="54">
        <f>SUM(F245:F246)</f>
        <v>468557.95135521435</v>
      </c>
    </row>
    <row r="248" spans="1:9" ht="11.25" hidden="1" customHeight="1" thickBot="1" x14ac:dyDescent="0.25">
      <c r="A248" s="37"/>
      <c r="B248" s="37"/>
      <c r="C248" s="37"/>
      <c r="D248" s="37"/>
      <c r="E248" s="37"/>
      <c r="F248" s="45"/>
      <c r="G248" s="37"/>
    </row>
    <row r="249" spans="1:9" ht="13.5" hidden="1" thickBot="1" x14ac:dyDescent="0.25">
      <c r="A249" s="1932" t="s">
        <v>156</v>
      </c>
      <c r="B249" s="1933"/>
      <c r="C249" s="1933"/>
      <c r="D249" s="1933"/>
      <c r="E249" s="1933"/>
      <c r="F249" s="1934"/>
      <c r="G249" s="72">
        <f>ROUND(G230+G237+G242+G247,0)</f>
        <v>1034383</v>
      </c>
      <c r="I249" s="433"/>
    </row>
    <row r="250" spans="1:9" ht="13.5" hidden="1" thickBot="1" x14ac:dyDescent="0.25"/>
    <row r="251" spans="1:9" ht="27" hidden="1" customHeight="1" x14ac:dyDescent="0.2">
      <c r="A251" s="1935" t="s">
        <v>122</v>
      </c>
      <c r="B251" s="1936"/>
      <c r="C251" s="1937"/>
      <c r="D251" s="50"/>
      <c r="E251" s="46"/>
      <c r="F251" s="46"/>
      <c r="G251" s="47"/>
    </row>
    <row r="252" spans="1:9" ht="24" hidden="1" customHeight="1" thickBot="1" x14ac:dyDescent="0.25">
      <c r="A252" s="1938" t="s">
        <v>935</v>
      </c>
      <c r="B252" s="1939"/>
      <c r="C252" s="1940"/>
      <c r="D252" s="48"/>
      <c r="E252" s="48"/>
      <c r="F252" s="48"/>
      <c r="G252" s="49"/>
    </row>
    <row r="253" spans="1:9" ht="70.5" hidden="1" customHeight="1" thickBot="1" x14ac:dyDescent="0.25">
      <c r="A253" s="1558" t="s">
        <v>936</v>
      </c>
      <c r="B253" s="1559"/>
      <c r="C253" s="1560"/>
      <c r="D253" s="1565" t="s">
        <v>719</v>
      </c>
      <c r="E253" s="1559"/>
      <c r="F253" s="1559"/>
      <c r="G253" s="1560"/>
    </row>
    <row r="254" spans="1:9" ht="13.5" hidden="1" thickBot="1" x14ac:dyDescent="0.25">
      <c r="A254" s="38"/>
      <c r="B254" s="38"/>
      <c r="C254" s="38"/>
      <c r="D254" s="38"/>
      <c r="E254" s="38"/>
      <c r="F254" s="38"/>
      <c r="G254" s="38"/>
    </row>
    <row r="255" spans="1:9" ht="12.75" hidden="1" customHeight="1" thickBot="1" x14ac:dyDescent="0.25">
      <c r="A255" s="39"/>
      <c r="B255" s="37"/>
      <c r="D255" s="60" t="s">
        <v>124</v>
      </c>
      <c r="E255" s="61" t="s">
        <v>2</v>
      </c>
      <c r="F255" s="59"/>
      <c r="G255" s="59"/>
      <c r="I255" s="432"/>
    </row>
    <row r="256" spans="1:9" ht="13.5" hidden="1" thickBot="1" x14ac:dyDescent="0.25">
      <c r="A256" s="40" t="s">
        <v>108</v>
      </c>
      <c r="B256" s="37"/>
      <c r="C256" s="37"/>
      <c r="D256" s="37"/>
      <c r="E256" s="37"/>
      <c r="F256" s="37"/>
      <c r="G256" s="37"/>
      <c r="I256" s="432"/>
    </row>
    <row r="257" spans="1:11" s="1" customFormat="1" ht="13.5" hidden="1" customHeight="1" thickBot="1" x14ac:dyDescent="0.25">
      <c r="A257" s="2281" t="s">
        <v>109</v>
      </c>
      <c r="B257" s="2283"/>
      <c r="C257" s="2282"/>
      <c r="D257" s="435" t="s">
        <v>110</v>
      </c>
      <c r="E257" s="435" t="s">
        <v>111</v>
      </c>
      <c r="F257" s="426" t="s">
        <v>112</v>
      </c>
      <c r="G257" s="427"/>
    </row>
    <row r="258" spans="1:11" hidden="1" x14ac:dyDescent="0.2">
      <c r="A258" s="2284" t="s">
        <v>131</v>
      </c>
      <c r="B258" s="2285"/>
      <c r="C258" s="2285"/>
      <c r="D258" s="55">
        <v>10000</v>
      </c>
      <c r="E258" s="80">
        <v>0.4</v>
      </c>
      <c r="F258" s="55">
        <f>D258*E258</f>
        <v>4000</v>
      </c>
      <c r="G258" s="52"/>
    </row>
    <row r="259" spans="1:11" hidden="1" x14ac:dyDescent="0.2">
      <c r="A259" s="2274" t="s">
        <v>938</v>
      </c>
      <c r="B259" s="2275"/>
      <c r="C259" s="2275"/>
      <c r="D259" s="42">
        <v>10000</v>
      </c>
      <c r="E259" s="92">
        <v>8</v>
      </c>
      <c r="F259" s="42">
        <f>D259*E259</f>
        <v>80000</v>
      </c>
      <c r="G259" s="53"/>
    </row>
    <row r="260" spans="1:11" hidden="1" x14ac:dyDescent="0.2">
      <c r="A260" s="2274" t="s">
        <v>136</v>
      </c>
      <c r="B260" s="2275"/>
      <c r="C260" s="2275"/>
      <c r="D260" s="42">
        <v>15000</v>
      </c>
      <c r="E260" s="92">
        <v>4</v>
      </c>
      <c r="F260" s="42">
        <f>D260*E260</f>
        <v>60000</v>
      </c>
      <c r="G260" s="53"/>
    </row>
    <row r="261" spans="1:11" hidden="1" x14ac:dyDescent="0.2">
      <c r="A261" s="2274"/>
      <c r="B261" s="2275"/>
      <c r="C261" s="2275"/>
      <c r="D261" s="42"/>
      <c r="E261" s="92"/>
      <c r="F261" s="42"/>
      <c r="G261" s="53"/>
    </row>
    <row r="262" spans="1:11" ht="13.5" hidden="1" thickBot="1" x14ac:dyDescent="0.25">
      <c r="A262" s="2276"/>
      <c r="B262" s="2277"/>
      <c r="C262" s="2277"/>
      <c r="D262" s="57"/>
      <c r="E262" s="81"/>
      <c r="F262" s="57"/>
      <c r="G262" s="58"/>
    </row>
    <row r="263" spans="1:11" ht="13.5" hidden="1" thickBot="1" x14ac:dyDescent="0.25">
      <c r="A263" s="2278" t="s">
        <v>125</v>
      </c>
      <c r="B263" s="2279"/>
      <c r="C263" s="2279"/>
      <c r="D263" s="2279"/>
      <c r="E263" s="2279"/>
      <c r="F263" s="2280"/>
      <c r="G263" s="431">
        <f>SUM(F258:F262)</f>
        <v>144000</v>
      </c>
    </row>
    <row r="264" spans="1:11" ht="13.5" hidden="1" thickBot="1" x14ac:dyDescent="0.25">
      <c r="A264" s="40" t="s">
        <v>123</v>
      </c>
      <c r="B264" s="37"/>
      <c r="C264" s="37"/>
      <c r="D264" s="37"/>
      <c r="E264" s="37"/>
      <c r="F264" s="37"/>
      <c r="G264" s="37"/>
    </row>
    <row r="265" spans="1:11" s="1" customFormat="1" ht="13.5" hidden="1" thickBot="1" x14ac:dyDescent="0.25">
      <c r="A265" s="2281" t="s">
        <v>109</v>
      </c>
      <c r="B265" s="2282"/>
      <c r="C265" s="426" t="s">
        <v>114</v>
      </c>
      <c r="D265" s="426" t="s">
        <v>115</v>
      </c>
      <c r="E265" s="426" t="s">
        <v>116</v>
      </c>
      <c r="F265" s="426" t="s">
        <v>112</v>
      </c>
      <c r="G265" s="427"/>
      <c r="K265" s="434">
        <f>1/J266</f>
        <v>6.9999999999999993E-2</v>
      </c>
    </row>
    <row r="266" spans="1:11" ht="16.5" hidden="1" customHeight="1" x14ac:dyDescent="0.2">
      <c r="A266" s="1540"/>
      <c r="B266" s="1541"/>
      <c r="C266" s="129"/>
      <c r="D266" s="130"/>
      <c r="E266" s="129"/>
      <c r="F266" s="428">
        <f>D266*E266</f>
        <v>0</v>
      </c>
      <c r="G266" s="132"/>
      <c r="I266" s="34" t="s">
        <v>709</v>
      </c>
      <c r="J266" s="34">
        <f>1/(0.7*0.1)</f>
        <v>14.285714285714286</v>
      </c>
      <c r="K266" s="432">
        <f>D266/J266</f>
        <v>0</v>
      </c>
    </row>
    <row r="267" spans="1:11" hidden="1" x14ac:dyDescent="0.2">
      <c r="A267" s="2274"/>
      <c r="B267" s="2275"/>
      <c r="C267" s="134"/>
      <c r="D267" s="135"/>
      <c r="E267" s="134"/>
      <c r="F267" s="429">
        <f>D267*E267</f>
        <v>0</v>
      </c>
      <c r="G267" s="137"/>
      <c r="J267" s="432">
        <f>D266/J266</f>
        <v>0</v>
      </c>
    </row>
    <row r="268" spans="1:11" ht="15.75" hidden="1" customHeight="1" x14ac:dyDescent="0.2">
      <c r="A268" s="2274"/>
      <c r="B268" s="2275"/>
      <c r="C268" s="211"/>
      <c r="D268" s="135"/>
      <c r="E268" s="134"/>
      <c r="F268" s="429"/>
      <c r="G268" s="137"/>
    </row>
    <row r="269" spans="1:11" ht="12" hidden="1" customHeight="1" thickBot="1" x14ac:dyDescent="0.25">
      <c r="A269" s="2276"/>
      <c r="B269" s="2277"/>
      <c r="C269" s="56"/>
      <c r="D269" s="139"/>
      <c r="E269" s="56"/>
      <c r="F269" s="430"/>
      <c r="G269" s="58"/>
    </row>
    <row r="270" spans="1:11" ht="13.5" hidden="1" thickBot="1" x14ac:dyDescent="0.25">
      <c r="A270" s="2278" t="s">
        <v>125</v>
      </c>
      <c r="B270" s="2279"/>
      <c r="C270" s="2279"/>
      <c r="D270" s="2279"/>
      <c r="E270" s="2279"/>
      <c r="F270" s="2280" t="s">
        <v>113</v>
      </c>
      <c r="G270" s="431">
        <f>SUM(F266:F269)</f>
        <v>0</v>
      </c>
    </row>
    <row r="271" spans="1:11" ht="13.5" hidden="1" thickBot="1" x14ac:dyDescent="0.25">
      <c r="A271" s="40" t="s">
        <v>117</v>
      </c>
      <c r="B271" s="37"/>
      <c r="C271" s="37"/>
      <c r="D271" s="37"/>
      <c r="E271" s="37"/>
      <c r="F271" s="37"/>
      <c r="G271" s="37"/>
    </row>
    <row r="272" spans="1:11" s="1" customFormat="1" ht="13.5" hidden="1" thickBot="1" x14ac:dyDescent="0.25">
      <c r="A272" s="1922" t="s">
        <v>109</v>
      </c>
      <c r="B272" s="1923"/>
      <c r="C272" s="64" t="s">
        <v>114</v>
      </c>
      <c r="D272" s="64" t="s">
        <v>115</v>
      </c>
      <c r="E272" s="64" t="s">
        <v>116</v>
      </c>
      <c r="F272" s="64" t="s">
        <v>112</v>
      </c>
      <c r="G272" s="67"/>
    </row>
    <row r="273" spans="1:9" hidden="1" x14ac:dyDescent="0.2">
      <c r="A273" s="1943" t="s">
        <v>206</v>
      </c>
      <c r="B273" s="1945"/>
      <c r="C273" s="43" t="s">
        <v>17</v>
      </c>
      <c r="D273" s="55">
        <v>425000</v>
      </c>
      <c r="E273" s="419">
        <v>2</v>
      </c>
      <c r="F273" s="42">
        <f>D273*E273</f>
        <v>850000</v>
      </c>
      <c r="G273" s="52"/>
    </row>
    <row r="274" spans="1:9" ht="13.5" hidden="1" thickBot="1" x14ac:dyDescent="0.25">
      <c r="A274" s="1930"/>
      <c r="B274" s="1931"/>
      <c r="C274" s="62"/>
      <c r="D274" s="43"/>
      <c r="E274" s="57"/>
      <c r="F274" s="57">
        <f>D274*E274</f>
        <v>0</v>
      </c>
      <c r="G274" s="68"/>
    </row>
    <row r="275" spans="1:9" ht="13.5" hidden="1" thickBot="1" x14ac:dyDescent="0.25">
      <c r="A275" s="1932" t="s">
        <v>125</v>
      </c>
      <c r="B275" s="1933"/>
      <c r="C275" s="1933"/>
      <c r="D275" s="1933"/>
      <c r="E275" s="1933"/>
      <c r="F275" s="1934" t="s">
        <v>113</v>
      </c>
      <c r="G275" s="54">
        <f>SUM(F273:F274)</f>
        <v>850000</v>
      </c>
    </row>
    <row r="276" spans="1:9" ht="13.5" hidden="1" thickBot="1" x14ac:dyDescent="0.25">
      <c r="A276" s="40" t="s">
        <v>119</v>
      </c>
      <c r="B276" s="37"/>
      <c r="C276" s="37"/>
      <c r="D276" s="37"/>
      <c r="E276" s="37"/>
      <c r="F276" s="37"/>
      <c r="G276" s="37"/>
    </row>
    <row r="277" spans="1:9" ht="13.5" hidden="1" thickBot="1" x14ac:dyDescent="0.25">
      <c r="A277" s="1922" t="s">
        <v>120</v>
      </c>
      <c r="B277" s="1923"/>
      <c r="C277" s="63" t="s">
        <v>121</v>
      </c>
      <c r="D277" s="64" t="s">
        <v>116</v>
      </c>
      <c r="E277" s="64" t="s">
        <v>111</v>
      </c>
      <c r="F277" s="64" t="s">
        <v>112</v>
      </c>
      <c r="G277" s="71"/>
    </row>
    <row r="278" spans="1:9" hidden="1" x14ac:dyDescent="0.2">
      <c r="A278" s="2255" t="s">
        <v>21</v>
      </c>
      <c r="B278" s="2256"/>
      <c r="C278" s="74">
        <v>7410.9600847008996</v>
      </c>
      <c r="D278" s="420">
        <v>1</v>
      </c>
      <c r="E278" s="421">
        <v>16</v>
      </c>
      <c r="F278" s="422">
        <f>E278*D278*C278</f>
        <v>118575.36135521439</v>
      </c>
      <c r="G278" s="52"/>
    </row>
    <row r="279" spans="1:9" ht="13.5" hidden="1" thickBot="1" x14ac:dyDescent="0.25">
      <c r="A279" s="2252" t="s">
        <v>22</v>
      </c>
      <c r="B279" s="1927"/>
      <c r="C279" s="73">
        <v>4374.7823749999998</v>
      </c>
      <c r="D279" s="423">
        <v>5</v>
      </c>
      <c r="E279" s="424">
        <f>E278</f>
        <v>16</v>
      </c>
      <c r="F279" s="425">
        <f>E279*D279*C279</f>
        <v>349982.58999999997</v>
      </c>
      <c r="G279" s="58"/>
    </row>
    <row r="280" spans="1:9" ht="13.5" hidden="1" thickBot="1" x14ac:dyDescent="0.25">
      <c r="A280" s="1932" t="str">
        <f>+A275</f>
        <v>SUB-TOTAL</v>
      </c>
      <c r="B280" s="1933"/>
      <c r="C280" s="1933"/>
      <c r="D280" s="1933"/>
      <c r="E280" s="1933"/>
      <c r="F280" s="1934" t="s">
        <v>113</v>
      </c>
      <c r="G280" s="54">
        <f>SUM(F278:F279)</f>
        <v>468557.95135521435</v>
      </c>
    </row>
    <row r="281" spans="1:9" ht="11.25" hidden="1" customHeight="1" thickBot="1" x14ac:dyDescent="0.25">
      <c r="A281" s="37"/>
      <c r="B281" s="37"/>
      <c r="C281" s="37"/>
      <c r="D281" s="37"/>
      <c r="E281" s="37"/>
      <c r="F281" s="45"/>
      <c r="G281" s="37"/>
    </row>
    <row r="282" spans="1:9" ht="13.5" hidden="1" thickBot="1" x14ac:dyDescent="0.25">
      <c r="A282" s="1932" t="s">
        <v>156</v>
      </c>
      <c r="B282" s="1933"/>
      <c r="C282" s="1933"/>
      <c r="D282" s="1933"/>
      <c r="E282" s="1933"/>
      <c r="F282" s="1934"/>
      <c r="G282" s="72">
        <f>ROUND(G263+G270+G275+G280,0)</f>
        <v>1462558</v>
      </c>
      <c r="I282" s="433"/>
    </row>
    <row r="283" spans="1:9" ht="13.5" hidden="1" thickBot="1" x14ac:dyDescent="0.25"/>
    <row r="284" spans="1:9" ht="27" hidden="1" customHeight="1" x14ac:dyDescent="0.2">
      <c r="A284" s="1935" t="s">
        <v>122</v>
      </c>
      <c r="B284" s="1936"/>
      <c r="C284" s="1937"/>
      <c r="D284" s="50"/>
      <c r="E284" s="46"/>
      <c r="F284" s="46"/>
      <c r="G284" s="47"/>
    </row>
    <row r="285" spans="1:9" ht="24" hidden="1" customHeight="1" thickBot="1" x14ac:dyDescent="0.25">
      <c r="A285" s="1938" t="s">
        <v>935</v>
      </c>
      <c r="B285" s="1939"/>
      <c r="C285" s="1940"/>
      <c r="D285" s="48"/>
      <c r="E285" s="48"/>
      <c r="F285" s="48"/>
      <c r="G285" s="49"/>
    </row>
    <row r="286" spans="1:9" ht="70.5" hidden="1" customHeight="1" thickBot="1" x14ac:dyDescent="0.25">
      <c r="A286" s="1558" t="s">
        <v>936</v>
      </c>
      <c r="B286" s="1559"/>
      <c r="C286" s="1560"/>
      <c r="D286" s="1565" t="s">
        <v>720</v>
      </c>
      <c r="E286" s="1559"/>
      <c r="F286" s="1559"/>
      <c r="G286" s="1560"/>
    </row>
    <row r="287" spans="1:9" ht="13.5" hidden="1" thickBot="1" x14ac:dyDescent="0.25">
      <c r="A287" s="38"/>
      <c r="B287" s="38"/>
      <c r="C287" s="38"/>
      <c r="D287" s="38"/>
      <c r="E287" s="38"/>
      <c r="F287" s="38"/>
      <c r="G287" s="38"/>
    </row>
    <row r="288" spans="1:9" ht="12.75" hidden="1" customHeight="1" thickBot="1" x14ac:dyDescent="0.25">
      <c r="A288" s="39"/>
      <c r="B288" s="37"/>
      <c r="D288" s="60" t="s">
        <v>124</v>
      </c>
      <c r="E288" s="61" t="s">
        <v>2</v>
      </c>
      <c r="F288" s="59"/>
      <c r="G288" s="59"/>
      <c r="I288" s="432"/>
    </row>
    <row r="289" spans="1:11" ht="13.5" hidden="1" thickBot="1" x14ac:dyDescent="0.25">
      <c r="A289" s="40" t="s">
        <v>108</v>
      </c>
      <c r="B289" s="37"/>
      <c r="C289" s="37"/>
      <c r="D289" s="37"/>
      <c r="E289" s="37"/>
      <c r="F289" s="37"/>
      <c r="G289" s="37"/>
      <c r="I289" s="432"/>
    </row>
    <row r="290" spans="1:11" s="1" customFormat="1" ht="13.5" hidden="1" customHeight="1" thickBot="1" x14ac:dyDescent="0.25">
      <c r="A290" s="2281" t="s">
        <v>109</v>
      </c>
      <c r="B290" s="2283"/>
      <c r="C290" s="2282"/>
      <c r="D290" s="435" t="s">
        <v>110</v>
      </c>
      <c r="E290" s="435" t="s">
        <v>111</v>
      </c>
      <c r="F290" s="426" t="s">
        <v>112</v>
      </c>
      <c r="G290" s="427"/>
    </row>
    <row r="291" spans="1:11" hidden="1" x14ac:dyDescent="0.2">
      <c r="A291" s="2284" t="s">
        <v>131</v>
      </c>
      <c r="B291" s="2285"/>
      <c r="C291" s="2285"/>
      <c r="D291" s="55">
        <v>481.25</v>
      </c>
      <c r="E291" s="80">
        <v>0.4</v>
      </c>
      <c r="F291" s="55">
        <f>D291*E291</f>
        <v>192.5</v>
      </c>
      <c r="G291" s="52"/>
    </row>
    <row r="292" spans="1:11" hidden="1" x14ac:dyDescent="0.2">
      <c r="A292" s="2274" t="s">
        <v>938</v>
      </c>
      <c r="B292" s="2275"/>
      <c r="C292" s="2275"/>
      <c r="D292" s="42">
        <v>10000</v>
      </c>
      <c r="E292" s="92">
        <v>8</v>
      </c>
      <c r="F292" s="42">
        <f>D292*E292</f>
        <v>80000</v>
      </c>
      <c r="G292" s="53"/>
    </row>
    <row r="293" spans="1:11" hidden="1" x14ac:dyDescent="0.2">
      <c r="A293" s="2274" t="s">
        <v>136</v>
      </c>
      <c r="B293" s="2275"/>
      <c r="C293" s="2275"/>
      <c r="D293" s="42">
        <v>15000</v>
      </c>
      <c r="E293" s="92">
        <v>4</v>
      </c>
      <c r="F293" s="42">
        <f>D293*E293</f>
        <v>60000</v>
      </c>
      <c r="G293" s="53"/>
    </row>
    <row r="294" spans="1:11" hidden="1" x14ac:dyDescent="0.2">
      <c r="A294" s="2274"/>
      <c r="B294" s="2275"/>
      <c r="C294" s="2275"/>
      <c r="D294" s="42"/>
      <c r="E294" s="92"/>
      <c r="F294" s="42"/>
      <c r="G294" s="53"/>
    </row>
    <row r="295" spans="1:11" ht="13.5" hidden="1" thickBot="1" x14ac:dyDescent="0.25">
      <c r="A295" s="2276"/>
      <c r="B295" s="2277"/>
      <c r="C295" s="2277"/>
      <c r="D295" s="57"/>
      <c r="E295" s="81"/>
      <c r="F295" s="57"/>
      <c r="G295" s="58"/>
    </row>
    <row r="296" spans="1:11" ht="13.5" hidden="1" thickBot="1" x14ac:dyDescent="0.25">
      <c r="A296" s="2278" t="s">
        <v>125</v>
      </c>
      <c r="B296" s="2279"/>
      <c r="C296" s="2279"/>
      <c r="D296" s="2279"/>
      <c r="E296" s="2279"/>
      <c r="F296" s="2280"/>
      <c r="G296" s="431">
        <f>SUM(F291:F295)</f>
        <v>140192.5</v>
      </c>
    </row>
    <row r="297" spans="1:11" ht="13.5" hidden="1" thickBot="1" x14ac:dyDescent="0.25">
      <c r="A297" s="40" t="s">
        <v>123</v>
      </c>
      <c r="B297" s="37"/>
      <c r="C297" s="37"/>
      <c r="D297" s="37"/>
      <c r="E297" s="37"/>
      <c r="F297" s="37"/>
      <c r="G297" s="37"/>
    </row>
    <row r="298" spans="1:11" s="1" customFormat="1" ht="13.5" hidden="1" thickBot="1" x14ac:dyDescent="0.25">
      <c r="A298" s="2281" t="s">
        <v>109</v>
      </c>
      <c r="B298" s="2282"/>
      <c r="C298" s="426" t="s">
        <v>114</v>
      </c>
      <c r="D298" s="426" t="s">
        <v>115</v>
      </c>
      <c r="E298" s="426" t="s">
        <v>116</v>
      </c>
      <c r="F298" s="426" t="s">
        <v>112</v>
      </c>
      <c r="G298" s="427"/>
      <c r="K298" s="434">
        <f>1/J299</f>
        <v>6.9999999999999993E-2</v>
      </c>
    </row>
    <row r="299" spans="1:11" ht="25.5" hidden="1" customHeight="1" x14ac:dyDescent="0.2">
      <c r="A299" s="1540"/>
      <c r="B299" s="1541"/>
      <c r="C299" s="129"/>
      <c r="D299" s="130"/>
      <c r="E299" s="129"/>
      <c r="F299" s="428">
        <f>D299*E299</f>
        <v>0</v>
      </c>
      <c r="G299" s="132"/>
      <c r="I299" s="34" t="s">
        <v>709</v>
      </c>
      <c r="J299" s="34">
        <f>1/(0.7*0.1)</f>
        <v>14.285714285714286</v>
      </c>
      <c r="K299" s="432">
        <f>D299/J299</f>
        <v>0</v>
      </c>
    </row>
    <row r="300" spans="1:11" hidden="1" x14ac:dyDescent="0.2">
      <c r="A300" s="2274"/>
      <c r="B300" s="2275"/>
      <c r="C300" s="134"/>
      <c r="D300" s="135"/>
      <c r="E300" s="134"/>
      <c r="F300" s="429">
        <f>D300*E300</f>
        <v>0</v>
      </c>
      <c r="G300" s="137"/>
      <c r="J300" s="432">
        <f>D299/J299</f>
        <v>0</v>
      </c>
    </row>
    <row r="301" spans="1:11" ht="15.75" hidden="1" customHeight="1" x14ac:dyDescent="0.2">
      <c r="A301" s="2274"/>
      <c r="B301" s="2275"/>
      <c r="C301" s="211"/>
      <c r="D301" s="135"/>
      <c r="E301" s="134"/>
      <c r="F301" s="429"/>
      <c r="G301" s="137"/>
    </row>
    <row r="302" spans="1:11" ht="12" hidden="1" customHeight="1" thickBot="1" x14ac:dyDescent="0.25">
      <c r="A302" s="2276"/>
      <c r="B302" s="2277"/>
      <c r="C302" s="56"/>
      <c r="D302" s="139"/>
      <c r="E302" s="56"/>
      <c r="F302" s="430"/>
      <c r="G302" s="58"/>
    </row>
    <row r="303" spans="1:11" ht="13.5" hidden="1" thickBot="1" x14ac:dyDescent="0.25">
      <c r="A303" s="2278" t="s">
        <v>125</v>
      </c>
      <c r="B303" s="2279"/>
      <c r="C303" s="2279"/>
      <c r="D303" s="2279"/>
      <c r="E303" s="2279"/>
      <c r="F303" s="2280" t="s">
        <v>113</v>
      </c>
      <c r="G303" s="431">
        <f>SUM(F299:F302)</f>
        <v>0</v>
      </c>
    </row>
    <row r="304" spans="1:11" ht="13.5" hidden="1" thickBot="1" x14ac:dyDescent="0.25">
      <c r="A304" s="40" t="s">
        <v>117</v>
      </c>
      <c r="B304" s="37"/>
      <c r="C304" s="37"/>
      <c r="D304" s="37"/>
      <c r="E304" s="37"/>
      <c r="F304" s="37"/>
      <c r="G304" s="37"/>
    </row>
    <row r="305" spans="1:9" s="1" customFormat="1" ht="13.5" hidden="1" thickBot="1" x14ac:dyDescent="0.25">
      <c r="A305" s="1922" t="s">
        <v>109</v>
      </c>
      <c r="B305" s="1923"/>
      <c r="C305" s="64" t="s">
        <v>114</v>
      </c>
      <c r="D305" s="64" t="s">
        <v>115</v>
      </c>
      <c r="E305" s="64" t="s">
        <v>116</v>
      </c>
      <c r="F305" s="64" t="s">
        <v>112</v>
      </c>
      <c r="G305" s="67"/>
    </row>
    <row r="306" spans="1:9" hidden="1" x14ac:dyDescent="0.2">
      <c r="A306" s="1943" t="s">
        <v>206</v>
      </c>
      <c r="B306" s="1945"/>
      <c r="C306" s="43" t="s">
        <v>17</v>
      </c>
      <c r="D306" s="55">
        <v>425000</v>
      </c>
      <c r="E306" s="419">
        <v>1.5</v>
      </c>
      <c r="F306" s="42">
        <f>D306*E306</f>
        <v>637500</v>
      </c>
      <c r="G306" s="52"/>
    </row>
    <row r="307" spans="1:9" ht="13.5" hidden="1" thickBot="1" x14ac:dyDescent="0.25">
      <c r="A307" s="1930"/>
      <c r="B307" s="1931"/>
      <c r="C307" s="62"/>
      <c r="D307" s="43"/>
      <c r="E307" s="57"/>
      <c r="F307" s="57">
        <f>D307*E307</f>
        <v>0</v>
      </c>
      <c r="G307" s="68"/>
    </row>
    <row r="308" spans="1:9" ht="13.5" hidden="1" thickBot="1" x14ac:dyDescent="0.25">
      <c r="A308" s="1932" t="s">
        <v>125</v>
      </c>
      <c r="B308" s="1933"/>
      <c r="C308" s="1933"/>
      <c r="D308" s="1933"/>
      <c r="E308" s="1933"/>
      <c r="F308" s="1934" t="s">
        <v>113</v>
      </c>
      <c r="G308" s="54">
        <f>SUM(F306:F307)</f>
        <v>637500</v>
      </c>
    </row>
    <row r="309" spans="1:9" ht="13.5" hidden="1" thickBot="1" x14ac:dyDescent="0.25">
      <c r="A309" s="40" t="s">
        <v>119</v>
      </c>
      <c r="B309" s="37"/>
      <c r="C309" s="37"/>
      <c r="D309" s="37"/>
      <c r="E309" s="37"/>
      <c r="F309" s="37"/>
      <c r="G309" s="37"/>
    </row>
    <row r="310" spans="1:9" ht="13.5" hidden="1" thickBot="1" x14ac:dyDescent="0.25">
      <c r="A310" s="1922" t="s">
        <v>120</v>
      </c>
      <c r="B310" s="1923"/>
      <c r="C310" s="63" t="s">
        <v>121</v>
      </c>
      <c r="D310" s="64" t="s">
        <v>116</v>
      </c>
      <c r="E310" s="64" t="s">
        <v>111</v>
      </c>
      <c r="F310" s="64" t="s">
        <v>112</v>
      </c>
      <c r="G310" s="71"/>
    </row>
    <row r="311" spans="1:9" hidden="1" x14ac:dyDescent="0.2">
      <c r="A311" s="2255" t="s">
        <v>21</v>
      </c>
      <c r="B311" s="2256"/>
      <c r="C311" s="74">
        <v>7410.9600847008996</v>
      </c>
      <c r="D311" s="420">
        <v>1</v>
      </c>
      <c r="E311" s="421">
        <v>16</v>
      </c>
      <c r="F311" s="422">
        <f>E311*D311*C311</f>
        <v>118575.36135521439</v>
      </c>
      <c r="G311" s="52"/>
    </row>
    <row r="312" spans="1:9" ht="13.5" hidden="1" thickBot="1" x14ac:dyDescent="0.25">
      <c r="A312" s="2252" t="s">
        <v>22</v>
      </c>
      <c r="B312" s="1927"/>
      <c r="C312" s="73">
        <v>4374.7823749999998</v>
      </c>
      <c r="D312" s="423">
        <v>4</v>
      </c>
      <c r="E312" s="424">
        <f>E311</f>
        <v>16</v>
      </c>
      <c r="F312" s="425">
        <f>E312*D312*C312</f>
        <v>279986.07199999999</v>
      </c>
      <c r="G312" s="58"/>
    </row>
    <row r="313" spans="1:9" ht="13.5" hidden="1" thickBot="1" x14ac:dyDescent="0.25">
      <c r="A313" s="1932" t="str">
        <f>+A308</f>
        <v>SUB-TOTAL</v>
      </c>
      <c r="B313" s="1933"/>
      <c r="C313" s="1933"/>
      <c r="D313" s="1933"/>
      <c r="E313" s="1933"/>
      <c r="F313" s="1934" t="s">
        <v>113</v>
      </c>
      <c r="G313" s="54">
        <f>SUM(F311:F312)</f>
        <v>398561.43335521437</v>
      </c>
    </row>
    <row r="314" spans="1:9" ht="11.25" hidden="1" customHeight="1" thickBot="1" x14ac:dyDescent="0.25">
      <c r="A314" s="37"/>
      <c r="B314" s="37"/>
      <c r="C314" s="37"/>
      <c r="D314" s="37"/>
      <c r="E314" s="37"/>
      <c r="F314" s="45"/>
      <c r="G314" s="37"/>
    </row>
    <row r="315" spans="1:9" ht="13.5" hidden="1" thickBot="1" x14ac:dyDescent="0.25">
      <c r="A315" s="1932" t="s">
        <v>156</v>
      </c>
      <c r="B315" s="1933"/>
      <c r="C315" s="1933"/>
      <c r="D315" s="1933"/>
      <c r="E315" s="1933"/>
      <c r="F315" s="1934"/>
      <c r="G315" s="72">
        <f>ROUND(G296+G303+G308+G313,0)</f>
        <v>1176254</v>
      </c>
      <c r="I315" s="433"/>
    </row>
    <row r="316" spans="1:9" ht="27" hidden="1" customHeight="1" x14ac:dyDescent="0.2">
      <c r="A316" s="1935" t="s">
        <v>122</v>
      </c>
      <c r="B316" s="1936"/>
      <c r="C316" s="1937"/>
      <c r="D316" s="50"/>
      <c r="E316" s="46"/>
      <c r="F316" s="46"/>
      <c r="G316" s="47"/>
    </row>
    <row r="317" spans="1:9" ht="24" hidden="1" customHeight="1" thickBot="1" x14ac:dyDescent="0.25">
      <c r="A317" s="1938" t="s">
        <v>935</v>
      </c>
      <c r="B317" s="1939"/>
      <c r="C317" s="1940"/>
      <c r="D317" s="48"/>
      <c r="E317" s="48"/>
      <c r="F317" s="48"/>
      <c r="G317" s="49"/>
    </row>
    <row r="318" spans="1:9" ht="70.5" hidden="1" customHeight="1" thickBot="1" x14ac:dyDescent="0.25">
      <c r="A318" s="1558" t="s">
        <v>936</v>
      </c>
      <c r="B318" s="1559"/>
      <c r="C318" s="1560"/>
      <c r="D318" s="1565" t="s">
        <v>721</v>
      </c>
      <c r="E318" s="1559"/>
      <c r="F318" s="1559"/>
      <c r="G318" s="1560"/>
    </row>
    <row r="319" spans="1:9" ht="13.5" hidden="1" thickBot="1" x14ac:dyDescent="0.25">
      <c r="A319" s="38"/>
      <c r="B319" s="38"/>
      <c r="C319" s="38"/>
      <c r="D319" s="38"/>
      <c r="E319" s="38"/>
      <c r="F319" s="38"/>
      <c r="G319" s="38"/>
    </row>
    <row r="320" spans="1:9" ht="12.75" hidden="1" customHeight="1" thickBot="1" x14ac:dyDescent="0.25">
      <c r="A320" s="39"/>
      <c r="B320" s="37"/>
      <c r="D320" s="60" t="s">
        <v>124</v>
      </c>
      <c r="E320" s="61" t="s">
        <v>2</v>
      </c>
      <c r="F320" s="59"/>
      <c r="G320" s="59"/>
      <c r="I320" s="432"/>
    </row>
    <row r="321" spans="1:11" ht="13.5" hidden="1" thickBot="1" x14ac:dyDescent="0.25">
      <c r="A321" s="40" t="s">
        <v>108</v>
      </c>
      <c r="B321" s="37"/>
      <c r="C321" s="37"/>
      <c r="D321" s="37"/>
      <c r="E321" s="37"/>
      <c r="F321" s="37"/>
      <c r="G321" s="37"/>
      <c r="I321" s="432"/>
    </row>
    <row r="322" spans="1:11" s="1" customFormat="1" ht="13.5" hidden="1" customHeight="1" thickBot="1" x14ac:dyDescent="0.25">
      <c r="A322" s="2281" t="s">
        <v>109</v>
      </c>
      <c r="B322" s="2283"/>
      <c r="C322" s="2282"/>
      <c r="D322" s="435" t="s">
        <v>110</v>
      </c>
      <c r="E322" s="435" t="s">
        <v>111</v>
      </c>
      <c r="F322" s="426" t="s">
        <v>112</v>
      </c>
      <c r="G322" s="427"/>
    </row>
    <row r="323" spans="1:11" hidden="1" x14ac:dyDescent="0.2">
      <c r="A323" s="2284" t="s">
        <v>131</v>
      </c>
      <c r="B323" s="2285"/>
      <c r="C323" s="2285"/>
      <c r="D323" s="55">
        <v>481.25</v>
      </c>
      <c r="E323" s="80">
        <v>0.4</v>
      </c>
      <c r="F323" s="55">
        <f>D323*E323</f>
        <v>192.5</v>
      </c>
      <c r="G323" s="52"/>
    </row>
    <row r="324" spans="1:11" hidden="1" x14ac:dyDescent="0.2">
      <c r="A324" s="2274"/>
      <c r="B324" s="2275"/>
      <c r="C324" s="2275"/>
      <c r="D324" s="42"/>
      <c r="E324" s="92"/>
      <c r="F324" s="42"/>
      <c r="G324" s="53"/>
    </row>
    <row r="325" spans="1:11" hidden="1" x14ac:dyDescent="0.2">
      <c r="A325" s="2274"/>
      <c r="B325" s="2275"/>
      <c r="C325" s="2275"/>
      <c r="D325" s="42"/>
      <c r="E325" s="92"/>
      <c r="F325" s="42"/>
      <c r="G325" s="53"/>
    </row>
    <row r="326" spans="1:11" hidden="1" x14ac:dyDescent="0.2">
      <c r="A326" s="2274"/>
      <c r="B326" s="2275"/>
      <c r="C326" s="2275"/>
      <c r="D326" s="42"/>
      <c r="E326" s="92"/>
      <c r="F326" s="42"/>
      <c r="G326" s="53"/>
    </row>
    <row r="327" spans="1:11" ht="13.5" hidden="1" thickBot="1" x14ac:dyDescent="0.25">
      <c r="A327" s="2276"/>
      <c r="B327" s="2277"/>
      <c r="C327" s="2277"/>
      <c r="D327" s="57"/>
      <c r="E327" s="81"/>
      <c r="F327" s="57"/>
      <c r="G327" s="58"/>
    </row>
    <row r="328" spans="1:11" ht="13.5" hidden="1" thickBot="1" x14ac:dyDescent="0.25">
      <c r="A328" s="2278" t="s">
        <v>125</v>
      </c>
      <c r="B328" s="2279"/>
      <c r="C328" s="2279"/>
      <c r="D328" s="2279"/>
      <c r="E328" s="2279"/>
      <c r="F328" s="2280"/>
      <c r="G328" s="431">
        <f>SUM(F323:F327)</f>
        <v>192.5</v>
      </c>
    </row>
    <row r="329" spans="1:11" ht="13.5" hidden="1" thickBot="1" x14ac:dyDescent="0.25">
      <c r="A329" s="40" t="s">
        <v>123</v>
      </c>
      <c r="B329" s="37"/>
      <c r="C329" s="37"/>
      <c r="D329" s="37"/>
      <c r="E329" s="37"/>
      <c r="F329" s="37"/>
      <c r="G329" s="37"/>
    </row>
    <row r="330" spans="1:11" s="1" customFormat="1" ht="13.5" hidden="1" thickBot="1" x14ac:dyDescent="0.25">
      <c r="A330" s="2281" t="s">
        <v>109</v>
      </c>
      <c r="B330" s="2282"/>
      <c r="C330" s="426" t="s">
        <v>114</v>
      </c>
      <c r="D330" s="426" t="s">
        <v>115</v>
      </c>
      <c r="E330" s="426" t="s">
        <v>116</v>
      </c>
      <c r="F330" s="426" t="s">
        <v>112</v>
      </c>
      <c r="G330" s="427"/>
      <c r="K330" s="434">
        <f>1/J331</f>
        <v>6.9999999999999993E-2</v>
      </c>
    </row>
    <row r="331" spans="1:11" ht="15" hidden="1" customHeight="1" x14ac:dyDescent="0.2">
      <c r="A331" s="1540" t="s">
        <v>722</v>
      </c>
      <c r="B331" s="1541"/>
      <c r="C331" s="129" t="s">
        <v>105</v>
      </c>
      <c r="D331" s="130">
        <v>35000</v>
      </c>
      <c r="E331" s="129">
        <v>0.2</v>
      </c>
      <c r="F331" s="428">
        <f>D331*E331</f>
        <v>7000</v>
      </c>
      <c r="G331" s="132"/>
      <c r="I331" s="34" t="s">
        <v>709</v>
      </c>
      <c r="J331" s="34">
        <f>1/(0.7*0.1)</f>
        <v>14.285714285714286</v>
      </c>
      <c r="K331" s="432">
        <f>D331/J331</f>
        <v>2450</v>
      </c>
    </row>
    <row r="332" spans="1:11" hidden="1" x14ac:dyDescent="0.2">
      <c r="A332" s="2274"/>
      <c r="B332" s="2275"/>
      <c r="C332" s="134"/>
      <c r="D332" s="135"/>
      <c r="E332" s="134"/>
      <c r="F332" s="429">
        <f>D332*E332</f>
        <v>0</v>
      </c>
      <c r="G332" s="137"/>
      <c r="J332" s="432">
        <f>D331/J331</f>
        <v>2450</v>
      </c>
    </row>
    <row r="333" spans="1:11" ht="15.75" hidden="1" customHeight="1" x14ac:dyDescent="0.2">
      <c r="A333" s="2274"/>
      <c r="B333" s="2275"/>
      <c r="C333" s="211"/>
      <c r="D333" s="135"/>
      <c r="E333" s="134"/>
      <c r="F333" s="429"/>
      <c r="G333" s="137"/>
    </row>
    <row r="334" spans="1:11" ht="12" hidden="1" customHeight="1" thickBot="1" x14ac:dyDescent="0.25">
      <c r="A334" s="2276"/>
      <c r="B334" s="2277"/>
      <c r="C334" s="56"/>
      <c r="D334" s="139"/>
      <c r="E334" s="56"/>
      <c r="F334" s="430"/>
      <c r="G334" s="58"/>
    </row>
    <row r="335" spans="1:11" ht="13.5" hidden="1" thickBot="1" x14ac:dyDescent="0.25">
      <c r="A335" s="2278" t="s">
        <v>125</v>
      </c>
      <c r="B335" s="2279"/>
      <c r="C335" s="2279"/>
      <c r="D335" s="2279"/>
      <c r="E335" s="2279"/>
      <c r="F335" s="2280" t="s">
        <v>113</v>
      </c>
      <c r="G335" s="431">
        <f>SUM(F331:F334)</f>
        <v>7000</v>
      </c>
    </row>
    <row r="336" spans="1:11" ht="13.5" hidden="1" thickBot="1" x14ac:dyDescent="0.25">
      <c r="A336" s="40" t="s">
        <v>117</v>
      </c>
      <c r="B336" s="37"/>
      <c r="C336" s="37"/>
      <c r="D336" s="37"/>
      <c r="E336" s="37"/>
      <c r="F336" s="37"/>
      <c r="G336" s="37"/>
    </row>
    <row r="337" spans="1:9" s="1" customFormat="1" ht="13.5" hidden="1" thickBot="1" x14ac:dyDescent="0.25">
      <c r="A337" s="1922" t="s">
        <v>109</v>
      </c>
      <c r="B337" s="1923"/>
      <c r="C337" s="64" t="s">
        <v>114</v>
      </c>
      <c r="D337" s="64" t="s">
        <v>115</v>
      </c>
      <c r="E337" s="64" t="s">
        <v>116</v>
      </c>
      <c r="F337" s="64" t="s">
        <v>112</v>
      </c>
      <c r="G337" s="67"/>
    </row>
    <row r="338" spans="1:9" hidden="1" x14ac:dyDescent="0.2">
      <c r="A338" s="1943" t="s">
        <v>206</v>
      </c>
      <c r="B338" s="1945"/>
      <c r="C338" s="43" t="s">
        <v>17</v>
      </c>
      <c r="D338" s="55">
        <v>425000</v>
      </c>
      <c r="E338" s="419">
        <v>0.2</v>
      </c>
      <c r="F338" s="42">
        <f>D338*E338</f>
        <v>85000</v>
      </c>
      <c r="G338" s="52"/>
    </row>
    <row r="339" spans="1:9" ht="13.5" hidden="1" thickBot="1" x14ac:dyDescent="0.25">
      <c r="A339" s="1930"/>
      <c r="B339" s="1931"/>
      <c r="C339" s="62"/>
      <c r="D339" s="43"/>
      <c r="E339" s="57"/>
      <c r="F339" s="57">
        <f>D339*E339</f>
        <v>0</v>
      </c>
      <c r="G339" s="68"/>
    </row>
    <row r="340" spans="1:9" ht="13.5" hidden="1" thickBot="1" x14ac:dyDescent="0.25">
      <c r="A340" s="1932" t="s">
        <v>125</v>
      </c>
      <c r="B340" s="1933"/>
      <c r="C340" s="1933"/>
      <c r="D340" s="1933"/>
      <c r="E340" s="1933"/>
      <c r="F340" s="1934" t="s">
        <v>113</v>
      </c>
      <c r="G340" s="54">
        <f>SUM(F338:F339)</f>
        <v>85000</v>
      </c>
    </row>
    <row r="341" spans="1:9" ht="13.5" hidden="1" thickBot="1" x14ac:dyDescent="0.25">
      <c r="A341" s="40" t="s">
        <v>119</v>
      </c>
      <c r="B341" s="37"/>
      <c r="C341" s="37"/>
      <c r="D341" s="37"/>
      <c r="E341" s="37"/>
      <c r="F341" s="37"/>
      <c r="G341" s="37"/>
    </row>
    <row r="342" spans="1:9" ht="13.5" hidden="1" thickBot="1" x14ac:dyDescent="0.25">
      <c r="A342" s="1922" t="s">
        <v>120</v>
      </c>
      <c r="B342" s="1923"/>
      <c r="C342" s="63" t="s">
        <v>121</v>
      </c>
      <c r="D342" s="64" t="s">
        <v>116</v>
      </c>
      <c r="E342" s="64" t="s">
        <v>111</v>
      </c>
      <c r="F342" s="64" t="s">
        <v>112</v>
      </c>
      <c r="G342" s="71"/>
    </row>
    <row r="343" spans="1:9" hidden="1" x14ac:dyDescent="0.2">
      <c r="A343" s="2255" t="s">
        <v>21</v>
      </c>
      <c r="B343" s="2256"/>
      <c r="C343" s="74">
        <v>7410.9600847008996</v>
      </c>
      <c r="D343" s="420">
        <v>1</v>
      </c>
      <c r="E343" s="421">
        <v>3</v>
      </c>
      <c r="F343" s="422">
        <f>E343*D343*C343</f>
        <v>22232.8802541027</v>
      </c>
      <c r="G343" s="52"/>
    </row>
    <row r="344" spans="1:9" ht="13.5" hidden="1" thickBot="1" x14ac:dyDescent="0.25">
      <c r="A344" s="2252" t="s">
        <v>22</v>
      </c>
      <c r="B344" s="1927"/>
      <c r="C344" s="73">
        <v>4374.7823749999998</v>
      </c>
      <c r="D344" s="423">
        <v>2</v>
      </c>
      <c r="E344" s="424">
        <f>E343</f>
        <v>3</v>
      </c>
      <c r="F344" s="425">
        <f>E344*D344*C344</f>
        <v>26248.69425</v>
      </c>
      <c r="G344" s="58"/>
    </row>
    <row r="345" spans="1:9" ht="13.5" hidden="1" thickBot="1" x14ac:dyDescent="0.25">
      <c r="A345" s="1932" t="str">
        <f>+A340</f>
        <v>SUB-TOTAL</v>
      </c>
      <c r="B345" s="1933"/>
      <c r="C345" s="1933"/>
      <c r="D345" s="1933"/>
      <c r="E345" s="1933"/>
      <c r="F345" s="1934" t="s">
        <v>113</v>
      </c>
      <c r="G345" s="54">
        <f>SUM(F343:F344)</f>
        <v>48481.574504102697</v>
      </c>
    </row>
    <row r="346" spans="1:9" ht="11.25" hidden="1" customHeight="1" thickBot="1" x14ac:dyDescent="0.25">
      <c r="A346" s="37"/>
      <c r="B346" s="37"/>
      <c r="C346" s="37"/>
      <c r="D346" s="37"/>
      <c r="E346" s="37"/>
      <c r="F346" s="45"/>
      <c r="G346" s="37"/>
    </row>
    <row r="347" spans="1:9" ht="13.5" hidden="1" thickBot="1" x14ac:dyDescent="0.25">
      <c r="A347" s="1932" t="s">
        <v>156</v>
      </c>
      <c r="B347" s="1933"/>
      <c r="C347" s="1933"/>
      <c r="D347" s="1933"/>
      <c r="E347" s="1933"/>
      <c r="F347" s="1934"/>
      <c r="G347" s="72">
        <f>ROUND(G328+G335+G340+G345,0)</f>
        <v>140674</v>
      </c>
      <c r="I347" s="433"/>
    </row>
    <row r="348" spans="1:9" ht="27" hidden="1" customHeight="1" x14ac:dyDescent="0.2">
      <c r="A348" s="1935" t="s">
        <v>122</v>
      </c>
      <c r="B348" s="1936"/>
      <c r="C348" s="1937"/>
      <c r="D348" s="50"/>
      <c r="E348" s="46"/>
      <c r="F348" s="46"/>
      <c r="G348" s="47"/>
    </row>
    <row r="349" spans="1:9" ht="24" hidden="1" customHeight="1" thickBot="1" x14ac:dyDescent="0.25">
      <c r="A349" s="1938" t="s">
        <v>935</v>
      </c>
      <c r="B349" s="1939"/>
      <c r="C349" s="1940"/>
      <c r="D349" s="48"/>
      <c r="E349" s="48"/>
      <c r="F349" s="48"/>
      <c r="G349" s="49"/>
    </row>
    <row r="350" spans="1:9" ht="70.5" hidden="1" customHeight="1" thickBot="1" x14ac:dyDescent="0.25">
      <c r="A350" s="1558" t="s">
        <v>936</v>
      </c>
      <c r="B350" s="1559"/>
      <c r="C350" s="1560"/>
      <c r="D350" s="1565" t="s">
        <v>723</v>
      </c>
      <c r="E350" s="1559"/>
      <c r="F350" s="1559"/>
      <c r="G350" s="1560"/>
    </row>
    <row r="351" spans="1:9" ht="13.5" hidden="1" thickBot="1" x14ac:dyDescent="0.25">
      <c r="A351" s="38"/>
      <c r="B351" s="38"/>
      <c r="C351" s="38"/>
      <c r="D351" s="38"/>
      <c r="E351" s="38"/>
      <c r="F351" s="38"/>
      <c r="G351" s="38"/>
    </row>
    <row r="352" spans="1:9" ht="12.75" hidden="1" customHeight="1" thickBot="1" x14ac:dyDescent="0.25">
      <c r="A352" s="39"/>
      <c r="B352" s="37"/>
      <c r="D352" s="60" t="s">
        <v>124</v>
      </c>
      <c r="E352" s="61" t="s">
        <v>2</v>
      </c>
      <c r="F352" s="59"/>
      <c r="G352" s="59"/>
      <c r="I352" s="432"/>
    </row>
    <row r="353" spans="1:11" ht="13.5" hidden="1" thickBot="1" x14ac:dyDescent="0.25">
      <c r="A353" s="40" t="s">
        <v>108</v>
      </c>
      <c r="B353" s="37"/>
      <c r="C353" s="37"/>
      <c r="D353" s="37"/>
      <c r="E353" s="37"/>
      <c r="F353" s="37"/>
      <c r="G353" s="37"/>
      <c r="I353" s="432"/>
    </row>
    <row r="354" spans="1:11" s="1" customFormat="1" ht="13.5" hidden="1" customHeight="1" thickBot="1" x14ac:dyDescent="0.25">
      <c r="A354" s="2281" t="s">
        <v>109</v>
      </c>
      <c r="B354" s="2283"/>
      <c r="C354" s="2282"/>
      <c r="D354" s="435" t="s">
        <v>110</v>
      </c>
      <c r="E354" s="435" t="s">
        <v>111</v>
      </c>
      <c r="F354" s="426" t="s">
        <v>112</v>
      </c>
      <c r="G354" s="427"/>
    </row>
    <row r="355" spans="1:11" hidden="1" x14ac:dyDescent="0.2">
      <c r="A355" s="2284" t="s">
        <v>131</v>
      </c>
      <c r="B355" s="2285"/>
      <c r="C355" s="2285"/>
      <c r="D355" s="55">
        <v>481.25</v>
      </c>
      <c r="E355" s="80">
        <v>0.4</v>
      </c>
      <c r="F355" s="55">
        <f>D355*E355</f>
        <v>192.5</v>
      </c>
      <c r="G355" s="52"/>
    </row>
    <row r="356" spans="1:11" hidden="1" x14ac:dyDescent="0.2">
      <c r="A356" s="2274" t="s">
        <v>938</v>
      </c>
      <c r="B356" s="2275"/>
      <c r="C356" s="2275"/>
      <c r="D356" s="42">
        <v>10000</v>
      </c>
      <c r="E356" s="92">
        <v>5</v>
      </c>
      <c r="F356" s="42">
        <f>D356*E356</f>
        <v>50000</v>
      </c>
      <c r="G356" s="53"/>
    </row>
    <row r="357" spans="1:11" hidden="1" x14ac:dyDescent="0.2">
      <c r="A357" s="2274" t="s">
        <v>136</v>
      </c>
      <c r="B357" s="2275"/>
      <c r="C357" s="2275"/>
      <c r="D357" s="42">
        <v>15000</v>
      </c>
      <c r="E357" s="92">
        <v>3</v>
      </c>
      <c r="F357" s="42">
        <f>D357*E357</f>
        <v>45000</v>
      </c>
      <c r="G357" s="53"/>
    </row>
    <row r="358" spans="1:11" hidden="1" x14ac:dyDescent="0.2">
      <c r="A358" s="2274"/>
      <c r="B358" s="2275"/>
      <c r="C358" s="2275"/>
      <c r="D358" s="42"/>
      <c r="E358" s="92"/>
      <c r="F358" s="42"/>
      <c r="G358" s="53"/>
    </row>
    <row r="359" spans="1:11" ht="13.5" hidden="1" thickBot="1" x14ac:dyDescent="0.25">
      <c r="A359" s="2276"/>
      <c r="B359" s="2277"/>
      <c r="C359" s="2277"/>
      <c r="D359" s="57"/>
      <c r="E359" s="81"/>
      <c r="F359" s="57"/>
      <c r="G359" s="58"/>
    </row>
    <row r="360" spans="1:11" ht="13.5" hidden="1" thickBot="1" x14ac:dyDescent="0.25">
      <c r="A360" s="2278" t="s">
        <v>125</v>
      </c>
      <c r="B360" s="2279"/>
      <c r="C360" s="2279"/>
      <c r="D360" s="2279"/>
      <c r="E360" s="2279"/>
      <c r="F360" s="2280"/>
      <c r="G360" s="431">
        <f>SUM(F355:F359)</f>
        <v>95192.5</v>
      </c>
    </row>
    <row r="361" spans="1:11" ht="13.5" hidden="1" thickBot="1" x14ac:dyDescent="0.25">
      <c r="A361" s="40" t="s">
        <v>123</v>
      </c>
      <c r="B361" s="37"/>
      <c r="C361" s="37"/>
      <c r="D361" s="37"/>
      <c r="E361" s="37"/>
      <c r="F361" s="37"/>
      <c r="G361" s="37"/>
    </row>
    <row r="362" spans="1:11" s="1" customFormat="1" ht="13.5" hidden="1" thickBot="1" x14ac:dyDescent="0.25">
      <c r="A362" s="2281" t="s">
        <v>109</v>
      </c>
      <c r="B362" s="2282"/>
      <c r="C362" s="426" t="s">
        <v>114</v>
      </c>
      <c r="D362" s="426" t="s">
        <v>115</v>
      </c>
      <c r="E362" s="426" t="s">
        <v>116</v>
      </c>
      <c r="F362" s="426" t="s">
        <v>112</v>
      </c>
      <c r="G362" s="427"/>
      <c r="K362" s="434">
        <f>1/J363</f>
        <v>6.9999999999999993E-2</v>
      </c>
    </row>
    <row r="363" spans="1:11" ht="25.5" hidden="1" customHeight="1" x14ac:dyDescent="0.2">
      <c r="A363" s="1540"/>
      <c r="B363" s="1541"/>
      <c r="C363" s="129"/>
      <c r="D363" s="130"/>
      <c r="E363" s="129"/>
      <c r="F363" s="428">
        <f>D363*E363</f>
        <v>0</v>
      </c>
      <c r="G363" s="132"/>
      <c r="I363" s="34" t="s">
        <v>709</v>
      </c>
      <c r="J363" s="34">
        <f>1/(0.7*0.1)</f>
        <v>14.285714285714286</v>
      </c>
      <c r="K363" s="432">
        <f>D363/J363</f>
        <v>0</v>
      </c>
    </row>
    <row r="364" spans="1:11" hidden="1" x14ac:dyDescent="0.2">
      <c r="A364" s="2274"/>
      <c r="B364" s="2275"/>
      <c r="C364" s="134"/>
      <c r="D364" s="135"/>
      <c r="E364" s="134"/>
      <c r="F364" s="429">
        <f>D364*E364</f>
        <v>0</v>
      </c>
      <c r="G364" s="137"/>
      <c r="J364" s="432">
        <f>D363/J363</f>
        <v>0</v>
      </c>
    </row>
    <row r="365" spans="1:11" ht="15.75" hidden="1" customHeight="1" x14ac:dyDescent="0.2">
      <c r="A365" s="2274"/>
      <c r="B365" s="2275"/>
      <c r="C365" s="211"/>
      <c r="D365" s="135"/>
      <c r="E365" s="134"/>
      <c r="F365" s="429"/>
      <c r="G365" s="137"/>
    </row>
    <row r="366" spans="1:11" ht="12" hidden="1" customHeight="1" thickBot="1" x14ac:dyDescent="0.25">
      <c r="A366" s="2276"/>
      <c r="B366" s="2277"/>
      <c r="C366" s="56"/>
      <c r="D366" s="139"/>
      <c r="E366" s="56"/>
      <c r="F366" s="430"/>
      <c r="G366" s="58"/>
    </row>
    <row r="367" spans="1:11" ht="13.5" hidden="1" thickBot="1" x14ac:dyDescent="0.25">
      <c r="A367" s="2278" t="s">
        <v>125</v>
      </c>
      <c r="B367" s="2279"/>
      <c r="C367" s="2279"/>
      <c r="D367" s="2279"/>
      <c r="E367" s="2279"/>
      <c r="F367" s="2280" t="s">
        <v>113</v>
      </c>
      <c r="G367" s="431">
        <f>SUM(F363:F366)</f>
        <v>0</v>
      </c>
    </row>
    <row r="368" spans="1:11" ht="13.5" hidden="1" thickBot="1" x14ac:dyDescent="0.25">
      <c r="A368" s="40" t="s">
        <v>117</v>
      </c>
      <c r="B368" s="37"/>
      <c r="C368" s="37"/>
      <c r="D368" s="37"/>
      <c r="E368" s="37"/>
      <c r="F368" s="37"/>
      <c r="G368" s="37"/>
    </row>
    <row r="369" spans="1:9" s="1" customFormat="1" ht="13.5" hidden="1" thickBot="1" x14ac:dyDescent="0.25">
      <c r="A369" s="1922" t="s">
        <v>109</v>
      </c>
      <c r="B369" s="1923"/>
      <c r="C369" s="64" t="s">
        <v>114</v>
      </c>
      <c r="D369" s="64" t="s">
        <v>115</v>
      </c>
      <c r="E369" s="64" t="s">
        <v>116</v>
      </c>
      <c r="F369" s="64" t="s">
        <v>112</v>
      </c>
      <c r="G369" s="67"/>
    </row>
    <row r="370" spans="1:9" hidden="1" x14ac:dyDescent="0.2">
      <c r="A370" s="1943" t="s">
        <v>206</v>
      </c>
      <c r="B370" s="1945"/>
      <c r="C370" s="43" t="s">
        <v>17</v>
      </c>
      <c r="D370" s="55">
        <v>425000</v>
      </c>
      <c r="E370" s="419">
        <v>1</v>
      </c>
      <c r="F370" s="42">
        <f>D370*E370</f>
        <v>425000</v>
      </c>
      <c r="G370" s="52"/>
    </row>
    <row r="371" spans="1:9" ht="13.5" hidden="1" thickBot="1" x14ac:dyDescent="0.25">
      <c r="A371" s="1930"/>
      <c r="B371" s="1931"/>
      <c r="C371" s="62"/>
      <c r="D371" s="43"/>
      <c r="E371" s="57"/>
      <c r="F371" s="57">
        <f>D371*E371</f>
        <v>0</v>
      </c>
      <c r="G371" s="68"/>
    </row>
    <row r="372" spans="1:9" ht="13.5" hidden="1" thickBot="1" x14ac:dyDescent="0.25">
      <c r="A372" s="1932" t="s">
        <v>125</v>
      </c>
      <c r="B372" s="1933"/>
      <c r="C372" s="1933"/>
      <c r="D372" s="1933"/>
      <c r="E372" s="1933"/>
      <c r="F372" s="1934" t="s">
        <v>113</v>
      </c>
      <c r="G372" s="54">
        <f>SUM(F370:F371)</f>
        <v>425000</v>
      </c>
    </row>
    <row r="373" spans="1:9" ht="13.5" hidden="1" thickBot="1" x14ac:dyDescent="0.25">
      <c r="A373" s="40" t="s">
        <v>119</v>
      </c>
      <c r="B373" s="37"/>
      <c r="C373" s="37"/>
      <c r="D373" s="37"/>
      <c r="E373" s="37"/>
      <c r="F373" s="37"/>
      <c r="G373" s="37"/>
    </row>
    <row r="374" spans="1:9" ht="13.5" hidden="1" thickBot="1" x14ac:dyDescent="0.25">
      <c r="A374" s="1922" t="s">
        <v>120</v>
      </c>
      <c r="B374" s="1923"/>
      <c r="C374" s="63" t="s">
        <v>121</v>
      </c>
      <c r="D374" s="64" t="s">
        <v>116</v>
      </c>
      <c r="E374" s="64" t="s">
        <v>111</v>
      </c>
      <c r="F374" s="64" t="s">
        <v>112</v>
      </c>
      <c r="G374" s="71"/>
    </row>
    <row r="375" spans="1:9" hidden="1" x14ac:dyDescent="0.2">
      <c r="A375" s="2255" t="s">
        <v>21</v>
      </c>
      <c r="B375" s="2256"/>
      <c r="C375" s="74">
        <v>7410.9600847008996</v>
      </c>
      <c r="D375" s="420">
        <v>1</v>
      </c>
      <c r="E375" s="421">
        <v>8</v>
      </c>
      <c r="F375" s="422">
        <f>E375*D375*C375</f>
        <v>59287.680677607197</v>
      </c>
      <c r="G375" s="52"/>
    </row>
    <row r="376" spans="1:9" ht="13.5" hidden="1" thickBot="1" x14ac:dyDescent="0.25">
      <c r="A376" s="2252" t="s">
        <v>22</v>
      </c>
      <c r="B376" s="1927"/>
      <c r="C376" s="73">
        <v>4374.7823749999998</v>
      </c>
      <c r="D376" s="423">
        <v>3</v>
      </c>
      <c r="E376" s="424">
        <f>E375</f>
        <v>8</v>
      </c>
      <c r="F376" s="425">
        <f>E376*D376*C376</f>
        <v>104994.777</v>
      </c>
      <c r="G376" s="58"/>
    </row>
    <row r="377" spans="1:9" ht="13.5" hidden="1" thickBot="1" x14ac:dyDescent="0.25">
      <c r="A377" s="1932" t="str">
        <f>+A372</f>
        <v>SUB-TOTAL</v>
      </c>
      <c r="B377" s="1933"/>
      <c r="C377" s="1933"/>
      <c r="D377" s="1933"/>
      <c r="E377" s="1933"/>
      <c r="F377" s="1934" t="s">
        <v>113</v>
      </c>
      <c r="G377" s="54">
        <f>SUM(F375:F376)</f>
        <v>164282.45767760719</v>
      </c>
    </row>
    <row r="378" spans="1:9" ht="11.25" hidden="1" customHeight="1" thickBot="1" x14ac:dyDescent="0.25">
      <c r="A378" s="37"/>
      <c r="B378" s="37"/>
      <c r="C378" s="37"/>
      <c r="D378" s="37"/>
      <c r="E378" s="37"/>
      <c r="F378" s="45"/>
      <c r="G378" s="37"/>
    </row>
    <row r="379" spans="1:9" ht="13.5" hidden="1" thickBot="1" x14ac:dyDescent="0.25">
      <c r="A379" s="1932" t="s">
        <v>156</v>
      </c>
      <c r="B379" s="1933"/>
      <c r="C379" s="1933"/>
      <c r="D379" s="1933"/>
      <c r="E379" s="1933"/>
      <c r="F379" s="1934"/>
      <c r="G379" s="72">
        <f>ROUND(G360+G367+G372+G377,0)</f>
        <v>684475</v>
      </c>
      <c r="I379" s="433"/>
    </row>
    <row r="380" spans="1:9" ht="13.5" hidden="1" thickBot="1" x14ac:dyDescent="0.25"/>
    <row r="381" spans="1:9" ht="27" hidden="1" customHeight="1" x14ac:dyDescent="0.2">
      <c r="A381" s="1935" t="s">
        <v>122</v>
      </c>
      <c r="B381" s="1936"/>
      <c r="C381" s="1937"/>
      <c r="D381" s="50"/>
      <c r="E381" s="46"/>
      <c r="F381" s="46"/>
      <c r="G381" s="47"/>
    </row>
    <row r="382" spans="1:9" ht="24" hidden="1" customHeight="1" thickBot="1" x14ac:dyDescent="0.25">
      <c r="A382" s="1938" t="s">
        <v>935</v>
      </c>
      <c r="B382" s="1939"/>
      <c r="C382" s="1940"/>
      <c r="D382" s="48"/>
      <c r="E382" s="48"/>
      <c r="F382" s="48"/>
      <c r="G382" s="49"/>
    </row>
    <row r="383" spans="1:9" ht="70.5" hidden="1" customHeight="1" thickBot="1" x14ac:dyDescent="0.25">
      <c r="A383" s="1558" t="s">
        <v>936</v>
      </c>
      <c r="B383" s="2272"/>
      <c r="C383" s="2273"/>
      <c r="D383" s="1565" t="s">
        <v>724</v>
      </c>
      <c r="E383" s="1559"/>
      <c r="F383" s="1559"/>
      <c r="G383" s="1560"/>
    </row>
    <row r="384" spans="1:9" ht="13.5" hidden="1" thickBot="1" x14ac:dyDescent="0.25">
      <c r="A384" s="38"/>
      <c r="B384" s="38"/>
      <c r="C384" s="38"/>
      <c r="D384" s="38"/>
      <c r="E384" s="38"/>
      <c r="F384" s="38"/>
      <c r="G384" s="38"/>
    </row>
    <row r="385" spans="1:11" ht="12.75" hidden="1" customHeight="1" thickBot="1" x14ac:dyDescent="0.25">
      <c r="A385" s="39"/>
      <c r="B385" s="37"/>
      <c r="D385" s="60" t="s">
        <v>124</v>
      </c>
      <c r="E385" s="61" t="s">
        <v>2</v>
      </c>
      <c r="F385" s="59"/>
      <c r="G385" s="59"/>
      <c r="I385" s="432"/>
    </row>
    <row r="386" spans="1:11" ht="13.5" hidden="1" thickBot="1" x14ac:dyDescent="0.25">
      <c r="A386" s="40" t="s">
        <v>108</v>
      </c>
      <c r="B386" s="37"/>
      <c r="C386" s="37"/>
      <c r="D386" s="37"/>
      <c r="E386" s="37"/>
      <c r="F386" s="37"/>
      <c r="G386" s="37"/>
      <c r="I386" s="432"/>
    </row>
    <row r="387" spans="1:11" s="1" customFormat="1" ht="13.5" hidden="1" customHeight="1" thickBot="1" x14ac:dyDescent="0.25">
      <c r="A387" s="1530" t="s">
        <v>109</v>
      </c>
      <c r="B387" s="1554"/>
      <c r="C387" s="1531"/>
      <c r="D387" s="435" t="s">
        <v>110</v>
      </c>
      <c r="E387" s="435" t="s">
        <v>111</v>
      </c>
      <c r="F387" s="426" t="s">
        <v>112</v>
      </c>
      <c r="G387" s="427"/>
    </row>
    <row r="388" spans="1:11" hidden="1" x14ac:dyDescent="0.2">
      <c r="A388" s="1943" t="s">
        <v>131</v>
      </c>
      <c r="B388" s="1944"/>
      <c r="C388" s="1945"/>
      <c r="D388" s="55">
        <v>3750</v>
      </c>
      <c r="E388" s="80">
        <v>0.4</v>
      </c>
      <c r="F388" s="55">
        <f>D388*E388</f>
        <v>1500</v>
      </c>
      <c r="G388" s="52"/>
    </row>
    <row r="389" spans="1:11" ht="12.75" hidden="1" customHeight="1" x14ac:dyDescent="0.2">
      <c r="A389" s="2261" t="s">
        <v>938</v>
      </c>
      <c r="B389" s="2262"/>
      <c r="C389" s="2263"/>
      <c r="D389" s="42">
        <v>5625</v>
      </c>
      <c r="E389" s="92">
        <v>5</v>
      </c>
      <c r="F389" s="42">
        <f>D389*E389</f>
        <v>28125</v>
      </c>
      <c r="G389" s="53"/>
    </row>
    <row r="390" spans="1:11" hidden="1" x14ac:dyDescent="0.2">
      <c r="A390" s="2261" t="s">
        <v>136</v>
      </c>
      <c r="B390" s="2262"/>
      <c r="C390" s="2263"/>
      <c r="D390" s="42">
        <v>15000</v>
      </c>
      <c r="E390" s="92">
        <v>5</v>
      </c>
      <c r="F390" s="42">
        <f>D390*E390</f>
        <v>75000</v>
      </c>
      <c r="G390" s="53"/>
    </row>
    <row r="391" spans="1:11" hidden="1" x14ac:dyDescent="0.2">
      <c r="A391" s="2261"/>
      <c r="B391" s="2262"/>
      <c r="C391" s="2263"/>
      <c r="D391" s="42"/>
      <c r="E391" s="92"/>
      <c r="F391" s="42"/>
      <c r="G391" s="53"/>
    </row>
    <row r="392" spans="1:11" ht="13.5" hidden="1" thickBot="1" x14ac:dyDescent="0.25">
      <c r="A392" s="1926"/>
      <c r="B392" s="1946"/>
      <c r="C392" s="1927"/>
      <c r="D392" s="57"/>
      <c r="E392" s="81"/>
      <c r="F392" s="57"/>
      <c r="G392" s="58"/>
    </row>
    <row r="393" spans="1:11" ht="13.5" hidden="1" thickBot="1" x14ac:dyDescent="0.25">
      <c r="A393" s="1932" t="s">
        <v>125</v>
      </c>
      <c r="B393" s="1933"/>
      <c r="C393" s="1933"/>
      <c r="D393" s="1933"/>
      <c r="E393" s="1933"/>
      <c r="F393" s="1934"/>
      <c r="G393" s="431">
        <f>SUM(F388:F392)</f>
        <v>104625</v>
      </c>
    </row>
    <row r="394" spans="1:11" ht="13.5" hidden="1" thickBot="1" x14ac:dyDescent="0.25">
      <c r="A394" s="40" t="s">
        <v>123</v>
      </c>
      <c r="B394" s="37"/>
      <c r="C394" s="37"/>
      <c r="D394" s="37"/>
      <c r="E394" s="37"/>
      <c r="F394" s="37"/>
      <c r="G394" s="37"/>
    </row>
    <row r="395" spans="1:11" s="1" customFormat="1" ht="13.5" hidden="1" thickBot="1" x14ac:dyDescent="0.25">
      <c r="A395" s="1530" t="s">
        <v>109</v>
      </c>
      <c r="B395" s="1531"/>
      <c r="C395" s="426" t="s">
        <v>114</v>
      </c>
      <c r="D395" s="426" t="s">
        <v>115</v>
      </c>
      <c r="E395" s="426" t="s">
        <v>116</v>
      </c>
      <c r="F395" s="426" t="s">
        <v>112</v>
      </c>
      <c r="G395" s="427"/>
      <c r="K395" s="434">
        <f>1/J396</f>
        <v>6.9999999999999993E-2</v>
      </c>
    </row>
    <row r="396" spans="1:11" ht="25.5" hidden="1" customHeight="1" x14ac:dyDescent="0.2">
      <c r="A396" s="1540"/>
      <c r="B396" s="1541"/>
      <c r="C396" s="129"/>
      <c r="D396" s="130"/>
      <c r="E396" s="129"/>
      <c r="F396" s="428">
        <f>D396*E396</f>
        <v>0</v>
      </c>
      <c r="G396" s="132"/>
      <c r="I396" s="34" t="s">
        <v>709</v>
      </c>
      <c r="J396" s="34">
        <f>1/(0.7*0.1)</f>
        <v>14.285714285714286</v>
      </c>
      <c r="K396" s="432">
        <f>D396/J396</f>
        <v>0</v>
      </c>
    </row>
    <row r="397" spans="1:11" hidden="1" x14ac:dyDescent="0.2">
      <c r="A397" s="2261"/>
      <c r="B397" s="2263"/>
      <c r="C397" s="134"/>
      <c r="D397" s="135"/>
      <c r="E397" s="134"/>
      <c r="F397" s="429">
        <f>D397*E397</f>
        <v>0</v>
      </c>
      <c r="G397" s="137"/>
      <c r="J397" s="432">
        <f>D396/J396</f>
        <v>0</v>
      </c>
    </row>
    <row r="398" spans="1:11" ht="15.75" hidden="1" customHeight="1" x14ac:dyDescent="0.2">
      <c r="A398" s="2261"/>
      <c r="B398" s="2263"/>
      <c r="C398" s="211"/>
      <c r="D398" s="135"/>
      <c r="E398" s="134"/>
      <c r="F398" s="429"/>
      <c r="G398" s="137"/>
    </row>
    <row r="399" spans="1:11" ht="12" hidden="1" customHeight="1" thickBot="1" x14ac:dyDescent="0.25">
      <c r="A399" s="1926"/>
      <c r="B399" s="1927"/>
      <c r="C399" s="56"/>
      <c r="D399" s="139"/>
      <c r="E399" s="56"/>
      <c r="F399" s="430"/>
      <c r="G399" s="58"/>
    </row>
    <row r="400" spans="1:11" ht="13.5" hidden="1" thickBot="1" x14ac:dyDescent="0.25">
      <c r="A400" s="1932" t="s">
        <v>125</v>
      </c>
      <c r="B400" s="1933"/>
      <c r="C400" s="1933"/>
      <c r="D400" s="1933"/>
      <c r="E400" s="1933"/>
      <c r="F400" s="1934"/>
      <c r="G400" s="431">
        <f>SUM(F396:F399)</f>
        <v>0</v>
      </c>
    </row>
    <row r="401" spans="1:9" ht="13.5" hidden="1" thickBot="1" x14ac:dyDescent="0.25">
      <c r="A401" s="40" t="s">
        <v>117</v>
      </c>
      <c r="B401" s="37"/>
      <c r="C401" s="37"/>
      <c r="D401" s="37"/>
      <c r="E401" s="37"/>
      <c r="F401" s="37"/>
      <c r="G401" s="37"/>
    </row>
    <row r="402" spans="1:9" s="1" customFormat="1" ht="13.5" hidden="1" thickBot="1" x14ac:dyDescent="0.25">
      <c r="A402" s="1922" t="s">
        <v>109</v>
      </c>
      <c r="B402" s="1923"/>
      <c r="C402" s="64" t="s">
        <v>114</v>
      </c>
      <c r="D402" s="64" t="s">
        <v>115</v>
      </c>
      <c r="E402" s="64" t="s">
        <v>116</v>
      </c>
      <c r="F402" s="64" t="s">
        <v>112</v>
      </c>
      <c r="G402" s="67"/>
    </row>
    <row r="403" spans="1:9" hidden="1" x14ac:dyDescent="0.2">
      <c r="A403" s="1943" t="s">
        <v>206</v>
      </c>
      <c r="B403" s="1945"/>
      <c r="C403" s="43" t="s">
        <v>17</v>
      </c>
      <c r="D403" s="55">
        <v>425000</v>
      </c>
      <c r="E403" s="419">
        <v>0.5</v>
      </c>
      <c r="F403" s="42">
        <f>D403*E403</f>
        <v>212500</v>
      </c>
      <c r="G403" s="52"/>
    </row>
    <row r="404" spans="1:9" ht="13.5" hidden="1" thickBot="1" x14ac:dyDescent="0.25">
      <c r="A404" s="1930"/>
      <c r="B404" s="1931"/>
      <c r="C404" s="62"/>
      <c r="D404" s="43"/>
      <c r="E404" s="57"/>
      <c r="F404" s="57">
        <f>D404*E404</f>
        <v>0</v>
      </c>
      <c r="G404" s="68"/>
    </row>
    <row r="405" spans="1:9" ht="13.5" hidden="1" thickBot="1" x14ac:dyDescent="0.25">
      <c r="A405" s="218" t="s">
        <v>125</v>
      </c>
      <c r="B405" s="219"/>
      <c r="C405" s="219"/>
      <c r="D405" s="219"/>
      <c r="E405" s="219"/>
      <c r="F405" s="220" t="s">
        <v>113</v>
      </c>
      <c r="G405" s="54">
        <f>SUM(F403:F404)</f>
        <v>212500</v>
      </c>
    </row>
    <row r="406" spans="1:9" ht="13.5" hidden="1" thickBot="1" x14ac:dyDescent="0.25">
      <c r="A406" s="40" t="s">
        <v>119</v>
      </c>
      <c r="B406" s="37"/>
      <c r="C406" s="37"/>
      <c r="D406" s="37"/>
      <c r="E406" s="37"/>
      <c r="F406" s="37"/>
      <c r="G406" s="37"/>
    </row>
    <row r="407" spans="1:9" ht="13.5" hidden="1" thickBot="1" x14ac:dyDescent="0.25">
      <c r="A407" s="1922" t="s">
        <v>120</v>
      </c>
      <c r="B407" s="1923"/>
      <c r="C407" s="63" t="s">
        <v>121</v>
      </c>
      <c r="D407" s="64" t="s">
        <v>116</v>
      </c>
      <c r="E407" s="64" t="s">
        <v>111</v>
      </c>
      <c r="F407" s="64" t="s">
        <v>112</v>
      </c>
      <c r="G407" s="71"/>
    </row>
    <row r="408" spans="1:9" hidden="1" x14ac:dyDescent="0.2">
      <c r="A408" s="2265" t="s">
        <v>21</v>
      </c>
      <c r="B408" s="2266"/>
      <c r="C408" s="74">
        <v>7410.9600847008996</v>
      </c>
      <c r="D408" s="420">
        <v>1</v>
      </c>
      <c r="E408" s="421">
        <v>5</v>
      </c>
      <c r="F408" s="422">
        <f>E408*D408*C408</f>
        <v>37054.800423504501</v>
      </c>
      <c r="G408" s="52"/>
    </row>
    <row r="409" spans="1:9" ht="13.5" hidden="1" thickBot="1" x14ac:dyDescent="0.25">
      <c r="A409" s="2252" t="s">
        <v>22</v>
      </c>
      <c r="B409" s="2267"/>
      <c r="C409" s="73">
        <v>4374.7823749999998</v>
      </c>
      <c r="D409" s="423">
        <v>3</v>
      </c>
      <c r="E409" s="424">
        <f>E408</f>
        <v>5</v>
      </c>
      <c r="F409" s="425">
        <f>E409*D409*C409</f>
        <v>65621.735625000001</v>
      </c>
      <c r="G409" s="58"/>
    </row>
    <row r="410" spans="1:9" ht="13.5" hidden="1" thickBot="1" x14ac:dyDescent="0.25">
      <c r="A410" s="1932" t="str">
        <f>+A405</f>
        <v>SUB-TOTAL</v>
      </c>
      <c r="B410" s="1933"/>
      <c r="C410" s="1933"/>
      <c r="D410" s="1933"/>
      <c r="E410" s="1933"/>
      <c r="F410" s="1934"/>
      <c r="G410" s="54">
        <f>SUM(F408:F409)</f>
        <v>102676.53604850449</v>
      </c>
    </row>
    <row r="411" spans="1:9" ht="11.25" hidden="1" customHeight="1" thickBot="1" x14ac:dyDescent="0.25">
      <c r="A411" s="37"/>
      <c r="B411" s="37"/>
      <c r="C411" s="37"/>
      <c r="D411" s="37"/>
      <c r="E411" s="37"/>
      <c r="F411" s="45"/>
      <c r="G411" s="37"/>
    </row>
    <row r="412" spans="1:9" ht="13.5" hidden="1" thickBot="1" x14ac:dyDescent="0.25">
      <c r="A412" s="1932" t="s">
        <v>156</v>
      </c>
      <c r="B412" s="1933"/>
      <c r="C412" s="1933"/>
      <c r="D412" s="1933"/>
      <c r="E412" s="1933"/>
      <c r="F412" s="2268"/>
      <c r="G412" s="72">
        <f>ROUND(G393+G400+G405+G410,0)</f>
        <v>419802</v>
      </c>
      <c r="I412" s="433"/>
    </row>
    <row r="413" spans="1:9" hidden="1" x14ac:dyDescent="0.2">
      <c r="A413" s="436"/>
      <c r="B413" s="436"/>
      <c r="C413" s="436"/>
      <c r="D413" s="436"/>
      <c r="E413" s="436"/>
      <c r="F413" s="436"/>
      <c r="G413" s="437"/>
      <c r="I413" s="433"/>
    </row>
    <row r="414" spans="1:9" ht="13.5" hidden="1" thickBot="1" x14ac:dyDescent="0.25">
      <c r="A414" s="436"/>
      <c r="B414" s="436"/>
      <c r="C414" s="436"/>
      <c r="D414" s="436"/>
      <c r="E414" s="436"/>
      <c r="F414" s="436"/>
      <c r="G414" s="437"/>
      <c r="I414" s="433"/>
    </row>
    <row r="415" spans="1:9" ht="27" hidden="1" customHeight="1" x14ac:dyDescent="0.2">
      <c r="A415" s="1935" t="s">
        <v>122</v>
      </c>
      <c r="B415" s="1936"/>
      <c r="C415" s="1937"/>
      <c r="D415" s="50"/>
      <c r="E415" s="46"/>
      <c r="F415" s="46"/>
      <c r="G415" s="47"/>
    </row>
    <row r="416" spans="1:9" ht="24" hidden="1" customHeight="1" thickBot="1" x14ac:dyDescent="0.25">
      <c r="A416" s="1938" t="s">
        <v>935</v>
      </c>
      <c r="B416" s="1939"/>
      <c r="C416" s="1940"/>
      <c r="D416" s="48"/>
      <c r="E416" s="48"/>
      <c r="F416" s="48"/>
      <c r="G416" s="49"/>
    </row>
    <row r="417" spans="1:11" ht="70.5" hidden="1" customHeight="1" thickBot="1" x14ac:dyDescent="0.25">
      <c r="A417" s="1558" t="s">
        <v>936</v>
      </c>
      <c r="B417" s="2272"/>
      <c r="C417" s="2273"/>
      <c r="D417" s="1565" t="s">
        <v>725</v>
      </c>
      <c r="E417" s="1559"/>
      <c r="F417" s="1559"/>
      <c r="G417" s="1560"/>
    </row>
    <row r="418" spans="1:11" ht="13.5" hidden="1" thickBot="1" x14ac:dyDescent="0.25">
      <c r="A418" s="38"/>
      <c r="B418" s="38"/>
      <c r="C418" s="38"/>
      <c r="D418" s="38"/>
      <c r="E418" s="38"/>
      <c r="F418" s="38"/>
      <c r="G418" s="38"/>
    </row>
    <row r="419" spans="1:11" ht="12.75" hidden="1" customHeight="1" thickBot="1" x14ac:dyDescent="0.25">
      <c r="A419" s="39"/>
      <c r="B419" s="37"/>
      <c r="D419" s="60" t="s">
        <v>124</v>
      </c>
      <c r="E419" s="61" t="s">
        <v>2</v>
      </c>
      <c r="F419" s="59"/>
      <c r="G419" s="59"/>
      <c r="I419" s="432"/>
    </row>
    <row r="420" spans="1:11" ht="13.5" hidden="1" thickBot="1" x14ac:dyDescent="0.25">
      <c r="A420" s="40" t="s">
        <v>108</v>
      </c>
      <c r="B420" s="37"/>
      <c r="C420" s="37"/>
      <c r="D420" s="37"/>
      <c r="E420" s="37"/>
      <c r="F420" s="37"/>
      <c r="G420" s="37"/>
      <c r="I420" s="432"/>
    </row>
    <row r="421" spans="1:11" s="1" customFormat="1" ht="13.5" hidden="1" customHeight="1" thickBot="1" x14ac:dyDescent="0.25">
      <c r="A421" s="1530" t="s">
        <v>109</v>
      </c>
      <c r="B421" s="1554"/>
      <c r="C421" s="1531"/>
      <c r="D421" s="435" t="s">
        <v>110</v>
      </c>
      <c r="E421" s="435" t="s">
        <v>111</v>
      </c>
      <c r="F421" s="426" t="s">
        <v>112</v>
      </c>
      <c r="G421" s="427"/>
    </row>
    <row r="422" spans="1:11" hidden="1" x14ac:dyDescent="0.2">
      <c r="A422" s="1943" t="s">
        <v>131</v>
      </c>
      <c r="B422" s="1944"/>
      <c r="C422" s="1945"/>
      <c r="D422" s="55">
        <v>481.25</v>
      </c>
      <c r="E422" s="80">
        <v>0.4</v>
      </c>
      <c r="F422" s="55">
        <f>D422*E422</f>
        <v>192.5</v>
      </c>
      <c r="G422" s="52"/>
    </row>
    <row r="423" spans="1:11" ht="12.75" hidden="1" customHeight="1" x14ac:dyDescent="0.2">
      <c r="A423" s="2261" t="s">
        <v>938</v>
      </c>
      <c r="B423" s="2262"/>
      <c r="C423" s="2263"/>
      <c r="D423" s="42">
        <v>10000</v>
      </c>
      <c r="E423" s="92">
        <v>1</v>
      </c>
      <c r="F423" s="42">
        <f>D423*E423</f>
        <v>10000</v>
      </c>
      <c r="G423" s="53"/>
    </row>
    <row r="424" spans="1:11" hidden="1" x14ac:dyDescent="0.2">
      <c r="A424" s="2261" t="s">
        <v>136</v>
      </c>
      <c r="B424" s="2262"/>
      <c r="C424" s="2263"/>
      <c r="D424" s="42">
        <v>15000</v>
      </c>
      <c r="E424" s="92">
        <v>1</v>
      </c>
      <c r="F424" s="42">
        <f>D424*E424</f>
        <v>15000</v>
      </c>
      <c r="G424" s="53"/>
    </row>
    <row r="425" spans="1:11" hidden="1" x14ac:dyDescent="0.2">
      <c r="A425" s="2261"/>
      <c r="B425" s="2262"/>
      <c r="C425" s="2263"/>
      <c r="D425" s="42"/>
      <c r="E425" s="92"/>
      <c r="F425" s="42"/>
      <c r="G425" s="53"/>
    </row>
    <row r="426" spans="1:11" ht="13.5" hidden="1" thickBot="1" x14ac:dyDescent="0.25">
      <c r="A426" s="1926"/>
      <c r="B426" s="1946"/>
      <c r="C426" s="1927"/>
      <c r="D426" s="57"/>
      <c r="E426" s="81"/>
      <c r="F426" s="57"/>
      <c r="G426" s="58"/>
    </row>
    <row r="427" spans="1:11" ht="13.5" hidden="1" thickBot="1" x14ac:dyDescent="0.25">
      <c r="A427" s="1932" t="s">
        <v>125</v>
      </c>
      <c r="B427" s="1933"/>
      <c r="C427" s="1933"/>
      <c r="D427" s="1933"/>
      <c r="E427" s="1933"/>
      <c r="F427" s="1934"/>
      <c r="G427" s="431">
        <f>SUM(F422:F426)</f>
        <v>25192.5</v>
      </c>
    </row>
    <row r="428" spans="1:11" ht="13.5" hidden="1" thickBot="1" x14ac:dyDescent="0.25">
      <c r="A428" s="40" t="s">
        <v>123</v>
      </c>
      <c r="B428" s="37"/>
      <c r="C428" s="37"/>
      <c r="D428" s="37"/>
      <c r="E428" s="37"/>
      <c r="F428" s="37"/>
      <c r="G428" s="37"/>
    </row>
    <row r="429" spans="1:11" s="1" customFormat="1" ht="13.5" hidden="1" thickBot="1" x14ac:dyDescent="0.25">
      <c r="A429" s="1530" t="s">
        <v>109</v>
      </c>
      <c r="B429" s="1531"/>
      <c r="C429" s="426" t="s">
        <v>114</v>
      </c>
      <c r="D429" s="426" t="s">
        <v>115</v>
      </c>
      <c r="E429" s="426" t="s">
        <v>116</v>
      </c>
      <c r="F429" s="426" t="s">
        <v>112</v>
      </c>
      <c r="G429" s="427"/>
      <c r="K429" s="434">
        <f>1/J430</f>
        <v>6.9999999999999993E-2</v>
      </c>
    </row>
    <row r="430" spans="1:11" ht="25.5" hidden="1" customHeight="1" x14ac:dyDescent="0.2">
      <c r="A430" s="1540"/>
      <c r="B430" s="1541"/>
      <c r="C430" s="129"/>
      <c r="D430" s="130"/>
      <c r="E430" s="129"/>
      <c r="F430" s="428">
        <f>D430*E430</f>
        <v>0</v>
      </c>
      <c r="G430" s="132"/>
      <c r="I430" s="34" t="s">
        <v>709</v>
      </c>
      <c r="J430" s="34">
        <f>1/(0.7*0.1)</f>
        <v>14.285714285714286</v>
      </c>
      <c r="K430" s="432">
        <f>D430/J430</f>
        <v>0</v>
      </c>
    </row>
    <row r="431" spans="1:11" hidden="1" x14ac:dyDescent="0.2">
      <c r="A431" s="2261"/>
      <c r="B431" s="2263"/>
      <c r="C431" s="134"/>
      <c r="D431" s="135"/>
      <c r="E431" s="134"/>
      <c r="F431" s="429">
        <f>D431*E431</f>
        <v>0</v>
      </c>
      <c r="G431" s="137"/>
      <c r="J431" s="432">
        <f>D430/J430</f>
        <v>0</v>
      </c>
    </row>
    <row r="432" spans="1:11" ht="15.75" hidden="1" customHeight="1" x14ac:dyDescent="0.2">
      <c r="A432" s="2261"/>
      <c r="B432" s="2263"/>
      <c r="C432" s="211"/>
      <c r="D432" s="135"/>
      <c r="E432" s="134"/>
      <c r="F432" s="429"/>
      <c r="G432" s="137"/>
    </row>
    <row r="433" spans="1:9" ht="12" hidden="1" customHeight="1" thickBot="1" x14ac:dyDescent="0.25">
      <c r="A433" s="1926"/>
      <c r="B433" s="1927"/>
      <c r="C433" s="56"/>
      <c r="D433" s="139"/>
      <c r="E433" s="56"/>
      <c r="F433" s="430"/>
      <c r="G433" s="58"/>
    </row>
    <row r="434" spans="1:9" ht="13.5" hidden="1" thickBot="1" x14ac:dyDescent="0.25">
      <c r="A434" s="1932" t="s">
        <v>125</v>
      </c>
      <c r="B434" s="1933"/>
      <c r="C434" s="1933"/>
      <c r="D434" s="1933"/>
      <c r="E434" s="1933"/>
      <c r="F434" s="1934"/>
      <c r="G434" s="431">
        <f>SUM(F430:F433)</f>
        <v>0</v>
      </c>
    </row>
    <row r="435" spans="1:9" ht="13.5" hidden="1" thickBot="1" x14ac:dyDescent="0.25">
      <c r="A435" s="40" t="s">
        <v>117</v>
      </c>
      <c r="B435" s="37"/>
      <c r="C435" s="37"/>
      <c r="D435" s="37"/>
      <c r="E435" s="37"/>
      <c r="F435" s="37"/>
      <c r="G435" s="37"/>
    </row>
    <row r="436" spans="1:9" s="1" customFormat="1" ht="13.5" hidden="1" thickBot="1" x14ac:dyDescent="0.25">
      <c r="A436" s="1922" t="s">
        <v>109</v>
      </c>
      <c r="B436" s="1923"/>
      <c r="C436" s="64" t="s">
        <v>114</v>
      </c>
      <c r="D436" s="64" t="s">
        <v>115</v>
      </c>
      <c r="E436" s="64" t="s">
        <v>116</v>
      </c>
      <c r="F436" s="64" t="s">
        <v>112</v>
      </c>
      <c r="G436" s="67"/>
    </row>
    <row r="437" spans="1:9" hidden="1" x14ac:dyDescent="0.2">
      <c r="A437" s="1943" t="s">
        <v>206</v>
      </c>
      <c r="B437" s="1945"/>
      <c r="C437" s="43" t="s">
        <v>17</v>
      </c>
      <c r="D437" s="55">
        <v>425000</v>
      </c>
      <c r="E437" s="419">
        <v>0.3</v>
      </c>
      <c r="F437" s="42">
        <f>D437*E437</f>
        <v>127500</v>
      </c>
      <c r="G437" s="52"/>
    </row>
    <row r="438" spans="1:9" ht="13.5" hidden="1" thickBot="1" x14ac:dyDescent="0.25">
      <c r="A438" s="1930"/>
      <c r="B438" s="1931"/>
      <c r="C438" s="62"/>
      <c r="D438" s="43"/>
      <c r="E438" s="57"/>
      <c r="F438" s="57">
        <f>D438*E438</f>
        <v>0</v>
      </c>
      <c r="G438" s="68"/>
    </row>
    <row r="439" spans="1:9" ht="13.5" hidden="1" thickBot="1" x14ac:dyDescent="0.25">
      <c r="A439" s="218" t="s">
        <v>125</v>
      </c>
      <c r="B439" s="219"/>
      <c r="C439" s="219"/>
      <c r="D439" s="219"/>
      <c r="E439" s="219"/>
      <c r="F439" s="220" t="s">
        <v>113</v>
      </c>
      <c r="G439" s="54">
        <f>SUM(F437:F438)</f>
        <v>127500</v>
      </c>
    </row>
    <row r="440" spans="1:9" ht="13.5" hidden="1" thickBot="1" x14ac:dyDescent="0.25">
      <c r="A440" s="40" t="s">
        <v>119</v>
      </c>
      <c r="B440" s="37"/>
      <c r="C440" s="37"/>
      <c r="D440" s="37"/>
      <c r="E440" s="37"/>
      <c r="F440" s="37"/>
      <c r="G440" s="37"/>
    </row>
    <row r="441" spans="1:9" ht="13.5" hidden="1" thickBot="1" x14ac:dyDescent="0.25">
      <c r="A441" s="1922" t="s">
        <v>120</v>
      </c>
      <c r="B441" s="1923"/>
      <c r="C441" s="63" t="s">
        <v>121</v>
      </c>
      <c r="D441" s="64" t="s">
        <v>116</v>
      </c>
      <c r="E441" s="64" t="s">
        <v>111</v>
      </c>
      <c r="F441" s="64" t="s">
        <v>112</v>
      </c>
      <c r="G441" s="71"/>
    </row>
    <row r="442" spans="1:9" hidden="1" x14ac:dyDescent="0.2">
      <c r="A442" s="2265" t="s">
        <v>21</v>
      </c>
      <c r="B442" s="2266"/>
      <c r="C442" s="74">
        <v>7410.9600847008996</v>
      </c>
      <c r="D442" s="420">
        <v>1</v>
      </c>
      <c r="E442" s="421">
        <v>1</v>
      </c>
      <c r="F442" s="422">
        <f>E442*D442*C442</f>
        <v>7410.9600847008996</v>
      </c>
      <c r="G442" s="52"/>
    </row>
    <row r="443" spans="1:9" ht="13.5" hidden="1" thickBot="1" x14ac:dyDescent="0.25">
      <c r="A443" s="2252" t="s">
        <v>22</v>
      </c>
      <c r="B443" s="2267"/>
      <c r="C443" s="73">
        <v>4374.7823749999998</v>
      </c>
      <c r="D443" s="423">
        <v>2</v>
      </c>
      <c r="E443" s="424">
        <f>E442</f>
        <v>1</v>
      </c>
      <c r="F443" s="425">
        <f>E443*D443*C443</f>
        <v>8749.5647499999995</v>
      </c>
      <c r="G443" s="58"/>
    </row>
    <row r="444" spans="1:9" ht="13.5" hidden="1" thickBot="1" x14ac:dyDescent="0.25">
      <c r="A444" s="1932" t="str">
        <f>+A439</f>
        <v>SUB-TOTAL</v>
      </c>
      <c r="B444" s="1933"/>
      <c r="C444" s="1933"/>
      <c r="D444" s="1933"/>
      <c r="E444" s="1933"/>
      <c r="F444" s="1934"/>
      <c r="G444" s="54">
        <f>SUM(F442:F443)</f>
        <v>16160.5248347009</v>
      </c>
    </row>
    <row r="445" spans="1:9" ht="11.25" hidden="1" customHeight="1" thickBot="1" x14ac:dyDescent="0.25">
      <c r="A445" s="37"/>
      <c r="B445" s="37"/>
      <c r="C445" s="37"/>
      <c r="D445" s="37"/>
      <c r="E445" s="37"/>
      <c r="F445" s="45"/>
      <c r="G445" s="37"/>
    </row>
    <row r="446" spans="1:9" ht="13.5" hidden="1" thickBot="1" x14ac:dyDescent="0.25">
      <c r="A446" s="1932" t="s">
        <v>156</v>
      </c>
      <c r="B446" s="1933"/>
      <c r="C446" s="1933"/>
      <c r="D446" s="1933"/>
      <c r="E446" s="1933"/>
      <c r="F446" s="2268"/>
      <c r="G446" s="72">
        <f>ROUND(G427+G434+G439+G444,0)</f>
        <v>168853</v>
      </c>
      <c r="I446" s="433"/>
    </row>
    <row r="447" spans="1:9" ht="13.5" hidden="1" thickBot="1" x14ac:dyDescent="0.25"/>
    <row r="448" spans="1:9" ht="27" hidden="1" customHeight="1" x14ac:dyDescent="0.2">
      <c r="A448" s="1935" t="s">
        <v>122</v>
      </c>
      <c r="B448" s="1936"/>
      <c r="C448" s="1937"/>
      <c r="D448" s="50"/>
      <c r="E448" s="46"/>
      <c r="F448" s="46"/>
      <c r="G448" s="47"/>
    </row>
    <row r="449" spans="1:11" ht="24" hidden="1" customHeight="1" thickBot="1" x14ac:dyDescent="0.25">
      <c r="A449" s="1938" t="s">
        <v>935</v>
      </c>
      <c r="B449" s="1939"/>
      <c r="C449" s="1940"/>
      <c r="D449" s="48"/>
      <c r="E449" s="48"/>
      <c r="F449" s="48"/>
      <c r="G449" s="49"/>
    </row>
    <row r="450" spans="1:11" ht="70.5" hidden="1" customHeight="1" thickBot="1" x14ac:dyDescent="0.25">
      <c r="A450" s="1558" t="s">
        <v>936</v>
      </c>
      <c r="B450" s="2272"/>
      <c r="C450" s="2273"/>
      <c r="D450" s="1565" t="s">
        <v>726</v>
      </c>
      <c r="E450" s="1559"/>
      <c r="F450" s="1559"/>
      <c r="G450" s="1560"/>
    </row>
    <row r="451" spans="1:11" ht="13.5" hidden="1" thickBot="1" x14ac:dyDescent="0.25">
      <c r="A451" s="38"/>
      <c r="B451" s="38"/>
      <c r="C451" s="38"/>
      <c r="D451" s="38"/>
      <c r="E451" s="38"/>
      <c r="F451" s="38"/>
      <c r="G451" s="38"/>
    </row>
    <row r="452" spans="1:11" ht="12.75" hidden="1" customHeight="1" thickBot="1" x14ac:dyDescent="0.25">
      <c r="A452" s="39"/>
      <c r="B452" s="37"/>
      <c r="D452" s="60" t="s">
        <v>124</v>
      </c>
      <c r="E452" s="61" t="s">
        <v>2</v>
      </c>
      <c r="F452" s="59"/>
      <c r="G452" s="59"/>
      <c r="I452" s="432"/>
    </row>
    <row r="453" spans="1:11" ht="13.5" hidden="1" thickBot="1" x14ac:dyDescent="0.25">
      <c r="A453" s="40" t="s">
        <v>108</v>
      </c>
      <c r="B453" s="37"/>
      <c r="C453" s="37"/>
      <c r="D453" s="37"/>
      <c r="E453" s="37"/>
      <c r="F453" s="37"/>
      <c r="G453" s="37"/>
      <c r="I453" s="432"/>
    </row>
    <row r="454" spans="1:11" s="1" customFormat="1" ht="13.5" hidden="1" customHeight="1" thickBot="1" x14ac:dyDescent="0.25">
      <c r="A454" s="1530" t="s">
        <v>109</v>
      </c>
      <c r="B454" s="1554"/>
      <c r="C454" s="1531"/>
      <c r="D454" s="435" t="s">
        <v>110</v>
      </c>
      <c r="E454" s="435" t="s">
        <v>111</v>
      </c>
      <c r="F454" s="426" t="s">
        <v>112</v>
      </c>
      <c r="G454" s="427"/>
    </row>
    <row r="455" spans="1:11" hidden="1" x14ac:dyDescent="0.2">
      <c r="A455" s="1943" t="s">
        <v>131</v>
      </c>
      <c r="B455" s="1944"/>
      <c r="C455" s="1945"/>
      <c r="D455" s="55">
        <v>481.25</v>
      </c>
      <c r="E455" s="80">
        <v>0.4</v>
      </c>
      <c r="F455" s="55">
        <f>D455*E455</f>
        <v>192.5</v>
      </c>
      <c r="G455" s="52"/>
    </row>
    <row r="456" spans="1:11" ht="12.75" hidden="1" customHeight="1" x14ac:dyDescent="0.2">
      <c r="A456" s="2261" t="s">
        <v>938</v>
      </c>
      <c r="B456" s="2262"/>
      <c r="C456" s="2263"/>
      <c r="D456" s="42">
        <v>10000</v>
      </c>
      <c r="E456" s="92">
        <v>1</v>
      </c>
      <c r="F456" s="42">
        <f>D456*E456</f>
        <v>10000</v>
      </c>
      <c r="G456" s="53"/>
    </row>
    <row r="457" spans="1:11" hidden="1" x14ac:dyDescent="0.2">
      <c r="A457" s="2261" t="s">
        <v>154</v>
      </c>
      <c r="B457" s="2262"/>
      <c r="C457" s="2263"/>
      <c r="D457" s="42">
        <v>55000</v>
      </c>
      <c r="E457" s="92">
        <v>2</v>
      </c>
      <c r="F457" s="42">
        <f>D457*E457</f>
        <v>110000</v>
      </c>
      <c r="G457" s="53"/>
    </row>
    <row r="458" spans="1:11" ht="13.5" hidden="1" thickBot="1" x14ac:dyDescent="0.25">
      <c r="A458" s="1926"/>
      <c r="B458" s="1946"/>
      <c r="C458" s="1927"/>
      <c r="D458" s="57"/>
      <c r="E458" s="81"/>
      <c r="F458" s="57"/>
      <c r="G458" s="58"/>
    </row>
    <row r="459" spans="1:11" ht="13.5" hidden="1" thickBot="1" x14ac:dyDescent="0.25">
      <c r="A459" s="1932" t="s">
        <v>125</v>
      </c>
      <c r="B459" s="1933"/>
      <c r="C459" s="1933"/>
      <c r="D459" s="1933"/>
      <c r="E459" s="1933"/>
      <c r="F459" s="1934"/>
      <c r="G459" s="431">
        <f>SUM(F455:F458)</f>
        <v>120192.5</v>
      </c>
    </row>
    <row r="460" spans="1:11" ht="13.5" hidden="1" thickBot="1" x14ac:dyDescent="0.25">
      <c r="A460" s="40" t="s">
        <v>123</v>
      </c>
      <c r="B460" s="37"/>
      <c r="C460" s="37"/>
      <c r="D460" s="37"/>
      <c r="E460" s="37"/>
      <c r="F460" s="37"/>
      <c r="G460" s="37"/>
    </row>
    <row r="461" spans="1:11" s="1" customFormat="1" ht="13.5" hidden="1" thickBot="1" x14ac:dyDescent="0.25">
      <c r="A461" s="1530" t="s">
        <v>109</v>
      </c>
      <c r="B461" s="1531"/>
      <c r="C461" s="426" t="s">
        <v>114</v>
      </c>
      <c r="D461" s="426" t="s">
        <v>115</v>
      </c>
      <c r="E461" s="426" t="s">
        <v>116</v>
      </c>
      <c r="F461" s="426" t="s">
        <v>112</v>
      </c>
      <c r="G461" s="427"/>
      <c r="K461" s="434">
        <f>1/J462</f>
        <v>6.9999999999999993E-2</v>
      </c>
    </row>
    <row r="462" spans="1:11" ht="25.5" hidden="1" customHeight="1" x14ac:dyDescent="0.2">
      <c r="A462" s="1540"/>
      <c r="B462" s="1541"/>
      <c r="C462" s="129"/>
      <c r="D462" s="130"/>
      <c r="E462" s="129"/>
      <c r="F462" s="428">
        <f>D462*E462</f>
        <v>0</v>
      </c>
      <c r="G462" s="132"/>
      <c r="I462" s="34" t="s">
        <v>709</v>
      </c>
      <c r="J462" s="34">
        <f>1/(0.7*0.1)</f>
        <v>14.285714285714286</v>
      </c>
      <c r="K462" s="432">
        <f>D462/J462</f>
        <v>0</v>
      </c>
    </row>
    <row r="463" spans="1:11" hidden="1" x14ac:dyDescent="0.2">
      <c r="A463" s="2261"/>
      <c r="B463" s="2263"/>
      <c r="C463" s="134"/>
      <c r="D463" s="135"/>
      <c r="E463" s="134"/>
      <c r="F463" s="429">
        <f>D463*E463</f>
        <v>0</v>
      </c>
      <c r="G463" s="137"/>
      <c r="J463" s="432">
        <f>D462/J462</f>
        <v>0</v>
      </c>
    </row>
    <row r="464" spans="1:11" ht="15.75" hidden="1" customHeight="1" x14ac:dyDescent="0.2">
      <c r="A464" s="2261"/>
      <c r="B464" s="2263"/>
      <c r="C464" s="211"/>
      <c r="D464" s="135"/>
      <c r="E464" s="134"/>
      <c r="F464" s="429"/>
      <c r="G464" s="137"/>
    </row>
    <row r="465" spans="1:9" ht="12" hidden="1" customHeight="1" thickBot="1" x14ac:dyDescent="0.25">
      <c r="A465" s="1926"/>
      <c r="B465" s="1927"/>
      <c r="C465" s="56"/>
      <c r="D465" s="139"/>
      <c r="E465" s="56"/>
      <c r="F465" s="430"/>
      <c r="G465" s="58"/>
    </row>
    <row r="466" spans="1:9" ht="13.5" hidden="1" thickBot="1" x14ac:dyDescent="0.25">
      <c r="A466" s="1932" t="s">
        <v>125</v>
      </c>
      <c r="B466" s="1933"/>
      <c r="C466" s="1933"/>
      <c r="D466" s="1933"/>
      <c r="E466" s="1933"/>
      <c r="F466" s="1934"/>
      <c r="G466" s="431">
        <f>SUM(F462:F465)</f>
        <v>0</v>
      </c>
    </row>
    <row r="467" spans="1:9" ht="13.5" hidden="1" thickBot="1" x14ac:dyDescent="0.25">
      <c r="A467" s="40" t="s">
        <v>117</v>
      </c>
      <c r="B467" s="37"/>
      <c r="C467" s="37"/>
      <c r="D467" s="37"/>
      <c r="E467" s="37"/>
      <c r="F467" s="37"/>
      <c r="G467" s="37"/>
    </row>
    <row r="468" spans="1:9" s="1" customFormat="1" ht="13.5" hidden="1" thickBot="1" x14ac:dyDescent="0.25">
      <c r="A468" s="1922" t="s">
        <v>109</v>
      </c>
      <c r="B468" s="1923"/>
      <c r="C468" s="64" t="s">
        <v>114</v>
      </c>
      <c r="D468" s="64" t="s">
        <v>115</v>
      </c>
      <c r="E468" s="64" t="s">
        <v>116</v>
      </c>
      <c r="F468" s="64" t="s">
        <v>112</v>
      </c>
      <c r="G468" s="67"/>
    </row>
    <row r="469" spans="1:9" hidden="1" x14ac:dyDescent="0.2">
      <c r="A469" s="1943" t="s">
        <v>206</v>
      </c>
      <c r="B469" s="1945"/>
      <c r="C469" s="43" t="s">
        <v>17</v>
      </c>
      <c r="D469" s="55">
        <v>425000</v>
      </c>
      <c r="E469" s="419">
        <v>0</v>
      </c>
      <c r="F469" s="42">
        <f>D469*E469</f>
        <v>0</v>
      </c>
      <c r="G469" s="52"/>
    </row>
    <row r="470" spans="1:9" ht="13.5" hidden="1" thickBot="1" x14ac:dyDescent="0.25">
      <c r="A470" s="1930"/>
      <c r="B470" s="1931"/>
      <c r="C470" s="62"/>
      <c r="D470" s="43"/>
      <c r="E470" s="57"/>
      <c r="F470" s="57">
        <f>D470*E470</f>
        <v>0</v>
      </c>
      <c r="G470" s="68"/>
    </row>
    <row r="471" spans="1:9" ht="13.5" hidden="1" thickBot="1" x14ac:dyDescent="0.25">
      <c r="A471" s="218" t="s">
        <v>125</v>
      </c>
      <c r="B471" s="219"/>
      <c r="C471" s="219"/>
      <c r="D471" s="219"/>
      <c r="E471" s="219"/>
      <c r="F471" s="220" t="s">
        <v>113</v>
      </c>
      <c r="G471" s="54">
        <f>SUM(F469:F470)</f>
        <v>0</v>
      </c>
    </row>
    <row r="472" spans="1:9" ht="13.5" hidden="1" thickBot="1" x14ac:dyDescent="0.25">
      <c r="A472" s="40" t="s">
        <v>119</v>
      </c>
      <c r="B472" s="37"/>
      <c r="C472" s="37"/>
      <c r="D472" s="37"/>
      <c r="E472" s="37"/>
      <c r="F472" s="37"/>
      <c r="G472" s="37"/>
    </row>
    <row r="473" spans="1:9" ht="13.5" hidden="1" thickBot="1" x14ac:dyDescent="0.25">
      <c r="A473" s="1922" t="s">
        <v>120</v>
      </c>
      <c r="B473" s="1923"/>
      <c r="C473" s="63" t="s">
        <v>121</v>
      </c>
      <c r="D473" s="64" t="s">
        <v>116</v>
      </c>
      <c r="E473" s="64" t="s">
        <v>111</v>
      </c>
      <c r="F473" s="64" t="s">
        <v>112</v>
      </c>
      <c r="G473" s="71"/>
    </row>
    <row r="474" spans="1:9" hidden="1" x14ac:dyDescent="0.2">
      <c r="A474" s="2265" t="s">
        <v>21</v>
      </c>
      <c r="B474" s="2266"/>
      <c r="C474" s="74">
        <v>7410.9600847008996</v>
      </c>
      <c r="D474" s="420">
        <v>1</v>
      </c>
      <c r="E474" s="421">
        <v>2.5370463162163035</v>
      </c>
      <c r="F474" s="422">
        <f>E474*D474*C474</f>
        <v>18801.948982516482</v>
      </c>
      <c r="G474" s="52"/>
    </row>
    <row r="475" spans="1:9" ht="13.5" hidden="1" thickBot="1" x14ac:dyDescent="0.25">
      <c r="A475" s="2252" t="s">
        <v>22</v>
      </c>
      <c r="B475" s="2267"/>
      <c r="C475" s="73">
        <v>4374.7823749999998</v>
      </c>
      <c r="D475" s="423">
        <v>2</v>
      </c>
      <c r="E475" s="424">
        <f>E474</f>
        <v>2.5370463162163035</v>
      </c>
      <c r="F475" s="425">
        <f>E475*D475*C475</f>
        <v>22198.051017483522</v>
      </c>
      <c r="G475" s="58"/>
    </row>
    <row r="476" spans="1:9" ht="13.5" hidden="1" thickBot="1" x14ac:dyDescent="0.25">
      <c r="A476" s="1932" t="str">
        <f>+A471</f>
        <v>SUB-TOTAL</v>
      </c>
      <c r="B476" s="1933"/>
      <c r="C476" s="1933"/>
      <c r="D476" s="1933"/>
      <c r="E476" s="1933"/>
      <c r="F476" s="1934"/>
      <c r="G476" s="54">
        <f>SUM(F474:F475)</f>
        <v>41000</v>
      </c>
    </row>
    <row r="477" spans="1:9" ht="11.25" hidden="1" customHeight="1" thickBot="1" x14ac:dyDescent="0.25">
      <c r="A477" s="37"/>
      <c r="B477" s="37"/>
      <c r="C477" s="37"/>
      <c r="D477" s="37"/>
      <c r="E477" s="37"/>
      <c r="F477" s="45"/>
      <c r="G477" s="37"/>
    </row>
    <row r="478" spans="1:9" ht="13.5" hidden="1" thickBot="1" x14ac:dyDescent="0.25">
      <c r="A478" s="1932" t="s">
        <v>156</v>
      </c>
      <c r="B478" s="1933"/>
      <c r="C478" s="1933"/>
      <c r="D478" s="1933"/>
      <c r="E478" s="1933"/>
      <c r="F478" s="2268"/>
      <c r="G478" s="72">
        <f>ROUND(G459+G466+G471+G476,0)</f>
        <v>161193</v>
      </c>
      <c r="I478" s="433"/>
    </row>
    <row r="479" spans="1:9" ht="6" customHeight="1" thickBot="1" x14ac:dyDescent="0.25"/>
    <row r="480" spans="1:9" ht="27" customHeight="1" x14ac:dyDescent="0.2">
      <c r="A480" s="1935" t="e">
        <f>+'10 - VIAS - ESPECIALES '!A6:C6</f>
        <v>#REF!</v>
      </c>
      <c r="B480" s="1936"/>
      <c r="C480" s="1937"/>
      <c r="D480" s="50"/>
      <c r="E480" s="46"/>
      <c r="F480" s="46"/>
      <c r="G480" s="47"/>
    </row>
    <row r="481" spans="1:12" ht="30.75" customHeight="1" thickBot="1" x14ac:dyDescent="0.25">
      <c r="A481" s="1551" t="e">
        <f>+'10 - VIAS - ESPECIALES '!A7:C7</f>
        <v>#REF!</v>
      </c>
      <c r="B481" s="1552"/>
      <c r="C481" s="1553"/>
      <c r="D481" s="48"/>
      <c r="E481" s="48"/>
      <c r="F481" s="48"/>
      <c r="G481" s="49"/>
    </row>
    <row r="482" spans="1:12" ht="58.5" customHeight="1" thickBot="1" x14ac:dyDescent="0.25">
      <c r="A482" s="2269" t="e">
        <f>+'10 - VIAS - ESPECIALES '!A9:C9</f>
        <v>#REF!</v>
      </c>
      <c r="B482" s="2270"/>
      <c r="C482" s="2271"/>
      <c r="D482" s="1565" t="e">
        <f>+'PRES.FASE 1-ADUCCION'!#REF!</f>
        <v>#REF!</v>
      </c>
      <c r="E482" s="1559"/>
      <c r="F482" s="1559"/>
      <c r="G482" s="1560"/>
    </row>
    <row r="483" spans="1:12" ht="3.75" customHeight="1" thickBot="1" x14ac:dyDescent="0.25">
      <c r="A483" s="38"/>
      <c r="B483" s="38"/>
      <c r="C483" s="38"/>
      <c r="D483" s="38"/>
      <c r="E483" s="38"/>
      <c r="F483" s="38"/>
      <c r="G483" s="38"/>
    </row>
    <row r="484" spans="1:12" ht="12.75" customHeight="1" thickBot="1" x14ac:dyDescent="0.25">
      <c r="A484" s="39"/>
      <c r="B484" s="37"/>
      <c r="D484" s="60" t="s">
        <v>124</v>
      </c>
      <c r="E484" s="61" t="s">
        <v>4</v>
      </c>
      <c r="F484" s="59"/>
      <c r="G484" s="59"/>
      <c r="I484" s="432"/>
    </row>
    <row r="485" spans="1:12" ht="13.5" thickBot="1" x14ac:dyDescent="0.25">
      <c r="A485" s="40" t="s">
        <v>108</v>
      </c>
      <c r="B485" s="37"/>
      <c r="C485" s="37"/>
      <c r="D485" s="37"/>
      <c r="E485" s="37"/>
      <c r="F485" s="37"/>
      <c r="G485" s="37"/>
      <c r="I485" s="432"/>
    </row>
    <row r="486" spans="1:12" s="1" customFormat="1" ht="13.5" customHeight="1" thickBot="1" x14ac:dyDescent="0.25">
      <c r="A486" s="1530" t="s">
        <v>109</v>
      </c>
      <c r="B486" s="1554"/>
      <c r="C486" s="1531"/>
      <c r="D486" s="435" t="s">
        <v>110</v>
      </c>
      <c r="E486" s="435" t="s">
        <v>111</v>
      </c>
      <c r="F486" s="426" t="s">
        <v>112</v>
      </c>
      <c r="G486" s="427"/>
    </row>
    <row r="487" spans="1:12" x14ac:dyDescent="0.2">
      <c r="A487" s="1943" t="s">
        <v>131</v>
      </c>
      <c r="B487" s="1944"/>
      <c r="C487" s="1945"/>
      <c r="D487" s="55">
        <v>481.25</v>
      </c>
      <c r="E487" s="80">
        <v>0.5</v>
      </c>
      <c r="F487" s="55">
        <f>D487*E487</f>
        <v>240.625</v>
      </c>
      <c r="G487" s="52"/>
      <c r="I487" s="432">
        <f>(94*60)*F487</f>
        <v>1357125</v>
      </c>
    </row>
    <row r="488" spans="1:12" x14ac:dyDescent="0.2">
      <c r="A488" s="2261" t="s">
        <v>727</v>
      </c>
      <c r="B488" s="2262"/>
      <c r="C488" s="2263"/>
      <c r="D488" s="42">
        <f>45000/8</f>
        <v>5625</v>
      </c>
      <c r="E488" s="92">
        <v>0.3</v>
      </c>
      <c r="F488" s="438">
        <f>D488*E488</f>
        <v>1687.5</v>
      </c>
      <c r="G488" s="53"/>
      <c r="H488" s="34">
        <v>4583</v>
      </c>
      <c r="I488" s="439">
        <f>297*(94*60)</f>
        <v>1675080</v>
      </c>
    </row>
    <row r="489" spans="1:12" ht="13.5" thickBot="1" x14ac:dyDescent="0.25">
      <c r="A489" s="1926"/>
      <c r="B489" s="1946"/>
      <c r="C489" s="1927"/>
      <c r="D489" s="57"/>
      <c r="E489" s="81"/>
      <c r="F489" s="57"/>
      <c r="G489" s="58"/>
    </row>
    <row r="490" spans="1:12" ht="13.5" thickBot="1" x14ac:dyDescent="0.25">
      <c r="A490" s="1932" t="s">
        <v>125</v>
      </c>
      <c r="B490" s="1933"/>
      <c r="C490" s="1933"/>
      <c r="D490" s="1933"/>
      <c r="E490" s="1933"/>
      <c r="F490" s="1934"/>
      <c r="G490" s="431">
        <f>SUM(F487:F489)</f>
        <v>1928.125</v>
      </c>
    </row>
    <row r="491" spans="1:12" ht="13.5" thickBot="1" x14ac:dyDescent="0.25">
      <c r="A491" s="40" t="s">
        <v>123</v>
      </c>
      <c r="B491" s="37"/>
      <c r="C491" s="37"/>
      <c r="D491" s="37"/>
      <c r="E491" s="37"/>
      <c r="F491" s="37"/>
      <c r="G491" s="37"/>
    </row>
    <row r="492" spans="1:12" s="1" customFormat="1" ht="13.5" thickBot="1" x14ac:dyDescent="0.25">
      <c r="A492" s="1530" t="s">
        <v>109</v>
      </c>
      <c r="B492" s="1531"/>
      <c r="C492" s="426" t="s">
        <v>114</v>
      </c>
      <c r="D492" s="426" t="s">
        <v>115</v>
      </c>
      <c r="E492" s="426" t="s">
        <v>116</v>
      </c>
      <c r="F492" s="426" t="s">
        <v>112</v>
      </c>
      <c r="G492" s="427"/>
      <c r="K492" s="434">
        <f>1/J493</f>
        <v>6.9999999999999993E-2</v>
      </c>
    </row>
    <row r="493" spans="1:12" ht="94.5" customHeight="1" x14ac:dyDescent="0.2">
      <c r="A493" s="1540" t="s">
        <v>728</v>
      </c>
      <c r="B493" s="1541"/>
      <c r="C493" s="129" t="s">
        <v>729</v>
      </c>
      <c r="D493" s="130">
        <v>60778.997182341205</v>
      </c>
      <c r="E493" s="129">
        <v>1</v>
      </c>
      <c r="F493" s="428">
        <f>D493*E493</f>
        <v>60778.997182341205</v>
      </c>
      <c r="G493" s="132"/>
      <c r="I493" s="34" t="s">
        <v>709</v>
      </c>
      <c r="J493" s="34">
        <f>1/(0.7*0.1)</f>
        <v>14.285714285714286</v>
      </c>
      <c r="K493" s="432">
        <f>D493/J493</f>
        <v>4254.5298027638837</v>
      </c>
      <c r="L493" s="34">
        <f>(90*62)*297</f>
        <v>1657260</v>
      </c>
    </row>
    <row r="494" spans="1:12" ht="35.25" customHeight="1" x14ac:dyDescent="0.2">
      <c r="A494" s="2261" t="s">
        <v>730</v>
      </c>
      <c r="B494" s="2263"/>
      <c r="C494" s="134" t="s">
        <v>7</v>
      </c>
      <c r="D494" s="135">
        <f>276000/1000</f>
        <v>276</v>
      </c>
      <c r="E494" s="134">
        <v>21</v>
      </c>
      <c r="F494" s="429">
        <f>D494*E494</f>
        <v>5796</v>
      </c>
      <c r="G494" s="137"/>
      <c r="J494" s="432">
        <f>D493/J493</f>
        <v>4254.5298027638837</v>
      </c>
    </row>
    <row r="495" spans="1:12" ht="45.75" customHeight="1" thickBot="1" x14ac:dyDescent="0.25">
      <c r="A495" s="2261" t="s">
        <v>731</v>
      </c>
      <c r="B495" s="2263"/>
      <c r="C495" s="211" t="s">
        <v>7</v>
      </c>
      <c r="D495" s="135">
        <f>1200000/1000</f>
        <v>1200</v>
      </c>
      <c r="E495" s="134">
        <v>11</v>
      </c>
      <c r="F495" s="429">
        <f>D495*E495</f>
        <v>13200</v>
      </c>
      <c r="G495" s="137"/>
    </row>
    <row r="496" spans="1:12" ht="13.5" thickBot="1" x14ac:dyDescent="0.25">
      <c r="A496" s="1932" t="s">
        <v>125</v>
      </c>
      <c r="B496" s="1933"/>
      <c r="C496" s="1933"/>
      <c r="D496" s="1933"/>
      <c r="E496" s="1933"/>
      <c r="F496" s="1934"/>
      <c r="G496" s="431">
        <f>SUM(F493:F495)</f>
        <v>79774.997182341205</v>
      </c>
    </row>
    <row r="497" spans="1:10" ht="13.5" thickBot="1" x14ac:dyDescent="0.25">
      <c r="A497" s="40" t="s">
        <v>117</v>
      </c>
      <c r="B497" s="37"/>
      <c r="C497" s="37"/>
      <c r="D497" s="37"/>
      <c r="E497" s="37"/>
      <c r="F497" s="37"/>
      <c r="G497" s="37"/>
    </row>
    <row r="498" spans="1:10" s="1" customFormat="1" ht="13.5" thickBot="1" x14ac:dyDescent="0.25">
      <c r="A498" s="1922" t="s">
        <v>109</v>
      </c>
      <c r="B498" s="1923"/>
      <c r="C498" s="64" t="s">
        <v>114</v>
      </c>
      <c r="D498" s="64" t="s">
        <v>115</v>
      </c>
      <c r="E498" s="64" t="s">
        <v>116</v>
      </c>
      <c r="F498" s="64" t="s">
        <v>112</v>
      </c>
      <c r="G498" s="67"/>
    </row>
    <row r="499" spans="1:10" x14ac:dyDescent="0.2">
      <c r="A499" s="1943"/>
      <c r="B499" s="1945"/>
      <c r="C499" s="43"/>
      <c r="D499" s="55"/>
      <c r="E499" s="586"/>
      <c r="F499" s="42"/>
      <c r="G499" s="52"/>
    </row>
    <row r="500" spans="1:10" ht="13.5" thickBot="1" x14ac:dyDescent="0.25">
      <c r="A500" s="1926"/>
      <c r="B500" s="1927"/>
      <c r="C500" s="62"/>
      <c r="D500" s="43"/>
      <c r="E500" s="57"/>
      <c r="F500" s="57"/>
      <c r="G500" s="68"/>
      <c r="J500" s="432">
        <f>F500*5000</f>
        <v>0</v>
      </c>
    </row>
    <row r="501" spans="1:10" ht="13.5" thickBot="1" x14ac:dyDescent="0.25">
      <c r="A501" s="218" t="s">
        <v>125</v>
      </c>
      <c r="B501" s="219"/>
      <c r="C501" s="219"/>
      <c r="D501" s="219"/>
      <c r="E501" s="219"/>
      <c r="F501" s="220" t="s">
        <v>113</v>
      </c>
      <c r="G501" s="54">
        <f>SUM(F499:F500)</f>
        <v>0</v>
      </c>
    </row>
    <row r="502" spans="1:10" ht="13.5" thickBot="1" x14ac:dyDescent="0.25">
      <c r="A502" s="40" t="s">
        <v>119</v>
      </c>
      <c r="B502" s="37"/>
      <c r="C502" s="37"/>
      <c r="D502" s="37"/>
      <c r="E502" s="37"/>
      <c r="F502" s="37"/>
      <c r="G502" s="37"/>
    </row>
    <row r="503" spans="1:10" ht="13.5" thickBot="1" x14ac:dyDescent="0.25">
      <c r="A503" s="1922" t="s">
        <v>120</v>
      </c>
      <c r="B503" s="1923"/>
      <c r="C503" s="63" t="s">
        <v>121</v>
      </c>
      <c r="D503" s="64" t="s">
        <v>116</v>
      </c>
      <c r="E503" s="64" t="s">
        <v>111</v>
      </c>
      <c r="F503" s="64" t="s">
        <v>112</v>
      </c>
      <c r="G503" s="71"/>
    </row>
    <row r="504" spans="1:10" x14ac:dyDescent="0.2">
      <c r="A504" s="2265" t="s">
        <v>21</v>
      </c>
      <c r="B504" s="2266"/>
      <c r="C504" s="74">
        <v>7410.9600847008996</v>
      </c>
      <c r="D504" s="420">
        <v>1</v>
      </c>
      <c r="E504" s="421">
        <v>0.23405000000000001</v>
      </c>
      <c r="F504" s="422">
        <f>E504*D504*C504</f>
        <v>1734.5352078242456</v>
      </c>
      <c r="G504" s="52"/>
    </row>
    <row r="505" spans="1:10" ht="13.5" thickBot="1" x14ac:dyDescent="0.25">
      <c r="A505" s="2252" t="s">
        <v>22</v>
      </c>
      <c r="B505" s="2267"/>
      <c r="C505" s="73">
        <v>4374.7823749999998</v>
      </c>
      <c r="D505" s="423">
        <v>7</v>
      </c>
      <c r="E505" s="424">
        <f>+E504</f>
        <v>0.23405000000000001</v>
      </c>
      <c r="F505" s="425">
        <f>E505*D505*C505</f>
        <v>7167.4247040812497</v>
      </c>
      <c r="G505" s="58"/>
    </row>
    <row r="506" spans="1:10" ht="13.5" thickBot="1" x14ac:dyDescent="0.25">
      <c r="A506" s="1932" t="str">
        <f>+A501</f>
        <v>SUB-TOTAL</v>
      </c>
      <c r="B506" s="1933"/>
      <c r="C506" s="1933"/>
      <c r="D506" s="1933"/>
      <c r="E506" s="1933"/>
      <c r="F506" s="1934"/>
      <c r="G506" s="54">
        <f>ROUNDUP(SUM(F504:F505),0)</f>
        <v>8902</v>
      </c>
      <c r="H506" s="34">
        <v>1842</v>
      </c>
      <c r="I506" s="432"/>
    </row>
    <row r="507" spans="1:10" ht="11.25" customHeight="1" thickBot="1" x14ac:dyDescent="0.25">
      <c r="A507" s="37"/>
      <c r="B507" s="37"/>
      <c r="C507" s="37"/>
      <c r="D507" s="37"/>
      <c r="E507" s="37"/>
      <c r="F507" s="45"/>
      <c r="G507" s="37"/>
    </row>
    <row r="508" spans="1:10" ht="13.5" thickBot="1" x14ac:dyDescent="0.25">
      <c r="A508" s="1932" t="s">
        <v>156</v>
      </c>
      <c r="B508" s="1933"/>
      <c r="C508" s="1933"/>
      <c r="D508" s="1933"/>
      <c r="E508" s="1933"/>
      <c r="F508" s="2268"/>
      <c r="G508" s="72">
        <f>ROUND(G490+G496+G501+G506,0)</f>
        <v>90605</v>
      </c>
      <c r="I508" s="433"/>
    </row>
    <row r="509" spans="1:10" x14ac:dyDescent="0.2">
      <c r="A509" s="436"/>
      <c r="B509" s="436"/>
      <c r="C509" s="436"/>
      <c r="D509" s="436"/>
      <c r="E509" s="436"/>
      <c r="F509" s="436"/>
      <c r="G509" s="437"/>
      <c r="I509" s="433"/>
    </row>
    <row r="510" spans="1:10" ht="14.25" x14ac:dyDescent="0.2">
      <c r="A510" s="573" t="s">
        <v>790</v>
      </c>
      <c r="B510" s="572"/>
      <c r="C510" s="572"/>
      <c r="E510" s="577" t="s">
        <v>791</v>
      </c>
      <c r="G510" s="437"/>
      <c r="I510" s="433"/>
    </row>
    <row r="511" spans="1:10" ht="14.25" x14ac:dyDescent="0.2">
      <c r="A511" s="573"/>
      <c r="B511" s="572"/>
      <c r="C511" s="572"/>
      <c r="E511" s="577"/>
      <c r="G511" s="437"/>
      <c r="I511" s="433"/>
    </row>
    <row r="512" spans="1:10" ht="14.25" x14ac:dyDescent="0.2">
      <c r="A512" s="573"/>
      <c r="B512" s="572"/>
      <c r="C512" s="572"/>
      <c r="E512" s="577"/>
      <c r="G512" s="437"/>
      <c r="I512" s="433"/>
    </row>
    <row r="513" spans="1:11" ht="14.25" x14ac:dyDescent="0.2">
      <c r="A513" s="574" t="e">
        <f>+'10 - VIAS - ESPECIALES '!A42</f>
        <v>#REF!</v>
      </c>
      <c r="B513" s="572"/>
      <c r="C513" s="572"/>
      <c r="D513" s="574" t="e">
        <f>+'10 - VIAS - ESPECIALES '!D42</f>
        <v>#REF!</v>
      </c>
      <c r="F513" s="437"/>
      <c r="I513" s="433"/>
    </row>
    <row r="514" spans="1:11" ht="14.25" x14ac:dyDescent="0.2">
      <c r="A514" s="574" t="e">
        <f>+'10 - VIAS - ESPECIALES '!A43</f>
        <v>#REF!</v>
      </c>
      <c r="B514" s="572"/>
      <c r="C514" s="572"/>
      <c r="D514" s="574" t="e">
        <f>+'10 - VIAS - ESPECIALES '!D43</f>
        <v>#REF!</v>
      </c>
      <c r="F514" s="437"/>
      <c r="I514" s="433"/>
    </row>
    <row r="515" spans="1:11" ht="14.25" x14ac:dyDescent="0.2">
      <c r="A515" s="574" t="e">
        <f>+'10 - VIAS - ESPECIALES '!A44</f>
        <v>#REF!</v>
      </c>
      <c r="B515" s="572"/>
      <c r="C515" s="572"/>
    </row>
    <row r="516" spans="1:11" ht="27" hidden="1" customHeight="1" x14ac:dyDescent="0.2">
      <c r="A516" s="1935" t="s">
        <v>122</v>
      </c>
      <c r="B516" s="1936"/>
      <c r="C516" s="1937"/>
      <c r="D516" s="50"/>
      <c r="E516" s="46"/>
      <c r="F516" s="46"/>
      <c r="G516" s="47"/>
    </row>
    <row r="517" spans="1:11" ht="24" hidden="1" customHeight="1" thickBot="1" x14ac:dyDescent="0.25">
      <c r="A517" s="1938" t="s">
        <v>935</v>
      </c>
      <c r="B517" s="1939"/>
      <c r="C517" s="1940"/>
      <c r="D517" s="48"/>
      <c r="E517" s="48"/>
      <c r="F517" s="48"/>
      <c r="G517" s="49"/>
    </row>
    <row r="518" spans="1:11" ht="44.25" hidden="1" customHeight="1" thickBot="1" x14ac:dyDescent="0.25">
      <c r="A518" s="2269" t="s">
        <v>936</v>
      </c>
      <c r="B518" s="2270"/>
      <c r="C518" s="2271"/>
      <c r="D518" s="1565" t="s">
        <v>732</v>
      </c>
      <c r="E518" s="1559"/>
      <c r="F518" s="1559"/>
      <c r="G518" s="1560"/>
    </row>
    <row r="519" spans="1:11" ht="13.5" hidden="1" thickBot="1" x14ac:dyDescent="0.25">
      <c r="A519" s="38"/>
      <c r="B519" s="38"/>
      <c r="C519" s="38"/>
      <c r="D519" s="38"/>
      <c r="E519" s="38"/>
      <c r="F519" s="38"/>
      <c r="G519" s="38"/>
    </row>
    <row r="520" spans="1:11" ht="12.75" hidden="1" customHeight="1" thickBot="1" x14ac:dyDescent="0.25">
      <c r="A520" s="39"/>
      <c r="B520" s="37"/>
      <c r="D520" s="60" t="s">
        <v>124</v>
      </c>
      <c r="E520" s="61" t="s">
        <v>6</v>
      </c>
      <c r="F520" s="59"/>
      <c r="G520" s="59"/>
      <c r="I520" s="432"/>
    </row>
    <row r="521" spans="1:11" ht="13.5" hidden="1" thickBot="1" x14ac:dyDescent="0.25">
      <c r="A521" s="40" t="s">
        <v>108</v>
      </c>
      <c r="B521" s="37"/>
      <c r="C521" s="37"/>
      <c r="D521" s="37"/>
      <c r="E521" s="37"/>
      <c r="F521" s="37"/>
      <c r="G521" s="37"/>
      <c r="I521" s="432"/>
    </row>
    <row r="522" spans="1:11" s="1" customFormat="1" ht="13.5" hidden="1" customHeight="1" thickBot="1" x14ac:dyDescent="0.25">
      <c r="A522" s="1530" t="s">
        <v>109</v>
      </c>
      <c r="B522" s="1554"/>
      <c r="C522" s="1531"/>
      <c r="D522" s="435" t="s">
        <v>110</v>
      </c>
      <c r="E522" s="435" t="s">
        <v>111</v>
      </c>
      <c r="F522" s="426" t="s">
        <v>112</v>
      </c>
      <c r="G522" s="427"/>
    </row>
    <row r="523" spans="1:11" hidden="1" x14ac:dyDescent="0.2">
      <c r="A523" s="1943" t="s">
        <v>131</v>
      </c>
      <c r="B523" s="1944"/>
      <c r="C523" s="1945"/>
      <c r="D523" s="55">
        <v>481.25</v>
      </c>
      <c r="E523" s="80">
        <v>0.7</v>
      </c>
      <c r="F523" s="55">
        <f>D523*E523</f>
        <v>336.875</v>
      </c>
      <c r="G523" s="52"/>
      <c r="I523" s="432">
        <f>(94*60)*F523</f>
        <v>1899975</v>
      </c>
    </row>
    <row r="524" spans="1:11" hidden="1" x14ac:dyDescent="0.2">
      <c r="A524" s="2261"/>
      <c r="B524" s="2262"/>
      <c r="C524" s="2263"/>
      <c r="D524" s="42"/>
      <c r="E524" s="92"/>
      <c r="F524" s="438"/>
      <c r="G524" s="53"/>
      <c r="H524" s="34">
        <v>4583</v>
      </c>
      <c r="I524" s="439">
        <f>297*(94*60)</f>
        <v>1675080</v>
      </c>
    </row>
    <row r="525" spans="1:11" ht="13.5" hidden="1" thickBot="1" x14ac:dyDescent="0.25">
      <c r="A525" s="1926"/>
      <c r="B525" s="1946"/>
      <c r="C525" s="1927"/>
      <c r="D525" s="57"/>
      <c r="E525" s="81"/>
      <c r="F525" s="57"/>
      <c r="G525" s="58"/>
    </row>
    <row r="526" spans="1:11" ht="13.5" hidden="1" thickBot="1" x14ac:dyDescent="0.25">
      <c r="A526" s="1932" t="s">
        <v>125</v>
      </c>
      <c r="B526" s="1933"/>
      <c r="C526" s="1933"/>
      <c r="D526" s="1933"/>
      <c r="E526" s="1933"/>
      <c r="F526" s="1934"/>
      <c r="G526" s="431">
        <f>SUM(F523:F525)</f>
        <v>336.875</v>
      </c>
    </row>
    <row r="527" spans="1:11" ht="13.5" hidden="1" thickBot="1" x14ac:dyDescent="0.25">
      <c r="A527" s="40" t="s">
        <v>123</v>
      </c>
      <c r="B527" s="37"/>
      <c r="C527" s="37"/>
      <c r="D527" s="37"/>
      <c r="E527" s="37"/>
      <c r="F527" s="37"/>
      <c r="G527" s="37"/>
    </row>
    <row r="528" spans="1:11" s="1" customFormat="1" ht="13.5" hidden="1" thickBot="1" x14ac:dyDescent="0.25">
      <c r="A528" s="1530" t="s">
        <v>109</v>
      </c>
      <c r="B528" s="1531"/>
      <c r="C528" s="426" t="s">
        <v>114</v>
      </c>
      <c r="D528" s="426" t="s">
        <v>115</v>
      </c>
      <c r="E528" s="426" t="s">
        <v>116</v>
      </c>
      <c r="F528" s="426" t="s">
        <v>112</v>
      </c>
      <c r="G528" s="427"/>
      <c r="K528" s="434">
        <f>1/J529</f>
        <v>6.9999999999999993E-2</v>
      </c>
    </row>
    <row r="529" spans="1:11" ht="14.25" hidden="1" customHeight="1" x14ac:dyDescent="0.2">
      <c r="A529" s="1540" t="s">
        <v>733</v>
      </c>
      <c r="B529" s="1541"/>
      <c r="C529" s="129" t="s">
        <v>6</v>
      </c>
      <c r="D529" s="130">
        <v>8926</v>
      </c>
      <c r="E529" s="129">
        <v>1</v>
      </c>
      <c r="F529" s="428">
        <f>D529*E529</f>
        <v>8926</v>
      </c>
      <c r="G529" s="132"/>
      <c r="I529" s="34" t="s">
        <v>709</v>
      </c>
      <c r="J529" s="34">
        <f>1/(0.7*0.1)</f>
        <v>14.285714285714286</v>
      </c>
      <c r="K529" s="432">
        <f>D529/J529</f>
        <v>624.81999999999994</v>
      </c>
    </row>
    <row r="530" spans="1:11" ht="24" hidden="1" customHeight="1" x14ac:dyDescent="0.2">
      <c r="A530" s="2261" t="s">
        <v>734</v>
      </c>
      <c r="B530" s="2263"/>
      <c r="C530" s="134" t="s">
        <v>6</v>
      </c>
      <c r="D530" s="135">
        <v>20000</v>
      </c>
      <c r="E530" s="134">
        <v>0.7</v>
      </c>
      <c r="F530" s="429">
        <f>D530*E530</f>
        <v>14000</v>
      </c>
      <c r="G530" s="137"/>
      <c r="J530" s="432">
        <f>D529/J529</f>
        <v>624.81999999999994</v>
      </c>
    </row>
    <row r="531" spans="1:11" ht="14.25" hidden="1" customHeight="1" thickBot="1" x14ac:dyDescent="0.25">
      <c r="A531" s="2261" t="s">
        <v>735</v>
      </c>
      <c r="B531" s="2263"/>
      <c r="C531" s="211" t="s">
        <v>12</v>
      </c>
      <c r="D531" s="135">
        <v>63800</v>
      </c>
      <c r="E531" s="134">
        <v>0.6</v>
      </c>
      <c r="F531" s="429">
        <f>D531*E531</f>
        <v>38280</v>
      </c>
      <c r="G531" s="137"/>
    </row>
    <row r="532" spans="1:11" ht="13.5" hidden="1" thickBot="1" x14ac:dyDescent="0.25">
      <c r="A532" s="1932" t="s">
        <v>125</v>
      </c>
      <c r="B532" s="1933"/>
      <c r="C532" s="1933"/>
      <c r="D532" s="1933"/>
      <c r="E532" s="1933"/>
      <c r="F532" s="1934"/>
      <c r="G532" s="431">
        <f>SUM(F529:F531)</f>
        <v>61206</v>
      </c>
    </row>
    <row r="533" spans="1:11" ht="13.5" hidden="1" thickBot="1" x14ac:dyDescent="0.25">
      <c r="A533" s="40" t="s">
        <v>117</v>
      </c>
      <c r="B533" s="37"/>
      <c r="C533" s="37"/>
      <c r="D533" s="37"/>
      <c r="E533" s="37"/>
      <c r="F533" s="37"/>
      <c r="G533" s="37"/>
    </row>
    <row r="534" spans="1:11" s="1" customFormat="1" ht="13.5" hidden="1" thickBot="1" x14ac:dyDescent="0.25">
      <c r="A534" s="1922" t="s">
        <v>109</v>
      </c>
      <c r="B534" s="1923"/>
      <c r="C534" s="64" t="s">
        <v>114</v>
      </c>
      <c r="D534" s="64" t="s">
        <v>115</v>
      </c>
      <c r="E534" s="64" t="s">
        <v>116</v>
      </c>
      <c r="F534" s="64" t="s">
        <v>112</v>
      </c>
      <c r="G534" s="67"/>
    </row>
    <row r="535" spans="1:11" hidden="1" x14ac:dyDescent="0.2">
      <c r="A535" s="1943"/>
      <c r="B535" s="1945"/>
      <c r="C535" s="43"/>
      <c r="D535" s="55"/>
      <c r="E535" s="419"/>
      <c r="F535" s="42"/>
      <c r="G535" s="52"/>
    </row>
    <row r="536" spans="1:11" ht="13.5" hidden="1" thickBot="1" x14ac:dyDescent="0.25">
      <c r="A536" s="1926"/>
      <c r="B536" s="1927"/>
      <c r="C536" s="62"/>
      <c r="D536" s="43"/>
      <c r="E536" s="57"/>
      <c r="F536" s="57"/>
      <c r="G536" s="68"/>
      <c r="J536" s="432">
        <f>F536*5000</f>
        <v>0</v>
      </c>
    </row>
    <row r="537" spans="1:11" ht="13.5" hidden="1" thickBot="1" x14ac:dyDescent="0.25">
      <c r="A537" s="218" t="s">
        <v>125</v>
      </c>
      <c r="B537" s="219"/>
      <c r="C537" s="219"/>
      <c r="D537" s="219"/>
      <c r="E537" s="219"/>
      <c r="F537" s="220" t="s">
        <v>113</v>
      </c>
      <c r="G537" s="54">
        <f>SUM(F535:F536)</f>
        <v>0</v>
      </c>
    </row>
    <row r="538" spans="1:11" ht="13.5" hidden="1" thickBot="1" x14ac:dyDescent="0.25">
      <c r="A538" s="40" t="s">
        <v>119</v>
      </c>
      <c r="B538" s="37"/>
      <c r="C538" s="37"/>
      <c r="D538" s="37"/>
      <c r="E538" s="37"/>
      <c r="F538" s="37"/>
      <c r="G538" s="37"/>
    </row>
    <row r="539" spans="1:11" ht="13.5" hidden="1" thickBot="1" x14ac:dyDescent="0.25">
      <c r="A539" s="1922" t="s">
        <v>120</v>
      </c>
      <c r="B539" s="1923"/>
      <c r="C539" s="63" t="s">
        <v>121</v>
      </c>
      <c r="D539" s="64" t="s">
        <v>116</v>
      </c>
      <c r="E539" s="64" t="s">
        <v>111</v>
      </c>
      <c r="F539" s="64" t="s">
        <v>112</v>
      </c>
      <c r="G539" s="71"/>
    </row>
    <row r="540" spans="1:11" hidden="1" x14ac:dyDescent="0.2">
      <c r="A540" s="2265" t="s">
        <v>21</v>
      </c>
      <c r="B540" s="2266"/>
      <c r="C540" s="74">
        <v>7410.9600847008996</v>
      </c>
      <c r="D540" s="420">
        <v>1</v>
      </c>
      <c r="E540" s="421">
        <v>0.7</v>
      </c>
      <c r="F540" s="422">
        <f>E540*D540*C540</f>
        <v>5187.6720592906295</v>
      </c>
      <c r="G540" s="52"/>
    </row>
    <row r="541" spans="1:11" ht="13.5" hidden="1" thickBot="1" x14ac:dyDescent="0.25">
      <c r="A541" s="2252" t="s">
        <v>22</v>
      </c>
      <c r="B541" s="2267"/>
      <c r="C541" s="73">
        <v>4374.7823749999998</v>
      </c>
      <c r="D541" s="423">
        <v>4</v>
      </c>
      <c r="E541" s="424">
        <f>E540</f>
        <v>0.7</v>
      </c>
      <c r="F541" s="425">
        <f>E541*D541*C541</f>
        <v>12249.390649999999</v>
      </c>
      <c r="G541" s="58"/>
    </row>
    <row r="542" spans="1:11" ht="13.5" hidden="1" thickBot="1" x14ac:dyDescent="0.25">
      <c r="A542" s="1932" t="str">
        <f>+A537</f>
        <v>SUB-TOTAL</v>
      </c>
      <c r="B542" s="1933"/>
      <c r="C542" s="1933"/>
      <c r="D542" s="1933"/>
      <c r="E542" s="1933"/>
      <c r="F542" s="1934"/>
      <c r="G542" s="54">
        <f>ROUNDUP(SUM(F540:F541),0)</f>
        <v>17438</v>
      </c>
      <c r="H542" s="34">
        <v>1842</v>
      </c>
      <c r="I542" s="432"/>
    </row>
    <row r="543" spans="1:11" ht="11.25" hidden="1" customHeight="1" thickBot="1" x14ac:dyDescent="0.25">
      <c r="A543" s="37"/>
      <c r="B543" s="37"/>
      <c r="C543" s="37"/>
      <c r="D543" s="37"/>
      <c r="E543" s="37"/>
      <c r="F543" s="45"/>
      <c r="G543" s="37"/>
    </row>
    <row r="544" spans="1:11" ht="13.5" hidden="1" thickBot="1" x14ac:dyDescent="0.25">
      <c r="A544" s="1932" t="s">
        <v>156</v>
      </c>
      <c r="B544" s="1933"/>
      <c r="C544" s="1933"/>
      <c r="D544" s="1933"/>
      <c r="E544" s="1933"/>
      <c r="F544" s="2268"/>
      <c r="G544" s="72">
        <f>ROUND(G526+G532+G537+G542,0)</f>
        <v>78981</v>
      </c>
      <c r="I544" s="433"/>
    </row>
    <row r="546" spans="1:12" ht="13.5" thickBot="1" x14ac:dyDescent="0.25"/>
    <row r="547" spans="1:12" ht="27" customHeight="1" x14ac:dyDescent="0.2">
      <c r="A547" s="1935" t="e">
        <f>+A480</f>
        <v>#REF!</v>
      </c>
      <c r="B547" s="1936"/>
      <c r="C547" s="1937"/>
      <c r="D547" s="50"/>
      <c r="E547" s="46"/>
      <c r="F547" s="46"/>
      <c r="G547" s="47"/>
    </row>
    <row r="548" spans="1:12" ht="30.75" customHeight="1" thickBot="1" x14ac:dyDescent="0.25">
      <c r="A548" s="1551" t="e">
        <f>+A481</f>
        <v>#REF!</v>
      </c>
      <c r="B548" s="1552"/>
      <c r="C548" s="1553"/>
      <c r="D548" s="48"/>
      <c r="E548" s="48"/>
      <c r="F548" s="48"/>
      <c r="G548" s="49"/>
    </row>
    <row r="549" spans="1:12" ht="63" customHeight="1" thickBot="1" x14ac:dyDescent="0.25">
      <c r="A549" s="2269" t="e">
        <f>+A482</f>
        <v>#REF!</v>
      </c>
      <c r="B549" s="2270"/>
      <c r="C549" s="2271"/>
      <c r="D549" s="1565" t="e">
        <f>+'PRES.FASE 1-ADUCCION'!#REF!</f>
        <v>#REF!</v>
      </c>
      <c r="E549" s="1559"/>
      <c r="F549" s="1559"/>
      <c r="G549" s="1560"/>
    </row>
    <row r="550" spans="1:12" ht="12.75" customHeight="1" thickBot="1" x14ac:dyDescent="0.25">
      <c r="A550" s="38"/>
      <c r="B550" s="38"/>
      <c r="C550" s="38"/>
      <c r="D550" s="38"/>
      <c r="E550" s="38"/>
      <c r="F550" s="38"/>
      <c r="G550" s="38"/>
    </row>
    <row r="551" spans="1:12" ht="12.75" customHeight="1" thickBot="1" x14ac:dyDescent="0.25">
      <c r="A551" s="39"/>
      <c r="B551" s="37"/>
      <c r="D551" s="60" t="s">
        <v>124</v>
      </c>
      <c r="E551" s="61" t="s">
        <v>2</v>
      </c>
      <c r="F551" s="59"/>
      <c r="G551" s="59"/>
      <c r="I551" s="432"/>
    </row>
    <row r="552" spans="1:12" ht="13.5" thickBot="1" x14ac:dyDescent="0.25">
      <c r="A552" s="40" t="s">
        <v>108</v>
      </c>
      <c r="B552" s="37"/>
      <c r="C552" s="37"/>
      <c r="D552" s="37"/>
      <c r="E552" s="37"/>
      <c r="F552" s="37"/>
      <c r="G552" s="37"/>
      <c r="I552" s="432"/>
    </row>
    <row r="553" spans="1:12" s="1" customFormat="1" ht="13.5" customHeight="1" thickBot="1" x14ac:dyDescent="0.25">
      <c r="A553" s="1530" t="s">
        <v>109</v>
      </c>
      <c r="B553" s="1554"/>
      <c r="C553" s="1531"/>
      <c r="D553" s="435" t="s">
        <v>110</v>
      </c>
      <c r="E553" s="435" t="s">
        <v>111</v>
      </c>
      <c r="F553" s="426" t="s">
        <v>112</v>
      </c>
      <c r="G553" s="427"/>
    </row>
    <row r="554" spans="1:12" x14ac:dyDescent="0.2">
      <c r="A554" s="1943" t="s">
        <v>131</v>
      </c>
      <c r="B554" s="1944"/>
      <c r="C554" s="1945"/>
      <c r="D554" s="55">
        <f>+OTROS!D96</f>
        <v>1875</v>
      </c>
      <c r="E554" s="80">
        <v>2</v>
      </c>
      <c r="F554" s="55">
        <f>D554*E554</f>
        <v>3750</v>
      </c>
      <c r="G554" s="52"/>
      <c r="I554" s="432">
        <f>(94*60)*F554</f>
        <v>21150000</v>
      </c>
    </row>
    <row r="555" spans="1:12" x14ac:dyDescent="0.2">
      <c r="A555" s="2261"/>
      <c r="B555" s="2262"/>
      <c r="C555" s="2263"/>
      <c r="D555" s="42"/>
      <c r="E555" s="92"/>
      <c r="F555" s="438"/>
      <c r="G555" s="53"/>
      <c r="H555" s="34">
        <v>4583</v>
      </c>
      <c r="I555" s="439">
        <f>297*(94*60)</f>
        <v>1675080</v>
      </c>
    </row>
    <row r="556" spans="1:12" ht="13.5" thickBot="1" x14ac:dyDescent="0.25">
      <c r="A556" s="1926"/>
      <c r="B556" s="1946"/>
      <c r="C556" s="1927"/>
      <c r="D556" s="57"/>
      <c r="E556" s="81"/>
      <c r="F556" s="57"/>
      <c r="G556" s="58"/>
    </row>
    <row r="557" spans="1:12" ht="13.5" thickBot="1" x14ac:dyDescent="0.25">
      <c r="A557" s="1932" t="s">
        <v>125</v>
      </c>
      <c r="B557" s="1933"/>
      <c r="C557" s="1933"/>
      <c r="D557" s="1933"/>
      <c r="E557" s="1933"/>
      <c r="F557" s="1934"/>
      <c r="G557" s="431">
        <f>SUM(F554:F556)</f>
        <v>3750</v>
      </c>
    </row>
    <row r="558" spans="1:12" ht="13.5" thickBot="1" x14ac:dyDescent="0.25">
      <c r="A558" s="40" t="s">
        <v>123</v>
      </c>
      <c r="B558" s="37"/>
      <c r="C558" s="37"/>
      <c r="D558" s="37"/>
      <c r="E558" s="37"/>
      <c r="F558" s="37"/>
      <c r="G558" s="37"/>
    </row>
    <row r="559" spans="1:12" s="1" customFormat="1" ht="13.5" thickBot="1" x14ac:dyDescent="0.25">
      <c r="A559" s="1530" t="s">
        <v>109</v>
      </c>
      <c r="B559" s="1531"/>
      <c r="C559" s="426" t="s">
        <v>114</v>
      </c>
      <c r="D559" s="426" t="s">
        <v>115</v>
      </c>
      <c r="E559" s="426" t="s">
        <v>116</v>
      </c>
      <c r="F559" s="426" t="s">
        <v>112</v>
      </c>
      <c r="G559" s="427"/>
      <c r="K559" s="434">
        <f>1/J560</f>
        <v>6.9999999999999993E-2</v>
      </c>
    </row>
    <row r="560" spans="1:12" ht="26.25" customHeight="1" x14ac:dyDescent="0.2">
      <c r="A560" s="1540" t="e">
        <f>+OTROS!D89</f>
        <v>#REF!</v>
      </c>
      <c r="B560" s="1541"/>
      <c r="C560" s="129" t="s">
        <v>6</v>
      </c>
      <c r="D560" s="130" t="e">
        <f>+OTROS!G118</f>
        <v>#REF!</v>
      </c>
      <c r="E560" s="581">
        <v>417.16925845869753</v>
      </c>
      <c r="F560" s="428" t="e">
        <f>D560*E560</f>
        <v>#REF!</v>
      </c>
      <c r="G560" s="132"/>
      <c r="I560" s="34" t="s">
        <v>709</v>
      </c>
      <c r="J560" s="34">
        <f>1/(0.7*0.1)</f>
        <v>14.285714285714286</v>
      </c>
      <c r="K560" s="432" t="e">
        <f>D560/J560</f>
        <v>#REF!</v>
      </c>
      <c r="L560" s="34">
        <f>(90*62)*297</f>
        <v>1657260</v>
      </c>
    </row>
    <row r="561" spans="1:10" x14ac:dyDescent="0.2">
      <c r="A561" s="2261"/>
      <c r="B561" s="2263"/>
      <c r="C561" s="134"/>
      <c r="D561" s="135"/>
      <c r="E561" s="134"/>
      <c r="F561" s="429"/>
      <c r="G561" s="137"/>
      <c r="J561" s="432" t="e">
        <f>D560/J560</f>
        <v>#REF!</v>
      </c>
    </row>
    <row r="562" spans="1:10" ht="13.5" thickBot="1" x14ac:dyDescent="0.25">
      <c r="A562" s="2261"/>
      <c r="B562" s="2263"/>
      <c r="C562" s="211"/>
      <c r="D562" s="135"/>
      <c r="E562" s="134"/>
      <c r="F562" s="429"/>
      <c r="G562" s="137"/>
    </row>
    <row r="563" spans="1:10" ht="13.5" thickBot="1" x14ac:dyDescent="0.25">
      <c r="A563" s="1932" t="s">
        <v>125</v>
      </c>
      <c r="B563" s="1933"/>
      <c r="C563" s="1933"/>
      <c r="D563" s="1933"/>
      <c r="E563" s="1933"/>
      <c r="F563" s="1934"/>
      <c r="G563" s="431" t="e">
        <f>SUM(F560:F562)</f>
        <v>#REF!</v>
      </c>
    </row>
    <row r="564" spans="1:10" ht="13.5" thickBot="1" x14ac:dyDescent="0.25">
      <c r="A564" s="40" t="s">
        <v>117</v>
      </c>
      <c r="B564" s="37"/>
      <c r="C564" s="37"/>
      <c r="D564" s="37"/>
      <c r="E564" s="37"/>
      <c r="F564" s="37"/>
      <c r="G564" s="37"/>
    </row>
    <row r="565" spans="1:10" s="1" customFormat="1" ht="13.5" thickBot="1" x14ac:dyDescent="0.25">
      <c r="A565" s="1922" t="s">
        <v>109</v>
      </c>
      <c r="B565" s="1923"/>
      <c r="C565" s="64" t="s">
        <v>114</v>
      </c>
      <c r="D565" s="64" t="s">
        <v>115</v>
      </c>
      <c r="E565" s="64" t="s">
        <v>116</v>
      </c>
      <c r="F565" s="64" t="s">
        <v>112</v>
      </c>
      <c r="G565" s="67"/>
    </row>
    <row r="566" spans="1:10" x14ac:dyDescent="0.2">
      <c r="A566" s="1943"/>
      <c r="B566" s="1945"/>
      <c r="C566" s="43"/>
      <c r="D566" s="55"/>
      <c r="E566" s="586"/>
      <c r="F566" s="42"/>
      <c r="G566" s="52"/>
    </row>
    <row r="567" spans="1:10" ht="13.5" thickBot="1" x14ac:dyDescent="0.25">
      <c r="A567" s="1926"/>
      <c r="B567" s="1927"/>
      <c r="C567" s="62"/>
      <c r="D567" s="43"/>
      <c r="E567" s="57"/>
      <c r="F567" s="57"/>
      <c r="G567" s="68"/>
      <c r="J567" s="432">
        <f>F567*5000</f>
        <v>0</v>
      </c>
    </row>
    <row r="568" spans="1:10" ht="13.5" thickBot="1" x14ac:dyDescent="0.25">
      <c r="A568" s="218" t="s">
        <v>125</v>
      </c>
      <c r="B568" s="219"/>
      <c r="C568" s="219"/>
      <c r="D568" s="219"/>
      <c r="E568" s="219"/>
      <c r="F568" s="220" t="s">
        <v>113</v>
      </c>
      <c r="G568" s="54">
        <f>SUM(F566:F567)</f>
        <v>0</v>
      </c>
    </row>
    <row r="569" spans="1:10" ht="13.5" thickBot="1" x14ac:dyDescent="0.25">
      <c r="A569" s="40" t="s">
        <v>119</v>
      </c>
      <c r="B569" s="37"/>
      <c r="C569" s="37"/>
      <c r="D569" s="37"/>
      <c r="E569" s="37"/>
      <c r="F569" s="37"/>
      <c r="G569" s="37"/>
    </row>
    <row r="570" spans="1:10" ht="13.5" thickBot="1" x14ac:dyDescent="0.25">
      <c r="A570" s="1922" t="s">
        <v>120</v>
      </c>
      <c r="B570" s="1923"/>
      <c r="C570" s="63" t="s">
        <v>121</v>
      </c>
      <c r="D570" s="64" t="s">
        <v>116</v>
      </c>
      <c r="E570" s="64" t="s">
        <v>111</v>
      </c>
      <c r="F570" s="64" t="s">
        <v>112</v>
      </c>
      <c r="G570" s="71"/>
    </row>
    <row r="571" spans="1:10" x14ac:dyDescent="0.2">
      <c r="A571" s="2265" t="s">
        <v>21</v>
      </c>
      <c r="B571" s="2266"/>
      <c r="C571" s="74">
        <v>7410.9600847008996</v>
      </c>
      <c r="D571" s="420">
        <v>1</v>
      </c>
      <c r="E571" s="421">
        <v>1.2</v>
      </c>
      <c r="F571" s="422">
        <f>E571*D571*C571</f>
        <v>8893.1521016410788</v>
      </c>
      <c r="G571" s="52"/>
    </row>
    <row r="572" spans="1:10" ht="13.5" thickBot="1" x14ac:dyDescent="0.25">
      <c r="A572" s="2252" t="s">
        <v>22</v>
      </c>
      <c r="B572" s="2267"/>
      <c r="C572" s="73">
        <v>4374.7823749999998</v>
      </c>
      <c r="D572" s="423">
        <v>7</v>
      </c>
      <c r="E572" s="424">
        <f>E571</f>
        <v>1.2</v>
      </c>
      <c r="F572" s="425">
        <f>E572*D572*C572</f>
        <v>36748.171949999996</v>
      </c>
      <c r="G572" s="58"/>
    </row>
    <row r="573" spans="1:10" ht="13.5" thickBot="1" x14ac:dyDescent="0.25">
      <c r="A573" s="1932" t="str">
        <f>+A568</f>
        <v>SUB-TOTAL</v>
      </c>
      <c r="B573" s="1933"/>
      <c r="C573" s="1933"/>
      <c r="D573" s="1933"/>
      <c r="E573" s="1933"/>
      <c r="F573" s="1934"/>
      <c r="G573" s="54">
        <f>ROUNDUP(SUM(F571:F572),0)</f>
        <v>45642</v>
      </c>
      <c r="H573" s="34">
        <v>1842</v>
      </c>
      <c r="I573" s="432"/>
    </row>
    <row r="574" spans="1:10" ht="11.25" customHeight="1" thickBot="1" x14ac:dyDescent="0.25">
      <c r="A574" s="37"/>
      <c r="B574" s="37"/>
      <c r="C574" s="37"/>
      <c r="D574" s="37"/>
      <c r="E574" s="37"/>
      <c r="F574" s="45"/>
      <c r="G574" s="37"/>
    </row>
    <row r="575" spans="1:10" ht="13.5" thickBot="1" x14ac:dyDescent="0.25">
      <c r="A575" s="1932" t="s">
        <v>156</v>
      </c>
      <c r="B575" s="1933"/>
      <c r="C575" s="1933"/>
      <c r="D575" s="1933"/>
      <c r="E575" s="1933"/>
      <c r="F575" s="2268"/>
      <c r="G575" s="72" t="e">
        <f>ROUND(G557+G563+G568+G573,0)</f>
        <v>#REF!</v>
      </c>
      <c r="I575" s="433"/>
    </row>
    <row r="576" spans="1:10" x14ac:dyDescent="0.2">
      <c r="A576" s="436"/>
      <c r="B576" s="436"/>
      <c r="C576" s="436"/>
      <c r="D576" s="436"/>
      <c r="E576" s="436"/>
      <c r="F576" s="436"/>
      <c r="G576" s="437"/>
      <c r="I576" s="433"/>
    </row>
    <row r="577" spans="1:9" ht="14.25" x14ac:dyDescent="0.2">
      <c r="A577" s="573" t="s">
        <v>790</v>
      </c>
      <c r="B577" s="572"/>
      <c r="C577" s="572"/>
      <c r="E577" s="577" t="s">
        <v>791</v>
      </c>
      <c r="G577" s="437"/>
      <c r="I577" s="433"/>
    </row>
    <row r="578" spans="1:9" ht="14.25" x14ac:dyDescent="0.2">
      <c r="A578" s="573"/>
      <c r="B578" s="572"/>
      <c r="C578" s="572"/>
      <c r="E578" s="577"/>
      <c r="G578" s="437"/>
      <c r="I578" s="433"/>
    </row>
    <row r="579" spans="1:9" ht="14.25" x14ac:dyDescent="0.2">
      <c r="A579" s="573"/>
      <c r="B579" s="572"/>
      <c r="C579" s="572"/>
      <c r="E579" s="577"/>
      <c r="G579" s="437"/>
      <c r="I579" s="433"/>
    </row>
    <row r="580" spans="1:9" ht="14.25" x14ac:dyDescent="0.2">
      <c r="A580" s="574" t="e">
        <f>+A513</f>
        <v>#REF!</v>
      </c>
      <c r="B580" s="572"/>
      <c r="C580" s="572"/>
      <c r="D580" s="574" t="e">
        <f>+D513</f>
        <v>#REF!</v>
      </c>
      <c r="F580" s="437"/>
      <c r="I580" s="433"/>
    </row>
    <row r="581" spans="1:9" ht="14.25" x14ac:dyDescent="0.2">
      <c r="A581" s="574" t="e">
        <f>+A514</f>
        <v>#REF!</v>
      </c>
      <c r="B581" s="572"/>
      <c r="C581" s="572"/>
      <c r="D581" s="574" t="e">
        <f>+D514</f>
        <v>#REF!</v>
      </c>
      <c r="F581" s="437"/>
      <c r="I581" s="433"/>
    </row>
    <row r="582" spans="1:9" ht="14.25" x14ac:dyDescent="0.2">
      <c r="A582" s="574" t="e">
        <f>+A515</f>
        <v>#REF!</v>
      </c>
      <c r="B582" s="572"/>
      <c r="C582" s="572"/>
    </row>
    <row r="585" spans="1:9" ht="13.5" thickBot="1" x14ac:dyDescent="0.25"/>
    <row r="586" spans="1:9" ht="15" x14ac:dyDescent="0.2">
      <c r="A586" s="1935" t="e">
        <f>+A547</f>
        <v>#REF!</v>
      </c>
      <c r="B586" s="1936"/>
      <c r="C586" s="1937"/>
      <c r="D586" s="50"/>
      <c r="E586" s="46"/>
      <c r="F586" s="46"/>
      <c r="G586" s="47"/>
    </row>
    <row r="587" spans="1:9" ht="42.75" customHeight="1" thickBot="1" x14ac:dyDescent="0.25">
      <c r="A587" s="1551" t="e">
        <f>+A548</f>
        <v>#REF!</v>
      </c>
      <c r="B587" s="1552"/>
      <c r="C587" s="1553"/>
      <c r="D587" s="48"/>
      <c r="E587" s="48"/>
      <c r="F587" s="48"/>
      <c r="G587" s="49"/>
    </row>
    <row r="588" spans="1:9" ht="65.25" customHeight="1" thickBot="1" x14ac:dyDescent="0.25">
      <c r="A588" s="2269" t="e">
        <f>+A549</f>
        <v>#REF!</v>
      </c>
      <c r="B588" s="2270"/>
      <c r="C588" s="2271"/>
      <c r="D588" s="1565" t="e">
        <f>+'PRES.FASE 1-ADUCCION'!#REF!</f>
        <v>#REF!</v>
      </c>
      <c r="E588" s="1559"/>
      <c r="F588" s="1559"/>
      <c r="G588" s="1560"/>
    </row>
    <row r="589" spans="1:9" ht="12" customHeight="1" thickBot="1" x14ac:dyDescent="0.25">
      <c r="A589" s="38"/>
      <c r="B589" s="38"/>
      <c r="C589" s="38"/>
      <c r="D589" s="38"/>
      <c r="E589" s="38"/>
      <c r="F589" s="38"/>
      <c r="G589" s="38"/>
    </row>
    <row r="590" spans="1:9" ht="13.5" thickBot="1" x14ac:dyDescent="0.25">
      <c r="A590" s="39"/>
      <c r="B590" s="37"/>
      <c r="D590" s="60" t="s">
        <v>124</v>
      </c>
      <c r="E590" s="61" t="s">
        <v>2</v>
      </c>
      <c r="F590" s="59"/>
      <c r="G590" s="59"/>
    </row>
    <row r="591" spans="1:9" ht="13.5" thickBot="1" x14ac:dyDescent="0.25">
      <c r="A591" s="40" t="s">
        <v>108</v>
      </c>
      <c r="B591" s="37"/>
      <c r="C591" s="37"/>
      <c r="D591" s="37"/>
      <c r="E591" s="37"/>
      <c r="F591" s="37"/>
      <c r="G591" s="37"/>
    </row>
    <row r="592" spans="1:9" ht="13.5" thickBot="1" x14ac:dyDescent="0.25">
      <c r="A592" s="1530" t="s">
        <v>109</v>
      </c>
      <c r="B592" s="1554"/>
      <c r="C592" s="1531"/>
      <c r="D592" s="435" t="s">
        <v>110</v>
      </c>
      <c r="E592" s="435" t="s">
        <v>111</v>
      </c>
      <c r="F592" s="426" t="s">
        <v>112</v>
      </c>
      <c r="G592" s="427"/>
    </row>
    <row r="593" spans="1:7" x14ac:dyDescent="0.2">
      <c r="A593" s="1943" t="s">
        <v>131</v>
      </c>
      <c r="B593" s="1944"/>
      <c r="C593" s="1945"/>
      <c r="D593" s="55">
        <f>+D554</f>
        <v>1875</v>
      </c>
      <c r="E593" s="80">
        <v>2</v>
      </c>
      <c r="F593" s="55">
        <f>D593*E593</f>
        <v>3750</v>
      </c>
      <c r="G593" s="52"/>
    </row>
    <row r="594" spans="1:7" x14ac:dyDescent="0.2">
      <c r="A594" s="2261" t="e">
        <f>+#REF!</f>
        <v>#REF!</v>
      </c>
      <c r="B594" s="2262"/>
      <c r="C594" s="2263"/>
      <c r="D594" s="42" t="e">
        <f>+#REF!</f>
        <v>#REF!</v>
      </c>
      <c r="E594" s="92">
        <v>4.8615384615384611</v>
      </c>
      <c r="F594" s="42" t="e">
        <f>D594*E594</f>
        <v>#REF!</v>
      </c>
      <c r="G594" s="53"/>
    </row>
    <row r="595" spans="1:7" ht="13.5" thickBot="1" x14ac:dyDescent="0.25">
      <c r="A595" s="1926" t="e">
        <f>+#REF!</f>
        <v>#REF!</v>
      </c>
      <c r="B595" s="1946"/>
      <c r="C595" s="1927"/>
      <c r="D595" s="57" t="e">
        <f>+#REF!</f>
        <v>#REF!</v>
      </c>
      <c r="E595" s="81">
        <v>7.5</v>
      </c>
      <c r="F595" s="57" t="e">
        <f>D595*E595</f>
        <v>#REF!</v>
      </c>
      <c r="G595" s="58"/>
    </row>
    <row r="596" spans="1:7" ht="13.5" thickBot="1" x14ac:dyDescent="0.25">
      <c r="A596" s="1932" t="s">
        <v>125</v>
      </c>
      <c r="B596" s="1933"/>
      <c r="C596" s="1933"/>
      <c r="D596" s="1933"/>
      <c r="E596" s="1933"/>
      <c r="F596" s="1934"/>
      <c r="G596" s="431" t="e">
        <f>SUM(F593:F595)</f>
        <v>#REF!</v>
      </c>
    </row>
    <row r="597" spans="1:7" ht="13.5" thickBot="1" x14ac:dyDescent="0.25">
      <c r="A597" s="40" t="s">
        <v>123</v>
      </c>
      <c r="B597" s="37"/>
      <c r="C597" s="37"/>
      <c r="D597" s="37"/>
      <c r="E597" s="37"/>
      <c r="F597" s="37"/>
      <c r="G597" s="37"/>
    </row>
    <row r="598" spans="1:7" ht="13.5" thickBot="1" x14ac:dyDescent="0.25">
      <c r="A598" s="1530" t="s">
        <v>109</v>
      </c>
      <c r="B598" s="1531"/>
      <c r="C598" s="426" t="s">
        <v>114</v>
      </c>
      <c r="D598" s="426" t="s">
        <v>115</v>
      </c>
      <c r="E598" s="426" t="s">
        <v>116</v>
      </c>
      <c r="F598" s="426" t="s">
        <v>112</v>
      </c>
      <c r="G598" s="427"/>
    </row>
    <row r="599" spans="1:7" x14ac:dyDescent="0.2">
      <c r="A599" s="1540" t="s">
        <v>841</v>
      </c>
      <c r="B599" s="1541"/>
      <c r="C599" s="129" t="s">
        <v>6</v>
      </c>
      <c r="D599" s="130">
        <v>26000</v>
      </c>
      <c r="E599" s="136">
        <v>15.5</v>
      </c>
      <c r="F599" s="428">
        <f>D599*E599</f>
        <v>403000</v>
      </c>
      <c r="G599" s="132"/>
    </row>
    <row r="600" spans="1:7" x14ac:dyDescent="0.2">
      <c r="A600" s="2261" t="e">
        <f>+#REF!</f>
        <v>#REF!</v>
      </c>
      <c r="B600" s="2263"/>
      <c r="C600" s="134" t="e">
        <f>+#REF!</f>
        <v>#REF!</v>
      </c>
      <c r="D600" s="135" t="e">
        <f>+#REF!</f>
        <v>#REF!</v>
      </c>
      <c r="E600" s="134">
        <v>0.25600000000000001</v>
      </c>
      <c r="F600" s="612" t="e">
        <f>D600*E600</f>
        <v>#REF!</v>
      </c>
      <c r="G600" s="137"/>
    </row>
    <row r="601" spans="1:7" x14ac:dyDescent="0.2">
      <c r="A601" s="2261" t="e">
        <f>+#REF!</f>
        <v>#REF!</v>
      </c>
      <c r="B601" s="2263"/>
      <c r="C601" s="211" t="e">
        <f>+#REF!</f>
        <v>#REF!</v>
      </c>
      <c r="D601" s="135" t="e">
        <f>+#REF!</f>
        <v>#REF!</v>
      </c>
      <c r="E601" s="134">
        <v>1.8</v>
      </c>
      <c r="F601" s="612" t="e">
        <f>D601*E601</f>
        <v>#REF!</v>
      </c>
      <c r="G601" s="137"/>
    </row>
    <row r="602" spans="1:7" x14ac:dyDescent="0.2">
      <c r="A602" s="2261" t="e">
        <f>+#REF!</f>
        <v>#REF!</v>
      </c>
      <c r="B602" s="2263"/>
      <c r="C602" s="211" t="e">
        <f>+#REF!</f>
        <v>#REF!</v>
      </c>
      <c r="D602" s="135" t="e">
        <f>+#REF!</f>
        <v>#REF!</v>
      </c>
      <c r="E602" s="134">
        <v>1.2</v>
      </c>
      <c r="F602" s="612" t="e">
        <f>D602*E602</f>
        <v>#REF!</v>
      </c>
      <c r="G602" s="137"/>
    </row>
    <row r="603" spans="1:7" x14ac:dyDescent="0.2">
      <c r="A603" s="2261"/>
      <c r="B603" s="2263"/>
      <c r="C603" s="211"/>
      <c r="D603" s="135"/>
      <c r="E603" s="134"/>
      <c r="F603" s="429"/>
      <c r="G603" s="137"/>
    </row>
    <row r="604" spans="1:7" x14ac:dyDescent="0.2">
      <c r="A604" s="2261"/>
      <c r="B604" s="2263"/>
      <c r="C604" s="211"/>
      <c r="D604" s="135"/>
      <c r="E604" s="134"/>
      <c r="F604" s="429"/>
      <c r="G604" s="137"/>
    </row>
    <row r="605" spans="1:7" ht="13.5" thickBot="1" x14ac:dyDescent="0.25">
      <c r="A605" s="2261"/>
      <c r="B605" s="2263"/>
      <c r="C605" s="211"/>
      <c r="D605" s="135"/>
      <c r="E605" s="134"/>
      <c r="F605" s="429"/>
      <c r="G605" s="137"/>
    </row>
    <row r="606" spans="1:7" ht="13.5" thickBot="1" x14ac:dyDescent="0.25">
      <c r="A606" s="1932" t="s">
        <v>125</v>
      </c>
      <c r="B606" s="1933"/>
      <c r="C606" s="1933"/>
      <c r="D606" s="1933"/>
      <c r="E606" s="1933"/>
      <c r="F606" s="1934"/>
      <c r="G606" s="431" t="e">
        <f>SUM(F599:F605)</f>
        <v>#REF!</v>
      </c>
    </row>
    <row r="607" spans="1:7" ht="13.5" thickBot="1" x14ac:dyDescent="0.25">
      <c r="A607" s="40" t="s">
        <v>117</v>
      </c>
      <c r="B607" s="37"/>
      <c r="C607" s="37"/>
      <c r="D607" s="37"/>
      <c r="E607" s="37"/>
      <c r="F607" s="37"/>
      <c r="G607" s="37"/>
    </row>
    <row r="608" spans="1:7" ht="13.5" thickBot="1" x14ac:dyDescent="0.25">
      <c r="A608" s="1922" t="s">
        <v>109</v>
      </c>
      <c r="B608" s="1923"/>
      <c r="C608" s="64" t="s">
        <v>114</v>
      </c>
      <c r="D608" s="64" t="s">
        <v>115</v>
      </c>
      <c r="E608" s="64" t="s">
        <v>116</v>
      </c>
      <c r="F608" s="64" t="s">
        <v>112</v>
      </c>
      <c r="G608" s="67"/>
    </row>
    <row r="609" spans="1:7" x14ac:dyDescent="0.2">
      <c r="A609" s="1943" t="e">
        <f>+#REF!</f>
        <v>#REF!</v>
      </c>
      <c r="B609" s="1945"/>
      <c r="C609" s="43" t="e">
        <f>+#REF!</f>
        <v>#REF!</v>
      </c>
      <c r="D609" s="55" t="e">
        <f>+#REF!</f>
        <v>#REF!</v>
      </c>
      <c r="E609" s="586">
        <v>0.27637647058823528</v>
      </c>
      <c r="F609" s="113" t="e">
        <f>D609*E609</f>
        <v>#REF!</v>
      </c>
      <c r="G609" s="52"/>
    </row>
    <row r="610" spans="1:7" ht="13.5" thickBot="1" x14ac:dyDescent="0.25">
      <c r="A610" s="1926"/>
      <c r="B610" s="1927"/>
      <c r="C610" s="62"/>
      <c r="D610" s="43"/>
      <c r="E610" s="57"/>
      <c r="F610" s="57"/>
      <c r="G610" s="68"/>
    </row>
    <row r="611" spans="1:7" ht="13.5" thickBot="1" x14ac:dyDescent="0.25">
      <c r="A611" s="218" t="s">
        <v>125</v>
      </c>
      <c r="B611" s="219"/>
      <c r="C611" s="219"/>
      <c r="D611" s="219"/>
      <c r="E611" s="219"/>
      <c r="F611" s="220" t="s">
        <v>113</v>
      </c>
      <c r="G611" s="54" t="e">
        <f>SUM(F609:F610)</f>
        <v>#REF!</v>
      </c>
    </row>
    <row r="612" spans="1:7" ht="13.5" thickBot="1" x14ac:dyDescent="0.25">
      <c r="A612" s="40" t="s">
        <v>119</v>
      </c>
      <c r="B612" s="37"/>
      <c r="C612" s="37"/>
      <c r="D612" s="37"/>
      <c r="E612" s="37"/>
      <c r="F612" s="37"/>
      <c r="G612" s="37"/>
    </row>
    <row r="613" spans="1:7" ht="13.5" thickBot="1" x14ac:dyDescent="0.25">
      <c r="A613" s="1922" t="s">
        <v>120</v>
      </c>
      <c r="B613" s="1923"/>
      <c r="C613" s="63" t="s">
        <v>121</v>
      </c>
      <c r="D613" s="64" t="s">
        <v>116</v>
      </c>
      <c r="E613" s="64" t="s">
        <v>111</v>
      </c>
      <c r="F613" s="64" t="s">
        <v>112</v>
      </c>
      <c r="G613" s="71"/>
    </row>
    <row r="614" spans="1:7" x14ac:dyDescent="0.2">
      <c r="A614" s="2265" t="e">
        <f>+#REF!</f>
        <v>#REF!</v>
      </c>
      <c r="B614" s="2266"/>
      <c r="C614" s="74" t="e">
        <f>+#REF!</f>
        <v>#REF!</v>
      </c>
      <c r="D614" s="420">
        <v>1</v>
      </c>
      <c r="E614" s="421">
        <v>18.641356732257854</v>
      </c>
      <c r="F614" s="422" t="e">
        <f>E614*D614*C614</f>
        <v>#REF!</v>
      </c>
      <c r="G614" s="52"/>
    </row>
    <row r="615" spans="1:7" ht="13.5" thickBot="1" x14ac:dyDescent="0.25">
      <c r="A615" s="2252"/>
      <c r="B615" s="2267"/>
      <c r="C615" s="73"/>
      <c r="D615" s="423"/>
      <c r="E615" s="424"/>
      <c r="F615" s="425"/>
      <c r="G615" s="58"/>
    </row>
    <row r="616" spans="1:7" ht="13.5" thickBot="1" x14ac:dyDescent="0.25">
      <c r="A616" s="1932" t="str">
        <f>+A611</f>
        <v>SUB-TOTAL</v>
      </c>
      <c r="B616" s="1933"/>
      <c r="C616" s="1933"/>
      <c r="D616" s="1933"/>
      <c r="E616" s="1933"/>
      <c r="F616" s="1934"/>
      <c r="G616" s="54" t="e">
        <f>ROUNDUP(SUM(F614:F615),0)</f>
        <v>#REF!</v>
      </c>
    </row>
    <row r="617" spans="1:7" ht="13.5" thickBot="1" x14ac:dyDescent="0.25">
      <c r="A617" s="37"/>
      <c r="B617" s="37"/>
      <c r="C617" s="37"/>
      <c r="D617" s="37"/>
      <c r="E617" s="37"/>
      <c r="F617" s="45"/>
      <c r="G617" s="37"/>
    </row>
    <row r="618" spans="1:7" ht="13.5" thickBot="1" x14ac:dyDescent="0.25">
      <c r="A618" s="1932" t="s">
        <v>156</v>
      </c>
      <c r="B618" s="1933"/>
      <c r="C618" s="1933"/>
      <c r="D618" s="1933"/>
      <c r="E618" s="1933"/>
      <c r="F618" s="2268"/>
      <c r="G618" s="72" t="e">
        <f>ROUND(G596+G606+G611+G616,0)</f>
        <v>#REF!</v>
      </c>
    </row>
    <row r="619" spans="1:7" x14ac:dyDescent="0.2">
      <c r="A619" s="436"/>
      <c r="B619" s="436"/>
      <c r="C619" s="436"/>
      <c r="D619" s="436"/>
      <c r="E619" s="436"/>
      <c r="F619" s="436"/>
      <c r="G619" s="437"/>
    </row>
    <row r="620" spans="1:7" ht="14.25" x14ac:dyDescent="0.2">
      <c r="A620" s="573" t="s">
        <v>790</v>
      </c>
      <c r="B620" s="572"/>
      <c r="C620" s="572"/>
      <c r="E620" s="577" t="s">
        <v>791</v>
      </c>
      <c r="G620" s="437"/>
    </row>
    <row r="621" spans="1:7" ht="14.25" x14ac:dyDescent="0.2">
      <c r="A621" s="573"/>
      <c r="B621" s="572"/>
      <c r="C621" s="572"/>
      <c r="E621" s="577"/>
      <c r="G621" s="437"/>
    </row>
    <row r="622" spans="1:7" ht="14.25" x14ac:dyDescent="0.2">
      <c r="A622" s="573"/>
      <c r="B622" s="572"/>
      <c r="C622" s="572"/>
      <c r="E622" s="577"/>
      <c r="G622" s="437"/>
    </row>
    <row r="623" spans="1:7" ht="14.25" x14ac:dyDescent="0.2">
      <c r="A623" s="574" t="e">
        <f>+A580</f>
        <v>#REF!</v>
      </c>
      <c r="B623" s="572"/>
      <c r="C623" s="572"/>
      <c r="D623" s="574" t="e">
        <f>+D580</f>
        <v>#REF!</v>
      </c>
      <c r="F623" s="437"/>
    </row>
    <row r="624" spans="1:7" ht="14.25" x14ac:dyDescent="0.2">
      <c r="A624" s="574" t="e">
        <f>+A581</f>
        <v>#REF!</v>
      </c>
      <c r="B624" s="572"/>
      <c r="C624" s="572"/>
      <c r="D624" s="574" t="e">
        <f>+D581</f>
        <v>#REF!</v>
      </c>
      <c r="F624" s="437"/>
    </row>
    <row r="625" spans="1:3" ht="14.25" x14ac:dyDescent="0.2">
      <c r="A625" s="574" t="e">
        <f>+A582</f>
        <v>#REF!</v>
      </c>
      <c r="B625" s="572"/>
      <c r="C625" s="572"/>
    </row>
  </sheetData>
  <dataConsolidate/>
  <mergeCells count="457">
    <mergeCell ref="A614:B614"/>
    <mergeCell ref="A615:B615"/>
    <mergeCell ref="A616:F616"/>
    <mergeCell ref="A618:F618"/>
    <mergeCell ref="A601:B601"/>
    <mergeCell ref="A602:B602"/>
    <mergeCell ref="A603:B603"/>
    <mergeCell ref="A604:B604"/>
    <mergeCell ref="A598:B598"/>
    <mergeCell ref="A599:B599"/>
    <mergeCell ref="A600:B600"/>
    <mergeCell ref="A605:B605"/>
    <mergeCell ref="A606:F606"/>
    <mergeCell ref="A608:B608"/>
    <mergeCell ref="A609:B609"/>
    <mergeCell ref="A610:B610"/>
    <mergeCell ref="A613:B613"/>
    <mergeCell ref="A586:C586"/>
    <mergeCell ref="A587:C587"/>
    <mergeCell ref="A588:C588"/>
    <mergeCell ref="D588:G588"/>
    <mergeCell ref="A592:C592"/>
    <mergeCell ref="A593:C593"/>
    <mergeCell ref="A594:C594"/>
    <mergeCell ref="A595:C595"/>
    <mergeCell ref="A596:F596"/>
    <mergeCell ref="A11:C11"/>
    <mergeCell ref="A12:F12"/>
    <mergeCell ref="A14:B14"/>
    <mergeCell ref="A15:B15"/>
    <mergeCell ref="A16:B16"/>
    <mergeCell ref="A17:B17"/>
    <mergeCell ref="A2:C2"/>
    <mergeCell ref="A3:C3"/>
    <mergeCell ref="A5:C5"/>
    <mergeCell ref="D5:G5"/>
    <mergeCell ref="A9:C9"/>
    <mergeCell ref="A10:C10"/>
    <mergeCell ref="A26:B26"/>
    <mergeCell ref="A27:B27"/>
    <mergeCell ref="A28:B28"/>
    <mergeCell ref="A29:F29"/>
    <mergeCell ref="A31:F31"/>
    <mergeCell ref="A33:C33"/>
    <mergeCell ref="A18:B18"/>
    <mergeCell ref="A19:F19"/>
    <mergeCell ref="A21:B21"/>
    <mergeCell ref="A22:B22"/>
    <mergeCell ref="A23:B23"/>
    <mergeCell ref="A24:F24"/>
    <mergeCell ref="A43:F43"/>
    <mergeCell ref="A45:B45"/>
    <mergeCell ref="A46:B46"/>
    <mergeCell ref="A47:B47"/>
    <mergeCell ref="A48:B48"/>
    <mergeCell ref="A49:B49"/>
    <mergeCell ref="A34:C34"/>
    <mergeCell ref="A36:C36"/>
    <mergeCell ref="D36:G36"/>
    <mergeCell ref="A40:C40"/>
    <mergeCell ref="A41:C41"/>
    <mergeCell ref="A42:C42"/>
    <mergeCell ref="A58:B58"/>
    <mergeCell ref="A59:B59"/>
    <mergeCell ref="A60:F60"/>
    <mergeCell ref="A62:F62"/>
    <mergeCell ref="A64:C64"/>
    <mergeCell ref="A65:C65"/>
    <mergeCell ref="A50:F50"/>
    <mergeCell ref="A52:B52"/>
    <mergeCell ref="A53:B53"/>
    <mergeCell ref="A54:B54"/>
    <mergeCell ref="A55:F55"/>
    <mergeCell ref="A57:B57"/>
    <mergeCell ref="A76:B76"/>
    <mergeCell ref="A77:B77"/>
    <mergeCell ref="A78:B78"/>
    <mergeCell ref="A79:B79"/>
    <mergeCell ref="A80:B80"/>
    <mergeCell ref="A81:F81"/>
    <mergeCell ref="A67:C67"/>
    <mergeCell ref="D67:G67"/>
    <mergeCell ref="A71:C71"/>
    <mergeCell ref="A72:C72"/>
    <mergeCell ref="A73:C73"/>
    <mergeCell ref="A74:F74"/>
    <mergeCell ref="A90:B90"/>
    <mergeCell ref="A91:F91"/>
    <mergeCell ref="A93:F93"/>
    <mergeCell ref="A95:C95"/>
    <mergeCell ref="A96:C96"/>
    <mergeCell ref="A98:C98"/>
    <mergeCell ref="D98:G98"/>
    <mergeCell ref="A83:B83"/>
    <mergeCell ref="A84:B84"/>
    <mergeCell ref="A85:B85"/>
    <mergeCell ref="A86:F86"/>
    <mergeCell ref="A88:B88"/>
    <mergeCell ref="A89:B89"/>
    <mergeCell ref="A109:B109"/>
    <mergeCell ref="A110:B110"/>
    <mergeCell ref="A111:B111"/>
    <mergeCell ref="A112:F112"/>
    <mergeCell ref="A114:B114"/>
    <mergeCell ref="A115:B115"/>
    <mergeCell ref="A102:C102"/>
    <mergeCell ref="A103:C103"/>
    <mergeCell ref="A104:C104"/>
    <mergeCell ref="A105:F105"/>
    <mergeCell ref="A107:B107"/>
    <mergeCell ref="A108:B108"/>
    <mergeCell ref="A124:F124"/>
    <mergeCell ref="A126:C126"/>
    <mergeCell ref="A127:C127"/>
    <mergeCell ref="A129:C129"/>
    <mergeCell ref="D129:G129"/>
    <mergeCell ref="A133:C133"/>
    <mergeCell ref="A116:B116"/>
    <mergeCell ref="A117:F117"/>
    <mergeCell ref="A119:B119"/>
    <mergeCell ref="A120:B120"/>
    <mergeCell ref="A121:B121"/>
    <mergeCell ref="A122:F122"/>
    <mergeCell ref="A141:B141"/>
    <mergeCell ref="A142:B142"/>
    <mergeCell ref="A143:F143"/>
    <mergeCell ref="A145:B145"/>
    <mergeCell ref="A146:B146"/>
    <mergeCell ref="A147:B147"/>
    <mergeCell ref="A134:C134"/>
    <mergeCell ref="A135:C135"/>
    <mergeCell ref="A136:F136"/>
    <mergeCell ref="A138:B138"/>
    <mergeCell ref="A139:B139"/>
    <mergeCell ref="A140:B140"/>
    <mergeCell ref="A157:C157"/>
    <mergeCell ref="A158:C158"/>
    <mergeCell ref="A159:C159"/>
    <mergeCell ref="D159:G159"/>
    <mergeCell ref="A163:C163"/>
    <mergeCell ref="A164:C164"/>
    <mergeCell ref="A148:F148"/>
    <mergeCell ref="A150:B150"/>
    <mergeCell ref="A151:B151"/>
    <mergeCell ref="A152:B152"/>
    <mergeCell ref="A153:F153"/>
    <mergeCell ref="A155:F155"/>
    <mergeCell ref="A172:B172"/>
    <mergeCell ref="A173:F173"/>
    <mergeCell ref="A175:B175"/>
    <mergeCell ref="A176:B176"/>
    <mergeCell ref="A177:B177"/>
    <mergeCell ref="A178:F178"/>
    <mergeCell ref="A165:C165"/>
    <mergeCell ref="A166:F166"/>
    <mergeCell ref="A168:B168"/>
    <mergeCell ref="A169:B169"/>
    <mergeCell ref="A170:B170"/>
    <mergeCell ref="A171:B171"/>
    <mergeCell ref="A189:C189"/>
    <mergeCell ref="A190:C190"/>
    <mergeCell ref="D190:G190"/>
    <mergeCell ref="A194:C194"/>
    <mergeCell ref="A195:C195"/>
    <mergeCell ref="A196:C196"/>
    <mergeCell ref="A180:B180"/>
    <mergeCell ref="A181:B181"/>
    <mergeCell ref="A182:B182"/>
    <mergeCell ref="A183:F183"/>
    <mergeCell ref="A185:F185"/>
    <mergeCell ref="A188:C188"/>
    <mergeCell ref="A204:F204"/>
    <mergeCell ref="A206:B206"/>
    <mergeCell ref="A207:B207"/>
    <mergeCell ref="A208:B208"/>
    <mergeCell ref="A209:F209"/>
    <mergeCell ref="A211:B211"/>
    <mergeCell ref="A197:F197"/>
    <mergeCell ref="A199:B199"/>
    <mergeCell ref="A200:B200"/>
    <mergeCell ref="A201:B201"/>
    <mergeCell ref="A202:B202"/>
    <mergeCell ref="A203:B203"/>
    <mergeCell ref="A220:C220"/>
    <mergeCell ref="D220:G220"/>
    <mergeCell ref="A224:C224"/>
    <mergeCell ref="A225:C225"/>
    <mergeCell ref="A226:C226"/>
    <mergeCell ref="A227:C227"/>
    <mergeCell ref="A212:B212"/>
    <mergeCell ref="A213:B213"/>
    <mergeCell ref="A214:F214"/>
    <mergeCell ref="A216:F216"/>
    <mergeCell ref="A218:C218"/>
    <mergeCell ref="A219:C219"/>
    <mergeCell ref="A235:B235"/>
    <mergeCell ref="A236:B236"/>
    <mergeCell ref="A237:F237"/>
    <mergeCell ref="A239:B239"/>
    <mergeCell ref="A240:B240"/>
    <mergeCell ref="A241:B241"/>
    <mergeCell ref="A228:C228"/>
    <mergeCell ref="A229:C229"/>
    <mergeCell ref="A230:F230"/>
    <mergeCell ref="A232:B232"/>
    <mergeCell ref="A233:B233"/>
    <mergeCell ref="A234:B234"/>
    <mergeCell ref="A251:C251"/>
    <mergeCell ref="A252:C252"/>
    <mergeCell ref="A253:C253"/>
    <mergeCell ref="D253:G253"/>
    <mergeCell ref="A257:C257"/>
    <mergeCell ref="A258:C258"/>
    <mergeCell ref="A242:F242"/>
    <mergeCell ref="A244:B244"/>
    <mergeCell ref="A245:B245"/>
    <mergeCell ref="A246:B246"/>
    <mergeCell ref="A247:F247"/>
    <mergeCell ref="A249:F249"/>
    <mergeCell ref="A266:B266"/>
    <mergeCell ref="A267:B267"/>
    <mergeCell ref="A268:B268"/>
    <mergeCell ref="A269:B269"/>
    <mergeCell ref="A270:F270"/>
    <mergeCell ref="A272:B272"/>
    <mergeCell ref="A259:C259"/>
    <mergeCell ref="A260:C260"/>
    <mergeCell ref="A261:C261"/>
    <mergeCell ref="A262:C262"/>
    <mergeCell ref="A263:F263"/>
    <mergeCell ref="A265:B265"/>
    <mergeCell ref="A280:F280"/>
    <mergeCell ref="A282:F282"/>
    <mergeCell ref="A284:C284"/>
    <mergeCell ref="A285:C285"/>
    <mergeCell ref="A286:C286"/>
    <mergeCell ref="D286:G286"/>
    <mergeCell ref="A273:B273"/>
    <mergeCell ref="A274:B274"/>
    <mergeCell ref="A275:F275"/>
    <mergeCell ref="A277:B277"/>
    <mergeCell ref="A278:B278"/>
    <mergeCell ref="A279:B279"/>
    <mergeCell ref="A296:F296"/>
    <mergeCell ref="A298:B298"/>
    <mergeCell ref="A299:B299"/>
    <mergeCell ref="A300:B300"/>
    <mergeCell ref="A301:B301"/>
    <mergeCell ref="A302:B302"/>
    <mergeCell ref="A290:C290"/>
    <mergeCell ref="A291:C291"/>
    <mergeCell ref="A292:C292"/>
    <mergeCell ref="A293:C293"/>
    <mergeCell ref="A294:C294"/>
    <mergeCell ref="A295:C295"/>
    <mergeCell ref="A311:B311"/>
    <mergeCell ref="A312:B312"/>
    <mergeCell ref="A313:F313"/>
    <mergeCell ref="A315:F315"/>
    <mergeCell ref="A316:C316"/>
    <mergeCell ref="A317:C317"/>
    <mergeCell ref="A303:F303"/>
    <mergeCell ref="A305:B305"/>
    <mergeCell ref="A306:B306"/>
    <mergeCell ref="A307:B307"/>
    <mergeCell ref="A308:F308"/>
    <mergeCell ref="A310:B310"/>
    <mergeCell ref="A326:C326"/>
    <mergeCell ref="A327:C327"/>
    <mergeCell ref="A328:F328"/>
    <mergeCell ref="A330:B330"/>
    <mergeCell ref="A331:B331"/>
    <mergeCell ref="A332:B332"/>
    <mergeCell ref="A318:C318"/>
    <mergeCell ref="D318:G318"/>
    <mergeCell ref="A322:C322"/>
    <mergeCell ref="A323:C323"/>
    <mergeCell ref="A324:C324"/>
    <mergeCell ref="A325:C325"/>
    <mergeCell ref="A340:F340"/>
    <mergeCell ref="A342:B342"/>
    <mergeCell ref="A343:B343"/>
    <mergeCell ref="A344:B344"/>
    <mergeCell ref="A345:F345"/>
    <mergeCell ref="A347:F347"/>
    <mergeCell ref="A333:B333"/>
    <mergeCell ref="A334:B334"/>
    <mergeCell ref="A335:F335"/>
    <mergeCell ref="A337:B337"/>
    <mergeCell ref="A338:B338"/>
    <mergeCell ref="A339:B339"/>
    <mergeCell ref="A356:C356"/>
    <mergeCell ref="A357:C357"/>
    <mergeCell ref="A358:C358"/>
    <mergeCell ref="A359:C359"/>
    <mergeCell ref="A360:F360"/>
    <mergeCell ref="A362:B362"/>
    <mergeCell ref="A348:C348"/>
    <mergeCell ref="A349:C349"/>
    <mergeCell ref="A350:C350"/>
    <mergeCell ref="D350:G350"/>
    <mergeCell ref="A354:C354"/>
    <mergeCell ref="A355:C355"/>
    <mergeCell ref="A370:B370"/>
    <mergeCell ref="A371:B371"/>
    <mergeCell ref="A372:F372"/>
    <mergeCell ref="A374:B374"/>
    <mergeCell ref="A375:B375"/>
    <mergeCell ref="A376:B376"/>
    <mergeCell ref="A363:B363"/>
    <mergeCell ref="A364:B364"/>
    <mergeCell ref="A365:B365"/>
    <mergeCell ref="A366:B366"/>
    <mergeCell ref="A367:F367"/>
    <mergeCell ref="A369:B369"/>
    <mergeCell ref="A387:C387"/>
    <mergeCell ref="A388:C388"/>
    <mergeCell ref="A389:C389"/>
    <mergeCell ref="A390:C390"/>
    <mergeCell ref="A391:C391"/>
    <mergeCell ref="A392:C392"/>
    <mergeCell ref="A377:F377"/>
    <mergeCell ref="A379:F379"/>
    <mergeCell ref="A381:C381"/>
    <mergeCell ref="A382:C382"/>
    <mergeCell ref="A383:C383"/>
    <mergeCell ref="D383:G383"/>
    <mergeCell ref="A400:F400"/>
    <mergeCell ref="A402:B402"/>
    <mergeCell ref="A403:B403"/>
    <mergeCell ref="A404:B404"/>
    <mergeCell ref="A407:B407"/>
    <mergeCell ref="A408:B408"/>
    <mergeCell ref="A393:F393"/>
    <mergeCell ref="A395:B395"/>
    <mergeCell ref="A396:B396"/>
    <mergeCell ref="A397:B397"/>
    <mergeCell ref="A398:B398"/>
    <mergeCell ref="A399:B399"/>
    <mergeCell ref="A421:C421"/>
    <mergeCell ref="A422:C422"/>
    <mergeCell ref="A423:C423"/>
    <mergeCell ref="A424:C424"/>
    <mergeCell ref="A425:C425"/>
    <mergeCell ref="A426:C426"/>
    <mergeCell ref="A409:B409"/>
    <mergeCell ref="A410:F410"/>
    <mergeCell ref="A412:F412"/>
    <mergeCell ref="A415:C415"/>
    <mergeCell ref="A416:C416"/>
    <mergeCell ref="A417:C417"/>
    <mergeCell ref="D417:G417"/>
    <mergeCell ref="A434:F434"/>
    <mergeCell ref="A436:B436"/>
    <mergeCell ref="A437:B437"/>
    <mergeCell ref="A438:B438"/>
    <mergeCell ref="A441:B441"/>
    <mergeCell ref="A442:B442"/>
    <mergeCell ref="A427:F427"/>
    <mergeCell ref="A429:B429"/>
    <mergeCell ref="A430:B430"/>
    <mergeCell ref="A431:B431"/>
    <mergeCell ref="A432:B432"/>
    <mergeCell ref="A433:B433"/>
    <mergeCell ref="A454:C454"/>
    <mergeCell ref="A455:C455"/>
    <mergeCell ref="A456:C456"/>
    <mergeCell ref="A457:C457"/>
    <mergeCell ref="A458:C458"/>
    <mergeCell ref="A459:F459"/>
    <mergeCell ref="A443:B443"/>
    <mergeCell ref="A444:F444"/>
    <mergeCell ref="A446:F446"/>
    <mergeCell ref="A448:C448"/>
    <mergeCell ref="A449:C449"/>
    <mergeCell ref="A450:C450"/>
    <mergeCell ref="D450:G450"/>
    <mergeCell ref="A468:B468"/>
    <mergeCell ref="A469:B469"/>
    <mergeCell ref="A470:B470"/>
    <mergeCell ref="A473:B473"/>
    <mergeCell ref="A474:B474"/>
    <mergeCell ref="A475:B475"/>
    <mergeCell ref="A461:B461"/>
    <mergeCell ref="A462:B462"/>
    <mergeCell ref="A463:B463"/>
    <mergeCell ref="A464:B464"/>
    <mergeCell ref="A465:B465"/>
    <mergeCell ref="A466:F466"/>
    <mergeCell ref="A486:C486"/>
    <mergeCell ref="A487:C487"/>
    <mergeCell ref="A488:C488"/>
    <mergeCell ref="A489:C489"/>
    <mergeCell ref="A490:F490"/>
    <mergeCell ref="A492:B492"/>
    <mergeCell ref="A476:F476"/>
    <mergeCell ref="A478:F478"/>
    <mergeCell ref="A480:C480"/>
    <mergeCell ref="A481:C481"/>
    <mergeCell ref="A482:C482"/>
    <mergeCell ref="D482:G482"/>
    <mergeCell ref="A500:B500"/>
    <mergeCell ref="A503:B503"/>
    <mergeCell ref="A504:B504"/>
    <mergeCell ref="A505:B505"/>
    <mergeCell ref="A506:F506"/>
    <mergeCell ref="A508:F508"/>
    <mergeCell ref="A493:B493"/>
    <mergeCell ref="A494:B494"/>
    <mergeCell ref="A495:B495"/>
    <mergeCell ref="A496:F496"/>
    <mergeCell ref="A498:B498"/>
    <mergeCell ref="A499:B499"/>
    <mergeCell ref="A524:C524"/>
    <mergeCell ref="A525:C525"/>
    <mergeCell ref="A526:F526"/>
    <mergeCell ref="A528:B528"/>
    <mergeCell ref="A529:B529"/>
    <mergeCell ref="A530:B530"/>
    <mergeCell ref="A516:C516"/>
    <mergeCell ref="A517:C517"/>
    <mergeCell ref="A518:C518"/>
    <mergeCell ref="D518:G518"/>
    <mergeCell ref="A522:C522"/>
    <mergeCell ref="A523:C523"/>
    <mergeCell ref="A540:B540"/>
    <mergeCell ref="A541:B541"/>
    <mergeCell ref="A542:F542"/>
    <mergeCell ref="A544:F544"/>
    <mergeCell ref="A531:B531"/>
    <mergeCell ref="A532:F532"/>
    <mergeCell ref="A534:B534"/>
    <mergeCell ref="A535:B535"/>
    <mergeCell ref="A536:B536"/>
    <mergeCell ref="A539:B539"/>
    <mergeCell ref="A547:C547"/>
    <mergeCell ref="A548:C548"/>
    <mergeCell ref="A549:C549"/>
    <mergeCell ref="D549:G549"/>
    <mergeCell ref="A553:C553"/>
    <mergeCell ref="A554:C554"/>
    <mergeCell ref="A555:C555"/>
    <mergeCell ref="A556:C556"/>
    <mergeCell ref="A557:F557"/>
    <mergeCell ref="A571:B571"/>
    <mergeCell ref="A572:B572"/>
    <mergeCell ref="A573:F573"/>
    <mergeCell ref="A575:F575"/>
    <mergeCell ref="A559:B559"/>
    <mergeCell ref="A560:B560"/>
    <mergeCell ref="A561:B561"/>
    <mergeCell ref="A562:B562"/>
    <mergeCell ref="A563:F563"/>
    <mergeCell ref="A565:B565"/>
    <mergeCell ref="A566:B566"/>
    <mergeCell ref="A567:B567"/>
    <mergeCell ref="A570:B570"/>
  </mergeCells>
  <printOptions horizontalCentered="1" verticalCentered="1"/>
  <pageMargins left="0.70866141732283472" right="0.70866141732283472" top="0.47244094488188981" bottom="0.74803149606299213" header="0.31496062992125984" footer="0.31496062992125984"/>
  <pageSetup scale="90" orientation="portrait" r:id="rId1"/>
  <rowBreaks count="2" manualBreakCount="2">
    <brk id="544" max="6" man="1"/>
    <brk id="583" max="6"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J124"/>
  <sheetViews>
    <sheetView view="pageBreakPreview" topLeftCell="A13" zoomScaleNormal="100" zoomScaleSheetLayoutView="100" workbookViewId="0">
      <selection activeCell="A93" sqref="A93:C93"/>
    </sheetView>
  </sheetViews>
  <sheetFormatPr baseColWidth="10" defaultColWidth="11.42578125" defaultRowHeight="12.75" x14ac:dyDescent="0.2"/>
  <cols>
    <col min="1" max="1" width="28.85546875" style="34" bestFit="1" customWidth="1"/>
    <col min="2" max="2" width="8" style="34" customWidth="1"/>
    <col min="3" max="3" width="11.85546875" style="34" bestFit="1" customWidth="1"/>
    <col min="4" max="4" width="12.7109375" style="34" customWidth="1"/>
    <col min="5" max="5" width="12" style="34" customWidth="1"/>
    <col min="6" max="6" width="11.7109375" style="34" customWidth="1"/>
    <col min="7" max="7" width="13" style="34" bestFit="1" customWidth="1"/>
    <col min="8" max="16384" width="11.42578125" style="34"/>
  </cols>
  <sheetData>
    <row r="1" spans="1:10" ht="13.5" thickBot="1" x14ac:dyDescent="0.25"/>
    <row r="2" spans="1:10" ht="27" customHeight="1" x14ac:dyDescent="0.2">
      <c r="A2" s="2286" t="e">
        <f>+'11- DEPORTES - ESPECIALES'!A480:C480</f>
        <v>#REF!</v>
      </c>
      <c r="B2" s="1936"/>
      <c r="C2" s="1937"/>
      <c r="D2" s="50"/>
      <c r="E2" s="46"/>
      <c r="F2" s="46"/>
      <c r="G2" s="47"/>
    </row>
    <row r="3" spans="1:10" ht="30.75" customHeight="1" thickBot="1" x14ac:dyDescent="0.25">
      <c r="A3" s="1551" t="s">
        <v>794</v>
      </c>
      <c r="B3" s="1552"/>
      <c r="C3" s="1553"/>
      <c r="D3" s="48"/>
      <c r="E3" s="48"/>
      <c r="F3" s="48"/>
      <c r="G3" s="49"/>
    </row>
    <row r="4" spans="1:10" ht="13.5" thickBot="1" x14ac:dyDescent="0.25">
      <c r="A4" s="37"/>
      <c r="B4" s="37"/>
      <c r="C4" s="37"/>
      <c r="D4" s="37"/>
      <c r="E4" s="37"/>
      <c r="F4" s="37"/>
      <c r="G4" s="37"/>
    </row>
    <row r="5" spans="1:10" ht="99.75" customHeight="1" thickBot="1" x14ac:dyDescent="0.25">
      <c r="A5" s="1558" t="e">
        <f>+'11- DEPORTES - ESPECIALES'!A482:C482</f>
        <v>#REF!</v>
      </c>
      <c r="B5" s="1559"/>
      <c r="C5" s="1560"/>
      <c r="D5" s="1565" t="s">
        <v>796</v>
      </c>
      <c r="E5" s="1559"/>
      <c r="F5" s="1559"/>
      <c r="G5" s="1560"/>
    </row>
    <row r="6" spans="1:10" ht="13.5" thickBot="1" x14ac:dyDescent="0.25">
      <c r="A6" s="38"/>
      <c r="B6" s="38"/>
      <c r="C6" s="38"/>
      <c r="D6" s="38"/>
      <c r="E6" s="38"/>
      <c r="F6" s="38"/>
      <c r="G6" s="38"/>
    </row>
    <row r="7" spans="1:10" ht="12.75" customHeight="1" thickBot="1" x14ac:dyDescent="0.25">
      <c r="A7" s="39"/>
      <c r="B7" s="37"/>
      <c r="D7" s="60" t="s">
        <v>124</v>
      </c>
      <c r="E7" s="61" t="s">
        <v>6</v>
      </c>
      <c r="F7" s="59"/>
      <c r="G7" s="59"/>
    </row>
    <row r="8" spans="1:10" ht="13.5" thickBot="1" x14ac:dyDescent="0.25">
      <c r="A8" s="40" t="s">
        <v>108</v>
      </c>
      <c r="B8" s="37"/>
      <c r="C8" s="37"/>
      <c r="D8" s="37"/>
      <c r="E8" s="37"/>
      <c r="F8" s="37"/>
      <c r="G8" s="37"/>
    </row>
    <row r="9" spans="1:10" s="1" customFormat="1" ht="13.5" customHeight="1" thickBot="1" x14ac:dyDescent="0.25">
      <c r="A9" s="1530" t="s">
        <v>109</v>
      </c>
      <c r="B9" s="1554"/>
      <c r="C9" s="1531"/>
      <c r="D9" s="64" t="s">
        <v>110</v>
      </c>
      <c r="E9" s="64" t="s">
        <v>111</v>
      </c>
      <c r="F9" s="63" t="s">
        <v>112</v>
      </c>
      <c r="G9" s="66"/>
    </row>
    <row r="10" spans="1:10" x14ac:dyDescent="0.2">
      <c r="A10" s="1943" t="s">
        <v>131</v>
      </c>
      <c r="B10" s="1944"/>
      <c r="C10" s="1945"/>
      <c r="D10" s="55">
        <v>2062.5</v>
      </c>
      <c r="E10" s="80">
        <f>+E29</f>
        <v>4.0001989813264709</v>
      </c>
      <c r="F10" s="55">
        <f>+E10*D10</f>
        <v>8250.4103989858468</v>
      </c>
      <c r="G10" s="52"/>
    </row>
    <row r="11" spans="1:10" ht="13.5" thickBot="1" x14ac:dyDescent="0.25">
      <c r="A11" s="1926" t="s">
        <v>289</v>
      </c>
      <c r="B11" s="1946"/>
      <c r="C11" s="1927"/>
      <c r="D11" s="57">
        <f>40000/8</f>
        <v>5000</v>
      </c>
      <c r="E11" s="81">
        <f>+E29</f>
        <v>4.0001989813264709</v>
      </c>
      <c r="F11" s="57">
        <f>+E11*D11</f>
        <v>20000.994906632353</v>
      </c>
      <c r="G11" s="58"/>
    </row>
    <row r="12" spans="1:10" ht="13.5" thickBot="1" x14ac:dyDescent="0.25">
      <c r="A12" s="1932" t="s">
        <v>125</v>
      </c>
      <c r="B12" s="1933"/>
      <c r="C12" s="1933"/>
      <c r="D12" s="1933"/>
      <c r="E12" s="1933"/>
      <c r="F12" s="1934"/>
      <c r="G12" s="54">
        <f>SUM(F10:F11)</f>
        <v>28251.405305618202</v>
      </c>
    </row>
    <row r="13" spans="1:10" ht="13.5" thickBot="1" x14ac:dyDescent="0.25">
      <c r="A13" s="40" t="s">
        <v>123</v>
      </c>
      <c r="B13" s="37"/>
      <c r="C13" s="37"/>
      <c r="D13" s="37"/>
      <c r="E13" s="37"/>
      <c r="F13" s="37"/>
      <c r="G13" s="37"/>
    </row>
    <row r="14" spans="1:10" s="1" customFormat="1" ht="13.5" thickBot="1" x14ac:dyDescent="0.25">
      <c r="A14" s="1530" t="s">
        <v>109</v>
      </c>
      <c r="B14" s="1531"/>
      <c r="C14" s="63" t="s">
        <v>114</v>
      </c>
      <c r="D14" s="63" t="s">
        <v>115</v>
      </c>
      <c r="E14" s="63" t="s">
        <v>116</v>
      </c>
      <c r="F14" s="63" t="s">
        <v>112</v>
      </c>
      <c r="G14" s="66"/>
    </row>
    <row r="15" spans="1:10" x14ac:dyDescent="0.2">
      <c r="A15" s="1941" t="s">
        <v>290</v>
      </c>
      <c r="B15" s="1942"/>
      <c r="C15" s="51" t="s">
        <v>6</v>
      </c>
      <c r="D15" s="55">
        <v>8500</v>
      </c>
      <c r="E15" s="51">
        <v>5.0999999999999996</v>
      </c>
      <c r="F15" s="55">
        <f t="shared" ref="F15:F20" si="0">+E15*D15</f>
        <v>43350</v>
      </c>
      <c r="G15" s="52"/>
    </row>
    <row r="16" spans="1:10" x14ac:dyDescent="0.2">
      <c r="A16" s="1556" t="s">
        <v>291</v>
      </c>
      <c r="B16" s="1557"/>
      <c r="C16" s="41" t="s">
        <v>6</v>
      </c>
      <c r="D16" s="42">
        <v>4500</v>
      </c>
      <c r="E16" s="41">
        <f>6*1.55</f>
        <v>9.3000000000000007</v>
      </c>
      <c r="F16" s="42">
        <f t="shared" si="0"/>
        <v>41850</v>
      </c>
      <c r="G16" s="53"/>
      <c r="J16" s="34">
        <f>+(1.4+1.7)/2</f>
        <v>1.5499999999999998</v>
      </c>
    </row>
    <row r="17" spans="1:7" x14ac:dyDescent="0.2">
      <c r="A17" s="1556" t="s">
        <v>292</v>
      </c>
      <c r="B17" s="1557"/>
      <c r="C17" s="41" t="s">
        <v>2</v>
      </c>
      <c r="D17" s="42">
        <v>10000</v>
      </c>
      <c r="E17" s="41">
        <v>4</v>
      </c>
      <c r="F17" s="42">
        <f t="shared" si="0"/>
        <v>40000</v>
      </c>
      <c r="G17" s="53"/>
    </row>
    <row r="18" spans="1:7" x14ac:dyDescent="0.2">
      <c r="A18" s="1556" t="s">
        <v>293</v>
      </c>
      <c r="B18" s="1557"/>
      <c r="C18" s="41" t="s">
        <v>2</v>
      </c>
      <c r="D18" s="42">
        <v>8500</v>
      </c>
      <c r="E18" s="41">
        <v>2</v>
      </c>
      <c r="F18" s="42">
        <f t="shared" si="0"/>
        <v>17000</v>
      </c>
      <c r="G18" s="53"/>
    </row>
    <row r="19" spans="1:7" x14ac:dyDescent="0.2">
      <c r="A19" s="1556" t="s">
        <v>294</v>
      </c>
      <c r="B19" s="1557"/>
      <c r="C19" s="41" t="s">
        <v>2</v>
      </c>
      <c r="D19" s="42">
        <v>70000</v>
      </c>
      <c r="E19" s="92">
        <f>1/6</f>
        <v>0.16666666666666666</v>
      </c>
      <c r="F19" s="42">
        <f t="shared" si="0"/>
        <v>11666.666666666666</v>
      </c>
      <c r="G19" s="53"/>
    </row>
    <row r="20" spans="1:7" ht="13.5" thickBot="1" x14ac:dyDescent="0.25">
      <c r="A20" s="1920" t="s">
        <v>295</v>
      </c>
      <c r="B20" s="1921"/>
      <c r="C20" s="56" t="s">
        <v>2</v>
      </c>
      <c r="D20" s="57">
        <v>4500</v>
      </c>
      <c r="E20" s="56">
        <v>1</v>
      </c>
      <c r="F20" s="57">
        <f t="shared" si="0"/>
        <v>4500</v>
      </c>
      <c r="G20" s="58"/>
    </row>
    <row r="21" spans="1:7" ht="13.5" thickBot="1" x14ac:dyDescent="0.25">
      <c r="A21" s="1932" t="s">
        <v>125</v>
      </c>
      <c r="B21" s="1933"/>
      <c r="C21" s="1933"/>
      <c r="D21" s="1933"/>
      <c r="E21" s="1933"/>
      <c r="F21" s="1934" t="s">
        <v>113</v>
      </c>
      <c r="G21" s="54">
        <f>SUM(F15:F20)</f>
        <v>158366.66666666666</v>
      </c>
    </row>
    <row r="22" spans="1:7" ht="13.5" thickBot="1" x14ac:dyDescent="0.25">
      <c r="A22" s="40" t="s">
        <v>117</v>
      </c>
      <c r="B22" s="37"/>
      <c r="C22" s="37"/>
      <c r="D22" s="37"/>
      <c r="E22" s="37"/>
      <c r="F22" s="37"/>
      <c r="G22" s="37"/>
    </row>
    <row r="23" spans="1:7" s="1" customFormat="1" ht="13.5" thickBot="1" x14ac:dyDescent="0.25">
      <c r="A23" s="1922" t="s">
        <v>109</v>
      </c>
      <c r="B23" s="1923"/>
      <c r="C23" s="64" t="s">
        <v>114</v>
      </c>
      <c r="D23" s="64" t="s">
        <v>115</v>
      </c>
      <c r="E23" s="64" t="s">
        <v>116</v>
      </c>
      <c r="F23" s="64" t="s">
        <v>112</v>
      </c>
      <c r="G23" s="67"/>
    </row>
    <row r="24" spans="1:7" x14ac:dyDescent="0.2">
      <c r="A24" s="1928"/>
      <c r="B24" s="1929"/>
      <c r="C24" s="62"/>
      <c r="D24" s="43"/>
      <c r="E24" s="42"/>
      <c r="F24" s="42">
        <f>D24*E24</f>
        <v>0</v>
      </c>
      <c r="G24" s="52"/>
    </row>
    <row r="25" spans="1:7" ht="13.5" thickBot="1" x14ac:dyDescent="0.25">
      <c r="A25" s="1930"/>
      <c r="B25" s="1931"/>
      <c r="C25" s="62"/>
      <c r="D25" s="43"/>
      <c r="E25" s="57"/>
      <c r="F25" s="57">
        <f>D25*E25</f>
        <v>0</v>
      </c>
      <c r="G25" s="68"/>
    </row>
    <row r="26" spans="1:7" ht="13.5" thickBot="1" x14ac:dyDescent="0.25">
      <c r="A26" s="1932" t="s">
        <v>125</v>
      </c>
      <c r="B26" s="1933"/>
      <c r="C26" s="1933"/>
      <c r="D26" s="1933"/>
      <c r="E26" s="1933"/>
      <c r="F26" s="1934" t="s">
        <v>113</v>
      </c>
      <c r="G26" s="54">
        <f>SUM(F25:F25)</f>
        <v>0</v>
      </c>
    </row>
    <row r="27" spans="1:7" ht="13.5" thickBot="1" x14ac:dyDescent="0.25">
      <c r="A27" s="40" t="s">
        <v>119</v>
      </c>
      <c r="B27" s="37"/>
      <c r="C27" s="37"/>
      <c r="D27" s="37"/>
      <c r="E27" s="37"/>
      <c r="F27" s="37"/>
      <c r="G27" s="37"/>
    </row>
    <row r="28" spans="1:7" ht="13.5" thickBot="1" x14ac:dyDescent="0.25">
      <c r="A28" s="1922" t="s">
        <v>120</v>
      </c>
      <c r="B28" s="1923"/>
      <c r="C28" s="63" t="s">
        <v>121</v>
      </c>
      <c r="D28" s="64" t="s">
        <v>114</v>
      </c>
      <c r="E28" s="64" t="s">
        <v>116</v>
      </c>
      <c r="F28" s="64" t="s">
        <v>112</v>
      </c>
      <c r="G28" s="71"/>
    </row>
    <row r="29" spans="1:7" x14ac:dyDescent="0.2">
      <c r="A29" s="2255" t="s">
        <v>21</v>
      </c>
      <c r="B29" s="2256"/>
      <c r="C29" s="74">
        <v>7410.9600847008996</v>
      </c>
      <c r="D29" s="174">
        <v>1</v>
      </c>
      <c r="E29" s="174">
        <v>4.0001989813264709</v>
      </c>
      <c r="F29" s="78">
        <f>+(C29*D29)*E29</f>
        <v>29645.314981471674</v>
      </c>
      <c r="G29" s="52"/>
    </row>
    <row r="30" spans="1:7" ht="13.5" thickBot="1" x14ac:dyDescent="0.25">
      <c r="A30" s="2252" t="s">
        <v>22</v>
      </c>
      <c r="B30" s="1927"/>
      <c r="C30" s="73">
        <v>4374.7823749999998</v>
      </c>
      <c r="D30" s="175">
        <v>2</v>
      </c>
      <c r="E30" s="176">
        <f>+E29</f>
        <v>4.0001989813264709</v>
      </c>
      <c r="F30" s="79">
        <f>+(C30*D30)*E30</f>
        <v>34999.999999999993</v>
      </c>
      <c r="G30" s="58"/>
    </row>
    <row r="31" spans="1:7" ht="13.5" thickBot="1" x14ac:dyDescent="0.25">
      <c r="A31" s="1932" t="str">
        <f>+A26</f>
        <v>SUB-TOTAL</v>
      </c>
      <c r="B31" s="1933"/>
      <c r="C31" s="1933"/>
      <c r="D31" s="1933"/>
      <c r="E31" s="1933"/>
      <c r="F31" s="1934" t="s">
        <v>113</v>
      </c>
      <c r="G31" s="54">
        <f>SUM(F30:F30)</f>
        <v>34999.999999999993</v>
      </c>
    </row>
    <row r="32" spans="1:7" ht="11.25" customHeight="1" thickBot="1" x14ac:dyDescent="0.25">
      <c r="A32" s="37"/>
      <c r="B32" s="37"/>
      <c r="C32" s="37"/>
      <c r="D32" s="37"/>
      <c r="E32" s="37"/>
      <c r="F32" s="45"/>
      <c r="G32" s="37"/>
    </row>
    <row r="33" spans="1:7" ht="13.5" thickBot="1" x14ac:dyDescent="0.25">
      <c r="A33" s="1932" t="s">
        <v>156</v>
      </c>
      <c r="B33" s="1933"/>
      <c r="C33" s="1933"/>
      <c r="D33" s="1933"/>
      <c r="E33" s="1933"/>
      <c r="F33" s="1934"/>
      <c r="G33" s="72">
        <f>ROUND(G12+G21+G26+G31,0)</f>
        <v>221618</v>
      </c>
    </row>
    <row r="34" spans="1:7" x14ac:dyDescent="0.2">
      <c r="A34" s="436"/>
      <c r="B34" s="436"/>
      <c r="C34" s="436"/>
      <c r="D34" s="436"/>
      <c r="E34" s="436"/>
      <c r="F34" s="436"/>
      <c r="G34" s="437"/>
    </row>
    <row r="35" spans="1:7" ht="14.25" x14ac:dyDescent="0.2">
      <c r="A35" s="573" t="s">
        <v>790</v>
      </c>
      <c r="B35" s="572"/>
      <c r="C35" s="572"/>
      <c r="E35" s="577" t="s">
        <v>791</v>
      </c>
      <c r="F35" s="436"/>
      <c r="G35" s="437"/>
    </row>
    <row r="36" spans="1:7" ht="14.25" x14ac:dyDescent="0.2">
      <c r="A36" s="573"/>
      <c r="B36" s="572"/>
      <c r="C36" s="572"/>
      <c r="E36" s="577"/>
      <c r="F36" s="436"/>
      <c r="G36" s="437"/>
    </row>
    <row r="37" spans="1:7" ht="14.25" x14ac:dyDescent="0.2">
      <c r="A37" s="573"/>
      <c r="B37" s="572"/>
      <c r="C37" s="572"/>
      <c r="E37" s="577"/>
      <c r="F37" s="436"/>
      <c r="G37" s="437"/>
    </row>
    <row r="38" spans="1:7" ht="14.25" x14ac:dyDescent="0.2">
      <c r="A38" s="574" t="s">
        <v>827</v>
      </c>
      <c r="B38" s="572"/>
      <c r="C38" s="572"/>
      <c r="D38" s="578" t="s">
        <v>793</v>
      </c>
      <c r="E38" s="436"/>
      <c r="F38" s="437"/>
    </row>
    <row r="39" spans="1:7" ht="14.25" x14ac:dyDescent="0.2">
      <c r="A39" s="575" t="s">
        <v>828</v>
      </c>
      <c r="B39" s="572"/>
      <c r="C39" s="572"/>
      <c r="D39" s="577" t="s">
        <v>792</v>
      </c>
      <c r="E39" s="436"/>
      <c r="F39" s="437"/>
    </row>
    <row r="40" spans="1:7" ht="15" x14ac:dyDescent="0.2">
      <c r="A40" s="576" t="s">
        <v>829</v>
      </c>
      <c r="B40" s="572"/>
      <c r="C40" s="572"/>
      <c r="F40" s="436"/>
      <c r="G40" s="437"/>
    </row>
    <row r="42" spans="1:7" ht="13.5" thickBot="1" x14ac:dyDescent="0.25"/>
    <row r="43" spans="1:7" ht="27" customHeight="1" x14ac:dyDescent="0.2">
      <c r="A43" s="2286" t="e">
        <f>+A2</f>
        <v>#REF!</v>
      </c>
      <c r="B43" s="1936"/>
      <c r="C43" s="1937"/>
      <c r="D43" s="50"/>
      <c r="E43" s="46"/>
      <c r="F43" s="46"/>
      <c r="G43" s="47"/>
    </row>
    <row r="44" spans="1:7" ht="30.75" customHeight="1" thickBot="1" x14ac:dyDescent="0.25">
      <c r="A44" s="1551" t="s">
        <v>794</v>
      </c>
      <c r="B44" s="1552"/>
      <c r="C44" s="1553"/>
      <c r="D44" s="48"/>
      <c r="E44" s="48"/>
      <c r="F44" s="48"/>
      <c r="G44" s="49"/>
    </row>
    <row r="45" spans="1:7" ht="13.5" thickBot="1" x14ac:dyDescent="0.25">
      <c r="A45" s="37"/>
      <c r="B45" s="37"/>
      <c r="C45" s="37"/>
      <c r="D45" s="37"/>
      <c r="E45" s="37"/>
      <c r="F45" s="37"/>
      <c r="G45" s="37"/>
    </row>
    <row r="46" spans="1:7" ht="59.25" customHeight="1" thickBot="1" x14ac:dyDescent="0.25">
      <c r="A46" s="1558" t="e">
        <f>+'11- DEPORTES - ESPECIALES'!A482:C482</f>
        <v>#REF!</v>
      </c>
      <c r="B46" s="1559"/>
      <c r="C46" s="1560"/>
      <c r="D46" s="1565" t="s">
        <v>797</v>
      </c>
      <c r="E46" s="1559"/>
      <c r="F46" s="1559"/>
      <c r="G46" s="1560"/>
    </row>
    <row r="47" spans="1:7" ht="13.5" thickBot="1" x14ac:dyDescent="0.25">
      <c r="A47" s="38"/>
      <c r="B47" s="38"/>
      <c r="C47" s="38"/>
      <c r="D47" s="38"/>
      <c r="E47" s="38"/>
      <c r="F47" s="38"/>
      <c r="G47" s="38"/>
    </row>
    <row r="48" spans="1:7" ht="12.75" customHeight="1" thickBot="1" x14ac:dyDescent="0.25">
      <c r="A48" s="39"/>
      <c r="B48" s="37"/>
      <c r="D48" s="60" t="s">
        <v>124</v>
      </c>
      <c r="E48" s="61" t="s">
        <v>2</v>
      </c>
      <c r="F48" s="59"/>
      <c r="G48" s="59"/>
    </row>
    <row r="49" spans="1:7" ht="13.5" thickBot="1" x14ac:dyDescent="0.25">
      <c r="A49" s="40" t="s">
        <v>108</v>
      </c>
      <c r="B49" s="37"/>
      <c r="C49" s="37"/>
      <c r="D49" s="37"/>
      <c r="E49" s="37"/>
      <c r="F49" s="37"/>
      <c r="G49" s="37"/>
    </row>
    <row r="50" spans="1:7" s="1" customFormat="1" ht="13.5" customHeight="1" thickBot="1" x14ac:dyDescent="0.25">
      <c r="A50" s="1530" t="s">
        <v>109</v>
      </c>
      <c r="B50" s="1554"/>
      <c r="C50" s="1531"/>
      <c r="D50" s="64" t="s">
        <v>110</v>
      </c>
      <c r="E50" s="64" t="s">
        <v>111</v>
      </c>
      <c r="F50" s="63" t="s">
        <v>112</v>
      </c>
      <c r="G50" s="66"/>
    </row>
    <row r="51" spans="1:7" x14ac:dyDescent="0.2">
      <c r="A51" s="1943" t="s">
        <v>131</v>
      </c>
      <c r="B51" s="1944"/>
      <c r="C51" s="1945"/>
      <c r="D51" s="55">
        <v>2062.5</v>
      </c>
      <c r="E51" s="80">
        <f>+E70</f>
        <v>4.0001989813264709</v>
      </c>
      <c r="F51" s="55">
        <f>+E51*D51</f>
        <v>8250.4103989858468</v>
      </c>
      <c r="G51" s="52"/>
    </row>
    <row r="52" spans="1:7" ht="13.5" thickBot="1" x14ac:dyDescent="0.25">
      <c r="A52" s="1926" t="s">
        <v>289</v>
      </c>
      <c r="B52" s="1946"/>
      <c r="C52" s="1927"/>
      <c r="D52" s="57">
        <f>40000/8</f>
        <v>5000</v>
      </c>
      <c r="E52" s="81">
        <f>+E70</f>
        <v>4.0001989813264709</v>
      </c>
      <c r="F52" s="57">
        <f>+E52*D52</f>
        <v>20000.994906632353</v>
      </c>
      <c r="G52" s="58"/>
    </row>
    <row r="53" spans="1:7" ht="13.5" thickBot="1" x14ac:dyDescent="0.25">
      <c r="A53" s="1932" t="s">
        <v>125</v>
      </c>
      <c r="B53" s="1933"/>
      <c r="C53" s="1933"/>
      <c r="D53" s="1933"/>
      <c r="E53" s="1933"/>
      <c r="F53" s="1934"/>
      <c r="G53" s="54">
        <f>SUM(F51:F52)</f>
        <v>28251.405305618202</v>
      </c>
    </row>
    <row r="54" spans="1:7" ht="13.5" thickBot="1" x14ac:dyDescent="0.25">
      <c r="A54" s="40" t="s">
        <v>123</v>
      </c>
      <c r="B54" s="37"/>
      <c r="C54" s="37"/>
      <c r="D54" s="37"/>
      <c r="E54" s="37"/>
      <c r="F54" s="37"/>
      <c r="G54" s="37"/>
    </row>
    <row r="55" spans="1:7" s="1" customFormat="1" ht="13.5" thickBot="1" x14ac:dyDescent="0.25">
      <c r="A55" s="1530" t="s">
        <v>109</v>
      </c>
      <c r="B55" s="1531"/>
      <c r="C55" s="63" t="s">
        <v>114</v>
      </c>
      <c r="D55" s="63" t="s">
        <v>115</v>
      </c>
      <c r="E55" s="63" t="s">
        <v>116</v>
      </c>
      <c r="F55" s="63" t="s">
        <v>112</v>
      </c>
      <c r="G55" s="66"/>
    </row>
    <row r="56" spans="1:7" x14ac:dyDescent="0.2">
      <c r="A56" s="1941" t="s">
        <v>290</v>
      </c>
      <c r="B56" s="1942"/>
      <c r="C56" s="51" t="s">
        <v>6</v>
      </c>
      <c r="D56" s="55">
        <v>8500</v>
      </c>
      <c r="E56" s="51">
        <v>5.0999999999999996</v>
      </c>
      <c r="F56" s="55">
        <f t="shared" ref="F56:F61" si="1">+E56*D56</f>
        <v>43350</v>
      </c>
      <c r="G56" s="52"/>
    </row>
    <row r="57" spans="1:7" x14ac:dyDescent="0.2">
      <c r="A57" s="1556" t="s">
        <v>291</v>
      </c>
      <c r="B57" s="1557"/>
      <c r="C57" s="41" t="s">
        <v>6</v>
      </c>
      <c r="D57" s="42">
        <v>4500</v>
      </c>
      <c r="E57" s="41">
        <f>6*1.55</f>
        <v>9.3000000000000007</v>
      </c>
      <c r="F57" s="42">
        <f t="shared" si="1"/>
        <v>41850</v>
      </c>
      <c r="G57" s="53"/>
    </row>
    <row r="58" spans="1:7" x14ac:dyDescent="0.2">
      <c r="A58" s="1556" t="s">
        <v>292</v>
      </c>
      <c r="B58" s="1557"/>
      <c r="C58" s="41" t="s">
        <v>2</v>
      </c>
      <c r="D58" s="42">
        <v>10000</v>
      </c>
      <c r="E58" s="41">
        <v>4</v>
      </c>
      <c r="F58" s="42">
        <f t="shared" si="1"/>
        <v>40000</v>
      </c>
      <c r="G58" s="53"/>
    </row>
    <row r="59" spans="1:7" x14ac:dyDescent="0.2">
      <c r="A59" s="1556" t="s">
        <v>294</v>
      </c>
      <c r="B59" s="1557"/>
      <c r="C59" s="41" t="s">
        <v>2</v>
      </c>
      <c r="D59" s="42">
        <v>70000</v>
      </c>
      <c r="E59" s="177">
        <v>2</v>
      </c>
      <c r="F59" s="42">
        <f t="shared" si="1"/>
        <v>140000</v>
      </c>
      <c r="G59" s="53"/>
    </row>
    <row r="60" spans="1:7" x14ac:dyDescent="0.2">
      <c r="A60" s="1556" t="s">
        <v>296</v>
      </c>
      <c r="B60" s="1557"/>
      <c r="C60" s="41" t="s">
        <v>2</v>
      </c>
      <c r="D60" s="42">
        <v>285000</v>
      </c>
      <c r="E60" s="41">
        <v>1</v>
      </c>
      <c r="F60" s="42">
        <f t="shared" si="1"/>
        <v>285000</v>
      </c>
      <c r="G60" s="53"/>
    </row>
    <row r="61" spans="1:7" ht="13.5" thickBot="1" x14ac:dyDescent="0.25">
      <c r="A61" s="1920" t="s">
        <v>297</v>
      </c>
      <c r="B61" s="1921"/>
      <c r="C61" s="56" t="s">
        <v>2</v>
      </c>
      <c r="D61" s="57">
        <v>75000</v>
      </c>
      <c r="E61" s="56">
        <v>2</v>
      </c>
      <c r="F61" s="42">
        <f t="shared" si="1"/>
        <v>150000</v>
      </c>
      <c r="G61" s="58"/>
    </row>
    <row r="62" spans="1:7" ht="13.5" thickBot="1" x14ac:dyDescent="0.25">
      <c r="A62" s="1932" t="s">
        <v>125</v>
      </c>
      <c r="B62" s="1933"/>
      <c r="C62" s="1933"/>
      <c r="D62" s="1933"/>
      <c r="E62" s="1933"/>
      <c r="F62" s="1934" t="s">
        <v>113</v>
      </c>
      <c r="G62" s="54">
        <f>SUM(F56:F61)</f>
        <v>700200</v>
      </c>
    </row>
    <row r="63" spans="1:7" ht="13.5" thickBot="1" x14ac:dyDescent="0.25">
      <c r="A63" s="40" t="s">
        <v>117</v>
      </c>
      <c r="B63" s="37"/>
      <c r="C63" s="37"/>
      <c r="D63" s="37"/>
      <c r="E63" s="37"/>
      <c r="F63" s="37"/>
      <c r="G63" s="37"/>
    </row>
    <row r="64" spans="1:7" s="1" customFormat="1" ht="13.5" thickBot="1" x14ac:dyDescent="0.25">
      <c r="A64" s="1922" t="s">
        <v>109</v>
      </c>
      <c r="B64" s="1923"/>
      <c r="C64" s="64" t="s">
        <v>114</v>
      </c>
      <c r="D64" s="64" t="s">
        <v>115</v>
      </c>
      <c r="E64" s="64" t="s">
        <v>116</v>
      </c>
      <c r="F64" s="64" t="s">
        <v>112</v>
      </c>
      <c r="G64" s="67"/>
    </row>
    <row r="65" spans="1:7" x14ac:dyDescent="0.2">
      <c r="A65" s="1928"/>
      <c r="B65" s="1929"/>
      <c r="C65" s="62"/>
      <c r="D65" s="43"/>
      <c r="E65" s="42"/>
      <c r="F65" s="42">
        <f>D65*E65</f>
        <v>0</v>
      </c>
      <c r="G65" s="52"/>
    </row>
    <row r="66" spans="1:7" ht="13.5" thickBot="1" x14ac:dyDescent="0.25">
      <c r="A66" s="1930"/>
      <c r="B66" s="1931"/>
      <c r="C66" s="62"/>
      <c r="D66" s="43"/>
      <c r="E66" s="57"/>
      <c r="F66" s="57">
        <f>D66*E66</f>
        <v>0</v>
      </c>
      <c r="G66" s="68"/>
    </row>
    <row r="67" spans="1:7" ht="13.5" thickBot="1" x14ac:dyDescent="0.25">
      <c r="A67" s="1932" t="s">
        <v>125</v>
      </c>
      <c r="B67" s="1933"/>
      <c r="C67" s="1933"/>
      <c r="D67" s="1933"/>
      <c r="E67" s="1933"/>
      <c r="F67" s="1934" t="s">
        <v>113</v>
      </c>
      <c r="G67" s="54">
        <f>SUM(F66:F66)</f>
        <v>0</v>
      </c>
    </row>
    <row r="68" spans="1:7" ht="13.5" thickBot="1" x14ac:dyDescent="0.25">
      <c r="A68" s="40" t="s">
        <v>119</v>
      </c>
      <c r="B68" s="37"/>
      <c r="C68" s="37"/>
      <c r="D68" s="37"/>
      <c r="E68" s="37"/>
      <c r="F68" s="37"/>
      <c r="G68" s="37"/>
    </row>
    <row r="69" spans="1:7" ht="13.5" thickBot="1" x14ac:dyDescent="0.25">
      <c r="A69" s="1922" t="s">
        <v>120</v>
      </c>
      <c r="B69" s="1923"/>
      <c r="C69" s="63" t="s">
        <v>121</v>
      </c>
      <c r="D69" s="64" t="s">
        <v>114</v>
      </c>
      <c r="E69" s="64" t="s">
        <v>116</v>
      </c>
      <c r="F69" s="64" t="s">
        <v>112</v>
      </c>
      <c r="G69" s="71"/>
    </row>
    <row r="70" spans="1:7" x14ac:dyDescent="0.2">
      <c r="A70" s="2255" t="s">
        <v>21</v>
      </c>
      <c r="B70" s="2256"/>
      <c r="C70" s="74">
        <v>7410.9600847008996</v>
      </c>
      <c r="D70" s="174">
        <v>1</v>
      </c>
      <c r="E70" s="174">
        <v>4.0001989813264709</v>
      </c>
      <c r="F70" s="78">
        <f>+(C70*D70)*E70</f>
        <v>29645.314981471674</v>
      </c>
      <c r="G70" s="52"/>
    </row>
    <row r="71" spans="1:7" ht="13.5" thickBot="1" x14ac:dyDescent="0.25">
      <c r="A71" s="2252" t="s">
        <v>22</v>
      </c>
      <c r="B71" s="1927"/>
      <c r="C71" s="73">
        <v>4374.7823749999998</v>
      </c>
      <c r="D71" s="175">
        <v>2</v>
      </c>
      <c r="E71" s="176">
        <f>+E70</f>
        <v>4.0001989813264709</v>
      </c>
      <c r="F71" s="79">
        <f>+(C71*D71)*E71</f>
        <v>34999.999999999993</v>
      </c>
      <c r="G71" s="58"/>
    </row>
    <row r="72" spans="1:7" ht="13.5" thickBot="1" x14ac:dyDescent="0.25">
      <c r="A72" s="1932" t="str">
        <f>+A67</f>
        <v>SUB-TOTAL</v>
      </c>
      <c r="B72" s="1933"/>
      <c r="C72" s="1933"/>
      <c r="D72" s="1933"/>
      <c r="E72" s="1933"/>
      <c r="F72" s="1934" t="s">
        <v>113</v>
      </c>
      <c r="G72" s="54">
        <f>SUM(F71:F71)</f>
        <v>34999.999999999993</v>
      </c>
    </row>
    <row r="73" spans="1:7" ht="11.25" customHeight="1" thickBot="1" x14ac:dyDescent="0.25">
      <c r="A73" s="37"/>
      <c r="B73" s="37"/>
      <c r="C73" s="37"/>
      <c r="D73" s="37"/>
      <c r="E73" s="37"/>
      <c r="F73" s="45"/>
      <c r="G73" s="37"/>
    </row>
    <row r="74" spans="1:7" ht="13.5" thickBot="1" x14ac:dyDescent="0.25">
      <c r="A74" s="1932" t="s">
        <v>156</v>
      </c>
      <c r="B74" s="1933"/>
      <c r="C74" s="1933"/>
      <c r="D74" s="1933"/>
      <c r="E74" s="1933"/>
      <c r="F74" s="1934"/>
      <c r="G74" s="72">
        <f>ROUND(G53+G62+G67+G72,0)</f>
        <v>763451</v>
      </c>
    </row>
    <row r="76" spans="1:7" ht="14.25" x14ac:dyDescent="0.2">
      <c r="A76" s="573" t="s">
        <v>790</v>
      </c>
      <c r="B76" s="572"/>
      <c r="C76" s="572"/>
      <c r="E76" s="577" t="s">
        <v>791</v>
      </c>
    </row>
    <row r="77" spans="1:7" ht="14.25" x14ac:dyDescent="0.2">
      <c r="A77" s="573"/>
      <c r="B77" s="572"/>
      <c r="C77" s="572"/>
      <c r="E77" s="577"/>
    </row>
    <row r="78" spans="1:7" ht="14.25" x14ac:dyDescent="0.2">
      <c r="A78" s="573"/>
      <c r="B78" s="572"/>
      <c r="C78" s="572"/>
      <c r="E78" s="577"/>
    </row>
    <row r="79" spans="1:7" ht="14.25" x14ac:dyDescent="0.2">
      <c r="A79" s="574" t="s">
        <v>827</v>
      </c>
      <c r="B79" s="572"/>
      <c r="C79" s="572"/>
      <c r="D79" s="578" t="s">
        <v>793</v>
      </c>
    </row>
    <row r="80" spans="1:7" ht="14.25" x14ac:dyDescent="0.2">
      <c r="A80" s="575" t="s">
        <v>828</v>
      </c>
      <c r="B80" s="572"/>
      <c r="C80" s="572"/>
      <c r="D80" s="577" t="s">
        <v>792</v>
      </c>
    </row>
    <row r="81" spans="1:7" ht="15" x14ac:dyDescent="0.2">
      <c r="A81" s="576" t="s">
        <v>829</v>
      </c>
      <c r="B81" s="572"/>
      <c r="C81" s="572"/>
    </row>
    <row r="84" spans="1:7" s="9" customFormat="1" ht="13.5" thickBot="1" x14ac:dyDescent="0.25"/>
    <row r="85" spans="1:7" s="9" customFormat="1" ht="27" customHeight="1" x14ac:dyDescent="0.2">
      <c r="A85" s="1548" t="e">
        <f>+'11- DEPORTES - ESPECIALES'!A480:C480</f>
        <v>#REF!</v>
      </c>
      <c r="B85" s="1549"/>
      <c r="C85" s="1550"/>
      <c r="D85" s="50"/>
      <c r="E85" s="50"/>
      <c r="F85" s="50"/>
      <c r="G85" s="98"/>
    </row>
    <row r="86" spans="1:7" s="9" customFormat="1" ht="30.75" customHeight="1" thickBot="1" x14ac:dyDescent="0.25">
      <c r="A86" s="1551" t="s">
        <v>794</v>
      </c>
      <c r="B86" s="1552"/>
      <c r="C86" s="1553"/>
      <c r="D86" s="99"/>
      <c r="E86" s="99"/>
      <c r="F86" s="99"/>
      <c r="G86" s="100"/>
    </row>
    <row r="87" spans="1:7" s="9" customFormat="1" ht="13.5" thickBot="1" x14ac:dyDescent="0.25">
      <c r="A87" s="101"/>
      <c r="B87" s="101"/>
      <c r="C87" s="101"/>
      <c r="D87" s="101"/>
      <c r="E87" s="101"/>
      <c r="F87" s="101"/>
      <c r="G87" s="101"/>
    </row>
    <row r="88" spans="1:7" s="9" customFormat="1" ht="60.75" customHeight="1" thickBot="1" x14ac:dyDescent="0.25">
      <c r="A88" s="1558" t="e">
        <f>+'11- DEPORTES - ESPECIALES'!A482:C482</f>
        <v>#REF!</v>
      </c>
      <c r="B88" s="1559"/>
      <c r="C88" s="1560"/>
      <c r="D88" s="1565" t="s">
        <v>798</v>
      </c>
      <c r="E88" s="1559"/>
      <c r="F88" s="1559"/>
      <c r="G88" s="1560"/>
    </row>
    <row r="89" spans="1:7" s="9" customFormat="1" ht="13.5" thickBot="1" x14ac:dyDescent="0.25">
      <c r="A89" s="38"/>
      <c r="B89" s="38"/>
      <c r="C89" s="38"/>
      <c r="D89" s="38"/>
      <c r="E89" s="38"/>
      <c r="F89" s="38"/>
      <c r="G89" s="38"/>
    </row>
    <row r="90" spans="1:7" s="9" customFormat="1" ht="12.75" customHeight="1" thickBot="1" x14ac:dyDescent="0.25">
      <c r="A90" s="102"/>
      <c r="B90" s="101"/>
      <c r="D90" s="60" t="s">
        <v>124</v>
      </c>
      <c r="E90" s="61" t="s">
        <v>6</v>
      </c>
      <c r="F90" s="59"/>
      <c r="G90" s="59"/>
    </row>
    <row r="91" spans="1:7" s="9" customFormat="1" ht="13.5" thickBot="1" x14ac:dyDescent="0.25">
      <c r="A91" s="103" t="s">
        <v>108</v>
      </c>
      <c r="B91" s="101"/>
      <c r="C91" s="101"/>
      <c r="D91" s="101"/>
      <c r="E91" s="101"/>
      <c r="F91" s="101"/>
      <c r="G91" s="101"/>
    </row>
    <row r="92" spans="1:7" s="105" customFormat="1" ht="13.5" customHeight="1" thickBot="1" x14ac:dyDescent="0.25">
      <c r="A92" s="1530" t="s">
        <v>109</v>
      </c>
      <c r="B92" s="1554"/>
      <c r="C92" s="1531"/>
      <c r="D92" s="63" t="s">
        <v>110</v>
      </c>
      <c r="E92" s="63" t="s">
        <v>111</v>
      </c>
      <c r="F92" s="63" t="s">
        <v>112</v>
      </c>
      <c r="G92" s="104"/>
    </row>
    <row r="93" spans="1:7" s="9" customFormat="1" x14ac:dyDescent="0.2">
      <c r="A93" s="1943" t="s">
        <v>131</v>
      </c>
      <c r="B93" s="1944"/>
      <c r="C93" s="1945"/>
      <c r="D93" s="106">
        <v>2062.5</v>
      </c>
      <c r="E93" s="107">
        <f>+E112</f>
        <v>1.0606035252120405</v>
      </c>
      <c r="F93" s="106">
        <f>+E93*D93</f>
        <v>2187.4947707498336</v>
      </c>
      <c r="G93" s="108"/>
    </row>
    <row r="94" spans="1:7" s="9" customFormat="1" x14ac:dyDescent="0.2">
      <c r="A94" s="2261" t="s">
        <v>139</v>
      </c>
      <c r="B94" s="2262"/>
      <c r="C94" s="2263"/>
      <c r="D94" s="113">
        <v>8125</v>
      </c>
      <c r="E94" s="133">
        <v>0.09</v>
      </c>
      <c r="F94" s="113">
        <f>+E94*D94</f>
        <v>731.25</v>
      </c>
      <c r="G94" s="114"/>
    </row>
    <row r="95" spans="1:7" s="105" customFormat="1" ht="13.5" thickBot="1" x14ac:dyDescent="0.25">
      <c r="A95" s="1542" t="s">
        <v>196</v>
      </c>
      <c r="B95" s="1564"/>
      <c r="C95" s="1535"/>
      <c r="D95" s="139">
        <v>4375</v>
      </c>
      <c r="E95" s="141">
        <f>+E94</f>
        <v>0.09</v>
      </c>
      <c r="F95" s="139">
        <f>+E95*D95</f>
        <v>393.75</v>
      </c>
      <c r="G95" s="140"/>
    </row>
    <row r="96" spans="1:7" s="9" customFormat="1" ht="13.5" thickBot="1" x14ac:dyDescent="0.25">
      <c r="A96" s="2287" t="s">
        <v>125</v>
      </c>
      <c r="B96" s="2288"/>
      <c r="C96" s="2288"/>
      <c r="D96" s="2288"/>
      <c r="E96" s="2288"/>
      <c r="F96" s="2289"/>
      <c r="G96" s="110">
        <f>SUM(F93:F95)</f>
        <v>3312.4947707498336</v>
      </c>
    </row>
    <row r="97" spans="1:7" s="9" customFormat="1" ht="13.5" thickBot="1" x14ac:dyDescent="0.25">
      <c r="A97" s="103" t="s">
        <v>123</v>
      </c>
      <c r="B97" s="101"/>
      <c r="C97" s="101"/>
      <c r="D97" s="101"/>
      <c r="E97" s="101"/>
      <c r="F97" s="101"/>
      <c r="G97" s="101"/>
    </row>
    <row r="98" spans="1:7" s="105" customFormat="1" ht="13.5" thickBot="1" x14ac:dyDescent="0.25">
      <c r="A98" s="1530" t="s">
        <v>109</v>
      </c>
      <c r="B98" s="1531"/>
      <c r="C98" s="63" t="s">
        <v>114</v>
      </c>
      <c r="D98" s="63" t="s">
        <v>115</v>
      </c>
      <c r="E98" s="63" t="s">
        <v>116</v>
      </c>
      <c r="F98" s="63" t="s">
        <v>112</v>
      </c>
      <c r="G98" s="104"/>
    </row>
    <row r="99" spans="1:7" s="9" customFormat="1" x14ac:dyDescent="0.2">
      <c r="A99" s="1941" t="e">
        <v>#REF!</v>
      </c>
      <c r="B99" s="1942"/>
      <c r="C99" s="111" t="s">
        <v>6</v>
      </c>
      <c r="D99" s="106">
        <v>6560</v>
      </c>
      <c r="E99" s="111">
        <v>2.5</v>
      </c>
      <c r="F99" s="106">
        <f>+E99*D99</f>
        <v>16400</v>
      </c>
      <c r="G99" s="108"/>
    </row>
    <row r="100" spans="1:7" s="9" customFormat="1" x14ac:dyDescent="0.2">
      <c r="A100" s="1556" t="s">
        <v>39</v>
      </c>
      <c r="B100" s="1557"/>
      <c r="C100" s="112" t="s">
        <v>6</v>
      </c>
      <c r="D100" s="113">
        <v>4438.16</v>
      </c>
      <c r="E100" s="112">
        <v>2.12</v>
      </c>
      <c r="F100" s="113">
        <f>+E100*D100</f>
        <v>9408.8991999999998</v>
      </c>
      <c r="G100" s="114"/>
    </row>
    <row r="101" spans="1:7" s="9" customFormat="1" x14ac:dyDescent="0.2">
      <c r="A101" s="1556" t="s">
        <v>57</v>
      </c>
      <c r="B101" s="1557"/>
      <c r="C101" s="112" t="s">
        <v>7</v>
      </c>
      <c r="D101" s="113">
        <v>15600</v>
      </c>
      <c r="E101" s="112">
        <v>0.1</v>
      </c>
      <c r="F101" s="113">
        <f>+E101*D101</f>
        <v>1560</v>
      </c>
      <c r="G101" s="114"/>
    </row>
    <row r="102" spans="1:7" s="9" customFormat="1" x14ac:dyDescent="0.2">
      <c r="A102" s="1556" t="s">
        <v>913</v>
      </c>
      <c r="B102" s="1557"/>
      <c r="C102" s="112" t="s">
        <v>64</v>
      </c>
      <c r="D102" s="113">
        <v>30000</v>
      </c>
      <c r="E102" s="112">
        <v>0.3</v>
      </c>
      <c r="F102" s="113">
        <f>+E102*D102</f>
        <v>9000</v>
      </c>
      <c r="G102" s="114"/>
    </row>
    <row r="103" spans="1:7" s="9" customFormat="1" ht="13.5" thickBot="1" x14ac:dyDescent="0.25">
      <c r="A103" s="1556"/>
      <c r="B103" s="1557"/>
      <c r="C103" s="112"/>
      <c r="D103" s="113"/>
      <c r="E103" s="112"/>
      <c r="F103" s="113"/>
      <c r="G103" s="114"/>
    </row>
    <row r="104" spans="1:7" s="9" customFormat="1" ht="13.5" thickBot="1" x14ac:dyDescent="0.25">
      <c r="A104" s="2287" t="s">
        <v>125</v>
      </c>
      <c r="B104" s="2288"/>
      <c r="C104" s="2288"/>
      <c r="D104" s="2288"/>
      <c r="E104" s="2288"/>
      <c r="F104" s="2289" t="s">
        <v>113</v>
      </c>
      <c r="G104" s="110">
        <f>SUM(F99:F103)</f>
        <v>36368.8992</v>
      </c>
    </row>
    <row r="105" spans="1:7" s="9" customFormat="1" ht="13.5" thickBot="1" x14ac:dyDescent="0.25">
      <c r="A105" s="103" t="s">
        <v>117</v>
      </c>
      <c r="B105" s="101"/>
      <c r="C105" s="101"/>
      <c r="D105" s="101"/>
      <c r="E105" s="101"/>
      <c r="F105" s="101"/>
      <c r="G105" s="101"/>
    </row>
    <row r="106" spans="1:7" s="105" customFormat="1" ht="13.5" thickBot="1" x14ac:dyDescent="0.25">
      <c r="A106" s="1530" t="s">
        <v>109</v>
      </c>
      <c r="B106" s="1531"/>
      <c r="C106" s="63" t="s">
        <v>114</v>
      </c>
      <c r="D106" s="63" t="s">
        <v>115</v>
      </c>
      <c r="E106" s="63" t="s">
        <v>116</v>
      </c>
      <c r="F106" s="63" t="s">
        <v>112</v>
      </c>
      <c r="G106" s="115"/>
    </row>
    <row r="107" spans="1:7" s="9" customFormat="1" x14ac:dyDescent="0.2">
      <c r="A107" s="1943" t="s">
        <v>205</v>
      </c>
      <c r="B107" s="1945"/>
      <c r="C107" s="116" t="s">
        <v>159</v>
      </c>
      <c r="D107" s="106">
        <v>60714.285714285717</v>
      </c>
      <c r="E107" s="117">
        <v>0</v>
      </c>
      <c r="F107" s="113">
        <f>D107*E107</f>
        <v>0</v>
      </c>
      <c r="G107" s="108"/>
    </row>
    <row r="108" spans="1:7" s="9" customFormat="1" ht="13.5" thickBot="1" x14ac:dyDescent="0.25">
      <c r="A108" s="1926"/>
      <c r="B108" s="1927"/>
      <c r="C108" s="116"/>
      <c r="D108" s="118"/>
      <c r="E108" s="119"/>
      <c r="F108" s="118">
        <f>D108*E108</f>
        <v>0</v>
      </c>
      <c r="G108" s="120"/>
    </row>
    <row r="109" spans="1:7" s="9" customFormat="1" ht="13.5" thickBot="1" x14ac:dyDescent="0.25">
      <c r="A109" s="2287" t="s">
        <v>125</v>
      </c>
      <c r="B109" s="2288"/>
      <c r="C109" s="2288"/>
      <c r="D109" s="2288"/>
      <c r="E109" s="2288"/>
      <c r="F109" s="2289" t="s">
        <v>113</v>
      </c>
      <c r="G109" s="110">
        <f>SUM(F108:F108)</f>
        <v>0</v>
      </c>
    </row>
    <row r="110" spans="1:7" s="9" customFormat="1" ht="13.5" thickBot="1" x14ac:dyDescent="0.25">
      <c r="A110" s="103" t="s">
        <v>119</v>
      </c>
      <c r="B110" s="101"/>
      <c r="C110" s="101"/>
      <c r="D110" s="101"/>
      <c r="E110" s="101"/>
      <c r="F110" s="101"/>
      <c r="G110" s="101"/>
    </row>
    <row r="111" spans="1:7" s="9" customFormat="1" ht="13.5" thickBot="1" x14ac:dyDescent="0.25">
      <c r="A111" s="1530" t="s">
        <v>120</v>
      </c>
      <c r="B111" s="1531"/>
      <c r="C111" s="63" t="s">
        <v>121</v>
      </c>
      <c r="D111" s="63" t="s">
        <v>114</v>
      </c>
      <c r="E111" s="63" t="s">
        <v>116</v>
      </c>
      <c r="F111" s="63" t="s">
        <v>112</v>
      </c>
      <c r="G111" s="121"/>
    </row>
    <row r="112" spans="1:7" s="9" customFormat="1" x14ac:dyDescent="0.2">
      <c r="A112" s="1532" t="s">
        <v>975</v>
      </c>
      <c r="B112" s="1533"/>
      <c r="C112" s="122">
        <v>14142.890951641079</v>
      </c>
      <c r="D112" s="123">
        <v>1</v>
      </c>
      <c r="E112" s="123">
        <v>1.0606035252120405</v>
      </c>
      <c r="F112" s="124">
        <f>+(C112*D112)*E112</f>
        <v>14999.999999999998</v>
      </c>
      <c r="G112" s="108"/>
    </row>
    <row r="113" spans="1:7" s="9" customFormat="1" ht="13.5" thickBot="1" x14ac:dyDescent="0.25">
      <c r="A113" s="2252"/>
      <c r="B113" s="1927"/>
      <c r="C113" s="125"/>
      <c r="D113" s="76"/>
      <c r="E113" s="76"/>
      <c r="F113" s="126"/>
      <c r="G113" s="109"/>
    </row>
    <row r="114" spans="1:7" s="9" customFormat="1" ht="13.5" thickBot="1" x14ac:dyDescent="0.25">
      <c r="A114" s="2287" t="str">
        <f>+A109</f>
        <v>SUB-TOTAL</v>
      </c>
      <c r="B114" s="2288"/>
      <c r="C114" s="2288"/>
      <c r="D114" s="2288"/>
      <c r="E114" s="2288"/>
      <c r="F114" s="2289" t="s">
        <v>113</v>
      </c>
      <c r="G114" s="110">
        <f>SUM(F112:F113)</f>
        <v>14999.999999999998</v>
      </c>
    </row>
    <row r="115" spans="1:7" s="9" customFormat="1" ht="11.25" customHeight="1" thickBot="1" x14ac:dyDescent="0.25">
      <c r="A115" s="101"/>
      <c r="B115" s="101"/>
      <c r="C115" s="101"/>
      <c r="D115" s="101"/>
      <c r="E115" s="101"/>
      <c r="F115" s="127"/>
      <c r="G115" s="101"/>
    </row>
    <row r="116" spans="1:7" s="9" customFormat="1" ht="13.5" thickBot="1" x14ac:dyDescent="0.25">
      <c r="A116" s="2287" t="s">
        <v>156</v>
      </c>
      <c r="B116" s="2288"/>
      <c r="C116" s="2288"/>
      <c r="D116" s="2288"/>
      <c r="E116" s="2288"/>
      <c r="F116" s="2289"/>
      <c r="G116" s="128">
        <f>ROUND(G96+G104+G109+G114,0)</f>
        <v>54681</v>
      </c>
    </row>
    <row r="117" spans="1:7" s="9" customFormat="1" x14ac:dyDescent="0.2"/>
    <row r="118" spans="1:7" ht="14.25" x14ac:dyDescent="0.2">
      <c r="A118" s="573" t="s">
        <v>790</v>
      </c>
      <c r="B118" s="572"/>
      <c r="C118" s="572"/>
      <c r="E118" s="577" t="s">
        <v>791</v>
      </c>
    </row>
    <row r="119" spans="1:7" ht="14.25" x14ac:dyDescent="0.2">
      <c r="A119" s="573"/>
      <c r="B119" s="572"/>
      <c r="C119" s="572"/>
      <c r="E119" s="577"/>
    </row>
    <row r="120" spans="1:7" ht="14.25" x14ac:dyDescent="0.2">
      <c r="A120" s="573"/>
      <c r="B120" s="572"/>
      <c r="C120" s="572"/>
      <c r="E120" s="577"/>
    </row>
    <row r="122" spans="1:7" ht="14.25" x14ac:dyDescent="0.2">
      <c r="A122" s="574" t="s">
        <v>827</v>
      </c>
      <c r="B122" s="572"/>
      <c r="C122" s="572"/>
      <c r="D122" s="578" t="s">
        <v>793</v>
      </c>
    </row>
    <row r="123" spans="1:7" ht="14.25" x14ac:dyDescent="0.2">
      <c r="A123" s="575" t="s">
        <v>828</v>
      </c>
      <c r="B123" s="572"/>
      <c r="C123" s="572"/>
      <c r="D123" s="577" t="s">
        <v>792</v>
      </c>
    </row>
    <row r="124" spans="1:7" ht="15" x14ac:dyDescent="0.2">
      <c r="A124" s="576" t="s">
        <v>829</v>
      </c>
      <c r="B124" s="572"/>
      <c r="C124" s="572"/>
    </row>
  </sheetData>
  <mergeCells count="75">
    <mergeCell ref="A116:F116"/>
    <mergeCell ref="A109:F109"/>
    <mergeCell ref="A111:B111"/>
    <mergeCell ref="A112:B112"/>
    <mergeCell ref="A113:B113"/>
    <mergeCell ref="A114:F114"/>
    <mergeCell ref="A103:B103"/>
    <mergeCell ref="A104:F104"/>
    <mergeCell ref="A106:B106"/>
    <mergeCell ref="A107:B107"/>
    <mergeCell ref="A108:B108"/>
    <mergeCell ref="A98:B98"/>
    <mergeCell ref="A99:B99"/>
    <mergeCell ref="A100:B100"/>
    <mergeCell ref="A101:B101"/>
    <mergeCell ref="A102:B102"/>
    <mergeCell ref="A92:C92"/>
    <mergeCell ref="A93:C93"/>
    <mergeCell ref="A94:C94"/>
    <mergeCell ref="A95:C95"/>
    <mergeCell ref="A96:F96"/>
    <mergeCell ref="A10:C10"/>
    <mergeCell ref="A85:C85"/>
    <mergeCell ref="A86:C86"/>
    <mergeCell ref="A88:C88"/>
    <mergeCell ref="D88:G88"/>
    <mergeCell ref="A24:B24"/>
    <mergeCell ref="A11:C11"/>
    <mergeCell ref="A12:F12"/>
    <mergeCell ref="A14:B14"/>
    <mergeCell ref="A15:B15"/>
    <mergeCell ref="A16:B16"/>
    <mergeCell ref="A17:B17"/>
    <mergeCell ref="A18:B18"/>
    <mergeCell ref="A19:B19"/>
    <mergeCell ref="A20:B20"/>
    <mergeCell ref="A21:F21"/>
    <mergeCell ref="A2:C2"/>
    <mergeCell ref="A3:C3"/>
    <mergeCell ref="A5:C5"/>
    <mergeCell ref="D5:G5"/>
    <mergeCell ref="A9:C9"/>
    <mergeCell ref="A23:B23"/>
    <mergeCell ref="A50:C50"/>
    <mergeCell ref="A25:B25"/>
    <mergeCell ref="A26:F26"/>
    <mergeCell ref="A28:B28"/>
    <mergeCell ref="A29:B29"/>
    <mergeCell ref="A30:B30"/>
    <mergeCell ref="A31:F31"/>
    <mergeCell ref="A33:F33"/>
    <mergeCell ref="A43:C43"/>
    <mergeCell ref="A44:C44"/>
    <mergeCell ref="A46:C46"/>
    <mergeCell ref="D46:G46"/>
    <mergeCell ref="A64:B64"/>
    <mergeCell ref="A51:C51"/>
    <mergeCell ref="A52:C52"/>
    <mergeCell ref="A53:F53"/>
    <mergeCell ref="A55:B55"/>
    <mergeCell ref="A56:B56"/>
    <mergeCell ref="A57:B57"/>
    <mergeCell ref="A58:B58"/>
    <mergeCell ref="A59:B59"/>
    <mergeCell ref="A60:B60"/>
    <mergeCell ref="A61:B61"/>
    <mergeCell ref="A62:F62"/>
    <mergeCell ref="A72:F72"/>
    <mergeCell ref="A74:F74"/>
    <mergeCell ref="A65:B65"/>
    <mergeCell ref="A66:B66"/>
    <mergeCell ref="A67:F67"/>
    <mergeCell ref="A69:B69"/>
    <mergeCell ref="A70:B70"/>
    <mergeCell ref="A71:B71"/>
  </mergeCells>
  <pageMargins left="0.70866141732283472" right="0.70866141732283472" top="0.74803149606299213" bottom="0.74803149606299213" header="0.31496062992125984" footer="0.31496062992125984"/>
  <pageSetup scale="92" orientation="portrait" r:id="rId1"/>
  <rowBreaks count="2" manualBreakCount="2">
    <brk id="41" max="6" man="1"/>
    <brk id="82" max="6" man="1"/>
  </rowBreaks>
  <colBreaks count="1" manualBreakCount="1">
    <brk id="7" max="1048575" man="1"/>
  </col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0000"/>
  </sheetPr>
  <dimension ref="A1:C75"/>
  <sheetViews>
    <sheetView topLeftCell="A55" workbookViewId="0">
      <selection activeCell="A72" sqref="A72:C75"/>
    </sheetView>
  </sheetViews>
  <sheetFormatPr baseColWidth="10" defaultRowHeight="12.75" x14ac:dyDescent="0.2"/>
  <cols>
    <col min="1" max="1" width="8.28515625" customWidth="1"/>
    <col min="2" max="2" width="64.28515625" customWidth="1"/>
    <col min="3" max="3" width="14.7109375" customWidth="1"/>
  </cols>
  <sheetData>
    <row r="1" spans="1:3" ht="18.75" customHeight="1" thickBot="1" x14ac:dyDescent="0.25">
      <c r="A1" s="2290" t="str">
        <f>'PRES.FASE 1-ADUCCION'!D1</f>
        <v>AGUAS DEL HUILA S.A. E.S.P.</v>
      </c>
      <c r="B1" s="2291"/>
      <c r="C1" s="2292"/>
    </row>
    <row r="2" spans="1:3" ht="46.5" customHeight="1" thickBot="1" x14ac:dyDescent="0.25">
      <c r="A2" s="2290" t="str">
        <f>'PRES.FASE 1-ADUCCION'!B2</f>
        <v>CONTRATO DE CONSULTORIA No. 059 DEL 01 DE MARZO DE 2021 CUYO OBJETO ES “CONTRATO DE CONSULTORIA PARA LA ELABORACION DE ESTUDIOS Y DISEÑOS PARA LA OPTIMIZACION DEL SISTEMA DE ACUEDUCTO DEL MUNICIPIO DE TESALIA”.</v>
      </c>
      <c r="B2" s="2291"/>
      <c r="C2" s="2292"/>
    </row>
    <row r="3" spans="1:3" ht="19.5" customHeight="1" thickBot="1" x14ac:dyDescent="0.25">
      <c r="A3" s="2293" t="s">
        <v>983</v>
      </c>
      <c r="B3" s="2294"/>
      <c r="C3" s="2295"/>
    </row>
    <row r="4" spans="1:3" ht="15.75" x14ac:dyDescent="0.25">
      <c r="A4" s="759">
        <v>1</v>
      </c>
      <c r="B4" s="760" t="s">
        <v>984</v>
      </c>
      <c r="C4" s="761">
        <v>1</v>
      </c>
    </row>
    <row r="5" spans="1:3" ht="15" x14ac:dyDescent="0.2">
      <c r="A5" s="762">
        <v>1.1000000000000001</v>
      </c>
      <c r="B5" s="763" t="s">
        <v>985</v>
      </c>
      <c r="C5" s="764">
        <v>1</v>
      </c>
    </row>
    <row r="6" spans="1:3" ht="15" x14ac:dyDescent="0.2">
      <c r="A6" s="765"/>
      <c r="B6" s="766"/>
      <c r="C6" s="767"/>
    </row>
    <row r="7" spans="1:3" ht="15.75" x14ac:dyDescent="0.25">
      <c r="A7" s="768">
        <v>2</v>
      </c>
      <c r="B7" s="769" t="s">
        <v>18</v>
      </c>
      <c r="C7" s="770">
        <f>SUM(C8:C26)</f>
        <v>0.52285000000000004</v>
      </c>
    </row>
    <row r="8" spans="1:3" ht="15" x14ac:dyDescent="0.2">
      <c r="A8" s="762">
        <v>2.1</v>
      </c>
      <c r="B8" s="763" t="s">
        <v>986</v>
      </c>
      <c r="C8" s="764">
        <v>8.3299999999999999E-2</v>
      </c>
    </row>
    <row r="9" spans="1:3" ht="15" x14ac:dyDescent="0.2">
      <c r="A9" s="762">
        <v>2.2000000000000002</v>
      </c>
      <c r="B9" s="763" t="s">
        <v>987</v>
      </c>
      <c r="C9" s="764">
        <v>8.3299999999999999E-2</v>
      </c>
    </row>
    <row r="10" spans="1:3" ht="15" x14ac:dyDescent="0.2">
      <c r="A10" s="762" t="s">
        <v>988</v>
      </c>
      <c r="B10" s="763" t="s">
        <v>989</v>
      </c>
      <c r="C10" s="764">
        <v>0</v>
      </c>
    </row>
    <row r="11" spans="1:3" ht="15" x14ac:dyDescent="0.2">
      <c r="A11" s="762">
        <v>2.2999999999999998</v>
      </c>
      <c r="B11" s="763" t="s">
        <v>990</v>
      </c>
      <c r="C11" s="764">
        <v>0</v>
      </c>
    </row>
    <row r="12" spans="1:3" ht="15" x14ac:dyDescent="0.2">
      <c r="A12" s="762">
        <v>2.4</v>
      </c>
      <c r="B12" s="763" t="s">
        <v>991</v>
      </c>
      <c r="C12" s="764">
        <v>0.05</v>
      </c>
    </row>
    <row r="13" spans="1:3" ht="15" x14ac:dyDescent="0.2">
      <c r="A13" s="762">
        <v>2.5</v>
      </c>
      <c r="B13" s="763" t="s">
        <v>992</v>
      </c>
      <c r="C13" s="764" t="s">
        <v>476</v>
      </c>
    </row>
    <row r="14" spans="1:3" ht="15" x14ac:dyDescent="0.2">
      <c r="A14" s="762" t="s">
        <v>993</v>
      </c>
      <c r="B14" s="763" t="s">
        <v>994</v>
      </c>
      <c r="C14" s="764"/>
    </row>
    <row r="15" spans="1:3" ht="15" x14ac:dyDescent="0.2">
      <c r="A15" s="762" t="s">
        <v>995</v>
      </c>
      <c r="B15" s="763" t="s">
        <v>996</v>
      </c>
      <c r="C15" s="764">
        <v>0.10125000000000001</v>
      </c>
    </row>
    <row r="16" spans="1:3" ht="15" x14ac:dyDescent="0.2">
      <c r="A16" s="762" t="s">
        <v>997</v>
      </c>
      <c r="B16" s="763" t="s">
        <v>998</v>
      </c>
      <c r="C16" s="764">
        <v>0.08</v>
      </c>
    </row>
    <row r="17" spans="1:3" ht="15" x14ac:dyDescent="0.2">
      <c r="A17" s="762">
        <v>2.6</v>
      </c>
      <c r="B17" s="763" t="s">
        <v>999</v>
      </c>
      <c r="C17" s="764">
        <v>0.04</v>
      </c>
    </row>
    <row r="18" spans="1:3" ht="15" x14ac:dyDescent="0.2">
      <c r="A18" s="762">
        <v>2.7</v>
      </c>
      <c r="B18" s="763" t="s">
        <v>1000</v>
      </c>
      <c r="C18" s="764" t="s">
        <v>476</v>
      </c>
    </row>
    <row r="19" spans="1:3" ht="15" x14ac:dyDescent="0.2">
      <c r="A19" s="762">
        <v>2.8</v>
      </c>
      <c r="B19" s="763" t="s">
        <v>1001</v>
      </c>
      <c r="C19" s="764" t="s">
        <v>476</v>
      </c>
    </row>
    <row r="20" spans="1:3" ht="15" x14ac:dyDescent="0.2">
      <c r="A20" s="762">
        <v>2.9</v>
      </c>
      <c r="B20" s="763" t="s">
        <v>1002</v>
      </c>
      <c r="C20" s="764">
        <v>0.01</v>
      </c>
    </row>
    <row r="21" spans="1:3" ht="15" x14ac:dyDescent="0.2">
      <c r="A21" s="771">
        <v>2.1</v>
      </c>
      <c r="B21" s="763" t="s">
        <v>1003</v>
      </c>
      <c r="C21" s="764" t="s">
        <v>476</v>
      </c>
    </row>
    <row r="22" spans="1:3" ht="15" x14ac:dyDescent="0.2">
      <c r="A22" s="762">
        <v>2.11</v>
      </c>
      <c r="B22" s="763" t="s">
        <v>1004</v>
      </c>
      <c r="C22" s="764">
        <v>0.04</v>
      </c>
    </row>
    <row r="23" spans="1:3" ht="15" x14ac:dyDescent="0.2">
      <c r="A23" s="762" t="s">
        <v>1005</v>
      </c>
      <c r="B23" s="763" t="s">
        <v>1006</v>
      </c>
      <c r="C23" s="764"/>
    </row>
    <row r="24" spans="1:3" ht="15" x14ac:dyDescent="0.2">
      <c r="A24" s="762" t="s">
        <v>1007</v>
      </c>
      <c r="B24" s="763" t="s">
        <v>1008</v>
      </c>
      <c r="C24" s="764">
        <v>0.02</v>
      </c>
    </row>
    <row r="25" spans="1:3" ht="15" x14ac:dyDescent="0.2">
      <c r="A25" s="762" t="s">
        <v>1009</v>
      </c>
      <c r="B25" s="763" t="s">
        <v>1010</v>
      </c>
      <c r="C25" s="764">
        <v>1.4999999999999999E-2</v>
      </c>
    </row>
    <row r="26" spans="1:3" ht="15" x14ac:dyDescent="0.2">
      <c r="A26" s="762" t="s">
        <v>1011</v>
      </c>
      <c r="B26" s="763" t="s">
        <v>1012</v>
      </c>
      <c r="C26" s="764" t="s">
        <v>476</v>
      </c>
    </row>
    <row r="27" spans="1:3" ht="15" x14ac:dyDescent="0.2">
      <c r="A27" s="765"/>
      <c r="B27" s="766"/>
      <c r="C27" s="767"/>
    </row>
    <row r="28" spans="1:3" ht="15.75" x14ac:dyDescent="0.25">
      <c r="A28" s="768">
        <v>3</v>
      </c>
      <c r="B28" s="769" t="s">
        <v>1013</v>
      </c>
      <c r="C28" s="770">
        <f>SUM(C29:C54)</f>
        <v>0.15910000000000002</v>
      </c>
    </row>
    <row r="29" spans="1:3" ht="15" x14ac:dyDescent="0.2">
      <c r="A29" s="762">
        <v>3.1</v>
      </c>
      <c r="B29" s="763" t="s">
        <v>1014</v>
      </c>
      <c r="C29" s="764">
        <v>0.04</v>
      </c>
    </row>
    <row r="30" spans="1:3" ht="15" x14ac:dyDescent="0.2">
      <c r="A30" s="762">
        <v>3.2</v>
      </c>
      <c r="B30" s="763" t="s">
        <v>1015</v>
      </c>
      <c r="C30" s="764"/>
    </row>
    <row r="31" spans="1:3" ht="15" x14ac:dyDescent="0.2">
      <c r="A31" s="762" t="s">
        <v>1016</v>
      </c>
      <c r="B31" s="763" t="s">
        <v>1017</v>
      </c>
      <c r="C31" s="764" t="s">
        <v>476</v>
      </c>
    </row>
    <row r="32" spans="1:3" ht="15" x14ac:dyDescent="0.2">
      <c r="A32" s="762" t="s">
        <v>1018</v>
      </c>
      <c r="B32" s="763" t="s">
        <v>1019</v>
      </c>
      <c r="C32" s="764" t="s">
        <v>476</v>
      </c>
    </row>
    <row r="33" spans="1:3" ht="15" x14ac:dyDescent="0.2">
      <c r="A33" s="762" t="s">
        <v>1020</v>
      </c>
      <c r="B33" s="763" t="s">
        <v>1021</v>
      </c>
      <c r="C33" s="764"/>
    </row>
    <row r="34" spans="1:3" ht="15" x14ac:dyDescent="0.2">
      <c r="A34" s="762" t="s">
        <v>1022</v>
      </c>
      <c r="B34" s="763" t="s">
        <v>1023</v>
      </c>
      <c r="C34" s="764">
        <v>2.2100000000000002E-2</v>
      </c>
    </row>
    <row r="35" spans="1:3" ht="15" x14ac:dyDescent="0.2">
      <c r="A35" s="762" t="s">
        <v>1024</v>
      </c>
      <c r="B35" s="763" t="s">
        <v>1025</v>
      </c>
      <c r="C35" s="764">
        <v>0.02</v>
      </c>
    </row>
    <row r="36" spans="1:3" ht="15" x14ac:dyDescent="0.2">
      <c r="A36" s="762" t="s">
        <v>1026</v>
      </c>
      <c r="B36" s="763" t="s">
        <v>1027</v>
      </c>
      <c r="C36" s="764"/>
    </row>
    <row r="37" spans="1:3" ht="15" x14ac:dyDescent="0.2">
      <c r="A37" s="762" t="s">
        <v>1028</v>
      </c>
      <c r="B37" s="763" t="s">
        <v>1029</v>
      </c>
      <c r="C37" s="764">
        <v>0.01</v>
      </c>
    </row>
    <row r="38" spans="1:3" ht="15" x14ac:dyDescent="0.2">
      <c r="A38" s="762" t="s">
        <v>1030</v>
      </c>
      <c r="B38" s="763" t="s">
        <v>1031</v>
      </c>
      <c r="C38" s="764"/>
    </row>
    <row r="39" spans="1:3" ht="15" x14ac:dyDescent="0.2">
      <c r="A39" s="762" t="s">
        <v>1032</v>
      </c>
      <c r="B39" s="763" t="s">
        <v>1033</v>
      </c>
      <c r="C39" s="764" t="s">
        <v>476</v>
      </c>
    </row>
    <row r="40" spans="1:3" ht="15" x14ac:dyDescent="0.2">
      <c r="A40" s="762" t="s">
        <v>1034</v>
      </c>
      <c r="B40" s="763" t="s">
        <v>1035</v>
      </c>
      <c r="C40" s="764"/>
    </row>
    <row r="41" spans="1:3" ht="15" x14ac:dyDescent="0.2">
      <c r="A41" s="762" t="s">
        <v>1036</v>
      </c>
      <c r="B41" s="763" t="s">
        <v>1037</v>
      </c>
      <c r="C41" s="764">
        <v>5.0000000000000001E-3</v>
      </c>
    </row>
    <row r="42" spans="1:3" ht="15" x14ac:dyDescent="0.2">
      <c r="A42" s="762" t="s">
        <v>1038</v>
      </c>
      <c r="B42" s="763" t="s">
        <v>1039</v>
      </c>
      <c r="C42" s="764"/>
    </row>
    <row r="43" spans="1:3" ht="15" x14ac:dyDescent="0.2">
      <c r="A43" s="762" t="s">
        <v>1040</v>
      </c>
      <c r="B43" s="763" t="s">
        <v>1041</v>
      </c>
      <c r="C43" s="764"/>
    </row>
    <row r="44" spans="1:3" ht="15" x14ac:dyDescent="0.2">
      <c r="A44" s="762">
        <v>3.3</v>
      </c>
      <c r="B44" s="763" t="s">
        <v>1042</v>
      </c>
      <c r="C44" s="764"/>
    </row>
    <row r="45" spans="1:3" ht="15" x14ac:dyDescent="0.2">
      <c r="A45" s="762" t="s">
        <v>462</v>
      </c>
      <c r="B45" s="763" t="s">
        <v>1043</v>
      </c>
      <c r="C45" s="764" t="s">
        <v>476</v>
      </c>
    </row>
    <row r="46" spans="1:3" ht="15" x14ac:dyDescent="0.2">
      <c r="A46" s="762" t="s">
        <v>1044</v>
      </c>
      <c r="B46" s="763" t="s">
        <v>1045</v>
      </c>
      <c r="C46" s="764">
        <v>0.03</v>
      </c>
    </row>
    <row r="47" spans="1:3" ht="15" x14ac:dyDescent="0.2">
      <c r="A47" s="762" t="s">
        <v>1046</v>
      </c>
      <c r="B47" s="763" t="s">
        <v>1047</v>
      </c>
      <c r="C47" s="764"/>
    </row>
    <row r="48" spans="1:3" ht="15" x14ac:dyDescent="0.2">
      <c r="A48" s="762" t="s">
        <v>1048</v>
      </c>
      <c r="B48" s="763" t="s">
        <v>1049</v>
      </c>
      <c r="C48" s="764">
        <v>5.0000000000000001E-3</v>
      </c>
    </row>
    <row r="49" spans="1:3" ht="15" x14ac:dyDescent="0.2">
      <c r="A49" s="762">
        <v>3.4</v>
      </c>
      <c r="B49" s="763" t="s">
        <v>1050</v>
      </c>
      <c r="C49" s="764"/>
    </row>
    <row r="50" spans="1:3" ht="15" x14ac:dyDescent="0.2">
      <c r="A50" s="762" t="s">
        <v>1051</v>
      </c>
      <c r="B50" s="763" t="s">
        <v>1052</v>
      </c>
      <c r="C50" s="764"/>
    </row>
    <row r="51" spans="1:3" ht="15" x14ac:dyDescent="0.2">
      <c r="A51" s="762" t="s">
        <v>1053</v>
      </c>
      <c r="B51" s="763" t="s">
        <v>1054</v>
      </c>
      <c r="C51" s="764"/>
    </row>
    <row r="52" spans="1:3" ht="15" x14ac:dyDescent="0.2">
      <c r="A52" s="762" t="s">
        <v>1055</v>
      </c>
      <c r="B52" s="763" t="s">
        <v>1056</v>
      </c>
      <c r="C52" s="764">
        <v>0.01</v>
      </c>
    </row>
    <row r="53" spans="1:3" ht="15" x14ac:dyDescent="0.2">
      <c r="A53" s="762" t="s">
        <v>1057</v>
      </c>
      <c r="B53" s="763" t="s">
        <v>1058</v>
      </c>
      <c r="C53" s="764">
        <v>5.0000000000000001E-3</v>
      </c>
    </row>
    <row r="54" spans="1:3" ht="15" x14ac:dyDescent="0.2">
      <c r="A54" s="762">
        <v>3.5</v>
      </c>
      <c r="B54" s="763" t="s">
        <v>1059</v>
      </c>
      <c r="C54" s="764">
        <v>1.2E-2</v>
      </c>
    </row>
    <row r="55" spans="1:3" ht="15" x14ac:dyDescent="0.2">
      <c r="A55" s="765"/>
      <c r="B55" s="766"/>
      <c r="C55" s="767"/>
    </row>
    <row r="56" spans="1:3" ht="15.75" x14ac:dyDescent="0.25">
      <c r="A56" s="768">
        <v>4</v>
      </c>
      <c r="B56" s="769" t="s">
        <v>1060</v>
      </c>
      <c r="C56" s="770">
        <f>+C57</f>
        <v>0.25</v>
      </c>
    </row>
    <row r="57" spans="1:3" ht="15" x14ac:dyDescent="0.2">
      <c r="A57" s="772">
        <v>4.0999999999999996</v>
      </c>
      <c r="B57" s="763" t="s">
        <v>1061</v>
      </c>
      <c r="C57" s="764">
        <v>0.25</v>
      </c>
    </row>
    <row r="58" spans="1:3" ht="15" x14ac:dyDescent="0.2">
      <c r="A58" s="773"/>
      <c r="B58" s="766"/>
      <c r="C58" s="767"/>
    </row>
    <row r="59" spans="1:3" ht="15" x14ac:dyDescent="0.2">
      <c r="A59" s="773"/>
      <c r="B59" s="766"/>
      <c r="C59" s="767"/>
    </row>
    <row r="60" spans="1:3" ht="16.5" thickBot="1" x14ac:dyDescent="0.3">
      <c r="A60" s="774"/>
      <c r="B60" s="775" t="s">
        <v>1062</v>
      </c>
      <c r="C60" s="776">
        <f>ROUND(C4+C7+C28+C56,2)</f>
        <v>1.93</v>
      </c>
    </row>
    <row r="61" spans="1:3" ht="15" x14ac:dyDescent="0.2">
      <c r="A61" s="777"/>
      <c r="B61" s="778"/>
      <c r="C61" s="778"/>
    </row>
    <row r="66" spans="1:3" x14ac:dyDescent="0.2">
      <c r="A66" s="757" t="s">
        <v>891</v>
      </c>
      <c r="B66" s="677"/>
      <c r="C66" s="757"/>
    </row>
    <row r="67" spans="1:3" x14ac:dyDescent="0.2">
      <c r="A67" s="758" t="s">
        <v>828</v>
      </c>
      <c r="B67" s="676"/>
      <c r="C67" s="758"/>
    </row>
    <row r="68" spans="1:3" x14ac:dyDescent="0.2">
      <c r="A68" s="758" t="s">
        <v>880</v>
      </c>
      <c r="B68" s="676"/>
      <c r="C68" s="758"/>
    </row>
    <row r="69" spans="1:3" ht="15" x14ac:dyDescent="0.25">
      <c r="A69" s="779"/>
      <c r="B69" s="779"/>
    </row>
    <row r="70" spans="1:3" ht="15" x14ac:dyDescent="0.25">
      <c r="A70" s="780"/>
      <c r="B70" s="780"/>
    </row>
    <row r="71" spans="1:3" ht="15" x14ac:dyDescent="0.25">
      <c r="A71" s="780"/>
      <c r="B71" s="780"/>
    </row>
    <row r="72" spans="1:3" ht="14.25" x14ac:dyDescent="0.2">
      <c r="A72" s="628" t="s">
        <v>1150</v>
      </c>
      <c r="B72" s="677"/>
      <c r="C72" s="690"/>
    </row>
    <row r="73" spans="1:3" ht="14.25" x14ac:dyDescent="0.2">
      <c r="A73" s="674" t="s">
        <v>1151</v>
      </c>
      <c r="B73" s="676"/>
      <c r="C73" s="690"/>
    </row>
    <row r="74" spans="1:3" ht="14.25" x14ac:dyDescent="0.2">
      <c r="A74" s="674" t="s">
        <v>1152</v>
      </c>
      <c r="B74" s="676"/>
      <c r="C74" s="652"/>
    </row>
    <row r="75" spans="1:3" ht="14.25" x14ac:dyDescent="0.2">
      <c r="A75" s="674" t="s">
        <v>1153</v>
      </c>
      <c r="B75" s="652"/>
      <c r="C75" s="652"/>
    </row>
  </sheetData>
  <mergeCells count="3">
    <mergeCell ref="A1:C1"/>
    <mergeCell ref="A2:C2"/>
    <mergeCell ref="A3:C3"/>
  </mergeCells>
  <pageMargins left="0.70866141732283472" right="0.70866141732283472" top="0.74803149606299213" bottom="0.74803149606299213" header="0.31496062992125984" footer="0.31496062992125984"/>
  <pageSetup orientation="portrait" horizontalDpi="0"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G736"/>
  <sheetViews>
    <sheetView view="pageBreakPreview" topLeftCell="A151" zoomScale="115" zoomScaleNormal="100" zoomScaleSheetLayoutView="115" workbookViewId="0">
      <selection activeCell="A128" sqref="A128:G171"/>
    </sheetView>
  </sheetViews>
  <sheetFormatPr baseColWidth="10" defaultRowHeight="12.75" x14ac:dyDescent="0.2"/>
  <cols>
    <col min="1" max="1" width="28.85546875" bestFit="1" customWidth="1"/>
    <col min="2" max="2" width="8" customWidth="1"/>
    <col min="3" max="3" width="12.140625" style="609" bestFit="1" customWidth="1"/>
    <col min="4" max="4" width="12.7109375" customWidth="1"/>
    <col min="5" max="5" width="12" customWidth="1"/>
    <col min="6" max="6" width="13.140625" customWidth="1"/>
    <col min="7" max="7" width="13.28515625" customWidth="1"/>
  </cols>
  <sheetData>
    <row r="1" spans="1:7" ht="13.5" thickBot="1" x14ac:dyDescent="0.25">
      <c r="A1" s="34"/>
      <c r="B1" s="34"/>
      <c r="C1" s="597"/>
      <c r="D1" s="34"/>
      <c r="E1" s="34"/>
      <c r="F1" s="34"/>
      <c r="G1" s="34"/>
    </row>
    <row r="2" spans="1:7" ht="23.25" customHeight="1" x14ac:dyDescent="0.2">
      <c r="A2" s="2286" t="e">
        <f>+CERRAMIENTO!A85</f>
        <v>#REF!</v>
      </c>
      <c r="B2" s="1936"/>
      <c r="C2" s="1937"/>
      <c r="D2" s="50"/>
      <c r="E2" s="46"/>
      <c r="F2" s="46"/>
      <c r="G2" s="47"/>
    </row>
    <row r="3" spans="1:7" ht="33.75" customHeight="1" thickBot="1" x14ac:dyDescent="0.25">
      <c r="A3" s="1551" t="e">
        <f>+#REF!</f>
        <v>#REF!</v>
      </c>
      <c r="B3" s="1552"/>
      <c r="C3" s="1553"/>
      <c r="D3" s="48"/>
      <c r="E3" s="48"/>
      <c r="F3" s="48"/>
      <c r="G3" s="49"/>
    </row>
    <row r="4" spans="1:7" ht="13.5" thickBot="1" x14ac:dyDescent="0.25">
      <c r="A4" s="37"/>
      <c r="B4" s="37"/>
      <c r="C4" s="598"/>
      <c r="D4" s="37"/>
      <c r="E4" s="37"/>
      <c r="F4" s="37"/>
      <c r="G4" s="37"/>
    </row>
    <row r="5" spans="1:7" ht="55.5" customHeight="1" thickBot="1" x14ac:dyDescent="0.25">
      <c r="A5" s="1558" t="e">
        <f>+CERRAMIENTO!A88</f>
        <v>#REF!</v>
      </c>
      <c r="B5" s="1559"/>
      <c r="C5" s="1560"/>
      <c r="D5" s="1565" t="e">
        <f>+'PRES.FASE 1-ADUCCION'!#REF!</f>
        <v>#REF!</v>
      </c>
      <c r="E5" s="1559"/>
      <c r="F5" s="1559"/>
      <c r="G5" s="1560"/>
    </row>
    <row r="6" spans="1:7" ht="13.5" thickBot="1" x14ac:dyDescent="0.25">
      <c r="A6" s="38"/>
      <c r="B6" s="38"/>
      <c r="C6" s="599"/>
      <c r="D6" s="38"/>
      <c r="E6" s="38"/>
      <c r="F6" s="38"/>
      <c r="G6" s="38"/>
    </row>
    <row r="7" spans="1:7" ht="13.5" thickBot="1" x14ac:dyDescent="0.25">
      <c r="A7" s="39"/>
      <c r="B7" s="37"/>
      <c r="C7" s="597"/>
      <c r="D7" s="60" t="s">
        <v>124</v>
      </c>
      <c r="E7" s="61" t="s">
        <v>2</v>
      </c>
      <c r="F7" s="59"/>
      <c r="G7" s="59"/>
    </row>
    <row r="8" spans="1:7" ht="13.5" thickBot="1" x14ac:dyDescent="0.25">
      <c r="A8" s="40" t="s">
        <v>108</v>
      </c>
      <c r="B8" s="37"/>
      <c r="C8" s="598"/>
      <c r="D8" s="37"/>
      <c r="E8" s="37"/>
      <c r="F8" s="37"/>
      <c r="G8" s="37"/>
    </row>
    <row r="9" spans="1:7" ht="13.5" thickBot="1" x14ac:dyDescent="0.25">
      <c r="A9" s="1530" t="s">
        <v>109</v>
      </c>
      <c r="B9" s="1554"/>
      <c r="C9" s="1531"/>
      <c r="D9" s="64" t="s">
        <v>110</v>
      </c>
      <c r="E9" s="64" t="s">
        <v>111</v>
      </c>
      <c r="F9" s="63" t="s">
        <v>112</v>
      </c>
      <c r="G9" s="66"/>
    </row>
    <row r="10" spans="1:7" x14ac:dyDescent="0.2">
      <c r="A10" s="1943" t="str">
        <f>+CERRAMIENTO!A93</f>
        <v>HERRAMIENTA MENOR.</v>
      </c>
      <c r="B10" s="1944"/>
      <c r="C10" s="1945"/>
      <c r="D10" s="55" t="e">
        <f>+#REF!</f>
        <v>#REF!</v>
      </c>
      <c r="E10" s="80">
        <v>0.9</v>
      </c>
      <c r="F10" s="55" t="e">
        <f>+E10*D10</f>
        <v>#REF!</v>
      </c>
      <c r="G10" s="52"/>
    </row>
    <row r="11" spans="1:7" ht="13.5" thickBot="1" x14ac:dyDescent="0.25">
      <c r="A11" s="1926"/>
      <c r="B11" s="1946"/>
      <c r="C11" s="1927"/>
      <c r="D11" s="57"/>
      <c r="E11" s="81"/>
      <c r="F11" s="57"/>
      <c r="G11" s="58"/>
    </row>
    <row r="12" spans="1:7" ht="13.5" thickBot="1" x14ac:dyDescent="0.25">
      <c r="A12" s="1932" t="s">
        <v>125</v>
      </c>
      <c r="B12" s="1933"/>
      <c r="C12" s="1933"/>
      <c r="D12" s="1933"/>
      <c r="E12" s="1933"/>
      <c r="F12" s="1934"/>
      <c r="G12" s="54" t="e">
        <f>SUM(F10:F11)</f>
        <v>#REF!</v>
      </c>
    </row>
    <row r="13" spans="1:7" ht="13.5" thickBot="1" x14ac:dyDescent="0.25">
      <c r="A13" s="40" t="s">
        <v>123</v>
      </c>
      <c r="B13" s="37"/>
      <c r="C13" s="598"/>
      <c r="D13" s="37"/>
      <c r="E13" s="37"/>
      <c r="F13" s="37"/>
      <c r="G13" s="37"/>
    </row>
    <row r="14" spans="1:7" ht="13.5" thickBot="1" x14ac:dyDescent="0.25">
      <c r="A14" s="1530" t="s">
        <v>109</v>
      </c>
      <c r="B14" s="1531"/>
      <c r="C14" s="600" t="s">
        <v>114</v>
      </c>
      <c r="D14" s="63" t="s">
        <v>115</v>
      </c>
      <c r="E14" s="63" t="s">
        <v>116</v>
      </c>
      <c r="F14" s="63" t="s">
        <v>112</v>
      </c>
      <c r="G14" s="66"/>
    </row>
    <row r="15" spans="1:7" ht="24" customHeight="1" x14ac:dyDescent="0.2">
      <c r="A15" s="2308" t="s">
        <v>806</v>
      </c>
      <c r="B15" s="1942"/>
      <c r="C15" s="601" t="s">
        <v>804</v>
      </c>
      <c r="D15" s="83">
        <v>7500</v>
      </c>
      <c r="E15" s="82">
        <v>1</v>
      </c>
      <c r="F15" s="83">
        <f>+E15*D15</f>
        <v>7500</v>
      </c>
      <c r="G15" s="52"/>
    </row>
    <row r="16" spans="1:7" ht="21.75" customHeight="1" x14ac:dyDescent="0.2">
      <c r="A16" s="2307" t="s">
        <v>831</v>
      </c>
      <c r="B16" s="1557"/>
      <c r="C16" s="602" t="s">
        <v>804</v>
      </c>
      <c r="D16" s="86">
        <v>35000</v>
      </c>
      <c r="E16" s="85">
        <v>1</v>
      </c>
      <c r="F16" s="86">
        <f>+E16*D16</f>
        <v>35000</v>
      </c>
      <c r="G16" s="53"/>
    </row>
    <row r="17" spans="1:7" x14ac:dyDescent="0.2">
      <c r="A17" s="2307" t="s">
        <v>805</v>
      </c>
      <c r="B17" s="1557"/>
      <c r="C17" s="602" t="s">
        <v>222</v>
      </c>
      <c r="D17" s="86">
        <f>58000/50</f>
        <v>1160</v>
      </c>
      <c r="E17" s="85">
        <v>10</v>
      </c>
      <c r="F17" s="86">
        <f>+E17*D17</f>
        <v>11600</v>
      </c>
      <c r="G17" s="53"/>
    </row>
    <row r="18" spans="1:7" x14ac:dyDescent="0.2">
      <c r="A18" s="1556"/>
      <c r="B18" s="1557"/>
      <c r="C18" s="603"/>
      <c r="D18" s="42"/>
      <c r="E18" s="41"/>
      <c r="F18" s="42"/>
      <c r="G18" s="53"/>
    </row>
    <row r="19" spans="1:7" x14ac:dyDescent="0.2">
      <c r="A19" s="1556"/>
      <c r="B19" s="1557"/>
      <c r="C19" s="603"/>
      <c r="D19" s="42"/>
      <c r="E19" s="41"/>
      <c r="F19" s="42"/>
      <c r="G19" s="53"/>
    </row>
    <row r="20" spans="1:7" ht="13.5" thickBot="1" x14ac:dyDescent="0.25">
      <c r="A20" s="1920"/>
      <c r="B20" s="1921"/>
      <c r="C20" s="604"/>
      <c r="D20" s="57"/>
      <c r="E20" s="56"/>
      <c r="F20" s="42"/>
      <c r="G20" s="58"/>
    </row>
    <row r="21" spans="1:7" ht="13.5" thickBot="1" x14ac:dyDescent="0.25">
      <c r="A21" s="1932" t="s">
        <v>125</v>
      </c>
      <c r="B21" s="1933"/>
      <c r="C21" s="1933"/>
      <c r="D21" s="1933"/>
      <c r="E21" s="1933"/>
      <c r="F21" s="1934" t="s">
        <v>113</v>
      </c>
      <c r="G21" s="54">
        <f>SUM(F15:F20)</f>
        <v>54100</v>
      </c>
    </row>
    <row r="22" spans="1:7" ht="13.5" thickBot="1" x14ac:dyDescent="0.25">
      <c r="A22" s="40" t="s">
        <v>117</v>
      </c>
      <c r="B22" s="37"/>
      <c r="C22" s="598"/>
      <c r="D22" s="37"/>
      <c r="E22" s="37"/>
      <c r="F22" s="37"/>
      <c r="G22" s="37"/>
    </row>
    <row r="23" spans="1:7" ht="13.5" thickBot="1" x14ac:dyDescent="0.25">
      <c r="A23" s="1922" t="s">
        <v>109</v>
      </c>
      <c r="B23" s="1923"/>
      <c r="C23" s="605" t="s">
        <v>114</v>
      </c>
      <c r="D23" s="64" t="s">
        <v>115</v>
      </c>
      <c r="E23" s="64" t="s">
        <v>116</v>
      </c>
      <c r="F23" s="64" t="s">
        <v>112</v>
      </c>
      <c r="G23" s="67"/>
    </row>
    <row r="24" spans="1:7" x14ac:dyDescent="0.2">
      <c r="A24" s="1943" t="e">
        <f>+#REF!</f>
        <v>#REF!</v>
      </c>
      <c r="B24" s="1945"/>
      <c r="C24" s="606" t="e">
        <f>+#REF!</f>
        <v>#REF!</v>
      </c>
      <c r="D24" s="106" t="e">
        <f>+#REF!</f>
        <v>#REF!</v>
      </c>
      <c r="E24" s="585">
        <v>5.0000000000000001E-3</v>
      </c>
      <c r="F24" s="113" t="e">
        <f>D24*E24</f>
        <v>#REF!</v>
      </c>
      <c r="G24" s="52"/>
    </row>
    <row r="25" spans="1:7" ht="13.5" thickBot="1" x14ac:dyDescent="0.25">
      <c r="A25" s="1930"/>
      <c r="B25" s="1931"/>
      <c r="C25" s="590"/>
      <c r="D25" s="43"/>
      <c r="E25" s="57"/>
      <c r="F25" s="57">
        <f>D25*E25</f>
        <v>0</v>
      </c>
      <c r="G25" s="68"/>
    </row>
    <row r="26" spans="1:7" ht="13.5" thickBot="1" x14ac:dyDescent="0.25">
      <c r="A26" s="1932" t="s">
        <v>125</v>
      </c>
      <c r="B26" s="1933"/>
      <c r="C26" s="1933"/>
      <c r="D26" s="1933"/>
      <c r="E26" s="1933"/>
      <c r="F26" s="1934" t="s">
        <v>113</v>
      </c>
      <c r="G26" s="54" t="e">
        <f>+F25+F24</f>
        <v>#REF!</v>
      </c>
    </row>
    <row r="27" spans="1:7" ht="13.5" thickBot="1" x14ac:dyDescent="0.25">
      <c r="A27" s="40" t="s">
        <v>119</v>
      </c>
      <c r="B27" s="37"/>
      <c r="C27" s="598"/>
      <c r="D27" s="37"/>
      <c r="E27" s="37"/>
      <c r="F27" s="37"/>
      <c r="G27" s="37"/>
    </row>
    <row r="28" spans="1:7" ht="13.5" thickBot="1" x14ac:dyDescent="0.25">
      <c r="A28" s="1922" t="s">
        <v>120</v>
      </c>
      <c r="B28" s="1923"/>
      <c r="C28" s="600" t="s">
        <v>121</v>
      </c>
      <c r="D28" s="64" t="s">
        <v>114</v>
      </c>
      <c r="E28" s="64" t="s">
        <v>116</v>
      </c>
      <c r="F28" s="64" t="s">
        <v>112</v>
      </c>
      <c r="G28" s="71"/>
    </row>
    <row r="29" spans="1:7" x14ac:dyDescent="0.2">
      <c r="A29" s="2255" t="e">
        <f>+#REF!</f>
        <v>#REF!</v>
      </c>
      <c r="B29" s="2256"/>
      <c r="C29" s="607">
        <v>7410.9600847008996</v>
      </c>
      <c r="D29" s="174">
        <v>0</v>
      </c>
      <c r="E29" s="174">
        <v>4.2836272844320966</v>
      </c>
      <c r="F29" s="78">
        <f>+(C29*D29)*E29</f>
        <v>0</v>
      </c>
      <c r="G29" s="52"/>
    </row>
    <row r="30" spans="1:7" ht="13.5" thickBot="1" x14ac:dyDescent="0.25">
      <c r="A30" s="2252" t="s">
        <v>22</v>
      </c>
      <c r="B30" s="1927"/>
      <c r="C30" s="608">
        <v>4374.7823749999998</v>
      </c>
      <c r="D30" s="175">
        <v>1</v>
      </c>
      <c r="E30" s="176">
        <f>+E29</f>
        <v>4.2836272844320966</v>
      </c>
      <c r="F30" s="79">
        <f>+(C30*D30)*E30</f>
        <v>18739.937145002648</v>
      </c>
      <c r="G30" s="58"/>
    </row>
    <row r="31" spans="1:7" ht="13.5" thickBot="1" x14ac:dyDescent="0.25">
      <c r="A31" s="1932" t="str">
        <f>+A26</f>
        <v>SUB-TOTAL</v>
      </c>
      <c r="B31" s="1933"/>
      <c r="C31" s="1933"/>
      <c r="D31" s="1933"/>
      <c r="E31" s="1933"/>
      <c r="F31" s="1934" t="s">
        <v>113</v>
      </c>
      <c r="G31" s="54">
        <f>+F30+F29</f>
        <v>18739.937145002648</v>
      </c>
    </row>
    <row r="32" spans="1:7" ht="13.5" thickBot="1" x14ac:dyDescent="0.25">
      <c r="A32" s="37"/>
      <c r="B32" s="37"/>
      <c r="C32" s="598"/>
      <c r="D32" s="37"/>
      <c r="E32" s="37"/>
      <c r="F32" s="45"/>
      <c r="G32" s="37"/>
    </row>
    <row r="33" spans="1:7" ht="13.5" thickBot="1" x14ac:dyDescent="0.25">
      <c r="A33" s="1932" t="s">
        <v>156</v>
      </c>
      <c r="B33" s="1933"/>
      <c r="C33" s="1933"/>
      <c r="D33" s="1933"/>
      <c r="E33" s="1933"/>
      <c r="F33" s="1934"/>
      <c r="G33" s="72" t="e">
        <f>ROUND(G12+G21+G26+G31,0)</f>
        <v>#REF!</v>
      </c>
    </row>
    <row r="34" spans="1:7" x14ac:dyDescent="0.2">
      <c r="A34" s="34"/>
      <c r="B34" s="34"/>
      <c r="C34" s="597"/>
      <c r="D34" s="34"/>
      <c r="E34" s="34"/>
      <c r="F34" s="34"/>
      <c r="G34" s="34"/>
    </row>
    <row r="35" spans="1:7" ht="14.25" x14ac:dyDescent="0.2">
      <c r="A35" s="573" t="s">
        <v>790</v>
      </c>
      <c r="B35" s="572"/>
      <c r="C35" s="579"/>
      <c r="D35" s="34"/>
      <c r="E35" s="577" t="s">
        <v>791</v>
      </c>
      <c r="F35" s="34"/>
      <c r="G35" s="34"/>
    </row>
    <row r="36" spans="1:7" ht="14.25" x14ac:dyDescent="0.2">
      <c r="A36" s="573"/>
      <c r="B36" s="572"/>
      <c r="C36" s="579"/>
      <c r="D36" s="34"/>
      <c r="E36" s="577"/>
      <c r="F36" s="34"/>
      <c r="G36" s="34"/>
    </row>
    <row r="37" spans="1:7" ht="14.25" x14ac:dyDescent="0.2">
      <c r="A37" s="573"/>
      <c r="B37" s="572"/>
      <c r="C37" s="579"/>
      <c r="D37" s="34"/>
      <c r="E37" s="577"/>
      <c r="F37" s="34"/>
      <c r="G37" s="34"/>
    </row>
    <row r="38" spans="1:7" ht="14.25" x14ac:dyDescent="0.2">
      <c r="A38" s="574" t="e">
        <f>+#REF!</f>
        <v>#REF!</v>
      </c>
      <c r="B38" s="572"/>
      <c r="C38" s="579"/>
      <c r="D38" s="574" t="e">
        <f>+#REF!</f>
        <v>#REF!</v>
      </c>
      <c r="E38" s="34"/>
      <c r="F38" s="34"/>
      <c r="G38" s="34"/>
    </row>
    <row r="39" spans="1:7" ht="14.25" x14ac:dyDescent="0.2">
      <c r="A39" s="574" t="e">
        <f>+#REF!</f>
        <v>#REF!</v>
      </c>
      <c r="B39" s="572"/>
      <c r="C39" s="579"/>
      <c r="D39" s="574" t="e">
        <f>+#REF!</f>
        <v>#REF!</v>
      </c>
      <c r="E39" s="34"/>
      <c r="F39" s="34"/>
      <c r="G39" s="34"/>
    </row>
    <row r="40" spans="1:7" ht="14.25" x14ac:dyDescent="0.2">
      <c r="A40" s="574" t="e">
        <f>+#REF!</f>
        <v>#REF!</v>
      </c>
      <c r="B40" s="572"/>
      <c r="C40" s="579"/>
      <c r="D40" s="34"/>
      <c r="E40" s="34"/>
      <c r="F40" s="34"/>
      <c r="G40" s="34"/>
    </row>
    <row r="43" spans="1:7" ht="13.5" thickBot="1" x14ac:dyDescent="0.25">
      <c r="A43" s="34"/>
      <c r="B43" s="34"/>
      <c r="C43" s="597"/>
      <c r="D43" s="34"/>
      <c r="E43" s="34"/>
      <c r="F43" s="34"/>
      <c r="G43" s="34"/>
    </row>
    <row r="44" spans="1:7" ht="21.75" customHeight="1" x14ac:dyDescent="0.2">
      <c r="A44" s="2286" t="e">
        <f>+A2</f>
        <v>#REF!</v>
      </c>
      <c r="B44" s="1936"/>
      <c r="C44" s="1937"/>
      <c r="D44" s="50"/>
      <c r="E44" s="46"/>
      <c r="F44" s="46"/>
      <c r="G44" s="47"/>
    </row>
    <row r="45" spans="1:7" ht="30.75" customHeight="1" thickBot="1" x14ac:dyDescent="0.25">
      <c r="A45" s="1551" t="e">
        <f>+A3</f>
        <v>#REF!</v>
      </c>
      <c r="B45" s="1552"/>
      <c r="C45" s="1553"/>
      <c r="D45" s="48"/>
      <c r="E45" s="48"/>
      <c r="F45" s="48"/>
      <c r="G45" s="49"/>
    </row>
    <row r="46" spans="1:7" ht="13.5" thickBot="1" x14ac:dyDescent="0.25">
      <c r="A46" s="37"/>
      <c r="B46" s="37"/>
      <c r="C46" s="598"/>
      <c r="D46" s="37"/>
      <c r="E46" s="37"/>
      <c r="F46" s="37"/>
      <c r="G46" s="37"/>
    </row>
    <row r="47" spans="1:7" ht="60" customHeight="1" thickBot="1" x14ac:dyDescent="0.25">
      <c r="A47" s="1558" t="e">
        <f>+A5</f>
        <v>#REF!</v>
      </c>
      <c r="B47" s="1559"/>
      <c r="C47" s="1560"/>
      <c r="D47" s="1565" t="e">
        <f>+'PRES.FASE 1-ADUCCION'!#REF!</f>
        <v>#REF!</v>
      </c>
      <c r="E47" s="1559"/>
      <c r="F47" s="1559"/>
      <c r="G47" s="1560"/>
    </row>
    <row r="48" spans="1:7" ht="13.5" thickBot="1" x14ac:dyDescent="0.25">
      <c r="A48" s="38"/>
      <c r="B48" s="38"/>
      <c r="C48" s="599"/>
      <c r="D48" s="38"/>
      <c r="E48" s="38"/>
      <c r="F48" s="38"/>
      <c r="G48" s="38"/>
    </row>
    <row r="49" spans="1:7" ht="13.5" thickBot="1" x14ac:dyDescent="0.25">
      <c r="A49" s="39"/>
      <c r="B49" s="37"/>
      <c r="C49" s="597"/>
      <c r="D49" s="60" t="s">
        <v>124</v>
      </c>
      <c r="E49" s="61" t="s">
        <v>2</v>
      </c>
      <c r="F49" s="59"/>
      <c r="G49" s="59"/>
    </row>
    <row r="50" spans="1:7" ht="13.5" thickBot="1" x14ac:dyDescent="0.25">
      <c r="A50" s="40" t="s">
        <v>108</v>
      </c>
      <c r="B50" s="37"/>
      <c r="C50" s="598"/>
      <c r="D50" s="37"/>
      <c r="E50" s="37"/>
      <c r="F50" s="37"/>
      <c r="G50" s="37"/>
    </row>
    <row r="51" spans="1:7" ht="13.5" thickBot="1" x14ac:dyDescent="0.25">
      <c r="A51" s="1530" t="s">
        <v>109</v>
      </c>
      <c r="B51" s="1554"/>
      <c r="C51" s="1531"/>
      <c r="D51" s="64" t="s">
        <v>110</v>
      </c>
      <c r="E51" s="64" t="s">
        <v>111</v>
      </c>
      <c r="F51" s="63" t="s">
        <v>112</v>
      </c>
      <c r="G51" s="66"/>
    </row>
    <row r="52" spans="1:7" x14ac:dyDescent="0.2">
      <c r="A52" s="1943" t="str">
        <f>+A10</f>
        <v>HERRAMIENTA MENOR.</v>
      </c>
      <c r="B52" s="1944"/>
      <c r="C52" s="1945"/>
      <c r="D52" s="55" t="e">
        <f>+D10</f>
        <v>#REF!</v>
      </c>
      <c r="E52" s="80">
        <v>1</v>
      </c>
      <c r="F52" s="55" t="e">
        <f>+E52*D52</f>
        <v>#REF!</v>
      </c>
      <c r="G52" s="52"/>
    </row>
    <row r="53" spans="1:7" ht="13.5" thickBot="1" x14ac:dyDescent="0.25">
      <c r="A53" s="1926"/>
      <c r="B53" s="1946"/>
      <c r="C53" s="1927"/>
      <c r="D53" s="57"/>
      <c r="E53" s="81"/>
      <c r="F53" s="57"/>
      <c r="G53" s="58"/>
    </row>
    <row r="54" spans="1:7" ht="13.5" thickBot="1" x14ac:dyDescent="0.25">
      <c r="A54" s="1932" t="s">
        <v>125</v>
      </c>
      <c r="B54" s="1933"/>
      <c r="C54" s="1933"/>
      <c r="D54" s="1933"/>
      <c r="E54" s="1933"/>
      <c r="F54" s="1934"/>
      <c r="G54" s="54" t="e">
        <f>SUM(F52:F53)</f>
        <v>#REF!</v>
      </c>
    </row>
    <row r="55" spans="1:7" ht="13.5" thickBot="1" x14ac:dyDescent="0.25">
      <c r="A55" s="40" t="s">
        <v>123</v>
      </c>
      <c r="B55" s="37"/>
      <c r="C55" s="598"/>
      <c r="D55" s="37"/>
      <c r="E55" s="37"/>
      <c r="F55" s="37"/>
      <c r="G55" s="37"/>
    </row>
    <row r="56" spans="1:7" ht="13.5" thickBot="1" x14ac:dyDescent="0.25">
      <c r="A56" s="1530" t="s">
        <v>109</v>
      </c>
      <c r="B56" s="1531"/>
      <c r="C56" s="600" t="s">
        <v>114</v>
      </c>
      <c r="D56" s="63" t="s">
        <v>115</v>
      </c>
      <c r="E56" s="63" t="s">
        <v>116</v>
      </c>
      <c r="F56" s="63" t="s">
        <v>112</v>
      </c>
      <c r="G56" s="66"/>
    </row>
    <row r="57" spans="1:7" ht="43.5" customHeight="1" thickBot="1" x14ac:dyDescent="0.25">
      <c r="A57" s="2300" t="s">
        <v>834</v>
      </c>
      <c r="B57" s="2306"/>
      <c r="C57" s="601" t="s">
        <v>804</v>
      </c>
      <c r="D57" s="83">
        <v>185000</v>
      </c>
      <c r="E57" s="82">
        <v>1</v>
      </c>
      <c r="F57" s="83">
        <f>+E57*D57</f>
        <v>185000</v>
      </c>
      <c r="G57" s="52"/>
    </row>
    <row r="58" spans="1:7" ht="26.25" customHeight="1" x14ac:dyDescent="0.2">
      <c r="A58" s="2300" t="s">
        <v>832</v>
      </c>
      <c r="B58" s="2306"/>
      <c r="C58" s="603" t="s">
        <v>833</v>
      </c>
      <c r="D58" s="42">
        <v>3100</v>
      </c>
      <c r="E58" s="41">
        <v>4</v>
      </c>
      <c r="F58" s="83">
        <f>+E58*D58</f>
        <v>12400</v>
      </c>
      <c r="G58" s="53"/>
    </row>
    <row r="59" spans="1:7" x14ac:dyDescent="0.2">
      <c r="A59" s="2307"/>
      <c r="B59" s="1557"/>
      <c r="C59" s="603"/>
      <c r="D59" s="42"/>
      <c r="E59" s="41"/>
      <c r="F59" s="42"/>
      <c r="G59" s="53"/>
    </row>
    <row r="60" spans="1:7" x14ac:dyDescent="0.2">
      <c r="A60" s="1556"/>
      <c r="B60" s="1557"/>
      <c r="C60" s="603"/>
      <c r="D60" s="42"/>
      <c r="E60" s="41"/>
      <c r="F60" s="42"/>
      <c r="G60" s="53"/>
    </row>
    <row r="61" spans="1:7" x14ac:dyDescent="0.2">
      <c r="A61" s="1556"/>
      <c r="B61" s="1557"/>
      <c r="C61" s="603"/>
      <c r="D61" s="42"/>
      <c r="E61" s="41"/>
      <c r="F61" s="42"/>
      <c r="G61" s="53"/>
    </row>
    <row r="62" spans="1:7" ht="13.5" thickBot="1" x14ac:dyDescent="0.25">
      <c r="A62" s="1920"/>
      <c r="B62" s="1921"/>
      <c r="C62" s="604"/>
      <c r="D62" s="57"/>
      <c r="E62" s="56"/>
      <c r="F62" s="42"/>
      <c r="G62" s="58"/>
    </row>
    <row r="63" spans="1:7" ht="13.5" thickBot="1" x14ac:dyDescent="0.25">
      <c r="A63" s="1932" t="s">
        <v>125</v>
      </c>
      <c r="B63" s="1933"/>
      <c r="C63" s="1933"/>
      <c r="D63" s="1933"/>
      <c r="E63" s="1933"/>
      <c r="F63" s="1934" t="s">
        <v>113</v>
      </c>
      <c r="G63" s="54">
        <f>SUM(F57:F62)</f>
        <v>197400</v>
      </c>
    </row>
    <row r="64" spans="1:7" ht="13.5" thickBot="1" x14ac:dyDescent="0.25">
      <c r="A64" s="40" t="s">
        <v>117</v>
      </c>
      <c r="B64" s="37"/>
      <c r="C64" s="598"/>
      <c r="D64" s="37"/>
      <c r="E64" s="37"/>
      <c r="F64" s="37"/>
      <c r="G64" s="37"/>
    </row>
    <row r="65" spans="1:7" ht="13.5" thickBot="1" x14ac:dyDescent="0.25">
      <c r="A65" s="1922" t="s">
        <v>109</v>
      </c>
      <c r="B65" s="1923"/>
      <c r="C65" s="605" t="s">
        <v>114</v>
      </c>
      <c r="D65" s="64" t="s">
        <v>115</v>
      </c>
      <c r="E65" s="64" t="s">
        <v>116</v>
      </c>
      <c r="F65" s="64" t="s">
        <v>112</v>
      </c>
      <c r="G65" s="67"/>
    </row>
    <row r="66" spans="1:7" x14ac:dyDescent="0.2">
      <c r="A66" s="1943" t="e">
        <f>+A24</f>
        <v>#REF!</v>
      </c>
      <c r="B66" s="1945"/>
      <c r="C66" s="606" t="e">
        <f>+C24</f>
        <v>#REF!</v>
      </c>
      <c r="D66" s="106" t="e">
        <f>+D24</f>
        <v>#REF!</v>
      </c>
      <c r="E66" s="585">
        <v>0.14000000000000001</v>
      </c>
      <c r="F66" s="113" t="e">
        <f>D66*E66</f>
        <v>#REF!</v>
      </c>
      <c r="G66" s="52"/>
    </row>
    <row r="67" spans="1:7" ht="13.5" thickBot="1" x14ac:dyDescent="0.25">
      <c r="A67" s="1930"/>
      <c r="B67" s="1931"/>
      <c r="C67" s="590"/>
      <c r="D67" s="43"/>
      <c r="E67" s="57"/>
      <c r="F67" s="57">
        <f>D67*E67</f>
        <v>0</v>
      </c>
      <c r="G67" s="68"/>
    </row>
    <row r="68" spans="1:7" ht="13.5" thickBot="1" x14ac:dyDescent="0.25">
      <c r="A68" s="1932" t="s">
        <v>125</v>
      </c>
      <c r="B68" s="1933"/>
      <c r="C68" s="1933"/>
      <c r="D68" s="1933"/>
      <c r="E68" s="1933"/>
      <c r="F68" s="1934" t="s">
        <v>113</v>
      </c>
      <c r="G68" s="54" t="e">
        <f>+F67+F66</f>
        <v>#REF!</v>
      </c>
    </row>
    <row r="69" spans="1:7" ht="13.5" thickBot="1" x14ac:dyDescent="0.25">
      <c r="A69" s="40" t="s">
        <v>119</v>
      </c>
      <c r="B69" s="37"/>
      <c r="C69" s="598"/>
      <c r="D69" s="37"/>
      <c r="E69" s="37"/>
      <c r="F69" s="37"/>
      <c r="G69" s="37"/>
    </row>
    <row r="70" spans="1:7" ht="13.5" thickBot="1" x14ac:dyDescent="0.25">
      <c r="A70" s="1922" t="s">
        <v>120</v>
      </c>
      <c r="B70" s="1923"/>
      <c r="C70" s="600" t="s">
        <v>121</v>
      </c>
      <c r="D70" s="64" t="s">
        <v>114</v>
      </c>
      <c r="E70" s="64" t="s">
        <v>116</v>
      </c>
      <c r="F70" s="64" t="s">
        <v>112</v>
      </c>
      <c r="G70" s="71"/>
    </row>
    <row r="71" spans="1:7" x14ac:dyDescent="0.2">
      <c r="A71" s="2255" t="e">
        <f>+#REF!</f>
        <v>#REF!</v>
      </c>
      <c r="B71" s="2256"/>
      <c r="C71" s="607">
        <v>7410.9600847008996</v>
      </c>
      <c r="D71" s="174">
        <v>1</v>
      </c>
      <c r="E71" s="174">
        <v>7.0780905112569945</v>
      </c>
      <c r="F71" s="78">
        <f>+(C71*D71)*E71</f>
        <v>52455.446254825772</v>
      </c>
      <c r="G71" s="52"/>
    </row>
    <row r="72" spans="1:7" ht="13.5" thickBot="1" x14ac:dyDescent="0.25">
      <c r="A72" s="2252" t="s">
        <v>22</v>
      </c>
      <c r="B72" s="1927"/>
      <c r="C72" s="608">
        <v>4374.7823749999998</v>
      </c>
      <c r="D72" s="175">
        <v>1</v>
      </c>
      <c r="E72" s="176">
        <f>+E71</f>
        <v>7.0780905112569945</v>
      </c>
      <c r="F72" s="79">
        <f>+(C72*D72)*E72</f>
        <v>30965.105617301837</v>
      </c>
      <c r="G72" s="58"/>
    </row>
    <row r="73" spans="1:7" ht="13.5" thickBot="1" x14ac:dyDescent="0.25">
      <c r="A73" s="1932" t="str">
        <f>+A68</f>
        <v>SUB-TOTAL</v>
      </c>
      <c r="B73" s="1933"/>
      <c r="C73" s="1933"/>
      <c r="D73" s="1933"/>
      <c r="E73" s="1933"/>
      <c r="F73" s="1934" t="s">
        <v>113</v>
      </c>
      <c r="G73" s="54">
        <f>SUM(F72:F72)</f>
        <v>30965.105617301837</v>
      </c>
    </row>
    <row r="74" spans="1:7" ht="13.5" thickBot="1" x14ac:dyDescent="0.25">
      <c r="A74" s="37"/>
      <c r="B74" s="37"/>
      <c r="C74" s="598"/>
      <c r="D74" s="37"/>
      <c r="E74" s="37"/>
      <c r="F74" s="45"/>
      <c r="G74" s="37"/>
    </row>
    <row r="75" spans="1:7" ht="13.5" thickBot="1" x14ac:dyDescent="0.25">
      <c r="A75" s="1932" t="s">
        <v>156</v>
      </c>
      <c r="B75" s="1933"/>
      <c r="C75" s="1933"/>
      <c r="D75" s="1933"/>
      <c r="E75" s="1933"/>
      <c r="F75" s="1934"/>
      <c r="G75" s="72" t="e">
        <f>ROUND(G54+G63+G68+G73,0)</f>
        <v>#REF!</v>
      </c>
    </row>
    <row r="76" spans="1:7" x14ac:dyDescent="0.2">
      <c r="A76" s="34"/>
      <c r="B76" s="34"/>
      <c r="C76" s="597"/>
      <c r="D76" s="34"/>
      <c r="E76" s="34"/>
      <c r="F76" s="34"/>
      <c r="G76" s="34"/>
    </row>
    <row r="77" spans="1:7" ht="14.25" x14ac:dyDescent="0.2">
      <c r="A77" s="573" t="s">
        <v>790</v>
      </c>
      <c r="B77" s="572"/>
      <c r="C77" s="579"/>
      <c r="D77" s="34"/>
      <c r="E77" s="577" t="s">
        <v>791</v>
      </c>
      <c r="F77" s="34"/>
      <c r="G77" s="34"/>
    </row>
    <row r="78" spans="1:7" ht="14.25" x14ac:dyDescent="0.2">
      <c r="A78" s="573"/>
      <c r="B78" s="572"/>
      <c r="C78" s="579"/>
      <c r="D78" s="34"/>
      <c r="E78" s="577"/>
      <c r="F78" s="34"/>
      <c r="G78" s="34"/>
    </row>
    <row r="79" spans="1:7" ht="14.25" x14ac:dyDescent="0.2">
      <c r="A79" s="573"/>
      <c r="B79" s="572"/>
      <c r="C79" s="579"/>
      <c r="D79" s="34"/>
      <c r="E79" s="577"/>
      <c r="F79" s="34"/>
      <c r="G79" s="34"/>
    </row>
    <row r="80" spans="1:7" ht="14.25" x14ac:dyDescent="0.2">
      <c r="A80" s="574" t="e">
        <f>+A38</f>
        <v>#REF!</v>
      </c>
      <c r="B80" s="572"/>
      <c r="C80" s="579"/>
      <c r="D80" s="574" t="e">
        <f>+D38</f>
        <v>#REF!</v>
      </c>
      <c r="E80" s="34"/>
      <c r="F80" s="34"/>
      <c r="G80" s="34"/>
    </row>
    <row r="81" spans="1:7" ht="14.25" x14ac:dyDescent="0.2">
      <c r="A81" s="574" t="e">
        <f>+A39</f>
        <v>#REF!</v>
      </c>
      <c r="B81" s="572"/>
      <c r="C81" s="579"/>
      <c r="D81" s="574" t="e">
        <f>+D39</f>
        <v>#REF!</v>
      </c>
      <c r="E81" s="34"/>
      <c r="F81" s="34"/>
      <c r="G81" s="34"/>
    </row>
    <row r="82" spans="1:7" ht="14.25" x14ac:dyDescent="0.2">
      <c r="A82" s="574" t="e">
        <f>+A40</f>
        <v>#REF!</v>
      </c>
      <c r="B82" s="572"/>
      <c r="C82" s="579"/>
      <c r="D82" s="34"/>
      <c r="E82" s="34"/>
      <c r="F82" s="34"/>
      <c r="G82" s="34"/>
    </row>
    <row r="85" spans="1:7" ht="13.5" thickBot="1" x14ac:dyDescent="0.25"/>
    <row r="86" spans="1:7" ht="21.75" customHeight="1" x14ac:dyDescent="0.2">
      <c r="A86" s="2286" t="e">
        <f>+A44</f>
        <v>#REF!</v>
      </c>
      <c r="B86" s="1936"/>
      <c r="C86" s="1937"/>
      <c r="D86" s="50"/>
      <c r="E86" s="46"/>
      <c r="F86" s="46"/>
      <c r="G86" s="47"/>
    </row>
    <row r="87" spans="1:7" ht="27.75" customHeight="1" thickBot="1" x14ac:dyDescent="0.25">
      <c r="A87" s="1551" t="e">
        <f>+A45</f>
        <v>#REF!</v>
      </c>
      <c r="B87" s="1552"/>
      <c r="C87" s="1553"/>
      <c r="D87" s="48"/>
      <c r="E87" s="48"/>
      <c r="F87" s="48"/>
      <c r="G87" s="49"/>
    </row>
    <row r="88" spans="1:7" ht="13.5" thickBot="1" x14ac:dyDescent="0.25">
      <c r="A88" s="37"/>
      <c r="B88" s="37"/>
      <c r="C88" s="598"/>
      <c r="D88" s="37"/>
      <c r="E88" s="37"/>
      <c r="F88" s="37"/>
      <c r="G88" s="37"/>
    </row>
    <row r="89" spans="1:7" ht="57.75" customHeight="1" thickBot="1" x14ac:dyDescent="0.25">
      <c r="A89" s="1558" t="e">
        <f>+A47</f>
        <v>#REF!</v>
      </c>
      <c r="B89" s="1559"/>
      <c r="C89" s="1560"/>
      <c r="D89" s="1565" t="e">
        <f>+'PRES.FASE 1-ADUCCION'!#REF!</f>
        <v>#REF!</v>
      </c>
      <c r="E89" s="1559"/>
      <c r="F89" s="1559"/>
      <c r="G89" s="1560"/>
    </row>
    <row r="90" spans="1:7" ht="13.5" thickBot="1" x14ac:dyDescent="0.25">
      <c r="A90" s="38"/>
      <c r="B90" s="38"/>
      <c r="C90" s="599"/>
      <c r="D90" s="38"/>
      <c r="E90" s="38"/>
      <c r="F90" s="38"/>
      <c r="G90" s="38"/>
    </row>
    <row r="91" spans="1:7" ht="13.5" thickBot="1" x14ac:dyDescent="0.25">
      <c r="A91" s="39"/>
      <c r="B91" s="37"/>
      <c r="C91" s="597"/>
      <c r="D91" s="60" t="s">
        <v>124</v>
      </c>
      <c r="E91" s="61" t="s">
        <v>6</v>
      </c>
      <c r="F91" s="59"/>
      <c r="G91" s="59"/>
    </row>
    <row r="92" spans="1:7" ht="13.5" thickBot="1" x14ac:dyDescent="0.25">
      <c r="A92" s="40" t="s">
        <v>108</v>
      </c>
      <c r="B92" s="37"/>
      <c r="C92" s="598"/>
      <c r="D92" s="37"/>
      <c r="E92" s="37"/>
      <c r="F92" s="37"/>
      <c r="G92" s="37"/>
    </row>
    <row r="93" spans="1:7" ht="13.5" thickBot="1" x14ac:dyDescent="0.25">
      <c r="A93" s="1530" t="s">
        <v>109</v>
      </c>
      <c r="B93" s="1554"/>
      <c r="C93" s="1531"/>
      <c r="D93" s="64" t="s">
        <v>110</v>
      </c>
      <c r="E93" s="64" t="s">
        <v>111</v>
      </c>
      <c r="F93" s="63" t="s">
        <v>112</v>
      </c>
      <c r="G93" s="66"/>
    </row>
    <row r="94" spans="1:7" ht="13.5" thickBot="1" x14ac:dyDescent="0.25">
      <c r="A94" s="1943" t="s">
        <v>930</v>
      </c>
      <c r="B94" s="1944"/>
      <c r="C94" s="1945"/>
      <c r="D94" s="55">
        <v>70000</v>
      </c>
      <c r="E94" s="80">
        <v>1000</v>
      </c>
      <c r="F94" s="580">
        <f>D94/E94</f>
        <v>70</v>
      </c>
      <c r="G94" s="52"/>
    </row>
    <row r="95" spans="1:7" x14ac:dyDescent="0.2">
      <c r="A95" s="1943" t="s">
        <v>931</v>
      </c>
      <c r="B95" s="1944"/>
      <c r="C95" s="1945"/>
      <c r="D95" s="42">
        <v>15625</v>
      </c>
      <c r="E95" s="92">
        <v>1000</v>
      </c>
      <c r="F95" s="580">
        <f>D95/E95</f>
        <v>15.625</v>
      </c>
      <c r="G95" s="94"/>
    </row>
    <row r="96" spans="1:7" ht="13.5" thickBot="1" x14ac:dyDescent="0.25">
      <c r="A96" s="1926" t="s">
        <v>131</v>
      </c>
      <c r="B96" s="1946"/>
      <c r="C96" s="1927"/>
      <c r="D96" s="57">
        <v>1875</v>
      </c>
      <c r="E96" s="81">
        <v>150</v>
      </c>
      <c r="F96" s="580">
        <f>D96/E96</f>
        <v>12.5</v>
      </c>
      <c r="G96" s="58"/>
    </row>
    <row r="97" spans="1:7" ht="13.5" thickBot="1" x14ac:dyDescent="0.25">
      <c r="A97" s="1932" t="s">
        <v>125</v>
      </c>
      <c r="B97" s="1933"/>
      <c r="C97" s="1933"/>
      <c r="D97" s="1933"/>
      <c r="E97" s="1933"/>
      <c r="F97" s="1934"/>
      <c r="G97" s="54">
        <f>SUM(F94:F96)</f>
        <v>98.125</v>
      </c>
    </row>
    <row r="98" spans="1:7" ht="13.5" thickBot="1" x14ac:dyDescent="0.25">
      <c r="A98" s="40" t="s">
        <v>123</v>
      </c>
      <c r="B98" s="37"/>
      <c r="C98" s="598"/>
      <c r="D98" s="37"/>
      <c r="E98" s="37"/>
      <c r="F98" s="37"/>
      <c r="G98" s="37"/>
    </row>
    <row r="99" spans="1:7" ht="13.5" thickBot="1" x14ac:dyDescent="0.25">
      <c r="A99" s="1530" t="s">
        <v>109</v>
      </c>
      <c r="B99" s="1531"/>
      <c r="C99" s="600" t="s">
        <v>114</v>
      </c>
      <c r="D99" s="63" t="s">
        <v>115</v>
      </c>
      <c r="E99" s="63" t="s">
        <v>116</v>
      </c>
      <c r="F99" s="63" t="s">
        <v>112</v>
      </c>
      <c r="G99" s="66"/>
    </row>
    <row r="100" spans="1:7" x14ac:dyDescent="0.2">
      <c r="A100" s="2300" t="s">
        <v>932</v>
      </c>
      <c r="B100" s="2306"/>
      <c r="C100" s="610" t="s">
        <v>7</v>
      </c>
      <c r="D100" s="55">
        <v>6750</v>
      </c>
      <c r="E100" s="51">
        <v>0.05</v>
      </c>
      <c r="F100" s="55">
        <f>+E100*D100</f>
        <v>337.5</v>
      </c>
      <c r="G100" s="52"/>
    </row>
    <row r="101" spans="1:7" x14ac:dyDescent="0.2">
      <c r="A101" s="2307" t="s">
        <v>933</v>
      </c>
      <c r="B101" s="1557"/>
      <c r="C101" s="603" t="s">
        <v>91</v>
      </c>
      <c r="D101" s="42">
        <v>59500</v>
      </c>
      <c r="E101" s="41">
        <v>1.47E-2</v>
      </c>
      <c r="F101" s="42">
        <f>+E101*D101</f>
        <v>874.65</v>
      </c>
      <c r="G101" s="53"/>
    </row>
    <row r="102" spans="1:7" x14ac:dyDescent="0.2">
      <c r="A102" s="2307" t="s">
        <v>934</v>
      </c>
      <c r="B102" s="1557"/>
      <c r="C102" s="603" t="s">
        <v>91</v>
      </c>
      <c r="D102" s="42">
        <v>13000</v>
      </c>
      <c r="E102" s="41">
        <v>4.4099999999999999E-4</v>
      </c>
      <c r="F102" s="42">
        <f>+E102*D102</f>
        <v>5.7329999999999997</v>
      </c>
      <c r="G102" s="53"/>
    </row>
    <row r="103" spans="1:7" x14ac:dyDescent="0.2">
      <c r="A103" s="1556"/>
      <c r="B103" s="1557"/>
      <c r="C103" s="603"/>
      <c r="D103" s="42"/>
      <c r="E103" s="41"/>
      <c r="F103" s="42"/>
      <c r="G103" s="53"/>
    </row>
    <row r="104" spans="1:7" x14ac:dyDescent="0.2">
      <c r="A104" s="1556"/>
      <c r="B104" s="1557"/>
      <c r="C104" s="603"/>
      <c r="D104" s="42"/>
      <c r="E104" s="41"/>
      <c r="F104" s="42"/>
      <c r="G104" s="53"/>
    </row>
    <row r="105" spans="1:7" ht="13.5" thickBot="1" x14ac:dyDescent="0.25">
      <c r="A105" s="1920"/>
      <c r="B105" s="1921"/>
      <c r="C105" s="604"/>
      <c r="D105" s="57"/>
      <c r="E105" s="56"/>
      <c r="F105" s="42"/>
      <c r="G105" s="58"/>
    </row>
    <row r="106" spans="1:7" ht="13.5" thickBot="1" x14ac:dyDescent="0.25">
      <c r="A106" s="1932" t="s">
        <v>125</v>
      </c>
      <c r="B106" s="1933"/>
      <c r="C106" s="1933"/>
      <c r="D106" s="1933"/>
      <c r="E106" s="1933"/>
      <c r="F106" s="1934" t="s">
        <v>113</v>
      </c>
      <c r="G106" s="54">
        <f>SUM(F100:F105)</f>
        <v>1217.883</v>
      </c>
    </row>
    <row r="107" spans="1:7" ht="13.5" thickBot="1" x14ac:dyDescent="0.25">
      <c r="A107" s="40" t="s">
        <v>117</v>
      </c>
      <c r="B107" s="37"/>
      <c r="C107" s="598"/>
      <c r="D107" s="37"/>
      <c r="E107" s="37"/>
      <c r="F107" s="37"/>
      <c r="G107" s="37"/>
    </row>
    <row r="108" spans="1:7" ht="13.5" thickBot="1" x14ac:dyDescent="0.25">
      <c r="A108" s="1922" t="s">
        <v>109</v>
      </c>
      <c r="B108" s="1923"/>
      <c r="C108" s="605" t="s">
        <v>114</v>
      </c>
      <c r="D108" s="64" t="s">
        <v>115</v>
      </c>
      <c r="E108" s="64" t="s">
        <v>116</v>
      </c>
      <c r="F108" s="64" t="s">
        <v>112</v>
      </c>
      <c r="G108" s="67"/>
    </row>
    <row r="109" spans="1:7" x14ac:dyDescent="0.2">
      <c r="A109" s="1943" t="e">
        <f>+A24</f>
        <v>#REF!</v>
      </c>
      <c r="B109" s="1945"/>
      <c r="C109" s="591" t="e">
        <f>+C24</f>
        <v>#REF!</v>
      </c>
      <c r="D109" s="592" t="e">
        <f>+D24</f>
        <v>#REF!</v>
      </c>
      <c r="E109" s="593">
        <v>1E-3</v>
      </c>
      <c r="F109" s="42" t="e">
        <f>D109*E109</f>
        <v>#REF!</v>
      </c>
      <c r="G109" s="52"/>
    </row>
    <row r="110" spans="1:7" ht="13.5" thickBot="1" x14ac:dyDescent="0.25">
      <c r="A110" s="1930"/>
      <c r="B110" s="1931"/>
      <c r="C110" s="590"/>
      <c r="D110" s="43"/>
      <c r="E110" s="57"/>
      <c r="F110" s="57">
        <f>D110*E110</f>
        <v>0</v>
      </c>
      <c r="G110" s="68"/>
    </row>
    <row r="111" spans="1:7" ht="13.5" thickBot="1" x14ac:dyDescent="0.25">
      <c r="A111" s="1932" t="s">
        <v>125</v>
      </c>
      <c r="B111" s="1933"/>
      <c r="C111" s="1933"/>
      <c r="D111" s="1933"/>
      <c r="E111" s="1933"/>
      <c r="F111" s="1934" t="s">
        <v>113</v>
      </c>
      <c r="G111" s="54" t="e">
        <f>SUM(F109:F110)</f>
        <v>#REF!</v>
      </c>
    </row>
    <row r="112" spans="1:7" ht="13.5" thickBot="1" x14ac:dyDescent="0.25">
      <c r="A112" s="40" t="s">
        <v>119</v>
      </c>
      <c r="B112" s="37"/>
      <c r="C112" s="598"/>
      <c r="D112" s="37"/>
      <c r="E112" s="37"/>
      <c r="F112" s="37"/>
      <c r="G112" s="37"/>
    </row>
    <row r="113" spans="1:7" ht="13.5" thickBot="1" x14ac:dyDescent="0.25">
      <c r="A113" s="1922" t="s">
        <v>120</v>
      </c>
      <c r="B113" s="1923"/>
      <c r="C113" s="600" t="s">
        <v>121</v>
      </c>
      <c r="D113" s="64" t="s">
        <v>114</v>
      </c>
      <c r="E113" s="64" t="s">
        <v>116</v>
      </c>
      <c r="F113" s="64" t="s">
        <v>112</v>
      </c>
      <c r="G113" s="71"/>
    </row>
    <row r="114" spans="1:7" x14ac:dyDescent="0.2">
      <c r="A114" s="2255" t="e">
        <f>+#REF!</f>
        <v>#REF!</v>
      </c>
      <c r="B114" s="2256"/>
      <c r="C114" s="607">
        <v>7410.9600847008996</v>
      </c>
      <c r="D114" s="174">
        <v>1</v>
      </c>
      <c r="E114" s="174">
        <v>0.15147199924982949</v>
      </c>
      <c r="F114" s="78">
        <f>+(C114*D114)*E114</f>
        <v>1122.5529403903308</v>
      </c>
      <c r="G114" s="52"/>
    </row>
    <row r="115" spans="1:7" ht="13.5" thickBot="1" x14ac:dyDescent="0.25">
      <c r="A115" s="2252" t="s">
        <v>22</v>
      </c>
      <c r="B115" s="1927"/>
      <c r="C115" s="608">
        <v>4374.7823749999998</v>
      </c>
      <c r="D115" s="175">
        <v>1</v>
      </c>
      <c r="E115" s="176">
        <f>+E114</f>
        <v>0.15147199924982949</v>
      </c>
      <c r="F115" s="79">
        <f>+(C115*D115)*E115</f>
        <v>662.65703262416719</v>
      </c>
      <c r="G115" s="58"/>
    </row>
    <row r="116" spans="1:7" ht="13.5" thickBot="1" x14ac:dyDescent="0.25">
      <c r="A116" s="1932" t="str">
        <f>+A111</f>
        <v>SUB-TOTAL</v>
      </c>
      <c r="B116" s="1933"/>
      <c r="C116" s="1933"/>
      <c r="D116" s="1933"/>
      <c r="E116" s="1933"/>
      <c r="F116" s="1934" t="s">
        <v>113</v>
      </c>
      <c r="G116" s="54">
        <f>SUM(F115:F115)</f>
        <v>662.65703262416719</v>
      </c>
    </row>
    <row r="117" spans="1:7" ht="13.5" thickBot="1" x14ac:dyDescent="0.25">
      <c r="A117" s="37"/>
      <c r="B117" s="37"/>
      <c r="C117" s="598"/>
      <c r="D117" s="37"/>
      <c r="E117" s="37"/>
      <c r="F117" s="45"/>
      <c r="G117" s="37"/>
    </row>
    <row r="118" spans="1:7" ht="13.5" thickBot="1" x14ac:dyDescent="0.25">
      <c r="A118" s="1932" t="s">
        <v>156</v>
      </c>
      <c r="B118" s="1933"/>
      <c r="C118" s="1933"/>
      <c r="D118" s="1933"/>
      <c r="E118" s="1933"/>
      <c r="F118" s="1934"/>
      <c r="G118" s="72" t="e">
        <f>ROUND(G97+G106+G111+G116,0)</f>
        <v>#REF!</v>
      </c>
    </row>
    <row r="119" spans="1:7" x14ac:dyDescent="0.2">
      <c r="A119" s="34"/>
      <c r="B119" s="34"/>
      <c r="C119" s="597"/>
      <c r="D119" s="34"/>
      <c r="E119" s="34"/>
      <c r="F119" s="34"/>
      <c r="G119" s="34"/>
    </row>
    <row r="120" spans="1:7" ht="14.25" x14ac:dyDescent="0.2">
      <c r="A120" s="573" t="s">
        <v>790</v>
      </c>
      <c r="B120" s="572"/>
      <c r="C120" s="579"/>
      <c r="D120" s="34"/>
      <c r="E120" s="577" t="s">
        <v>791</v>
      </c>
      <c r="F120" s="34"/>
      <c r="G120" s="34"/>
    </row>
    <row r="121" spans="1:7" ht="14.25" x14ac:dyDescent="0.2">
      <c r="A121" s="573"/>
      <c r="B121" s="572"/>
      <c r="C121" s="579"/>
      <c r="D121" s="34"/>
      <c r="E121" s="577"/>
      <c r="F121" s="34"/>
      <c r="G121" s="34"/>
    </row>
    <row r="122" spans="1:7" ht="14.25" x14ac:dyDescent="0.2">
      <c r="A122" s="573"/>
      <c r="B122" s="572"/>
      <c r="C122" s="579"/>
      <c r="D122" s="34"/>
      <c r="E122" s="577"/>
      <c r="F122" s="34"/>
      <c r="G122" s="34"/>
    </row>
    <row r="123" spans="1:7" ht="14.25" x14ac:dyDescent="0.2">
      <c r="A123" s="574" t="e">
        <f>+A80</f>
        <v>#REF!</v>
      </c>
      <c r="B123" s="572"/>
      <c r="C123" s="579"/>
      <c r="D123" s="574" t="e">
        <f>+D80</f>
        <v>#REF!</v>
      </c>
      <c r="E123" s="34"/>
      <c r="F123" s="34"/>
      <c r="G123" s="34"/>
    </row>
    <row r="124" spans="1:7" ht="14.25" x14ac:dyDescent="0.2">
      <c r="A124" s="574" t="e">
        <f>+A81</f>
        <v>#REF!</v>
      </c>
      <c r="B124" s="572"/>
      <c r="C124" s="579"/>
      <c r="D124" s="574" t="e">
        <f>+D81</f>
        <v>#REF!</v>
      </c>
      <c r="E124" s="34"/>
      <c r="F124" s="34"/>
      <c r="G124" s="34"/>
    </row>
    <row r="125" spans="1:7" ht="14.25" x14ac:dyDescent="0.2">
      <c r="A125" s="574" t="e">
        <f>+A82</f>
        <v>#REF!</v>
      </c>
      <c r="B125" s="572"/>
      <c r="C125" s="579"/>
      <c r="D125" s="34"/>
      <c r="E125" s="34"/>
      <c r="F125" s="34"/>
      <c r="G125" s="34"/>
    </row>
    <row r="127" spans="1:7" ht="13.5" thickBot="1" x14ac:dyDescent="0.25"/>
    <row r="128" spans="1:7" ht="20.25" customHeight="1" x14ac:dyDescent="0.2">
      <c r="A128" s="2286" t="e">
        <f>+A86</f>
        <v>#REF!</v>
      </c>
      <c r="B128" s="1936"/>
      <c r="C128" s="1937"/>
      <c r="D128" s="50"/>
      <c r="E128" s="46"/>
      <c r="F128" s="46"/>
      <c r="G128" s="47"/>
    </row>
    <row r="129" spans="1:7" ht="32.25" customHeight="1" thickBot="1" x14ac:dyDescent="0.25">
      <c r="A129" s="1551" t="e">
        <f>+A87</f>
        <v>#REF!</v>
      </c>
      <c r="B129" s="1552"/>
      <c r="C129" s="1553"/>
      <c r="D129" s="48"/>
      <c r="E129" s="48"/>
      <c r="F129" s="48"/>
      <c r="G129" s="49"/>
    </row>
    <row r="130" spans="1:7" ht="13.5" thickBot="1" x14ac:dyDescent="0.25">
      <c r="A130" s="37"/>
      <c r="B130" s="37"/>
      <c r="C130" s="598"/>
      <c r="D130" s="37"/>
      <c r="E130" s="37"/>
      <c r="F130" s="37"/>
      <c r="G130" s="37"/>
    </row>
    <row r="131" spans="1:7" ht="57" customHeight="1" thickBot="1" x14ac:dyDescent="0.25">
      <c r="A131" s="1558" t="e">
        <f>+A89</f>
        <v>#REF!</v>
      </c>
      <c r="B131" s="1559"/>
      <c r="C131" s="1560"/>
      <c r="D131" s="1565" t="s">
        <v>801</v>
      </c>
      <c r="E131" s="1559"/>
      <c r="F131" s="1559"/>
      <c r="G131" s="1560"/>
    </row>
    <row r="132" spans="1:7" ht="13.5" thickBot="1" x14ac:dyDescent="0.25">
      <c r="A132" s="38"/>
      <c r="B132" s="38"/>
      <c r="C132" s="599"/>
      <c r="D132" s="38"/>
      <c r="E132" s="38"/>
      <c r="F132" s="38"/>
      <c r="G132" s="38"/>
    </row>
    <row r="133" spans="1:7" ht="13.5" thickBot="1" x14ac:dyDescent="0.25">
      <c r="A133" s="39"/>
      <c r="B133" s="37"/>
      <c r="C133" s="597"/>
      <c r="D133" s="60" t="s">
        <v>124</v>
      </c>
      <c r="E133" s="61" t="s">
        <v>2</v>
      </c>
      <c r="F133" s="59"/>
      <c r="G133" s="59"/>
    </row>
    <row r="134" spans="1:7" ht="13.5" thickBot="1" x14ac:dyDescent="0.25">
      <c r="A134" s="40" t="s">
        <v>108</v>
      </c>
      <c r="B134" s="37"/>
      <c r="C134" s="598"/>
      <c r="D134" s="37"/>
      <c r="E134" s="37"/>
      <c r="F134" s="37"/>
      <c r="G134" s="37"/>
    </row>
    <row r="135" spans="1:7" ht="13.5" thickBot="1" x14ac:dyDescent="0.25">
      <c r="A135" s="1530" t="s">
        <v>109</v>
      </c>
      <c r="B135" s="1554"/>
      <c r="C135" s="1531"/>
      <c r="D135" s="64" t="s">
        <v>110</v>
      </c>
      <c r="E135" s="64" t="s">
        <v>111</v>
      </c>
      <c r="F135" s="63" t="s">
        <v>112</v>
      </c>
      <c r="G135" s="66"/>
    </row>
    <row r="136" spans="1:7" ht="13.5" customHeight="1" thickBot="1" x14ac:dyDescent="0.25">
      <c r="A136" s="1926" t="s">
        <v>131</v>
      </c>
      <c r="B136" s="1946"/>
      <c r="C136" s="1927"/>
      <c r="D136" s="55">
        <f>+D96</f>
        <v>1875</v>
      </c>
      <c r="E136" s="80">
        <v>1</v>
      </c>
      <c r="F136" s="580">
        <f>D136/E136</f>
        <v>1875</v>
      </c>
      <c r="G136" s="52"/>
    </row>
    <row r="137" spans="1:7" x14ac:dyDescent="0.2">
      <c r="A137" s="1943"/>
      <c r="B137" s="1944"/>
      <c r="C137" s="1945"/>
      <c r="D137" s="42"/>
      <c r="E137" s="92"/>
      <c r="F137" s="580"/>
      <c r="G137" s="94"/>
    </row>
    <row r="138" spans="1:7" ht="13.5" thickBot="1" x14ac:dyDescent="0.25">
      <c r="A138" s="1926"/>
      <c r="B138" s="1946"/>
      <c r="C138" s="1927"/>
      <c r="D138" s="57"/>
      <c r="E138" s="81"/>
      <c r="F138" s="580"/>
      <c r="G138" s="58"/>
    </row>
    <row r="139" spans="1:7" ht="13.5" thickBot="1" x14ac:dyDescent="0.25">
      <c r="A139" s="1932" t="s">
        <v>125</v>
      </c>
      <c r="B139" s="1933"/>
      <c r="C139" s="1933"/>
      <c r="D139" s="1933"/>
      <c r="E139" s="1933"/>
      <c r="F139" s="1934"/>
      <c r="G139" s="54">
        <f>SUM(F136:F138)</f>
        <v>1875</v>
      </c>
    </row>
    <row r="140" spans="1:7" ht="13.5" thickBot="1" x14ac:dyDescent="0.25">
      <c r="A140" s="40" t="s">
        <v>123</v>
      </c>
      <c r="B140" s="37"/>
      <c r="C140" s="598"/>
      <c r="D140" s="37"/>
      <c r="E140" s="37"/>
      <c r="F140" s="37"/>
      <c r="G140" s="37"/>
    </row>
    <row r="141" spans="1:7" ht="13.5" thickBot="1" x14ac:dyDescent="0.25">
      <c r="A141" s="1530" t="s">
        <v>109</v>
      </c>
      <c r="B141" s="1531"/>
      <c r="C141" s="600" t="s">
        <v>114</v>
      </c>
      <c r="D141" s="63" t="s">
        <v>115</v>
      </c>
      <c r="E141" s="63" t="s">
        <v>116</v>
      </c>
      <c r="F141" s="63" t="s">
        <v>112</v>
      </c>
      <c r="G141" s="66"/>
    </row>
    <row r="142" spans="1:7" ht="12.75" customHeight="1" x14ac:dyDescent="0.2">
      <c r="A142" s="2300" t="s">
        <v>808</v>
      </c>
      <c r="B142" s="2301"/>
      <c r="C142" s="610" t="s">
        <v>6</v>
      </c>
      <c r="D142" s="55">
        <v>2627</v>
      </c>
      <c r="E142" s="51">
        <v>1</v>
      </c>
      <c r="F142" s="55">
        <f t="shared" ref="F142:F149" si="0">+E142*D142</f>
        <v>2627</v>
      </c>
      <c r="G142" s="52"/>
    </row>
    <row r="143" spans="1:7" ht="12.75" customHeight="1" x14ac:dyDescent="0.2">
      <c r="A143" s="2296" t="s">
        <v>809</v>
      </c>
      <c r="B143" s="2297"/>
      <c r="C143" s="603" t="s">
        <v>6</v>
      </c>
      <c r="D143" s="42">
        <v>989</v>
      </c>
      <c r="E143" s="41">
        <v>1</v>
      </c>
      <c r="F143" s="42">
        <f t="shared" si="0"/>
        <v>989</v>
      </c>
      <c r="G143" s="53"/>
    </row>
    <row r="144" spans="1:7" ht="12.75" customHeight="1" x14ac:dyDescent="0.2">
      <c r="A144" s="2296" t="s">
        <v>810</v>
      </c>
      <c r="B144" s="2297"/>
      <c r="C144" s="603" t="s">
        <v>6</v>
      </c>
      <c r="D144" s="42">
        <v>4687</v>
      </c>
      <c r="E144" s="41">
        <v>1</v>
      </c>
      <c r="F144" s="42">
        <f t="shared" si="0"/>
        <v>4687</v>
      </c>
      <c r="G144" s="53"/>
    </row>
    <row r="145" spans="1:7" ht="12.75" customHeight="1" x14ac:dyDescent="0.2">
      <c r="A145" s="2296" t="s">
        <v>811</v>
      </c>
      <c r="B145" s="2297"/>
      <c r="C145" s="603" t="s">
        <v>2</v>
      </c>
      <c r="D145" s="42">
        <v>3090</v>
      </c>
      <c r="E145" s="41">
        <v>1</v>
      </c>
      <c r="F145" s="42">
        <f t="shared" si="0"/>
        <v>3090</v>
      </c>
      <c r="G145" s="53"/>
    </row>
    <row r="146" spans="1:7" ht="12.75" customHeight="1" x14ac:dyDescent="0.2">
      <c r="A146" s="2296" t="s">
        <v>812</v>
      </c>
      <c r="B146" s="2297"/>
      <c r="C146" s="603" t="s">
        <v>2</v>
      </c>
      <c r="D146" s="42">
        <v>3090</v>
      </c>
      <c r="E146" s="41">
        <v>1</v>
      </c>
      <c r="F146" s="42">
        <f t="shared" si="0"/>
        <v>3090</v>
      </c>
      <c r="G146" s="53"/>
    </row>
    <row r="147" spans="1:7" ht="12.75" customHeight="1" x14ac:dyDescent="0.2">
      <c r="A147" s="2296" t="s">
        <v>813</v>
      </c>
      <c r="B147" s="2297"/>
      <c r="C147" s="603" t="s">
        <v>2</v>
      </c>
      <c r="D147" s="42">
        <v>7725</v>
      </c>
      <c r="E147" s="41">
        <v>1</v>
      </c>
      <c r="F147" s="42">
        <f t="shared" si="0"/>
        <v>7725</v>
      </c>
      <c r="G147" s="53"/>
    </row>
    <row r="148" spans="1:7" x14ac:dyDescent="0.2">
      <c r="A148" s="2296" t="s">
        <v>814</v>
      </c>
      <c r="B148" s="2297"/>
      <c r="C148" s="603" t="s">
        <v>6</v>
      </c>
      <c r="D148" s="42">
        <v>8755</v>
      </c>
      <c r="E148" s="41">
        <v>3</v>
      </c>
      <c r="F148" s="42">
        <f t="shared" si="0"/>
        <v>26265</v>
      </c>
      <c r="G148" s="53"/>
    </row>
    <row r="149" spans="1:7" x14ac:dyDescent="0.2">
      <c r="A149" s="2296" t="s">
        <v>815</v>
      </c>
      <c r="B149" s="2297"/>
      <c r="C149" s="603" t="s">
        <v>2</v>
      </c>
      <c r="D149" s="42">
        <v>12360</v>
      </c>
      <c r="E149" s="41">
        <v>1</v>
      </c>
      <c r="F149" s="42">
        <f t="shared" si="0"/>
        <v>12360</v>
      </c>
      <c r="G149" s="53"/>
    </row>
    <row r="150" spans="1:7" x14ac:dyDescent="0.2">
      <c r="A150" s="587"/>
      <c r="B150" s="588"/>
      <c r="C150" s="611"/>
      <c r="D150" s="595"/>
      <c r="E150" s="594"/>
      <c r="F150" s="42"/>
      <c r="G150" s="596"/>
    </row>
    <row r="151" spans="1:7" ht="13.5" thickBot="1" x14ac:dyDescent="0.25">
      <c r="A151" s="2298"/>
      <c r="B151" s="2299"/>
      <c r="C151" s="604"/>
      <c r="D151" s="57"/>
      <c r="E151" s="56"/>
      <c r="F151" s="42"/>
      <c r="G151" s="58"/>
    </row>
    <row r="152" spans="1:7" ht="13.5" thickBot="1" x14ac:dyDescent="0.25">
      <c r="A152" s="1932" t="s">
        <v>125</v>
      </c>
      <c r="B152" s="1933"/>
      <c r="C152" s="1933"/>
      <c r="D152" s="1933"/>
      <c r="E152" s="1933"/>
      <c r="F152" s="1934" t="s">
        <v>113</v>
      </c>
      <c r="G152" s="54">
        <f>SUM(F142:F151)</f>
        <v>60833</v>
      </c>
    </row>
    <row r="153" spans="1:7" ht="13.5" thickBot="1" x14ac:dyDescent="0.25">
      <c r="A153" s="40" t="s">
        <v>117</v>
      </c>
      <c r="B153" s="37"/>
      <c r="C153" s="598"/>
      <c r="D153" s="37"/>
      <c r="E153" s="37"/>
      <c r="F153" s="37"/>
      <c r="G153" s="37"/>
    </row>
    <row r="154" spans="1:7" ht="13.5" thickBot="1" x14ac:dyDescent="0.25">
      <c r="A154" s="1922" t="s">
        <v>109</v>
      </c>
      <c r="B154" s="1923"/>
      <c r="C154" s="605" t="s">
        <v>114</v>
      </c>
      <c r="D154" s="64" t="s">
        <v>115</v>
      </c>
      <c r="E154" s="64" t="s">
        <v>116</v>
      </c>
      <c r="F154" s="64" t="s">
        <v>112</v>
      </c>
      <c r="G154" s="67"/>
    </row>
    <row r="155" spans="1:7" x14ac:dyDescent="0.2">
      <c r="A155" s="1928"/>
      <c r="B155" s="1929"/>
      <c r="C155" s="590"/>
      <c r="D155" s="43"/>
      <c r="E155" s="42"/>
      <c r="F155" s="42">
        <f>D155*E155</f>
        <v>0</v>
      </c>
      <c r="G155" s="52"/>
    </row>
    <row r="156" spans="1:7" ht="13.5" thickBot="1" x14ac:dyDescent="0.25">
      <c r="A156" s="1930"/>
      <c r="B156" s="1931"/>
      <c r="C156" s="590"/>
      <c r="D156" s="43"/>
      <c r="E156" s="57"/>
      <c r="F156" s="57">
        <f>D156*E156</f>
        <v>0</v>
      </c>
      <c r="G156" s="68"/>
    </row>
    <row r="157" spans="1:7" ht="13.5" thickBot="1" x14ac:dyDescent="0.25">
      <c r="A157" s="1932" t="s">
        <v>125</v>
      </c>
      <c r="B157" s="1933"/>
      <c r="C157" s="1933"/>
      <c r="D157" s="1933"/>
      <c r="E157" s="1933"/>
      <c r="F157" s="1934" t="s">
        <v>113</v>
      </c>
      <c r="G157" s="54">
        <f>SUM(F156:F156)</f>
        <v>0</v>
      </c>
    </row>
    <row r="158" spans="1:7" ht="13.5" thickBot="1" x14ac:dyDescent="0.25">
      <c r="A158" s="40" t="s">
        <v>119</v>
      </c>
      <c r="B158" s="37"/>
      <c r="C158" s="598"/>
      <c r="D158" s="37"/>
      <c r="E158" s="37"/>
      <c r="F158" s="37"/>
      <c r="G158" s="37"/>
    </row>
    <row r="159" spans="1:7" ht="13.5" thickBot="1" x14ac:dyDescent="0.25">
      <c r="A159" s="1922" t="s">
        <v>120</v>
      </c>
      <c r="B159" s="1923"/>
      <c r="C159" s="600" t="s">
        <v>121</v>
      </c>
      <c r="D159" s="64" t="s">
        <v>114</v>
      </c>
      <c r="E159" s="64" t="s">
        <v>116</v>
      </c>
      <c r="F159" s="64" t="s">
        <v>112</v>
      </c>
      <c r="G159" s="71"/>
    </row>
    <row r="160" spans="1:7" x14ac:dyDescent="0.2">
      <c r="A160" s="2255" t="e">
        <f>+#REF!</f>
        <v>#REF!</v>
      </c>
      <c r="B160" s="2256"/>
      <c r="C160" s="607">
        <v>7410.9600847008996</v>
      </c>
      <c r="D160" s="174">
        <v>1</v>
      </c>
      <c r="E160" s="174">
        <v>0.27231428571428573</v>
      </c>
      <c r="F160" s="78">
        <f>+(C160*D160)*E160</f>
        <v>2018.1103019224079</v>
      </c>
      <c r="G160" s="52"/>
    </row>
    <row r="161" spans="1:7" ht="13.5" thickBot="1" x14ac:dyDescent="0.25">
      <c r="A161" s="2252" t="s">
        <v>22</v>
      </c>
      <c r="B161" s="1927"/>
      <c r="C161" s="608">
        <v>4374.7823749999998</v>
      </c>
      <c r="D161" s="175">
        <v>1</v>
      </c>
      <c r="E161" s="176">
        <f>+E160</f>
        <v>0.27231428571428573</v>
      </c>
      <c r="F161" s="79">
        <f>+(C161*D161)*E161</f>
        <v>1191.3157376035715</v>
      </c>
      <c r="G161" s="58"/>
    </row>
    <row r="162" spans="1:7" ht="13.5" thickBot="1" x14ac:dyDescent="0.25">
      <c r="A162" s="1932" t="str">
        <f>+A157</f>
        <v>SUB-TOTAL</v>
      </c>
      <c r="B162" s="1933"/>
      <c r="C162" s="1933"/>
      <c r="D162" s="1933"/>
      <c r="E162" s="1933"/>
      <c r="F162" s="1934" t="s">
        <v>113</v>
      </c>
      <c r="G162" s="54">
        <f>SUM(F161:F161)</f>
        <v>1191.3157376035715</v>
      </c>
    </row>
    <row r="163" spans="1:7" ht="13.5" thickBot="1" x14ac:dyDescent="0.25">
      <c r="A163" s="37"/>
      <c r="B163" s="37"/>
      <c r="C163" s="598"/>
      <c r="D163" s="37"/>
      <c r="E163" s="37"/>
      <c r="F163" s="45"/>
      <c r="G163" s="37"/>
    </row>
    <row r="164" spans="1:7" ht="13.5" thickBot="1" x14ac:dyDescent="0.25">
      <c r="A164" s="1932" t="s">
        <v>156</v>
      </c>
      <c r="B164" s="1933"/>
      <c r="C164" s="1933"/>
      <c r="D164" s="1933"/>
      <c r="E164" s="1933"/>
      <c r="F164" s="1934"/>
      <c r="G164" s="72">
        <f>ROUND(G139+G152+G157+G162,0)</f>
        <v>63899</v>
      </c>
    </row>
    <row r="165" spans="1:7" x14ac:dyDescent="0.2">
      <c r="A165" s="34"/>
      <c r="B165" s="34"/>
      <c r="C165" s="597"/>
      <c r="D165" s="34"/>
      <c r="E165" s="34"/>
      <c r="F165" s="34"/>
      <c r="G165" s="34"/>
    </row>
    <row r="166" spans="1:7" ht="14.25" x14ac:dyDescent="0.2">
      <c r="A166" s="573" t="s">
        <v>790</v>
      </c>
      <c r="B166" s="572"/>
      <c r="C166" s="579"/>
      <c r="D166" s="34"/>
      <c r="E166" s="577" t="s">
        <v>791</v>
      </c>
      <c r="F166" s="34"/>
      <c r="G166" s="34"/>
    </row>
    <row r="167" spans="1:7" ht="14.25" x14ac:dyDescent="0.2">
      <c r="A167" s="573"/>
      <c r="B167" s="572"/>
      <c r="C167" s="579"/>
      <c r="D167" s="34"/>
      <c r="E167" s="577"/>
      <c r="F167" s="34"/>
      <c r="G167" s="34"/>
    </row>
    <row r="168" spans="1:7" ht="14.25" x14ac:dyDescent="0.2">
      <c r="A168" s="573"/>
      <c r="B168" s="572"/>
      <c r="C168" s="579"/>
      <c r="D168" s="34"/>
      <c r="E168" s="577"/>
      <c r="F168" s="34"/>
      <c r="G168" s="34"/>
    </row>
    <row r="169" spans="1:7" ht="14.25" x14ac:dyDescent="0.2">
      <c r="A169" s="574" t="e">
        <f>+A123</f>
        <v>#REF!</v>
      </c>
      <c r="B169" s="572"/>
      <c r="C169" s="579"/>
      <c r="D169" s="574" t="e">
        <f>+D123</f>
        <v>#REF!</v>
      </c>
      <c r="E169" s="34"/>
      <c r="F169" s="34"/>
      <c r="G169" s="34"/>
    </row>
    <row r="170" spans="1:7" ht="14.25" x14ac:dyDescent="0.2">
      <c r="A170" s="574" t="e">
        <f>+A124</f>
        <v>#REF!</v>
      </c>
      <c r="B170" s="572"/>
      <c r="C170" s="579"/>
      <c r="D170" s="574" t="e">
        <f>+D124</f>
        <v>#REF!</v>
      </c>
      <c r="E170" s="34"/>
      <c r="F170" s="34"/>
      <c r="G170" s="34"/>
    </row>
    <row r="171" spans="1:7" ht="14.25" x14ac:dyDescent="0.2">
      <c r="A171" s="574" t="e">
        <f>+A125</f>
        <v>#REF!</v>
      </c>
      <c r="B171" s="572"/>
      <c r="C171" s="579"/>
      <c r="D171" s="34"/>
      <c r="E171" s="34"/>
      <c r="F171" s="34"/>
      <c r="G171" s="34"/>
    </row>
    <row r="174" spans="1:7" ht="13.5" thickBot="1" x14ac:dyDescent="0.25"/>
    <row r="175" spans="1:7" ht="25.5" customHeight="1" x14ac:dyDescent="0.2">
      <c r="A175" s="2286" t="e">
        <f>+A128</f>
        <v>#REF!</v>
      </c>
      <c r="B175" s="1936"/>
      <c r="C175" s="1937"/>
      <c r="D175" s="50"/>
      <c r="E175" s="46"/>
      <c r="F175" s="46"/>
      <c r="G175" s="47"/>
    </row>
    <row r="176" spans="1:7" ht="31.5" customHeight="1" thickBot="1" x14ac:dyDescent="0.25">
      <c r="A176" s="1551" t="e">
        <f>+A129</f>
        <v>#REF!</v>
      </c>
      <c r="B176" s="1552"/>
      <c r="C176" s="1553"/>
      <c r="D176" s="48"/>
      <c r="E176" s="48"/>
      <c r="F176" s="48"/>
      <c r="G176" s="49"/>
    </row>
    <row r="177" spans="1:7" ht="13.5" thickBot="1" x14ac:dyDescent="0.25">
      <c r="A177" s="37"/>
      <c r="B177" s="37"/>
      <c r="C177" s="598"/>
      <c r="D177" s="37"/>
      <c r="E177" s="37"/>
      <c r="F177" s="37"/>
      <c r="G177" s="37"/>
    </row>
    <row r="178" spans="1:7" ht="55.5" customHeight="1" thickBot="1" x14ac:dyDescent="0.25">
      <c r="A178" s="1558" t="e">
        <f>+A131</f>
        <v>#REF!</v>
      </c>
      <c r="B178" s="1559"/>
      <c r="C178" s="1560"/>
      <c r="D178" s="1565" t="s">
        <v>802</v>
      </c>
      <c r="E178" s="1559"/>
      <c r="F178" s="1559"/>
      <c r="G178" s="1560"/>
    </row>
    <row r="179" spans="1:7" ht="13.5" thickBot="1" x14ac:dyDescent="0.25">
      <c r="A179" s="38"/>
      <c r="B179" s="38"/>
      <c r="C179" s="599"/>
      <c r="D179" s="38"/>
      <c r="E179" s="38"/>
      <c r="F179" s="38"/>
      <c r="G179" s="38"/>
    </row>
    <row r="180" spans="1:7" ht="13.5" thickBot="1" x14ac:dyDescent="0.25">
      <c r="A180" s="39"/>
      <c r="B180" s="37"/>
      <c r="C180" s="597"/>
      <c r="D180" s="60" t="s">
        <v>124</v>
      </c>
      <c r="E180" s="61" t="s">
        <v>2</v>
      </c>
      <c r="F180" s="59"/>
      <c r="G180" s="59"/>
    </row>
    <row r="181" spans="1:7" ht="13.5" thickBot="1" x14ac:dyDescent="0.25">
      <c r="A181" s="40" t="s">
        <v>108</v>
      </c>
      <c r="B181" s="37"/>
      <c r="C181" s="598"/>
      <c r="D181" s="37"/>
      <c r="E181" s="37"/>
      <c r="F181" s="37"/>
      <c r="G181" s="37"/>
    </row>
    <row r="182" spans="1:7" ht="13.5" thickBot="1" x14ac:dyDescent="0.25">
      <c r="A182" s="1530" t="s">
        <v>109</v>
      </c>
      <c r="B182" s="1554"/>
      <c r="C182" s="1531"/>
      <c r="D182" s="64" t="s">
        <v>110</v>
      </c>
      <c r="E182" s="64" t="s">
        <v>111</v>
      </c>
      <c r="F182" s="63" t="s">
        <v>112</v>
      </c>
      <c r="G182" s="66"/>
    </row>
    <row r="183" spans="1:7" ht="13.5" thickBot="1" x14ac:dyDescent="0.25">
      <c r="A183" s="1926" t="s">
        <v>131</v>
      </c>
      <c r="B183" s="1946"/>
      <c r="C183" s="1927"/>
      <c r="D183" s="55">
        <f>+D136</f>
        <v>1875</v>
      </c>
      <c r="E183" s="80">
        <v>0.15</v>
      </c>
      <c r="F183" s="580">
        <f>D183/E183</f>
        <v>12500</v>
      </c>
      <c r="G183" s="52"/>
    </row>
    <row r="184" spans="1:7" x14ac:dyDescent="0.2">
      <c r="A184" s="1943"/>
      <c r="B184" s="1944"/>
      <c r="C184" s="1945"/>
      <c r="D184" s="42"/>
      <c r="E184" s="92"/>
      <c r="F184" s="580"/>
      <c r="G184" s="94"/>
    </row>
    <row r="185" spans="1:7" ht="13.5" thickBot="1" x14ac:dyDescent="0.25">
      <c r="A185" s="1926"/>
      <c r="B185" s="1946"/>
      <c r="C185" s="1927"/>
      <c r="D185" s="57"/>
      <c r="E185" s="81"/>
      <c r="F185" s="580"/>
      <c r="G185" s="58"/>
    </row>
    <row r="186" spans="1:7" ht="13.5" thickBot="1" x14ac:dyDescent="0.25">
      <c r="A186" s="1932" t="s">
        <v>125</v>
      </c>
      <c r="B186" s="1933"/>
      <c r="C186" s="1933"/>
      <c r="D186" s="1933"/>
      <c r="E186" s="1933"/>
      <c r="F186" s="1934"/>
      <c r="G186" s="54">
        <f>SUM(F183:F185)</f>
        <v>12500</v>
      </c>
    </row>
    <row r="187" spans="1:7" ht="13.5" thickBot="1" x14ac:dyDescent="0.25">
      <c r="A187" s="40" t="s">
        <v>123</v>
      </c>
      <c r="B187" s="37"/>
      <c r="C187" s="598"/>
      <c r="D187" s="37"/>
      <c r="E187" s="37"/>
      <c r="F187" s="37"/>
      <c r="G187" s="37"/>
    </row>
    <row r="188" spans="1:7" ht="13.5" thickBot="1" x14ac:dyDescent="0.25">
      <c r="A188" s="1530" t="s">
        <v>109</v>
      </c>
      <c r="B188" s="1531"/>
      <c r="C188" s="600" t="s">
        <v>114</v>
      </c>
      <c r="D188" s="63" t="s">
        <v>115</v>
      </c>
      <c r="E188" s="63" t="s">
        <v>116</v>
      </c>
      <c r="F188" s="63" t="s">
        <v>112</v>
      </c>
      <c r="G188" s="66"/>
    </row>
    <row r="189" spans="1:7" x14ac:dyDescent="0.2">
      <c r="A189" s="2300"/>
      <c r="B189" s="2301"/>
      <c r="C189" s="610"/>
      <c r="D189" s="55"/>
      <c r="E189" s="51"/>
      <c r="F189" s="55"/>
      <c r="G189" s="52"/>
    </row>
    <row r="190" spans="1:7" x14ac:dyDescent="0.2">
      <c r="A190" s="2296" t="s">
        <v>816</v>
      </c>
      <c r="B190" s="2297"/>
      <c r="C190" s="603" t="s">
        <v>6</v>
      </c>
      <c r="D190" s="42">
        <v>3960</v>
      </c>
      <c r="E190" s="41">
        <v>6</v>
      </c>
      <c r="F190" s="42">
        <f t="shared" ref="F190:F195" si="1">+E190*D190</f>
        <v>23760</v>
      </c>
      <c r="G190" s="53"/>
    </row>
    <row r="191" spans="1:7" x14ac:dyDescent="0.2">
      <c r="A191" s="2296" t="s">
        <v>817</v>
      </c>
      <c r="B191" s="2297"/>
      <c r="C191" s="603" t="s">
        <v>6</v>
      </c>
      <c r="D191" s="42">
        <v>1944.6399999999999</v>
      </c>
      <c r="E191" s="41">
        <v>11</v>
      </c>
      <c r="F191" s="42">
        <f t="shared" si="1"/>
        <v>21391.039999999997</v>
      </c>
      <c r="G191" s="53"/>
    </row>
    <row r="192" spans="1:7" x14ac:dyDescent="0.2">
      <c r="A192" s="2296" t="s">
        <v>818</v>
      </c>
      <c r="B192" s="2297"/>
      <c r="C192" s="603" t="s">
        <v>2</v>
      </c>
      <c r="D192" s="42">
        <v>118000</v>
      </c>
      <c r="E192" s="41">
        <v>1</v>
      </c>
      <c r="F192" s="42">
        <f t="shared" si="1"/>
        <v>118000</v>
      </c>
      <c r="G192" s="53"/>
    </row>
    <row r="193" spans="1:7" x14ac:dyDescent="0.2">
      <c r="A193" s="2296" t="s">
        <v>835</v>
      </c>
      <c r="B193" s="2297"/>
      <c r="C193" s="603" t="s">
        <v>2</v>
      </c>
      <c r="D193" s="42">
        <v>175000</v>
      </c>
      <c r="E193" s="41">
        <v>2</v>
      </c>
      <c r="F193" s="42">
        <f t="shared" si="1"/>
        <v>350000</v>
      </c>
      <c r="G193" s="53"/>
    </row>
    <row r="194" spans="1:7" x14ac:dyDescent="0.2">
      <c r="A194" s="2296" t="s">
        <v>836</v>
      </c>
      <c r="B194" s="2297"/>
      <c r="C194" s="603" t="s">
        <v>2</v>
      </c>
      <c r="D194" s="42">
        <v>18000</v>
      </c>
      <c r="E194" s="41">
        <v>6</v>
      </c>
      <c r="F194" s="42">
        <f t="shared" si="1"/>
        <v>108000</v>
      </c>
      <c r="G194" s="53"/>
    </row>
    <row r="195" spans="1:7" ht="13.5" thickBot="1" x14ac:dyDescent="0.25">
      <c r="A195" s="2298" t="s">
        <v>837</v>
      </c>
      <c r="B195" s="2299"/>
      <c r="C195" s="604" t="s">
        <v>2</v>
      </c>
      <c r="D195" s="57">
        <v>2</v>
      </c>
      <c r="E195" s="56">
        <v>9100</v>
      </c>
      <c r="F195" s="42">
        <f t="shared" si="1"/>
        <v>18200</v>
      </c>
      <c r="G195" s="58"/>
    </row>
    <row r="196" spans="1:7" ht="13.5" thickBot="1" x14ac:dyDescent="0.25">
      <c r="A196" s="1932" t="s">
        <v>125</v>
      </c>
      <c r="B196" s="1933"/>
      <c r="C196" s="1933"/>
      <c r="D196" s="1933"/>
      <c r="E196" s="1933"/>
      <c r="F196" s="1934" t="s">
        <v>113</v>
      </c>
      <c r="G196" s="54">
        <f>SUM(F189:F195)</f>
        <v>639351.04000000004</v>
      </c>
    </row>
    <row r="197" spans="1:7" ht="13.5" thickBot="1" x14ac:dyDescent="0.25">
      <c r="A197" s="40" t="s">
        <v>117</v>
      </c>
      <c r="B197" s="37"/>
      <c r="C197" s="598"/>
      <c r="D197" s="37"/>
      <c r="E197" s="37"/>
      <c r="F197" s="37"/>
      <c r="G197" s="37"/>
    </row>
    <row r="198" spans="1:7" ht="13.5" thickBot="1" x14ac:dyDescent="0.25">
      <c r="A198" s="1922" t="s">
        <v>109</v>
      </c>
      <c r="B198" s="1923"/>
      <c r="C198" s="605" t="s">
        <v>114</v>
      </c>
      <c r="D198" s="64" t="s">
        <v>115</v>
      </c>
      <c r="E198" s="64" t="s">
        <v>116</v>
      </c>
      <c r="F198" s="64" t="s">
        <v>112</v>
      </c>
      <c r="G198" s="67"/>
    </row>
    <row r="199" spans="1:7" x14ac:dyDescent="0.2">
      <c r="A199" s="1928"/>
      <c r="B199" s="1929"/>
      <c r="C199" s="590"/>
      <c r="D199" s="43"/>
      <c r="E199" s="42"/>
      <c r="F199" s="42">
        <f>D199*E199</f>
        <v>0</v>
      </c>
      <c r="G199" s="52"/>
    </row>
    <row r="200" spans="1:7" ht="13.5" thickBot="1" x14ac:dyDescent="0.25">
      <c r="A200" s="1930"/>
      <c r="B200" s="1931"/>
      <c r="C200" s="590"/>
      <c r="D200" s="43"/>
      <c r="E200" s="57"/>
      <c r="F200" s="57">
        <f>D200*E200</f>
        <v>0</v>
      </c>
      <c r="G200" s="68"/>
    </row>
    <row r="201" spans="1:7" ht="13.5" thickBot="1" x14ac:dyDescent="0.25">
      <c r="A201" s="1932" t="s">
        <v>125</v>
      </c>
      <c r="B201" s="1933"/>
      <c r="C201" s="1933"/>
      <c r="D201" s="1933"/>
      <c r="E201" s="1933"/>
      <c r="F201" s="1934" t="s">
        <v>113</v>
      </c>
      <c r="G201" s="54">
        <f>SUM(F200:F200)</f>
        <v>0</v>
      </c>
    </row>
    <row r="202" spans="1:7" ht="13.5" thickBot="1" x14ac:dyDescent="0.25">
      <c r="A202" s="40" t="s">
        <v>119</v>
      </c>
      <c r="B202" s="37"/>
      <c r="C202" s="598"/>
      <c r="D202" s="37"/>
      <c r="E202" s="37"/>
      <c r="F202" s="37"/>
      <c r="G202" s="37"/>
    </row>
    <row r="203" spans="1:7" ht="13.5" thickBot="1" x14ac:dyDescent="0.25">
      <c r="A203" s="1922" t="s">
        <v>120</v>
      </c>
      <c r="B203" s="1923"/>
      <c r="C203" s="600" t="s">
        <v>121</v>
      </c>
      <c r="D203" s="64" t="s">
        <v>114</v>
      </c>
      <c r="E203" s="64" t="s">
        <v>116</v>
      </c>
      <c r="F203" s="64" t="s">
        <v>112</v>
      </c>
      <c r="G203" s="71"/>
    </row>
    <row r="204" spans="1:7" x14ac:dyDescent="0.2">
      <c r="A204" s="2255" t="e">
        <f>+#REF!</f>
        <v>#REF!</v>
      </c>
      <c r="B204" s="2256"/>
      <c r="C204" s="607">
        <v>7410.9600847008996</v>
      </c>
      <c r="D204" s="174">
        <v>1</v>
      </c>
      <c r="E204" s="174">
        <v>27.8</v>
      </c>
      <c r="F204" s="78">
        <f>+(C204*D204)*E204</f>
        <v>206024.69035468501</v>
      </c>
      <c r="G204" s="52"/>
    </row>
    <row r="205" spans="1:7" ht="13.5" thickBot="1" x14ac:dyDescent="0.25">
      <c r="A205" s="2252" t="s">
        <v>22</v>
      </c>
      <c r="B205" s="1927"/>
      <c r="C205" s="608">
        <v>4374.7823749999998</v>
      </c>
      <c r="D205" s="175">
        <v>1</v>
      </c>
      <c r="E205" s="176">
        <f>+E204</f>
        <v>27.8</v>
      </c>
      <c r="F205" s="79">
        <f>+(C205*D205)*E205</f>
        <v>121618.950025</v>
      </c>
      <c r="G205" s="58"/>
    </row>
    <row r="206" spans="1:7" ht="13.5" thickBot="1" x14ac:dyDescent="0.25">
      <c r="A206" s="1932" t="str">
        <f>+A201</f>
        <v>SUB-TOTAL</v>
      </c>
      <c r="B206" s="1933"/>
      <c r="C206" s="1933"/>
      <c r="D206" s="1933"/>
      <c r="E206" s="1933"/>
      <c r="F206" s="1934" t="s">
        <v>113</v>
      </c>
      <c r="G206" s="54">
        <f>SUM(F205:F205)</f>
        <v>121618.950025</v>
      </c>
    </row>
    <row r="207" spans="1:7" ht="13.5" thickBot="1" x14ac:dyDescent="0.25">
      <c r="A207" s="37"/>
      <c r="B207" s="37"/>
      <c r="C207" s="598"/>
      <c r="D207" s="37"/>
      <c r="E207" s="37"/>
      <c r="F207" s="45"/>
      <c r="G207" s="37"/>
    </row>
    <row r="208" spans="1:7" ht="13.5" thickBot="1" x14ac:dyDescent="0.25">
      <c r="A208" s="1932" t="s">
        <v>156</v>
      </c>
      <c r="B208" s="1933"/>
      <c r="C208" s="1933"/>
      <c r="D208" s="1933"/>
      <c r="E208" s="1933"/>
      <c r="F208" s="1934"/>
      <c r="G208" s="72">
        <f>ROUND(G186+G196+G201+G206,0)</f>
        <v>773470</v>
      </c>
    </row>
    <row r="209" spans="1:7" x14ac:dyDescent="0.2">
      <c r="A209" s="34"/>
      <c r="B209" s="34"/>
      <c r="C209" s="597"/>
      <c r="D209" s="34"/>
      <c r="E209" s="34"/>
      <c r="F209" s="34"/>
      <c r="G209" s="34"/>
    </row>
    <row r="210" spans="1:7" ht="14.25" x14ac:dyDescent="0.2">
      <c r="A210" s="573" t="s">
        <v>790</v>
      </c>
      <c r="B210" s="572"/>
      <c r="C210" s="579"/>
      <c r="D210" s="34"/>
      <c r="E210" s="577" t="s">
        <v>791</v>
      </c>
      <c r="F210" s="34"/>
      <c r="G210" s="34"/>
    </row>
    <row r="211" spans="1:7" ht="14.25" x14ac:dyDescent="0.2">
      <c r="A211" s="573"/>
      <c r="B211" s="572"/>
      <c r="C211" s="579"/>
      <c r="D211" s="34"/>
      <c r="E211" s="577"/>
      <c r="F211" s="34"/>
      <c r="G211" s="34"/>
    </row>
    <row r="212" spans="1:7" ht="14.25" x14ac:dyDescent="0.2">
      <c r="A212" s="573"/>
      <c r="B212" s="572"/>
      <c r="C212" s="579"/>
      <c r="D212" s="34"/>
      <c r="E212" s="577"/>
      <c r="F212" s="34"/>
      <c r="G212" s="34"/>
    </row>
    <row r="213" spans="1:7" ht="14.25" x14ac:dyDescent="0.2">
      <c r="A213" s="574" t="e">
        <f>+A169</f>
        <v>#REF!</v>
      </c>
      <c r="B213" s="572"/>
      <c r="C213" s="579"/>
      <c r="D213" s="574" t="e">
        <f>+D169</f>
        <v>#REF!</v>
      </c>
      <c r="E213" s="34"/>
      <c r="F213" s="34"/>
      <c r="G213" s="34"/>
    </row>
    <row r="214" spans="1:7" ht="14.25" x14ac:dyDescent="0.2">
      <c r="A214" s="574" t="e">
        <f>+A170</f>
        <v>#REF!</v>
      </c>
      <c r="B214" s="572"/>
      <c r="C214" s="579"/>
      <c r="D214" s="574" t="e">
        <f>+D170</f>
        <v>#REF!</v>
      </c>
      <c r="E214" s="34"/>
      <c r="F214" s="34"/>
      <c r="G214" s="34"/>
    </row>
    <row r="215" spans="1:7" ht="14.25" x14ac:dyDescent="0.2">
      <c r="A215" s="574" t="e">
        <f>+A171</f>
        <v>#REF!</v>
      </c>
      <c r="B215" s="572"/>
      <c r="C215" s="579"/>
      <c r="D215" s="34"/>
      <c r="E215" s="34"/>
      <c r="F215" s="34"/>
      <c r="G215" s="34"/>
    </row>
    <row r="218" spans="1:7" ht="13.5" thickBot="1" x14ac:dyDescent="0.25"/>
    <row r="219" spans="1:7" ht="24.75" customHeight="1" x14ac:dyDescent="0.2">
      <c r="A219" s="2286" t="e">
        <f>+A175</f>
        <v>#REF!</v>
      </c>
      <c r="B219" s="1936"/>
      <c r="C219" s="1937"/>
      <c r="D219" s="50"/>
      <c r="E219" s="46"/>
      <c r="F219" s="46"/>
      <c r="G219" s="47"/>
    </row>
    <row r="220" spans="1:7" ht="29.25" customHeight="1" thickBot="1" x14ac:dyDescent="0.25">
      <c r="A220" s="1551" t="e">
        <f>+A176</f>
        <v>#REF!</v>
      </c>
      <c r="B220" s="1552"/>
      <c r="C220" s="1553"/>
      <c r="D220" s="48"/>
      <c r="E220" s="48"/>
      <c r="F220" s="48"/>
      <c r="G220" s="49"/>
    </row>
    <row r="221" spans="1:7" ht="13.5" thickBot="1" x14ac:dyDescent="0.25">
      <c r="A221" s="37"/>
      <c r="B221" s="37"/>
      <c r="C221" s="598"/>
      <c r="D221" s="37"/>
      <c r="E221" s="37"/>
      <c r="F221" s="37"/>
      <c r="G221" s="37"/>
    </row>
    <row r="222" spans="1:7" ht="63" customHeight="1" thickBot="1" x14ac:dyDescent="0.25">
      <c r="A222" s="1558" t="e">
        <f>+A178</f>
        <v>#REF!</v>
      </c>
      <c r="B222" s="1559"/>
      <c r="C222" s="1560"/>
      <c r="D222" s="2305" t="s">
        <v>848</v>
      </c>
      <c r="E222" s="1559"/>
      <c r="F222" s="1559"/>
      <c r="G222" s="1560"/>
    </row>
    <row r="223" spans="1:7" ht="13.5" thickBot="1" x14ac:dyDescent="0.25">
      <c r="A223" s="38"/>
      <c r="B223" s="38"/>
      <c r="C223" s="599"/>
      <c r="D223" s="38"/>
      <c r="E223" s="38"/>
      <c r="F223" s="38"/>
      <c r="G223" s="38"/>
    </row>
    <row r="224" spans="1:7" ht="13.5" thickBot="1" x14ac:dyDescent="0.25">
      <c r="A224" s="39"/>
      <c r="B224" s="37"/>
      <c r="C224" s="597"/>
      <c r="D224" s="60" t="s">
        <v>124</v>
      </c>
      <c r="E224" s="61" t="s">
        <v>6</v>
      </c>
      <c r="F224" s="59"/>
      <c r="G224" s="59"/>
    </row>
    <row r="225" spans="1:7" ht="13.5" thickBot="1" x14ac:dyDescent="0.25">
      <c r="A225" s="40" t="s">
        <v>108</v>
      </c>
      <c r="B225" s="37"/>
      <c r="C225" s="598"/>
      <c r="D225" s="37"/>
      <c r="E225" s="37"/>
      <c r="F225" s="37"/>
      <c r="G225" s="37"/>
    </row>
    <row r="226" spans="1:7" ht="13.5" thickBot="1" x14ac:dyDescent="0.25">
      <c r="A226" s="1530" t="s">
        <v>109</v>
      </c>
      <c r="B226" s="1554"/>
      <c r="C226" s="1531"/>
      <c r="D226" s="64" t="s">
        <v>110</v>
      </c>
      <c r="E226" s="64" t="s">
        <v>111</v>
      </c>
      <c r="F226" s="63" t="s">
        <v>112</v>
      </c>
      <c r="G226" s="66"/>
    </row>
    <row r="227" spans="1:7" ht="13.5" thickBot="1" x14ac:dyDescent="0.25">
      <c r="A227" s="1926" t="s">
        <v>131</v>
      </c>
      <c r="B227" s="1946"/>
      <c r="C227" s="1927"/>
      <c r="D227" s="55">
        <f>+D183</f>
        <v>1875</v>
      </c>
      <c r="E227" s="80">
        <v>4</v>
      </c>
      <c r="F227" s="580">
        <f>D227/E227</f>
        <v>468.75</v>
      </c>
      <c r="G227" s="52"/>
    </row>
    <row r="228" spans="1:7" x14ac:dyDescent="0.2">
      <c r="A228" s="1943"/>
      <c r="B228" s="1944"/>
      <c r="C228" s="1945"/>
      <c r="D228" s="42"/>
      <c r="E228" s="92"/>
      <c r="F228" s="580"/>
      <c r="G228" s="94"/>
    </row>
    <row r="229" spans="1:7" ht="13.5" thickBot="1" x14ac:dyDescent="0.25">
      <c r="A229" s="1926"/>
      <c r="B229" s="1946"/>
      <c r="C229" s="1927"/>
      <c r="D229" s="57"/>
      <c r="E229" s="81"/>
      <c r="F229" s="580"/>
      <c r="G229" s="58"/>
    </row>
    <row r="230" spans="1:7" ht="13.5" thickBot="1" x14ac:dyDescent="0.25">
      <c r="A230" s="1932" t="s">
        <v>125</v>
      </c>
      <c r="B230" s="1933"/>
      <c r="C230" s="1933"/>
      <c r="D230" s="1933"/>
      <c r="E230" s="1933"/>
      <c r="F230" s="1934"/>
      <c r="G230" s="54">
        <f>SUM(F227:F229)</f>
        <v>468.75</v>
      </c>
    </row>
    <row r="231" spans="1:7" ht="13.5" thickBot="1" x14ac:dyDescent="0.25">
      <c r="A231" s="40" t="s">
        <v>123</v>
      </c>
      <c r="B231" s="37"/>
      <c r="C231" s="598"/>
      <c r="D231" s="37"/>
      <c r="E231" s="37"/>
      <c r="F231" s="37"/>
      <c r="G231" s="37"/>
    </row>
    <row r="232" spans="1:7" ht="13.5" thickBot="1" x14ac:dyDescent="0.25">
      <c r="A232" s="1530" t="s">
        <v>109</v>
      </c>
      <c r="B232" s="1531"/>
      <c r="C232" s="600" t="s">
        <v>114</v>
      </c>
      <c r="D232" s="63" t="s">
        <v>115</v>
      </c>
      <c r="E232" s="63" t="s">
        <v>116</v>
      </c>
      <c r="F232" s="63" t="s">
        <v>112</v>
      </c>
      <c r="G232" s="66"/>
    </row>
    <row r="233" spans="1:7" x14ac:dyDescent="0.2">
      <c r="A233" s="2300" t="s">
        <v>855</v>
      </c>
      <c r="B233" s="2301"/>
      <c r="C233" s="610" t="s">
        <v>6</v>
      </c>
      <c r="D233" s="55">
        <v>5385.4249469219785</v>
      </c>
      <c r="E233" s="51">
        <v>1</v>
      </c>
      <c r="F233" s="55">
        <f>+E233*D233</f>
        <v>5385.4249469219785</v>
      </c>
      <c r="G233" s="52"/>
    </row>
    <row r="234" spans="1:7" x14ac:dyDescent="0.2">
      <c r="A234" s="2296"/>
      <c r="B234" s="2297"/>
      <c r="C234" s="603"/>
      <c r="D234" s="42"/>
      <c r="E234" s="41"/>
      <c r="F234" s="42"/>
      <c r="G234" s="53"/>
    </row>
    <row r="235" spans="1:7" x14ac:dyDescent="0.2">
      <c r="A235" s="2296"/>
      <c r="B235" s="2297"/>
      <c r="C235" s="603"/>
      <c r="D235" s="42"/>
      <c r="E235" s="41"/>
      <c r="F235" s="42"/>
      <c r="G235" s="53"/>
    </row>
    <row r="236" spans="1:7" x14ac:dyDescent="0.2">
      <c r="A236" s="2296"/>
      <c r="B236" s="2297"/>
      <c r="C236" s="603"/>
      <c r="D236" s="42"/>
      <c r="E236" s="41"/>
      <c r="F236" s="42"/>
      <c r="G236" s="53"/>
    </row>
    <row r="237" spans="1:7" x14ac:dyDescent="0.2">
      <c r="A237" s="2296"/>
      <c r="B237" s="2297"/>
      <c r="C237" s="603"/>
      <c r="D237" s="42"/>
      <c r="E237" s="41"/>
      <c r="F237" s="42"/>
      <c r="G237" s="53"/>
    </row>
    <row r="238" spans="1:7" x14ac:dyDescent="0.2">
      <c r="A238" s="2296"/>
      <c r="B238" s="2297"/>
      <c r="C238" s="603"/>
      <c r="D238" s="42"/>
      <c r="E238" s="41"/>
      <c r="F238" s="42"/>
      <c r="G238" s="53"/>
    </row>
    <row r="239" spans="1:7" x14ac:dyDescent="0.2">
      <c r="A239" s="2296"/>
      <c r="B239" s="2297"/>
      <c r="C239" s="603"/>
      <c r="D239" s="42"/>
      <c r="E239" s="41"/>
      <c r="F239" s="42"/>
      <c r="G239" s="53"/>
    </row>
    <row r="240" spans="1:7" x14ac:dyDescent="0.2">
      <c r="A240" s="2296"/>
      <c r="B240" s="2297"/>
      <c r="C240" s="603"/>
      <c r="D240" s="42"/>
      <c r="E240" s="41"/>
      <c r="F240" s="42"/>
      <c r="G240" s="53"/>
    </row>
    <row r="241" spans="1:7" ht="13.5" thickBot="1" x14ac:dyDescent="0.25">
      <c r="A241" s="2298"/>
      <c r="B241" s="2299"/>
      <c r="C241" s="604"/>
      <c r="D241" s="57"/>
      <c r="E241" s="56"/>
      <c r="F241" s="42"/>
      <c r="G241" s="58"/>
    </row>
    <row r="242" spans="1:7" ht="13.5" thickBot="1" x14ac:dyDescent="0.25">
      <c r="A242" s="1932" t="s">
        <v>125</v>
      </c>
      <c r="B242" s="1933"/>
      <c r="C242" s="1933"/>
      <c r="D242" s="1933"/>
      <c r="E242" s="1933"/>
      <c r="F242" s="1934" t="s">
        <v>113</v>
      </c>
      <c r="G242" s="54">
        <f>SUM(F233:F241)</f>
        <v>5385.4249469219785</v>
      </c>
    </row>
    <row r="243" spans="1:7" ht="13.5" thickBot="1" x14ac:dyDescent="0.25">
      <c r="A243" s="40" t="s">
        <v>117</v>
      </c>
      <c r="B243" s="37"/>
      <c r="C243" s="598"/>
      <c r="D243" s="37"/>
      <c r="E243" s="37"/>
      <c r="F243" s="37"/>
      <c r="G243" s="37"/>
    </row>
    <row r="244" spans="1:7" ht="13.5" thickBot="1" x14ac:dyDescent="0.25">
      <c r="A244" s="1922" t="s">
        <v>109</v>
      </c>
      <c r="B244" s="1923"/>
      <c r="C244" s="605" t="s">
        <v>114</v>
      </c>
      <c r="D244" s="64" t="s">
        <v>115</v>
      </c>
      <c r="E244" s="64" t="s">
        <v>116</v>
      </c>
      <c r="F244" s="64" t="s">
        <v>112</v>
      </c>
      <c r="G244" s="67"/>
    </row>
    <row r="245" spans="1:7" x14ac:dyDescent="0.2">
      <c r="A245" s="1928"/>
      <c r="B245" s="1929"/>
      <c r="C245" s="590"/>
      <c r="D245" s="43"/>
      <c r="E245" s="42"/>
      <c r="F245" s="42">
        <f>D245*E245</f>
        <v>0</v>
      </c>
      <c r="G245" s="52"/>
    </row>
    <row r="246" spans="1:7" ht="13.5" thickBot="1" x14ac:dyDescent="0.25">
      <c r="A246" s="1930"/>
      <c r="B246" s="1931"/>
      <c r="C246" s="590"/>
      <c r="D246" s="43"/>
      <c r="E246" s="57"/>
      <c r="F246" s="57">
        <f>D246*E246</f>
        <v>0</v>
      </c>
      <c r="G246" s="68"/>
    </row>
    <row r="247" spans="1:7" ht="13.5" thickBot="1" x14ac:dyDescent="0.25">
      <c r="A247" s="1932" t="s">
        <v>125</v>
      </c>
      <c r="B247" s="1933"/>
      <c r="C247" s="1933"/>
      <c r="D247" s="1933"/>
      <c r="E247" s="1933"/>
      <c r="F247" s="1934" t="s">
        <v>113</v>
      </c>
      <c r="G247" s="54">
        <f>SUM(F246:F246)</f>
        <v>0</v>
      </c>
    </row>
    <row r="248" spans="1:7" ht="13.5" thickBot="1" x14ac:dyDescent="0.25">
      <c r="A248" s="40" t="s">
        <v>119</v>
      </c>
      <c r="B248" s="37"/>
      <c r="C248" s="598"/>
      <c r="D248" s="37"/>
      <c r="E248" s="37"/>
      <c r="F248" s="37"/>
      <c r="G248" s="37"/>
    </row>
    <row r="249" spans="1:7" ht="13.5" thickBot="1" x14ac:dyDescent="0.25">
      <c r="A249" s="1922" t="s">
        <v>120</v>
      </c>
      <c r="B249" s="1923"/>
      <c r="C249" s="600" t="s">
        <v>121</v>
      </c>
      <c r="D249" s="64" t="s">
        <v>114</v>
      </c>
      <c r="E249" s="64" t="s">
        <v>116</v>
      </c>
      <c r="F249" s="64" t="s">
        <v>112</v>
      </c>
      <c r="G249" s="71"/>
    </row>
    <row r="250" spans="1:7" x14ac:dyDescent="0.2">
      <c r="A250" s="2255" t="e">
        <f>+#REF!</f>
        <v>#REF!</v>
      </c>
      <c r="B250" s="2256"/>
      <c r="C250" s="607">
        <v>7410.9600847008996</v>
      </c>
      <c r="D250" s="174">
        <v>1</v>
      </c>
      <c r="E250" s="174">
        <v>0.5</v>
      </c>
      <c r="F250" s="78">
        <f>+(C250*D250)*E250</f>
        <v>3705.4800423504498</v>
      </c>
      <c r="G250" s="52"/>
    </row>
    <row r="251" spans="1:7" ht="13.5" thickBot="1" x14ac:dyDescent="0.25">
      <c r="A251" s="2252" t="s">
        <v>22</v>
      </c>
      <c r="B251" s="1927"/>
      <c r="C251" s="608">
        <v>4374.7823749999998</v>
      </c>
      <c r="D251" s="175">
        <v>1</v>
      </c>
      <c r="E251" s="176">
        <f>+E250</f>
        <v>0.5</v>
      </c>
      <c r="F251" s="79">
        <f>+(C251*D251)*E251</f>
        <v>2187.3911874999999</v>
      </c>
      <c r="G251" s="58"/>
    </row>
    <row r="252" spans="1:7" ht="13.5" thickBot="1" x14ac:dyDescent="0.25">
      <c r="A252" s="1932" t="str">
        <f>+A247</f>
        <v>SUB-TOTAL</v>
      </c>
      <c r="B252" s="1933"/>
      <c r="C252" s="1933"/>
      <c r="D252" s="1933"/>
      <c r="E252" s="1933"/>
      <c r="F252" s="1934" t="s">
        <v>113</v>
      </c>
      <c r="G252" s="54">
        <f>SUM(F251:F251)</f>
        <v>2187.3911874999999</v>
      </c>
    </row>
    <row r="253" spans="1:7" ht="13.5" thickBot="1" x14ac:dyDescent="0.25">
      <c r="A253" s="37"/>
      <c r="B253" s="37"/>
      <c r="C253" s="598"/>
      <c r="D253" s="37"/>
      <c r="E253" s="37"/>
      <c r="F253" s="45"/>
      <c r="G253" s="37"/>
    </row>
    <row r="254" spans="1:7" ht="13.5" thickBot="1" x14ac:dyDescent="0.25">
      <c r="A254" s="1932" t="s">
        <v>156</v>
      </c>
      <c r="B254" s="1933"/>
      <c r="C254" s="1933"/>
      <c r="D254" s="1933"/>
      <c r="E254" s="1933"/>
      <c r="F254" s="1934"/>
      <c r="G254" s="72">
        <f>ROUND(G230+G242+G247+G252,0)</f>
        <v>8042</v>
      </c>
    </row>
    <row r="255" spans="1:7" x14ac:dyDescent="0.2">
      <c r="A255" s="34"/>
      <c r="B255" s="34"/>
      <c r="C255" s="597"/>
      <c r="D255" s="34"/>
      <c r="E255" s="34"/>
      <c r="F255" s="34"/>
      <c r="G255" s="34"/>
    </row>
    <row r="256" spans="1:7" ht="14.25" x14ac:dyDescent="0.2">
      <c r="A256" s="573" t="s">
        <v>790</v>
      </c>
      <c r="B256" s="572"/>
      <c r="C256" s="579"/>
      <c r="D256" s="34"/>
      <c r="E256" s="577" t="s">
        <v>791</v>
      </c>
      <c r="F256" s="34"/>
      <c r="G256" s="34"/>
    </row>
    <row r="257" spans="1:7" ht="14.25" x14ac:dyDescent="0.2">
      <c r="A257" s="573"/>
      <c r="B257" s="572"/>
      <c r="C257" s="579"/>
      <c r="D257" s="34"/>
      <c r="E257" s="577"/>
      <c r="F257" s="34"/>
      <c r="G257" s="34"/>
    </row>
    <row r="258" spans="1:7" ht="14.25" x14ac:dyDescent="0.2">
      <c r="A258" s="573"/>
      <c r="B258" s="572"/>
      <c r="C258" s="579"/>
      <c r="D258" s="34"/>
      <c r="E258" s="577"/>
      <c r="F258" s="34"/>
      <c r="G258" s="34"/>
    </row>
    <row r="259" spans="1:7" ht="14.25" x14ac:dyDescent="0.2">
      <c r="A259" s="574" t="e">
        <f>+A213</f>
        <v>#REF!</v>
      </c>
      <c r="B259" s="572"/>
      <c r="C259" s="579"/>
      <c r="D259" s="574" t="e">
        <f>+D213</f>
        <v>#REF!</v>
      </c>
      <c r="E259" s="34"/>
      <c r="F259" s="34"/>
      <c r="G259" s="34"/>
    </row>
    <row r="260" spans="1:7" ht="14.25" x14ac:dyDescent="0.2">
      <c r="A260" s="574" t="e">
        <f>+A214</f>
        <v>#REF!</v>
      </c>
      <c r="B260" s="572"/>
      <c r="C260" s="579"/>
      <c r="D260" s="574" t="e">
        <f>+D214</f>
        <v>#REF!</v>
      </c>
      <c r="E260" s="34"/>
      <c r="F260" s="34"/>
      <c r="G260" s="34"/>
    </row>
    <row r="261" spans="1:7" ht="14.25" x14ac:dyDescent="0.2">
      <c r="A261" s="574" t="e">
        <f>+A215</f>
        <v>#REF!</v>
      </c>
      <c r="B261" s="572"/>
      <c r="C261" s="579"/>
      <c r="D261" s="34"/>
      <c r="E261" s="34"/>
      <c r="F261" s="34"/>
      <c r="G261" s="34"/>
    </row>
    <row r="264" spans="1:7" ht="13.5" thickBot="1" x14ac:dyDescent="0.25"/>
    <row r="265" spans="1:7" ht="22.5" customHeight="1" x14ac:dyDescent="0.2">
      <c r="A265" s="2286" t="e">
        <f>+A219</f>
        <v>#REF!</v>
      </c>
      <c r="B265" s="1936"/>
      <c r="C265" s="1937"/>
      <c r="D265" s="50"/>
      <c r="E265" s="46"/>
      <c r="F265" s="46"/>
      <c r="G265" s="47"/>
    </row>
    <row r="266" spans="1:7" ht="27" customHeight="1" thickBot="1" x14ac:dyDescent="0.25">
      <c r="A266" s="1551" t="e">
        <f>+A220</f>
        <v>#REF!</v>
      </c>
      <c r="B266" s="1552"/>
      <c r="C266" s="1553"/>
      <c r="D266" s="48"/>
      <c r="E266" s="48"/>
      <c r="F266" s="48"/>
      <c r="G266" s="49"/>
    </row>
    <row r="267" spans="1:7" ht="13.5" thickBot="1" x14ac:dyDescent="0.25">
      <c r="A267" s="37"/>
      <c r="B267" s="37"/>
      <c r="C267" s="598"/>
      <c r="D267" s="37"/>
      <c r="E267" s="37"/>
      <c r="F267" s="37"/>
      <c r="G267" s="37"/>
    </row>
    <row r="268" spans="1:7" ht="56.25" customHeight="1" thickBot="1" x14ac:dyDescent="0.25">
      <c r="A268" s="1558" t="e">
        <f>+A222</f>
        <v>#REF!</v>
      </c>
      <c r="B268" s="1559"/>
      <c r="C268" s="1560"/>
      <c r="D268" s="2305" t="s">
        <v>849</v>
      </c>
      <c r="E268" s="1559"/>
      <c r="F268" s="1559"/>
      <c r="G268" s="1560"/>
    </row>
    <row r="269" spans="1:7" ht="13.5" thickBot="1" x14ac:dyDescent="0.25">
      <c r="A269" s="38"/>
      <c r="B269" s="38"/>
      <c r="C269" s="599"/>
      <c r="D269" s="38"/>
      <c r="E269" s="38"/>
      <c r="F269" s="38"/>
      <c r="G269" s="38"/>
    </row>
    <row r="270" spans="1:7" ht="13.5" thickBot="1" x14ac:dyDescent="0.25">
      <c r="A270" s="39"/>
      <c r="B270" s="37"/>
      <c r="C270" s="597"/>
      <c r="D270" s="60" t="s">
        <v>124</v>
      </c>
      <c r="E270" s="61" t="s">
        <v>2</v>
      </c>
      <c r="F270" s="59"/>
      <c r="G270" s="59"/>
    </row>
    <row r="271" spans="1:7" ht="13.5" thickBot="1" x14ac:dyDescent="0.25">
      <c r="A271" s="40" t="s">
        <v>108</v>
      </c>
      <c r="B271" s="37"/>
      <c r="C271" s="598"/>
      <c r="D271" s="37"/>
      <c r="E271" s="37"/>
      <c r="F271" s="37"/>
      <c r="G271" s="37"/>
    </row>
    <row r="272" spans="1:7" ht="13.5" thickBot="1" x14ac:dyDescent="0.25">
      <c r="A272" s="1530" t="s">
        <v>109</v>
      </c>
      <c r="B272" s="1554"/>
      <c r="C272" s="1531"/>
      <c r="D272" s="64" t="s">
        <v>110</v>
      </c>
      <c r="E272" s="64" t="s">
        <v>111</v>
      </c>
      <c r="F272" s="63" t="s">
        <v>112</v>
      </c>
      <c r="G272" s="66"/>
    </row>
    <row r="273" spans="1:7" ht="13.5" thickBot="1" x14ac:dyDescent="0.25">
      <c r="A273" s="1926" t="s">
        <v>131</v>
      </c>
      <c r="B273" s="1946"/>
      <c r="C273" s="1927"/>
      <c r="D273" s="55">
        <f>+D227</f>
        <v>1875</v>
      </c>
      <c r="E273" s="80">
        <v>4</v>
      </c>
      <c r="F273" s="580">
        <f>D273/E273</f>
        <v>468.75</v>
      </c>
      <c r="G273" s="52"/>
    </row>
    <row r="274" spans="1:7" x14ac:dyDescent="0.2">
      <c r="A274" s="1943"/>
      <c r="B274" s="1944"/>
      <c r="C274" s="1945"/>
      <c r="D274" s="42"/>
      <c r="E274" s="92"/>
      <c r="F274" s="580"/>
      <c r="G274" s="94"/>
    </row>
    <row r="275" spans="1:7" ht="13.5" thickBot="1" x14ac:dyDescent="0.25">
      <c r="A275" s="1926"/>
      <c r="B275" s="1946"/>
      <c r="C275" s="1927"/>
      <c r="D275" s="57"/>
      <c r="E275" s="81"/>
      <c r="F275" s="580"/>
      <c r="G275" s="58"/>
    </row>
    <row r="276" spans="1:7" ht="13.5" thickBot="1" x14ac:dyDescent="0.25">
      <c r="A276" s="1932" t="s">
        <v>125</v>
      </c>
      <c r="B276" s="1933"/>
      <c r="C276" s="1933"/>
      <c r="D276" s="1933"/>
      <c r="E276" s="1933"/>
      <c r="F276" s="1934"/>
      <c r="G276" s="54">
        <f>SUM(F273:F275)</f>
        <v>468.75</v>
      </c>
    </row>
    <row r="277" spans="1:7" ht="13.5" thickBot="1" x14ac:dyDescent="0.25">
      <c r="A277" s="40" t="s">
        <v>123</v>
      </c>
      <c r="B277" s="37"/>
      <c r="C277" s="598"/>
      <c r="D277" s="37"/>
      <c r="E277" s="37"/>
      <c r="F277" s="37"/>
      <c r="G277" s="37"/>
    </row>
    <row r="278" spans="1:7" ht="13.5" thickBot="1" x14ac:dyDescent="0.25">
      <c r="A278" s="1530" t="s">
        <v>109</v>
      </c>
      <c r="B278" s="1531"/>
      <c r="C278" s="600" t="s">
        <v>114</v>
      </c>
      <c r="D278" s="63" t="s">
        <v>115</v>
      </c>
      <c r="E278" s="63" t="s">
        <v>116</v>
      </c>
      <c r="F278" s="63" t="s">
        <v>112</v>
      </c>
      <c r="G278" s="66"/>
    </row>
    <row r="279" spans="1:7" x14ac:dyDescent="0.2">
      <c r="A279" s="2300" t="s">
        <v>854</v>
      </c>
      <c r="B279" s="2301"/>
      <c r="C279" s="610" t="s">
        <v>2</v>
      </c>
      <c r="D279" s="55">
        <v>47382.84057449695</v>
      </c>
      <c r="E279" s="51">
        <v>1</v>
      </c>
      <c r="F279" s="55">
        <f>+E279*D279</f>
        <v>47382.84057449695</v>
      </c>
      <c r="G279" s="52"/>
    </row>
    <row r="280" spans="1:7" x14ac:dyDescent="0.2">
      <c r="A280" s="2296"/>
      <c r="B280" s="2297"/>
      <c r="C280" s="603"/>
      <c r="D280" s="42"/>
      <c r="E280" s="41"/>
      <c r="F280" s="42"/>
      <c r="G280" s="53"/>
    </row>
    <row r="281" spans="1:7" x14ac:dyDescent="0.2">
      <c r="A281" s="2296"/>
      <c r="B281" s="2297"/>
      <c r="C281" s="603"/>
      <c r="D281" s="42"/>
      <c r="E281" s="41"/>
      <c r="F281" s="42"/>
      <c r="G281" s="53"/>
    </row>
    <row r="282" spans="1:7" x14ac:dyDescent="0.2">
      <c r="A282" s="2296"/>
      <c r="B282" s="2297"/>
      <c r="C282" s="603"/>
      <c r="D282" s="42"/>
      <c r="E282" s="41"/>
      <c r="F282" s="42"/>
      <c r="G282" s="53"/>
    </row>
    <row r="283" spans="1:7" x14ac:dyDescent="0.2">
      <c r="A283" s="2296"/>
      <c r="B283" s="2297"/>
      <c r="C283" s="603"/>
      <c r="D283" s="42"/>
      <c r="E283" s="41"/>
      <c r="F283" s="42"/>
      <c r="G283" s="53"/>
    </row>
    <row r="284" spans="1:7" x14ac:dyDescent="0.2">
      <c r="A284" s="2296"/>
      <c r="B284" s="2297"/>
      <c r="C284" s="603"/>
      <c r="D284" s="42"/>
      <c r="E284" s="41"/>
      <c r="F284" s="42"/>
      <c r="G284" s="53"/>
    </row>
    <row r="285" spans="1:7" x14ac:dyDescent="0.2">
      <c r="A285" s="2296"/>
      <c r="B285" s="2297"/>
      <c r="C285" s="603"/>
      <c r="D285" s="42"/>
      <c r="E285" s="41"/>
      <c r="F285" s="42"/>
      <c r="G285" s="53"/>
    </row>
    <row r="286" spans="1:7" x14ac:dyDescent="0.2">
      <c r="A286" s="2296"/>
      <c r="B286" s="2297"/>
      <c r="C286" s="603"/>
      <c r="D286" s="42"/>
      <c r="E286" s="41"/>
      <c r="F286" s="42"/>
      <c r="G286" s="53"/>
    </row>
    <row r="287" spans="1:7" x14ac:dyDescent="0.2">
      <c r="A287" s="2296"/>
      <c r="B287" s="2297"/>
      <c r="C287" s="603"/>
      <c r="D287" s="42"/>
      <c r="E287" s="41"/>
      <c r="F287" s="42"/>
      <c r="G287" s="53"/>
    </row>
    <row r="288" spans="1:7" x14ac:dyDescent="0.2">
      <c r="A288" s="2296"/>
      <c r="B288" s="2297"/>
      <c r="C288" s="603"/>
      <c r="D288" s="42"/>
      <c r="E288" s="41"/>
      <c r="F288" s="42"/>
      <c r="G288" s="53"/>
    </row>
    <row r="289" spans="1:7" x14ac:dyDescent="0.2">
      <c r="A289" s="2296"/>
      <c r="B289" s="2297"/>
      <c r="C289" s="603"/>
      <c r="D289" s="42"/>
      <c r="E289" s="41"/>
      <c r="F289" s="42"/>
      <c r="G289" s="53"/>
    </row>
    <row r="290" spans="1:7" ht="13.5" thickBot="1" x14ac:dyDescent="0.25">
      <c r="A290" s="2298"/>
      <c r="B290" s="2299"/>
      <c r="C290" s="604"/>
      <c r="D290" s="57"/>
      <c r="E290" s="56"/>
      <c r="F290" s="42"/>
      <c r="G290" s="58"/>
    </row>
    <row r="291" spans="1:7" ht="13.5" thickBot="1" x14ac:dyDescent="0.25">
      <c r="A291" s="1932" t="s">
        <v>125</v>
      </c>
      <c r="B291" s="1933"/>
      <c r="C291" s="1933"/>
      <c r="D291" s="1933"/>
      <c r="E291" s="1933"/>
      <c r="F291" s="1934" t="s">
        <v>113</v>
      </c>
      <c r="G291" s="54">
        <f>SUM(F279:F290)</f>
        <v>47382.84057449695</v>
      </c>
    </row>
    <row r="292" spans="1:7" ht="13.5" thickBot="1" x14ac:dyDescent="0.25">
      <c r="A292" s="40" t="s">
        <v>117</v>
      </c>
      <c r="B292" s="37"/>
      <c r="C292" s="598"/>
      <c r="D292" s="37"/>
      <c r="E292" s="37"/>
      <c r="F292" s="37"/>
      <c r="G292" s="37"/>
    </row>
    <row r="293" spans="1:7" ht="13.5" thickBot="1" x14ac:dyDescent="0.25">
      <c r="A293" s="1922" t="s">
        <v>109</v>
      </c>
      <c r="B293" s="1923"/>
      <c r="C293" s="605" t="s">
        <v>114</v>
      </c>
      <c r="D293" s="64" t="s">
        <v>115</v>
      </c>
      <c r="E293" s="64" t="s">
        <v>116</v>
      </c>
      <c r="F293" s="64" t="s">
        <v>112</v>
      </c>
      <c r="G293" s="67"/>
    </row>
    <row r="294" spans="1:7" x14ac:dyDescent="0.2">
      <c r="A294" s="1928"/>
      <c r="B294" s="1929"/>
      <c r="C294" s="590"/>
      <c r="D294" s="43"/>
      <c r="E294" s="42"/>
      <c r="F294" s="42">
        <f>D294*E294</f>
        <v>0</v>
      </c>
      <c r="G294" s="52"/>
    </row>
    <row r="295" spans="1:7" ht="13.5" thickBot="1" x14ac:dyDescent="0.25">
      <c r="A295" s="1930"/>
      <c r="B295" s="1931"/>
      <c r="C295" s="590"/>
      <c r="D295" s="43"/>
      <c r="E295" s="57"/>
      <c r="F295" s="57">
        <f>D295*E295</f>
        <v>0</v>
      </c>
      <c r="G295" s="68"/>
    </row>
    <row r="296" spans="1:7" ht="13.5" thickBot="1" x14ac:dyDescent="0.25">
      <c r="A296" s="1932" t="s">
        <v>125</v>
      </c>
      <c r="B296" s="1933"/>
      <c r="C296" s="1933"/>
      <c r="D296" s="1933"/>
      <c r="E296" s="1933"/>
      <c r="F296" s="1934" t="s">
        <v>113</v>
      </c>
      <c r="G296" s="54">
        <f>SUM(F295:F295)</f>
        <v>0</v>
      </c>
    </row>
    <row r="297" spans="1:7" ht="13.5" thickBot="1" x14ac:dyDescent="0.25">
      <c r="A297" s="40" t="s">
        <v>119</v>
      </c>
      <c r="B297" s="37"/>
      <c r="C297" s="598"/>
      <c r="D297" s="37"/>
      <c r="E297" s="37"/>
      <c r="F297" s="37"/>
      <c r="G297" s="37"/>
    </row>
    <row r="298" spans="1:7" ht="13.5" thickBot="1" x14ac:dyDescent="0.25">
      <c r="A298" s="1922" t="s">
        <v>120</v>
      </c>
      <c r="B298" s="1923"/>
      <c r="C298" s="600" t="s">
        <v>121</v>
      </c>
      <c r="D298" s="64" t="s">
        <v>114</v>
      </c>
      <c r="E298" s="64" t="s">
        <v>116</v>
      </c>
      <c r="F298" s="64" t="s">
        <v>112</v>
      </c>
      <c r="G298" s="71"/>
    </row>
    <row r="299" spans="1:7" x14ac:dyDescent="0.2">
      <c r="A299" s="2255" t="e">
        <f>+#REF!</f>
        <v>#REF!</v>
      </c>
      <c r="B299" s="2256"/>
      <c r="C299" s="607">
        <v>7410.9600847008996</v>
      </c>
      <c r="D299" s="174">
        <v>1</v>
      </c>
      <c r="E299" s="174">
        <v>0.3</v>
      </c>
      <c r="F299" s="78">
        <f>+(C299*D299)*E299</f>
        <v>2223.2880254102697</v>
      </c>
      <c r="G299" s="52"/>
    </row>
    <row r="300" spans="1:7" ht="13.5" thickBot="1" x14ac:dyDescent="0.25">
      <c r="A300" s="2252" t="s">
        <v>22</v>
      </c>
      <c r="B300" s="1927"/>
      <c r="C300" s="608">
        <v>4374.7823749999998</v>
      </c>
      <c r="D300" s="175">
        <v>1</v>
      </c>
      <c r="E300" s="176">
        <f>+E299</f>
        <v>0.3</v>
      </c>
      <c r="F300" s="79">
        <f>+(C300*D300)*E300</f>
        <v>1312.4347124999999</v>
      </c>
      <c r="G300" s="58"/>
    </row>
    <row r="301" spans="1:7" ht="13.5" thickBot="1" x14ac:dyDescent="0.25">
      <c r="A301" s="1932" t="str">
        <f>+A296</f>
        <v>SUB-TOTAL</v>
      </c>
      <c r="B301" s="1933"/>
      <c r="C301" s="1933"/>
      <c r="D301" s="1933"/>
      <c r="E301" s="1933"/>
      <c r="F301" s="1934" t="s">
        <v>113</v>
      </c>
      <c r="G301" s="619">
        <f>SUM(F300:F300)</f>
        <v>1312.4347124999999</v>
      </c>
    </row>
    <row r="302" spans="1:7" ht="13.5" thickBot="1" x14ac:dyDescent="0.25">
      <c r="A302" s="37"/>
      <c r="B302" s="37"/>
      <c r="C302" s="598"/>
      <c r="D302" s="37"/>
      <c r="E302" s="37"/>
      <c r="F302" s="45"/>
      <c r="G302" s="37"/>
    </row>
    <row r="303" spans="1:7" ht="13.5" thickBot="1" x14ac:dyDescent="0.25">
      <c r="A303" s="1932" t="s">
        <v>156</v>
      </c>
      <c r="B303" s="1933"/>
      <c r="C303" s="1933"/>
      <c r="D303" s="1933"/>
      <c r="E303" s="1933"/>
      <c r="F303" s="1934"/>
      <c r="G303" s="72">
        <f>ROUND(G276+G291+G296+G301,0)</f>
        <v>49164</v>
      </c>
    </row>
    <row r="304" spans="1:7" x14ac:dyDescent="0.2">
      <c r="A304" s="34"/>
      <c r="B304" s="34"/>
      <c r="C304" s="597"/>
      <c r="D304" s="34"/>
      <c r="E304" s="34"/>
      <c r="F304" s="34"/>
      <c r="G304" s="34"/>
    </row>
    <row r="305" spans="1:7" ht="14.25" x14ac:dyDescent="0.2">
      <c r="A305" s="573" t="s">
        <v>790</v>
      </c>
      <c r="B305" s="572"/>
      <c r="C305" s="579"/>
      <c r="D305" s="34"/>
      <c r="E305" s="577" t="s">
        <v>791</v>
      </c>
      <c r="F305" s="34"/>
      <c r="G305" s="34"/>
    </row>
    <row r="306" spans="1:7" ht="14.25" x14ac:dyDescent="0.2">
      <c r="A306" s="573"/>
      <c r="B306" s="572"/>
      <c r="C306" s="579"/>
      <c r="D306" s="34"/>
      <c r="E306" s="577"/>
      <c r="F306" s="34"/>
      <c r="G306" s="34"/>
    </row>
    <row r="307" spans="1:7" ht="14.25" x14ac:dyDescent="0.2">
      <c r="A307" s="573"/>
      <c r="B307" s="572"/>
      <c r="C307" s="579"/>
      <c r="D307" s="34"/>
      <c r="E307" s="577"/>
      <c r="F307" s="34"/>
      <c r="G307" s="34"/>
    </row>
    <row r="308" spans="1:7" ht="14.25" x14ac:dyDescent="0.2">
      <c r="A308" s="574" t="e">
        <f>+A259</f>
        <v>#REF!</v>
      </c>
      <c r="B308" s="572"/>
      <c r="C308" s="579"/>
      <c r="D308" s="574" t="e">
        <f>+D259</f>
        <v>#REF!</v>
      </c>
      <c r="E308" s="34"/>
      <c r="F308" s="34"/>
      <c r="G308" s="34"/>
    </row>
    <row r="309" spans="1:7" ht="14.25" x14ac:dyDescent="0.2">
      <c r="A309" s="574" t="e">
        <f>+A260</f>
        <v>#REF!</v>
      </c>
      <c r="B309" s="572"/>
      <c r="C309" s="579"/>
      <c r="D309" s="574" t="e">
        <f>+D260</f>
        <v>#REF!</v>
      </c>
      <c r="E309" s="34"/>
      <c r="F309" s="34"/>
      <c r="G309" s="34"/>
    </row>
    <row r="310" spans="1:7" ht="14.25" x14ac:dyDescent="0.2">
      <c r="A310" s="574" t="e">
        <f>+A261</f>
        <v>#REF!</v>
      </c>
      <c r="B310" s="572"/>
      <c r="C310" s="579"/>
      <c r="D310" s="34"/>
      <c r="E310" s="34"/>
      <c r="F310" s="34"/>
      <c r="G310" s="34"/>
    </row>
    <row r="313" spans="1:7" ht="13.5" thickBot="1" x14ac:dyDescent="0.25"/>
    <row r="314" spans="1:7" ht="21" customHeight="1" x14ac:dyDescent="0.2">
      <c r="A314" s="2286" t="e">
        <f>+A265</f>
        <v>#REF!</v>
      </c>
      <c r="B314" s="1936"/>
      <c r="C314" s="1937"/>
      <c r="D314" s="50"/>
      <c r="E314" s="46"/>
      <c r="F314" s="46"/>
      <c r="G314" s="47"/>
    </row>
    <row r="315" spans="1:7" ht="32.25" customHeight="1" thickBot="1" x14ac:dyDescent="0.25">
      <c r="A315" s="1551" t="e">
        <f>+A266</f>
        <v>#REF!</v>
      </c>
      <c r="B315" s="1552"/>
      <c r="C315" s="1553"/>
      <c r="D315" s="48"/>
      <c r="E315" s="48"/>
      <c r="F315" s="48"/>
      <c r="G315" s="49"/>
    </row>
    <row r="316" spans="1:7" ht="13.5" thickBot="1" x14ac:dyDescent="0.25">
      <c r="A316" s="37"/>
      <c r="B316" s="37"/>
      <c r="C316" s="598"/>
      <c r="D316" s="37"/>
      <c r="E316" s="37"/>
      <c r="F316" s="37"/>
      <c r="G316" s="37"/>
    </row>
    <row r="317" spans="1:7" ht="57.75" customHeight="1" thickBot="1" x14ac:dyDescent="0.25">
      <c r="A317" s="1558" t="e">
        <f>+A268</f>
        <v>#REF!</v>
      </c>
      <c r="B317" s="1559"/>
      <c r="C317" s="1560"/>
      <c r="D317" s="1565" t="s">
        <v>845</v>
      </c>
      <c r="E317" s="1559"/>
      <c r="F317" s="1559"/>
      <c r="G317" s="1560"/>
    </row>
    <row r="318" spans="1:7" ht="13.5" thickBot="1" x14ac:dyDescent="0.25">
      <c r="A318" s="38"/>
      <c r="B318" s="38"/>
      <c r="C318" s="599"/>
      <c r="D318" s="38"/>
      <c r="E318" s="38"/>
      <c r="F318" s="38"/>
      <c r="G318" s="38"/>
    </row>
    <row r="319" spans="1:7" ht="13.5" thickBot="1" x14ac:dyDescent="0.25">
      <c r="A319" s="39"/>
      <c r="B319" s="37"/>
      <c r="C319" s="597"/>
      <c r="D319" s="60" t="s">
        <v>124</v>
      </c>
      <c r="E319" s="61" t="s">
        <v>2</v>
      </c>
      <c r="F319" s="59"/>
      <c r="G319" s="59"/>
    </row>
    <row r="320" spans="1:7" ht="13.5" thickBot="1" x14ac:dyDescent="0.25">
      <c r="A320" s="40" t="s">
        <v>108</v>
      </c>
      <c r="B320" s="37"/>
      <c r="C320" s="598"/>
      <c r="D320" s="37"/>
      <c r="E320" s="37"/>
      <c r="F320" s="37"/>
      <c r="G320" s="37"/>
    </row>
    <row r="321" spans="1:7" ht="13.5" thickBot="1" x14ac:dyDescent="0.25">
      <c r="A321" s="1530" t="s">
        <v>109</v>
      </c>
      <c r="B321" s="1554"/>
      <c r="C321" s="1531"/>
      <c r="D321" s="64" t="s">
        <v>110</v>
      </c>
      <c r="E321" s="64" t="s">
        <v>111</v>
      </c>
      <c r="F321" s="63" t="s">
        <v>112</v>
      </c>
      <c r="G321" s="66"/>
    </row>
    <row r="322" spans="1:7" ht="13.5" thickBot="1" x14ac:dyDescent="0.25">
      <c r="A322" s="1926" t="s">
        <v>131</v>
      </c>
      <c r="B322" s="1946"/>
      <c r="C322" s="1927"/>
      <c r="D322" s="55">
        <f>+D273</f>
        <v>1875</v>
      </c>
      <c r="E322" s="80">
        <v>0.5</v>
      </c>
      <c r="F322" s="580">
        <f>D322/E322</f>
        <v>3750</v>
      </c>
      <c r="G322" s="52"/>
    </row>
    <row r="323" spans="1:7" x14ac:dyDescent="0.2">
      <c r="A323" s="1943"/>
      <c r="B323" s="1944"/>
      <c r="C323" s="1945"/>
      <c r="D323" s="42"/>
      <c r="E323" s="92"/>
      <c r="F323" s="580"/>
      <c r="G323" s="94"/>
    </row>
    <row r="324" spans="1:7" ht="13.5" thickBot="1" x14ac:dyDescent="0.25">
      <c r="A324" s="1926"/>
      <c r="B324" s="1946"/>
      <c r="C324" s="1927"/>
      <c r="D324" s="57"/>
      <c r="E324" s="81"/>
      <c r="F324" s="580"/>
      <c r="G324" s="58"/>
    </row>
    <row r="325" spans="1:7" ht="13.5" thickBot="1" x14ac:dyDescent="0.25">
      <c r="A325" s="1932" t="s">
        <v>125</v>
      </c>
      <c r="B325" s="1933"/>
      <c r="C325" s="1933"/>
      <c r="D325" s="1933"/>
      <c r="E325" s="1933"/>
      <c r="F325" s="1934"/>
      <c r="G325" s="54">
        <f>SUM(F322:F324)</f>
        <v>3750</v>
      </c>
    </row>
    <row r="326" spans="1:7" ht="13.5" thickBot="1" x14ac:dyDescent="0.25">
      <c r="A326" s="40" t="s">
        <v>123</v>
      </c>
      <c r="B326" s="37"/>
      <c r="C326" s="598"/>
      <c r="D326" s="37"/>
      <c r="E326" s="37"/>
      <c r="F326" s="37"/>
      <c r="G326" s="37"/>
    </row>
    <row r="327" spans="1:7" ht="13.5" thickBot="1" x14ac:dyDescent="0.25">
      <c r="A327" s="1530" t="s">
        <v>109</v>
      </c>
      <c r="B327" s="1531"/>
      <c r="C327" s="600" t="s">
        <v>114</v>
      </c>
      <c r="D327" s="63" t="s">
        <v>115</v>
      </c>
      <c r="E327" s="63" t="s">
        <v>116</v>
      </c>
      <c r="F327" s="63" t="s">
        <v>112</v>
      </c>
      <c r="G327" s="66"/>
    </row>
    <row r="328" spans="1:7" x14ac:dyDescent="0.2">
      <c r="A328" s="2300" t="s">
        <v>74</v>
      </c>
      <c r="B328" s="2301"/>
      <c r="C328" s="610" t="s">
        <v>6</v>
      </c>
      <c r="D328" s="55">
        <v>1215.3999999999999</v>
      </c>
      <c r="E328" s="51">
        <v>7</v>
      </c>
      <c r="F328" s="55">
        <f t="shared" ref="F328:F334" si="2">+E328*D328</f>
        <v>8507.7999999999993</v>
      </c>
      <c r="G328" s="52"/>
    </row>
    <row r="329" spans="1:7" x14ac:dyDescent="0.2">
      <c r="A329" s="2296" t="s">
        <v>819</v>
      </c>
      <c r="B329" s="2297"/>
      <c r="C329" s="603" t="s">
        <v>2</v>
      </c>
      <c r="D329" s="42">
        <v>328.03999999999996</v>
      </c>
      <c r="E329" s="41">
        <v>2</v>
      </c>
      <c r="F329" s="42">
        <f t="shared" si="2"/>
        <v>656.07999999999993</v>
      </c>
      <c r="G329" s="53"/>
    </row>
    <row r="330" spans="1:7" x14ac:dyDescent="0.2">
      <c r="A330" s="2296" t="s">
        <v>820</v>
      </c>
      <c r="B330" s="2297"/>
      <c r="C330" s="603" t="s">
        <v>2</v>
      </c>
      <c r="D330" s="42">
        <v>11546.3</v>
      </c>
      <c r="E330" s="41">
        <v>0.5</v>
      </c>
      <c r="F330" s="42">
        <f t="shared" si="2"/>
        <v>5773.15</v>
      </c>
      <c r="G330" s="53"/>
    </row>
    <row r="331" spans="1:7" x14ac:dyDescent="0.2">
      <c r="A331" s="2296" t="s">
        <v>821</v>
      </c>
      <c r="B331" s="2297"/>
      <c r="C331" s="603" t="s">
        <v>2</v>
      </c>
      <c r="D331" s="42">
        <v>729.24</v>
      </c>
      <c r="E331" s="41">
        <v>1</v>
      </c>
      <c r="F331" s="42">
        <f t="shared" si="2"/>
        <v>729.24</v>
      </c>
      <c r="G331" s="53"/>
    </row>
    <row r="332" spans="1:7" x14ac:dyDescent="0.2">
      <c r="A332" s="2296" t="s">
        <v>84</v>
      </c>
      <c r="B332" s="2297"/>
      <c r="C332" s="603" t="s">
        <v>2</v>
      </c>
      <c r="D332" s="42">
        <v>2006</v>
      </c>
      <c r="E332" s="41">
        <v>4</v>
      </c>
      <c r="F332" s="42">
        <f t="shared" si="2"/>
        <v>8024</v>
      </c>
      <c r="G332" s="53"/>
    </row>
    <row r="333" spans="1:7" x14ac:dyDescent="0.2">
      <c r="A333" s="2296" t="s">
        <v>822</v>
      </c>
      <c r="B333" s="2297"/>
      <c r="C333" s="603" t="s">
        <v>2</v>
      </c>
      <c r="D333" s="42">
        <v>6320.08</v>
      </c>
      <c r="E333" s="41">
        <v>0.25</v>
      </c>
      <c r="F333" s="42">
        <f t="shared" si="2"/>
        <v>1580.02</v>
      </c>
      <c r="G333" s="53"/>
    </row>
    <row r="334" spans="1:7" x14ac:dyDescent="0.2">
      <c r="A334" s="2296" t="s">
        <v>850</v>
      </c>
      <c r="B334" s="2297"/>
      <c r="C334" s="603" t="s">
        <v>2</v>
      </c>
      <c r="D334" s="42">
        <v>599106</v>
      </c>
      <c r="E334" s="41">
        <v>1</v>
      </c>
      <c r="F334" s="42">
        <f t="shared" si="2"/>
        <v>599106</v>
      </c>
      <c r="G334" s="53"/>
    </row>
    <row r="335" spans="1:7" x14ac:dyDescent="0.2">
      <c r="A335" s="2296"/>
      <c r="B335" s="2297"/>
      <c r="C335" s="603"/>
      <c r="D335" s="42"/>
      <c r="E335" s="41"/>
      <c r="F335" s="42"/>
      <c r="G335" s="53"/>
    </row>
    <row r="336" spans="1:7" ht="13.5" thickBot="1" x14ac:dyDescent="0.25">
      <c r="A336" s="2298"/>
      <c r="B336" s="2299"/>
      <c r="C336" s="604"/>
      <c r="D336" s="57"/>
      <c r="E336" s="56"/>
      <c r="F336" s="42"/>
      <c r="G336" s="58"/>
    </row>
    <row r="337" spans="1:7" ht="13.5" thickBot="1" x14ac:dyDescent="0.25">
      <c r="A337" s="1932" t="s">
        <v>125</v>
      </c>
      <c r="B337" s="1933"/>
      <c r="C337" s="1933"/>
      <c r="D337" s="1933"/>
      <c r="E337" s="1933"/>
      <c r="F337" s="1934" t="s">
        <v>113</v>
      </c>
      <c r="G337" s="54">
        <f>SUM(F328:F336)</f>
        <v>624376.29</v>
      </c>
    </row>
    <row r="338" spans="1:7" ht="13.5" thickBot="1" x14ac:dyDescent="0.25">
      <c r="A338" s="40" t="s">
        <v>117</v>
      </c>
      <c r="B338" s="37"/>
      <c r="C338" s="598"/>
      <c r="D338" s="37"/>
      <c r="E338" s="37"/>
      <c r="F338" s="37"/>
      <c r="G338" s="37"/>
    </row>
    <row r="339" spans="1:7" ht="13.5" thickBot="1" x14ac:dyDescent="0.25">
      <c r="A339" s="1922" t="s">
        <v>109</v>
      </c>
      <c r="B339" s="1923"/>
      <c r="C339" s="605" t="s">
        <v>114</v>
      </c>
      <c r="D339" s="64" t="s">
        <v>115</v>
      </c>
      <c r="E339" s="64" t="s">
        <v>116</v>
      </c>
      <c r="F339" s="64" t="s">
        <v>112</v>
      </c>
      <c r="G339" s="67"/>
    </row>
    <row r="340" spans="1:7" x14ac:dyDescent="0.2">
      <c r="A340" s="1928"/>
      <c r="B340" s="1929"/>
      <c r="C340" s="590"/>
      <c r="D340" s="43"/>
      <c r="E340" s="42"/>
      <c r="F340" s="42">
        <f>D340*E340</f>
        <v>0</v>
      </c>
      <c r="G340" s="52"/>
    </row>
    <row r="341" spans="1:7" ht="13.5" thickBot="1" x14ac:dyDescent="0.25">
      <c r="A341" s="1930"/>
      <c r="B341" s="1931"/>
      <c r="C341" s="590"/>
      <c r="D341" s="43"/>
      <c r="E341" s="57"/>
      <c r="F341" s="57">
        <f>D341*E341</f>
        <v>0</v>
      </c>
      <c r="G341" s="68"/>
    </row>
    <row r="342" spans="1:7" ht="13.5" thickBot="1" x14ac:dyDescent="0.25">
      <c r="A342" s="1932" t="s">
        <v>125</v>
      </c>
      <c r="B342" s="1933"/>
      <c r="C342" s="1933"/>
      <c r="D342" s="1933"/>
      <c r="E342" s="1933"/>
      <c r="F342" s="1934" t="s">
        <v>113</v>
      </c>
      <c r="G342" s="54">
        <f>SUM(F341:F341)</f>
        <v>0</v>
      </c>
    </row>
    <row r="343" spans="1:7" ht="13.5" thickBot="1" x14ac:dyDescent="0.25">
      <c r="A343" s="40" t="s">
        <v>119</v>
      </c>
      <c r="B343" s="37"/>
      <c r="C343" s="598"/>
      <c r="D343" s="37"/>
      <c r="E343" s="37"/>
      <c r="F343" s="37"/>
      <c r="G343" s="37"/>
    </row>
    <row r="344" spans="1:7" ht="13.5" thickBot="1" x14ac:dyDescent="0.25">
      <c r="A344" s="1922" t="s">
        <v>120</v>
      </c>
      <c r="B344" s="1923"/>
      <c r="C344" s="600" t="s">
        <v>121</v>
      </c>
      <c r="D344" s="64" t="s">
        <v>114</v>
      </c>
      <c r="E344" s="64" t="s">
        <v>116</v>
      </c>
      <c r="F344" s="64" t="s">
        <v>112</v>
      </c>
      <c r="G344" s="71"/>
    </row>
    <row r="345" spans="1:7" x14ac:dyDescent="0.2">
      <c r="A345" s="2255" t="e">
        <f>+#REF!</f>
        <v>#REF!</v>
      </c>
      <c r="B345" s="2256"/>
      <c r="C345" s="607">
        <v>7410.9600847008996</v>
      </c>
      <c r="D345" s="174">
        <v>1</v>
      </c>
      <c r="E345" s="174">
        <v>5</v>
      </c>
      <c r="F345" s="78">
        <f>+(C345*D345)*E345</f>
        <v>37054.800423504501</v>
      </c>
      <c r="G345" s="52"/>
    </row>
    <row r="346" spans="1:7" ht="13.5" thickBot="1" x14ac:dyDescent="0.25">
      <c r="A346" s="2252" t="s">
        <v>22</v>
      </c>
      <c r="B346" s="1927"/>
      <c r="C346" s="608">
        <v>4374.7823749999998</v>
      </c>
      <c r="D346" s="175">
        <v>1</v>
      </c>
      <c r="E346" s="176">
        <f>+E345</f>
        <v>5</v>
      </c>
      <c r="F346" s="79">
        <f>+(C346*D346)*E346</f>
        <v>21873.911874999998</v>
      </c>
      <c r="G346" s="58"/>
    </row>
    <row r="347" spans="1:7" ht="13.5" thickBot="1" x14ac:dyDescent="0.25">
      <c r="A347" s="1932" t="str">
        <f>+A342</f>
        <v>SUB-TOTAL</v>
      </c>
      <c r="B347" s="1933"/>
      <c r="C347" s="1933"/>
      <c r="D347" s="1933"/>
      <c r="E347" s="1933"/>
      <c r="F347" s="1934" t="s">
        <v>113</v>
      </c>
      <c r="G347" s="54">
        <f>SUM(F346:F346)</f>
        <v>21873.911874999998</v>
      </c>
    </row>
    <row r="348" spans="1:7" ht="13.5" thickBot="1" x14ac:dyDescent="0.25">
      <c r="A348" s="37"/>
      <c r="B348" s="37"/>
      <c r="C348" s="598"/>
      <c r="D348" s="37"/>
      <c r="E348" s="37"/>
      <c r="F348" s="45"/>
      <c r="G348" s="37"/>
    </row>
    <row r="349" spans="1:7" ht="13.5" thickBot="1" x14ac:dyDescent="0.25">
      <c r="A349" s="1932" t="s">
        <v>156</v>
      </c>
      <c r="B349" s="1933"/>
      <c r="C349" s="1933"/>
      <c r="D349" s="1933"/>
      <c r="E349" s="1933"/>
      <c r="F349" s="1934"/>
      <c r="G349" s="72">
        <f>ROUND(G325+G337+G342+G347,0)</f>
        <v>650000</v>
      </c>
    </row>
    <row r="350" spans="1:7" x14ac:dyDescent="0.2">
      <c r="A350" s="34"/>
      <c r="B350" s="34"/>
      <c r="C350" s="597"/>
      <c r="D350" s="34"/>
      <c r="E350" s="34"/>
      <c r="F350" s="34"/>
      <c r="G350" s="34"/>
    </row>
    <row r="351" spans="1:7" ht="14.25" x14ac:dyDescent="0.2">
      <c r="A351" s="573" t="s">
        <v>790</v>
      </c>
      <c r="B351" s="572"/>
      <c r="C351" s="579"/>
      <c r="D351" s="34"/>
      <c r="E351" s="577" t="s">
        <v>791</v>
      </c>
      <c r="F351" s="34"/>
      <c r="G351" s="34"/>
    </row>
    <row r="352" spans="1:7" ht="14.25" x14ac:dyDescent="0.2">
      <c r="A352" s="573"/>
      <c r="B352" s="572"/>
      <c r="C352" s="579"/>
      <c r="D352" s="34"/>
      <c r="E352" s="577"/>
      <c r="F352" s="34"/>
      <c r="G352" s="34"/>
    </row>
    <row r="353" spans="1:7" ht="14.25" x14ac:dyDescent="0.2">
      <c r="A353" s="573"/>
      <c r="B353" s="572"/>
      <c r="C353" s="579"/>
      <c r="D353" s="34"/>
      <c r="E353" s="577"/>
      <c r="F353" s="34"/>
      <c r="G353" s="34"/>
    </row>
    <row r="354" spans="1:7" ht="14.25" x14ac:dyDescent="0.2">
      <c r="A354" s="574" t="e">
        <f>+A308</f>
        <v>#REF!</v>
      </c>
      <c r="B354" s="572"/>
      <c r="C354" s="579"/>
      <c r="D354" s="574" t="e">
        <f>+D308</f>
        <v>#REF!</v>
      </c>
      <c r="E354" s="34"/>
      <c r="F354" s="34"/>
      <c r="G354" s="34"/>
    </row>
    <row r="355" spans="1:7" ht="14.25" x14ac:dyDescent="0.2">
      <c r="A355" s="574" t="e">
        <f>+A309</f>
        <v>#REF!</v>
      </c>
      <c r="B355" s="572"/>
      <c r="C355" s="579"/>
      <c r="D355" s="574" t="e">
        <f>+D309</f>
        <v>#REF!</v>
      </c>
      <c r="E355" s="34"/>
      <c r="F355" s="34"/>
      <c r="G355" s="34"/>
    </row>
    <row r="356" spans="1:7" ht="14.25" x14ac:dyDescent="0.2">
      <c r="A356" s="574" t="e">
        <f>+A310</f>
        <v>#REF!</v>
      </c>
      <c r="B356" s="572"/>
      <c r="C356" s="579"/>
      <c r="D356" s="34"/>
      <c r="E356" s="34"/>
      <c r="F356" s="34"/>
      <c r="G356" s="34"/>
    </row>
    <row r="359" spans="1:7" ht="13.5" thickBot="1" x14ac:dyDescent="0.25"/>
    <row r="360" spans="1:7" ht="21" customHeight="1" x14ac:dyDescent="0.2">
      <c r="A360" s="2286" t="e">
        <f>+A314</f>
        <v>#REF!</v>
      </c>
      <c r="B360" s="1936"/>
      <c r="C360" s="1937"/>
      <c r="D360" s="50"/>
      <c r="E360" s="46"/>
      <c r="F360" s="46"/>
      <c r="G360" s="47"/>
    </row>
    <row r="361" spans="1:7" ht="28.5" customHeight="1" thickBot="1" x14ac:dyDescent="0.25">
      <c r="A361" s="1551" t="e">
        <f>+A315</f>
        <v>#REF!</v>
      </c>
      <c r="B361" s="1552"/>
      <c r="C361" s="1553"/>
      <c r="D361" s="48"/>
      <c r="E361" s="48"/>
      <c r="F361" s="48"/>
      <c r="G361" s="49"/>
    </row>
    <row r="362" spans="1:7" ht="13.5" thickBot="1" x14ac:dyDescent="0.25">
      <c r="A362" s="37"/>
      <c r="B362" s="37"/>
      <c r="C362" s="598"/>
      <c r="D362" s="37"/>
      <c r="E362" s="37"/>
      <c r="F362" s="37"/>
      <c r="G362" s="37"/>
    </row>
    <row r="363" spans="1:7" ht="57.75" customHeight="1" thickBot="1" x14ac:dyDescent="0.25">
      <c r="A363" s="1558" t="e">
        <f>+A317</f>
        <v>#REF!</v>
      </c>
      <c r="B363" s="1559"/>
      <c r="C363" s="1560"/>
      <c r="D363" s="1565" t="s">
        <v>846</v>
      </c>
      <c r="E363" s="1559"/>
      <c r="F363" s="1559"/>
      <c r="G363" s="1560"/>
    </row>
    <row r="364" spans="1:7" ht="13.5" thickBot="1" x14ac:dyDescent="0.25">
      <c r="A364" s="38"/>
      <c r="B364" s="38"/>
      <c r="C364" s="599"/>
      <c r="D364" s="38"/>
      <c r="E364" s="38"/>
      <c r="F364" s="38"/>
      <c r="G364" s="38"/>
    </row>
    <row r="365" spans="1:7" ht="13.5" thickBot="1" x14ac:dyDescent="0.25">
      <c r="A365" s="39"/>
      <c r="B365" s="37"/>
      <c r="C365" s="597"/>
      <c r="D365" s="60" t="s">
        <v>124</v>
      </c>
      <c r="E365" s="61" t="s">
        <v>2</v>
      </c>
      <c r="F365" s="59"/>
      <c r="G365" s="59"/>
    </row>
    <row r="366" spans="1:7" ht="13.5" thickBot="1" x14ac:dyDescent="0.25">
      <c r="A366" s="40" t="s">
        <v>108</v>
      </c>
      <c r="B366" s="37"/>
      <c r="C366" s="598"/>
      <c r="D366" s="37"/>
      <c r="E366" s="37"/>
      <c r="F366" s="37"/>
      <c r="G366" s="37"/>
    </row>
    <row r="367" spans="1:7" ht="13.5" thickBot="1" x14ac:dyDescent="0.25">
      <c r="A367" s="1530" t="s">
        <v>109</v>
      </c>
      <c r="B367" s="1554"/>
      <c r="C367" s="1531"/>
      <c r="D367" s="64" t="s">
        <v>110</v>
      </c>
      <c r="E367" s="64" t="s">
        <v>111</v>
      </c>
      <c r="F367" s="63" t="s">
        <v>112</v>
      </c>
      <c r="G367" s="66"/>
    </row>
    <row r="368" spans="1:7" ht="13.5" thickBot="1" x14ac:dyDescent="0.25">
      <c r="A368" s="1926" t="s">
        <v>131</v>
      </c>
      <c r="B368" s="1946"/>
      <c r="C368" s="1927"/>
      <c r="D368" s="55">
        <f>+D322</f>
        <v>1875</v>
      </c>
      <c r="E368" s="80">
        <v>0.3933291366531026</v>
      </c>
      <c r="F368" s="580">
        <f>D368/E368</f>
        <v>4767.0000141730152</v>
      </c>
      <c r="G368" s="52"/>
    </row>
    <row r="369" spans="1:7" x14ac:dyDescent="0.2">
      <c r="A369" s="1943"/>
      <c r="B369" s="1944"/>
      <c r="C369" s="1945"/>
      <c r="D369" s="42"/>
      <c r="E369" s="92"/>
      <c r="F369" s="580"/>
      <c r="G369" s="94"/>
    </row>
    <row r="370" spans="1:7" ht="13.5" thickBot="1" x14ac:dyDescent="0.25">
      <c r="A370" s="1926"/>
      <c r="B370" s="1946"/>
      <c r="C370" s="1927"/>
      <c r="D370" s="57"/>
      <c r="E370" s="81"/>
      <c r="F370" s="580"/>
      <c r="G370" s="58"/>
    </row>
    <row r="371" spans="1:7" ht="13.5" thickBot="1" x14ac:dyDescent="0.25">
      <c r="A371" s="1932" t="s">
        <v>125</v>
      </c>
      <c r="B371" s="1933"/>
      <c r="C371" s="1933"/>
      <c r="D371" s="1933"/>
      <c r="E371" s="1933"/>
      <c r="F371" s="1934"/>
      <c r="G371" s="54">
        <f>SUM(F368:F370)</f>
        <v>4767.0000141730152</v>
      </c>
    </row>
    <row r="372" spans="1:7" ht="13.5" thickBot="1" x14ac:dyDescent="0.25">
      <c r="A372" s="40" t="s">
        <v>123</v>
      </c>
      <c r="B372" s="37"/>
      <c r="C372" s="598"/>
      <c r="D372" s="37"/>
      <c r="E372" s="37"/>
      <c r="F372" s="37"/>
      <c r="G372" s="37"/>
    </row>
    <row r="373" spans="1:7" ht="13.5" thickBot="1" x14ac:dyDescent="0.25">
      <c r="A373" s="1530" t="s">
        <v>109</v>
      </c>
      <c r="B373" s="1531"/>
      <c r="C373" s="600" t="s">
        <v>114</v>
      </c>
      <c r="D373" s="63" t="s">
        <v>115</v>
      </c>
      <c r="E373" s="63" t="s">
        <v>116</v>
      </c>
      <c r="F373" s="63" t="s">
        <v>112</v>
      </c>
      <c r="G373" s="66"/>
    </row>
    <row r="374" spans="1:7" x14ac:dyDescent="0.2">
      <c r="A374" s="2300" t="s">
        <v>851</v>
      </c>
      <c r="B374" s="2301"/>
      <c r="C374" s="610" t="s">
        <v>2</v>
      </c>
      <c r="D374" s="55">
        <v>724252.36629422707</v>
      </c>
      <c r="E374" s="51">
        <v>1</v>
      </c>
      <c r="F374" s="55">
        <f>+E374*D374</f>
        <v>724252.36629422707</v>
      </c>
      <c r="G374" s="52"/>
    </row>
    <row r="375" spans="1:7" x14ac:dyDescent="0.2">
      <c r="A375" s="2296"/>
      <c r="B375" s="2297"/>
      <c r="C375" s="603"/>
      <c r="D375" s="42"/>
      <c r="E375" s="41"/>
      <c r="F375" s="42"/>
      <c r="G375" s="53"/>
    </row>
    <row r="376" spans="1:7" x14ac:dyDescent="0.2">
      <c r="A376" s="2296"/>
      <c r="B376" s="2297"/>
      <c r="C376" s="603"/>
      <c r="D376" s="42"/>
      <c r="E376" s="41"/>
      <c r="F376" s="42"/>
      <c r="G376" s="53"/>
    </row>
    <row r="377" spans="1:7" x14ac:dyDescent="0.2">
      <c r="A377" s="2296"/>
      <c r="B377" s="2297"/>
      <c r="C377" s="603"/>
      <c r="D377" s="42"/>
      <c r="E377" s="41"/>
      <c r="F377" s="42"/>
      <c r="G377" s="53"/>
    </row>
    <row r="378" spans="1:7" x14ac:dyDescent="0.2">
      <c r="A378" s="2296"/>
      <c r="B378" s="2297"/>
      <c r="C378" s="603"/>
      <c r="D378" s="42"/>
      <c r="E378" s="41"/>
      <c r="F378" s="42"/>
      <c r="G378" s="53"/>
    </row>
    <row r="379" spans="1:7" x14ac:dyDescent="0.2">
      <c r="A379" s="2296"/>
      <c r="B379" s="2297"/>
      <c r="C379" s="603"/>
      <c r="D379" s="42"/>
      <c r="E379" s="41"/>
      <c r="F379" s="42"/>
      <c r="G379" s="53"/>
    </row>
    <row r="380" spans="1:7" x14ac:dyDescent="0.2">
      <c r="A380" s="2296"/>
      <c r="B380" s="2297"/>
      <c r="C380" s="603"/>
      <c r="D380" s="42"/>
      <c r="E380" s="41"/>
      <c r="F380" s="42"/>
      <c r="G380" s="53"/>
    </row>
    <row r="381" spans="1:7" x14ac:dyDescent="0.2">
      <c r="A381" s="2296"/>
      <c r="B381" s="2297"/>
      <c r="C381" s="603"/>
      <c r="D381" s="42"/>
      <c r="E381" s="41"/>
      <c r="F381" s="42"/>
      <c r="G381" s="53"/>
    </row>
    <row r="382" spans="1:7" x14ac:dyDescent="0.2">
      <c r="A382" s="2296"/>
      <c r="B382" s="2297"/>
      <c r="C382" s="603"/>
      <c r="D382" s="42"/>
      <c r="E382" s="41"/>
      <c r="F382" s="42"/>
      <c r="G382" s="53"/>
    </row>
    <row r="383" spans="1:7" x14ac:dyDescent="0.2">
      <c r="A383" s="2296"/>
      <c r="B383" s="2297"/>
      <c r="C383" s="603"/>
      <c r="D383" s="42"/>
      <c r="E383" s="41"/>
      <c r="F383" s="42"/>
      <c r="G383" s="53"/>
    </row>
    <row r="384" spans="1:7" ht="13.5" thickBot="1" x14ac:dyDescent="0.25">
      <c r="A384" s="2298"/>
      <c r="B384" s="2299"/>
      <c r="C384" s="604"/>
      <c r="D384" s="57"/>
      <c r="E384" s="56"/>
      <c r="F384" s="42"/>
      <c r="G384" s="58"/>
    </row>
    <row r="385" spans="1:7" ht="13.5" thickBot="1" x14ac:dyDescent="0.25">
      <c r="A385" s="1932" t="s">
        <v>125</v>
      </c>
      <c r="B385" s="1933"/>
      <c r="C385" s="1933"/>
      <c r="D385" s="1933"/>
      <c r="E385" s="1933"/>
      <c r="F385" s="1934" t="s">
        <v>113</v>
      </c>
      <c r="G385" s="54">
        <f>SUM(F374:F384)</f>
        <v>724252.36629422707</v>
      </c>
    </row>
    <row r="386" spans="1:7" ht="13.5" thickBot="1" x14ac:dyDescent="0.25">
      <c r="A386" s="40" t="s">
        <v>117</v>
      </c>
      <c r="B386" s="37"/>
      <c r="C386" s="598"/>
      <c r="D386" s="37"/>
      <c r="E386" s="37"/>
      <c r="F386" s="37"/>
      <c r="G386" s="37"/>
    </row>
    <row r="387" spans="1:7" ht="13.5" thickBot="1" x14ac:dyDescent="0.25">
      <c r="A387" s="1922" t="s">
        <v>109</v>
      </c>
      <c r="B387" s="1923"/>
      <c r="C387" s="605" t="s">
        <v>114</v>
      </c>
      <c r="D387" s="618" t="s">
        <v>853</v>
      </c>
      <c r="E387" s="64" t="s">
        <v>111</v>
      </c>
      <c r="F387" s="64" t="s">
        <v>112</v>
      </c>
      <c r="G387" s="67"/>
    </row>
    <row r="388" spans="1:7" x14ac:dyDescent="0.2">
      <c r="A388" s="1943" t="s">
        <v>852</v>
      </c>
      <c r="B388" s="1945"/>
      <c r="C388" s="590" t="s">
        <v>2</v>
      </c>
      <c r="D388" s="42">
        <v>25000</v>
      </c>
      <c r="E388" s="174">
        <v>0.75</v>
      </c>
      <c r="F388" s="42">
        <f>+D388*E388</f>
        <v>18750</v>
      </c>
      <c r="G388" s="52"/>
    </row>
    <row r="389" spans="1:7" ht="13.5" thickBot="1" x14ac:dyDescent="0.25">
      <c r="A389" s="1930"/>
      <c r="B389" s="1931"/>
      <c r="C389" s="590"/>
      <c r="D389" s="43"/>
      <c r="E389" s="57"/>
      <c r="F389" s="57">
        <f>D389*E389</f>
        <v>0</v>
      </c>
      <c r="G389" s="68"/>
    </row>
    <row r="390" spans="1:7" ht="13.5" thickBot="1" x14ac:dyDescent="0.25">
      <c r="A390" s="1932" t="s">
        <v>125</v>
      </c>
      <c r="B390" s="1933"/>
      <c r="C390" s="1933"/>
      <c r="D390" s="1933"/>
      <c r="E390" s="1933"/>
      <c r="F390" s="1934" t="s">
        <v>113</v>
      </c>
      <c r="G390" s="54">
        <f>SUM(F388:F389)</f>
        <v>18750</v>
      </c>
    </row>
    <row r="391" spans="1:7" ht="13.5" thickBot="1" x14ac:dyDescent="0.25">
      <c r="A391" s="40" t="s">
        <v>119</v>
      </c>
      <c r="B391" s="37"/>
      <c r="C391" s="598"/>
      <c r="D391" s="37"/>
      <c r="E391" s="37"/>
      <c r="F391" s="37"/>
      <c r="G391" s="37"/>
    </row>
    <row r="392" spans="1:7" ht="13.5" thickBot="1" x14ac:dyDescent="0.25">
      <c r="A392" s="1922" t="s">
        <v>120</v>
      </c>
      <c r="B392" s="1923"/>
      <c r="C392" s="600" t="s">
        <v>121</v>
      </c>
      <c r="D392" s="64" t="s">
        <v>114</v>
      </c>
      <c r="E392" s="64" t="s">
        <v>116</v>
      </c>
      <c r="F392" s="64" t="s">
        <v>112</v>
      </c>
      <c r="G392" s="71"/>
    </row>
    <row r="393" spans="1:7" x14ac:dyDescent="0.2">
      <c r="A393" s="2255" t="e">
        <f>+#REF!</f>
        <v>#REF!</v>
      </c>
      <c r="B393" s="2256"/>
      <c r="C393" s="607">
        <v>7410.9600847008996</v>
      </c>
      <c r="D393" s="174">
        <v>1</v>
      </c>
      <c r="E393" s="174">
        <v>0.8</v>
      </c>
      <c r="F393" s="78">
        <f>+(C393*D393)*E393</f>
        <v>5928.7680677607204</v>
      </c>
      <c r="G393" s="52"/>
    </row>
    <row r="394" spans="1:7" ht="13.5" thickBot="1" x14ac:dyDescent="0.25">
      <c r="A394" s="2252" t="s">
        <v>22</v>
      </c>
      <c r="B394" s="1927"/>
      <c r="C394" s="608">
        <v>4374.7823749999998</v>
      </c>
      <c r="D394" s="175">
        <v>1</v>
      </c>
      <c r="E394" s="176">
        <f>+E393</f>
        <v>0.8</v>
      </c>
      <c r="F394" s="79">
        <f>+(C394*D394)*E394</f>
        <v>3499.8258999999998</v>
      </c>
      <c r="G394" s="58"/>
    </row>
    <row r="395" spans="1:7" ht="13.5" thickBot="1" x14ac:dyDescent="0.25">
      <c r="A395" s="1932" t="str">
        <f>+A390</f>
        <v>SUB-TOTAL</v>
      </c>
      <c r="B395" s="1933"/>
      <c r="C395" s="1933"/>
      <c r="D395" s="1933"/>
      <c r="E395" s="1933"/>
      <c r="F395" s="1934" t="s">
        <v>113</v>
      </c>
      <c r="G395" s="54">
        <f>SUM(F394:F394)</f>
        <v>3499.8258999999998</v>
      </c>
    </row>
    <row r="396" spans="1:7" ht="13.5" thickBot="1" x14ac:dyDescent="0.25">
      <c r="A396" s="37"/>
      <c r="B396" s="37"/>
      <c r="C396" s="598"/>
      <c r="D396" s="37"/>
      <c r="E396" s="37"/>
      <c r="F396" s="45"/>
      <c r="G396" s="37"/>
    </row>
    <row r="397" spans="1:7" ht="13.5" thickBot="1" x14ac:dyDescent="0.25">
      <c r="A397" s="1932" t="s">
        <v>156</v>
      </c>
      <c r="B397" s="1933"/>
      <c r="C397" s="1933"/>
      <c r="D397" s="1933"/>
      <c r="E397" s="1933"/>
      <c r="F397" s="1934"/>
      <c r="G397" s="72">
        <f>ROUND(G371+G385+G390+G395,0)</f>
        <v>751269</v>
      </c>
    </row>
    <row r="398" spans="1:7" x14ac:dyDescent="0.2">
      <c r="A398" s="34"/>
      <c r="B398" s="34"/>
      <c r="C398" s="597"/>
      <c r="D398" s="34"/>
      <c r="E398" s="34"/>
      <c r="F398" s="34"/>
      <c r="G398" s="34"/>
    </row>
    <row r="399" spans="1:7" ht="14.25" x14ac:dyDescent="0.2">
      <c r="A399" s="573" t="s">
        <v>790</v>
      </c>
      <c r="B399" s="572"/>
      <c r="C399" s="579"/>
      <c r="D399" s="34"/>
      <c r="E399" s="577" t="s">
        <v>791</v>
      </c>
      <c r="F399" s="34"/>
      <c r="G399" s="34"/>
    </row>
    <row r="400" spans="1:7" ht="14.25" x14ac:dyDescent="0.2">
      <c r="A400" s="573"/>
      <c r="B400" s="572"/>
      <c r="C400" s="579"/>
      <c r="D400" s="34"/>
      <c r="E400" s="577"/>
      <c r="F400" s="34"/>
      <c r="G400" s="34"/>
    </row>
    <row r="401" spans="1:7" ht="14.25" x14ac:dyDescent="0.2">
      <c r="A401" s="573"/>
      <c r="B401" s="572"/>
      <c r="C401" s="579"/>
      <c r="D401" s="34"/>
      <c r="E401" s="577"/>
      <c r="F401" s="34"/>
      <c r="G401" s="34"/>
    </row>
    <row r="402" spans="1:7" ht="14.25" x14ac:dyDescent="0.2">
      <c r="A402" s="574" t="e">
        <f>+A354</f>
        <v>#REF!</v>
      </c>
      <c r="B402" s="572"/>
      <c r="C402" s="579"/>
      <c r="D402" s="574" t="e">
        <f>+D354</f>
        <v>#REF!</v>
      </c>
      <c r="E402" s="34"/>
      <c r="F402" s="34"/>
      <c r="G402" s="34"/>
    </row>
    <row r="403" spans="1:7" ht="14.25" x14ac:dyDescent="0.2">
      <c r="A403" s="574" t="e">
        <f>+A355</f>
        <v>#REF!</v>
      </c>
      <c r="B403" s="572"/>
      <c r="C403" s="579"/>
      <c r="D403" s="574" t="e">
        <f>+D355</f>
        <v>#REF!</v>
      </c>
      <c r="E403" s="34"/>
      <c r="F403" s="34"/>
      <c r="G403" s="34"/>
    </row>
    <row r="404" spans="1:7" ht="14.25" x14ac:dyDescent="0.2">
      <c r="A404" s="574" t="e">
        <f>+A356</f>
        <v>#REF!</v>
      </c>
      <c r="B404" s="572"/>
      <c r="C404" s="579"/>
      <c r="D404" s="34"/>
      <c r="E404" s="34"/>
      <c r="F404" s="34"/>
      <c r="G404" s="34"/>
    </row>
    <row r="407" spans="1:7" ht="13.5" thickBot="1" x14ac:dyDescent="0.25"/>
    <row r="408" spans="1:7" ht="20.25" customHeight="1" x14ac:dyDescent="0.2">
      <c r="A408" s="2286" t="e">
        <f>+A360</f>
        <v>#REF!</v>
      </c>
      <c r="B408" s="1936"/>
      <c r="C408" s="1937"/>
      <c r="D408" s="50"/>
      <c r="E408" s="46"/>
      <c r="F408" s="46"/>
      <c r="G408" s="47"/>
    </row>
    <row r="409" spans="1:7" ht="31.5" customHeight="1" thickBot="1" x14ac:dyDescent="0.25">
      <c r="A409" s="1551" t="e">
        <f>+A361</f>
        <v>#REF!</v>
      </c>
      <c r="B409" s="1552"/>
      <c r="C409" s="1553"/>
      <c r="D409" s="48"/>
      <c r="E409" s="48"/>
      <c r="F409" s="48"/>
      <c r="G409" s="49"/>
    </row>
    <row r="410" spans="1:7" ht="13.5" thickBot="1" x14ac:dyDescent="0.25">
      <c r="A410" s="37"/>
      <c r="B410" s="37"/>
      <c r="C410" s="598"/>
      <c r="D410" s="37"/>
      <c r="E410" s="37"/>
      <c r="F410" s="37"/>
      <c r="G410" s="37"/>
    </row>
    <row r="411" spans="1:7" ht="57" customHeight="1" thickBot="1" x14ac:dyDescent="0.25">
      <c r="A411" s="1558" t="e">
        <f>+A363</f>
        <v>#REF!</v>
      </c>
      <c r="B411" s="1559"/>
      <c r="C411" s="1560"/>
      <c r="D411" s="1565" t="s">
        <v>807</v>
      </c>
      <c r="E411" s="1559"/>
      <c r="F411" s="1559"/>
      <c r="G411" s="1560"/>
    </row>
    <row r="412" spans="1:7" ht="13.5" thickBot="1" x14ac:dyDescent="0.25">
      <c r="A412" s="38"/>
      <c r="B412" s="38"/>
      <c r="C412" s="599"/>
      <c r="D412" s="38"/>
      <c r="E412" s="38"/>
      <c r="F412" s="38"/>
      <c r="G412" s="38"/>
    </row>
    <row r="413" spans="1:7" ht="13.5" thickBot="1" x14ac:dyDescent="0.25">
      <c r="A413" s="39"/>
      <c r="B413" s="37"/>
      <c r="C413" s="597"/>
      <c r="D413" s="60" t="s">
        <v>124</v>
      </c>
      <c r="E413" s="61" t="s">
        <v>2</v>
      </c>
      <c r="F413" s="59"/>
      <c r="G413" s="59"/>
    </row>
    <row r="414" spans="1:7" ht="13.5" thickBot="1" x14ac:dyDescent="0.25">
      <c r="A414" s="40" t="s">
        <v>108</v>
      </c>
      <c r="B414" s="37"/>
      <c r="C414" s="598"/>
      <c r="D414" s="37"/>
      <c r="E414" s="37"/>
      <c r="F414" s="37"/>
      <c r="G414" s="37"/>
    </row>
    <row r="415" spans="1:7" ht="13.5" thickBot="1" x14ac:dyDescent="0.25">
      <c r="A415" s="1530" t="s">
        <v>109</v>
      </c>
      <c r="B415" s="1554"/>
      <c r="C415" s="1531"/>
      <c r="D415" s="64" t="s">
        <v>110</v>
      </c>
      <c r="E415" s="64" t="s">
        <v>111</v>
      </c>
      <c r="F415" s="63" t="s">
        <v>112</v>
      </c>
      <c r="G415" s="66"/>
    </row>
    <row r="416" spans="1:7" x14ac:dyDescent="0.2">
      <c r="A416" s="2284" t="s">
        <v>131</v>
      </c>
      <c r="B416" s="2285"/>
      <c r="C416" s="2285"/>
      <c r="D416" s="55">
        <f>+D368</f>
        <v>1875</v>
      </c>
      <c r="E416" s="80">
        <v>0.2</v>
      </c>
      <c r="F416" s="583">
        <f>D416/E416</f>
        <v>9375</v>
      </c>
      <c r="G416" s="52"/>
    </row>
    <row r="417" spans="1:7" x14ac:dyDescent="0.2">
      <c r="A417" s="2302" t="s">
        <v>139</v>
      </c>
      <c r="B417" s="2303"/>
      <c r="C417" s="2304"/>
      <c r="D417" s="438" t="e">
        <f>+#REF!</f>
        <v>#REF!</v>
      </c>
      <c r="E417" s="582">
        <v>0.72</v>
      </c>
      <c r="F417" s="580" t="e">
        <f>D417/E417</f>
        <v>#REF!</v>
      </c>
      <c r="G417" s="94"/>
    </row>
    <row r="418" spans="1:7" ht="13.5" thickBot="1" x14ac:dyDescent="0.25">
      <c r="A418" s="1926"/>
      <c r="B418" s="1946"/>
      <c r="C418" s="1927"/>
      <c r="D418" s="57"/>
      <c r="E418" s="81"/>
      <c r="F418" s="580"/>
      <c r="G418" s="58"/>
    </row>
    <row r="419" spans="1:7" ht="13.5" thickBot="1" x14ac:dyDescent="0.25">
      <c r="A419" s="1932" t="s">
        <v>125</v>
      </c>
      <c r="B419" s="1933"/>
      <c r="C419" s="1933"/>
      <c r="D419" s="1933"/>
      <c r="E419" s="1933"/>
      <c r="F419" s="1934"/>
      <c r="G419" s="54" t="e">
        <f>SUM(F416:F418)</f>
        <v>#REF!</v>
      </c>
    </row>
    <row r="420" spans="1:7" ht="13.5" thickBot="1" x14ac:dyDescent="0.25">
      <c r="A420" s="40" t="s">
        <v>123</v>
      </c>
      <c r="B420" s="37"/>
      <c r="C420" s="598"/>
      <c r="D420" s="37"/>
      <c r="E420" s="37"/>
      <c r="F420" s="37"/>
      <c r="G420" s="37"/>
    </row>
    <row r="421" spans="1:7" ht="13.5" thickBot="1" x14ac:dyDescent="0.25">
      <c r="A421" s="1530" t="s">
        <v>109</v>
      </c>
      <c r="B421" s="1531"/>
      <c r="C421" s="600" t="s">
        <v>114</v>
      </c>
      <c r="D421" s="63" t="s">
        <v>115</v>
      </c>
      <c r="E421" s="63" t="s">
        <v>116</v>
      </c>
      <c r="F421" s="63" t="s">
        <v>112</v>
      </c>
      <c r="G421" s="66"/>
    </row>
    <row r="422" spans="1:7" x14ac:dyDescent="0.2">
      <c r="A422" s="2300" t="s">
        <v>45</v>
      </c>
      <c r="B422" s="2301"/>
      <c r="C422" s="610" t="s">
        <v>2</v>
      </c>
      <c r="D422" s="55">
        <v>4618.5199999999995</v>
      </c>
      <c r="E422" s="51">
        <v>3</v>
      </c>
      <c r="F422" s="55">
        <f>+E422*D422</f>
        <v>13855.559999999998</v>
      </c>
      <c r="G422" s="52"/>
    </row>
    <row r="423" spans="1:7" x14ac:dyDescent="0.2">
      <c r="A423" s="2296" t="s">
        <v>824</v>
      </c>
      <c r="B423" s="2297"/>
      <c r="C423" s="603" t="s">
        <v>2</v>
      </c>
      <c r="D423" s="42">
        <v>99662.799999999988</v>
      </c>
      <c r="E423" s="41">
        <v>2</v>
      </c>
      <c r="F423" s="42">
        <f>+E423*D423</f>
        <v>199325.59999999998</v>
      </c>
      <c r="G423" s="53"/>
    </row>
    <row r="424" spans="1:7" x14ac:dyDescent="0.2">
      <c r="A424" s="2296" t="s">
        <v>823</v>
      </c>
      <c r="B424" s="2297"/>
      <c r="C424" s="603" t="s">
        <v>7</v>
      </c>
      <c r="D424" s="42">
        <v>16772.52</v>
      </c>
      <c r="E424" s="41">
        <v>0.13</v>
      </c>
      <c r="F424" s="42">
        <f>+E424*D424</f>
        <v>2180.4276</v>
      </c>
      <c r="G424" s="53"/>
    </row>
    <row r="425" spans="1:7" x14ac:dyDescent="0.2">
      <c r="A425" s="2296" t="s">
        <v>830</v>
      </c>
      <c r="B425" s="2297"/>
      <c r="C425" s="603" t="s">
        <v>64</v>
      </c>
      <c r="D425" s="42">
        <v>30385</v>
      </c>
      <c r="E425" s="41">
        <v>0.15</v>
      </c>
      <c r="F425" s="42">
        <f>+E425*D425</f>
        <v>4557.75</v>
      </c>
      <c r="G425" s="53"/>
    </row>
    <row r="426" spans="1:7" x14ac:dyDescent="0.2">
      <c r="A426" s="2296" t="s">
        <v>838</v>
      </c>
      <c r="B426" s="2297"/>
      <c r="C426" s="603" t="s">
        <v>2</v>
      </c>
      <c r="D426" s="42">
        <v>82477.279999999999</v>
      </c>
      <c r="E426" s="41">
        <v>1</v>
      </c>
      <c r="F426" s="42">
        <f>+E426*D426</f>
        <v>82477.279999999999</v>
      </c>
      <c r="G426" s="53"/>
    </row>
    <row r="427" spans="1:7" x14ac:dyDescent="0.2">
      <c r="A427" s="2296"/>
      <c r="B427" s="2297"/>
      <c r="C427" s="603"/>
      <c r="D427" s="42"/>
      <c r="E427" s="41"/>
      <c r="F427" s="42"/>
      <c r="G427" s="53"/>
    </row>
    <row r="428" spans="1:7" x14ac:dyDescent="0.2">
      <c r="A428" s="2296"/>
      <c r="B428" s="2297"/>
      <c r="C428" s="603"/>
      <c r="D428" s="42"/>
      <c r="E428" s="41"/>
      <c r="F428" s="42"/>
      <c r="G428" s="53"/>
    </row>
    <row r="429" spans="1:7" x14ac:dyDescent="0.2">
      <c r="A429" s="2296"/>
      <c r="B429" s="2297"/>
      <c r="C429" s="603"/>
      <c r="D429" s="42"/>
      <c r="E429" s="41"/>
      <c r="F429" s="42"/>
      <c r="G429" s="53"/>
    </row>
    <row r="430" spans="1:7" x14ac:dyDescent="0.2">
      <c r="A430" s="2296"/>
      <c r="B430" s="2297"/>
      <c r="C430" s="603"/>
      <c r="D430" s="42"/>
      <c r="E430" s="41"/>
      <c r="F430" s="42"/>
      <c r="G430" s="53"/>
    </row>
    <row r="431" spans="1:7" x14ac:dyDescent="0.2">
      <c r="A431" s="2296"/>
      <c r="B431" s="2297"/>
      <c r="C431" s="603"/>
      <c r="D431" s="42"/>
      <c r="E431" s="41"/>
      <c r="F431" s="42"/>
      <c r="G431" s="53"/>
    </row>
    <row r="432" spans="1:7" ht="13.5" thickBot="1" x14ac:dyDescent="0.25">
      <c r="A432" s="2298"/>
      <c r="B432" s="2299"/>
      <c r="C432" s="604"/>
      <c r="D432" s="57"/>
      <c r="E432" s="56"/>
      <c r="F432" s="42"/>
      <c r="G432" s="58"/>
    </row>
    <row r="433" spans="1:7" ht="13.5" thickBot="1" x14ac:dyDescent="0.25">
      <c r="A433" s="1932" t="s">
        <v>125</v>
      </c>
      <c r="B433" s="1933"/>
      <c r="C433" s="1933"/>
      <c r="D433" s="1933"/>
      <c r="E433" s="1933"/>
      <c r="F433" s="1934" t="s">
        <v>113</v>
      </c>
      <c r="G433" s="54">
        <f>SUM(F422:F432)</f>
        <v>302396.6176</v>
      </c>
    </row>
    <row r="434" spans="1:7" ht="13.5" thickBot="1" x14ac:dyDescent="0.25">
      <c r="A434" s="40" t="s">
        <v>117</v>
      </c>
      <c r="B434" s="37"/>
      <c r="C434" s="598"/>
      <c r="D434" s="37"/>
      <c r="E434" s="37"/>
      <c r="F434" s="37"/>
      <c r="G434" s="37"/>
    </row>
    <row r="435" spans="1:7" ht="13.5" thickBot="1" x14ac:dyDescent="0.25">
      <c r="A435" s="1922" t="s">
        <v>109</v>
      </c>
      <c r="B435" s="1923"/>
      <c r="C435" s="605" t="s">
        <v>114</v>
      </c>
      <c r="D435" s="64" t="s">
        <v>115</v>
      </c>
      <c r="E435" s="64" t="s">
        <v>116</v>
      </c>
      <c r="F435" s="64" t="s">
        <v>112</v>
      </c>
      <c r="G435" s="67"/>
    </row>
    <row r="436" spans="1:7" x14ac:dyDescent="0.2">
      <c r="A436" s="1928" t="s">
        <v>205</v>
      </c>
      <c r="B436" s="1929"/>
      <c r="C436" s="590" t="s">
        <v>159</v>
      </c>
      <c r="D436" s="42">
        <v>60714.285714285717</v>
      </c>
      <c r="E436" s="42">
        <v>0.08</v>
      </c>
      <c r="F436" s="42">
        <f>D436*E436</f>
        <v>4857.1428571428578</v>
      </c>
      <c r="G436" s="52"/>
    </row>
    <row r="437" spans="1:7" ht="13.5" thickBot="1" x14ac:dyDescent="0.25">
      <c r="A437" s="1930"/>
      <c r="B437" s="1931"/>
      <c r="C437" s="590"/>
      <c r="D437" s="43"/>
      <c r="E437" s="57"/>
      <c r="F437" s="57">
        <f>D437*E437</f>
        <v>0</v>
      </c>
      <c r="G437" s="68"/>
    </row>
    <row r="438" spans="1:7" ht="13.5" thickBot="1" x14ac:dyDescent="0.25">
      <c r="A438" s="1932" t="s">
        <v>125</v>
      </c>
      <c r="B438" s="1933"/>
      <c r="C438" s="1933"/>
      <c r="D438" s="1933"/>
      <c r="E438" s="1933"/>
      <c r="F438" s="1934" t="s">
        <v>113</v>
      </c>
      <c r="G438" s="54">
        <f>+F437+F436</f>
        <v>4857.1428571428578</v>
      </c>
    </row>
    <row r="439" spans="1:7" ht="13.5" thickBot="1" x14ac:dyDescent="0.25">
      <c r="A439" s="40" t="s">
        <v>119</v>
      </c>
      <c r="B439" s="37"/>
      <c r="C439" s="598"/>
      <c r="D439" s="37"/>
      <c r="E439" s="37"/>
      <c r="F439" s="37"/>
      <c r="G439" s="37"/>
    </row>
    <row r="440" spans="1:7" ht="13.5" thickBot="1" x14ac:dyDescent="0.25">
      <c r="A440" s="1922" t="s">
        <v>120</v>
      </c>
      <c r="B440" s="1923"/>
      <c r="C440" s="600" t="s">
        <v>121</v>
      </c>
      <c r="D440" s="64" t="s">
        <v>114</v>
      </c>
      <c r="E440" s="64" t="s">
        <v>116</v>
      </c>
      <c r="F440" s="64" t="s">
        <v>112</v>
      </c>
      <c r="G440" s="71"/>
    </row>
    <row r="441" spans="1:7" x14ac:dyDescent="0.2">
      <c r="A441" s="2255" t="e">
        <f>+#REF!</f>
        <v>#REF!</v>
      </c>
      <c r="B441" s="2256"/>
      <c r="C441" s="607" t="e">
        <f>+#REF!</f>
        <v>#REF!</v>
      </c>
      <c r="D441" s="174">
        <v>1</v>
      </c>
      <c r="E441" s="174">
        <v>3.4606032918198171</v>
      </c>
      <c r="F441" s="78" t="e">
        <f>+(C441*D441)*E441</f>
        <v>#REF!</v>
      </c>
      <c r="G441" s="52"/>
    </row>
    <row r="442" spans="1:7" ht="13.5" thickBot="1" x14ac:dyDescent="0.25">
      <c r="A442" s="2252"/>
      <c r="B442" s="1927"/>
      <c r="C442" s="608"/>
      <c r="D442" s="175"/>
      <c r="E442" s="176"/>
      <c r="F442" s="79"/>
      <c r="G442" s="58"/>
    </row>
    <row r="443" spans="1:7" ht="13.5" thickBot="1" x14ac:dyDescent="0.25">
      <c r="A443" s="1932" t="str">
        <f>+A438</f>
        <v>SUB-TOTAL</v>
      </c>
      <c r="B443" s="1933"/>
      <c r="C443" s="1933"/>
      <c r="D443" s="1933"/>
      <c r="E443" s="1933"/>
      <c r="F443" s="1934" t="s">
        <v>113</v>
      </c>
      <c r="G443" s="54" t="e">
        <f>+F442+F441</f>
        <v>#REF!</v>
      </c>
    </row>
    <row r="444" spans="1:7" ht="13.5" thickBot="1" x14ac:dyDescent="0.25">
      <c r="A444" s="37"/>
      <c r="B444" s="37"/>
      <c r="C444" s="598"/>
      <c r="D444" s="37"/>
      <c r="E444" s="37"/>
      <c r="F444" s="45"/>
      <c r="G444" s="37"/>
    </row>
    <row r="445" spans="1:7" ht="13.5" thickBot="1" x14ac:dyDescent="0.25">
      <c r="A445" s="1932" t="s">
        <v>156</v>
      </c>
      <c r="B445" s="1933"/>
      <c r="C445" s="1933"/>
      <c r="D445" s="1933"/>
      <c r="E445" s="1933"/>
      <c r="F445" s="1934"/>
      <c r="G445" s="72" t="e">
        <f>ROUND(G419+G433+G438+G443,0)</f>
        <v>#REF!</v>
      </c>
    </row>
    <row r="446" spans="1:7" x14ac:dyDescent="0.2">
      <c r="A446" s="34"/>
      <c r="B446" s="34"/>
      <c r="C446" s="597"/>
      <c r="D446" s="34"/>
      <c r="E446" s="34"/>
      <c r="F446" s="34"/>
      <c r="G446" s="34"/>
    </row>
    <row r="447" spans="1:7" ht="14.25" x14ac:dyDescent="0.2">
      <c r="A447" s="573" t="s">
        <v>790</v>
      </c>
      <c r="B447" s="572"/>
      <c r="C447" s="579"/>
      <c r="D447" s="34"/>
      <c r="E447" s="577" t="s">
        <v>791</v>
      </c>
      <c r="F447" s="34"/>
      <c r="G447" s="34"/>
    </row>
    <row r="448" spans="1:7" ht="14.25" x14ac:dyDescent="0.2">
      <c r="A448" s="573"/>
      <c r="B448" s="572"/>
      <c r="C448" s="579"/>
      <c r="D448" s="34"/>
      <c r="E448" s="577"/>
      <c r="F448" s="34"/>
      <c r="G448" s="34"/>
    </row>
    <row r="449" spans="1:7" ht="14.25" x14ac:dyDescent="0.2">
      <c r="A449" s="573"/>
      <c r="B449" s="572"/>
      <c r="C449" s="579"/>
      <c r="D449" s="34"/>
      <c r="E449" s="577"/>
      <c r="F449" s="34"/>
      <c r="G449" s="34"/>
    </row>
    <row r="450" spans="1:7" ht="14.25" x14ac:dyDescent="0.2">
      <c r="A450" s="574" t="e">
        <f>+A402</f>
        <v>#REF!</v>
      </c>
      <c r="B450" s="572"/>
      <c r="C450" s="579"/>
      <c r="D450" s="574" t="e">
        <f>+D402</f>
        <v>#REF!</v>
      </c>
      <c r="E450" s="34"/>
      <c r="F450" s="34"/>
      <c r="G450" s="34"/>
    </row>
    <row r="451" spans="1:7" ht="14.25" x14ac:dyDescent="0.2">
      <c r="A451" s="574" t="e">
        <f>+A403</f>
        <v>#REF!</v>
      </c>
      <c r="B451" s="572"/>
      <c r="C451" s="579"/>
      <c r="D451" s="574" t="e">
        <f>+D403</f>
        <v>#REF!</v>
      </c>
      <c r="E451" s="34"/>
      <c r="F451" s="34"/>
      <c r="G451" s="34"/>
    </row>
    <row r="452" spans="1:7" ht="14.25" x14ac:dyDescent="0.2">
      <c r="A452" s="574" t="e">
        <f>+A404</f>
        <v>#REF!</v>
      </c>
      <c r="B452" s="572"/>
      <c r="C452" s="579"/>
      <c r="D452" s="34"/>
      <c r="E452" s="34"/>
      <c r="F452" s="34"/>
      <c r="G452" s="34"/>
    </row>
    <row r="455" spans="1:7" ht="13.5" thickBot="1" x14ac:dyDescent="0.25"/>
    <row r="456" spans="1:7" ht="22.5" customHeight="1" x14ac:dyDescent="0.2">
      <c r="A456" s="2286" t="e">
        <f>+A408</f>
        <v>#REF!</v>
      </c>
      <c r="B456" s="1936"/>
      <c r="C456" s="1937"/>
      <c r="D456" s="50"/>
      <c r="E456" s="46"/>
      <c r="F456" s="46"/>
      <c r="G456" s="47"/>
    </row>
    <row r="457" spans="1:7" ht="27" customHeight="1" thickBot="1" x14ac:dyDescent="0.25">
      <c r="A457" s="1551" t="e">
        <f>+A409</f>
        <v>#REF!</v>
      </c>
      <c r="B457" s="1552"/>
      <c r="C457" s="1553"/>
      <c r="D457" s="48"/>
      <c r="E457" s="48"/>
      <c r="F457" s="48"/>
      <c r="G457" s="49"/>
    </row>
    <row r="458" spans="1:7" ht="13.5" thickBot="1" x14ac:dyDescent="0.25">
      <c r="A458" s="37"/>
      <c r="B458" s="37"/>
      <c r="C458" s="598"/>
      <c r="D458" s="37"/>
      <c r="E458" s="37"/>
      <c r="F458" s="37"/>
      <c r="G458" s="37"/>
    </row>
    <row r="459" spans="1:7" ht="61.5" customHeight="1" thickBot="1" x14ac:dyDescent="0.25">
      <c r="A459" s="1558" t="e">
        <f>+A411</f>
        <v>#REF!</v>
      </c>
      <c r="B459" s="1559"/>
      <c r="C459" s="1560"/>
      <c r="D459" s="1565" t="s">
        <v>803</v>
      </c>
      <c r="E459" s="1559"/>
      <c r="F459" s="1559"/>
      <c r="G459" s="1560"/>
    </row>
    <row r="460" spans="1:7" ht="13.5" thickBot="1" x14ac:dyDescent="0.25">
      <c r="A460" s="38"/>
      <c r="B460" s="38"/>
      <c r="C460" s="599"/>
      <c r="D460" s="38"/>
      <c r="E460" s="38"/>
      <c r="F460" s="38"/>
      <c r="G460" s="38"/>
    </row>
    <row r="461" spans="1:7" ht="13.5" thickBot="1" x14ac:dyDescent="0.25">
      <c r="A461" s="39"/>
      <c r="B461" s="37"/>
      <c r="C461" s="597"/>
      <c r="D461" s="60" t="s">
        <v>124</v>
      </c>
      <c r="E461" s="61" t="s">
        <v>2</v>
      </c>
      <c r="F461" s="59"/>
      <c r="G461" s="59"/>
    </row>
    <row r="462" spans="1:7" ht="13.5" thickBot="1" x14ac:dyDescent="0.25">
      <c r="A462" s="40" t="s">
        <v>108</v>
      </c>
      <c r="B462" s="37"/>
      <c r="C462" s="598"/>
      <c r="D462" s="37"/>
      <c r="E462" s="37"/>
      <c r="F462" s="37"/>
      <c r="G462" s="37"/>
    </row>
    <row r="463" spans="1:7" ht="13.5" thickBot="1" x14ac:dyDescent="0.25">
      <c r="A463" s="1530" t="s">
        <v>109</v>
      </c>
      <c r="B463" s="1554"/>
      <c r="C463" s="1531"/>
      <c r="D463" s="64" t="s">
        <v>110</v>
      </c>
      <c r="E463" s="64" t="s">
        <v>111</v>
      </c>
      <c r="F463" s="63" t="s">
        <v>112</v>
      </c>
      <c r="G463" s="66"/>
    </row>
    <row r="464" spans="1:7" x14ac:dyDescent="0.2">
      <c r="A464" s="2284" t="s">
        <v>131</v>
      </c>
      <c r="B464" s="2285"/>
      <c r="C464" s="2285"/>
      <c r="D464" s="55">
        <f>+D416</f>
        <v>1875</v>
      </c>
      <c r="E464" s="80">
        <v>0.2</v>
      </c>
      <c r="F464" s="583">
        <f>D464/E464</f>
        <v>9375</v>
      </c>
      <c r="G464" s="52"/>
    </row>
    <row r="465" spans="1:7" x14ac:dyDescent="0.2">
      <c r="A465" s="2302" t="str">
        <f>+A417</f>
        <v>EQUIPO ELÉCTRICO SOLDADURA</v>
      </c>
      <c r="B465" s="2303"/>
      <c r="C465" s="2304"/>
      <c r="D465" s="438" t="e">
        <f>+D417</f>
        <v>#REF!</v>
      </c>
      <c r="E465" s="582" t="e">
        <f>+#REF!</f>
        <v>#REF!</v>
      </c>
      <c r="F465" s="580" t="e">
        <f>D465/E465</f>
        <v>#REF!</v>
      </c>
      <c r="G465" s="94"/>
    </row>
    <row r="466" spans="1:7" ht="13.5" thickBot="1" x14ac:dyDescent="0.25">
      <c r="A466" s="1926"/>
      <c r="B466" s="1946"/>
      <c r="C466" s="1927"/>
      <c r="D466" s="57"/>
      <c r="E466" s="81"/>
      <c r="F466" s="580"/>
      <c r="G466" s="58"/>
    </row>
    <row r="467" spans="1:7" ht="13.5" thickBot="1" x14ac:dyDescent="0.25">
      <c r="A467" s="1932" t="s">
        <v>125</v>
      </c>
      <c r="B467" s="1933"/>
      <c r="C467" s="1933"/>
      <c r="D467" s="1933"/>
      <c r="E467" s="1933"/>
      <c r="F467" s="1934"/>
      <c r="G467" s="54" t="e">
        <f>SUM(F464:F466)</f>
        <v>#REF!</v>
      </c>
    </row>
    <row r="468" spans="1:7" ht="13.5" thickBot="1" x14ac:dyDescent="0.25">
      <c r="A468" s="40" t="s">
        <v>123</v>
      </c>
      <c r="B468" s="37"/>
      <c r="C468" s="598"/>
      <c r="D468" s="37"/>
      <c r="E468" s="37"/>
      <c r="F468" s="37"/>
      <c r="G468" s="37"/>
    </row>
    <row r="469" spans="1:7" ht="13.5" thickBot="1" x14ac:dyDescent="0.25">
      <c r="A469" s="1530" t="s">
        <v>109</v>
      </c>
      <c r="B469" s="1531"/>
      <c r="C469" s="600" t="s">
        <v>114</v>
      </c>
      <c r="D469" s="63" t="s">
        <v>115</v>
      </c>
      <c r="E469" s="63" t="s">
        <v>116</v>
      </c>
      <c r="F469" s="63" t="s">
        <v>112</v>
      </c>
      <c r="G469" s="66"/>
    </row>
    <row r="470" spans="1:7" x14ac:dyDescent="0.2">
      <c r="A470" s="2300" t="s">
        <v>45</v>
      </c>
      <c r="B470" s="2301"/>
      <c r="C470" s="610" t="s">
        <v>2</v>
      </c>
      <c r="D470" s="55">
        <v>4618.5199999999995</v>
      </c>
      <c r="E470" s="41">
        <v>1</v>
      </c>
      <c r="F470" s="55">
        <f>+E470*D470</f>
        <v>4618.5199999999995</v>
      </c>
      <c r="G470" s="52"/>
    </row>
    <row r="471" spans="1:7" x14ac:dyDescent="0.2">
      <c r="A471" s="2296" t="s">
        <v>824</v>
      </c>
      <c r="B471" s="2297"/>
      <c r="C471" s="603" t="s">
        <v>2</v>
      </c>
      <c r="D471" s="42">
        <v>99662.799999999988</v>
      </c>
      <c r="E471" s="41">
        <v>0.5</v>
      </c>
      <c r="F471" s="42">
        <f>+E471*D471</f>
        <v>49831.399999999994</v>
      </c>
      <c r="G471" s="53"/>
    </row>
    <row r="472" spans="1:7" x14ac:dyDescent="0.2">
      <c r="A472" s="2296" t="s">
        <v>823</v>
      </c>
      <c r="B472" s="2297"/>
      <c r="C472" s="603" t="s">
        <v>7</v>
      </c>
      <c r="D472" s="42">
        <v>16772.52</v>
      </c>
      <c r="E472" s="41">
        <v>0.18</v>
      </c>
      <c r="F472" s="42">
        <f>+E472*D472</f>
        <v>3019.0536000000002</v>
      </c>
      <c r="G472" s="53"/>
    </row>
    <row r="473" spans="1:7" x14ac:dyDescent="0.2">
      <c r="A473" s="2296" t="s">
        <v>830</v>
      </c>
      <c r="B473" s="2297"/>
      <c r="C473" s="603" t="s">
        <v>64</v>
      </c>
      <c r="D473" s="42">
        <v>30385</v>
      </c>
      <c r="E473" s="41">
        <v>0.18</v>
      </c>
      <c r="F473" s="42">
        <f>+E473*D473</f>
        <v>5469.3</v>
      </c>
      <c r="G473" s="53"/>
    </row>
    <row r="474" spans="1:7" x14ac:dyDescent="0.2">
      <c r="A474" s="2296" t="s">
        <v>825</v>
      </c>
      <c r="B474" s="2297"/>
      <c r="C474" s="603" t="s">
        <v>6</v>
      </c>
      <c r="D474" s="42">
        <v>2350.56</v>
      </c>
      <c r="E474" s="41">
        <v>1.6</v>
      </c>
      <c r="F474" s="42">
        <f>+E474*D474</f>
        <v>3760.8960000000002</v>
      </c>
      <c r="G474" s="53"/>
    </row>
    <row r="475" spans="1:7" x14ac:dyDescent="0.2">
      <c r="A475" s="2296"/>
      <c r="B475" s="2297"/>
      <c r="C475" s="603"/>
      <c r="D475" s="42"/>
      <c r="E475" s="41"/>
      <c r="F475" s="42"/>
      <c r="G475" s="53"/>
    </row>
    <row r="476" spans="1:7" x14ac:dyDescent="0.2">
      <c r="A476" s="2296"/>
      <c r="B476" s="2297"/>
      <c r="C476" s="603"/>
      <c r="D476" s="42"/>
      <c r="E476" s="41"/>
      <c r="F476" s="42"/>
      <c r="G476" s="53"/>
    </row>
    <row r="477" spans="1:7" x14ac:dyDescent="0.2">
      <c r="A477" s="2296"/>
      <c r="B477" s="2297"/>
      <c r="C477" s="603"/>
      <c r="D477" s="42"/>
      <c r="E477" s="41"/>
      <c r="F477" s="42"/>
      <c r="G477" s="53"/>
    </row>
    <row r="478" spans="1:7" x14ac:dyDescent="0.2">
      <c r="A478" s="2296"/>
      <c r="B478" s="2297"/>
      <c r="C478" s="603"/>
      <c r="D478" s="42"/>
      <c r="E478" s="41"/>
      <c r="F478" s="42"/>
      <c r="G478" s="53"/>
    </row>
    <row r="479" spans="1:7" x14ac:dyDescent="0.2">
      <c r="A479" s="2296"/>
      <c r="B479" s="2297"/>
      <c r="C479" s="603"/>
      <c r="D479" s="42"/>
      <c r="E479" s="41"/>
      <c r="F479" s="42"/>
      <c r="G479" s="53"/>
    </row>
    <row r="480" spans="1:7" ht="13.5" thickBot="1" x14ac:dyDescent="0.25">
      <c r="A480" s="2298"/>
      <c r="B480" s="2299"/>
      <c r="C480" s="604"/>
      <c r="D480" s="57"/>
      <c r="E480" s="56"/>
      <c r="F480" s="42"/>
      <c r="G480" s="58"/>
    </row>
    <row r="481" spans="1:7" ht="13.5" thickBot="1" x14ac:dyDescent="0.25">
      <c r="A481" s="1932" t="s">
        <v>125</v>
      </c>
      <c r="B481" s="1933"/>
      <c r="C481" s="1933"/>
      <c r="D481" s="1933"/>
      <c r="E481" s="1933"/>
      <c r="F481" s="1934" t="s">
        <v>113</v>
      </c>
      <c r="G481" s="54">
        <f>SUM(F470:F480)</f>
        <v>66699.169599999994</v>
      </c>
    </row>
    <row r="482" spans="1:7" ht="13.5" thickBot="1" x14ac:dyDescent="0.25">
      <c r="A482" s="40" t="s">
        <v>117</v>
      </c>
      <c r="B482" s="37"/>
      <c r="C482" s="598"/>
      <c r="D482" s="37"/>
      <c r="E482" s="37"/>
      <c r="F482" s="37"/>
      <c r="G482" s="37"/>
    </row>
    <row r="483" spans="1:7" ht="13.5" thickBot="1" x14ac:dyDescent="0.25">
      <c r="A483" s="1922" t="s">
        <v>109</v>
      </c>
      <c r="B483" s="1923"/>
      <c r="C483" s="605" t="s">
        <v>114</v>
      </c>
      <c r="D483" s="64" t="s">
        <v>115</v>
      </c>
      <c r="E483" s="64" t="s">
        <v>116</v>
      </c>
      <c r="F483" s="64" t="s">
        <v>112</v>
      </c>
      <c r="G483" s="67"/>
    </row>
    <row r="484" spans="1:7" x14ac:dyDescent="0.2">
      <c r="A484" s="1928" t="s">
        <v>205</v>
      </c>
      <c r="B484" s="1929"/>
      <c r="C484" s="590" t="s">
        <v>159</v>
      </c>
      <c r="D484" s="42">
        <v>60714.285714285717</v>
      </c>
      <c r="E484" s="42">
        <v>0.08</v>
      </c>
      <c r="F484" s="42">
        <f>D484*E484</f>
        <v>4857.1428571428578</v>
      </c>
      <c r="G484" s="52"/>
    </row>
    <row r="485" spans="1:7" ht="13.5" thickBot="1" x14ac:dyDescent="0.25">
      <c r="A485" s="1930"/>
      <c r="B485" s="1931"/>
      <c r="C485" s="590"/>
      <c r="D485" s="43"/>
      <c r="E485" s="57"/>
      <c r="F485" s="57">
        <f>D485*E485</f>
        <v>0</v>
      </c>
      <c r="G485" s="68"/>
    </row>
    <row r="486" spans="1:7" ht="13.5" thickBot="1" x14ac:dyDescent="0.25">
      <c r="A486" s="1932" t="s">
        <v>125</v>
      </c>
      <c r="B486" s="1933"/>
      <c r="C486" s="1933"/>
      <c r="D486" s="1933"/>
      <c r="E486" s="1933"/>
      <c r="F486" s="1934" t="s">
        <v>113</v>
      </c>
      <c r="G486" s="54">
        <f>+F485+F484</f>
        <v>4857.1428571428578</v>
      </c>
    </row>
    <row r="487" spans="1:7" ht="13.5" thickBot="1" x14ac:dyDescent="0.25">
      <c r="A487" s="40" t="s">
        <v>119</v>
      </c>
      <c r="B487" s="37"/>
      <c r="C487" s="598"/>
      <c r="D487" s="37"/>
      <c r="E487" s="37"/>
      <c r="F487" s="37"/>
      <c r="G487" s="37"/>
    </row>
    <row r="488" spans="1:7" ht="13.5" thickBot="1" x14ac:dyDescent="0.25">
      <c r="A488" s="1922" t="s">
        <v>120</v>
      </c>
      <c r="B488" s="1923"/>
      <c r="C488" s="600" t="s">
        <v>121</v>
      </c>
      <c r="D488" s="64" t="s">
        <v>114</v>
      </c>
      <c r="E488" s="64" t="s">
        <v>116</v>
      </c>
      <c r="F488" s="64" t="s">
        <v>112</v>
      </c>
      <c r="G488" s="71"/>
    </row>
    <row r="489" spans="1:7" x14ac:dyDescent="0.2">
      <c r="A489" s="2255" t="e">
        <f>+A441</f>
        <v>#REF!</v>
      </c>
      <c r="B489" s="2256"/>
      <c r="C489" s="607" t="e">
        <f>+C441</f>
        <v>#REF!</v>
      </c>
      <c r="D489" s="174">
        <v>1</v>
      </c>
      <c r="E489" s="174">
        <v>2.1467757602394872</v>
      </c>
      <c r="F489" s="78" t="e">
        <f>+(C489*D489)*E489</f>
        <v>#REF!</v>
      </c>
      <c r="G489" s="52"/>
    </row>
    <row r="490" spans="1:7" ht="13.5" thickBot="1" x14ac:dyDescent="0.25">
      <c r="A490" s="2252"/>
      <c r="B490" s="1927"/>
      <c r="C490" s="608"/>
      <c r="D490" s="175"/>
      <c r="E490" s="176"/>
      <c r="F490" s="79"/>
      <c r="G490" s="58"/>
    </row>
    <row r="491" spans="1:7" ht="13.5" thickBot="1" x14ac:dyDescent="0.25">
      <c r="A491" s="1932" t="str">
        <f>+A486</f>
        <v>SUB-TOTAL</v>
      </c>
      <c r="B491" s="1933"/>
      <c r="C491" s="1933"/>
      <c r="D491" s="1933"/>
      <c r="E491" s="1933"/>
      <c r="F491" s="1934" t="s">
        <v>113</v>
      </c>
      <c r="G491" s="54" t="e">
        <f>+F490+F489</f>
        <v>#REF!</v>
      </c>
    </row>
    <row r="492" spans="1:7" ht="13.5" thickBot="1" x14ac:dyDescent="0.25">
      <c r="A492" s="37"/>
      <c r="B492" s="37"/>
      <c r="C492" s="598"/>
      <c r="D492" s="37"/>
      <c r="E492" s="37"/>
      <c r="F492" s="45"/>
      <c r="G492" s="37"/>
    </row>
    <row r="493" spans="1:7" ht="13.5" thickBot="1" x14ac:dyDescent="0.25">
      <c r="A493" s="1932" t="s">
        <v>156</v>
      </c>
      <c r="B493" s="1933"/>
      <c r="C493" s="1933"/>
      <c r="D493" s="1933"/>
      <c r="E493" s="1933"/>
      <c r="F493" s="1934"/>
      <c r="G493" s="72" t="e">
        <f>ROUND(G467+G481+G486+G491,0)</f>
        <v>#REF!</v>
      </c>
    </row>
    <row r="494" spans="1:7" x14ac:dyDescent="0.2">
      <c r="A494" s="34"/>
      <c r="B494" s="34"/>
      <c r="C494" s="597"/>
      <c r="D494" s="34"/>
      <c r="E494" s="34"/>
      <c r="F494" s="34"/>
      <c r="G494" s="34"/>
    </row>
    <row r="495" spans="1:7" ht="14.25" x14ac:dyDescent="0.2">
      <c r="A495" s="573" t="s">
        <v>790</v>
      </c>
      <c r="B495" s="572"/>
      <c r="C495" s="579"/>
      <c r="D495" s="34"/>
      <c r="E495" s="577" t="s">
        <v>791</v>
      </c>
      <c r="F495" s="34"/>
      <c r="G495" s="34"/>
    </row>
    <row r="496" spans="1:7" ht="14.25" x14ac:dyDescent="0.2">
      <c r="A496" s="573"/>
      <c r="B496" s="572"/>
      <c r="C496" s="579"/>
      <c r="D496" s="34"/>
      <c r="E496" s="577"/>
      <c r="F496" s="34"/>
      <c r="G496" s="34"/>
    </row>
    <row r="497" spans="1:7" ht="14.25" x14ac:dyDescent="0.2">
      <c r="A497" s="573"/>
      <c r="B497" s="572"/>
      <c r="C497" s="579"/>
      <c r="D497" s="34"/>
      <c r="E497" s="577"/>
      <c r="F497" s="34"/>
      <c r="G497" s="34"/>
    </row>
    <row r="498" spans="1:7" ht="14.25" x14ac:dyDescent="0.2">
      <c r="A498" s="574" t="e">
        <f>+A450</f>
        <v>#REF!</v>
      </c>
      <c r="B498" s="572"/>
      <c r="C498" s="579"/>
      <c r="D498" s="574" t="e">
        <f>+D450</f>
        <v>#REF!</v>
      </c>
      <c r="E498" s="34"/>
      <c r="F498" s="34"/>
      <c r="G498" s="34"/>
    </row>
    <row r="499" spans="1:7" ht="14.25" x14ac:dyDescent="0.2">
      <c r="A499" s="574" t="e">
        <f>+A451</f>
        <v>#REF!</v>
      </c>
      <c r="B499" s="572"/>
      <c r="C499" s="579"/>
      <c r="D499" s="574" t="e">
        <f>+D451</f>
        <v>#REF!</v>
      </c>
      <c r="E499" s="34"/>
      <c r="F499" s="34"/>
      <c r="G499" s="34"/>
    </row>
    <row r="500" spans="1:7" ht="14.25" x14ac:dyDescent="0.2">
      <c r="A500" s="574" t="e">
        <f>+A452</f>
        <v>#REF!</v>
      </c>
      <c r="B500" s="572"/>
      <c r="C500" s="579"/>
      <c r="D500" s="34"/>
      <c r="E500" s="34"/>
      <c r="F500" s="34"/>
      <c r="G500" s="34"/>
    </row>
    <row r="503" spans="1:7" ht="13.5" thickBot="1" x14ac:dyDescent="0.25"/>
    <row r="504" spans="1:7" ht="24.75" customHeight="1" x14ac:dyDescent="0.2">
      <c r="A504" s="2286" t="e">
        <f>+A456</f>
        <v>#REF!</v>
      </c>
      <c r="B504" s="1936"/>
      <c r="C504" s="1937"/>
      <c r="D504" s="50"/>
      <c r="E504" s="46"/>
      <c r="F504" s="46"/>
      <c r="G504" s="47"/>
    </row>
    <row r="505" spans="1:7" ht="26.25" customHeight="1" thickBot="1" x14ac:dyDescent="0.25">
      <c r="A505" s="1551" t="e">
        <f>+A457</f>
        <v>#REF!</v>
      </c>
      <c r="B505" s="1552"/>
      <c r="C505" s="1553"/>
      <c r="D505" s="48"/>
      <c r="E505" s="48"/>
      <c r="F505" s="48"/>
      <c r="G505" s="49"/>
    </row>
    <row r="506" spans="1:7" ht="13.5" thickBot="1" x14ac:dyDescent="0.25">
      <c r="A506" s="37"/>
      <c r="B506" s="37"/>
      <c r="C506" s="598"/>
      <c r="D506" s="37"/>
      <c r="E506" s="37"/>
      <c r="F506" s="37"/>
      <c r="G506" s="37"/>
    </row>
    <row r="507" spans="1:7" ht="60" customHeight="1" thickBot="1" x14ac:dyDescent="0.25">
      <c r="A507" s="1558" t="e">
        <f>+A459</f>
        <v>#REF!</v>
      </c>
      <c r="B507" s="1559"/>
      <c r="C507" s="1560"/>
      <c r="D507" s="1565" t="e">
        <f>+'PRES.FASE 1-ADUCCION'!#REF!</f>
        <v>#REF!</v>
      </c>
      <c r="E507" s="1559"/>
      <c r="F507" s="1559"/>
      <c r="G507" s="1560"/>
    </row>
    <row r="508" spans="1:7" ht="13.5" thickBot="1" x14ac:dyDescent="0.25">
      <c r="A508" s="38"/>
      <c r="B508" s="38"/>
      <c r="C508" s="599"/>
      <c r="D508" s="38"/>
      <c r="E508" s="38"/>
      <c r="F508" s="38"/>
      <c r="G508" s="38"/>
    </row>
    <row r="509" spans="1:7" ht="13.5" thickBot="1" x14ac:dyDescent="0.25">
      <c r="A509" s="39"/>
      <c r="B509" s="37"/>
      <c r="C509" s="597"/>
      <c r="D509" s="60" t="s">
        <v>124</v>
      </c>
      <c r="E509" s="61" t="s">
        <v>2</v>
      </c>
      <c r="F509" s="59"/>
      <c r="G509" s="59"/>
    </row>
    <row r="510" spans="1:7" ht="13.5" thickBot="1" x14ac:dyDescent="0.25">
      <c r="A510" s="40" t="s">
        <v>108</v>
      </c>
      <c r="B510" s="37"/>
      <c r="C510" s="598"/>
      <c r="D510" s="37"/>
      <c r="E510" s="37"/>
      <c r="F510" s="37"/>
      <c r="G510" s="37"/>
    </row>
    <row r="511" spans="1:7" ht="13.5" thickBot="1" x14ac:dyDescent="0.25">
      <c r="A511" s="1530" t="s">
        <v>109</v>
      </c>
      <c r="B511" s="1554"/>
      <c r="C511" s="1531"/>
      <c r="D511" s="64" t="s">
        <v>110</v>
      </c>
      <c r="E511" s="64" t="s">
        <v>111</v>
      </c>
      <c r="F511" s="63" t="s">
        <v>112</v>
      </c>
      <c r="G511" s="66"/>
    </row>
    <row r="512" spans="1:7" x14ac:dyDescent="0.2">
      <c r="A512" s="2284" t="s">
        <v>131</v>
      </c>
      <c r="B512" s="2285"/>
      <c r="C512" s="2285"/>
      <c r="D512" s="55">
        <f>+D464</f>
        <v>1875</v>
      </c>
      <c r="E512" s="80">
        <v>0.1</v>
      </c>
      <c r="F512" s="583">
        <f>D512/E512</f>
        <v>18750</v>
      </c>
      <c r="G512" s="52"/>
    </row>
    <row r="513" spans="1:7" x14ac:dyDescent="0.2">
      <c r="A513" s="2302" t="str">
        <f>+A465</f>
        <v>EQUIPO ELÉCTRICO SOLDADURA</v>
      </c>
      <c r="B513" s="2303"/>
      <c r="C513" s="2304"/>
      <c r="D513" s="438" t="e">
        <f>+D465</f>
        <v>#REF!</v>
      </c>
      <c r="E513" s="582">
        <v>0.25</v>
      </c>
      <c r="F513" s="580" t="e">
        <f>D513/E513</f>
        <v>#REF!</v>
      </c>
      <c r="G513" s="94"/>
    </row>
    <row r="514" spans="1:7" ht="13.5" thickBot="1" x14ac:dyDescent="0.25">
      <c r="A514" s="1926"/>
      <c r="B514" s="1946"/>
      <c r="C514" s="1927"/>
      <c r="D514" s="57"/>
      <c r="E514" s="81"/>
      <c r="F514" s="580"/>
      <c r="G514" s="58"/>
    </row>
    <row r="515" spans="1:7" ht="13.5" thickBot="1" x14ac:dyDescent="0.25">
      <c r="A515" s="1932" t="s">
        <v>125</v>
      </c>
      <c r="B515" s="1933"/>
      <c r="C515" s="1933"/>
      <c r="D515" s="1933"/>
      <c r="E515" s="1933"/>
      <c r="F515" s="1934"/>
      <c r="G515" s="54" t="e">
        <f>SUM(F512:F514)</f>
        <v>#REF!</v>
      </c>
    </row>
    <row r="516" spans="1:7" ht="13.5" thickBot="1" x14ac:dyDescent="0.25">
      <c r="A516" s="40" t="s">
        <v>123</v>
      </c>
      <c r="B516" s="37"/>
      <c r="C516" s="598"/>
      <c r="D516" s="37"/>
      <c r="E516" s="37"/>
      <c r="F516" s="37"/>
      <c r="G516" s="37"/>
    </row>
    <row r="517" spans="1:7" ht="13.5" thickBot="1" x14ac:dyDescent="0.25">
      <c r="A517" s="1530" t="s">
        <v>109</v>
      </c>
      <c r="B517" s="1531"/>
      <c r="C517" s="600" t="s">
        <v>114</v>
      </c>
      <c r="D517" s="63" t="s">
        <v>115</v>
      </c>
      <c r="E517" s="63" t="s">
        <v>116</v>
      </c>
      <c r="F517" s="63" t="s">
        <v>112</v>
      </c>
      <c r="G517" s="66"/>
    </row>
    <row r="518" spans="1:7" x14ac:dyDescent="0.2">
      <c r="A518" s="2300" t="s">
        <v>45</v>
      </c>
      <c r="B518" s="2301"/>
      <c r="C518" s="610" t="s">
        <v>2</v>
      </c>
      <c r="D518" s="55">
        <v>4618.5199999999995</v>
      </c>
      <c r="E518" s="51">
        <v>3</v>
      </c>
      <c r="F518" s="55">
        <f>+E518*D518</f>
        <v>13855.559999999998</v>
      </c>
      <c r="G518" s="52"/>
    </row>
    <row r="519" spans="1:7" x14ac:dyDescent="0.2">
      <c r="A519" s="2296" t="s">
        <v>824</v>
      </c>
      <c r="B519" s="2297"/>
      <c r="C519" s="603" t="s">
        <v>2</v>
      </c>
      <c r="D519" s="42">
        <v>99662.799999999988</v>
      </c>
      <c r="E519" s="41">
        <v>4.2</v>
      </c>
      <c r="F519" s="42">
        <f>+E519*D519</f>
        <v>418583.75999999995</v>
      </c>
      <c r="G519" s="53"/>
    </row>
    <row r="520" spans="1:7" x14ac:dyDescent="0.2">
      <c r="A520" s="2296" t="s">
        <v>823</v>
      </c>
      <c r="B520" s="2297"/>
      <c r="C520" s="603" t="s">
        <v>7</v>
      </c>
      <c r="D520" s="42">
        <v>16772.52</v>
      </c>
      <c r="E520" s="41">
        <v>0.35</v>
      </c>
      <c r="F520" s="42">
        <f>+E520*D520</f>
        <v>5870.3819999999996</v>
      </c>
      <c r="G520" s="53"/>
    </row>
    <row r="521" spans="1:7" x14ac:dyDescent="0.2">
      <c r="A521" s="2296" t="s">
        <v>830</v>
      </c>
      <c r="B521" s="2297"/>
      <c r="C521" s="603" t="s">
        <v>64</v>
      </c>
      <c r="D521" s="42">
        <v>30385</v>
      </c>
      <c r="E521" s="41">
        <v>0.36</v>
      </c>
      <c r="F521" s="42">
        <f>+E521*D521</f>
        <v>10938.6</v>
      </c>
      <c r="G521" s="53"/>
    </row>
    <row r="522" spans="1:7" x14ac:dyDescent="0.2">
      <c r="A522" s="2296" t="s">
        <v>839</v>
      </c>
      <c r="B522" s="2297"/>
      <c r="C522" s="603" t="s">
        <v>2</v>
      </c>
      <c r="D522" s="42">
        <v>82477.279999999999</v>
      </c>
      <c r="E522" s="41">
        <v>1</v>
      </c>
      <c r="F522" s="42">
        <f>+E522*D522</f>
        <v>82477.279999999999</v>
      </c>
      <c r="G522" s="53"/>
    </row>
    <row r="523" spans="1:7" x14ac:dyDescent="0.2">
      <c r="A523" s="2296"/>
      <c r="B523" s="2297"/>
      <c r="C523" s="603"/>
      <c r="D523" s="42"/>
      <c r="E523" s="41"/>
      <c r="F523" s="42"/>
      <c r="G523" s="53"/>
    </row>
    <row r="524" spans="1:7" x14ac:dyDescent="0.2">
      <c r="A524" s="2296"/>
      <c r="B524" s="2297"/>
      <c r="C524" s="603"/>
      <c r="D524" s="42"/>
      <c r="E524" s="41"/>
      <c r="F524" s="42"/>
      <c r="G524" s="53"/>
    </row>
    <row r="525" spans="1:7" x14ac:dyDescent="0.2">
      <c r="A525" s="2296"/>
      <c r="B525" s="2297"/>
      <c r="C525" s="603"/>
      <c r="D525" s="42"/>
      <c r="E525" s="41"/>
      <c r="F525" s="42"/>
      <c r="G525" s="53"/>
    </row>
    <row r="526" spans="1:7" x14ac:dyDescent="0.2">
      <c r="A526" s="2296"/>
      <c r="B526" s="2297"/>
      <c r="C526" s="603"/>
      <c r="D526" s="42"/>
      <c r="E526" s="41"/>
      <c r="F526" s="42"/>
      <c r="G526" s="53"/>
    </row>
    <row r="527" spans="1:7" x14ac:dyDescent="0.2">
      <c r="A527" s="2296"/>
      <c r="B527" s="2297"/>
      <c r="C527" s="603"/>
      <c r="D527" s="42"/>
      <c r="E527" s="41"/>
      <c r="F527" s="42"/>
      <c r="G527" s="53"/>
    </row>
    <row r="528" spans="1:7" ht="13.5" thickBot="1" x14ac:dyDescent="0.25">
      <c r="A528" s="2298"/>
      <c r="B528" s="2299"/>
      <c r="C528" s="604"/>
      <c r="D528" s="57"/>
      <c r="E528" s="56"/>
      <c r="F528" s="42"/>
      <c r="G528" s="58"/>
    </row>
    <row r="529" spans="1:7" ht="13.5" thickBot="1" x14ac:dyDescent="0.25">
      <c r="A529" s="1932" t="s">
        <v>125</v>
      </c>
      <c r="B529" s="1933"/>
      <c r="C529" s="1933"/>
      <c r="D529" s="1933"/>
      <c r="E529" s="1933"/>
      <c r="F529" s="1934" t="s">
        <v>113</v>
      </c>
      <c r="G529" s="54">
        <f>SUM(F518:F528)</f>
        <v>531725.58199999994</v>
      </c>
    </row>
    <row r="530" spans="1:7" ht="13.5" thickBot="1" x14ac:dyDescent="0.25">
      <c r="A530" s="40" t="s">
        <v>117</v>
      </c>
      <c r="B530" s="37"/>
      <c r="C530" s="598"/>
      <c r="D530" s="37"/>
      <c r="E530" s="37"/>
      <c r="F530" s="37"/>
      <c r="G530" s="37"/>
    </row>
    <row r="531" spans="1:7" ht="13.5" thickBot="1" x14ac:dyDescent="0.25">
      <c r="A531" s="1922" t="s">
        <v>109</v>
      </c>
      <c r="B531" s="1923"/>
      <c r="C531" s="605" t="s">
        <v>114</v>
      </c>
      <c r="D531" s="64" t="s">
        <v>115</v>
      </c>
      <c r="E531" s="64" t="s">
        <v>116</v>
      </c>
      <c r="F531" s="64" t="s">
        <v>112</v>
      </c>
      <c r="G531" s="67"/>
    </row>
    <row r="532" spans="1:7" x14ac:dyDescent="0.2">
      <c r="A532" s="1928" t="s">
        <v>205</v>
      </c>
      <c r="B532" s="1929"/>
      <c r="C532" s="590" t="s">
        <v>159</v>
      </c>
      <c r="D532" s="42">
        <v>60714.285714285717</v>
      </c>
      <c r="E532" s="584">
        <v>0.3</v>
      </c>
      <c r="F532" s="42">
        <f>D532*E532</f>
        <v>18214.285714285714</v>
      </c>
      <c r="G532" s="52"/>
    </row>
    <row r="533" spans="1:7" ht="13.5" thickBot="1" x14ac:dyDescent="0.25">
      <c r="A533" s="1930"/>
      <c r="B533" s="1931"/>
      <c r="C533" s="590"/>
      <c r="D533" s="43"/>
      <c r="E533" s="57"/>
      <c r="F533" s="57">
        <f>D533*E533</f>
        <v>0</v>
      </c>
      <c r="G533" s="68"/>
    </row>
    <row r="534" spans="1:7" ht="13.5" thickBot="1" x14ac:dyDescent="0.25">
      <c r="A534" s="1932" t="s">
        <v>125</v>
      </c>
      <c r="B534" s="1933"/>
      <c r="C534" s="1933"/>
      <c r="D534" s="1933"/>
      <c r="E534" s="1933"/>
      <c r="F534" s="1934" t="s">
        <v>113</v>
      </c>
      <c r="G534" s="54">
        <f>+F533+F532</f>
        <v>18214.285714285714</v>
      </c>
    </row>
    <row r="535" spans="1:7" ht="13.5" thickBot="1" x14ac:dyDescent="0.25">
      <c r="A535" s="40" t="s">
        <v>119</v>
      </c>
      <c r="B535" s="37"/>
      <c r="C535" s="598"/>
      <c r="D535" s="37"/>
      <c r="E535" s="37"/>
      <c r="F535" s="37"/>
      <c r="G535" s="37"/>
    </row>
    <row r="536" spans="1:7" ht="13.5" thickBot="1" x14ac:dyDescent="0.25">
      <c r="A536" s="1922" t="s">
        <v>120</v>
      </c>
      <c r="B536" s="1923"/>
      <c r="C536" s="600" t="s">
        <v>121</v>
      </c>
      <c r="D536" s="64" t="s">
        <v>114</v>
      </c>
      <c r="E536" s="64" t="s">
        <v>116</v>
      </c>
      <c r="F536" s="64" t="s">
        <v>112</v>
      </c>
      <c r="G536" s="71"/>
    </row>
    <row r="537" spans="1:7" x14ac:dyDescent="0.2">
      <c r="A537" s="2255" t="e">
        <f>+A489</f>
        <v>#REF!</v>
      </c>
      <c r="B537" s="2256"/>
      <c r="C537" s="607" t="e">
        <f>+C489</f>
        <v>#REF!</v>
      </c>
      <c r="D537" s="174">
        <v>1</v>
      </c>
      <c r="E537" s="584">
        <v>13.981292525561781</v>
      </c>
      <c r="F537" s="78" t="e">
        <f>+(C537*D537)*E537</f>
        <v>#REF!</v>
      </c>
      <c r="G537" s="52"/>
    </row>
    <row r="538" spans="1:7" ht="13.5" thickBot="1" x14ac:dyDescent="0.25">
      <c r="A538" s="2252"/>
      <c r="B538" s="1927"/>
      <c r="C538" s="608"/>
      <c r="D538" s="175"/>
      <c r="E538" s="176"/>
      <c r="F538" s="79"/>
      <c r="G538" s="58"/>
    </row>
    <row r="539" spans="1:7" ht="13.5" thickBot="1" x14ac:dyDescent="0.25">
      <c r="A539" s="1932" t="str">
        <f>+A534</f>
        <v>SUB-TOTAL</v>
      </c>
      <c r="B539" s="1933"/>
      <c r="C539" s="1933"/>
      <c r="D539" s="1933"/>
      <c r="E539" s="1933"/>
      <c r="F539" s="1934" t="s">
        <v>113</v>
      </c>
      <c r="G539" s="54" t="e">
        <f>+F538+F537</f>
        <v>#REF!</v>
      </c>
    </row>
    <row r="540" spans="1:7" ht="13.5" thickBot="1" x14ac:dyDescent="0.25">
      <c r="A540" s="37"/>
      <c r="B540" s="37"/>
      <c r="C540" s="598"/>
      <c r="D540" s="37"/>
      <c r="E540" s="37"/>
      <c r="F540" s="45"/>
      <c r="G540" s="37"/>
    </row>
    <row r="541" spans="1:7" ht="13.5" thickBot="1" x14ac:dyDescent="0.25">
      <c r="A541" s="1932" t="s">
        <v>156</v>
      </c>
      <c r="B541" s="1933"/>
      <c r="C541" s="1933"/>
      <c r="D541" s="1933"/>
      <c r="E541" s="1933"/>
      <c r="F541" s="1934"/>
      <c r="G541" s="72" t="e">
        <f>ROUND(G515+G529+G534+G539,0)</f>
        <v>#REF!</v>
      </c>
    </row>
    <row r="542" spans="1:7" x14ac:dyDescent="0.2">
      <c r="A542" s="34"/>
      <c r="B542" s="34"/>
      <c r="C542" s="597"/>
      <c r="D542" s="34"/>
      <c r="E542" s="34"/>
      <c r="F542" s="34"/>
      <c r="G542" s="34"/>
    </row>
    <row r="543" spans="1:7" ht="14.25" x14ac:dyDescent="0.2">
      <c r="A543" s="573" t="s">
        <v>790</v>
      </c>
      <c r="B543" s="572"/>
      <c r="C543" s="579"/>
      <c r="D543" s="34"/>
      <c r="E543" s="577" t="s">
        <v>791</v>
      </c>
      <c r="F543" s="34"/>
      <c r="G543" s="34"/>
    </row>
    <row r="544" spans="1:7" ht="14.25" x14ac:dyDescent="0.2">
      <c r="A544" s="573"/>
      <c r="B544" s="572"/>
      <c r="C544" s="579"/>
      <c r="D544" s="34"/>
      <c r="E544" s="577"/>
      <c r="F544" s="34"/>
      <c r="G544" s="34"/>
    </row>
    <row r="545" spans="1:7" ht="14.25" x14ac:dyDescent="0.2">
      <c r="A545" s="573"/>
      <c r="B545" s="572"/>
      <c r="C545" s="579"/>
      <c r="D545" s="34"/>
      <c r="E545" s="577"/>
      <c r="F545" s="34"/>
      <c r="G545" s="34"/>
    </row>
    <row r="546" spans="1:7" ht="14.25" x14ac:dyDescent="0.2">
      <c r="A546" s="574" t="e">
        <f>+A498</f>
        <v>#REF!</v>
      </c>
      <c r="B546" s="572"/>
      <c r="C546" s="579"/>
      <c r="D546" s="574" t="e">
        <f>+D498</f>
        <v>#REF!</v>
      </c>
      <c r="E546" s="34"/>
      <c r="F546" s="34"/>
      <c r="G546" s="34"/>
    </row>
    <row r="547" spans="1:7" ht="14.25" x14ac:dyDescent="0.2">
      <c r="A547" s="574" t="e">
        <f>+A499</f>
        <v>#REF!</v>
      </c>
      <c r="B547" s="572"/>
      <c r="C547" s="579"/>
      <c r="D547" s="574" t="e">
        <f>+D499</f>
        <v>#REF!</v>
      </c>
      <c r="E547" s="34"/>
      <c r="F547" s="34"/>
      <c r="G547" s="34"/>
    </row>
    <row r="548" spans="1:7" ht="14.25" x14ac:dyDescent="0.2">
      <c r="A548" s="574" t="e">
        <f>+A500</f>
        <v>#REF!</v>
      </c>
      <c r="B548" s="572"/>
      <c r="C548" s="579"/>
      <c r="D548" s="34"/>
      <c r="E548" s="34"/>
      <c r="F548" s="34"/>
      <c r="G548" s="34"/>
    </row>
    <row r="551" spans="1:7" ht="13.5" thickBot="1" x14ac:dyDescent="0.25"/>
    <row r="552" spans="1:7" ht="22.5" customHeight="1" x14ac:dyDescent="0.2">
      <c r="A552" s="2286" t="e">
        <f>+A504</f>
        <v>#REF!</v>
      </c>
      <c r="B552" s="1936"/>
      <c r="C552" s="1937"/>
      <c r="D552" s="50"/>
      <c r="E552" s="46"/>
      <c r="F552" s="46"/>
      <c r="G552" s="47"/>
    </row>
    <row r="553" spans="1:7" ht="28.5" customHeight="1" thickBot="1" x14ac:dyDescent="0.25">
      <c r="A553" s="1551" t="e">
        <f>+A505</f>
        <v>#REF!</v>
      </c>
      <c r="B553" s="1552"/>
      <c r="C553" s="1553"/>
      <c r="D553" s="48"/>
      <c r="E553" s="48"/>
      <c r="F553" s="48"/>
      <c r="G553" s="49"/>
    </row>
    <row r="554" spans="1:7" ht="13.5" thickBot="1" x14ac:dyDescent="0.25">
      <c r="A554" s="37"/>
      <c r="B554" s="37"/>
      <c r="C554" s="598"/>
      <c r="D554" s="37"/>
      <c r="E554" s="37"/>
      <c r="F554" s="37"/>
      <c r="G554" s="37"/>
    </row>
    <row r="555" spans="1:7" ht="51" customHeight="1" thickBot="1" x14ac:dyDescent="0.25">
      <c r="A555" s="1558" t="e">
        <f>+A507</f>
        <v>#REF!</v>
      </c>
      <c r="B555" s="1559"/>
      <c r="C555" s="1560"/>
      <c r="D555" s="1565" t="e">
        <f>+'PRES.FASE 1-ADUCCION'!#REF!</f>
        <v>#REF!</v>
      </c>
      <c r="E555" s="1559"/>
      <c r="F555" s="1559"/>
      <c r="G555" s="1560"/>
    </row>
    <row r="556" spans="1:7" ht="13.5" thickBot="1" x14ac:dyDescent="0.25">
      <c r="A556" s="38"/>
      <c r="B556" s="38"/>
      <c r="C556" s="599"/>
      <c r="D556" s="38"/>
      <c r="E556" s="38"/>
      <c r="F556" s="38"/>
      <c r="G556" s="38"/>
    </row>
    <row r="557" spans="1:7" ht="13.5" thickBot="1" x14ac:dyDescent="0.25">
      <c r="A557" s="39"/>
      <c r="B557" s="37"/>
      <c r="C557" s="597"/>
      <c r="D557" s="60" t="s">
        <v>124</v>
      </c>
      <c r="E557" s="61" t="s">
        <v>2</v>
      </c>
      <c r="F557" s="59"/>
      <c r="G557" s="59"/>
    </row>
    <row r="558" spans="1:7" ht="13.5" thickBot="1" x14ac:dyDescent="0.25">
      <c r="A558" s="40" t="s">
        <v>108</v>
      </c>
      <c r="B558" s="37"/>
      <c r="C558" s="598"/>
      <c r="D558" s="37"/>
      <c r="E558" s="37"/>
      <c r="F558" s="37"/>
      <c r="G558" s="37"/>
    </row>
    <row r="559" spans="1:7" ht="13.5" thickBot="1" x14ac:dyDescent="0.25">
      <c r="A559" s="1530" t="s">
        <v>109</v>
      </c>
      <c r="B559" s="1554"/>
      <c r="C559" s="1531"/>
      <c r="D559" s="64" t="s">
        <v>110</v>
      </c>
      <c r="E559" s="64" t="s">
        <v>111</v>
      </c>
      <c r="F559" s="63" t="s">
        <v>112</v>
      </c>
      <c r="G559" s="66"/>
    </row>
    <row r="560" spans="1:7" x14ac:dyDescent="0.2">
      <c r="A560" s="2284" t="s">
        <v>131</v>
      </c>
      <c r="B560" s="2285"/>
      <c r="C560" s="2285"/>
      <c r="D560" s="55">
        <f>+D512</f>
        <v>1875</v>
      </c>
      <c r="E560" s="80">
        <v>0.1</v>
      </c>
      <c r="F560" s="583">
        <f>D560/E560</f>
        <v>18750</v>
      </c>
      <c r="G560" s="52"/>
    </row>
    <row r="561" spans="1:7" x14ac:dyDescent="0.2">
      <c r="A561" s="2302" t="str">
        <f>+A513</f>
        <v>EQUIPO ELÉCTRICO SOLDADURA</v>
      </c>
      <c r="B561" s="2303"/>
      <c r="C561" s="2304"/>
      <c r="D561" s="438" t="e">
        <f>+D513</f>
        <v>#REF!</v>
      </c>
      <c r="E561" s="582">
        <v>0.25</v>
      </c>
      <c r="F561" s="580" t="e">
        <f>D561/E561</f>
        <v>#REF!</v>
      </c>
      <c r="G561" s="94"/>
    </row>
    <row r="562" spans="1:7" ht="13.5" thickBot="1" x14ac:dyDescent="0.25">
      <c r="A562" s="1926"/>
      <c r="B562" s="1946"/>
      <c r="C562" s="1927"/>
      <c r="D562" s="57"/>
      <c r="E562" s="81"/>
      <c r="F562" s="580"/>
      <c r="G562" s="58"/>
    </row>
    <row r="563" spans="1:7" ht="13.5" thickBot="1" x14ac:dyDescent="0.25">
      <c r="A563" s="1932" t="s">
        <v>125</v>
      </c>
      <c r="B563" s="1933"/>
      <c r="C563" s="1933"/>
      <c r="D563" s="1933"/>
      <c r="E563" s="1933"/>
      <c r="F563" s="1934"/>
      <c r="G563" s="54" t="e">
        <f>SUM(F560:F562)</f>
        <v>#REF!</v>
      </c>
    </row>
    <row r="564" spans="1:7" ht="13.5" thickBot="1" x14ac:dyDescent="0.25">
      <c r="A564" s="40" t="s">
        <v>123</v>
      </c>
      <c r="B564" s="37"/>
      <c r="C564" s="598"/>
      <c r="D564" s="37"/>
      <c r="E564" s="37"/>
      <c r="F564" s="37"/>
      <c r="G564" s="37"/>
    </row>
    <row r="565" spans="1:7" ht="13.5" thickBot="1" x14ac:dyDescent="0.25">
      <c r="A565" s="1530" t="s">
        <v>109</v>
      </c>
      <c r="B565" s="1531"/>
      <c r="C565" s="600" t="s">
        <v>114</v>
      </c>
      <c r="D565" s="63" t="s">
        <v>115</v>
      </c>
      <c r="E565" s="63" t="s">
        <v>116</v>
      </c>
      <c r="F565" s="63" t="s">
        <v>112</v>
      </c>
      <c r="G565" s="66"/>
    </row>
    <row r="566" spans="1:7" x14ac:dyDescent="0.2">
      <c r="A566" s="2300" t="s">
        <v>45</v>
      </c>
      <c r="B566" s="2301"/>
      <c r="C566" s="610" t="s">
        <v>2</v>
      </c>
      <c r="D566" s="55">
        <v>4618.5199999999995</v>
      </c>
      <c r="E566" s="51">
        <v>3</v>
      </c>
      <c r="F566" s="55">
        <f>+E566*D566</f>
        <v>13855.559999999998</v>
      </c>
      <c r="G566" s="52"/>
    </row>
    <row r="567" spans="1:7" x14ac:dyDescent="0.2">
      <c r="A567" s="2296" t="s">
        <v>824</v>
      </c>
      <c r="B567" s="2297"/>
      <c r="C567" s="603" t="s">
        <v>2</v>
      </c>
      <c r="D567" s="42">
        <v>99662.799999999988</v>
      </c>
      <c r="E567" s="41">
        <v>3</v>
      </c>
      <c r="F567" s="42">
        <f>+E567*D567</f>
        <v>298988.39999999997</v>
      </c>
      <c r="G567" s="53"/>
    </row>
    <row r="568" spans="1:7" x14ac:dyDescent="0.2">
      <c r="A568" s="2296" t="s">
        <v>823</v>
      </c>
      <c r="B568" s="2297"/>
      <c r="C568" s="603" t="s">
        <v>7</v>
      </c>
      <c r="D568" s="42">
        <v>16772.52</v>
      </c>
      <c r="E568" s="41">
        <v>0.28000000000000003</v>
      </c>
      <c r="F568" s="42">
        <f>+E568*D568</f>
        <v>4696.3056000000006</v>
      </c>
      <c r="G568" s="53"/>
    </row>
    <row r="569" spans="1:7" x14ac:dyDescent="0.2">
      <c r="A569" s="2296" t="s">
        <v>830</v>
      </c>
      <c r="B569" s="2297"/>
      <c r="C569" s="603" t="s">
        <v>64</v>
      </c>
      <c r="D569" s="42">
        <v>30385</v>
      </c>
      <c r="E569" s="41">
        <v>0.28999999999999998</v>
      </c>
      <c r="F569" s="42">
        <f>+E569*D569</f>
        <v>8811.65</v>
      </c>
      <c r="G569" s="53"/>
    </row>
    <row r="570" spans="1:7" x14ac:dyDescent="0.2">
      <c r="A570" s="2296" t="s">
        <v>839</v>
      </c>
      <c r="B570" s="2297"/>
      <c r="C570" s="603" t="s">
        <v>2</v>
      </c>
      <c r="D570" s="42">
        <v>82477.279999999999</v>
      </c>
      <c r="E570" s="41">
        <v>1</v>
      </c>
      <c r="F570" s="42">
        <f>+E570*D570</f>
        <v>82477.279999999999</v>
      </c>
      <c r="G570" s="53"/>
    </row>
    <row r="571" spans="1:7" x14ac:dyDescent="0.2">
      <c r="A571" s="2296"/>
      <c r="B571" s="2297"/>
      <c r="C571" s="603"/>
      <c r="D571" s="42"/>
      <c r="E571" s="41"/>
      <c r="F571" s="42"/>
      <c r="G571" s="53"/>
    </row>
    <row r="572" spans="1:7" x14ac:dyDescent="0.2">
      <c r="A572" s="2296"/>
      <c r="B572" s="2297"/>
      <c r="C572" s="603"/>
      <c r="D572" s="42"/>
      <c r="E572" s="41"/>
      <c r="F572" s="42"/>
      <c r="G572" s="53"/>
    </row>
    <row r="573" spans="1:7" x14ac:dyDescent="0.2">
      <c r="A573" s="2296"/>
      <c r="B573" s="2297"/>
      <c r="C573" s="603"/>
      <c r="D573" s="42"/>
      <c r="E573" s="41"/>
      <c r="F573" s="42"/>
      <c r="G573" s="53"/>
    </row>
    <row r="574" spans="1:7" x14ac:dyDescent="0.2">
      <c r="A574" s="2296"/>
      <c r="B574" s="2297"/>
      <c r="C574" s="603"/>
      <c r="D574" s="42"/>
      <c r="E574" s="41"/>
      <c r="F574" s="42"/>
      <c r="G574" s="53"/>
    </row>
    <row r="575" spans="1:7" x14ac:dyDescent="0.2">
      <c r="A575" s="2296"/>
      <c r="B575" s="2297"/>
      <c r="C575" s="603"/>
      <c r="D575" s="42"/>
      <c r="E575" s="41"/>
      <c r="F575" s="42"/>
      <c r="G575" s="53"/>
    </row>
    <row r="576" spans="1:7" ht="13.5" thickBot="1" x14ac:dyDescent="0.25">
      <c r="A576" s="2298"/>
      <c r="B576" s="2299"/>
      <c r="C576" s="604"/>
      <c r="D576" s="57"/>
      <c r="E576" s="56"/>
      <c r="F576" s="42"/>
      <c r="G576" s="58"/>
    </row>
    <row r="577" spans="1:7" ht="13.5" thickBot="1" x14ac:dyDescent="0.25">
      <c r="A577" s="1932" t="s">
        <v>125</v>
      </c>
      <c r="B577" s="1933"/>
      <c r="C577" s="1933"/>
      <c r="D577" s="1933"/>
      <c r="E577" s="1933"/>
      <c r="F577" s="1934" t="s">
        <v>113</v>
      </c>
      <c r="G577" s="54">
        <f>SUM(F566:F576)</f>
        <v>408829.19559999998</v>
      </c>
    </row>
    <row r="578" spans="1:7" ht="13.5" thickBot="1" x14ac:dyDescent="0.25">
      <c r="A578" s="40" t="s">
        <v>117</v>
      </c>
      <c r="B578" s="37"/>
      <c r="C578" s="598"/>
      <c r="D578" s="37"/>
      <c r="E578" s="37"/>
      <c r="F578" s="37"/>
      <c r="G578" s="37"/>
    </row>
    <row r="579" spans="1:7" ht="13.5" thickBot="1" x14ac:dyDescent="0.25">
      <c r="A579" s="1922" t="s">
        <v>109</v>
      </c>
      <c r="B579" s="1923"/>
      <c r="C579" s="605" t="s">
        <v>114</v>
      </c>
      <c r="D579" s="64" t="s">
        <v>115</v>
      </c>
      <c r="E579" s="64" t="s">
        <v>116</v>
      </c>
      <c r="F579" s="64" t="s">
        <v>112</v>
      </c>
      <c r="G579" s="67"/>
    </row>
    <row r="580" spans="1:7" x14ac:dyDescent="0.2">
      <c r="A580" s="1928" t="s">
        <v>205</v>
      </c>
      <c r="B580" s="1929"/>
      <c r="C580" s="590" t="s">
        <v>159</v>
      </c>
      <c r="D580" s="42">
        <v>60714.285714285717</v>
      </c>
      <c r="E580" s="584">
        <v>0.3</v>
      </c>
      <c r="F580" s="42">
        <f>D580*E580</f>
        <v>18214.285714285714</v>
      </c>
      <c r="G580" s="52"/>
    </row>
    <row r="581" spans="1:7" ht="13.5" thickBot="1" x14ac:dyDescent="0.25">
      <c r="A581" s="1930"/>
      <c r="B581" s="1931"/>
      <c r="C581" s="590"/>
      <c r="D581" s="43"/>
      <c r="E581" s="57"/>
      <c r="F581" s="57">
        <f>D581*E581</f>
        <v>0</v>
      </c>
      <c r="G581" s="68"/>
    </row>
    <row r="582" spans="1:7" ht="13.5" thickBot="1" x14ac:dyDescent="0.25">
      <c r="A582" s="1932" t="s">
        <v>125</v>
      </c>
      <c r="B582" s="1933"/>
      <c r="C582" s="1933"/>
      <c r="D582" s="1933"/>
      <c r="E582" s="1933"/>
      <c r="F582" s="1934" t="s">
        <v>113</v>
      </c>
      <c r="G582" s="54">
        <f>+F581+F580</f>
        <v>18214.285714285714</v>
      </c>
    </row>
    <row r="583" spans="1:7" ht="13.5" thickBot="1" x14ac:dyDescent="0.25">
      <c r="A583" s="40" t="s">
        <v>119</v>
      </c>
      <c r="B583" s="37"/>
      <c r="C583" s="598"/>
      <c r="D583" s="37"/>
      <c r="E583" s="37"/>
      <c r="F583" s="37"/>
      <c r="G583" s="37"/>
    </row>
    <row r="584" spans="1:7" ht="13.5" thickBot="1" x14ac:dyDescent="0.25">
      <c r="A584" s="1922" t="s">
        <v>120</v>
      </c>
      <c r="B584" s="1923"/>
      <c r="C584" s="600" t="s">
        <v>121</v>
      </c>
      <c r="D584" s="64" t="s">
        <v>114</v>
      </c>
      <c r="E584" s="64" t="s">
        <v>116</v>
      </c>
      <c r="F584" s="64" t="s">
        <v>112</v>
      </c>
      <c r="G584" s="71"/>
    </row>
    <row r="585" spans="1:7" x14ac:dyDescent="0.2">
      <c r="A585" s="2255" t="e">
        <f>+A537</f>
        <v>#REF!</v>
      </c>
      <c r="B585" s="2256"/>
      <c r="C585" s="607" t="e">
        <f>+C537</f>
        <v>#REF!</v>
      </c>
      <c r="D585" s="174">
        <v>1</v>
      </c>
      <c r="E585" s="584">
        <v>5.8230491485555547</v>
      </c>
      <c r="F585" s="78" t="e">
        <f>+(C585*D585)*E585</f>
        <v>#REF!</v>
      </c>
      <c r="G585" s="52"/>
    </row>
    <row r="586" spans="1:7" ht="13.5" thickBot="1" x14ac:dyDescent="0.25">
      <c r="A586" s="2252"/>
      <c r="B586" s="1927"/>
      <c r="C586" s="608"/>
      <c r="D586" s="175"/>
      <c r="E586" s="176"/>
      <c r="F586" s="79"/>
      <c r="G586" s="58"/>
    </row>
    <row r="587" spans="1:7" ht="13.5" thickBot="1" x14ac:dyDescent="0.25">
      <c r="A587" s="1932" t="str">
        <f>+A582</f>
        <v>SUB-TOTAL</v>
      </c>
      <c r="B587" s="1933"/>
      <c r="C587" s="1933"/>
      <c r="D587" s="1933"/>
      <c r="E587" s="1933"/>
      <c r="F587" s="1934" t="s">
        <v>113</v>
      </c>
      <c r="G587" s="54" t="e">
        <f>+F586+F585</f>
        <v>#REF!</v>
      </c>
    </row>
    <row r="588" spans="1:7" ht="13.5" thickBot="1" x14ac:dyDescent="0.25">
      <c r="A588" s="37"/>
      <c r="B588" s="37"/>
      <c r="C588" s="598"/>
      <c r="D588" s="37"/>
      <c r="E588" s="37"/>
      <c r="F588" s="45"/>
      <c r="G588" s="37"/>
    </row>
    <row r="589" spans="1:7" ht="13.5" thickBot="1" x14ac:dyDescent="0.25">
      <c r="A589" s="1932" t="s">
        <v>156</v>
      </c>
      <c r="B589" s="1933"/>
      <c r="C589" s="1933"/>
      <c r="D589" s="1933"/>
      <c r="E589" s="1933"/>
      <c r="F589" s="1934"/>
      <c r="G589" s="72" t="e">
        <f>ROUND(G563+G577+G582+G587,0)</f>
        <v>#REF!</v>
      </c>
    </row>
    <row r="590" spans="1:7" x14ac:dyDescent="0.2">
      <c r="A590" s="34"/>
      <c r="B590" s="34"/>
      <c r="C590" s="597"/>
      <c r="D590" s="34"/>
      <c r="E590" s="34"/>
      <c r="F590" s="34"/>
      <c r="G590" s="34"/>
    </row>
    <row r="591" spans="1:7" ht="14.25" x14ac:dyDescent="0.2">
      <c r="A591" s="573" t="s">
        <v>790</v>
      </c>
      <c r="B591" s="572"/>
      <c r="C591" s="579"/>
      <c r="D591" s="34"/>
      <c r="E591" s="577" t="s">
        <v>791</v>
      </c>
      <c r="F591" s="34"/>
      <c r="G591" s="34"/>
    </row>
    <row r="592" spans="1:7" ht="14.25" x14ac:dyDescent="0.2">
      <c r="A592" s="573"/>
      <c r="B592" s="572"/>
      <c r="C592" s="579"/>
      <c r="D592" s="34"/>
      <c r="E592" s="577"/>
      <c r="F592" s="34"/>
      <c r="G592" s="34"/>
    </row>
    <row r="593" spans="1:7" ht="14.25" x14ac:dyDescent="0.2">
      <c r="A593" s="573"/>
      <c r="B593" s="572"/>
      <c r="C593" s="579"/>
      <c r="D593" s="34"/>
      <c r="E593" s="577"/>
      <c r="F593" s="34"/>
      <c r="G593" s="34"/>
    </row>
    <row r="594" spans="1:7" ht="14.25" x14ac:dyDescent="0.2">
      <c r="A594" s="574" t="e">
        <f>+A546</f>
        <v>#REF!</v>
      </c>
      <c r="B594" s="572"/>
      <c r="C594" s="579"/>
      <c r="D594" s="574" t="e">
        <f>+D546</f>
        <v>#REF!</v>
      </c>
      <c r="E594" s="34"/>
      <c r="F594" s="34"/>
      <c r="G594" s="34"/>
    </row>
    <row r="595" spans="1:7" ht="14.25" x14ac:dyDescent="0.2">
      <c r="A595" s="574" t="e">
        <f>+A547</f>
        <v>#REF!</v>
      </c>
      <c r="B595" s="572"/>
      <c r="C595" s="579"/>
      <c r="D595" s="574" t="e">
        <f>+D547</f>
        <v>#REF!</v>
      </c>
      <c r="E595" s="34"/>
      <c r="F595" s="34"/>
      <c r="G595" s="34"/>
    </row>
    <row r="596" spans="1:7" ht="14.25" x14ac:dyDescent="0.2">
      <c r="A596" s="574" t="e">
        <f>+A548</f>
        <v>#REF!</v>
      </c>
      <c r="B596" s="572"/>
      <c r="C596" s="579"/>
      <c r="D596" s="34"/>
      <c r="E596" s="34"/>
      <c r="F596" s="34"/>
      <c r="G596" s="34"/>
    </row>
    <row r="599" spans="1:7" ht="13.5" thickBot="1" x14ac:dyDescent="0.25"/>
    <row r="600" spans="1:7" ht="23.25" customHeight="1" x14ac:dyDescent="0.2">
      <c r="A600" s="2286" t="e">
        <f>+A552</f>
        <v>#REF!</v>
      </c>
      <c r="B600" s="1936"/>
      <c r="C600" s="1937"/>
      <c r="D600" s="50"/>
      <c r="E600" s="46"/>
      <c r="F600" s="46"/>
      <c r="G600" s="47"/>
    </row>
    <row r="601" spans="1:7" ht="26.25" customHeight="1" thickBot="1" x14ac:dyDescent="0.25">
      <c r="A601" s="1551" t="e">
        <f>+A553</f>
        <v>#REF!</v>
      </c>
      <c r="B601" s="1552"/>
      <c r="C601" s="1553"/>
      <c r="D601" s="48"/>
      <c r="E601" s="48"/>
      <c r="F601" s="48"/>
      <c r="G601" s="49"/>
    </row>
    <row r="602" spans="1:7" ht="13.5" thickBot="1" x14ac:dyDescent="0.25">
      <c r="A602" s="37"/>
      <c r="B602" s="37"/>
      <c r="C602" s="598"/>
      <c r="D602" s="37"/>
      <c r="E602" s="37"/>
      <c r="F602" s="37"/>
      <c r="G602" s="37"/>
    </row>
    <row r="603" spans="1:7" ht="51.75" customHeight="1" thickBot="1" x14ac:dyDescent="0.25">
      <c r="A603" s="1558" t="e">
        <f>+A555</f>
        <v>#REF!</v>
      </c>
      <c r="B603" s="1559"/>
      <c r="C603" s="1560"/>
      <c r="D603" s="1565" t="e">
        <f>+'PRES.FASE 1-ADUCCION'!#REF!</f>
        <v>#REF!</v>
      </c>
      <c r="E603" s="1559"/>
      <c r="F603" s="1559"/>
      <c r="G603" s="1560"/>
    </row>
    <row r="604" spans="1:7" ht="13.5" thickBot="1" x14ac:dyDescent="0.25">
      <c r="A604" s="38"/>
      <c r="B604" s="38"/>
      <c r="C604" s="599"/>
      <c r="D604" s="38"/>
      <c r="E604" s="38"/>
      <c r="F604" s="38"/>
      <c r="G604" s="38"/>
    </row>
    <row r="605" spans="1:7" ht="13.5" thickBot="1" x14ac:dyDescent="0.25">
      <c r="A605" s="39"/>
      <c r="B605" s="37"/>
      <c r="C605" s="597"/>
      <c r="D605" s="60" t="s">
        <v>124</v>
      </c>
      <c r="E605" s="61" t="s">
        <v>4</v>
      </c>
      <c r="F605" s="59"/>
      <c r="G605" s="59"/>
    </row>
    <row r="606" spans="1:7" ht="13.5" thickBot="1" x14ac:dyDescent="0.25">
      <c r="A606" s="40" t="s">
        <v>108</v>
      </c>
      <c r="B606" s="37"/>
      <c r="C606" s="598"/>
      <c r="D606" s="37"/>
      <c r="E606" s="37"/>
      <c r="F606" s="37"/>
      <c r="G606" s="37"/>
    </row>
    <row r="607" spans="1:7" ht="13.5" thickBot="1" x14ac:dyDescent="0.25">
      <c r="A607" s="1530" t="s">
        <v>109</v>
      </c>
      <c r="B607" s="1554"/>
      <c r="C607" s="1531"/>
      <c r="D607" s="64" t="s">
        <v>110</v>
      </c>
      <c r="E607" s="64" t="s">
        <v>111</v>
      </c>
      <c r="F607" s="63" t="s">
        <v>112</v>
      </c>
      <c r="G607" s="66"/>
    </row>
    <row r="608" spans="1:7" x14ac:dyDescent="0.2">
      <c r="A608" s="2284" t="s">
        <v>131</v>
      </c>
      <c r="B608" s="2285"/>
      <c r="C608" s="2285"/>
      <c r="D608" s="55">
        <f>+D560</f>
        <v>1875</v>
      </c>
      <c r="E608" s="80">
        <v>0.8</v>
      </c>
      <c r="F608" s="583">
        <f>D608/E608</f>
        <v>2343.75</v>
      </c>
      <c r="G608" s="52"/>
    </row>
    <row r="609" spans="1:7" x14ac:dyDescent="0.2">
      <c r="A609" s="2302"/>
      <c r="B609" s="2303"/>
      <c r="C609" s="2304"/>
      <c r="D609" s="438"/>
      <c r="E609" s="582"/>
      <c r="F609" s="580"/>
      <c r="G609" s="94"/>
    </row>
    <row r="610" spans="1:7" ht="13.5" thickBot="1" x14ac:dyDescent="0.25">
      <c r="A610" s="1926"/>
      <c r="B610" s="1946"/>
      <c r="C610" s="1927"/>
      <c r="D610" s="57"/>
      <c r="E610" s="81"/>
      <c r="F610" s="580"/>
      <c r="G610" s="58"/>
    </row>
    <row r="611" spans="1:7" ht="13.5" thickBot="1" x14ac:dyDescent="0.25">
      <c r="A611" s="1932" t="s">
        <v>125</v>
      </c>
      <c r="B611" s="1933"/>
      <c r="C611" s="1933"/>
      <c r="D611" s="1933"/>
      <c r="E611" s="1933"/>
      <c r="F611" s="1934"/>
      <c r="G611" s="54">
        <f>SUM(F608:F610)</f>
        <v>2343.75</v>
      </c>
    </row>
    <row r="612" spans="1:7" ht="13.5" thickBot="1" x14ac:dyDescent="0.25">
      <c r="A612" s="40" t="s">
        <v>123</v>
      </c>
      <c r="B612" s="37"/>
      <c r="C612" s="598"/>
      <c r="D612" s="37"/>
      <c r="E612" s="37"/>
      <c r="F612" s="37"/>
      <c r="G612" s="37"/>
    </row>
    <row r="613" spans="1:7" ht="13.5" thickBot="1" x14ac:dyDescent="0.25">
      <c r="A613" s="1530" t="s">
        <v>109</v>
      </c>
      <c r="B613" s="1531"/>
      <c r="C613" s="600" t="s">
        <v>114</v>
      </c>
      <c r="D613" s="63" t="s">
        <v>115</v>
      </c>
      <c r="E613" s="63" t="s">
        <v>116</v>
      </c>
      <c r="F613" s="63" t="s">
        <v>112</v>
      </c>
      <c r="G613" s="66"/>
    </row>
    <row r="614" spans="1:7" x14ac:dyDescent="0.2">
      <c r="A614" s="2300" t="e">
        <f>+'10'!#REF!</f>
        <v>#REF!</v>
      </c>
      <c r="B614" s="2301"/>
      <c r="C614" s="610" t="s">
        <v>4</v>
      </c>
      <c r="D614" s="55" t="e">
        <f>+'10'!#REF!</f>
        <v>#REF!</v>
      </c>
      <c r="E614" s="51">
        <v>1.03</v>
      </c>
      <c r="F614" s="55" t="e">
        <f>+E614*D614</f>
        <v>#REF!</v>
      </c>
      <c r="G614" s="52"/>
    </row>
    <row r="615" spans="1:7" x14ac:dyDescent="0.2">
      <c r="A615" s="2296" t="e">
        <f>+'10'!#REF!</f>
        <v>#REF!</v>
      </c>
      <c r="B615" s="2297"/>
      <c r="C615" s="603" t="s">
        <v>6</v>
      </c>
      <c r="D615" s="42" t="e">
        <f>+'10'!#REF!</f>
        <v>#REF!</v>
      </c>
      <c r="E615" s="41">
        <v>7.0000000000000007E-2</v>
      </c>
      <c r="F615" s="42" t="e">
        <f>+E615*D615</f>
        <v>#REF!</v>
      </c>
      <c r="G615" s="53"/>
    </row>
    <row r="616" spans="1:7" x14ac:dyDescent="0.2">
      <c r="A616" s="2296"/>
      <c r="B616" s="2297"/>
      <c r="C616" s="603"/>
      <c r="D616" s="42"/>
      <c r="E616" s="41"/>
      <c r="F616" s="42"/>
      <c r="G616" s="53"/>
    </row>
    <row r="617" spans="1:7" x14ac:dyDescent="0.2">
      <c r="A617" s="2296"/>
      <c r="B617" s="2297"/>
      <c r="C617" s="603"/>
      <c r="D617" s="42"/>
      <c r="E617" s="41"/>
      <c r="F617" s="42"/>
      <c r="G617" s="53"/>
    </row>
    <row r="618" spans="1:7" x14ac:dyDescent="0.2">
      <c r="A618" s="2296"/>
      <c r="B618" s="2297"/>
      <c r="C618" s="603"/>
      <c r="D618" s="42"/>
      <c r="E618" s="41"/>
      <c r="F618" s="42"/>
      <c r="G618" s="53"/>
    </row>
    <row r="619" spans="1:7" x14ac:dyDescent="0.2">
      <c r="A619" s="2296"/>
      <c r="B619" s="2297"/>
      <c r="C619" s="603"/>
      <c r="D619" s="42"/>
      <c r="E619" s="41"/>
      <c r="F619" s="42"/>
      <c r="G619" s="53"/>
    </row>
    <row r="620" spans="1:7" x14ac:dyDescent="0.2">
      <c r="A620" s="2296"/>
      <c r="B620" s="2297"/>
      <c r="C620" s="603"/>
      <c r="D620" s="42"/>
      <c r="E620" s="41"/>
      <c r="F620" s="42"/>
      <c r="G620" s="53"/>
    </row>
    <row r="621" spans="1:7" x14ac:dyDescent="0.2">
      <c r="A621" s="2296"/>
      <c r="B621" s="2297"/>
      <c r="C621" s="603"/>
      <c r="D621" s="42"/>
      <c r="E621" s="41"/>
      <c r="F621" s="42"/>
      <c r="G621" s="53"/>
    </row>
    <row r="622" spans="1:7" x14ac:dyDescent="0.2">
      <c r="A622" s="2296"/>
      <c r="B622" s="2297"/>
      <c r="C622" s="603"/>
      <c r="D622" s="42"/>
      <c r="E622" s="41"/>
      <c r="F622" s="42"/>
      <c r="G622" s="53"/>
    </row>
    <row r="623" spans="1:7" x14ac:dyDescent="0.2">
      <c r="A623" s="2296"/>
      <c r="B623" s="2297"/>
      <c r="C623" s="603"/>
      <c r="D623" s="42"/>
      <c r="E623" s="41"/>
      <c r="F623" s="42"/>
      <c r="G623" s="53"/>
    </row>
    <row r="624" spans="1:7" ht="13.5" thickBot="1" x14ac:dyDescent="0.25">
      <c r="A624" s="2298"/>
      <c r="B624" s="2299"/>
      <c r="C624" s="604"/>
      <c r="D624" s="57"/>
      <c r="E624" s="56"/>
      <c r="F624" s="42"/>
      <c r="G624" s="58"/>
    </row>
    <row r="625" spans="1:7" ht="13.5" thickBot="1" x14ac:dyDescent="0.25">
      <c r="A625" s="1932" t="s">
        <v>125</v>
      </c>
      <c r="B625" s="1933"/>
      <c r="C625" s="1933"/>
      <c r="D625" s="1933"/>
      <c r="E625" s="1933"/>
      <c r="F625" s="1934" t="s">
        <v>113</v>
      </c>
      <c r="G625" s="54" t="e">
        <f>SUM(F614:F624)</f>
        <v>#REF!</v>
      </c>
    </row>
    <row r="626" spans="1:7" ht="13.5" thickBot="1" x14ac:dyDescent="0.25">
      <c r="A626" s="40" t="s">
        <v>117</v>
      </c>
      <c r="B626" s="37"/>
      <c r="C626" s="598"/>
      <c r="D626" s="37"/>
      <c r="E626" s="37"/>
      <c r="F626" s="37"/>
      <c r="G626" s="37"/>
    </row>
    <row r="627" spans="1:7" ht="13.5" thickBot="1" x14ac:dyDescent="0.25">
      <c r="A627" s="1922" t="s">
        <v>109</v>
      </c>
      <c r="B627" s="1923"/>
      <c r="C627" s="605" t="s">
        <v>114</v>
      </c>
      <c r="D627" s="64" t="s">
        <v>115</v>
      </c>
      <c r="E627" s="64" t="s">
        <v>116</v>
      </c>
      <c r="F627" s="64" t="s">
        <v>112</v>
      </c>
      <c r="G627" s="67"/>
    </row>
    <row r="628" spans="1:7" x14ac:dyDescent="0.2">
      <c r="A628" s="1928" t="s">
        <v>205</v>
      </c>
      <c r="B628" s="1929"/>
      <c r="C628" s="590" t="s">
        <v>159</v>
      </c>
      <c r="D628" s="42">
        <v>60714.285714285717</v>
      </c>
      <c r="E628" s="584">
        <v>0.02</v>
      </c>
      <c r="F628" s="42">
        <f>D628*E628</f>
        <v>1214.2857142857144</v>
      </c>
      <c r="G628" s="52"/>
    </row>
    <row r="629" spans="1:7" ht="13.5" thickBot="1" x14ac:dyDescent="0.25">
      <c r="A629" s="1930"/>
      <c r="B629" s="1931"/>
      <c r="C629" s="590"/>
      <c r="D629" s="43"/>
      <c r="E629" s="57"/>
      <c r="F629" s="57">
        <f>D629*E629</f>
        <v>0</v>
      </c>
      <c r="G629" s="68"/>
    </row>
    <row r="630" spans="1:7" ht="13.5" thickBot="1" x14ac:dyDescent="0.25">
      <c r="A630" s="1932" t="s">
        <v>125</v>
      </c>
      <c r="B630" s="1933"/>
      <c r="C630" s="1933"/>
      <c r="D630" s="1933"/>
      <c r="E630" s="1933"/>
      <c r="F630" s="1934" t="s">
        <v>113</v>
      </c>
      <c r="G630" s="54">
        <f>+F629+F628</f>
        <v>1214.2857142857144</v>
      </c>
    </row>
    <row r="631" spans="1:7" ht="13.5" thickBot="1" x14ac:dyDescent="0.25">
      <c r="A631" s="40" t="s">
        <v>119</v>
      </c>
      <c r="B631" s="37"/>
      <c r="C631" s="598"/>
      <c r="D631" s="37"/>
      <c r="E631" s="37"/>
      <c r="F631" s="37"/>
      <c r="G631" s="37"/>
    </row>
    <row r="632" spans="1:7" ht="13.5" thickBot="1" x14ac:dyDescent="0.25">
      <c r="A632" s="1922" t="s">
        <v>120</v>
      </c>
      <c r="B632" s="1923"/>
      <c r="C632" s="600" t="s">
        <v>121</v>
      </c>
      <c r="D632" s="64" t="s">
        <v>114</v>
      </c>
      <c r="E632" s="64" t="s">
        <v>116</v>
      </c>
      <c r="F632" s="64" t="s">
        <v>112</v>
      </c>
      <c r="G632" s="71"/>
    </row>
    <row r="633" spans="1:7" x14ac:dyDescent="0.2">
      <c r="A633" s="2255" t="str">
        <f>+A394</f>
        <v>Ayudante (Incl. Prestaciones)</v>
      </c>
      <c r="B633" s="2256"/>
      <c r="C633" s="607">
        <f>+C394</f>
        <v>4374.7823749999998</v>
      </c>
      <c r="D633" s="174">
        <v>1</v>
      </c>
      <c r="E633" s="584">
        <v>2.2799999999999998</v>
      </c>
      <c r="F633" s="78">
        <f>+(C633*D633)*E633</f>
        <v>9974.5038149999982</v>
      </c>
      <c r="G633" s="52"/>
    </row>
    <row r="634" spans="1:7" ht="13.5" thickBot="1" x14ac:dyDescent="0.25">
      <c r="A634" s="2252" t="e">
        <f>+#REF!</f>
        <v>#REF!</v>
      </c>
      <c r="B634" s="1927"/>
      <c r="C634" s="607">
        <f>+C393</f>
        <v>7410.9600847008996</v>
      </c>
      <c r="D634" s="174">
        <v>1</v>
      </c>
      <c r="E634" s="584">
        <f>+E633</f>
        <v>2.2799999999999998</v>
      </c>
      <c r="F634" s="78">
        <f>+(C634*D634)*E634</f>
        <v>16896.988993118051</v>
      </c>
      <c r="G634" s="58"/>
    </row>
    <row r="635" spans="1:7" ht="13.5" thickBot="1" x14ac:dyDescent="0.25">
      <c r="A635" s="1932" t="str">
        <f>+A630</f>
        <v>SUB-TOTAL</v>
      </c>
      <c r="B635" s="1933"/>
      <c r="C635" s="1933"/>
      <c r="D635" s="1933"/>
      <c r="E635" s="1933"/>
      <c r="F635" s="1934" t="s">
        <v>113</v>
      </c>
      <c r="G635" s="54">
        <f>+F634+F633</f>
        <v>26871.492808118048</v>
      </c>
    </row>
    <row r="636" spans="1:7" ht="13.5" thickBot="1" x14ac:dyDescent="0.25">
      <c r="A636" s="37"/>
      <c r="B636" s="37"/>
      <c r="C636" s="598"/>
      <c r="D636" s="37"/>
      <c r="E636" s="37"/>
      <c r="F636" s="45"/>
      <c r="G636" s="37"/>
    </row>
    <row r="637" spans="1:7" ht="13.5" thickBot="1" x14ac:dyDescent="0.25">
      <c r="A637" s="1932" t="s">
        <v>156</v>
      </c>
      <c r="B637" s="1933"/>
      <c r="C637" s="1933"/>
      <c r="D637" s="1933"/>
      <c r="E637" s="1933"/>
      <c r="F637" s="1934"/>
      <c r="G637" s="72" t="e">
        <f>ROUND(G611+G625+G630+G635,0)</f>
        <v>#REF!</v>
      </c>
    </row>
    <row r="638" spans="1:7" x14ac:dyDescent="0.2">
      <c r="A638" s="34"/>
      <c r="B638" s="34"/>
      <c r="C638" s="597"/>
      <c r="D638" s="34"/>
      <c r="E638" s="34"/>
      <c r="F638" s="34"/>
      <c r="G638" s="34"/>
    </row>
    <row r="639" spans="1:7" ht="14.25" x14ac:dyDescent="0.2">
      <c r="A639" s="573" t="s">
        <v>790</v>
      </c>
      <c r="B639" s="572"/>
      <c r="C639" s="579"/>
      <c r="D639" s="34"/>
      <c r="E639" s="577" t="s">
        <v>791</v>
      </c>
      <c r="F639" s="34"/>
      <c r="G639" s="34"/>
    </row>
    <row r="640" spans="1:7" ht="14.25" x14ac:dyDescent="0.2">
      <c r="A640" s="573"/>
      <c r="B640" s="572"/>
      <c r="C640" s="579"/>
      <c r="D640" s="34"/>
      <c r="E640" s="577"/>
      <c r="F640" s="34"/>
      <c r="G640" s="34"/>
    </row>
    <row r="641" spans="1:7" ht="14.25" x14ac:dyDescent="0.2">
      <c r="A641" s="573"/>
      <c r="B641" s="572"/>
      <c r="C641" s="579"/>
      <c r="D641" s="34"/>
      <c r="E641" s="577"/>
      <c r="F641" s="34"/>
      <c r="G641" s="34"/>
    </row>
    <row r="642" spans="1:7" ht="14.25" x14ac:dyDescent="0.2">
      <c r="A642" s="574" t="e">
        <f>+A594</f>
        <v>#REF!</v>
      </c>
      <c r="B642" s="572"/>
      <c r="C642" s="579"/>
      <c r="D642" s="574" t="e">
        <f>+D594</f>
        <v>#REF!</v>
      </c>
      <c r="E642" s="34"/>
      <c r="F642" s="34"/>
      <c r="G642" s="34"/>
    </row>
    <row r="643" spans="1:7" ht="14.25" x14ac:dyDescent="0.2">
      <c r="A643" s="574" t="e">
        <f>+A595</f>
        <v>#REF!</v>
      </c>
      <c r="B643" s="572"/>
      <c r="C643" s="579"/>
      <c r="D643" s="574" t="e">
        <f>+D595</f>
        <v>#REF!</v>
      </c>
      <c r="E643" s="34"/>
      <c r="F643" s="34"/>
      <c r="G643" s="34"/>
    </row>
    <row r="644" spans="1:7" ht="14.25" x14ac:dyDescent="0.2">
      <c r="A644" s="574" t="e">
        <f>+A596</f>
        <v>#REF!</v>
      </c>
      <c r="B644" s="572"/>
      <c r="C644" s="579"/>
      <c r="D644" s="34"/>
      <c r="E644" s="34"/>
      <c r="F644" s="34"/>
      <c r="G644" s="34"/>
    </row>
    <row r="647" spans="1:7" ht="13.5" thickBot="1" x14ac:dyDescent="0.25"/>
    <row r="648" spans="1:7" ht="18.75" customHeight="1" x14ac:dyDescent="0.2">
      <c r="A648" s="2286" t="e">
        <f>+A600</f>
        <v>#REF!</v>
      </c>
      <c r="B648" s="1936"/>
      <c r="C648" s="1937"/>
      <c r="D648" s="50"/>
      <c r="E648" s="46"/>
      <c r="F648" s="46"/>
      <c r="G648" s="47"/>
    </row>
    <row r="649" spans="1:7" ht="36" customHeight="1" thickBot="1" x14ac:dyDescent="0.25">
      <c r="A649" s="1551" t="e">
        <f>+A601</f>
        <v>#REF!</v>
      </c>
      <c r="B649" s="1552"/>
      <c r="C649" s="1553"/>
      <c r="D649" s="48"/>
      <c r="E649" s="48"/>
      <c r="F649" s="48"/>
      <c r="G649" s="49"/>
    </row>
    <row r="650" spans="1:7" ht="13.5" thickBot="1" x14ac:dyDescent="0.25">
      <c r="A650" s="37"/>
      <c r="B650" s="37"/>
      <c r="C650" s="598"/>
      <c r="D650" s="37"/>
      <c r="E650" s="37"/>
      <c r="F650" s="37"/>
      <c r="G650" s="37"/>
    </row>
    <row r="651" spans="1:7" ht="54.75" customHeight="1" thickBot="1" x14ac:dyDescent="0.25">
      <c r="A651" s="1558" t="e">
        <f>+A603</f>
        <v>#REF!</v>
      </c>
      <c r="B651" s="1559"/>
      <c r="C651" s="1560"/>
      <c r="D651" s="1565" t="e">
        <f>+'PRES.FASE 1-ADUCCION'!#REF!</f>
        <v>#REF!</v>
      </c>
      <c r="E651" s="1559"/>
      <c r="F651" s="1559"/>
      <c r="G651" s="1560"/>
    </row>
    <row r="652" spans="1:7" ht="13.5" thickBot="1" x14ac:dyDescent="0.25">
      <c r="A652" s="38"/>
      <c r="B652" s="38"/>
      <c r="C652" s="599"/>
      <c r="D652" s="38"/>
      <c r="E652" s="38"/>
      <c r="F652" s="38"/>
      <c r="G652" s="38"/>
    </row>
    <row r="653" spans="1:7" ht="13.5" thickBot="1" x14ac:dyDescent="0.25">
      <c r="A653" s="39"/>
      <c r="B653" s="37"/>
      <c r="C653" s="597"/>
      <c r="D653" s="60" t="s">
        <v>124</v>
      </c>
      <c r="E653" s="61" t="s">
        <v>2</v>
      </c>
      <c r="F653" s="59"/>
      <c r="G653" s="59"/>
    </row>
    <row r="654" spans="1:7" ht="13.5" thickBot="1" x14ac:dyDescent="0.25">
      <c r="A654" s="40" t="s">
        <v>108</v>
      </c>
      <c r="B654" s="37"/>
      <c r="C654" s="598"/>
      <c r="D654" s="37"/>
      <c r="E654" s="37"/>
      <c r="F654" s="37"/>
      <c r="G654" s="37"/>
    </row>
    <row r="655" spans="1:7" ht="13.5" thickBot="1" x14ac:dyDescent="0.25">
      <c r="A655" s="1530" t="s">
        <v>109</v>
      </c>
      <c r="B655" s="1554"/>
      <c r="C655" s="1531"/>
      <c r="D655" s="64" t="s">
        <v>110</v>
      </c>
      <c r="E655" s="64" t="s">
        <v>111</v>
      </c>
      <c r="F655" s="63" t="s">
        <v>112</v>
      </c>
      <c r="G655" s="66"/>
    </row>
    <row r="656" spans="1:7" x14ac:dyDescent="0.2">
      <c r="A656" s="2284" t="s">
        <v>131</v>
      </c>
      <c r="B656" s="2285"/>
      <c r="C656" s="2285"/>
      <c r="D656" s="55">
        <f>+D608</f>
        <v>1875</v>
      </c>
      <c r="E656" s="80">
        <v>0.8</v>
      </c>
      <c r="F656" s="583">
        <f>D656/E656</f>
        <v>2343.75</v>
      </c>
      <c r="G656" s="52"/>
    </row>
    <row r="657" spans="1:7" x14ac:dyDescent="0.2">
      <c r="A657" s="2302"/>
      <c r="B657" s="2303"/>
      <c r="C657" s="2304"/>
      <c r="D657" s="438"/>
      <c r="E657" s="582"/>
      <c r="F657" s="580"/>
      <c r="G657" s="94"/>
    </row>
    <row r="658" spans="1:7" ht="13.5" thickBot="1" x14ac:dyDescent="0.25">
      <c r="A658" s="1926"/>
      <c r="B658" s="1946"/>
      <c r="C658" s="1927"/>
      <c r="D658" s="57"/>
      <c r="E658" s="81"/>
      <c r="F658" s="580"/>
      <c r="G658" s="58"/>
    </row>
    <row r="659" spans="1:7" ht="13.5" thickBot="1" x14ac:dyDescent="0.25">
      <c r="A659" s="1932" t="s">
        <v>125</v>
      </c>
      <c r="B659" s="1933"/>
      <c r="C659" s="1933"/>
      <c r="D659" s="1933"/>
      <c r="E659" s="1933"/>
      <c r="F659" s="1934"/>
      <c r="G659" s="54">
        <f>SUM(F656:F658)</f>
        <v>2343.75</v>
      </c>
    </row>
    <row r="660" spans="1:7" ht="13.5" thickBot="1" x14ac:dyDescent="0.25">
      <c r="A660" s="40" t="s">
        <v>123</v>
      </c>
      <c r="B660" s="37"/>
      <c r="C660" s="598"/>
      <c r="D660" s="37"/>
      <c r="E660" s="37"/>
      <c r="F660" s="37"/>
      <c r="G660" s="37"/>
    </row>
    <row r="661" spans="1:7" ht="13.5" thickBot="1" x14ac:dyDescent="0.25">
      <c r="A661" s="1530" t="s">
        <v>109</v>
      </c>
      <c r="B661" s="1531"/>
      <c r="C661" s="600" t="s">
        <v>114</v>
      </c>
      <c r="D661" s="63" t="s">
        <v>115</v>
      </c>
      <c r="E661" s="63" t="s">
        <v>116</v>
      </c>
      <c r="F661" s="63" t="s">
        <v>112</v>
      </c>
      <c r="G661" s="66"/>
    </row>
    <row r="662" spans="1:7" x14ac:dyDescent="0.2">
      <c r="A662" s="2300" t="s">
        <v>840</v>
      </c>
      <c r="B662" s="2301"/>
      <c r="C662" s="610" t="s">
        <v>4</v>
      </c>
      <c r="D662" s="55">
        <v>48616</v>
      </c>
      <c r="E662" s="51">
        <v>1</v>
      </c>
      <c r="F662" s="55">
        <f>+E662*D662</f>
        <v>48616</v>
      </c>
      <c r="G662" s="52"/>
    </row>
    <row r="663" spans="1:7" x14ac:dyDescent="0.2">
      <c r="A663" s="2296" t="s">
        <v>826</v>
      </c>
      <c r="B663" s="2297"/>
      <c r="C663" s="603" t="s">
        <v>2</v>
      </c>
      <c r="D663" s="42">
        <v>1458.48</v>
      </c>
      <c r="E663" s="41">
        <v>4</v>
      </c>
      <c r="F663" s="42">
        <f>+E663*D663</f>
        <v>5833.92</v>
      </c>
      <c r="G663" s="53"/>
    </row>
    <row r="664" spans="1:7" x14ac:dyDescent="0.2">
      <c r="A664" s="2296"/>
      <c r="B664" s="2297"/>
      <c r="C664" s="603"/>
      <c r="D664" s="42"/>
      <c r="E664" s="41"/>
      <c r="F664" s="42"/>
      <c r="G664" s="53"/>
    </row>
    <row r="665" spans="1:7" x14ac:dyDescent="0.2">
      <c r="A665" s="2296"/>
      <c r="B665" s="2297"/>
      <c r="C665" s="603"/>
      <c r="D665" s="42"/>
      <c r="E665" s="41"/>
      <c r="F665" s="42"/>
      <c r="G665" s="53"/>
    </row>
    <row r="666" spans="1:7" x14ac:dyDescent="0.2">
      <c r="A666" s="2296"/>
      <c r="B666" s="2297"/>
      <c r="C666" s="603"/>
      <c r="D666" s="42"/>
      <c r="E666" s="41"/>
      <c r="F666" s="42"/>
      <c r="G666" s="53"/>
    </row>
    <row r="667" spans="1:7" x14ac:dyDescent="0.2">
      <c r="A667" s="2296"/>
      <c r="B667" s="2297"/>
      <c r="C667" s="603"/>
      <c r="D667" s="42"/>
      <c r="E667" s="41"/>
      <c r="F667" s="42"/>
      <c r="G667" s="53"/>
    </row>
    <row r="668" spans="1:7" x14ac:dyDescent="0.2">
      <c r="A668" s="2296"/>
      <c r="B668" s="2297"/>
      <c r="C668" s="603"/>
      <c r="D668" s="42"/>
      <c r="E668" s="41"/>
      <c r="F668" s="42"/>
      <c r="G668" s="53"/>
    </row>
    <row r="669" spans="1:7" x14ac:dyDescent="0.2">
      <c r="A669" s="2296"/>
      <c r="B669" s="2297"/>
      <c r="C669" s="603"/>
      <c r="D669" s="42"/>
      <c r="E669" s="41"/>
      <c r="F669" s="42"/>
      <c r="G669" s="53"/>
    </row>
    <row r="670" spans="1:7" ht="13.5" thickBot="1" x14ac:dyDescent="0.25">
      <c r="A670" s="2298"/>
      <c r="B670" s="2299"/>
      <c r="C670" s="604"/>
      <c r="D670" s="57"/>
      <c r="E670" s="56"/>
      <c r="F670" s="42"/>
      <c r="G670" s="58"/>
    </row>
    <row r="671" spans="1:7" ht="13.5" thickBot="1" x14ac:dyDescent="0.25">
      <c r="A671" s="1932" t="s">
        <v>125</v>
      </c>
      <c r="B671" s="1933"/>
      <c r="C671" s="1933"/>
      <c r="D671" s="1933"/>
      <c r="E671" s="1933"/>
      <c r="F671" s="1934" t="s">
        <v>113</v>
      </c>
      <c r="G671" s="54">
        <f>SUM(F662:F670)</f>
        <v>54449.919999999998</v>
      </c>
    </row>
    <row r="672" spans="1:7" ht="13.5" thickBot="1" x14ac:dyDescent="0.25">
      <c r="A672" s="40" t="s">
        <v>117</v>
      </c>
      <c r="B672" s="37"/>
      <c r="C672" s="598"/>
      <c r="D672" s="37"/>
      <c r="E672" s="37"/>
      <c r="F672" s="37"/>
      <c r="G672" s="37"/>
    </row>
    <row r="673" spans="1:7" ht="13.5" thickBot="1" x14ac:dyDescent="0.25">
      <c r="A673" s="1922" t="s">
        <v>109</v>
      </c>
      <c r="B673" s="1923"/>
      <c r="C673" s="605" t="s">
        <v>114</v>
      </c>
      <c r="D673" s="64" t="s">
        <v>115</v>
      </c>
      <c r="E673" s="64" t="s">
        <v>116</v>
      </c>
      <c r="F673" s="64" t="s">
        <v>112</v>
      </c>
      <c r="G673" s="67"/>
    </row>
    <row r="674" spans="1:7" x14ac:dyDescent="0.2">
      <c r="A674" s="1928" t="s">
        <v>205</v>
      </c>
      <c r="B674" s="1929"/>
      <c r="C674" s="590" t="s">
        <v>159</v>
      </c>
      <c r="D674" s="42">
        <v>60714.285714285717</v>
      </c>
      <c r="E674" s="584">
        <v>0.01</v>
      </c>
      <c r="F674" s="42">
        <f>D674*E674</f>
        <v>607.14285714285722</v>
      </c>
      <c r="G674" s="52"/>
    </row>
    <row r="675" spans="1:7" ht="13.5" thickBot="1" x14ac:dyDescent="0.25">
      <c r="A675" s="1930"/>
      <c r="B675" s="1931"/>
      <c r="C675" s="590"/>
      <c r="D675" s="43"/>
      <c r="E675" s="57"/>
      <c r="F675" s="57">
        <f>D675*E675</f>
        <v>0</v>
      </c>
      <c r="G675" s="68"/>
    </row>
    <row r="676" spans="1:7" ht="13.5" thickBot="1" x14ac:dyDescent="0.25">
      <c r="A676" s="1932" t="s">
        <v>125</v>
      </c>
      <c r="B676" s="1933"/>
      <c r="C676" s="1933"/>
      <c r="D676" s="1933"/>
      <c r="E676" s="1933"/>
      <c r="F676" s="1934" t="s">
        <v>113</v>
      </c>
      <c r="G676" s="54">
        <f>+F675+F674</f>
        <v>607.14285714285722</v>
      </c>
    </row>
    <row r="677" spans="1:7" ht="13.5" thickBot="1" x14ac:dyDescent="0.25">
      <c r="A677" s="40" t="s">
        <v>119</v>
      </c>
      <c r="B677" s="37"/>
      <c r="C677" s="598"/>
      <c r="D677" s="37"/>
      <c r="E677" s="37"/>
      <c r="F677" s="37"/>
      <c r="G677" s="37"/>
    </row>
    <row r="678" spans="1:7" ht="13.5" thickBot="1" x14ac:dyDescent="0.25">
      <c r="A678" s="1922" t="s">
        <v>120</v>
      </c>
      <c r="B678" s="1923"/>
      <c r="C678" s="600" t="s">
        <v>121</v>
      </c>
      <c r="D678" s="64" t="s">
        <v>114</v>
      </c>
      <c r="E678" s="64" t="s">
        <v>116</v>
      </c>
      <c r="F678" s="64" t="s">
        <v>112</v>
      </c>
      <c r="G678" s="71"/>
    </row>
    <row r="679" spans="1:7" x14ac:dyDescent="0.2">
      <c r="A679" s="2255" t="str">
        <f>+A633</f>
        <v>Ayudante (Incl. Prestaciones)</v>
      </c>
      <c r="B679" s="2256"/>
      <c r="C679" s="607">
        <f>+C633</f>
        <v>4374.7823749999998</v>
      </c>
      <c r="D679" s="174">
        <v>1</v>
      </c>
      <c r="E679" s="584">
        <v>0.46</v>
      </c>
      <c r="F679" s="78">
        <f>+(C679*D679)*E679</f>
        <v>2012.3998925000001</v>
      </c>
      <c r="G679" s="52"/>
    </row>
    <row r="680" spans="1:7" ht="13.5" thickBot="1" x14ac:dyDescent="0.25">
      <c r="A680" s="2255" t="e">
        <f>+A634</f>
        <v>#REF!</v>
      </c>
      <c r="B680" s="2256"/>
      <c r="C680" s="607">
        <f>+C634</f>
        <v>7410.9600847008996</v>
      </c>
      <c r="D680" s="174">
        <v>1</v>
      </c>
      <c r="E680" s="584">
        <f>+E679</f>
        <v>0.46</v>
      </c>
      <c r="F680" s="78">
        <f>+(C680*D680)*E680</f>
        <v>3409.0416389624138</v>
      </c>
      <c r="G680" s="58"/>
    </row>
    <row r="681" spans="1:7" ht="13.5" thickBot="1" x14ac:dyDescent="0.25">
      <c r="A681" s="1932" t="str">
        <f>+A676</f>
        <v>SUB-TOTAL</v>
      </c>
      <c r="B681" s="1933"/>
      <c r="C681" s="1933"/>
      <c r="D681" s="1933"/>
      <c r="E681" s="1933"/>
      <c r="F681" s="1934" t="s">
        <v>113</v>
      </c>
      <c r="G681" s="54">
        <f>+F680+F679</f>
        <v>5421.4415314624139</v>
      </c>
    </row>
    <row r="682" spans="1:7" ht="13.5" thickBot="1" x14ac:dyDescent="0.25">
      <c r="A682" s="37"/>
      <c r="B682" s="37"/>
      <c r="C682" s="598"/>
      <c r="D682" s="37"/>
      <c r="E682" s="37"/>
      <c r="F682" s="45"/>
      <c r="G682" s="37"/>
    </row>
    <row r="683" spans="1:7" ht="13.5" thickBot="1" x14ac:dyDescent="0.25">
      <c r="A683" s="1932" t="s">
        <v>156</v>
      </c>
      <c r="B683" s="1933"/>
      <c r="C683" s="1933"/>
      <c r="D683" s="1933"/>
      <c r="E683" s="1933"/>
      <c r="F683" s="1934"/>
      <c r="G683" s="72">
        <f>ROUND(G659+G671+G676+G681,0)</f>
        <v>62822</v>
      </c>
    </row>
    <row r="684" spans="1:7" x14ac:dyDescent="0.2">
      <c r="A684" s="34"/>
      <c r="B684" s="34"/>
      <c r="C684" s="597"/>
      <c r="D684" s="34"/>
      <c r="E684" s="34"/>
      <c r="F684" s="34"/>
      <c r="G684" s="34"/>
    </row>
    <row r="685" spans="1:7" ht="14.25" x14ac:dyDescent="0.2">
      <c r="A685" s="573" t="s">
        <v>790</v>
      </c>
      <c r="B685" s="572"/>
      <c r="C685" s="579"/>
      <c r="D685" s="34"/>
      <c r="E685" s="577" t="s">
        <v>791</v>
      </c>
      <c r="F685" s="34"/>
      <c r="G685" s="34"/>
    </row>
    <row r="686" spans="1:7" ht="14.25" x14ac:dyDescent="0.2">
      <c r="A686" s="573"/>
      <c r="B686" s="572"/>
      <c r="C686" s="579"/>
      <c r="D686" s="34"/>
      <c r="E686" s="577"/>
      <c r="F686" s="34"/>
      <c r="G686" s="34"/>
    </row>
    <row r="687" spans="1:7" ht="14.25" x14ac:dyDescent="0.2">
      <c r="A687" s="573"/>
      <c r="B687" s="572"/>
      <c r="C687" s="579"/>
      <c r="D687" s="34"/>
      <c r="E687" s="577"/>
      <c r="F687" s="34"/>
      <c r="G687" s="34"/>
    </row>
    <row r="688" spans="1:7" ht="14.25" x14ac:dyDescent="0.2">
      <c r="A688" s="574" t="e">
        <f>+A642</f>
        <v>#REF!</v>
      </c>
      <c r="B688" s="572"/>
      <c r="C688" s="579"/>
      <c r="D688" s="574" t="e">
        <f>+D642</f>
        <v>#REF!</v>
      </c>
      <c r="E688" s="34"/>
      <c r="F688" s="34"/>
      <c r="G688" s="34"/>
    </row>
    <row r="689" spans="1:7" ht="14.25" x14ac:dyDescent="0.2">
      <c r="A689" s="574" t="e">
        <f>+A643</f>
        <v>#REF!</v>
      </c>
      <c r="B689" s="572"/>
      <c r="C689" s="579"/>
      <c r="D689" s="574" t="e">
        <f>+D643</f>
        <v>#REF!</v>
      </c>
      <c r="E689" s="34"/>
      <c r="F689" s="34"/>
      <c r="G689" s="34"/>
    </row>
    <row r="690" spans="1:7" ht="14.25" x14ac:dyDescent="0.2">
      <c r="A690" s="574" t="e">
        <f>+A644</f>
        <v>#REF!</v>
      </c>
      <c r="B690" s="572"/>
      <c r="C690" s="579"/>
      <c r="D690" s="34"/>
      <c r="E690" s="34"/>
      <c r="F690" s="34"/>
      <c r="G690" s="34"/>
    </row>
    <row r="693" spans="1:7" ht="13.5" thickBot="1" x14ac:dyDescent="0.25"/>
    <row r="694" spans="1:7" ht="20.25" customHeight="1" x14ac:dyDescent="0.2">
      <c r="A694" s="2286" t="e">
        <f>+A648</f>
        <v>#REF!</v>
      </c>
      <c r="B694" s="1936"/>
      <c r="C694" s="1937"/>
      <c r="D694" s="50"/>
      <c r="E694" s="46"/>
      <c r="F694" s="46"/>
      <c r="G694" s="47"/>
    </row>
    <row r="695" spans="1:7" ht="32.25" customHeight="1" thickBot="1" x14ac:dyDescent="0.25">
      <c r="A695" s="1551" t="e">
        <f>+A649</f>
        <v>#REF!</v>
      </c>
      <c r="B695" s="1552"/>
      <c r="C695" s="1553"/>
      <c r="D695" s="48"/>
      <c r="E695" s="48"/>
      <c r="F695" s="48"/>
      <c r="G695" s="49"/>
    </row>
    <row r="696" spans="1:7" ht="13.5" thickBot="1" x14ac:dyDescent="0.25">
      <c r="A696" s="37"/>
      <c r="B696" s="37"/>
      <c r="C696" s="598"/>
      <c r="D696" s="37"/>
      <c r="E696" s="37"/>
      <c r="F696" s="37"/>
      <c r="G696" s="37"/>
    </row>
    <row r="697" spans="1:7" ht="50.25" customHeight="1" thickBot="1" x14ac:dyDescent="0.25">
      <c r="A697" s="1558" t="e">
        <f>+A651</f>
        <v>#REF!</v>
      </c>
      <c r="B697" s="1559"/>
      <c r="C697" s="1560"/>
      <c r="D697" s="1565" t="e">
        <f>+'PRES.FASE 1-ADUCCION'!#REF!</f>
        <v>#REF!</v>
      </c>
      <c r="E697" s="1559"/>
      <c r="F697" s="1559"/>
      <c r="G697" s="1560"/>
    </row>
    <row r="698" spans="1:7" ht="13.5" thickBot="1" x14ac:dyDescent="0.25">
      <c r="A698" s="38"/>
      <c r="B698" s="38"/>
      <c r="C698" s="599"/>
      <c r="D698" s="38"/>
      <c r="E698" s="38"/>
      <c r="F698" s="38"/>
      <c r="G698" s="38"/>
    </row>
    <row r="699" spans="1:7" ht="13.5" thickBot="1" x14ac:dyDescent="0.25">
      <c r="A699" s="39"/>
      <c r="B699" s="37"/>
      <c r="C699" s="597"/>
      <c r="D699" s="60" t="s">
        <v>124</v>
      </c>
      <c r="E699" s="61" t="s">
        <v>6</v>
      </c>
      <c r="F699" s="59"/>
      <c r="G699" s="59"/>
    </row>
    <row r="700" spans="1:7" ht="13.5" thickBot="1" x14ac:dyDescent="0.25">
      <c r="A700" s="40" t="s">
        <v>108</v>
      </c>
      <c r="B700" s="37"/>
      <c r="C700" s="598"/>
      <c r="D700" s="37"/>
      <c r="E700" s="37"/>
      <c r="F700" s="37"/>
      <c r="G700" s="37"/>
    </row>
    <row r="701" spans="1:7" ht="13.5" thickBot="1" x14ac:dyDescent="0.25">
      <c r="A701" s="1530" t="s">
        <v>109</v>
      </c>
      <c r="B701" s="1554"/>
      <c r="C701" s="1531"/>
      <c r="D701" s="64" t="s">
        <v>110</v>
      </c>
      <c r="E701" s="64" t="s">
        <v>111</v>
      </c>
      <c r="F701" s="63" t="s">
        <v>112</v>
      </c>
      <c r="G701" s="66"/>
    </row>
    <row r="702" spans="1:7" x14ac:dyDescent="0.2">
      <c r="A702" s="2284" t="s">
        <v>131</v>
      </c>
      <c r="B702" s="2285"/>
      <c r="C702" s="2285"/>
      <c r="D702" s="55">
        <f>+D656</f>
        <v>1875</v>
      </c>
      <c r="E702" s="80">
        <v>0.8</v>
      </c>
      <c r="F702" s="613">
        <f>D702/E702</f>
        <v>2343.75</v>
      </c>
      <c r="G702" s="52"/>
    </row>
    <row r="703" spans="1:7" x14ac:dyDescent="0.2">
      <c r="A703" s="2302" t="str">
        <f>+A561</f>
        <v>EQUIPO ELÉCTRICO SOLDADURA</v>
      </c>
      <c r="B703" s="2303"/>
      <c r="C703" s="2304"/>
      <c r="D703" s="438" t="e">
        <f>+D561</f>
        <v>#REF!</v>
      </c>
      <c r="E703" s="582">
        <v>0.95</v>
      </c>
      <c r="F703" s="580" t="e">
        <f>D703/E703</f>
        <v>#REF!</v>
      </c>
      <c r="G703" s="94"/>
    </row>
    <row r="704" spans="1:7" ht="13.5" thickBot="1" x14ac:dyDescent="0.25">
      <c r="A704" s="1926"/>
      <c r="B704" s="1946"/>
      <c r="C704" s="1927"/>
      <c r="D704" s="57"/>
      <c r="E704" s="81"/>
      <c r="F704" s="580"/>
      <c r="G704" s="58"/>
    </row>
    <row r="705" spans="1:7" ht="13.5" thickBot="1" x14ac:dyDescent="0.25">
      <c r="A705" s="1932" t="s">
        <v>125</v>
      </c>
      <c r="B705" s="1933"/>
      <c r="C705" s="1933"/>
      <c r="D705" s="1933"/>
      <c r="E705" s="1933"/>
      <c r="F705" s="1934"/>
      <c r="G705" s="54" t="e">
        <f>SUM(F702:F704)</f>
        <v>#REF!</v>
      </c>
    </row>
    <row r="706" spans="1:7" ht="13.5" thickBot="1" x14ac:dyDescent="0.25">
      <c r="A706" s="40" t="s">
        <v>123</v>
      </c>
      <c r="B706" s="37"/>
      <c r="C706" s="598"/>
      <c r="D706" s="37"/>
      <c r="E706" s="37"/>
      <c r="F706" s="37"/>
      <c r="G706" s="37"/>
    </row>
    <row r="707" spans="1:7" ht="13.5" thickBot="1" x14ac:dyDescent="0.25">
      <c r="A707" s="1530" t="s">
        <v>109</v>
      </c>
      <c r="B707" s="1531"/>
      <c r="C707" s="600" t="s">
        <v>114</v>
      </c>
      <c r="D707" s="63" t="s">
        <v>115</v>
      </c>
      <c r="E707" s="63" t="s">
        <v>116</v>
      </c>
      <c r="F707" s="63" t="s">
        <v>112</v>
      </c>
      <c r="G707" s="66"/>
    </row>
    <row r="708" spans="1:7" ht="27" customHeight="1" x14ac:dyDescent="0.2">
      <c r="A708" s="2300" t="s">
        <v>842</v>
      </c>
      <c r="B708" s="2301"/>
      <c r="C708" s="610" t="s">
        <v>6</v>
      </c>
      <c r="D708" s="83">
        <v>57000</v>
      </c>
      <c r="E708" s="82">
        <v>1.03</v>
      </c>
      <c r="F708" s="83">
        <f>+E708*D708</f>
        <v>58710</v>
      </c>
      <c r="G708" s="52"/>
    </row>
    <row r="709" spans="1:7" ht="22.5" customHeight="1" x14ac:dyDescent="0.2">
      <c r="A709" s="2296" t="s">
        <v>843</v>
      </c>
      <c r="B709" s="2297"/>
      <c r="C709" s="603" t="s">
        <v>7</v>
      </c>
      <c r="D709" s="86">
        <v>22800</v>
      </c>
      <c r="E709" s="85">
        <v>0.105</v>
      </c>
      <c r="F709" s="86">
        <f>+E709*D709</f>
        <v>2394</v>
      </c>
      <c r="G709" s="53"/>
    </row>
    <row r="710" spans="1:7" ht="25.5" customHeight="1" x14ac:dyDescent="0.2">
      <c r="A710" s="2296" t="s">
        <v>844</v>
      </c>
      <c r="B710" s="2297"/>
      <c r="C710" s="603" t="s">
        <v>7</v>
      </c>
      <c r="D710" s="86">
        <v>15000</v>
      </c>
      <c r="E710" s="85">
        <v>0.5</v>
      </c>
      <c r="F710" s="86">
        <f>+E710*D710</f>
        <v>7500</v>
      </c>
      <c r="G710" s="53"/>
    </row>
    <row r="711" spans="1:7" x14ac:dyDescent="0.2">
      <c r="A711" s="2296"/>
      <c r="B711" s="2297"/>
      <c r="C711" s="603"/>
      <c r="D711" s="42"/>
      <c r="E711" s="41"/>
      <c r="F711" s="42"/>
      <c r="G711" s="53"/>
    </row>
    <row r="712" spans="1:7" x14ac:dyDescent="0.2">
      <c r="A712" s="2296"/>
      <c r="B712" s="2297"/>
      <c r="C712" s="603"/>
      <c r="D712" s="42"/>
      <c r="E712" s="41"/>
      <c r="F712" s="42"/>
      <c r="G712" s="53"/>
    </row>
    <row r="713" spans="1:7" x14ac:dyDescent="0.2">
      <c r="A713" s="2296"/>
      <c r="B713" s="2297"/>
      <c r="C713" s="603"/>
      <c r="D713" s="42"/>
      <c r="E713" s="41"/>
      <c r="F713" s="42"/>
      <c r="G713" s="53"/>
    </row>
    <row r="714" spans="1:7" x14ac:dyDescent="0.2">
      <c r="A714" s="2296"/>
      <c r="B714" s="2297"/>
      <c r="C714" s="603"/>
      <c r="D714" s="42"/>
      <c r="E714" s="41"/>
      <c r="F714" s="42"/>
      <c r="G714" s="53"/>
    </row>
    <row r="715" spans="1:7" x14ac:dyDescent="0.2">
      <c r="A715" s="2296"/>
      <c r="B715" s="2297"/>
      <c r="C715" s="603"/>
      <c r="D715" s="42"/>
      <c r="E715" s="41"/>
      <c r="F715" s="42"/>
      <c r="G715" s="53"/>
    </row>
    <row r="716" spans="1:7" ht="13.5" thickBot="1" x14ac:dyDescent="0.25">
      <c r="A716" s="2298"/>
      <c r="B716" s="2299"/>
      <c r="C716" s="604"/>
      <c r="D716" s="57"/>
      <c r="E716" s="56"/>
      <c r="F716" s="42"/>
      <c r="G716" s="58"/>
    </row>
    <row r="717" spans="1:7" ht="13.5" thickBot="1" x14ac:dyDescent="0.25">
      <c r="A717" s="1932" t="s">
        <v>125</v>
      </c>
      <c r="B717" s="1933"/>
      <c r="C717" s="1933"/>
      <c r="D717" s="1933"/>
      <c r="E717" s="1933"/>
      <c r="F717" s="1934" t="s">
        <v>113</v>
      </c>
      <c r="G717" s="54">
        <f>SUM(F708:F716)</f>
        <v>68604</v>
      </c>
    </row>
    <row r="718" spans="1:7" ht="13.5" thickBot="1" x14ac:dyDescent="0.25">
      <c r="A718" s="40" t="s">
        <v>117</v>
      </c>
      <c r="B718" s="37"/>
      <c r="C718" s="598"/>
      <c r="D718" s="37"/>
      <c r="E718" s="37"/>
      <c r="F718" s="37"/>
      <c r="G718" s="37"/>
    </row>
    <row r="719" spans="1:7" ht="13.5" thickBot="1" x14ac:dyDescent="0.25">
      <c r="A719" s="1922" t="s">
        <v>109</v>
      </c>
      <c r="B719" s="1923"/>
      <c r="C719" s="605" t="s">
        <v>114</v>
      </c>
      <c r="D719" s="64" t="s">
        <v>115</v>
      </c>
      <c r="E719" s="64" t="s">
        <v>116</v>
      </c>
      <c r="F719" s="64" t="s">
        <v>112</v>
      </c>
      <c r="G719" s="67"/>
    </row>
    <row r="720" spans="1:7" x14ac:dyDescent="0.2">
      <c r="A720" s="1928" t="s">
        <v>205</v>
      </c>
      <c r="B720" s="1929"/>
      <c r="C720" s="590" t="s">
        <v>159</v>
      </c>
      <c r="D720" s="42">
        <v>60714.285714285717</v>
      </c>
      <c r="E720" s="584">
        <v>0</v>
      </c>
      <c r="F720" s="42">
        <f>D720*E720</f>
        <v>0</v>
      </c>
      <c r="G720" s="52"/>
    </row>
    <row r="721" spans="1:7" ht="13.5" thickBot="1" x14ac:dyDescent="0.25">
      <c r="A721" s="1930"/>
      <c r="B721" s="1931"/>
      <c r="C721" s="590"/>
      <c r="D721" s="43"/>
      <c r="E721" s="57"/>
      <c r="F721" s="57">
        <f>D721*E721</f>
        <v>0</v>
      </c>
      <c r="G721" s="68"/>
    </row>
    <row r="722" spans="1:7" ht="13.5" thickBot="1" x14ac:dyDescent="0.25">
      <c r="A722" s="1932" t="s">
        <v>125</v>
      </c>
      <c r="B722" s="1933"/>
      <c r="C722" s="1933"/>
      <c r="D722" s="1933"/>
      <c r="E722" s="1933"/>
      <c r="F722" s="1934" t="s">
        <v>113</v>
      </c>
      <c r="G722" s="54">
        <f>+F721+F720</f>
        <v>0</v>
      </c>
    </row>
    <row r="723" spans="1:7" ht="13.5" thickBot="1" x14ac:dyDescent="0.25">
      <c r="A723" s="40" t="s">
        <v>119</v>
      </c>
      <c r="B723" s="37"/>
      <c r="C723" s="598"/>
      <c r="D723" s="37"/>
      <c r="E723" s="37"/>
      <c r="F723" s="37"/>
      <c r="G723" s="37"/>
    </row>
    <row r="724" spans="1:7" ht="13.5" thickBot="1" x14ac:dyDescent="0.25">
      <c r="A724" s="1922" t="s">
        <v>120</v>
      </c>
      <c r="B724" s="1923"/>
      <c r="C724" s="600" t="s">
        <v>121</v>
      </c>
      <c r="D724" s="64" t="s">
        <v>114</v>
      </c>
      <c r="E724" s="64" t="s">
        <v>116</v>
      </c>
      <c r="F724" s="64" t="s">
        <v>112</v>
      </c>
      <c r="G724" s="71"/>
    </row>
    <row r="725" spans="1:7" x14ac:dyDescent="0.2">
      <c r="A725" s="2309" t="e">
        <f>+A537</f>
        <v>#REF!</v>
      </c>
      <c r="B725" s="2310"/>
      <c r="C725" s="607" t="e">
        <f>+C585</f>
        <v>#REF!</v>
      </c>
      <c r="D725" s="174">
        <v>1</v>
      </c>
      <c r="E725" s="614">
        <v>3</v>
      </c>
      <c r="F725" s="78" t="e">
        <f>+(C725*D725)*E725</f>
        <v>#REF!</v>
      </c>
      <c r="G725" s="91"/>
    </row>
    <row r="726" spans="1:7" ht="13.5" thickBot="1" x14ac:dyDescent="0.25">
      <c r="A726" s="2311"/>
      <c r="B726" s="2312"/>
      <c r="C726" s="615"/>
      <c r="D726" s="616"/>
      <c r="E726" s="617"/>
      <c r="F726" s="589"/>
      <c r="G726" s="58"/>
    </row>
    <row r="727" spans="1:7" ht="13.5" thickBot="1" x14ac:dyDescent="0.25">
      <c r="A727" s="1932" t="str">
        <f>+A722</f>
        <v>SUB-TOTAL</v>
      </c>
      <c r="B727" s="1933"/>
      <c r="C727" s="1933"/>
      <c r="D727" s="1933"/>
      <c r="E727" s="1933"/>
      <c r="F727" s="1934" t="s">
        <v>113</v>
      </c>
      <c r="G727" s="54" t="e">
        <f>+F726+F725</f>
        <v>#REF!</v>
      </c>
    </row>
    <row r="728" spans="1:7" ht="13.5" thickBot="1" x14ac:dyDescent="0.25">
      <c r="A728" s="37"/>
      <c r="B728" s="37"/>
      <c r="C728" s="598"/>
      <c r="D728" s="37"/>
      <c r="E728" s="37"/>
      <c r="F728" s="45"/>
      <c r="G728" s="37"/>
    </row>
    <row r="729" spans="1:7" ht="13.5" thickBot="1" x14ac:dyDescent="0.25">
      <c r="A729" s="1932" t="s">
        <v>156</v>
      </c>
      <c r="B729" s="1933"/>
      <c r="C729" s="1933"/>
      <c r="D729" s="1933"/>
      <c r="E729" s="1933"/>
      <c r="F729" s="1934"/>
      <c r="G729" s="72" t="e">
        <f>ROUND(G705+G717+G722+G727,0)</f>
        <v>#REF!</v>
      </c>
    </row>
    <row r="730" spans="1:7" x14ac:dyDescent="0.2">
      <c r="A730" s="34"/>
      <c r="B730" s="34"/>
      <c r="C730" s="597"/>
      <c r="D730" s="34"/>
      <c r="E730" s="34"/>
      <c r="F730" s="34"/>
      <c r="G730" s="34"/>
    </row>
    <row r="731" spans="1:7" ht="14.25" x14ac:dyDescent="0.2">
      <c r="A731" s="573" t="s">
        <v>790</v>
      </c>
      <c r="B731" s="572"/>
      <c r="C731" s="579"/>
      <c r="D731" s="34"/>
      <c r="E731" s="577" t="s">
        <v>791</v>
      </c>
      <c r="F731" s="34"/>
      <c r="G731" s="34"/>
    </row>
    <row r="732" spans="1:7" ht="14.25" x14ac:dyDescent="0.2">
      <c r="A732" s="573"/>
      <c r="B732" s="572"/>
      <c r="C732" s="579"/>
      <c r="D732" s="34"/>
      <c r="E732" s="577"/>
      <c r="F732" s="34"/>
      <c r="G732" s="34"/>
    </row>
    <row r="733" spans="1:7" ht="14.25" x14ac:dyDescent="0.2">
      <c r="A733" s="573"/>
      <c r="B733" s="572"/>
      <c r="C733" s="579"/>
      <c r="D733" s="34"/>
      <c r="E733" s="577"/>
      <c r="F733" s="34"/>
      <c r="G733" s="34"/>
    </row>
    <row r="734" spans="1:7" ht="14.25" x14ac:dyDescent="0.2">
      <c r="A734" s="574" t="e">
        <f>+A688</f>
        <v>#REF!</v>
      </c>
      <c r="B734" s="572"/>
      <c r="C734" s="579"/>
      <c r="D734" s="574" t="e">
        <f>+D688</f>
        <v>#REF!</v>
      </c>
      <c r="E734" s="34"/>
      <c r="F734" s="34"/>
      <c r="G734" s="34"/>
    </row>
    <row r="735" spans="1:7" ht="14.25" x14ac:dyDescent="0.2">
      <c r="A735" s="574" t="e">
        <f>+A689</f>
        <v>#REF!</v>
      </c>
      <c r="B735" s="572"/>
      <c r="C735" s="579"/>
      <c r="D735" s="574" t="e">
        <f>+D689</f>
        <v>#REF!</v>
      </c>
      <c r="E735" s="34"/>
      <c r="F735" s="34"/>
      <c r="G735" s="34"/>
    </row>
    <row r="736" spans="1:7" ht="14.25" x14ac:dyDescent="0.2">
      <c r="A736" s="574" t="e">
        <f>+A690</f>
        <v>#REF!</v>
      </c>
      <c r="B736" s="572"/>
      <c r="C736" s="579"/>
      <c r="D736" s="34"/>
      <c r="E736" s="34"/>
      <c r="F736" s="34"/>
      <c r="G736" s="34"/>
    </row>
  </sheetData>
  <mergeCells count="466">
    <mergeCell ref="A727:F727"/>
    <mergeCell ref="A729:F729"/>
    <mergeCell ref="A716:B716"/>
    <mergeCell ref="A717:F717"/>
    <mergeCell ref="A719:B719"/>
    <mergeCell ref="A720:B720"/>
    <mergeCell ref="A721:B721"/>
    <mergeCell ref="A722:F722"/>
    <mergeCell ref="A724:B724"/>
    <mergeCell ref="A725:B725"/>
    <mergeCell ref="A726:B726"/>
    <mergeCell ref="A707:B707"/>
    <mergeCell ref="A708:B708"/>
    <mergeCell ref="A709:B709"/>
    <mergeCell ref="A710:B710"/>
    <mergeCell ref="A711:B711"/>
    <mergeCell ref="A712:B712"/>
    <mergeCell ref="A713:B713"/>
    <mergeCell ref="A714:B714"/>
    <mergeCell ref="A715:B715"/>
    <mergeCell ref="A694:C694"/>
    <mergeCell ref="A695:C695"/>
    <mergeCell ref="A697:C697"/>
    <mergeCell ref="D697:G697"/>
    <mergeCell ref="A701:C701"/>
    <mergeCell ref="A702:C702"/>
    <mergeCell ref="A703:C703"/>
    <mergeCell ref="A704:C704"/>
    <mergeCell ref="A705:F705"/>
    <mergeCell ref="A63:F63"/>
    <mergeCell ref="A73:F73"/>
    <mergeCell ref="A75:F75"/>
    <mergeCell ref="A66:B66"/>
    <mergeCell ref="A67:B67"/>
    <mergeCell ref="A68:F68"/>
    <mergeCell ref="A70:B70"/>
    <mergeCell ref="A71:B71"/>
    <mergeCell ref="A72:B72"/>
    <mergeCell ref="A53:C53"/>
    <mergeCell ref="A54:F54"/>
    <mergeCell ref="A56:B56"/>
    <mergeCell ref="A57:B57"/>
    <mergeCell ref="A58:B58"/>
    <mergeCell ref="A59:B59"/>
    <mergeCell ref="A60:B60"/>
    <mergeCell ref="A61:B61"/>
    <mergeCell ref="A62:B62"/>
    <mergeCell ref="A2:C2"/>
    <mergeCell ref="A3:C3"/>
    <mergeCell ref="A5:C5"/>
    <mergeCell ref="D5:G5"/>
    <mergeCell ref="A9:C9"/>
    <mergeCell ref="A24:B24"/>
    <mergeCell ref="A11:C11"/>
    <mergeCell ref="A12:F12"/>
    <mergeCell ref="A14:B14"/>
    <mergeCell ref="A15:B15"/>
    <mergeCell ref="A16:B16"/>
    <mergeCell ref="A17:B17"/>
    <mergeCell ref="A18:B18"/>
    <mergeCell ref="A19:B19"/>
    <mergeCell ref="A20:B20"/>
    <mergeCell ref="A21:F21"/>
    <mergeCell ref="A23:B23"/>
    <mergeCell ref="A93:C93"/>
    <mergeCell ref="A94:C94"/>
    <mergeCell ref="A96:C96"/>
    <mergeCell ref="A97:F97"/>
    <mergeCell ref="A99:B99"/>
    <mergeCell ref="A10:C10"/>
    <mergeCell ref="A86:C86"/>
    <mergeCell ref="A87:C87"/>
    <mergeCell ref="A89:C89"/>
    <mergeCell ref="D89:G89"/>
    <mergeCell ref="A51:C51"/>
    <mergeCell ref="A25:B25"/>
    <mergeCell ref="A26:F26"/>
    <mergeCell ref="A28:B28"/>
    <mergeCell ref="A29:B29"/>
    <mergeCell ref="A30:B30"/>
    <mergeCell ref="A31:F31"/>
    <mergeCell ref="A33:F33"/>
    <mergeCell ref="A44:C44"/>
    <mergeCell ref="A45:C45"/>
    <mergeCell ref="A47:C47"/>
    <mergeCell ref="D47:G47"/>
    <mergeCell ref="A65:B65"/>
    <mergeCell ref="A52:C52"/>
    <mergeCell ref="A118:F118"/>
    <mergeCell ref="A95:C95"/>
    <mergeCell ref="A129:C129"/>
    <mergeCell ref="A111:F111"/>
    <mergeCell ref="A113:B113"/>
    <mergeCell ref="A114:B114"/>
    <mergeCell ref="A115:B115"/>
    <mergeCell ref="A116:F116"/>
    <mergeCell ref="A105:B105"/>
    <mergeCell ref="A106:F106"/>
    <mergeCell ref="A108:B108"/>
    <mergeCell ref="A109:B109"/>
    <mergeCell ref="A110:B110"/>
    <mergeCell ref="A100:B100"/>
    <mergeCell ref="A101:B101"/>
    <mergeCell ref="A102:B102"/>
    <mergeCell ref="A103:B103"/>
    <mergeCell ref="A104:B104"/>
    <mergeCell ref="A143:B143"/>
    <mergeCell ref="A144:B144"/>
    <mergeCell ref="A149:B149"/>
    <mergeCell ref="A145:B145"/>
    <mergeCell ref="A146:B146"/>
    <mergeCell ref="A147:B147"/>
    <mergeCell ref="A136:C136"/>
    <mergeCell ref="A137:C137"/>
    <mergeCell ref="A138:C138"/>
    <mergeCell ref="A175:C175"/>
    <mergeCell ref="A176:C176"/>
    <mergeCell ref="A178:C178"/>
    <mergeCell ref="D178:G178"/>
    <mergeCell ref="A182:C182"/>
    <mergeCell ref="A128:C128"/>
    <mergeCell ref="A131:C131"/>
    <mergeCell ref="D131:G131"/>
    <mergeCell ref="A135:C135"/>
    <mergeCell ref="A139:F139"/>
    <mergeCell ref="A141:B141"/>
    <mergeCell ref="A152:F152"/>
    <mergeCell ref="A154:B154"/>
    <mergeCell ref="A157:F157"/>
    <mergeCell ref="A159:B159"/>
    <mergeCell ref="A162:F162"/>
    <mergeCell ref="A164:F164"/>
    <mergeCell ref="A148:B148"/>
    <mergeCell ref="A160:B160"/>
    <mergeCell ref="A161:B161"/>
    <mergeCell ref="A151:B151"/>
    <mergeCell ref="A155:B155"/>
    <mergeCell ref="A156:B156"/>
    <mergeCell ref="A142:B142"/>
    <mergeCell ref="A189:B189"/>
    <mergeCell ref="A190:B190"/>
    <mergeCell ref="A191:B191"/>
    <mergeCell ref="A192:B192"/>
    <mergeCell ref="A193:B193"/>
    <mergeCell ref="A183:C183"/>
    <mergeCell ref="A184:C184"/>
    <mergeCell ref="A185:C185"/>
    <mergeCell ref="A186:F186"/>
    <mergeCell ref="A188:B188"/>
    <mergeCell ref="A198:B198"/>
    <mergeCell ref="A199:B199"/>
    <mergeCell ref="A200:B200"/>
    <mergeCell ref="A201:F201"/>
    <mergeCell ref="A203:B203"/>
    <mergeCell ref="A194:B194"/>
    <mergeCell ref="A195:B195"/>
    <mergeCell ref="A196:F196"/>
    <mergeCell ref="A220:C220"/>
    <mergeCell ref="A222:C222"/>
    <mergeCell ref="D222:G222"/>
    <mergeCell ref="A226:C226"/>
    <mergeCell ref="A227:C227"/>
    <mergeCell ref="A204:B204"/>
    <mergeCell ref="A205:B205"/>
    <mergeCell ref="A206:F206"/>
    <mergeCell ref="A208:F208"/>
    <mergeCell ref="A219:C219"/>
    <mergeCell ref="A234:B234"/>
    <mergeCell ref="A235:B235"/>
    <mergeCell ref="A236:B236"/>
    <mergeCell ref="A237:B237"/>
    <mergeCell ref="A238:B238"/>
    <mergeCell ref="A228:C228"/>
    <mergeCell ref="A229:C229"/>
    <mergeCell ref="A230:F230"/>
    <mergeCell ref="A232:B232"/>
    <mergeCell ref="A233:B233"/>
    <mergeCell ref="A245:B245"/>
    <mergeCell ref="A246:B246"/>
    <mergeCell ref="A247:F247"/>
    <mergeCell ref="A249:B249"/>
    <mergeCell ref="A250:B250"/>
    <mergeCell ref="A239:B239"/>
    <mergeCell ref="A240:B240"/>
    <mergeCell ref="A241:B241"/>
    <mergeCell ref="A242:F242"/>
    <mergeCell ref="A244:B244"/>
    <mergeCell ref="A268:C268"/>
    <mergeCell ref="D268:G268"/>
    <mergeCell ref="A272:C272"/>
    <mergeCell ref="A273:C273"/>
    <mergeCell ref="A274:C274"/>
    <mergeCell ref="A251:B251"/>
    <mergeCell ref="A252:F252"/>
    <mergeCell ref="A254:F254"/>
    <mergeCell ref="A265:C265"/>
    <mergeCell ref="A266:C266"/>
    <mergeCell ref="A281:B281"/>
    <mergeCell ref="A282:B282"/>
    <mergeCell ref="A283:B283"/>
    <mergeCell ref="A284:B284"/>
    <mergeCell ref="A285:B285"/>
    <mergeCell ref="A275:C275"/>
    <mergeCell ref="A276:F276"/>
    <mergeCell ref="A278:B278"/>
    <mergeCell ref="A279:B279"/>
    <mergeCell ref="A280:B280"/>
    <mergeCell ref="D317:G317"/>
    <mergeCell ref="A321:C321"/>
    <mergeCell ref="A322:C322"/>
    <mergeCell ref="A323:C323"/>
    <mergeCell ref="A324:C324"/>
    <mergeCell ref="A325:F325"/>
    <mergeCell ref="A301:F301"/>
    <mergeCell ref="A303:F303"/>
    <mergeCell ref="A286:B286"/>
    <mergeCell ref="A287:B287"/>
    <mergeCell ref="A288:B288"/>
    <mergeCell ref="A295:B295"/>
    <mergeCell ref="A296:F296"/>
    <mergeCell ref="A298:B298"/>
    <mergeCell ref="A299:B299"/>
    <mergeCell ref="A300:B300"/>
    <mergeCell ref="A289:B289"/>
    <mergeCell ref="A290:B290"/>
    <mergeCell ref="A291:F291"/>
    <mergeCell ref="A293:B293"/>
    <mergeCell ref="A294:B294"/>
    <mergeCell ref="A327:B327"/>
    <mergeCell ref="A328:B328"/>
    <mergeCell ref="A329:B329"/>
    <mergeCell ref="A330:B330"/>
    <mergeCell ref="A331:B331"/>
    <mergeCell ref="A332:B332"/>
    <mergeCell ref="A314:C314"/>
    <mergeCell ref="A315:C315"/>
    <mergeCell ref="A317:C317"/>
    <mergeCell ref="A333:B333"/>
    <mergeCell ref="A334:B334"/>
    <mergeCell ref="A335:B335"/>
    <mergeCell ref="A336:B336"/>
    <mergeCell ref="A337:F337"/>
    <mergeCell ref="A339:B339"/>
    <mergeCell ref="A340:B340"/>
    <mergeCell ref="A341:B341"/>
    <mergeCell ref="A342:F342"/>
    <mergeCell ref="A344:B344"/>
    <mergeCell ref="A345:B345"/>
    <mergeCell ref="A346:B346"/>
    <mergeCell ref="A347:F347"/>
    <mergeCell ref="A349:F349"/>
    <mergeCell ref="A360:C360"/>
    <mergeCell ref="A361:C361"/>
    <mergeCell ref="A363:C363"/>
    <mergeCell ref="D363:G363"/>
    <mergeCell ref="A367:C367"/>
    <mergeCell ref="A368:C368"/>
    <mergeCell ref="A369:C369"/>
    <mergeCell ref="A370:C370"/>
    <mergeCell ref="A371:F371"/>
    <mergeCell ref="A373:B373"/>
    <mergeCell ref="A374:B374"/>
    <mergeCell ref="A375:B375"/>
    <mergeCell ref="A376:B376"/>
    <mergeCell ref="A377:B377"/>
    <mergeCell ref="A378:B378"/>
    <mergeCell ref="A379:B379"/>
    <mergeCell ref="A380:B380"/>
    <mergeCell ref="A381:B381"/>
    <mergeCell ref="A382:B382"/>
    <mergeCell ref="A383:B383"/>
    <mergeCell ref="A384:B384"/>
    <mergeCell ref="A385:F385"/>
    <mergeCell ref="A387:B387"/>
    <mergeCell ref="A388:B388"/>
    <mergeCell ref="A389:B389"/>
    <mergeCell ref="A390:F390"/>
    <mergeCell ref="A392:B392"/>
    <mergeCell ref="A393:B393"/>
    <mergeCell ref="A394:B394"/>
    <mergeCell ref="A395:F395"/>
    <mergeCell ref="A397:F397"/>
    <mergeCell ref="A408:C408"/>
    <mergeCell ref="A409:C409"/>
    <mergeCell ref="A411:C411"/>
    <mergeCell ref="D411:G411"/>
    <mergeCell ref="A415:C415"/>
    <mergeCell ref="A416:C416"/>
    <mergeCell ref="A417:C417"/>
    <mergeCell ref="A418:C418"/>
    <mergeCell ref="A419:F419"/>
    <mergeCell ref="A421:B421"/>
    <mergeCell ref="A422:B422"/>
    <mergeCell ref="A423:B423"/>
    <mergeCell ref="A424:B424"/>
    <mergeCell ref="A425:B425"/>
    <mergeCell ref="A426:B426"/>
    <mergeCell ref="A427:B427"/>
    <mergeCell ref="A428:B428"/>
    <mergeCell ref="A429:B429"/>
    <mergeCell ref="A430:B430"/>
    <mergeCell ref="A431:B431"/>
    <mergeCell ref="A432:B432"/>
    <mergeCell ref="A433:F433"/>
    <mergeCell ref="A435:B435"/>
    <mergeCell ref="A436:B436"/>
    <mergeCell ref="A437:B437"/>
    <mergeCell ref="A438:F438"/>
    <mergeCell ref="A440:B440"/>
    <mergeCell ref="A441:B441"/>
    <mergeCell ref="A442:B442"/>
    <mergeCell ref="A443:F443"/>
    <mergeCell ref="A445:F445"/>
    <mergeCell ref="A456:C456"/>
    <mergeCell ref="A457:C457"/>
    <mergeCell ref="A459:C459"/>
    <mergeCell ref="D459:G459"/>
    <mergeCell ref="A463:C463"/>
    <mergeCell ref="A464:C464"/>
    <mergeCell ref="A465:C465"/>
    <mergeCell ref="A466:C466"/>
    <mergeCell ref="A467:F467"/>
    <mergeCell ref="A469:B469"/>
    <mergeCell ref="A470:B470"/>
    <mergeCell ref="A471:B471"/>
    <mergeCell ref="A472:B472"/>
    <mergeCell ref="A473:B473"/>
    <mergeCell ref="A474:B474"/>
    <mergeCell ref="A475:B475"/>
    <mergeCell ref="A476:B476"/>
    <mergeCell ref="A477:B477"/>
    <mergeCell ref="A478:B478"/>
    <mergeCell ref="A479:B479"/>
    <mergeCell ref="A480:B480"/>
    <mergeCell ref="A481:F481"/>
    <mergeCell ref="A483:B483"/>
    <mergeCell ref="A484:B484"/>
    <mergeCell ref="A485:B485"/>
    <mergeCell ref="A486:F486"/>
    <mergeCell ref="A488:B488"/>
    <mergeCell ref="A489:B489"/>
    <mergeCell ref="A490:B490"/>
    <mergeCell ref="A491:F491"/>
    <mergeCell ref="A493:F493"/>
    <mergeCell ref="A504:C504"/>
    <mergeCell ref="A505:C505"/>
    <mergeCell ref="A507:C507"/>
    <mergeCell ref="D507:G507"/>
    <mergeCell ref="A511:C511"/>
    <mergeCell ref="A512:C512"/>
    <mergeCell ref="A513:C513"/>
    <mergeCell ref="A514:C514"/>
    <mergeCell ref="A515:F515"/>
    <mergeCell ref="A517:B517"/>
    <mergeCell ref="A518:B518"/>
    <mergeCell ref="A519:B519"/>
    <mergeCell ref="A520:B520"/>
    <mergeCell ref="A521:B521"/>
    <mergeCell ref="A522:B522"/>
    <mergeCell ref="A523:B523"/>
    <mergeCell ref="A524:B524"/>
    <mergeCell ref="A525:B525"/>
    <mergeCell ref="A526:B526"/>
    <mergeCell ref="A527:B527"/>
    <mergeCell ref="A528:B528"/>
    <mergeCell ref="A529:F529"/>
    <mergeCell ref="A531:B531"/>
    <mergeCell ref="A532:B532"/>
    <mergeCell ref="A533:B533"/>
    <mergeCell ref="A534:F534"/>
    <mergeCell ref="A536:B536"/>
    <mergeCell ref="A537:B537"/>
    <mergeCell ref="A538:B538"/>
    <mergeCell ref="A539:F539"/>
    <mergeCell ref="A541:F541"/>
    <mergeCell ref="A552:C552"/>
    <mergeCell ref="A553:C553"/>
    <mergeCell ref="A555:C555"/>
    <mergeCell ref="D555:G555"/>
    <mergeCell ref="A559:C559"/>
    <mergeCell ref="A560:C560"/>
    <mergeCell ref="A561:C561"/>
    <mergeCell ref="A562:C562"/>
    <mergeCell ref="A563:F563"/>
    <mergeCell ref="A565:B565"/>
    <mergeCell ref="A566:B566"/>
    <mergeCell ref="A567:B567"/>
    <mergeCell ref="A568:B568"/>
    <mergeCell ref="A569:B569"/>
    <mergeCell ref="A570:B570"/>
    <mergeCell ref="A571:B571"/>
    <mergeCell ref="A572:B572"/>
    <mergeCell ref="A573:B573"/>
    <mergeCell ref="A574:B574"/>
    <mergeCell ref="A575:B575"/>
    <mergeCell ref="A576:B576"/>
    <mergeCell ref="A577:F577"/>
    <mergeCell ref="A579:B579"/>
    <mergeCell ref="A580:B580"/>
    <mergeCell ref="A581:B581"/>
    <mergeCell ref="A582:F582"/>
    <mergeCell ref="A584:B584"/>
    <mergeCell ref="A585:B585"/>
    <mergeCell ref="A586:B586"/>
    <mergeCell ref="A587:F587"/>
    <mergeCell ref="A589:F589"/>
    <mergeCell ref="A600:C600"/>
    <mergeCell ref="A601:C601"/>
    <mergeCell ref="A603:C603"/>
    <mergeCell ref="D603:G603"/>
    <mergeCell ref="A607:C607"/>
    <mergeCell ref="A608:C608"/>
    <mergeCell ref="A609:C609"/>
    <mergeCell ref="A610:C610"/>
    <mergeCell ref="A611:F611"/>
    <mergeCell ref="A613:B613"/>
    <mergeCell ref="A614:B614"/>
    <mergeCell ref="A615:B615"/>
    <mergeCell ref="A616:B616"/>
    <mergeCell ref="A617:B617"/>
    <mergeCell ref="A618:B618"/>
    <mergeCell ref="A619:B619"/>
    <mergeCell ref="A620:B620"/>
    <mergeCell ref="A621:B621"/>
    <mergeCell ref="A622:B622"/>
    <mergeCell ref="A623:B623"/>
    <mergeCell ref="A624:B624"/>
    <mergeCell ref="A625:F625"/>
    <mergeCell ref="A627:B627"/>
    <mergeCell ref="A628:B628"/>
    <mergeCell ref="A629:B629"/>
    <mergeCell ref="A630:F630"/>
    <mergeCell ref="A632:B632"/>
    <mergeCell ref="A633:B633"/>
    <mergeCell ref="A634:B634"/>
    <mergeCell ref="A635:F635"/>
    <mergeCell ref="A637:F637"/>
    <mergeCell ref="A648:C648"/>
    <mergeCell ref="A649:C649"/>
    <mergeCell ref="A651:C651"/>
    <mergeCell ref="D651:G651"/>
    <mergeCell ref="A655:C655"/>
    <mergeCell ref="A656:C656"/>
    <mergeCell ref="A657:C657"/>
    <mergeCell ref="A658:C658"/>
    <mergeCell ref="A659:F659"/>
    <mergeCell ref="A661:B661"/>
    <mergeCell ref="A662:B662"/>
    <mergeCell ref="A663:B663"/>
    <mergeCell ref="A664:B664"/>
    <mergeCell ref="A665:B665"/>
    <mergeCell ref="A666:B666"/>
    <mergeCell ref="A667:B667"/>
    <mergeCell ref="A676:F676"/>
    <mergeCell ref="A678:B678"/>
    <mergeCell ref="A679:B679"/>
    <mergeCell ref="A680:B680"/>
    <mergeCell ref="A681:F681"/>
    <mergeCell ref="A683:F683"/>
    <mergeCell ref="A668:B668"/>
    <mergeCell ref="A669:B669"/>
    <mergeCell ref="A670:B670"/>
    <mergeCell ref="A671:F671"/>
    <mergeCell ref="A673:B673"/>
    <mergeCell ref="A674:B674"/>
    <mergeCell ref="A675:B675"/>
  </mergeCells>
  <pageMargins left="0.7" right="0.7" top="0.75" bottom="0.75" header="0.3" footer="0.3"/>
  <pageSetup scale="91" orientation="portrait" horizontalDpi="4294967293" verticalDpi="4294967293" r:id="rId1"/>
  <rowBreaks count="14" manualBreakCount="14">
    <brk id="41" max="16383" man="1"/>
    <brk id="84" max="16383" man="1"/>
    <brk id="126" max="16383" man="1"/>
    <brk id="173" max="16383" man="1"/>
    <brk id="217" max="16383" man="1"/>
    <brk id="263" max="16383" man="1"/>
    <brk id="311" max="16383" man="1"/>
    <brk id="357" max="16383" man="1"/>
    <brk id="405" max="16383" man="1"/>
    <brk id="453" max="6" man="1"/>
    <brk id="550" max="16383" man="1"/>
    <brk id="598" max="16383" man="1"/>
    <brk id="646" max="16383" man="1"/>
    <brk id="692" max="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37</vt:i4>
      </vt:variant>
      <vt:variant>
        <vt:lpstr>Rangos con nombre</vt:lpstr>
      </vt:variant>
      <vt:variant>
        <vt:i4>30</vt:i4>
      </vt:variant>
    </vt:vector>
  </HeadingPairs>
  <TitlesOfParts>
    <vt:vector size="67" baseType="lpstr">
      <vt:lpstr>PRESUP. OBRA PEÑO REDONDO</vt:lpstr>
      <vt:lpstr>RESUMEN ELECTRICO CUBIERTA</vt:lpstr>
      <vt:lpstr>PRESUPUESTO ELECTRICO BIBLIO</vt:lpstr>
      <vt:lpstr>APUS  FASE 1</vt:lpstr>
      <vt:lpstr>5 - ESTRUCTURA - INDER </vt:lpstr>
      <vt:lpstr>PRES.GENERAL</vt:lpstr>
      <vt:lpstr>PRES.FASE 1-ADUCCION</vt:lpstr>
      <vt:lpstr>01</vt:lpstr>
      <vt:lpstr>07</vt:lpstr>
      <vt:lpstr>AIU</vt:lpstr>
      <vt:lpstr>Hoja1</vt:lpstr>
      <vt:lpstr>Hoja2</vt:lpstr>
      <vt:lpstr>PRES.FASE 3-DISTRIBUCCION</vt:lpstr>
      <vt:lpstr>M.CANTID.GENERAL</vt:lpstr>
      <vt:lpstr>M.CANTID.FASE 1-ADUCCION</vt:lpstr>
      <vt:lpstr>HOJA MODELO</vt:lpstr>
      <vt:lpstr>03</vt:lpstr>
      <vt:lpstr>04</vt:lpstr>
      <vt:lpstr>05</vt:lpstr>
      <vt:lpstr>06</vt:lpstr>
      <vt:lpstr>Hoja3</vt:lpstr>
      <vt:lpstr>08</vt:lpstr>
      <vt:lpstr>09</vt:lpstr>
      <vt:lpstr>M.CANTID.FASE 3-DISTRIBUCCION</vt:lpstr>
      <vt:lpstr>10</vt:lpstr>
      <vt:lpstr>11</vt:lpstr>
      <vt:lpstr>12</vt:lpstr>
      <vt:lpstr>13</vt:lpstr>
      <vt:lpstr>14</vt:lpstr>
      <vt:lpstr>15</vt:lpstr>
      <vt:lpstr>16</vt:lpstr>
      <vt:lpstr>7 - ESTRUCTURA CUBIERTA</vt:lpstr>
      <vt:lpstr>10 - VIAS - ESPECIALES </vt:lpstr>
      <vt:lpstr>11- DEPORTES - ESPECIALES</vt:lpstr>
      <vt:lpstr>CERRAMIENTO</vt:lpstr>
      <vt:lpstr>FACTOR MULTIPLICADOR</vt:lpstr>
      <vt:lpstr>OTROS</vt:lpstr>
      <vt:lpstr>'01'!Área_de_impresión</vt:lpstr>
      <vt:lpstr>'05'!Área_de_impresión</vt:lpstr>
      <vt:lpstr>'06'!Área_de_impresión</vt:lpstr>
      <vt:lpstr>'07'!Área_de_impresión</vt:lpstr>
      <vt:lpstr>'08'!Área_de_impresión</vt:lpstr>
      <vt:lpstr>'10 - VIAS - ESPECIALES '!Área_de_impresión</vt:lpstr>
      <vt:lpstr>'11- DEPORTES - ESPECIALES'!Área_de_impresión</vt:lpstr>
      <vt:lpstr>'5 - ESTRUCTURA - INDER '!Área_de_impresión</vt:lpstr>
      <vt:lpstr>'7 - ESTRUCTURA CUBIERTA'!Área_de_impresión</vt:lpstr>
      <vt:lpstr>AIU!Área_de_impresión</vt:lpstr>
      <vt:lpstr>'APUS  FASE 1'!Área_de_impresión</vt:lpstr>
      <vt:lpstr>CERRAMIENTO!Área_de_impresión</vt:lpstr>
      <vt:lpstr>Hoja3!Área_de_impresión</vt:lpstr>
      <vt:lpstr>'M.CANTID.FASE 1-ADUCCION'!Área_de_impresión</vt:lpstr>
      <vt:lpstr>'M.CANTID.FASE 3-DISTRIBUCCION'!Área_de_impresión</vt:lpstr>
      <vt:lpstr>M.CANTID.GENERAL!Área_de_impresión</vt:lpstr>
      <vt:lpstr>OTROS!Área_de_impresión</vt:lpstr>
      <vt:lpstr>'PRES.FASE 1-ADUCCION'!Área_de_impresión</vt:lpstr>
      <vt:lpstr>'PRES.FASE 3-DISTRIBUCCION'!Área_de_impresión</vt:lpstr>
      <vt:lpstr>PRES.GENERAL!Área_de_impresión</vt:lpstr>
      <vt:lpstr>'PRESUP. OBRA PEÑO REDONDO'!Área_de_impresión</vt:lpstr>
      <vt:lpstr>'RESUMEN ELECTRICO CUBIERTA'!Área_de_impresión</vt:lpstr>
      <vt:lpstr>'M.CANTID.FASE 1-ADUCCION'!Títulos_a_imprimir</vt:lpstr>
      <vt:lpstr>'M.CANTID.FASE 3-DISTRIBUCCION'!Títulos_a_imprimir</vt:lpstr>
      <vt:lpstr>M.CANTID.GENERAL!Títulos_a_imprimir</vt:lpstr>
      <vt:lpstr>'PRES.FASE 1-ADUCCION'!Títulos_a_imprimir</vt:lpstr>
      <vt:lpstr>'PRES.FASE 3-DISTRIBUCCION'!Títulos_a_imprimir</vt:lpstr>
      <vt:lpstr>PRES.GENERAL!Títulos_a_imprimir</vt:lpstr>
      <vt:lpstr>'PRESUP. OBRA PEÑO REDONDO'!Títulos_a_imprimir</vt:lpstr>
      <vt:lpstr>'PRESUPUESTO ELECTRICO BIBLIO'!Títulos_a_imprimir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MILER PASTRANA</cp:lastModifiedBy>
  <cp:lastPrinted>2026-05-26T16:43:05Z</cp:lastPrinted>
  <dcterms:created xsi:type="dcterms:W3CDTF">2012-06-13T13:15:52Z</dcterms:created>
  <dcterms:modified xsi:type="dcterms:W3CDTF">2026-06-18T15:11:42Z</dcterms:modified>
</cp:coreProperties>
</file>